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rivingAny\Transfer Entropy\EyeHeadDirc\"/>
    </mc:Choice>
  </mc:AlternateContent>
  <xr:revisionPtr revIDLastSave="0" documentId="8_{7E531C24-5B9B-457F-A989-3C1E360E0341}" xr6:coauthVersionLast="45" xr6:coauthVersionMax="45" xr10:uidLastSave="{00000000-0000-0000-0000-000000000000}"/>
  <bookViews>
    <workbookView xWindow="1152" yWindow="1152" windowWidth="17280" windowHeight="8964"/>
  </bookViews>
  <sheets>
    <sheet name="TxtToExcel_Tem_Txt" sheetId="1" r:id="rId1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2" i="1" l="1"/>
  <c r="B2" i="1"/>
  <c r="A3" i="1"/>
  <c r="B3" i="1"/>
  <c r="A4" i="1"/>
  <c r="B4" i="1"/>
  <c r="A5" i="1"/>
  <c r="B5" i="1"/>
  <c r="A6" i="1"/>
  <c r="B6" i="1"/>
  <c r="A7" i="1"/>
  <c r="B7" i="1"/>
  <c r="A8" i="1"/>
  <c r="B8" i="1"/>
  <c r="A9" i="1"/>
  <c r="B9" i="1"/>
  <c r="A10" i="1"/>
  <c r="B10" i="1"/>
  <c r="A11" i="1"/>
  <c r="B11" i="1"/>
  <c r="A12" i="1"/>
  <c r="B12" i="1"/>
  <c r="A13" i="1"/>
  <c r="B13" i="1"/>
  <c r="A14" i="1"/>
  <c r="B14" i="1"/>
  <c r="A15" i="1"/>
  <c r="B15" i="1"/>
  <c r="A16" i="1"/>
  <c r="B16" i="1"/>
  <c r="A17" i="1"/>
  <c r="B17" i="1"/>
  <c r="A18" i="1"/>
  <c r="B18" i="1"/>
  <c r="A19" i="1"/>
  <c r="B19" i="1"/>
  <c r="A20" i="1"/>
  <c r="B20" i="1"/>
  <c r="A21" i="1"/>
  <c r="B21" i="1"/>
  <c r="A22" i="1"/>
  <c r="B22" i="1"/>
  <c r="A23" i="1"/>
  <c r="B23" i="1"/>
  <c r="A24" i="1"/>
  <c r="B24" i="1"/>
  <c r="A25" i="1"/>
  <c r="B25" i="1"/>
  <c r="A26" i="1"/>
  <c r="B26" i="1"/>
  <c r="A27" i="1"/>
  <c r="B27" i="1"/>
  <c r="A28" i="1"/>
  <c r="B28" i="1"/>
  <c r="A29" i="1"/>
  <c r="B29" i="1"/>
  <c r="A30" i="1"/>
  <c r="B30" i="1"/>
  <c r="A31" i="1"/>
  <c r="B31" i="1"/>
  <c r="A32" i="1"/>
  <c r="B32" i="1"/>
  <c r="A33" i="1"/>
  <c r="B33" i="1"/>
  <c r="A34" i="1"/>
  <c r="B34" i="1"/>
  <c r="A35" i="1"/>
  <c r="B35" i="1"/>
  <c r="A36" i="1"/>
  <c r="B36" i="1"/>
  <c r="A37" i="1"/>
  <c r="B37" i="1"/>
  <c r="A38" i="1"/>
  <c r="B38" i="1"/>
  <c r="A39" i="1"/>
  <c r="B39" i="1"/>
  <c r="A40" i="1"/>
  <c r="B40" i="1"/>
  <c r="A41" i="1"/>
  <c r="B41" i="1"/>
  <c r="A42" i="1"/>
  <c r="B42" i="1"/>
  <c r="A43" i="1"/>
  <c r="B43" i="1"/>
  <c r="A44" i="1"/>
  <c r="B44" i="1"/>
  <c r="A45" i="1"/>
  <c r="B45" i="1"/>
  <c r="A46" i="1"/>
  <c r="B46" i="1"/>
  <c r="A47" i="1"/>
  <c r="B47" i="1"/>
  <c r="A48" i="1"/>
  <c r="B48" i="1"/>
  <c r="A49" i="1"/>
  <c r="B49" i="1"/>
  <c r="A50" i="1"/>
  <c r="B50" i="1"/>
  <c r="A51" i="1"/>
  <c r="B51" i="1"/>
  <c r="A52" i="1"/>
  <c r="B52" i="1"/>
  <c r="A53" i="1"/>
  <c r="B53" i="1"/>
  <c r="A54" i="1"/>
  <c r="B54" i="1"/>
  <c r="A55" i="1"/>
  <c r="B55" i="1"/>
  <c r="A56" i="1"/>
  <c r="B56" i="1"/>
  <c r="A57" i="1"/>
  <c r="B57" i="1"/>
  <c r="A58" i="1"/>
  <c r="B58" i="1"/>
  <c r="A59" i="1"/>
  <c r="B59" i="1"/>
  <c r="A60" i="1"/>
  <c r="B60" i="1"/>
  <c r="A61" i="1"/>
  <c r="B61" i="1"/>
  <c r="A62" i="1"/>
  <c r="B62" i="1"/>
  <c r="A63" i="1"/>
  <c r="B63" i="1"/>
  <c r="A64" i="1"/>
  <c r="B64" i="1"/>
  <c r="A65" i="1"/>
  <c r="B65" i="1"/>
  <c r="A66" i="1"/>
  <c r="B66" i="1"/>
  <c r="A67" i="1"/>
  <c r="B67" i="1"/>
  <c r="A68" i="1"/>
  <c r="B68" i="1"/>
  <c r="A69" i="1"/>
  <c r="B69" i="1"/>
  <c r="A70" i="1"/>
  <c r="B70" i="1"/>
  <c r="A71" i="1"/>
  <c r="B71" i="1"/>
  <c r="A72" i="1"/>
  <c r="B72" i="1"/>
  <c r="A73" i="1"/>
  <c r="B73" i="1"/>
  <c r="A74" i="1"/>
  <c r="B74" i="1"/>
  <c r="A75" i="1"/>
  <c r="B75" i="1"/>
  <c r="A76" i="1"/>
  <c r="B76" i="1"/>
  <c r="A77" i="1"/>
  <c r="B77" i="1"/>
  <c r="A78" i="1"/>
  <c r="B78" i="1"/>
  <c r="A79" i="1"/>
  <c r="B79" i="1"/>
  <c r="A80" i="1"/>
  <c r="B80" i="1"/>
  <c r="A81" i="1"/>
  <c r="B81" i="1"/>
  <c r="A82" i="1"/>
  <c r="B82" i="1"/>
  <c r="A83" i="1"/>
  <c r="B83" i="1"/>
  <c r="A84" i="1"/>
  <c r="B84" i="1"/>
  <c r="A85" i="1"/>
  <c r="B85" i="1"/>
  <c r="A86" i="1"/>
  <c r="B86" i="1"/>
  <c r="A87" i="1"/>
  <c r="B87" i="1"/>
  <c r="A88" i="1"/>
  <c r="B88" i="1"/>
  <c r="A89" i="1"/>
  <c r="B89" i="1"/>
  <c r="A90" i="1"/>
  <c r="B90" i="1"/>
  <c r="A91" i="1"/>
  <c r="B91" i="1"/>
  <c r="A92" i="1"/>
  <c r="B92" i="1"/>
  <c r="A93" i="1"/>
  <c r="B93" i="1"/>
  <c r="A94" i="1"/>
  <c r="B94" i="1"/>
  <c r="A95" i="1"/>
  <c r="B95" i="1"/>
  <c r="A96" i="1"/>
  <c r="B96" i="1"/>
  <c r="A97" i="1"/>
  <c r="B97" i="1"/>
  <c r="A98" i="1"/>
  <c r="B98" i="1"/>
  <c r="A99" i="1"/>
  <c r="B99" i="1"/>
  <c r="A100" i="1"/>
  <c r="B100" i="1"/>
  <c r="A101" i="1"/>
  <c r="B101" i="1"/>
  <c r="A102" i="1"/>
  <c r="B102" i="1"/>
  <c r="A103" i="1"/>
  <c r="B103" i="1"/>
  <c r="A104" i="1"/>
  <c r="B104" i="1"/>
  <c r="A105" i="1"/>
  <c r="B105" i="1"/>
  <c r="A106" i="1"/>
  <c r="B106" i="1"/>
  <c r="A107" i="1"/>
  <c r="B107" i="1"/>
  <c r="A108" i="1"/>
  <c r="B108" i="1"/>
  <c r="A109" i="1"/>
  <c r="B109" i="1"/>
  <c r="A110" i="1"/>
  <c r="B110" i="1"/>
  <c r="A111" i="1"/>
  <c r="B111" i="1"/>
  <c r="A112" i="1"/>
  <c r="B112" i="1"/>
  <c r="A113" i="1"/>
  <c r="B113" i="1"/>
  <c r="A114" i="1"/>
  <c r="B114" i="1"/>
  <c r="A115" i="1"/>
  <c r="B115" i="1"/>
  <c r="A116" i="1"/>
  <c r="B116" i="1"/>
  <c r="A117" i="1"/>
  <c r="B117" i="1"/>
  <c r="A118" i="1"/>
  <c r="B118" i="1"/>
  <c r="A119" i="1"/>
  <c r="B119" i="1"/>
  <c r="A120" i="1"/>
  <c r="B120" i="1"/>
  <c r="A121" i="1"/>
  <c r="B121" i="1"/>
  <c r="A122" i="1"/>
  <c r="B122" i="1"/>
  <c r="A123" i="1"/>
  <c r="B123" i="1"/>
  <c r="A124" i="1"/>
  <c r="B124" i="1"/>
  <c r="A125" i="1"/>
  <c r="B125" i="1"/>
  <c r="A126" i="1"/>
  <c r="B126" i="1"/>
  <c r="A127" i="1"/>
  <c r="B127" i="1"/>
  <c r="A128" i="1"/>
  <c r="B128" i="1"/>
  <c r="A129" i="1"/>
  <c r="B129" i="1"/>
  <c r="A130" i="1"/>
  <c r="B130" i="1"/>
  <c r="A131" i="1"/>
  <c r="B131" i="1"/>
  <c r="A132" i="1"/>
  <c r="B132" i="1"/>
  <c r="A133" i="1"/>
  <c r="B133" i="1"/>
  <c r="A134" i="1"/>
  <c r="B134" i="1"/>
  <c r="A135" i="1"/>
  <c r="B135" i="1"/>
  <c r="A136" i="1"/>
  <c r="B136" i="1"/>
  <c r="A137" i="1"/>
  <c r="B137" i="1"/>
  <c r="A138" i="1"/>
  <c r="B138" i="1"/>
  <c r="A139" i="1"/>
  <c r="B139" i="1"/>
  <c r="A140" i="1"/>
  <c r="B140" i="1"/>
  <c r="A141" i="1"/>
  <c r="B141" i="1"/>
  <c r="A142" i="1"/>
  <c r="B142" i="1"/>
  <c r="A143" i="1"/>
  <c r="B143" i="1"/>
  <c r="A144" i="1"/>
  <c r="B144" i="1"/>
  <c r="A145" i="1"/>
  <c r="B145" i="1"/>
  <c r="A146" i="1"/>
  <c r="B146" i="1"/>
  <c r="A147" i="1"/>
  <c r="B147" i="1"/>
  <c r="A148" i="1"/>
  <c r="B148" i="1"/>
  <c r="A149" i="1"/>
  <c r="B149" i="1"/>
  <c r="A150" i="1"/>
  <c r="B150" i="1"/>
  <c r="A151" i="1"/>
  <c r="B151" i="1"/>
  <c r="A152" i="1"/>
  <c r="B152" i="1"/>
  <c r="A153" i="1"/>
  <c r="B153" i="1"/>
  <c r="A154" i="1"/>
  <c r="B154" i="1"/>
  <c r="A155" i="1"/>
  <c r="B155" i="1"/>
  <c r="A156" i="1"/>
  <c r="B156" i="1"/>
  <c r="A157" i="1"/>
  <c r="B157" i="1"/>
  <c r="A158" i="1"/>
  <c r="B158" i="1"/>
  <c r="A159" i="1"/>
  <c r="B159" i="1"/>
  <c r="A160" i="1"/>
  <c r="B160" i="1"/>
  <c r="A161" i="1"/>
  <c r="B161" i="1"/>
  <c r="A162" i="1"/>
  <c r="B162" i="1"/>
  <c r="A163" i="1"/>
  <c r="B163" i="1"/>
  <c r="A164" i="1"/>
  <c r="B164" i="1"/>
  <c r="A165" i="1"/>
  <c r="B165" i="1"/>
  <c r="A166" i="1"/>
  <c r="B166" i="1"/>
  <c r="A167" i="1"/>
  <c r="B167" i="1"/>
  <c r="A168" i="1"/>
  <c r="B168" i="1"/>
  <c r="A169" i="1"/>
  <c r="B169" i="1"/>
  <c r="A170" i="1"/>
  <c r="B170" i="1"/>
  <c r="A171" i="1"/>
  <c r="B171" i="1"/>
  <c r="A172" i="1"/>
  <c r="B172" i="1"/>
  <c r="A173" i="1"/>
  <c r="B173" i="1"/>
  <c r="A174" i="1"/>
  <c r="B174" i="1"/>
  <c r="A175" i="1"/>
  <c r="B175" i="1"/>
  <c r="A176" i="1"/>
  <c r="B176" i="1"/>
  <c r="A177" i="1"/>
  <c r="B177" i="1"/>
  <c r="A178" i="1"/>
  <c r="B178" i="1"/>
  <c r="A179" i="1"/>
  <c r="B179" i="1"/>
  <c r="A180" i="1"/>
  <c r="B180" i="1"/>
  <c r="A181" i="1"/>
  <c r="B181" i="1"/>
  <c r="A182" i="1"/>
  <c r="B182" i="1"/>
  <c r="A183" i="1"/>
  <c r="B183" i="1"/>
  <c r="A184" i="1"/>
  <c r="B184" i="1"/>
  <c r="A185" i="1"/>
  <c r="B185" i="1"/>
  <c r="A186" i="1"/>
  <c r="B186" i="1"/>
  <c r="A187" i="1"/>
  <c r="B187" i="1"/>
  <c r="A188" i="1"/>
  <c r="B188" i="1"/>
  <c r="A189" i="1"/>
  <c r="B189" i="1"/>
  <c r="A190" i="1"/>
  <c r="B190" i="1"/>
  <c r="A191" i="1"/>
  <c r="B191" i="1"/>
  <c r="A192" i="1"/>
  <c r="B192" i="1"/>
  <c r="A193" i="1"/>
  <c r="B193" i="1"/>
  <c r="A194" i="1"/>
  <c r="B194" i="1"/>
  <c r="A195" i="1"/>
  <c r="B195" i="1"/>
  <c r="A196" i="1"/>
  <c r="B196" i="1"/>
  <c r="A197" i="1"/>
  <c r="B197" i="1"/>
  <c r="A198" i="1"/>
  <c r="B198" i="1"/>
  <c r="A199" i="1"/>
  <c r="B199" i="1"/>
  <c r="A200" i="1"/>
  <c r="B200" i="1"/>
  <c r="A201" i="1"/>
  <c r="B201" i="1"/>
  <c r="A202" i="1"/>
  <c r="B202" i="1"/>
  <c r="A203" i="1"/>
  <c r="B203" i="1"/>
  <c r="A204" i="1"/>
  <c r="B204" i="1"/>
  <c r="A205" i="1"/>
  <c r="B205" i="1"/>
  <c r="A206" i="1"/>
  <c r="B206" i="1"/>
  <c r="A207" i="1"/>
  <c r="B207" i="1"/>
  <c r="A208" i="1"/>
  <c r="B208" i="1"/>
  <c r="A209" i="1"/>
  <c r="B209" i="1"/>
  <c r="A210" i="1"/>
  <c r="B210" i="1"/>
  <c r="A211" i="1"/>
  <c r="B211" i="1"/>
  <c r="A212" i="1"/>
  <c r="B212" i="1"/>
  <c r="A213" i="1"/>
  <c r="B213" i="1"/>
  <c r="A214" i="1"/>
  <c r="B214" i="1"/>
  <c r="A215" i="1"/>
  <c r="B215" i="1"/>
  <c r="A216" i="1"/>
  <c r="B216" i="1"/>
  <c r="A217" i="1"/>
  <c r="B217" i="1"/>
  <c r="A218" i="1"/>
  <c r="B218" i="1"/>
  <c r="A219" i="1"/>
  <c r="B219" i="1"/>
  <c r="A220" i="1"/>
  <c r="B220" i="1"/>
  <c r="A221" i="1"/>
  <c r="B221" i="1"/>
  <c r="A222" i="1"/>
  <c r="B222" i="1"/>
  <c r="A223" i="1"/>
  <c r="B223" i="1"/>
  <c r="A224" i="1"/>
  <c r="B224" i="1"/>
  <c r="A225" i="1"/>
  <c r="B225" i="1"/>
  <c r="A226" i="1"/>
  <c r="B226" i="1"/>
  <c r="A227" i="1"/>
  <c r="B227" i="1"/>
  <c r="A228" i="1"/>
  <c r="B228" i="1"/>
  <c r="A229" i="1"/>
  <c r="B229" i="1"/>
  <c r="A230" i="1"/>
  <c r="B230" i="1"/>
  <c r="A231" i="1"/>
  <c r="B231" i="1"/>
  <c r="A232" i="1"/>
  <c r="B232" i="1"/>
  <c r="A233" i="1"/>
  <c r="B233" i="1"/>
  <c r="A234" i="1"/>
  <c r="B234" i="1"/>
  <c r="A235" i="1"/>
  <c r="B235" i="1"/>
  <c r="A236" i="1"/>
  <c r="B236" i="1"/>
  <c r="A237" i="1"/>
  <c r="B237" i="1"/>
  <c r="A238" i="1"/>
  <c r="B238" i="1"/>
  <c r="A239" i="1"/>
  <c r="B239" i="1"/>
  <c r="A240" i="1"/>
  <c r="B240" i="1"/>
  <c r="A241" i="1"/>
  <c r="B241" i="1"/>
  <c r="A242" i="1"/>
  <c r="B242" i="1"/>
  <c r="A243" i="1"/>
  <c r="B243" i="1"/>
  <c r="A244" i="1"/>
  <c r="B244" i="1"/>
  <c r="A245" i="1"/>
  <c r="B245" i="1"/>
  <c r="A246" i="1"/>
  <c r="B246" i="1"/>
  <c r="A247" i="1"/>
  <c r="B247" i="1"/>
  <c r="A248" i="1"/>
  <c r="B248" i="1"/>
  <c r="A249" i="1"/>
  <c r="B249" i="1"/>
  <c r="A250" i="1"/>
  <c r="B250" i="1"/>
  <c r="A251" i="1"/>
  <c r="B251" i="1"/>
  <c r="A252" i="1"/>
  <c r="B252" i="1"/>
  <c r="A253" i="1"/>
  <c r="B253" i="1"/>
  <c r="A254" i="1"/>
  <c r="B254" i="1"/>
  <c r="A255" i="1"/>
  <c r="B255" i="1"/>
  <c r="A256" i="1"/>
  <c r="B256" i="1"/>
  <c r="A257" i="1"/>
  <c r="B257" i="1"/>
  <c r="A258" i="1"/>
  <c r="B258" i="1"/>
  <c r="A259" i="1"/>
  <c r="B259" i="1"/>
  <c r="A260" i="1"/>
  <c r="B260" i="1"/>
  <c r="A261" i="1"/>
  <c r="B261" i="1"/>
  <c r="A262" i="1"/>
  <c r="B262" i="1"/>
  <c r="A263" i="1"/>
  <c r="B263" i="1"/>
  <c r="A264" i="1"/>
  <c r="B264" i="1"/>
  <c r="A265" i="1"/>
  <c r="B265" i="1"/>
  <c r="A266" i="1"/>
  <c r="B266" i="1"/>
  <c r="A267" i="1"/>
  <c r="B267" i="1"/>
  <c r="A268" i="1"/>
  <c r="B268" i="1"/>
  <c r="A269" i="1"/>
  <c r="B269" i="1"/>
  <c r="A270" i="1"/>
  <c r="B270" i="1"/>
  <c r="A271" i="1"/>
  <c r="B271" i="1"/>
  <c r="A272" i="1"/>
  <c r="B272" i="1"/>
  <c r="A273" i="1"/>
  <c r="B273" i="1"/>
  <c r="A274" i="1"/>
  <c r="B274" i="1"/>
  <c r="A275" i="1"/>
  <c r="B275" i="1"/>
  <c r="A276" i="1"/>
  <c r="B276" i="1"/>
  <c r="A277" i="1"/>
  <c r="B277" i="1"/>
  <c r="A278" i="1"/>
  <c r="B278" i="1"/>
  <c r="A279" i="1"/>
  <c r="B279" i="1"/>
  <c r="A280" i="1"/>
  <c r="B280" i="1"/>
  <c r="A281" i="1"/>
  <c r="B281" i="1"/>
  <c r="A282" i="1"/>
  <c r="B282" i="1"/>
  <c r="A283" i="1"/>
  <c r="B283" i="1"/>
  <c r="A284" i="1"/>
  <c r="B284" i="1"/>
  <c r="A285" i="1"/>
  <c r="B285" i="1"/>
  <c r="A286" i="1"/>
  <c r="B286" i="1"/>
  <c r="A287" i="1"/>
  <c r="B287" i="1"/>
  <c r="A288" i="1"/>
  <c r="B288" i="1"/>
  <c r="A289" i="1"/>
  <c r="B289" i="1"/>
  <c r="A290" i="1"/>
  <c r="B290" i="1"/>
  <c r="A291" i="1"/>
  <c r="B291" i="1"/>
  <c r="A292" i="1"/>
  <c r="B292" i="1"/>
  <c r="A293" i="1"/>
  <c r="B293" i="1"/>
  <c r="A294" i="1"/>
  <c r="B294" i="1"/>
  <c r="A295" i="1"/>
  <c r="B295" i="1"/>
  <c r="A296" i="1"/>
  <c r="B296" i="1"/>
  <c r="A297" i="1"/>
  <c r="B297" i="1"/>
  <c r="A298" i="1"/>
  <c r="B298" i="1"/>
  <c r="A299" i="1"/>
  <c r="B299" i="1"/>
  <c r="A300" i="1"/>
  <c r="B300" i="1"/>
  <c r="A301" i="1"/>
  <c r="B301" i="1"/>
  <c r="A302" i="1"/>
  <c r="B302" i="1"/>
  <c r="A303" i="1"/>
  <c r="B303" i="1"/>
  <c r="A304" i="1"/>
  <c r="B304" i="1"/>
  <c r="A305" i="1"/>
  <c r="B305" i="1"/>
  <c r="A306" i="1"/>
  <c r="B306" i="1"/>
  <c r="A307" i="1"/>
  <c r="B307" i="1"/>
  <c r="A308" i="1"/>
  <c r="B308" i="1"/>
  <c r="A309" i="1"/>
  <c r="B309" i="1"/>
  <c r="A310" i="1"/>
  <c r="B310" i="1"/>
  <c r="A311" i="1"/>
  <c r="B311" i="1"/>
  <c r="A312" i="1"/>
  <c r="B312" i="1"/>
  <c r="A313" i="1"/>
  <c r="B313" i="1"/>
  <c r="A314" i="1"/>
  <c r="B314" i="1"/>
  <c r="A315" i="1"/>
  <c r="B315" i="1"/>
  <c r="A316" i="1"/>
  <c r="B316" i="1"/>
  <c r="A317" i="1"/>
  <c r="B317" i="1"/>
  <c r="A318" i="1"/>
  <c r="B318" i="1"/>
  <c r="A319" i="1"/>
  <c r="B319" i="1"/>
  <c r="A320" i="1"/>
  <c r="B320" i="1"/>
  <c r="A321" i="1"/>
  <c r="B321" i="1"/>
  <c r="A322" i="1"/>
  <c r="B322" i="1"/>
  <c r="A323" i="1"/>
  <c r="B323" i="1"/>
  <c r="A324" i="1"/>
  <c r="B324" i="1"/>
  <c r="A325" i="1"/>
  <c r="B325" i="1"/>
  <c r="A326" i="1"/>
  <c r="B326" i="1"/>
  <c r="A327" i="1"/>
  <c r="B327" i="1"/>
  <c r="A328" i="1"/>
  <c r="B328" i="1"/>
  <c r="A329" i="1"/>
  <c r="B329" i="1"/>
  <c r="A330" i="1"/>
  <c r="B330" i="1"/>
  <c r="A331" i="1"/>
  <c r="B331" i="1"/>
  <c r="A332" i="1"/>
  <c r="B332" i="1"/>
  <c r="A333" i="1"/>
  <c r="B333" i="1"/>
  <c r="A334" i="1"/>
  <c r="B334" i="1"/>
  <c r="A335" i="1"/>
  <c r="B335" i="1"/>
  <c r="A336" i="1"/>
  <c r="B336" i="1"/>
  <c r="A337" i="1"/>
  <c r="B337" i="1"/>
  <c r="A338" i="1"/>
  <c r="B338" i="1"/>
  <c r="A339" i="1"/>
  <c r="B339" i="1"/>
  <c r="A340" i="1"/>
  <c r="B340" i="1"/>
  <c r="A341" i="1"/>
  <c r="B341" i="1"/>
  <c r="A342" i="1"/>
  <c r="B342" i="1"/>
  <c r="A343" i="1"/>
  <c r="B343" i="1"/>
  <c r="A344" i="1"/>
  <c r="B344" i="1"/>
  <c r="A345" i="1"/>
  <c r="B345" i="1"/>
  <c r="A346" i="1"/>
  <c r="B346" i="1"/>
  <c r="A347" i="1"/>
  <c r="B347" i="1"/>
  <c r="A348" i="1"/>
  <c r="B348" i="1"/>
  <c r="A349" i="1"/>
  <c r="B349" i="1"/>
  <c r="A350" i="1"/>
  <c r="B350" i="1"/>
  <c r="A351" i="1"/>
  <c r="B351" i="1"/>
  <c r="A352" i="1"/>
  <c r="B352" i="1"/>
  <c r="A353" i="1"/>
  <c r="B353" i="1"/>
  <c r="A354" i="1"/>
  <c r="B354" i="1"/>
  <c r="A355" i="1"/>
  <c r="B355" i="1"/>
  <c r="A356" i="1"/>
  <c r="B356" i="1"/>
  <c r="A357" i="1"/>
  <c r="B357" i="1"/>
  <c r="A358" i="1"/>
  <c r="B358" i="1"/>
  <c r="A359" i="1"/>
  <c r="B359" i="1"/>
  <c r="A360" i="1"/>
  <c r="B360" i="1"/>
  <c r="A361" i="1"/>
  <c r="B361" i="1"/>
  <c r="A362" i="1"/>
  <c r="B362" i="1"/>
  <c r="A363" i="1"/>
  <c r="B363" i="1"/>
  <c r="A364" i="1"/>
  <c r="B364" i="1"/>
  <c r="A365" i="1"/>
  <c r="B365" i="1"/>
  <c r="A366" i="1"/>
  <c r="B366" i="1"/>
  <c r="A367" i="1"/>
  <c r="B367" i="1"/>
  <c r="A368" i="1"/>
  <c r="B368" i="1"/>
  <c r="A369" i="1"/>
  <c r="B369" i="1"/>
  <c r="A370" i="1"/>
  <c r="B370" i="1"/>
  <c r="A371" i="1"/>
  <c r="B371" i="1"/>
  <c r="A372" i="1"/>
  <c r="B372" i="1"/>
  <c r="A373" i="1"/>
  <c r="B373" i="1"/>
  <c r="A374" i="1"/>
  <c r="B374" i="1"/>
  <c r="A375" i="1"/>
  <c r="B375" i="1"/>
  <c r="A376" i="1"/>
  <c r="B376" i="1"/>
  <c r="A377" i="1"/>
  <c r="B377" i="1"/>
  <c r="A378" i="1"/>
  <c r="B378" i="1"/>
  <c r="A379" i="1"/>
  <c r="B379" i="1"/>
  <c r="A380" i="1"/>
  <c r="B380" i="1"/>
  <c r="A381" i="1"/>
  <c r="B381" i="1"/>
  <c r="A382" i="1"/>
  <c r="B382" i="1"/>
  <c r="A383" i="1"/>
  <c r="B383" i="1"/>
  <c r="A384" i="1"/>
  <c r="B384" i="1"/>
  <c r="A385" i="1"/>
  <c r="B385" i="1"/>
  <c r="A386" i="1"/>
  <c r="B386" i="1"/>
  <c r="A387" i="1"/>
  <c r="B387" i="1"/>
  <c r="A388" i="1"/>
  <c r="B388" i="1"/>
  <c r="A389" i="1"/>
  <c r="B389" i="1"/>
  <c r="A390" i="1"/>
  <c r="B390" i="1"/>
  <c r="A391" i="1"/>
  <c r="B391" i="1"/>
  <c r="A392" i="1"/>
  <c r="B392" i="1"/>
  <c r="A393" i="1"/>
  <c r="B393" i="1"/>
  <c r="A394" i="1"/>
  <c r="B394" i="1"/>
  <c r="A395" i="1"/>
  <c r="B395" i="1"/>
  <c r="A396" i="1"/>
  <c r="B396" i="1"/>
  <c r="A397" i="1"/>
  <c r="B397" i="1"/>
  <c r="A398" i="1"/>
  <c r="B398" i="1"/>
  <c r="A399" i="1"/>
  <c r="B399" i="1"/>
  <c r="A400" i="1"/>
  <c r="B400" i="1"/>
  <c r="A401" i="1"/>
  <c r="B401" i="1"/>
  <c r="A402" i="1"/>
  <c r="B402" i="1"/>
  <c r="A403" i="1"/>
  <c r="B403" i="1"/>
  <c r="A404" i="1"/>
  <c r="B404" i="1"/>
  <c r="A405" i="1"/>
  <c r="B405" i="1"/>
  <c r="A406" i="1"/>
  <c r="B406" i="1"/>
  <c r="A407" i="1"/>
  <c r="B407" i="1"/>
  <c r="A408" i="1"/>
  <c r="B408" i="1"/>
  <c r="A409" i="1"/>
  <c r="B409" i="1"/>
  <c r="A410" i="1"/>
  <c r="B410" i="1"/>
  <c r="A411" i="1"/>
  <c r="B411" i="1"/>
  <c r="A412" i="1"/>
  <c r="B412" i="1"/>
  <c r="A413" i="1"/>
  <c r="B413" i="1"/>
  <c r="A414" i="1"/>
  <c r="B414" i="1"/>
  <c r="A415" i="1"/>
  <c r="B415" i="1"/>
  <c r="A416" i="1"/>
  <c r="B416" i="1"/>
  <c r="A417" i="1"/>
  <c r="B417" i="1"/>
  <c r="A418" i="1"/>
  <c r="B418" i="1"/>
  <c r="A419" i="1"/>
  <c r="B419" i="1"/>
  <c r="A420" i="1"/>
  <c r="B420" i="1"/>
  <c r="A421" i="1"/>
  <c r="B421" i="1"/>
  <c r="A422" i="1"/>
  <c r="B422" i="1"/>
  <c r="A423" i="1"/>
  <c r="B423" i="1"/>
  <c r="A424" i="1"/>
  <c r="B424" i="1"/>
  <c r="A425" i="1"/>
  <c r="B425" i="1"/>
  <c r="A426" i="1"/>
  <c r="B426" i="1"/>
  <c r="A427" i="1"/>
  <c r="B427" i="1"/>
  <c r="A428" i="1"/>
  <c r="B428" i="1"/>
  <c r="A429" i="1"/>
  <c r="B429" i="1"/>
  <c r="A430" i="1"/>
  <c r="B430" i="1"/>
  <c r="A431" i="1"/>
  <c r="B431" i="1"/>
  <c r="A432" i="1"/>
  <c r="B432" i="1"/>
  <c r="A433" i="1"/>
  <c r="B433" i="1"/>
  <c r="A434" i="1"/>
  <c r="B434" i="1"/>
  <c r="A435" i="1"/>
  <c r="B435" i="1"/>
  <c r="A436" i="1"/>
  <c r="B436" i="1"/>
  <c r="A437" i="1"/>
  <c r="B437" i="1"/>
  <c r="A438" i="1"/>
  <c r="B438" i="1"/>
  <c r="A439" i="1"/>
  <c r="B439" i="1"/>
  <c r="A440" i="1"/>
  <c r="B440" i="1"/>
  <c r="A441" i="1"/>
  <c r="B441" i="1"/>
  <c r="A442" i="1"/>
  <c r="B442" i="1"/>
  <c r="A443" i="1"/>
  <c r="B443" i="1"/>
  <c r="A444" i="1"/>
  <c r="B444" i="1"/>
  <c r="A445" i="1"/>
  <c r="B445" i="1"/>
  <c r="A446" i="1"/>
  <c r="B446" i="1"/>
  <c r="A447" i="1"/>
  <c r="B447" i="1"/>
  <c r="A448" i="1"/>
  <c r="B448" i="1"/>
  <c r="A449" i="1"/>
  <c r="B449" i="1"/>
  <c r="A450" i="1"/>
  <c r="B450" i="1"/>
  <c r="A451" i="1"/>
  <c r="B451" i="1"/>
  <c r="A452" i="1"/>
  <c r="B452" i="1"/>
  <c r="A453" i="1"/>
  <c r="B453" i="1"/>
  <c r="A454" i="1"/>
  <c r="B454" i="1"/>
  <c r="A455" i="1"/>
  <c r="B455" i="1"/>
  <c r="A456" i="1"/>
  <c r="B456" i="1"/>
  <c r="A457" i="1"/>
  <c r="B457" i="1"/>
  <c r="A458" i="1"/>
  <c r="B458" i="1"/>
  <c r="A459" i="1"/>
  <c r="B459" i="1"/>
  <c r="A460" i="1"/>
  <c r="B460" i="1"/>
  <c r="A461" i="1"/>
  <c r="B461" i="1"/>
  <c r="A462" i="1"/>
  <c r="B462" i="1"/>
  <c r="A463" i="1"/>
  <c r="B463" i="1"/>
  <c r="A464" i="1"/>
  <c r="B464" i="1"/>
  <c r="A465" i="1"/>
  <c r="B465" i="1"/>
  <c r="A466" i="1"/>
  <c r="B466" i="1"/>
  <c r="A467" i="1"/>
  <c r="B467" i="1"/>
  <c r="A468" i="1"/>
  <c r="B468" i="1"/>
  <c r="A469" i="1"/>
  <c r="B469" i="1"/>
  <c r="A470" i="1"/>
  <c r="B470" i="1"/>
  <c r="A471" i="1"/>
  <c r="B471" i="1"/>
  <c r="A472" i="1"/>
  <c r="B472" i="1"/>
  <c r="A473" i="1"/>
  <c r="B473" i="1"/>
  <c r="A474" i="1"/>
  <c r="B474" i="1"/>
  <c r="A475" i="1"/>
  <c r="B475" i="1"/>
  <c r="A476" i="1"/>
  <c r="B476" i="1"/>
  <c r="A477" i="1"/>
  <c r="B477" i="1"/>
  <c r="A478" i="1"/>
  <c r="B478" i="1"/>
  <c r="A479" i="1"/>
  <c r="B479" i="1"/>
  <c r="A480" i="1"/>
  <c r="B480" i="1"/>
  <c r="A481" i="1"/>
  <c r="B481" i="1"/>
  <c r="A482" i="1"/>
  <c r="B482" i="1"/>
  <c r="A483" i="1"/>
  <c r="B483" i="1"/>
  <c r="A484" i="1"/>
  <c r="B484" i="1"/>
  <c r="A485" i="1"/>
  <c r="B485" i="1"/>
  <c r="A486" i="1"/>
  <c r="B486" i="1"/>
  <c r="A487" i="1"/>
  <c r="B487" i="1"/>
  <c r="A488" i="1"/>
  <c r="B488" i="1"/>
  <c r="A489" i="1"/>
  <c r="B489" i="1"/>
  <c r="A490" i="1"/>
  <c r="B490" i="1"/>
  <c r="A491" i="1"/>
  <c r="B491" i="1"/>
  <c r="A492" i="1"/>
  <c r="B492" i="1"/>
  <c r="A493" i="1"/>
  <c r="B493" i="1"/>
  <c r="A494" i="1"/>
  <c r="B494" i="1"/>
  <c r="A495" i="1"/>
  <c r="B495" i="1"/>
  <c r="A496" i="1"/>
  <c r="B496" i="1"/>
  <c r="A497" i="1"/>
  <c r="B497" i="1"/>
  <c r="A498" i="1"/>
  <c r="B498" i="1"/>
  <c r="A499" i="1"/>
  <c r="B499" i="1"/>
  <c r="A500" i="1"/>
  <c r="B500" i="1"/>
  <c r="A501" i="1"/>
  <c r="B501" i="1"/>
  <c r="A502" i="1"/>
  <c r="B502" i="1"/>
  <c r="A503" i="1"/>
  <c r="B503" i="1"/>
  <c r="A504" i="1"/>
  <c r="B504" i="1"/>
  <c r="A505" i="1"/>
  <c r="B505" i="1"/>
  <c r="A506" i="1"/>
  <c r="B506" i="1"/>
  <c r="A507" i="1"/>
  <c r="B507" i="1"/>
  <c r="A508" i="1"/>
  <c r="B508" i="1"/>
  <c r="A509" i="1"/>
  <c r="B509" i="1"/>
  <c r="A510" i="1"/>
  <c r="B510" i="1"/>
  <c r="A511" i="1"/>
  <c r="B511" i="1"/>
  <c r="A512" i="1"/>
  <c r="B512" i="1"/>
  <c r="A513" i="1"/>
  <c r="B513" i="1"/>
  <c r="A514" i="1"/>
  <c r="B514" i="1"/>
  <c r="A515" i="1"/>
  <c r="B515" i="1"/>
  <c r="A516" i="1"/>
  <c r="B516" i="1"/>
  <c r="A517" i="1"/>
  <c r="B517" i="1"/>
  <c r="A518" i="1"/>
  <c r="B518" i="1"/>
  <c r="A519" i="1"/>
  <c r="B519" i="1"/>
  <c r="A520" i="1"/>
  <c r="B520" i="1"/>
  <c r="A521" i="1"/>
  <c r="B521" i="1"/>
  <c r="A522" i="1"/>
  <c r="B522" i="1"/>
  <c r="A523" i="1"/>
  <c r="B523" i="1"/>
  <c r="A524" i="1"/>
  <c r="B524" i="1"/>
  <c r="A525" i="1"/>
  <c r="B525" i="1"/>
  <c r="A526" i="1"/>
  <c r="B526" i="1"/>
  <c r="A527" i="1"/>
  <c r="B527" i="1"/>
  <c r="A528" i="1"/>
  <c r="B528" i="1"/>
  <c r="A529" i="1"/>
  <c r="B529" i="1"/>
  <c r="A530" i="1"/>
  <c r="B530" i="1"/>
  <c r="A531" i="1"/>
  <c r="B531" i="1"/>
  <c r="A532" i="1"/>
  <c r="B532" i="1"/>
  <c r="A533" i="1"/>
  <c r="B533" i="1"/>
  <c r="A534" i="1"/>
  <c r="B534" i="1"/>
  <c r="A535" i="1"/>
  <c r="B535" i="1"/>
  <c r="A536" i="1"/>
  <c r="B536" i="1"/>
  <c r="A537" i="1"/>
  <c r="B537" i="1"/>
  <c r="A538" i="1"/>
  <c r="B538" i="1"/>
  <c r="A539" i="1"/>
  <c r="B539" i="1"/>
  <c r="A540" i="1"/>
  <c r="B540" i="1"/>
  <c r="A541" i="1"/>
  <c r="B541" i="1"/>
  <c r="A542" i="1"/>
  <c r="B542" i="1"/>
  <c r="A543" i="1"/>
  <c r="B543" i="1"/>
  <c r="A544" i="1"/>
  <c r="B544" i="1"/>
  <c r="A545" i="1"/>
  <c r="B545" i="1"/>
  <c r="A546" i="1"/>
  <c r="B546" i="1"/>
  <c r="A547" i="1"/>
  <c r="B547" i="1"/>
  <c r="A548" i="1"/>
  <c r="B548" i="1"/>
  <c r="A549" i="1"/>
  <c r="B549" i="1"/>
  <c r="A550" i="1"/>
  <c r="B550" i="1"/>
  <c r="A551" i="1"/>
  <c r="B551" i="1"/>
  <c r="A552" i="1"/>
  <c r="B552" i="1"/>
  <c r="A553" i="1"/>
  <c r="B553" i="1"/>
  <c r="A554" i="1"/>
  <c r="B554" i="1"/>
  <c r="A555" i="1"/>
  <c r="B555" i="1"/>
  <c r="A556" i="1"/>
  <c r="B556" i="1"/>
  <c r="A557" i="1"/>
  <c r="B557" i="1"/>
  <c r="A558" i="1"/>
  <c r="B558" i="1"/>
  <c r="A559" i="1"/>
  <c r="B559" i="1"/>
  <c r="A560" i="1"/>
  <c r="B560" i="1"/>
  <c r="A561" i="1"/>
  <c r="B561" i="1"/>
  <c r="A562" i="1"/>
  <c r="B562" i="1"/>
  <c r="A563" i="1"/>
  <c r="B563" i="1"/>
  <c r="A564" i="1"/>
  <c r="B564" i="1"/>
  <c r="A565" i="1"/>
  <c r="B565" i="1"/>
  <c r="A566" i="1"/>
  <c r="B566" i="1"/>
  <c r="A567" i="1"/>
  <c r="B567" i="1"/>
  <c r="A568" i="1"/>
  <c r="B568" i="1"/>
  <c r="A569" i="1"/>
  <c r="B569" i="1"/>
  <c r="A570" i="1"/>
  <c r="B570" i="1"/>
  <c r="A571" i="1"/>
  <c r="B571" i="1"/>
  <c r="A572" i="1"/>
  <c r="B572" i="1"/>
  <c r="A573" i="1"/>
  <c r="B573" i="1"/>
  <c r="A574" i="1"/>
  <c r="B574" i="1"/>
  <c r="A575" i="1"/>
  <c r="B575" i="1"/>
  <c r="A576" i="1"/>
  <c r="B576" i="1"/>
  <c r="A577" i="1"/>
  <c r="B577" i="1"/>
  <c r="A578" i="1"/>
  <c r="B578" i="1"/>
  <c r="A579" i="1"/>
  <c r="B579" i="1"/>
  <c r="A580" i="1"/>
  <c r="B580" i="1"/>
  <c r="A581" i="1"/>
  <c r="B581" i="1"/>
  <c r="A582" i="1"/>
  <c r="B582" i="1"/>
  <c r="A583" i="1"/>
  <c r="B583" i="1"/>
  <c r="A584" i="1"/>
  <c r="B584" i="1"/>
  <c r="A585" i="1"/>
  <c r="B585" i="1"/>
  <c r="A586" i="1"/>
  <c r="B586" i="1"/>
  <c r="A587" i="1"/>
  <c r="B587" i="1"/>
  <c r="A588" i="1"/>
  <c r="B588" i="1"/>
  <c r="A589" i="1"/>
  <c r="B589" i="1"/>
  <c r="A590" i="1"/>
  <c r="B590" i="1"/>
  <c r="A591" i="1"/>
  <c r="B591" i="1"/>
  <c r="A592" i="1"/>
  <c r="B592" i="1"/>
  <c r="A593" i="1"/>
  <c r="B593" i="1"/>
  <c r="A594" i="1"/>
  <c r="B594" i="1"/>
  <c r="A595" i="1"/>
  <c r="B595" i="1"/>
  <c r="A596" i="1"/>
  <c r="B596" i="1"/>
  <c r="A597" i="1"/>
  <c r="B597" i="1"/>
  <c r="A598" i="1"/>
  <c r="B598" i="1"/>
  <c r="A599" i="1"/>
  <c r="B599" i="1"/>
  <c r="A600" i="1"/>
  <c r="B600" i="1"/>
  <c r="A601" i="1"/>
  <c r="B601" i="1"/>
  <c r="A602" i="1"/>
  <c r="B602" i="1"/>
  <c r="A603" i="1"/>
  <c r="B603" i="1"/>
  <c r="A604" i="1"/>
  <c r="B604" i="1"/>
  <c r="A605" i="1"/>
  <c r="B605" i="1"/>
  <c r="A606" i="1"/>
  <c r="B606" i="1"/>
  <c r="A607" i="1"/>
  <c r="B607" i="1"/>
  <c r="A608" i="1"/>
  <c r="B608" i="1"/>
  <c r="A609" i="1"/>
  <c r="B609" i="1"/>
  <c r="A610" i="1"/>
  <c r="B610" i="1"/>
  <c r="A611" i="1"/>
  <c r="B611" i="1"/>
  <c r="A612" i="1"/>
  <c r="B612" i="1"/>
  <c r="A613" i="1"/>
  <c r="B613" i="1"/>
  <c r="A614" i="1"/>
  <c r="B614" i="1"/>
  <c r="A615" i="1"/>
  <c r="B615" i="1"/>
  <c r="A616" i="1"/>
  <c r="B616" i="1"/>
  <c r="A617" i="1"/>
  <c r="B617" i="1"/>
  <c r="A618" i="1"/>
  <c r="B618" i="1"/>
  <c r="A619" i="1"/>
  <c r="B619" i="1"/>
  <c r="A620" i="1"/>
  <c r="B620" i="1"/>
  <c r="A621" i="1"/>
  <c r="B621" i="1"/>
  <c r="A622" i="1"/>
  <c r="B622" i="1"/>
  <c r="A623" i="1"/>
  <c r="B623" i="1"/>
  <c r="A624" i="1"/>
  <c r="B624" i="1"/>
  <c r="A625" i="1"/>
  <c r="B625" i="1"/>
  <c r="A626" i="1"/>
  <c r="B626" i="1"/>
  <c r="A627" i="1"/>
  <c r="B627" i="1"/>
  <c r="A628" i="1"/>
  <c r="B628" i="1"/>
  <c r="A629" i="1"/>
  <c r="B629" i="1"/>
  <c r="A630" i="1"/>
  <c r="B630" i="1"/>
  <c r="A631" i="1"/>
  <c r="B631" i="1"/>
  <c r="A632" i="1"/>
  <c r="B632" i="1"/>
  <c r="A633" i="1"/>
  <c r="B633" i="1"/>
  <c r="A634" i="1"/>
  <c r="B634" i="1"/>
  <c r="A635" i="1"/>
  <c r="B635" i="1"/>
  <c r="A636" i="1"/>
  <c r="B636" i="1"/>
  <c r="A637" i="1"/>
  <c r="B637" i="1"/>
  <c r="A638" i="1"/>
  <c r="B638" i="1"/>
  <c r="A639" i="1"/>
  <c r="B639" i="1"/>
  <c r="A640" i="1"/>
  <c r="B640" i="1"/>
  <c r="A641" i="1"/>
  <c r="B641" i="1"/>
  <c r="A642" i="1"/>
  <c r="B642" i="1"/>
  <c r="A643" i="1"/>
  <c r="B643" i="1"/>
  <c r="A644" i="1"/>
  <c r="B644" i="1"/>
  <c r="A645" i="1"/>
  <c r="B645" i="1"/>
  <c r="A646" i="1"/>
  <c r="B646" i="1"/>
  <c r="A647" i="1"/>
  <c r="B647" i="1"/>
  <c r="A648" i="1"/>
  <c r="B648" i="1"/>
  <c r="A649" i="1"/>
  <c r="B649" i="1"/>
  <c r="A650" i="1"/>
  <c r="B650" i="1"/>
  <c r="A651" i="1"/>
  <c r="B651" i="1"/>
  <c r="A652" i="1"/>
  <c r="B652" i="1"/>
  <c r="A653" i="1"/>
  <c r="B653" i="1"/>
  <c r="A654" i="1"/>
  <c r="B654" i="1"/>
  <c r="A655" i="1"/>
  <c r="B655" i="1"/>
  <c r="A656" i="1"/>
  <c r="B656" i="1"/>
  <c r="A657" i="1"/>
  <c r="B657" i="1"/>
  <c r="A658" i="1"/>
  <c r="B658" i="1"/>
  <c r="A659" i="1"/>
  <c r="B659" i="1"/>
  <c r="A660" i="1"/>
  <c r="B660" i="1"/>
  <c r="A661" i="1"/>
  <c r="B661" i="1"/>
  <c r="A662" i="1"/>
  <c r="B662" i="1"/>
  <c r="A663" i="1"/>
  <c r="B663" i="1"/>
  <c r="A664" i="1"/>
  <c r="B664" i="1"/>
  <c r="A665" i="1"/>
  <c r="B665" i="1"/>
  <c r="A666" i="1"/>
  <c r="B666" i="1"/>
  <c r="A667" i="1"/>
  <c r="B667" i="1"/>
  <c r="A668" i="1"/>
  <c r="B668" i="1"/>
  <c r="A669" i="1"/>
  <c r="B669" i="1"/>
  <c r="A670" i="1"/>
  <c r="B670" i="1"/>
  <c r="A671" i="1"/>
  <c r="B671" i="1"/>
  <c r="A672" i="1"/>
  <c r="B672" i="1"/>
  <c r="A673" i="1"/>
  <c r="B673" i="1"/>
  <c r="A674" i="1"/>
  <c r="B674" i="1"/>
  <c r="A675" i="1"/>
  <c r="B675" i="1"/>
  <c r="A676" i="1"/>
  <c r="B676" i="1"/>
  <c r="A677" i="1"/>
  <c r="B677" i="1"/>
  <c r="A678" i="1"/>
  <c r="B678" i="1"/>
  <c r="A679" i="1"/>
  <c r="B679" i="1"/>
  <c r="A680" i="1"/>
  <c r="B680" i="1"/>
  <c r="A681" i="1"/>
  <c r="B681" i="1"/>
  <c r="A682" i="1"/>
  <c r="B682" i="1"/>
  <c r="A683" i="1"/>
  <c r="B683" i="1"/>
  <c r="A684" i="1"/>
  <c r="B684" i="1"/>
  <c r="A685" i="1"/>
  <c r="B685" i="1"/>
  <c r="A686" i="1"/>
  <c r="B686" i="1"/>
  <c r="A687" i="1"/>
  <c r="B687" i="1"/>
  <c r="A688" i="1"/>
  <c r="B688" i="1"/>
  <c r="A689" i="1"/>
  <c r="B689" i="1"/>
  <c r="A690" i="1"/>
  <c r="B690" i="1"/>
  <c r="A691" i="1"/>
  <c r="B691" i="1"/>
  <c r="A692" i="1"/>
  <c r="B692" i="1"/>
  <c r="A693" i="1"/>
  <c r="B693" i="1"/>
  <c r="A694" i="1"/>
  <c r="B694" i="1"/>
  <c r="A695" i="1"/>
  <c r="B695" i="1"/>
  <c r="A696" i="1"/>
  <c r="B696" i="1"/>
  <c r="A697" i="1"/>
  <c r="B697" i="1"/>
  <c r="A698" i="1"/>
  <c r="B698" i="1"/>
  <c r="A699" i="1"/>
  <c r="B699" i="1"/>
  <c r="A700" i="1"/>
  <c r="B700" i="1"/>
  <c r="A701" i="1"/>
  <c r="B701" i="1"/>
  <c r="A702" i="1"/>
  <c r="B702" i="1"/>
  <c r="A703" i="1"/>
  <c r="B703" i="1"/>
  <c r="A704" i="1"/>
  <c r="B704" i="1"/>
  <c r="A705" i="1"/>
  <c r="B705" i="1"/>
  <c r="A706" i="1"/>
  <c r="B706" i="1"/>
  <c r="A707" i="1"/>
  <c r="B707" i="1"/>
  <c r="A708" i="1"/>
  <c r="B708" i="1"/>
  <c r="A709" i="1"/>
  <c r="B709" i="1"/>
  <c r="A710" i="1"/>
  <c r="B710" i="1"/>
  <c r="A711" i="1"/>
  <c r="B711" i="1"/>
  <c r="A712" i="1"/>
  <c r="B712" i="1"/>
  <c r="A713" i="1"/>
  <c r="B713" i="1"/>
  <c r="A714" i="1"/>
  <c r="B714" i="1"/>
  <c r="A715" i="1"/>
  <c r="B715" i="1"/>
  <c r="A716" i="1"/>
  <c r="B716" i="1"/>
  <c r="A717" i="1"/>
  <c r="B717" i="1"/>
  <c r="A718" i="1"/>
  <c r="B718" i="1"/>
  <c r="A719" i="1"/>
  <c r="B719" i="1"/>
  <c r="A720" i="1"/>
  <c r="B720" i="1"/>
  <c r="A721" i="1"/>
  <c r="B721" i="1"/>
  <c r="A722" i="1"/>
  <c r="B722" i="1"/>
  <c r="A723" i="1"/>
  <c r="B723" i="1"/>
  <c r="A724" i="1"/>
  <c r="B724" i="1"/>
  <c r="A725" i="1"/>
  <c r="B725" i="1"/>
  <c r="A726" i="1"/>
  <c r="B726" i="1"/>
  <c r="A727" i="1"/>
  <c r="B727" i="1"/>
  <c r="A728" i="1"/>
  <c r="B728" i="1"/>
  <c r="A729" i="1"/>
  <c r="B729" i="1"/>
  <c r="A730" i="1"/>
  <c r="B730" i="1"/>
  <c r="A731" i="1"/>
  <c r="B731" i="1"/>
  <c r="A732" i="1"/>
  <c r="B732" i="1"/>
  <c r="A733" i="1"/>
  <c r="B733" i="1"/>
  <c r="A734" i="1"/>
  <c r="B734" i="1"/>
  <c r="A735" i="1"/>
  <c r="B735" i="1"/>
  <c r="A736" i="1"/>
  <c r="B736" i="1"/>
  <c r="A737" i="1"/>
  <c r="B737" i="1"/>
  <c r="A738" i="1"/>
  <c r="B738" i="1"/>
  <c r="A739" i="1"/>
  <c r="B739" i="1"/>
  <c r="A740" i="1"/>
  <c r="B740" i="1"/>
  <c r="A741" i="1"/>
  <c r="B741" i="1"/>
  <c r="A742" i="1"/>
  <c r="B742" i="1"/>
  <c r="A743" i="1"/>
  <c r="B743" i="1"/>
  <c r="A744" i="1"/>
  <c r="B744" i="1"/>
  <c r="A745" i="1"/>
  <c r="B745" i="1"/>
  <c r="A746" i="1"/>
  <c r="B746" i="1"/>
  <c r="A747" i="1"/>
  <c r="B747" i="1"/>
  <c r="A748" i="1"/>
  <c r="B748" i="1"/>
  <c r="A749" i="1"/>
  <c r="B749" i="1"/>
  <c r="A750" i="1"/>
  <c r="B750" i="1"/>
  <c r="A751" i="1"/>
  <c r="B751" i="1"/>
  <c r="A752" i="1"/>
  <c r="B752" i="1"/>
  <c r="A753" i="1"/>
  <c r="B753" i="1"/>
  <c r="A754" i="1"/>
  <c r="B754" i="1"/>
  <c r="A755" i="1"/>
  <c r="B755" i="1"/>
  <c r="A756" i="1"/>
  <c r="B756" i="1"/>
  <c r="A757" i="1"/>
  <c r="B757" i="1"/>
  <c r="A758" i="1"/>
  <c r="B758" i="1"/>
  <c r="A759" i="1"/>
  <c r="B759" i="1"/>
  <c r="A760" i="1"/>
  <c r="B760" i="1"/>
  <c r="A761" i="1"/>
  <c r="B761" i="1"/>
  <c r="A762" i="1"/>
  <c r="B762" i="1"/>
  <c r="A763" i="1"/>
  <c r="B763" i="1"/>
  <c r="A764" i="1"/>
  <c r="B764" i="1"/>
  <c r="A765" i="1"/>
  <c r="B765" i="1"/>
  <c r="A766" i="1"/>
  <c r="B766" i="1"/>
  <c r="A767" i="1"/>
  <c r="B767" i="1"/>
  <c r="A768" i="1"/>
  <c r="B768" i="1"/>
  <c r="A769" i="1"/>
  <c r="B769" i="1"/>
  <c r="A770" i="1"/>
  <c r="B770" i="1"/>
  <c r="A771" i="1"/>
  <c r="B771" i="1"/>
  <c r="A772" i="1"/>
  <c r="B772" i="1"/>
  <c r="A773" i="1"/>
  <c r="B773" i="1"/>
  <c r="A774" i="1"/>
  <c r="B774" i="1"/>
  <c r="A775" i="1"/>
  <c r="B775" i="1"/>
  <c r="A776" i="1"/>
  <c r="B776" i="1"/>
  <c r="A777" i="1"/>
  <c r="B777" i="1"/>
  <c r="A778" i="1"/>
  <c r="B778" i="1"/>
  <c r="A779" i="1"/>
  <c r="B779" i="1"/>
  <c r="A780" i="1"/>
  <c r="B780" i="1"/>
  <c r="A781" i="1"/>
  <c r="B781" i="1"/>
  <c r="A782" i="1"/>
  <c r="B782" i="1"/>
  <c r="A783" i="1"/>
  <c r="B783" i="1"/>
  <c r="A784" i="1"/>
  <c r="B784" i="1"/>
  <c r="A785" i="1"/>
  <c r="B785" i="1"/>
  <c r="A786" i="1"/>
  <c r="B786" i="1"/>
  <c r="A787" i="1"/>
  <c r="B787" i="1"/>
  <c r="A788" i="1"/>
  <c r="B788" i="1"/>
  <c r="A789" i="1"/>
  <c r="B789" i="1"/>
  <c r="A790" i="1"/>
  <c r="B790" i="1"/>
  <c r="A791" i="1"/>
  <c r="B791" i="1"/>
  <c r="A792" i="1"/>
  <c r="B792" i="1"/>
  <c r="A793" i="1"/>
  <c r="B793" i="1"/>
  <c r="A794" i="1"/>
  <c r="B794" i="1"/>
  <c r="A795" i="1"/>
  <c r="B795" i="1"/>
  <c r="A796" i="1"/>
  <c r="B796" i="1"/>
  <c r="A797" i="1"/>
  <c r="B797" i="1"/>
  <c r="A798" i="1"/>
  <c r="B798" i="1"/>
  <c r="A799" i="1"/>
  <c r="B799" i="1"/>
  <c r="A800" i="1"/>
  <c r="B800" i="1"/>
  <c r="A801" i="1"/>
  <c r="B801" i="1"/>
  <c r="A802" i="1"/>
  <c r="B802" i="1"/>
  <c r="A803" i="1"/>
  <c r="B803" i="1"/>
  <c r="A804" i="1"/>
  <c r="B804" i="1"/>
  <c r="A805" i="1"/>
  <c r="B805" i="1"/>
  <c r="A806" i="1"/>
  <c r="B806" i="1"/>
  <c r="A807" i="1"/>
  <c r="B807" i="1"/>
  <c r="A808" i="1"/>
  <c r="B808" i="1"/>
  <c r="A809" i="1"/>
  <c r="B809" i="1"/>
  <c r="A810" i="1"/>
  <c r="B810" i="1"/>
  <c r="A811" i="1"/>
  <c r="B811" i="1"/>
  <c r="A812" i="1"/>
  <c r="B812" i="1"/>
  <c r="A813" i="1"/>
  <c r="B813" i="1"/>
  <c r="A814" i="1"/>
  <c r="B814" i="1"/>
  <c r="A815" i="1"/>
  <c r="B815" i="1"/>
  <c r="A816" i="1"/>
  <c r="B816" i="1"/>
  <c r="A817" i="1"/>
  <c r="B817" i="1"/>
  <c r="A818" i="1"/>
  <c r="B818" i="1"/>
  <c r="A819" i="1"/>
  <c r="B819" i="1"/>
  <c r="A820" i="1"/>
  <c r="B820" i="1"/>
  <c r="A821" i="1"/>
  <c r="B821" i="1"/>
  <c r="A822" i="1"/>
  <c r="B822" i="1"/>
  <c r="A823" i="1"/>
  <c r="B823" i="1"/>
  <c r="A824" i="1"/>
  <c r="B824" i="1"/>
  <c r="A825" i="1"/>
  <c r="B825" i="1"/>
  <c r="A826" i="1"/>
  <c r="B826" i="1"/>
  <c r="A827" i="1"/>
  <c r="B827" i="1"/>
  <c r="A828" i="1"/>
  <c r="B828" i="1"/>
  <c r="A829" i="1"/>
  <c r="B829" i="1"/>
  <c r="A830" i="1"/>
  <c r="B830" i="1"/>
  <c r="A831" i="1"/>
  <c r="B831" i="1"/>
  <c r="A832" i="1"/>
  <c r="B832" i="1"/>
  <c r="A833" i="1"/>
  <c r="B833" i="1"/>
  <c r="A834" i="1"/>
  <c r="B834" i="1"/>
  <c r="A835" i="1"/>
  <c r="B835" i="1"/>
  <c r="A836" i="1"/>
  <c r="B836" i="1"/>
  <c r="A837" i="1"/>
  <c r="B837" i="1"/>
  <c r="A838" i="1"/>
  <c r="B838" i="1"/>
  <c r="A839" i="1"/>
  <c r="B839" i="1"/>
  <c r="A840" i="1"/>
  <c r="B840" i="1"/>
  <c r="A841" i="1"/>
  <c r="B841" i="1"/>
  <c r="A842" i="1"/>
  <c r="B842" i="1"/>
  <c r="A843" i="1"/>
  <c r="B843" i="1"/>
  <c r="A844" i="1"/>
  <c r="B844" i="1"/>
  <c r="A845" i="1"/>
  <c r="B845" i="1"/>
  <c r="A846" i="1"/>
  <c r="B846" i="1"/>
  <c r="A847" i="1"/>
  <c r="B847" i="1"/>
  <c r="A848" i="1"/>
  <c r="B848" i="1"/>
  <c r="A849" i="1"/>
  <c r="B849" i="1"/>
  <c r="A850" i="1"/>
  <c r="B850" i="1"/>
  <c r="A851" i="1"/>
  <c r="B851" i="1"/>
  <c r="A852" i="1"/>
  <c r="B852" i="1"/>
  <c r="A853" i="1"/>
  <c r="B853" i="1"/>
  <c r="A854" i="1"/>
  <c r="B854" i="1"/>
  <c r="A855" i="1"/>
  <c r="B855" i="1"/>
  <c r="A856" i="1"/>
  <c r="B856" i="1"/>
  <c r="A857" i="1"/>
  <c r="B857" i="1"/>
  <c r="A858" i="1"/>
  <c r="B858" i="1"/>
  <c r="A859" i="1"/>
  <c r="B859" i="1"/>
  <c r="A860" i="1"/>
  <c r="B860" i="1"/>
  <c r="A861" i="1"/>
  <c r="B861" i="1"/>
  <c r="A862" i="1"/>
  <c r="B862" i="1"/>
  <c r="A863" i="1"/>
  <c r="B863" i="1"/>
  <c r="A864" i="1"/>
  <c r="B864" i="1"/>
  <c r="A865" i="1"/>
  <c r="B865" i="1"/>
  <c r="A866" i="1"/>
  <c r="B866" i="1"/>
  <c r="A867" i="1"/>
  <c r="B867" i="1"/>
  <c r="A868" i="1"/>
  <c r="B868" i="1"/>
  <c r="A869" i="1"/>
  <c r="B869" i="1"/>
  <c r="A870" i="1"/>
  <c r="B870" i="1"/>
  <c r="A871" i="1"/>
  <c r="B871" i="1"/>
  <c r="A872" i="1"/>
  <c r="B872" i="1"/>
  <c r="A873" i="1"/>
  <c r="B873" i="1"/>
  <c r="A874" i="1"/>
  <c r="B874" i="1"/>
  <c r="A875" i="1"/>
  <c r="B875" i="1"/>
  <c r="A876" i="1"/>
  <c r="B876" i="1"/>
  <c r="A877" i="1"/>
  <c r="B877" i="1"/>
  <c r="A878" i="1"/>
  <c r="B878" i="1"/>
  <c r="A879" i="1"/>
  <c r="B879" i="1"/>
  <c r="A880" i="1"/>
  <c r="B880" i="1"/>
  <c r="A881" i="1"/>
  <c r="B881" i="1"/>
  <c r="A882" i="1"/>
  <c r="B882" i="1"/>
  <c r="A883" i="1"/>
  <c r="B883" i="1"/>
  <c r="A884" i="1"/>
  <c r="B884" i="1"/>
  <c r="A885" i="1"/>
  <c r="B885" i="1"/>
  <c r="A886" i="1"/>
  <c r="B886" i="1"/>
  <c r="A887" i="1"/>
  <c r="B887" i="1"/>
  <c r="A888" i="1"/>
  <c r="B888" i="1"/>
  <c r="A889" i="1"/>
  <c r="B889" i="1"/>
  <c r="A890" i="1"/>
  <c r="B890" i="1"/>
  <c r="A891" i="1"/>
  <c r="B891" i="1"/>
  <c r="A892" i="1"/>
  <c r="B892" i="1"/>
  <c r="A893" i="1"/>
  <c r="B893" i="1"/>
  <c r="A894" i="1"/>
  <c r="B894" i="1"/>
  <c r="A895" i="1"/>
  <c r="B895" i="1"/>
  <c r="A896" i="1"/>
  <c r="B896" i="1"/>
  <c r="A897" i="1"/>
  <c r="B897" i="1"/>
  <c r="A898" i="1"/>
  <c r="B898" i="1"/>
  <c r="A899" i="1"/>
  <c r="B899" i="1"/>
  <c r="A900" i="1"/>
  <c r="B900" i="1"/>
  <c r="A901" i="1"/>
  <c r="B901" i="1"/>
  <c r="A902" i="1"/>
  <c r="B902" i="1"/>
  <c r="A903" i="1"/>
  <c r="B903" i="1"/>
  <c r="A904" i="1"/>
  <c r="B904" i="1"/>
  <c r="A905" i="1"/>
  <c r="B905" i="1"/>
  <c r="A906" i="1"/>
  <c r="B906" i="1"/>
  <c r="A907" i="1"/>
  <c r="B907" i="1"/>
  <c r="A908" i="1"/>
  <c r="B908" i="1"/>
  <c r="A909" i="1"/>
  <c r="B909" i="1"/>
  <c r="A910" i="1"/>
  <c r="B910" i="1"/>
  <c r="A911" i="1"/>
  <c r="B911" i="1"/>
  <c r="A912" i="1"/>
  <c r="B912" i="1"/>
  <c r="A913" i="1"/>
  <c r="B913" i="1"/>
  <c r="A914" i="1"/>
  <c r="B914" i="1"/>
  <c r="A915" i="1"/>
  <c r="B915" i="1"/>
  <c r="A916" i="1"/>
  <c r="B916" i="1"/>
  <c r="A917" i="1"/>
  <c r="B917" i="1"/>
  <c r="A918" i="1"/>
  <c r="B918" i="1"/>
  <c r="A919" i="1"/>
  <c r="B919" i="1"/>
  <c r="A920" i="1"/>
  <c r="B920" i="1"/>
  <c r="A921" i="1"/>
  <c r="B921" i="1"/>
  <c r="A922" i="1"/>
  <c r="B922" i="1"/>
  <c r="A923" i="1"/>
  <c r="B923" i="1"/>
  <c r="A924" i="1"/>
  <c r="B924" i="1"/>
  <c r="A925" i="1"/>
  <c r="B925" i="1"/>
  <c r="A926" i="1"/>
  <c r="B926" i="1"/>
  <c r="A927" i="1"/>
  <c r="B927" i="1"/>
  <c r="A928" i="1"/>
  <c r="B928" i="1"/>
  <c r="A929" i="1"/>
  <c r="B929" i="1"/>
  <c r="A930" i="1"/>
  <c r="B930" i="1"/>
  <c r="A931" i="1"/>
  <c r="B931" i="1"/>
  <c r="A932" i="1"/>
  <c r="B932" i="1"/>
  <c r="A933" i="1"/>
  <c r="B933" i="1"/>
  <c r="A934" i="1"/>
  <c r="B934" i="1"/>
  <c r="A935" i="1"/>
  <c r="B935" i="1"/>
  <c r="A936" i="1"/>
  <c r="B936" i="1"/>
  <c r="A937" i="1"/>
  <c r="B937" i="1"/>
  <c r="A938" i="1"/>
  <c r="B938" i="1"/>
  <c r="A939" i="1"/>
  <c r="B939" i="1"/>
  <c r="A940" i="1"/>
  <c r="B940" i="1"/>
  <c r="A941" i="1"/>
  <c r="B941" i="1"/>
  <c r="A942" i="1"/>
  <c r="B942" i="1"/>
  <c r="A943" i="1"/>
  <c r="B943" i="1"/>
  <c r="A944" i="1"/>
  <c r="B944" i="1"/>
  <c r="A945" i="1"/>
  <c r="B945" i="1"/>
  <c r="A946" i="1"/>
  <c r="B946" i="1"/>
  <c r="A947" i="1"/>
  <c r="B947" i="1"/>
  <c r="A948" i="1"/>
  <c r="B948" i="1"/>
  <c r="A949" i="1"/>
  <c r="B949" i="1"/>
  <c r="A950" i="1"/>
  <c r="B950" i="1"/>
  <c r="A951" i="1"/>
  <c r="B951" i="1"/>
  <c r="A952" i="1"/>
  <c r="B952" i="1"/>
  <c r="A953" i="1"/>
  <c r="B953" i="1"/>
  <c r="A954" i="1"/>
  <c r="B954" i="1"/>
  <c r="A955" i="1"/>
  <c r="B955" i="1"/>
  <c r="A956" i="1"/>
  <c r="B956" i="1"/>
  <c r="A957" i="1"/>
  <c r="B957" i="1"/>
  <c r="A958" i="1"/>
  <c r="B958" i="1"/>
  <c r="A959" i="1"/>
  <c r="B959" i="1"/>
  <c r="A960" i="1"/>
  <c r="B960" i="1"/>
  <c r="A961" i="1"/>
  <c r="B961" i="1"/>
  <c r="A962" i="1"/>
  <c r="B962" i="1"/>
  <c r="A963" i="1"/>
  <c r="B963" i="1"/>
  <c r="A964" i="1"/>
  <c r="B964" i="1"/>
  <c r="A965" i="1"/>
  <c r="B965" i="1"/>
  <c r="A966" i="1"/>
  <c r="B966" i="1"/>
  <c r="A967" i="1"/>
  <c r="B967" i="1"/>
  <c r="A968" i="1"/>
  <c r="B968" i="1"/>
  <c r="A969" i="1"/>
  <c r="B969" i="1"/>
  <c r="A970" i="1"/>
  <c r="B970" i="1"/>
  <c r="A971" i="1"/>
  <c r="B971" i="1"/>
  <c r="A972" i="1"/>
  <c r="B972" i="1"/>
  <c r="A973" i="1"/>
  <c r="B973" i="1"/>
  <c r="A974" i="1"/>
  <c r="B974" i="1"/>
  <c r="A975" i="1"/>
  <c r="B975" i="1"/>
  <c r="A976" i="1"/>
  <c r="B976" i="1"/>
  <c r="A977" i="1"/>
  <c r="B977" i="1"/>
  <c r="A978" i="1"/>
  <c r="B978" i="1"/>
  <c r="A979" i="1"/>
  <c r="B979" i="1"/>
  <c r="A980" i="1"/>
  <c r="B980" i="1"/>
  <c r="A981" i="1"/>
  <c r="B981" i="1"/>
  <c r="A982" i="1"/>
  <c r="B982" i="1"/>
  <c r="A983" i="1"/>
  <c r="B983" i="1"/>
  <c r="A984" i="1"/>
  <c r="B984" i="1"/>
  <c r="A985" i="1"/>
  <c r="B985" i="1"/>
  <c r="A986" i="1"/>
  <c r="B986" i="1"/>
  <c r="A987" i="1"/>
  <c r="B987" i="1"/>
  <c r="A988" i="1"/>
  <c r="B988" i="1"/>
  <c r="A989" i="1"/>
  <c r="B989" i="1"/>
  <c r="A990" i="1"/>
  <c r="B990" i="1"/>
  <c r="A991" i="1"/>
  <c r="B991" i="1"/>
  <c r="A992" i="1"/>
  <c r="B992" i="1"/>
  <c r="A993" i="1"/>
  <c r="B993" i="1"/>
  <c r="A994" i="1"/>
  <c r="B994" i="1"/>
  <c r="A995" i="1"/>
  <c r="B995" i="1"/>
  <c r="A996" i="1"/>
  <c r="B996" i="1"/>
  <c r="A997" i="1"/>
  <c r="B997" i="1"/>
  <c r="A998" i="1"/>
  <c r="B998" i="1"/>
  <c r="A999" i="1"/>
  <c r="B999" i="1"/>
  <c r="A1000" i="1"/>
  <c r="B1000" i="1"/>
  <c r="A1001" i="1"/>
  <c r="B1001" i="1"/>
  <c r="A1002" i="1"/>
  <c r="B1002" i="1"/>
  <c r="A1003" i="1"/>
  <c r="B1003" i="1"/>
  <c r="A1004" i="1"/>
  <c r="B1004" i="1"/>
  <c r="A1005" i="1"/>
  <c r="B1005" i="1"/>
  <c r="A1006" i="1"/>
  <c r="B1006" i="1"/>
  <c r="A1007" i="1"/>
  <c r="B1007" i="1"/>
  <c r="A1008" i="1"/>
  <c r="B1008" i="1"/>
  <c r="A1009" i="1"/>
  <c r="B1009" i="1"/>
  <c r="A1010" i="1"/>
  <c r="B1010" i="1"/>
  <c r="A1011" i="1"/>
  <c r="B1011" i="1"/>
  <c r="A1012" i="1"/>
  <c r="B1012" i="1"/>
  <c r="A1013" i="1"/>
  <c r="B1013" i="1"/>
  <c r="A1014" i="1"/>
  <c r="B1014" i="1"/>
  <c r="A1015" i="1"/>
  <c r="B1015" i="1"/>
  <c r="A1016" i="1"/>
  <c r="B1016" i="1"/>
  <c r="A1017" i="1"/>
  <c r="B1017" i="1"/>
  <c r="A1018" i="1"/>
  <c r="B1018" i="1"/>
  <c r="A1019" i="1"/>
  <c r="B1019" i="1"/>
  <c r="A1020" i="1"/>
  <c r="B1020" i="1"/>
  <c r="A1021" i="1"/>
  <c r="B1021" i="1"/>
  <c r="A1022" i="1"/>
  <c r="B1022" i="1"/>
  <c r="A1023" i="1"/>
  <c r="B1023" i="1"/>
  <c r="A1024" i="1"/>
  <c r="B1024" i="1"/>
  <c r="A1025" i="1"/>
  <c r="B1025" i="1"/>
  <c r="A1026" i="1"/>
  <c r="B1026" i="1"/>
  <c r="A1027" i="1"/>
  <c r="B1027" i="1"/>
  <c r="A1028" i="1"/>
  <c r="B1028" i="1"/>
  <c r="A1029" i="1"/>
  <c r="B1029" i="1"/>
  <c r="A1030" i="1"/>
  <c r="B1030" i="1"/>
  <c r="A1031" i="1"/>
  <c r="B1031" i="1"/>
  <c r="A1032" i="1"/>
  <c r="B1032" i="1"/>
  <c r="A1033" i="1"/>
  <c r="B1033" i="1"/>
  <c r="A1034" i="1"/>
  <c r="B1034" i="1"/>
  <c r="A1035" i="1"/>
  <c r="B1035" i="1"/>
  <c r="A1036" i="1"/>
  <c r="B1036" i="1"/>
  <c r="A1037" i="1"/>
  <c r="B1037" i="1"/>
  <c r="A1038" i="1"/>
  <c r="B1038" i="1"/>
  <c r="A1039" i="1"/>
  <c r="B1039" i="1"/>
  <c r="A1040" i="1"/>
  <c r="B1040" i="1"/>
  <c r="A1041" i="1"/>
  <c r="B1041" i="1"/>
  <c r="A1042" i="1"/>
  <c r="B1042" i="1"/>
  <c r="A1043" i="1"/>
  <c r="B1043" i="1"/>
  <c r="A1044" i="1"/>
  <c r="B1044" i="1"/>
  <c r="A1045" i="1"/>
  <c r="B1045" i="1"/>
  <c r="A1046" i="1"/>
  <c r="B1046" i="1"/>
  <c r="A1047" i="1"/>
  <c r="B1047" i="1"/>
  <c r="A1048" i="1"/>
  <c r="B1048" i="1"/>
  <c r="A1049" i="1"/>
  <c r="B1049" i="1"/>
  <c r="A1050" i="1"/>
  <c r="B1050" i="1"/>
  <c r="A1051" i="1"/>
  <c r="B1051" i="1"/>
  <c r="A1052" i="1"/>
  <c r="B1052" i="1"/>
  <c r="A1053" i="1"/>
  <c r="B1053" i="1"/>
  <c r="A1054" i="1"/>
  <c r="B1054" i="1"/>
  <c r="A1055" i="1"/>
  <c r="B1055" i="1"/>
  <c r="A1056" i="1"/>
  <c r="B1056" i="1"/>
  <c r="A1057" i="1"/>
  <c r="B1057" i="1"/>
  <c r="A1058" i="1"/>
  <c r="B1058" i="1"/>
  <c r="A1059" i="1"/>
  <c r="B1059" i="1"/>
  <c r="A1060" i="1"/>
  <c r="B1060" i="1"/>
  <c r="A1061" i="1"/>
  <c r="B1061" i="1"/>
  <c r="A1062" i="1"/>
  <c r="B1062" i="1"/>
  <c r="A1063" i="1"/>
  <c r="B1063" i="1"/>
  <c r="A1064" i="1"/>
  <c r="B1064" i="1"/>
  <c r="A1065" i="1"/>
  <c r="B1065" i="1"/>
  <c r="A1066" i="1"/>
  <c r="B1066" i="1"/>
  <c r="A1067" i="1"/>
  <c r="B1067" i="1"/>
  <c r="A1068" i="1"/>
  <c r="B1068" i="1"/>
  <c r="A1069" i="1"/>
  <c r="B1069" i="1"/>
  <c r="A1070" i="1"/>
  <c r="B1070" i="1"/>
  <c r="A1071" i="1"/>
  <c r="B1071" i="1"/>
  <c r="A1072" i="1"/>
  <c r="B1072" i="1"/>
  <c r="A1073" i="1"/>
  <c r="B1073" i="1"/>
  <c r="A1074" i="1"/>
  <c r="B1074" i="1"/>
  <c r="A1075" i="1"/>
  <c r="B1075" i="1"/>
  <c r="A1076" i="1"/>
  <c r="B1076" i="1"/>
  <c r="A1077" i="1"/>
  <c r="B1077" i="1"/>
  <c r="A1078" i="1"/>
  <c r="B1078" i="1"/>
  <c r="A1079" i="1"/>
  <c r="B1079" i="1"/>
  <c r="A1080" i="1"/>
  <c r="B1080" i="1"/>
  <c r="A1081" i="1"/>
  <c r="B1081" i="1"/>
  <c r="A1082" i="1"/>
  <c r="B1082" i="1"/>
  <c r="A1083" i="1"/>
  <c r="B1083" i="1"/>
  <c r="A1084" i="1"/>
  <c r="B1084" i="1"/>
  <c r="A1085" i="1"/>
  <c r="B1085" i="1"/>
  <c r="A1086" i="1"/>
  <c r="B1086" i="1"/>
  <c r="A1087" i="1"/>
  <c r="B1087" i="1"/>
  <c r="A1088" i="1"/>
  <c r="B1088" i="1"/>
  <c r="A1089" i="1"/>
  <c r="B1089" i="1"/>
  <c r="A1090" i="1"/>
  <c r="B1090" i="1"/>
  <c r="A1091" i="1"/>
  <c r="B1091" i="1"/>
  <c r="A1092" i="1"/>
  <c r="B1092" i="1"/>
  <c r="A1093" i="1"/>
  <c r="B1093" i="1"/>
  <c r="A1094" i="1"/>
  <c r="B1094" i="1"/>
  <c r="A1095" i="1"/>
  <c r="B1095" i="1"/>
  <c r="A1096" i="1"/>
  <c r="B1096" i="1"/>
  <c r="A1097" i="1"/>
  <c r="B1097" i="1"/>
  <c r="A1098" i="1"/>
  <c r="B1098" i="1"/>
  <c r="A1099" i="1"/>
  <c r="B1099" i="1"/>
  <c r="A1100" i="1"/>
  <c r="B1100" i="1"/>
  <c r="A1101" i="1"/>
  <c r="B1101" i="1"/>
  <c r="A1102" i="1"/>
  <c r="B1102" i="1"/>
  <c r="A1103" i="1"/>
  <c r="B1103" i="1"/>
  <c r="A1104" i="1"/>
  <c r="B1104" i="1"/>
  <c r="A1105" i="1"/>
  <c r="B1105" i="1"/>
  <c r="A1106" i="1"/>
  <c r="B1106" i="1"/>
  <c r="A1107" i="1"/>
  <c r="B1107" i="1"/>
  <c r="A1108" i="1"/>
  <c r="B1108" i="1"/>
  <c r="A1109" i="1"/>
  <c r="B1109" i="1"/>
  <c r="A1110" i="1"/>
  <c r="B1110" i="1"/>
  <c r="A1111" i="1"/>
  <c r="B1111" i="1"/>
  <c r="A1112" i="1"/>
  <c r="B1112" i="1"/>
  <c r="A1113" i="1"/>
  <c r="B1113" i="1"/>
  <c r="A1114" i="1"/>
  <c r="B1114" i="1"/>
  <c r="A1115" i="1"/>
  <c r="B1115" i="1"/>
  <c r="A1116" i="1"/>
  <c r="B1116" i="1"/>
  <c r="A1117" i="1"/>
  <c r="B1117" i="1"/>
  <c r="A1118" i="1"/>
  <c r="B1118" i="1"/>
  <c r="A1119" i="1"/>
  <c r="B1119" i="1"/>
  <c r="A1120" i="1"/>
  <c r="B1120" i="1"/>
  <c r="A1121" i="1"/>
  <c r="B1121" i="1"/>
  <c r="A1122" i="1"/>
  <c r="B1122" i="1"/>
  <c r="A1123" i="1"/>
  <c r="B1123" i="1"/>
  <c r="A1124" i="1"/>
  <c r="B1124" i="1"/>
  <c r="A1125" i="1"/>
  <c r="B1125" i="1"/>
  <c r="A1126" i="1"/>
  <c r="B1126" i="1"/>
  <c r="A1127" i="1"/>
  <c r="B1127" i="1"/>
  <c r="A1128" i="1"/>
  <c r="B1128" i="1"/>
  <c r="A1129" i="1"/>
  <c r="B1129" i="1"/>
  <c r="A1130" i="1"/>
  <c r="B1130" i="1"/>
  <c r="A1131" i="1"/>
  <c r="B1131" i="1"/>
  <c r="A1132" i="1"/>
  <c r="B1132" i="1"/>
  <c r="A1133" i="1"/>
  <c r="B1133" i="1"/>
  <c r="A1134" i="1"/>
  <c r="B1134" i="1"/>
  <c r="A1135" i="1"/>
  <c r="B1135" i="1"/>
  <c r="A1136" i="1"/>
  <c r="B1136" i="1"/>
  <c r="A1137" i="1"/>
  <c r="B1137" i="1"/>
  <c r="A1138" i="1"/>
  <c r="B1138" i="1"/>
  <c r="A1139" i="1"/>
  <c r="B1139" i="1"/>
  <c r="A1140" i="1"/>
  <c r="B1140" i="1"/>
  <c r="A1141" i="1"/>
  <c r="B1141" i="1"/>
  <c r="A1142" i="1"/>
  <c r="B1142" i="1"/>
  <c r="A1143" i="1"/>
  <c r="B1143" i="1"/>
  <c r="A1144" i="1"/>
  <c r="B1144" i="1"/>
  <c r="A1145" i="1"/>
  <c r="B1145" i="1"/>
  <c r="A1146" i="1"/>
  <c r="B1146" i="1"/>
  <c r="A1147" i="1"/>
  <c r="B1147" i="1"/>
  <c r="A1148" i="1"/>
  <c r="B1148" i="1"/>
  <c r="A1149" i="1"/>
  <c r="B1149" i="1"/>
  <c r="A1150" i="1"/>
  <c r="B1150" i="1"/>
  <c r="A1151" i="1"/>
  <c r="B1151" i="1"/>
  <c r="A1152" i="1"/>
  <c r="B1152" i="1"/>
  <c r="A1153" i="1"/>
  <c r="B1153" i="1"/>
  <c r="A1154" i="1"/>
  <c r="B1154" i="1"/>
  <c r="A1155" i="1"/>
  <c r="B1155" i="1"/>
  <c r="A1156" i="1"/>
  <c r="B1156" i="1"/>
  <c r="A1157" i="1"/>
  <c r="B1157" i="1"/>
  <c r="A1158" i="1"/>
  <c r="B1158" i="1"/>
  <c r="A1159" i="1"/>
  <c r="B1159" i="1"/>
  <c r="A1160" i="1"/>
  <c r="B1160" i="1"/>
  <c r="A1161" i="1"/>
  <c r="B1161" i="1"/>
  <c r="A1162" i="1"/>
  <c r="B1162" i="1"/>
  <c r="A1163" i="1"/>
  <c r="B1163" i="1"/>
  <c r="A1164" i="1"/>
  <c r="B1164" i="1"/>
  <c r="A1165" i="1"/>
  <c r="B1165" i="1"/>
  <c r="A1166" i="1"/>
  <c r="B1166" i="1"/>
  <c r="A1167" i="1"/>
  <c r="B1167" i="1"/>
  <c r="A1168" i="1"/>
  <c r="B1168" i="1"/>
  <c r="A1169" i="1"/>
  <c r="B1169" i="1"/>
  <c r="A1170" i="1"/>
  <c r="B1170" i="1"/>
  <c r="A1171" i="1"/>
  <c r="B1171" i="1"/>
  <c r="A1172" i="1"/>
  <c r="B1172" i="1"/>
  <c r="A1173" i="1"/>
  <c r="B1173" i="1"/>
  <c r="A1174" i="1"/>
  <c r="B1174" i="1"/>
  <c r="A1175" i="1"/>
  <c r="B1175" i="1"/>
  <c r="A1176" i="1"/>
  <c r="B1176" i="1"/>
  <c r="A1177" i="1"/>
  <c r="B1177" i="1"/>
  <c r="A1178" i="1"/>
  <c r="B1178" i="1"/>
  <c r="A1179" i="1"/>
  <c r="B1179" i="1"/>
  <c r="A1180" i="1"/>
  <c r="B1180" i="1"/>
  <c r="A1181" i="1"/>
  <c r="B1181" i="1"/>
  <c r="A1182" i="1"/>
  <c r="B1182" i="1"/>
  <c r="A1183" i="1"/>
  <c r="B1183" i="1"/>
  <c r="A1184" i="1"/>
  <c r="B1184" i="1"/>
  <c r="A1185" i="1"/>
  <c r="B1185" i="1"/>
  <c r="A1186" i="1"/>
  <c r="B1186" i="1"/>
  <c r="A1187" i="1"/>
  <c r="B1187" i="1"/>
  <c r="A1188" i="1"/>
  <c r="B1188" i="1"/>
  <c r="A1189" i="1"/>
  <c r="B1189" i="1"/>
  <c r="A1190" i="1"/>
  <c r="B1190" i="1"/>
  <c r="A1191" i="1"/>
  <c r="B1191" i="1"/>
  <c r="A1192" i="1"/>
  <c r="B1192" i="1"/>
  <c r="A1193" i="1"/>
  <c r="B1193" i="1"/>
  <c r="A1194" i="1"/>
  <c r="B1194" i="1"/>
  <c r="A1195" i="1"/>
  <c r="B1195" i="1"/>
  <c r="A1196" i="1"/>
  <c r="B1196" i="1"/>
  <c r="A1197" i="1"/>
  <c r="B1197" i="1"/>
  <c r="A1198" i="1"/>
  <c r="B1198" i="1"/>
  <c r="A1199" i="1"/>
  <c r="B1199" i="1"/>
  <c r="A1200" i="1"/>
  <c r="B1200" i="1"/>
  <c r="A1201" i="1"/>
  <c r="B1201" i="1"/>
  <c r="A1202" i="1"/>
  <c r="B1202" i="1"/>
  <c r="A1203" i="1"/>
  <c r="B1203" i="1"/>
  <c r="A1204" i="1"/>
  <c r="B1204" i="1"/>
  <c r="A1205" i="1"/>
  <c r="B1205" i="1"/>
  <c r="A1206" i="1"/>
  <c r="B1206" i="1"/>
  <c r="A1207" i="1"/>
  <c r="B1207" i="1"/>
  <c r="A1208" i="1"/>
  <c r="B1208" i="1"/>
  <c r="A1209" i="1"/>
  <c r="B1209" i="1"/>
  <c r="A1210" i="1"/>
  <c r="B1210" i="1"/>
  <c r="A1211" i="1"/>
  <c r="B1211" i="1"/>
  <c r="A1212" i="1"/>
  <c r="B1212" i="1"/>
  <c r="A1213" i="1"/>
  <c r="B1213" i="1"/>
  <c r="A1214" i="1"/>
  <c r="B1214" i="1"/>
  <c r="A1215" i="1"/>
  <c r="B1215" i="1"/>
  <c r="A1216" i="1"/>
  <c r="B1216" i="1"/>
  <c r="A1217" i="1"/>
  <c r="B1217" i="1"/>
  <c r="A1218" i="1"/>
  <c r="B1218" i="1"/>
  <c r="A1219" i="1"/>
  <c r="B1219" i="1"/>
  <c r="A1220" i="1"/>
  <c r="B1220" i="1"/>
  <c r="A1221" i="1"/>
  <c r="B1221" i="1"/>
  <c r="A1222" i="1"/>
  <c r="B1222" i="1"/>
  <c r="A1223" i="1"/>
  <c r="B1223" i="1"/>
  <c r="A1224" i="1"/>
  <c r="B1224" i="1"/>
  <c r="A1225" i="1"/>
  <c r="B1225" i="1"/>
  <c r="A1226" i="1"/>
  <c r="B1226" i="1"/>
  <c r="A1227" i="1"/>
  <c r="B1227" i="1"/>
  <c r="A1228" i="1"/>
  <c r="B1228" i="1"/>
  <c r="A1229" i="1"/>
  <c r="B1229" i="1"/>
  <c r="A1230" i="1"/>
  <c r="B1230" i="1"/>
  <c r="A1231" i="1"/>
  <c r="B1231" i="1"/>
  <c r="A1232" i="1"/>
  <c r="B1232" i="1"/>
  <c r="A1233" i="1"/>
  <c r="B1233" i="1"/>
  <c r="A1234" i="1"/>
  <c r="B1234" i="1"/>
  <c r="A1235" i="1"/>
  <c r="B1235" i="1"/>
  <c r="A1236" i="1"/>
  <c r="B1236" i="1"/>
  <c r="A1237" i="1"/>
  <c r="B1237" i="1"/>
  <c r="A1238" i="1"/>
  <c r="B1238" i="1"/>
  <c r="A1239" i="1"/>
  <c r="B1239" i="1"/>
  <c r="A1240" i="1"/>
  <c r="B1240" i="1"/>
  <c r="A1241" i="1"/>
  <c r="B1241" i="1"/>
  <c r="A1242" i="1"/>
  <c r="B1242" i="1"/>
  <c r="A1243" i="1"/>
  <c r="B1243" i="1"/>
  <c r="A1244" i="1"/>
  <c r="B1244" i="1"/>
  <c r="A1245" i="1"/>
  <c r="B1245" i="1"/>
  <c r="A1246" i="1"/>
  <c r="B1246" i="1"/>
  <c r="A1247" i="1"/>
  <c r="B1247" i="1"/>
  <c r="A1248" i="1"/>
  <c r="B1248" i="1"/>
  <c r="A1249" i="1"/>
  <c r="B1249" i="1"/>
  <c r="A1250" i="1"/>
  <c r="B1250" i="1"/>
  <c r="A1251" i="1"/>
  <c r="B1251" i="1"/>
  <c r="A1252" i="1"/>
  <c r="B1252" i="1"/>
  <c r="A1253" i="1"/>
  <c r="B1253" i="1"/>
  <c r="A1254" i="1"/>
  <c r="B1254" i="1"/>
  <c r="A1255" i="1"/>
  <c r="B1255" i="1"/>
  <c r="A1256" i="1"/>
  <c r="B1256" i="1"/>
  <c r="A1257" i="1"/>
  <c r="B1257" i="1"/>
  <c r="A1258" i="1"/>
  <c r="B1258" i="1"/>
  <c r="A1259" i="1"/>
  <c r="B1259" i="1"/>
  <c r="A1260" i="1"/>
  <c r="B1260" i="1"/>
  <c r="A1261" i="1"/>
  <c r="B1261" i="1"/>
  <c r="A1262" i="1"/>
  <c r="B1262" i="1"/>
  <c r="A1263" i="1"/>
  <c r="B1263" i="1"/>
  <c r="A1264" i="1"/>
  <c r="B1264" i="1"/>
  <c r="A1265" i="1"/>
  <c r="B1265" i="1"/>
  <c r="A1266" i="1"/>
  <c r="B1266" i="1"/>
  <c r="A1267" i="1"/>
  <c r="B1267" i="1"/>
  <c r="A1268" i="1"/>
  <c r="B1268" i="1"/>
  <c r="A1269" i="1"/>
  <c r="B1269" i="1"/>
  <c r="A1270" i="1"/>
  <c r="B1270" i="1"/>
  <c r="A1271" i="1"/>
  <c r="B1271" i="1"/>
  <c r="A1272" i="1"/>
  <c r="B1272" i="1"/>
  <c r="A1273" i="1"/>
  <c r="B1273" i="1"/>
  <c r="A1274" i="1"/>
  <c r="B1274" i="1"/>
  <c r="A1275" i="1"/>
  <c r="B1275" i="1"/>
  <c r="A1276" i="1"/>
  <c r="B1276" i="1"/>
  <c r="A1277" i="1"/>
  <c r="B1277" i="1"/>
  <c r="A1278" i="1"/>
  <c r="B1278" i="1"/>
  <c r="A1279" i="1"/>
  <c r="B1279" i="1"/>
  <c r="A1280" i="1"/>
  <c r="B1280" i="1"/>
  <c r="A1281" i="1"/>
  <c r="B1281" i="1"/>
  <c r="A1282" i="1"/>
  <c r="B1282" i="1"/>
  <c r="A1283" i="1"/>
  <c r="B1283" i="1"/>
  <c r="A1284" i="1"/>
  <c r="B1284" i="1"/>
  <c r="A1285" i="1"/>
  <c r="B1285" i="1"/>
  <c r="A1286" i="1"/>
  <c r="B1286" i="1"/>
  <c r="A1287" i="1"/>
  <c r="B1287" i="1"/>
  <c r="A1288" i="1"/>
  <c r="B1288" i="1"/>
  <c r="A1289" i="1"/>
  <c r="B1289" i="1"/>
  <c r="A1290" i="1"/>
  <c r="B1290" i="1"/>
  <c r="A1291" i="1"/>
  <c r="B1291" i="1"/>
  <c r="A1292" i="1"/>
  <c r="B1292" i="1"/>
  <c r="A1293" i="1"/>
  <c r="B1293" i="1"/>
  <c r="A1294" i="1"/>
  <c r="B1294" i="1"/>
  <c r="A1295" i="1"/>
  <c r="B1295" i="1"/>
  <c r="A1296" i="1"/>
  <c r="B1296" i="1"/>
  <c r="A1297" i="1"/>
  <c r="B1297" i="1"/>
  <c r="A1298" i="1"/>
  <c r="B1298" i="1"/>
  <c r="A1299" i="1"/>
  <c r="B1299" i="1"/>
  <c r="A1300" i="1"/>
  <c r="B1300" i="1"/>
  <c r="A1301" i="1"/>
  <c r="B1301" i="1"/>
  <c r="A1302" i="1"/>
  <c r="B1302" i="1"/>
  <c r="A1303" i="1"/>
  <c r="B1303" i="1"/>
  <c r="A1304" i="1"/>
  <c r="B1304" i="1"/>
  <c r="A1305" i="1"/>
  <c r="B1305" i="1"/>
  <c r="A1306" i="1"/>
  <c r="B1306" i="1"/>
  <c r="A1307" i="1"/>
  <c r="B1307" i="1"/>
  <c r="A1308" i="1"/>
  <c r="B1308" i="1"/>
  <c r="A1309" i="1"/>
  <c r="B1309" i="1"/>
  <c r="A1310" i="1"/>
  <c r="B1310" i="1"/>
  <c r="A1311" i="1"/>
  <c r="B1311" i="1"/>
  <c r="A1312" i="1"/>
  <c r="B1312" i="1"/>
  <c r="A1313" i="1"/>
  <c r="B1313" i="1"/>
  <c r="A1314" i="1"/>
  <c r="B1314" i="1"/>
  <c r="A1315" i="1"/>
  <c r="B1315" i="1"/>
  <c r="A1316" i="1"/>
  <c r="B1316" i="1"/>
  <c r="A1317" i="1"/>
  <c r="B1317" i="1"/>
  <c r="A1318" i="1"/>
  <c r="B1318" i="1"/>
  <c r="A1319" i="1"/>
  <c r="B1319" i="1"/>
  <c r="A1320" i="1"/>
  <c r="B1320" i="1"/>
  <c r="A1321" i="1"/>
  <c r="B1321" i="1"/>
  <c r="A1322" i="1"/>
  <c r="B1322" i="1"/>
  <c r="A1323" i="1"/>
  <c r="B1323" i="1"/>
  <c r="A1324" i="1"/>
  <c r="B1324" i="1"/>
  <c r="A1325" i="1"/>
  <c r="B1325" i="1"/>
  <c r="A1326" i="1"/>
  <c r="B1326" i="1"/>
  <c r="A1327" i="1"/>
  <c r="B1327" i="1"/>
  <c r="A1328" i="1"/>
  <c r="B1328" i="1"/>
  <c r="A1329" i="1"/>
  <c r="B1329" i="1"/>
  <c r="A1330" i="1"/>
  <c r="B1330" i="1"/>
  <c r="A1331" i="1"/>
  <c r="B1331" i="1"/>
  <c r="A1332" i="1"/>
  <c r="B1332" i="1"/>
  <c r="A1333" i="1"/>
  <c r="B1333" i="1"/>
  <c r="A1334" i="1"/>
  <c r="B1334" i="1"/>
  <c r="A1335" i="1"/>
  <c r="B1335" i="1"/>
  <c r="A1336" i="1"/>
  <c r="B1336" i="1"/>
  <c r="A1337" i="1"/>
  <c r="B1337" i="1"/>
  <c r="A1338" i="1"/>
  <c r="B1338" i="1"/>
  <c r="A1339" i="1"/>
  <c r="B1339" i="1"/>
  <c r="A1340" i="1"/>
  <c r="B1340" i="1"/>
  <c r="A1341" i="1"/>
  <c r="B1341" i="1"/>
  <c r="A1342" i="1"/>
  <c r="B1342" i="1"/>
  <c r="A1343" i="1"/>
  <c r="B1343" i="1"/>
  <c r="A1344" i="1"/>
  <c r="B1344" i="1"/>
  <c r="A1345" i="1"/>
  <c r="B1345" i="1"/>
  <c r="A1346" i="1"/>
  <c r="B1346" i="1"/>
  <c r="A1347" i="1"/>
  <c r="B1347" i="1"/>
  <c r="A1348" i="1"/>
  <c r="B1348" i="1"/>
  <c r="A1349" i="1"/>
  <c r="B1349" i="1"/>
  <c r="A1350" i="1"/>
  <c r="B1350" i="1"/>
  <c r="A1351" i="1"/>
  <c r="B1351" i="1"/>
  <c r="A1352" i="1"/>
  <c r="B1352" i="1"/>
  <c r="A1353" i="1"/>
  <c r="B1353" i="1"/>
  <c r="A1354" i="1"/>
  <c r="B1354" i="1"/>
  <c r="A1355" i="1"/>
  <c r="B1355" i="1"/>
  <c r="A1356" i="1"/>
  <c r="B1356" i="1"/>
  <c r="A1357" i="1"/>
  <c r="B1357" i="1"/>
  <c r="A1358" i="1"/>
  <c r="B1358" i="1"/>
  <c r="A1359" i="1"/>
  <c r="B1359" i="1"/>
  <c r="A1360" i="1"/>
  <c r="B1360" i="1"/>
  <c r="A1361" i="1"/>
  <c r="B1361" i="1"/>
  <c r="A1362" i="1"/>
  <c r="B1362" i="1"/>
  <c r="A1363" i="1"/>
  <c r="B1363" i="1"/>
  <c r="A1364" i="1"/>
  <c r="B1364" i="1"/>
  <c r="A1365" i="1"/>
  <c r="B1365" i="1"/>
  <c r="A1366" i="1"/>
  <c r="B1366" i="1"/>
  <c r="A1367" i="1"/>
  <c r="B1367" i="1"/>
  <c r="A1368" i="1"/>
  <c r="B1368" i="1"/>
  <c r="A1369" i="1"/>
  <c r="B1369" i="1"/>
  <c r="A1370" i="1"/>
  <c r="B1370" i="1"/>
  <c r="A1371" i="1"/>
  <c r="B1371" i="1"/>
  <c r="A1372" i="1"/>
  <c r="B1372" i="1"/>
  <c r="A1373" i="1"/>
  <c r="B1373" i="1"/>
  <c r="A1374" i="1"/>
  <c r="B1374" i="1"/>
  <c r="A1375" i="1"/>
  <c r="B1375" i="1"/>
  <c r="A1376" i="1"/>
  <c r="B1376" i="1"/>
  <c r="A1377" i="1"/>
  <c r="B1377" i="1"/>
  <c r="A1378" i="1"/>
  <c r="B1378" i="1"/>
  <c r="A1379" i="1"/>
  <c r="B1379" i="1"/>
  <c r="A1380" i="1"/>
  <c r="B1380" i="1"/>
  <c r="A1381" i="1"/>
  <c r="B1381" i="1"/>
  <c r="A1382" i="1"/>
  <c r="B1382" i="1"/>
  <c r="A1383" i="1"/>
  <c r="B1383" i="1"/>
  <c r="A1384" i="1"/>
  <c r="B1384" i="1"/>
  <c r="A1385" i="1"/>
  <c r="B1385" i="1"/>
  <c r="A1386" i="1"/>
  <c r="B1386" i="1"/>
  <c r="A1387" i="1"/>
  <c r="B1387" i="1"/>
  <c r="A1388" i="1"/>
  <c r="B1388" i="1"/>
  <c r="A1389" i="1"/>
  <c r="B1389" i="1"/>
  <c r="A1390" i="1"/>
  <c r="B1390" i="1"/>
  <c r="A1391" i="1"/>
  <c r="B1391" i="1"/>
  <c r="A1392" i="1"/>
  <c r="B1392" i="1"/>
  <c r="A1393" i="1"/>
  <c r="B1393" i="1"/>
  <c r="A1394" i="1"/>
  <c r="B1394" i="1"/>
  <c r="A1395" i="1"/>
  <c r="B1395" i="1"/>
  <c r="A1396" i="1"/>
  <c r="B1396" i="1"/>
  <c r="A1397" i="1"/>
  <c r="B1397" i="1"/>
  <c r="A1398" i="1"/>
  <c r="B1398" i="1"/>
  <c r="A1399" i="1"/>
  <c r="B1399" i="1"/>
  <c r="A1400" i="1"/>
  <c r="B1400" i="1"/>
  <c r="A1401" i="1"/>
  <c r="B1401" i="1"/>
  <c r="A1402" i="1"/>
  <c r="B1402" i="1"/>
  <c r="A1403" i="1"/>
  <c r="B1403" i="1"/>
  <c r="A1404" i="1"/>
  <c r="B1404" i="1"/>
  <c r="A1405" i="1"/>
  <c r="B1405" i="1"/>
  <c r="A1406" i="1"/>
  <c r="B1406" i="1"/>
  <c r="A1407" i="1"/>
  <c r="B1407" i="1"/>
  <c r="A1408" i="1"/>
  <c r="B1408" i="1"/>
  <c r="A1409" i="1"/>
  <c r="B1409" i="1"/>
  <c r="A1410" i="1"/>
  <c r="B1410" i="1"/>
  <c r="A1411" i="1"/>
  <c r="B1411" i="1"/>
  <c r="A1412" i="1"/>
  <c r="B1412" i="1"/>
  <c r="A1413" i="1"/>
  <c r="B1413" i="1"/>
  <c r="A1414" i="1"/>
  <c r="B1414" i="1"/>
  <c r="A1415" i="1"/>
  <c r="B1415" i="1"/>
  <c r="A1416" i="1"/>
  <c r="B1416" i="1"/>
  <c r="A1417" i="1"/>
  <c r="B1417" i="1"/>
  <c r="A1418" i="1"/>
  <c r="B1418" i="1"/>
  <c r="A1419" i="1"/>
  <c r="B1419" i="1"/>
  <c r="A1420" i="1"/>
  <c r="B1420" i="1"/>
  <c r="A1421" i="1"/>
  <c r="B1421" i="1"/>
  <c r="A1422" i="1"/>
  <c r="B1422" i="1"/>
  <c r="A1423" i="1"/>
  <c r="B1423" i="1"/>
  <c r="A1424" i="1"/>
  <c r="B1424" i="1"/>
  <c r="A1425" i="1"/>
  <c r="B1425" i="1"/>
  <c r="A1426" i="1"/>
  <c r="B1426" i="1"/>
  <c r="A1427" i="1"/>
  <c r="B1427" i="1"/>
  <c r="A1428" i="1"/>
  <c r="B1428" i="1"/>
  <c r="A1429" i="1"/>
  <c r="B1429" i="1"/>
  <c r="A1430" i="1"/>
  <c r="B1430" i="1"/>
  <c r="A1431" i="1"/>
  <c r="B1431" i="1"/>
  <c r="A1432" i="1"/>
  <c r="B1432" i="1"/>
  <c r="A1433" i="1"/>
  <c r="B1433" i="1"/>
  <c r="A1434" i="1"/>
  <c r="B1434" i="1"/>
  <c r="A1435" i="1"/>
  <c r="B1435" i="1"/>
  <c r="A1436" i="1"/>
  <c r="B1436" i="1"/>
  <c r="A1437" i="1"/>
  <c r="B1437" i="1"/>
  <c r="A1438" i="1"/>
  <c r="B1438" i="1"/>
  <c r="A1439" i="1"/>
  <c r="B1439" i="1"/>
  <c r="A1440" i="1"/>
  <c r="B1440" i="1"/>
  <c r="A1441" i="1"/>
  <c r="B1441" i="1"/>
  <c r="A1442" i="1"/>
  <c r="B1442" i="1"/>
  <c r="A1443" i="1"/>
  <c r="B1443" i="1"/>
  <c r="A1444" i="1"/>
  <c r="B1444" i="1"/>
  <c r="A1445" i="1"/>
  <c r="B1445" i="1"/>
  <c r="A1446" i="1"/>
  <c r="B1446" i="1"/>
  <c r="A1447" i="1"/>
  <c r="B1447" i="1"/>
  <c r="A1448" i="1"/>
  <c r="B1448" i="1"/>
  <c r="A1449" i="1"/>
  <c r="B1449" i="1"/>
  <c r="A1450" i="1"/>
  <c r="B1450" i="1"/>
  <c r="A1451" i="1"/>
  <c r="B1451" i="1"/>
  <c r="A1452" i="1"/>
  <c r="B1452" i="1"/>
  <c r="A1453" i="1"/>
  <c r="B1453" i="1"/>
  <c r="A1454" i="1"/>
  <c r="B1454" i="1"/>
  <c r="A1455" i="1"/>
  <c r="B1455" i="1"/>
  <c r="A1456" i="1"/>
  <c r="B1456" i="1"/>
  <c r="A1457" i="1"/>
  <c r="B1457" i="1"/>
  <c r="A1458" i="1"/>
  <c r="B1458" i="1"/>
  <c r="A1459" i="1"/>
  <c r="B1459" i="1"/>
  <c r="A1460" i="1"/>
  <c r="B1460" i="1"/>
  <c r="A1461" i="1"/>
  <c r="B1461" i="1"/>
  <c r="A1462" i="1"/>
  <c r="B1462" i="1"/>
  <c r="A1463" i="1"/>
  <c r="B1463" i="1"/>
  <c r="A1464" i="1"/>
  <c r="B1464" i="1"/>
  <c r="A1465" i="1"/>
  <c r="B1465" i="1"/>
  <c r="A1466" i="1"/>
  <c r="B1466" i="1"/>
  <c r="A1467" i="1"/>
  <c r="B1467" i="1"/>
  <c r="A1468" i="1"/>
  <c r="B1468" i="1"/>
  <c r="A1469" i="1"/>
  <c r="B1469" i="1"/>
  <c r="A1470" i="1"/>
  <c r="B1470" i="1"/>
  <c r="A1471" i="1"/>
  <c r="B1471" i="1"/>
  <c r="A1472" i="1"/>
  <c r="B1472" i="1"/>
  <c r="A1473" i="1"/>
  <c r="B1473" i="1"/>
  <c r="A1474" i="1"/>
  <c r="B1474" i="1"/>
  <c r="A1475" i="1"/>
  <c r="B1475" i="1"/>
  <c r="A1476" i="1"/>
  <c r="B1476" i="1"/>
  <c r="A1477" i="1"/>
  <c r="B1477" i="1"/>
  <c r="A1478" i="1"/>
  <c r="B1478" i="1"/>
  <c r="A1479" i="1"/>
  <c r="B1479" i="1"/>
  <c r="A1480" i="1"/>
  <c r="B1480" i="1"/>
  <c r="A1481" i="1"/>
  <c r="B1481" i="1"/>
  <c r="A1482" i="1"/>
  <c r="B1482" i="1"/>
  <c r="A1483" i="1"/>
  <c r="B1483" i="1"/>
  <c r="A1484" i="1"/>
  <c r="B1484" i="1"/>
  <c r="A1485" i="1"/>
  <c r="B1485" i="1"/>
  <c r="A1486" i="1"/>
  <c r="B1486" i="1"/>
  <c r="A1487" i="1"/>
  <c r="B1487" i="1"/>
  <c r="A1488" i="1"/>
  <c r="B1488" i="1"/>
  <c r="A1489" i="1"/>
  <c r="B1489" i="1"/>
  <c r="A1490" i="1"/>
  <c r="B1490" i="1"/>
  <c r="A1491" i="1"/>
  <c r="B1491" i="1"/>
  <c r="A1492" i="1"/>
  <c r="B1492" i="1"/>
  <c r="A1493" i="1"/>
  <c r="B1493" i="1"/>
  <c r="A1494" i="1"/>
  <c r="B1494" i="1"/>
  <c r="A1495" i="1"/>
  <c r="B1495" i="1"/>
  <c r="A1496" i="1"/>
  <c r="B1496" i="1"/>
  <c r="A1497" i="1"/>
  <c r="B1497" i="1"/>
  <c r="A1498" i="1"/>
  <c r="B1498" i="1"/>
  <c r="A1499" i="1"/>
  <c r="B1499" i="1"/>
  <c r="A1500" i="1"/>
  <c r="B1500" i="1"/>
  <c r="A1501" i="1"/>
  <c r="B1501" i="1"/>
  <c r="A1502" i="1"/>
  <c r="B1502" i="1"/>
  <c r="A1503" i="1"/>
  <c r="B1503" i="1"/>
  <c r="A1504" i="1"/>
  <c r="B1504" i="1"/>
  <c r="A1505" i="1"/>
  <c r="B1505" i="1"/>
  <c r="A1506" i="1"/>
  <c r="B1506" i="1"/>
  <c r="A1507" i="1"/>
  <c r="B1507" i="1"/>
  <c r="A1508" i="1"/>
  <c r="B1508" i="1"/>
  <c r="A1509" i="1"/>
  <c r="B1509" i="1"/>
  <c r="A1510" i="1"/>
  <c r="B1510" i="1"/>
  <c r="A1511" i="1"/>
  <c r="B1511" i="1"/>
  <c r="A1512" i="1"/>
  <c r="B1512" i="1"/>
  <c r="A1513" i="1"/>
  <c r="B1513" i="1"/>
  <c r="A1514" i="1"/>
  <c r="B1514" i="1"/>
  <c r="A1515" i="1"/>
  <c r="B1515" i="1"/>
  <c r="A1516" i="1"/>
  <c r="B1516" i="1"/>
  <c r="A1517" i="1"/>
  <c r="B1517" i="1"/>
  <c r="A1518" i="1"/>
  <c r="B1518" i="1"/>
  <c r="A1519" i="1"/>
  <c r="B1519" i="1"/>
  <c r="A1520" i="1"/>
  <c r="B1520" i="1"/>
  <c r="A1521" i="1"/>
  <c r="B1521" i="1"/>
  <c r="A1522" i="1"/>
  <c r="B1522" i="1"/>
  <c r="A1523" i="1"/>
  <c r="B1523" i="1"/>
  <c r="A1524" i="1"/>
  <c r="B1524" i="1"/>
  <c r="A1525" i="1"/>
  <c r="B1525" i="1"/>
  <c r="A1526" i="1"/>
  <c r="B1526" i="1"/>
  <c r="A1527" i="1"/>
  <c r="B1527" i="1"/>
  <c r="A1528" i="1"/>
  <c r="B1528" i="1"/>
  <c r="A1529" i="1"/>
  <c r="B1529" i="1"/>
  <c r="A1530" i="1"/>
  <c r="B1530" i="1"/>
  <c r="A1531" i="1"/>
  <c r="B1531" i="1"/>
  <c r="A1532" i="1"/>
  <c r="B1532" i="1"/>
  <c r="A1533" i="1"/>
  <c r="B1533" i="1"/>
  <c r="A1534" i="1"/>
  <c r="B1534" i="1"/>
  <c r="A1535" i="1"/>
  <c r="B1535" i="1"/>
  <c r="A1536" i="1"/>
  <c r="B1536" i="1"/>
  <c r="A1537" i="1"/>
  <c r="B1537" i="1"/>
  <c r="A1538" i="1"/>
  <c r="B1538" i="1"/>
  <c r="A1539" i="1"/>
  <c r="B1539" i="1"/>
  <c r="A1540" i="1"/>
  <c r="B1540" i="1"/>
  <c r="A1541" i="1"/>
  <c r="B1541" i="1"/>
  <c r="A1542" i="1"/>
  <c r="B1542" i="1"/>
  <c r="A1543" i="1"/>
  <c r="B1543" i="1"/>
  <c r="A1544" i="1"/>
  <c r="B1544" i="1"/>
  <c r="A1545" i="1"/>
  <c r="B1545" i="1"/>
  <c r="A1546" i="1"/>
  <c r="B1546" i="1"/>
  <c r="A1547" i="1"/>
  <c r="B1547" i="1"/>
  <c r="A1548" i="1"/>
  <c r="B1548" i="1"/>
  <c r="A1549" i="1"/>
  <c r="B1549" i="1"/>
  <c r="A1550" i="1"/>
  <c r="B1550" i="1"/>
  <c r="A1551" i="1"/>
  <c r="B1551" i="1"/>
  <c r="A1552" i="1"/>
  <c r="B1552" i="1"/>
  <c r="A1553" i="1"/>
  <c r="B1553" i="1"/>
  <c r="A1554" i="1"/>
  <c r="B1554" i="1"/>
  <c r="A1555" i="1"/>
  <c r="B1555" i="1"/>
  <c r="A1556" i="1"/>
  <c r="B1556" i="1"/>
  <c r="A1557" i="1"/>
  <c r="B1557" i="1"/>
  <c r="A1558" i="1"/>
  <c r="B1558" i="1"/>
  <c r="A1559" i="1"/>
  <c r="B1559" i="1"/>
  <c r="A1560" i="1"/>
  <c r="B1560" i="1"/>
  <c r="A1561" i="1"/>
  <c r="B1561" i="1"/>
  <c r="A1562" i="1"/>
  <c r="B1562" i="1"/>
  <c r="A1563" i="1"/>
  <c r="B1563" i="1"/>
  <c r="A1564" i="1"/>
  <c r="B1564" i="1"/>
  <c r="A1565" i="1"/>
  <c r="B1565" i="1"/>
  <c r="A1566" i="1"/>
  <c r="B1566" i="1"/>
  <c r="A1567" i="1"/>
  <c r="B1567" i="1"/>
  <c r="A1568" i="1"/>
  <c r="B1568" i="1"/>
  <c r="A1569" i="1"/>
  <c r="B1569" i="1"/>
  <c r="A1570" i="1"/>
  <c r="B1570" i="1"/>
  <c r="A1571" i="1"/>
  <c r="B1571" i="1"/>
  <c r="A1572" i="1"/>
  <c r="B1572" i="1"/>
  <c r="A1573" i="1"/>
  <c r="B1573" i="1"/>
  <c r="A1574" i="1"/>
  <c r="B1574" i="1"/>
  <c r="A1575" i="1"/>
  <c r="B1575" i="1"/>
  <c r="A1576" i="1"/>
  <c r="B1576" i="1"/>
  <c r="A1577" i="1"/>
  <c r="B1577" i="1"/>
  <c r="A1578" i="1"/>
  <c r="B1578" i="1"/>
  <c r="A1579" i="1"/>
  <c r="B1579" i="1"/>
  <c r="A1580" i="1"/>
  <c r="B1580" i="1"/>
  <c r="A1581" i="1"/>
  <c r="B1581" i="1"/>
  <c r="A1582" i="1"/>
  <c r="B1582" i="1"/>
  <c r="A1583" i="1"/>
  <c r="B1583" i="1"/>
  <c r="A1584" i="1"/>
  <c r="B1584" i="1"/>
  <c r="A1585" i="1"/>
  <c r="B1585" i="1"/>
  <c r="A1586" i="1"/>
  <c r="B1586" i="1"/>
  <c r="A1587" i="1"/>
  <c r="B1587" i="1"/>
  <c r="A1588" i="1"/>
  <c r="B1588" i="1"/>
  <c r="A1589" i="1"/>
  <c r="B1589" i="1"/>
  <c r="A1590" i="1"/>
  <c r="B1590" i="1"/>
  <c r="A1591" i="1"/>
  <c r="B1591" i="1"/>
  <c r="A1592" i="1"/>
  <c r="B1592" i="1"/>
  <c r="A1593" i="1"/>
  <c r="B1593" i="1"/>
  <c r="A1594" i="1"/>
  <c r="B1594" i="1"/>
  <c r="A1595" i="1"/>
  <c r="B1595" i="1"/>
  <c r="A1596" i="1"/>
  <c r="B1596" i="1"/>
  <c r="A1597" i="1"/>
  <c r="B1597" i="1"/>
  <c r="A1598" i="1"/>
  <c r="B1598" i="1"/>
  <c r="A1599" i="1"/>
  <c r="B1599" i="1"/>
  <c r="A1600" i="1"/>
  <c r="B1600" i="1"/>
  <c r="A1601" i="1"/>
  <c r="B1601" i="1"/>
  <c r="A1602" i="1"/>
  <c r="B1602" i="1"/>
  <c r="A1603" i="1"/>
  <c r="B1603" i="1"/>
  <c r="A1604" i="1"/>
  <c r="B1604" i="1"/>
  <c r="A1605" i="1"/>
  <c r="B1605" i="1"/>
  <c r="A1606" i="1"/>
  <c r="B1606" i="1"/>
  <c r="A1607" i="1"/>
  <c r="B1607" i="1"/>
  <c r="A1608" i="1"/>
  <c r="B1608" i="1"/>
  <c r="A1609" i="1"/>
  <c r="B1609" i="1"/>
  <c r="A1610" i="1"/>
  <c r="B1610" i="1"/>
  <c r="A1611" i="1"/>
  <c r="B1611" i="1"/>
  <c r="A1612" i="1"/>
  <c r="B1612" i="1"/>
  <c r="A1613" i="1"/>
  <c r="B1613" i="1"/>
  <c r="A1614" i="1"/>
  <c r="B1614" i="1"/>
  <c r="A1615" i="1"/>
  <c r="B1615" i="1"/>
  <c r="A1616" i="1"/>
  <c r="B1616" i="1"/>
  <c r="A1617" i="1"/>
  <c r="B1617" i="1"/>
  <c r="A1618" i="1"/>
  <c r="B1618" i="1"/>
  <c r="A1619" i="1"/>
  <c r="B1619" i="1"/>
  <c r="A1620" i="1"/>
  <c r="B1620" i="1"/>
  <c r="A1621" i="1"/>
  <c r="B1621" i="1"/>
  <c r="A1622" i="1"/>
  <c r="B1622" i="1"/>
  <c r="A1623" i="1"/>
  <c r="B1623" i="1"/>
  <c r="A1624" i="1"/>
  <c r="B1624" i="1"/>
  <c r="A1625" i="1"/>
  <c r="B1625" i="1"/>
  <c r="A1626" i="1"/>
  <c r="B1626" i="1"/>
  <c r="A1627" i="1"/>
  <c r="B1627" i="1"/>
  <c r="A1628" i="1"/>
  <c r="B1628" i="1"/>
  <c r="A1629" i="1"/>
  <c r="B1629" i="1"/>
  <c r="A1630" i="1"/>
  <c r="B1630" i="1"/>
  <c r="A1631" i="1"/>
  <c r="B1631" i="1"/>
  <c r="A1632" i="1"/>
  <c r="B1632" i="1"/>
  <c r="A1633" i="1"/>
  <c r="B1633" i="1"/>
  <c r="A1634" i="1"/>
  <c r="B1634" i="1"/>
  <c r="A1635" i="1"/>
  <c r="B1635" i="1"/>
  <c r="A1636" i="1"/>
  <c r="B1636" i="1"/>
  <c r="A1637" i="1"/>
  <c r="B1637" i="1"/>
  <c r="A1638" i="1"/>
  <c r="B1638" i="1"/>
  <c r="A1639" i="1"/>
  <c r="B1639" i="1"/>
  <c r="A1640" i="1"/>
  <c r="B1640" i="1"/>
  <c r="A1641" i="1"/>
  <c r="B1641" i="1"/>
  <c r="A1642" i="1"/>
  <c r="B1642" i="1"/>
  <c r="A1643" i="1"/>
  <c r="B1643" i="1"/>
  <c r="A1644" i="1"/>
  <c r="B1644" i="1"/>
  <c r="A1645" i="1"/>
  <c r="B1645" i="1"/>
  <c r="A1646" i="1"/>
  <c r="B1646" i="1"/>
  <c r="A1647" i="1"/>
  <c r="B1647" i="1"/>
  <c r="A1648" i="1"/>
  <c r="B1648" i="1"/>
  <c r="A1649" i="1"/>
  <c r="B1649" i="1"/>
  <c r="A1650" i="1"/>
  <c r="B1650" i="1"/>
  <c r="A1651" i="1"/>
  <c r="B1651" i="1"/>
  <c r="A1652" i="1"/>
  <c r="B1652" i="1"/>
  <c r="A1653" i="1"/>
  <c r="B1653" i="1"/>
  <c r="A1654" i="1"/>
  <c r="B1654" i="1"/>
  <c r="A1655" i="1"/>
  <c r="B1655" i="1"/>
  <c r="A1656" i="1"/>
  <c r="B1656" i="1"/>
  <c r="A1657" i="1"/>
  <c r="B1657" i="1"/>
  <c r="A1658" i="1"/>
  <c r="B1658" i="1"/>
  <c r="A1659" i="1"/>
  <c r="B1659" i="1"/>
  <c r="A1660" i="1"/>
  <c r="B1660" i="1"/>
  <c r="A1661" i="1"/>
  <c r="B1661" i="1"/>
  <c r="A1662" i="1"/>
  <c r="B1662" i="1"/>
  <c r="A1663" i="1"/>
  <c r="B1663" i="1"/>
  <c r="A1664" i="1"/>
  <c r="B1664" i="1"/>
  <c r="A1665" i="1"/>
  <c r="B1665" i="1"/>
  <c r="A1666" i="1"/>
  <c r="B1666" i="1"/>
  <c r="A1667" i="1"/>
  <c r="B1667" i="1"/>
  <c r="A1668" i="1"/>
  <c r="B1668" i="1"/>
  <c r="A1669" i="1"/>
  <c r="B1669" i="1"/>
  <c r="A1670" i="1"/>
  <c r="B1670" i="1"/>
  <c r="A1671" i="1"/>
  <c r="B1671" i="1"/>
  <c r="A1672" i="1"/>
  <c r="B1672" i="1"/>
  <c r="A1673" i="1"/>
  <c r="B1673" i="1"/>
  <c r="A1674" i="1"/>
  <c r="B1674" i="1"/>
  <c r="A1675" i="1"/>
  <c r="B1675" i="1"/>
  <c r="A1676" i="1"/>
  <c r="B1676" i="1"/>
  <c r="A1677" i="1"/>
  <c r="B1677" i="1"/>
  <c r="A1678" i="1"/>
  <c r="B1678" i="1"/>
  <c r="A1679" i="1"/>
  <c r="B1679" i="1"/>
  <c r="A1680" i="1"/>
  <c r="B1680" i="1"/>
  <c r="A1681" i="1"/>
  <c r="B1681" i="1"/>
  <c r="A1682" i="1"/>
  <c r="B1682" i="1"/>
  <c r="A1683" i="1"/>
  <c r="B1683" i="1"/>
  <c r="A1684" i="1"/>
  <c r="B1684" i="1"/>
  <c r="A1685" i="1"/>
  <c r="B1685" i="1"/>
  <c r="A1686" i="1"/>
  <c r="B1686" i="1"/>
  <c r="A1687" i="1"/>
  <c r="B1687" i="1"/>
  <c r="A1688" i="1"/>
  <c r="B1688" i="1"/>
  <c r="A1689" i="1"/>
  <c r="B1689" i="1"/>
  <c r="A1690" i="1"/>
  <c r="B1690" i="1"/>
  <c r="A1691" i="1"/>
  <c r="B1691" i="1"/>
  <c r="A1692" i="1"/>
  <c r="B1692" i="1"/>
  <c r="A1693" i="1"/>
  <c r="B1693" i="1"/>
  <c r="A1694" i="1"/>
  <c r="B1694" i="1"/>
  <c r="A1695" i="1"/>
  <c r="B1695" i="1"/>
  <c r="A1696" i="1"/>
  <c r="B1696" i="1"/>
  <c r="A1697" i="1"/>
  <c r="B1697" i="1"/>
  <c r="A1698" i="1"/>
  <c r="B1698" i="1"/>
  <c r="A1699" i="1"/>
  <c r="B1699" i="1"/>
  <c r="A1700" i="1"/>
  <c r="B1700" i="1"/>
  <c r="A1701" i="1"/>
  <c r="B1701" i="1"/>
  <c r="A1702" i="1"/>
  <c r="B1702" i="1"/>
  <c r="A1703" i="1"/>
  <c r="B1703" i="1"/>
  <c r="A1704" i="1"/>
  <c r="B1704" i="1"/>
  <c r="A1705" i="1"/>
  <c r="B1705" i="1"/>
  <c r="A1706" i="1"/>
  <c r="B1706" i="1"/>
  <c r="A1707" i="1"/>
  <c r="B1707" i="1"/>
  <c r="A1708" i="1"/>
  <c r="B1708" i="1"/>
  <c r="A1709" i="1"/>
  <c r="B1709" i="1"/>
  <c r="A1710" i="1"/>
  <c r="B1710" i="1"/>
  <c r="A1711" i="1"/>
  <c r="B1711" i="1"/>
  <c r="A1712" i="1"/>
  <c r="B1712" i="1"/>
  <c r="A1713" i="1"/>
  <c r="B1713" i="1"/>
  <c r="A1714" i="1"/>
  <c r="B1714" i="1"/>
  <c r="A1715" i="1"/>
  <c r="B1715" i="1"/>
  <c r="A1716" i="1"/>
  <c r="B1716" i="1"/>
  <c r="A1717" i="1"/>
  <c r="B1717" i="1"/>
  <c r="A1718" i="1"/>
  <c r="B1718" i="1"/>
  <c r="A1719" i="1"/>
  <c r="B1719" i="1"/>
  <c r="A1720" i="1"/>
  <c r="B1720" i="1"/>
  <c r="A1721" i="1"/>
  <c r="B1721" i="1"/>
  <c r="A1722" i="1"/>
  <c r="B1722" i="1"/>
  <c r="A1723" i="1"/>
  <c r="B1723" i="1"/>
  <c r="A1724" i="1"/>
  <c r="B1724" i="1"/>
  <c r="A1725" i="1"/>
  <c r="B1725" i="1"/>
  <c r="A1726" i="1"/>
  <c r="B1726" i="1"/>
  <c r="A1727" i="1"/>
  <c r="B1727" i="1"/>
  <c r="A1728" i="1"/>
  <c r="B1728" i="1"/>
  <c r="A1729" i="1"/>
  <c r="B1729" i="1"/>
  <c r="A1730" i="1"/>
  <c r="B1730" i="1"/>
  <c r="A1731" i="1"/>
  <c r="B1731" i="1"/>
  <c r="A1732" i="1"/>
  <c r="B1732" i="1"/>
  <c r="A1733" i="1"/>
  <c r="B1733" i="1"/>
  <c r="A1734" i="1"/>
  <c r="B1734" i="1"/>
  <c r="A1735" i="1"/>
  <c r="B1735" i="1"/>
  <c r="A1736" i="1"/>
  <c r="B1736" i="1"/>
  <c r="A1737" i="1"/>
  <c r="B1737" i="1"/>
  <c r="A1738" i="1"/>
  <c r="B1738" i="1"/>
  <c r="A1739" i="1"/>
  <c r="B1739" i="1"/>
  <c r="A1740" i="1"/>
  <c r="B1740" i="1"/>
  <c r="A1741" i="1"/>
  <c r="B1741" i="1"/>
  <c r="A1742" i="1"/>
  <c r="B1742" i="1"/>
  <c r="A1743" i="1"/>
  <c r="B1743" i="1"/>
  <c r="A1744" i="1"/>
  <c r="B1744" i="1"/>
  <c r="A1745" i="1"/>
  <c r="B1745" i="1"/>
  <c r="A1746" i="1"/>
  <c r="B1746" i="1"/>
  <c r="A1747" i="1"/>
  <c r="B1747" i="1"/>
  <c r="A1748" i="1"/>
  <c r="B1748" i="1"/>
  <c r="A1749" i="1"/>
  <c r="B1749" i="1"/>
  <c r="A1750" i="1"/>
  <c r="B1750" i="1"/>
  <c r="A1751" i="1"/>
  <c r="B1751" i="1"/>
  <c r="A1752" i="1"/>
  <c r="B1752" i="1"/>
  <c r="A1753" i="1"/>
  <c r="B1753" i="1"/>
  <c r="A1754" i="1"/>
  <c r="B1754" i="1"/>
  <c r="A1755" i="1"/>
  <c r="B1755" i="1"/>
  <c r="A1756" i="1"/>
  <c r="B1756" i="1"/>
  <c r="A1757" i="1"/>
  <c r="B1757" i="1"/>
  <c r="A1758" i="1"/>
  <c r="B1758" i="1"/>
  <c r="A1759" i="1"/>
  <c r="B1759" i="1"/>
  <c r="A1760" i="1"/>
  <c r="B1760" i="1"/>
  <c r="A1761" i="1"/>
  <c r="B1761" i="1"/>
  <c r="A1762" i="1"/>
  <c r="B1762" i="1"/>
  <c r="A1763" i="1"/>
  <c r="B1763" i="1"/>
  <c r="A1764" i="1"/>
  <c r="B1764" i="1"/>
  <c r="A1765" i="1"/>
  <c r="B1765" i="1"/>
  <c r="A1766" i="1"/>
  <c r="B1766" i="1"/>
  <c r="A1767" i="1"/>
  <c r="B1767" i="1"/>
  <c r="A1768" i="1"/>
  <c r="B1768" i="1"/>
  <c r="A1769" i="1"/>
  <c r="B1769" i="1"/>
  <c r="A1770" i="1"/>
  <c r="B1770" i="1"/>
  <c r="A1771" i="1"/>
  <c r="B1771" i="1"/>
  <c r="A1772" i="1"/>
  <c r="B1772" i="1"/>
  <c r="A1773" i="1"/>
  <c r="B1773" i="1"/>
  <c r="A1774" i="1"/>
  <c r="B1774" i="1"/>
  <c r="A1775" i="1"/>
  <c r="B1775" i="1"/>
  <c r="A1776" i="1"/>
  <c r="B1776" i="1"/>
  <c r="A1777" i="1"/>
  <c r="B1777" i="1"/>
  <c r="A1778" i="1"/>
  <c r="B1778" i="1"/>
  <c r="A1779" i="1"/>
  <c r="B1779" i="1"/>
  <c r="A1780" i="1"/>
  <c r="B1780" i="1"/>
  <c r="A1781" i="1"/>
  <c r="B1781" i="1"/>
  <c r="A1782" i="1"/>
  <c r="B1782" i="1"/>
  <c r="A1783" i="1"/>
  <c r="B1783" i="1"/>
  <c r="A1784" i="1"/>
  <c r="B1784" i="1"/>
  <c r="A1785" i="1"/>
  <c r="B1785" i="1"/>
  <c r="A1786" i="1"/>
  <c r="B1786" i="1"/>
  <c r="A1787" i="1"/>
  <c r="B1787" i="1"/>
  <c r="A1788" i="1"/>
  <c r="B1788" i="1"/>
  <c r="A1789" i="1"/>
  <c r="B1789" i="1"/>
  <c r="A1790" i="1"/>
  <c r="B1790" i="1"/>
  <c r="A1791" i="1"/>
  <c r="B1791" i="1"/>
  <c r="A1792" i="1"/>
  <c r="B1792" i="1"/>
  <c r="A1793" i="1"/>
  <c r="B1793" i="1"/>
  <c r="A1794" i="1"/>
  <c r="B1794" i="1"/>
  <c r="A1795" i="1"/>
  <c r="B1795" i="1"/>
  <c r="A1796" i="1"/>
  <c r="B1796" i="1"/>
  <c r="A1797" i="1"/>
  <c r="B1797" i="1"/>
  <c r="A1798" i="1"/>
  <c r="B1798" i="1"/>
  <c r="A1799" i="1"/>
  <c r="B1799" i="1"/>
  <c r="A1800" i="1"/>
  <c r="B1800" i="1"/>
  <c r="A1801" i="1"/>
  <c r="B1801" i="1"/>
  <c r="A1802" i="1"/>
  <c r="B1802" i="1"/>
  <c r="A1803" i="1"/>
  <c r="B1803" i="1"/>
  <c r="A1804" i="1"/>
  <c r="B1804" i="1"/>
  <c r="A1805" i="1"/>
  <c r="B1805" i="1"/>
  <c r="A1806" i="1"/>
  <c r="B1806" i="1"/>
  <c r="A1807" i="1"/>
  <c r="B1807" i="1"/>
  <c r="A1808" i="1"/>
  <c r="B1808" i="1"/>
  <c r="A1809" i="1"/>
  <c r="B1809" i="1"/>
  <c r="A1810" i="1"/>
  <c r="B1810" i="1"/>
  <c r="A1811" i="1"/>
  <c r="B1811" i="1"/>
  <c r="A1812" i="1"/>
  <c r="B1812" i="1"/>
  <c r="A1813" i="1"/>
  <c r="B1813" i="1"/>
  <c r="A1814" i="1"/>
  <c r="B1814" i="1"/>
  <c r="A1815" i="1"/>
  <c r="B1815" i="1"/>
  <c r="A1816" i="1"/>
  <c r="B1816" i="1"/>
  <c r="A1817" i="1"/>
  <c r="B1817" i="1"/>
  <c r="A1818" i="1"/>
  <c r="B1818" i="1"/>
  <c r="A1819" i="1"/>
  <c r="B1819" i="1"/>
  <c r="A1820" i="1"/>
  <c r="B1820" i="1"/>
  <c r="A1821" i="1"/>
  <c r="B1821" i="1"/>
  <c r="A1822" i="1"/>
  <c r="B1822" i="1"/>
  <c r="A1823" i="1"/>
  <c r="B1823" i="1"/>
  <c r="A1824" i="1"/>
  <c r="B1824" i="1"/>
  <c r="A1825" i="1"/>
  <c r="B1825" i="1"/>
  <c r="A1826" i="1"/>
  <c r="B1826" i="1"/>
  <c r="A1827" i="1"/>
  <c r="B1827" i="1"/>
  <c r="A1828" i="1"/>
  <c r="B1828" i="1"/>
  <c r="A1829" i="1"/>
  <c r="B1829" i="1"/>
  <c r="A1830" i="1"/>
  <c r="B1830" i="1"/>
  <c r="A1831" i="1"/>
  <c r="B1831" i="1"/>
  <c r="A1832" i="1"/>
  <c r="B1832" i="1"/>
  <c r="A1833" i="1"/>
  <c r="B1833" i="1"/>
  <c r="A1834" i="1"/>
  <c r="B1834" i="1"/>
  <c r="A1835" i="1"/>
  <c r="B1835" i="1"/>
  <c r="A1836" i="1"/>
  <c r="B1836" i="1"/>
  <c r="A1837" i="1"/>
  <c r="B1837" i="1"/>
  <c r="A1838" i="1"/>
  <c r="B1838" i="1"/>
  <c r="A1839" i="1"/>
  <c r="B1839" i="1"/>
  <c r="A1840" i="1"/>
  <c r="B1840" i="1"/>
  <c r="A1841" i="1"/>
  <c r="B1841" i="1"/>
  <c r="A1842" i="1"/>
  <c r="B1842" i="1"/>
  <c r="A1843" i="1"/>
  <c r="B1843" i="1"/>
  <c r="A1844" i="1"/>
  <c r="B1844" i="1"/>
  <c r="A1845" i="1"/>
  <c r="B1845" i="1"/>
  <c r="A1846" i="1"/>
  <c r="B1846" i="1"/>
  <c r="A1847" i="1"/>
  <c r="B1847" i="1"/>
  <c r="A1848" i="1"/>
  <c r="B1848" i="1"/>
  <c r="A1849" i="1"/>
  <c r="B1849" i="1"/>
  <c r="A1850" i="1"/>
  <c r="B1850" i="1"/>
  <c r="A1851" i="1"/>
  <c r="B1851" i="1"/>
  <c r="A1852" i="1"/>
  <c r="B1852" i="1"/>
  <c r="A1853" i="1"/>
  <c r="B1853" i="1"/>
  <c r="A1854" i="1"/>
  <c r="B1854" i="1"/>
  <c r="A1855" i="1"/>
  <c r="B1855" i="1"/>
  <c r="A1856" i="1"/>
  <c r="B1856" i="1"/>
  <c r="A1857" i="1"/>
  <c r="B1857" i="1"/>
  <c r="A1858" i="1"/>
  <c r="B1858" i="1"/>
  <c r="A1859" i="1"/>
  <c r="B1859" i="1"/>
  <c r="A1860" i="1"/>
  <c r="B1860" i="1"/>
  <c r="A1861" i="1"/>
  <c r="B1861" i="1"/>
  <c r="A1862" i="1"/>
  <c r="B1862" i="1"/>
  <c r="A1863" i="1"/>
  <c r="B1863" i="1"/>
  <c r="A1864" i="1"/>
  <c r="B1864" i="1"/>
  <c r="A1865" i="1"/>
  <c r="B1865" i="1"/>
  <c r="A1866" i="1"/>
  <c r="B1866" i="1"/>
  <c r="A1867" i="1"/>
  <c r="B1867" i="1"/>
  <c r="A1868" i="1"/>
  <c r="B1868" i="1"/>
  <c r="A1869" i="1"/>
  <c r="B1869" i="1"/>
  <c r="A1870" i="1"/>
  <c r="B1870" i="1"/>
  <c r="A1871" i="1"/>
  <c r="B1871" i="1"/>
  <c r="A1872" i="1"/>
  <c r="B1872" i="1"/>
  <c r="A1873" i="1"/>
  <c r="B1873" i="1"/>
  <c r="A1874" i="1"/>
  <c r="B1874" i="1"/>
  <c r="A1875" i="1"/>
  <c r="B1875" i="1"/>
  <c r="A1876" i="1"/>
  <c r="B1876" i="1"/>
  <c r="A1877" i="1"/>
  <c r="B1877" i="1"/>
  <c r="A1878" i="1"/>
  <c r="B1878" i="1"/>
  <c r="A1879" i="1"/>
  <c r="B1879" i="1"/>
  <c r="A1880" i="1"/>
  <c r="B1880" i="1"/>
  <c r="A1881" i="1"/>
  <c r="B1881" i="1"/>
  <c r="A1882" i="1"/>
  <c r="B1882" i="1"/>
  <c r="A1883" i="1"/>
  <c r="B1883" i="1"/>
  <c r="A1884" i="1"/>
  <c r="B1884" i="1"/>
  <c r="A1885" i="1"/>
  <c r="B1885" i="1"/>
  <c r="A1886" i="1"/>
  <c r="B1886" i="1"/>
  <c r="A1887" i="1"/>
  <c r="B1887" i="1"/>
  <c r="A1888" i="1"/>
  <c r="B1888" i="1"/>
  <c r="A1889" i="1"/>
  <c r="B1889" i="1"/>
  <c r="A1890" i="1"/>
  <c r="B1890" i="1"/>
  <c r="A1891" i="1"/>
  <c r="B1891" i="1"/>
  <c r="A1892" i="1"/>
  <c r="B1892" i="1"/>
  <c r="A1893" i="1"/>
  <c r="B1893" i="1"/>
  <c r="A1894" i="1"/>
  <c r="B1894" i="1"/>
  <c r="A1895" i="1"/>
  <c r="B1895" i="1"/>
  <c r="A1896" i="1"/>
  <c r="B1896" i="1"/>
  <c r="A1897" i="1"/>
  <c r="B1897" i="1"/>
  <c r="A1898" i="1"/>
  <c r="B1898" i="1"/>
  <c r="A1899" i="1"/>
  <c r="B1899" i="1"/>
  <c r="A1900" i="1"/>
  <c r="B1900" i="1"/>
  <c r="A1901" i="1"/>
  <c r="B1901" i="1"/>
  <c r="A1902" i="1"/>
  <c r="B1902" i="1"/>
  <c r="A1903" i="1"/>
  <c r="B1903" i="1"/>
  <c r="A1904" i="1"/>
  <c r="B1904" i="1"/>
  <c r="A1905" i="1"/>
  <c r="B1905" i="1"/>
  <c r="A1906" i="1"/>
  <c r="B1906" i="1"/>
  <c r="A1907" i="1"/>
  <c r="B1907" i="1"/>
  <c r="A1908" i="1"/>
  <c r="B1908" i="1"/>
  <c r="A1909" i="1"/>
  <c r="B1909" i="1"/>
  <c r="A1910" i="1"/>
  <c r="B1910" i="1"/>
  <c r="A1911" i="1"/>
  <c r="B1911" i="1"/>
  <c r="A1912" i="1"/>
  <c r="B1912" i="1"/>
  <c r="A1913" i="1"/>
  <c r="B1913" i="1"/>
  <c r="A1914" i="1"/>
  <c r="B1914" i="1"/>
  <c r="A1915" i="1"/>
  <c r="B1915" i="1"/>
  <c r="A1916" i="1"/>
  <c r="B1916" i="1"/>
  <c r="A1917" i="1"/>
  <c r="B1917" i="1"/>
  <c r="A1918" i="1"/>
  <c r="B1918" i="1"/>
  <c r="A1919" i="1"/>
  <c r="B1919" i="1"/>
  <c r="A1920" i="1"/>
  <c r="B1920" i="1"/>
  <c r="A1921" i="1"/>
  <c r="B1921" i="1"/>
  <c r="A1922" i="1"/>
  <c r="B1922" i="1"/>
  <c r="A1923" i="1"/>
  <c r="B1923" i="1"/>
  <c r="A1924" i="1"/>
  <c r="B1924" i="1"/>
  <c r="A1925" i="1"/>
  <c r="B1925" i="1"/>
  <c r="A1926" i="1"/>
  <c r="B1926" i="1"/>
  <c r="A1927" i="1"/>
  <c r="B1927" i="1"/>
  <c r="A1928" i="1"/>
  <c r="B1928" i="1"/>
  <c r="A1929" i="1"/>
  <c r="B1929" i="1"/>
  <c r="A1930" i="1"/>
  <c r="B1930" i="1"/>
  <c r="A1931" i="1"/>
  <c r="B1931" i="1"/>
  <c r="A1932" i="1"/>
  <c r="B1932" i="1"/>
  <c r="A1933" i="1"/>
  <c r="B1933" i="1"/>
  <c r="A1934" i="1"/>
  <c r="B1934" i="1"/>
  <c r="A1935" i="1"/>
  <c r="B1935" i="1"/>
  <c r="A1936" i="1"/>
  <c r="B1936" i="1"/>
  <c r="A1937" i="1"/>
  <c r="B1937" i="1"/>
  <c r="A1938" i="1"/>
  <c r="B1938" i="1"/>
  <c r="A1939" i="1"/>
  <c r="B1939" i="1"/>
  <c r="A1940" i="1"/>
  <c r="B1940" i="1"/>
  <c r="A1941" i="1"/>
  <c r="B1941" i="1"/>
  <c r="A1942" i="1"/>
  <c r="B1942" i="1"/>
  <c r="A1943" i="1"/>
  <c r="B1943" i="1"/>
  <c r="A1944" i="1"/>
  <c r="B1944" i="1"/>
  <c r="A1945" i="1"/>
  <c r="B1945" i="1"/>
  <c r="A1946" i="1"/>
  <c r="B1946" i="1"/>
  <c r="A1947" i="1"/>
  <c r="B1947" i="1"/>
  <c r="A1948" i="1"/>
  <c r="B1948" i="1"/>
  <c r="A1949" i="1"/>
  <c r="B1949" i="1"/>
  <c r="A1950" i="1"/>
  <c r="B1950" i="1"/>
  <c r="A1951" i="1"/>
  <c r="B1951" i="1"/>
  <c r="A1952" i="1"/>
  <c r="B1952" i="1"/>
  <c r="A1953" i="1"/>
  <c r="B1953" i="1"/>
  <c r="A1954" i="1"/>
  <c r="B1954" i="1"/>
  <c r="A1955" i="1"/>
  <c r="B1955" i="1"/>
  <c r="A1956" i="1"/>
  <c r="B1956" i="1"/>
  <c r="A1957" i="1"/>
  <c r="B1957" i="1"/>
  <c r="A1958" i="1"/>
  <c r="B1958" i="1"/>
  <c r="A1959" i="1"/>
  <c r="B1959" i="1"/>
  <c r="A1960" i="1"/>
  <c r="B1960" i="1"/>
  <c r="A1961" i="1"/>
  <c r="B1961" i="1"/>
  <c r="A1962" i="1"/>
  <c r="B1962" i="1"/>
  <c r="A1963" i="1"/>
  <c r="B1963" i="1"/>
  <c r="A1964" i="1"/>
  <c r="B1964" i="1"/>
  <c r="A1965" i="1"/>
  <c r="B1965" i="1"/>
  <c r="A1966" i="1"/>
  <c r="B1966" i="1"/>
  <c r="A1967" i="1"/>
  <c r="B1967" i="1"/>
  <c r="A1968" i="1"/>
  <c r="B1968" i="1"/>
  <c r="A1969" i="1"/>
  <c r="B1969" i="1"/>
  <c r="A1970" i="1"/>
  <c r="B1970" i="1"/>
  <c r="A1971" i="1"/>
  <c r="B1971" i="1"/>
  <c r="A1972" i="1"/>
  <c r="B1972" i="1"/>
  <c r="A1973" i="1"/>
  <c r="B1973" i="1"/>
  <c r="A1974" i="1"/>
  <c r="B1974" i="1"/>
  <c r="A1975" i="1"/>
  <c r="B1975" i="1"/>
  <c r="A1976" i="1"/>
  <c r="B1976" i="1"/>
  <c r="A1977" i="1"/>
  <c r="B1977" i="1"/>
  <c r="A1978" i="1"/>
  <c r="B1978" i="1"/>
  <c r="A1979" i="1"/>
  <c r="B1979" i="1"/>
  <c r="A1980" i="1"/>
  <c r="B1980" i="1"/>
  <c r="A1981" i="1"/>
  <c r="B1981" i="1"/>
  <c r="A1982" i="1"/>
  <c r="B1982" i="1"/>
  <c r="A1983" i="1"/>
  <c r="B1983" i="1"/>
  <c r="A1984" i="1"/>
  <c r="B1984" i="1"/>
  <c r="A1985" i="1"/>
  <c r="B1985" i="1"/>
  <c r="A1986" i="1"/>
  <c r="B1986" i="1"/>
  <c r="A1987" i="1"/>
  <c r="B1987" i="1"/>
  <c r="A1988" i="1"/>
  <c r="B1988" i="1"/>
  <c r="A1989" i="1"/>
  <c r="B1989" i="1"/>
  <c r="A1990" i="1"/>
  <c r="B1990" i="1"/>
  <c r="A1991" i="1"/>
  <c r="B1991" i="1"/>
  <c r="A1992" i="1"/>
  <c r="B1992" i="1"/>
  <c r="A1993" i="1"/>
  <c r="B1993" i="1"/>
  <c r="A1994" i="1"/>
  <c r="B1994" i="1"/>
  <c r="A1995" i="1"/>
  <c r="B1995" i="1"/>
  <c r="A1996" i="1"/>
  <c r="B1996" i="1"/>
  <c r="A1997" i="1"/>
  <c r="B1997" i="1"/>
  <c r="A1998" i="1"/>
  <c r="B1998" i="1"/>
  <c r="A1999" i="1"/>
  <c r="B1999" i="1"/>
  <c r="A2000" i="1"/>
  <c r="B2000" i="1"/>
  <c r="A2001" i="1"/>
  <c r="B2001" i="1"/>
  <c r="A2002" i="1"/>
  <c r="B2002" i="1"/>
  <c r="A2003" i="1"/>
  <c r="B2003" i="1"/>
  <c r="A2004" i="1"/>
  <c r="B2004" i="1"/>
  <c r="A2005" i="1"/>
  <c r="B2005" i="1"/>
  <c r="A2006" i="1"/>
  <c r="B2006" i="1"/>
  <c r="A2007" i="1"/>
  <c r="B2007" i="1"/>
  <c r="A2008" i="1"/>
  <c r="B2008" i="1"/>
  <c r="A2009" i="1"/>
  <c r="B2009" i="1"/>
  <c r="A2010" i="1"/>
  <c r="B2010" i="1"/>
  <c r="A2011" i="1"/>
  <c r="B2011" i="1"/>
  <c r="A2012" i="1"/>
  <c r="B2012" i="1"/>
  <c r="A2013" i="1"/>
  <c r="B2013" i="1"/>
  <c r="A2014" i="1"/>
  <c r="B2014" i="1"/>
  <c r="A2015" i="1"/>
  <c r="B2015" i="1"/>
  <c r="A2016" i="1"/>
  <c r="B2016" i="1"/>
  <c r="A2017" i="1"/>
  <c r="B2017" i="1"/>
  <c r="A2018" i="1"/>
  <c r="B2018" i="1"/>
  <c r="A2019" i="1"/>
  <c r="B2019" i="1"/>
  <c r="A2020" i="1"/>
  <c r="B2020" i="1"/>
  <c r="A2021" i="1"/>
  <c r="B2021" i="1"/>
  <c r="A2022" i="1"/>
  <c r="B2022" i="1"/>
  <c r="A2023" i="1"/>
  <c r="B2023" i="1"/>
  <c r="A2024" i="1"/>
  <c r="B2024" i="1"/>
  <c r="A2025" i="1"/>
  <c r="B2025" i="1"/>
  <c r="A2026" i="1"/>
  <c r="B2026" i="1"/>
  <c r="A2027" i="1"/>
  <c r="B2027" i="1"/>
  <c r="A2028" i="1"/>
  <c r="B2028" i="1"/>
  <c r="A2029" i="1"/>
  <c r="B2029" i="1"/>
  <c r="A2030" i="1"/>
  <c r="B2030" i="1"/>
  <c r="A2031" i="1"/>
  <c r="B2031" i="1"/>
  <c r="A2032" i="1"/>
  <c r="B2032" i="1"/>
  <c r="A2033" i="1"/>
  <c r="B2033" i="1"/>
  <c r="A2034" i="1"/>
  <c r="B2034" i="1"/>
  <c r="A2035" i="1"/>
  <c r="B2035" i="1"/>
  <c r="A2036" i="1"/>
  <c r="B2036" i="1"/>
  <c r="A2037" i="1"/>
  <c r="B2037" i="1"/>
  <c r="A2038" i="1"/>
  <c r="B2038" i="1"/>
  <c r="A2039" i="1"/>
  <c r="B2039" i="1"/>
  <c r="A2040" i="1"/>
  <c r="B2040" i="1"/>
  <c r="A2041" i="1"/>
  <c r="B2041" i="1"/>
  <c r="A2042" i="1"/>
  <c r="B2042" i="1"/>
  <c r="A2043" i="1"/>
  <c r="B2043" i="1"/>
  <c r="A2044" i="1"/>
  <c r="B2044" i="1"/>
  <c r="A2045" i="1"/>
  <c r="B2045" i="1"/>
  <c r="A2046" i="1"/>
  <c r="B2046" i="1"/>
  <c r="A2047" i="1"/>
  <c r="B2047" i="1"/>
  <c r="A2048" i="1"/>
  <c r="B2048" i="1"/>
  <c r="A2049" i="1"/>
  <c r="B2049" i="1"/>
  <c r="A2050" i="1"/>
  <c r="B2050" i="1"/>
  <c r="A2051" i="1"/>
  <c r="B2051" i="1"/>
  <c r="A2052" i="1"/>
  <c r="B2052" i="1"/>
  <c r="A2053" i="1"/>
  <c r="B2053" i="1"/>
  <c r="A2054" i="1"/>
  <c r="B2054" i="1"/>
  <c r="A2055" i="1"/>
  <c r="B2055" i="1"/>
  <c r="A2056" i="1"/>
  <c r="B2056" i="1"/>
  <c r="A2057" i="1"/>
  <c r="B2057" i="1"/>
  <c r="A2058" i="1"/>
  <c r="B2058" i="1"/>
  <c r="A2059" i="1"/>
  <c r="B2059" i="1"/>
  <c r="A2060" i="1"/>
  <c r="B2060" i="1"/>
  <c r="A2061" i="1"/>
  <c r="B2061" i="1"/>
  <c r="A2062" i="1"/>
  <c r="B2062" i="1"/>
  <c r="A2063" i="1"/>
  <c r="B2063" i="1"/>
  <c r="A2064" i="1"/>
  <c r="B2064" i="1"/>
  <c r="A2065" i="1"/>
  <c r="B2065" i="1"/>
  <c r="A2066" i="1"/>
  <c r="B2066" i="1"/>
  <c r="A2067" i="1"/>
  <c r="B2067" i="1"/>
  <c r="A2068" i="1"/>
  <c r="B2068" i="1"/>
  <c r="A2069" i="1"/>
  <c r="B2069" i="1"/>
  <c r="A2070" i="1"/>
  <c r="B2070" i="1"/>
  <c r="A2071" i="1"/>
  <c r="B2071" i="1"/>
  <c r="A2072" i="1"/>
  <c r="B2072" i="1"/>
  <c r="A2073" i="1"/>
  <c r="B2073" i="1"/>
  <c r="A2074" i="1"/>
  <c r="B2074" i="1"/>
  <c r="A2075" i="1"/>
  <c r="B2075" i="1"/>
  <c r="A2076" i="1"/>
  <c r="B2076" i="1"/>
  <c r="A2077" i="1"/>
  <c r="B2077" i="1"/>
  <c r="A2078" i="1"/>
  <c r="B2078" i="1"/>
  <c r="A2079" i="1"/>
  <c r="B2079" i="1"/>
  <c r="A2080" i="1"/>
  <c r="B2080" i="1"/>
  <c r="A2081" i="1"/>
  <c r="B2081" i="1"/>
  <c r="A2082" i="1"/>
  <c r="B2082" i="1"/>
  <c r="A2083" i="1"/>
  <c r="B2083" i="1"/>
  <c r="A2084" i="1"/>
  <c r="B2084" i="1"/>
  <c r="A2085" i="1"/>
  <c r="B2085" i="1"/>
  <c r="A2086" i="1"/>
  <c r="B2086" i="1"/>
  <c r="A2087" i="1"/>
  <c r="B2087" i="1"/>
  <c r="A2088" i="1"/>
  <c r="B2088" i="1"/>
  <c r="A2089" i="1"/>
  <c r="B2089" i="1"/>
  <c r="A2090" i="1"/>
  <c r="B2090" i="1"/>
  <c r="A2091" i="1"/>
  <c r="B2091" i="1"/>
  <c r="A2092" i="1"/>
  <c r="B2092" i="1"/>
  <c r="A2093" i="1"/>
  <c r="B2093" i="1"/>
  <c r="A2094" i="1"/>
  <c r="B2094" i="1"/>
  <c r="A2095" i="1"/>
  <c r="B2095" i="1"/>
  <c r="A2096" i="1"/>
  <c r="B2096" i="1"/>
  <c r="A2097" i="1"/>
  <c r="B2097" i="1"/>
  <c r="A2098" i="1"/>
  <c r="B2098" i="1"/>
  <c r="A2099" i="1"/>
  <c r="B2099" i="1"/>
  <c r="A2100" i="1"/>
  <c r="B2100" i="1"/>
  <c r="A2101" i="1"/>
  <c r="B2101" i="1"/>
  <c r="A2102" i="1"/>
  <c r="B2102" i="1"/>
  <c r="A2103" i="1"/>
  <c r="B2103" i="1"/>
  <c r="A2104" i="1"/>
  <c r="B2104" i="1"/>
  <c r="A2105" i="1"/>
  <c r="B2105" i="1"/>
  <c r="A2106" i="1"/>
  <c r="B2106" i="1"/>
  <c r="A2107" i="1"/>
  <c r="B2107" i="1"/>
  <c r="A2108" i="1"/>
  <c r="B2108" i="1"/>
  <c r="A2109" i="1"/>
  <c r="B2109" i="1"/>
  <c r="A2110" i="1"/>
  <c r="B2110" i="1"/>
  <c r="A2111" i="1"/>
  <c r="B2111" i="1"/>
  <c r="A2112" i="1"/>
  <c r="B2112" i="1"/>
  <c r="A2113" i="1"/>
  <c r="B2113" i="1"/>
  <c r="A2114" i="1"/>
  <c r="B2114" i="1"/>
  <c r="A2115" i="1"/>
  <c r="B2115" i="1"/>
  <c r="A2116" i="1"/>
  <c r="B2116" i="1"/>
  <c r="A2117" i="1"/>
  <c r="B2117" i="1"/>
  <c r="A2118" i="1"/>
  <c r="B2118" i="1"/>
  <c r="A2119" i="1"/>
  <c r="B2119" i="1"/>
  <c r="A2120" i="1"/>
  <c r="B2120" i="1"/>
  <c r="A2121" i="1"/>
  <c r="B2121" i="1"/>
  <c r="A2122" i="1"/>
  <c r="B2122" i="1"/>
  <c r="A2123" i="1"/>
  <c r="B2123" i="1"/>
  <c r="A2124" i="1"/>
  <c r="B2124" i="1"/>
  <c r="A2125" i="1"/>
  <c r="B2125" i="1"/>
  <c r="A2126" i="1"/>
  <c r="B2126" i="1"/>
  <c r="A2127" i="1"/>
  <c r="B2127" i="1"/>
  <c r="A2128" i="1"/>
  <c r="B2128" i="1"/>
  <c r="A2129" i="1"/>
  <c r="B2129" i="1"/>
  <c r="A2130" i="1"/>
  <c r="B2130" i="1"/>
  <c r="A2131" i="1"/>
  <c r="B2131" i="1"/>
  <c r="A2132" i="1"/>
  <c r="B2132" i="1"/>
  <c r="A2133" i="1"/>
  <c r="B2133" i="1"/>
  <c r="A2134" i="1"/>
  <c r="B2134" i="1"/>
  <c r="A2135" i="1"/>
  <c r="B2135" i="1"/>
  <c r="A2136" i="1"/>
  <c r="B2136" i="1"/>
  <c r="A2137" i="1"/>
  <c r="B2137" i="1"/>
  <c r="A2138" i="1"/>
  <c r="B2138" i="1"/>
  <c r="A2139" i="1"/>
  <c r="B2139" i="1"/>
  <c r="A2140" i="1"/>
  <c r="B2140" i="1"/>
  <c r="A2141" i="1"/>
  <c r="B2141" i="1"/>
  <c r="A2142" i="1"/>
  <c r="B2142" i="1"/>
  <c r="A2143" i="1"/>
  <c r="B2143" i="1"/>
  <c r="A2144" i="1"/>
  <c r="B2144" i="1"/>
  <c r="A2145" i="1"/>
  <c r="B2145" i="1"/>
  <c r="A2146" i="1"/>
  <c r="B2146" i="1"/>
  <c r="A2147" i="1"/>
  <c r="B2147" i="1"/>
  <c r="A2148" i="1"/>
  <c r="B2148" i="1"/>
  <c r="A2149" i="1"/>
  <c r="B2149" i="1"/>
  <c r="A2150" i="1"/>
  <c r="B2150" i="1"/>
  <c r="A2151" i="1"/>
  <c r="B2151" i="1"/>
  <c r="A2152" i="1"/>
  <c r="B2152" i="1"/>
  <c r="A2153" i="1"/>
  <c r="B2153" i="1"/>
  <c r="A2154" i="1"/>
  <c r="B2154" i="1"/>
  <c r="A2155" i="1"/>
  <c r="B2155" i="1"/>
  <c r="A2156" i="1"/>
  <c r="B2156" i="1"/>
  <c r="A2157" i="1"/>
  <c r="B2157" i="1"/>
  <c r="A2158" i="1"/>
  <c r="B2158" i="1"/>
  <c r="A2159" i="1"/>
  <c r="B2159" i="1"/>
  <c r="A2160" i="1"/>
  <c r="B2160" i="1"/>
  <c r="A2161" i="1"/>
  <c r="B2161" i="1"/>
  <c r="A2162" i="1"/>
  <c r="B2162" i="1"/>
  <c r="A2163" i="1"/>
  <c r="B2163" i="1"/>
  <c r="A2164" i="1"/>
  <c r="B2164" i="1"/>
  <c r="A2165" i="1"/>
  <c r="B2165" i="1"/>
  <c r="A2166" i="1"/>
  <c r="B2166" i="1"/>
  <c r="A2167" i="1"/>
  <c r="B2167" i="1"/>
  <c r="A2168" i="1"/>
  <c r="B2168" i="1"/>
  <c r="A2169" i="1"/>
  <c r="B2169" i="1"/>
  <c r="A2170" i="1"/>
  <c r="B2170" i="1"/>
  <c r="A2171" i="1"/>
  <c r="B2171" i="1"/>
  <c r="A2172" i="1"/>
  <c r="B2172" i="1"/>
  <c r="A2173" i="1"/>
  <c r="B2173" i="1"/>
  <c r="A2174" i="1"/>
  <c r="B2174" i="1"/>
  <c r="A2175" i="1"/>
  <c r="B2175" i="1"/>
  <c r="A2176" i="1"/>
  <c r="B2176" i="1"/>
  <c r="A2177" i="1"/>
  <c r="B2177" i="1"/>
  <c r="A2178" i="1"/>
  <c r="B2178" i="1"/>
  <c r="A2179" i="1"/>
  <c r="B2179" i="1"/>
  <c r="A2180" i="1"/>
  <c r="B2180" i="1"/>
  <c r="A2181" i="1"/>
  <c r="B2181" i="1"/>
  <c r="A2182" i="1"/>
  <c r="B2182" i="1"/>
  <c r="A2183" i="1"/>
  <c r="B2183" i="1"/>
  <c r="A2184" i="1"/>
  <c r="B2184" i="1"/>
  <c r="A2185" i="1"/>
  <c r="B2185" i="1"/>
  <c r="A2186" i="1"/>
  <c r="B2186" i="1"/>
  <c r="A2187" i="1"/>
  <c r="B2187" i="1"/>
  <c r="A2188" i="1"/>
  <c r="B2188" i="1"/>
  <c r="A2189" i="1"/>
  <c r="B2189" i="1"/>
  <c r="A2190" i="1"/>
  <c r="B2190" i="1"/>
  <c r="A2191" i="1"/>
  <c r="B2191" i="1"/>
  <c r="A2192" i="1"/>
  <c r="B2192" i="1"/>
  <c r="A2193" i="1"/>
  <c r="B2193" i="1"/>
  <c r="A2194" i="1"/>
  <c r="B2194" i="1"/>
  <c r="A2195" i="1"/>
  <c r="B2195" i="1"/>
  <c r="A2196" i="1"/>
  <c r="B2196" i="1"/>
  <c r="A2197" i="1"/>
  <c r="B2197" i="1"/>
  <c r="A2198" i="1"/>
  <c r="B2198" i="1"/>
  <c r="A2199" i="1"/>
  <c r="B2199" i="1"/>
  <c r="A2200" i="1"/>
  <c r="B2200" i="1"/>
  <c r="A2201" i="1"/>
  <c r="B2201" i="1"/>
  <c r="A2202" i="1"/>
  <c r="B2202" i="1"/>
  <c r="A2203" i="1"/>
  <c r="B2203" i="1"/>
  <c r="A2204" i="1"/>
  <c r="B2204" i="1"/>
  <c r="A2205" i="1"/>
  <c r="B2205" i="1"/>
  <c r="A2206" i="1"/>
  <c r="B2206" i="1"/>
  <c r="A2207" i="1"/>
  <c r="B2207" i="1"/>
  <c r="A2208" i="1"/>
  <c r="B2208" i="1"/>
  <c r="A2209" i="1"/>
  <c r="B2209" i="1"/>
  <c r="A2210" i="1"/>
  <c r="B2210" i="1"/>
  <c r="A2211" i="1"/>
  <c r="B2211" i="1"/>
  <c r="A2212" i="1"/>
  <c r="B2212" i="1"/>
  <c r="A2213" i="1"/>
  <c r="B2213" i="1"/>
  <c r="A2214" i="1"/>
  <c r="B2214" i="1"/>
  <c r="A2215" i="1"/>
  <c r="B2215" i="1"/>
  <c r="A2216" i="1"/>
  <c r="B2216" i="1"/>
  <c r="A2217" i="1"/>
  <c r="B2217" i="1"/>
  <c r="A2218" i="1"/>
  <c r="B2218" i="1"/>
  <c r="A2219" i="1"/>
  <c r="B2219" i="1"/>
  <c r="A2220" i="1"/>
  <c r="B2220" i="1"/>
  <c r="A2221" i="1"/>
  <c r="B2221" i="1"/>
  <c r="A2222" i="1"/>
  <c r="B2222" i="1"/>
  <c r="A2223" i="1"/>
  <c r="B2223" i="1"/>
  <c r="A2224" i="1"/>
  <c r="B2224" i="1"/>
  <c r="A2225" i="1"/>
  <c r="B2225" i="1"/>
  <c r="A2226" i="1"/>
  <c r="B2226" i="1"/>
  <c r="A2227" i="1"/>
  <c r="B2227" i="1"/>
  <c r="A2228" i="1"/>
  <c r="B2228" i="1"/>
  <c r="A2229" i="1"/>
  <c r="B2229" i="1"/>
  <c r="A2230" i="1"/>
  <c r="B2230" i="1"/>
  <c r="A2231" i="1"/>
  <c r="B2231" i="1"/>
  <c r="A2232" i="1"/>
  <c r="B2232" i="1"/>
  <c r="A2233" i="1"/>
  <c r="B2233" i="1"/>
  <c r="A2234" i="1"/>
  <c r="B2234" i="1"/>
  <c r="A2235" i="1"/>
  <c r="B2235" i="1"/>
  <c r="A2236" i="1"/>
  <c r="B2236" i="1"/>
  <c r="A2237" i="1"/>
  <c r="B2237" i="1"/>
  <c r="A2238" i="1"/>
  <c r="B2238" i="1"/>
  <c r="A2239" i="1"/>
  <c r="B2239" i="1"/>
  <c r="A2240" i="1"/>
  <c r="B2240" i="1"/>
  <c r="A2241" i="1"/>
  <c r="B2241" i="1"/>
  <c r="A2242" i="1"/>
  <c r="B2242" i="1"/>
  <c r="A2243" i="1"/>
  <c r="B2243" i="1"/>
  <c r="A2244" i="1"/>
  <c r="B2244" i="1"/>
  <c r="A2245" i="1"/>
  <c r="B2245" i="1"/>
  <c r="A2246" i="1"/>
  <c r="B2246" i="1"/>
  <c r="A2247" i="1"/>
  <c r="B2247" i="1"/>
  <c r="A2248" i="1"/>
  <c r="B2248" i="1"/>
  <c r="A2249" i="1"/>
  <c r="B2249" i="1"/>
  <c r="A2250" i="1"/>
  <c r="B2250" i="1"/>
  <c r="A2251" i="1"/>
  <c r="B2251" i="1"/>
  <c r="A2252" i="1"/>
  <c r="B2252" i="1"/>
  <c r="A2253" i="1"/>
  <c r="B2253" i="1"/>
  <c r="A2254" i="1"/>
  <c r="B2254" i="1"/>
  <c r="A2255" i="1"/>
  <c r="B2255" i="1"/>
  <c r="A2256" i="1"/>
  <c r="B2256" i="1"/>
  <c r="A2257" i="1"/>
  <c r="B2257" i="1"/>
  <c r="A2258" i="1"/>
  <c r="B2258" i="1"/>
  <c r="A2259" i="1"/>
  <c r="B2259" i="1"/>
  <c r="A2260" i="1"/>
  <c r="B2260" i="1"/>
  <c r="A2261" i="1"/>
  <c r="B2261" i="1"/>
  <c r="A2262" i="1"/>
  <c r="B2262" i="1"/>
  <c r="A2263" i="1"/>
  <c r="B2263" i="1"/>
  <c r="A2264" i="1"/>
  <c r="B2264" i="1"/>
  <c r="A2265" i="1"/>
  <c r="B2265" i="1"/>
  <c r="A2266" i="1"/>
  <c r="B2266" i="1"/>
  <c r="A2267" i="1"/>
  <c r="B2267" i="1"/>
  <c r="A2268" i="1"/>
  <c r="B2268" i="1"/>
  <c r="A2269" i="1"/>
  <c r="B2269" i="1"/>
  <c r="A2270" i="1"/>
  <c r="B2270" i="1"/>
  <c r="A2271" i="1"/>
  <c r="B2271" i="1"/>
  <c r="A2272" i="1"/>
  <c r="B2272" i="1"/>
  <c r="A2273" i="1"/>
  <c r="B2273" i="1"/>
  <c r="A2274" i="1"/>
  <c r="B2274" i="1"/>
  <c r="A2275" i="1"/>
  <c r="B2275" i="1"/>
  <c r="A2276" i="1"/>
  <c r="B2276" i="1"/>
  <c r="A2277" i="1"/>
  <c r="B2277" i="1"/>
  <c r="A2278" i="1"/>
  <c r="B2278" i="1"/>
  <c r="A2279" i="1"/>
  <c r="B2279" i="1"/>
  <c r="A2280" i="1"/>
  <c r="B2280" i="1"/>
  <c r="A2281" i="1"/>
  <c r="B2281" i="1"/>
  <c r="A2282" i="1"/>
  <c r="B2282" i="1"/>
  <c r="A2283" i="1"/>
  <c r="B2283" i="1"/>
  <c r="A2284" i="1"/>
  <c r="B2284" i="1"/>
  <c r="A2285" i="1"/>
  <c r="B2285" i="1"/>
  <c r="A2286" i="1"/>
  <c r="B2286" i="1"/>
  <c r="A2287" i="1"/>
  <c r="B2287" i="1"/>
  <c r="A2288" i="1"/>
  <c r="B2288" i="1"/>
  <c r="A2289" i="1"/>
  <c r="B2289" i="1"/>
  <c r="A2290" i="1"/>
  <c r="B2290" i="1"/>
  <c r="A2291" i="1"/>
  <c r="B2291" i="1"/>
  <c r="A2292" i="1"/>
  <c r="B2292" i="1"/>
  <c r="A2293" i="1"/>
  <c r="B2293" i="1"/>
  <c r="A2294" i="1"/>
  <c r="B2294" i="1"/>
  <c r="A2295" i="1"/>
  <c r="B2295" i="1"/>
  <c r="A2296" i="1"/>
  <c r="B2296" i="1"/>
  <c r="A2297" i="1"/>
  <c r="B2297" i="1"/>
  <c r="A2298" i="1"/>
  <c r="B2298" i="1"/>
  <c r="A2299" i="1"/>
  <c r="B2299" i="1"/>
  <c r="A2300" i="1"/>
  <c r="B2300" i="1"/>
  <c r="A2301" i="1"/>
  <c r="B2301" i="1"/>
  <c r="A2302" i="1"/>
  <c r="B2302" i="1"/>
  <c r="A2303" i="1"/>
  <c r="B2303" i="1"/>
  <c r="A2304" i="1"/>
  <c r="B2304" i="1"/>
  <c r="A2305" i="1"/>
  <c r="B2305" i="1"/>
  <c r="A2306" i="1"/>
  <c r="B2306" i="1"/>
  <c r="A2307" i="1"/>
  <c r="B2307" i="1"/>
  <c r="A2308" i="1"/>
  <c r="B2308" i="1"/>
  <c r="A2309" i="1"/>
  <c r="B2309" i="1"/>
  <c r="A2310" i="1"/>
  <c r="B2310" i="1"/>
  <c r="A2311" i="1"/>
  <c r="B2311" i="1"/>
  <c r="A2312" i="1"/>
  <c r="B2312" i="1"/>
  <c r="A2313" i="1"/>
  <c r="B2313" i="1"/>
  <c r="A2314" i="1"/>
  <c r="B2314" i="1"/>
  <c r="A2315" i="1"/>
  <c r="B2315" i="1"/>
  <c r="A2316" i="1"/>
  <c r="B2316" i="1"/>
  <c r="A2317" i="1"/>
  <c r="B2317" i="1"/>
  <c r="A2318" i="1"/>
  <c r="B2318" i="1"/>
  <c r="A2319" i="1"/>
  <c r="B2319" i="1"/>
  <c r="A2320" i="1"/>
  <c r="B2320" i="1"/>
  <c r="A2321" i="1"/>
  <c r="B2321" i="1"/>
  <c r="A2322" i="1"/>
  <c r="B2322" i="1"/>
  <c r="A2323" i="1"/>
  <c r="B2323" i="1"/>
  <c r="A2324" i="1"/>
  <c r="B2324" i="1"/>
  <c r="A2325" i="1"/>
  <c r="B2325" i="1"/>
  <c r="A2326" i="1"/>
  <c r="B2326" i="1"/>
  <c r="A2327" i="1"/>
  <c r="B2327" i="1"/>
  <c r="A2328" i="1"/>
  <c r="B2328" i="1"/>
  <c r="A2329" i="1"/>
  <c r="B2329" i="1"/>
  <c r="A2330" i="1"/>
  <c r="B2330" i="1"/>
  <c r="A2331" i="1"/>
  <c r="B2331" i="1"/>
  <c r="A2332" i="1"/>
  <c r="B2332" i="1"/>
  <c r="A2333" i="1"/>
  <c r="B2333" i="1"/>
  <c r="A2334" i="1"/>
  <c r="B2334" i="1"/>
  <c r="A2335" i="1"/>
  <c r="B2335" i="1"/>
  <c r="A2336" i="1"/>
  <c r="B2336" i="1"/>
  <c r="A2337" i="1"/>
  <c r="B2337" i="1"/>
  <c r="A2338" i="1"/>
  <c r="B2338" i="1"/>
  <c r="A2339" i="1"/>
  <c r="B2339" i="1"/>
  <c r="A2340" i="1"/>
  <c r="B2340" i="1"/>
  <c r="A2341" i="1"/>
  <c r="B2341" i="1"/>
  <c r="A2342" i="1"/>
  <c r="B2342" i="1"/>
  <c r="A2343" i="1"/>
  <c r="B2343" i="1"/>
  <c r="A2344" i="1"/>
  <c r="B2344" i="1"/>
  <c r="A2345" i="1"/>
  <c r="B2345" i="1"/>
  <c r="A2346" i="1"/>
  <c r="B2346" i="1"/>
  <c r="A2347" i="1"/>
  <c r="B2347" i="1"/>
  <c r="A2348" i="1"/>
  <c r="B2348" i="1"/>
  <c r="A2349" i="1"/>
  <c r="B2349" i="1"/>
  <c r="A2350" i="1"/>
  <c r="B2350" i="1"/>
  <c r="A2351" i="1"/>
  <c r="B2351" i="1"/>
  <c r="A2352" i="1"/>
  <c r="B2352" i="1"/>
  <c r="A2353" i="1"/>
  <c r="B2353" i="1"/>
  <c r="A2354" i="1"/>
  <c r="B2354" i="1"/>
  <c r="A2355" i="1"/>
  <c r="B2355" i="1"/>
  <c r="A2356" i="1"/>
  <c r="B2356" i="1"/>
  <c r="A2357" i="1"/>
  <c r="B2357" i="1"/>
  <c r="A2358" i="1"/>
  <c r="B2358" i="1"/>
  <c r="A2359" i="1"/>
  <c r="B2359" i="1"/>
  <c r="A2360" i="1"/>
  <c r="B2360" i="1"/>
  <c r="A2361" i="1"/>
  <c r="B2361" i="1"/>
  <c r="A2362" i="1"/>
  <c r="B2362" i="1"/>
  <c r="A2363" i="1"/>
  <c r="B2363" i="1"/>
  <c r="A2364" i="1"/>
  <c r="B2364" i="1"/>
  <c r="A2365" i="1"/>
  <c r="B2365" i="1"/>
  <c r="A2366" i="1"/>
  <c r="B2366" i="1"/>
  <c r="A2367" i="1"/>
  <c r="B2367" i="1"/>
  <c r="A2368" i="1"/>
  <c r="B2368" i="1"/>
  <c r="A2369" i="1"/>
  <c r="B2369" i="1"/>
  <c r="A2370" i="1"/>
  <c r="B2370" i="1"/>
  <c r="A2371" i="1"/>
  <c r="B2371" i="1"/>
  <c r="A2372" i="1"/>
  <c r="B2372" i="1"/>
  <c r="A2373" i="1"/>
  <c r="B2373" i="1"/>
  <c r="A2374" i="1"/>
  <c r="B2374" i="1"/>
  <c r="A2375" i="1"/>
  <c r="B2375" i="1"/>
  <c r="A2376" i="1"/>
  <c r="B2376" i="1"/>
  <c r="A2377" i="1"/>
  <c r="B2377" i="1"/>
  <c r="A2378" i="1"/>
  <c r="B2378" i="1"/>
  <c r="A2379" i="1"/>
  <c r="B2379" i="1"/>
  <c r="A2380" i="1"/>
  <c r="B2380" i="1"/>
  <c r="A2381" i="1"/>
  <c r="B2381" i="1"/>
  <c r="A2382" i="1"/>
  <c r="B2382" i="1"/>
  <c r="A2383" i="1"/>
  <c r="B2383" i="1"/>
  <c r="A2384" i="1"/>
  <c r="B2384" i="1"/>
  <c r="A2385" i="1"/>
  <c r="B2385" i="1"/>
  <c r="A2386" i="1"/>
  <c r="B2386" i="1"/>
  <c r="A2387" i="1"/>
  <c r="B2387" i="1"/>
  <c r="A2388" i="1"/>
  <c r="B2388" i="1"/>
  <c r="A2389" i="1"/>
  <c r="B2389" i="1"/>
  <c r="A2390" i="1"/>
  <c r="B2390" i="1"/>
  <c r="A2391" i="1"/>
  <c r="B2391" i="1"/>
  <c r="A2392" i="1"/>
  <c r="B2392" i="1"/>
  <c r="A2393" i="1"/>
  <c r="B2393" i="1"/>
  <c r="A2394" i="1"/>
  <c r="B2394" i="1"/>
  <c r="A2395" i="1"/>
  <c r="B2395" i="1"/>
  <c r="A2396" i="1"/>
  <c r="B2396" i="1"/>
  <c r="A2397" i="1"/>
  <c r="B2397" i="1"/>
  <c r="A2398" i="1"/>
  <c r="B2398" i="1"/>
  <c r="A2399" i="1"/>
  <c r="B2399" i="1"/>
  <c r="A2400" i="1"/>
  <c r="B2400" i="1"/>
  <c r="A2401" i="1"/>
  <c r="B2401" i="1"/>
  <c r="A2402" i="1"/>
  <c r="B2402" i="1"/>
  <c r="A2403" i="1"/>
  <c r="B2403" i="1"/>
  <c r="A2404" i="1"/>
  <c r="B2404" i="1"/>
  <c r="A2405" i="1"/>
  <c r="B2405" i="1"/>
  <c r="A2406" i="1"/>
  <c r="B2406" i="1"/>
  <c r="A2407" i="1"/>
  <c r="B2407" i="1"/>
  <c r="A2408" i="1"/>
  <c r="B2408" i="1"/>
  <c r="A2409" i="1"/>
  <c r="B2409" i="1"/>
  <c r="A2410" i="1"/>
  <c r="B2410" i="1"/>
  <c r="A2411" i="1"/>
  <c r="B2411" i="1"/>
  <c r="A2412" i="1"/>
  <c r="B2412" i="1"/>
  <c r="A2413" i="1"/>
  <c r="B2413" i="1"/>
  <c r="A2414" i="1"/>
  <c r="B2414" i="1"/>
  <c r="A2415" i="1"/>
  <c r="B2415" i="1"/>
  <c r="A2416" i="1"/>
  <c r="B2416" i="1"/>
  <c r="A2417" i="1"/>
  <c r="B2417" i="1"/>
  <c r="A2418" i="1"/>
  <c r="B2418" i="1"/>
  <c r="A2419" i="1"/>
  <c r="B2419" i="1"/>
  <c r="A2420" i="1"/>
  <c r="B2420" i="1"/>
  <c r="A2421" i="1"/>
  <c r="B2421" i="1"/>
  <c r="A2422" i="1"/>
  <c r="B2422" i="1"/>
  <c r="A2423" i="1"/>
  <c r="B2423" i="1"/>
  <c r="A2424" i="1"/>
  <c r="B2424" i="1"/>
  <c r="A2425" i="1"/>
  <c r="B2425" i="1"/>
  <c r="A2426" i="1"/>
  <c r="B2426" i="1"/>
  <c r="A2427" i="1"/>
  <c r="B2427" i="1"/>
  <c r="A2428" i="1"/>
  <c r="B2428" i="1"/>
  <c r="A2429" i="1"/>
  <c r="B2429" i="1"/>
  <c r="A2430" i="1"/>
  <c r="B2430" i="1"/>
  <c r="A2431" i="1"/>
  <c r="B2431" i="1"/>
  <c r="A2432" i="1"/>
  <c r="B2432" i="1"/>
  <c r="A2433" i="1"/>
  <c r="B2433" i="1"/>
  <c r="A2434" i="1"/>
  <c r="B2434" i="1"/>
  <c r="A2435" i="1"/>
  <c r="B2435" i="1"/>
  <c r="A2436" i="1"/>
  <c r="B2436" i="1"/>
  <c r="A2437" i="1"/>
  <c r="B2437" i="1"/>
  <c r="A2438" i="1"/>
  <c r="B2438" i="1"/>
  <c r="A2439" i="1"/>
  <c r="B2439" i="1"/>
  <c r="A2440" i="1"/>
  <c r="B2440" i="1"/>
  <c r="A2441" i="1"/>
  <c r="B2441" i="1"/>
  <c r="A2442" i="1"/>
  <c r="B2442" i="1"/>
  <c r="A2443" i="1"/>
  <c r="B2443" i="1"/>
  <c r="A2444" i="1"/>
  <c r="B2444" i="1"/>
  <c r="A2445" i="1"/>
  <c r="B2445" i="1"/>
  <c r="A2446" i="1"/>
  <c r="B2446" i="1"/>
  <c r="A2447" i="1"/>
  <c r="B2447" i="1"/>
  <c r="A2448" i="1"/>
  <c r="B2448" i="1"/>
  <c r="A2449" i="1"/>
  <c r="B2449" i="1"/>
  <c r="A2450" i="1"/>
  <c r="B2450" i="1"/>
  <c r="A2451" i="1"/>
  <c r="B2451" i="1"/>
  <c r="A2452" i="1"/>
  <c r="B2452" i="1"/>
  <c r="A2453" i="1"/>
  <c r="B2453" i="1"/>
  <c r="A2454" i="1"/>
  <c r="B2454" i="1"/>
  <c r="A2455" i="1"/>
  <c r="B2455" i="1"/>
  <c r="A2456" i="1"/>
  <c r="B2456" i="1"/>
  <c r="A2457" i="1"/>
  <c r="B2457" i="1"/>
  <c r="A2458" i="1"/>
  <c r="B2458" i="1"/>
  <c r="A2459" i="1"/>
  <c r="B2459" i="1"/>
  <c r="A2460" i="1"/>
  <c r="B2460" i="1"/>
  <c r="A2461" i="1"/>
  <c r="B2461" i="1"/>
  <c r="A2462" i="1"/>
  <c r="B2462" i="1"/>
  <c r="A2463" i="1"/>
  <c r="B2463" i="1"/>
  <c r="A2464" i="1"/>
  <c r="B2464" i="1"/>
  <c r="A2465" i="1"/>
  <c r="B2465" i="1"/>
  <c r="A2466" i="1"/>
  <c r="B2466" i="1"/>
  <c r="A2467" i="1"/>
  <c r="B2467" i="1"/>
  <c r="A2468" i="1"/>
  <c r="B2468" i="1"/>
  <c r="A2469" i="1"/>
  <c r="B2469" i="1"/>
  <c r="A2470" i="1"/>
  <c r="B2470" i="1"/>
  <c r="A2471" i="1"/>
  <c r="B2471" i="1"/>
  <c r="A2472" i="1"/>
  <c r="B2472" i="1"/>
  <c r="A2473" i="1"/>
  <c r="B2473" i="1"/>
  <c r="A2474" i="1"/>
  <c r="B2474" i="1"/>
  <c r="A2475" i="1"/>
  <c r="B2475" i="1"/>
  <c r="A2476" i="1"/>
  <c r="B2476" i="1"/>
  <c r="A2477" i="1"/>
  <c r="B2477" i="1"/>
  <c r="A2478" i="1"/>
  <c r="B2478" i="1"/>
  <c r="A2479" i="1"/>
  <c r="B2479" i="1"/>
  <c r="A2480" i="1"/>
  <c r="B2480" i="1"/>
  <c r="A2481" i="1"/>
  <c r="B2481" i="1"/>
  <c r="A2482" i="1"/>
  <c r="B2482" i="1"/>
  <c r="A2483" i="1"/>
  <c r="B2483" i="1"/>
  <c r="A2484" i="1"/>
  <c r="B2484" i="1"/>
  <c r="A2485" i="1"/>
  <c r="B2485" i="1"/>
  <c r="A2486" i="1"/>
  <c r="B2486" i="1"/>
  <c r="A2487" i="1"/>
  <c r="B2487" i="1"/>
  <c r="A2488" i="1"/>
  <c r="B2488" i="1"/>
  <c r="A2489" i="1"/>
  <c r="B2489" i="1"/>
  <c r="A2490" i="1"/>
  <c r="B2490" i="1"/>
  <c r="A2491" i="1"/>
  <c r="B2491" i="1"/>
  <c r="A2492" i="1"/>
  <c r="B2492" i="1"/>
  <c r="A2493" i="1"/>
  <c r="B2493" i="1"/>
  <c r="A2494" i="1"/>
  <c r="B2494" i="1"/>
  <c r="A2495" i="1"/>
  <c r="B2495" i="1"/>
  <c r="A2496" i="1"/>
  <c r="B2496" i="1"/>
  <c r="A2497" i="1"/>
  <c r="B2497" i="1"/>
  <c r="A2498" i="1"/>
  <c r="B2498" i="1"/>
  <c r="A2499" i="1"/>
  <c r="B2499" i="1"/>
  <c r="A2500" i="1"/>
  <c r="B2500" i="1"/>
  <c r="A2501" i="1"/>
  <c r="B2501" i="1"/>
  <c r="A2502" i="1"/>
  <c r="B2502" i="1"/>
  <c r="A2503" i="1"/>
  <c r="B2503" i="1"/>
  <c r="A2504" i="1"/>
  <c r="B2504" i="1"/>
  <c r="A2505" i="1"/>
  <c r="B2505" i="1"/>
  <c r="A2506" i="1"/>
  <c r="B2506" i="1"/>
  <c r="A2507" i="1"/>
  <c r="B2507" i="1"/>
  <c r="A2508" i="1"/>
  <c r="B2508" i="1"/>
  <c r="A2509" i="1"/>
  <c r="B2509" i="1"/>
  <c r="A2510" i="1"/>
  <c r="B2510" i="1"/>
  <c r="A2511" i="1"/>
  <c r="B2511" i="1"/>
  <c r="A2512" i="1"/>
  <c r="B2512" i="1"/>
  <c r="A2513" i="1"/>
  <c r="B2513" i="1"/>
  <c r="A2514" i="1"/>
  <c r="B2514" i="1"/>
  <c r="A2515" i="1"/>
  <c r="B2515" i="1"/>
  <c r="A2516" i="1"/>
  <c r="B2516" i="1"/>
  <c r="A2517" i="1"/>
  <c r="B2517" i="1"/>
  <c r="A2518" i="1"/>
  <c r="B2518" i="1"/>
  <c r="A2519" i="1"/>
  <c r="B2519" i="1"/>
  <c r="A2520" i="1"/>
  <c r="B2520" i="1"/>
  <c r="A2521" i="1"/>
  <c r="B2521" i="1"/>
  <c r="A2522" i="1"/>
  <c r="B2522" i="1"/>
  <c r="A2523" i="1"/>
  <c r="B2523" i="1"/>
  <c r="A2524" i="1"/>
  <c r="B2524" i="1"/>
  <c r="A2525" i="1"/>
  <c r="B2525" i="1"/>
  <c r="A2526" i="1"/>
  <c r="B2526" i="1"/>
  <c r="A2527" i="1"/>
  <c r="B2527" i="1"/>
  <c r="A2528" i="1"/>
  <c r="B2528" i="1"/>
  <c r="A2529" i="1"/>
  <c r="B2529" i="1"/>
  <c r="A2530" i="1"/>
  <c r="B2530" i="1"/>
  <c r="A2531" i="1"/>
  <c r="B2531" i="1"/>
  <c r="A2532" i="1"/>
  <c r="B2532" i="1"/>
  <c r="A2533" i="1"/>
  <c r="B2533" i="1"/>
  <c r="A2534" i="1"/>
  <c r="B2534" i="1"/>
  <c r="A2535" i="1"/>
  <c r="B2535" i="1"/>
  <c r="A2536" i="1"/>
  <c r="B2536" i="1"/>
  <c r="A2537" i="1"/>
  <c r="B2537" i="1"/>
  <c r="A2538" i="1"/>
  <c r="B2538" i="1"/>
  <c r="A2539" i="1"/>
  <c r="B2539" i="1"/>
  <c r="A2540" i="1"/>
  <c r="B2540" i="1"/>
  <c r="A2541" i="1"/>
  <c r="B2541" i="1"/>
  <c r="A2542" i="1"/>
  <c r="B2542" i="1"/>
  <c r="A2543" i="1"/>
  <c r="B2543" i="1"/>
  <c r="A2544" i="1"/>
  <c r="B2544" i="1"/>
  <c r="A2545" i="1"/>
  <c r="B2545" i="1"/>
  <c r="A2546" i="1"/>
  <c r="B2546" i="1"/>
  <c r="A2547" i="1"/>
  <c r="B2547" i="1"/>
  <c r="A2548" i="1"/>
  <c r="B2548" i="1"/>
  <c r="A2549" i="1"/>
  <c r="B2549" i="1"/>
  <c r="A2550" i="1"/>
  <c r="B2550" i="1"/>
  <c r="A2551" i="1"/>
  <c r="B2551" i="1"/>
  <c r="A2552" i="1"/>
  <c r="B2552" i="1"/>
  <c r="A2553" i="1"/>
  <c r="B2553" i="1"/>
  <c r="A2554" i="1"/>
  <c r="B2554" i="1"/>
  <c r="A2555" i="1"/>
  <c r="B2555" i="1"/>
  <c r="A2556" i="1"/>
  <c r="B2556" i="1"/>
  <c r="A2557" i="1"/>
  <c r="B2557" i="1"/>
  <c r="A2558" i="1"/>
  <c r="B2558" i="1"/>
  <c r="A2559" i="1"/>
  <c r="B2559" i="1"/>
  <c r="A2560" i="1"/>
  <c r="B2560" i="1"/>
  <c r="A2561" i="1"/>
  <c r="B2561" i="1"/>
  <c r="A2562" i="1"/>
  <c r="B2562" i="1"/>
  <c r="A2563" i="1"/>
  <c r="B2563" i="1"/>
  <c r="A2564" i="1"/>
  <c r="B2564" i="1"/>
  <c r="A2565" i="1"/>
  <c r="B2565" i="1"/>
  <c r="A2566" i="1"/>
  <c r="B2566" i="1"/>
  <c r="A2567" i="1"/>
  <c r="B2567" i="1"/>
  <c r="A2568" i="1"/>
  <c r="B2568" i="1"/>
  <c r="A2569" i="1"/>
  <c r="B2569" i="1"/>
  <c r="A2570" i="1"/>
  <c r="B2570" i="1"/>
  <c r="A2571" i="1"/>
  <c r="B2571" i="1"/>
  <c r="A2572" i="1"/>
  <c r="B2572" i="1"/>
  <c r="A2573" i="1"/>
  <c r="B2573" i="1"/>
  <c r="A2574" i="1"/>
  <c r="B2574" i="1"/>
  <c r="A2575" i="1"/>
  <c r="B2575" i="1"/>
  <c r="A2576" i="1"/>
  <c r="B2576" i="1"/>
  <c r="A2577" i="1"/>
  <c r="B2577" i="1"/>
  <c r="A2578" i="1"/>
  <c r="B2578" i="1"/>
  <c r="A2579" i="1"/>
  <c r="B2579" i="1"/>
  <c r="A2580" i="1"/>
  <c r="B2580" i="1"/>
  <c r="A2581" i="1"/>
  <c r="B2581" i="1"/>
  <c r="A2582" i="1"/>
  <c r="B2582" i="1"/>
  <c r="A2583" i="1"/>
  <c r="B2583" i="1"/>
  <c r="A2584" i="1"/>
  <c r="B2584" i="1"/>
  <c r="A2585" i="1"/>
  <c r="B2585" i="1"/>
  <c r="A2586" i="1"/>
  <c r="B2586" i="1"/>
  <c r="A2587" i="1"/>
  <c r="B2587" i="1"/>
  <c r="A2588" i="1"/>
  <c r="B2588" i="1"/>
  <c r="A2589" i="1"/>
  <c r="B2589" i="1"/>
  <c r="A2590" i="1"/>
  <c r="B2590" i="1"/>
  <c r="A2591" i="1"/>
  <c r="B2591" i="1"/>
  <c r="A2592" i="1"/>
  <c r="B2592" i="1"/>
  <c r="A2593" i="1"/>
  <c r="B2593" i="1"/>
  <c r="A2594" i="1"/>
  <c r="B2594" i="1"/>
  <c r="A2595" i="1"/>
  <c r="B2595" i="1"/>
  <c r="A2596" i="1"/>
  <c r="B2596" i="1"/>
  <c r="A2597" i="1"/>
  <c r="B2597" i="1"/>
  <c r="A2598" i="1"/>
  <c r="B2598" i="1"/>
  <c r="A2599" i="1"/>
  <c r="B2599" i="1"/>
  <c r="A2600" i="1"/>
  <c r="B2600" i="1"/>
  <c r="A2601" i="1"/>
  <c r="B2601" i="1"/>
  <c r="A2602" i="1"/>
  <c r="B2602" i="1"/>
  <c r="A2603" i="1"/>
  <c r="B2603" i="1"/>
  <c r="A2604" i="1"/>
  <c r="B2604" i="1"/>
  <c r="A2605" i="1"/>
  <c r="B2605" i="1"/>
  <c r="A2606" i="1"/>
  <c r="B2606" i="1"/>
  <c r="A2607" i="1"/>
  <c r="B2607" i="1"/>
  <c r="A2608" i="1"/>
  <c r="B2608" i="1"/>
  <c r="A2609" i="1"/>
  <c r="B2609" i="1"/>
  <c r="A2610" i="1"/>
  <c r="B2610" i="1"/>
  <c r="A2611" i="1"/>
  <c r="B2611" i="1"/>
  <c r="A2612" i="1"/>
  <c r="B2612" i="1"/>
  <c r="A2613" i="1"/>
  <c r="B2613" i="1"/>
  <c r="A2614" i="1"/>
  <c r="B2614" i="1"/>
  <c r="A2615" i="1"/>
  <c r="B2615" i="1"/>
  <c r="A2616" i="1"/>
  <c r="B2616" i="1"/>
  <c r="A2617" i="1"/>
  <c r="B2617" i="1"/>
  <c r="A2618" i="1"/>
  <c r="B2618" i="1"/>
  <c r="A2619" i="1"/>
  <c r="B2619" i="1"/>
  <c r="A2620" i="1"/>
  <c r="B2620" i="1"/>
  <c r="A2621" i="1"/>
  <c r="B2621" i="1"/>
  <c r="A2622" i="1"/>
  <c r="B2622" i="1"/>
  <c r="A2623" i="1"/>
  <c r="B2623" i="1"/>
  <c r="A2624" i="1"/>
  <c r="B2624" i="1"/>
  <c r="A2625" i="1"/>
  <c r="B2625" i="1"/>
  <c r="A2626" i="1"/>
  <c r="B2626" i="1"/>
  <c r="A2627" i="1"/>
  <c r="B2627" i="1"/>
  <c r="A2628" i="1"/>
  <c r="B2628" i="1"/>
  <c r="A2629" i="1"/>
  <c r="B2629" i="1"/>
  <c r="A2630" i="1"/>
  <c r="B2630" i="1"/>
  <c r="A2631" i="1"/>
  <c r="B2631" i="1"/>
  <c r="A2632" i="1"/>
  <c r="B2632" i="1"/>
  <c r="A2633" i="1"/>
  <c r="B2633" i="1"/>
  <c r="A2634" i="1"/>
  <c r="B2634" i="1"/>
  <c r="A2635" i="1"/>
  <c r="B2635" i="1"/>
  <c r="A2636" i="1"/>
  <c r="B2636" i="1"/>
  <c r="A2637" i="1"/>
  <c r="B2637" i="1"/>
  <c r="A2638" i="1"/>
  <c r="B2638" i="1"/>
  <c r="A2639" i="1"/>
  <c r="B2639" i="1"/>
  <c r="A2640" i="1"/>
  <c r="B2640" i="1"/>
  <c r="A2641" i="1"/>
  <c r="B2641" i="1"/>
  <c r="A2642" i="1"/>
  <c r="B2642" i="1"/>
  <c r="A2643" i="1"/>
  <c r="B2643" i="1"/>
  <c r="A2644" i="1"/>
  <c r="B2644" i="1"/>
  <c r="A2645" i="1"/>
  <c r="B2645" i="1"/>
  <c r="A2646" i="1"/>
  <c r="B2646" i="1"/>
  <c r="A2647" i="1"/>
  <c r="B2647" i="1"/>
  <c r="A2648" i="1"/>
  <c r="B2648" i="1"/>
  <c r="A2649" i="1"/>
  <c r="B2649" i="1"/>
  <c r="A2650" i="1"/>
  <c r="B2650" i="1"/>
  <c r="A2651" i="1"/>
  <c r="B2651" i="1"/>
  <c r="A2652" i="1"/>
  <c r="B2652" i="1"/>
  <c r="A2653" i="1"/>
  <c r="B2653" i="1"/>
  <c r="A2654" i="1"/>
  <c r="B2654" i="1"/>
  <c r="A2655" i="1"/>
  <c r="B2655" i="1"/>
  <c r="A2656" i="1"/>
  <c r="B2656" i="1"/>
  <c r="A2657" i="1"/>
  <c r="B2657" i="1"/>
  <c r="A2658" i="1"/>
  <c r="B2658" i="1"/>
  <c r="A2659" i="1"/>
  <c r="B2659" i="1"/>
  <c r="A2660" i="1"/>
  <c r="B2660" i="1"/>
  <c r="A2661" i="1"/>
  <c r="B2661" i="1"/>
  <c r="A2662" i="1"/>
  <c r="B2662" i="1"/>
  <c r="A2663" i="1"/>
  <c r="B2663" i="1"/>
  <c r="A2664" i="1"/>
  <c r="B2664" i="1"/>
  <c r="A2665" i="1"/>
  <c r="B2665" i="1"/>
  <c r="A2666" i="1"/>
  <c r="B2666" i="1"/>
  <c r="A2667" i="1"/>
  <c r="B2667" i="1"/>
  <c r="A2668" i="1"/>
  <c r="B2668" i="1"/>
  <c r="A2669" i="1"/>
  <c r="B2669" i="1"/>
  <c r="A2670" i="1"/>
  <c r="B2670" i="1"/>
  <c r="A2671" i="1"/>
  <c r="B2671" i="1"/>
  <c r="A2672" i="1"/>
  <c r="B2672" i="1"/>
  <c r="A2673" i="1"/>
  <c r="B2673" i="1"/>
  <c r="A2674" i="1"/>
  <c r="B2674" i="1"/>
  <c r="A2675" i="1"/>
  <c r="B2675" i="1"/>
  <c r="A2676" i="1"/>
  <c r="B2676" i="1"/>
  <c r="A2677" i="1"/>
  <c r="B2677" i="1"/>
  <c r="A2678" i="1"/>
  <c r="B2678" i="1"/>
  <c r="A2679" i="1"/>
  <c r="B2679" i="1"/>
  <c r="A2680" i="1"/>
  <c r="B2680" i="1"/>
  <c r="A2681" i="1"/>
  <c r="B2681" i="1"/>
  <c r="A2682" i="1"/>
  <c r="B2682" i="1"/>
  <c r="A2683" i="1"/>
  <c r="B2683" i="1"/>
  <c r="A2684" i="1"/>
  <c r="B2684" i="1"/>
  <c r="A2685" i="1"/>
  <c r="B2685" i="1"/>
  <c r="A2686" i="1"/>
  <c r="B2686" i="1"/>
  <c r="A2687" i="1"/>
  <c r="B2687" i="1"/>
  <c r="A2688" i="1"/>
  <c r="B2688" i="1"/>
  <c r="A2689" i="1"/>
  <c r="B2689" i="1"/>
  <c r="A2690" i="1"/>
  <c r="B2690" i="1"/>
  <c r="A2691" i="1"/>
  <c r="B2691" i="1"/>
  <c r="A2692" i="1"/>
  <c r="B2692" i="1"/>
  <c r="A2693" i="1"/>
  <c r="B2693" i="1"/>
  <c r="A2694" i="1"/>
  <c r="B2694" i="1"/>
  <c r="A2695" i="1"/>
  <c r="B2695" i="1"/>
  <c r="A2696" i="1"/>
  <c r="B2696" i="1"/>
  <c r="A2697" i="1"/>
  <c r="B2697" i="1"/>
  <c r="A2698" i="1"/>
  <c r="B2698" i="1"/>
  <c r="A2699" i="1"/>
  <c r="B2699" i="1"/>
  <c r="A2700" i="1"/>
  <c r="B2700" i="1"/>
  <c r="A2701" i="1"/>
  <c r="B2701" i="1"/>
  <c r="A2702" i="1"/>
  <c r="B2702" i="1"/>
  <c r="A2703" i="1"/>
  <c r="B2703" i="1"/>
  <c r="A2704" i="1"/>
  <c r="B2704" i="1"/>
  <c r="A2705" i="1"/>
  <c r="B2705" i="1"/>
  <c r="A2706" i="1"/>
  <c r="B2706" i="1"/>
  <c r="A2707" i="1"/>
  <c r="B2707" i="1"/>
  <c r="A2708" i="1"/>
  <c r="B2708" i="1"/>
  <c r="A2709" i="1"/>
  <c r="B2709" i="1"/>
  <c r="A2710" i="1"/>
  <c r="B2710" i="1"/>
  <c r="A2711" i="1"/>
  <c r="B2711" i="1"/>
  <c r="A2712" i="1"/>
  <c r="B2712" i="1"/>
  <c r="A2713" i="1"/>
  <c r="B2713" i="1"/>
  <c r="A2714" i="1"/>
  <c r="B2714" i="1"/>
  <c r="A2715" i="1"/>
  <c r="B2715" i="1"/>
  <c r="A2716" i="1"/>
  <c r="B2716" i="1"/>
  <c r="A2717" i="1"/>
  <c r="B2717" i="1"/>
  <c r="A2718" i="1"/>
  <c r="B2718" i="1"/>
  <c r="A2719" i="1"/>
  <c r="B2719" i="1"/>
  <c r="A2720" i="1"/>
  <c r="B2720" i="1"/>
  <c r="A2721" i="1"/>
  <c r="B2721" i="1"/>
  <c r="A2722" i="1"/>
  <c r="B2722" i="1"/>
  <c r="A2723" i="1"/>
  <c r="B2723" i="1"/>
  <c r="A2724" i="1"/>
  <c r="B2724" i="1"/>
  <c r="A2725" i="1"/>
  <c r="B2725" i="1"/>
  <c r="A2726" i="1"/>
  <c r="B2726" i="1"/>
  <c r="A2727" i="1"/>
  <c r="B2727" i="1"/>
  <c r="A2728" i="1"/>
  <c r="B2728" i="1"/>
  <c r="A2729" i="1"/>
  <c r="B2729" i="1"/>
  <c r="A2730" i="1"/>
  <c r="B2730" i="1"/>
  <c r="A2731" i="1"/>
  <c r="B2731" i="1"/>
  <c r="A2732" i="1"/>
  <c r="B2732" i="1"/>
  <c r="A2733" i="1"/>
  <c r="B2733" i="1"/>
  <c r="A2734" i="1"/>
  <c r="B2734" i="1"/>
  <c r="A2735" i="1"/>
  <c r="B2735" i="1"/>
  <c r="A2736" i="1"/>
  <c r="B2736" i="1"/>
  <c r="A2737" i="1"/>
  <c r="B2737" i="1"/>
  <c r="A2738" i="1"/>
  <c r="B2738" i="1"/>
  <c r="A2739" i="1"/>
  <c r="B2739" i="1"/>
  <c r="A2740" i="1"/>
  <c r="B2740" i="1"/>
  <c r="A2741" i="1"/>
  <c r="B2741" i="1"/>
  <c r="A2742" i="1"/>
  <c r="B2742" i="1"/>
  <c r="A2743" i="1"/>
  <c r="B2743" i="1"/>
  <c r="A2744" i="1"/>
  <c r="B2744" i="1"/>
  <c r="A2745" i="1"/>
  <c r="B2745" i="1"/>
  <c r="A2746" i="1"/>
  <c r="B2746" i="1"/>
  <c r="A2747" i="1"/>
  <c r="B2747" i="1"/>
  <c r="A2748" i="1"/>
  <c r="B2748" i="1"/>
  <c r="A2749" i="1"/>
  <c r="B2749" i="1"/>
  <c r="A2750" i="1"/>
  <c r="B2750" i="1"/>
  <c r="A2751" i="1"/>
  <c r="B2751" i="1"/>
  <c r="A2752" i="1"/>
  <c r="B2752" i="1"/>
  <c r="A2753" i="1"/>
  <c r="B2753" i="1"/>
  <c r="A2754" i="1"/>
  <c r="B2754" i="1"/>
  <c r="A2755" i="1"/>
  <c r="B2755" i="1"/>
  <c r="A2756" i="1"/>
  <c r="B2756" i="1"/>
  <c r="A2757" i="1"/>
  <c r="B2757" i="1"/>
  <c r="A2758" i="1"/>
  <c r="B2758" i="1"/>
  <c r="A2759" i="1"/>
  <c r="B2759" i="1"/>
  <c r="A2760" i="1"/>
  <c r="B2760" i="1"/>
  <c r="A2761" i="1"/>
  <c r="B2761" i="1"/>
  <c r="A2762" i="1"/>
  <c r="B2762" i="1"/>
  <c r="A2763" i="1"/>
  <c r="B2763" i="1"/>
  <c r="A2764" i="1"/>
  <c r="B2764" i="1"/>
  <c r="A2765" i="1"/>
  <c r="B2765" i="1"/>
  <c r="A2766" i="1"/>
  <c r="B2766" i="1"/>
  <c r="A2767" i="1"/>
  <c r="B2767" i="1"/>
  <c r="A2768" i="1"/>
  <c r="B2768" i="1"/>
  <c r="A2769" i="1"/>
  <c r="B2769" i="1"/>
  <c r="A2770" i="1"/>
  <c r="B2770" i="1"/>
  <c r="A2771" i="1"/>
  <c r="B2771" i="1"/>
  <c r="A2772" i="1"/>
  <c r="B2772" i="1"/>
  <c r="A2773" i="1"/>
  <c r="B2773" i="1"/>
  <c r="A2774" i="1"/>
  <c r="B2774" i="1"/>
  <c r="A2775" i="1"/>
  <c r="B2775" i="1"/>
  <c r="A2776" i="1"/>
  <c r="B2776" i="1"/>
  <c r="A2777" i="1"/>
  <c r="B2777" i="1"/>
  <c r="A2778" i="1"/>
  <c r="B2778" i="1"/>
  <c r="A2779" i="1"/>
  <c r="B2779" i="1"/>
  <c r="A2780" i="1"/>
  <c r="B2780" i="1"/>
  <c r="A2781" i="1"/>
  <c r="B2781" i="1"/>
  <c r="A2782" i="1"/>
  <c r="B2782" i="1"/>
  <c r="A2783" i="1"/>
  <c r="B2783" i="1"/>
  <c r="A2784" i="1"/>
  <c r="B2784" i="1"/>
  <c r="A2785" i="1"/>
  <c r="B2785" i="1"/>
  <c r="A2786" i="1"/>
  <c r="B2786" i="1"/>
  <c r="A2787" i="1"/>
  <c r="B2787" i="1"/>
  <c r="A2788" i="1"/>
  <c r="B2788" i="1"/>
  <c r="A2789" i="1"/>
  <c r="B2789" i="1"/>
  <c r="A2790" i="1"/>
  <c r="B2790" i="1"/>
  <c r="A2791" i="1"/>
  <c r="B2791" i="1"/>
  <c r="A2792" i="1"/>
  <c r="B2792" i="1"/>
  <c r="A2793" i="1"/>
  <c r="B2793" i="1"/>
  <c r="A2794" i="1"/>
  <c r="B2794" i="1"/>
  <c r="A2795" i="1"/>
  <c r="B2795" i="1"/>
  <c r="A2796" i="1"/>
  <c r="B2796" i="1"/>
  <c r="A2797" i="1"/>
  <c r="B2797" i="1"/>
  <c r="A2798" i="1"/>
  <c r="B2798" i="1"/>
  <c r="A2799" i="1"/>
  <c r="B2799" i="1"/>
  <c r="A2800" i="1"/>
  <c r="B2800" i="1"/>
  <c r="A2801" i="1"/>
  <c r="B2801" i="1"/>
  <c r="A2802" i="1"/>
  <c r="B2802" i="1"/>
  <c r="A2803" i="1"/>
  <c r="B2803" i="1"/>
  <c r="A2804" i="1"/>
  <c r="B2804" i="1"/>
  <c r="A2805" i="1"/>
  <c r="B2805" i="1"/>
  <c r="A2806" i="1"/>
  <c r="B2806" i="1"/>
  <c r="A2807" i="1"/>
  <c r="B2807" i="1"/>
  <c r="A2808" i="1"/>
  <c r="B2808" i="1"/>
  <c r="A2809" i="1"/>
  <c r="B2809" i="1"/>
  <c r="A2810" i="1"/>
  <c r="B2810" i="1"/>
  <c r="A2811" i="1"/>
  <c r="B2811" i="1"/>
  <c r="A2812" i="1"/>
  <c r="B2812" i="1"/>
  <c r="A2813" i="1"/>
  <c r="B2813" i="1"/>
  <c r="A2814" i="1"/>
  <c r="B2814" i="1"/>
  <c r="A2815" i="1"/>
  <c r="B2815" i="1"/>
  <c r="A2816" i="1"/>
  <c r="B2816" i="1"/>
  <c r="A2817" i="1"/>
  <c r="B2817" i="1"/>
  <c r="A2818" i="1"/>
  <c r="B2818" i="1"/>
  <c r="A2819" i="1"/>
  <c r="B2819" i="1"/>
  <c r="A2820" i="1"/>
  <c r="B2820" i="1"/>
  <c r="A2821" i="1"/>
  <c r="B2821" i="1"/>
  <c r="A2822" i="1"/>
  <c r="B2822" i="1"/>
  <c r="A2823" i="1"/>
  <c r="B2823" i="1"/>
  <c r="A2824" i="1"/>
  <c r="B2824" i="1"/>
  <c r="A2825" i="1"/>
  <c r="B2825" i="1"/>
  <c r="A2826" i="1"/>
  <c r="B2826" i="1"/>
  <c r="A2827" i="1"/>
  <c r="B2827" i="1"/>
  <c r="A2828" i="1"/>
  <c r="B2828" i="1"/>
  <c r="A2829" i="1"/>
  <c r="B2829" i="1"/>
  <c r="A2830" i="1"/>
  <c r="B2830" i="1"/>
  <c r="A2831" i="1"/>
  <c r="B2831" i="1"/>
  <c r="A2832" i="1"/>
  <c r="B2832" i="1"/>
  <c r="A2833" i="1"/>
  <c r="B2833" i="1"/>
  <c r="A2834" i="1"/>
  <c r="B2834" i="1"/>
  <c r="A2835" i="1"/>
  <c r="B2835" i="1"/>
  <c r="A2836" i="1"/>
  <c r="B2836" i="1"/>
  <c r="A2837" i="1"/>
  <c r="B2837" i="1"/>
  <c r="A2838" i="1"/>
  <c r="B2838" i="1"/>
  <c r="A2839" i="1"/>
  <c r="B2839" i="1"/>
  <c r="A2840" i="1"/>
  <c r="B2840" i="1"/>
  <c r="A2841" i="1"/>
  <c r="B2841" i="1"/>
  <c r="A2842" i="1"/>
  <c r="B2842" i="1"/>
  <c r="A2843" i="1"/>
  <c r="B2843" i="1"/>
  <c r="A2844" i="1"/>
  <c r="B2844" i="1"/>
  <c r="A2845" i="1"/>
  <c r="B2845" i="1"/>
  <c r="A2846" i="1"/>
  <c r="B2846" i="1"/>
  <c r="A2847" i="1"/>
  <c r="B2847" i="1"/>
  <c r="A2848" i="1"/>
  <c r="B2848" i="1"/>
  <c r="A2849" i="1"/>
  <c r="B2849" i="1"/>
  <c r="A2850" i="1"/>
  <c r="B2850" i="1"/>
  <c r="A2851" i="1"/>
  <c r="B2851" i="1"/>
  <c r="A2852" i="1"/>
  <c r="B2852" i="1"/>
  <c r="A2853" i="1"/>
  <c r="B2853" i="1"/>
  <c r="A2854" i="1"/>
  <c r="B2854" i="1"/>
  <c r="A2855" i="1"/>
  <c r="B2855" i="1"/>
  <c r="A2856" i="1"/>
  <c r="B2856" i="1"/>
  <c r="A2857" i="1"/>
  <c r="B2857" i="1"/>
  <c r="A2858" i="1"/>
  <c r="B2858" i="1"/>
  <c r="A2859" i="1"/>
  <c r="B2859" i="1"/>
  <c r="A2860" i="1"/>
  <c r="B2860" i="1"/>
  <c r="A2861" i="1"/>
  <c r="B2861" i="1"/>
  <c r="A2862" i="1"/>
  <c r="B2862" i="1"/>
  <c r="A2863" i="1"/>
  <c r="B2863" i="1"/>
  <c r="A2864" i="1"/>
  <c r="B2864" i="1"/>
  <c r="A2865" i="1"/>
  <c r="B2865" i="1"/>
  <c r="A2866" i="1"/>
  <c r="B2866" i="1"/>
  <c r="A2867" i="1"/>
  <c r="B2867" i="1"/>
  <c r="A2868" i="1"/>
  <c r="B2868" i="1"/>
  <c r="A2869" i="1"/>
  <c r="B2869" i="1"/>
  <c r="A2870" i="1"/>
  <c r="B2870" i="1"/>
  <c r="A2871" i="1"/>
  <c r="B2871" i="1"/>
  <c r="A2872" i="1"/>
  <c r="B2872" i="1"/>
  <c r="A2873" i="1"/>
  <c r="B2873" i="1"/>
  <c r="A2874" i="1"/>
  <c r="B2874" i="1"/>
  <c r="A2875" i="1"/>
  <c r="B2875" i="1"/>
  <c r="A2876" i="1"/>
  <c r="B2876" i="1"/>
  <c r="A2877" i="1"/>
  <c r="B2877" i="1"/>
  <c r="A2878" i="1"/>
  <c r="B2878" i="1"/>
  <c r="A2879" i="1"/>
  <c r="B2879" i="1"/>
  <c r="A2880" i="1"/>
  <c r="B2880" i="1"/>
  <c r="A2881" i="1"/>
  <c r="B2881" i="1"/>
  <c r="A2882" i="1"/>
  <c r="B2882" i="1"/>
  <c r="A2883" i="1"/>
  <c r="B2883" i="1"/>
  <c r="A2884" i="1"/>
  <c r="B2884" i="1"/>
  <c r="A2885" i="1"/>
  <c r="B2885" i="1"/>
  <c r="A2886" i="1"/>
  <c r="B2886" i="1"/>
  <c r="A2887" i="1"/>
  <c r="B2887" i="1"/>
  <c r="A2888" i="1"/>
  <c r="B2888" i="1"/>
  <c r="A2889" i="1"/>
  <c r="B2889" i="1"/>
  <c r="A2890" i="1"/>
  <c r="B2890" i="1"/>
  <c r="A2891" i="1"/>
  <c r="B2891" i="1"/>
  <c r="A2892" i="1"/>
  <c r="B2892" i="1"/>
  <c r="A2893" i="1"/>
  <c r="B2893" i="1"/>
  <c r="A2894" i="1"/>
  <c r="B2894" i="1"/>
  <c r="A2895" i="1"/>
  <c r="B2895" i="1"/>
  <c r="A2896" i="1"/>
  <c r="B2896" i="1"/>
  <c r="A2897" i="1"/>
  <c r="B2897" i="1"/>
  <c r="A2898" i="1"/>
  <c r="B2898" i="1"/>
  <c r="A2899" i="1"/>
  <c r="B2899" i="1"/>
  <c r="A2900" i="1"/>
  <c r="B2900" i="1"/>
  <c r="A2901" i="1"/>
  <c r="B2901" i="1"/>
  <c r="A2902" i="1"/>
  <c r="B2902" i="1"/>
  <c r="A2903" i="1"/>
  <c r="B2903" i="1"/>
  <c r="A2904" i="1"/>
  <c r="B2904" i="1"/>
  <c r="A2905" i="1"/>
  <c r="B2905" i="1"/>
  <c r="A2906" i="1"/>
  <c r="B2906" i="1"/>
  <c r="A2907" i="1"/>
  <c r="B2907" i="1"/>
  <c r="A2908" i="1"/>
  <c r="B2908" i="1"/>
  <c r="A2909" i="1"/>
  <c r="B2909" i="1"/>
  <c r="A2910" i="1"/>
  <c r="B2910" i="1"/>
  <c r="A2911" i="1"/>
  <c r="B2911" i="1"/>
  <c r="A2912" i="1"/>
  <c r="B2912" i="1"/>
  <c r="A2913" i="1"/>
  <c r="B2913" i="1"/>
  <c r="A2914" i="1"/>
  <c r="B2914" i="1"/>
  <c r="A2915" i="1"/>
  <c r="B2915" i="1"/>
  <c r="A2916" i="1"/>
  <c r="B2916" i="1"/>
  <c r="A2917" i="1"/>
  <c r="B2917" i="1"/>
  <c r="A2918" i="1"/>
  <c r="B2918" i="1"/>
  <c r="A2919" i="1"/>
  <c r="B2919" i="1"/>
  <c r="A2920" i="1"/>
  <c r="B2920" i="1"/>
  <c r="A2921" i="1"/>
  <c r="B2921" i="1"/>
  <c r="A2922" i="1"/>
  <c r="B2922" i="1"/>
  <c r="A2923" i="1"/>
  <c r="B2923" i="1"/>
  <c r="A2924" i="1"/>
  <c r="B2924" i="1"/>
  <c r="A2925" i="1"/>
  <c r="B2925" i="1"/>
  <c r="A2926" i="1"/>
  <c r="B2926" i="1"/>
  <c r="A2927" i="1"/>
  <c r="B2927" i="1"/>
  <c r="A2928" i="1"/>
  <c r="B2928" i="1"/>
  <c r="A2929" i="1"/>
  <c r="B2929" i="1"/>
  <c r="A2930" i="1"/>
  <c r="B2930" i="1"/>
  <c r="A2931" i="1"/>
  <c r="B2931" i="1"/>
  <c r="A2932" i="1"/>
  <c r="B2932" i="1"/>
  <c r="A2933" i="1"/>
  <c r="B2933" i="1"/>
  <c r="A2934" i="1"/>
  <c r="B2934" i="1"/>
  <c r="A2935" i="1"/>
  <c r="B2935" i="1"/>
  <c r="A2936" i="1"/>
  <c r="B2936" i="1"/>
  <c r="A2937" i="1"/>
  <c r="B2937" i="1"/>
  <c r="A2938" i="1"/>
  <c r="B2938" i="1"/>
  <c r="A2939" i="1"/>
  <c r="B2939" i="1"/>
  <c r="A2940" i="1"/>
  <c r="B2940" i="1"/>
  <c r="A2941" i="1"/>
  <c r="B2941" i="1"/>
  <c r="A2942" i="1"/>
  <c r="B2942" i="1"/>
  <c r="A2943" i="1"/>
  <c r="B2943" i="1"/>
  <c r="A2944" i="1"/>
  <c r="B2944" i="1"/>
  <c r="A2945" i="1"/>
  <c r="B2945" i="1"/>
  <c r="A2946" i="1"/>
  <c r="B2946" i="1"/>
  <c r="A2947" i="1"/>
  <c r="B2947" i="1"/>
  <c r="A2948" i="1"/>
  <c r="B2948" i="1"/>
  <c r="A2949" i="1"/>
  <c r="B2949" i="1"/>
  <c r="A2950" i="1"/>
  <c r="B2950" i="1"/>
  <c r="A2951" i="1"/>
  <c r="B2951" i="1"/>
  <c r="A2952" i="1"/>
  <c r="B2952" i="1"/>
  <c r="A2953" i="1"/>
  <c r="B2953" i="1"/>
  <c r="A2954" i="1"/>
  <c r="B2954" i="1"/>
  <c r="A2955" i="1"/>
  <c r="B2955" i="1"/>
  <c r="A2956" i="1"/>
  <c r="B2956" i="1"/>
  <c r="A2957" i="1"/>
  <c r="B2957" i="1"/>
  <c r="A2958" i="1"/>
  <c r="B2958" i="1"/>
  <c r="A2959" i="1"/>
  <c r="B2959" i="1"/>
  <c r="A2960" i="1"/>
  <c r="B2960" i="1"/>
  <c r="A2961" i="1"/>
  <c r="B2961" i="1"/>
  <c r="A2962" i="1"/>
  <c r="B2962" i="1"/>
  <c r="A2963" i="1"/>
  <c r="B2963" i="1"/>
  <c r="A2964" i="1"/>
  <c r="B2964" i="1"/>
  <c r="A2965" i="1"/>
  <c r="B2965" i="1"/>
  <c r="A2966" i="1"/>
  <c r="B2966" i="1"/>
  <c r="A2967" i="1"/>
  <c r="B2967" i="1"/>
  <c r="A2968" i="1"/>
  <c r="B2968" i="1"/>
  <c r="A2969" i="1"/>
  <c r="B2969" i="1"/>
  <c r="A2970" i="1"/>
  <c r="B2970" i="1"/>
  <c r="A2971" i="1"/>
  <c r="B2971" i="1"/>
  <c r="A2972" i="1"/>
  <c r="B2972" i="1"/>
  <c r="A2973" i="1"/>
  <c r="B2973" i="1"/>
  <c r="A2974" i="1"/>
  <c r="B2974" i="1"/>
  <c r="A2975" i="1"/>
  <c r="B2975" i="1"/>
  <c r="A2976" i="1"/>
  <c r="B2976" i="1"/>
  <c r="A2977" i="1"/>
  <c r="B2977" i="1"/>
  <c r="A2978" i="1"/>
  <c r="B2978" i="1"/>
  <c r="A2979" i="1"/>
  <c r="B2979" i="1"/>
  <c r="A2980" i="1"/>
  <c r="B2980" i="1"/>
  <c r="A2981" i="1"/>
  <c r="B2981" i="1"/>
  <c r="A2982" i="1"/>
  <c r="B2982" i="1"/>
  <c r="A2983" i="1"/>
  <c r="B2983" i="1"/>
  <c r="A2984" i="1"/>
  <c r="B2984" i="1"/>
  <c r="A2985" i="1"/>
  <c r="B2985" i="1"/>
  <c r="A2986" i="1"/>
  <c r="B2986" i="1"/>
  <c r="A2987" i="1"/>
  <c r="B2987" i="1"/>
  <c r="A2988" i="1"/>
  <c r="B2988" i="1"/>
  <c r="A2989" i="1"/>
  <c r="B2989" i="1"/>
  <c r="A2990" i="1"/>
  <c r="B2990" i="1"/>
  <c r="A2991" i="1"/>
  <c r="B2991" i="1"/>
  <c r="A2992" i="1"/>
  <c r="B2992" i="1"/>
  <c r="A2993" i="1"/>
  <c r="B2993" i="1"/>
  <c r="A2994" i="1"/>
  <c r="B2994" i="1"/>
  <c r="A2995" i="1"/>
  <c r="B2995" i="1"/>
  <c r="A2996" i="1"/>
  <c r="B2996" i="1"/>
  <c r="A2997" i="1"/>
  <c r="B2997" i="1"/>
  <c r="A2998" i="1"/>
  <c r="B2998" i="1"/>
  <c r="A2999" i="1"/>
  <c r="B2999" i="1"/>
  <c r="A3000" i="1"/>
  <c r="B3000" i="1"/>
  <c r="A3001" i="1"/>
  <c r="B3001" i="1"/>
  <c r="A3002" i="1"/>
  <c r="B3002" i="1"/>
  <c r="A3003" i="1"/>
  <c r="B3003" i="1"/>
  <c r="A3004" i="1"/>
  <c r="B3004" i="1"/>
  <c r="A3005" i="1"/>
  <c r="B3005" i="1"/>
  <c r="A3006" i="1"/>
  <c r="B3006" i="1"/>
  <c r="A3007" i="1"/>
  <c r="B3007" i="1"/>
  <c r="A3008" i="1"/>
  <c r="B3008" i="1"/>
  <c r="A3009" i="1"/>
  <c r="B3009" i="1"/>
  <c r="A3010" i="1"/>
  <c r="B3010" i="1"/>
  <c r="A3011" i="1"/>
  <c r="B3011" i="1"/>
  <c r="A3012" i="1"/>
  <c r="B3012" i="1"/>
  <c r="A3013" i="1"/>
  <c r="B3013" i="1"/>
  <c r="A3014" i="1"/>
  <c r="B3014" i="1"/>
  <c r="A3015" i="1"/>
  <c r="B3015" i="1"/>
  <c r="A3016" i="1"/>
  <c r="B3016" i="1"/>
  <c r="A3017" i="1"/>
  <c r="B3017" i="1"/>
  <c r="A3018" i="1"/>
  <c r="B3018" i="1"/>
  <c r="A3019" i="1"/>
  <c r="B3019" i="1"/>
  <c r="A3020" i="1"/>
  <c r="B3020" i="1"/>
  <c r="A3021" i="1"/>
  <c r="B3021" i="1"/>
  <c r="A3022" i="1"/>
  <c r="B3022" i="1"/>
  <c r="A3023" i="1"/>
  <c r="B3023" i="1"/>
  <c r="A3024" i="1"/>
  <c r="B3024" i="1"/>
  <c r="A3025" i="1"/>
  <c r="B3025" i="1"/>
  <c r="A3026" i="1"/>
  <c r="B3026" i="1"/>
  <c r="A3027" i="1"/>
  <c r="B3027" i="1"/>
  <c r="A3028" i="1"/>
  <c r="B3028" i="1"/>
  <c r="A3029" i="1"/>
  <c r="B3029" i="1"/>
  <c r="A3030" i="1"/>
  <c r="B3030" i="1"/>
  <c r="A3031" i="1"/>
  <c r="B3031" i="1"/>
  <c r="A3032" i="1"/>
  <c r="B3032" i="1"/>
  <c r="A3033" i="1"/>
  <c r="B3033" i="1"/>
  <c r="A3034" i="1"/>
  <c r="B3034" i="1"/>
  <c r="A3035" i="1"/>
  <c r="B3035" i="1"/>
  <c r="A3036" i="1"/>
  <c r="B3036" i="1"/>
  <c r="A3037" i="1"/>
  <c r="B3037" i="1"/>
  <c r="A3038" i="1"/>
  <c r="B3038" i="1"/>
  <c r="A3039" i="1"/>
  <c r="B3039" i="1"/>
  <c r="A3040" i="1"/>
  <c r="B3040" i="1"/>
  <c r="A3041" i="1"/>
  <c r="B3041" i="1"/>
  <c r="A3042" i="1"/>
  <c r="B3042" i="1"/>
  <c r="A3043" i="1"/>
  <c r="B3043" i="1"/>
  <c r="A3044" i="1"/>
  <c r="B3044" i="1"/>
  <c r="A3045" i="1"/>
  <c r="B3045" i="1"/>
  <c r="A3046" i="1"/>
  <c r="B3046" i="1"/>
  <c r="A3047" i="1"/>
  <c r="B3047" i="1"/>
  <c r="A3048" i="1"/>
  <c r="B3048" i="1"/>
  <c r="A3049" i="1"/>
  <c r="B3049" i="1"/>
  <c r="A3050" i="1"/>
  <c r="B3050" i="1"/>
  <c r="A3051" i="1"/>
  <c r="B3051" i="1"/>
  <c r="A3052" i="1"/>
  <c r="B3052" i="1"/>
  <c r="A3053" i="1"/>
  <c r="B3053" i="1"/>
  <c r="A3054" i="1"/>
  <c r="B3054" i="1"/>
  <c r="A3055" i="1"/>
  <c r="B3055" i="1"/>
  <c r="A3056" i="1"/>
  <c r="B3056" i="1"/>
  <c r="A3057" i="1"/>
  <c r="B3057" i="1"/>
  <c r="A3058" i="1"/>
  <c r="B3058" i="1"/>
  <c r="A3059" i="1"/>
  <c r="B3059" i="1"/>
  <c r="A3060" i="1"/>
  <c r="B3060" i="1"/>
  <c r="A3061" i="1"/>
  <c r="B3061" i="1"/>
  <c r="A3062" i="1"/>
  <c r="B3062" i="1"/>
  <c r="A3063" i="1"/>
  <c r="B3063" i="1"/>
  <c r="A3064" i="1"/>
  <c r="B3064" i="1"/>
  <c r="A3065" i="1"/>
  <c r="B3065" i="1"/>
  <c r="A3066" i="1"/>
  <c r="B3066" i="1"/>
  <c r="A3067" i="1"/>
  <c r="B3067" i="1"/>
  <c r="A3068" i="1"/>
  <c r="B3068" i="1"/>
  <c r="A3069" i="1"/>
  <c r="B3069" i="1"/>
  <c r="A3070" i="1"/>
  <c r="B3070" i="1"/>
  <c r="A3071" i="1"/>
  <c r="B3071" i="1"/>
  <c r="A3072" i="1"/>
  <c r="B3072" i="1"/>
  <c r="A3073" i="1"/>
  <c r="B3073" i="1"/>
  <c r="A3074" i="1"/>
  <c r="B3074" i="1"/>
  <c r="A3075" i="1"/>
  <c r="B3075" i="1"/>
  <c r="A3076" i="1"/>
  <c r="B3076" i="1"/>
  <c r="A3077" i="1"/>
  <c r="B3077" i="1"/>
  <c r="A3078" i="1"/>
  <c r="B3078" i="1"/>
  <c r="A3079" i="1"/>
  <c r="B3079" i="1"/>
  <c r="A3080" i="1"/>
  <c r="B3080" i="1"/>
  <c r="A3081" i="1"/>
  <c r="B3081" i="1"/>
  <c r="A3082" i="1"/>
  <c r="B3082" i="1"/>
  <c r="A3083" i="1"/>
  <c r="B3083" i="1"/>
  <c r="A3084" i="1"/>
  <c r="B3084" i="1"/>
  <c r="A3085" i="1"/>
  <c r="B3085" i="1"/>
  <c r="A3086" i="1"/>
  <c r="B3086" i="1"/>
  <c r="A3087" i="1"/>
  <c r="B3087" i="1"/>
  <c r="A3088" i="1"/>
  <c r="B3088" i="1"/>
  <c r="A3089" i="1"/>
  <c r="B3089" i="1"/>
  <c r="A3090" i="1"/>
  <c r="B3090" i="1"/>
  <c r="A3091" i="1"/>
  <c r="B3091" i="1"/>
  <c r="A3092" i="1"/>
  <c r="B3092" i="1"/>
  <c r="A3093" i="1"/>
  <c r="B3093" i="1"/>
  <c r="A3094" i="1"/>
  <c r="B3094" i="1"/>
  <c r="A3095" i="1"/>
  <c r="B3095" i="1"/>
  <c r="A3096" i="1"/>
  <c r="B3096" i="1"/>
  <c r="A3097" i="1"/>
  <c r="B3097" i="1"/>
  <c r="A3098" i="1"/>
  <c r="B3098" i="1"/>
  <c r="A3099" i="1"/>
  <c r="B3099" i="1"/>
  <c r="A3100" i="1"/>
  <c r="B3100" i="1"/>
  <c r="A3101" i="1"/>
  <c r="B3101" i="1"/>
  <c r="A3102" i="1"/>
  <c r="B3102" i="1"/>
  <c r="A3103" i="1"/>
  <c r="B3103" i="1"/>
  <c r="A3104" i="1"/>
  <c r="B3104" i="1"/>
  <c r="A3105" i="1"/>
  <c r="B3105" i="1"/>
  <c r="A3106" i="1"/>
  <c r="B3106" i="1"/>
  <c r="A3107" i="1"/>
  <c r="B3107" i="1"/>
  <c r="A3108" i="1"/>
  <c r="B3108" i="1"/>
  <c r="A3109" i="1"/>
  <c r="B3109" i="1"/>
  <c r="A3110" i="1"/>
  <c r="B3110" i="1"/>
  <c r="A3111" i="1"/>
  <c r="B3111" i="1"/>
  <c r="A3112" i="1"/>
  <c r="B3112" i="1"/>
  <c r="A3113" i="1"/>
  <c r="B3113" i="1"/>
  <c r="A3114" i="1"/>
  <c r="B3114" i="1"/>
  <c r="A3115" i="1"/>
  <c r="B3115" i="1"/>
  <c r="A3116" i="1"/>
  <c r="B3116" i="1"/>
  <c r="A3117" i="1"/>
  <c r="B3117" i="1"/>
  <c r="A3118" i="1"/>
  <c r="B3118" i="1"/>
  <c r="A3119" i="1"/>
  <c r="B3119" i="1"/>
  <c r="A3120" i="1"/>
  <c r="B3120" i="1"/>
  <c r="A3121" i="1"/>
  <c r="B3121" i="1"/>
  <c r="A3122" i="1"/>
  <c r="B3122" i="1"/>
  <c r="A3123" i="1"/>
  <c r="B3123" i="1"/>
  <c r="A3124" i="1"/>
  <c r="B3124" i="1"/>
  <c r="A3125" i="1"/>
  <c r="B3125" i="1"/>
  <c r="A3126" i="1"/>
  <c r="B3126" i="1"/>
  <c r="A3127" i="1"/>
  <c r="B3127" i="1"/>
  <c r="A3128" i="1"/>
  <c r="B3128" i="1"/>
  <c r="A3129" i="1"/>
  <c r="B3129" i="1"/>
  <c r="A3130" i="1"/>
  <c r="B3130" i="1"/>
  <c r="A3131" i="1"/>
  <c r="B3131" i="1"/>
  <c r="A3132" i="1"/>
  <c r="B3132" i="1"/>
  <c r="A3133" i="1"/>
  <c r="B3133" i="1"/>
  <c r="A3134" i="1"/>
  <c r="B3134" i="1"/>
  <c r="A3135" i="1"/>
  <c r="B3135" i="1"/>
  <c r="A3136" i="1"/>
  <c r="B3136" i="1"/>
  <c r="A3137" i="1"/>
  <c r="B3137" i="1"/>
  <c r="A3138" i="1"/>
  <c r="B3138" i="1"/>
  <c r="A3139" i="1"/>
  <c r="B3139" i="1"/>
  <c r="A3140" i="1"/>
  <c r="B3140" i="1"/>
  <c r="A3141" i="1"/>
  <c r="B3141" i="1"/>
  <c r="A3142" i="1"/>
  <c r="B3142" i="1"/>
  <c r="A3143" i="1"/>
  <c r="B3143" i="1"/>
  <c r="A3144" i="1"/>
  <c r="B3144" i="1"/>
  <c r="A3145" i="1"/>
  <c r="B3145" i="1"/>
  <c r="A3146" i="1"/>
  <c r="B3146" i="1"/>
  <c r="A3147" i="1"/>
  <c r="B3147" i="1"/>
  <c r="A3148" i="1"/>
  <c r="B3148" i="1"/>
  <c r="A3149" i="1"/>
  <c r="B3149" i="1"/>
  <c r="A3150" i="1"/>
  <c r="B3150" i="1"/>
  <c r="A3151" i="1"/>
  <c r="B3151" i="1"/>
  <c r="A3152" i="1"/>
  <c r="B3152" i="1"/>
  <c r="A3153" i="1"/>
  <c r="B3153" i="1"/>
  <c r="A3154" i="1"/>
  <c r="B3154" i="1"/>
  <c r="A3155" i="1"/>
  <c r="B3155" i="1"/>
  <c r="A3156" i="1"/>
  <c r="B3156" i="1"/>
  <c r="A3157" i="1"/>
  <c r="B3157" i="1"/>
  <c r="A3158" i="1"/>
  <c r="B3158" i="1"/>
  <c r="A3159" i="1"/>
  <c r="B3159" i="1"/>
  <c r="A3160" i="1"/>
  <c r="B3160" i="1"/>
  <c r="A3161" i="1"/>
  <c r="B3161" i="1"/>
  <c r="A3162" i="1"/>
  <c r="B3162" i="1"/>
  <c r="A3163" i="1"/>
  <c r="B3163" i="1"/>
  <c r="A3164" i="1"/>
  <c r="B3164" i="1"/>
  <c r="A3165" i="1"/>
  <c r="B3165" i="1"/>
  <c r="A3166" i="1"/>
  <c r="B3166" i="1"/>
  <c r="A3167" i="1"/>
  <c r="B3167" i="1"/>
  <c r="A3168" i="1"/>
  <c r="B3168" i="1"/>
  <c r="A3169" i="1"/>
  <c r="B3169" i="1"/>
  <c r="A3170" i="1"/>
  <c r="B3170" i="1"/>
  <c r="A3171" i="1"/>
  <c r="B3171" i="1"/>
  <c r="A3172" i="1"/>
  <c r="B3172" i="1"/>
  <c r="A3173" i="1"/>
  <c r="B3173" i="1"/>
  <c r="A3174" i="1"/>
  <c r="B3174" i="1"/>
  <c r="A3175" i="1"/>
  <c r="B3175" i="1"/>
  <c r="A3176" i="1"/>
  <c r="B3176" i="1"/>
  <c r="A3177" i="1"/>
  <c r="B3177" i="1"/>
  <c r="A3178" i="1"/>
  <c r="B3178" i="1"/>
  <c r="A3179" i="1"/>
  <c r="B3179" i="1"/>
  <c r="A3180" i="1"/>
  <c r="B3180" i="1"/>
  <c r="A3181" i="1"/>
  <c r="B3181" i="1"/>
  <c r="A3182" i="1"/>
  <c r="B3182" i="1"/>
  <c r="A3183" i="1"/>
  <c r="B3183" i="1"/>
  <c r="A3184" i="1"/>
  <c r="B3184" i="1"/>
  <c r="A3185" i="1"/>
  <c r="B3185" i="1"/>
  <c r="A3186" i="1"/>
  <c r="B3186" i="1"/>
  <c r="A3187" i="1"/>
  <c r="B3187" i="1"/>
  <c r="A3188" i="1"/>
  <c r="B3188" i="1"/>
  <c r="A3189" i="1"/>
  <c r="B3189" i="1"/>
  <c r="A3190" i="1"/>
  <c r="B3190" i="1"/>
  <c r="A3191" i="1"/>
  <c r="B3191" i="1"/>
  <c r="A3192" i="1"/>
  <c r="B3192" i="1"/>
  <c r="A3193" i="1"/>
  <c r="B3193" i="1"/>
  <c r="A3194" i="1"/>
  <c r="B3194" i="1"/>
  <c r="A3195" i="1"/>
  <c r="B3195" i="1"/>
  <c r="A3196" i="1"/>
  <c r="B3196" i="1"/>
  <c r="A3197" i="1"/>
  <c r="B3197" i="1"/>
  <c r="A3198" i="1"/>
  <c r="B3198" i="1"/>
  <c r="A3199" i="1"/>
  <c r="B3199" i="1"/>
  <c r="A3200" i="1"/>
  <c r="B3200" i="1"/>
  <c r="A3201" i="1"/>
  <c r="B3201" i="1"/>
  <c r="A3202" i="1"/>
  <c r="B3202" i="1"/>
  <c r="A3203" i="1"/>
  <c r="B3203" i="1"/>
  <c r="A3204" i="1"/>
  <c r="B3204" i="1"/>
  <c r="A3205" i="1"/>
  <c r="B3205" i="1"/>
  <c r="A3206" i="1"/>
  <c r="B3206" i="1"/>
  <c r="A3207" i="1"/>
  <c r="B3207" i="1"/>
  <c r="A3208" i="1"/>
  <c r="B3208" i="1"/>
  <c r="A3209" i="1"/>
  <c r="B3209" i="1"/>
  <c r="A3210" i="1"/>
  <c r="B3210" i="1"/>
  <c r="A3211" i="1"/>
  <c r="B3211" i="1"/>
  <c r="A3212" i="1"/>
  <c r="B3212" i="1"/>
  <c r="A3213" i="1"/>
  <c r="B3213" i="1"/>
  <c r="A3214" i="1"/>
  <c r="B3214" i="1"/>
  <c r="A3215" i="1"/>
  <c r="B3215" i="1"/>
  <c r="A3216" i="1"/>
  <c r="B3216" i="1"/>
  <c r="A3217" i="1"/>
  <c r="B3217" i="1"/>
  <c r="A3218" i="1"/>
  <c r="B3218" i="1"/>
  <c r="A3219" i="1"/>
  <c r="B3219" i="1"/>
  <c r="A3220" i="1"/>
  <c r="B3220" i="1"/>
  <c r="A3221" i="1"/>
  <c r="B3221" i="1"/>
  <c r="A3222" i="1"/>
  <c r="B3222" i="1"/>
  <c r="A3223" i="1"/>
  <c r="B3223" i="1"/>
  <c r="A3224" i="1"/>
  <c r="B3224" i="1"/>
  <c r="A3225" i="1"/>
  <c r="B3225" i="1"/>
  <c r="A3226" i="1"/>
  <c r="B3226" i="1"/>
  <c r="A3227" i="1"/>
  <c r="B3227" i="1"/>
  <c r="A3228" i="1"/>
  <c r="B3228" i="1"/>
  <c r="A3229" i="1"/>
  <c r="B3229" i="1"/>
  <c r="A3230" i="1"/>
  <c r="B3230" i="1"/>
  <c r="A3231" i="1"/>
  <c r="B3231" i="1"/>
  <c r="A3232" i="1"/>
  <c r="B3232" i="1"/>
  <c r="A3233" i="1"/>
  <c r="B3233" i="1"/>
  <c r="A3234" i="1"/>
  <c r="B3234" i="1"/>
  <c r="A3235" i="1"/>
  <c r="B3235" i="1"/>
  <c r="A3236" i="1"/>
  <c r="B3236" i="1"/>
  <c r="A3237" i="1"/>
  <c r="B3237" i="1"/>
  <c r="A3238" i="1"/>
  <c r="B3238" i="1"/>
  <c r="A3239" i="1"/>
  <c r="B3239" i="1"/>
  <c r="A3240" i="1"/>
  <c r="B3240" i="1"/>
  <c r="A3241" i="1"/>
  <c r="B3241" i="1"/>
  <c r="A3242" i="1"/>
  <c r="B3242" i="1"/>
  <c r="A3243" i="1"/>
  <c r="B3243" i="1"/>
  <c r="A3244" i="1"/>
  <c r="B3244" i="1"/>
  <c r="A3245" i="1"/>
  <c r="B3245" i="1"/>
  <c r="A3246" i="1"/>
  <c r="B3246" i="1"/>
  <c r="A3247" i="1"/>
  <c r="B3247" i="1"/>
  <c r="A3248" i="1"/>
  <c r="B3248" i="1"/>
  <c r="A3249" i="1"/>
  <c r="B3249" i="1"/>
  <c r="A3250" i="1"/>
  <c r="B3250" i="1"/>
  <c r="A3251" i="1"/>
  <c r="B3251" i="1"/>
  <c r="A3252" i="1"/>
  <c r="B3252" i="1"/>
  <c r="A3253" i="1"/>
  <c r="B3253" i="1"/>
  <c r="A3254" i="1"/>
  <c r="B3254" i="1"/>
  <c r="A3255" i="1"/>
  <c r="B3255" i="1"/>
  <c r="A3256" i="1"/>
  <c r="B3256" i="1"/>
  <c r="A3257" i="1"/>
  <c r="B3257" i="1"/>
  <c r="A3258" i="1"/>
  <c r="B3258" i="1"/>
  <c r="A3259" i="1"/>
  <c r="B3259" i="1"/>
  <c r="A3260" i="1"/>
  <c r="B3260" i="1"/>
  <c r="A3261" i="1"/>
  <c r="B3261" i="1"/>
  <c r="A3262" i="1"/>
  <c r="B3262" i="1"/>
  <c r="A3263" i="1"/>
  <c r="B3263" i="1"/>
  <c r="A3264" i="1"/>
  <c r="B3264" i="1"/>
  <c r="A3265" i="1"/>
  <c r="B3265" i="1"/>
  <c r="A3266" i="1"/>
  <c r="B3266" i="1"/>
  <c r="A3267" i="1"/>
  <c r="B3267" i="1"/>
  <c r="A3268" i="1"/>
  <c r="B3268" i="1"/>
  <c r="A3269" i="1"/>
  <c r="B3269" i="1"/>
  <c r="A3270" i="1"/>
  <c r="B3270" i="1"/>
  <c r="A3271" i="1"/>
  <c r="B3271" i="1"/>
  <c r="A3272" i="1"/>
  <c r="B3272" i="1"/>
  <c r="A3273" i="1"/>
  <c r="B3273" i="1"/>
  <c r="A3274" i="1"/>
  <c r="B3274" i="1"/>
  <c r="A3275" i="1"/>
  <c r="B3275" i="1"/>
  <c r="A3276" i="1"/>
  <c r="B3276" i="1"/>
  <c r="A3277" i="1"/>
  <c r="B3277" i="1"/>
  <c r="A3278" i="1"/>
  <c r="B3278" i="1"/>
  <c r="A3279" i="1"/>
  <c r="B3279" i="1"/>
  <c r="A3280" i="1"/>
  <c r="B3280" i="1"/>
  <c r="A3281" i="1"/>
  <c r="B3281" i="1"/>
  <c r="A3282" i="1"/>
  <c r="B3282" i="1"/>
  <c r="A3283" i="1"/>
  <c r="B3283" i="1"/>
  <c r="A3284" i="1"/>
  <c r="B3284" i="1"/>
  <c r="A3285" i="1"/>
  <c r="B3285" i="1"/>
  <c r="A3286" i="1"/>
  <c r="B3286" i="1"/>
  <c r="A3287" i="1"/>
  <c r="B3287" i="1"/>
  <c r="A3288" i="1"/>
  <c r="B3288" i="1"/>
  <c r="A3289" i="1"/>
  <c r="B3289" i="1"/>
  <c r="A3290" i="1"/>
  <c r="B3290" i="1"/>
  <c r="A3291" i="1"/>
  <c r="B3291" i="1"/>
  <c r="A3292" i="1"/>
  <c r="B3292" i="1"/>
  <c r="A3293" i="1"/>
  <c r="B3293" i="1"/>
  <c r="A3294" i="1"/>
  <c r="B3294" i="1"/>
  <c r="A3295" i="1"/>
  <c r="B3295" i="1"/>
  <c r="A3296" i="1"/>
  <c r="B3296" i="1"/>
  <c r="A3297" i="1"/>
  <c r="B3297" i="1"/>
  <c r="A3298" i="1"/>
  <c r="B3298" i="1"/>
  <c r="A3299" i="1"/>
  <c r="B3299" i="1"/>
  <c r="A3300" i="1"/>
  <c r="B3300" i="1"/>
  <c r="A3301" i="1"/>
  <c r="B3301" i="1"/>
  <c r="A3302" i="1"/>
  <c r="B3302" i="1"/>
  <c r="A3303" i="1"/>
  <c r="B3303" i="1"/>
  <c r="A3304" i="1"/>
  <c r="B3304" i="1"/>
  <c r="A3305" i="1"/>
  <c r="B3305" i="1"/>
  <c r="A3306" i="1"/>
  <c r="B3306" i="1"/>
  <c r="A3307" i="1"/>
  <c r="B3307" i="1"/>
  <c r="A3308" i="1"/>
  <c r="B3308" i="1"/>
  <c r="A3309" i="1"/>
  <c r="B3309" i="1"/>
  <c r="A3310" i="1"/>
  <c r="B3310" i="1"/>
  <c r="A3311" i="1"/>
  <c r="B3311" i="1"/>
  <c r="A3312" i="1"/>
  <c r="B3312" i="1"/>
  <c r="A3313" i="1"/>
  <c r="B3313" i="1"/>
  <c r="A3314" i="1"/>
  <c r="B3314" i="1"/>
  <c r="A3315" i="1"/>
  <c r="B3315" i="1"/>
  <c r="A3316" i="1"/>
  <c r="B3316" i="1"/>
  <c r="A3317" i="1"/>
  <c r="B3317" i="1"/>
  <c r="A3318" i="1"/>
  <c r="B3318" i="1"/>
  <c r="A3319" i="1"/>
  <c r="B3319" i="1"/>
  <c r="A3320" i="1"/>
  <c r="B3320" i="1"/>
  <c r="A3321" i="1"/>
  <c r="B3321" i="1"/>
  <c r="A3322" i="1"/>
  <c r="B3322" i="1"/>
  <c r="A3323" i="1"/>
  <c r="B3323" i="1"/>
  <c r="A3324" i="1"/>
  <c r="B3324" i="1"/>
  <c r="A3325" i="1"/>
  <c r="B3325" i="1"/>
  <c r="A3326" i="1"/>
  <c r="B3326" i="1"/>
  <c r="A3327" i="1"/>
  <c r="B3327" i="1"/>
  <c r="A3328" i="1"/>
  <c r="B3328" i="1"/>
  <c r="A3329" i="1"/>
  <c r="B3329" i="1"/>
  <c r="A3330" i="1"/>
  <c r="B3330" i="1"/>
  <c r="A3331" i="1"/>
  <c r="B3331" i="1"/>
  <c r="A3332" i="1"/>
  <c r="B3332" i="1"/>
  <c r="A3333" i="1"/>
  <c r="B3333" i="1"/>
  <c r="A3334" i="1"/>
  <c r="B3334" i="1"/>
  <c r="A3335" i="1"/>
  <c r="B3335" i="1"/>
  <c r="A3336" i="1"/>
  <c r="B3336" i="1"/>
  <c r="A3337" i="1"/>
  <c r="B3337" i="1"/>
  <c r="A3338" i="1"/>
  <c r="B3338" i="1"/>
  <c r="A3339" i="1"/>
  <c r="B3339" i="1"/>
  <c r="A3340" i="1"/>
  <c r="B3340" i="1"/>
  <c r="A3341" i="1"/>
  <c r="B3341" i="1"/>
  <c r="A3342" i="1"/>
  <c r="B3342" i="1"/>
  <c r="A3343" i="1"/>
  <c r="B3343" i="1"/>
  <c r="A3344" i="1"/>
  <c r="B3344" i="1"/>
  <c r="A3345" i="1"/>
  <c r="B3345" i="1"/>
  <c r="A3346" i="1"/>
  <c r="B3346" i="1"/>
  <c r="A3347" i="1"/>
  <c r="B3347" i="1"/>
  <c r="A3348" i="1"/>
  <c r="B3348" i="1"/>
  <c r="A3349" i="1"/>
  <c r="B3349" i="1"/>
  <c r="A3350" i="1"/>
  <c r="B3350" i="1"/>
  <c r="A3351" i="1"/>
  <c r="B3351" i="1"/>
  <c r="A3352" i="1"/>
  <c r="B3352" i="1"/>
  <c r="A3353" i="1"/>
  <c r="B3353" i="1"/>
  <c r="A3354" i="1"/>
  <c r="B3354" i="1"/>
  <c r="A3355" i="1"/>
  <c r="B3355" i="1"/>
  <c r="A3356" i="1"/>
  <c r="B3356" i="1"/>
  <c r="A3357" i="1"/>
  <c r="B3357" i="1"/>
  <c r="A3358" i="1"/>
  <c r="B3358" i="1"/>
  <c r="A3359" i="1"/>
  <c r="B3359" i="1"/>
  <c r="A3360" i="1"/>
  <c r="B3360" i="1"/>
  <c r="A3361" i="1"/>
  <c r="B3361" i="1"/>
  <c r="A3362" i="1"/>
  <c r="B3362" i="1"/>
  <c r="A3363" i="1"/>
  <c r="B3363" i="1"/>
  <c r="A3364" i="1"/>
  <c r="B3364" i="1"/>
  <c r="A3365" i="1"/>
  <c r="B3365" i="1"/>
  <c r="A3366" i="1"/>
  <c r="B3366" i="1"/>
  <c r="A3367" i="1"/>
  <c r="B3367" i="1"/>
  <c r="A3368" i="1"/>
  <c r="B3368" i="1"/>
  <c r="A3369" i="1"/>
  <c r="B3369" i="1"/>
  <c r="A3370" i="1"/>
  <c r="B3370" i="1"/>
  <c r="A3371" i="1"/>
  <c r="B3371" i="1"/>
  <c r="A3372" i="1"/>
  <c r="B3372" i="1"/>
  <c r="A3373" i="1"/>
  <c r="B3373" i="1"/>
  <c r="A3374" i="1"/>
  <c r="B3374" i="1"/>
  <c r="A3375" i="1"/>
  <c r="B3375" i="1"/>
  <c r="A3376" i="1"/>
  <c r="B3376" i="1"/>
  <c r="A3377" i="1"/>
  <c r="B3377" i="1"/>
  <c r="A3378" i="1"/>
  <c r="B3378" i="1"/>
  <c r="A3379" i="1"/>
  <c r="B3379" i="1"/>
  <c r="A3380" i="1"/>
  <c r="B3380" i="1"/>
  <c r="A3381" i="1"/>
  <c r="B3381" i="1"/>
  <c r="A3382" i="1"/>
  <c r="B3382" i="1"/>
  <c r="A3383" i="1"/>
  <c r="B3383" i="1"/>
  <c r="A3384" i="1"/>
  <c r="B3384" i="1"/>
  <c r="A3385" i="1"/>
  <c r="B3385" i="1"/>
  <c r="A3386" i="1"/>
  <c r="B3386" i="1"/>
  <c r="A3387" i="1"/>
  <c r="B3387" i="1"/>
  <c r="A3388" i="1"/>
  <c r="B3388" i="1"/>
  <c r="A3389" i="1"/>
  <c r="B3389" i="1"/>
  <c r="A3390" i="1"/>
  <c r="B3390" i="1"/>
  <c r="A3391" i="1"/>
  <c r="B3391" i="1"/>
  <c r="A3392" i="1"/>
  <c r="B3392" i="1"/>
  <c r="A3393" i="1"/>
  <c r="B3393" i="1"/>
  <c r="A3394" i="1"/>
  <c r="B3394" i="1"/>
  <c r="A3395" i="1"/>
  <c r="B3395" i="1"/>
  <c r="A3396" i="1"/>
  <c r="B3396" i="1"/>
  <c r="A3397" i="1"/>
  <c r="B3397" i="1"/>
  <c r="A3398" i="1"/>
  <c r="B3398" i="1"/>
  <c r="A3399" i="1"/>
  <c r="B3399" i="1"/>
  <c r="A3400" i="1"/>
  <c r="B3400" i="1"/>
  <c r="A3401" i="1"/>
  <c r="B3401" i="1"/>
  <c r="A3402" i="1"/>
  <c r="B3402" i="1"/>
  <c r="A3403" i="1"/>
  <c r="B3403" i="1"/>
  <c r="A3404" i="1"/>
  <c r="B3404" i="1"/>
  <c r="A3405" i="1"/>
  <c r="B3405" i="1"/>
  <c r="A3406" i="1"/>
  <c r="B3406" i="1"/>
  <c r="A3407" i="1"/>
  <c r="B3407" i="1"/>
  <c r="A3408" i="1"/>
  <c r="B3408" i="1"/>
  <c r="A3409" i="1"/>
  <c r="B3409" i="1"/>
  <c r="A3410" i="1"/>
  <c r="B3410" i="1"/>
  <c r="A3411" i="1"/>
  <c r="B3411" i="1"/>
  <c r="A3412" i="1"/>
  <c r="B3412" i="1"/>
  <c r="A3413" i="1"/>
  <c r="B3413" i="1"/>
  <c r="A3414" i="1"/>
  <c r="B3414" i="1"/>
  <c r="A3415" i="1"/>
  <c r="B3415" i="1"/>
  <c r="A3416" i="1"/>
  <c r="B3416" i="1"/>
  <c r="A3417" i="1"/>
  <c r="B3417" i="1"/>
  <c r="A3418" i="1"/>
  <c r="B3418" i="1"/>
  <c r="A3419" i="1"/>
  <c r="B3419" i="1"/>
  <c r="A3420" i="1"/>
  <c r="B3420" i="1"/>
  <c r="A3421" i="1"/>
  <c r="B3421" i="1"/>
  <c r="A3422" i="1"/>
  <c r="B3422" i="1"/>
  <c r="A3423" i="1"/>
  <c r="B3423" i="1"/>
  <c r="A3424" i="1"/>
  <c r="B3424" i="1"/>
  <c r="A3425" i="1"/>
  <c r="B3425" i="1"/>
  <c r="A3426" i="1"/>
  <c r="B3426" i="1"/>
  <c r="A3427" i="1"/>
  <c r="B3427" i="1"/>
  <c r="A3428" i="1"/>
  <c r="B3428" i="1"/>
  <c r="A3429" i="1"/>
  <c r="B3429" i="1"/>
  <c r="A3430" i="1"/>
  <c r="B3430" i="1"/>
  <c r="A3431" i="1"/>
  <c r="B3431" i="1"/>
  <c r="A3432" i="1"/>
  <c r="B3432" i="1"/>
  <c r="A3433" i="1"/>
  <c r="B3433" i="1"/>
  <c r="A3434" i="1"/>
  <c r="B3434" i="1"/>
  <c r="A3435" i="1"/>
  <c r="B3435" i="1"/>
  <c r="A3436" i="1"/>
  <c r="B3436" i="1"/>
  <c r="A3437" i="1"/>
  <c r="B3437" i="1"/>
  <c r="A3438" i="1"/>
  <c r="B3438" i="1"/>
  <c r="A3439" i="1"/>
  <c r="B3439" i="1"/>
  <c r="A3440" i="1"/>
  <c r="B3440" i="1"/>
  <c r="A3441" i="1"/>
  <c r="B3441" i="1"/>
  <c r="A3442" i="1"/>
  <c r="B3442" i="1"/>
  <c r="A3443" i="1"/>
  <c r="B3443" i="1"/>
  <c r="A3444" i="1"/>
  <c r="B3444" i="1"/>
  <c r="A3445" i="1"/>
  <c r="B3445" i="1"/>
  <c r="A3446" i="1"/>
  <c r="B3446" i="1"/>
  <c r="A3447" i="1"/>
  <c r="B3447" i="1"/>
  <c r="A3448" i="1"/>
  <c r="B3448" i="1"/>
  <c r="A3449" i="1"/>
  <c r="B3449" i="1"/>
  <c r="A3450" i="1"/>
  <c r="B3450" i="1"/>
  <c r="A3451" i="1"/>
  <c r="B3451" i="1"/>
  <c r="A3452" i="1"/>
  <c r="B3452" i="1"/>
  <c r="A3453" i="1"/>
  <c r="B3453" i="1"/>
  <c r="A3454" i="1"/>
  <c r="B3454" i="1"/>
  <c r="A3455" i="1"/>
  <c r="B3455" i="1"/>
  <c r="A3456" i="1"/>
  <c r="B3456" i="1"/>
  <c r="A3457" i="1"/>
  <c r="B3457" i="1"/>
  <c r="A3458" i="1"/>
  <c r="B3458" i="1"/>
  <c r="A3459" i="1"/>
  <c r="B3459" i="1"/>
  <c r="A3460" i="1"/>
  <c r="B3460" i="1"/>
  <c r="A3461" i="1"/>
  <c r="B3461" i="1"/>
  <c r="A3462" i="1"/>
  <c r="B3462" i="1"/>
  <c r="A3463" i="1"/>
  <c r="B3463" i="1"/>
  <c r="A3464" i="1"/>
  <c r="B3464" i="1"/>
  <c r="A3465" i="1"/>
  <c r="B3465" i="1"/>
  <c r="A3466" i="1"/>
  <c r="B3466" i="1"/>
  <c r="A3467" i="1"/>
  <c r="B3467" i="1"/>
  <c r="A3468" i="1"/>
  <c r="B3468" i="1"/>
  <c r="A3469" i="1"/>
  <c r="B3469" i="1"/>
  <c r="A3470" i="1"/>
  <c r="B3470" i="1"/>
  <c r="A3471" i="1"/>
  <c r="B3471" i="1"/>
  <c r="A3472" i="1"/>
  <c r="B3472" i="1"/>
  <c r="A3473" i="1"/>
  <c r="B3473" i="1"/>
  <c r="A3474" i="1"/>
  <c r="B3474" i="1"/>
  <c r="A3475" i="1"/>
  <c r="B3475" i="1"/>
  <c r="A3476" i="1"/>
  <c r="B3476" i="1"/>
  <c r="A3477" i="1"/>
  <c r="B3477" i="1"/>
  <c r="A3478" i="1"/>
  <c r="B3478" i="1"/>
  <c r="A3479" i="1"/>
  <c r="B3479" i="1"/>
  <c r="A3480" i="1"/>
  <c r="B3480" i="1"/>
  <c r="A3481" i="1"/>
  <c r="B3481" i="1"/>
  <c r="A3482" i="1"/>
  <c r="B3482" i="1"/>
  <c r="A3483" i="1"/>
  <c r="B3483" i="1"/>
  <c r="A3484" i="1"/>
  <c r="B3484" i="1"/>
  <c r="A3485" i="1"/>
  <c r="B3485" i="1"/>
  <c r="A3486" i="1"/>
  <c r="B3486" i="1"/>
  <c r="A3487" i="1"/>
  <c r="B3487" i="1"/>
  <c r="A3488" i="1"/>
  <c r="B3488" i="1"/>
  <c r="A3489" i="1"/>
  <c r="B3489" i="1"/>
  <c r="A3490" i="1"/>
  <c r="B3490" i="1"/>
  <c r="A3491" i="1"/>
  <c r="B3491" i="1"/>
  <c r="A3492" i="1"/>
  <c r="B3492" i="1"/>
  <c r="A3493" i="1"/>
  <c r="B3493" i="1"/>
  <c r="A3494" i="1"/>
  <c r="B3494" i="1"/>
  <c r="A3495" i="1"/>
  <c r="B3495" i="1"/>
  <c r="A3496" i="1"/>
  <c r="B3496" i="1"/>
  <c r="A3497" i="1"/>
  <c r="B3497" i="1"/>
  <c r="A3498" i="1"/>
  <c r="B3498" i="1"/>
  <c r="A3499" i="1"/>
  <c r="B3499" i="1"/>
  <c r="A3500" i="1"/>
  <c r="B3500" i="1"/>
  <c r="A3501" i="1"/>
  <c r="B3501" i="1"/>
  <c r="A3502" i="1"/>
  <c r="B3502" i="1"/>
  <c r="A3503" i="1"/>
  <c r="B3503" i="1"/>
  <c r="A3504" i="1"/>
  <c r="B3504" i="1"/>
  <c r="A3505" i="1"/>
  <c r="B3505" i="1"/>
  <c r="A3506" i="1"/>
  <c r="B3506" i="1"/>
  <c r="A3507" i="1"/>
  <c r="B3507" i="1"/>
  <c r="A3508" i="1"/>
  <c r="B3508" i="1"/>
  <c r="A3509" i="1"/>
  <c r="B3509" i="1"/>
  <c r="A3510" i="1"/>
  <c r="B3510" i="1"/>
  <c r="A3511" i="1"/>
  <c r="B3511" i="1"/>
  <c r="A3512" i="1"/>
  <c r="B3512" i="1"/>
  <c r="A3513" i="1"/>
  <c r="B3513" i="1"/>
  <c r="A3514" i="1"/>
  <c r="B3514" i="1"/>
  <c r="A3515" i="1"/>
  <c r="B3515" i="1"/>
  <c r="A3516" i="1"/>
  <c r="B3516" i="1"/>
  <c r="A3517" i="1"/>
  <c r="B3517" i="1"/>
  <c r="A3518" i="1"/>
  <c r="B3518" i="1"/>
  <c r="A3519" i="1"/>
  <c r="B3519" i="1"/>
  <c r="A3520" i="1"/>
  <c r="B3520" i="1"/>
  <c r="A3521" i="1"/>
  <c r="B3521" i="1"/>
  <c r="A3522" i="1"/>
  <c r="B3522" i="1"/>
  <c r="A3523" i="1"/>
  <c r="B3523" i="1"/>
  <c r="A3524" i="1"/>
  <c r="B3524" i="1"/>
  <c r="A3525" i="1"/>
  <c r="B3525" i="1"/>
  <c r="A3526" i="1"/>
  <c r="B3526" i="1"/>
  <c r="A3527" i="1"/>
  <c r="B3527" i="1"/>
  <c r="A3528" i="1"/>
  <c r="B3528" i="1"/>
  <c r="A3529" i="1"/>
  <c r="B3529" i="1"/>
  <c r="A3530" i="1"/>
  <c r="B3530" i="1"/>
  <c r="A3531" i="1"/>
  <c r="B3531" i="1"/>
  <c r="A3532" i="1"/>
  <c r="B3532" i="1"/>
  <c r="A3533" i="1"/>
  <c r="B3533" i="1"/>
  <c r="A3534" i="1"/>
  <c r="B3534" i="1"/>
  <c r="A3535" i="1"/>
  <c r="B3535" i="1"/>
  <c r="A3536" i="1"/>
  <c r="B3536" i="1"/>
  <c r="A3537" i="1"/>
  <c r="B3537" i="1"/>
  <c r="A3538" i="1"/>
  <c r="B3538" i="1"/>
  <c r="A3539" i="1"/>
  <c r="B3539" i="1"/>
  <c r="A3540" i="1"/>
  <c r="B3540" i="1"/>
  <c r="A3541" i="1"/>
  <c r="B3541" i="1"/>
  <c r="A3542" i="1"/>
  <c r="B3542" i="1"/>
  <c r="A3543" i="1"/>
  <c r="B3543" i="1"/>
  <c r="A3544" i="1"/>
  <c r="B3544" i="1"/>
  <c r="A3545" i="1"/>
  <c r="B3545" i="1"/>
  <c r="A3546" i="1"/>
  <c r="B3546" i="1"/>
  <c r="A3547" i="1"/>
  <c r="B3547" i="1"/>
  <c r="A3548" i="1"/>
  <c r="B3548" i="1"/>
  <c r="A3549" i="1"/>
  <c r="B3549" i="1"/>
  <c r="A3550" i="1"/>
  <c r="B3550" i="1"/>
  <c r="A3551" i="1"/>
  <c r="B3551" i="1"/>
  <c r="A3552" i="1"/>
  <c r="B3552" i="1"/>
  <c r="A3553" i="1"/>
  <c r="B3553" i="1"/>
  <c r="A3554" i="1"/>
  <c r="B3554" i="1"/>
  <c r="A3555" i="1"/>
  <c r="B3555" i="1"/>
  <c r="A3556" i="1"/>
  <c r="B3556" i="1"/>
  <c r="A3557" i="1"/>
  <c r="B3557" i="1"/>
  <c r="A3558" i="1"/>
  <c r="B3558" i="1"/>
  <c r="A3559" i="1"/>
  <c r="B3559" i="1"/>
  <c r="A3560" i="1"/>
  <c r="B3560" i="1"/>
  <c r="A3561" i="1"/>
  <c r="B3561" i="1"/>
  <c r="A3562" i="1"/>
  <c r="B3562" i="1"/>
  <c r="A3563" i="1"/>
  <c r="B3563" i="1"/>
  <c r="A3564" i="1"/>
  <c r="B3564" i="1"/>
  <c r="A3565" i="1"/>
  <c r="B3565" i="1"/>
  <c r="A3566" i="1"/>
  <c r="B3566" i="1"/>
  <c r="A3567" i="1"/>
  <c r="B3567" i="1"/>
  <c r="A3568" i="1"/>
  <c r="B3568" i="1"/>
  <c r="A3569" i="1"/>
  <c r="B3569" i="1"/>
  <c r="A3570" i="1"/>
  <c r="B3570" i="1"/>
  <c r="A3571" i="1"/>
  <c r="B3571" i="1"/>
  <c r="A3572" i="1"/>
  <c r="B3572" i="1"/>
  <c r="A3573" i="1"/>
  <c r="B3573" i="1"/>
  <c r="A3574" i="1"/>
  <c r="B3574" i="1"/>
  <c r="A3575" i="1"/>
  <c r="B3575" i="1"/>
  <c r="A3576" i="1"/>
  <c r="B3576" i="1"/>
  <c r="A3577" i="1"/>
  <c r="B3577" i="1"/>
  <c r="A3578" i="1"/>
  <c r="B3578" i="1"/>
  <c r="A3579" i="1"/>
  <c r="B3579" i="1"/>
  <c r="A3580" i="1"/>
  <c r="B3580" i="1"/>
  <c r="A3581" i="1"/>
  <c r="B3581" i="1"/>
  <c r="A3582" i="1"/>
  <c r="B3582" i="1"/>
  <c r="A3583" i="1"/>
  <c r="B3583" i="1"/>
  <c r="A3584" i="1"/>
  <c r="B3584" i="1"/>
  <c r="A3585" i="1"/>
  <c r="B3585" i="1"/>
  <c r="A3586" i="1"/>
  <c r="B3586" i="1"/>
  <c r="A3587" i="1"/>
  <c r="B3587" i="1"/>
  <c r="A3588" i="1"/>
  <c r="B3588" i="1"/>
  <c r="A3589" i="1"/>
  <c r="B3589" i="1"/>
  <c r="A3590" i="1"/>
  <c r="B3590" i="1"/>
  <c r="A3591" i="1"/>
  <c r="B3591" i="1"/>
  <c r="A3592" i="1"/>
  <c r="B3592" i="1"/>
  <c r="A3593" i="1"/>
  <c r="B3593" i="1"/>
  <c r="A3594" i="1"/>
  <c r="B3594" i="1"/>
  <c r="A3595" i="1"/>
  <c r="B3595" i="1"/>
  <c r="A3596" i="1"/>
  <c r="B3596" i="1"/>
  <c r="A3597" i="1"/>
  <c r="B3597" i="1"/>
  <c r="A3598" i="1"/>
  <c r="B3598" i="1"/>
  <c r="A3599" i="1"/>
  <c r="B3599" i="1"/>
  <c r="A3600" i="1"/>
  <c r="B3600" i="1"/>
  <c r="A3601" i="1"/>
  <c r="B3601" i="1"/>
  <c r="A3602" i="1"/>
  <c r="B3602" i="1"/>
  <c r="A3603" i="1"/>
  <c r="B3603" i="1"/>
  <c r="A3604" i="1"/>
  <c r="B3604" i="1"/>
  <c r="A3605" i="1"/>
  <c r="B3605" i="1"/>
  <c r="A3606" i="1"/>
  <c r="B3606" i="1"/>
  <c r="A3607" i="1"/>
  <c r="B3607" i="1"/>
  <c r="A3608" i="1"/>
  <c r="B3608" i="1"/>
  <c r="A3609" i="1"/>
  <c r="B3609" i="1"/>
  <c r="A3610" i="1"/>
  <c r="B3610" i="1"/>
  <c r="A3611" i="1"/>
  <c r="B3611" i="1"/>
  <c r="A3612" i="1"/>
  <c r="B3612" i="1"/>
  <c r="A3613" i="1"/>
  <c r="B3613" i="1"/>
  <c r="A3614" i="1"/>
  <c r="B3614" i="1"/>
  <c r="A3615" i="1"/>
  <c r="B3615" i="1"/>
  <c r="A3616" i="1"/>
  <c r="B3616" i="1"/>
  <c r="A3617" i="1"/>
  <c r="B3617" i="1"/>
  <c r="A3618" i="1"/>
  <c r="B3618" i="1"/>
  <c r="A3619" i="1"/>
  <c r="B3619" i="1"/>
  <c r="A3620" i="1"/>
  <c r="B3620" i="1"/>
  <c r="A3621" i="1"/>
  <c r="B3621" i="1"/>
  <c r="A3622" i="1"/>
  <c r="B3622" i="1"/>
  <c r="A3623" i="1"/>
  <c r="B3623" i="1"/>
  <c r="A3624" i="1"/>
  <c r="B3624" i="1"/>
  <c r="A3625" i="1"/>
  <c r="B3625" i="1"/>
  <c r="A3626" i="1"/>
  <c r="B3626" i="1"/>
  <c r="A3627" i="1"/>
  <c r="B3627" i="1"/>
  <c r="A3628" i="1"/>
  <c r="B3628" i="1"/>
  <c r="A3629" i="1"/>
  <c r="B3629" i="1"/>
  <c r="A3630" i="1"/>
  <c r="B3630" i="1"/>
  <c r="A3631" i="1"/>
  <c r="B3631" i="1"/>
  <c r="A3632" i="1"/>
  <c r="B3632" i="1"/>
  <c r="A3633" i="1"/>
  <c r="B3633" i="1"/>
  <c r="A3634" i="1"/>
  <c r="B3634" i="1"/>
  <c r="A3635" i="1"/>
  <c r="B3635" i="1"/>
  <c r="A3636" i="1"/>
  <c r="B3636" i="1"/>
  <c r="A3637" i="1"/>
  <c r="B3637" i="1"/>
  <c r="A3638" i="1"/>
  <c r="B3638" i="1"/>
  <c r="A3639" i="1"/>
  <c r="B3639" i="1"/>
  <c r="A3640" i="1"/>
  <c r="B3640" i="1"/>
  <c r="A3641" i="1"/>
  <c r="B3641" i="1"/>
  <c r="A3642" i="1"/>
  <c r="B3642" i="1"/>
  <c r="A3643" i="1"/>
  <c r="B3643" i="1"/>
  <c r="A3644" i="1"/>
  <c r="B3644" i="1"/>
  <c r="A3645" i="1"/>
  <c r="B3645" i="1"/>
  <c r="A3646" i="1"/>
  <c r="B3646" i="1"/>
  <c r="A3647" i="1"/>
  <c r="B3647" i="1"/>
  <c r="A3648" i="1"/>
  <c r="B3648" i="1"/>
  <c r="A3649" i="1"/>
  <c r="B3649" i="1"/>
  <c r="A3650" i="1"/>
  <c r="B3650" i="1"/>
  <c r="A3651" i="1"/>
  <c r="B3651" i="1"/>
  <c r="A3652" i="1"/>
  <c r="B3652" i="1"/>
  <c r="A3653" i="1"/>
  <c r="B3653" i="1"/>
  <c r="A3654" i="1"/>
  <c r="B3654" i="1"/>
  <c r="A3655" i="1"/>
  <c r="B3655" i="1"/>
  <c r="A3656" i="1"/>
  <c r="B3656" i="1"/>
  <c r="A3657" i="1"/>
  <c r="B3657" i="1"/>
  <c r="A3658" i="1"/>
  <c r="B3658" i="1"/>
  <c r="A3659" i="1"/>
  <c r="B3659" i="1"/>
  <c r="A3660" i="1"/>
  <c r="B3660" i="1"/>
  <c r="A3661" i="1"/>
  <c r="B3661" i="1"/>
  <c r="A3662" i="1"/>
  <c r="B3662" i="1"/>
  <c r="A3663" i="1"/>
  <c r="B3663" i="1"/>
  <c r="A3664" i="1"/>
  <c r="B3664" i="1"/>
  <c r="A3665" i="1"/>
  <c r="B3665" i="1"/>
  <c r="A3666" i="1"/>
  <c r="B3666" i="1"/>
  <c r="A3667" i="1"/>
  <c r="B3667" i="1"/>
  <c r="A3668" i="1"/>
  <c r="B3668" i="1"/>
  <c r="A3669" i="1"/>
  <c r="B3669" i="1"/>
  <c r="A3670" i="1"/>
  <c r="B3670" i="1"/>
  <c r="A3671" i="1"/>
  <c r="B3671" i="1"/>
  <c r="A3672" i="1"/>
  <c r="B3672" i="1"/>
  <c r="A3673" i="1"/>
  <c r="B3673" i="1"/>
  <c r="A3674" i="1"/>
  <c r="B3674" i="1"/>
  <c r="A3675" i="1"/>
  <c r="B3675" i="1"/>
  <c r="A3676" i="1"/>
  <c r="B3676" i="1"/>
  <c r="A3677" i="1"/>
  <c r="B3677" i="1"/>
  <c r="A3678" i="1"/>
  <c r="B3678" i="1"/>
  <c r="A3679" i="1"/>
  <c r="B3679" i="1"/>
  <c r="A3680" i="1"/>
  <c r="B3680" i="1"/>
  <c r="A3681" i="1"/>
  <c r="B3681" i="1"/>
  <c r="A3682" i="1"/>
  <c r="B3682" i="1"/>
  <c r="A3683" i="1"/>
  <c r="B3683" i="1"/>
  <c r="A3684" i="1"/>
  <c r="B3684" i="1"/>
  <c r="A3685" i="1"/>
  <c r="B3685" i="1"/>
  <c r="A3686" i="1"/>
  <c r="B3686" i="1"/>
  <c r="A3687" i="1"/>
  <c r="B3687" i="1"/>
  <c r="A3688" i="1"/>
  <c r="B3688" i="1"/>
  <c r="A3689" i="1"/>
  <c r="B3689" i="1"/>
  <c r="A3690" i="1"/>
  <c r="B3690" i="1"/>
  <c r="A3691" i="1"/>
  <c r="B3691" i="1"/>
  <c r="A3692" i="1"/>
  <c r="B3692" i="1"/>
  <c r="A3693" i="1"/>
  <c r="B3693" i="1"/>
  <c r="A3694" i="1"/>
  <c r="B3694" i="1"/>
  <c r="A3695" i="1"/>
  <c r="B3695" i="1"/>
  <c r="A3696" i="1"/>
  <c r="B3696" i="1"/>
  <c r="A3697" i="1"/>
  <c r="B3697" i="1"/>
  <c r="A3698" i="1"/>
  <c r="B3698" i="1"/>
  <c r="A3699" i="1"/>
  <c r="B3699" i="1"/>
  <c r="A3700" i="1"/>
  <c r="B3700" i="1"/>
  <c r="A3701" i="1"/>
  <c r="B3701" i="1"/>
  <c r="A3702" i="1"/>
  <c r="B3702" i="1"/>
  <c r="A3703" i="1"/>
  <c r="B3703" i="1"/>
  <c r="A3704" i="1"/>
  <c r="B3704" i="1"/>
  <c r="A3705" i="1"/>
  <c r="B3705" i="1"/>
  <c r="A3706" i="1"/>
  <c r="B3706" i="1"/>
  <c r="A3707" i="1"/>
  <c r="B3707" i="1"/>
  <c r="A3708" i="1"/>
  <c r="B3708" i="1"/>
  <c r="A3709" i="1"/>
  <c r="B3709" i="1"/>
  <c r="A3710" i="1"/>
  <c r="B3710" i="1"/>
  <c r="A3711" i="1"/>
  <c r="B3711" i="1"/>
  <c r="A3712" i="1"/>
  <c r="B3712" i="1"/>
  <c r="A3713" i="1"/>
  <c r="B3713" i="1"/>
  <c r="A3714" i="1"/>
  <c r="B3714" i="1"/>
  <c r="A3715" i="1"/>
  <c r="B3715" i="1"/>
  <c r="A3716" i="1"/>
  <c r="B3716" i="1"/>
  <c r="A3717" i="1"/>
  <c r="B3717" i="1"/>
  <c r="A3718" i="1"/>
  <c r="B3718" i="1"/>
  <c r="A3719" i="1"/>
  <c r="B3719" i="1"/>
  <c r="A3720" i="1"/>
  <c r="B3720" i="1"/>
  <c r="A3721" i="1"/>
  <c r="B3721" i="1"/>
  <c r="A3722" i="1"/>
  <c r="B3722" i="1"/>
  <c r="A3723" i="1"/>
  <c r="B3723" i="1"/>
  <c r="A3724" i="1"/>
  <c r="B3724" i="1"/>
  <c r="A3725" i="1"/>
  <c r="B3725" i="1"/>
  <c r="A3726" i="1"/>
  <c r="B3726" i="1"/>
  <c r="A3727" i="1"/>
  <c r="B3727" i="1"/>
  <c r="A3728" i="1"/>
  <c r="B3728" i="1"/>
  <c r="A3729" i="1"/>
  <c r="B3729" i="1"/>
  <c r="A3730" i="1"/>
  <c r="B3730" i="1"/>
  <c r="A3731" i="1"/>
  <c r="B3731" i="1"/>
  <c r="A3732" i="1"/>
  <c r="B3732" i="1"/>
  <c r="A3733" i="1"/>
  <c r="B3733" i="1"/>
  <c r="A3734" i="1"/>
  <c r="B3734" i="1"/>
  <c r="A3735" i="1"/>
  <c r="B3735" i="1"/>
  <c r="A3736" i="1"/>
  <c r="B3736" i="1"/>
  <c r="A3737" i="1"/>
  <c r="B3737" i="1"/>
  <c r="A3738" i="1"/>
  <c r="B3738" i="1"/>
  <c r="A3739" i="1"/>
  <c r="B3739" i="1"/>
  <c r="A3740" i="1"/>
  <c r="B3740" i="1"/>
  <c r="A3741" i="1"/>
  <c r="B3741" i="1"/>
  <c r="A3742" i="1"/>
  <c r="B3742" i="1"/>
  <c r="A3743" i="1"/>
  <c r="B3743" i="1"/>
  <c r="A3744" i="1"/>
  <c r="B3744" i="1"/>
  <c r="A3745" i="1"/>
  <c r="B3745" i="1"/>
  <c r="A3746" i="1"/>
  <c r="B3746" i="1"/>
  <c r="A3747" i="1"/>
  <c r="B3747" i="1"/>
  <c r="A3748" i="1"/>
  <c r="B3748" i="1"/>
  <c r="A3749" i="1"/>
  <c r="B3749" i="1"/>
  <c r="A3750" i="1"/>
  <c r="B3750" i="1"/>
  <c r="A3751" i="1"/>
  <c r="B3751" i="1"/>
  <c r="A3752" i="1"/>
  <c r="B3752" i="1"/>
  <c r="A3753" i="1"/>
  <c r="B3753" i="1"/>
  <c r="A3754" i="1"/>
  <c r="B3754" i="1"/>
  <c r="A3755" i="1"/>
  <c r="B3755" i="1"/>
  <c r="A3756" i="1"/>
  <c r="B3756" i="1"/>
  <c r="A3757" i="1"/>
  <c r="B3757" i="1"/>
  <c r="A3758" i="1"/>
  <c r="B3758" i="1"/>
  <c r="A3759" i="1"/>
  <c r="B3759" i="1"/>
  <c r="A3760" i="1"/>
  <c r="B3760" i="1"/>
  <c r="A3761" i="1"/>
  <c r="B3761" i="1"/>
  <c r="A3762" i="1"/>
  <c r="B3762" i="1"/>
  <c r="A3763" i="1"/>
  <c r="B3763" i="1"/>
  <c r="A3764" i="1"/>
  <c r="B3764" i="1"/>
  <c r="A3765" i="1"/>
  <c r="B3765" i="1"/>
  <c r="A3766" i="1"/>
  <c r="B3766" i="1"/>
  <c r="A3767" i="1"/>
  <c r="B3767" i="1"/>
  <c r="A3768" i="1"/>
  <c r="B3768" i="1"/>
  <c r="A3769" i="1"/>
  <c r="B3769" i="1"/>
  <c r="A3770" i="1"/>
  <c r="B3770" i="1"/>
  <c r="A3771" i="1"/>
  <c r="B3771" i="1"/>
  <c r="A3772" i="1"/>
  <c r="B3772" i="1"/>
  <c r="A3773" i="1"/>
  <c r="B3773" i="1"/>
  <c r="A3774" i="1"/>
  <c r="B3774" i="1"/>
  <c r="A3775" i="1"/>
  <c r="B3775" i="1"/>
  <c r="A3776" i="1"/>
  <c r="B3776" i="1"/>
  <c r="A3777" i="1"/>
  <c r="B3777" i="1"/>
  <c r="A3778" i="1"/>
  <c r="B3778" i="1"/>
  <c r="A3779" i="1"/>
  <c r="B3779" i="1"/>
  <c r="A3780" i="1"/>
  <c r="B3780" i="1"/>
  <c r="A3781" i="1"/>
  <c r="B3781" i="1"/>
  <c r="A3782" i="1"/>
  <c r="B3782" i="1"/>
  <c r="A3783" i="1"/>
  <c r="B3783" i="1"/>
  <c r="A3784" i="1"/>
  <c r="B3784" i="1"/>
  <c r="A3785" i="1"/>
  <c r="B3785" i="1"/>
  <c r="A3786" i="1"/>
  <c r="B3786" i="1"/>
  <c r="A3787" i="1"/>
  <c r="B3787" i="1"/>
  <c r="A3788" i="1"/>
  <c r="B3788" i="1"/>
  <c r="A3789" i="1"/>
  <c r="B3789" i="1"/>
  <c r="A3790" i="1"/>
  <c r="B3790" i="1"/>
  <c r="A3791" i="1"/>
  <c r="B3791" i="1"/>
  <c r="A3792" i="1"/>
  <c r="B3792" i="1"/>
  <c r="A3793" i="1"/>
  <c r="B3793" i="1"/>
  <c r="A3794" i="1"/>
  <c r="B3794" i="1"/>
  <c r="A3795" i="1"/>
  <c r="B3795" i="1"/>
  <c r="A3796" i="1"/>
  <c r="B3796" i="1"/>
  <c r="A3797" i="1"/>
  <c r="B3797" i="1"/>
  <c r="A3798" i="1"/>
  <c r="B3798" i="1"/>
  <c r="A3799" i="1"/>
  <c r="B3799" i="1"/>
  <c r="A3800" i="1"/>
  <c r="B3800" i="1"/>
  <c r="A3801" i="1"/>
  <c r="B3801" i="1"/>
  <c r="A3802" i="1"/>
  <c r="B3802" i="1"/>
  <c r="A3803" i="1"/>
  <c r="B3803" i="1"/>
  <c r="A3804" i="1"/>
  <c r="B3804" i="1"/>
  <c r="A3805" i="1"/>
  <c r="B3805" i="1"/>
  <c r="A3806" i="1"/>
  <c r="B3806" i="1"/>
  <c r="A3807" i="1"/>
  <c r="B3807" i="1"/>
  <c r="A3808" i="1"/>
  <c r="B3808" i="1"/>
  <c r="A3809" i="1"/>
  <c r="B3809" i="1"/>
  <c r="A3810" i="1"/>
  <c r="B3810" i="1"/>
  <c r="A3811" i="1"/>
  <c r="B3811" i="1"/>
  <c r="A3812" i="1"/>
  <c r="B3812" i="1"/>
  <c r="A3813" i="1"/>
  <c r="B3813" i="1"/>
  <c r="A3814" i="1"/>
  <c r="B3814" i="1"/>
  <c r="A3815" i="1"/>
  <c r="B3815" i="1"/>
  <c r="A3816" i="1"/>
  <c r="B3816" i="1"/>
  <c r="A3817" i="1"/>
  <c r="B3817" i="1"/>
  <c r="A3818" i="1"/>
  <c r="B3818" i="1"/>
  <c r="A3819" i="1"/>
  <c r="B3819" i="1"/>
  <c r="A3820" i="1"/>
  <c r="B3820" i="1"/>
  <c r="A3821" i="1"/>
  <c r="B3821" i="1"/>
  <c r="A3822" i="1"/>
  <c r="B3822" i="1"/>
  <c r="A3823" i="1"/>
  <c r="B3823" i="1"/>
  <c r="A3824" i="1"/>
  <c r="B3824" i="1"/>
  <c r="A3825" i="1"/>
  <c r="B3825" i="1"/>
  <c r="A3826" i="1"/>
  <c r="B3826" i="1"/>
  <c r="A3827" i="1"/>
  <c r="B3827" i="1"/>
  <c r="A3828" i="1"/>
  <c r="B3828" i="1"/>
  <c r="A3829" i="1"/>
  <c r="B3829" i="1"/>
  <c r="A3830" i="1"/>
  <c r="B3830" i="1"/>
  <c r="A3831" i="1"/>
  <c r="B3831" i="1"/>
  <c r="A3832" i="1"/>
  <c r="B3832" i="1"/>
  <c r="A3833" i="1"/>
  <c r="B3833" i="1"/>
  <c r="A3834" i="1"/>
  <c r="B3834" i="1"/>
  <c r="A3835" i="1"/>
  <c r="B3835" i="1"/>
  <c r="A3836" i="1"/>
  <c r="B3836" i="1"/>
  <c r="A3837" i="1"/>
  <c r="B3837" i="1"/>
  <c r="A3838" i="1"/>
  <c r="B3838" i="1"/>
  <c r="A3839" i="1"/>
  <c r="B3839" i="1"/>
  <c r="A3840" i="1"/>
  <c r="B3840" i="1"/>
  <c r="A3841" i="1"/>
  <c r="B3841" i="1"/>
  <c r="A3842" i="1"/>
  <c r="B3842" i="1"/>
  <c r="A3843" i="1"/>
  <c r="B3843" i="1"/>
  <c r="A3844" i="1"/>
  <c r="B3844" i="1"/>
  <c r="A3845" i="1"/>
  <c r="B3845" i="1"/>
  <c r="A3846" i="1"/>
  <c r="B3846" i="1"/>
  <c r="A3847" i="1"/>
  <c r="B3847" i="1"/>
  <c r="A3848" i="1"/>
  <c r="B3848" i="1"/>
  <c r="A3849" i="1"/>
  <c r="B3849" i="1"/>
  <c r="A3850" i="1"/>
  <c r="B3850" i="1"/>
  <c r="A3851" i="1"/>
  <c r="B3851" i="1"/>
  <c r="A3852" i="1"/>
  <c r="B3852" i="1"/>
  <c r="A3853" i="1"/>
  <c r="B3853" i="1"/>
  <c r="A3854" i="1"/>
  <c r="B3854" i="1"/>
  <c r="A3855" i="1"/>
  <c r="B3855" i="1"/>
  <c r="A3856" i="1"/>
  <c r="B3856" i="1"/>
  <c r="A3857" i="1"/>
  <c r="B3857" i="1"/>
  <c r="A3858" i="1"/>
  <c r="B3858" i="1"/>
  <c r="A3859" i="1"/>
  <c r="B3859" i="1"/>
  <c r="A3860" i="1"/>
  <c r="B3860" i="1"/>
  <c r="A3861" i="1"/>
  <c r="B3861" i="1"/>
  <c r="A3862" i="1"/>
  <c r="B3862" i="1"/>
  <c r="A3863" i="1"/>
  <c r="B3863" i="1"/>
  <c r="A3864" i="1"/>
  <c r="B3864" i="1"/>
  <c r="A3865" i="1"/>
  <c r="B3865" i="1"/>
  <c r="A3866" i="1"/>
  <c r="B3866" i="1"/>
  <c r="A3867" i="1"/>
  <c r="B3867" i="1"/>
  <c r="A3868" i="1"/>
  <c r="B3868" i="1"/>
  <c r="A3869" i="1"/>
  <c r="B3869" i="1"/>
  <c r="A3870" i="1"/>
  <c r="B3870" i="1"/>
  <c r="A3871" i="1"/>
  <c r="B3871" i="1"/>
  <c r="A3872" i="1"/>
  <c r="B3872" i="1"/>
  <c r="A3873" i="1"/>
  <c r="B3873" i="1"/>
  <c r="A3874" i="1"/>
  <c r="B3874" i="1"/>
  <c r="A3875" i="1"/>
  <c r="B3875" i="1"/>
  <c r="A3876" i="1"/>
  <c r="B3876" i="1"/>
  <c r="A3877" i="1"/>
  <c r="B3877" i="1"/>
  <c r="A3878" i="1"/>
  <c r="B3878" i="1"/>
  <c r="A3879" i="1"/>
  <c r="B3879" i="1"/>
  <c r="A3880" i="1"/>
  <c r="B3880" i="1"/>
  <c r="A3881" i="1"/>
  <c r="B3881" i="1"/>
  <c r="A3882" i="1"/>
  <c r="B3882" i="1"/>
  <c r="A3883" i="1"/>
  <c r="B3883" i="1"/>
  <c r="A3884" i="1"/>
  <c r="B3884" i="1"/>
  <c r="A3885" i="1"/>
  <c r="B3885" i="1"/>
  <c r="A3886" i="1"/>
  <c r="B3886" i="1"/>
  <c r="A3887" i="1"/>
  <c r="B3887" i="1"/>
  <c r="A3888" i="1"/>
  <c r="B3888" i="1"/>
  <c r="A3889" i="1"/>
  <c r="B3889" i="1"/>
  <c r="A3890" i="1"/>
  <c r="B3890" i="1"/>
  <c r="A3891" i="1"/>
  <c r="B3891" i="1"/>
  <c r="A3892" i="1"/>
  <c r="B3892" i="1"/>
  <c r="A3893" i="1"/>
  <c r="B3893" i="1"/>
  <c r="A3894" i="1"/>
  <c r="B3894" i="1"/>
  <c r="A3895" i="1"/>
  <c r="B3895" i="1"/>
  <c r="A3896" i="1"/>
  <c r="B3896" i="1"/>
  <c r="A3897" i="1"/>
  <c r="B3897" i="1"/>
  <c r="A3898" i="1"/>
  <c r="B3898" i="1"/>
  <c r="A3899" i="1"/>
  <c r="B3899" i="1"/>
  <c r="A3900" i="1"/>
  <c r="B3900" i="1"/>
  <c r="A3901" i="1"/>
  <c r="B3901" i="1"/>
  <c r="A3902" i="1"/>
  <c r="B3902" i="1"/>
  <c r="A3903" i="1"/>
  <c r="B3903" i="1"/>
  <c r="A3904" i="1"/>
  <c r="B3904" i="1"/>
  <c r="A3905" i="1"/>
  <c r="B3905" i="1"/>
  <c r="A3906" i="1"/>
  <c r="B3906" i="1"/>
  <c r="A3907" i="1"/>
  <c r="B3907" i="1"/>
  <c r="A3908" i="1"/>
  <c r="B3908" i="1"/>
  <c r="A3909" i="1"/>
  <c r="B3909" i="1"/>
  <c r="A3910" i="1"/>
  <c r="B3910" i="1"/>
  <c r="A3911" i="1"/>
  <c r="B3911" i="1"/>
  <c r="A3912" i="1"/>
  <c r="B3912" i="1"/>
  <c r="A3913" i="1"/>
  <c r="B3913" i="1"/>
  <c r="A3914" i="1"/>
  <c r="B3914" i="1"/>
  <c r="A3915" i="1"/>
  <c r="B3915" i="1"/>
  <c r="A3916" i="1"/>
  <c r="B3916" i="1"/>
  <c r="A3917" i="1"/>
  <c r="B3917" i="1"/>
  <c r="A3918" i="1"/>
  <c r="B3918" i="1"/>
  <c r="A3919" i="1"/>
  <c r="B3919" i="1"/>
  <c r="A3920" i="1"/>
  <c r="B3920" i="1"/>
  <c r="A3921" i="1"/>
  <c r="B3921" i="1"/>
  <c r="A3922" i="1"/>
  <c r="B3922" i="1"/>
  <c r="A3923" i="1"/>
  <c r="B3923" i="1"/>
  <c r="A3924" i="1"/>
  <c r="B3924" i="1"/>
  <c r="A3925" i="1"/>
  <c r="B3925" i="1"/>
  <c r="A3926" i="1"/>
  <c r="B3926" i="1"/>
  <c r="A3927" i="1"/>
  <c r="B3927" i="1"/>
  <c r="A3928" i="1"/>
  <c r="B3928" i="1"/>
  <c r="A3929" i="1"/>
  <c r="B3929" i="1"/>
  <c r="A3930" i="1"/>
  <c r="B3930" i="1"/>
  <c r="A3931" i="1"/>
  <c r="B3931" i="1"/>
  <c r="A3932" i="1"/>
  <c r="B3932" i="1"/>
  <c r="A3933" i="1"/>
  <c r="B3933" i="1"/>
  <c r="A3934" i="1"/>
  <c r="B3934" i="1"/>
  <c r="A3935" i="1"/>
  <c r="B3935" i="1"/>
  <c r="A3936" i="1"/>
  <c r="B3936" i="1"/>
  <c r="A3937" i="1"/>
  <c r="B3937" i="1"/>
  <c r="A3938" i="1"/>
  <c r="B3938" i="1"/>
  <c r="A3939" i="1"/>
  <c r="B3939" i="1"/>
  <c r="A3940" i="1"/>
  <c r="B3940" i="1"/>
  <c r="A3941" i="1"/>
  <c r="B3941" i="1"/>
  <c r="A3942" i="1"/>
  <c r="B3942" i="1"/>
  <c r="A3943" i="1"/>
  <c r="B3943" i="1"/>
  <c r="A3944" i="1"/>
  <c r="B3944" i="1"/>
  <c r="A3945" i="1"/>
  <c r="B3945" i="1"/>
  <c r="A3946" i="1"/>
  <c r="B3946" i="1"/>
  <c r="A3947" i="1"/>
  <c r="B3947" i="1"/>
  <c r="A3948" i="1"/>
  <c r="B3948" i="1"/>
  <c r="A3949" i="1"/>
  <c r="B3949" i="1"/>
  <c r="A3950" i="1"/>
  <c r="B3950" i="1"/>
  <c r="A3951" i="1"/>
  <c r="B3951" i="1"/>
  <c r="A3952" i="1"/>
  <c r="B3952" i="1"/>
  <c r="A3953" i="1"/>
  <c r="B3953" i="1"/>
  <c r="A3954" i="1"/>
  <c r="B3954" i="1"/>
  <c r="A3955" i="1"/>
  <c r="B3955" i="1"/>
  <c r="A3956" i="1"/>
  <c r="B3956" i="1"/>
  <c r="A3957" i="1"/>
  <c r="B3957" i="1"/>
  <c r="A3958" i="1"/>
  <c r="B3958" i="1"/>
  <c r="A3959" i="1"/>
  <c r="B3959" i="1"/>
  <c r="A3960" i="1"/>
  <c r="B3960" i="1"/>
  <c r="A3961" i="1"/>
  <c r="B3961" i="1"/>
  <c r="A3962" i="1"/>
  <c r="B3962" i="1"/>
  <c r="A3963" i="1"/>
  <c r="B3963" i="1"/>
  <c r="A3964" i="1"/>
  <c r="B3964" i="1"/>
  <c r="A3965" i="1"/>
  <c r="B3965" i="1"/>
  <c r="A3966" i="1"/>
  <c r="B3966" i="1"/>
  <c r="A3967" i="1"/>
  <c r="B3967" i="1"/>
  <c r="A3968" i="1"/>
  <c r="B3968" i="1"/>
  <c r="A3969" i="1"/>
  <c r="B3969" i="1"/>
  <c r="A3970" i="1"/>
  <c r="B3970" i="1"/>
  <c r="A3971" i="1"/>
  <c r="B3971" i="1"/>
  <c r="A3972" i="1"/>
  <c r="B3972" i="1"/>
  <c r="A3973" i="1"/>
  <c r="B3973" i="1"/>
  <c r="A3974" i="1"/>
  <c r="B3974" i="1"/>
  <c r="A3975" i="1"/>
  <c r="B3975" i="1"/>
  <c r="A3976" i="1"/>
  <c r="B3976" i="1"/>
  <c r="A3977" i="1"/>
  <c r="B3977" i="1"/>
  <c r="A3978" i="1"/>
  <c r="B3978" i="1"/>
  <c r="A3979" i="1"/>
  <c r="B3979" i="1"/>
  <c r="A3980" i="1"/>
  <c r="B3980" i="1"/>
  <c r="A3981" i="1"/>
  <c r="B3981" i="1"/>
  <c r="A3982" i="1"/>
  <c r="B3982" i="1"/>
  <c r="A3983" i="1"/>
  <c r="B3983" i="1"/>
  <c r="A3984" i="1"/>
  <c r="B3984" i="1"/>
  <c r="A3985" i="1"/>
  <c r="B3985" i="1"/>
  <c r="A3986" i="1"/>
  <c r="B3986" i="1"/>
  <c r="A3987" i="1"/>
  <c r="B3987" i="1"/>
  <c r="A3988" i="1"/>
  <c r="B3988" i="1"/>
  <c r="A3989" i="1"/>
  <c r="B3989" i="1"/>
  <c r="A3990" i="1"/>
  <c r="B3990" i="1"/>
  <c r="A3991" i="1"/>
  <c r="B3991" i="1"/>
  <c r="A3992" i="1"/>
  <c r="B3992" i="1"/>
  <c r="A3993" i="1"/>
  <c r="B3993" i="1"/>
  <c r="A3994" i="1"/>
  <c r="B3994" i="1"/>
  <c r="A3995" i="1"/>
  <c r="B3995" i="1"/>
  <c r="A3996" i="1"/>
  <c r="B3996" i="1"/>
  <c r="A3997" i="1"/>
  <c r="B3997" i="1"/>
  <c r="A3998" i="1"/>
  <c r="B3998" i="1"/>
  <c r="A3999" i="1"/>
  <c r="B3999" i="1"/>
  <c r="A4000" i="1"/>
  <c r="B4000" i="1"/>
  <c r="A4001" i="1"/>
  <c r="B4001" i="1"/>
  <c r="A4002" i="1"/>
  <c r="B4002" i="1"/>
  <c r="A4003" i="1"/>
  <c r="B4003" i="1"/>
  <c r="A4004" i="1"/>
  <c r="B4004" i="1"/>
  <c r="A4005" i="1"/>
  <c r="B4005" i="1"/>
  <c r="A4006" i="1"/>
  <c r="B4006" i="1"/>
  <c r="A4007" i="1"/>
  <c r="B4007" i="1"/>
  <c r="A4008" i="1"/>
  <c r="B4008" i="1"/>
  <c r="A4009" i="1"/>
  <c r="B4009" i="1"/>
  <c r="A4010" i="1"/>
  <c r="B4010" i="1"/>
  <c r="A4011" i="1"/>
  <c r="B4011" i="1"/>
  <c r="A4012" i="1"/>
  <c r="B4012" i="1"/>
  <c r="A4013" i="1"/>
  <c r="B4013" i="1"/>
  <c r="A4014" i="1"/>
  <c r="B4014" i="1"/>
  <c r="A4015" i="1"/>
  <c r="B4015" i="1"/>
  <c r="A4016" i="1"/>
  <c r="B4016" i="1"/>
  <c r="A4017" i="1"/>
  <c r="B4017" i="1"/>
  <c r="A4018" i="1"/>
  <c r="B4018" i="1"/>
  <c r="A4019" i="1"/>
  <c r="B4019" i="1"/>
  <c r="A4020" i="1"/>
  <c r="B4020" i="1"/>
  <c r="A4021" i="1"/>
  <c r="B4021" i="1"/>
  <c r="A4022" i="1"/>
  <c r="B4022" i="1"/>
  <c r="A4023" i="1"/>
  <c r="B4023" i="1"/>
  <c r="A4024" i="1"/>
  <c r="B4024" i="1"/>
  <c r="A4025" i="1"/>
  <c r="B4025" i="1"/>
  <c r="A4026" i="1"/>
  <c r="B4026" i="1"/>
  <c r="A4027" i="1"/>
  <c r="B4027" i="1"/>
  <c r="A4028" i="1"/>
  <c r="B4028" i="1"/>
  <c r="A4029" i="1"/>
  <c r="B4029" i="1"/>
  <c r="A4030" i="1"/>
  <c r="B4030" i="1"/>
  <c r="A4031" i="1"/>
  <c r="B4031" i="1"/>
  <c r="A4032" i="1"/>
  <c r="B4032" i="1"/>
  <c r="A4033" i="1"/>
  <c r="B4033" i="1"/>
  <c r="A4034" i="1"/>
  <c r="B4034" i="1"/>
  <c r="A4035" i="1"/>
  <c r="B4035" i="1"/>
  <c r="A4036" i="1"/>
  <c r="B4036" i="1"/>
  <c r="A4037" i="1"/>
  <c r="B4037" i="1"/>
  <c r="A4038" i="1"/>
  <c r="B4038" i="1"/>
  <c r="A4039" i="1"/>
  <c r="B4039" i="1"/>
  <c r="A4040" i="1"/>
  <c r="B4040" i="1"/>
  <c r="A4041" i="1"/>
  <c r="B4041" i="1"/>
  <c r="A4042" i="1"/>
  <c r="B4042" i="1"/>
  <c r="A4043" i="1"/>
  <c r="B4043" i="1"/>
  <c r="A4044" i="1"/>
  <c r="B4044" i="1"/>
  <c r="A4045" i="1"/>
  <c r="B4045" i="1"/>
  <c r="A4046" i="1"/>
  <c r="B4046" i="1"/>
  <c r="A4047" i="1"/>
  <c r="B4047" i="1"/>
  <c r="A4048" i="1"/>
  <c r="B4048" i="1"/>
  <c r="A4049" i="1"/>
  <c r="B4049" i="1"/>
  <c r="A4050" i="1"/>
  <c r="B4050" i="1"/>
  <c r="A4051" i="1"/>
  <c r="B4051" i="1"/>
  <c r="A4052" i="1"/>
  <c r="B4052" i="1"/>
  <c r="A4053" i="1"/>
  <c r="B4053" i="1"/>
  <c r="A4054" i="1"/>
  <c r="B4054" i="1"/>
  <c r="A4055" i="1"/>
  <c r="B4055" i="1"/>
  <c r="A4056" i="1"/>
  <c r="B4056" i="1"/>
  <c r="A4057" i="1"/>
  <c r="B4057" i="1"/>
  <c r="A4058" i="1"/>
  <c r="B4058" i="1"/>
  <c r="A4059" i="1"/>
  <c r="B4059" i="1"/>
  <c r="A4060" i="1"/>
  <c r="B4060" i="1"/>
  <c r="A4061" i="1"/>
  <c r="B4061" i="1"/>
  <c r="A4062" i="1"/>
  <c r="B4062" i="1"/>
  <c r="A4063" i="1"/>
  <c r="B4063" i="1"/>
  <c r="A4064" i="1"/>
  <c r="B4064" i="1"/>
  <c r="A4065" i="1"/>
  <c r="B4065" i="1"/>
  <c r="A4066" i="1"/>
  <c r="B4066" i="1"/>
  <c r="A4067" i="1"/>
  <c r="B4067" i="1"/>
  <c r="A4068" i="1"/>
  <c r="B4068" i="1"/>
  <c r="A4069" i="1"/>
  <c r="B4069" i="1"/>
  <c r="A4070" i="1"/>
  <c r="B4070" i="1"/>
  <c r="A4071" i="1"/>
  <c r="B4071" i="1"/>
  <c r="A4072" i="1"/>
  <c r="B4072" i="1"/>
  <c r="A4073" i="1"/>
  <c r="B4073" i="1"/>
  <c r="A4074" i="1"/>
  <c r="B4074" i="1"/>
  <c r="A4075" i="1"/>
  <c r="B4075" i="1"/>
  <c r="A4076" i="1"/>
  <c r="B4076" i="1"/>
  <c r="A4077" i="1"/>
  <c r="B4077" i="1"/>
  <c r="A4078" i="1"/>
  <c r="B4078" i="1"/>
  <c r="A4079" i="1"/>
  <c r="B4079" i="1"/>
  <c r="A4080" i="1"/>
  <c r="B4080" i="1"/>
  <c r="A4081" i="1"/>
  <c r="B4081" i="1"/>
  <c r="A4082" i="1"/>
  <c r="B4082" i="1"/>
  <c r="A4083" i="1"/>
  <c r="B4083" i="1"/>
  <c r="A4084" i="1"/>
  <c r="B4084" i="1"/>
  <c r="A4085" i="1"/>
  <c r="B4085" i="1"/>
  <c r="A4086" i="1"/>
  <c r="B4086" i="1"/>
  <c r="A4087" i="1"/>
  <c r="B4087" i="1"/>
  <c r="A4088" i="1"/>
  <c r="B4088" i="1"/>
  <c r="A4089" i="1"/>
  <c r="B4089" i="1"/>
  <c r="A4090" i="1"/>
  <c r="B4090" i="1"/>
  <c r="A4091" i="1"/>
  <c r="B4091" i="1"/>
  <c r="A4092" i="1"/>
  <c r="B4092" i="1"/>
  <c r="A4093" i="1"/>
  <c r="B4093" i="1"/>
  <c r="A4094" i="1"/>
  <c r="B4094" i="1"/>
  <c r="A4095" i="1"/>
  <c r="B4095" i="1"/>
  <c r="A4096" i="1"/>
  <c r="B4096" i="1"/>
  <c r="A4097" i="1"/>
  <c r="B4097" i="1"/>
  <c r="A4098" i="1"/>
  <c r="B4098" i="1"/>
  <c r="A4099" i="1"/>
  <c r="B4099" i="1"/>
  <c r="A4100" i="1"/>
  <c r="B4100" i="1"/>
  <c r="A4101" i="1"/>
  <c r="B4101" i="1"/>
  <c r="A4102" i="1"/>
  <c r="B4102" i="1"/>
  <c r="A4103" i="1"/>
  <c r="B4103" i="1"/>
  <c r="A4104" i="1"/>
  <c r="B4104" i="1"/>
  <c r="A4105" i="1"/>
  <c r="B4105" i="1"/>
  <c r="A4106" i="1"/>
  <c r="B4106" i="1"/>
  <c r="A4107" i="1"/>
  <c r="B4107" i="1"/>
  <c r="A4108" i="1"/>
  <c r="B4108" i="1"/>
  <c r="A4109" i="1"/>
  <c r="B4109" i="1"/>
  <c r="A4110" i="1"/>
  <c r="B4110" i="1"/>
  <c r="A4111" i="1"/>
  <c r="B4111" i="1"/>
  <c r="A4112" i="1"/>
  <c r="B4112" i="1"/>
  <c r="A4113" i="1"/>
  <c r="B4113" i="1"/>
  <c r="A4114" i="1"/>
  <c r="B4114" i="1"/>
  <c r="A4115" i="1"/>
  <c r="B4115" i="1"/>
  <c r="A4116" i="1"/>
  <c r="B4116" i="1"/>
  <c r="A4117" i="1"/>
  <c r="B4117" i="1"/>
  <c r="A4118" i="1"/>
  <c r="B4118" i="1"/>
  <c r="A4119" i="1"/>
  <c r="B4119" i="1"/>
  <c r="A4120" i="1"/>
  <c r="B4120" i="1"/>
  <c r="A4121" i="1"/>
  <c r="B4121" i="1"/>
  <c r="A4122" i="1"/>
  <c r="B4122" i="1"/>
  <c r="A4123" i="1"/>
  <c r="B4123" i="1"/>
  <c r="A4124" i="1"/>
  <c r="B4124" i="1"/>
  <c r="A4125" i="1"/>
  <c r="B4125" i="1"/>
  <c r="A4126" i="1"/>
  <c r="B4126" i="1"/>
  <c r="A4127" i="1"/>
  <c r="B4127" i="1"/>
  <c r="A4128" i="1"/>
  <c r="B4128" i="1"/>
  <c r="A4129" i="1"/>
  <c r="B4129" i="1"/>
  <c r="A4130" i="1"/>
  <c r="B4130" i="1"/>
  <c r="A4131" i="1"/>
  <c r="B4131" i="1"/>
  <c r="A4132" i="1"/>
  <c r="B4132" i="1"/>
  <c r="A4133" i="1"/>
  <c r="B4133" i="1"/>
  <c r="A4134" i="1"/>
  <c r="B4134" i="1"/>
  <c r="A4135" i="1"/>
  <c r="B4135" i="1"/>
  <c r="A4136" i="1"/>
  <c r="B4136" i="1"/>
  <c r="A4137" i="1"/>
  <c r="B4137" i="1"/>
  <c r="A4138" i="1"/>
  <c r="B4138" i="1"/>
  <c r="A4139" i="1"/>
  <c r="B4139" i="1"/>
  <c r="A4140" i="1"/>
  <c r="B4140" i="1"/>
  <c r="A4141" i="1"/>
  <c r="B4141" i="1"/>
  <c r="A4142" i="1"/>
  <c r="B4142" i="1"/>
  <c r="A4143" i="1"/>
  <c r="B4143" i="1"/>
  <c r="A4144" i="1"/>
  <c r="B4144" i="1"/>
  <c r="A4145" i="1"/>
  <c r="B4145" i="1"/>
  <c r="A4146" i="1"/>
  <c r="B4146" i="1"/>
  <c r="A4147" i="1"/>
  <c r="B4147" i="1"/>
  <c r="A4148" i="1"/>
  <c r="B4148" i="1"/>
  <c r="A4149" i="1"/>
  <c r="B4149" i="1"/>
  <c r="A4150" i="1"/>
  <c r="B4150" i="1"/>
  <c r="A4151" i="1"/>
  <c r="B4151" i="1"/>
  <c r="A4152" i="1"/>
  <c r="B4152" i="1"/>
  <c r="A4153" i="1"/>
  <c r="B4153" i="1"/>
  <c r="A4154" i="1"/>
  <c r="B4154" i="1"/>
  <c r="A4155" i="1"/>
  <c r="B4155" i="1"/>
  <c r="A4156" i="1"/>
  <c r="B4156" i="1"/>
  <c r="A4157" i="1"/>
  <c r="B4157" i="1"/>
  <c r="A4158" i="1"/>
  <c r="B4158" i="1"/>
  <c r="A4159" i="1"/>
  <c r="B4159" i="1"/>
  <c r="A4160" i="1"/>
  <c r="B4160" i="1"/>
  <c r="A4161" i="1"/>
  <c r="B4161" i="1"/>
  <c r="A4162" i="1"/>
  <c r="B4162" i="1"/>
  <c r="A4163" i="1"/>
  <c r="B4163" i="1"/>
  <c r="A4164" i="1"/>
  <c r="B4164" i="1"/>
  <c r="A4165" i="1"/>
  <c r="B4165" i="1"/>
  <c r="A4166" i="1"/>
  <c r="B4166" i="1"/>
  <c r="A4167" i="1"/>
  <c r="B4167" i="1"/>
  <c r="A4168" i="1"/>
  <c r="B4168" i="1"/>
  <c r="A4169" i="1"/>
  <c r="B4169" i="1"/>
  <c r="A4170" i="1"/>
  <c r="B4170" i="1"/>
  <c r="A4171" i="1"/>
  <c r="B4171" i="1"/>
  <c r="A4172" i="1"/>
  <c r="B4172" i="1"/>
  <c r="A4173" i="1"/>
  <c r="B4173" i="1"/>
  <c r="A4174" i="1"/>
  <c r="B4174" i="1"/>
  <c r="A4175" i="1"/>
  <c r="B4175" i="1"/>
  <c r="A4176" i="1"/>
  <c r="B4176" i="1"/>
  <c r="A4177" i="1"/>
  <c r="B4177" i="1"/>
  <c r="A4178" i="1"/>
  <c r="B4178" i="1"/>
  <c r="A4179" i="1"/>
  <c r="B4179" i="1"/>
  <c r="A4180" i="1"/>
  <c r="B4180" i="1"/>
  <c r="A4181" i="1"/>
  <c r="B4181" i="1"/>
  <c r="A4182" i="1"/>
  <c r="B4182" i="1"/>
  <c r="A4183" i="1"/>
  <c r="B4183" i="1"/>
  <c r="A4184" i="1"/>
  <c r="B4184" i="1"/>
  <c r="A4185" i="1"/>
  <c r="B4185" i="1"/>
  <c r="A4186" i="1"/>
  <c r="B4186" i="1"/>
  <c r="A4187" i="1"/>
  <c r="B4187" i="1"/>
  <c r="A4188" i="1"/>
  <c r="B4188" i="1"/>
  <c r="A4189" i="1"/>
  <c r="B4189" i="1"/>
  <c r="A4190" i="1"/>
  <c r="B4190" i="1"/>
  <c r="A4191" i="1"/>
  <c r="B4191" i="1"/>
  <c r="A4192" i="1"/>
  <c r="B4192" i="1"/>
  <c r="A4193" i="1"/>
  <c r="B4193" i="1"/>
  <c r="A4194" i="1"/>
  <c r="B4194" i="1"/>
  <c r="A4195" i="1"/>
  <c r="B4195" i="1"/>
  <c r="A4196" i="1"/>
  <c r="B4196" i="1"/>
  <c r="A4197" i="1"/>
  <c r="B4197" i="1"/>
  <c r="A4198" i="1"/>
  <c r="B4198" i="1"/>
  <c r="A4199" i="1"/>
  <c r="B4199" i="1"/>
  <c r="A4200" i="1"/>
  <c r="B4200" i="1"/>
  <c r="A4201" i="1"/>
  <c r="B4201" i="1"/>
  <c r="A4202" i="1"/>
  <c r="B4202" i="1"/>
  <c r="A4203" i="1"/>
  <c r="B4203" i="1"/>
  <c r="A4204" i="1"/>
  <c r="B4204" i="1"/>
  <c r="A4205" i="1"/>
  <c r="B4205" i="1"/>
  <c r="A4206" i="1"/>
  <c r="B4206" i="1"/>
  <c r="A4207" i="1"/>
  <c r="B4207" i="1"/>
  <c r="A4208" i="1"/>
  <c r="B4208" i="1"/>
  <c r="A4209" i="1"/>
  <c r="B4209" i="1"/>
  <c r="A4210" i="1"/>
  <c r="B4210" i="1"/>
  <c r="A4211" i="1"/>
  <c r="B4211" i="1"/>
  <c r="A4212" i="1"/>
  <c r="B4212" i="1"/>
  <c r="A4213" i="1"/>
  <c r="B4213" i="1"/>
  <c r="A4214" i="1"/>
  <c r="B4214" i="1"/>
  <c r="A4215" i="1"/>
  <c r="B4215" i="1"/>
  <c r="A4216" i="1"/>
  <c r="B4216" i="1"/>
  <c r="A4217" i="1"/>
  <c r="B4217" i="1"/>
  <c r="A4218" i="1"/>
  <c r="B4218" i="1"/>
  <c r="A4219" i="1"/>
  <c r="B4219" i="1"/>
  <c r="A4220" i="1"/>
  <c r="B4220" i="1"/>
  <c r="A4221" i="1"/>
  <c r="B4221" i="1"/>
  <c r="A4222" i="1"/>
  <c r="B4222" i="1"/>
  <c r="A4223" i="1"/>
  <c r="B4223" i="1"/>
  <c r="A4224" i="1"/>
  <c r="B4224" i="1"/>
  <c r="A4225" i="1"/>
  <c r="B4225" i="1"/>
  <c r="A4226" i="1"/>
  <c r="B4226" i="1"/>
  <c r="A4227" i="1"/>
  <c r="B4227" i="1"/>
  <c r="A4228" i="1"/>
  <c r="B4228" i="1"/>
  <c r="A4229" i="1"/>
  <c r="B4229" i="1"/>
  <c r="A4230" i="1"/>
  <c r="B4230" i="1"/>
  <c r="A4231" i="1"/>
  <c r="B4231" i="1"/>
  <c r="A4232" i="1"/>
  <c r="B4232" i="1"/>
  <c r="A4233" i="1"/>
  <c r="B4233" i="1"/>
  <c r="A4234" i="1"/>
  <c r="B4234" i="1"/>
  <c r="A4235" i="1"/>
  <c r="B4235" i="1"/>
  <c r="A4236" i="1"/>
  <c r="B4236" i="1"/>
  <c r="A4237" i="1"/>
  <c r="B4237" i="1"/>
  <c r="A4238" i="1"/>
  <c r="B4238" i="1"/>
  <c r="A4239" i="1"/>
  <c r="B4239" i="1"/>
  <c r="A4240" i="1"/>
  <c r="B4240" i="1"/>
  <c r="A4241" i="1"/>
  <c r="B4241" i="1"/>
  <c r="A4242" i="1"/>
  <c r="B4242" i="1"/>
  <c r="A4243" i="1"/>
  <c r="B4243" i="1"/>
  <c r="A4244" i="1"/>
  <c r="B4244" i="1"/>
  <c r="A4245" i="1"/>
  <c r="B4245" i="1"/>
  <c r="A4246" i="1"/>
  <c r="B4246" i="1"/>
  <c r="A4247" i="1"/>
  <c r="B4247" i="1"/>
  <c r="A4248" i="1"/>
  <c r="B4248" i="1"/>
  <c r="A4249" i="1"/>
  <c r="B4249" i="1"/>
  <c r="A4250" i="1"/>
  <c r="B4250" i="1"/>
  <c r="A4251" i="1"/>
  <c r="B4251" i="1"/>
  <c r="A4252" i="1"/>
  <c r="B4252" i="1"/>
  <c r="A4253" i="1"/>
  <c r="B4253" i="1"/>
  <c r="A4254" i="1"/>
  <c r="B4254" i="1"/>
  <c r="A4255" i="1"/>
  <c r="B4255" i="1"/>
  <c r="A4256" i="1"/>
  <c r="B4256" i="1"/>
  <c r="A4257" i="1"/>
  <c r="B4257" i="1"/>
  <c r="A4258" i="1"/>
  <c r="B4258" i="1"/>
  <c r="A4259" i="1"/>
  <c r="B4259" i="1"/>
  <c r="A4260" i="1"/>
  <c r="B4260" i="1"/>
  <c r="A4261" i="1"/>
  <c r="B4261" i="1"/>
  <c r="A4262" i="1"/>
  <c r="B4262" i="1"/>
  <c r="A4263" i="1"/>
  <c r="B4263" i="1"/>
  <c r="A4264" i="1"/>
  <c r="B4264" i="1"/>
  <c r="A4265" i="1"/>
  <c r="B4265" i="1"/>
  <c r="A4266" i="1"/>
  <c r="B4266" i="1"/>
  <c r="A4267" i="1"/>
  <c r="B4267" i="1"/>
  <c r="A4268" i="1"/>
  <c r="B4268" i="1"/>
  <c r="A4269" i="1"/>
  <c r="B4269" i="1"/>
  <c r="A4270" i="1"/>
  <c r="B4270" i="1"/>
  <c r="A4271" i="1"/>
  <c r="B4271" i="1"/>
  <c r="A4272" i="1"/>
  <c r="B4272" i="1"/>
  <c r="A4273" i="1"/>
  <c r="B4273" i="1"/>
  <c r="A4274" i="1"/>
  <c r="B4274" i="1"/>
  <c r="A4275" i="1"/>
  <c r="B4275" i="1"/>
  <c r="A4276" i="1"/>
  <c r="B4276" i="1"/>
  <c r="A4277" i="1"/>
  <c r="B4277" i="1"/>
  <c r="A4278" i="1"/>
  <c r="B4278" i="1"/>
  <c r="A4279" i="1"/>
  <c r="B4279" i="1"/>
  <c r="A4280" i="1"/>
  <c r="B4280" i="1"/>
  <c r="A4281" i="1"/>
  <c r="B4281" i="1"/>
  <c r="A4282" i="1"/>
  <c r="B4282" i="1"/>
  <c r="A4283" i="1"/>
  <c r="B4283" i="1"/>
  <c r="A4284" i="1"/>
  <c r="B4284" i="1"/>
  <c r="A4285" i="1"/>
  <c r="B4285" i="1"/>
  <c r="A4286" i="1"/>
  <c r="B4286" i="1"/>
  <c r="A4287" i="1"/>
  <c r="B4287" i="1"/>
  <c r="A4288" i="1"/>
  <c r="B4288" i="1"/>
  <c r="A4289" i="1"/>
  <c r="B4289" i="1"/>
  <c r="A4290" i="1"/>
  <c r="B4290" i="1"/>
  <c r="A4291" i="1"/>
  <c r="B4291" i="1"/>
  <c r="A4292" i="1"/>
  <c r="B4292" i="1"/>
  <c r="A4293" i="1"/>
  <c r="B4293" i="1"/>
  <c r="A4294" i="1"/>
  <c r="B4294" i="1"/>
  <c r="A4295" i="1"/>
  <c r="B4295" i="1"/>
  <c r="A4296" i="1"/>
  <c r="B4296" i="1"/>
  <c r="A4297" i="1"/>
  <c r="B4297" i="1"/>
  <c r="A4298" i="1"/>
  <c r="B4298" i="1"/>
  <c r="A4299" i="1"/>
  <c r="B4299" i="1"/>
  <c r="A4300" i="1"/>
  <c r="B4300" i="1"/>
  <c r="A4301" i="1"/>
  <c r="B4301" i="1"/>
  <c r="A4302" i="1"/>
  <c r="B4302" i="1"/>
  <c r="A4303" i="1"/>
  <c r="B4303" i="1"/>
  <c r="A4304" i="1"/>
  <c r="B4304" i="1"/>
  <c r="A4305" i="1"/>
  <c r="B4305" i="1"/>
  <c r="A4306" i="1"/>
  <c r="B4306" i="1"/>
  <c r="A4307" i="1"/>
  <c r="B4307" i="1"/>
  <c r="A4308" i="1"/>
  <c r="B4308" i="1"/>
  <c r="A4309" i="1"/>
  <c r="B4309" i="1"/>
  <c r="A4310" i="1"/>
  <c r="B4310" i="1"/>
  <c r="A4311" i="1"/>
  <c r="B4311" i="1"/>
  <c r="A4312" i="1"/>
  <c r="B4312" i="1"/>
  <c r="A4313" i="1"/>
  <c r="B4313" i="1"/>
  <c r="A4314" i="1"/>
  <c r="B4314" i="1"/>
  <c r="A4315" i="1"/>
  <c r="B4315" i="1"/>
  <c r="A4316" i="1"/>
  <c r="B4316" i="1"/>
  <c r="A4317" i="1"/>
  <c r="B4317" i="1"/>
  <c r="A4318" i="1"/>
  <c r="B4318" i="1"/>
  <c r="A4319" i="1"/>
  <c r="B4319" i="1"/>
  <c r="A4320" i="1"/>
  <c r="B4320" i="1"/>
  <c r="A4321" i="1"/>
  <c r="B4321" i="1"/>
  <c r="A4322" i="1"/>
  <c r="B4322" i="1"/>
  <c r="A4323" i="1"/>
  <c r="B4323" i="1"/>
  <c r="A4324" i="1"/>
  <c r="B4324" i="1"/>
  <c r="A4325" i="1"/>
  <c r="B4325" i="1"/>
  <c r="A4326" i="1"/>
  <c r="B4326" i="1"/>
  <c r="A4327" i="1"/>
  <c r="B4327" i="1"/>
  <c r="A4328" i="1"/>
  <c r="B4328" i="1"/>
  <c r="A4329" i="1"/>
  <c r="B4329" i="1"/>
  <c r="A4330" i="1"/>
  <c r="B4330" i="1"/>
  <c r="A4331" i="1"/>
  <c r="B4331" i="1"/>
  <c r="A4332" i="1"/>
  <c r="B4332" i="1"/>
  <c r="A4333" i="1"/>
  <c r="B4333" i="1"/>
  <c r="A4334" i="1"/>
  <c r="B4334" i="1"/>
  <c r="A4335" i="1"/>
  <c r="B4335" i="1"/>
  <c r="A4336" i="1"/>
  <c r="B4336" i="1"/>
  <c r="A4337" i="1"/>
  <c r="B4337" i="1"/>
  <c r="A4338" i="1"/>
  <c r="B4338" i="1"/>
  <c r="A4339" i="1"/>
  <c r="B4339" i="1"/>
  <c r="A4340" i="1"/>
  <c r="B4340" i="1"/>
  <c r="A4341" i="1"/>
  <c r="B4341" i="1"/>
  <c r="A4342" i="1"/>
  <c r="B4342" i="1"/>
  <c r="A4343" i="1"/>
  <c r="B4343" i="1"/>
  <c r="A4344" i="1"/>
  <c r="B4344" i="1"/>
  <c r="A4345" i="1"/>
  <c r="B4345" i="1"/>
  <c r="A4346" i="1"/>
  <c r="B4346" i="1"/>
  <c r="A4347" i="1"/>
  <c r="B4347" i="1"/>
  <c r="A4348" i="1"/>
  <c r="B4348" i="1"/>
  <c r="A4349" i="1"/>
  <c r="B4349" i="1"/>
  <c r="A4350" i="1"/>
  <c r="B4350" i="1"/>
  <c r="A4351" i="1"/>
  <c r="B4351" i="1"/>
  <c r="A4352" i="1"/>
  <c r="B4352" i="1"/>
  <c r="A4353" i="1"/>
  <c r="B4353" i="1"/>
  <c r="A4354" i="1"/>
  <c r="B4354" i="1"/>
  <c r="A4355" i="1"/>
  <c r="B4355" i="1"/>
  <c r="A4356" i="1"/>
  <c r="B4356" i="1"/>
  <c r="A4357" i="1"/>
  <c r="B4357" i="1"/>
  <c r="A4358" i="1"/>
  <c r="B4358" i="1"/>
  <c r="A4359" i="1"/>
  <c r="B4359" i="1"/>
  <c r="A4360" i="1"/>
  <c r="B4360" i="1"/>
  <c r="A4361" i="1"/>
  <c r="B4361" i="1"/>
  <c r="A4362" i="1"/>
  <c r="B4362" i="1"/>
  <c r="A4363" i="1"/>
  <c r="B4363" i="1"/>
  <c r="A4364" i="1"/>
  <c r="B4364" i="1"/>
  <c r="A4365" i="1"/>
  <c r="B4365" i="1"/>
  <c r="A4366" i="1"/>
  <c r="B4366" i="1"/>
  <c r="A4367" i="1"/>
  <c r="B4367" i="1"/>
  <c r="A4368" i="1"/>
  <c r="B4368" i="1"/>
  <c r="A4369" i="1"/>
  <c r="B4369" i="1"/>
  <c r="A4370" i="1"/>
  <c r="B4370" i="1"/>
  <c r="A4371" i="1"/>
  <c r="B4371" i="1"/>
  <c r="A4372" i="1"/>
  <c r="B4372" i="1"/>
  <c r="A4373" i="1"/>
  <c r="B4373" i="1"/>
  <c r="A4374" i="1"/>
  <c r="B4374" i="1"/>
  <c r="A4375" i="1"/>
  <c r="B4375" i="1"/>
  <c r="A4376" i="1"/>
  <c r="B4376" i="1"/>
  <c r="A4377" i="1"/>
  <c r="B4377" i="1"/>
  <c r="A4378" i="1"/>
  <c r="B4378" i="1"/>
  <c r="A4379" i="1"/>
  <c r="B4379" i="1"/>
  <c r="A4380" i="1"/>
  <c r="B4380" i="1"/>
  <c r="A4381" i="1"/>
  <c r="B4381" i="1"/>
  <c r="A4382" i="1"/>
  <c r="B4382" i="1"/>
  <c r="A4383" i="1"/>
  <c r="B4383" i="1"/>
  <c r="A4384" i="1"/>
  <c r="B4384" i="1"/>
  <c r="A4385" i="1"/>
  <c r="B4385" i="1"/>
  <c r="A4386" i="1"/>
  <c r="B4386" i="1"/>
  <c r="A4387" i="1"/>
  <c r="B4387" i="1"/>
  <c r="A4388" i="1"/>
  <c r="B4388" i="1"/>
  <c r="A4389" i="1"/>
  <c r="B4389" i="1"/>
  <c r="A4390" i="1"/>
  <c r="B4390" i="1"/>
  <c r="A4391" i="1"/>
  <c r="B4391" i="1"/>
  <c r="A4392" i="1"/>
  <c r="B4392" i="1"/>
  <c r="A4393" i="1"/>
  <c r="B4393" i="1"/>
  <c r="A4394" i="1"/>
  <c r="B4394" i="1"/>
  <c r="A4395" i="1"/>
  <c r="B4395" i="1"/>
  <c r="A4396" i="1"/>
  <c r="B4396" i="1"/>
  <c r="A4397" i="1"/>
  <c r="B4397" i="1"/>
  <c r="A4398" i="1"/>
  <c r="B4398" i="1"/>
  <c r="A4399" i="1"/>
  <c r="B4399" i="1"/>
  <c r="A4400" i="1"/>
  <c r="B4400" i="1"/>
  <c r="A4401" i="1"/>
  <c r="B4401" i="1"/>
  <c r="A4402" i="1"/>
  <c r="B4402" i="1"/>
  <c r="A4403" i="1"/>
  <c r="B4403" i="1"/>
  <c r="A4404" i="1"/>
  <c r="B4404" i="1"/>
  <c r="A4405" i="1"/>
  <c r="B4405" i="1"/>
  <c r="A4406" i="1"/>
  <c r="B4406" i="1"/>
  <c r="A4407" i="1"/>
  <c r="B4407" i="1"/>
  <c r="A4408" i="1"/>
  <c r="B4408" i="1"/>
  <c r="A4409" i="1"/>
  <c r="B4409" i="1"/>
  <c r="A4410" i="1"/>
  <c r="B4410" i="1"/>
  <c r="A4411" i="1"/>
  <c r="B4411" i="1"/>
  <c r="A4412" i="1"/>
  <c r="B4412" i="1"/>
  <c r="A4413" i="1"/>
  <c r="B4413" i="1"/>
  <c r="A4414" i="1"/>
  <c r="B4414" i="1"/>
  <c r="A4415" i="1"/>
  <c r="B4415" i="1"/>
  <c r="A4416" i="1"/>
  <c r="B4416" i="1"/>
  <c r="A4417" i="1"/>
  <c r="B4417" i="1"/>
  <c r="A4418" i="1"/>
  <c r="B4418" i="1"/>
  <c r="A4419" i="1"/>
  <c r="B4419" i="1"/>
  <c r="A4420" i="1"/>
  <c r="B4420" i="1"/>
  <c r="A4421" i="1"/>
  <c r="B4421" i="1"/>
  <c r="A4422" i="1"/>
  <c r="B4422" i="1"/>
  <c r="A4423" i="1"/>
  <c r="B4423" i="1"/>
  <c r="A4424" i="1"/>
  <c r="B4424" i="1"/>
  <c r="A4425" i="1"/>
  <c r="B4425" i="1"/>
  <c r="A4426" i="1"/>
  <c r="B4426" i="1"/>
  <c r="A4427" i="1"/>
  <c r="B4427" i="1"/>
  <c r="A4428" i="1"/>
  <c r="B4428" i="1"/>
  <c r="A4429" i="1"/>
  <c r="B4429" i="1"/>
  <c r="A4430" i="1"/>
  <c r="B4430" i="1"/>
  <c r="A4431" i="1"/>
  <c r="B4431" i="1"/>
  <c r="A4432" i="1"/>
  <c r="B4432" i="1"/>
  <c r="A4433" i="1"/>
  <c r="B4433" i="1"/>
  <c r="A4434" i="1"/>
  <c r="B4434" i="1"/>
  <c r="A4435" i="1"/>
  <c r="B4435" i="1"/>
  <c r="A4436" i="1"/>
  <c r="B4436" i="1"/>
  <c r="A4437" i="1"/>
  <c r="B4437" i="1"/>
  <c r="A4438" i="1"/>
  <c r="B4438" i="1"/>
  <c r="A4439" i="1"/>
  <c r="B4439" i="1"/>
  <c r="A4440" i="1"/>
  <c r="B4440" i="1"/>
  <c r="A4441" i="1"/>
  <c r="B4441" i="1"/>
  <c r="A4442" i="1"/>
  <c r="B4442" i="1"/>
  <c r="A4443" i="1"/>
  <c r="B4443" i="1"/>
  <c r="A4444" i="1"/>
  <c r="B4444" i="1"/>
  <c r="A4445" i="1"/>
  <c r="B4445" i="1"/>
  <c r="A4446" i="1"/>
  <c r="B4446" i="1"/>
  <c r="A4447" i="1"/>
  <c r="B4447" i="1"/>
  <c r="A4448" i="1"/>
  <c r="B4448" i="1"/>
  <c r="A4449" i="1"/>
  <c r="B4449" i="1"/>
  <c r="A4450" i="1"/>
  <c r="B4450" i="1"/>
  <c r="A4451" i="1"/>
  <c r="B4451" i="1"/>
  <c r="A4452" i="1"/>
  <c r="B4452" i="1"/>
  <c r="A4453" i="1"/>
  <c r="B4453" i="1"/>
  <c r="A4454" i="1"/>
  <c r="B4454" i="1"/>
  <c r="A4455" i="1"/>
  <c r="B4455" i="1"/>
  <c r="A4456" i="1"/>
  <c r="B4456" i="1"/>
  <c r="A4457" i="1"/>
  <c r="B4457" i="1"/>
  <c r="A4458" i="1"/>
  <c r="B4458" i="1"/>
  <c r="A4459" i="1"/>
  <c r="B4459" i="1"/>
  <c r="A4460" i="1"/>
  <c r="B4460" i="1"/>
  <c r="A4461" i="1"/>
  <c r="B4461" i="1"/>
  <c r="A4462" i="1"/>
  <c r="B4462" i="1"/>
  <c r="A4463" i="1"/>
  <c r="B4463" i="1"/>
  <c r="A4464" i="1"/>
  <c r="B4464" i="1"/>
  <c r="A4465" i="1"/>
  <c r="B4465" i="1"/>
  <c r="A4466" i="1"/>
  <c r="B4466" i="1"/>
  <c r="A4467" i="1"/>
  <c r="B4467" i="1"/>
  <c r="A4468" i="1"/>
  <c r="B4468" i="1"/>
  <c r="A4469" i="1"/>
  <c r="B4469" i="1"/>
  <c r="A4470" i="1"/>
  <c r="B4470" i="1"/>
  <c r="A4471" i="1"/>
  <c r="B4471" i="1"/>
  <c r="A4472" i="1"/>
  <c r="B4472" i="1"/>
  <c r="A4473" i="1"/>
  <c r="B4473" i="1"/>
  <c r="A4474" i="1"/>
  <c r="B4474" i="1"/>
  <c r="A4475" i="1"/>
  <c r="B4475" i="1"/>
  <c r="A4476" i="1"/>
  <c r="B4476" i="1"/>
  <c r="A4477" i="1"/>
  <c r="B4477" i="1"/>
  <c r="A4478" i="1"/>
  <c r="B4478" i="1"/>
  <c r="A4479" i="1"/>
  <c r="B4479" i="1"/>
  <c r="A4480" i="1"/>
  <c r="B4480" i="1"/>
  <c r="A4481" i="1"/>
  <c r="B4481" i="1"/>
  <c r="A4482" i="1"/>
  <c r="B4482" i="1"/>
  <c r="A4483" i="1"/>
  <c r="B4483" i="1"/>
  <c r="A4484" i="1"/>
  <c r="B4484" i="1"/>
  <c r="A4485" i="1"/>
  <c r="B4485" i="1"/>
  <c r="A4486" i="1"/>
  <c r="B4486" i="1"/>
  <c r="A4487" i="1"/>
  <c r="B4487" i="1"/>
  <c r="A4488" i="1"/>
  <c r="B4488" i="1"/>
  <c r="A4489" i="1"/>
  <c r="B4489" i="1"/>
  <c r="A4490" i="1"/>
  <c r="B4490" i="1"/>
  <c r="A4491" i="1"/>
  <c r="B4491" i="1"/>
  <c r="A4492" i="1"/>
  <c r="B4492" i="1"/>
  <c r="A4493" i="1"/>
  <c r="B4493" i="1"/>
  <c r="A4494" i="1"/>
  <c r="B4494" i="1"/>
  <c r="A4495" i="1"/>
  <c r="B4495" i="1"/>
  <c r="A4496" i="1"/>
  <c r="B4496" i="1"/>
  <c r="A4497" i="1"/>
  <c r="B4497" i="1"/>
  <c r="A4498" i="1"/>
  <c r="B4498" i="1"/>
  <c r="A4499" i="1"/>
  <c r="B4499" i="1"/>
  <c r="A4500" i="1"/>
  <c r="B4500" i="1"/>
  <c r="A4501" i="1"/>
  <c r="B4501" i="1"/>
  <c r="A4502" i="1"/>
  <c r="B4502" i="1"/>
  <c r="A4503" i="1"/>
  <c r="B4503" i="1"/>
  <c r="A4504" i="1"/>
  <c r="B4504" i="1"/>
  <c r="A4505" i="1"/>
  <c r="B4505" i="1"/>
  <c r="A4506" i="1"/>
  <c r="B4506" i="1"/>
  <c r="A4507" i="1"/>
  <c r="B4507" i="1"/>
  <c r="A4508" i="1"/>
  <c r="B4508" i="1"/>
  <c r="A4509" i="1"/>
  <c r="B4509" i="1"/>
  <c r="A4510" i="1"/>
  <c r="B4510" i="1"/>
  <c r="A4511" i="1"/>
  <c r="B4511" i="1"/>
  <c r="A4512" i="1"/>
  <c r="B4512" i="1"/>
  <c r="A4513" i="1"/>
  <c r="B4513" i="1"/>
  <c r="A4514" i="1"/>
  <c r="B4514" i="1"/>
  <c r="A4515" i="1"/>
  <c r="B4515" i="1"/>
  <c r="A4516" i="1"/>
  <c r="B4516" i="1"/>
  <c r="A4517" i="1"/>
  <c r="B4517" i="1"/>
  <c r="A4518" i="1"/>
  <c r="B4518" i="1"/>
  <c r="A4519" i="1"/>
  <c r="B4519" i="1"/>
  <c r="A4520" i="1"/>
  <c r="B4520" i="1"/>
  <c r="A4521" i="1"/>
  <c r="B4521" i="1"/>
  <c r="A4522" i="1"/>
  <c r="B4522" i="1"/>
  <c r="A4523" i="1"/>
  <c r="B4523" i="1"/>
  <c r="A4524" i="1"/>
  <c r="B4524" i="1"/>
  <c r="A4525" i="1"/>
  <c r="B4525" i="1"/>
  <c r="A4526" i="1"/>
  <c r="B4526" i="1"/>
  <c r="A4527" i="1"/>
  <c r="B4527" i="1"/>
  <c r="A4528" i="1"/>
  <c r="B4528" i="1"/>
  <c r="A4529" i="1"/>
  <c r="B4529" i="1"/>
  <c r="A4530" i="1"/>
  <c r="B4530" i="1"/>
  <c r="A4531" i="1"/>
  <c r="B4531" i="1"/>
  <c r="A4532" i="1"/>
  <c r="B4532" i="1"/>
  <c r="A4533" i="1"/>
  <c r="B4533" i="1"/>
  <c r="A4534" i="1"/>
  <c r="B4534" i="1"/>
  <c r="A4535" i="1"/>
  <c r="B4535" i="1"/>
  <c r="A4536" i="1"/>
  <c r="B4536" i="1"/>
  <c r="A4537" i="1"/>
  <c r="B4537" i="1"/>
  <c r="A4538" i="1"/>
  <c r="B4538" i="1"/>
  <c r="A4539" i="1"/>
  <c r="B4539" i="1"/>
  <c r="A4540" i="1"/>
  <c r="B4540" i="1"/>
  <c r="A4541" i="1"/>
  <c r="B4541" i="1"/>
  <c r="A4542" i="1"/>
  <c r="B4542" i="1"/>
  <c r="A4543" i="1"/>
  <c r="B4543" i="1"/>
  <c r="A4544" i="1"/>
  <c r="B4544" i="1"/>
  <c r="A4545" i="1"/>
  <c r="B4545" i="1"/>
  <c r="A4546" i="1"/>
  <c r="B4546" i="1"/>
  <c r="A4547" i="1"/>
  <c r="B4547" i="1"/>
  <c r="A4548" i="1"/>
  <c r="B4548" i="1"/>
  <c r="A4549" i="1"/>
  <c r="B4549" i="1"/>
  <c r="A4550" i="1"/>
  <c r="B4550" i="1"/>
  <c r="A4551" i="1"/>
  <c r="B4551" i="1"/>
  <c r="A4552" i="1"/>
  <c r="B4552" i="1"/>
  <c r="A4553" i="1"/>
  <c r="B4553" i="1"/>
  <c r="A4554" i="1"/>
  <c r="B4554" i="1"/>
  <c r="A4555" i="1"/>
  <c r="B4555" i="1"/>
  <c r="A4556" i="1"/>
  <c r="B4556" i="1"/>
  <c r="A4557" i="1"/>
  <c r="B4557" i="1"/>
  <c r="A4558" i="1"/>
  <c r="B4558" i="1"/>
  <c r="A4559" i="1"/>
  <c r="B4559" i="1"/>
  <c r="A4560" i="1"/>
  <c r="B4560" i="1"/>
  <c r="A4561" i="1"/>
  <c r="B4561" i="1"/>
  <c r="A4562" i="1"/>
  <c r="B4562" i="1"/>
  <c r="A4563" i="1"/>
  <c r="B4563" i="1"/>
  <c r="A4564" i="1"/>
  <c r="B4564" i="1"/>
  <c r="A4565" i="1"/>
  <c r="B4565" i="1"/>
  <c r="A4566" i="1"/>
  <c r="B4566" i="1"/>
  <c r="A4567" i="1"/>
  <c r="B4567" i="1"/>
  <c r="A4568" i="1"/>
  <c r="B4568" i="1"/>
  <c r="A4569" i="1"/>
  <c r="B4569" i="1"/>
  <c r="A4570" i="1"/>
  <c r="B4570" i="1"/>
  <c r="A4571" i="1"/>
  <c r="B4571" i="1"/>
  <c r="A4572" i="1"/>
  <c r="B4572" i="1"/>
  <c r="A4573" i="1"/>
  <c r="B4573" i="1"/>
  <c r="A4574" i="1"/>
  <c r="B4574" i="1"/>
  <c r="A4575" i="1"/>
  <c r="B4575" i="1"/>
  <c r="A4576" i="1"/>
  <c r="B4576" i="1"/>
  <c r="A4577" i="1"/>
  <c r="B4577" i="1"/>
  <c r="A4578" i="1"/>
  <c r="B4578" i="1"/>
  <c r="A4579" i="1"/>
  <c r="B4579" i="1"/>
  <c r="A4580" i="1"/>
  <c r="B4580" i="1"/>
  <c r="A4581" i="1"/>
  <c r="B4581" i="1"/>
  <c r="A4582" i="1"/>
  <c r="B4582" i="1"/>
  <c r="A4583" i="1"/>
  <c r="B4583" i="1"/>
  <c r="A4584" i="1"/>
  <c r="B4584" i="1"/>
  <c r="A4585" i="1"/>
  <c r="B4585" i="1"/>
  <c r="A4586" i="1"/>
  <c r="B4586" i="1"/>
  <c r="A4587" i="1"/>
  <c r="B4587" i="1"/>
  <c r="A4588" i="1"/>
  <c r="B4588" i="1"/>
  <c r="A4589" i="1"/>
  <c r="B4589" i="1"/>
  <c r="A4590" i="1"/>
  <c r="B4590" i="1"/>
  <c r="A4591" i="1"/>
  <c r="B4591" i="1"/>
  <c r="A4592" i="1"/>
  <c r="B4592" i="1"/>
  <c r="A4593" i="1"/>
  <c r="B4593" i="1"/>
  <c r="A4594" i="1"/>
  <c r="B4594" i="1"/>
  <c r="A4595" i="1"/>
  <c r="B4595" i="1"/>
  <c r="A4596" i="1"/>
  <c r="B4596" i="1"/>
  <c r="A4597" i="1"/>
  <c r="B4597" i="1"/>
  <c r="A4598" i="1"/>
  <c r="B4598" i="1"/>
  <c r="A4599" i="1"/>
  <c r="B4599" i="1"/>
  <c r="A4600" i="1"/>
  <c r="B4600" i="1"/>
  <c r="A4601" i="1"/>
  <c r="B4601" i="1"/>
  <c r="A4602" i="1"/>
  <c r="B4602" i="1"/>
  <c r="A4603" i="1"/>
  <c r="B4603" i="1"/>
  <c r="A4604" i="1"/>
  <c r="B4604" i="1"/>
  <c r="A4605" i="1"/>
  <c r="B4605" i="1"/>
  <c r="A4606" i="1"/>
  <c r="B4606" i="1"/>
  <c r="A4607" i="1"/>
  <c r="B4607" i="1"/>
  <c r="A4608" i="1"/>
  <c r="B4608" i="1"/>
  <c r="A4609" i="1"/>
  <c r="B4609" i="1"/>
  <c r="A4610" i="1"/>
  <c r="B4610" i="1"/>
  <c r="A4611" i="1"/>
  <c r="B4611" i="1"/>
  <c r="A4612" i="1"/>
  <c r="B4612" i="1"/>
  <c r="A4613" i="1"/>
  <c r="B4613" i="1"/>
  <c r="A4614" i="1"/>
  <c r="B4614" i="1"/>
  <c r="A4615" i="1"/>
  <c r="B4615" i="1"/>
  <c r="A4616" i="1"/>
  <c r="B4616" i="1"/>
  <c r="A4617" i="1"/>
  <c r="B4617" i="1"/>
  <c r="A4618" i="1"/>
  <c r="B4618" i="1"/>
  <c r="A4619" i="1"/>
  <c r="B4619" i="1"/>
  <c r="A4620" i="1"/>
  <c r="B4620" i="1"/>
  <c r="A4621" i="1"/>
  <c r="B4621" i="1"/>
  <c r="A4622" i="1"/>
  <c r="B4622" i="1"/>
  <c r="A4623" i="1"/>
  <c r="B4623" i="1"/>
  <c r="A4624" i="1"/>
  <c r="B4624" i="1"/>
  <c r="A4625" i="1"/>
  <c r="B4625" i="1"/>
  <c r="A4626" i="1"/>
  <c r="B4626" i="1"/>
  <c r="A4627" i="1"/>
  <c r="B4627" i="1"/>
  <c r="A4628" i="1"/>
  <c r="B4628" i="1"/>
  <c r="A4629" i="1"/>
  <c r="B4629" i="1"/>
  <c r="A4630" i="1"/>
  <c r="B4630" i="1"/>
  <c r="A4631" i="1"/>
  <c r="B4631" i="1"/>
  <c r="A4632" i="1"/>
  <c r="B4632" i="1"/>
  <c r="A4633" i="1"/>
  <c r="B4633" i="1"/>
  <c r="A4634" i="1"/>
  <c r="B4634" i="1"/>
  <c r="A4635" i="1"/>
  <c r="B4635" i="1"/>
  <c r="A4636" i="1"/>
  <c r="B4636" i="1"/>
  <c r="A4637" i="1"/>
  <c r="B4637" i="1"/>
  <c r="A4638" i="1"/>
  <c r="B4638" i="1"/>
  <c r="A4639" i="1"/>
  <c r="B4639" i="1"/>
  <c r="A4640" i="1"/>
  <c r="B4640" i="1"/>
  <c r="A4641" i="1"/>
  <c r="B4641" i="1"/>
  <c r="A4642" i="1"/>
  <c r="B4642" i="1"/>
  <c r="A4643" i="1"/>
  <c r="B4643" i="1"/>
  <c r="A4644" i="1"/>
  <c r="B4644" i="1"/>
  <c r="A4645" i="1"/>
  <c r="B4645" i="1"/>
  <c r="A4646" i="1"/>
  <c r="B4646" i="1"/>
  <c r="A4647" i="1"/>
  <c r="B4647" i="1"/>
  <c r="A4648" i="1"/>
  <c r="B4648" i="1"/>
  <c r="A4649" i="1"/>
  <c r="B4649" i="1"/>
  <c r="A4650" i="1"/>
  <c r="B4650" i="1"/>
  <c r="A4651" i="1"/>
  <c r="B4651" i="1"/>
  <c r="A4652" i="1"/>
  <c r="B4652" i="1"/>
  <c r="A4653" i="1"/>
  <c r="B4653" i="1"/>
  <c r="A4654" i="1"/>
  <c r="B4654" i="1"/>
  <c r="A4655" i="1"/>
  <c r="B4655" i="1"/>
  <c r="A4656" i="1"/>
  <c r="B4656" i="1"/>
  <c r="A4657" i="1"/>
  <c r="B4657" i="1"/>
  <c r="A4658" i="1"/>
  <c r="B4658" i="1"/>
  <c r="A4659" i="1"/>
  <c r="B4659" i="1"/>
  <c r="A4660" i="1"/>
  <c r="B4660" i="1"/>
  <c r="A4661" i="1"/>
  <c r="B4661" i="1"/>
  <c r="A4662" i="1"/>
  <c r="B4662" i="1"/>
  <c r="A4663" i="1"/>
  <c r="B4663" i="1"/>
  <c r="A4664" i="1"/>
  <c r="B4664" i="1"/>
  <c r="A4665" i="1"/>
  <c r="B4665" i="1"/>
  <c r="A4666" i="1"/>
  <c r="B4666" i="1"/>
  <c r="A4667" i="1"/>
  <c r="B4667" i="1"/>
  <c r="A4668" i="1"/>
  <c r="B4668" i="1"/>
  <c r="A4669" i="1"/>
  <c r="B4669" i="1"/>
  <c r="A4670" i="1"/>
  <c r="B4670" i="1"/>
  <c r="A4671" i="1"/>
  <c r="B4671" i="1"/>
  <c r="A4672" i="1"/>
  <c r="B4672" i="1"/>
  <c r="A4673" i="1"/>
  <c r="B4673" i="1"/>
  <c r="A4674" i="1"/>
  <c r="B4674" i="1"/>
  <c r="A4675" i="1"/>
  <c r="B4675" i="1"/>
  <c r="A4676" i="1"/>
  <c r="B4676" i="1"/>
  <c r="A4677" i="1"/>
  <c r="B4677" i="1"/>
  <c r="A4678" i="1"/>
  <c r="B4678" i="1"/>
  <c r="A4679" i="1"/>
  <c r="B4679" i="1"/>
  <c r="A4680" i="1"/>
  <c r="B4680" i="1"/>
  <c r="A4681" i="1"/>
  <c r="B4681" i="1"/>
  <c r="A4682" i="1"/>
  <c r="B4682" i="1"/>
  <c r="A4683" i="1"/>
  <c r="B4683" i="1"/>
  <c r="A4684" i="1"/>
  <c r="B4684" i="1"/>
  <c r="A4685" i="1"/>
  <c r="B4685" i="1"/>
  <c r="A4686" i="1"/>
  <c r="B4686" i="1"/>
  <c r="A4687" i="1"/>
  <c r="B4687" i="1"/>
  <c r="A4688" i="1"/>
  <c r="B4688" i="1"/>
  <c r="A4689" i="1"/>
  <c r="B4689" i="1"/>
  <c r="A4690" i="1"/>
  <c r="B4690" i="1"/>
  <c r="A4691" i="1"/>
  <c r="B4691" i="1"/>
  <c r="A4692" i="1"/>
  <c r="B4692" i="1"/>
  <c r="A4693" i="1"/>
  <c r="B4693" i="1"/>
  <c r="A4694" i="1"/>
  <c r="B4694" i="1"/>
  <c r="A4695" i="1"/>
  <c r="B4695" i="1"/>
  <c r="A4696" i="1"/>
  <c r="B4696" i="1"/>
  <c r="A4697" i="1"/>
  <c r="B4697" i="1"/>
  <c r="A4698" i="1"/>
  <c r="B4698" i="1"/>
  <c r="A4699" i="1"/>
  <c r="B4699" i="1"/>
  <c r="A4700" i="1"/>
  <c r="B4700" i="1"/>
  <c r="A4701" i="1"/>
  <c r="B4701" i="1"/>
  <c r="A4702" i="1"/>
  <c r="B4702" i="1"/>
  <c r="A4703" i="1"/>
  <c r="B4703" i="1"/>
  <c r="A4704" i="1"/>
  <c r="B4704" i="1"/>
  <c r="A4705" i="1"/>
  <c r="B4705" i="1"/>
  <c r="A4706" i="1"/>
  <c r="B4706" i="1"/>
  <c r="A4707" i="1"/>
  <c r="B4707" i="1"/>
  <c r="A4708" i="1"/>
  <c r="B4708" i="1"/>
  <c r="A4709" i="1"/>
  <c r="B4709" i="1"/>
  <c r="A4710" i="1"/>
  <c r="B4710" i="1"/>
  <c r="A4711" i="1"/>
  <c r="B4711" i="1"/>
  <c r="A4712" i="1"/>
  <c r="B4712" i="1"/>
  <c r="A4713" i="1"/>
  <c r="B4713" i="1"/>
  <c r="A4714" i="1"/>
  <c r="B4714" i="1"/>
  <c r="A4715" i="1"/>
  <c r="B4715" i="1"/>
  <c r="A4716" i="1"/>
  <c r="B4716" i="1"/>
  <c r="A4717" i="1"/>
  <c r="B4717" i="1"/>
  <c r="A4718" i="1"/>
  <c r="B4718" i="1"/>
  <c r="A4719" i="1"/>
  <c r="B4719" i="1"/>
  <c r="A4720" i="1"/>
  <c r="B4720" i="1"/>
  <c r="A4721" i="1"/>
  <c r="B4721" i="1"/>
  <c r="A4722" i="1"/>
  <c r="B4722" i="1"/>
  <c r="A4723" i="1"/>
  <c r="B4723" i="1"/>
  <c r="A4724" i="1"/>
  <c r="B4724" i="1"/>
  <c r="A4725" i="1"/>
  <c r="B4725" i="1"/>
  <c r="A4726" i="1"/>
  <c r="B4726" i="1"/>
  <c r="A4727" i="1"/>
  <c r="B4727" i="1"/>
  <c r="A4728" i="1"/>
  <c r="B4728" i="1"/>
  <c r="A4729" i="1"/>
  <c r="B4729" i="1"/>
  <c r="A4730" i="1"/>
  <c r="B4730" i="1"/>
  <c r="A4731" i="1"/>
  <c r="B4731" i="1"/>
  <c r="A4732" i="1"/>
  <c r="B4732" i="1"/>
  <c r="A4733" i="1"/>
  <c r="B4733" i="1"/>
  <c r="A4734" i="1"/>
  <c r="B4734" i="1"/>
  <c r="A4735" i="1"/>
  <c r="B4735" i="1"/>
  <c r="A4736" i="1"/>
  <c r="B4736" i="1"/>
  <c r="A4737" i="1"/>
  <c r="B4737" i="1"/>
  <c r="A4738" i="1"/>
  <c r="B4738" i="1"/>
  <c r="A4739" i="1"/>
  <c r="B4739" i="1"/>
  <c r="A4740" i="1"/>
  <c r="B4740" i="1"/>
  <c r="A4741" i="1"/>
  <c r="B4741" i="1"/>
  <c r="A4742" i="1"/>
  <c r="B4742" i="1"/>
  <c r="A4743" i="1"/>
  <c r="B4743" i="1"/>
  <c r="A4744" i="1"/>
  <c r="B4744" i="1"/>
  <c r="A4745" i="1"/>
  <c r="B4745" i="1"/>
  <c r="A4746" i="1"/>
  <c r="B4746" i="1"/>
  <c r="A4747" i="1"/>
  <c r="B4747" i="1"/>
  <c r="A4748" i="1"/>
  <c r="B4748" i="1"/>
  <c r="A4749" i="1"/>
  <c r="B4749" i="1"/>
  <c r="A4750" i="1"/>
  <c r="B4750" i="1"/>
  <c r="A4751" i="1"/>
  <c r="B4751" i="1"/>
  <c r="A4752" i="1"/>
  <c r="B4752" i="1"/>
  <c r="A4753" i="1"/>
  <c r="B4753" i="1"/>
  <c r="A4754" i="1"/>
  <c r="B4754" i="1"/>
  <c r="A4755" i="1"/>
  <c r="B4755" i="1"/>
  <c r="A4756" i="1"/>
  <c r="B4756" i="1"/>
  <c r="A4757" i="1"/>
  <c r="B4757" i="1"/>
  <c r="A4758" i="1"/>
  <c r="B4758" i="1"/>
  <c r="A4759" i="1"/>
  <c r="B4759" i="1"/>
  <c r="A4760" i="1"/>
  <c r="B4760" i="1"/>
  <c r="A4761" i="1"/>
  <c r="B4761" i="1"/>
  <c r="A4762" i="1"/>
  <c r="B4762" i="1"/>
  <c r="A4763" i="1"/>
  <c r="B4763" i="1"/>
  <c r="A4764" i="1"/>
  <c r="B4764" i="1"/>
  <c r="A4765" i="1"/>
  <c r="B4765" i="1"/>
  <c r="A4766" i="1"/>
  <c r="B4766" i="1"/>
  <c r="A4767" i="1"/>
  <c r="B4767" i="1"/>
  <c r="A4768" i="1"/>
  <c r="B4768" i="1"/>
  <c r="A4769" i="1"/>
  <c r="B4769" i="1"/>
  <c r="A4770" i="1"/>
  <c r="B4770" i="1"/>
  <c r="A4771" i="1"/>
  <c r="B4771" i="1"/>
  <c r="A4772" i="1"/>
  <c r="B4772" i="1"/>
  <c r="A4773" i="1"/>
  <c r="B4773" i="1"/>
  <c r="A4774" i="1"/>
  <c r="B4774" i="1"/>
  <c r="A4775" i="1"/>
  <c r="B4775" i="1"/>
  <c r="A4776" i="1"/>
  <c r="B4776" i="1"/>
  <c r="A4777" i="1"/>
  <c r="B4777" i="1"/>
  <c r="A4778" i="1"/>
  <c r="B4778" i="1"/>
  <c r="A4779" i="1"/>
  <c r="B4779" i="1"/>
  <c r="A4780" i="1"/>
  <c r="B4780" i="1"/>
  <c r="A4781" i="1"/>
  <c r="B4781" i="1"/>
  <c r="A4782" i="1"/>
  <c r="B4782" i="1"/>
  <c r="A4783" i="1"/>
  <c r="B4783" i="1"/>
  <c r="A4784" i="1"/>
  <c r="B4784" i="1"/>
  <c r="A4785" i="1"/>
  <c r="B4785" i="1"/>
  <c r="A4786" i="1"/>
  <c r="B4786" i="1"/>
  <c r="A4787" i="1"/>
  <c r="B4787" i="1"/>
  <c r="A4788" i="1"/>
  <c r="B4788" i="1"/>
  <c r="A4789" i="1"/>
  <c r="B4789" i="1"/>
  <c r="A4790" i="1"/>
  <c r="B4790" i="1"/>
  <c r="A4791" i="1"/>
  <c r="B4791" i="1"/>
  <c r="A4792" i="1"/>
  <c r="B4792" i="1"/>
  <c r="A4793" i="1"/>
  <c r="B4793" i="1"/>
  <c r="A4794" i="1"/>
  <c r="B4794" i="1"/>
  <c r="A4795" i="1"/>
  <c r="B4795" i="1"/>
  <c r="A4796" i="1"/>
  <c r="B4796" i="1"/>
  <c r="A4797" i="1"/>
  <c r="B4797" i="1"/>
  <c r="A4798" i="1"/>
  <c r="B4798" i="1"/>
  <c r="A4799" i="1"/>
  <c r="B4799" i="1"/>
  <c r="A4800" i="1"/>
  <c r="B4800" i="1"/>
  <c r="A4801" i="1"/>
  <c r="B4801" i="1"/>
  <c r="A4802" i="1"/>
  <c r="B4802" i="1"/>
  <c r="A4803" i="1"/>
  <c r="B4803" i="1"/>
  <c r="A4804" i="1"/>
  <c r="B4804" i="1"/>
  <c r="A4805" i="1"/>
  <c r="B4805" i="1"/>
  <c r="A4806" i="1"/>
  <c r="B4806" i="1"/>
  <c r="A4807" i="1"/>
  <c r="B4807" i="1"/>
  <c r="A4808" i="1"/>
  <c r="B4808" i="1"/>
  <c r="A4809" i="1"/>
  <c r="B4809" i="1"/>
  <c r="A4810" i="1"/>
  <c r="B4810" i="1"/>
  <c r="A4811" i="1"/>
  <c r="B4811" i="1"/>
  <c r="A4812" i="1"/>
  <c r="B4812" i="1"/>
  <c r="A4813" i="1"/>
  <c r="B4813" i="1"/>
  <c r="A4814" i="1"/>
  <c r="B4814" i="1"/>
  <c r="A4815" i="1"/>
  <c r="B4815" i="1"/>
  <c r="A4816" i="1"/>
  <c r="B4816" i="1"/>
  <c r="A4817" i="1"/>
  <c r="B4817" i="1"/>
  <c r="A4818" i="1"/>
  <c r="B4818" i="1"/>
  <c r="A4819" i="1"/>
  <c r="B4819" i="1"/>
  <c r="A4820" i="1"/>
  <c r="B4820" i="1"/>
  <c r="A4821" i="1"/>
  <c r="B4821" i="1"/>
  <c r="A4822" i="1"/>
  <c r="B4822" i="1"/>
  <c r="A4823" i="1"/>
  <c r="B4823" i="1"/>
  <c r="A4824" i="1"/>
  <c r="B4824" i="1"/>
  <c r="A4825" i="1"/>
  <c r="B4825" i="1"/>
  <c r="A4826" i="1"/>
  <c r="B4826" i="1"/>
  <c r="A4827" i="1"/>
  <c r="B4827" i="1"/>
  <c r="A4828" i="1"/>
  <c r="B4828" i="1"/>
  <c r="A4829" i="1"/>
  <c r="B4829" i="1"/>
  <c r="A4830" i="1"/>
  <c r="B4830" i="1"/>
  <c r="A4831" i="1"/>
  <c r="B4831" i="1"/>
  <c r="A4832" i="1"/>
  <c r="B4832" i="1"/>
  <c r="A4833" i="1"/>
  <c r="B4833" i="1"/>
  <c r="A4834" i="1"/>
  <c r="B4834" i="1"/>
  <c r="A4835" i="1"/>
  <c r="B4835" i="1"/>
  <c r="A4836" i="1"/>
  <c r="B4836" i="1"/>
  <c r="A4837" i="1"/>
  <c r="B4837" i="1"/>
  <c r="A4838" i="1"/>
  <c r="B4838" i="1"/>
  <c r="A4839" i="1"/>
  <c r="B4839" i="1"/>
  <c r="A4840" i="1"/>
  <c r="B4840" i="1"/>
  <c r="A4841" i="1"/>
  <c r="B4841" i="1"/>
  <c r="A4842" i="1"/>
  <c r="B4842" i="1"/>
  <c r="A4843" i="1"/>
  <c r="B4843" i="1"/>
  <c r="A4844" i="1"/>
  <c r="B4844" i="1"/>
  <c r="A4845" i="1"/>
  <c r="B4845" i="1"/>
  <c r="A4846" i="1"/>
  <c r="B4846" i="1"/>
  <c r="A4847" i="1"/>
  <c r="B4847" i="1"/>
  <c r="A4848" i="1"/>
  <c r="B4848" i="1"/>
  <c r="A4849" i="1"/>
  <c r="B4849" i="1"/>
  <c r="A4850" i="1"/>
  <c r="B4850" i="1"/>
  <c r="A4851" i="1"/>
  <c r="B4851" i="1"/>
  <c r="A4852" i="1"/>
  <c r="B4852" i="1"/>
  <c r="A4853" i="1"/>
  <c r="B4853" i="1"/>
  <c r="A4854" i="1"/>
  <c r="B4854" i="1"/>
  <c r="A4855" i="1"/>
  <c r="B4855" i="1"/>
  <c r="A4856" i="1"/>
  <c r="B4856" i="1"/>
  <c r="A4857" i="1"/>
  <c r="B4857" i="1"/>
  <c r="A4858" i="1"/>
  <c r="B4858" i="1"/>
  <c r="A4859" i="1"/>
  <c r="B4859" i="1"/>
  <c r="A4860" i="1"/>
  <c r="B4860" i="1"/>
  <c r="A4861" i="1"/>
  <c r="B4861" i="1"/>
  <c r="A4862" i="1"/>
  <c r="B4862" i="1"/>
  <c r="A4863" i="1"/>
  <c r="B4863" i="1"/>
  <c r="A4864" i="1"/>
  <c r="B4864" i="1"/>
  <c r="A4865" i="1"/>
  <c r="B4865" i="1"/>
  <c r="A4866" i="1"/>
  <c r="B4866" i="1"/>
  <c r="A4867" i="1"/>
  <c r="B4867" i="1"/>
  <c r="A4868" i="1"/>
  <c r="B4868" i="1"/>
  <c r="A4869" i="1"/>
  <c r="B4869" i="1"/>
  <c r="A4870" i="1"/>
  <c r="B4870" i="1"/>
  <c r="A4871" i="1"/>
  <c r="B4871" i="1"/>
  <c r="A4872" i="1"/>
  <c r="B4872" i="1"/>
  <c r="A4873" i="1"/>
  <c r="B4873" i="1"/>
  <c r="A4874" i="1"/>
  <c r="B4874" i="1"/>
  <c r="A4875" i="1"/>
  <c r="B4875" i="1"/>
  <c r="A4876" i="1"/>
  <c r="B4876" i="1"/>
  <c r="A4877" i="1"/>
  <c r="B4877" i="1"/>
  <c r="A4878" i="1"/>
  <c r="B4878" i="1"/>
  <c r="A4879" i="1"/>
  <c r="B4879" i="1"/>
  <c r="A4880" i="1"/>
  <c r="B4880" i="1"/>
  <c r="A4881" i="1"/>
  <c r="B4881" i="1"/>
  <c r="A4882" i="1"/>
  <c r="B4882" i="1"/>
  <c r="A4883" i="1"/>
  <c r="B4883" i="1"/>
  <c r="A4884" i="1"/>
  <c r="B4884" i="1"/>
  <c r="A4885" i="1"/>
  <c r="B4885" i="1"/>
  <c r="A4886" i="1"/>
  <c r="B4886" i="1"/>
  <c r="A4887" i="1"/>
  <c r="B4887" i="1"/>
  <c r="A4888" i="1"/>
  <c r="B4888" i="1"/>
  <c r="A4889" i="1"/>
  <c r="B4889" i="1"/>
  <c r="A4890" i="1"/>
  <c r="B4890" i="1"/>
  <c r="A4891" i="1"/>
  <c r="B4891" i="1"/>
  <c r="A4892" i="1"/>
  <c r="B4892" i="1"/>
  <c r="A4893" i="1"/>
  <c r="B4893" i="1"/>
  <c r="A4894" i="1"/>
  <c r="B4894" i="1"/>
  <c r="A4895" i="1"/>
  <c r="B4895" i="1"/>
  <c r="A4896" i="1"/>
  <c r="B4896" i="1"/>
  <c r="A4897" i="1"/>
  <c r="B4897" i="1"/>
  <c r="A4898" i="1"/>
  <c r="B4898" i="1"/>
  <c r="A4899" i="1"/>
  <c r="B4899" i="1"/>
  <c r="A4900" i="1"/>
  <c r="B4900" i="1"/>
  <c r="A4901" i="1"/>
  <c r="B4901" i="1"/>
  <c r="A4902" i="1"/>
  <c r="B4902" i="1"/>
  <c r="A4903" i="1"/>
  <c r="B4903" i="1"/>
  <c r="A4904" i="1"/>
  <c r="B4904" i="1"/>
  <c r="A4905" i="1"/>
  <c r="B4905" i="1"/>
  <c r="A4906" i="1"/>
  <c r="B4906" i="1"/>
  <c r="A4907" i="1"/>
  <c r="B4907" i="1"/>
  <c r="A4908" i="1"/>
  <c r="B4908" i="1"/>
  <c r="A4909" i="1"/>
  <c r="B4909" i="1"/>
  <c r="A4910" i="1"/>
  <c r="B4910" i="1"/>
  <c r="A4911" i="1"/>
  <c r="B4911" i="1"/>
  <c r="A4912" i="1"/>
  <c r="B4912" i="1"/>
  <c r="A4913" i="1"/>
  <c r="B4913" i="1"/>
  <c r="A4914" i="1"/>
  <c r="B4914" i="1"/>
  <c r="A4915" i="1"/>
  <c r="B4915" i="1"/>
  <c r="A4916" i="1"/>
  <c r="B4916" i="1"/>
  <c r="A4917" i="1"/>
  <c r="B4917" i="1"/>
  <c r="A4918" i="1"/>
  <c r="B4918" i="1"/>
  <c r="A4919" i="1"/>
  <c r="B4919" i="1"/>
  <c r="A4920" i="1"/>
  <c r="B4920" i="1"/>
  <c r="A4921" i="1"/>
  <c r="B4921" i="1"/>
  <c r="A4922" i="1"/>
  <c r="B4922" i="1"/>
  <c r="A4923" i="1"/>
  <c r="B4923" i="1"/>
  <c r="A4924" i="1"/>
  <c r="B4924" i="1"/>
  <c r="A4925" i="1"/>
  <c r="B4925" i="1"/>
  <c r="A4926" i="1"/>
  <c r="B4926" i="1"/>
  <c r="A4927" i="1"/>
  <c r="B4927" i="1"/>
  <c r="A4928" i="1"/>
  <c r="B4928" i="1"/>
  <c r="A4929" i="1"/>
  <c r="B4929" i="1"/>
  <c r="A4930" i="1"/>
  <c r="B4930" i="1"/>
  <c r="A4931" i="1"/>
  <c r="B4931" i="1"/>
  <c r="A4932" i="1"/>
  <c r="B4932" i="1"/>
  <c r="A4933" i="1"/>
  <c r="B4933" i="1"/>
  <c r="A4934" i="1"/>
  <c r="B4934" i="1"/>
  <c r="A4935" i="1"/>
  <c r="B4935" i="1"/>
  <c r="A4936" i="1"/>
  <c r="B4936" i="1"/>
  <c r="A4937" i="1"/>
  <c r="B4937" i="1"/>
  <c r="A4938" i="1"/>
  <c r="B4938" i="1"/>
  <c r="A4939" i="1"/>
  <c r="B4939" i="1"/>
  <c r="A4940" i="1"/>
  <c r="B4940" i="1"/>
  <c r="A4941" i="1"/>
  <c r="B4941" i="1"/>
  <c r="A4942" i="1"/>
  <c r="B4942" i="1"/>
  <c r="A4943" i="1"/>
  <c r="B4943" i="1"/>
  <c r="A4944" i="1"/>
  <c r="B4944" i="1"/>
  <c r="A4945" i="1"/>
  <c r="B4945" i="1"/>
  <c r="A4946" i="1"/>
  <c r="B4946" i="1"/>
  <c r="A4947" i="1"/>
  <c r="B4947" i="1"/>
  <c r="A4948" i="1"/>
  <c r="B4948" i="1"/>
  <c r="A4949" i="1"/>
  <c r="B4949" i="1"/>
  <c r="A4950" i="1"/>
  <c r="B4950" i="1"/>
  <c r="A4951" i="1"/>
  <c r="B4951" i="1"/>
  <c r="A4952" i="1"/>
  <c r="B4952" i="1"/>
  <c r="A4953" i="1"/>
  <c r="B4953" i="1"/>
  <c r="A4954" i="1"/>
  <c r="B4954" i="1"/>
  <c r="A4955" i="1"/>
  <c r="B4955" i="1"/>
  <c r="A4956" i="1"/>
  <c r="B4956" i="1"/>
  <c r="A4957" i="1"/>
  <c r="B4957" i="1"/>
  <c r="A4958" i="1"/>
  <c r="B4958" i="1"/>
  <c r="A4959" i="1"/>
  <c r="B4959" i="1"/>
  <c r="A4960" i="1"/>
  <c r="B4960" i="1"/>
  <c r="A4961" i="1"/>
  <c r="B4961" i="1"/>
  <c r="A4962" i="1"/>
  <c r="B4962" i="1"/>
  <c r="A4963" i="1"/>
  <c r="B4963" i="1"/>
  <c r="A4964" i="1"/>
  <c r="B4964" i="1"/>
  <c r="A4965" i="1"/>
  <c r="B4965" i="1"/>
  <c r="A4966" i="1"/>
  <c r="B4966" i="1"/>
  <c r="A4967" i="1"/>
  <c r="B4967" i="1"/>
  <c r="A4968" i="1"/>
  <c r="B4968" i="1"/>
  <c r="A4969" i="1"/>
  <c r="B4969" i="1"/>
  <c r="A4970" i="1"/>
  <c r="B4970" i="1"/>
  <c r="A4971" i="1"/>
  <c r="B4971" i="1"/>
  <c r="A4972" i="1"/>
  <c r="B4972" i="1"/>
  <c r="A4973" i="1"/>
  <c r="B4973" i="1"/>
  <c r="A4974" i="1"/>
  <c r="B4974" i="1"/>
  <c r="A4975" i="1"/>
  <c r="B4975" i="1"/>
  <c r="A4976" i="1"/>
  <c r="B4976" i="1"/>
  <c r="A4977" i="1"/>
  <c r="B4977" i="1"/>
  <c r="A4978" i="1"/>
  <c r="B4978" i="1"/>
  <c r="A4979" i="1"/>
  <c r="B4979" i="1"/>
  <c r="A4980" i="1"/>
  <c r="B4980" i="1"/>
  <c r="A4981" i="1"/>
  <c r="B4981" i="1"/>
  <c r="A4982" i="1"/>
  <c r="B4982" i="1"/>
  <c r="A4983" i="1"/>
  <c r="B4983" i="1"/>
  <c r="A4984" i="1"/>
  <c r="B4984" i="1"/>
  <c r="A4985" i="1"/>
  <c r="B4985" i="1"/>
  <c r="A4986" i="1"/>
  <c r="B4986" i="1"/>
  <c r="A4987" i="1"/>
  <c r="B4987" i="1"/>
  <c r="A4988" i="1"/>
  <c r="B4988" i="1"/>
  <c r="A4989" i="1"/>
  <c r="B4989" i="1"/>
  <c r="A4990" i="1"/>
  <c r="B4990" i="1"/>
  <c r="A4991" i="1"/>
  <c r="B4991" i="1"/>
  <c r="A4992" i="1"/>
  <c r="B4992" i="1"/>
  <c r="A4993" i="1"/>
  <c r="B4993" i="1"/>
  <c r="A4994" i="1"/>
  <c r="B4994" i="1"/>
  <c r="A4995" i="1"/>
  <c r="B4995" i="1"/>
  <c r="A4996" i="1"/>
  <c r="B4996" i="1"/>
  <c r="A4997" i="1"/>
  <c r="B4997" i="1"/>
  <c r="A4998" i="1"/>
  <c r="B4998" i="1"/>
  <c r="A4999" i="1"/>
  <c r="B4999" i="1"/>
  <c r="A5000" i="1"/>
  <c r="B5000" i="1"/>
  <c r="A5001" i="1"/>
  <c r="B5001" i="1"/>
  <c r="A5002" i="1"/>
  <c r="B5002" i="1"/>
  <c r="A5003" i="1"/>
  <c r="B5003" i="1"/>
  <c r="A5004" i="1"/>
  <c r="B5004" i="1"/>
  <c r="A5005" i="1"/>
  <c r="B5005" i="1"/>
  <c r="A5006" i="1"/>
  <c r="B5006" i="1"/>
  <c r="A5007" i="1"/>
  <c r="B5007" i="1"/>
  <c r="A5008" i="1"/>
  <c r="B5008" i="1"/>
  <c r="A5009" i="1"/>
  <c r="B5009" i="1"/>
  <c r="A5010" i="1"/>
  <c r="B5010" i="1"/>
  <c r="A5011" i="1"/>
  <c r="B5011" i="1"/>
  <c r="A5012" i="1"/>
  <c r="B5012" i="1"/>
  <c r="A5013" i="1"/>
  <c r="B5013" i="1"/>
  <c r="A5014" i="1"/>
  <c r="B5014" i="1"/>
  <c r="A5015" i="1"/>
  <c r="B5015" i="1"/>
  <c r="A5016" i="1"/>
  <c r="B5016" i="1"/>
  <c r="A5017" i="1"/>
  <c r="B5017" i="1"/>
  <c r="A5018" i="1"/>
  <c r="B5018" i="1"/>
  <c r="A5019" i="1"/>
  <c r="B5019" i="1"/>
  <c r="A5020" i="1"/>
  <c r="B5020" i="1"/>
  <c r="A5021" i="1"/>
  <c r="B5021" i="1"/>
  <c r="A5022" i="1"/>
  <c r="B5022" i="1"/>
  <c r="A5023" i="1"/>
  <c r="B5023" i="1"/>
  <c r="A5024" i="1"/>
  <c r="B5024" i="1"/>
  <c r="A5025" i="1"/>
  <c r="B5025" i="1"/>
  <c r="A5026" i="1"/>
  <c r="B5026" i="1"/>
  <c r="A5027" i="1"/>
  <c r="B5027" i="1"/>
  <c r="A5028" i="1"/>
  <c r="B5028" i="1"/>
  <c r="A5029" i="1"/>
  <c r="B5029" i="1"/>
  <c r="A5030" i="1"/>
  <c r="B5030" i="1"/>
  <c r="A5031" i="1"/>
  <c r="B5031" i="1"/>
  <c r="A5032" i="1"/>
  <c r="B5032" i="1"/>
  <c r="A5033" i="1"/>
  <c r="B5033" i="1"/>
  <c r="A5034" i="1"/>
  <c r="B5034" i="1"/>
  <c r="A5035" i="1"/>
  <c r="B5035" i="1"/>
  <c r="A5036" i="1"/>
  <c r="B5036" i="1"/>
  <c r="A5037" i="1"/>
  <c r="B5037" i="1"/>
  <c r="A5038" i="1"/>
  <c r="B5038" i="1"/>
  <c r="A5039" i="1"/>
  <c r="B5039" i="1"/>
  <c r="A5040" i="1"/>
  <c r="B5040" i="1"/>
  <c r="A5041" i="1"/>
  <c r="B5041" i="1"/>
  <c r="A5042" i="1"/>
  <c r="B5042" i="1"/>
  <c r="A5043" i="1"/>
  <c r="B5043" i="1"/>
  <c r="A5044" i="1"/>
  <c r="B5044" i="1"/>
  <c r="A5045" i="1"/>
  <c r="B5045" i="1"/>
  <c r="A5046" i="1"/>
  <c r="B5046" i="1"/>
  <c r="A5047" i="1"/>
  <c r="B5047" i="1"/>
  <c r="A5048" i="1"/>
  <c r="B5048" i="1"/>
  <c r="A5049" i="1"/>
  <c r="B5049" i="1"/>
  <c r="A5050" i="1"/>
  <c r="B5050" i="1"/>
  <c r="A5051" i="1"/>
  <c r="B5051" i="1"/>
  <c r="A5052" i="1"/>
  <c r="B5052" i="1"/>
  <c r="A5053" i="1"/>
  <c r="B5053" i="1"/>
  <c r="A5054" i="1"/>
  <c r="B5054" i="1"/>
  <c r="A5055" i="1"/>
  <c r="B5055" i="1"/>
  <c r="A5056" i="1"/>
  <c r="B5056" i="1"/>
  <c r="A5057" i="1"/>
  <c r="B5057" i="1"/>
  <c r="A5058" i="1"/>
  <c r="B5058" i="1"/>
  <c r="A5059" i="1"/>
  <c r="B5059" i="1"/>
  <c r="A5060" i="1"/>
  <c r="B5060" i="1"/>
  <c r="A5061" i="1"/>
  <c r="B5061" i="1"/>
  <c r="A5062" i="1"/>
  <c r="B5062" i="1"/>
  <c r="A5063" i="1"/>
  <c r="B5063" i="1"/>
  <c r="A5064" i="1"/>
  <c r="B5064" i="1"/>
  <c r="A5065" i="1"/>
  <c r="B5065" i="1"/>
  <c r="A5066" i="1"/>
  <c r="B5066" i="1"/>
  <c r="A5067" i="1"/>
  <c r="B5067" i="1"/>
  <c r="A5068" i="1"/>
  <c r="B5068" i="1"/>
  <c r="A5069" i="1"/>
  <c r="B5069" i="1"/>
  <c r="A5070" i="1"/>
  <c r="B5070" i="1"/>
  <c r="A5071" i="1"/>
  <c r="B5071" i="1"/>
  <c r="A5072" i="1"/>
  <c r="B5072" i="1"/>
  <c r="A5073" i="1"/>
  <c r="B5073" i="1"/>
  <c r="A5074" i="1"/>
  <c r="B5074" i="1"/>
  <c r="A5075" i="1"/>
  <c r="B5075" i="1"/>
  <c r="A5076" i="1"/>
  <c r="B5076" i="1"/>
  <c r="A5077" i="1"/>
  <c r="B5077" i="1"/>
  <c r="A5078" i="1"/>
  <c r="B5078" i="1"/>
  <c r="A5079" i="1"/>
  <c r="B5079" i="1"/>
  <c r="A5080" i="1"/>
  <c r="B5080" i="1"/>
  <c r="A5081" i="1"/>
  <c r="B5081" i="1"/>
  <c r="A5082" i="1"/>
  <c r="B5082" i="1"/>
  <c r="A5083" i="1"/>
  <c r="B5083" i="1"/>
  <c r="A5084" i="1"/>
  <c r="B5084" i="1"/>
  <c r="A5085" i="1"/>
  <c r="B5085" i="1"/>
  <c r="A5086" i="1"/>
  <c r="B5086" i="1"/>
  <c r="A5087" i="1"/>
  <c r="B5087" i="1"/>
  <c r="A5088" i="1"/>
  <c r="B5088" i="1"/>
  <c r="A5089" i="1"/>
  <c r="B5089" i="1"/>
  <c r="A5090" i="1"/>
  <c r="B5090" i="1"/>
  <c r="A5091" i="1"/>
  <c r="B5091" i="1"/>
  <c r="A5092" i="1"/>
  <c r="B5092" i="1"/>
  <c r="A5093" i="1"/>
  <c r="B5093" i="1"/>
  <c r="A5094" i="1"/>
  <c r="B5094" i="1"/>
  <c r="A5095" i="1"/>
  <c r="B5095" i="1"/>
  <c r="A5096" i="1"/>
  <c r="B5096" i="1"/>
  <c r="A5097" i="1"/>
  <c r="B5097" i="1"/>
  <c r="A5098" i="1"/>
  <c r="B5098" i="1"/>
  <c r="A5099" i="1"/>
  <c r="B5099" i="1"/>
  <c r="A5100" i="1"/>
  <c r="B5100" i="1"/>
  <c r="A5101" i="1"/>
  <c r="B5101" i="1"/>
  <c r="A5102" i="1"/>
  <c r="B5102" i="1"/>
  <c r="A5103" i="1"/>
  <c r="B5103" i="1"/>
  <c r="A5104" i="1"/>
  <c r="B5104" i="1"/>
  <c r="A5105" i="1"/>
  <c r="B5105" i="1"/>
  <c r="A5106" i="1"/>
  <c r="B5106" i="1"/>
  <c r="A5107" i="1"/>
  <c r="B5107" i="1"/>
  <c r="A5108" i="1"/>
  <c r="B5108" i="1"/>
  <c r="A5109" i="1"/>
  <c r="B5109" i="1"/>
  <c r="A5110" i="1"/>
  <c r="B5110" i="1"/>
  <c r="A5111" i="1"/>
  <c r="B5111" i="1"/>
  <c r="A5112" i="1"/>
  <c r="B5112" i="1"/>
  <c r="A5113" i="1"/>
  <c r="B5113" i="1"/>
  <c r="A5114" i="1"/>
  <c r="B5114" i="1"/>
  <c r="A5115" i="1"/>
  <c r="B5115" i="1"/>
  <c r="A5116" i="1"/>
  <c r="B5116" i="1"/>
  <c r="A5117" i="1"/>
  <c r="B5117" i="1"/>
  <c r="A5118" i="1"/>
  <c r="B5118" i="1"/>
  <c r="A5119" i="1"/>
  <c r="B5119" i="1"/>
  <c r="A5120" i="1"/>
  <c r="B5120" i="1"/>
  <c r="A5121" i="1"/>
  <c r="B5121" i="1"/>
  <c r="A5122" i="1"/>
  <c r="B5122" i="1"/>
  <c r="A5123" i="1"/>
  <c r="B5123" i="1"/>
  <c r="A5124" i="1"/>
  <c r="B5124" i="1"/>
  <c r="A5125" i="1"/>
  <c r="B5125" i="1"/>
  <c r="A5126" i="1"/>
  <c r="B5126" i="1"/>
  <c r="A5127" i="1"/>
  <c r="B5127" i="1"/>
  <c r="A5128" i="1"/>
  <c r="B5128" i="1"/>
  <c r="A5129" i="1"/>
  <c r="B5129" i="1"/>
  <c r="A5130" i="1"/>
  <c r="B5130" i="1"/>
  <c r="A5131" i="1"/>
  <c r="B5131" i="1"/>
  <c r="A5132" i="1"/>
  <c r="B5132" i="1"/>
  <c r="A5133" i="1"/>
  <c r="B5133" i="1"/>
  <c r="A5134" i="1"/>
  <c r="B5134" i="1"/>
  <c r="A5135" i="1"/>
  <c r="B5135" i="1"/>
  <c r="A5136" i="1"/>
  <c r="B5136" i="1"/>
  <c r="A5137" i="1"/>
  <c r="B5137" i="1"/>
  <c r="A5138" i="1"/>
  <c r="B5138" i="1"/>
  <c r="A5139" i="1"/>
  <c r="B5139" i="1"/>
  <c r="A5140" i="1"/>
  <c r="B5140" i="1"/>
  <c r="A5141" i="1"/>
  <c r="B5141" i="1"/>
  <c r="A5142" i="1"/>
  <c r="B5142" i="1"/>
  <c r="A5143" i="1"/>
  <c r="B5143" i="1"/>
  <c r="A5144" i="1"/>
  <c r="B5144" i="1"/>
  <c r="A5145" i="1"/>
  <c r="B5145" i="1"/>
  <c r="A5146" i="1"/>
  <c r="B5146" i="1"/>
  <c r="A5147" i="1"/>
  <c r="B5147" i="1"/>
  <c r="A5148" i="1"/>
  <c r="B5148" i="1"/>
  <c r="A5149" i="1"/>
  <c r="B5149" i="1"/>
  <c r="A5150" i="1"/>
  <c r="B5150" i="1"/>
  <c r="A5151" i="1"/>
  <c r="B5151" i="1"/>
  <c r="A5152" i="1"/>
  <c r="B5152" i="1"/>
  <c r="A5153" i="1"/>
  <c r="B5153" i="1"/>
  <c r="A5154" i="1"/>
  <c r="B5154" i="1"/>
  <c r="A5155" i="1"/>
  <c r="B5155" i="1"/>
  <c r="A5156" i="1"/>
  <c r="B5156" i="1"/>
  <c r="A5157" i="1"/>
  <c r="B5157" i="1"/>
  <c r="A5158" i="1"/>
  <c r="B5158" i="1"/>
  <c r="A5159" i="1"/>
  <c r="B5159" i="1"/>
  <c r="A5160" i="1"/>
  <c r="B5160" i="1"/>
  <c r="A5161" i="1"/>
  <c r="B5161" i="1"/>
  <c r="A5162" i="1"/>
  <c r="B5162" i="1"/>
  <c r="A5163" i="1"/>
  <c r="B5163" i="1"/>
  <c r="A5164" i="1"/>
  <c r="B5164" i="1"/>
  <c r="A5165" i="1"/>
  <c r="B5165" i="1"/>
  <c r="A5166" i="1"/>
  <c r="B5166" i="1"/>
  <c r="A5167" i="1"/>
  <c r="B5167" i="1"/>
  <c r="A5168" i="1"/>
  <c r="B5168" i="1"/>
  <c r="A5169" i="1"/>
  <c r="B5169" i="1"/>
  <c r="A5170" i="1"/>
  <c r="B5170" i="1"/>
  <c r="A5171" i="1"/>
  <c r="B5171" i="1"/>
  <c r="A5172" i="1"/>
  <c r="B5172" i="1"/>
  <c r="A5173" i="1"/>
  <c r="B5173" i="1"/>
  <c r="A5174" i="1"/>
  <c r="B5174" i="1"/>
  <c r="A5175" i="1"/>
  <c r="B5175" i="1"/>
  <c r="A5176" i="1"/>
  <c r="B5176" i="1"/>
  <c r="A5177" i="1"/>
  <c r="B5177" i="1"/>
  <c r="A5178" i="1"/>
  <c r="B5178" i="1"/>
  <c r="A5179" i="1"/>
  <c r="B5179" i="1"/>
  <c r="A5180" i="1"/>
  <c r="B5180" i="1"/>
  <c r="A5181" i="1"/>
  <c r="B5181" i="1"/>
  <c r="A5182" i="1"/>
  <c r="B5182" i="1"/>
  <c r="A5183" i="1"/>
  <c r="B5183" i="1"/>
  <c r="A5184" i="1"/>
  <c r="B5184" i="1"/>
  <c r="A5185" i="1"/>
  <c r="B5185" i="1"/>
  <c r="A5186" i="1"/>
  <c r="B5186" i="1"/>
  <c r="A5187" i="1"/>
  <c r="B5187" i="1"/>
  <c r="A5188" i="1"/>
  <c r="B5188" i="1"/>
  <c r="A5189" i="1"/>
  <c r="B5189" i="1"/>
  <c r="A5190" i="1"/>
  <c r="B5190" i="1"/>
  <c r="A5191" i="1"/>
  <c r="B5191" i="1"/>
  <c r="A5192" i="1"/>
  <c r="B5192" i="1"/>
  <c r="A5193" i="1"/>
  <c r="B5193" i="1"/>
  <c r="A5194" i="1"/>
  <c r="B5194" i="1"/>
  <c r="A5195" i="1"/>
  <c r="B5195" i="1"/>
  <c r="A5196" i="1"/>
  <c r="B5196" i="1"/>
  <c r="A5197" i="1"/>
  <c r="B5197" i="1"/>
  <c r="A5198" i="1"/>
  <c r="B5198" i="1"/>
  <c r="A5199" i="1"/>
  <c r="B5199" i="1"/>
  <c r="A5200" i="1"/>
  <c r="B5200" i="1"/>
  <c r="A5201" i="1"/>
  <c r="B5201" i="1"/>
  <c r="A5202" i="1"/>
  <c r="B5202" i="1"/>
  <c r="A5203" i="1"/>
  <c r="B5203" i="1"/>
  <c r="A5204" i="1"/>
  <c r="B5204" i="1"/>
  <c r="A5205" i="1"/>
  <c r="B5205" i="1"/>
  <c r="A5206" i="1"/>
  <c r="B5206" i="1"/>
  <c r="A5207" i="1"/>
  <c r="B5207" i="1"/>
  <c r="A5208" i="1"/>
  <c r="B5208" i="1"/>
  <c r="A5209" i="1"/>
  <c r="B5209" i="1"/>
  <c r="A5210" i="1"/>
  <c r="B5210" i="1"/>
  <c r="A5211" i="1"/>
  <c r="B5211" i="1"/>
  <c r="A5212" i="1"/>
  <c r="B5212" i="1"/>
  <c r="A5213" i="1"/>
  <c r="B5213" i="1"/>
  <c r="A5214" i="1"/>
  <c r="B5214" i="1"/>
  <c r="A5215" i="1"/>
  <c r="B5215" i="1"/>
  <c r="A5216" i="1"/>
  <c r="B5216" i="1"/>
  <c r="A5217" i="1"/>
  <c r="B5217" i="1"/>
  <c r="A5218" i="1"/>
  <c r="B5218" i="1"/>
  <c r="A5219" i="1"/>
  <c r="B5219" i="1"/>
  <c r="A5220" i="1"/>
  <c r="B5220" i="1"/>
  <c r="A5221" i="1"/>
  <c r="B5221" i="1"/>
  <c r="A5222" i="1"/>
  <c r="B5222" i="1"/>
  <c r="A5223" i="1"/>
  <c r="B5223" i="1"/>
  <c r="A5224" i="1"/>
  <c r="B5224" i="1"/>
  <c r="A5225" i="1"/>
  <c r="B5225" i="1"/>
  <c r="A5226" i="1"/>
  <c r="B5226" i="1"/>
  <c r="A5227" i="1"/>
  <c r="B5227" i="1"/>
  <c r="A5228" i="1"/>
  <c r="B5228" i="1"/>
  <c r="A5229" i="1"/>
  <c r="B5229" i="1"/>
  <c r="A5230" i="1"/>
  <c r="B5230" i="1"/>
  <c r="A5231" i="1"/>
  <c r="B5231" i="1"/>
  <c r="A5232" i="1"/>
  <c r="B5232" i="1"/>
  <c r="A5233" i="1"/>
  <c r="B5233" i="1"/>
  <c r="A5234" i="1"/>
  <c r="B5234" i="1"/>
  <c r="A5235" i="1"/>
  <c r="B5235" i="1"/>
  <c r="A5236" i="1"/>
  <c r="B5236" i="1"/>
  <c r="A5237" i="1"/>
  <c r="B5237" i="1"/>
  <c r="A5238" i="1"/>
  <c r="B5238" i="1"/>
  <c r="A5239" i="1"/>
  <c r="B5239" i="1"/>
  <c r="A5240" i="1"/>
  <c r="B5240" i="1"/>
  <c r="A5241" i="1"/>
  <c r="B5241" i="1"/>
  <c r="A5242" i="1"/>
  <c r="B5242" i="1"/>
  <c r="A5243" i="1"/>
  <c r="B5243" i="1"/>
  <c r="A5244" i="1"/>
  <c r="B5244" i="1"/>
  <c r="A5245" i="1"/>
  <c r="B5245" i="1"/>
  <c r="A5246" i="1"/>
  <c r="B5246" i="1"/>
  <c r="A5247" i="1"/>
  <c r="B5247" i="1"/>
  <c r="A5248" i="1"/>
  <c r="B5248" i="1"/>
  <c r="A5249" i="1"/>
  <c r="B5249" i="1"/>
  <c r="A5250" i="1"/>
  <c r="B5250" i="1"/>
  <c r="A5251" i="1"/>
  <c r="B5251" i="1"/>
  <c r="A5252" i="1"/>
  <c r="B5252" i="1"/>
  <c r="A5253" i="1"/>
  <c r="B5253" i="1"/>
  <c r="A5254" i="1"/>
  <c r="B5254" i="1"/>
  <c r="A5255" i="1"/>
  <c r="B5255" i="1"/>
  <c r="A5256" i="1"/>
  <c r="B5256" i="1"/>
  <c r="A5257" i="1"/>
  <c r="B5257" i="1"/>
  <c r="A5258" i="1"/>
  <c r="B5258" i="1"/>
  <c r="A5259" i="1"/>
  <c r="B5259" i="1"/>
  <c r="A5260" i="1"/>
  <c r="B5260" i="1"/>
  <c r="A5261" i="1"/>
  <c r="B5261" i="1"/>
  <c r="A5262" i="1"/>
  <c r="B5262" i="1"/>
  <c r="A5263" i="1"/>
  <c r="B5263" i="1"/>
  <c r="A5264" i="1"/>
  <c r="B5264" i="1"/>
  <c r="A5265" i="1"/>
  <c r="B5265" i="1"/>
  <c r="A5266" i="1"/>
  <c r="B5266" i="1"/>
  <c r="A5267" i="1"/>
  <c r="B5267" i="1"/>
  <c r="A5268" i="1"/>
  <c r="B5268" i="1"/>
  <c r="A5269" i="1"/>
  <c r="B5269" i="1"/>
  <c r="A5270" i="1"/>
  <c r="B5270" i="1"/>
  <c r="A5271" i="1"/>
  <c r="B5271" i="1"/>
  <c r="A5272" i="1"/>
  <c r="B5272" i="1"/>
  <c r="A5273" i="1"/>
  <c r="B5273" i="1"/>
  <c r="A5274" i="1"/>
  <c r="B5274" i="1"/>
  <c r="A5275" i="1"/>
  <c r="B5275" i="1"/>
  <c r="A5276" i="1"/>
  <c r="B5276" i="1"/>
  <c r="A5277" i="1"/>
  <c r="B5277" i="1"/>
  <c r="A5278" i="1"/>
  <c r="B5278" i="1"/>
  <c r="A5279" i="1"/>
  <c r="B5279" i="1"/>
  <c r="A5280" i="1"/>
  <c r="B5280" i="1"/>
  <c r="A5281" i="1"/>
  <c r="B5281" i="1"/>
  <c r="A5282" i="1"/>
  <c r="B5282" i="1"/>
  <c r="A5283" i="1"/>
  <c r="B5283" i="1"/>
  <c r="A5284" i="1"/>
  <c r="B5284" i="1"/>
  <c r="A5285" i="1"/>
  <c r="B5285" i="1"/>
  <c r="A5286" i="1"/>
  <c r="B5286" i="1"/>
  <c r="A5287" i="1"/>
  <c r="B5287" i="1"/>
  <c r="A5288" i="1"/>
  <c r="B5288" i="1"/>
  <c r="A5289" i="1"/>
  <c r="B5289" i="1"/>
  <c r="A5290" i="1"/>
  <c r="B5290" i="1"/>
  <c r="A5291" i="1"/>
  <c r="B5291" i="1"/>
  <c r="A5292" i="1"/>
  <c r="B5292" i="1"/>
  <c r="A5293" i="1"/>
  <c r="B5293" i="1"/>
  <c r="A5294" i="1"/>
  <c r="B5294" i="1"/>
  <c r="A5295" i="1"/>
  <c r="B5295" i="1"/>
  <c r="A5296" i="1"/>
  <c r="B5296" i="1"/>
  <c r="A5297" i="1"/>
  <c r="B5297" i="1"/>
  <c r="A5298" i="1"/>
  <c r="B5298" i="1"/>
  <c r="A5299" i="1"/>
  <c r="B5299" i="1"/>
  <c r="A5300" i="1"/>
  <c r="B5300" i="1"/>
  <c r="A5301" i="1"/>
  <c r="B5301" i="1"/>
  <c r="A5302" i="1"/>
  <c r="B5302" i="1"/>
  <c r="A5303" i="1"/>
  <c r="B5303" i="1"/>
  <c r="A5304" i="1"/>
  <c r="B5304" i="1"/>
  <c r="A5305" i="1"/>
  <c r="B5305" i="1"/>
  <c r="A5306" i="1"/>
  <c r="B5306" i="1"/>
  <c r="A5307" i="1"/>
  <c r="B5307" i="1"/>
  <c r="A5308" i="1"/>
  <c r="B5308" i="1"/>
  <c r="A5309" i="1"/>
  <c r="B5309" i="1"/>
  <c r="A5310" i="1"/>
  <c r="B5310" i="1"/>
  <c r="A5311" i="1"/>
  <c r="B5311" i="1"/>
  <c r="A5312" i="1"/>
  <c r="B5312" i="1"/>
  <c r="A5313" i="1"/>
  <c r="B5313" i="1"/>
  <c r="A5314" i="1"/>
  <c r="B5314" i="1"/>
  <c r="A5315" i="1"/>
  <c r="B5315" i="1"/>
  <c r="A5316" i="1"/>
  <c r="B5316" i="1"/>
  <c r="A5317" i="1"/>
  <c r="B5317" i="1"/>
  <c r="A5318" i="1"/>
  <c r="B5318" i="1"/>
  <c r="A5319" i="1"/>
  <c r="B5319" i="1"/>
  <c r="A5320" i="1"/>
  <c r="B5320" i="1"/>
  <c r="A5321" i="1"/>
  <c r="B5321" i="1"/>
  <c r="A5322" i="1"/>
  <c r="B5322" i="1"/>
  <c r="A5323" i="1"/>
  <c r="B5323" i="1"/>
  <c r="A5324" i="1"/>
  <c r="B5324" i="1"/>
  <c r="A5325" i="1"/>
  <c r="B5325" i="1"/>
  <c r="A5326" i="1"/>
  <c r="B5326" i="1"/>
  <c r="A5327" i="1"/>
  <c r="B5327" i="1"/>
  <c r="A5328" i="1"/>
  <c r="B5328" i="1"/>
  <c r="A5329" i="1"/>
  <c r="B5329" i="1"/>
  <c r="A5330" i="1"/>
  <c r="B5330" i="1"/>
  <c r="A5331" i="1"/>
  <c r="B5331" i="1"/>
  <c r="A5332" i="1"/>
  <c r="B5332" i="1"/>
  <c r="A5333" i="1"/>
  <c r="B5333" i="1"/>
  <c r="A5334" i="1"/>
  <c r="B5334" i="1"/>
  <c r="A5335" i="1"/>
  <c r="B5335" i="1"/>
  <c r="A5336" i="1"/>
  <c r="B5336" i="1"/>
  <c r="A5337" i="1"/>
  <c r="B5337" i="1"/>
  <c r="A5338" i="1"/>
  <c r="B5338" i="1"/>
  <c r="A5339" i="1"/>
  <c r="B5339" i="1"/>
  <c r="A5340" i="1"/>
  <c r="B5340" i="1"/>
  <c r="A5341" i="1"/>
  <c r="B5341" i="1"/>
  <c r="A5342" i="1"/>
  <c r="B5342" i="1"/>
  <c r="A5343" i="1"/>
  <c r="B5343" i="1"/>
  <c r="A5344" i="1"/>
  <c r="B5344" i="1"/>
  <c r="A5345" i="1"/>
  <c r="B5345" i="1"/>
  <c r="A5346" i="1"/>
  <c r="B5346" i="1"/>
  <c r="A5347" i="1"/>
  <c r="B5347" i="1"/>
  <c r="A5348" i="1"/>
  <c r="B5348" i="1"/>
  <c r="A5349" i="1"/>
  <c r="B5349" i="1"/>
  <c r="A5350" i="1"/>
  <c r="B5350" i="1"/>
  <c r="A5351" i="1"/>
  <c r="B5351" i="1"/>
  <c r="A5352" i="1"/>
  <c r="B5352" i="1"/>
  <c r="A5353" i="1"/>
  <c r="B5353" i="1"/>
  <c r="A5354" i="1"/>
  <c r="B5354" i="1"/>
  <c r="A5355" i="1"/>
  <c r="B5355" i="1"/>
  <c r="A5356" i="1"/>
  <c r="B5356" i="1"/>
  <c r="A5357" i="1"/>
  <c r="B5357" i="1"/>
  <c r="A5358" i="1"/>
  <c r="B5358" i="1"/>
  <c r="A5359" i="1"/>
  <c r="B5359" i="1"/>
  <c r="A5360" i="1"/>
  <c r="B5360" i="1"/>
  <c r="A5361" i="1"/>
  <c r="B5361" i="1"/>
  <c r="A5362" i="1"/>
  <c r="B5362" i="1"/>
  <c r="A5363" i="1"/>
  <c r="B5363" i="1"/>
  <c r="A5364" i="1"/>
  <c r="B5364" i="1"/>
  <c r="A5365" i="1"/>
  <c r="B5365" i="1"/>
  <c r="A5366" i="1"/>
  <c r="B5366" i="1"/>
  <c r="A5367" i="1"/>
  <c r="B5367" i="1"/>
  <c r="A5368" i="1"/>
  <c r="B5368" i="1"/>
  <c r="A5369" i="1"/>
  <c r="B5369" i="1"/>
  <c r="A5370" i="1"/>
  <c r="B5370" i="1"/>
  <c r="A5371" i="1"/>
  <c r="B5371" i="1"/>
  <c r="A5372" i="1"/>
  <c r="B5372" i="1"/>
  <c r="A5373" i="1"/>
  <c r="B5373" i="1"/>
  <c r="A5374" i="1"/>
  <c r="B5374" i="1"/>
  <c r="A5375" i="1"/>
  <c r="B5375" i="1"/>
  <c r="A5376" i="1"/>
  <c r="B5376" i="1"/>
  <c r="A5377" i="1"/>
  <c r="B5377" i="1"/>
  <c r="A5378" i="1"/>
  <c r="B5378" i="1"/>
  <c r="A5379" i="1"/>
  <c r="B5379" i="1"/>
  <c r="A5380" i="1"/>
  <c r="B5380" i="1"/>
  <c r="A5381" i="1"/>
  <c r="B5381" i="1"/>
  <c r="A5382" i="1"/>
  <c r="B5382" i="1"/>
  <c r="A5383" i="1"/>
  <c r="B5383" i="1"/>
  <c r="A5384" i="1"/>
  <c r="B5384" i="1"/>
  <c r="A5385" i="1"/>
  <c r="B5385" i="1"/>
  <c r="A5386" i="1"/>
  <c r="B5386" i="1"/>
  <c r="A5387" i="1"/>
  <c r="B5387" i="1"/>
  <c r="A5388" i="1"/>
  <c r="B5388" i="1"/>
  <c r="A5389" i="1"/>
  <c r="B5389" i="1"/>
  <c r="A5390" i="1"/>
  <c r="B5390" i="1"/>
  <c r="A5391" i="1"/>
  <c r="B5391" i="1"/>
  <c r="A5392" i="1"/>
  <c r="B5392" i="1"/>
  <c r="A5393" i="1"/>
  <c r="B5393" i="1"/>
  <c r="A5394" i="1"/>
  <c r="B5394" i="1"/>
  <c r="A5395" i="1"/>
  <c r="B5395" i="1"/>
  <c r="A5396" i="1"/>
  <c r="B5396" i="1"/>
  <c r="A5397" i="1"/>
  <c r="B5397" i="1"/>
  <c r="A5398" i="1"/>
  <c r="B5398" i="1"/>
  <c r="A5399" i="1"/>
  <c r="B5399" i="1"/>
  <c r="A5400" i="1"/>
  <c r="B5400" i="1"/>
  <c r="A5401" i="1"/>
  <c r="B5401" i="1"/>
  <c r="A5402" i="1"/>
  <c r="B5402" i="1"/>
  <c r="A5403" i="1"/>
  <c r="B5403" i="1"/>
  <c r="A5404" i="1"/>
  <c r="B5404" i="1"/>
  <c r="A5405" i="1"/>
  <c r="B5405" i="1"/>
  <c r="A5406" i="1"/>
  <c r="B5406" i="1"/>
  <c r="A5407" i="1"/>
  <c r="B5407" i="1"/>
  <c r="A5408" i="1"/>
  <c r="B5408" i="1"/>
  <c r="A5409" i="1"/>
  <c r="B5409" i="1"/>
  <c r="A5410" i="1"/>
  <c r="B5410" i="1"/>
  <c r="A5411" i="1"/>
  <c r="B5411" i="1"/>
  <c r="A5412" i="1"/>
  <c r="B5412" i="1"/>
  <c r="A5413" i="1"/>
  <c r="B5413" i="1"/>
  <c r="A5414" i="1"/>
  <c r="B5414" i="1"/>
  <c r="A5415" i="1"/>
  <c r="B5415" i="1"/>
  <c r="A5416" i="1"/>
  <c r="B5416" i="1"/>
  <c r="A5417" i="1"/>
  <c r="B5417" i="1"/>
  <c r="A5418" i="1"/>
  <c r="B5418" i="1"/>
  <c r="A5419" i="1"/>
  <c r="B5419" i="1"/>
  <c r="A5420" i="1"/>
  <c r="B5420" i="1"/>
  <c r="A5421" i="1"/>
  <c r="B5421" i="1"/>
  <c r="A5422" i="1"/>
  <c r="B5422" i="1"/>
  <c r="A5423" i="1"/>
  <c r="B5423" i="1"/>
  <c r="A5424" i="1"/>
  <c r="B5424" i="1"/>
  <c r="A5425" i="1"/>
  <c r="B5425" i="1"/>
  <c r="A5426" i="1"/>
  <c r="B5426" i="1"/>
  <c r="A5427" i="1"/>
  <c r="B5427" i="1"/>
  <c r="A5428" i="1"/>
  <c r="B5428" i="1"/>
  <c r="A5429" i="1"/>
  <c r="B5429" i="1"/>
  <c r="A5430" i="1"/>
  <c r="B5430" i="1"/>
  <c r="A5431" i="1"/>
  <c r="B5431" i="1"/>
  <c r="A5432" i="1"/>
  <c r="B5432" i="1"/>
  <c r="A5433" i="1"/>
  <c r="B5433" i="1"/>
  <c r="A5434" i="1"/>
  <c r="B5434" i="1"/>
  <c r="A5435" i="1"/>
  <c r="B5435" i="1"/>
  <c r="A5436" i="1"/>
  <c r="B5436" i="1"/>
  <c r="A5437" i="1"/>
  <c r="B5437" i="1"/>
  <c r="A5438" i="1"/>
  <c r="B5438" i="1"/>
  <c r="A5439" i="1"/>
  <c r="B5439" i="1"/>
  <c r="A5440" i="1"/>
  <c r="B5440" i="1"/>
  <c r="A5441" i="1"/>
  <c r="B5441" i="1"/>
  <c r="A5442" i="1"/>
  <c r="B5442" i="1"/>
  <c r="A5443" i="1"/>
  <c r="B5443" i="1"/>
  <c r="A5444" i="1"/>
  <c r="B5444" i="1"/>
  <c r="A5445" i="1"/>
  <c r="B5445" i="1"/>
  <c r="A5446" i="1"/>
  <c r="B5446" i="1"/>
  <c r="A5447" i="1"/>
  <c r="B5447" i="1"/>
  <c r="A5448" i="1"/>
  <c r="B5448" i="1"/>
  <c r="A5449" i="1"/>
  <c r="B5449" i="1"/>
  <c r="A5450" i="1"/>
  <c r="B5450" i="1"/>
  <c r="A5451" i="1"/>
  <c r="B5451" i="1"/>
  <c r="A5452" i="1"/>
  <c r="B5452" i="1"/>
  <c r="A5453" i="1"/>
  <c r="B5453" i="1"/>
  <c r="A5454" i="1"/>
  <c r="B5454" i="1"/>
  <c r="A5455" i="1"/>
  <c r="B5455" i="1"/>
  <c r="A5456" i="1"/>
  <c r="B5456" i="1"/>
  <c r="A5457" i="1"/>
  <c r="B5457" i="1"/>
  <c r="A5458" i="1"/>
  <c r="B5458" i="1"/>
  <c r="A5459" i="1"/>
  <c r="B5459" i="1"/>
  <c r="A5460" i="1"/>
  <c r="B5460" i="1"/>
  <c r="A5461" i="1"/>
  <c r="B5461" i="1"/>
  <c r="A5462" i="1"/>
  <c r="B5462" i="1"/>
  <c r="A5463" i="1"/>
  <c r="B5463" i="1"/>
  <c r="A5464" i="1"/>
  <c r="B5464" i="1"/>
  <c r="A5465" i="1"/>
  <c r="B5465" i="1"/>
  <c r="A5466" i="1"/>
  <c r="B5466" i="1"/>
  <c r="A5467" i="1"/>
  <c r="B5467" i="1"/>
  <c r="A5468" i="1"/>
  <c r="B5468" i="1"/>
  <c r="A5469" i="1"/>
  <c r="B5469" i="1"/>
  <c r="A5470" i="1"/>
  <c r="B5470" i="1"/>
  <c r="A5471" i="1"/>
  <c r="B5471" i="1"/>
  <c r="A5472" i="1"/>
  <c r="B5472" i="1"/>
  <c r="A5473" i="1"/>
  <c r="B5473" i="1"/>
  <c r="A5474" i="1"/>
  <c r="B5474" i="1"/>
  <c r="A5475" i="1"/>
  <c r="B5475" i="1"/>
  <c r="A5476" i="1"/>
  <c r="B5476" i="1"/>
  <c r="A5477" i="1"/>
  <c r="B5477" i="1"/>
  <c r="A5478" i="1"/>
  <c r="B5478" i="1"/>
  <c r="A5479" i="1"/>
  <c r="B5479" i="1"/>
  <c r="A5480" i="1"/>
  <c r="B5480" i="1"/>
  <c r="A5481" i="1"/>
  <c r="B5481" i="1"/>
  <c r="A5482" i="1"/>
  <c r="B5482" i="1"/>
  <c r="A5483" i="1"/>
  <c r="B5483" i="1"/>
  <c r="A5484" i="1"/>
  <c r="B5484" i="1"/>
  <c r="A5485" i="1"/>
  <c r="B5485" i="1"/>
  <c r="A5486" i="1"/>
  <c r="B5486" i="1"/>
  <c r="A5487" i="1"/>
  <c r="B5487" i="1"/>
  <c r="A5488" i="1"/>
  <c r="B5488" i="1"/>
  <c r="A5489" i="1"/>
  <c r="B5489" i="1"/>
  <c r="A5490" i="1"/>
  <c r="B5490" i="1"/>
  <c r="A5491" i="1"/>
  <c r="B5491" i="1"/>
  <c r="A5492" i="1"/>
  <c r="B5492" i="1"/>
  <c r="A5493" i="1"/>
  <c r="B5493" i="1"/>
  <c r="A5494" i="1"/>
  <c r="B5494" i="1"/>
  <c r="A5495" i="1"/>
  <c r="B5495" i="1"/>
  <c r="A5496" i="1"/>
  <c r="B5496" i="1"/>
  <c r="A5497" i="1"/>
  <c r="B5497" i="1"/>
  <c r="A5498" i="1"/>
  <c r="B5498" i="1"/>
  <c r="A5499" i="1"/>
  <c r="B5499" i="1"/>
  <c r="A5500" i="1"/>
  <c r="B5500" i="1"/>
  <c r="A5501" i="1"/>
  <c r="B5501" i="1"/>
  <c r="A5502" i="1"/>
  <c r="B5502" i="1"/>
  <c r="A5503" i="1"/>
  <c r="B5503" i="1"/>
  <c r="A5504" i="1"/>
  <c r="B5504" i="1"/>
  <c r="A5505" i="1"/>
  <c r="B5505" i="1"/>
  <c r="A5506" i="1"/>
  <c r="B5506" i="1"/>
  <c r="A5507" i="1"/>
  <c r="B5507" i="1"/>
  <c r="A5508" i="1"/>
  <c r="B5508" i="1"/>
  <c r="A5509" i="1"/>
  <c r="B5509" i="1"/>
  <c r="A5510" i="1"/>
  <c r="B5510" i="1"/>
  <c r="A5511" i="1"/>
  <c r="B5511" i="1"/>
  <c r="A5512" i="1"/>
  <c r="B5512" i="1"/>
  <c r="A5513" i="1"/>
  <c r="B5513" i="1"/>
  <c r="A5514" i="1"/>
  <c r="B5514" i="1"/>
  <c r="A5515" i="1"/>
  <c r="B5515" i="1"/>
  <c r="A5516" i="1"/>
  <c r="B5516" i="1"/>
  <c r="A5517" i="1"/>
  <c r="B5517" i="1"/>
  <c r="A5518" i="1"/>
  <c r="B5518" i="1"/>
  <c r="A5519" i="1"/>
  <c r="B5519" i="1"/>
  <c r="A5520" i="1"/>
  <c r="B5520" i="1"/>
  <c r="A5521" i="1"/>
  <c r="B5521" i="1"/>
  <c r="A5522" i="1"/>
  <c r="B5522" i="1"/>
  <c r="A5523" i="1"/>
  <c r="B5523" i="1"/>
  <c r="A5524" i="1"/>
  <c r="B5524" i="1"/>
  <c r="A5525" i="1"/>
  <c r="B5525" i="1"/>
  <c r="A5526" i="1"/>
  <c r="B5526" i="1"/>
  <c r="A5527" i="1"/>
  <c r="B5527" i="1"/>
  <c r="A5528" i="1"/>
  <c r="B5528" i="1"/>
  <c r="A5529" i="1"/>
  <c r="B5529" i="1"/>
  <c r="A5530" i="1"/>
  <c r="B5530" i="1"/>
  <c r="A5531" i="1"/>
  <c r="B5531" i="1"/>
  <c r="A5532" i="1"/>
  <c r="B5532" i="1"/>
  <c r="A5533" i="1"/>
  <c r="B5533" i="1"/>
  <c r="A5534" i="1"/>
  <c r="B5534" i="1"/>
  <c r="A5535" i="1"/>
  <c r="B5535" i="1"/>
  <c r="A5536" i="1"/>
  <c r="B5536" i="1"/>
  <c r="A5537" i="1"/>
  <c r="B5537" i="1"/>
  <c r="A5538" i="1"/>
  <c r="B5538" i="1"/>
  <c r="A5539" i="1"/>
  <c r="B5539" i="1"/>
  <c r="A5540" i="1"/>
  <c r="B5540" i="1"/>
  <c r="A5541" i="1"/>
  <c r="B5541" i="1"/>
  <c r="A5542" i="1"/>
  <c r="B5542" i="1"/>
  <c r="A5543" i="1"/>
  <c r="B5543" i="1"/>
  <c r="A5544" i="1"/>
  <c r="B5544" i="1"/>
  <c r="A5545" i="1"/>
  <c r="B5545" i="1"/>
  <c r="A5546" i="1"/>
  <c r="B5546" i="1"/>
  <c r="A5547" i="1"/>
  <c r="B5547" i="1"/>
  <c r="A5548" i="1"/>
  <c r="B5548" i="1"/>
  <c r="A5549" i="1"/>
  <c r="B5549" i="1"/>
  <c r="A5550" i="1"/>
  <c r="B5550" i="1"/>
  <c r="A5551" i="1"/>
  <c r="B5551" i="1"/>
  <c r="A5552" i="1"/>
  <c r="B5552" i="1"/>
  <c r="A5553" i="1"/>
  <c r="B5553" i="1"/>
  <c r="A5554" i="1"/>
  <c r="B5554" i="1"/>
  <c r="A5555" i="1"/>
  <c r="B5555" i="1"/>
  <c r="A5556" i="1"/>
  <c r="B5556" i="1"/>
  <c r="A5557" i="1"/>
  <c r="B5557" i="1"/>
  <c r="A5558" i="1"/>
  <c r="B5558" i="1"/>
  <c r="A5559" i="1"/>
  <c r="B5559" i="1"/>
  <c r="A5560" i="1"/>
  <c r="B5560" i="1"/>
  <c r="A5561" i="1"/>
  <c r="B5561" i="1"/>
  <c r="A5562" i="1"/>
  <c r="B5562" i="1"/>
  <c r="A5563" i="1"/>
  <c r="B5563" i="1"/>
  <c r="A5564" i="1"/>
  <c r="B5564" i="1"/>
  <c r="A5565" i="1"/>
  <c r="B5565" i="1"/>
  <c r="A5566" i="1"/>
  <c r="B5566" i="1"/>
  <c r="A5567" i="1"/>
  <c r="B5567" i="1"/>
  <c r="A5568" i="1"/>
  <c r="B5568" i="1"/>
  <c r="A5569" i="1"/>
  <c r="B5569" i="1"/>
  <c r="A5570" i="1"/>
  <c r="B5570" i="1"/>
  <c r="A5571" i="1"/>
  <c r="B5571" i="1"/>
  <c r="A5572" i="1"/>
  <c r="B5572" i="1"/>
  <c r="A5573" i="1"/>
  <c r="B5573" i="1"/>
  <c r="A5574" i="1"/>
  <c r="B5574" i="1"/>
  <c r="A5575" i="1"/>
  <c r="B5575" i="1"/>
  <c r="A5576" i="1"/>
  <c r="B5576" i="1"/>
  <c r="A5577" i="1"/>
  <c r="B5577" i="1"/>
  <c r="A5578" i="1"/>
  <c r="B5578" i="1"/>
  <c r="A5579" i="1"/>
  <c r="B5579" i="1"/>
  <c r="A5580" i="1"/>
  <c r="B5580" i="1"/>
  <c r="A5581" i="1"/>
  <c r="B5581" i="1"/>
  <c r="A5582" i="1"/>
  <c r="B5582" i="1"/>
  <c r="A5583" i="1"/>
  <c r="B5583" i="1"/>
  <c r="A5584" i="1"/>
  <c r="B5584" i="1"/>
  <c r="A5585" i="1"/>
  <c r="B5585" i="1"/>
  <c r="A5586" i="1"/>
  <c r="B5586" i="1"/>
  <c r="A5587" i="1"/>
  <c r="B5587" i="1"/>
  <c r="A5588" i="1"/>
  <c r="B5588" i="1"/>
  <c r="A5589" i="1"/>
  <c r="B5589" i="1"/>
  <c r="A5590" i="1"/>
  <c r="B5590" i="1"/>
  <c r="A5591" i="1"/>
  <c r="B5591" i="1"/>
  <c r="A5592" i="1"/>
  <c r="B5592" i="1"/>
  <c r="A5593" i="1"/>
  <c r="B5593" i="1"/>
  <c r="A5594" i="1"/>
  <c r="B5594" i="1"/>
  <c r="A5595" i="1"/>
  <c r="B5595" i="1"/>
  <c r="A5596" i="1"/>
  <c r="B5596" i="1"/>
  <c r="A5597" i="1"/>
  <c r="B5597" i="1"/>
  <c r="A5598" i="1"/>
  <c r="B5598" i="1"/>
  <c r="A5599" i="1"/>
  <c r="B5599" i="1"/>
  <c r="A5600" i="1"/>
  <c r="B5600" i="1"/>
  <c r="A5601" i="1"/>
  <c r="B5601" i="1"/>
  <c r="A5602" i="1"/>
  <c r="B5602" i="1"/>
  <c r="A5603" i="1"/>
  <c r="B5603" i="1"/>
  <c r="A5604" i="1"/>
  <c r="B5604" i="1"/>
  <c r="A5605" i="1"/>
  <c r="B5605" i="1"/>
  <c r="A5606" i="1"/>
  <c r="B5606" i="1"/>
  <c r="A5607" i="1"/>
  <c r="B5607" i="1"/>
  <c r="A5608" i="1"/>
  <c r="B5608" i="1"/>
  <c r="A5609" i="1"/>
  <c r="B5609" i="1"/>
  <c r="A5610" i="1"/>
  <c r="B5610" i="1"/>
  <c r="A5611" i="1"/>
  <c r="B5611" i="1"/>
  <c r="A5612" i="1"/>
  <c r="B5612" i="1"/>
  <c r="A5613" i="1"/>
  <c r="B5613" i="1"/>
  <c r="A5614" i="1"/>
  <c r="B5614" i="1"/>
  <c r="A5615" i="1"/>
  <c r="B5615" i="1"/>
  <c r="A5616" i="1"/>
  <c r="B5616" i="1"/>
  <c r="A5617" i="1"/>
  <c r="B5617" i="1"/>
  <c r="A5618" i="1"/>
  <c r="B5618" i="1"/>
  <c r="A5619" i="1"/>
  <c r="B5619" i="1"/>
  <c r="A5620" i="1"/>
  <c r="B5620" i="1"/>
  <c r="A5621" i="1"/>
  <c r="B5621" i="1"/>
  <c r="A5622" i="1"/>
  <c r="B5622" i="1"/>
  <c r="A5623" i="1"/>
  <c r="B5623" i="1"/>
  <c r="A5624" i="1"/>
  <c r="B5624" i="1"/>
  <c r="A5625" i="1"/>
  <c r="B5625" i="1"/>
  <c r="A5626" i="1"/>
  <c r="B5626" i="1"/>
  <c r="A5627" i="1"/>
  <c r="B5627" i="1"/>
  <c r="A5628" i="1"/>
  <c r="B5628" i="1"/>
  <c r="A5629" i="1"/>
  <c r="B5629" i="1"/>
  <c r="A5630" i="1"/>
  <c r="B5630" i="1"/>
  <c r="A5631" i="1"/>
  <c r="B5631" i="1"/>
  <c r="A5632" i="1"/>
  <c r="B5632" i="1"/>
  <c r="A5633" i="1"/>
  <c r="B5633" i="1"/>
  <c r="A5634" i="1"/>
  <c r="B5634" i="1"/>
  <c r="A5635" i="1"/>
  <c r="B5635" i="1"/>
  <c r="A5636" i="1"/>
  <c r="B5636" i="1"/>
  <c r="A5637" i="1"/>
  <c r="B5637" i="1"/>
  <c r="A5638" i="1"/>
  <c r="B5638" i="1"/>
  <c r="A5639" i="1"/>
  <c r="B5639" i="1"/>
  <c r="A5640" i="1"/>
  <c r="B5640" i="1"/>
  <c r="A5641" i="1"/>
  <c r="B5641" i="1"/>
  <c r="A5642" i="1"/>
  <c r="B5642" i="1"/>
  <c r="A5643" i="1"/>
  <c r="B5643" i="1"/>
  <c r="A5644" i="1"/>
  <c r="B5644" i="1"/>
  <c r="A5645" i="1"/>
  <c r="B5645" i="1"/>
  <c r="A5646" i="1"/>
  <c r="B5646" i="1"/>
  <c r="A5647" i="1"/>
  <c r="B5647" i="1"/>
  <c r="A5648" i="1"/>
  <c r="B5648" i="1"/>
  <c r="A5649" i="1"/>
  <c r="B5649" i="1"/>
  <c r="A5650" i="1"/>
  <c r="B5650" i="1"/>
  <c r="A5651" i="1"/>
  <c r="B5651" i="1"/>
  <c r="A5652" i="1"/>
  <c r="B5652" i="1"/>
  <c r="A5653" i="1"/>
  <c r="B5653" i="1"/>
  <c r="A5654" i="1"/>
  <c r="B5654" i="1"/>
  <c r="A5655" i="1"/>
  <c r="B5655" i="1"/>
  <c r="A5656" i="1"/>
  <c r="B5656" i="1"/>
  <c r="A5657" i="1"/>
  <c r="B5657" i="1"/>
  <c r="A5658" i="1"/>
  <c r="B5658" i="1"/>
  <c r="A5659" i="1"/>
  <c r="B5659" i="1"/>
  <c r="A5660" i="1"/>
  <c r="B5660" i="1"/>
  <c r="A5661" i="1"/>
  <c r="B5661" i="1"/>
  <c r="A5662" i="1"/>
  <c r="B5662" i="1"/>
  <c r="A5663" i="1"/>
  <c r="B5663" i="1"/>
  <c r="A5664" i="1"/>
  <c r="B5664" i="1"/>
  <c r="A5665" i="1"/>
  <c r="B5665" i="1"/>
  <c r="A5666" i="1"/>
  <c r="B5666" i="1"/>
  <c r="A5667" i="1"/>
  <c r="B5667" i="1"/>
  <c r="A5668" i="1"/>
  <c r="B5668" i="1"/>
  <c r="A5669" i="1"/>
  <c r="B5669" i="1"/>
  <c r="A5670" i="1"/>
  <c r="B5670" i="1"/>
  <c r="A5671" i="1"/>
  <c r="B5671" i="1"/>
  <c r="A5672" i="1"/>
  <c r="B5672" i="1"/>
  <c r="A5673" i="1"/>
  <c r="B5673" i="1"/>
  <c r="A5674" i="1"/>
  <c r="B5674" i="1"/>
  <c r="A5675" i="1"/>
  <c r="B5675" i="1"/>
  <c r="A5676" i="1"/>
  <c r="B5676" i="1"/>
  <c r="A5677" i="1"/>
  <c r="B5677" i="1"/>
  <c r="A5678" i="1"/>
  <c r="B5678" i="1"/>
  <c r="A5679" i="1"/>
  <c r="B5679" i="1"/>
  <c r="A5680" i="1"/>
  <c r="B5680" i="1"/>
  <c r="A5681" i="1"/>
  <c r="B5681" i="1"/>
  <c r="A5682" i="1"/>
  <c r="B5682" i="1"/>
  <c r="A5683" i="1"/>
  <c r="B5683" i="1"/>
  <c r="A5684" i="1"/>
  <c r="B5684" i="1"/>
  <c r="A5685" i="1"/>
  <c r="B5685" i="1"/>
  <c r="A5686" i="1"/>
  <c r="B5686" i="1"/>
  <c r="A5687" i="1"/>
  <c r="B5687" i="1"/>
  <c r="A5688" i="1"/>
  <c r="B5688" i="1"/>
  <c r="A5689" i="1"/>
  <c r="B5689" i="1"/>
  <c r="A5690" i="1"/>
  <c r="B5690" i="1"/>
  <c r="A5691" i="1"/>
  <c r="B5691" i="1"/>
  <c r="A5692" i="1"/>
  <c r="B5692" i="1"/>
  <c r="A5693" i="1"/>
  <c r="B5693" i="1"/>
  <c r="A5694" i="1"/>
  <c r="B5694" i="1"/>
  <c r="A5695" i="1"/>
  <c r="B5695" i="1"/>
  <c r="A5696" i="1"/>
  <c r="B5696" i="1"/>
  <c r="A5697" i="1"/>
  <c r="B5697" i="1"/>
  <c r="A5698" i="1"/>
  <c r="B5698" i="1"/>
  <c r="A5699" i="1"/>
  <c r="B5699" i="1"/>
  <c r="A5700" i="1"/>
  <c r="B5700" i="1"/>
  <c r="A5701" i="1"/>
  <c r="B5701" i="1"/>
  <c r="A5702" i="1"/>
  <c r="B5702" i="1"/>
  <c r="A5703" i="1"/>
  <c r="B5703" i="1"/>
  <c r="A5704" i="1"/>
  <c r="B5704" i="1"/>
  <c r="A5705" i="1"/>
  <c r="B5705" i="1"/>
  <c r="A5706" i="1"/>
  <c r="B5706" i="1"/>
  <c r="A5707" i="1"/>
  <c r="B5707" i="1"/>
  <c r="A5708" i="1"/>
  <c r="B5708" i="1"/>
  <c r="A5709" i="1"/>
  <c r="B5709" i="1"/>
  <c r="A5710" i="1"/>
  <c r="B5710" i="1"/>
  <c r="A5711" i="1"/>
  <c r="B5711" i="1"/>
  <c r="A5712" i="1"/>
  <c r="B5712" i="1"/>
  <c r="A5713" i="1"/>
  <c r="B5713" i="1"/>
  <c r="A5714" i="1"/>
  <c r="B5714" i="1"/>
  <c r="A5715" i="1"/>
  <c r="B5715" i="1"/>
  <c r="A5716" i="1"/>
  <c r="B5716" i="1"/>
  <c r="A5717" i="1"/>
  <c r="B5717" i="1"/>
  <c r="A5718" i="1"/>
  <c r="B5718" i="1"/>
  <c r="A5719" i="1"/>
  <c r="B5719" i="1"/>
  <c r="A5720" i="1"/>
  <c r="B5720" i="1"/>
  <c r="A5721" i="1"/>
  <c r="B5721" i="1"/>
  <c r="A5722" i="1"/>
  <c r="B5722" i="1"/>
  <c r="A5723" i="1"/>
  <c r="B5723" i="1"/>
  <c r="A5724" i="1"/>
  <c r="B5724" i="1"/>
  <c r="A5725" i="1"/>
  <c r="B5725" i="1"/>
  <c r="A5726" i="1"/>
  <c r="B5726" i="1"/>
  <c r="A5727" i="1"/>
  <c r="B5727" i="1"/>
  <c r="A5728" i="1"/>
  <c r="B5728" i="1"/>
  <c r="A5729" i="1"/>
  <c r="B5729" i="1"/>
  <c r="A5730" i="1"/>
  <c r="B5730" i="1"/>
  <c r="A5731" i="1"/>
  <c r="B5731" i="1"/>
  <c r="A5732" i="1"/>
  <c r="B5732" i="1"/>
  <c r="A5733" i="1"/>
  <c r="B5733" i="1"/>
  <c r="A5734" i="1"/>
  <c r="B5734" i="1"/>
  <c r="A5735" i="1"/>
  <c r="B5735" i="1"/>
  <c r="A5736" i="1"/>
  <c r="B5736" i="1"/>
  <c r="A5737" i="1"/>
  <c r="B5737" i="1"/>
  <c r="A5738" i="1"/>
  <c r="B5738" i="1"/>
  <c r="A5739" i="1"/>
  <c r="B5739" i="1"/>
  <c r="A5740" i="1"/>
  <c r="B5740" i="1"/>
  <c r="A5741" i="1"/>
  <c r="B5741" i="1"/>
  <c r="A5742" i="1"/>
  <c r="B5742" i="1"/>
  <c r="A5743" i="1"/>
  <c r="B5743" i="1"/>
  <c r="A5744" i="1"/>
  <c r="B5744" i="1"/>
  <c r="A5745" i="1"/>
  <c r="B5745" i="1"/>
  <c r="A5746" i="1"/>
  <c r="B5746" i="1"/>
  <c r="A5747" i="1"/>
  <c r="B5747" i="1"/>
  <c r="A5748" i="1"/>
  <c r="B5748" i="1"/>
  <c r="A5749" i="1"/>
  <c r="B5749" i="1"/>
  <c r="A5750" i="1"/>
  <c r="B5750" i="1"/>
  <c r="A5751" i="1"/>
  <c r="B5751" i="1"/>
  <c r="A5752" i="1"/>
  <c r="B5752" i="1"/>
  <c r="A5753" i="1"/>
  <c r="B5753" i="1"/>
  <c r="A5754" i="1"/>
  <c r="B5754" i="1"/>
  <c r="A5755" i="1"/>
  <c r="B5755" i="1"/>
  <c r="A5756" i="1"/>
  <c r="B5756" i="1"/>
  <c r="A5757" i="1"/>
  <c r="B5757" i="1"/>
  <c r="A5758" i="1"/>
  <c r="B5758" i="1"/>
  <c r="A5759" i="1"/>
  <c r="B5759" i="1"/>
  <c r="A5760" i="1"/>
  <c r="B5760" i="1"/>
  <c r="A5761" i="1"/>
  <c r="B5761" i="1"/>
  <c r="A5762" i="1"/>
  <c r="B5762" i="1"/>
  <c r="A5763" i="1"/>
  <c r="B5763" i="1"/>
  <c r="A5764" i="1"/>
  <c r="B5764" i="1"/>
  <c r="A5765" i="1"/>
  <c r="B5765" i="1"/>
  <c r="A5766" i="1"/>
  <c r="B5766" i="1"/>
  <c r="A5767" i="1"/>
  <c r="B5767" i="1"/>
  <c r="A5768" i="1"/>
  <c r="B5768" i="1"/>
  <c r="A5769" i="1"/>
  <c r="B5769" i="1"/>
  <c r="A5770" i="1"/>
  <c r="B5770" i="1"/>
  <c r="A5771" i="1"/>
  <c r="B5771" i="1"/>
  <c r="A5772" i="1"/>
  <c r="B5772" i="1"/>
  <c r="A5773" i="1"/>
  <c r="B5773" i="1"/>
  <c r="A5774" i="1"/>
  <c r="B5774" i="1"/>
  <c r="A5775" i="1"/>
  <c r="B5775" i="1"/>
  <c r="A5776" i="1"/>
  <c r="B5776" i="1"/>
  <c r="A5777" i="1"/>
  <c r="B5777" i="1"/>
  <c r="A5778" i="1"/>
  <c r="B5778" i="1"/>
  <c r="A5779" i="1"/>
  <c r="B5779" i="1"/>
  <c r="A5780" i="1"/>
  <c r="B5780" i="1"/>
  <c r="A5781" i="1"/>
  <c r="B5781" i="1"/>
  <c r="A5782" i="1"/>
  <c r="B5782" i="1"/>
  <c r="A5783" i="1"/>
  <c r="B5783" i="1"/>
  <c r="A5784" i="1"/>
  <c r="B5784" i="1"/>
  <c r="A5785" i="1"/>
  <c r="B5785" i="1"/>
  <c r="A5786" i="1"/>
  <c r="B5786" i="1"/>
  <c r="A5787" i="1"/>
  <c r="B5787" i="1"/>
  <c r="A5788" i="1"/>
  <c r="B5788" i="1"/>
  <c r="A5789" i="1"/>
  <c r="B5789" i="1"/>
  <c r="A5790" i="1"/>
  <c r="B5790" i="1"/>
  <c r="A5791" i="1"/>
  <c r="B5791" i="1"/>
  <c r="A5792" i="1"/>
  <c r="B5792" i="1"/>
  <c r="A5793" i="1"/>
  <c r="B5793" i="1"/>
  <c r="A5794" i="1"/>
  <c r="B5794" i="1"/>
  <c r="A5795" i="1"/>
  <c r="B5795" i="1"/>
  <c r="A5796" i="1"/>
  <c r="B5796" i="1"/>
  <c r="A5797" i="1"/>
  <c r="B5797" i="1"/>
  <c r="A5798" i="1"/>
  <c r="B5798" i="1"/>
  <c r="A5799" i="1"/>
  <c r="B5799" i="1"/>
  <c r="A5800" i="1"/>
  <c r="B5800" i="1"/>
  <c r="A5801" i="1"/>
  <c r="B5801" i="1"/>
  <c r="A5802" i="1"/>
  <c r="B5802" i="1"/>
  <c r="A5803" i="1"/>
  <c r="B5803" i="1"/>
  <c r="A5804" i="1"/>
  <c r="B5804" i="1"/>
  <c r="A5805" i="1"/>
  <c r="B5805" i="1"/>
  <c r="A5806" i="1"/>
  <c r="B5806" i="1"/>
  <c r="A5807" i="1"/>
  <c r="B5807" i="1"/>
  <c r="A5808" i="1"/>
  <c r="B5808" i="1"/>
  <c r="A5809" i="1"/>
  <c r="B5809" i="1"/>
  <c r="A5810" i="1"/>
  <c r="B5810" i="1"/>
  <c r="A5811" i="1"/>
  <c r="B5811" i="1"/>
  <c r="A5812" i="1"/>
  <c r="B5812" i="1"/>
  <c r="A5813" i="1"/>
  <c r="B5813" i="1"/>
  <c r="A5814" i="1"/>
  <c r="B5814" i="1"/>
  <c r="A5815" i="1"/>
  <c r="B5815" i="1"/>
  <c r="A5816" i="1"/>
  <c r="B5816" i="1"/>
  <c r="A5817" i="1"/>
  <c r="B5817" i="1"/>
  <c r="A5818" i="1"/>
  <c r="B5818" i="1"/>
  <c r="A5819" i="1"/>
  <c r="B5819" i="1"/>
  <c r="A5820" i="1"/>
  <c r="B5820" i="1"/>
  <c r="A5821" i="1"/>
  <c r="B5821" i="1"/>
  <c r="A5822" i="1"/>
  <c r="B5822" i="1"/>
  <c r="A5823" i="1"/>
  <c r="B5823" i="1"/>
  <c r="A5824" i="1"/>
  <c r="B5824" i="1"/>
  <c r="A5825" i="1"/>
  <c r="B5825" i="1"/>
  <c r="A5826" i="1"/>
  <c r="B5826" i="1"/>
  <c r="A5827" i="1"/>
  <c r="B5827" i="1"/>
  <c r="A5828" i="1"/>
  <c r="B5828" i="1"/>
  <c r="A5829" i="1"/>
  <c r="B5829" i="1"/>
  <c r="A5830" i="1"/>
  <c r="B5830" i="1"/>
  <c r="A5831" i="1"/>
  <c r="B5831" i="1"/>
  <c r="A5832" i="1"/>
  <c r="B5832" i="1"/>
  <c r="A5833" i="1"/>
  <c r="B5833" i="1"/>
  <c r="A5834" i="1"/>
  <c r="B5834" i="1"/>
  <c r="A5835" i="1"/>
  <c r="B5835" i="1"/>
  <c r="A5836" i="1"/>
  <c r="B5836" i="1"/>
  <c r="A5837" i="1"/>
  <c r="B5837" i="1"/>
  <c r="A5838" i="1"/>
  <c r="B5838" i="1"/>
  <c r="A5839" i="1"/>
  <c r="B5839" i="1"/>
  <c r="A5840" i="1"/>
  <c r="B5840" i="1"/>
  <c r="A5841" i="1"/>
  <c r="B5841" i="1"/>
  <c r="A5842" i="1"/>
  <c r="B5842" i="1"/>
  <c r="A5843" i="1"/>
  <c r="B5843" i="1"/>
  <c r="A5844" i="1"/>
  <c r="B5844" i="1"/>
  <c r="A5845" i="1"/>
  <c r="B5845" i="1"/>
  <c r="A5846" i="1"/>
  <c r="B5846" i="1"/>
  <c r="A5847" i="1"/>
  <c r="B5847" i="1"/>
  <c r="A5848" i="1"/>
  <c r="B5848" i="1"/>
  <c r="A5849" i="1"/>
  <c r="B5849" i="1"/>
  <c r="A5850" i="1"/>
  <c r="B5850" i="1"/>
  <c r="A5851" i="1"/>
  <c r="B5851" i="1"/>
  <c r="A5852" i="1"/>
  <c r="B5852" i="1"/>
  <c r="A5853" i="1"/>
  <c r="B5853" i="1"/>
  <c r="A5854" i="1"/>
  <c r="B5854" i="1"/>
  <c r="A5855" i="1"/>
  <c r="B5855" i="1"/>
  <c r="A5856" i="1"/>
  <c r="B5856" i="1"/>
  <c r="A5857" i="1"/>
  <c r="B5857" i="1"/>
  <c r="A5858" i="1"/>
  <c r="B5858" i="1"/>
  <c r="A5859" i="1"/>
  <c r="B5859" i="1"/>
  <c r="A5860" i="1"/>
  <c r="B5860" i="1"/>
  <c r="A5861" i="1"/>
  <c r="B5861" i="1"/>
  <c r="A5862" i="1"/>
  <c r="B5862" i="1"/>
  <c r="A5863" i="1"/>
  <c r="B5863" i="1"/>
  <c r="A5864" i="1"/>
  <c r="B5864" i="1"/>
  <c r="A5865" i="1"/>
  <c r="B5865" i="1"/>
  <c r="A5866" i="1"/>
  <c r="B5866" i="1"/>
  <c r="A5867" i="1"/>
  <c r="B5867" i="1"/>
  <c r="A5868" i="1"/>
  <c r="B5868" i="1"/>
  <c r="A5869" i="1"/>
  <c r="B5869" i="1"/>
  <c r="A5870" i="1"/>
  <c r="B5870" i="1"/>
  <c r="A5871" i="1"/>
  <c r="B5871" i="1"/>
  <c r="A5872" i="1"/>
  <c r="B5872" i="1"/>
  <c r="A5873" i="1"/>
  <c r="B5873" i="1"/>
  <c r="A5874" i="1"/>
  <c r="B5874" i="1"/>
  <c r="A5875" i="1"/>
  <c r="B5875" i="1"/>
  <c r="A5876" i="1"/>
  <c r="B5876" i="1"/>
  <c r="A5877" i="1"/>
  <c r="B5877" i="1"/>
  <c r="A5878" i="1"/>
  <c r="B5878" i="1"/>
  <c r="A5879" i="1"/>
  <c r="B5879" i="1"/>
  <c r="A5880" i="1"/>
  <c r="B5880" i="1"/>
  <c r="A5881" i="1"/>
  <c r="B5881" i="1"/>
  <c r="A5882" i="1"/>
  <c r="B5882" i="1"/>
  <c r="A5883" i="1"/>
  <c r="B5883" i="1"/>
  <c r="A5884" i="1"/>
  <c r="B5884" i="1"/>
  <c r="A5885" i="1"/>
  <c r="B5885" i="1"/>
  <c r="A5886" i="1"/>
  <c r="B5886" i="1"/>
  <c r="A5887" i="1"/>
  <c r="B5887" i="1"/>
  <c r="A5888" i="1"/>
  <c r="B5888" i="1"/>
  <c r="A5889" i="1"/>
  <c r="B5889" i="1"/>
  <c r="A5890" i="1"/>
  <c r="B5890" i="1"/>
  <c r="A5891" i="1"/>
  <c r="B5891" i="1"/>
  <c r="A5892" i="1"/>
  <c r="B5892" i="1"/>
  <c r="A5893" i="1"/>
  <c r="B5893" i="1"/>
  <c r="A5894" i="1"/>
  <c r="B5894" i="1"/>
  <c r="A5895" i="1"/>
  <c r="B5895" i="1"/>
  <c r="A5896" i="1"/>
  <c r="B5896" i="1"/>
  <c r="A5897" i="1"/>
  <c r="B5897" i="1"/>
  <c r="A5898" i="1"/>
  <c r="B5898" i="1"/>
  <c r="A5899" i="1"/>
  <c r="B5899" i="1"/>
  <c r="A5900" i="1"/>
  <c r="B5900" i="1"/>
  <c r="A5901" i="1"/>
  <c r="B5901" i="1"/>
  <c r="A5902" i="1"/>
  <c r="B5902" i="1"/>
  <c r="A5903" i="1"/>
  <c r="B5903" i="1"/>
  <c r="A5904" i="1"/>
  <c r="B5904" i="1"/>
  <c r="A5905" i="1"/>
  <c r="B5905" i="1"/>
  <c r="A5906" i="1"/>
  <c r="B5906" i="1"/>
  <c r="A5907" i="1"/>
  <c r="B5907" i="1"/>
  <c r="A5908" i="1"/>
  <c r="B5908" i="1"/>
  <c r="A5909" i="1"/>
  <c r="B5909" i="1"/>
  <c r="A5910" i="1"/>
  <c r="B5910" i="1"/>
  <c r="A5911" i="1"/>
  <c r="B5911" i="1"/>
  <c r="A5912" i="1"/>
  <c r="B5912" i="1"/>
  <c r="A5913" i="1"/>
  <c r="B5913" i="1"/>
  <c r="A5914" i="1"/>
  <c r="B5914" i="1"/>
  <c r="A5915" i="1"/>
  <c r="B5915" i="1"/>
  <c r="A5916" i="1"/>
  <c r="B5916" i="1"/>
  <c r="A5917" i="1"/>
  <c r="B5917" i="1"/>
  <c r="A5918" i="1"/>
  <c r="B5918" i="1"/>
  <c r="A5919" i="1"/>
  <c r="B5919" i="1"/>
  <c r="A5920" i="1"/>
  <c r="B5920" i="1"/>
  <c r="A5921" i="1"/>
  <c r="B5921" i="1"/>
  <c r="A5922" i="1"/>
  <c r="B5922" i="1"/>
  <c r="A5923" i="1"/>
  <c r="B5923" i="1"/>
  <c r="A5924" i="1"/>
  <c r="B5924" i="1"/>
  <c r="A5925" i="1"/>
  <c r="B5925" i="1"/>
  <c r="A5926" i="1"/>
  <c r="B5926" i="1"/>
  <c r="A5927" i="1"/>
  <c r="B5927" i="1"/>
  <c r="A5928" i="1"/>
  <c r="B5928" i="1"/>
  <c r="A5929" i="1"/>
  <c r="B5929" i="1"/>
  <c r="A5930" i="1"/>
  <c r="B5930" i="1"/>
  <c r="A5931" i="1"/>
  <c r="B5931" i="1"/>
  <c r="A5932" i="1"/>
  <c r="B5932" i="1"/>
  <c r="A5933" i="1"/>
  <c r="B5933" i="1"/>
  <c r="A5934" i="1"/>
  <c r="B5934" i="1"/>
  <c r="A5935" i="1"/>
  <c r="B5935" i="1"/>
  <c r="A5936" i="1"/>
  <c r="B5936" i="1"/>
  <c r="A5937" i="1"/>
  <c r="B5937" i="1"/>
  <c r="A5938" i="1"/>
  <c r="B5938" i="1"/>
  <c r="A5939" i="1"/>
  <c r="B5939" i="1"/>
  <c r="A5940" i="1"/>
  <c r="B5940" i="1"/>
  <c r="A5941" i="1"/>
  <c r="B5941" i="1"/>
  <c r="A5942" i="1"/>
  <c r="B5942" i="1"/>
  <c r="A5943" i="1"/>
  <c r="B5943" i="1"/>
  <c r="A5944" i="1"/>
  <c r="B5944" i="1"/>
  <c r="A5945" i="1"/>
  <c r="B5945" i="1"/>
  <c r="A5946" i="1"/>
  <c r="B5946" i="1"/>
  <c r="A5947" i="1"/>
  <c r="B5947" i="1"/>
  <c r="A5948" i="1"/>
  <c r="B5948" i="1"/>
  <c r="A5949" i="1"/>
  <c r="B5949" i="1"/>
  <c r="A5950" i="1"/>
  <c r="B5950" i="1"/>
  <c r="A5951" i="1"/>
  <c r="B5951" i="1"/>
  <c r="A5952" i="1"/>
  <c r="B5952" i="1"/>
  <c r="A5953" i="1"/>
  <c r="B5953" i="1"/>
  <c r="A5954" i="1"/>
  <c r="B5954" i="1"/>
  <c r="A5955" i="1"/>
  <c r="B5955" i="1"/>
  <c r="A5956" i="1"/>
  <c r="B5956" i="1"/>
  <c r="A5957" i="1"/>
  <c r="B5957" i="1"/>
  <c r="A5958" i="1"/>
  <c r="B5958" i="1"/>
  <c r="A5959" i="1"/>
  <c r="B5959" i="1"/>
  <c r="A5960" i="1"/>
  <c r="B5960" i="1"/>
  <c r="A5961" i="1"/>
  <c r="B5961" i="1"/>
  <c r="A5962" i="1"/>
  <c r="B5962" i="1"/>
  <c r="A5963" i="1"/>
  <c r="B5963" i="1"/>
  <c r="A5964" i="1"/>
  <c r="B5964" i="1"/>
  <c r="A5965" i="1"/>
  <c r="B5965" i="1"/>
  <c r="A5966" i="1"/>
  <c r="B5966" i="1"/>
  <c r="A5967" i="1"/>
  <c r="B5967" i="1"/>
  <c r="A5968" i="1"/>
  <c r="B5968" i="1"/>
  <c r="A5969" i="1"/>
  <c r="B5969" i="1"/>
  <c r="A5970" i="1"/>
  <c r="B5970" i="1"/>
  <c r="A5971" i="1"/>
  <c r="B5971" i="1"/>
  <c r="A5972" i="1"/>
  <c r="B5972" i="1"/>
  <c r="A5973" i="1"/>
  <c r="B5973" i="1"/>
  <c r="A5974" i="1"/>
  <c r="B5974" i="1"/>
  <c r="A5975" i="1"/>
  <c r="B5975" i="1"/>
  <c r="A5976" i="1"/>
  <c r="B5976" i="1"/>
  <c r="A5977" i="1"/>
  <c r="B5977" i="1"/>
  <c r="A5978" i="1"/>
  <c r="B5978" i="1"/>
  <c r="A5979" i="1"/>
  <c r="B5979" i="1"/>
  <c r="A5980" i="1"/>
  <c r="B5980" i="1"/>
  <c r="A5981" i="1"/>
  <c r="B5981" i="1"/>
  <c r="A5982" i="1"/>
  <c r="B5982" i="1"/>
  <c r="A5983" i="1"/>
  <c r="B5983" i="1"/>
  <c r="A5984" i="1"/>
  <c r="B5984" i="1"/>
  <c r="A5985" i="1"/>
  <c r="B5985" i="1"/>
  <c r="A5986" i="1"/>
  <c r="B5986" i="1"/>
  <c r="A5987" i="1"/>
  <c r="B5987" i="1"/>
  <c r="A5988" i="1"/>
  <c r="B5988" i="1"/>
  <c r="A5989" i="1"/>
  <c r="B5989" i="1"/>
  <c r="A5990" i="1"/>
  <c r="B5990" i="1"/>
  <c r="A5991" i="1"/>
  <c r="B5991" i="1"/>
  <c r="A5992" i="1"/>
  <c r="B5992" i="1"/>
  <c r="A5993" i="1"/>
  <c r="B5993" i="1"/>
  <c r="A5994" i="1"/>
  <c r="B5994" i="1"/>
  <c r="A5995" i="1"/>
  <c r="B5995" i="1"/>
  <c r="A5996" i="1"/>
  <c r="B5996" i="1"/>
  <c r="A5997" i="1"/>
  <c r="B5997" i="1"/>
  <c r="A5998" i="1"/>
  <c r="B5998" i="1"/>
  <c r="A5999" i="1"/>
  <c r="B5999" i="1"/>
  <c r="A6000" i="1"/>
  <c r="B6000" i="1"/>
  <c r="A6001" i="1"/>
  <c r="B6001" i="1"/>
  <c r="A6002" i="1"/>
  <c r="B6002" i="1"/>
  <c r="A6003" i="1"/>
  <c r="B6003" i="1"/>
  <c r="A6004" i="1"/>
  <c r="B6004" i="1"/>
  <c r="A6005" i="1"/>
  <c r="B6005" i="1"/>
  <c r="A6006" i="1"/>
  <c r="B6006" i="1"/>
  <c r="A6007" i="1"/>
  <c r="B6007" i="1"/>
  <c r="A6008" i="1"/>
  <c r="B6008" i="1"/>
  <c r="A6009" i="1"/>
  <c r="B6009" i="1"/>
  <c r="A6010" i="1"/>
  <c r="B6010" i="1"/>
  <c r="A6011" i="1"/>
  <c r="B6011" i="1"/>
  <c r="A6012" i="1"/>
  <c r="B6012" i="1"/>
  <c r="A6013" i="1"/>
  <c r="B6013" i="1"/>
  <c r="A6014" i="1"/>
  <c r="B6014" i="1"/>
  <c r="A6015" i="1"/>
  <c r="B6015" i="1"/>
  <c r="A6016" i="1"/>
  <c r="B6016" i="1"/>
  <c r="A6017" i="1"/>
  <c r="B6017" i="1"/>
  <c r="A6018" i="1"/>
  <c r="B6018" i="1"/>
  <c r="A6019" i="1"/>
  <c r="B6019" i="1"/>
  <c r="A6020" i="1"/>
  <c r="B6020" i="1"/>
  <c r="A6021" i="1"/>
  <c r="B6021" i="1"/>
  <c r="A6022" i="1"/>
  <c r="B6022" i="1"/>
  <c r="A6023" i="1"/>
  <c r="B6023" i="1"/>
  <c r="A6024" i="1"/>
  <c r="B6024" i="1"/>
  <c r="A6025" i="1"/>
  <c r="B6025" i="1"/>
  <c r="A6026" i="1"/>
  <c r="B6026" i="1"/>
  <c r="A6027" i="1"/>
  <c r="B6027" i="1"/>
  <c r="A6028" i="1"/>
  <c r="B6028" i="1"/>
  <c r="A6029" i="1"/>
  <c r="B6029" i="1"/>
  <c r="A6030" i="1"/>
  <c r="B6030" i="1"/>
  <c r="A6031" i="1"/>
  <c r="B6031" i="1"/>
  <c r="A6032" i="1"/>
  <c r="B6032" i="1"/>
  <c r="A6033" i="1"/>
  <c r="B6033" i="1"/>
  <c r="A6034" i="1"/>
  <c r="B6034" i="1"/>
  <c r="A6035" i="1"/>
  <c r="B6035" i="1"/>
  <c r="A6036" i="1"/>
  <c r="B6036" i="1"/>
  <c r="A6037" i="1"/>
  <c r="B6037" i="1"/>
  <c r="A6038" i="1"/>
  <c r="B6038" i="1"/>
  <c r="A6039" i="1"/>
  <c r="B6039" i="1"/>
  <c r="A6040" i="1"/>
  <c r="B6040" i="1"/>
  <c r="A6041" i="1"/>
  <c r="B6041" i="1"/>
  <c r="A6042" i="1"/>
  <c r="B6042" i="1"/>
  <c r="A6043" i="1"/>
  <c r="B6043" i="1"/>
  <c r="A6044" i="1"/>
  <c r="B6044" i="1"/>
  <c r="A6045" i="1"/>
  <c r="B6045" i="1"/>
  <c r="A6046" i="1"/>
  <c r="B6046" i="1"/>
  <c r="A6047" i="1"/>
  <c r="B6047" i="1"/>
  <c r="A6048" i="1"/>
  <c r="B6048" i="1"/>
  <c r="A6049" i="1"/>
  <c r="B6049" i="1"/>
  <c r="A6050" i="1"/>
  <c r="B6050" i="1"/>
  <c r="A6051" i="1"/>
  <c r="B6051" i="1"/>
  <c r="A6052" i="1"/>
  <c r="B6052" i="1"/>
  <c r="A6053" i="1"/>
  <c r="B6053" i="1"/>
  <c r="A6054" i="1"/>
  <c r="B6054" i="1"/>
  <c r="A6055" i="1"/>
  <c r="B6055" i="1"/>
  <c r="A6056" i="1"/>
  <c r="B6056" i="1"/>
  <c r="A6057" i="1"/>
  <c r="B6057" i="1"/>
  <c r="A6058" i="1"/>
  <c r="B6058" i="1"/>
  <c r="A6059" i="1"/>
  <c r="B6059" i="1"/>
  <c r="A6060" i="1"/>
  <c r="B6060" i="1"/>
  <c r="A6061" i="1"/>
  <c r="B6061" i="1"/>
  <c r="A6062" i="1"/>
  <c r="B6062" i="1"/>
  <c r="A6063" i="1"/>
  <c r="B6063" i="1"/>
  <c r="A6064" i="1"/>
  <c r="B6064" i="1"/>
  <c r="A6065" i="1"/>
  <c r="B6065" i="1"/>
  <c r="A6066" i="1"/>
  <c r="B6066" i="1"/>
  <c r="A6067" i="1"/>
  <c r="B6067" i="1"/>
  <c r="A6068" i="1"/>
  <c r="B6068" i="1"/>
  <c r="A6069" i="1"/>
  <c r="B6069" i="1"/>
  <c r="A6070" i="1"/>
  <c r="B6070" i="1"/>
  <c r="A6071" i="1"/>
  <c r="B6071" i="1"/>
  <c r="A6072" i="1"/>
  <c r="B6072" i="1"/>
  <c r="A6073" i="1"/>
  <c r="B6073" i="1"/>
  <c r="A6074" i="1"/>
  <c r="B6074" i="1"/>
  <c r="A6075" i="1"/>
  <c r="B6075" i="1"/>
  <c r="A6076" i="1"/>
  <c r="B6076" i="1"/>
  <c r="A6077" i="1"/>
  <c r="B6077" i="1"/>
  <c r="A6078" i="1"/>
  <c r="B6078" i="1"/>
  <c r="A6079" i="1"/>
  <c r="B6079" i="1"/>
  <c r="A6080" i="1"/>
  <c r="B6080" i="1"/>
  <c r="A6081" i="1"/>
  <c r="B6081" i="1"/>
  <c r="A6082" i="1"/>
  <c r="B6082" i="1"/>
  <c r="A6083" i="1"/>
  <c r="B6083" i="1"/>
  <c r="A6084" i="1"/>
  <c r="B6084" i="1"/>
  <c r="A6085" i="1"/>
  <c r="B6085" i="1"/>
  <c r="A6086" i="1"/>
  <c r="B6086" i="1"/>
  <c r="A6087" i="1"/>
  <c r="B6087" i="1"/>
  <c r="A6088" i="1"/>
  <c r="B6088" i="1"/>
  <c r="A6089" i="1"/>
  <c r="B6089" i="1"/>
  <c r="A6090" i="1"/>
  <c r="B6090" i="1"/>
  <c r="A6091" i="1"/>
  <c r="B6091" i="1"/>
  <c r="A6092" i="1"/>
  <c r="B6092" i="1"/>
  <c r="A6093" i="1"/>
  <c r="B6093" i="1"/>
  <c r="A6094" i="1"/>
  <c r="B6094" i="1"/>
  <c r="A6095" i="1"/>
  <c r="B6095" i="1"/>
  <c r="A6096" i="1"/>
  <c r="B6096" i="1"/>
  <c r="A6097" i="1"/>
  <c r="B6097" i="1"/>
  <c r="A6098" i="1"/>
  <c r="B6098" i="1"/>
  <c r="A6099" i="1"/>
  <c r="B6099" i="1"/>
  <c r="A6100" i="1"/>
  <c r="B6100" i="1"/>
  <c r="A6101" i="1"/>
  <c r="B6101" i="1"/>
  <c r="A6102" i="1"/>
  <c r="B6102" i="1"/>
  <c r="A6103" i="1"/>
  <c r="B6103" i="1"/>
  <c r="A6104" i="1"/>
  <c r="B6104" i="1"/>
  <c r="A6105" i="1"/>
  <c r="B6105" i="1"/>
  <c r="A6106" i="1"/>
  <c r="B6106" i="1"/>
  <c r="A6107" i="1"/>
  <c r="B6107" i="1"/>
  <c r="A6108" i="1"/>
  <c r="B6108" i="1"/>
  <c r="A6109" i="1"/>
  <c r="B6109" i="1"/>
  <c r="A6110" i="1"/>
  <c r="B6110" i="1"/>
  <c r="A6111" i="1"/>
  <c r="B6111" i="1"/>
  <c r="A6112" i="1"/>
  <c r="B6112" i="1"/>
  <c r="A6113" i="1"/>
  <c r="B6113" i="1"/>
  <c r="A6114" i="1"/>
  <c r="B6114" i="1"/>
  <c r="A6115" i="1"/>
  <c r="B6115" i="1"/>
  <c r="A6116" i="1"/>
  <c r="B6116" i="1"/>
  <c r="A6117" i="1"/>
  <c r="B6117" i="1"/>
  <c r="A6118" i="1"/>
  <c r="B6118" i="1"/>
  <c r="A6119" i="1"/>
  <c r="B6119" i="1"/>
  <c r="A6120" i="1"/>
  <c r="B6120" i="1"/>
  <c r="A6121" i="1"/>
  <c r="B6121" i="1"/>
  <c r="A6122" i="1"/>
  <c r="B6122" i="1"/>
  <c r="A6123" i="1"/>
  <c r="B6123" i="1"/>
  <c r="A6124" i="1"/>
  <c r="B6124" i="1"/>
  <c r="A6125" i="1"/>
  <c r="B6125" i="1"/>
  <c r="A6126" i="1"/>
  <c r="B6126" i="1"/>
  <c r="A6127" i="1"/>
  <c r="B6127" i="1"/>
  <c r="A6128" i="1"/>
  <c r="B6128" i="1"/>
  <c r="A6129" i="1"/>
  <c r="B6129" i="1"/>
  <c r="A6130" i="1"/>
  <c r="B6130" i="1"/>
  <c r="A6131" i="1"/>
  <c r="B6131" i="1"/>
  <c r="A6132" i="1"/>
  <c r="B6132" i="1"/>
  <c r="A6133" i="1"/>
  <c r="B6133" i="1"/>
  <c r="A6134" i="1"/>
  <c r="B6134" i="1"/>
  <c r="A6135" i="1"/>
  <c r="B6135" i="1"/>
  <c r="A6136" i="1"/>
  <c r="B6136" i="1"/>
  <c r="A6137" i="1"/>
  <c r="B6137" i="1"/>
  <c r="A6138" i="1"/>
  <c r="B6138" i="1"/>
  <c r="A6139" i="1"/>
  <c r="B6139" i="1"/>
  <c r="A6140" i="1"/>
  <c r="B6140" i="1"/>
  <c r="A6141" i="1"/>
  <c r="B6141" i="1"/>
  <c r="A6142" i="1"/>
  <c r="B6142" i="1"/>
  <c r="A6143" i="1"/>
  <c r="B6143" i="1"/>
  <c r="A6144" i="1"/>
  <c r="B6144" i="1"/>
  <c r="A6145" i="1"/>
  <c r="B6145" i="1"/>
  <c r="A6146" i="1"/>
  <c r="B6146" i="1"/>
  <c r="A6147" i="1"/>
  <c r="B6147" i="1"/>
  <c r="A6148" i="1"/>
  <c r="B6148" i="1"/>
  <c r="A6149" i="1"/>
  <c r="B6149" i="1"/>
  <c r="A6150" i="1"/>
  <c r="B6150" i="1"/>
  <c r="A6151" i="1"/>
  <c r="B6151" i="1"/>
  <c r="A6152" i="1"/>
  <c r="B6152" i="1"/>
  <c r="A6153" i="1"/>
  <c r="B6153" i="1"/>
  <c r="A6154" i="1"/>
  <c r="B6154" i="1"/>
  <c r="A6155" i="1"/>
  <c r="B6155" i="1"/>
  <c r="A6156" i="1"/>
  <c r="B6156" i="1"/>
  <c r="A6157" i="1"/>
  <c r="B6157" i="1"/>
  <c r="A6158" i="1"/>
  <c r="B6158" i="1"/>
  <c r="A6159" i="1"/>
  <c r="B6159" i="1"/>
  <c r="A6160" i="1"/>
  <c r="B6160" i="1"/>
  <c r="A6161" i="1"/>
  <c r="B6161" i="1"/>
  <c r="A6162" i="1"/>
  <c r="B6162" i="1"/>
  <c r="A6163" i="1"/>
  <c r="B6163" i="1"/>
  <c r="A6164" i="1"/>
  <c r="B6164" i="1"/>
  <c r="A6165" i="1"/>
  <c r="B6165" i="1"/>
  <c r="A6166" i="1"/>
  <c r="B6166" i="1"/>
  <c r="A6167" i="1"/>
  <c r="B6167" i="1"/>
  <c r="A6168" i="1"/>
  <c r="B6168" i="1"/>
  <c r="A6169" i="1"/>
  <c r="B6169" i="1"/>
  <c r="A6170" i="1"/>
  <c r="B6170" i="1"/>
  <c r="A6171" i="1"/>
  <c r="B6171" i="1"/>
  <c r="A6172" i="1"/>
  <c r="B6172" i="1"/>
  <c r="A6173" i="1"/>
  <c r="B6173" i="1"/>
  <c r="A6174" i="1"/>
  <c r="B6174" i="1"/>
  <c r="A6175" i="1"/>
  <c r="B6175" i="1"/>
  <c r="A6176" i="1"/>
  <c r="B6176" i="1"/>
  <c r="A6177" i="1"/>
  <c r="B6177" i="1"/>
  <c r="A6178" i="1"/>
  <c r="B6178" i="1"/>
  <c r="A6179" i="1"/>
  <c r="B6179" i="1"/>
  <c r="A6180" i="1"/>
  <c r="B6180" i="1"/>
  <c r="A6181" i="1"/>
  <c r="B6181" i="1"/>
  <c r="A6182" i="1"/>
  <c r="B6182" i="1"/>
  <c r="A6183" i="1"/>
  <c r="B6183" i="1"/>
  <c r="A6184" i="1"/>
  <c r="B6184" i="1"/>
  <c r="A6185" i="1"/>
  <c r="B6185" i="1"/>
  <c r="A6186" i="1"/>
  <c r="B6186" i="1"/>
  <c r="A6187" i="1"/>
  <c r="B6187" i="1"/>
  <c r="A6188" i="1"/>
  <c r="B6188" i="1"/>
  <c r="A6189" i="1"/>
  <c r="B6189" i="1"/>
  <c r="A6190" i="1"/>
  <c r="B6190" i="1"/>
  <c r="A6191" i="1"/>
  <c r="B6191" i="1"/>
  <c r="A6192" i="1"/>
  <c r="B6192" i="1"/>
  <c r="A6193" i="1"/>
  <c r="B6193" i="1"/>
  <c r="A6194" i="1"/>
  <c r="B6194" i="1"/>
  <c r="A6195" i="1"/>
  <c r="B6195" i="1"/>
  <c r="A6196" i="1"/>
  <c r="B6196" i="1"/>
  <c r="A6197" i="1"/>
  <c r="B6197" i="1"/>
  <c r="A6198" i="1"/>
  <c r="B6198" i="1"/>
  <c r="A6199" i="1"/>
  <c r="B6199" i="1"/>
  <c r="A6200" i="1"/>
  <c r="B6200" i="1"/>
  <c r="A6201" i="1"/>
  <c r="B6201" i="1"/>
  <c r="A6202" i="1"/>
  <c r="B6202" i="1"/>
  <c r="A6203" i="1"/>
  <c r="B6203" i="1"/>
  <c r="A6204" i="1"/>
  <c r="B6204" i="1"/>
  <c r="A6205" i="1"/>
  <c r="B6205" i="1"/>
  <c r="A6206" i="1"/>
  <c r="B6206" i="1"/>
  <c r="A6207" i="1"/>
  <c r="B6207" i="1"/>
  <c r="A6208" i="1"/>
  <c r="B6208" i="1"/>
  <c r="A6209" i="1"/>
  <c r="B6209" i="1"/>
  <c r="A6210" i="1"/>
  <c r="B6210" i="1"/>
  <c r="A6211" i="1"/>
  <c r="B6211" i="1"/>
  <c r="A6212" i="1"/>
  <c r="B6212" i="1"/>
  <c r="A6213" i="1"/>
  <c r="B6213" i="1"/>
  <c r="A6214" i="1"/>
  <c r="B6214" i="1"/>
  <c r="A6215" i="1"/>
  <c r="B6215" i="1"/>
  <c r="A6216" i="1"/>
  <c r="B6216" i="1"/>
  <c r="A6217" i="1"/>
  <c r="B6217" i="1"/>
  <c r="A6218" i="1"/>
  <c r="B6218" i="1"/>
  <c r="A6219" i="1"/>
  <c r="B6219" i="1"/>
  <c r="A6220" i="1"/>
  <c r="B6220" i="1"/>
  <c r="A6221" i="1"/>
  <c r="B6221" i="1"/>
  <c r="A6222" i="1"/>
  <c r="B6222" i="1"/>
  <c r="A6223" i="1"/>
  <c r="B6223" i="1"/>
  <c r="A6224" i="1"/>
  <c r="B6224" i="1"/>
  <c r="A6225" i="1"/>
  <c r="B6225" i="1"/>
  <c r="A6226" i="1"/>
  <c r="B6226" i="1"/>
  <c r="A6227" i="1"/>
  <c r="B6227" i="1"/>
  <c r="A6228" i="1"/>
  <c r="B6228" i="1"/>
  <c r="A6229" i="1"/>
  <c r="B6229" i="1"/>
  <c r="A6230" i="1"/>
  <c r="B6230" i="1"/>
  <c r="A6231" i="1"/>
  <c r="B6231" i="1"/>
  <c r="A6232" i="1"/>
  <c r="B6232" i="1"/>
  <c r="A6233" i="1"/>
  <c r="B6233" i="1"/>
  <c r="A6234" i="1"/>
  <c r="B6234" i="1"/>
  <c r="A6235" i="1"/>
  <c r="B6235" i="1"/>
  <c r="A6236" i="1"/>
  <c r="B6236" i="1"/>
  <c r="A6237" i="1"/>
  <c r="B6237" i="1"/>
  <c r="A6238" i="1"/>
  <c r="B6238" i="1"/>
  <c r="A6239" i="1"/>
  <c r="B6239" i="1"/>
  <c r="A6240" i="1"/>
  <c r="B6240" i="1"/>
  <c r="A6241" i="1"/>
  <c r="B6241" i="1"/>
  <c r="A6242" i="1"/>
  <c r="B6242" i="1"/>
  <c r="A6243" i="1"/>
  <c r="B6243" i="1"/>
  <c r="A6244" i="1"/>
  <c r="B6244" i="1"/>
  <c r="A6245" i="1"/>
  <c r="B6245" i="1"/>
  <c r="A6246" i="1"/>
  <c r="B6246" i="1"/>
  <c r="A6247" i="1"/>
  <c r="B6247" i="1"/>
  <c r="A6248" i="1"/>
  <c r="B6248" i="1"/>
  <c r="A6249" i="1"/>
  <c r="B6249" i="1"/>
  <c r="A6250" i="1"/>
  <c r="B6250" i="1"/>
  <c r="A6251" i="1"/>
  <c r="B6251" i="1"/>
  <c r="A6252" i="1"/>
  <c r="B6252" i="1"/>
  <c r="A6253" i="1"/>
  <c r="B6253" i="1"/>
  <c r="A6254" i="1"/>
  <c r="B6254" i="1"/>
  <c r="A6255" i="1"/>
  <c r="B6255" i="1"/>
  <c r="A6256" i="1"/>
  <c r="B6256" i="1"/>
  <c r="A6257" i="1"/>
  <c r="B6257" i="1"/>
  <c r="A6258" i="1"/>
  <c r="B6258" i="1"/>
  <c r="A6259" i="1"/>
  <c r="B6259" i="1"/>
  <c r="A6260" i="1"/>
  <c r="B6260" i="1"/>
  <c r="A6261" i="1"/>
  <c r="B6261" i="1"/>
  <c r="A6262" i="1"/>
  <c r="B6262" i="1"/>
  <c r="A6263" i="1"/>
  <c r="B6263" i="1"/>
  <c r="A6264" i="1"/>
  <c r="B6264" i="1"/>
  <c r="A6265" i="1"/>
  <c r="B6265" i="1"/>
  <c r="A6266" i="1"/>
  <c r="B6266" i="1"/>
  <c r="A6267" i="1"/>
  <c r="B6267" i="1"/>
  <c r="A6268" i="1"/>
  <c r="B6268" i="1"/>
  <c r="A6269" i="1"/>
  <c r="B6269" i="1"/>
  <c r="A6270" i="1"/>
  <c r="B6270" i="1"/>
  <c r="A6271" i="1"/>
  <c r="B6271" i="1"/>
  <c r="A6272" i="1"/>
  <c r="B6272" i="1"/>
  <c r="A6273" i="1"/>
  <c r="B6273" i="1"/>
  <c r="A6274" i="1"/>
  <c r="B6274" i="1"/>
  <c r="A6275" i="1"/>
  <c r="B6275" i="1"/>
  <c r="A6276" i="1"/>
  <c r="B6276" i="1"/>
  <c r="A6277" i="1"/>
  <c r="B6277" i="1"/>
  <c r="A6278" i="1"/>
  <c r="B6278" i="1"/>
  <c r="A6279" i="1"/>
  <c r="B6279" i="1"/>
  <c r="A6280" i="1"/>
  <c r="B6280" i="1"/>
  <c r="A6281" i="1"/>
  <c r="B6281" i="1"/>
  <c r="A6282" i="1"/>
  <c r="B6282" i="1"/>
  <c r="A6283" i="1"/>
  <c r="B6283" i="1"/>
  <c r="A6284" i="1"/>
  <c r="B6284" i="1"/>
  <c r="A6285" i="1"/>
  <c r="B6285" i="1"/>
  <c r="A6286" i="1"/>
  <c r="B6286" i="1"/>
  <c r="A6287" i="1"/>
  <c r="B6287" i="1"/>
  <c r="A6288" i="1"/>
  <c r="B6288" i="1"/>
  <c r="A6289" i="1"/>
  <c r="B6289" i="1"/>
  <c r="A6290" i="1"/>
  <c r="B6290" i="1"/>
  <c r="A6291" i="1"/>
  <c r="B6291" i="1"/>
  <c r="A6292" i="1"/>
  <c r="B6292" i="1"/>
  <c r="A6293" i="1"/>
  <c r="B6293" i="1"/>
  <c r="A6294" i="1"/>
  <c r="B6294" i="1"/>
  <c r="A6295" i="1"/>
  <c r="B6295" i="1"/>
  <c r="A6296" i="1"/>
  <c r="B6296" i="1"/>
  <c r="A6297" i="1"/>
  <c r="B6297" i="1"/>
  <c r="A6298" i="1"/>
  <c r="B6298" i="1"/>
  <c r="A6299" i="1"/>
  <c r="B6299" i="1"/>
  <c r="A6300" i="1"/>
  <c r="B6300" i="1"/>
  <c r="A6301" i="1"/>
  <c r="B6301" i="1"/>
  <c r="A6302" i="1"/>
  <c r="B6302" i="1"/>
  <c r="A6303" i="1"/>
  <c r="B6303" i="1"/>
  <c r="A6304" i="1"/>
  <c r="B6304" i="1"/>
  <c r="A6305" i="1"/>
  <c r="B6305" i="1"/>
  <c r="A6306" i="1"/>
  <c r="B6306" i="1"/>
  <c r="A6307" i="1"/>
  <c r="B6307" i="1"/>
  <c r="A6308" i="1"/>
  <c r="B6308" i="1"/>
  <c r="A6309" i="1"/>
  <c r="B6309" i="1"/>
  <c r="A6310" i="1"/>
  <c r="B6310" i="1"/>
  <c r="A6311" i="1"/>
  <c r="B6311" i="1"/>
  <c r="A6312" i="1"/>
  <c r="B6312" i="1"/>
  <c r="A6313" i="1"/>
  <c r="B6313" i="1"/>
  <c r="A6314" i="1"/>
  <c r="B6314" i="1"/>
  <c r="A6315" i="1"/>
  <c r="B6315" i="1"/>
  <c r="A6316" i="1"/>
  <c r="B6316" i="1"/>
  <c r="A6317" i="1"/>
  <c r="B6317" i="1"/>
  <c r="A6318" i="1"/>
  <c r="B6318" i="1"/>
  <c r="A6319" i="1"/>
  <c r="B6319" i="1"/>
  <c r="A6320" i="1"/>
  <c r="B6320" i="1"/>
  <c r="A6321" i="1"/>
  <c r="B6321" i="1"/>
  <c r="A6322" i="1"/>
  <c r="B6322" i="1"/>
  <c r="A6323" i="1"/>
  <c r="B6323" i="1"/>
  <c r="A6324" i="1"/>
  <c r="B6324" i="1"/>
  <c r="A6325" i="1"/>
  <c r="B6325" i="1"/>
  <c r="A6326" i="1"/>
  <c r="B6326" i="1"/>
  <c r="A6327" i="1"/>
  <c r="B6327" i="1"/>
  <c r="A6328" i="1"/>
  <c r="B6328" i="1"/>
  <c r="A6329" i="1"/>
  <c r="B6329" i="1"/>
  <c r="A6330" i="1"/>
  <c r="B6330" i="1"/>
  <c r="A6331" i="1"/>
  <c r="B6331" i="1"/>
  <c r="A6332" i="1"/>
  <c r="B6332" i="1"/>
  <c r="A6333" i="1"/>
  <c r="B6333" i="1"/>
  <c r="A6334" i="1"/>
  <c r="B6334" i="1"/>
  <c r="A6335" i="1"/>
  <c r="B6335" i="1"/>
  <c r="A6336" i="1"/>
  <c r="B6336" i="1"/>
  <c r="A6337" i="1"/>
  <c r="B6337" i="1"/>
  <c r="A6338" i="1"/>
  <c r="B6338" i="1"/>
  <c r="A6339" i="1"/>
  <c r="B6339" i="1"/>
  <c r="A6340" i="1"/>
  <c r="B6340" i="1"/>
  <c r="A6341" i="1"/>
  <c r="B6341" i="1"/>
  <c r="A6342" i="1"/>
  <c r="B6342" i="1"/>
  <c r="A6343" i="1"/>
  <c r="B6343" i="1"/>
  <c r="A6344" i="1"/>
  <c r="B6344" i="1"/>
  <c r="A6345" i="1"/>
  <c r="B6345" i="1"/>
  <c r="A6346" i="1"/>
  <c r="B6346" i="1"/>
  <c r="A6347" i="1"/>
  <c r="B6347" i="1"/>
  <c r="A6348" i="1"/>
  <c r="B6348" i="1"/>
  <c r="A6349" i="1"/>
  <c r="B6349" i="1"/>
  <c r="A6350" i="1"/>
  <c r="B6350" i="1"/>
  <c r="A6351" i="1"/>
  <c r="B6351" i="1"/>
  <c r="A6352" i="1"/>
  <c r="B6352" i="1"/>
  <c r="A6353" i="1"/>
  <c r="B6353" i="1"/>
  <c r="A6354" i="1"/>
  <c r="B6354" i="1"/>
  <c r="A6355" i="1"/>
  <c r="B6355" i="1"/>
  <c r="A6356" i="1"/>
  <c r="B6356" i="1"/>
  <c r="A6357" i="1"/>
  <c r="B6357" i="1"/>
  <c r="A6358" i="1"/>
  <c r="B6358" i="1"/>
  <c r="A6359" i="1"/>
  <c r="B6359" i="1"/>
  <c r="A6360" i="1"/>
  <c r="B6360" i="1"/>
  <c r="A6361" i="1"/>
  <c r="B6361" i="1"/>
  <c r="A6362" i="1"/>
  <c r="B6362" i="1"/>
  <c r="A6363" i="1"/>
  <c r="B6363" i="1"/>
  <c r="A6364" i="1"/>
  <c r="B6364" i="1"/>
  <c r="A6365" i="1"/>
  <c r="B6365" i="1"/>
  <c r="A6366" i="1"/>
  <c r="B6366" i="1"/>
  <c r="A6367" i="1"/>
  <c r="B6367" i="1"/>
  <c r="A6368" i="1"/>
  <c r="B6368" i="1"/>
  <c r="A6369" i="1"/>
  <c r="B6369" i="1"/>
  <c r="A6370" i="1"/>
  <c r="B6370" i="1"/>
  <c r="A6371" i="1"/>
  <c r="B6371" i="1"/>
  <c r="A6372" i="1"/>
  <c r="B6372" i="1"/>
  <c r="A6373" i="1"/>
  <c r="B6373" i="1"/>
  <c r="A6374" i="1"/>
  <c r="B6374" i="1"/>
  <c r="A6375" i="1"/>
  <c r="B6375" i="1"/>
  <c r="A6376" i="1"/>
  <c r="B6376" i="1"/>
  <c r="A6377" i="1"/>
  <c r="B6377" i="1"/>
  <c r="A6378" i="1"/>
  <c r="B6378" i="1"/>
  <c r="A6379" i="1"/>
  <c r="B6379" i="1"/>
  <c r="A6380" i="1"/>
  <c r="B6380" i="1"/>
  <c r="A6381" i="1"/>
  <c r="B6381" i="1"/>
  <c r="A6382" i="1"/>
  <c r="B6382" i="1"/>
  <c r="A6383" i="1"/>
  <c r="B6383" i="1"/>
  <c r="A6384" i="1"/>
  <c r="B6384" i="1"/>
  <c r="A6385" i="1"/>
  <c r="B6385" i="1"/>
  <c r="A6386" i="1"/>
  <c r="B6386" i="1"/>
  <c r="A6387" i="1"/>
  <c r="B6387" i="1"/>
  <c r="A6388" i="1"/>
  <c r="B6388" i="1"/>
  <c r="A6389" i="1"/>
  <c r="B6389" i="1"/>
  <c r="A6390" i="1"/>
  <c r="B6390" i="1"/>
  <c r="A6391" i="1"/>
  <c r="B6391" i="1"/>
  <c r="A6392" i="1"/>
  <c r="B6392" i="1"/>
  <c r="A6393" i="1"/>
  <c r="B6393" i="1"/>
  <c r="A6394" i="1"/>
  <c r="B6394" i="1"/>
  <c r="A6395" i="1"/>
  <c r="B6395" i="1"/>
  <c r="A6396" i="1"/>
  <c r="B6396" i="1"/>
  <c r="A6397" i="1"/>
  <c r="B6397" i="1"/>
  <c r="A6398" i="1"/>
  <c r="B6398" i="1"/>
  <c r="A6399" i="1"/>
  <c r="B6399" i="1"/>
  <c r="A6400" i="1"/>
  <c r="B6400" i="1"/>
  <c r="A6401" i="1"/>
  <c r="B6401" i="1"/>
  <c r="A6402" i="1"/>
  <c r="B6402" i="1"/>
  <c r="A6403" i="1"/>
  <c r="B6403" i="1"/>
  <c r="A6404" i="1"/>
  <c r="B6404" i="1"/>
  <c r="A6405" i="1"/>
  <c r="B6405" i="1"/>
  <c r="A6406" i="1"/>
  <c r="B6406" i="1"/>
  <c r="A6407" i="1"/>
  <c r="B6407" i="1"/>
  <c r="A6408" i="1"/>
  <c r="B6408" i="1"/>
  <c r="A6409" i="1"/>
  <c r="B6409" i="1"/>
  <c r="A6410" i="1"/>
  <c r="B6410" i="1"/>
  <c r="A6411" i="1"/>
  <c r="B6411" i="1"/>
  <c r="A6412" i="1"/>
  <c r="B6412" i="1"/>
  <c r="A6413" i="1"/>
  <c r="B6413" i="1"/>
  <c r="A6414" i="1"/>
  <c r="B6414" i="1"/>
  <c r="A6415" i="1"/>
  <c r="B6415" i="1"/>
  <c r="A6416" i="1"/>
  <c r="B6416" i="1"/>
  <c r="A6417" i="1"/>
  <c r="B6417" i="1"/>
  <c r="A6418" i="1"/>
  <c r="B6418" i="1"/>
  <c r="A6419" i="1"/>
  <c r="B6419" i="1"/>
  <c r="A6420" i="1"/>
  <c r="B6420" i="1"/>
  <c r="A6421" i="1"/>
  <c r="B6421" i="1"/>
  <c r="A6422" i="1"/>
  <c r="B6422" i="1"/>
  <c r="A6423" i="1"/>
  <c r="B6423" i="1"/>
  <c r="A6424" i="1"/>
  <c r="B6424" i="1"/>
  <c r="A6425" i="1"/>
  <c r="B6425" i="1"/>
  <c r="A6426" i="1"/>
  <c r="B6426" i="1"/>
  <c r="A6427" i="1"/>
  <c r="B6427" i="1"/>
  <c r="A6428" i="1"/>
  <c r="B6428" i="1"/>
  <c r="A6429" i="1"/>
  <c r="B6429" i="1"/>
  <c r="A6430" i="1"/>
  <c r="B6430" i="1"/>
  <c r="A6431" i="1"/>
  <c r="B6431" i="1"/>
  <c r="A6432" i="1"/>
  <c r="B6432" i="1"/>
  <c r="A6433" i="1"/>
  <c r="B6433" i="1"/>
  <c r="A6434" i="1"/>
  <c r="B6434" i="1"/>
  <c r="A6435" i="1"/>
  <c r="B6435" i="1"/>
  <c r="A6436" i="1"/>
  <c r="B6436" i="1"/>
  <c r="A6437" i="1"/>
  <c r="B6437" i="1"/>
  <c r="A6438" i="1"/>
  <c r="B6438" i="1"/>
  <c r="A6439" i="1"/>
  <c r="B6439" i="1"/>
  <c r="A6440" i="1"/>
  <c r="B6440" i="1"/>
  <c r="A6441" i="1"/>
  <c r="B6441" i="1"/>
  <c r="A6442" i="1"/>
  <c r="B6442" i="1"/>
  <c r="A6443" i="1"/>
  <c r="B6443" i="1"/>
  <c r="A6444" i="1"/>
  <c r="B6444" i="1"/>
  <c r="A6445" i="1"/>
  <c r="B6445" i="1"/>
  <c r="A6446" i="1"/>
  <c r="B6446" i="1"/>
  <c r="A6447" i="1"/>
  <c r="B6447" i="1"/>
  <c r="A6448" i="1"/>
  <c r="B6448" i="1"/>
  <c r="A6449" i="1"/>
  <c r="B6449" i="1"/>
  <c r="A6450" i="1"/>
  <c r="B6450" i="1"/>
  <c r="A6451" i="1"/>
  <c r="B6451" i="1"/>
  <c r="A6452" i="1"/>
  <c r="B6452" i="1"/>
  <c r="A6453" i="1"/>
  <c r="B6453" i="1"/>
  <c r="A6454" i="1"/>
  <c r="B6454" i="1"/>
  <c r="A6455" i="1"/>
  <c r="B6455" i="1"/>
  <c r="A6456" i="1"/>
  <c r="B6456" i="1"/>
  <c r="A6457" i="1"/>
  <c r="B6457" i="1"/>
  <c r="A6458" i="1"/>
  <c r="B6458" i="1"/>
  <c r="A6459" i="1"/>
  <c r="B6459" i="1"/>
  <c r="A6460" i="1"/>
  <c r="B6460" i="1"/>
  <c r="A6461" i="1"/>
  <c r="B6461" i="1"/>
  <c r="A6462" i="1"/>
  <c r="B6462" i="1"/>
  <c r="A6463" i="1"/>
  <c r="B6463" i="1"/>
  <c r="A6464" i="1"/>
  <c r="B6464" i="1"/>
  <c r="A6465" i="1"/>
  <c r="B6465" i="1"/>
  <c r="A6466" i="1"/>
  <c r="B6466" i="1"/>
  <c r="A6467" i="1"/>
  <c r="B6467" i="1"/>
  <c r="A6468" i="1"/>
  <c r="B6468" i="1"/>
  <c r="A6469" i="1"/>
  <c r="B6469" i="1"/>
  <c r="A6470" i="1"/>
  <c r="B6470" i="1"/>
  <c r="A6471" i="1"/>
  <c r="B6471" i="1"/>
  <c r="A6472" i="1"/>
  <c r="B6472" i="1"/>
  <c r="A6473" i="1"/>
  <c r="B6473" i="1"/>
  <c r="A6474" i="1"/>
  <c r="B6474" i="1"/>
  <c r="A6475" i="1"/>
  <c r="B6475" i="1"/>
  <c r="A6476" i="1"/>
  <c r="B6476" i="1"/>
  <c r="A6477" i="1"/>
  <c r="B6477" i="1"/>
  <c r="A6478" i="1"/>
  <c r="B6478" i="1"/>
  <c r="A6479" i="1"/>
  <c r="B6479" i="1"/>
  <c r="A6480" i="1"/>
  <c r="B6480" i="1"/>
  <c r="A6481" i="1"/>
  <c r="B6481" i="1"/>
  <c r="A6482" i="1"/>
  <c r="B6482" i="1"/>
  <c r="A6483" i="1"/>
  <c r="B6483" i="1"/>
  <c r="A6484" i="1"/>
  <c r="B6484" i="1"/>
  <c r="A6485" i="1"/>
  <c r="B6485" i="1"/>
  <c r="A6486" i="1"/>
  <c r="B6486" i="1"/>
  <c r="A6487" i="1"/>
  <c r="B6487" i="1"/>
  <c r="A6488" i="1"/>
  <c r="B6488" i="1"/>
  <c r="A6489" i="1"/>
  <c r="B6489" i="1"/>
  <c r="A6490" i="1"/>
  <c r="B6490" i="1"/>
  <c r="A6491" i="1"/>
  <c r="B6491" i="1"/>
  <c r="A6492" i="1"/>
  <c r="B6492" i="1"/>
  <c r="A6493" i="1"/>
  <c r="B6493" i="1"/>
  <c r="A6494" i="1"/>
  <c r="B6494" i="1"/>
  <c r="A6495" i="1"/>
  <c r="B6495" i="1"/>
  <c r="A6496" i="1"/>
  <c r="B6496" i="1"/>
  <c r="A6497" i="1"/>
  <c r="B6497" i="1"/>
  <c r="A6498" i="1"/>
  <c r="B6498" i="1"/>
  <c r="A6499" i="1"/>
  <c r="B6499" i="1"/>
  <c r="A6500" i="1"/>
  <c r="B6500" i="1"/>
  <c r="A6501" i="1"/>
  <c r="B6501" i="1"/>
  <c r="A6502" i="1"/>
  <c r="B6502" i="1"/>
  <c r="A6503" i="1"/>
  <c r="B6503" i="1"/>
  <c r="A6504" i="1"/>
  <c r="B6504" i="1"/>
  <c r="A6505" i="1"/>
  <c r="B6505" i="1"/>
  <c r="A6506" i="1"/>
  <c r="B6506" i="1"/>
  <c r="A6507" i="1"/>
  <c r="B6507" i="1"/>
  <c r="A6508" i="1"/>
  <c r="B6508" i="1"/>
  <c r="A6509" i="1"/>
  <c r="B6509" i="1"/>
  <c r="A6510" i="1"/>
  <c r="B6510" i="1"/>
  <c r="A6511" i="1"/>
  <c r="B6511" i="1"/>
  <c r="A6512" i="1"/>
  <c r="B6512" i="1"/>
  <c r="A6513" i="1"/>
  <c r="B6513" i="1"/>
  <c r="A6514" i="1"/>
  <c r="B6514" i="1"/>
  <c r="A6515" i="1"/>
  <c r="B6515" i="1"/>
  <c r="A6516" i="1"/>
  <c r="B6516" i="1"/>
  <c r="A6517" i="1"/>
  <c r="B6517" i="1"/>
  <c r="A6518" i="1"/>
  <c r="B6518" i="1"/>
  <c r="A6519" i="1"/>
  <c r="B6519" i="1"/>
  <c r="A6520" i="1"/>
  <c r="B6520" i="1"/>
  <c r="A6521" i="1"/>
  <c r="B6521" i="1"/>
  <c r="A6522" i="1"/>
  <c r="B6522" i="1"/>
  <c r="A6523" i="1"/>
  <c r="B6523" i="1"/>
  <c r="A6524" i="1"/>
  <c r="B6524" i="1"/>
  <c r="A6525" i="1"/>
  <c r="B6525" i="1"/>
  <c r="A6526" i="1"/>
  <c r="B6526" i="1"/>
  <c r="A6527" i="1"/>
  <c r="B6527" i="1"/>
  <c r="A6528" i="1"/>
  <c r="B6528" i="1"/>
  <c r="A6529" i="1"/>
  <c r="B6529" i="1"/>
  <c r="A6530" i="1"/>
  <c r="B6530" i="1"/>
  <c r="A6531" i="1"/>
  <c r="B6531" i="1"/>
  <c r="A6532" i="1"/>
  <c r="B6532" i="1"/>
  <c r="A6533" i="1"/>
  <c r="B6533" i="1"/>
  <c r="A6534" i="1"/>
  <c r="B6534" i="1"/>
  <c r="A6535" i="1"/>
  <c r="B6535" i="1"/>
  <c r="A6536" i="1"/>
  <c r="B6536" i="1"/>
  <c r="A6537" i="1"/>
  <c r="B6537" i="1"/>
  <c r="A6538" i="1"/>
  <c r="B6538" i="1"/>
  <c r="A6539" i="1"/>
  <c r="B6539" i="1"/>
  <c r="A6540" i="1"/>
  <c r="B6540" i="1"/>
  <c r="A6541" i="1"/>
  <c r="B6541" i="1"/>
  <c r="A6542" i="1"/>
  <c r="B6542" i="1"/>
  <c r="A6543" i="1"/>
  <c r="B6543" i="1"/>
  <c r="A6544" i="1"/>
  <c r="B6544" i="1"/>
  <c r="A6545" i="1"/>
  <c r="B6545" i="1"/>
  <c r="A6546" i="1"/>
  <c r="B6546" i="1"/>
  <c r="A6547" i="1"/>
  <c r="B6547" i="1"/>
  <c r="A6548" i="1"/>
  <c r="B6548" i="1"/>
  <c r="A6549" i="1"/>
  <c r="B6549" i="1"/>
  <c r="A6550" i="1"/>
  <c r="B6550" i="1"/>
  <c r="A6551" i="1"/>
  <c r="B6551" i="1"/>
  <c r="A6552" i="1"/>
  <c r="B6552" i="1"/>
  <c r="A6553" i="1"/>
  <c r="B6553" i="1"/>
  <c r="A6554" i="1"/>
  <c r="B6554" i="1"/>
  <c r="A6555" i="1"/>
  <c r="B6555" i="1"/>
  <c r="A6556" i="1"/>
  <c r="B6556" i="1"/>
  <c r="A6557" i="1"/>
  <c r="B6557" i="1"/>
  <c r="A6558" i="1"/>
  <c r="B6558" i="1"/>
  <c r="A6559" i="1"/>
  <c r="B6559" i="1"/>
  <c r="A6560" i="1"/>
  <c r="B6560" i="1"/>
  <c r="A6561" i="1"/>
  <c r="B6561" i="1"/>
  <c r="A6562" i="1"/>
  <c r="B6562" i="1"/>
  <c r="A6563" i="1"/>
  <c r="B6563" i="1"/>
  <c r="A6564" i="1"/>
  <c r="B6564" i="1"/>
  <c r="A6565" i="1"/>
  <c r="B6565" i="1"/>
  <c r="A6566" i="1"/>
  <c r="B6566" i="1"/>
  <c r="A6567" i="1"/>
  <c r="B6567" i="1"/>
  <c r="A6568" i="1"/>
  <c r="B6568" i="1"/>
  <c r="A6569" i="1"/>
  <c r="B6569" i="1"/>
  <c r="A6570" i="1"/>
  <c r="B6570" i="1"/>
  <c r="A6571" i="1"/>
  <c r="B6571" i="1"/>
  <c r="A6572" i="1"/>
  <c r="B6572" i="1"/>
  <c r="A6573" i="1"/>
  <c r="B6573" i="1"/>
  <c r="A6574" i="1"/>
  <c r="B6574" i="1"/>
  <c r="A6575" i="1"/>
  <c r="B6575" i="1"/>
  <c r="A6576" i="1"/>
  <c r="B6576" i="1"/>
  <c r="A6577" i="1"/>
  <c r="B6577" i="1"/>
  <c r="A6578" i="1"/>
  <c r="B6578" i="1"/>
  <c r="A6579" i="1"/>
  <c r="B6579" i="1"/>
  <c r="A6580" i="1"/>
  <c r="B6580" i="1"/>
  <c r="A6581" i="1"/>
  <c r="B6581" i="1"/>
  <c r="A6582" i="1"/>
  <c r="B6582" i="1"/>
  <c r="A6583" i="1"/>
  <c r="B6583" i="1"/>
  <c r="A6584" i="1"/>
  <c r="B6584" i="1"/>
  <c r="A6585" i="1"/>
  <c r="B6585" i="1"/>
  <c r="A6586" i="1"/>
  <c r="B6586" i="1"/>
  <c r="A6587" i="1"/>
  <c r="B6587" i="1"/>
  <c r="A6588" i="1"/>
  <c r="B6588" i="1"/>
  <c r="A6589" i="1"/>
  <c r="B6589" i="1"/>
  <c r="A6590" i="1"/>
  <c r="B6590" i="1"/>
  <c r="A6591" i="1"/>
  <c r="B6591" i="1"/>
  <c r="A6592" i="1"/>
  <c r="B6592" i="1"/>
  <c r="A6593" i="1"/>
  <c r="B6593" i="1"/>
  <c r="A6594" i="1"/>
  <c r="B6594" i="1"/>
  <c r="A6595" i="1"/>
  <c r="B6595" i="1"/>
  <c r="A6596" i="1"/>
  <c r="B6596" i="1"/>
  <c r="A6597" i="1"/>
  <c r="B6597" i="1"/>
  <c r="A6598" i="1"/>
  <c r="B6598" i="1"/>
  <c r="A6599" i="1"/>
  <c r="B6599" i="1"/>
  <c r="A6600" i="1"/>
  <c r="B6600" i="1"/>
  <c r="A6601" i="1"/>
  <c r="B6601" i="1"/>
  <c r="A6602" i="1"/>
  <c r="B6602" i="1"/>
  <c r="A6603" i="1"/>
  <c r="B6603" i="1"/>
  <c r="A6604" i="1"/>
  <c r="B6604" i="1"/>
  <c r="A6605" i="1"/>
  <c r="B6605" i="1"/>
  <c r="A6606" i="1"/>
  <c r="B6606" i="1"/>
  <c r="A6607" i="1"/>
  <c r="B6607" i="1"/>
  <c r="A6608" i="1"/>
  <c r="B6608" i="1"/>
  <c r="A6609" i="1"/>
  <c r="B6609" i="1"/>
  <c r="A6610" i="1"/>
  <c r="B6610" i="1"/>
  <c r="A6611" i="1"/>
  <c r="B6611" i="1"/>
  <c r="A6612" i="1"/>
  <c r="B6612" i="1"/>
  <c r="A6613" i="1"/>
  <c r="B6613" i="1"/>
  <c r="A6614" i="1"/>
  <c r="B6614" i="1"/>
  <c r="A6615" i="1"/>
  <c r="B6615" i="1"/>
  <c r="A6616" i="1"/>
  <c r="B6616" i="1"/>
  <c r="A6617" i="1"/>
  <c r="B6617" i="1"/>
  <c r="A6618" i="1"/>
  <c r="B6618" i="1"/>
  <c r="A6619" i="1"/>
  <c r="B6619" i="1"/>
  <c r="A6620" i="1"/>
  <c r="B6620" i="1"/>
  <c r="A6621" i="1"/>
  <c r="B6621" i="1"/>
  <c r="A6622" i="1"/>
  <c r="B6622" i="1"/>
  <c r="A6623" i="1"/>
  <c r="B6623" i="1"/>
  <c r="A6624" i="1"/>
  <c r="B6624" i="1"/>
  <c r="A6625" i="1"/>
  <c r="B6625" i="1"/>
  <c r="A6626" i="1"/>
  <c r="B6626" i="1"/>
  <c r="A6627" i="1"/>
  <c r="B6627" i="1"/>
  <c r="A6628" i="1"/>
  <c r="B6628" i="1"/>
  <c r="A6629" i="1"/>
  <c r="B6629" i="1"/>
  <c r="A6630" i="1"/>
  <c r="B6630" i="1"/>
  <c r="A6631" i="1"/>
  <c r="B6631" i="1"/>
  <c r="A6632" i="1"/>
  <c r="B6632" i="1"/>
  <c r="A6633" i="1"/>
  <c r="B6633" i="1"/>
  <c r="A6634" i="1"/>
  <c r="B6634" i="1"/>
  <c r="A6635" i="1"/>
  <c r="B6635" i="1"/>
  <c r="A6636" i="1"/>
  <c r="B6636" i="1"/>
  <c r="A6637" i="1"/>
  <c r="B6637" i="1"/>
  <c r="A6638" i="1"/>
  <c r="B6638" i="1"/>
  <c r="A6639" i="1"/>
  <c r="B6639" i="1"/>
  <c r="A6640" i="1"/>
  <c r="B6640" i="1"/>
  <c r="A6641" i="1"/>
  <c r="B6641" i="1"/>
  <c r="A6642" i="1"/>
  <c r="B6642" i="1"/>
  <c r="A6643" i="1"/>
  <c r="B6643" i="1"/>
  <c r="A6644" i="1"/>
  <c r="B6644" i="1"/>
  <c r="A6645" i="1"/>
  <c r="B6645" i="1"/>
  <c r="A6646" i="1"/>
  <c r="B6646" i="1"/>
  <c r="A6647" i="1"/>
  <c r="B6647" i="1"/>
  <c r="A6648" i="1"/>
  <c r="B6648" i="1"/>
  <c r="A6649" i="1"/>
  <c r="B6649" i="1"/>
  <c r="A6650" i="1"/>
  <c r="B6650" i="1"/>
  <c r="A6651" i="1"/>
  <c r="B6651" i="1"/>
  <c r="A6652" i="1"/>
  <c r="B6652" i="1"/>
  <c r="A6653" i="1"/>
  <c r="B6653" i="1"/>
  <c r="A6654" i="1"/>
  <c r="B6654" i="1"/>
  <c r="A6655" i="1"/>
  <c r="B6655" i="1"/>
  <c r="A6656" i="1"/>
  <c r="B6656" i="1"/>
  <c r="A6657" i="1"/>
  <c r="B6657" i="1"/>
  <c r="A6658" i="1"/>
  <c r="B6658" i="1"/>
  <c r="A6659" i="1"/>
  <c r="B6659" i="1"/>
  <c r="A6660" i="1"/>
  <c r="B6660" i="1"/>
  <c r="A6661" i="1"/>
  <c r="B6661" i="1"/>
  <c r="A6662" i="1"/>
  <c r="B6662" i="1"/>
  <c r="A6663" i="1"/>
  <c r="B6663" i="1"/>
  <c r="A6664" i="1"/>
  <c r="B6664" i="1"/>
  <c r="A6665" i="1"/>
  <c r="B6665" i="1"/>
  <c r="A6666" i="1"/>
  <c r="B6666" i="1"/>
  <c r="A6667" i="1"/>
  <c r="B6667" i="1"/>
  <c r="A6668" i="1"/>
  <c r="B6668" i="1"/>
  <c r="A6669" i="1"/>
  <c r="B6669" i="1"/>
  <c r="A6670" i="1"/>
  <c r="B6670" i="1"/>
  <c r="A6671" i="1"/>
  <c r="B6671" i="1"/>
  <c r="A6672" i="1"/>
  <c r="B6672" i="1"/>
  <c r="A6673" i="1"/>
  <c r="B6673" i="1"/>
  <c r="A6674" i="1"/>
  <c r="B6674" i="1"/>
  <c r="A6675" i="1"/>
  <c r="B6675" i="1"/>
  <c r="A6676" i="1"/>
  <c r="B6676" i="1"/>
  <c r="A6677" i="1"/>
  <c r="B6677" i="1"/>
  <c r="A6678" i="1"/>
  <c r="B6678" i="1"/>
  <c r="A6679" i="1"/>
  <c r="B6679" i="1"/>
  <c r="A6680" i="1"/>
  <c r="B6680" i="1"/>
  <c r="A6681" i="1"/>
  <c r="B6681" i="1"/>
  <c r="A6682" i="1"/>
  <c r="B6682" i="1"/>
  <c r="A6683" i="1"/>
  <c r="B6683" i="1"/>
  <c r="A6684" i="1"/>
  <c r="B6684" i="1"/>
  <c r="A6685" i="1"/>
  <c r="B6685" i="1"/>
  <c r="A6686" i="1"/>
  <c r="B6686" i="1"/>
  <c r="A6687" i="1"/>
  <c r="B6687" i="1"/>
  <c r="A6688" i="1"/>
  <c r="B6688" i="1"/>
  <c r="A6689" i="1"/>
  <c r="B6689" i="1"/>
  <c r="A6690" i="1"/>
  <c r="B6690" i="1"/>
  <c r="A6691" i="1"/>
  <c r="B6691" i="1"/>
  <c r="A6692" i="1"/>
  <c r="B6692" i="1"/>
  <c r="A6693" i="1"/>
  <c r="B6693" i="1"/>
  <c r="A6694" i="1"/>
  <c r="B6694" i="1"/>
  <c r="A6695" i="1"/>
  <c r="B6695" i="1"/>
  <c r="A6696" i="1"/>
  <c r="B6696" i="1"/>
  <c r="A6697" i="1"/>
  <c r="B6697" i="1"/>
  <c r="A6698" i="1"/>
  <c r="B6698" i="1"/>
  <c r="A6699" i="1"/>
  <c r="B6699" i="1"/>
  <c r="A6700" i="1"/>
  <c r="B6700" i="1"/>
  <c r="A6701" i="1"/>
  <c r="B6701" i="1"/>
  <c r="A6702" i="1"/>
  <c r="B6702" i="1"/>
  <c r="A6703" i="1"/>
  <c r="B6703" i="1"/>
  <c r="A6704" i="1"/>
  <c r="B6704" i="1"/>
  <c r="A6705" i="1"/>
  <c r="B6705" i="1"/>
  <c r="A6706" i="1"/>
  <c r="B6706" i="1"/>
  <c r="A6707" i="1"/>
  <c r="B6707" i="1"/>
  <c r="A6708" i="1"/>
  <c r="B6708" i="1"/>
  <c r="A6709" i="1"/>
  <c r="B6709" i="1"/>
  <c r="A6710" i="1"/>
  <c r="B6710" i="1"/>
  <c r="A6711" i="1"/>
  <c r="B6711" i="1"/>
  <c r="A6712" i="1"/>
  <c r="B6712" i="1"/>
  <c r="A6713" i="1"/>
  <c r="B6713" i="1"/>
  <c r="A6714" i="1"/>
  <c r="B6714" i="1"/>
  <c r="A6715" i="1"/>
  <c r="B6715" i="1"/>
  <c r="A6716" i="1"/>
  <c r="B6716" i="1"/>
  <c r="A6717" i="1"/>
  <c r="B6717" i="1"/>
  <c r="A6718" i="1"/>
  <c r="B6718" i="1"/>
  <c r="A6719" i="1"/>
  <c r="B6719" i="1"/>
  <c r="A6720" i="1"/>
  <c r="B6720" i="1"/>
  <c r="A6721" i="1"/>
  <c r="B6721" i="1"/>
  <c r="A6722" i="1"/>
  <c r="B6722" i="1"/>
  <c r="A6723" i="1"/>
  <c r="B6723" i="1"/>
  <c r="A6724" i="1"/>
  <c r="B6724" i="1"/>
  <c r="A6725" i="1"/>
  <c r="B6725" i="1"/>
  <c r="A6726" i="1"/>
  <c r="B6726" i="1"/>
  <c r="A6727" i="1"/>
  <c r="B6727" i="1"/>
  <c r="A6728" i="1"/>
  <c r="B6728" i="1"/>
  <c r="A6729" i="1"/>
  <c r="B6729" i="1"/>
  <c r="A6730" i="1"/>
  <c r="B6730" i="1"/>
  <c r="A6731" i="1"/>
  <c r="B6731" i="1"/>
  <c r="A6732" i="1"/>
  <c r="B6732" i="1"/>
  <c r="A6733" i="1"/>
  <c r="B6733" i="1"/>
  <c r="A6734" i="1"/>
  <c r="B6734" i="1"/>
  <c r="A6735" i="1"/>
  <c r="B6735" i="1"/>
  <c r="A6736" i="1"/>
  <c r="B6736" i="1"/>
  <c r="A6737" i="1"/>
  <c r="B6737" i="1"/>
  <c r="A6738" i="1"/>
  <c r="B6738" i="1"/>
  <c r="A6739" i="1"/>
  <c r="B6739" i="1"/>
  <c r="A6740" i="1"/>
  <c r="B6740" i="1"/>
  <c r="A6741" i="1"/>
  <c r="B6741" i="1"/>
  <c r="A6742" i="1"/>
  <c r="B6742" i="1"/>
  <c r="A6743" i="1"/>
  <c r="B6743" i="1"/>
  <c r="A6744" i="1"/>
  <c r="B6744" i="1"/>
  <c r="A6745" i="1"/>
  <c r="B6745" i="1"/>
  <c r="A6746" i="1"/>
  <c r="B6746" i="1"/>
  <c r="A6747" i="1"/>
  <c r="B6747" i="1"/>
  <c r="A6748" i="1"/>
  <c r="B6748" i="1"/>
  <c r="A6749" i="1"/>
  <c r="B6749" i="1"/>
  <c r="A6750" i="1"/>
  <c r="B6750" i="1"/>
  <c r="A6751" i="1"/>
  <c r="B6751" i="1"/>
  <c r="A6752" i="1"/>
  <c r="B6752" i="1"/>
  <c r="A6753" i="1"/>
  <c r="B6753" i="1"/>
  <c r="A6754" i="1"/>
  <c r="B6754" i="1"/>
  <c r="A6755" i="1"/>
  <c r="B6755" i="1"/>
  <c r="A6756" i="1"/>
  <c r="B6756" i="1"/>
  <c r="A6757" i="1"/>
  <c r="B6757" i="1"/>
  <c r="A6758" i="1"/>
  <c r="B6758" i="1"/>
  <c r="A6759" i="1"/>
  <c r="B6759" i="1"/>
  <c r="A6760" i="1"/>
  <c r="B6760" i="1"/>
  <c r="A6761" i="1"/>
  <c r="B6761" i="1"/>
  <c r="A6762" i="1"/>
  <c r="B6762" i="1"/>
  <c r="A6763" i="1"/>
  <c r="B6763" i="1"/>
  <c r="A6764" i="1"/>
  <c r="B6764" i="1"/>
  <c r="A6765" i="1"/>
  <c r="B6765" i="1"/>
  <c r="A6766" i="1"/>
  <c r="B6766" i="1"/>
  <c r="A6767" i="1"/>
  <c r="B6767" i="1"/>
  <c r="A6768" i="1"/>
  <c r="B6768" i="1"/>
  <c r="A6769" i="1"/>
  <c r="B6769" i="1"/>
  <c r="A6770" i="1"/>
  <c r="B6770" i="1"/>
  <c r="A6771" i="1"/>
  <c r="B6771" i="1"/>
  <c r="A6772" i="1"/>
  <c r="B6772" i="1"/>
  <c r="A6773" i="1"/>
  <c r="B6773" i="1"/>
  <c r="A6774" i="1"/>
  <c r="B6774" i="1"/>
  <c r="A6775" i="1"/>
  <c r="B6775" i="1"/>
  <c r="A6776" i="1"/>
  <c r="B6776" i="1"/>
  <c r="A6777" i="1"/>
  <c r="B6777" i="1"/>
  <c r="A6778" i="1"/>
  <c r="B6778" i="1"/>
  <c r="A6779" i="1"/>
  <c r="B6779" i="1"/>
  <c r="A6780" i="1"/>
  <c r="B6780" i="1"/>
  <c r="A6781" i="1"/>
  <c r="B6781" i="1"/>
  <c r="A6782" i="1"/>
  <c r="B6782" i="1"/>
  <c r="A6783" i="1"/>
  <c r="B6783" i="1"/>
  <c r="A6784" i="1"/>
  <c r="B6784" i="1"/>
  <c r="A6785" i="1"/>
  <c r="B6785" i="1"/>
  <c r="A6786" i="1"/>
  <c r="B6786" i="1"/>
  <c r="A6787" i="1"/>
  <c r="B6787" i="1"/>
  <c r="A6788" i="1"/>
  <c r="B6788" i="1"/>
  <c r="A6789" i="1"/>
  <c r="B6789" i="1"/>
  <c r="A6790" i="1"/>
  <c r="B6790" i="1"/>
  <c r="A6791" i="1"/>
  <c r="B6791" i="1"/>
  <c r="A6792" i="1"/>
  <c r="B6792" i="1"/>
  <c r="A6793" i="1"/>
  <c r="B6793" i="1"/>
  <c r="A6794" i="1"/>
  <c r="B6794" i="1"/>
  <c r="A6795" i="1"/>
  <c r="B6795" i="1"/>
  <c r="A6796" i="1"/>
  <c r="B6796" i="1"/>
  <c r="A6797" i="1"/>
  <c r="B6797" i="1"/>
  <c r="A6798" i="1"/>
  <c r="B6798" i="1"/>
  <c r="A6799" i="1"/>
  <c r="B6799" i="1"/>
  <c r="A6800" i="1"/>
  <c r="B6800" i="1"/>
  <c r="A6801" i="1"/>
  <c r="B6801" i="1"/>
  <c r="A6802" i="1"/>
  <c r="B6802" i="1"/>
  <c r="A6803" i="1"/>
  <c r="B6803" i="1"/>
  <c r="A6804" i="1"/>
  <c r="B6804" i="1"/>
  <c r="A6805" i="1"/>
  <c r="B6805" i="1"/>
  <c r="A6806" i="1"/>
  <c r="B6806" i="1"/>
  <c r="A6807" i="1"/>
  <c r="B6807" i="1"/>
  <c r="A6808" i="1"/>
  <c r="B6808" i="1"/>
  <c r="A6809" i="1"/>
  <c r="B6809" i="1"/>
  <c r="A6810" i="1"/>
  <c r="B6810" i="1"/>
  <c r="A6811" i="1"/>
  <c r="B6811" i="1"/>
  <c r="A6812" i="1"/>
  <c r="B6812" i="1"/>
  <c r="A6813" i="1"/>
  <c r="B6813" i="1"/>
  <c r="A6814" i="1"/>
  <c r="B6814" i="1"/>
  <c r="A6815" i="1"/>
  <c r="B6815" i="1"/>
  <c r="A6816" i="1"/>
  <c r="B6816" i="1"/>
  <c r="A6817" i="1"/>
  <c r="B6817" i="1"/>
  <c r="A6818" i="1"/>
  <c r="B6818" i="1"/>
  <c r="A6819" i="1"/>
  <c r="B6819" i="1"/>
  <c r="A6820" i="1"/>
  <c r="B6820" i="1"/>
  <c r="A6821" i="1"/>
  <c r="B6821" i="1"/>
  <c r="A6822" i="1"/>
  <c r="B6822" i="1"/>
  <c r="A6823" i="1"/>
  <c r="B6823" i="1"/>
  <c r="A6824" i="1"/>
  <c r="B6824" i="1"/>
  <c r="A6825" i="1"/>
  <c r="B6825" i="1"/>
  <c r="A6826" i="1"/>
  <c r="B6826" i="1"/>
  <c r="A6827" i="1"/>
  <c r="B6827" i="1"/>
  <c r="A6828" i="1"/>
  <c r="B6828" i="1"/>
  <c r="A6829" i="1"/>
  <c r="B6829" i="1"/>
  <c r="A6830" i="1"/>
  <c r="B6830" i="1"/>
  <c r="A6831" i="1"/>
  <c r="B6831" i="1"/>
  <c r="A6832" i="1"/>
  <c r="B6832" i="1"/>
  <c r="A6833" i="1"/>
  <c r="B6833" i="1"/>
  <c r="A6834" i="1"/>
  <c r="B6834" i="1"/>
  <c r="A6835" i="1"/>
  <c r="B6835" i="1"/>
  <c r="A6836" i="1"/>
  <c r="B6836" i="1"/>
  <c r="A6837" i="1"/>
  <c r="B6837" i="1"/>
  <c r="A6838" i="1"/>
  <c r="B6838" i="1"/>
  <c r="A6839" i="1"/>
  <c r="B6839" i="1"/>
  <c r="A6840" i="1"/>
  <c r="B6840" i="1"/>
  <c r="A6841" i="1"/>
  <c r="B6841" i="1"/>
  <c r="A6842" i="1"/>
  <c r="B6842" i="1"/>
  <c r="A6843" i="1"/>
  <c r="B6843" i="1"/>
  <c r="A6844" i="1"/>
  <c r="B6844" i="1"/>
  <c r="A6845" i="1"/>
  <c r="B6845" i="1"/>
  <c r="A6846" i="1"/>
  <c r="B6846" i="1"/>
  <c r="A6847" i="1"/>
  <c r="B6847" i="1"/>
  <c r="A6848" i="1"/>
  <c r="B6848" i="1"/>
  <c r="A6849" i="1"/>
  <c r="B6849" i="1"/>
  <c r="A6850" i="1"/>
  <c r="B6850" i="1"/>
  <c r="A6851" i="1"/>
  <c r="B6851" i="1"/>
  <c r="A6852" i="1"/>
  <c r="B6852" i="1"/>
  <c r="A6853" i="1"/>
  <c r="B6853" i="1"/>
  <c r="A6854" i="1"/>
  <c r="B6854" i="1"/>
  <c r="A6855" i="1"/>
  <c r="B6855" i="1"/>
  <c r="A6856" i="1"/>
  <c r="B6856" i="1"/>
  <c r="A6857" i="1"/>
  <c r="B6857" i="1"/>
  <c r="A6858" i="1"/>
  <c r="B6858" i="1"/>
  <c r="A6859" i="1"/>
  <c r="B6859" i="1"/>
  <c r="A6860" i="1"/>
  <c r="B6860" i="1"/>
  <c r="A6861" i="1"/>
  <c r="B6861" i="1"/>
  <c r="A6862" i="1"/>
  <c r="B6862" i="1"/>
  <c r="A6863" i="1"/>
  <c r="B6863" i="1"/>
  <c r="A6864" i="1"/>
  <c r="B6864" i="1"/>
  <c r="A6865" i="1"/>
  <c r="B6865" i="1"/>
  <c r="A6866" i="1"/>
  <c r="B6866" i="1"/>
  <c r="A6867" i="1"/>
  <c r="B6867" i="1"/>
  <c r="A6868" i="1"/>
  <c r="B6868" i="1"/>
  <c r="A6869" i="1"/>
  <c r="B6869" i="1"/>
  <c r="A6870" i="1"/>
  <c r="B6870" i="1"/>
  <c r="A6871" i="1"/>
  <c r="B6871" i="1"/>
  <c r="A6872" i="1"/>
  <c r="B6872" i="1"/>
  <c r="A6873" i="1"/>
  <c r="B6873" i="1"/>
  <c r="A6874" i="1"/>
  <c r="B6874" i="1"/>
  <c r="A6875" i="1"/>
  <c r="B6875" i="1"/>
  <c r="A6876" i="1"/>
  <c r="B6876" i="1"/>
  <c r="A6877" i="1"/>
  <c r="B6877" i="1"/>
  <c r="A6878" i="1"/>
  <c r="B6878" i="1"/>
  <c r="A6879" i="1"/>
  <c r="B6879" i="1"/>
  <c r="A6880" i="1"/>
  <c r="B6880" i="1"/>
  <c r="A6881" i="1"/>
  <c r="B6881" i="1"/>
  <c r="A6882" i="1"/>
  <c r="B6882" i="1"/>
  <c r="A6883" i="1"/>
  <c r="B6883" i="1"/>
  <c r="A6884" i="1"/>
  <c r="B6884" i="1"/>
  <c r="A6885" i="1"/>
  <c r="B6885" i="1"/>
  <c r="A6886" i="1"/>
  <c r="B6886" i="1"/>
  <c r="A6887" i="1"/>
  <c r="B6887" i="1"/>
  <c r="A6888" i="1"/>
  <c r="B6888" i="1"/>
  <c r="A6889" i="1"/>
  <c r="B6889" i="1"/>
  <c r="A6890" i="1"/>
  <c r="B6890" i="1"/>
  <c r="A6891" i="1"/>
  <c r="B6891" i="1"/>
  <c r="A6892" i="1"/>
  <c r="B6892" i="1"/>
  <c r="A6893" i="1"/>
  <c r="B6893" i="1"/>
  <c r="A6894" i="1"/>
  <c r="B6894" i="1"/>
  <c r="A6895" i="1"/>
  <c r="B6895" i="1"/>
  <c r="A6896" i="1"/>
  <c r="B6896" i="1"/>
  <c r="A6897" i="1"/>
  <c r="B6897" i="1"/>
  <c r="A6898" i="1"/>
  <c r="B6898" i="1"/>
  <c r="A6899" i="1"/>
  <c r="B6899" i="1"/>
  <c r="A6900" i="1"/>
  <c r="B6900" i="1"/>
  <c r="A6901" i="1"/>
  <c r="B6901" i="1"/>
  <c r="A6902" i="1"/>
  <c r="B6902" i="1"/>
  <c r="A6903" i="1"/>
  <c r="B6903" i="1"/>
  <c r="A6904" i="1"/>
  <c r="B6904" i="1"/>
  <c r="A6905" i="1"/>
  <c r="B6905" i="1"/>
  <c r="A6906" i="1"/>
  <c r="B6906" i="1"/>
  <c r="A6907" i="1"/>
  <c r="B6907" i="1"/>
  <c r="A6908" i="1"/>
  <c r="B6908" i="1"/>
  <c r="A6909" i="1"/>
  <c r="B6909" i="1"/>
  <c r="A6910" i="1"/>
  <c r="B6910" i="1"/>
  <c r="A6911" i="1"/>
  <c r="B6911" i="1"/>
  <c r="A6912" i="1"/>
  <c r="B6912" i="1"/>
  <c r="A6913" i="1"/>
  <c r="B6913" i="1"/>
  <c r="A6914" i="1"/>
  <c r="B6914" i="1"/>
  <c r="A6915" i="1"/>
  <c r="B6915" i="1"/>
  <c r="A6916" i="1"/>
  <c r="B6916" i="1"/>
  <c r="A6917" i="1"/>
  <c r="B6917" i="1"/>
  <c r="A6918" i="1"/>
  <c r="B6918" i="1"/>
  <c r="A6919" i="1"/>
  <c r="B6919" i="1"/>
  <c r="A6920" i="1"/>
  <c r="B6920" i="1"/>
  <c r="A6921" i="1"/>
  <c r="B6921" i="1"/>
  <c r="A6922" i="1"/>
  <c r="B6922" i="1"/>
  <c r="A6923" i="1"/>
  <c r="B6923" i="1"/>
  <c r="A6924" i="1"/>
  <c r="B6924" i="1"/>
  <c r="A6925" i="1"/>
  <c r="B6925" i="1"/>
  <c r="A6926" i="1"/>
  <c r="B6926" i="1"/>
  <c r="A6927" i="1"/>
  <c r="B6927" i="1"/>
  <c r="A6928" i="1"/>
  <c r="B6928" i="1"/>
  <c r="A6929" i="1"/>
  <c r="B6929" i="1"/>
  <c r="A6930" i="1"/>
  <c r="B6930" i="1"/>
  <c r="A6931" i="1"/>
  <c r="B6931" i="1"/>
  <c r="A6932" i="1"/>
  <c r="B6932" i="1"/>
  <c r="A6933" i="1"/>
  <c r="B6933" i="1"/>
  <c r="A6934" i="1"/>
  <c r="B6934" i="1"/>
  <c r="A6935" i="1"/>
  <c r="B6935" i="1"/>
  <c r="A6936" i="1"/>
  <c r="B6936" i="1"/>
  <c r="A6937" i="1"/>
  <c r="B6937" i="1"/>
  <c r="A6938" i="1"/>
  <c r="B6938" i="1"/>
  <c r="A6939" i="1"/>
  <c r="B6939" i="1"/>
  <c r="A6940" i="1"/>
  <c r="B6940" i="1"/>
  <c r="A6941" i="1"/>
  <c r="B6941" i="1"/>
  <c r="A6942" i="1"/>
  <c r="B6942" i="1"/>
  <c r="A6943" i="1"/>
  <c r="B6943" i="1"/>
  <c r="A6944" i="1"/>
  <c r="B6944" i="1"/>
  <c r="A6945" i="1"/>
  <c r="B6945" i="1"/>
  <c r="A6946" i="1"/>
  <c r="B6946" i="1"/>
  <c r="A6947" i="1"/>
  <c r="B6947" i="1"/>
  <c r="A6948" i="1"/>
  <c r="B6948" i="1"/>
  <c r="A6949" i="1"/>
  <c r="B6949" i="1"/>
  <c r="A6950" i="1"/>
  <c r="B6950" i="1"/>
  <c r="A6951" i="1"/>
  <c r="B6951" i="1"/>
  <c r="A6952" i="1"/>
  <c r="B6952" i="1"/>
  <c r="A6953" i="1"/>
  <c r="B6953" i="1"/>
  <c r="A6954" i="1"/>
  <c r="B6954" i="1"/>
  <c r="A6955" i="1"/>
  <c r="B6955" i="1"/>
  <c r="A6956" i="1"/>
  <c r="B6956" i="1"/>
  <c r="A6957" i="1"/>
  <c r="B6957" i="1"/>
  <c r="A6958" i="1"/>
  <c r="B6958" i="1"/>
  <c r="A6959" i="1"/>
  <c r="B6959" i="1"/>
  <c r="A6960" i="1"/>
  <c r="B6960" i="1"/>
  <c r="A6961" i="1"/>
  <c r="B6961" i="1"/>
  <c r="A6962" i="1"/>
  <c r="B6962" i="1"/>
  <c r="A6963" i="1"/>
  <c r="B6963" i="1"/>
  <c r="A6964" i="1"/>
  <c r="B6964" i="1"/>
  <c r="A6965" i="1"/>
  <c r="B6965" i="1"/>
  <c r="A6966" i="1"/>
  <c r="B6966" i="1"/>
  <c r="A6967" i="1"/>
  <c r="B6967" i="1"/>
  <c r="A6968" i="1"/>
  <c r="B6968" i="1"/>
  <c r="A6969" i="1"/>
  <c r="B6969" i="1"/>
  <c r="A6970" i="1"/>
  <c r="B6970" i="1"/>
  <c r="A6971" i="1"/>
  <c r="B6971" i="1"/>
  <c r="A6972" i="1"/>
  <c r="B6972" i="1"/>
  <c r="A6973" i="1"/>
  <c r="B6973" i="1"/>
  <c r="A6974" i="1"/>
  <c r="B6974" i="1"/>
  <c r="A6975" i="1"/>
  <c r="B6975" i="1"/>
  <c r="A6976" i="1"/>
  <c r="B6976" i="1"/>
  <c r="A6977" i="1"/>
  <c r="B6977" i="1"/>
  <c r="A6978" i="1"/>
  <c r="B6978" i="1"/>
  <c r="A6979" i="1"/>
  <c r="B6979" i="1"/>
  <c r="A6980" i="1"/>
  <c r="B6980" i="1"/>
  <c r="A6981" i="1"/>
  <c r="B6981" i="1"/>
  <c r="A6982" i="1"/>
  <c r="B6982" i="1"/>
  <c r="A6983" i="1"/>
  <c r="B6983" i="1"/>
  <c r="A6984" i="1"/>
  <c r="B6984" i="1"/>
  <c r="A6985" i="1"/>
  <c r="B6985" i="1"/>
  <c r="A6986" i="1"/>
  <c r="B6986" i="1"/>
  <c r="A6987" i="1"/>
  <c r="B6987" i="1"/>
  <c r="A6988" i="1"/>
  <c r="B6988" i="1"/>
  <c r="A6989" i="1"/>
  <c r="B6989" i="1"/>
  <c r="A6990" i="1"/>
  <c r="B6990" i="1"/>
  <c r="A6991" i="1"/>
  <c r="B6991" i="1"/>
  <c r="A6992" i="1"/>
  <c r="B6992" i="1"/>
  <c r="A6993" i="1"/>
  <c r="B6993" i="1"/>
  <c r="A6994" i="1"/>
  <c r="B6994" i="1"/>
  <c r="A6995" i="1"/>
  <c r="B6995" i="1"/>
  <c r="A6996" i="1"/>
  <c r="B6996" i="1"/>
  <c r="A6997" i="1"/>
  <c r="B6997" i="1"/>
  <c r="A6998" i="1"/>
  <c r="B6998" i="1"/>
  <c r="A6999" i="1"/>
  <c r="B6999" i="1"/>
  <c r="A7000" i="1"/>
  <c r="B7000" i="1"/>
  <c r="A7001" i="1"/>
  <c r="B7001" i="1"/>
  <c r="A7002" i="1"/>
  <c r="B7002" i="1"/>
  <c r="A7003" i="1"/>
  <c r="B7003" i="1"/>
  <c r="A7004" i="1"/>
  <c r="B7004" i="1"/>
  <c r="A7005" i="1"/>
  <c r="B7005" i="1"/>
  <c r="A7006" i="1"/>
  <c r="B7006" i="1"/>
  <c r="A7007" i="1"/>
  <c r="B7007" i="1"/>
  <c r="A7008" i="1"/>
  <c r="B7008" i="1"/>
  <c r="A7009" i="1"/>
  <c r="B7009" i="1"/>
  <c r="A7010" i="1"/>
  <c r="B7010" i="1"/>
  <c r="A7011" i="1"/>
  <c r="B7011" i="1"/>
  <c r="A7012" i="1"/>
  <c r="B7012" i="1"/>
  <c r="A7013" i="1"/>
  <c r="B7013" i="1"/>
  <c r="A7014" i="1"/>
  <c r="B7014" i="1"/>
  <c r="A7015" i="1"/>
  <c r="B7015" i="1"/>
  <c r="A7016" i="1"/>
  <c r="B7016" i="1"/>
  <c r="A7017" i="1"/>
  <c r="B7017" i="1"/>
  <c r="A7018" i="1"/>
  <c r="B7018" i="1"/>
  <c r="A7019" i="1"/>
  <c r="B7019" i="1"/>
  <c r="A7020" i="1"/>
  <c r="B7020" i="1"/>
  <c r="A7021" i="1"/>
  <c r="B7021" i="1"/>
  <c r="A7022" i="1"/>
  <c r="B7022" i="1"/>
  <c r="A7023" i="1"/>
  <c r="B7023" i="1"/>
  <c r="A7024" i="1"/>
  <c r="B7024" i="1"/>
  <c r="A7025" i="1"/>
  <c r="B7025" i="1"/>
  <c r="A7026" i="1"/>
  <c r="B7026" i="1"/>
  <c r="A7027" i="1"/>
  <c r="B7027" i="1"/>
  <c r="A7028" i="1"/>
  <c r="B7028" i="1"/>
  <c r="A7029" i="1"/>
  <c r="B7029" i="1"/>
  <c r="A7030" i="1"/>
  <c r="B7030" i="1"/>
  <c r="A7031" i="1"/>
  <c r="B7031" i="1"/>
  <c r="A7032" i="1"/>
  <c r="B7032" i="1"/>
  <c r="A7033" i="1"/>
  <c r="B7033" i="1"/>
  <c r="A7034" i="1"/>
  <c r="B7034" i="1"/>
  <c r="A7035" i="1"/>
  <c r="B7035" i="1"/>
  <c r="A7036" i="1"/>
  <c r="B7036" i="1"/>
  <c r="A7037" i="1"/>
  <c r="B7037" i="1"/>
  <c r="A7038" i="1"/>
  <c r="B7038" i="1"/>
  <c r="A7039" i="1"/>
  <c r="B7039" i="1"/>
  <c r="A7040" i="1"/>
  <c r="B7040" i="1"/>
  <c r="A7041" i="1"/>
  <c r="B7041" i="1"/>
  <c r="A7042" i="1"/>
  <c r="B7042" i="1"/>
  <c r="A7043" i="1"/>
  <c r="B7043" i="1"/>
  <c r="A7044" i="1"/>
  <c r="B7044" i="1"/>
  <c r="A7045" i="1"/>
  <c r="B7045" i="1"/>
  <c r="A7046" i="1"/>
  <c r="B7046" i="1"/>
  <c r="A7047" i="1"/>
  <c r="B7047" i="1"/>
  <c r="A7048" i="1"/>
  <c r="B7048" i="1"/>
  <c r="A7049" i="1"/>
  <c r="B7049" i="1"/>
  <c r="A7050" i="1"/>
  <c r="B7050" i="1"/>
  <c r="A7051" i="1"/>
  <c r="B7051" i="1"/>
  <c r="A7052" i="1"/>
  <c r="B7052" i="1"/>
  <c r="A7053" i="1"/>
  <c r="B7053" i="1"/>
  <c r="A7054" i="1"/>
  <c r="B7054" i="1"/>
  <c r="A7055" i="1"/>
  <c r="B7055" i="1"/>
  <c r="A7056" i="1"/>
  <c r="B7056" i="1"/>
  <c r="A7057" i="1"/>
  <c r="B7057" i="1"/>
  <c r="A7058" i="1"/>
  <c r="B7058" i="1"/>
  <c r="A7059" i="1"/>
  <c r="B7059" i="1"/>
  <c r="A7060" i="1"/>
  <c r="B7060" i="1"/>
  <c r="A7061" i="1"/>
  <c r="B7061" i="1"/>
  <c r="A7062" i="1"/>
  <c r="B7062" i="1"/>
  <c r="A7063" i="1"/>
  <c r="B7063" i="1"/>
  <c r="A7064" i="1"/>
  <c r="B7064" i="1"/>
  <c r="A7065" i="1"/>
  <c r="B7065" i="1"/>
  <c r="A7066" i="1"/>
  <c r="B7066" i="1"/>
  <c r="A7067" i="1"/>
  <c r="B7067" i="1"/>
  <c r="A7068" i="1"/>
  <c r="B7068" i="1"/>
  <c r="A7069" i="1"/>
  <c r="B7069" i="1"/>
  <c r="A7070" i="1"/>
  <c r="B7070" i="1"/>
  <c r="A7071" i="1"/>
  <c r="B7071" i="1"/>
  <c r="A7072" i="1"/>
  <c r="B7072" i="1"/>
  <c r="A7073" i="1"/>
  <c r="B7073" i="1"/>
  <c r="A7074" i="1"/>
  <c r="B7074" i="1"/>
  <c r="A7075" i="1"/>
  <c r="B7075" i="1"/>
  <c r="A7076" i="1"/>
  <c r="B7076" i="1"/>
  <c r="A7077" i="1"/>
  <c r="B7077" i="1"/>
  <c r="A7078" i="1"/>
  <c r="B7078" i="1"/>
  <c r="A7079" i="1"/>
  <c r="B7079" i="1"/>
  <c r="A7080" i="1"/>
  <c r="B7080" i="1"/>
  <c r="A7081" i="1"/>
  <c r="B7081" i="1"/>
  <c r="A7082" i="1"/>
  <c r="B7082" i="1"/>
  <c r="A7083" i="1"/>
  <c r="B7083" i="1"/>
  <c r="A7084" i="1"/>
  <c r="B7084" i="1"/>
  <c r="A7085" i="1"/>
  <c r="B7085" i="1"/>
  <c r="A7086" i="1"/>
  <c r="B7086" i="1"/>
  <c r="A7087" i="1"/>
  <c r="B7087" i="1"/>
  <c r="A7088" i="1"/>
  <c r="B7088" i="1"/>
  <c r="A7089" i="1"/>
  <c r="B7089" i="1"/>
  <c r="A7090" i="1"/>
  <c r="B7090" i="1"/>
  <c r="A7091" i="1"/>
  <c r="B7091" i="1"/>
  <c r="A7092" i="1"/>
  <c r="B7092" i="1"/>
  <c r="A7093" i="1"/>
  <c r="B7093" i="1"/>
  <c r="A7094" i="1"/>
  <c r="B7094" i="1"/>
  <c r="A7095" i="1"/>
  <c r="B7095" i="1"/>
  <c r="A7096" i="1"/>
  <c r="B7096" i="1"/>
  <c r="A7097" i="1"/>
  <c r="B7097" i="1"/>
  <c r="A7098" i="1"/>
  <c r="B7098" i="1"/>
  <c r="A7099" i="1"/>
  <c r="B7099" i="1"/>
  <c r="A7100" i="1"/>
  <c r="B7100" i="1"/>
  <c r="A7101" i="1"/>
  <c r="B7101" i="1"/>
  <c r="A7102" i="1"/>
  <c r="B7102" i="1"/>
  <c r="A7103" i="1"/>
  <c r="B7103" i="1"/>
  <c r="A7104" i="1"/>
  <c r="B7104" i="1"/>
  <c r="A7105" i="1"/>
  <c r="B7105" i="1"/>
  <c r="A7106" i="1"/>
  <c r="B7106" i="1"/>
  <c r="A7107" i="1"/>
  <c r="B7107" i="1"/>
  <c r="A7108" i="1"/>
  <c r="B7108" i="1"/>
  <c r="A7109" i="1"/>
  <c r="B7109" i="1"/>
  <c r="A7110" i="1"/>
  <c r="B7110" i="1"/>
  <c r="A7111" i="1"/>
  <c r="B7111" i="1"/>
  <c r="A7112" i="1"/>
  <c r="B7112" i="1"/>
  <c r="A7113" i="1"/>
  <c r="B7113" i="1"/>
  <c r="A7114" i="1"/>
  <c r="B7114" i="1"/>
  <c r="A7115" i="1"/>
  <c r="B7115" i="1"/>
  <c r="A7116" i="1"/>
  <c r="B7116" i="1"/>
  <c r="A7117" i="1"/>
  <c r="B7117" i="1"/>
  <c r="A7118" i="1"/>
  <c r="B7118" i="1"/>
  <c r="A7119" i="1"/>
  <c r="B7119" i="1"/>
  <c r="A7120" i="1"/>
  <c r="B7120" i="1"/>
  <c r="A7121" i="1"/>
  <c r="B7121" i="1"/>
  <c r="A7122" i="1"/>
  <c r="B7122" i="1"/>
  <c r="A7123" i="1"/>
  <c r="B7123" i="1"/>
  <c r="A7124" i="1"/>
  <c r="B7124" i="1"/>
  <c r="A7125" i="1"/>
  <c r="B7125" i="1"/>
  <c r="A7126" i="1"/>
  <c r="B7126" i="1"/>
  <c r="A7127" i="1"/>
  <c r="B7127" i="1"/>
  <c r="A7128" i="1"/>
  <c r="B7128" i="1"/>
  <c r="A7129" i="1"/>
  <c r="B7129" i="1"/>
  <c r="A7130" i="1"/>
  <c r="B7130" i="1"/>
  <c r="A7131" i="1"/>
  <c r="B7131" i="1"/>
  <c r="A7132" i="1"/>
  <c r="B7132" i="1"/>
  <c r="A7133" i="1"/>
  <c r="B7133" i="1"/>
  <c r="A7134" i="1"/>
  <c r="B7134" i="1"/>
  <c r="A7135" i="1"/>
  <c r="B7135" i="1"/>
  <c r="A7136" i="1"/>
  <c r="B7136" i="1"/>
  <c r="A7137" i="1"/>
  <c r="B7137" i="1"/>
  <c r="A7138" i="1"/>
  <c r="B7138" i="1"/>
  <c r="A7139" i="1"/>
  <c r="B7139" i="1"/>
  <c r="A7140" i="1"/>
  <c r="B7140" i="1"/>
  <c r="A7141" i="1"/>
  <c r="B7141" i="1"/>
  <c r="A7142" i="1"/>
  <c r="B7142" i="1"/>
  <c r="A7143" i="1"/>
  <c r="B7143" i="1"/>
  <c r="A7144" i="1"/>
  <c r="B7144" i="1"/>
  <c r="A7145" i="1"/>
  <c r="B7145" i="1"/>
  <c r="A7146" i="1"/>
  <c r="B7146" i="1"/>
  <c r="A7147" i="1"/>
  <c r="B7147" i="1"/>
  <c r="A7148" i="1"/>
  <c r="B7148" i="1"/>
  <c r="A7149" i="1"/>
  <c r="B7149" i="1"/>
  <c r="A7150" i="1"/>
  <c r="B7150" i="1"/>
  <c r="A7151" i="1"/>
  <c r="B7151" i="1"/>
  <c r="A7152" i="1"/>
  <c r="B7152" i="1"/>
  <c r="A7153" i="1"/>
  <c r="B7153" i="1"/>
  <c r="A7154" i="1"/>
  <c r="B7154" i="1"/>
  <c r="A7155" i="1"/>
  <c r="B7155" i="1"/>
  <c r="A7156" i="1"/>
  <c r="B7156" i="1"/>
  <c r="A7157" i="1"/>
  <c r="B7157" i="1"/>
  <c r="A7158" i="1"/>
  <c r="B7158" i="1"/>
  <c r="A7159" i="1"/>
  <c r="B7159" i="1"/>
  <c r="A7160" i="1"/>
  <c r="B7160" i="1"/>
  <c r="A7161" i="1"/>
  <c r="B7161" i="1"/>
  <c r="A7162" i="1"/>
  <c r="B7162" i="1"/>
  <c r="A7163" i="1"/>
  <c r="B7163" i="1"/>
  <c r="A7164" i="1"/>
  <c r="B7164" i="1"/>
  <c r="A7165" i="1"/>
  <c r="B7165" i="1"/>
  <c r="A7166" i="1"/>
  <c r="B7166" i="1"/>
  <c r="A7167" i="1"/>
  <c r="B7167" i="1"/>
  <c r="A7168" i="1"/>
  <c r="B7168" i="1"/>
  <c r="A7169" i="1"/>
  <c r="B7169" i="1"/>
  <c r="A7170" i="1"/>
  <c r="B7170" i="1"/>
  <c r="A7171" i="1"/>
  <c r="B7171" i="1"/>
  <c r="A7172" i="1"/>
  <c r="B7172" i="1"/>
  <c r="A7173" i="1"/>
  <c r="B7173" i="1"/>
  <c r="A7174" i="1"/>
  <c r="B7174" i="1"/>
  <c r="A7175" i="1"/>
  <c r="B7175" i="1"/>
  <c r="A7176" i="1"/>
  <c r="B7176" i="1"/>
  <c r="A7177" i="1"/>
  <c r="B7177" i="1"/>
  <c r="A7178" i="1"/>
  <c r="B7178" i="1"/>
  <c r="A7179" i="1"/>
  <c r="B7179" i="1"/>
  <c r="A7180" i="1"/>
  <c r="B7180" i="1"/>
  <c r="A7181" i="1"/>
  <c r="B7181" i="1"/>
  <c r="A7182" i="1"/>
  <c r="B7182" i="1"/>
  <c r="A7183" i="1"/>
  <c r="B7183" i="1"/>
  <c r="A7184" i="1"/>
  <c r="B7184" i="1"/>
  <c r="A7185" i="1"/>
  <c r="B7185" i="1"/>
  <c r="A7186" i="1"/>
  <c r="B7186" i="1"/>
  <c r="A7187" i="1"/>
  <c r="B7187" i="1"/>
  <c r="A7188" i="1"/>
  <c r="B7188" i="1"/>
  <c r="A7189" i="1"/>
  <c r="B7189" i="1"/>
  <c r="A7190" i="1"/>
  <c r="B7190" i="1"/>
  <c r="A7191" i="1"/>
  <c r="B7191" i="1"/>
  <c r="A7192" i="1"/>
  <c r="B7192" i="1"/>
  <c r="A7193" i="1"/>
  <c r="B7193" i="1"/>
  <c r="A7194" i="1"/>
  <c r="B7194" i="1"/>
  <c r="A7195" i="1"/>
  <c r="B7195" i="1"/>
  <c r="A7196" i="1"/>
  <c r="B7196" i="1"/>
  <c r="A7197" i="1"/>
  <c r="B7197" i="1"/>
  <c r="A7198" i="1"/>
  <c r="B7198" i="1"/>
  <c r="A7199" i="1"/>
  <c r="B7199" i="1"/>
  <c r="A7200" i="1"/>
  <c r="B7200" i="1"/>
  <c r="A7201" i="1"/>
  <c r="B7201" i="1"/>
  <c r="A7202" i="1"/>
  <c r="B7202" i="1"/>
  <c r="A7203" i="1"/>
  <c r="B7203" i="1"/>
  <c r="A7204" i="1"/>
  <c r="B7204" i="1"/>
  <c r="A7205" i="1"/>
  <c r="B7205" i="1"/>
  <c r="A7206" i="1"/>
  <c r="B7206" i="1"/>
  <c r="A7207" i="1"/>
  <c r="B7207" i="1"/>
  <c r="A7208" i="1"/>
  <c r="B7208" i="1"/>
  <c r="A7209" i="1"/>
  <c r="B7209" i="1"/>
  <c r="A7210" i="1"/>
  <c r="B7210" i="1"/>
  <c r="A7211" i="1"/>
  <c r="B7211" i="1"/>
  <c r="A7212" i="1"/>
  <c r="B7212" i="1"/>
  <c r="A7213" i="1"/>
  <c r="B7213" i="1"/>
  <c r="A7214" i="1"/>
  <c r="B7214" i="1"/>
  <c r="A7215" i="1"/>
  <c r="B7215" i="1"/>
  <c r="A7216" i="1"/>
  <c r="B7216" i="1"/>
  <c r="A7217" i="1"/>
  <c r="B7217" i="1"/>
  <c r="A7218" i="1"/>
  <c r="B7218" i="1"/>
  <c r="A7219" i="1"/>
  <c r="B7219" i="1"/>
  <c r="A7220" i="1"/>
  <c r="B7220" i="1"/>
  <c r="A7221" i="1"/>
  <c r="B7221" i="1"/>
  <c r="A7222" i="1"/>
  <c r="B7222" i="1"/>
  <c r="A7223" i="1"/>
  <c r="B7223" i="1"/>
  <c r="A7224" i="1"/>
  <c r="B7224" i="1"/>
  <c r="A7225" i="1"/>
  <c r="B7225" i="1"/>
  <c r="A7226" i="1"/>
  <c r="B7226" i="1"/>
  <c r="A7227" i="1"/>
  <c r="B7227" i="1"/>
  <c r="A7228" i="1"/>
  <c r="B7228" i="1"/>
  <c r="A7229" i="1"/>
  <c r="B7229" i="1"/>
  <c r="A7230" i="1"/>
  <c r="B7230" i="1"/>
  <c r="A7231" i="1"/>
  <c r="B7231" i="1"/>
  <c r="A7232" i="1"/>
  <c r="B7232" i="1"/>
  <c r="A7233" i="1"/>
  <c r="B7233" i="1"/>
  <c r="A7234" i="1"/>
  <c r="B7234" i="1"/>
  <c r="A7235" i="1"/>
  <c r="B7235" i="1"/>
  <c r="A7236" i="1"/>
  <c r="B7236" i="1"/>
  <c r="A7237" i="1"/>
  <c r="B7237" i="1"/>
  <c r="A7238" i="1"/>
  <c r="B7238" i="1"/>
  <c r="A7239" i="1"/>
  <c r="B7239" i="1"/>
  <c r="A7240" i="1"/>
  <c r="B7240" i="1"/>
  <c r="A7241" i="1"/>
  <c r="B7241" i="1"/>
  <c r="A7242" i="1"/>
  <c r="B7242" i="1"/>
  <c r="A7243" i="1"/>
  <c r="B7243" i="1"/>
  <c r="A7244" i="1"/>
  <c r="B7244" i="1"/>
  <c r="A7245" i="1"/>
  <c r="B7245" i="1"/>
  <c r="A7246" i="1"/>
  <c r="B7246" i="1"/>
  <c r="A7247" i="1"/>
  <c r="B7247" i="1"/>
  <c r="A7248" i="1"/>
  <c r="B7248" i="1"/>
  <c r="A7249" i="1"/>
  <c r="B7249" i="1"/>
  <c r="A7250" i="1"/>
  <c r="B7250" i="1"/>
  <c r="A7251" i="1"/>
  <c r="B7251" i="1"/>
  <c r="A7252" i="1"/>
  <c r="B7252" i="1"/>
  <c r="A7253" i="1"/>
  <c r="B7253" i="1"/>
  <c r="A7254" i="1"/>
  <c r="B7254" i="1"/>
  <c r="A7255" i="1"/>
  <c r="B7255" i="1"/>
  <c r="A7256" i="1"/>
  <c r="B7256" i="1"/>
  <c r="A7257" i="1"/>
  <c r="B7257" i="1"/>
  <c r="A7258" i="1"/>
  <c r="B7258" i="1"/>
  <c r="A7259" i="1"/>
  <c r="B7259" i="1"/>
  <c r="A7260" i="1"/>
  <c r="B7260" i="1"/>
  <c r="A7261" i="1"/>
  <c r="B7261" i="1"/>
  <c r="A7262" i="1"/>
  <c r="B7262" i="1"/>
  <c r="A7263" i="1"/>
  <c r="B7263" i="1"/>
  <c r="A7264" i="1"/>
  <c r="B7264" i="1"/>
  <c r="A7265" i="1"/>
  <c r="B7265" i="1"/>
  <c r="A7266" i="1"/>
  <c r="B7266" i="1"/>
  <c r="A7267" i="1"/>
  <c r="B7267" i="1"/>
  <c r="A7268" i="1"/>
  <c r="B7268" i="1"/>
  <c r="A7269" i="1"/>
  <c r="B7269" i="1"/>
  <c r="A7270" i="1"/>
  <c r="B7270" i="1"/>
  <c r="A7271" i="1"/>
  <c r="B7271" i="1"/>
  <c r="A7272" i="1"/>
  <c r="B7272" i="1"/>
  <c r="A7273" i="1"/>
  <c r="B7273" i="1"/>
  <c r="A7274" i="1"/>
  <c r="B7274" i="1"/>
  <c r="A7275" i="1"/>
  <c r="B7275" i="1"/>
  <c r="A7276" i="1"/>
  <c r="B7276" i="1"/>
  <c r="A7277" i="1"/>
  <c r="B7277" i="1"/>
  <c r="A7278" i="1"/>
  <c r="B7278" i="1"/>
  <c r="A7279" i="1"/>
  <c r="B7279" i="1"/>
  <c r="A7280" i="1"/>
  <c r="B7280" i="1"/>
  <c r="A7281" i="1"/>
  <c r="B7281" i="1"/>
  <c r="A7282" i="1"/>
  <c r="B7282" i="1"/>
  <c r="A7283" i="1"/>
  <c r="B7283" i="1"/>
  <c r="A7284" i="1"/>
  <c r="B7284" i="1"/>
  <c r="A7285" i="1"/>
  <c r="B7285" i="1"/>
  <c r="A7286" i="1"/>
  <c r="B7286" i="1"/>
  <c r="A7287" i="1"/>
  <c r="B7287" i="1"/>
  <c r="A7288" i="1"/>
  <c r="B7288" i="1"/>
  <c r="A7289" i="1"/>
  <c r="B7289" i="1"/>
  <c r="A7290" i="1"/>
  <c r="B7290" i="1"/>
  <c r="A7291" i="1"/>
  <c r="B7291" i="1"/>
  <c r="A7292" i="1"/>
  <c r="B7292" i="1"/>
  <c r="A7293" i="1"/>
  <c r="B7293" i="1"/>
  <c r="A7294" i="1"/>
  <c r="B7294" i="1"/>
  <c r="A7295" i="1"/>
  <c r="B7295" i="1"/>
  <c r="A7296" i="1"/>
  <c r="B7296" i="1"/>
  <c r="A7297" i="1"/>
  <c r="B7297" i="1"/>
  <c r="A7298" i="1"/>
  <c r="B7298" i="1"/>
  <c r="A7299" i="1"/>
  <c r="B7299" i="1"/>
  <c r="A7300" i="1"/>
  <c r="B7300" i="1"/>
  <c r="A7301" i="1"/>
  <c r="B7301" i="1"/>
  <c r="A7302" i="1"/>
  <c r="B7302" i="1"/>
  <c r="A7303" i="1"/>
  <c r="B7303" i="1"/>
  <c r="A7304" i="1"/>
  <c r="B7304" i="1"/>
  <c r="A7305" i="1"/>
  <c r="B7305" i="1"/>
  <c r="A7306" i="1"/>
  <c r="B7306" i="1"/>
  <c r="A7307" i="1"/>
  <c r="B7307" i="1"/>
  <c r="A7308" i="1"/>
  <c r="B7308" i="1"/>
  <c r="A7309" i="1"/>
  <c r="B7309" i="1"/>
  <c r="A7310" i="1"/>
  <c r="B7310" i="1"/>
  <c r="A7311" i="1"/>
  <c r="B7311" i="1"/>
  <c r="A7312" i="1"/>
  <c r="B7312" i="1"/>
  <c r="A7313" i="1"/>
  <c r="B7313" i="1"/>
  <c r="A7314" i="1"/>
  <c r="B7314" i="1"/>
  <c r="A7315" i="1"/>
  <c r="B7315" i="1"/>
  <c r="A7316" i="1"/>
  <c r="B7316" i="1"/>
  <c r="A7317" i="1"/>
  <c r="B7317" i="1"/>
  <c r="A7318" i="1"/>
  <c r="B7318" i="1"/>
  <c r="A7319" i="1"/>
  <c r="B7319" i="1"/>
  <c r="A7320" i="1"/>
  <c r="B7320" i="1"/>
  <c r="A7321" i="1"/>
  <c r="B7321" i="1"/>
  <c r="A7322" i="1"/>
  <c r="B7322" i="1"/>
  <c r="A7323" i="1"/>
  <c r="B7323" i="1"/>
  <c r="A7324" i="1"/>
  <c r="B7324" i="1"/>
  <c r="A7325" i="1"/>
  <c r="B7325" i="1"/>
  <c r="A7326" i="1"/>
  <c r="B7326" i="1"/>
  <c r="A7327" i="1"/>
  <c r="B7327" i="1"/>
  <c r="A7328" i="1"/>
  <c r="B7328" i="1"/>
  <c r="A7329" i="1"/>
  <c r="B7329" i="1"/>
  <c r="A7330" i="1"/>
  <c r="B7330" i="1"/>
  <c r="A7331" i="1"/>
  <c r="B7331" i="1"/>
  <c r="A7332" i="1"/>
  <c r="B7332" i="1"/>
  <c r="A7333" i="1"/>
  <c r="B7333" i="1"/>
  <c r="A7334" i="1"/>
  <c r="B7334" i="1"/>
  <c r="A7335" i="1"/>
  <c r="B7335" i="1"/>
  <c r="A7336" i="1"/>
  <c r="B7336" i="1"/>
  <c r="A7337" i="1"/>
  <c r="B7337" i="1"/>
  <c r="A7338" i="1"/>
  <c r="B7338" i="1"/>
  <c r="A7339" i="1"/>
  <c r="B7339" i="1"/>
  <c r="A7340" i="1"/>
  <c r="B7340" i="1"/>
  <c r="A7341" i="1"/>
  <c r="B7341" i="1"/>
  <c r="A7342" i="1"/>
  <c r="B7342" i="1"/>
  <c r="A7343" i="1"/>
  <c r="B7343" i="1"/>
  <c r="A7344" i="1"/>
  <c r="B7344" i="1"/>
  <c r="A7345" i="1"/>
  <c r="B7345" i="1"/>
  <c r="A7346" i="1"/>
  <c r="B7346" i="1"/>
  <c r="A7347" i="1"/>
  <c r="B7347" i="1"/>
  <c r="A7348" i="1"/>
  <c r="B7348" i="1"/>
  <c r="A7349" i="1"/>
  <c r="B7349" i="1"/>
  <c r="A7350" i="1"/>
  <c r="B7350" i="1"/>
  <c r="A7351" i="1"/>
  <c r="B7351" i="1"/>
  <c r="A7352" i="1"/>
  <c r="B7352" i="1"/>
  <c r="A7353" i="1"/>
  <c r="B7353" i="1"/>
  <c r="A7354" i="1"/>
  <c r="B7354" i="1"/>
  <c r="A7355" i="1"/>
  <c r="B7355" i="1"/>
  <c r="A7356" i="1"/>
  <c r="B7356" i="1"/>
  <c r="A7357" i="1"/>
  <c r="B7357" i="1"/>
  <c r="A7358" i="1"/>
  <c r="B7358" i="1"/>
  <c r="A7359" i="1"/>
  <c r="B7359" i="1"/>
  <c r="A7360" i="1"/>
  <c r="B7360" i="1"/>
  <c r="A7361" i="1"/>
  <c r="B7361" i="1"/>
  <c r="A7362" i="1"/>
  <c r="B7362" i="1"/>
  <c r="A7363" i="1"/>
  <c r="B7363" i="1"/>
  <c r="A7364" i="1"/>
  <c r="B7364" i="1"/>
  <c r="A7365" i="1"/>
  <c r="B7365" i="1"/>
  <c r="A7366" i="1"/>
  <c r="B7366" i="1"/>
  <c r="A7367" i="1"/>
  <c r="B7367" i="1"/>
  <c r="A7368" i="1"/>
  <c r="B7368" i="1"/>
  <c r="A7369" i="1"/>
  <c r="B7369" i="1"/>
  <c r="A7370" i="1"/>
  <c r="B7370" i="1"/>
  <c r="A7371" i="1"/>
  <c r="B7371" i="1"/>
  <c r="A7372" i="1"/>
  <c r="B7372" i="1"/>
  <c r="A7373" i="1"/>
  <c r="B7373" i="1"/>
  <c r="A7374" i="1"/>
  <c r="B7374" i="1"/>
  <c r="A7375" i="1"/>
  <c r="B7375" i="1"/>
  <c r="A7376" i="1"/>
  <c r="B7376" i="1"/>
  <c r="A7377" i="1"/>
  <c r="B7377" i="1"/>
  <c r="A7378" i="1"/>
  <c r="B7378" i="1"/>
  <c r="A7379" i="1"/>
  <c r="B7379" i="1"/>
  <c r="A7380" i="1"/>
  <c r="B7380" i="1"/>
  <c r="A7381" i="1"/>
  <c r="B7381" i="1"/>
  <c r="A7382" i="1"/>
  <c r="B7382" i="1"/>
  <c r="A7383" i="1"/>
  <c r="B7383" i="1"/>
  <c r="A7384" i="1"/>
  <c r="B7384" i="1"/>
  <c r="A7385" i="1"/>
  <c r="B7385" i="1"/>
  <c r="A7386" i="1"/>
  <c r="B7386" i="1"/>
  <c r="A7387" i="1"/>
  <c r="B7387" i="1"/>
  <c r="A7388" i="1"/>
  <c r="B7388" i="1"/>
  <c r="A7389" i="1"/>
  <c r="B7389" i="1"/>
  <c r="A7390" i="1"/>
  <c r="B7390" i="1"/>
  <c r="A7391" i="1"/>
  <c r="B7391" i="1"/>
  <c r="A7392" i="1"/>
  <c r="B7392" i="1"/>
  <c r="A7393" i="1"/>
  <c r="B7393" i="1"/>
  <c r="A7394" i="1"/>
  <c r="B7394" i="1"/>
  <c r="A7395" i="1"/>
  <c r="B7395" i="1"/>
  <c r="A7396" i="1"/>
  <c r="B7396" i="1"/>
  <c r="A7397" i="1"/>
  <c r="B7397" i="1"/>
  <c r="A7398" i="1"/>
  <c r="B7398" i="1"/>
  <c r="A7399" i="1"/>
  <c r="B7399" i="1"/>
  <c r="A7400" i="1"/>
  <c r="B7400" i="1"/>
  <c r="A7401" i="1"/>
  <c r="B7401" i="1"/>
  <c r="A7402" i="1"/>
  <c r="B7402" i="1"/>
  <c r="A7403" i="1"/>
  <c r="B7403" i="1"/>
  <c r="A7404" i="1"/>
  <c r="B7404" i="1"/>
  <c r="A7405" i="1"/>
  <c r="B7405" i="1"/>
  <c r="A7406" i="1"/>
  <c r="B7406" i="1"/>
  <c r="A7407" i="1"/>
  <c r="B7407" i="1"/>
  <c r="A7408" i="1"/>
  <c r="B7408" i="1"/>
  <c r="A7409" i="1"/>
  <c r="B7409" i="1"/>
  <c r="A7410" i="1"/>
  <c r="B7410" i="1"/>
  <c r="A7411" i="1"/>
  <c r="B7411" i="1"/>
  <c r="A7412" i="1"/>
  <c r="B7412" i="1"/>
  <c r="A7413" i="1"/>
  <c r="B7413" i="1"/>
  <c r="A7414" i="1"/>
  <c r="B7414" i="1"/>
  <c r="A7415" i="1"/>
  <c r="B7415" i="1"/>
  <c r="A7416" i="1"/>
  <c r="B7416" i="1"/>
  <c r="A7417" i="1"/>
  <c r="B7417" i="1"/>
  <c r="A7418" i="1"/>
  <c r="B7418" i="1"/>
  <c r="A7419" i="1"/>
  <c r="B7419" i="1"/>
  <c r="A7420" i="1"/>
  <c r="B7420" i="1"/>
  <c r="A7421" i="1"/>
  <c r="B7421" i="1"/>
  <c r="A7422" i="1"/>
  <c r="B7422" i="1"/>
  <c r="A7423" i="1"/>
  <c r="B7423" i="1"/>
  <c r="A7424" i="1"/>
  <c r="B7424" i="1"/>
  <c r="A7425" i="1"/>
  <c r="B7425" i="1"/>
  <c r="A7426" i="1"/>
  <c r="B7426" i="1"/>
  <c r="A7427" i="1"/>
  <c r="B7427" i="1"/>
  <c r="A7428" i="1"/>
  <c r="B7428" i="1"/>
  <c r="A7429" i="1"/>
  <c r="B7429" i="1"/>
  <c r="A7430" i="1"/>
  <c r="B7430" i="1"/>
  <c r="A7431" i="1"/>
  <c r="B7431" i="1"/>
  <c r="A7432" i="1"/>
  <c r="B7432" i="1"/>
  <c r="A7433" i="1"/>
  <c r="B7433" i="1"/>
  <c r="A7434" i="1"/>
  <c r="B7434" i="1"/>
  <c r="A7435" i="1"/>
  <c r="B7435" i="1"/>
  <c r="A7436" i="1"/>
  <c r="B7436" i="1"/>
  <c r="A7437" i="1"/>
  <c r="B7437" i="1"/>
  <c r="A7438" i="1"/>
  <c r="B7438" i="1"/>
  <c r="A7439" i="1"/>
  <c r="B7439" i="1"/>
  <c r="A7440" i="1"/>
  <c r="B7440" i="1"/>
  <c r="A7441" i="1"/>
  <c r="B7441" i="1"/>
  <c r="A7442" i="1"/>
  <c r="B7442" i="1"/>
  <c r="A7443" i="1"/>
  <c r="B7443" i="1"/>
  <c r="A7444" i="1"/>
  <c r="B7444" i="1"/>
  <c r="A7445" i="1"/>
  <c r="B7445" i="1"/>
  <c r="A7446" i="1"/>
  <c r="B7446" i="1"/>
  <c r="A7447" i="1"/>
  <c r="B7447" i="1"/>
  <c r="A7448" i="1"/>
  <c r="B7448" i="1"/>
  <c r="A7449" i="1"/>
  <c r="B7449" i="1"/>
  <c r="A7450" i="1"/>
  <c r="B7450" i="1"/>
  <c r="A7451" i="1"/>
  <c r="B7451" i="1"/>
  <c r="A7452" i="1"/>
  <c r="B7452" i="1"/>
  <c r="A7453" i="1"/>
  <c r="B7453" i="1"/>
  <c r="A7454" i="1"/>
  <c r="B7454" i="1"/>
  <c r="A7455" i="1"/>
  <c r="B7455" i="1"/>
  <c r="A7456" i="1"/>
  <c r="B7456" i="1"/>
  <c r="A7457" i="1"/>
  <c r="B7457" i="1"/>
  <c r="A7458" i="1"/>
  <c r="B7458" i="1"/>
  <c r="A7459" i="1"/>
  <c r="B7459" i="1"/>
  <c r="A7460" i="1"/>
  <c r="B7460" i="1"/>
  <c r="A7461" i="1"/>
  <c r="B7461" i="1"/>
  <c r="A7462" i="1"/>
  <c r="B7462" i="1"/>
  <c r="A7463" i="1"/>
  <c r="B7463" i="1"/>
  <c r="A7464" i="1"/>
  <c r="B7464" i="1"/>
  <c r="A7465" i="1"/>
  <c r="B7465" i="1"/>
  <c r="A7466" i="1"/>
  <c r="B7466" i="1"/>
  <c r="A7467" i="1"/>
  <c r="B7467" i="1"/>
  <c r="A7468" i="1"/>
  <c r="B7468" i="1"/>
  <c r="A7469" i="1"/>
  <c r="B7469" i="1"/>
  <c r="A7470" i="1"/>
  <c r="B7470" i="1"/>
  <c r="A7471" i="1"/>
  <c r="B7471" i="1"/>
  <c r="A7472" i="1"/>
  <c r="B7472" i="1"/>
  <c r="A7473" i="1"/>
  <c r="B7473" i="1"/>
  <c r="A7474" i="1"/>
  <c r="B7474" i="1"/>
  <c r="A7475" i="1"/>
  <c r="B7475" i="1"/>
  <c r="A7476" i="1"/>
  <c r="B7476" i="1"/>
  <c r="A7477" i="1"/>
  <c r="B7477" i="1"/>
  <c r="A7478" i="1"/>
  <c r="B7478" i="1"/>
  <c r="A7479" i="1"/>
  <c r="B7479" i="1"/>
  <c r="A7480" i="1"/>
  <c r="B7480" i="1"/>
  <c r="A7481" i="1"/>
  <c r="B7481" i="1"/>
  <c r="A7482" i="1"/>
  <c r="B7482" i="1"/>
  <c r="A7483" i="1"/>
  <c r="B7483" i="1"/>
  <c r="A7484" i="1"/>
  <c r="B7484" i="1"/>
  <c r="A7485" i="1"/>
  <c r="B7485" i="1"/>
  <c r="A7486" i="1"/>
  <c r="B7486" i="1"/>
  <c r="A7487" i="1"/>
  <c r="B7487" i="1"/>
  <c r="A7488" i="1"/>
  <c r="B7488" i="1"/>
  <c r="A7489" i="1"/>
  <c r="B7489" i="1"/>
  <c r="A7490" i="1"/>
  <c r="B7490" i="1"/>
  <c r="A7491" i="1"/>
  <c r="B7491" i="1"/>
  <c r="A7492" i="1"/>
  <c r="B7492" i="1"/>
  <c r="A7493" i="1"/>
  <c r="B7493" i="1"/>
  <c r="A7494" i="1"/>
  <c r="B7494" i="1"/>
  <c r="A7495" i="1"/>
  <c r="B7495" i="1"/>
  <c r="A7496" i="1"/>
  <c r="B7496" i="1"/>
  <c r="A7497" i="1"/>
  <c r="B7497" i="1"/>
  <c r="A7498" i="1"/>
  <c r="B7498" i="1"/>
  <c r="A7499" i="1"/>
  <c r="B7499" i="1"/>
  <c r="A7500" i="1"/>
  <c r="B7500" i="1"/>
  <c r="A7501" i="1"/>
  <c r="B7501" i="1"/>
  <c r="A7502" i="1"/>
  <c r="B7502" i="1"/>
  <c r="A7503" i="1"/>
  <c r="B7503" i="1"/>
  <c r="A7504" i="1"/>
  <c r="B7504" i="1"/>
  <c r="A7505" i="1"/>
  <c r="B7505" i="1"/>
  <c r="A7506" i="1"/>
  <c r="B7506" i="1"/>
  <c r="A7507" i="1"/>
  <c r="B7507" i="1"/>
  <c r="A7508" i="1"/>
  <c r="B7508" i="1"/>
  <c r="A7509" i="1"/>
  <c r="B7509" i="1"/>
  <c r="A7510" i="1"/>
  <c r="B7510" i="1"/>
  <c r="A7511" i="1"/>
  <c r="B7511" i="1"/>
  <c r="A7512" i="1"/>
  <c r="B7512" i="1"/>
  <c r="A7513" i="1"/>
  <c r="B7513" i="1"/>
  <c r="A7514" i="1"/>
  <c r="B7514" i="1"/>
  <c r="A7515" i="1"/>
  <c r="B7515" i="1"/>
  <c r="A7516" i="1"/>
  <c r="B7516" i="1"/>
  <c r="A7517" i="1"/>
  <c r="B7517" i="1"/>
  <c r="A7518" i="1"/>
  <c r="B7518" i="1"/>
  <c r="A7519" i="1"/>
  <c r="B7519" i="1"/>
  <c r="A7520" i="1"/>
  <c r="B7520" i="1"/>
  <c r="A7521" i="1"/>
  <c r="B7521" i="1"/>
  <c r="A7522" i="1"/>
  <c r="B7522" i="1"/>
  <c r="A7523" i="1"/>
  <c r="B7523" i="1"/>
  <c r="A7524" i="1"/>
  <c r="B7524" i="1"/>
  <c r="A7525" i="1"/>
  <c r="B7525" i="1"/>
  <c r="A7526" i="1"/>
  <c r="B7526" i="1"/>
  <c r="A7527" i="1"/>
  <c r="B7527" i="1"/>
  <c r="A7528" i="1"/>
  <c r="B7528" i="1"/>
  <c r="A7529" i="1"/>
  <c r="B7529" i="1"/>
  <c r="A7530" i="1"/>
  <c r="B7530" i="1"/>
  <c r="A7531" i="1"/>
  <c r="B7531" i="1"/>
  <c r="A7532" i="1"/>
  <c r="B7532" i="1"/>
  <c r="A7533" i="1"/>
  <c r="B7533" i="1"/>
  <c r="A7534" i="1"/>
  <c r="B7534" i="1"/>
  <c r="A7535" i="1"/>
  <c r="B7535" i="1"/>
  <c r="A7536" i="1"/>
  <c r="B7536" i="1"/>
  <c r="A7537" i="1"/>
  <c r="B7537" i="1"/>
  <c r="A7538" i="1"/>
  <c r="B7538" i="1"/>
  <c r="A7539" i="1"/>
  <c r="B7539" i="1"/>
  <c r="A7540" i="1"/>
  <c r="B7540" i="1"/>
  <c r="A7541" i="1"/>
  <c r="B7541" i="1"/>
  <c r="A7542" i="1"/>
  <c r="B7542" i="1"/>
  <c r="A7543" i="1"/>
  <c r="B7543" i="1"/>
  <c r="A7544" i="1"/>
  <c r="B7544" i="1"/>
  <c r="A7545" i="1"/>
  <c r="B7545" i="1"/>
  <c r="A7546" i="1"/>
  <c r="B7546" i="1"/>
  <c r="A7547" i="1"/>
  <c r="B7547" i="1"/>
  <c r="A7548" i="1"/>
  <c r="B7548" i="1"/>
  <c r="A7549" i="1"/>
  <c r="B7549" i="1"/>
  <c r="A7550" i="1"/>
  <c r="B7550" i="1"/>
  <c r="A7551" i="1"/>
  <c r="B7551" i="1"/>
  <c r="A7552" i="1"/>
  <c r="B7552" i="1"/>
  <c r="A7553" i="1"/>
  <c r="B7553" i="1"/>
  <c r="A7554" i="1"/>
  <c r="B7554" i="1"/>
  <c r="A7555" i="1"/>
  <c r="B7555" i="1"/>
  <c r="A7556" i="1"/>
  <c r="B7556" i="1"/>
  <c r="A7557" i="1"/>
  <c r="B7557" i="1"/>
  <c r="A7558" i="1"/>
  <c r="B7558" i="1"/>
  <c r="A7559" i="1"/>
  <c r="B7559" i="1"/>
  <c r="A7560" i="1"/>
  <c r="B7560" i="1"/>
  <c r="A7561" i="1"/>
  <c r="B7561" i="1"/>
  <c r="A7562" i="1"/>
  <c r="B7562" i="1"/>
  <c r="A7563" i="1"/>
  <c r="B7563" i="1"/>
  <c r="A7564" i="1"/>
  <c r="B7564" i="1"/>
  <c r="A7565" i="1"/>
  <c r="B7565" i="1"/>
  <c r="A7566" i="1"/>
  <c r="B7566" i="1"/>
  <c r="A7567" i="1"/>
  <c r="B7567" i="1"/>
  <c r="A7568" i="1"/>
  <c r="B7568" i="1"/>
  <c r="A7569" i="1"/>
  <c r="B7569" i="1"/>
  <c r="A7570" i="1"/>
  <c r="B7570" i="1"/>
  <c r="A7571" i="1"/>
  <c r="B7571" i="1"/>
  <c r="A7572" i="1"/>
  <c r="B7572" i="1"/>
  <c r="A7573" i="1"/>
  <c r="B7573" i="1"/>
  <c r="A7574" i="1"/>
  <c r="B7574" i="1"/>
  <c r="A7575" i="1"/>
  <c r="B7575" i="1"/>
  <c r="A7576" i="1"/>
  <c r="B7576" i="1"/>
  <c r="A7577" i="1"/>
  <c r="B7577" i="1"/>
  <c r="A7578" i="1"/>
  <c r="B7578" i="1"/>
  <c r="A7579" i="1"/>
  <c r="B7579" i="1"/>
  <c r="A7580" i="1"/>
  <c r="B7580" i="1"/>
  <c r="A7581" i="1"/>
  <c r="B7581" i="1"/>
  <c r="A7582" i="1"/>
  <c r="B7582" i="1"/>
  <c r="A7583" i="1"/>
  <c r="B7583" i="1"/>
  <c r="A7584" i="1"/>
  <c r="B7584" i="1"/>
  <c r="A7585" i="1"/>
  <c r="B7585" i="1"/>
  <c r="A7586" i="1"/>
  <c r="B7586" i="1"/>
  <c r="A7587" i="1"/>
  <c r="B7587" i="1"/>
  <c r="A7588" i="1"/>
  <c r="B7588" i="1"/>
  <c r="A7589" i="1"/>
  <c r="B7589" i="1"/>
  <c r="A7590" i="1"/>
  <c r="B7590" i="1"/>
  <c r="A7591" i="1"/>
  <c r="B7591" i="1"/>
  <c r="A7592" i="1"/>
  <c r="B7592" i="1"/>
  <c r="A7593" i="1"/>
  <c r="B7593" i="1"/>
  <c r="A7594" i="1"/>
  <c r="B7594" i="1"/>
  <c r="A7595" i="1"/>
  <c r="B7595" i="1"/>
  <c r="A7596" i="1"/>
  <c r="B7596" i="1"/>
  <c r="A7597" i="1"/>
  <c r="B7597" i="1"/>
  <c r="A7598" i="1"/>
  <c r="B7598" i="1"/>
  <c r="A7599" i="1"/>
  <c r="B7599" i="1"/>
  <c r="A7600" i="1"/>
  <c r="B7600" i="1"/>
  <c r="A7601" i="1"/>
  <c r="B7601" i="1"/>
  <c r="A7602" i="1"/>
  <c r="B7602" i="1"/>
  <c r="A7603" i="1"/>
  <c r="B7603" i="1"/>
  <c r="A7604" i="1"/>
  <c r="B7604" i="1"/>
  <c r="A7605" i="1"/>
  <c r="B7605" i="1"/>
  <c r="A7606" i="1"/>
  <c r="B7606" i="1"/>
  <c r="A7607" i="1"/>
  <c r="B7607" i="1"/>
  <c r="A7608" i="1"/>
  <c r="B7608" i="1"/>
  <c r="A7609" i="1"/>
  <c r="B7609" i="1"/>
  <c r="A7610" i="1"/>
  <c r="B7610" i="1"/>
  <c r="A7611" i="1"/>
  <c r="B7611" i="1"/>
  <c r="A7612" i="1"/>
  <c r="B7612" i="1"/>
  <c r="A7613" i="1"/>
  <c r="B7613" i="1"/>
  <c r="A7614" i="1"/>
  <c r="B7614" i="1"/>
  <c r="A7615" i="1"/>
  <c r="B7615" i="1"/>
  <c r="A7616" i="1"/>
  <c r="B7616" i="1"/>
  <c r="A7617" i="1"/>
  <c r="B7617" i="1"/>
  <c r="A7618" i="1"/>
  <c r="B7618" i="1"/>
  <c r="A7619" i="1"/>
  <c r="B7619" i="1"/>
  <c r="A7620" i="1"/>
  <c r="B7620" i="1"/>
  <c r="A7621" i="1"/>
  <c r="B7621" i="1"/>
  <c r="A7622" i="1"/>
  <c r="B7622" i="1"/>
  <c r="A7623" i="1"/>
  <c r="B7623" i="1"/>
  <c r="A7624" i="1"/>
  <c r="B7624" i="1"/>
  <c r="A7625" i="1"/>
  <c r="B7625" i="1"/>
  <c r="A7626" i="1"/>
  <c r="B7626" i="1"/>
  <c r="A7627" i="1"/>
  <c r="B7627" i="1"/>
  <c r="A7628" i="1"/>
  <c r="B7628" i="1"/>
  <c r="A7629" i="1"/>
  <c r="B7629" i="1"/>
  <c r="A7630" i="1"/>
  <c r="B7630" i="1"/>
  <c r="A7631" i="1"/>
  <c r="B7631" i="1"/>
  <c r="A7632" i="1"/>
  <c r="B7632" i="1"/>
  <c r="A7633" i="1"/>
  <c r="B7633" i="1"/>
  <c r="A7634" i="1"/>
  <c r="B7634" i="1"/>
  <c r="A7635" i="1"/>
  <c r="B7635" i="1"/>
  <c r="A7636" i="1"/>
  <c r="B7636" i="1"/>
  <c r="A7637" i="1"/>
  <c r="B7637" i="1"/>
  <c r="A7638" i="1"/>
  <c r="B7638" i="1"/>
  <c r="A7639" i="1"/>
  <c r="B7639" i="1"/>
  <c r="A7640" i="1"/>
  <c r="B7640" i="1"/>
  <c r="A7641" i="1"/>
  <c r="B7641" i="1"/>
  <c r="A7642" i="1"/>
  <c r="B7642" i="1"/>
  <c r="A7643" i="1"/>
  <c r="B7643" i="1"/>
  <c r="A7644" i="1"/>
  <c r="B7644" i="1"/>
  <c r="A7645" i="1"/>
  <c r="B7645" i="1"/>
  <c r="A7646" i="1"/>
  <c r="B7646" i="1"/>
  <c r="A7647" i="1"/>
  <c r="B7647" i="1"/>
  <c r="A7648" i="1"/>
  <c r="B7648" i="1"/>
  <c r="A7649" i="1"/>
  <c r="B7649" i="1"/>
  <c r="A7650" i="1"/>
  <c r="B7650" i="1"/>
  <c r="A7651" i="1"/>
  <c r="B7651" i="1"/>
  <c r="A7652" i="1"/>
  <c r="B7652" i="1"/>
  <c r="A7653" i="1"/>
  <c r="B7653" i="1"/>
  <c r="A7654" i="1"/>
  <c r="B7654" i="1"/>
  <c r="A7655" i="1"/>
  <c r="B7655" i="1"/>
  <c r="A7656" i="1"/>
  <c r="B7656" i="1"/>
  <c r="A7657" i="1"/>
  <c r="B7657" i="1"/>
  <c r="A7658" i="1"/>
  <c r="B7658" i="1"/>
  <c r="A7659" i="1"/>
  <c r="B7659" i="1"/>
  <c r="A7660" i="1"/>
  <c r="B7660" i="1"/>
  <c r="A7661" i="1"/>
  <c r="B7661" i="1"/>
  <c r="A7662" i="1"/>
  <c r="B7662" i="1"/>
  <c r="A7663" i="1"/>
  <c r="B7663" i="1"/>
  <c r="A7664" i="1"/>
  <c r="B7664" i="1"/>
  <c r="A7665" i="1"/>
  <c r="B7665" i="1"/>
  <c r="A7666" i="1"/>
  <c r="B7666" i="1"/>
  <c r="A7667" i="1"/>
  <c r="B7667" i="1"/>
  <c r="A7668" i="1"/>
  <c r="B7668" i="1"/>
  <c r="A7669" i="1"/>
  <c r="B7669" i="1"/>
  <c r="A7670" i="1"/>
  <c r="B7670" i="1"/>
  <c r="A7671" i="1"/>
  <c r="B7671" i="1"/>
  <c r="A7672" i="1"/>
  <c r="B7672" i="1"/>
  <c r="A7673" i="1"/>
  <c r="B7673" i="1"/>
  <c r="A7674" i="1"/>
  <c r="B7674" i="1"/>
  <c r="A7675" i="1"/>
  <c r="B7675" i="1"/>
  <c r="A7676" i="1"/>
  <c r="B7676" i="1"/>
  <c r="A7677" i="1"/>
  <c r="B7677" i="1"/>
  <c r="A7678" i="1"/>
  <c r="B7678" i="1"/>
  <c r="A7679" i="1"/>
  <c r="B7679" i="1"/>
  <c r="A7680" i="1"/>
  <c r="B7680" i="1"/>
  <c r="A7681" i="1"/>
  <c r="B7681" i="1"/>
  <c r="A7682" i="1"/>
  <c r="B7682" i="1"/>
  <c r="A7683" i="1"/>
  <c r="B7683" i="1"/>
  <c r="A7684" i="1"/>
  <c r="B7684" i="1"/>
  <c r="A7685" i="1"/>
  <c r="B7685" i="1"/>
  <c r="A7686" i="1"/>
  <c r="B7686" i="1"/>
  <c r="A7687" i="1"/>
  <c r="B7687" i="1"/>
  <c r="A7688" i="1"/>
  <c r="B7688" i="1"/>
  <c r="A7689" i="1"/>
  <c r="B7689" i="1"/>
  <c r="A7690" i="1"/>
  <c r="B7690" i="1"/>
  <c r="A7691" i="1"/>
  <c r="B7691" i="1"/>
  <c r="A7692" i="1"/>
  <c r="B7692" i="1"/>
  <c r="A7693" i="1"/>
  <c r="B7693" i="1"/>
  <c r="A7694" i="1"/>
  <c r="B7694" i="1"/>
  <c r="A7695" i="1"/>
  <c r="B7695" i="1"/>
  <c r="A7696" i="1"/>
  <c r="B7696" i="1"/>
  <c r="A7697" i="1"/>
  <c r="B7697" i="1"/>
  <c r="A7698" i="1"/>
  <c r="B7698" i="1"/>
  <c r="A7699" i="1"/>
  <c r="B7699" i="1"/>
  <c r="A7700" i="1"/>
  <c r="B7700" i="1"/>
  <c r="A7701" i="1"/>
  <c r="B7701" i="1"/>
  <c r="A7702" i="1"/>
  <c r="B7702" i="1"/>
  <c r="A7703" i="1"/>
  <c r="B7703" i="1"/>
  <c r="A7704" i="1"/>
  <c r="B7704" i="1"/>
  <c r="A7705" i="1"/>
  <c r="B7705" i="1"/>
  <c r="A7706" i="1"/>
  <c r="B7706" i="1"/>
  <c r="A7707" i="1"/>
  <c r="B7707" i="1"/>
  <c r="A7708" i="1"/>
  <c r="B7708" i="1"/>
  <c r="A7709" i="1"/>
  <c r="B7709" i="1"/>
  <c r="A7710" i="1"/>
  <c r="B7710" i="1"/>
  <c r="A7711" i="1"/>
  <c r="B7711" i="1"/>
  <c r="A7712" i="1"/>
  <c r="B7712" i="1"/>
  <c r="A7713" i="1"/>
  <c r="B7713" i="1"/>
  <c r="A7714" i="1"/>
  <c r="B7714" i="1"/>
  <c r="A7715" i="1"/>
  <c r="B7715" i="1"/>
  <c r="A7716" i="1"/>
  <c r="B7716" i="1"/>
  <c r="A7717" i="1"/>
  <c r="B7717" i="1"/>
  <c r="A7718" i="1"/>
  <c r="B7718" i="1"/>
  <c r="A7719" i="1"/>
  <c r="B7719" i="1"/>
  <c r="A7720" i="1"/>
  <c r="B7720" i="1"/>
  <c r="A7721" i="1"/>
  <c r="B7721" i="1"/>
  <c r="A7722" i="1"/>
  <c r="B7722" i="1"/>
  <c r="A7723" i="1"/>
  <c r="B7723" i="1"/>
  <c r="A7724" i="1"/>
  <c r="B7724" i="1"/>
  <c r="A7725" i="1"/>
  <c r="B7725" i="1"/>
  <c r="A7726" i="1"/>
  <c r="B7726" i="1"/>
  <c r="A7727" i="1"/>
  <c r="B7727" i="1"/>
  <c r="A7728" i="1"/>
  <c r="B7728" i="1"/>
  <c r="A7729" i="1"/>
  <c r="B7729" i="1"/>
  <c r="A7730" i="1"/>
  <c r="B7730" i="1"/>
  <c r="A7731" i="1"/>
  <c r="B7731" i="1"/>
  <c r="A7732" i="1"/>
  <c r="B7732" i="1"/>
  <c r="A7733" i="1"/>
  <c r="B7733" i="1"/>
  <c r="A7734" i="1"/>
  <c r="B7734" i="1"/>
  <c r="A7735" i="1"/>
  <c r="B7735" i="1"/>
  <c r="A7736" i="1"/>
  <c r="B7736" i="1"/>
  <c r="A7737" i="1"/>
  <c r="B7737" i="1"/>
  <c r="A7738" i="1"/>
  <c r="B7738" i="1"/>
  <c r="A7739" i="1"/>
  <c r="B7739" i="1"/>
  <c r="A7740" i="1"/>
  <c r="B7740" i="1"/>
  <c r="A7741" i="1"/>
  <c r="B7741" i="1"/>
  <c r="A7742" i="1"/>
  <c r="B7742" i="1"/>
  <c r="A7743" i="1"/>
  <c r="B7743" i="1"/>
  <c r="A7744" i="1"/>
  <c r="B7744" i="1"/>
  <c r="A7745" i="1"/>
  <c r="B7745" i="1"/>
  <c r="A7746" i="1"/>
  <c r="B7746" i="1"/>
  <c r="A7747" i="1"/>
  <c r="B7747" i="1"/>
  <c r="A7748" i="1"/>
  <c r="B7748" i="1"/>
  <c r="A7749" i="1"/>
  <c r="B7749" i="1"/>
  <c r="A7750" i="1"/>
  <c r="B7750" i="1"/>
  <c r="A7751" i="1"/>
  <c r="B7751" i="1"/>
  <c r="A7752" i="1"/>
  <c r="B7752" i="1"/>
  <c r="A7753" i="1"/>
  <c r="B7753" i="1"/>
  <c r="A7754" i="1"/>
  <c r="B7754" i="1"/>
  <c r="A7755" i="1"/>
  <c r="B7755" i="1"/>
  <c r="A7756" i="1"/>
  <c r="B7756" i="1"/>
  <c r="A7757" i="1"/>
  <c r="B7757" i="1"/>
  <c r="A7758" i="1"/>
  <c r="B7758" i="1"/>
  <c r="A7759" i="1"/>
  <c r="B7759" i="1"/>
  <c r="A7760" i="1"/>
  <c r="B7760" i="1"/>
  <c r="A7761" i="1"/>
  <c r="B7761" i="1"/>
  <c r="A7762" i="1"/>
  <c r="B7762" i="1"/>
  <c r="A7763" i="1"/>
  <c r="B7763" i="1"/>
  <c r="A7764" i="1"/>
  <c r="B7764" i="1"/>
  <c r="A7765" i="1"/>
  <c r="B7765" i="1"/>
  <c r="A7766" i="1"/>
  <c r="B7766" i="1"/>
  <c r="A7767" i="1"/>
  <c r="B7767" i="1"/>
  <c r="A7768" i="1"/>
  <c r="B7768" i="1"/>
  <c r="A7769" i="1"/>
  <c r="B7769" i="1"/>
  <c r="A7770" i="1"/>
  <c r="B7770" i="1"/>
  <c r="A7771" i="1"/>
  <c r="B7771" i="1"/>
  <c r="A7772" i="1"/>
  <c r="B7772" i="1"/>
  <c r="A7773" i="1"/>
  <c r="B7773" i="1"/>
  <c r="A7774" i="1"/>
  <c r="B7774" i="1"/>
  <c r="A7775" i="1"/>
  <c r="B7775" i="1"/>
  <c r="A7776" i="1"/>
  <c r="B7776" i="1"/>
  <c r="A7777" i="1"/>
  <c r="B7777" i="1"/>
  <c r="A7778" i="1"/>
  <c r="B7778" i="1"/>
  <c r="A7779" i="1"/>
  <c r="B7779" i="1"/>
  <c r="A7780" i="1"/>
  <c r="B7780" i="1"/>
  <c r="A7781" i="1"/>
  <c r="B7781" i="1"/>
  <c r="A7782" i="1"/>
  <c r="B7782" i="1"/>
  <c r="A7783" i="1"/>
  <c r="B7783" i="1"/>
  <c r="A7784" i="1"/>
  <c r="B7784" i="1"/>
  <c r="A7785" i="1"/>
  <c r="B7785" i="1"/>
  <c r="A7786" i="1"/>
  <c r="B7786" i="1"/>
  <c r="A7787" i="1"/>
  <c r="B7787" i="1"/>
  <c r="A7788" i="1"/>
  <c r="B7788" i="1"/>
  <c r="A7789" i="1"/>
  <c r="B7789" i="1"/>
  <c r="A7790" i="1"/>
  <c r="B7790" i="1"/>
  <c r="A7791" i="1"/>
  <c r="B7791" i="1"/>
  <c r="A7792" i="1"/>
  <c r="B7792" i="1"/>
  <c r="A7793" i="1"/>
  <c r="B7793" i="1"/>
  <c r="A7794" i="1"/>
  <c r="B7794" i="1"/>
  <c r="A7795" i="1"/>
  <c r="B7795" i="1"/>
  <c r="A7796" i="1"/>
  <c r="B7796" i="1"/>
  <c r="A7797" i="1"/>
  <c r="B7797" i="1"/>
  <c r="A7798" i="1"/>
  <c r="B7798" i="1"/>
  <c r="A7799" i="1"/>
  <c r="B7799" i="1"/>
  <c r="A7800" i="1"/>
  <c r="B7800" i="1"/>
  <c r="A7801" i="1"/>
  <c r="B7801" i="1"/>
  <c r="A7802" i="1"/>
  <c r="B7802" i="1"/>
  <c r="A7803" i="1"/>
  <c r="B7803" i="1"/>
  <c r="A7804" i="1"/>
  <c r="B7804" i="1"/>
  <c r="A7805" i="1"/>
  <c r="B7805" i="1"/>
  <c r="A7806" i="1"/>
  <c r="B7806" i="1"/>
  <c r="A7807" i="1"/>
  <c r="B7807" i="1"/>
  <c r="A7808" i="1"/>
  <c r="B7808" i="1"/>
  <c r="A7809" i="1"/>
  <c r="B7809" i="1"/>
  <c r="A7810" i="1"/>
  <c r="B7810" i="1"/>
  <c r="A7811" i="1"/>
  <c r="B7811" i="1"/>
  <c r="A7812" i="1"/>
  <c r="B7812" i="1"/>
  <c r="A7813" i="1"/>
  <c r="B7813" i="1"/>
  <c r="A7814" i="1"/>
  <c r="B7814" i="1"/>
  <c r="A7815" i="1"/>
  <c r="B7815" i="1"/>
  <c r="A7816" i="1"/>
  <c r="B7816" i="1"/>
  <c r="A7817" i="1"/>
  <c r="B7817" i="1"/>
  <c r="A7818" i="1"/>
  <c r="B7818" i="1"/>
  <c r="A7819" i="1"/>
  <c r="B7819" i="1"/>
  <c r="A7820" i="1"/>
  <c r="B7820" i="1"/>
  <c r="A7821" i="1"/>
  <c r="B7821" i="1"/>
  <c r="A7822" i="1"/>
  <c r="B7822" i="1"/>
  <c r="A7823" i="1"/>
  <c r="B7823" i="1"/>
  <c r="A7824" i="1"/>
  <c r="B7824" i="1"/>
  <c r="A7825" i="1"/>
  <c r="B7825" i="1"/>
  <c r="A7826" i="1"/>
  <c r="B7826" i="1"/>
  <c r="A7827" i="1"/>
  <c r="B7827" i="1"/>
  <c r="A7828" i="1"/>
  <c r="B7828" i="1"/>
  <c r="A7829" i="1"/>
  <c r="B7829" i="1"/>
  <c r="A7830" i="1"/>
  <c r="B7830" i="1"/>
  <c r="A7831" i="1"/>
  <c r="B7831" i="1"/>
  <c r="A7832" i="1"/>
  <c r="B7832" i="1"/>
  <c r="A7833" i="1"/>
  <c r="B7833" i="1"/>
  <c r="A7834" i="1"/>
  <c r="B7834" i="1"/>
  <c r="A7835" i="1"/>
  <c r="B7835" i="1"/>
  <c r="A7836" i="1"/>
  <c r="B7836" i="1"/>
  <c r="A7837" i="1"/>
  <c r="B7837" i="1"/>
  <c r="A7838" i="1"/>
  <c r="B7838" i="1"/>
  <c r="A7839" i="1"/>
  <c r="B7839" i="1"/>
  <c r="A7840" i="1"/>
  <c r="B7840" i="1"/>
  <c r="A7841" i="1"/>
  <c r="B7841" i="1"/>
  <c r="A7842" i="1"/>
  <c r="B7842" i="1"/>
  <c r="A7843" i="1"/>
  <c r="B7843" i="1"/>
  <c r="A7844" i="1"/>
  <c r="B7844" i="1"/>
  <c r="A7845" i="1"/>
  <c r="B7845" i="1"/>
  <c r="A7846" i="1"/>
  <c r="B7846" i="1"/>
  <c r="A7847" i="1"/>
  <c r="B7847" i="1"/>
  <c r="A7848" i="1"/>
  <c r="B7848" i="1"/>
  <c r="A7849" i="1"/>
  <c r="B7849" i="1"/>
  <c r="A7850" i="1"/>
  <c r="B7850" i="1"/>
  <c r="A7851" i="1"/>
  <c r="B7851" i="1"/>
  <c r="A7852" i="1"/>
  <c r="B7852" i="1"/>
  <c r="A7853" i="1"/>
  <c r="B7853" i="1"/>
  <c r="A7854" i="1"/>
  <c r="B7854" i="1"/>
  <c r="A7855" i="1"/>
  <c r="B7855" i="1"/>
  <c r="A7856" i="1"/>
  <c r="B7856" i="1"/>
  <c r="A7857" i="1"/>
  <c r="B7857" i="1"/>
  <c r="A7858" i="1"/>
  <c r="B7858" i="1"/>
  <c r="A7859" i="1"/>
  <c r="B7859" i="1"/>
  <c r="A7860" i="1"/>
  <c r="B7860" i="1"/>
  <c r="A7861" i="1"/>
  <c r="B7861" i="1"/>
  <c r="A7862" i="1"/>
  <c r="B7862" i="1"/>
  <c r="A7863" i="1"/>
  <c r="B7863" i="1"/>
  <c r="A7864" i="1"/>
  <c r="B7864" i="1"/>
  <c r="A7865" i="1"/>
  <c r="B7865" i="1"/>
  <c r="A7866" i="1"/>
  <c r="B7866" i="1"/>
  <c r="A7867" i="1"/>
  <c r="B7867" i="1"/>
  <c r="A7868" i="1"/>
  <c r="B7868" i="1"/>
  <c r="A7869" i="1"/>
  <c r="B7869" i="1"/>
  <c r="A7870" i="1"/>
  <c r="B7870" i="1"/>
  <c r="A7871" i="1"/>
  <c r="B7871" i="1"/>
  <c r="A7872" i="1"/>
  <c r="B7872" i="1"/>
  <c r="A7873" i="1"/>
  <c r="B7873" i="1"/>
  <c r="A7874" i="1"/>
  <c r="B7874" i="1"/>
  <c r="A7875" i="1"/>
  <c r="B7875" i="1"/>
  <c r="A7876" i="1"/>
  <c r="B7876" i="1"/>
  <c r="A7877" i="1"/>
  <c r="B7877" i="1"/>
  <c r="A7878" i="1"/>
  <c r="B7878" i="1"/>
  <c r="A7879" i="1"/>
  <c r="B7879" i="1"/>
  <c r="A7880" i="1"/>
  <c r="B7880" i="1"/>
  <c r="A7881" i="1"/>
  <c r="B7881" i="1"/>
  <c r="A7882" i="1"/>
  <c r="B7882" i="1"/>
  <c r="A7883" i="1"/>
  <c r="B7883" i="1"/>
  <c r="A7884" i="1"/>
  <c r="B7884" i="1"/>
  <c r="A7885" i="1"/>
  <c r="B7885" i="1"/>
  <c r="A7886" i="1"/>
  <c r="B7886" i="1"/>
  <c r="A7887" i="1"/>
  <c r="B7887" i="1"/>
  <c r="A7888" i="1"/>
  <c r="B7888" i="1"/>
  <c r="A7889" i="1"/>
  <c r="B7889" i="1"/>
  <c r="A7890" i="1"/>
  <c r="B7890" i="1"/>
  <c r="A7891" i="1"/>
  <c r="B7891" i="1"/>
  <c r="A7892" i="1"/>
  <c r="B7892" i="1"/>
  <c r="A7893" i="1"/>
  <c r="B7893" i="1"/>
  <c r="A7894" i="1"/>
  <c r="B7894" i="1"/>
  <c r="A7895" i="1"/>
  <c r="B7895" i="1"/>
  <c r="A7896" i="1"/>
  <c r="B7896" i="1"/>
  <c r="A7897" i="1"/>
  <c r="B7897" i="1"/>
  <c r="A7898" i="1"/>
  <c r="B7898" i="1"/>
  <c r="A7899" i="1"/>
  <c r="B7899" i="1"/>
</calcChain>
</file>

<file path=xl/sharedStrings.xml><?xml version="1.0" encoding="utf-8"?>
<sst xmlns="http://schemas.openxmlformats.org/spreadsheetml/2006/main" count="15836" uniqueCount="81">
  <si>
    <t>SystemTime</t>
  </si>
  <si>
    <t>Timestamp</t>
  </si>
  <si>
    <t>NowSsceneName</t>
  </si>
  <si>
    <t>PupilRadiusH</t>
  </si>
  <si>
    <t>GazePointX</t>
  </si>
  <si>
    <t>Hitname</t>
  </si>
  <si>
    <t>HitPointX</t>
  </si>
  <si>
    <t>HitPointY</t>
  </si>
  <si>
    <t>HitPointZ</t>
  </si>
  <si>
    <t>CameraPosX</t>
  </si>
  <si>
    <t>CameraPosY</t>
  </si>
  <si>
    <t>CameraPosZ</t>
  </si>
  <si>
    <t>CarDirX</t>
  </si>
  <si>
    <t>CarDirY</t>
  </si>
  <si>
    <t>CarDirZ</t>
  </si>
  <si>
    <t>CameraDirX</t>
  </si>
  <si>
    <t>CameraDirY</t>
  </si>
  <si>
    <t>CameraDirZ</t>
  </si>
  <si>
    <t>EyeDirX</t>
  </si>
  <si>
    <t>EyeDirY</t>
  </si>
  <si>
    <t>EyeDirZ</t>
  </si>
  <si>
    <t>HeadLocalDirX</t>
  </si>
  <si>
    <t>HeadLocalDirY</t>
  </si>
  <si>
    <t>HeadLocalDirZ</t>
  </si>
  <si>
    <t>EyeLocalDirX</t>
  </si>
  <si>
    <t>EyeLocalDirY</t>
  </si>
  <si>
    <t>EyeLocalDirZ</t>
  </si>
  <si>
    <t>speed</t>
  </si>
  <si>
    <t>VecX</t>
  </si>
  <si>
    <t>VecY</t>
  </si>
  <si>
    <t>VecZ</t>
  </si>
  <si>
    <t>LocalVecX</t>
  </si>
  <si>
    <t>LocalVecY</t>
  </si>
  <si>
    <t>LocalVecZ</t>
  </si>
  <si>
    <t>Theta</t>
  </si>
  <si>
    <t>Phi</t>
  </si>
  <si>
    <t>r</t>
  </si>
  <si>
    <t>Theta_Head</t>
  </si>
  <si>
    <t>Phi_Head</t>
  </si>
  <si>
    <t>r_Head_value_is_1</t>
  </si>
  <si>
    <t>Testhuanghun_off</t>
  </si>
  <si>
    <t>Kooper</t>
  </si>
  <si>
    <t>Plane_01</t>
  </si>
  <si>
    <t>mcp_road_part_02</t>
  </si>
  <si>
    <t>Building 18 (9)</t>
  </si>
  <si>
    <t>Building 03</t>
  </si>
  <si>
    <t>Building 07 (16)</t>
  </si>
  <si>
    <t>mcp_roads_turn_01 (1)</t>
  </si>
  <si>
    <t>Building 15 (35)</t>
  </si>
  <si>
    <t>mcp_roads_T_cross_01</t>
  </si>
  <si>
    <t>mcp_road_part_01</t>
  </si>
  <si>
    <t>mcp_roads_cross_01</t>
  </si>
  <si>
    <t>Building 02 (8)</t>
  </si>
  <si>
    <t>Building 15 (31)</t>
  </si>
  <si>
    <t>Building 15 (33)</t>
  </si>
  <si>
    <t>Plane_01 (1)</t>
  </si>
  <si>
    <t>FAR</t>
  </si>
  <si>
    <t>Building 15 (30)</t>
  </si>
  <si>
    <t>mcp_building_24_fountain_marble</t>
  </si>
  <si>
    <t>Tong (3)</t>
  </si>
  <si>
    <t>Stand 02 (19)</t>
  </si>
  <si>
    <t>Box001</t>
  </si>
  <si>
    <t>Building 24</t>
  </si>
  <si>
    <t>Building 07 (18)</t>
  </si>
  <si>
    <t>Tree 02 (2)</t>
  </si>
  <si>
    <t>Bannar Stand</t>
  </si>
  <si>
    <t>Shurbs (3)</t>
  </si>
  <si>
    <t>Building 01</t>
  </si>
  <si>
    <t>Building 11 (3)</t>
  </si>
  <si>
    <t>mcp_roads_cross_02</t>
  </si>
  <si>
    <t>mcp_roads_turn_01</t>
  </si>
  <si>
    <t>mcp_road_part_02 (1)</t>
  </si>
  <si>
    <t>mcp_road_part_02 (2)</t>
  </si>
  <si>
    <t>mcp_road_part_02 (3)</t>
  </si>
  <si>
    <t>mcp_road_part_02 (6)</t>
  </si>
  <si>
    <t>mcp_road_part_02 (9)</t>
  </si>
  <si>
    <t>mcp_road_part_02 (8)</t>
  </si>
  <si>
    <t>mcp_road_part_02 (10)</t>
  </si>
  <si>
    <t>mcp_road_part_02 (11)</t>
  </si>
  <si>
    <t>mcp_road_part_02 (12)</t>
  </si>
  <si>
    <t>Building 24 (1)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</si>
</sst>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7899"/>
  <sheetViews>
    <sheetView tabSelected="1" workbookViewId="0"/>
  </sheetViews>
  <sheetFormatPr defaultRowHeight="13.8" x14ac:dyDescent="0.25"/>
  <sheetData>
    <row r="1" spans="1:4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</row>
    <row r="2" spans="1:40" x14ac:dyDescent="0.25">
      <c r="A2" t="str">
        <f>"20190312154212272"</f>
        <v>20190312154212272</v>
      </c>
      <c r="B2" t="str">
        <f>"1552376532267408"</f>
        <v>1552376532267408</v>
      </c>
      <c r="C2" t="s">
        <v>40</v>
      </c>
      <c r="D2">
        <v>4.7272230000000004</v>
      </c>
      <c r="E2">
        <v>0.50437809999999905</v>
      </c>
      <c r="F2" t="s">
        <v>41</v>
      </c>
      <c r="G2">
        <v>-475.92329999999998</v>
      </c>
      <c r="H2">
        <v>0.93964599999999998</v>
      </c>
      <c r="I2">
        <v>367.19200000000001</v>
      </c>
      <c r="J2">
        <v>-476.601</v>
      </c>
      <c r="K2">
        <v>1.109637</v>
      </c>
      <c r="L2">
        <v>367.21710000000002</v>
      </c>
      <c r="M2">
        <v>0.9999709</v>
      </c>
      <c r="N2">
        <v>0</v>
      </c>
      <c r="O2">
        <v>2.9875829999999998E-4</v>
      </c>
      <c r="P2">
        <v>0.99953539999999996</v>
      </c>
      <c r="Q2">
        <v>2.0855280000000001E-3</v>
      </c>
      <c r="R2">
        <v>-3.040938E-2</v>
      </c>
      <c r="S2">
        <v>2.9992679999999998</v>
      </c>
      <c r="T2">
        <v>-0.74052450000000003</v>
      </c>
      <c r="U2">
        <v>-0.107543899999999</v>
      </c>
      <c r="V2">
        <v>3.0706580000000001E-2</v>
      </c>
      <c r="W2">
        <v>9.7219049999999994E-3</v>
      </c>
      <c r="X2">
        <v>0.99948110000000001</v>
      </c>
      <c r="Y2">
        <v>3.5071480000000002E-2</v>
      </c>
      <c r="Z2">
        <v>-4.3369020000000001E-3</v>
      </c>
      <c r="AA2">
        <v>0.99937540000000002</v>
      </c>
      <c r="AB2">
        <v>1</v>
      </c>
      <c r="AC2">
        <v>0.67770000000001496</v>
      </c>
      <c r="AD2">
        <v>-0.169991</v>
      </c>
      <c r="AE2">
        <v>-2.5100000000065799E-2</v>
      </c>
      <c r="AF2">
        <v>2.38066514309422E-2</v>
      </c>
      <c r="AG2">
        <v>-0.169991</v>
      </c>
      <c r="AH2">
        <v>0.63762890923256699</v>
      </c>
      <c r="AI2">
        <v>104.91784804523201</v>
      </c>
      <c r="AJ2">
        <v>87.861785516021499</v>
      </c>
      <c r="AK2">
        <v>0.66032895031375605</v>
      </c>
      <c r="AL2">
        <v>89.442967065965107</v>
      </c>
      <c r="AM2">
        <v>88.2402826689938</v>
      </c>
      <c r="AN2">
        <v>0.99999993937466503</v>
      </c>
    </row>
    <row r="3" spans="1:40" x14ac:dyDescent="0.25">
      <c r="A3" t="str">
        <f>"20190312154212293"</f>
        <v>20190312154212293</v>
      </c>
      <c r="B3" t="str">
        <f>"1552376532286928"</f>
        <v>1552376532286928</v>
      </c>
      <c r="C3" t="s">
        <v>40</v>
      </c>
      <c r="D3">
        <v>4.6780869999999997</v>
      </c>
      <c r="E3">
        <v>0.50478049999999997</v>
      </c>
      <c r="F3" t="s">
        <v>41</v>
      </c>
      <c r="G3">
        <v>-475.91289999999998</v>
      </c>
      <c r="H3">
        <v>0.93593059999999995</v>
      </c>
      <c r="I3">
        <v>367.19170000000003</v>
      </c>
      <c r="J3">
        <v>-476.58730000000003</v>
      </c>
      <c r="K3">
        <v>1.1094919999999999</v>
      </c>
      <c r="L3">
        <v>367.21730000000002</v>
      </c>
      <c r="M3">
        <v>0.99997849999999999</v>
      </c>
      <c r="N3">
        <v>0</v>
      </c>
      <c r="O3">
        <v>4.7161019999999998E-4</v>
      </c>
      <c r="P3">
        <v>0.99955490000000002</v>
      </c>
      <c r="Q3">
        <v>2.5557969999999998E-3</v>
      </c>
      <c r="R3">
        <v>-2.972261E-2</v>
      </c>
      <c r="S3">
        <v>2.999695</v>
      </c>
      <c r="T3">
        <v>-0.75773059999999903</v>
      </c>
      <c r="U3">
        <v>-0.10903930000000001</v>
      </c>
      <c r="V3">
        <v>3.0192489999999999E-2</v>
      </c>
      <c r="W3">
        <v>9.1111030000000006E-3</v>
      </c>
      <c r="X3">
        <v>0.99950260000000002</v>
      </c>
      <c r="Y3">
        <v>3.5663880000000002E-2</v>
      </c>
      <c r="Z3">
        <v>-4.5506009999999996E-3</v>
      </c>
      <c r="AA3">
        <v>0.99935350000000001</v>
      </c>
      <c r="AB3">
        <v>1</v>
      </c>
      <c r="AC3">
        <v>0.67440000000004796</v>
      </c>
      <c r="AD3">
        <v>-0.17356139999999901</v>
      </c>
      <c r="AE3">
        <v>-2.5599999999997101E-2</v>
      </c>
      <c r="AF3">
        <v>2.4310246182623799E-2</v>
      </c>
      <c r="AG3">
        <v>-0.17356139999999901</v>
      </c>
      <c r="AH3">
        <v>0.63255259218152304</v>
      </c>
      <c r="AI3">
        <v>105.332570854232</v>
      </c>
      <c r="AJ3">
        <v>87.799093129737699</v>
      </c>
      <c r="AK3">
        <v>0.65638199968843103</v>
      </c>
      <c r="AL3">
        <v>89.477965040698095</v>
      </c>
      <c r="AM3">
        <v>88.269763017369698</v>
      </c>
      <c r="AN3">
        <v>1.00000002302851</v>
      </c>
    </row>
    <row r="4" spans="1:40" x14ac:dyDescent="0.25">
      <c r="A4" t="str">
        <f>"20190312154212315"</f>
        <v>20190312154212315</v>
      </c>
      <c r="B4" t="str">
        <f>"1552376532307424"</f>
        <v>1552376532307424</v>
      </c>
      <c r="C4" t="s">
        <v>40</v>
      </c>
      <c r="D4">
        <v>4.674709</v>
      </c>
      <c r="E4">
        <v>0.50514609999999904</v>
      </c>
      <c r="F4" t="s">
        <v>41</v>
      </c>
      <c r="G4">
        <v>-475.899</v>
      </c>
      <c r="H4">
        <v>0.93455049999999995</v>
      </c>
      <c r="I4">
        <v>367.1918</v>
      </c>
      <c r="J4">
        <v>-476.57060000000001</v>
      </c>
      <c r="K4">
        <v>1.1093519999999999</v>
      </c>
      <c r="L4">
        <v>367.21749999999997</v>
      </c>
      <c r="M4">
        <v>0.99998520000000002</v>
      </c>
      <c r="N4">
        <v>0</v>
      </c>
      <c r="O4">
        <v>6.8510960000000003E-4</v>
      </c>
      <c r="P4">
        <v>0.99956909999999999</v>
      </c>
      <c r="Q4">
        <v>3.8656089999999999E-3</v>
      </c>
      <c r="R4">
        <v>-2.9103380000000002E-2</v>
      </c>
      <c r="S4">
        <v>2.9999690000000001</v>
      </c>
      <c r="T4">
        <v>-0.76250119999999999</v>
      </c>
      <c r="U4">
        <v>-0.11035159999999999</v>
      </c>
      <c r="V4">
        <v>2.9786440000000001E-2</v>
      </c>
      <c r="W4">
        <v>9.2903859999999994E-3</v>
      </c>
      <c r="X4">
        <v>0.99951310000000004</v>
      </c>
      <c r="Y4">
        <v>3.6270539999999997E-2</v>
      </c>
      <c r="Z4">
        <v>-4.7071959999999899E-3</v>
      </c>
      <c r="AA4">
        <v>0.99933090000000002</v>
      </c>
      <c r="AB4">
        <v>1</v>
      </c>
      <c r="AC4">
        <v>0.67160000000001197</v>
      </c>
      <c r="AD4">
        <v>-0.1748015</v>
      </c>
      <c r="AE4">
        <v>-2.5699999999971999E-2</v>
      </c>
      <c r="AF4">
        <v>2.4502647323950799E-2</v>
      </c>
      <c r="AG4">
        <v>-0.1748015</v>
      </c>
      <c r="AH4">
        <v>0.62903161277108099</v>
      </c>
      <c r="AI4">
        <v>105.518870714611</v>
      </c>
      <c r="AJ4">
        <v>87.769287210474303</v>
      </c>
      <c r="AK4">
        <v>0.65332741714512399</v>
      </c>
      <c r="AL4">
        <v>89.467692429378403</v>
      </c>
      <c r="AM4">
        <v>88.293036531336597</v>
      </c>
      <c r="AN4">
        <v>0.99999999017575603</v>
      </c>
    </row>
    <row r="5" spans="1:40" x14ac:dyDescent="0.25">
      <c r="A5" t="str">
        <f>"20190312154212337"</f>
        <v>20190312154212337</v>
      </c>
      <c r="B5" t="str">
        <f>"1552376532326944"</f>
        <v>1552376532326944</v>
      </c>
      <c r="C5" t="s">
        <v>40</v>
      </c>
      <c r="D5">
        <v>4.6764679999999998</v>
      </c>
      <c r="E5">
        <v>0.50542889999999996</v>
      </c>
      <c r="F5" t="s">
        <v>41</v>
      </c>
      <c r="G5">
        <v>-475.88170000000002</v>
      </c>
      <c r="H5">
        <v>0.93517229999999996</v>
      </c>
      <c r="I5">
        <v>367.19119999999998</v>
      </c>
      <c r="J5">
        <v>-476.54989999999998</v>
      </c>
      <c r="K5">
        <v>1.1092329999999999</v>
      </c>
      <c r="L5">
        <v>367.21780000000001</v>
      </c>
      <c r="M5">
        <v>0.9999903</v>
      </c>
      <c r="N5">
        <v>0</v>
      </c>
      <c r="O5">
        <v>9.4698229999999996E-4</v>
      </c>
      <c r="P5">
        <v>0.99959109999999995</v>
      </c>
      <c r="Q5">
        <v>5.4056769999999898E-3</v>
      </c>
      <c r="R5">
        <v>-2.8076460000000001E-2</v>
      </c>
      <c r="S5">
        <v>3.0009769999999998</v>
      </c>
      <c r="T5">
        <v>-0.75929609999999903</v>
      </c>
      <c r="U5">
        <v>-0.1113281</v>
      </c>
      <c r="V5">
        <v>2.902101E-2</v>
      </c>
      <c r="W5">
        <v>9.7099839999999996E-3</v>
      </c>
      <c r="X5">
        <v>0.99953159999999996</v>
      </c>
      <c r="Y5">
        <v>3.6829319999999999E-2</v>
      </c>
      <c r="Z5">
        <v>-4.8212439999999997E-3</v>
      </c>
      <c r="AA5">
        <v>0.99931000000000003</v>
      </c>
      <c r="AB5">
        <v>2</v>
      </c>
      <c r="AC5">
        <v>0.66819999999995605</v>
      </c>
      <c r="AD5">
        <v>-0.17406069999999901</v>
      </c>
      <c r="AE5">
        <v>-2.6600000000030301E-2</v>
      </c>
      <c r="AF5">
        <v>2.55048477917693E-2</v>
      </c>
      <c r="AG5">
        <v>-0.17406069999999901</v>
      </c>
      <c r="AH5">
        <v>0.625778822762873</v>
      </c>
      <c r="AI5">
        <v>105.53166389013801</v>
      </c>
      <c r="AJ5">
        <v>87.666089454993397</v>
      </c>
      <c r="AK5">
        <v>0.65003596790012896</v>
      </c>
      <c r="AL5">
        <v>89.443650133324795</v>
      </c>
      <c r="AM5">
        <v>88.336906626982596</v>
      </c>
      <c r="AN5">
        <v>0.99999996110462896</v>
      </c>
    </row>
    <row r="6" spans="1:40" x14ac:dyDescent="0.25">
      <c r="A6" t="str">
        <f>"20190312154212371"</f>
        <v>20190312154212371</v>
      </c>
      <c r="B6" t="str">
        <f>"1552376532357200"</f>
        <v>1552376532357200</v>
      </c>
      <c r="C6" t="s">
        <v>40</v>
      </c>
      <c r="D6">
        <v>4.6257989999999998</v>
      </c>
      <c r="E6">
        <v>0.50531219999999999</v>
      </c>
      <c r="F6" t="s">
        <v>41</v>
      </c>
      <c r="G6">
        <v>-475.86180000000002</v>
      </c>
      <c r="H6">
        <v>0.93627199999999999</v>
      </c>
      <c r="I6">
        <v>367.19240000000002</v>
      </c>
      <c r="J6">
        <v>-476.51389999999998</v>
      </c>
      <c r="K6">
        <v>1.109116</v>
      </c>
      <c r="L6">
        <v>367.2183</v>
      </c>
      <c r="M6">
        <v>0.99999499999999997</v>
      </c>
      <c r="N6">
        <v>0</v>
      </c>
      <c r="O6">
        <v>1.3939110000000001E-3</v>
      </c>
      <c r="P6">
        <v>0.99959310000000001</v>
      </c>
      <c r="Q6">
        <v>6.137628E-3</v>
      </c>
      <c r="R6">
        <v>-2.7857110000000001E-2</v>
      </c>
      <c r="S6">
        <v>3.0022280000000001</v>
      </c>
      <c r="T6">
        <v>-0.75469010000000003</v>
      </c>
      <c r="U6">
        <v>-0.11026</v>
      </c>
      <c r="V6">
        <v>2.9248349999999999E-2</v>
      </c>
      <c r="W6">
        <v>9.0023900000000007E-3</v>
      </c>
      <c r="X6">
        <v>0.99953159999999996</v>
      </c>
      <c r="Y6">
        <v>3.6904340000000001E-2</v>
      </c>
      <c r="Z6">
        <v>-4.9108479999999998E-3</v>
      </c>
      <c r="AA6">
        <v>0.99930669999999999</v>
      </c>
      <c r="AB6">
        <v>2</v>
      </c>
      <c r="AC6">
        <v>0.65209999999996104</v>
      </c>
      <c r="AD6">
        <v>-0.172844</v>
      </c>
      <c r="AE6">
        <v>-2.58999999999787E-2</v>
      </c>
      <c r="AF6">
        <v>2.5051700634678001E-2</v>
      </c>
      <c r="AG6">
        <v>-0.172844</v>
      </c>
      <c r="AH6">
        <v>0.60932244596736995</v>
      </c>
      <c r="AI6">
        <v>105.824132774875</v>
      </c>
      <c r="AJ6">
        <v>87.645665629723695</v>
      </c>
      <c r="AK6">
        <v>0.63385840627094903</v>
      </c>
      <c r="AL6">
        <v>89.484194061764597</v>
      </c>
      <c r="AM6">
        <v>88.323885963148996</v>
      </c>
      <c r="AN6">
        <v>0.99999996420099602</v>
      </c>
    </row>
    <row r="7" spans="1:40" x14ac:dyDescent="0.25">
      <c r="A7" t="str">
        <f>"20190312154212394"</f>
        <v>20190312154212394</v>
      </c>
      <c r="B7" t="str">
        <f>"1552376532387456"</f>
        <v>1552376532387456</v>
      </c>
      <c r="C7" t="s">
        <v>40</v>
      </c>
      <c r="D7">
        <v>4.6740320000000004</v>
      </c>
      <c r="E7">
        <v>0.50569909999999996</v>
      </c>
      <c r="F7" t="s">
        <v>41</v>
      </c>
      <c r="G7">
        <v>-475.8177</v>
      </c>
      <c r="H7">
        <v>0.9333534</v>
      </c>
      <c r="I7">
        <v>367.1927</v>
      </c>
      <c r="J7">
        <v>-476.48590000000002</v>
      </c>
      <c r="K7">
        <v>1.109067</v>
      </c>
      <c r="L7">
        <v>367.21870000000001</v>
      </c>
      <c r="M7">
        <v>0.99999640000000001</v>
      </c>
      <c r="N7">
        <v>0</v>
      </c>
      <c r="O7">
        <v>1.7315220000000001E-3</v>
      </c>
      <c r="P7">
        <v>0.99958349999999996</v>
      </c>
      <c r="Q7">
        <v>6.0032380000000002E-3</v>
      </c>
      <c r="R7">
        <v>-2.822355E-2</v>
      </c>
      <c r="S7">
        <v>3.002869</v>
      </c>
      <c r="T7">
        <v>-0.75839820000000002</v>
      </c>
      <c r="U7">
        <v>-0.10852050000000001</v>
      </c>
      <c r="V7">
        <v>2.995254E-2</v>
      </c>
      <c r="W7">
        <v>8.067823E-3</v>
      </c>
      <c r="X7">
        <v>0.99951880000000004</v>
      </c>
      <c r="Y7">
        <v>3.6642309999999997E-2</v>
      </c>
      <c r="Z7">
        <v>-4.9846300000000003E-3</v>
      </c>
      <c r="AA7">
        <v>0.99931599999999998</v>
      </c>
      <c r="AB7">
        <v>2</v>
      </c>
      <c r="AC7">
        <v>0.66820000000001301</v>
      </c>
      <c r="AD7">
        <v>-0.1757136</v>
      </c>
      <c r="AE7">
        <v>-2.60000000000104E-2</v>
      </c>
      <c r="AF7">
        <v>2.5402983002601801E-2</v>
      </c>
      <c r="AG7">
        <v>-0.1757136</v>
      </c>
      <c r="AH7">
        <v>0.62500000472352402</v>
      </c>
      <c r="AI7">
        <v>105.69057422342701</v>
      </c>
      <c r="AJ7">
        <v>87.672507183319297</v>
      </c>
      <c r="AK7">
        <v>0.64972731716836096</v>
      </c>
      <c r="AL7">
        <v>89.537742795006494</v>
      </c>
      <c r="AM7">
        <v>88.283533344763498</v>
      </c>
      <c r="AN7">
        <v>1.0000000379869201</v>
      </c>
    </row>
    <row r="8" spans="1:40" x14ac:dyDescent="0.25">
      <c r="A8" t="str">
        <f>"20190312154212415"</f>
        <v>20190312154212415</v>
      </c>
      <c r="B8" t="str">
        <f>"1552376532406975"</f>
        <v>1552376532406975</v>
      </c>
      <c r="C8" t="s">
        <v>40</v>
      </c>
      <c r="D8">
        <v>4.6105199999999904</v>
      </c>
      <c r="E8">
        <v>0.50571489999999997</v>
      </c>
      <c r="F8" t="s">
        <v>41</v>
      </c>
      <c r="G8">
        <v>-475.79129999999998</v>
      </c>
      <c r="H8">
        <v>0.93380569999999896</v>
      </c>
      <c r="I8">
        <v>367.19220000000001</v>
      </c>
      <c r="J8">
        <v>-476.45749999999998</v>
      </c>
      <c r="K8">
        <v>1.109035</v>
      </c>
      <c r="L8">
        <v>367.21910000000003</v>
      </c>
      <c r="M8">
        <v>0.99999700000000002</v>
      </c>
      <c r="N8">
        <v>0</v>
      </c>
      <c r="O8">
        <v>2.0650260000000002E-3</v>
      </c>
      <c r="P8">
        <v>0.99958009999999997</v>
      </c>
      <c r="Q8">
        <v>6.4713959999999999E-3</v>
      </c>
      <c r="R8">
        <v>-2.8250979999999998E-2</v>
      </c>
      <c r="S8">
        <v>3.0026250000000001</v>
      </c>
      <c r="T8">
        <v>-0.75799780000000005</v>
      </c>
      <c r="U8">
        <v>-0.1122437</v>
      </c>
      <c r="V8">
        <v>3.0312970000000002E-2</v>
      </c>
      <c r="W8">
        <v>7.8823369999999997E-3</v>
      </c>
      <c r="X8">
        <v>0.99950939999999999</v>
      </c>
      <c r="Y8">
        <v>3.8159060000000002E-2</v>
      </c>
      <c r="Z8">
        <v>-5.2536569999999897E-3</v>
      </c>
      <c r="AA8">
        <v>0.99925790000000003</v>
      </c>
      <c r="AB8">
        <v>3</v>
      </c>
      <c r="AC8">
        <v>0.66620000000000301</v>
      </c>
      <c r="AD8">
        <v>-0.1752293</v>
      </c>
      <c r="AE8">
        <v>-2.6900000000011901E-2</v>
      </c>
      <c r="AF8">
        <v>2.6448814112504802E-2</v>
      </c>
      <c r="AG8">
        <v>-0.1752293</v>
      </c>
      <c r="AH8">
        <v>0.623104485936533</v>
      </c>
      <c r="AI8">
        <v>105.693598384154</v>
      </c>
      <c r="AJ8">
        <v>87.5694344697351</v>
      </c>
      <c r="AK8">
        <v>0.64781482519364997</v>
      </c>
      <c r="AL8">
        <v>89.548370691259393</v>
      </c>
      <c r="AM8">
        <v>88.262874719150801</v>
      </c>
      <c r="AN8">
        <v>1.0000000240375799</v>
      </c>
    </row>
    <row r="9" spans="1:40" x14ac:dyDescent="0.25">
      <c r="A9" t="str">
        <f>"20190312154212438"</f>
        <v>20190312154212438</v>
      </c>
      <c r="B9" t="str">
        <f>"1552376532427472"</f>
        <v>1552376532427472</v>
      </c>
      <c r="C9" t="s">
        <v>40</v>
      </c>
      <c r="D9">
        <v>4.6205270000000001</v>
      </c>
      <c r="E9">
        <v>0.50599939999999999</v>
      </c>
      <c r="F9" t="s">
        <v>41</v>
      </c>
      <c r="G9">
        <v>-475.76299999999998</v>
      </c>
      <c r="H9">
        <v>0.93345199999999995</v>
      </c>
      <c r="I9">
        <v>367.1927</v>
      </c>
      <c r="J9">
        <v>-476.42320000000001</v>
      </c>
      <c r="K9">
        <v>1.1090040000000001</v>
      </c>
      <c r="L9">
        <v>367.21960000000001</v>
      </c>
      <c r="M9">
        <v>0.99999669999999896</v>
      </c>
      <c r="N9">
        <v>0</v>
      </c>
      <c r="O9">
        <v>2.460655E-3</v>
      </c>
      <c r="P9">
        <v>0.99956140000000004</v>
      </c>
      <c r="Q9">
        <v>7.580916E-3</v>
      </c>
      <c r="R9">
        <v>-2.8625709999999999E-2</v>
      </c>
      <c r="S9">
        <v>3.0030519999999998</v>
      </c>
      <c r="T9">
        <v>-0.75943780000000005</v>
      </c>
      <c r="U9">
        <v>-0.1121521</v>
      </c>
      <c r="V9">
        <v>3.1083039999999999E-2</v>
      </c>
      <c r="W9">
        <v>8.3443790000000007E-3</v>
      </c>
      <c r="X9">
        <v>0.99948199999999998</v>
      </c>
      <c r="Y9">
        <v>3.849139E-2</v>
      </c>
      <c r="Z9">
        <v>-5.402436E-3</v>
      </c>
      <c r="AA9">
        <v>0.99924429999999997</v>
      </c>
      <c r="AB9">
        <v>3</v>
      </c>
      <c r="AC9">
        <v>0.66019999999997403</v>
      </c>
      <c r="AD9">
        <v>-0.17555200000000001</v>
      </c>
      <c r="AE9">
        <v>-2.6900000000011901E-2</v>
      </c>
      <c r="AF9">
        <v>2.6643679382645901E-2</v>
      </c>
      <c r="AG9">
        <v>-0.17555200000000001</v>
      </c>
      <c r="AH9">
        <v>0.61660590595508902</v>
      </c>
      <c r="AI9">
        <v>105.877954526076</v>
      </c>
      <c r="AJ9">
        <v>87.525775654945306</v>
      </c>
      <c r="AK9">
        <v>0.64166286600810996</v>
      </c>
      <c r="AL9">
        <v>89.521896764768599</v>
      </c>
      <c r="AM9">
        <v>88.218724105101003</v>
      </c>
      <c r="AN9">
        <v>1.00000002618026</v>
      </c>
    </row>
    <row r="10" spans="1:40" x14ac:dyDescent="0.25">
      <c r="A10" t="str">
        <f>"20190312154212460"</f>
        <v>20190312154212460</v>
      </c>
      <c r="B10" t="str">
        <f>"1552376532446992"</f>
        <v>1552376532446992</v>
      </c>
      <c r="C10" t="s">
        <v>40</v>
      </c>
      <c r="D10">
        <v>4.6641870000000001</v>
      </c>
      <c r="E10">
        <v>0.50629709999999895</v>
      </c>
      <c r="F10" t="s">
        <v>41</v>
      </c>
      <c r="G10">
        <v>-475.73140000000001</v>
      </c>
      <c r="H10">
        <v>0.93524549999999995</v>
      </c>
      <c r="I10">
        <v>367.19240000000002</v>
      </c>
      <c r="J10">
        <v>-476.38819999999998</v>
      </c>
      <c r="K10">
        <v>1.108978</v>
      </c>
      <c r="L10">
        <v>367.22019999999998</v>
      </c>
      <c r="M10">
        <v>0.999996</v>
      </c>
      <c r="N10">
        <v>0</v>
      </c>
      <c r="O10">
        <v>2.8536910000000002E-3</v>
      </c>
      <c r="P10">
        <v>0.99955799999999995</v>
      </c>
      <c r="Q10">
        <v>8.9512040000000008E-3</v>
      </c>
      <c r="R10">
        <v>-2.835089E-2</v>
      </c>
      <c r="S10">
        <v>3.0037539999999998</v>
      </c>
      <c r="T10">
        <v>-0.75479339999999995</v>
      </c>
      <c r="U10">
        <v>-0.1160583</v>
      </c>
      <c r="V10">
        <v>3.1200869999999999E-2</v>
      </c>
      <c r="W10">
        <v>9.1697540000000004E-3</v>
      </c>
      <c r="X10">
        <v>0.99947109999999995</v>
      </c>
      <c r="Y10">
        <v>4.0126120000000001E-2</v>
      </c>
      <c r="Z10">
        <v>-5.6684450000000003E-3</v>
      </c>
      <c r="AA10">
        <v>0.99917849999999997</v>
      </c>
      <c r="AB10">
        <v>3</v>
      </c>
      <c r="AC10">
        <v>0.65679999999997496</v>
      </c>
      <c r="AD10">
        <v>-0.17373250000000001</v>
      </c>
      <c r="AE10">
        <v>-2.7799999999956498E-2</v>
      </c>
      <c r="AF10">
        <v>2.7736976826138699E-2</v>
      </c>
      <c r="AG10">
        <v>-0.17373250000000001</v>
      </c>
      <c r="AH10">
        <v>0.61384560760028894</v>
      </c>
      <c r="AI10">
        <v>105.787435130587</v>
      </c>
      <c r="AJ10">
        <v>87.412816142182194</v>
      </c>
      <c r="AK10">
        <v>0.63855990432368304</v>
      </c>
      <c r="AL10">
        <v>89.474604448869101</v>
      </c>
      <c r="AM10">
        <v>88.211956508623302</v>
      </c>
      <c r="AN10">
        <v>1.0000000292061899</v>
      </c>
    </row>
    <row r="11" spans="1:40" x14ac:dyDescent="0.25">
      <c r="A11" t="str">
        <f>"20190312154212482"</f>
        <v>20190312154212482</v>
      </c>
      <c r="B11" t="str">
        <f>"1552376532477249"</f>
        <v>1552376532477249</v>
      </c>
      <c r="C11" t="s">
        <v>40</v>
      </c>
      <c r="D11">
        <v>4.675478</v>
      </c>
      <c r="E11">
        <v>0.50642010000000004</v>
      </c>
      <c r="F11" t="s">
        <v>41</v>
      </c>
      <c r="G11">
        <v>-475.69760000000002</v>
      </c>
      <c r="H11">
        <v>0.93666349999999998</v>
      </c>
      <c r="I11">
        <v>367.19279999999998</v>
      </c>
      <c r="J11">
        <v>-476.35090000000002</v>
      </c>
      <c r="K11">
        <v>1.108948</v>
      </c>
      <c r="L11">
        <v>367.22070000000002</v>
      </c>
      <c r="M11">
        <v>0.99999470000000001</v>
      </c>
      <c r="N11">
        <v>0</v>
      </c>
      <c r="O11">
        <v>3.2633430000000001E-3</v>
      </c>
      <c r="P11">
        <v>0.99955649999999996</v>
      </c>
      <c r="Q11">
        <v>9.4321219999999994E-3</v>
      </c>
      <c r="R11">
        <v>-2.8245220000000001E-2</v>
      </c>
      <c r="S11">
        <v>3.0047000000000001</v>
      </c>
      <c r="T11">
        <v>-0.749857199999999</v>
      </c>
      <c r="U11">
        <v>-0.1177368</v>
      </c>
      <c r="V11">
        <v>3.150476E-2</v>
      </c>
      <c r="W11">
        <v>9.164508E-3</v>
      </c>
      <c r="X11">
        <v>0.99946159999999995</v>
      </c>
      <c r="Y11">
        <v>4.1057499999999997E-2</v>
      </c>
      <c r="Z11">
        <v>-5.8457789999999997E-3</v>
      </c>
      <c r="AA11">
        <v>0.99913969999999996</v>
      </c>
      <c r="AB11">
        <v>3</v>
      </c>
      <c r="AC11">
        <v>0.65330000000000099</v>
      </c>
      <c r="AD11">
        <v>-0.17228450000000001</v>
      </c>
      <c r="AE11">
        <v>-2.7900000000045101E-2</v>
      </c>
      <c r="AF11">
        <v>2.8082356019647699E-2</v>
      </c>
      <c r="AG11">
        <v>-0.17228450000000001</v>
      </c>
      <c r="AH11">
        <v>0.61080430501554706</v>
      </c>
      <c r="AI11">
        <v>105.735928627601</v>
      </c>
      <c r="AJ11">
        <v>87.367621344459494</v>
      </c>
      <c r="AK11">
        <v>0.63525779545424699</v>
      </c>
      <c r="AL11">
        <v>89.474905027160901</v>
      </c>
      <c r="AM11">
        <v>88.194535656747703</v>
      </c>
      <c r="AN11">
        <v>1.00000001399204</v>
      </c>
    </row>
    <row r="12" spans="1:40" x14ac:dyDescent="0.25">
      <c r="A12" t="str">
        <f>"20190312154212504"</f>
        <v>20190312154212504</v>
      </c>
      <c r="B12" t="str">
        <f>"1552376532497744"</f>
        <v>1552376532497744</v>
      </c>
      <c r="C12" t="s">
        <v>40</v>
      </c>
      <c r="D12">
        <v>4.6451789999999997</v>
      </c>
      <c r="E12">
        <v>0.50644929999999999</v>
      </c>
      <c r="F12" t="s">
        <v>41</v>
      </c>
      <c r="G12">
        <v>-475.6617</v>
      </c>
      <c r="H12">
        <v>0.93741079999999999</v>
      </c>
      <c r="I12">
        <v>367.19319999999999</v>
      </c>
      <c r="J12">
        <v>-476.30900000000003</v>
      </c>
      <c r="K12">
        <v>1.1089209999999901</v>
      </c>
      <c r="L12">
        <v>367.22140000000002</v>
      </c>
      <c r="M12">
        <v>0.99999300000000002</v>
      </c>
      <c r="N12">
        <v>0</v>
      </c>
      <c r="O12">
        <v>3.7126469999999999E-3</v>
      </c>
      <c r="P12">
        <v>0.99956109999999998</v>
      </c>
      <c r="Q12">
        <v>9.2292069999999997E-3</v>
      </c>
      <c r="R12">
        <v>-2.8157399999999999E-2</v>
      </c>
      <c r="S12">
        <v>3.0050050000000001</v>
      </c>
      <c r="T12">
        <v>-0.74821190000000004</v>
      </c>
      <c r="U12">
        <v>-0.11840820000000001</v>
      </c>
      <c r="V12">
        <v>3.1865860000000003E-2</v>
      </c>
      <c r="W12">
        <v>8.5036380000000009E-3</v>
      </c>
      <c r="X12">
        <v>0.99945600000000001</v>
      </c>
      <c r="Y12">
        <v>4.1698209999999999E-2</v>
      </c>
      <c r="Z12">
        <v>-6.0214219999999898E-3</v>
      </c>
      <c r="AA12">
        <v>0.99911209999999995</v>
      </c>
      <c r="AB12">
        <v>4</v>
      </c>
      <c r="AC12">
        <v>0.64730000000002896</v>
      </c>
      <c r="AD12">
        <v>-0.171510199999999</v>
      </c>
      <c r="AE12">
        <v>-2.82000000000266E-2</v>
      </c>
      <c r="AF12">
        <v>2.8599009356963401E-2</v>
      </c>
      <c r="AG12">
        <v>-0.171510199999999</v>
      </c>
      <c r="AH12">
        <v>0.60481049421200295</v>
      </c>
      <c r="AI12">
        <v>105.81531807251601</v>
      </c>
      <c r="AJ12">
        <v>87.292733997515896</v>
      </c>
      <c r="AK12">
        <v>0.62930865713829698</v>
      </c>
      <c r="AL12">
        <v>89.512771569853598</v>
      </c>
      <c r="AM12">
        <v>88.173845564823196</v>
      </c>
      <c r="AN12">
        <v>1.00000002041438</v>
      </c>
    </row>
    <row r="13" spans="1:40" x14ac:dyDescent="0.25">
      <c r="A13" t="str">
        <f>"20190312154212528"</f>
        <v>20190312154212528</v>
      </c>
      <c r="B13" t="str">
        <f>"1552376532517268"</f>
        <v>1552376532517268</v>
      </c>
      <c r="C13" t="s">
        <v>40</v>
      </c>
      <c r="D13">
        <v>4.6794209999999996</v>
      </c>
      <c r="E13">
        <v>0.50654299999999997</v>
      </c>
      <c r="F13" t="s">
        <v>41</v>
      </c>
      <c r="G13">
        <v>-475.62369999999999</v>
      </c>
      <c r="H13">
        <v>0.93771020000000005</v>
      </c>
      <c r="I13">
        <v>367.19389999999999</v>
      </c>
      <c r="J13">
        <v>-476.26209999999998</v>
      </c>
      <c r="K13">
        <v>1.108889</v>
      </c>
      <c r="L13">
        <v>367.22199999999998</v>
      </c>
      <c r="M13">
        <v>0.99999059999999995</v>
      </c>
      <c r="N13">
        <v>0</v>
      </c>
      <c r="O13">
        <v>4.1995369999999997E-3</v>
      </c>
      <c r="P13">
        <v>0.99958159999999896</v>
      </c>
      <c r="Q13">
        <v>9.6972139999999991E-3</v>
      </c>
      <c r="R13">
        <v>-2.7256309999999999E-2</v>
      </c>
      <c r="S13">
        <v>3.0049440000000001</v>
      </c>
      <c r="T13">
        <v>-0.75116470000000002</v>
      </c>
      <c r="U13">
        <v>-0.1185913</v>
      </c>
      <c r="V13">
        <v>3.1451659999999999E-2</v>
      </c>
      <c r="W13">
        <v>8.5422599999999994E-3</v>
      </c>
      <c r="X13">
        <v>0.99946869999999999</v>
      </c>
      <c r="Y13">
        <v>4.2204859999999997E-2</v>
      </c>
      <c r="Z13">
        <v>-6.2267579999999998E-3</v>
      </c>
      <c r="AA13">
        <v>0.99908960000000002</v>
      </c>
      <c r="AB13">
        <v>4</v>
      </c>
      <c r="AC13">
        <v>0.63839999999998998</v>
      </c>
      <c r="AD13">
        <v>-0.17117879999999999</v>
      </c>
      <c r="AE13">
        <v>-2.80999999999949E-2</v>
      </c>
      <c r="AF13">
        <v>2.8719844102378399E-2</v>
      </c>
      <c r="AG13">
        <v>-0.17117879999999999</v>
      </c>
      <c r="AH13">
        <v>0.59554119652660398</v>
      </c>
      <c r="AI13">
        <v>106.018791995201</v>
      </c>
      <c r="AJ13">
        <v>87.239062529835294</v>
      </c>
      <c r="AK13">
        <v>0.62031953683165897</v>
      </c>
      <c r="AL13">
        <v>89.510558567525507</v>
      </c>
      <c r="AM13">
        <v>88.197589480581001</v>
      </c>
      <c r="AN13">
        <v>0.99999992970117402</v>
      </c>
    </row>
    <row r="14" spans="1:40" x14ac:dyDescent="0.25">
      <c r="A14" t="str">
        <f>"20190312154212551"</f>
        <v>20190312154212551</v>
      </c>
      <c r="B14" t="str">
        <f>"1552376532547520"</f>
        <v>1552376532547520</v>
      </c>
      <c r="C14" t="s">
        <v>40</v>
      </c>
      <c r="D14">
        <v>4.6833720000000003</v>
      </c>
      <c r="E14">
        <v>0.50672510000000004</v>
      </c>
      <c r="F14" t="s">
        <v>41</v>
      </c>
      <c r="G14">
        <v>-475.5829</v>
      </c>
      <c r="H14">
        <v>0.93914410000000004</v>
      </c>
      <c r="I14">
        <v>367.19510000000002</v>
      </c>
      <c r="J14">
        <v>-476.21289999999999</v>
      </c>
      <c r="K14">
        <v>1.1088549999999999</v>
      </c>
      <c r="L14">
        <v>367.22280000000001</v>
      </c>
      <c r="M14">
        <v>0.99998779999999998</v>
      </c>
      <c r="N14">
        <v>0</v>
      </c>
      <c r="O14">
        <v>4.6940749999999998E-3</v>
      </c>
      <c r="P14">
        <v>0.99960320000000003</v>
      </c>
      <c r="Q14">
        <v>1.065433E-2</v>
      </c>
      <c r="R14">
        <v>-2.6080599999999999E-2</v>
      </c>
      <c r="S14">
        <v>3.0053709999999998</v>
      </c>
      <c r="T14">
        <v>-0.75146789999999997</v>
      </c>
      <c r="U14">
        <v>-0.1167603</v>
      </c>
      <c r="V14">
        <v>3.0770059999999998E-2</v>
      </c>
      <c r="W14">
        <v>9.1244540000000006E-3</v>
      </c>
      <c r="X14">
        <v>0.99948479999999995</v>
      </c>
      <c r="Y14">
        <v>4.2073609999999997E-2</v>
      </c>
      <c r="Z14">
        <v>-6.3339969999999897E-3</v>
      </c>
      <c r="AA14">
        <v>0.99909440000000005</v>
      </c>
      <c r="AB14">
        <v>4</v>
      </c>
      <c r="AC14">
        <v>0.62999999999999501</v>
      </c>
      <c r="AD14">
        <v>-0.1697109</v>
      </c>
      <c r="AE14">
        <v>-2.76999999999816E-2</v>
      </c>
      <c r="AF14">
        <v>2.8586533002030599E-2</v>
      </c>
      <c r="AG14">
        <v>-0.1697109</v>
      </c>
      <c r="AH14">
        <v>0.58732493734412705</v>
      </c>
      <c r="AI14">
        <v>106.098883445864</v>
      </c>
      <c r="AJ14">
        <v>87.213474118321997</v>
      </c>
      <c r="AK14">
        <v>0.61202088320102999</v>
      </c>
      <c r="AL14">
        <v>89.477200019406993</v>
      </c>
      <c r="AM14">
        <v>88.236653606899694</v>
      </c>
      <c r="AN14">
        <v>0.99999995884212001</v>
      </c>
    </row>
    <row r="15" spans="1:40" x14ac:dyDescent="0.25">
      <c r="A15" t="str">
        <f>"20190312154212575"</f>
        <v>20190312154212575</v>
      </c>
      <c r="B15" t="str">
        <f>"1552376532567040"</f>
        <v>1552376532567040</v>
      </c>
      <c r="C15" t="s">
        <v>40</v>
      </c>
      <c r="D15">
        <v>4.673584</v>
      </c>
      <c r="E15">
        <v>0.50679920000000001</v>
      </c>
      <c r="F15" t="s">
        <v>41</v>
      </c>
      <c r="G15">
        <v>-475.49889999999999</v>
      </c>
      <c r="H15">
        <v>0.93132250000000005</v>
      </c>
      <c r="I15">
        <v>367.1952</v>
      </c>
      <c r="J15">
        <v>-476.15890000000002</v>
      </c>
      <c r="K15">
        <v>1.1088199999999999</v>
      </c>
      <c r="L15">
        <v>367.22359999999998</v>
      </c>
      <c r="M15">
        <v>0.9999846</v>
      </c>
      <c r="N15">
        <v>0</v>
      </c>
      <c r="O15">
        <v>5.2177760000000004E-3</v>
      </c>
      <c r="P15">
        <v>0.99961900000000004</v>
      </c>
      <c r="Q15">
        <v>1.1953790000000001E-2</v>
      </c>
      <c r="R15">
        <v>-2.4882250000000002E-2</v>
      </c>
      <c r="S15">
        <v>3.0061650000000002</v>
      </c>
      <c r="T15">
        <v>-0.74764659999999905</v>
      </c>
      <c r="U15">
        <v>-0.1145325</v>
      </c>
      <c r="V15">
        <v>3.0095159999999999E-2</v>
      </c>
      <c r="W15">
        <v>1.007475E-2</v>
      </c>
      <c r="X15">
        <v>0.9994963</v>
      </c>
      <c r="Y15">
        <v>4.1853120000000001E-2</v>
      </c>
      <c r="Z15">
        <v>-6.4024700000000004E-3</v>
      </c>
      <c r="AA15">
        <v>0.99910319999999997</v>
      </c>
      <c r="AB15">
        <v>5</v>
      </c>
      <c r="AC15">
        <v>0.66000000000002501</v>
      </c>
      <c r="AD15">
        <v>-0.1774975</v>
      </c>
      <c r="AE15">
        <v>-2.8399999999976399E-2</v>
      </c>
      <c r="AF15">
        <v>2.9699280808291199E-2</v>
      </c>
      <c r="AG15">
        <v>-0.1774975</v>
      </c>
      <c r="AH15">
        <v>0.61541441015928</v>
      </c>
      <c r="AI15">
        <v>106.070855466658</v>
      </c>
      <c r="AJ15">
        <v>87.237106807186393</v>
      </c>
      <c r="AK15">
        <v>0.64118819859575904</v>
      </c>
      <c r="AL15">
        <v>89.422749600918095</v>
      </c>
      <c r="AM15">
        <v>88.275326456346306</v>
      </c>
      <c r="AN15">
        <v>1.0000000364783299</v>
      </c>
    </row>
    <row r="16" spans="1:40" x14ac:dyDescent="0.25">
      <c r="A16" t="str">
        <f>"20190312154212596"</f>
        <v>20190312154212596</v>
      </c>
      <c r="B16" t="str">
        <f>"1552376532587536"</f>
        <v>1552376532587536</v>
      </c>
      <c r="C16" t="s">
        <v>40</v>
      </c>
      <c r="D16">
        <v>4.6966219999999996</v>
      </c>
      <c r="E16">
        <v>0.50689110000000004</v>
      </c>
      <c r="F16" t="s">
        <v>41</v>
      </c>
      <c r="G16">
        <v>-475.4504</v>
      </c>
      <c r="H16">
        <v>0.93369769999999996</v>
      </c>
      <c r="I16">
        <v>367.19740000000002</v>
      </c>
      <c r="J16">
        <v>-476.1071</v>
      </c>
      <c r="K16">
        <v>1.108787</v>
      </c>
      <c r="L16">
        <v>367.22449999999998</v>
      </c>
      <c r="M16">
        <v>0.99998129999999996</v>
      </c>
      <c r="N16">
        <v>0</v>
      </c>
      <c r="O16">
        <v>5.7038189999999997E-3</v>
      </c>
      <c r="P16">
        <v>0.99964529999999996</v>
      </c>
      <c r="Q16">
        <v>1.196449E-2</v>
      </c>
      <c r="R16">
        <v>-2.3798420000000001E-2</v>
      </c>
      <c r="S16">
        <v>3.0072939999999999</v>
      </c>
      <c r="T16">
        <v>-0.74331009999999997</v>
      </c>
      <c r="U16">
        <v>-0.1116028</v>
      </c>
      <c r="V16">
        <v>2.9497220000000001E-2</v>
      </c>
      <c r="W16">
        <v>9.7943809999999996E-3</v>
      </c>
      <c r="X16">
        <v>0.99951690000000004</v>
      </c>
      <c r="Y16">
        <v>4.1369709999999997E-2</v>
      </c>
      <c r="Z16">
        <v>-6.4236969999999999E-3</v>
      </c>
      <c r="AA16">
        <v>0.99912330000000005</v>
      </c>
      <c r="AB16">
        <v>5</v>
      </c>
      <c r="AC16">
        <v>0.65669999999999995</v>
      </c>
      <c r="AD16">
        <v>-0.1750893</v>
      </c>
      <c r="AE16">
        <v>-2.70999999999617E-2</v>
      </c>
      <c r="AF16">
        <v>2.88013676712712E-2</v>
      </c>
      <c r="AG16">
        <v>-0.1750893</v>
      </c>
      <c r="AH16">
        <v>0.61303081021547201</v>
      </c>
      <c r="AI16">
        <v>105.92333506481501</v>
      </c>
      <c r="AJ16">
        <v>87.310111940134703</v>
      </c>
      <c r="AK16">
        <v>0.63819476339724401</v>
      </c>
      <c r="AL16">
        <v>89.438814346924801</v>
      </c>
      <c r="AM16">
        <v>88.309607543393696</v>
      </c>
      <c r="AN16">
        <v>1.0000000246362499</v>
      </c>
    </row>
    <row r="17" spans="1:40" x14ac:dyDescent="0.25">
      <c r="A17" t="str">
        <f>"20190312154212617"</f>
        <v>20190312154212617</v>
      </c>
      <c r="B17" t="str">
        <f>"1552376532607059"</f>
        <v>1552376532607059</v>
      </c>
      <c r="C17" t="s">
        <v>40</v>
      </c>
      <c r="D17">
        <v>4.6900409999999999</v>
      </c>
      <c r="E17">
        <v>0.50697590000000003</v>
      </c>
      <c r="F17" t="s">
        <v>41</v>
      </c>
      <c r="G17">
        <v>-475.40030000000002</v>
      </c>
      <c r="H17">
        <v>0.93428739999999999</v>
      </c>
      <c r="I17">
        <v>367.19850000000002</v>
      </c>
      <c r="J17">
        <v>-476.0523</v>
      </c>
      <c r="K17">
        <v>1.108754</v>
      </c>
      <c r="L17">
        <v>367.2253</v>
      </c>
      <c r="M17">
        <v>0.99997789999999998</v>
      </c>
      <c r="N17">
        <v>0</v>
      </c>
      <c r="O17">
        <v>6.2008150000000001E-3</v>
      </c>
      <c r="P17">
        <v>0.99967119999999998</v>
      </c>
      <c r="Q17">
        <v>1.141348E-2</v>
      </c>
      <c r="R17">
        <v>-2.2972659999999999E-2</v>
      </c>
      <c r="S17">
        <v>3.0073240000000001</v>
      </c>
      <c r="T17">
        <v>-0.74276830000000005</v>
      </c>
      <c r="U17">
        <v>-0.10903930000000001</v>
      </c>
      <c r="V17">
        <v>2.916871E-2</v>
      </c>
      <c r="W17">
        <v>8.9747349999999993E-3</v>
      </c>
      <c r="X17">
        <v>0.99953420000000004</v>
      </c>
      <c r="Y17">
        <v>4.101316E-2</v>
      </c>
      <c r="Z17">
        <v>-6.4967200000000001E-3</v>
      </c>
      <c r="AA17">
        <v>0.99913750000000001</v>
      </c>
      <c r="AB17">
        <v>5</v>
      </c>
      <c r="AC17">
        <v>0.65199999999998604</v>
      </c>
      <c r="AD17">
        <v>-0.1744666</v>
      </c>
      <c r="AE17">
        <v>-2.67999999999801E-2</v>
      </c>
      <c r="AF17">
        <v>2.8784832454412299E-2</v>
      </c>
      <c r="AG17">
        <v>-0.1744666</v>
      </c>
      <c r="AH17">
        <v>0.60833623599585596</v>
      </c>
      <c r="AI17">
        <v>105.98555304078199</v>
      </c>
      <c r="AJ17">
        <v>87.290938601114206</v>
      </c>
      <c r="AK17">
        <v>0.63351411753850795</v>
      </c>
      <c r="AL17">
        <v>89.485778652979505</v>
      </c>
      <c r="AM17">
        <v>88.328451587900801</v>
      </c>
      <c r="AN17">
        <v>0.99999998824051195</v>
      </c>
    </row>
    <row r="18" spans="1:40" x14ac:dyDescent="0.25">
      <c r="A18" t="str">
        <f>"20190312154212639"</f>
        <v>20190312154212639</v>
      </c>
      <c r="B18" t="str">
        <f>"1552376532627552"</f>
        <v>1552376532627552</v>
      </c>
      <c r="C18" t="s">
        <v>40</v>
      </c>
      <c r="D18">
        <v>4.8073030000000001</v>
      </c>
      <c r="E18">
        <v>0.5072894</v>
      </c>
      <c r="F18" t="s">
        <v>41</v>
      </c>
      <c r="G18">
        <v>-475.34809999999999</v>
      </c>
      <c r="H18">
        <v>0.93420349999999996</v>
      </c>
      <c r="I18">
        <v>367.20010000000002</v>
      </c>
      <c r="J18">
        <v>-475.99529999999999</v>
      </c>
      <c r="K18">
        <v>1.108717</v>
      </c>
      <c r="L18">
        <v>367.22620000000001</v>
      </c>
      <c r="M18">
        <v>0.99997409999999998</v>
      </c>
      <c r="N18">
        <v>0</v>
      </c>
      <c r="O18">
        <v>6.699895E-3</v>
      </c>
      <c r="P18">
        <v>0.99966929999999998</v>
      </c>
      <c r="Q18">
        <v>1.0896360000000001E-2</v>
      </c>
      <c r="R18">
        <v>-2.3303830000000001E-2</v>
      </c>
      <c r="S18">
        <v>3.00705</v>
      </c>
      <c r="T18">
        <v>-0.74556089999999997</v>
      </c>
      <c r="U18">
        <v>-0.10656740000000001</v>
      </c>
      <c r="V18">
        <v>2.9998940000000002E-2</v>
      </c>
      <c r="W18">
        <v>8.2122999999999901E-3</v>
      </c>
      <c r="X18">
        <v>0.99951619999999997</v>
      </c>
      <c r="Y18">
        <v>4.0679010000000002E-2</v>
      </c>
      <c r="Z18">
        <v>-6.6021680000000003E-3</v>
      </c>
      <c r="AA18">
        <v>0.99915050000000005</v>
      </c>
      <c r="AB18">
        <v>6</v>
      </c>
      <c r="AC18">
        <v>0.647199999999997</v>
      </c>
      <c r="AD18">
        <v>-0.17451349999999999</v>
      </c>
      <c r="AE18">
        <v>-2.6099999999985302E-2</v>
      </c>
      <c r="AF18">
        <v>2.8375808318798799E-2</v>
      </c>
      <c r="AG18">
        <v>-0.17451349999999999</v>
      </c>
      <c r="AH18">
        <v>0.60322281137146905</v>
      </c>
      <c r="AI18">
        <v>106.118359945996</v>
      </c>
      <c r="AJ18">
        <v>87.306772192977604</v>
      </c>
      <c r="AK18">
        <v>0.62859995890780496</v>
      </c>
      <c r="AL18">
        <v>89.529464583740804</v>
      </c>
      <c r="AM18">
        <v>88.280871461599901</v>
      </c>
      <c r="AN18">
        <v>1.0000000061674199</v>
      </c>
    </row>
    <row r="19" spans="1:40" x14ac:dyDescent="0.25">
      <c r="A19" t="str">
        <f>"20190312154212660"</f>
        <v>20190312154212660</v>
      </c>
      <c r="B19" t="str">
        <f>"1552376532647076"</f>
        <v>1552376532647076</v>
      </c>
      <c r="C19" t="s">
        <v>40</v>
      </c>
      <c r="D19">
        <v>4.827496</v>
      </c>
      <c r="E19">
        <v>0.52258000000000004</v>
      </c>
      <c r="F19" t="s">
        <v>41</v>
      </c>
      <c r="G19">
        <v>-475.29329999999999</v>
      </c>
      <c r="H19">
        <v>0.93451200000000001</v>
      </c>
      <c r="I19">
        <v>367.2</v>
      </c>
      <c r="J19">
        <v>-475.93340000000001</v>
      </c>
      <c r="K19">
        <v>1.108687</v>
      </c>
      <c r="L19">
        <v>367.22719999999998</v>
      </c>
      <c r="M19">
        <v>0.99996969999999996</v>
      </c>
      <c r="N19">
        <v>0</v>
      </c>
      <c r="O19">
        <v>7.2228609999999997E-3</v>
      </c>
      <c r="P19">
        <v>0.9996794</v>
      </c>
      <c r="Q19">
        <v>1.1260050000000001E-2</v>
      </c>
      <c r="R19">
        <v>-2.2680809999999999E-2</v>
      </c>
      <c r="S19">
        <v>3.0065919999999999</v>
      </c>
      <c r="T19">
        <v>-0.74641290000000005</v>
      </c>
      <c r="U19">
        <v>-0.1097412</v>
      </c>
      <c r="V19">
        <v>2.989872E-2</v>
      </c>
      <c r="W19">
        <v>8.340564E-3</v>
      </c>
      <c r="X19">
        <v>0.99951820000000002</v>
      </c>
      <c r="Y19">
        <v>4.2194809999999999E-2</v>
      </c>
      <c r="Z19">
        <v>-6.9234889999999997E-3</v>
      </c>
      <c r="AA19">
        <v>0.99908540000000001</v>
      </c>
      <c r="AB19">
        <v>6</v>
      </c>
      <c r="AC19">
        <v>0.64010000000001799</v>
      </c>
      <c r="AD19">
        <v>-0.174174999999999</v>
      </c>
      <c r="AE19">
        <v>-2.71999999999934E-2</v>
      </c>
      <c r="AF19">
        <v>2.9632573773087801E-2</v>
      </c>
      <c r="AG19">
        <v>-0.174174999999999</v>
      </c>
      <c r="AH19">
        <v>0.59584874537090005</v>
      </c>
      <c r="AI19">
        <v>106.27533910729601</v>
      </c>
      <c r="AJ19">
        <v>87.152928839870796</v>
      </c>
      <c r="AK19">
        <v>0.62149074604011101</v>
      </c>
      <c r="AL19">
        <v>89.5221153744628</v>
      </c>
      <c r="AM19">
        <v>88.286614697210396</v>
      </c>
      <c r="AN19">
        <v>1.0000000652983501</v>
      </c>
    </row>
    <row r="20" spans="1:40" x14ac:dyDescent="0.25">
      <c r="A20" t="str">
        <f>"20190312154212683"</f>
        <v>20190312154212683</v>
      </c>
      <c r="B20" t="str">
        <f>"1552376532677328"</f>
        <v>1552376532677328</v>
      </c>
      <c r="C20" t="s">
        <v>40</v>
      </c>
      <c r="D20">
        <v>4.8413760000000003</v>
      </c>
      <c r="E20">
        <v>0.52213569999999998</v>
      </c>
      <c r="F20" t="s">
        <v>41</v>
      </c>
      <c r="G20">
        <v>-475.23360000000002</v>
      </c>
      <c r="H20">
        <v>0.94166989999999995</v>
      </c>
      <c r="I20">
        <v>367.17309999999998</v>
      </c>
      <c r="J20">
        <v>-475.8682</v>
      </c>
      <c r="K20">
        <v>1.1086510000000001</v>
      </c>
      <c r="L20">
        <v>367.22829999999999</v>
      </c>
      <c r="M20">
        <v>0.99996510000000005</v>
      </c>
      <c r="N20">
        <v>0</v>
      </c>
      <c r="O20">
        <v>7.7532159999999899E-3</v>
      </c>
      <c r="P20">
        <v>0.99968400000000002</v>
      </c>
      <c r="Q20">
        <v>1.2091299999999999E-2</v>
      </c>
      <c r="R20">
        <v>-2.2044129999999999E-2</v>
      </c>
      <c r="S20">
        <v>3.0038149999999999</v>
      </c>
      <c r="T20">
        <v>-0.71715430000000002</v>
      </c>
      <c r="U20">
        <v>-0.23065189999999999</v>
      </c>
      <c r="V20">
        <v>2.9792019999999999E-2</v>
      </c>
      <c r="W20">
        <v>8.9513690000000007E-3</v>
      </c>
      <c r="X20">
        <v>0.99951599999999996</v>
      </c>
      <c r="Y20">
        <v>8.1786769999999995E-2</v>
      </c>
      <c r="Z20">
        <v>-1.1437299999999999E-2</v>
      </c>
      <c r="AA20">
        <v>0.99658420000000003</v>
      </c>
      <c r="AB20">
        <v>6</v>
      </c>
      <c r="AC20">
        <v>0.63459999999997696</v>
      </c>
      <c r="AD20">
        <v>-0.16698109999999999</v>
      </c>
      <c r="AE20">
        <v>-5.5200000000013398E-2</v>
      </c>
      <c r="AF20">
        <v>5.6253044334335298E-2</v>
      </c>
      <c r="AG20">
        <v>-0.16698109999999999</v>
      </c>
      <c r="AH20">
        <v>0.59337809215299697</v>
      </c>
      <c r="AI20">
        <v>105.65029568433501</v>
      </c>
      <c r="AJ20">
        <v>84.584467703626004</v>
      </c>
      <c r="AK20">
        <v>0.61898679549827296</v>
      </c>
      <c r="AL20">
        <v>89.487117466940802</v>
      </c>
      <c r="AM20">
        <v>88.292721899603904</v>
      </c>
      <c r="AN20">
        <v>0.99999996285932602</v>
      </c>
    </row>
    <row r="21" spans="1:40" x14ac:dyDescent="0.25">
      <c r="A21" t="str">
        <f>"20190312154212706"</f>
        <v>20190312154212706</v>
      </c>
      <c r="B21" t="str">
        <f>"1552376532696852"</f>
        <v>1552376532696852</v>
      </c>
      <c r="C21" t="s">
        <v>40</v>
      </c>
      <c r="D21">
        <v>4.8610449999999998</v>
      </c>
      <c r="E21">
        <v>0.52162819999999999</v>
      </c>
      <c r="F21" t="s">
        <v>41</v>
      </c>
      <c r="G21">
        <v>-475.17259999999999</v>
      </c>
      <c r="H21">
        <v>0.94445809999999997</v>
      </c>
      <c r="I21">
        <v>367.17559999999997</v>
      </c>
      <c r="J21">
        <v>-475.79410000000001</v>
      </c>
      <c r="K21">
        <v>1.108614</v>
      </c>
      <c r="L21">
        <v>367.22949999999997</v>
      </c>
      <c r="M21">
        <v>0.99995959999999995</v>
      </c>
      <c r="N21">
        <v>0</v>
      </c>
      <c r="O21">
        <v>8.3327760000000001E-3</v>
      </c>
      <c r="P21">
        <v>0.99968789999999996</v>
      </c>
      <c r="Q21">
        <v>1.295206E-2</v>
      </c>
      <c r="R21">
        <v>-2.1362470000000001E-2</v>
      </c>
      <c r="S21">
        <v>3.0046080000000002</v>
      </c>
      <c r="T21">
        <v>-0.70962150000000002</v>
      </c>
      <c r="U21">
        <v>-0.22506709999999999</v>
      </c>
      <c r="V21">
        <v>2.9689630000000002E-2</v>
      </c>
      <c r="W21">
        <v>9.5907809999999996E-3</v>
      </c>
      <c r="X21">
        <v>0.99951310000000004</v>
      </c>
      <c r="Y21">
        <v>8.0572169999999999E-2</v>
      </c>
      <c r="Z21">
        <v>-1.131181E-2</v>
      </c>
      <c r="AA21">
        <v>0.99668460000000003</v>
      </c>
      <c r="AB21">
        <v>6</v>
      </c>
      <c r="AC21">
        <v>0.62150000000002503</v>
      </c>
      <c r="AD21">
        <v>-0.16415589999999999</v>
      </c>
      <c r="AE21">
        <v>-5.3899999999998699E-2</v>
      </c>
      <c r="AF21">
        <v>5.5251213347990102E-2</v>
      </c>
      <c r="AG21">
        <v>-0.16415589999999999</v>
      </c>
      <c r="AH21">
        <v>0.58081205853045803</v>
      </c>
      <c r="AI21">
        <v>105.714558542235</v>
      </c>
      <c r="AJ21">
        <v>84.565946323194197</v>
      </c>
      <c r="AK21">
        <v>0.60608786773505297</v>
      </c>
      <c r="AL21">
        <v>89.450480272778904</v>
      </c>
      <c r="AM21">
        <v>88.298581129653698</v>
      </c>
      <c r="AN21">
        <v>0.99999994714066698</v>
      </c>
    </row>
    <row r="22" spans="1:40" x14ac:dyDescent="0.25">
      <c r="A22" t="str">
        <f>"20190312154212729"</f>
        <v>20190312154212729</v>
      </c>
      <c r="B22" t="str">
        <f>"1552376532717445"</f>
        <v>1552376532717445</v>
      </c>
      <c r="C22" t="s">
        <v>40</v>
      </c>
      <c r="D22">
        <v>4.8822850000000004</v>
      </c>
      <c r="E22">
        <v>0.52132049999999996</v>
      </c>
      <c r="F22" t="s">
        <v>41</v>
      </c>
      <c r="G22">
        <v>-475.10890000000001</v>
      </c>
      <c r="H22">
        <v>0.94767250000000003</v>
      </c>
      <c r="I22">
        <v>367.17950000000002</v>
      </c>
      <c r="J22">
        <v>-475.72559999999999</v>
      </c>
      <c r="K22">
        <v>1.1085830000000001</v>
      </c>
      <c r="L22">
        <v>367.23059999999998</v>
      </c>
      <c r="M22">
        <v>0.99995460000000003</v>
      </c>
      <c r="N22">
        <v>0</v>
      </c>
      <c r="O22">
        <v>8.8462880000000008E-3</v>
      </c>
      <c r="P22">
        <v>0.99969669999999999</v>
      </c>
      <c r="Q22">
        <v>1.3093509999999999E-2</v>
      </c>
      <c r="R22">
        <v>-2.0865149999999999E-2</v>
      </c>
      <c r="S22">
        <v>3.0053709999999998</v>
      </c>
      <c r="T22">
        <v>-0.70600200000000002</v>
      </c>
      <c r="U22">
        <v>-0.2189941</v>
      </c>
      <c r="V22">
        <v>2.9705599999999999E-2</v>
      </c>
      <c r="W22">
        <v>9.5521579999999998E-3</v>
      </c>
      <c r="X22">
        <v>0.99951299999999998</v>
      </c>
      <c r="Y22">
        <v>7.9112719999999997E-2</v>
      </c>
      <c r="Z22">
        <v>-1.1203640000000001E-2</v>
      </c>
      <c r="AA22">
        <v>0.99680270000000004</v>
      </c>
      <c r="AB22">
        <v>7</v>
      </c>
      <c r="AC22">
        <v>0.61669999999998004</v>
      </c>
      <c r="AD22">
        <v>-0.16091050000000001</v>
      </c>
      <c r="AE22">
        <v>-5.1099999999962599E-2</v>
      </c>
      <c r="AF22">
        <v>5.2971800947704102E-2</v>
      </c>
      <c r="AG22">
        <v>-0.16091050000000001</v>
      </c>
      <c r="AH22">
        <v>0.57719614507973904</v>
      </c>
      <c r="AI22">
        <v>105.515342202984</v>
      </c>
      <c r="AJ22">
        <v>84.7564056128506</v>
      </c>
      <c r="AK22">
        <v>0.60154267562726105</v>
      </c>
      <c r="AL22">
        <v>89.452693311702006</v>
      </c>
      <c r="AM22">
        <v>88.297666307563503</v>
      </c>
      <c r="AN22">
        <v>0.99999995178140699</v>
      </c>
    </row>
    <row r="23" spans="1:40" x14ac:dyDescent="0.25">
      <c r="A23" t="str">
        <f>"20190312154212750"</f>
        <v>20190312154212750</v>
      </c>
      <c r="B23" t="str">
        <f>"1552376532737940"</f>
        <v>1552376532737940</v>
      </c>
      <c r="C23" t="s">
        <v>40</v>
      </c>
      <c r="D23">
        <v>4.8939130000000004</v>
      </c>
      <c r="E23">
        <v>0.52107479999999995</v>
      </c>
      <c r="F23" t="s">
        <v>41</v>
      </c>
      <c r="G23">
        <v>-474.98360000000002</v>
      </c>
      <c r="H23">
        <v>0.93411109999999997</v>
      </c>
      <c r="I23">
        <v>367.17720000000003</v>
      </c>
      <c r="J23">
        <v>-475.65129999999999</v>
      </c>
      <c r="K23">
        <v>1.1085499999999999</v>
      </c>
      <c r="L23">
        <v>367.2319</v>
      </c>
      <c r="M23">
        <v>0.99994919999999998</v>
      </c>
      <c r="N23">
        <v>0</v>
      </c>
      <c r="O23">
        <v>9.3784569999999998E-3</v>
      </c>
      <c r="P23">
        <v>0.99970139999999996</v>
      </c>
      <c r="Q23">
        <v>1.3324310000000001E-2</v>
      </c>
      <c r="R23">
        <v>-2.048171E-2</v>
      </c>
      <c r="S23">
        <v>3.0056759999999998</v>
      </c>
      <c r="T23">
        <v>-0.70695330000000001</v>
      </c>
      <c r="U23">
        <v>-0.2148438</v>
      </c>
      <c r="V23">
        <v>2.9854080000000002E-2</v>
      </c>
      <c r="W23">
        <v>9.6122389999999999E-3</v>
      </c>
      <c r="X23">
        <v>0.99950799999999995</v>
      </c>
      <c r="Y23">
        <v>7.8268770000000001E-2</v>
      </c>
      <c r="Z23">
        <v>-1.1243319999999999E-2</v>
      </c>
      <c r="AA23">
        <v>0.99686889999999995</v>
      </c>
      <c r="AB23">
        <v>7</v>
      </c>
      <c r="AC23">
        <v>0.66769999999996799</v>
      </c>
      <c r="AD23">
        <v>-0.17443890000000001</v>
      </c>
      <c r="AE23">
        <v>-5.4699999999968399E-2</v>
      </c>
      <c r="AF23">
        <v>5.7089088366030501E-2</v>
      </c>
      <c r="AG23">
        <v>-0.17443890000000001</v>
      </c>
      <c r="AH23">
        <v>0.62479741345304596</v>
      </c>
      <c r="AI23">
        <v>105.537766189297</v>
      </c>
      <c r="AJ23">
        <v>84.779257841385899</v>
      </c>
      <c r="AK23">
        <v>0.65119881887276998</v>
      </c>
      <c r="AL23">
        <v>89.449250765684496</v>
      </c>
      <c r="AM23">
        <v>88.2891538807784</v>
      </c>
      <c r="AN23">
        <v>0.99999995164761801</v>
      </c>
    </row>
    <row r="24" spans="1:40" x14ac:dyDescent="0.25">
      <c r="A24" t="str">
        <f>"20190312154212774"</f>
        <v>20190312154212774</v>
      </c>
      <c r="B24" t="str">
        <f>"1552376532767221"</f>
        <v>1552376532767221</v>
      </c>
      <c r="C24" t="s">
        <v>40</v>
      </c>
      <c r="D24">
        <v>4.9181689999999998</v>
      </c>
      <c r="E24">
        <v>0.52080899999999997</v>
      </c>
      <c r="F24" t="s">
        <v>41</v>
      </c>
      <c r="G24">
        <v>-474.91359999999997</v>
      </c>
      <c r="H24">
        <v>0.93506769999999995</v>
      </c>
      <c r="I24">
        <v>367.17910000000001</v>
      </c>
      <c r="J24">
        <v>-475.56979999999999</v>
      </c>
      <c r="K24">
        <v>1.1085179999999999</v>
      </c>
      <c r="L24">
        <v>367.23329999999999</v>
      </c>
      <c r="M24">
        <v>0.99994320000000003</v>
      </c>
      <c r="N24">
        <v>0</v>
      </c>
      <c r="O24">
        <v>9.9372699999999998E-3</v>
      </c>
      <c r="P24">
        <v>0.99969779999999997</v>
      </c>
      <c r="Q24">
        <v>1.338112E-2</v>
      </c>
      <c r="R24">
        <v>-2.0630229999999999E-2</v>
      </c>
      <c r="S24">
        <v>3.0059809999999998</v>
      </c>
      <c r="T24">
        <v>-0.70733169999999901</v>
      </c>
      <c r="U24">
        <v>-0.2118835</v>
      </c>
      <c r="V24">
        <v>3.0561209999999998E-2</v>
      </c>
      <c r="W24">
        <v>9.5063849999999991E-3</v>
      </c>
      <c r="X24">
        <v>0.99948769999999998</v>
      </c>
      <c r="Y24">
        <v>7.7836160000000001E-2</v>
      </c>
      <c r="Z24">
        <v>-1.132787E-2</v>
      </c>
      <c r="AA24">
        <v>0.99690179999999995</v>
      </c>
      <c r="AB24">
        <v>8</v>
      </c>
      <c r="AC24">
        <v>0.656200000000012</v>
      </c>
      <c r="AD24">
        <v>-0.1734503</v>
      </c>
      <c r="AE24">
        <v>-5.4199999999980202E-2</v>
      </c>
      <c r="AF24">
        <v>5.6778121137175397E-2</v>
      </c>
      <c r="AG24">
        <v>-0.1734503</v>
      </c>
      <c r="AH24">
        <v>0.613084332600911</v>
      </c>
      <c r="AI24">
        <v>105.732993640256</v>
      </c>
      <c r="AJ24">
        <v>84.708894591033598</v>
      </c>
      <c r="AK24">
        <v>0.63967269794064396</v>
      </c>
      <c r="AL24">
        <v>89.455316062710807</v>
      </c>
      <c r="AM24">
        <v>88.248619817417406</v>
      </c>
      <c r="AN24">
        <v>1.0000000106818601</v>
      </c>
    </row>
    <row r="25" spans="1:40" x14ac:dyDescent="0.25">
      <c r="A25" t="str">
        <f>"20190312154212796"</f>
        <v>20190312154212796</v>
      </c>
      <c r="B25" t="str">
        <f>"1552376532787717"</f>
        <v>1552376532787717</v>
      </c>
      <c r="C25" t="s">
        <v>40</v>
      </c>
      <c r="D25">
        <v>4.9298669999999998</v>
      </c>
      <c r="E25">
        <v>0.52075669999999996</v>
      </c>
      <c r="F25" t="s">
        <v>41</v>
      </c>
      <c r="G25">
        <v>-474.84089999999998</v>
      </c>
      <c r="H25">
        <v>0.93638460000000001</v>
      </c>
      <c r="I25">
        <v>367.18200000000002</v>
      </c>
      <c r="J25">
        <v>-475.48820000000001</v>
      </c>
      <c r="K25">
        <v>1.108498</v>
      </c>
      <c r="L25">
        <v>367.23469999999998</v>
      </c>
      <c r="M25">
        <v>0.99993719999999997</v>
      </c>
      <c r="N25">
        <v>0</v>
      </c>
      <c r="O25">
        <v>1.0468999999999999E-2</v>
      </c>
      <c r="P25">
        <v>0.99972159999999999</v>
      </c>
      <c r="Q25">
        <v>1.2554320000000001E-2</v>
      </c>
      <c r="R25">
        <v>-1.998084E-2</v>
      </c>
      <c r="S25">
        <v>3.0060419999999999</v>
      </c>
      <c r="T25">
        <v>-0.71006809999999998</v>
      </c>
      <c r="U25">
        <v>-0.2100525</v>
      </c>
      <c r="V25">
        <v>3.0443600000000001E-2</v>
      </c>
      <c r="W25">
        <v>8.5417819999999995E-3</v>
      </c>
      <c r="X25">
        <v>0.99950000000000006</v>
      </c>
      <c r="Y25">
        <v>7.7730540000000001E-2</v>
      </c>
      <c r="Z25">
        <v>-1.1482020000000001E-2</v>
      </c>
      <c r="AA25">
        <v>0.99690829999999997</v>
      </c>
      <c r="AB25">
        <v>8</v>
      </c>
      <c r="AC25">
        <v>0.64730000000002896</v>
      </c>
      <c r="AD25">
        <v>-0.1721134</v>
      </c>
      <c r="AE25">
        <v>-5.27000000000157E-2</v>
      </c>
      <c r="AF25">
        <v>5.5570777764224297E-2</v>
      </c>
      <c r="AG25">
        <v>-0.1721134</v>
      </c>
      <c r="AH25">
        <v>0.60427219933634002</v>
      </c>
      <c r="AI25">
        <v>105.834967663529</v>
      </c>
      <c r="AJ25">
        <v>84.745678426078896</v>
      </c>
      <c r="AK25">
        <v>0.630758293399031</v>
      </c>
      <c r="AL25">
        <v>89.510585996389295</v>
      </c>
      <c r="AM25">
        <v>88.255377011229598</v>
      </c>
      <c r="AN25">
        <v>1.0000000124103401</v>
      </c>
    </row>
    <row r="26" spans="1:40" x14ac:dyDescent="0.25">
      <c r="A26" t="str">
        <f>"20190312154212818"</f>
        <v>20190312154212818</v>
      </c>
      <c r="B26" t="str">
        <f>"1552376532807237"</f>
        <v>1552376532807237</v>
      </c>
      <c r="C26" t="s">
        <v>40</v>
      </c>
      <c r="D26">
        <v>4.9221380000000003</v>
      </c>
      <c r="E26">
        <v>0.5206942</v>
      </c>
      <c r="F26" t="s">
        <v>41</v>
      </c>
      <c r="G26">
        <v>-474.76589999999999</v>
      </c>
      <c r="H26">
        <v>0.93710610000000005</v>
      </c>
      <c r="I26">
        <v>367.18450000000001</v>
      </c>
      <c r="J26">
        <v>-475.40289999999999</v>
      </c>
      <c r="K26">
        <v>1.108476</v>
      </c>
      <c r="L26">
        <v>367.2362</v>
      </c>
      <c r="M26">
        <v>0.99993100000000001</v>
      </c>
      <c r="N26">
        <v>0</v>
      </c>
      <c r="O26">
        <v>1.0998269999999999E-2</v>
      </c>
      <c r="P26">
        <v>0.99971540000000003</v>
      </c>
      <c r="Q26">
        <v>1.257058E-2</v>
      </c>
      <c r="R26">
        <v>-2.028017E-2</v>
      </c>
      <c r="S26">
        <v>3.0056150000000001</v>
      </c>
      <c r="T26">
        <v>-0.71343469999999998</v>
      </c>
      <c r="U26">
        <v>-0.20745849999999999</v>
      </c>
      <c r="V26">
        <v>3.1271899999999998E-2</v>
      </c>
      <c r="W26">
        <v>8.442125E-3</v>
      </c>
      <c r="X26">
        <v>0.99947520000000001</v>
      </c>
      <c r="Y26">
        <v>7.7383179999999996E-2</v>
      </c>
      <c r="Z26">
        <v>-1.162008E-2</v>
      </c>
      <c r="AA26">
        <v>0.99693370000000003</v>
      </c>
      <c r="AB26">
        <v>8</v>
      </c>
      <c r="AC26">
        <v>0.63700000000000001</v>
      </c>
      <c r="AD26">
        <v>-0.17136989999999999</v>
      </c>
      <c r="AE26">
        <v>-5.1699999999982503E-2</v>
      </c>
      <c r="AF26">
        <v>5.4765128005664097E-2</v>
      </c>
      <c r="AG26">
        <v>-0.17136989999999999</v>
      </c>
      <c r="AH26">
        <v>0.59370452600845802</v>
      </c>
      <c r="AI26">
        <v>106.035967144154</v>
      </c>
      <c r="AJ26">
        <v>84.729775381734498</v>
      </c>
      <c r="AK26">
        <v>0.62036434945475005</v>
      </c>
      <c r="AL26">
        <v>89.5162960918679</v>
      </c>
      <c r="AM26">
        <v>88.207895955812802</v>
      </c>
      <c r="AN26">
        <v>0.99999993830958001</v>
      </c>
    </row>
    <row r="27" spans="1:40" x14ac:dyDescent="0.25">
      <c r="A27" t="str">
        <f>"20190312154212839"</f>
        <v>20190312154212839</v>
      </c>
      <c r="B27" t="str">
        <f>"1552376532827733"</f>
        <v>1552376532827733</v>
      </c>
      <c r="C27" t="s">
        <v>40</v>
      </c>
      <c r="D27">
        <v>4.9895310000000004</v>
      </c>
      <c r="E27">
        <v>0.52065189999999995</v>
      </c>
      <c r="F27" t="s">
        <v>41</v>
      </c>
      <c r="G27">
        <v>-474.68830000000003</v>
      </c>
      <c r="H27">
        <v>0.93836140000000001</v>
      </c>
      <c r="I27">
        <v>367.1866</v>
      </c>
      <c r="J27">
        <v>-475.32</v>
      </c>
      <c r="K27">
        <v>1.1084620000000001</v>
      </c>
      <c r="L27">
        <v>367.23770000000002</v>
      </c>
      <c r="M27">
        <v>0.99992530000000002</v>
      </c>
      <c r="N27">
        <v>0</v>
      </c>
      <c r="O27">
        <v>1.1485220000000001E-2</v>
      </c>
      <c r="P27">
        <v>0.99973080000000003</v>
      </c>
      <c r="Q27">
        <v>1.2166939999999999E-2</v>
      </c>
      <c r="R27">
        <v>-1.9758359999999999E-2</v>
      </c>
      <c r="S27">
        <v>3.0056759999999998</v>
      </c>
      <c r="T27">
        <v>-0.71558049999999995</v>
      </c>
      <c r="U27">
        <v>-0.20779420000000001</v>
      </c>
      <c r="V27">
        <v>3.123722E-2</v>
      </c>
      <c r="W27">
        <v>7.9562469999999996E-3</v>
      </c>
      <c r="X27">
        <v>0.99948029999999999</v>
      </c>
      <c r="Y27">
        <v>7.7934699999999996E-2</v>
      </c>
      <c r="Z27">
        <v>-1.183271E-2</v>
      </c>
      <c r="AA27">
        <v>0.9968882</v>
      </c>
      <c r="AB27">
        <v>8</v>
      </c>
      <c r="AC27">
        <v>0.63169999999996596</v>
      </c>
      <c r="AD27">
        <v>-0.17010059999999999</v>
      </c>
      <c r="AE27">
        <v>-5.1100000000019401E-2</v>
      </c>
      <c r="AF27">
        <v>5.4430855485458202E-2</v>
      </c>
      <c r="AG27">
        <v>-0.17010059999999999</v>
      </c>
      <c r="AH27">
        <v>0.588665566212764</v>
      </c>
      <c r="AI27">
        <v>106.052233898255</v>
      </c>
      <c r="AJ27">
        <v>84.717177492227606</v>
      </c>
      <c r="AK27">
        <v>0.61516183317386697</v>
      </c>
      <c r="AL27">
        <v>89.544135801923005</v>
      </c>
      <c r="AM27">
        <v>88.209891203012802</v>
      </c>
      <c r="AN27">
        <v>0.99999996793387103</v>
      </c>
    </row>
    <row r="28" spans="1:40" x14ac:dyDescent="0.25">
      <c r="A28" t="str">
        <f>"20190312154212861"</f>
        <v>20190312154212861</v>
      </c>
      <c r="B28" t="str">
        <f>"1552376532857013"</f>
        <v>1552376532857013</v>
      </c>
      <c r="C28" t="s">
        <v>40</v>
      </c>
      <c r="D28">
        <v>5.0139129999999996</v>
      </c>
      <c r="E28">
        <v>0.5205128</v>
      </c>
      <c r="F28" t="s">
        <v>41</v>
      </c>
      <c r="G28">
        <v>-474.60860000000002</v>
      </c>
      <c r="H28">
        <v>0.93874860000000004</v>
      </c>
      <c r="I28">
        <v>367.18849999999998</v>
      </c>
      <c r="J28">
        <v>-475.2296</v>
      </c>
      <c r="K28">
        <v>1.108455</v>
      </c>
      <c r="L28">
        <v>367.23939999999999</v>
      </c>
      <c r="M28">
        <v>0.99991920000000001</v>
      </c>
      <c r="N28">
        <v>0</v>
      </c>
      <c r="O28">
        <v>1.198489E-2</v>
      </c>
      <c r="P28">
        <v>0.99973710000000005</v>
      </c>
      <c r="Q28">
        <v>1.2670290000000001E-2</v>
      </c>
      <c r="R28">
        <v>-1.9112000000000001E-2</v>
      </c>
      <c r="S28">
        <v>3.0054319999999999</v>
      </c>
      <c r="T28">
        <v>-0.71731389999999995</v>
      </c>
      <c r="U28">
        <v>-0.2056885</v>
      </c>
      <c r="V28">
        <v>3.1090309999999999E-2</v>
      </c>
      <c r="W28">
        <v>8.4101799999999997E-3</v>
      </c>
      <c r="X28">
        <v>0.99948119999999996</v>
      </c>
      <c r="Y28">
        <v>7.7722689999999997E-2</v>
      </c>
      <c r="Z28">
        <v>-1.1954370000000001E-2</v>
      </c>
      <c r="AA28">
        <v>0.9969034</v>
      </c>
      <c r="AB28">
        <v>9</v>
      </c>
      <c r="AC28">
        <v>0.62099999999998001</v>
      </c>
      <c r="AD28">
        <v>-0.16970640000000001</v>
      </c>
      <c r="AE28">
        <v>-5.0900000000012803E-2</v>
      </c>
      <c r="AF28">
        <v>5.4310130662952497E-2</v>
      </c>
      <c r="AG28">
        <v>-0.16970640000000001</v>
      </c>
      <c r="AH28">
        <v>0.57750427046439701</v>
      </c>
      <c r="AI28">
        <v>106.307935568112</v>
      </c>
      <c r="AJ28">
        <v>84.627544182677397</v>
      </c>
      <c r="AK28">
        <v>0.60436829408747295</v>
      </c>
      <c r="AL28">
        <v>89.518126502209697</v>
      </c>
      <c r="AM28">
        <v>88.218306326503097</v>
      </c>
      <c r="AN28">
        <v>1.00000000382848</v>
      </c>
    </row>
    <row r="29" spans="1:40" x14ac:dyDescent="0.25">
      <c r="A29" t="str">
        <f>"20190312154212884"</f>
        <v>20190312154212884</v>
      </c>
      <c r="B29" t="str">
        <f>"1552376532877509"</f>
        <v>1552376532877509</v>
      </c>
      <c r="C29" t="s">
        <v>40</v>
      </c>
      <c r="D29">
        <v>4.9717140000000004</v>
      </c>
      <c r="E29">
        <v>0.52050719999999995</v>
      </c>
      <c r="F29" t="s">
        <v>41</v>
      </c>
      <c r="G29">
        <v>-474.5258</v>
      </c>
      <c r="H29">
        <v>0.94055650000000002</v>
      </c>
      <c r="I29">
        <v>367.1918</v>
      </c>
      <c r="J29">
        <v>-475.13630000000001</v>
      </c>
      <c r="K29">
        <v>1.10846</v>
      </c>
      <c r="L29">
        <v>367.24110000000002</v>
      </c>
      <c r="M29">
        <v>0.99991319999999995</v>
      </c>
      <c r="N29">
        <v>0</v>
      </c>
      <c r="O29">
        <v>1.2467260000000001E-2</v>
      </c>
      <c r="P29">
        <v>0.99973900000000004</v>
      </c>
      <c r="Q29">
        <v>1.2873590000000001E-2</v>
      </c>
      <c r="R29">
        <v>-1.8872280000000002E-2</v>
      </c>
      <c r="S29">
        <v>3.0059809999999998</v>
      </c>
      <c r="T29">
        <v>-0.71721420000000002</v>
      </c>
      <c r="U29">
        <v>-0.2028809</v>
      </c>
      <c r="V29">
        <v>3.1332720000000001E-2</v>
      </c>
      <c r="W29">
        <v>8.6156889999999993E-3</v>
      </c>
      <c r="X29">
        <v>0.99947189999999997</v>
      </c>
      <c r="Y29">
        <v>7.7265E-2</v>
      </c>
      <c r="Z29">
        <v>-1.20106E-2</v>
      </c>
      <c r="AA29">
        <v>0.9969382</v>
      </c>
      <c r="AB29">
        <v>9</v>
      </c>
      <c r="AC29">
        <v>0.61050000000000104</v>
      </c>
      <c r="AD29">
        <v>-0.16790349999999901</v>
      </c>
      <c r="AE29">
        <v>-4.9300000000016497E-2</v>
      </c>
      <c r="AF29">
        <v>5.2929855141220297E-2</v>
      </c>
      <c r="AG29">
        <v>-0.16790349999999901</v>
      </c>
      <c r="AH29">
        <v>0.56721227256324103</v>
      </c>
      <c r="AI29">
        <v>106.422080428477</v>
      </c>
      <c r="AJ29">
        <v>84.668838216422301</v>
      </c>
      <c r="AK29">
        <v>0.59390480468159002</v>
      </c>
      <c r="AL29">
        <v>89.506351287237905</v>
      </c>
      <c r="AM29">
        <v>88.204406888558793</v>
      </c>
      <c r="AN29">
        <v>1.0000000241645699</v>
      </c>
    </row>
    <row r="30" spans="1:40" x14ac:dyDescent="0.25">
      <c r="A30" t="str">
        <f>"20190312154212908"</f>
        <v>20190312154212908</v>
      </c>
      <c r="B30" t="str">
        <f>"1552376532897032"</f>
        <v>1552376532897032</v>
      </c>
      <c r="C30" t="s">
        <v>40</v>
      </c>
      <c r="D30">
        <v>5.0007859999999997</v>
      </c>
      <c r="E30">
        <v>0.52034999999999998</v>
      </c>
      <c r="F30" t="s">
        <v>41</v>
      </c>
      <c r="G30">
        <v>-474.44069999999999</v>
      </c>
      <c r="H30">
        <v>0.94265100000000002</v>
      </c>
      <c r="I30">
        <v>367.19380000000001</v>
      </c>
      <c r="J30">
        <v>-475.0324</v>
      </c>
      <c r="K30">
        <v>1.108481</v>
      </c>
      <c r="L30">
        <v>367.24310000000003</v>
      </c>
      <c r="M30">
        <v>0.9999072</v>
      </c>
      <c r="N30">
        <v>0</v>
      </c>
      <c r="O30">
        <v>1.296775E-2</v>
      </c>
      <c r="P30">
        <v>0.99974160000000001</v>
      </c>
      <c r="Q30">
        <v>1.3206620000000001E-2</v>
      </c>
      <c r="R30">
        <v>-1.8504949999999999E-2</v>
      </c>
      <c r="S30">
        <v>3.0061650000000002</v>
      </c>
      <c r="T30">
        <v>-0.717095699999999</v>
      </c>
      <c r="U30">
        <v>-0.2019348</v>
      </c>
      <c r="V30">
        <v>3.1465649999999998E-2</v>
      </c>
      <c r="W30">
        <v>9.0243230000000008E-3</v>
      </c>
      <c r="X30">
        <v>0.99946409999999997</v>
      </c>
      <c r="Y30">
        <v>7.7429970000000001E-2</v>
      </c>
      <c r="Z30">
        <v>-1.2145090000000001E-2</v>
      </c>
      <c r="AA30">
        <v>0.99692380000000003</v>
      </c>
      <c r="AB30">
        <v>9</v>
      </c>
      <c r="AC30">
        <v>0.591700000000002</v>
      </c>
      <c r="AD30">
        <v>-0.16583000000000001</v>
      </c>
      <c r="AE30">
        <v>-4.9300000000016497E-2</v>
      </c>
      <c r="AF30">
        <v>5.2846671286657099E-2</v>
      </c>
      <c r="AG30">
        <v>-0.16583000000000001</v>
      </c>
      <c r="AH30">
        <v>0.54824542761322603</v>
      </c>
      <c r="AI30">
        <v>106.755919898583</v>
      </c>
      <c r="AJ30">
        <v>84.494135036636493</v>
      </c>
      <c r="AK30">
        <v>0.57520901285088499</v>
      </c>
      <c r="AL30">
        <v>89.482937364138706</v>
      </c>
      <c r="AM30">
        <v>88.196779986532505</v>
      </c>
      <c r="AN30">
        <v>1.0000000063621699</v>
      </c>
    </row>
    <row r="31" spans="1:40" x14ac:dyDescent="0.25">
      <c r="A31" t="str">
        <f>"20190312154212929"</f>
        <v>20190312154212929</v>
      </c>
      <c r="B31" t="str">
        <f>"1552376532917525"</f>
        <v>1552376532917525</v>
      </c>
      <c r="C31" t="s">
        <v>40</v>
      </c>
      <c r="D31">
        <v>5.0105919999999999</v>
      </c>
      <c r="E31">
        <v>0.52019510000000002</v>
      </c>
      <c r="F31" t="s">
        <v>41</v>
      </c>
      <c r="G31">
        <v>-474.27319999999997</v>
      </c>
      <c r="H31">
        <v>0.92747080000000004</v>
      </c>
      <c r="I31">
        <v>367.19229999999999</v>
      </c>
      <c r="J31">
        <v>-474.93830000000003</v>
      </c>
      <c r="K31">
        <v>1.1085130000000001</v>
      </c>
      <c r="L31">
        <v>367.24489999999997</v>
      </c>
      <c r="M31">
        <v>0.99990219999999996</v>
      </c>
      <c r="N31">
        <v>0</v>
      </c>
      <c r="O31">
        <v>1.3394959999999999E-2</v>
      </c>
      <c r="P31">
        <v>0.99975320000000001</v>
      </c>
      <c r="Q31">
        <v>1.308521E-2</v>
      </c>
      <c r="R31">
        <v>-1.7955169999999999E-2</v>
      </c>
      <c r="S31">
        <v>3.006561</v>
      </c>
      <c r="T31">
        <v>-0.71711169999999902</v>
      </c>
      <c r="U31">
        <v>-0.19927980000000001</v>
      </c>
      <c r="V31">
        <v>3.1342990000000001E-2</v>
      </c>
      <c r="W31">
        <v>9.0500719999999993E-3</v>
      </c>
      <c r="X31">
        <v>0.99946769999999996</v>
      </c>
      <c r="Y31">
        <v>7.6971789999999998E-2</v>
      </c>
      <c r="Z31">
        <v>-1.21907E-2</v>
      </c>
      <c r="AA31">
        <v>0.99695869999999998</v>
      </c>
      <c r="AB31">
        <v>10</v>
      </c>
      <c r="AC31">
        <v>0.66510000000005198</v>
      </c>
      <c r="AD31">
        <v>-0.18104219999999899</v>
      </c>
      <c r="AE31">
        <v>-5.2599999999983903E-2</v>
      </c>
      <c r="AF31">
        <v>5.7286138272427602E-2</v>
      </c>
      <c r="AG31">
        <v>-0.18104219999999899</v>
      </c>
      <c r="AH31">
        <v>0.61877306642596497</v>
      </c>
      <c r="AI31">
        <v>106.242778308197</v>
      </c>
      <c r="AJ31">
        <v>84.710622433137402</v>
      </c>
      <c r="AK31">
        <v>0.64725426808418896</v>
      </c>
      <c r="AL31">
        <v>89.481461983839097</v>
      </c>
      <c r="AM31">
        <v>88.203811185175596</v>
      </c>
      <c r="AN31">
        <v>0.99999998508431698</v>
      </c>
    </row>
    <row r="32" spans="1:40" x14ac:dyDescent="0.25">
      <c r="A32" t="str">
        <f>"20190312154212951"</f>
        <v>20190312154212951</v>
      </c>
      <c r="B32" t="str">
        <f>"1552376532947781"</f>
        <v>1552376532947781</v>
      </c>
      <c r="C32" t="s">
        <v>40</v>
      </c>
      <c r="D32">
        <v>5.0453349999999997</v>
      </c>
      <c r="E32">
        <v>0.50293480000000002</v>
      </c>
      <c r="F32" t="s">
        <v>41</v>
      </c>
      <c r="G32">
        <v>-474.18259999999998</v>
      </c>
      <c r="H32">
        <v>0.92828860000000002</v>
      </c>
      <c r="I32">
        <v>367.1952</v>
      </c>
      <c r="J32">
        <v>-474.8417</v>
      </c>
      <c r="K32">
        <v>1.1085579999999999</v>
      </c>
      <c r="L32">
        <v>367.24680000000001</v>
      </c>
      <c r="M32">
        <v>0.99989720000000004</v>
      </c>
      <c r="N32">
        <v>0</v>
      </c>
      <c r="O32">
        <v>1.382677E-2</v>
      </c>
      <c r="P32">
        <v>0.99976719999999997</v>
      </c>
      <c r="Q32">
        <v>1.288192E-2</v>
      </c>
      <c r="R32">
        <v>-1.7323399999999999E-2</v>
      </c>
      <c r="S32">
        <v>3.0065919999999999</v>
      </c>
      <c r="T32">
        <v>-0.71720150000000005</v>
      </c>
      <c r="U32">
        <v>-0.19647220000000001</v>
      </c>
      <c r="V32">
        <v>3.114279E-2</v>
      </c>
      <c r="W32">
        <v>9.0643749999999995E-3</v>
      </c>
      <c r="X32">
        <v>0.99947390000000003</v>
      </c>
      <c r="Y32">
        <v>7.6475660000000001E-2</v>
      </c>
      <c r="Z32">
        <v>-1.2235609999999999E-2</v>
      </c>
      <c r="AA32">
        <v>0.99699629999999995</v>
      </c>
      <c r="AB32">
        <v>10</v>
      </c>
      <c r="AC32">
        <v>0.659100000000023</v>
      </c>
      <c r="AD32">
        <v>-0.180269399999999</v>
      </c>
      <c r="AE32">
        <v>-5.1600000000007598E-2</v>
      </c>
      <c r="AF32">
        <v>5.65069968090589E-2</v>
      </c>
      <c r="AG32">
        <v>-0.180269399999999</v>
      </c>
      <c r="AH32">
        <v>0.61276383064195294</v>
      </c>
      <c r="AI32">
        <v>106.327825053849</v>
      </c>
      <c r="AJ32">
        <v>84.731279218662905</v>
      </c>
      <c r="AK32">
        <v>0.64122508482414997</v>
      </c>
      <c r="AL32">
        <v>89.480642485779995</v>
      </c>
      <c r="AM32">
        <v>88.215287769578097</v>
      </c>
      <c r="AN32">
        <v>1.0000000565221601</v>
      </c>
    </row>
    <row r="33" spans="1:40" x14ac:dyDescent="0.25">
      <c r="A33" t="str">
        <f>"20190312154212974"</f>
        <v>20190312154212974</v>
      </c>
      <c r="B33" t="str">
        <f>"1552376532967301"</f>
        <v>1552376532967301</v>
      </c>
      <c r="C33" t="s">
        <v>40</v>
      </c>
      <c r="D33">
        <v>5.0559510000000003</v>
      </c>
      <c r="E33">
        <v>0.49994369999999999</v>
      </c>
      <c r="F33" t="s">
        <v>41</v>
      </c>
      <c r="G33">
        <v>-474.053</v>
      </c>
      <c r="H33">
        <v>1.0078419999999999</v>
      </c>
      <c r="I33">
        <v>367.22890000000001</v>
      </c>
      <c r="J33">
        <v>-474.73390000000001</v>
      </c>
      <c r="K33">
        <v>1.108617</v>
      </c>
      <c r="L33">
        <v>367.24889999999999</v>
      </c>
      <c r="M33">
        <v>0.99989130000000004</v>
      </c>
      <c r="N33">
        <v>0</v>
      </c>
      <c r="O33">
        <v>1.43188E-2</v>
      </c>
      <c r="P33">
        <v>0.9997817</v>
      </c>
      <c r="Q33">
        <v>1.246535E-2</v>
      </c>
      <c r="R33">
        <v>-1.6766429999999999E-2</v>
      </c>
      <c r="S33">
        <v>3.0045470000000001</v>
      </c>
      <c r="T33">
        <v>-0.38427600000000001</v>
      </c>
      <c r="U33">
        <v>-6.5277099999999894E-2</v>
      </c>
      <c r="V33">
        <v>3.1078189999999999E-2</v>
      </c>
      <c r="W33">
        <v>8.9518449999999999E-3</v>
      </c>
      <c r="X33">
        <v>0.9994769</v>
      </c>
      <c r="Y33">
        <v>3.5627569999999997E-2</v>
      </c>
      <c r="Z33">
        <v>-4.0925859999999996E-3</v>
      </c>
      <c r="AA33">
        <v>0.99935669999999999</v>
      </c>
      <c r="AB33">
        <v>10</v>
      </c>
      <c r="AC33">
        <v>0.68089999999995099</v>
      </c>
      <c r="AD33">
        <v>-0.100775</v>
      </c>
      <c r="AE33">
        <v>-1.99999999999818E-2</v>
      </c>
      <c r="AF33">
        <v>2.9110569742877301E-2</v>
      </c>
      <c r="AG33">
        <v>-0.100775</v>
      </c>
      <c r="AH33">
        <v>0.66596849603625496</v>
      </c>
      <c r="AI33">
        <v>98.596685737615502</v>
      </c>
      <c r="AJ33">
        <v>87.497101268032495</v>
      </c>
      <c r="AK33">
        <v>0.67417880685211895</v>
      </c>
      <c r="AL33">
        <v>89.487090228277793</v>
      </c>
      <c r="AM33">
        <v>88.218992783063399</v>
      </c>
      <c r="AN33">
        <v>1.0000000315280899</v>
      </c>
    </row>
    <row r="34" spans="1:40" x14ac:dyDescent="0.25">
      <c r="A34" t="str">
        <f>"20190312154212999"</f>
        <v>20190312154212999</v>
      </c>
      <c r="B34" t="str">
        <f>"1552376532987797"</f>
        <v>1552376532987797</v>
      </c>
      <c r="C34" t="s">
        <v>40</v>
      </c>
      <c r="D34">
        <v>5.0034090000000004</v>
      </c>
      <c r="E34">
        <v>0.49847390000000003</v>
      </c>
      <c r="F34" t="s">
        <v>41</v>
      </c>
      <c r="G34">
        <v>-473.95</v>
      </c>
      <c r="H34">
        <v>1.027377</v>
      </c>
      <c r="I34">
        <v>367.238</v>
      </c>
      <c r="J34">
        <v>-474.6189</v>
      </c>
      <c r="K34">
        <v>1.1086769999999999</v>
      </c>
      <c r="L34">
        <v>367.25130000000001</v>
      </c>
      <c r="M34">
        <v>0.99988449999999995</v>
      </c>
      <c r="N34">
        <v>0</v>
      </c>
      <c r="O34">
        <v>1.487257E-2</v>
      </c>
      <c r="P34">
        <v>0.99979949999999995</v>
      </c>
      <c r="Q34">
        <v>1.2069359999999999E-2</v>
      </c>
      <c r="R34">
        <v>-1.5980029999999999E-2</v>
      </c>
      <c r="S34">
        <v>3.003784</v>
      </c>
      <c r="T34">
        <v>-0.3114865</v>
      </c>
      <c r="U34">
        <v>-4.1259770000000001E-2</v>
      </c>
      <c r="V34">
        <v>3.084514E-2</v>
      </c>
      <c r="W34">
        <v>8.9199009999999992E-3</v>
      </c>
      <c r="X34">
        <v>0.99948440000000005</v>
      </c>
      <c r="Y34">
        <v>2.8372499999999998E-2</v>
      </c>
      <c r="Z34">
        <v>-3.005148E-3</v>
      </c>
      <c r="AA34">
        <v>0.99959290000000001</v>
      </c>
      <c r="AB34">
        <v>10</v>
      </c>
      <c r="AC34">
        <v>0.66890000000000704</v>
      </c>
      <c r="AD34">
        <v>-8.1300000000000094E-2</v>
      </c>
      <c r="AE34">
        <v>-1.32999999999583E-2</v>
      </c>
      <c r="AF34">
        <v>2.2908553230927001E-2</v>
      </c>
      <c r="AG34">
        <v>-8.1300000000000094E-2</v>
      </c>
      <c r="AH34">
        <v>0.65889837599288004</v>
      </c>
      <c r="AI34">
        <v>97.0298403755137</v>
      </c>
      <c r="AJ34">
        <v>88.008744647849099</v>
      </c>
      <c r="AK34">
        <v>0.66429026915738298</v>
      </c>
      <c r="AL34">
        <v>89.488920555143693</v>
      </c>
      <c r="AM34">
        <v>88.232353000666706</v>
      </c>
      <c r="AN34">
        <v>1.00000002656941</v>
      </c>
    </row>
    <row r="35" spans="1:40" x14ac:dyDescent="0.25">
      <c r="A35" t="str">
        <f>"20190312154213020"</f>
        <v>20190312154213020</v>
      </c>
      <c r="B35" t="str">
        <f>"1552376533007317"</f>
        <v>1552376533007317</v>
      </c>
      <c r="C35" t="s">
        <v>40</v>
      </c>
      <c r="D35">
        <v>5.029039</v>
      </c>
      <c r="E35">
        <v>0.49826160000000003</v>
      </c>
      <c r="F35" t="s">
        <v>41</v>
      </c>
      <c r="G35">
        <v>-473.85169999999999</v>
      </c>
      <c r="H35">
        <v>1.03321</v>
      </c>
      <c r="I35">
        <v>367.2439</v>
      </c>
      <c r="J35">
        <v>-474.51600000000002</v>
      </c>
      <c r="K35">
        <v>1.108743</v>
      </c>
      <c r="L35">
        <v>367.2534</v>
      </c>
      <c r="M35">
        <v>0.99987760000000003</v>
      </c>
      <c r="N35">
        <v>0</v>
      </c>
      <c r="O35">
        <v>1.539577E-2</v>
      </c>
      <c r="P35">
        <v>0.9998167</v>
      </c>
      <c r="Q35">
        <v>1.154225E-2</v>
      </c>
      <c r="R35">
        <v>-1.529176E-2</v>
      </c>
      <c r="S35">
        <v>3.0037229999999999</v>
      </c>
      <c r="T35">
        <v>-0.29559540000000001</v>
      </c>
      <c r="U35">
        <v>-2.810669E-2</v>
      </c>
      <c r="V35">
        <v>3.0679930000000001E-2</v>
      </c>
      <c r="W35">
        <v>8.7329869999999993E-3</v>
      </c>
      <c r="X35">
        <v>0.99949109999999997</v>
      </c>
      <c r="Y35">
        <v>2.455794E-2</v>
      </c>
      <c r="Z35">
        <v>-2.716829E-3</v>
      </c>
      <c r="AA35">
        <v>0.99969470000000005</v>
      </c>
      <c r="AB35">
        <v>10</v>
      </c>
      <c r="AC35">
        <v>0.66429999999996803</v>
      </c>
      <c r="AD35">
        <v>-7.5533000000000003E-2</v>
      </c>
      <c r="AE35">
        <v>-9.5000000000027198E-3</v>
      </c>
      <c r="AF35">
        <v>1.9474599662957399E-2</v>
      </c>
      <c r="AG35">
        <v>-7.5533000000000003E-2</v>
      </c>
      <c r="AH35">
        <v>0.65560086419349695</v>
      </c>
      <c r="AI35">
        <v>96.569304447243795</v>
      </c>
      <c r="AJ35">
        <v>88.298531300083098</v>
      </c>
      <c r="AK35">
        <v>0.66022495200673303</v>
      </c>
      <c r="AL35">
        <v>89.499630337632496</v>
      </c>
      <c r="AM35">
        <v>88.241826534705595</v>
      </c>
      <c r="AN35">
        <v>0.99999999107297799</v>
      </c>
    </row>
    <row r="36" spans="1:40" x14ac:dyDescent="0.25">
      <c r="A36" t="str">
        <f>"20190312154213041"</f>
        <v>20190312154213041</v>
      </c>
      <c r="B36" t="str">
        <f>"1552376533037778"</f>
        <v>1552376533037778</v>
      </c>
      <c r="C36" t="s">
        <v>40</v>
      </c>
      <c r="D36">
        <v>5.0364610000000001</v>
      </c>
      <c r="E36">
        <v>0.49819140000000001</v>
      </c>
      <c r="F36" t="s">
        <v>41</v>
      </c>
      <c r="G36">
        <v>-473.7534</v>
      </c>
      <c r="H36">
        <v>1.035652</v>
      </c>
      <c r="I36">
        <v>367.24680000000001</v>
      </c>
      <c r="J36">
        <v>-474.41370000000001</v>
      </c>
      <c r="K36">
        <v>1.1088009999999999</v>
      </c>
      <c r="L36">
        <v>367.25560000000002</v>
      </c>
      <c r="M36">
        <v>0.99986989999999998</v>
      </c>
      <c r="N36">
        <v>0</v>
      </c>
      <c r="O36">
        <v>1.5940840000000001E-2</v>
      </c>
      <c r="P36">
        <v>0.99982769999999999</v>
      </c>
      <c r="Q36">
        <v>1.1596E-2</v>
      </c>
      <c r="R36">
        <v>-1.4494750000000001E-2</v>
      </c>
      <c r="S36">
        <v>3.0035400000000001</v>
      </c>
      <c r="T36">
        <v>-0.28825410000000001</v>
      </c>
      <c r="U36">
        <v>-2.4322509999999999E-2</v>
      </c>
      <c r="V36">
        <v>3.0427880000000001E-2</v>
      </c>
      <c r="W36">
        <v>9.1249320000000005E-3</v>
      </c>
      <c r="X36">
        <v>0.99949529999999998</v>
      </c>
      <c r="Y36">
        <v>2.3854179999999999E-2</v>
      </c>
      <c r="Z36">
        <v>-2.6683330000000002E-3</v>
      </c>
      <c r="AA36">
        <v>0.99971189999999999</v>
      </c>
      <c r="AB36">
        <v>11</v>
      </c>
      <c r="AC36">
        <v>0.66030000000000599</v>
      </c>
      <c r="AD36">
        <v>-7.3148999999999895E-2</v>
      </c>
      <c r="AE36">
        <v>-8.8000000000079091E-3</v>
      </c>
      <c r="AF36">
        <v>1.9090404444632302E-2</v>
      </c>
      <c r="AG36">
        <v>-7.3148999999999895E-2</v>
      </c>
      <c r="AH36">
        <v>0.65207463378081199</v>
      </c>
      <c r="AI36">
        <v>96.397898516417101</v>
      </c>
      <c r="AJ36">
        <v>88.323064253226093</v>
      </c>
      <c r="AK36">
        <v>0.65644234153750203</v>
      </c>
      <c r="AL36">
        <v>89.477172645863305</v>
      </c>
      <c r="AM36">
        <v>88.256269122062506</v>
      </c>
      <c r="AN36">
        <v>0.99999998749369401</v>
      </c>
    </row>
    <row r="37" spans="1:40" x14ac:dyDescent="0.25">
      <c r="A37" t="str">
        <f>"20190312154213063"</f>
        <v>20190312154213063</v>
      </c>
      <c r="B37" t="str">
        <f>"1552376533057299"</f>
        <v>1552376533057299</v>
      </c>
      <c r="C37" t="s">
        <v>40</v>
      </c>
      <c r="D37">
        <v>5.0294939999999997</v>
      </c>
      <c r="E37">
        <v>0.49829380000000001</v>
      </c>
      <c r="F37" t="s">
        <v>41</v>
      </c>
      <c r="G37">
        <v>-473.65309999999999</v>
      </c>
      <c r="H37">
        <v>1.0387869999999999</v>
      </c>
      <c r="I37">
        <v>367.24950000000001</v>
      </c>
      <c r="J37">
        <v>-474.30410000000001</v>
      </c>
      <c r="K37">
        <v>1.10886</v>
      </c>
      <c r="L37">
        <v>367.25799999999998</v>
      </c>
      <c r="M37">
        <v>0.99986090000000005</v>
      </c>
      <c r="N37">
        <v>0</v>
      </c>
      <c r="O37">
        <v>1.6542680000000001E-2</v>
      </c>
      <c r="P37">
        <v>0.99984810000000002</v>
      </c>
      <c r="Q37">
        <v>1.1400800000000001E-2</v>
      </c>
      <c r="R37">
        <v>-1.318542E-2</v>
      </c>
      <c r="S37">
        <v>3.0034480000000001</v>
      </c>
      <c r="T37">
        <v>-0.2770437</v>
      </c>
      <c r="U37">
        <v>-2.1942139999999999E-2</v>
      </c>
      <c r="V37">
        <v>2.9720170000000001E-2</v>
      </c>
      <c r="W37">
        <v>9.2803739999999992E-3</v>
      </c>
      <c r="X37">
        <v>0.99951520000000005</v>
      </c>
      <c r="Y37">
        <v>2.3675999999999999E-2</v>
      </c>
      <c r="Z37">
        <v>-2.6122810000000002E-3</v>
      </c>
      <c r="AA37">
        <v>0.9997163</v>
      </c>
      <c r="AB37">
        <v>11</v>
      </c>
      <c r="AC37">
        <v>0.65100000000001002</v>
      </c>
      <c r="AD37">
        <v>-7.0072999999999802E-2</v>
      </c>
      <c r="AE37">
        <v>-8.5000000000263701E-3</v>
      </c>
      <c r="AF37">
        <v>1.9047496196757101E-2</v>
      </c>
      <c r="AG37">
        <v>-7.0072999999999802E-2</v>
      </c>
      <c r="AH37">
        <v>0.64331799061004902</v>
      </c>
      <c r="AI37">
        <v>96.213696832362601</v>
      </c>
      <c r="AJ37">
        <v>88.304069808078594</v>
      </c>
      <c r="AK37">
        <v>0.64740332829150404</v>
      </c>
      <c r="AL37">
        <v>89.468266117678795</v>
      </c>
      <c r="AM37">
        <v>88.296835585323393</v>
      </c>
      <c r="AN37">
        <v>1.0000000244387199</v>
      </c>
    </row>
    <row r="38" spans="1:40" x14ac:dyDescent="0.25">
      <c r="A38" t="str">
        <f>"20190312154213085"</f>
        <v>20190312154213085</v>
      </c>
      <c r="B38" t="str">
        <f>"1552376533077795"</f>
        <v>1552376533077795</v>
      </c>
      <c r="C38" t="s">
        <v>40</v>
      </c>
      <c r="D38">
        <v>5.0132430000000001</v>
      </c>
      <c r="E38">
        <v>0.49837749999999997</v>
      </c>
      <c r="F38" t="s">
        <v>41</v>
      </c>
      <c r="G38">
        <v>-473.55189999999999</v>
      </c>
      <c r="H38">
        <v>1.040492</v>
      </c>
      <c r="I38">
        <v>367.25279999999998</v>
      </c>
      <c r="J38">
        <v>-474.1891</v>
      </c>
      <c r="K38">
        <v>1.1089100000000001</v>
      </c>
      <c r="L38">
        <v>367.26049999999998</v>
      </c>
      <c r="M38">
        <v>0.99985080000000004</v>
      </c>
      <c r="N38">
        <v>0</v>
      </c>
      <c r="O38">
        <v>1.718546E-2</v>
      </c>
      <c r="P38">
        <v>0.99986739999999996</v>
      </c>
      <c r="Q38">
        <v>1.127278E-2</v>
      </c>
      <c r="R38">
        <v>-1.175963E-2</v>
      </c>
      <c r="S38">
        <v>3.0033259999999999</v>
      </c>
      <c r="T38">
        <v>-0.27339419999999998</v>
      </c>
      <c r="U38">
        <v>-1.870728E-2</v>
      </c>
      <c r="V38">
        <v>2.8936920000000001E-2</v>
      </c>
      <c r="W38">
        <v>9.495893E-3</v>
      </c>
      <c r="X38">
        <v>0.99953619999999999</v>
      </c>
      <c r="Y38">
        <v>2.3245789999999999E-2</v>
      </c>
      <c r="Z38">
        <v>-2.6169679999999999E-3</v>
      </c>
      <c r="AA38">
        <v>0.99972640000000002</v>
      </c>
      <c r="AB38">
        <v>11</v>
      </c>
      <c r="AC38">
        <v>0.63720000000000698</v>
      </c>
      <c r="AD38">
        <v>-6.8418000000000007E-2</v>
      </c>
      <c r="AE38">
        <v>-7.6999999999998103E-3</v>
      </c>
      <c r="AF38">
        <v>1.8436927481714601E-2</v>
      </c>
      <c r="AG38">
        <v>-6.8418000000000007E-2</v>
      </c>
      <c r="AH38">
        <v>0.62971468904360195</v>
      </c>
      <c r="AI38">
        <v>96.198182375263499</v>
      </c>
      <c r="AJ38">
        <v>88.322960439667099</v>
      </c>
      <c r="AK38">
        <v>0.63368882948671801</v>
      </c>
      <c r="AL38">
        <v>89.455917267374602</v>
      </c>
      <c r="AM38">
        <v>88.341730465890507</v>
      </c>
      <c r="AN38">
        <v>1.0000000662166899</v>
      </c>
    </row>
    <row r="39" spans="1:40" x14ac:dyDescent="0.25">
      <c r="A39" t="str">
        <f>"20190312154213109"</f>
        <v>20190312154213109</v>
      </c>
      <c r="B39" t="str">
        <f>"1552376533097318"</f>
        <v>1552376533097318</v>
      </c>
      <c r="C39" t="s">
        <v>40</v>
      </c>
      <c r="D39">
        <v>5.0270820000000001</v>
      </c>
      <c r="E39">
        <v>0.49827630000000001</v>
      </c>
      <c r="F39" t="s">
        <v>41</v>
      </c>
      <c r="G39">
        <v>-473.44889999999998</v>
      </c>
      <c r="H39">
        <v>1.0426420000000001</v>
      </c>
      <c r="I39">
        <v>367.25599999999997</v>
      </c>
      <c r="J39">
        <v>-474.07080000000002</v>
      </c>
      <c r="K39">
        <v>1.1089519999999999</v>
      </c>
      <c r="L39">
        <v>367.26319999999998</v>
      </c>
      <c r="M39">
        <v>0.9998397</v>
      </c>
      <c r="N39">
        <v>0</v>
      </c>
      <c r="O39">
        <v>1.7850339999999999E-2</v>
      </c>
      <c r="P39">
        <v>0.99988410000000005</v>
      </c>
      <c r="Q39">
        <v>1.074575E-2</v>
      </c>
      <c r="R39">
        <v>-1.079682E-2</v>
      </c>
      <c r="S39">
        <v>3.0032960000000002</v>
      </c>
      <c r="T39">
        <v>-0.26957510000000001</v>
      </c>
      <c r="U39">
        <v>-1.531982E-2</v>
      </c>
      <c r="V39">
        <v>2.8639009999999999E-2</v>
      </c>
      <c r="W39">
        <v>9.2870490000000003E-3</v>
      </c>
      <c r="X39">
        <v>0.99954659999999995</v>
      </c>
      <c r="Y39">
        <v>2.2786890000000001E-2</v>
      </c>
      <c r="Z39">
        <v>-2.6195889999999999E-3</v>
      </c>
      <c r="AA39">
        <v>0.99973690000000004</v>
      </c>
      <c r="AB39">
        <v>11</v>
      </c>
      <c r="AC39">
        <v>0.62190000000003898</v>
      </c>
      <c r="AD39">
        <v>-6.63099999999998E-2</v>
      </c>
      <c r="AE39">
        <v>-7.2000000000116398E-3</v>
      </c>
      <c r="AF39">
        <v>1.8094305960673102E-2</v>
      </c>
      <c r="AG39">
        <v>-6.63099999999998E-2</v>
      </c>
      <c r="AH39">
        <v>0.61468505771287096</v>
      </c>
      <c r="AI39">
        <v>96.154405804643204</v>
      </c>
      <c r="AJ39">
        <v>88.313887642055207</v>
      </c>
      <c r="AK39">
        <v>0.61851607916340701</v>
      </c>
      <c r="AL39">
        <v>89.467883598363102</v>
      </c>
      <c r="AM39">
        <v>88.358810284832799</v>
      </c>
      <c r="AN39">
        <v>0.99999992387223102</v>
      </c>
    </row>
    <row r="40" spans="1:40" x14ac:dyDescent="0.25">
      <c r="A40" t="str">
        <f>"20190312154213130"</f>
        <v>20190312154213130</v>
      </c>
      <c r="B40" t="str">
        <f>"1552376533117814"</f>
        <v>1552376533117814</v>
      </c>
      <c r="C40" t="s">
        <v>40</v>
      </c>
      <c r="D40">
        <v>5.0244970000000002</v>
      </c>
      <c r="E40">
        <v>0.49819970000000002</v>
      </c>
      <c r="F40" t="s">
        <v>41</v>
      </c>
      <c r="G40">
        <v>-473.24419999999998</v>
      </c>
      <c r="H40">
        <v>1.0339830000000001</v>
      </c>
      <c r="I40">
        <v>367.25979999999998</v>
      </c>
      <c r="J40">
        <v>-473.95670000000001</v>
      </c>
      <c r="K40">
        <v>1.1089830000000001</v>
      </c>
      <c r="L40">
        <v>367.26600000000002</v>
      </c>
      <c r="M40">
        <v>0.99982839999999995</v>
      </c>
      <c r="N40">
        <v>0</v>
      </c>
      <c r="O40">
        <v>1.8486309999999999E-2</v>
      </c>
      <c r="P40">
        <v>0.99989340000000004</v>
      </c>
      <c r="Q40">
        <v>1.0900119999999999E-2</v>
      </c>
      <c r="R40">
        <v>-9.7216690000000005E-3</v>
      </c>
      <c r="S40">
        <v>3.0031430000000001</v>
      </c>
      <c r="T40">
        <v>-0.27269860000000001</v>
      </c>
      <c r="U40">
        <v>-1.135254E-2</v>
      </c>
      <c r="V40">
        <v>2.8199559999999999E-2</v>
      </c>
      <c r="W40">
        <v>9.7123680000000007E-3</v>
      </c>
      <c r="X40">
        <v>0.99955510000000003</v>
      </c>
      <c r="Y40">
        <v>2.2098759999999999E-2</v>
      </c>
      <c r="Z40">
        <v>-2.6763989999999999E-3</v>
      </c>
      <c r="AA40">
        <v>0.99975219999999998</v>
      </c>
      <c r="AB40">
        <v>12</v>
      </c>
      <c r="AC40">
        <v>0.712500000000034</v>
      </c>
      <c r="AD40">
        <v>-7.49999999999999E-2</v>
      </c>
      <c r="AE40">
        <v>-6.1999999999784398E-3</v>
      </c>
      <c r="AF40">
        <v>1.91581828135091E-2</v>
      </c>
      <c r="AG40">
        <v>-7.49999999999999E-2</v>
      </c>
      <c r="AH40">
        <v>0.70445858376618198</v>
      </c>
      <c r="AI40">
        <v>96.074859255419099</v>
      </c>
      <c r="AJ40">
        <v>88.442190147552907</v>
      </c>
      <c r="AK40">
        <v>0.70869875984833697</v>
      </c>
      <c r="AL40">
        <v>89.443513539584004</v>
      </c>
      <c r="AM40">
        <v>88.383993723999296</v>
      </c>
      <c r="AN40">
        <v>0.99999997160618503</v>
      </c>
    </row>
    <row r="41" spans="1:40" x14ac:dyDescent="0.25">
      <c r="A41" t="str">
        <f>"20190312154213151"</f>
        <v>20190312154213151</v>
      </c>
      <c r="B41" t="str">
        <f>"1552376533147090"</f>
        <v>1552376533147090</v>
      </c>
      <c r="C41" t="s">
        <v>40</v>
      </c>
      <c r="D41">
        <v>5.0397530000000001</v>
      </c>
      <c r="E41">
        <v>0.49833870000000002</v>
      </c>
      <c r="F41" t="s">
        <v>41</v>
      </c>
      <c r="G41">
        <v>-473.13709999999998</v>
      </c>
      <c r="H41">
        <v>1.03467</v>
      </c>
      <c r="I41">
        <v>367.26389999999998</v>
      </c>
      <c r="J41">
        <v>-473.83929999999998</v>
      </c>
      <c r="K41">
        <v>1.1090120000000001</v>
      </c>
      <c r="L41">
        <v>367.26889999999997</v>
      </c>
      <c r="M41">
        <v>0.9998165</v>
      </c>
      <c r="N41">
        <v>0</v>
      </c>
      <c r="O41">
        <v>1.9134269999999998E-2</v>
      </c>
      <c r="P41">
        <v>0.99989899999999998</v>
      </c>
      <c r="Q41">
        <v>1.101298E-2</v>
      </c>
      <c r="R41">
        <v>-8.9803109999999995E-3</v>
      </c>
      <c r="S41">
        <v>3.003174</v>
      </c>
      <c r="T41">
        <v>-0.27237209999999901</v>
      </c>
      <c r="U41">
        <v>-7.3547359999999997E-3</v>
      </c>
      <c r="V41">
        <v>2.8105769999999999E-2</v>
      </c>
      <c r="W41">
        <v>1.0075219999999999E-2</v>
      </c>
      <c r="X41">
        <v>0.99955419999999995</v>
      </c>
      <c r="Y41">
        <v>2.1416330000000001E-2</v>
      </c>
      <c r="Z41">
        <v>-2.700937E-3</v>
      </c>
      <c r="AA41">
        <v>0.99976699999999996</v>
      </c>
      <c r="AB41">
        <v>12</v>
      </c>
      <c r="AC41">
        <v>0.70220000000000404</v>
      </c>
      <c r="AD41">
        <v>-7.4342000000000102E-2</v>
      </c>
      <c r="AE41">
        <v>-4.9999999999954499E-3</v>
      </c>
      <c r="AF41">
        <v>1.82308449396805E-2</v>
      </c>
      <c r="AG41">
        <v>-7.4342000000000102E-2</v>
      </c>
      <c r="AH41">
        <v>0.69419529038494399</v>
      </c>
      <c r="AI41">
        <v>96.110469702394298</v>
      </c>
      <c r="AJ41">
        <v>88.495653241760607</v>
      </c>
      <c r="AK41">
        <v>0.69840260442229996</v>
      </c>
      <c r="AL41">
        <v>89.422722661918598</v>
      </c>
      <c r="AM41">
        <v>88.389364176144497</v>
      </c>
      <c r="AN41">
        <v>1.0000000215514899</v>
      </c>
    </row>
    <row r="42" spans="1:40" x14ac:dyDescent="0.25">
      <c r="A42" t="str">
        <f>"20190312154213166"</f>
        <v>20190312154213166</v>
      </c>
      <c r="B42" t="str">
        <f>"1552376533157827"</f>
        <v>1552376533157827</v>
      </c>
      <c r="C42" t="s">
        <v>40</v>
      </c>
      <c r="D42">
        <v>5.0776490000000001</v>
      </c>
      <c r="E42">
        <v>0.4983166</v>
      </c>
      <c r="F42" t="s">
        <v>41</v>
      </c>
      <c r="G42">
        <v>-473.02809999999999</v>
      </c>
      <c r="H42">
        <v>1.0359560000000001</v>
      </c>
      <c r="I42">
        <v>367.26679999999999</v>
      </c>
      <c r="J42">
        <v>-473.75869999999998</v>
      </c>
      <c r="K42">
        <v>1.1090249999999999</v>
      </c>
      <c r="L42">
        <v>367.27089999999998</v>
      </c>
      <c r="M42">
        <v>0.99980820000000004</v>
      </c>
      <c r="N42">
        <v>0</v>
      </c>
      <c r="O42">
        <v>1.9573480000000001E-2</v>
      </c>
      <c r="P42">
        <v>0.99990630000000003</v>
      </c>
      <c r="Q42">
        <v>1.095432E-2</v>
      </c>
      <c r="R42">
        <v>-8.2180489999999998E-3</v>
      </c>
      <c r="S42">
        <v>3.0032649999999999</v>
      </c>
      <c r="T42">
        <v>-0.27085510000000002</v>
      </c>
      <c r="U42">
        <v>-6.3781740000000003E-3</v>
      </c>
      <c r="V42">
        <v>2.778251E-2</v>
      </c>
      <c r="W42">
        <v>1.01744E-2</v>
      </c>
      <c r="X42">
        <v>0.99956219999999996</v>
      </c>
      <c r="Y42">
        <v>2.1529969999999999E-2</v>
      </c>
      <c r="Z42">
        <v>-2.730512E-3</v>
      </c>
      <c r="AA42">
        <v>0.99976449999999994</v>
      </c>
      <c r="AB42">
        <v>12</v>
      </c>
      <c r="AC42">
        <v>0.73059999999998104</v>
      </c>
      <c r="AD42">
        <v>-7.3068999999999995E-2</v>
      </c>
      <c r="AE42">
        <v>-4.0999999999939904E-3</v>
      </c>
      <c r="AF42">
        <v>1.82173891366951E-2</v>
      </c>
      <c r="AG42">
        <v>-7.3068999999999995E-2</v>
      </c>
      <c r="AH42">
        <v>0.72314675954422003</v>
      </c>
      <c r="AI42">
        <v>95.767943641028396</v>
      </c>
      <c r="AJ42">
        <v>88.556919771032099</v>
      </c>
      <c r="AK42">
        <v>0.72705721086257202</v>
      </c>
      <c r="AL42">
        <v>89.417039756345204</v>
      </c>
      <c r="AM42">
        <v>88.407892135218304</v>
      </c>
      <c r="AN42">
        <v>0.99999998897304998</v>
      </c>
    </row>
    <row r="43" spans="1:40" x14ac:dyDescent="0.25">
      <c r="A43" t="str">
        <f>"20190312154213190"</f>
        <v>20190312154213190</v>
      </c>
      <c r="B43" t="str">
        <f>"1552376533177346"</f>
        <v>1552376533177346</v>
      </c>
      <c r="C43" t="s">
        <v>40</v>
      </c>
      <c r="D43">
        <v>5.031256</v>
      </c>
      <c r="E43">
        <v>0.49849399999999999</v>
      </c>
      <c r="F43" t="s">
        <v>41</v>
      </c>
      <c r="G43">
        <v>-473.0249</v>
      </c>
      <c r="H43">
        <v>1.042681</v>
      </c>
      <c r="I43">
        <v>367.26960000000003</v>
      </c>
      <c r="J43">
        <v>-473.63959999999997</v>
      </c>
      <c r="K43">
        <v>1.1090420000000001</v>
      </c>
      <c r="L43">
        <v>367.274</v>
      </c>
      <c r="M43">
        <v>0.99979560000000001</v>
      </c>
      <c r="N43">
        <v>0</v>
      </c>
      <c r="O43">
        <v>2.021096E-2</v>
      </c>
      <c r="P43">
        <v>0.99991459999999999</v>
      </c>
      <c r="Q43">
        <v>1.088473E-2</v>
      </c>
      <c r="R43">
        <v>-7.2590329999999998E-3</v>
      </c>
      <c r="S43">
        <v>3.0032649999999999</v>
      </c>
      <c r="T43">
        <v>-0.27204840000000002</v>
      </c>
      <c r="U43">
        <v>-3.9367680000000002E-3</v>
      </c>
      <c r="V43">
        <v>2.746109E-2</v>
      </c>
      <c r="W43">
        <v>1.0318880000000001E-2</v>
      </c>
      <c r="X43">
        <v>0.99956959999999995</v>
      </c>
      <c r="Y43">
        <v>2.1351350000000002E-2</v>
      </c>
      <c r="Z43">
        <v>-2.7920369999999998E-3</v>
      </c>
      <c r="AA43">
        <v>0.99976810000000005</v>
      </c>
      <c r="AB43">
        <v>12</v>
      </c>
      <c r="AC43">
        <v>0.61469999999997005</v>
      </c>
      <c r="AD43">
        <v>-6.63610000000001E-2</v>
      </c>
      <c r="AE43">
        <v>-4.3999999999755303E-3</v>
      </c>
      <c r="AF43">
        <v>1.66289849170294E-2</v>
      </c>
      <c r="AG43">
        <v>-6.63610000000001E-2</v>
      </c>
      <c r="AH43">
        <v>0.60740675823965595</v>
      </c>
      <c r="AI43">
        <v>96.232688943531699</v>
      </c>
      <c r="AJ43">
        <v>88.431804201715394</v>
      </c>
      <c r="AK43">
        <v>0.611247311172473</v>
      </c>
      <c r="AL43">
        <v>89.408761226837299</v>
      </c>
      <c r="AM43">
        <v>88.426313796607502</v>
      </c>
      <c r="AN43">
        <v>0.99999998799630097</v>
      </c>
    </row>
    <row r="44" spans="1:40" x14ac:dyDescent="0.25">
      <c r="A44" t="str">
        <f>"20190312154213212"</f>
        <v>20190312154213212</v>
      </c>
      <c r="B44" t="str">
        <f>"1552376533207603"</f>
        <v>1552376533207603</v>
      </c>
      <c r="C44" t="s">
        <v>40</v>
      </c>
      <c r="D44">
        <v>5.0667530000000003</v>
      </c>
      <c r="E44">
        <v>0.49857180000000001</v>
      </c>
      <c r="F44" t="s">
        <v>41</v>
      </c>
      <c r="G44">
        <v>-472.8075</v>
      </c>
      <c r="H44">
        <v>1.0340049999999901</v>
      </c>
      <c r="I44">
        <v>367.27280000000002</v>
      </c>
      <c r="J44">
        <v>-473.50900000000001</v>
      </c>
      <c r="K44">
        <v>1.109054</v>
      </c>
      <c r="L44">
        <v>367.27749999999997</v>
      </c>
      <c r="M44">
        <v>0.9997817</v>
      </c>
      <c r="N44">
        <v>0</v>
      </c>
      <c r="O44">
        <v>2.0891819999999998E-2</v>
      </c>
      <c r="P44">
        <v>0.99992139999999996</v>
      </c>
      <c r="Q44">
        <v>1.088506E-2</v>
      </c>
      <c r="R44">
        <v>-6.2207069999999998E-3</v>
      </c>
      <c r="S44">
        <v>3.0032040000000002</v>
      </c>
      <c r="T44">
        <v>-0.27122180000000001</v>
      </c>
      <c r="U44">
        <v>-2.532959E-3</v>
      </c>
      <c r="V44">
        <v>2.7103909999999998E-2</v>
      </c>
      <c r="W44">
        <v>1.053392E-2</v>
      </c>
      <c r="X44">
        <v>0.9995771</v>
      </c>
      <c r="Y44">
        <v>2.156228E-2</v>
      </c>
      <c r="Z44">
        <v>-2.8545020000000001E-3</v>
      </c>
      <c r="AA44">
        <v>0.99976339999999997</v>
      </c>
      <c r="AB44">
        <v>12</v>
      </c>
      <c r="AC44">
        <v>0.70150000000001</v>
      </c>
      <c r="AD44">
        <v>-7.5049000000000102E-2</v>
      </c>
      <c r="AE44">
        <v>-4.6999999999570701E-3</v>
      </c>
      <c r="AF44">
        <v>1.9135580233929299E-2</v>
      </c>
      <c r="AG44">
        <v>-7.5049000000000102E-2</v>
      </c>
      <c r="AH44">
        <v>0.693313739799856</v>
      </c>
      <c r="AI44">
        <v>96.175696552454596</v>
      </c>
      <c r="AJ44">
        <v>88.419027848673494</v>
      </c>
      <c r="AK44">
        <v>0.69762630729291697</v>
      </c>
      <c r="AL44">
        <v>89.3964396689409</v>
      </c>
      <c r="AM44">
        <v>88.446783922159696</v>
      </c>
      <c r="AN44">
        <v>0.99999998212613195</v>
      </c>
    </row>
    <row r="45" spans="1:40" x14ac:dyDescent="0.25">
      <c r="A45" t="str">
        <f>"20190312154213232"</f>
        <v>20190312154213232</v>
      </c>
      <c r="B45" t="str">
        <f>"1552376533227631"</f>
        <v>1552376533227631</v>
      </c>
      <c r="C45" t="s">
        <v>40</v>
      </c>
      <c r="D45">
        <v>5.0574479999999999</v>
      </c>
      <c r="E45">
        <v>0.49872620000000001</v>
      </c>
      <c r="F45" t="s">
        <v>41</v>
      </c>
      <c r="G45">
        <v>-472.6936</v>
      </c>
      <c r="H45">
        <v>1.0354760000000001</v>
      </c>
      <c r="I45">
        <v>367.27710000000002</v>
      </c>
      <c r="J45">
        <v>-473.3938</v>
      </c>
      <c r="K45">
        <v>1.109065</v>
      </c>
      <c r="L45">
        <v>367.28050000000002</v>
      </c>
      <c r="M45">
        <v>0.99976940000000003</v>
      </c>
      <c r="N45">
        <v>0</v>
      </c>
      <c r="O45">
        <v>2.1476499999999999E-2</v>
      </c>
      <c r="P45">
        <v>0.9999247</v>
      </c>
      <c r="Q45">
        <v>1.132792E-2</v>
      </c>
      <c r="R45">
        <v>-4.7742110000000004E-3</v>
      </c>
      <c r="S45">
        <v>3.0032040000000002</v>
      </c>
      <c r="T45">
        <v>-0.27128970000000002</v>
      </c>
      <c r="U45" s="1">
        <v>3.0517579999999999E-5</v>
      </c>
      <c r="V45">
        <v>2.6241939999999998E-2</v>
      </c>
      <c r="W45">
        <v>1.1152820000000001E-2</v>
      </c>
      <c r="X45">
        <v>0.99959339999999997</v>
      </c>
      <c r="Y45">
        <v>2.1292209999999999E-2</v>
      </c>
      <c r="Z45">
        <v>-2.8957380000000001E-3</v>
      </c>
      <c r="AA45">
        <v>0.99976909999999997</v>
      </c>
      <c r="AB45">
        <v>12</v>
      </c>
      <c r="AC45">
        <v>0.70019999999999505</v>
      </c>
      <c r="AD45">
        <v>-7.3588999999999904E-2</v>
      </c>
      <c r="AE45">
        <v>-3.3999999999991802E-3</v>
      </c>
      <c r="AF45">
        <v>1.8235645089609301E-2</v>
      </c>
      <c r="AG45">
        <v>-7.3588999999999904E-2</v>
      </c>
      <c r="AH45">
        <v>0.69231872174506504</v>
      </c>
      <c r="AI45">
        <v>96.0653006321362</v>
      </c>
      <c r="AJ45">
        <v>88.491180525562996</v>
      </c>
      <c r="AK45">
        <v>0.69645753075945405</v>
      </c>
      <c r="AL45">
        <v>89.360977233194703</v>
      </c>
      <c r="AM45">
        <v>88.496181412346004</v>
      </c>
      <c r="AN45">
        <v>0.99999999506623705</v>
      </c>
    </row>
    <row r="46" spans="1:40" x14ac:dyDescent="0.25">
      <c r="A46" t="str">
        <f>"20190312154213254"</f>
        <v>20190312154213254</v>
      </c>
      <c r="B46" t="str">
        <f>"1552376533247151"</f>
        <v>1552376533247151</v>
      </c>
      <c r="C46" t="s">
        <v>40</v>
      </c>
      <c r="D46">
        <v>5.0532579999999996</v>
      </c>
      <c r="E46">
        <v>0.49883690000000003</v>
      </c>
      <c r="F46" t="s">
        <v>41</v>
      </c>
      <c r="G46">
        <v>-472.57889999999998</v>
      </c>
      <c r="H46">
        <v>1.0358849999999999</v>
      </c>
      <c r="I46">
        <v>367.28089999999997</v>
      </c>
      <c r="J46">
        <v>-473.26299999999998</v>
      </c>
      <c r="K46">
        <v>1.1090679999999999</v>
      </c>
      <c r="L46">
        <v>367.28410000000002</v>
      </c>
      <c r="M46">
        <v>0.99975539999999996</v>
      </c>
      <c r="N46">
        <v>0</v>
      </c>
      <c r="O46">
        <v>2.2119340000000001E-2</v>
      </c>
      <c r="P46">
        <v>0.99993030000000005</v>
      </c>
      <c r="Q46">
        <v>1.1255009999999999E-2</v>
      </c>
      <c r="R46">
        <v>-3.5996859999999999E-3</v>
      </c>
      <c r="S46">
        <v>3.0032649999999999</v>
      </c>
      <c r="T46">
        <v>-0.27011810000000003</v>
      </c>
      <c r="U46">
        <v>3.0212400000000001E-3</v>
      </c>
      <c r="V46">
        <v>2.5711009999999999E-2</v>
      </c>
      <c r="W46">
        <v>1.126773E-2</v>
      </c>
      <c r="X46">
        <v>0.99960590000000005</v>
      </c>
      <c r="Y46">
        <v>2.093979E-2</v>
      </c>
      <c r="Z46">
        <v>-2.9250919999999998E-3</v>
      </c>
      <c r="AA46">
        <v>0.99977649999999996</v>
      </c>
      <c r="AB46">
        <v>13</v>
      </c>
      <c r="AC46">
        <v>0.684100000000057</v>
      </c>
      <c r="AD46">
        <v>-7.3182999999999998E-2</v>
      </c>
      <c r="AE46">
        <v>-3.2000000000493799E-3</v>
      </c>
      <c r="AF46">
        <v>1.8123652469701799E-2</v>
      </c>
      <c r="AG46">
        <v>-7.3182999999999998E-2</v>
      </c>
      <c r="AH46">
        <v>0.67612438597928004</v>
      </c>
      <c r="AI46">
        <v>96.175384591273001</v>
      </c>
      <c r="AJ46">
        <v>88.464542591439297</v>
      </c>
      <c r="AK46">
        <v>0.68031492970807395</v>
      </c>
      <c r="AL46">
        <v>89.354392955896301</v>
      </c>
      <c r="AM46">
        <v>88.526611712450801</v>
      </c>
      <c r="AN46">
        <v>0.99999998654469102</v>
      </c>
    </row>
    <row r="47" spans="1:40" x14ac:dyDescent="0.25">
      <c r="A47" t="str">
        <f>"20190312154213276"</f>
        <v>20190312154213276</v>
      </c>
      <c r="B47" t="str">
        <f>"1552376533267647"</f>
        <v>1552376533267647</v>
      </c>
      <c r="C47" t="s">
        <v>40</v>
      </c>
      <c r="D47">
        <v>5.0432040000000002</v>
      </c>
      <c r="E47">
        <v>0.49893939999999998</v>
      </c>
      <c r="F47" t="s">
        <v>41</v>
      </c>
      <c r="G47">
        <v>-472.4622</v>
      </c>
      <c r="H47">
        <v>1.0369949999999999</v>
      </c>
      <c r="I47">
        <v>367.28539999999998</v>
      </c>
      <c r="J47">
        <v>-473.13819999999998</v>
      </c>
      <c r="K47">
        <v>1.1090719999999901</v>
      </c>
      <c r="L47">
        <v>367.2876</v>
      </c>
      <c r="M47">
        <v>0.99974220000000003</v>
      </c>
      <c r="N47">
        <v>0</v>
      </c>
      <c r="O47">
        <v>2.270583E-2</v>
      </c>
      <c r="P47">
        <v>0.99993810000000005</v>
      </c>
      <c r="Q47">
        <v>1.1009649999999999E-2</v>
      </c>
      <c r="R47">
        <v>-1.6225829999999999E-3</v>
      </c>
      <c r="S47">
        <v>3.0032649999999999</v>
      </c>
      <c r="T47">
        <v>-0.27045629999999998</v>
      </c>
      <c r="U47">
        <v>5.432129E-3</v>
      </c>
      <c r="V47">
        <v>2.432132E-2</v>
      </c>
      <c r="W47">
        <v>1.119144E-2</v>
      </c>
      <c r="X47">
        <v>0.99964149999999996</v>
      </c>
      <c r="Y47">
        <v>2.0721799999999999E-2</v>
      </c>
      <c r="Z47">
        <v>-2.9716370000000001E-3</v>
      </c>
      <c r="AA47">
        <v>0.99978089999999997</v>
      </c>
      <c r="AB47">
        <v>13</v>
      </c>
      <c r="AC47">
        <v>0.67599999999998694</v>
      </c>
      <c r="AD47">
        <v>-7.2076999999999697E-2</v>
      </c>
      <c r="AE47">
        <v>-2.2000000000161799E-3</v>
      </c>
      <c r="AF47">
        <v>1.7351318788248599E-2</v>
      </c>
      <c r="AG47">
        <v>-7.2076999999999697E-2</v>
      </c>
      <c r="AH47">
        <v>0.668179701893863</v>
      </c>
      <c r="AI47">
        <v>96.154669494784599</v>
      </c>
      <c r="AJ47">
        <v>88.512475077170095</v>
      </c>
      <c r="AK47">
        <v>0.67227990912689295</v>
      </c>
      <c r="AL47">
        <v>89.358764304280697</v>
      </c>
      <c r="AM47">
        <v>88.606266223630598</v>
      </c>
      <c r="AN47">
        <v>0.999999951729031</v>
      </c>
    </row>
    <row r="48" spans="1:40" x14ac:dyDescent="0.25">
      <c r="A48" t="str">
        <f>"20190312154213297"</f>
        <v>20190312154213297</v>
      </c>
      <c r="B48" t="str">
        <f>"1552376533287167"</f>
        <v>1552376533287167</v>
      </c>
      <c r="C48" t="s">
        <v>40</v>
      </c>
      <c r="D48">
        <v>5.0372199999999996</v>
      </c>
      <c r="E48">
        <v>0.499054</v>
      </c>
      <c r="F48" t="s">
        <v>41</v>
      </c>
      <c r="G48">
        <v>-472.34429999999998</v>
      </c>
      <c r="H48">
        <v>1.0374699999999999</v>
      </c>
      <c r="I48">
        <v>367.28980000000001</v>
      </c>
      <c r="J48">
        <v>-473.00880000000001</v>
      </c>
      <c r="K48">
        <v>1.1090679999999999</v>
      </c>
      <c r="L48">
        <v>367.2912</v>
      </c>
      <c r="M48">
        <v>0.99972890000000003</v>
      </c>
      <c r="N48">
        <v>0</v>
      </c>
      <c r="O48">
        <v>2.3282049999999999E-2</v>
      </c>
      <c r="P48">
        <v>0.99994090000000002</v>
      </c>
      <c r="Q48">
        <v>1.087374E-2</v>
      </c>
      <c r="R48">
        <v>2.3148299999999999E-4</v>
      </c>
      <c r="S48">
        <v>3.003174</v>
      </c>
      <c r="T48">
        <v>-0.2713835</v>
      </c>
      <c r="U48">
        <v>1.0467529999999999E-2</v>
      </c>
      <c r="V48">
        <v>2.3044439999999999E-2</v>
      </c>
      <c r="W48">
        <v>1.122338E-2</v>
      </c>
      <c r="X48">
        <v>0.99967150000000005</v>
      </c>
      <c r="Y48">
        <v>1.9622580000000001E-2</v>
      </c>
      <c r="Z48">
        <v>-2.9842459999999999E-3</v>
      </c>
      <c r="AA48">
        <v>0.999803</v>
      </c>
      <c r="AB48">
        <v>13</v>
      </c>
      <c r="AC48">
        <v>0.66450000000003195</v>
      </c>
      <c r="AD48">
        <v>-7.1597999999999801E-2</v>
      </c>
      <c r="AE48">
        <v>-1.39999999998963E-3</v>
      </c>
      <c r="AF48">
        <v>1.6676934051195798E-2</v>
      </c>
      <c r="AG48">
        <v>-7.1597999999999801E-2</v>
      </c>
      <c r="AH48">
        <v>0.65666380858342599</v>
      </c>
      <c r="AI48">
        <v>96.220557947614907</v>
      </c>
      <c r="AJ48">
        <v>88.545202928294898</v>
      </c>
      <c r="AK48">
        <v>0.66076603365838804</v>
      </c>
      <c r="AL48">
        <v>89.356934231161802</v>
      </c>
      <c r="AM48">
        <v>88.679450847592193</v>
      </c>
      <c r="AN48">
        <v>1.0000000591928899</v>
      </c>
    </row>
    <row r="49" spans="1:40" x14ac:dyDescent="0.25">
      <c r="A49" t="str">
        <f>"20190312154213320"</f>
        <v>20190312154213320</v>
      </c>
      <c r="B49" t="str">
        <f>"1552376533307663"</f>
        <v>1552376533307663</v>
      </c>
      <c r="C49" t="s">
        <v>40</v>
      </c>
      <c r="D49">
        <v>4.9952550000000002</v>
      </c>
      <c r="E49">
        <v>0.49923869999999998</v>
      </c>
      <c r="F49" t="s">
        <v>41</v>
      </c>
      <c r="G49">
        <v>-472.22500000000002</v>
      </c>
      <c r="H49">
        <v>1.0380149999999999</v>
      </c>
      <c r="I49">
        <v>367.29489999999998</v>
      </c>
      <c r="J49">
        <v>-472.87909999999999</v>
      </c>
      <c r="K49">
        <v>1.1090629999999999</v>
      </c>
      <c r="L49">
        <v>367.29480000000001</v>
      </c>
      <c r="M49">
        <v>0.9997161</v>
      </c>
      <c r="N49">
        <v>0</v>
      </c>
      <c r="O49">
        <v>2.3822010000000001E-2</v>
      </c>
      <c r="P49">
        <v>0.99994609999999995</v>
      </c>
      <c r="Q49">
        <v>1.0272989999999999E-2</v>
      </c>
      <c r="R49">
        <v>1.6106670000000001E-3</v>
      </c>
      <c r="S49">
        <v>3.0031430000000001</v>
      </c>
      <c r="T49">
        <v>-0.27251890000000001</v>
      </c>
      <c r="U49">
        <v>1.525879E-2</v>
      </c>
      <c r="V49">
        <v>2.220635E-2</v>
      </c>
      <c r="W49">
        <v>1.078138E-2</v>
      </c>
      <c r="X49">
        <v>0.99969529999999995</v>
      </c>
      <c r="Y49">
        <v>1.856812E-2</v>
      </c>
      <c r="Z49">
        <v>-2.9978309999999998E-3</v>
      </c>
      <c r="AA49">
        <v>0.99982309999999996</v>
      </c>
      <c r="AB49">
        <v>13</v>
      </c>
      <c r="AC49">
        <v>0.65409999999997104</v>
      </c>
      <c r="AD49">
        <v>-7.1048E-2</v>
      </c>
      <c r="AE49" s="1">
        <v>9.9999999974897906E-5</v>
      </c>
      <c r="AF49">
        <v>1.5301477177780401E-2</v>
      </c>
      <c r="AG49">
        <v>-7.1048E-2</v>
      </c>
      <c r="AH49">
        <v>0.64629168635732503</v>
      </c>
      <c r="AI49">
        <v>96.271693346819404</v>
      </c>
      <c r="AJ49">
        <v>88.643729565605199</v>
      </c>
      <c r="AK49">
        <v>0.65036520306856604</v>
      </c>
      <c r="AL49">
        <v>89.382260477158695</v>
      </c>
      <c r="AM49">
        <v>88.727491336779906</v>
      </c>
      <c r="AN49">
        <v>1.00000002648855</v>
      </c>
    </row>
    <row r="50" spans="1:40" x14ac:dyDescent="0.25">
      <c r="A50" t="str">
        <f>"20190312154213342"</f>
        <v>20190312154213342</v>
      </c>
      <c r="B50" t="str">
        <f>"1552376533327183"</f>
        <v>1552376533327183</v>
      </c>
      <c r="C50" t="s">
        <v>40</v>
      </c>
      <c r="D50">
        <v>4.9502389999999998</v>
      </c>
      <c r="E50">
        <v>0.49925180000000002</v>
      </c>
      <c r="F50" t="s">
        <v>41</v>
      </c>
      <c r="G50">
        <v>-472.10419999999999</v>
      </c>
      <c r="H50">
        <v>1.038306</v>
      </c>
      <c r="I50">
        <v>367.2989</v>
      </c>
      <c r="J50">
        <v>-472.74349999999998</v>
      </c>
      <c r="K50">
        <v>1.109056</v>
      </c>
      <c r="L50">
        <v>367.2987</v>
      </c>
      <c r="M50">
        <v>0.99970360000000003</v>
      </c>
      <c r="N50">
        <v>0</v>
      </c>
      <c r="O50">
        <v>2.4343400000000001E-2</v>
      </c>
      <c r="P50">
        <v>0.99994559999999999</v>
      </c>
      <c r="Q50">
        <v>1.0087230000000001E-2</v>
      </c>
      <c r="R50">
        <v>2.760602E-3</v>
      </c>
      <c r="S50">
        <v>3.0029300000000001</v>
      </c>
      <c r="T50">
        <v>-0.27478340000000001</v>
      </c>
      <c r="U50">
        <v>1.8280029999999999E-2</v>
      </c>
      <c r="V50">
        <v>2.15786E-2</v>
      </c>
      <c r="W50">
        <v>1.075039E-2</v>
      </c>
      <c r="X50">
        <v>0.99970939999999997</v>
      </c>
      <c r="Y50">
        <v>1.8080260000000001E-2</v>
      </c>
      <c r="Z50">
        <v>-3.0481610000000002E-3</v>
      </c>
      <c r="AA50">
        <v>0.9998319</v>
      </c>
      <c r="AB50">
        <v>13</v>
      </c>
      <c r="AC50">
        <v>0.63929999999999099</v>
      </c>
      <c r="AD50">
        <v>-7.0749999999999993E-2</v>
      </c>
      <c r="AE50">
        <v>2.0000000000663901E-4</v>
      </c>
      <c r="AF50">
        <v>1.51769181643488E-2</v>
      </c>
      <c r="AG50">
        <v>-7.0749999999999993E-2</v>
      </c>
      <c r="AH50">
        <v>0.63138262831779302</v>
      </c>
      <c r="AI50">
        <v>96.391814067607797</v>
      </c>
      <c r="AJ50">
        <v>88.623012584830406</v>
      </c>
      <c r="AK50">
        <v>0.63551547950183795</v>
      </c>
      <c r="AL50">
        <v>89.384036188034102</v>
      </c>
      <c r="AM50">
        <v>88.763469912797703</v>
      </c>
      <c r="AN50">
        <v>1.0000000456557301</v>
      </c>
    </row>
    <row r="51" spans="1:40" x14ac:dyDescent="0.25">
      <c r="A51" t="str">
        <f>"20190312154213357"</f>
        <v>20190312154213357</v>
      </c>
      <c r="B51" t="str">
        <f>"1552376533347680"</f>
        <v>1552376533347680</v>
      </c>
      <c r="C51" t="s">
        <v>40</v>
      </c>
      <c r="D51">
        <v>4.9713890000000003</v>
      </c>
      <c r="E51">
        <v>0.49500149999999998</v>
      </c>
      <c r="F51" t="s">
        <v>41</v>
      </c>
      <c r="G51">
        <v>-471.98160000000001</v>
      </c>
      <c r="H51">
        <v>1.0393840000000001</v>
      </c>
      <c r="I51">
        <v>367.30399999999997</v>
      </c>
      <c r="J51">
        <v>-472.65140000000002</v>
      </c>
      <c r="K51">
        <v>1.1090519999999999</v>
      </c>
      <c r="L51">
        <v>367.30130000000003</v>
      </c>
      <c r="M51">
        <v>0.99969549999999996</v>
      </c>
      <c r="N51">
        <v>0</v>
      </c>
      <c r="O51">
        <v>2.4669770000000001E-2</v>
      </c>
      <c r="P51">
        <v>0.99994499999999997</v>
      </c>
      <c r="Q51">
        <v>1.001527E-2</v>
      </c>
      <c r="R51">
        <v>3.1729789999999998E-3</v>
      </c>
      <c r="S51">
        <v>3.002869</v>
      </c>
      <c r="T51">
        <v>-0.27480690000000002</v>
      </c>
      <c r="U51">
        <v>2.1545410000000001E-2</v>
      </c>
      <c r="V51">
        <v>2.149307E-2</v>
      </c>
      <c r="W51">
        <v>1.077709E-2</v>
      </c>
      <c r="X51">
        <v>0.99971089999999996</v>
      </c>
      <c r="Y51">
        <v>1.7321130000000001E-2</v>
      </c>
      <c r="Z51">
        <v>-3.0435979999999998E-3</v>
      </c>
      <c r="AA51">
        <v>0.99984530000000005</v>
      </c>
      <c r="AB51">
        <v>14</v>
      </c>
      <c r="AC51">
        <v>0.66980000000000905</v>
      </c>
      <c r="AD51">
        <v>-6.9667999999999994E-2</v>
      </c>
      <c r="AE51">
        <v>2.7000000000043599E-3</v>
      </c>
      <c r="AF51">
        <v>1.36766743540365E-2</v>
      </c>
      <c r="AG51">
        <v>-6.9667999999999994E-2</v>
      </c>
      <c r="AH51">
        <v>0.66249551243359694</v>
      </c>
      <c r="AI51">
        <v>96.001888278178001</v>
      </c>
      <c r="AJ51">
        <v>88.817343799263398</v>
      </c>
      <c r="AK51">
        <v>0.66628896556977502</v>
      </c>
      <c r="AL51">
        <v>89.382506268198298</v>
      </c>
      <c r="AM51">
        <v>88.768371418984003</v>
      </c>
      <c r="AN51">
        <v>0.99999999065285095</v>
      </c>
    </row>
    <row r="52" spans="1:40" x14ac:dyDescent="0.25">
      <c r="A52" t="str">
        <f>"20190312154213376"</f>
        <v>20190312154213376</v>
      </c>
      <c r="B52" t="str">
        <f>"1552376533367199"</f>
        <v>1552376533367199</v>
      </c>
      <c r="C52" t="s">
        <v>40</v>
      </c>
      <c r="D52">
        <v>4.938593</v>
      </c>
      <c r="E52">
        <v>0.4940099</v>
      </c>
      <c r="F52" t="s">
        <v>42</v>
      </c>
      <c r="G52">
        <v>-433.54410000000001</v>
      </c>
      <c r="H52">
        <v>-0.05</v>
      </c>
      <c r="I52">
        <v>367.98180000000002</v>
      </c>
      <c r="J52">
        <v>-472.5299</v>
      </c>
      <c r="K52">
        <v>1.109046</v>
      </c>
      <c r="L52">
        <v>367.3048</v>
      </c>
      <c r="M52">
        <v>0.99968539999999995</v>
      </c>
      <c r="N52">
        <v>0</v>
      </c>
      <c r="O52">
        <v>2.5067880000000001E-2</v>
      </c>
      <c r="P52">
        <v>0.99994240000000001</v>
      </c>
      <c r="Q52">
        <v>9.9731590000000005E-3</v>
      </c>
      <c r="R52">
        <v>4.001793E-3</v>
      </c>
      <c r="S52">
        <v>3.0008849999999998</v>
      </c>
      <c r="T52">
        <v>-8.8939550000000006E-2</v>
      </c>
      <c r="U52">
        <v>5.2215579999999998E-2</v>
      </c>
      <c r="V52">
        <v>2.1063149999999999E-2</v>
      </c>
      <c r="W52">
        <v>1.085815E-2</v>
      </c>
      <c r="X52">
        <v>0.99971920000000003</v>
      </c>
      <c r="Y52">
        <v>7.657774E-3</v>
      </c>
      <c r="Z52">
        <v>-8.5608449999999997E-4</v>
      </c>
      <c r="AA52">
        <v>0.99997029999999998</v>
      </c>
      <c r="AB52">
        <v>14</v>
      </c>
      <c r="AC52">
        <v>38.985799999999898</v>
      </c>
      <c r="AD52">
        <v>-1.159046</v>
      </c>
      <c r="AE52">
        <v>0.67700000000002003</v>
      </c>
      <c r="AF52">
        <v>0.30023915343248098</v>
      </c>
      <c r="AG52">
        <v>-1.159046</v>
      </c>
      <c r="AH52">
        <v>38.956097965611796</v>
      </c>
      <c r="AI52">
        <v>91.704146259941695</v>
      </c>
      <c r="AJ52">
        <v>89.558423542382002</v>
      </c>
      <c r="AK52">
        <v>38.974492939430498</v>
      </c>
      <c r="AL52">
        <v>89.377861617062507</v>
      </c>
      <c r="AM52">
        <v>88.7930100041972</v>
      </c>
      <c r="AN52">
        <v>1.00000001727899</v>
      </c>
    </row>
    <row r="53" spans="1:40" x14ac:dyDescent="0.25">
      <c r="A53" t="str">
        <f>"20190312154213399"</f>
        <v>20190312154213399</v>
      </c>
      <c r="B53" t="str">
        <f>"1552376533387694"</f>
        <v>1552376533387694</v>
      </c>
      <c r="C53" t="s">
        <v>40</v>
      </c>
      <c r="D53">
        <v>4.9307339999999904</v>
      </c>
      <c r="E53">
        <v>0.49395800000000001</v>
      </c>
      <c r="F53" t="s">
        <v>42</v>
      </c>
      <c r="G53">
        <v>-424.32600000000002</v>
      </c>
      <c r="H53">
        <v>-0.05</v>
      </c>
      <c r="I53">
        <v>368.30930000000001</v>
      </c>
      <c r="J53">
        <v>-472.38959999999997</v>
      </c>
      <c r="K53">
        <v>1.1090420000000001</v>
      </c>
      <c r="L53">
        <v>367.30880000000002</v>
      </c>
      <c r="M53">
        <v>0.99967490000000003</v>
      </c>
      <c r="N53">
        <v>0</v>
      </c>
      <c r="O53">
        <v>2.548212E-2</v>
      </c>
      <c r="P53">
        <v>0.99994479999999997</v>
      </c>
      <c r="Q53">
        <v>9.7230600000000004E-3</v>
      </c>
      <c r="R53">
        <v>3.9995710000000004E-3</v>
      </c>
      <c r="S53">
        <v>3.00061</v>
      </c>
      <c r="T53">
        <v>-7.214856E-2</v>
      </c>
      <c r="U53">
        <v>6.2530520000000006E-2</v>
      </c>
      <c r="V53">
        <v>2.148036E-2</v>
      </c>
      <c r="W53">
        <v>1.07399E-2</v>
      </c>
      <c r="X53">
        <v>0.99971160000000003</v>
      </c>
      <c r="Y53">
        <v>4.6399249999999996E-3</v>
      </c>
      <c r="Z53">
        <v>-6.6823169999999995E-4</v>
      </c>
      <c r="AA53">
        <v>0.99998900000000002</v>
      </c>
      <c r="AB53">
        <v>14</v>
      </c>
      <c r="AC53">
        <v>48.063600000000001</v>
      </c>
      <c r="AD53">
        <v>-1.1590419999999999</v>
      </c>
      <c r="AE53">
        <v>1.00049999999998</v>
      </c>
      <c r="AF53">
        <v>0.22445730005686501</v>
      </c>
      <c r="AG53">
        <v>-1.1590419999999999</v>
      </c>
      <c r="AH53">
        <v>48.045560129898199</v>
      </c>
      <c r="AI53">
        <v>91.381909434884705</v>
      </c>
      <c r="AJ53">
        <v>89.732329847349902</v>
      </c>
      <c r="AK53">
        <v>48.060062501342799</v>
      </c>
      <c r="AL53">
        <v>89.384637237950997</v>
      </c>
      <c r="AM53">
        <v>88.769100384202801</v>
      </c>
      <c r="AN53">
        <v>1.0000000172461401</v>
      </c>
    </row>
    <row r="54" spans="1:40" x14ac:dyDescent="0.25">
      <c r="A54" t="str">
        <f>"20190312154213423"</f>
        <v>20190312154213423</v>
      </c>
      <c r="B54" t="str">
        <f>"1552376533416975"</f>
        <v>1552376533416975</v>
      </c>
      <c r="C54" t="s">
        <v>40</v>
      </c>
      <c r="D54">
        <v>4.9162629999999998</v>
      </c>
      <c r="E54">
        <v>0.4939075</v>
      </c>
      <c r="F54" t="s">
        <v>42</v>
      </c>
      <c r="G54">
        <v>-421.89330000000001</v>
      </c>
      <c r="H54">
        <v>-0.05</v>
      </c>
      <c r="I54">
        <v>368.36309999999997</v>
      </c>
      <c r="J54">
        <v>-472.2373</v>
      </c>
      <c r="K54">
        <v>1.1090370000000001</v>
      </c>
      <c r="L54">
        <v>367.31310000000002</v>
      </c>
      <c r="M54">
        <v>0.99966440000000001</v>
      </c>
      <c r="N54">
        <v>0</v>
      </c>
      <c r="O54">
        <v>2.5883059999999999E-2</v>
      </c>
      <c r="P54">
        <v>0.99994609999999995</v>
      </c>
      <c r="Q54">
        <v>9.6740799999999998E-3</v>
      </c>
      <c r="R54">
        <v>3.8465299999999999E-3</v>
      </c>
      <c r="S54">
        <v>3.0005799999999998</v>
      </c>
      <c r="T54">
        <v>-6.8872329999999995E-2</v>
      </c>
      <c r="U54">
        <v>6.2652589999999994E-2</v>
      </c>
      <c r="V54">
        <v>2.2034660000000001E-2</v>
      </c>
      <c r="W54">
        <v>1.0820959999999999E-2</v>
      </c>
      <c r="X54">
        <v>0.99969859999999999</v>
      </c>
      <c r="Y54">
        <v>5.0006870000000002E-3</v>
      </c>
      <c r="Z54">
        <v>-6.5123830000000005E-4</v>
      </c>
      <c r="AA54">
        <v>0.99998730000000002</v>
      </c>
      <c r="AB54">
        <v>14</v>
      </c>
      <c r="AC54">
        <v>50.344000000000001</v>
      </c>
      <c r="AD54">
        <v>-1.1590370000000001</v>
      </c>
      <c r="AE54">
        <v>1.0499999999999501</v>
      </c>
      <c r="AF54">
        <v>0.25327511428946797</v>
      </c>
      <c r="AG54">
        <v>-1.1590370000000001</v>
      </c>
      <c r="AH54">
        <v>50.327647350272898</v>
      </c>
      <c r="AI54">
        <v>91.319261973003094</v>
      </c>
      <c r="AJ54">
        <v>89.711660024618297</v>
      </c>
      <c r="AK54">
        <v>50.341628925416401</v>
      </c>
      <c r="AL54">
        <v>89.379992533724106</v>
      </c>
      <c r="AM54">
        <v>88.737330798642404</v>
      </c>
      <c r="AN54">
        <v>0.99999995512929696</v>
      </c>
    </row>
    <row r="55" spans="1:40" x14ac:dyDescent="0.25">
      <c r="A55" t="str">
        <f>"20190312154213442"</f>
        <v>20190312154213442</v>
      </c>
      <c r="B55" t="str">
        <f>"1552376533437471"</f>
        <v>1552376533437471</v>
      </c>
      <c r="C55" t="s">
        <v>40</v>
      </c>
      <c r="D55">
        <v>4.9187500000000002</v>
      </c>
      <c r="E55">
        <v>0.49386269999999999</v>
      </c>
      <c r="F55" t="s">
        <v>42</v>
      </c>
      <c r="G55">
        <v>-420.12259999999998</v>
      </c>
      <c r="H55">
        <v>-0.05</v>
      </c>
      <c r="I55">
        <v>368.40289999999999</v>
      </c>
      <c r="J55">
        <v>-472.1114</v>
      </c>
      <c r="K55">
        <v>1.1090370000000001</v>
      </c>
      <c r="L55">
        <v>367.31670000000003</v>
      </c>
      <c r="M55">
        <v>0.99965660000000001</v>
      </c>
      <c r="N55">
        <v>0</v>
      </c>
      <c r="O55">
        <v>2.617767E-2</v>
      </c>
      <c r="P55">
        <v>0.99995089999999998</v>
      </c>
      <c r="Q55">
        <v>9.4289639999999997E-3</v>
      </c>
      <c r="R55">
        <v>3.0536949999999999E-3</v>
      </c>
      <c r="S55">
        <v>3.0005489999999999</v>
      </c>
      <c r="T55">
        <v>-6.6732529999999998E-2</v>
      </c>
      <c r="U55">
        <v>6.2744140000000004E-2</v>
      </c>
      <c r="V55">
        <v>2.3122520000000001E-2</v>
      </c>
      <c r="W55">
        <v>1.0673149999999999E-2</v>
      </c>
      <c r="X55">
        <v>0.99967569999999994</v>
      </c>
      <c r="Y55">
        <v>5.2650550000000003E-3</v>
      </c>
      <c r="Z55">
        <v>-6.4050350000000001E-4</v>
      </c>
      <c r="AA55">
        <v>0.99998589999999998</v>
      </c>
      <c r="AB55">
        <v>14</v>
      </c>
      <c r="AC55">
        <v>51.988799999999998</v>
      </c>
      <c r="AD55">
        <v>-1.1590370000000001</v>
      </c>
      <c r="AE55">
        <v>1.0861999999999601</v>
      </c>
      <c r="AF55">
        <v>0.27498223296706698</v>
      </c>
      <c r="AG55">
        <v>-1.1590370000000001</v>
      </c>
      <c r="AH55">
        <v>51.9735972197726</v>
      </c>
      <c r="AI55">
        <v>91.277494685007994</v>
      </c>
      <c r="AJ55">
        <v>89.696861960218399</v>
      </c>
      <c r="AK55">
        <v>51.987246416394903</v>
      </c>
      <c r="AL55">
        <v>89.388461961927504</v>
      </c>
      <c r="AM55">
        <v>88.674983672817106</v>
      </c>
      <c r="AN55">
        <v>1.00000003611628</v>
      </c>
    </row>
    <row r="56" spans="1:40" x14ac:dyDescent="0.25">
      <c r="A56" t="str">
        <f>"20190312154213465"</f>
        <v>20190312154213465</v>
      </c>
      <c r="B56" t="str">
        <f>"1552376533456991"</f>
        <v>1552376533456991</v>
      </c>
      <c r="C56" t="s">
        <v>40</v>
      </c>
      <c r="D56">
        <v>4.9181990000000004</v>
      </c>
      <c r="E56">
        <v>0.49371429999999999</v>
      </c>
      <c r="F56" t="s">
        <v>42</v>
      </c>
      <c r="G56">
        <v>-422.37299999999999</v>
      </c>
      <c r="H56">
        <v>-0.05</v>
      </c>
      <c r="I56">
        <v>368.32339999999999</v>
      </c>
      <c r="J56">
        <v>-471.96100000000001</v>
      </c>
      <c r="K56">
        <v>1.109035</v>
      </c>
      <c r="L56">
        <v>367.32100000000003</v>
      </c>
      <c r="M56">
        <v>0.99964810000000004</v>
      </c>
      <c r="N56">
        <v>0</v>
      </c>
      <c r="O56">
        <v>2.64935E-2</v>
      </c>
      <c r="P56">
        <v>0.99995529999999999</v>
      </c>
      <c r="Q56">
        <v>9.1673959999999995E-3</v>
      </c>
      <c r="R56">
        <v>2.3293089999999999E-3</v>
      </c>
      <c r="S56">
        <v>3.0005489999999999</v>
      </c>
      <c r="T56">
        <v>-6.9920780000000002E-2</v>
      </c>
      <c r="U56">
        <v>6.0729980000000003E-2</v>
      </c>
      <c r="V56">
        <v>2.4162759999999998E-2</v>
      </c>
      <c r="W56">
        <v>1.051914E-2</v>
      </c>
      <c r="X56">
        <v>0.99965269999999995</v>
      </c>
      <c r="Y56">
        <v>6.2508390000000002E-3</v>
      </c>
      <c r="Z56">
        <v>-6.8994019999999996E-4</v>
      </c>
      <c r="AA56">
        <v>0.99998019999999999</v>
      </c>
      <c r="AB56">
        <v>14</v>
      </c>
      <c r="AC56">
        <v>49.587999999999901</v>
      </c>
      <c r="AD56">
        <v>-1.159035</v>
      </c>
      <c r="AE56">
        <v>1.0024000000000199</v>
      </c>
      <c r="AF56">
        <v>0.31154256892181498</v>
      </c>
      <c r="AG56">
        <v>-1.159035</v>
      </c>
      <c r="AH56">
        <v>49.570081358668702</v>
      </c>
      <c r="AI56">
        <v>91.339404804513407</v>
      </c>
      <c r="AJ56">
        <v>89.639906999765302</v>
      </c>
      <c r="AK56">
        <v>49.584608365989098</v>
      </c>
      <c r="AL56">
        <v>89.397286561856703</v>
      </c>
      <c r="AM56">
        <v>88.615364466387504</v>
      </c>
      <c r="AN56">
        <v>1.00000000594722</v>
      </c>
    </row>
    <row r="57" spans="1:40" x14ac:dyDescent="0.25">
      <c r="A57" t="str">
        <f>"20190312154213488"</f>
        <v>20190312154213488</v>
      </c>
      <c r="B57" t="str">
        <f>"1552376533477487"</f>
        <v>1552376533477487</v>
      </c>
      <c r="C57" t="s">
        <v>40</v>
      </c>
      <c r="D57">
        <v>4.9263560000000002</v>
      </c>
      <c r="E57">
        <v>0.49383830000000001</v>
      </c>
      <c r="F57" t="s">
        <v>42</v>
      </c>
      <c r="G57">
        <v>-424.35500000000002</v>
      </c>
      <c r="H57">
        <v>-0.05</v>
      </c>
      <c r="I57">
        <v>368.26760000000002</v>
      </c>
      <c r="J57">
        <v>-471.81209999999999</v>
      </c>
      <c r="K57">
        <v>1.1090340000000001</v>
      </c>
      <c r="L57">
        <v>367.32530000000003</v>
      </c>
      <c r="M57">
        <v>0.99964070000000005</v>
      </c>
      <c r="N57">
        <v>0</v>
      </c>
      <c r="O57">
        <v>2.6771E-2</v>
      </c>
      <c r="P57">
        <v>0.99996220000000002</v>
      </c>
      <c r="Q57">
        <v>8.5188390000000003E-3</v>
      </c>
      <c r="R57">
        <v>1.833325E-3</v>
      </c>
      <c r="S57">
        <v>3.0006710000000001</v>
      </c>
      <c r="T57">
        <v>-7.3055620000000002E-2</v>
      </c>
      <c r="U57">
        <v>5.9661869999999999E-2</v>
      </c>
      <c r="V57">
        <v>2.4936449999999999E-2</v>
      </c>
      <c r="W57">
        <v>9.9703259999999998E-3</v>
      </c>
      <c r="X57">
        <v>0.99963930000000001</v>
      </c>
      <c r="Y57">
        <v>6.8839799999999996E-3</v>
      </c>
      <c r="Z57">
        <v>-7.3529559999999995E-4</v>
      </c>
      <c r="AA57">
        <v>0.99997599999999998</v>
      </c>
      <c r="AB57">
        <v>14</v>
      </c>
      <c r="AC57">
        <v>47.457099999999897</v>
      </c>
      <c r="AD57">
        <v>-1.1590339999999999</v>
      </c>
      <c r="AE57">
        <v>0.94229999999998804</v>
      </c>
      <c r="AF57">
        <v>0.328317130846631</v>
      </c>
      <c r="AG57">
        <v>-1.1590339999999999</v>
      </c>
      <c r="AH57">
        <v>47.437033622562097</v>
      </c>
      <c r="AI57">
        <v>91.399601788466697</v>
      </c>
      <c r="AJ57">
        <v>89.6034556938299</v>
      </c>
      <c r="AK57">
        <v>47.452326717028797</v>
      </c>
      <c r="AL57">
        <v>89.428732924597497</v>
      </c>
      <c r="AM57">
        <v>88.571027477307496</v>
      </c>
      <c r="AN57">
        <v>0.99999998202181895</v>
      </c>
    </row>
    <row r="58" spans="1:40" x14ac:dyDescent="0.25">
      <c r="A58" t="str">
        <f>"20190312154213509"</f>
        <v>20190312154213509</v>
      </c>
      <c r="B58" t="str">
        <f>"1552376533497010"</f>
        <v>1552376533497010</v>
      </c>
      <c r="C58" t="s">
        <v>40</v>
      </c>
      <c r="D58">
        <v>4.9504469999999996</v>
      </c>
      <c r="E58">
        <v>0.49396509999999999</v>
      </c>
      <c r="F58" t="s">
        <v>42</v>
      </c>
      <c r="G58">
        <v>-423.93549999999999</v>
      </c>
      <c r="H58">
        <v>-0.05</v>
      </c>
      <c r="I58">
        <v>368.23970000000003</v>
      </c>
      <c r="J58">
        <v>-471.66680000000002</v>
      </c>
      <c r="K58">
        <v>1.1090450000000001</v>
      </c>
      <c r="L58">
        <v>367.32940000000002</v>
      </c>
      <c r="M58">
        <v>0.99963400000000002</v>
      </c>
      <c r="N58">
        <v>0</v>
      </c>
      <c r="O58">
        <v>2.701489E-2</v>
      </c>
      <c r="P58">
        <v>0.99996189999999996</v>
      </c>
      <c r="Q58">
        <v>8.6480050000000003E-3</v>
      </c>
      <c r="R58">
        <v>1.2788350000000001E-3</v>
      </c>
      <c r="S58">
        <v>3.00061</v>
      </c>
      <c r="T58">
        <v>-7.2641129999999998E-2</v>
      </c>
      <c r="U58">
        <v>5.7312009999999997E-2</v>
      </c>
      <c r="V58">
        <v>2.5734859999999998E-2</v>
      </c>
      <c r="W58">
        <v>1.0187750000000001E-2</v>
      </c>
      <c r="X58">
        <v>0.99961690000000003</v>
      </c>
      <c r="Y58">
        <v>7.91010199999999E-3</v>
      </c>
      <c r="Z58">
        <v>-7.494655E-4</v>
      </c>
      <c r="AA58">
        <v>0.99996839999999998</v>
      </c>
      <c r="AB58">
        <v>15</v>
      </c>
      <c r="AC58">
        <v>47.731299999999997</v>
      </c>
      <c r="AD58">
        <v>-1.1590450000000001</v>
      </c>
      <c r="AE58">
        <v>0.91030000000000599</v>
      </c>
      <c r="AF58">
        <v>0.37926582740022402</v>
      </c>
      <c r="AG58">
        <v>-1.1590450000000001</v>
      </c>
      <c r="AH58">
        <v>47.710349047546302</v>
      </c>
      <c r="AI58">
        <v>91.391589702960403</v>
      </c>
      <c r="AJ58">
        <v>89.544545912011102</v>
      </c>
      <c r="AK58">
        <v>47.725932511775603</v>
      </c>
      <c r="AL58">
        <v>89.416274830319296</v>
      </c>
      <c r="AM58">
        <v>88.525261795351796</v>
      </c>
      <c r="AN58">
        <v>1.00000001001744</v>
      </c>
    </row>
    <row r="59" spans="1:40" x14ac:dyDescent="0.25">
      <c r="A59" t="str">
        <f>"20190312154213531"</f>
        <v>20190312154213531</v>
      </c>
      <c r="B59" t="str">
        <f>"1552376533517503"</f>
        <v>1552376533517503</v>
      </c>
      <c r="C59" t="s">
        <v>40</v>
      </c>
      <c r="D59">
        <v>4.9656650000000004</v>
      </c>
      <c r="E59">
        <v>0.49404100000000001</v>
      </c>
      <c r="F59" t="s">
        <v>42</v>
      </c>
      <c r="G59">
        <v>-422.7312</v>
      </c>
      <c r="H59">
        <v>-0.05</v>
      </c>
      <c r="I59">
        <v>368.22280000000001</v>
      </c>
      <c r="J59">
        <v>-471.52069999999998</v>
      </c>
      <c r="K59">
        <v>1.1090519999999999</v>
      </c>
      <c r="L59">
        <v>367.33359999999999</v>
      </c>
      <c r="M59">
        <v>0.99962759999999995</v>
      </c>
      <c r="N59">
        <v>0</v>
      </c>
      <c r="O59">
        <v>2.724466E-2</v>
      </c>
      <c r="P59">
        <v>0.99996169999999995</v>
      </c>
      <c r="Q59">
        <v>8.7426580000000004E-3</v>
      </c>
      <c r="R59">
        <v>6.6715959999999995E-4</v>
      </c>
      <c r="S59">
        <v>3.0006409999999999</v>
      </c>
      <c r="T59">
        <v>-7.1070430000000004E-2</v>
      </c>
      <c r="U59">
        <v>5.4779050000000003E-2</v>
      </c>
      <c r="V59">
        <v>2.657603E-2</v>
      </c>
      <c r="W59">
        <v>1.036274E-2</v>
      </c>
      <c r="X59">
        <v>0.99959310000000001</v>
      </c>
      <c r="Y59">
        <v>8.9840379999999997E-3</v>
      </c>
      <c r="Z59">
        <v>-7.5141889999999999E-4</v>
      </c>
      <c r="AA59">
        <v>0.9999593</v>
      </c>
      <c r="AB59">
        <v>15</v>
      </c>
      <c r="AC59">
        <v>48.789499999999897</v>
      </c>
      <c r="AD59">
        <v>-1.159052</v>
      </c>
      <c r="AE59">
        <v>0.88920000000001598</v>
      </c>
      <c r="AF59">
        <v>0.44013669208948603</v>
      </c>
      <c r="AG59">
        <v>-1.159052</v>
      </c>
      <c r="AH59">
        <v>48.768101618890597</v>
      </c>
      <c r="AI59">
        <v>91.361414188541403</v>
      </c>
      <c r="AJ59">
        <v>89.482914253898997</v>
      </c>
      <c r="AK59">
        <v>48.783858573885503</v>
      </c>
      <c r="AL59">
        <v>89.406248117753506</v>
      </c>
      <c r="AM59">
        <v>88.477044579635802</v>
      </c>
      <c r="AN59">
        <v>1.0000000186592299</v>
      </c>
    </row>
    <row r="60" spans="1:40" x14ac:dyDescent="0.25">
      <c r="A60" t="str">
        <f>"20190312154213553"</f>
        <v>20190312154213553</v>
      </c>
      <c r="B60" t="str">
        <f>"1552376533547760"</f>
        <v>1552376533547760</v>
      </c>
      <c r="C60" t="s">
        <v>40</v>
      </c>
      <c r="D60">
        <v>4.9413119999999999</v>
      </c>
      <c r="E60">
        <v>0.49407450000000003</v>
      </c>
      <c r="F60" t="s">
        <v>42</v>
      </c>
      <c r="G60">
        <v>-421.64249999999998</v>
      </c>
      <c r="H60">
        <v>-0.05</v>
      </c>
      <c r="I60">
        <v>368.20510000000002</v>
      </c>
      <c r="J60">
        <v>-471.36689999999999</v>
      </c>
      <c r="K60">
        <v>1.1090629999999999</v>
      </c>
      <c r="L60">
        <v>367.3381</v>
      </c>
      <c r="M60">
        <v>0.99962320000000005</v>
      </c>
      <c r="N60">
        <v>0</v>
      </c>
      <c r="O60">
        <v>2.7398249999999999E-2</v>
      </c>
      <c r="P60">
        <v>0.9999593</v>
      </c>
      <c r="Q60">
        <v>8.9834149999999998E-3</v>
      </c>
      <c r="R60">
        <v>-9.0007869999999895E-4</v>
      </c>
      <c r="S60">
        <v>3.0006710000000001</v>
      </c>
      <c r="T60">
        <v>-6.9728609999999996E-2</v>
      </c>
      <c r="U60">
        <v>5.2429199999999898E-2</v>
      </c>
      <c r="V60">
        <v>2.829603E-2</v>
      </c>
      <c r="W60">
        <v>1.064931E-2</v>
      </c>
      <c r="X60">
        <v>0.99954279999999995</v>
      </c>
      <c r="Y60">
        <v>9.9207679999999999E-3</v>
      </c>
      <c r="Z60">
        <v>-7.5168339999999998E-4</v>
      </c>
      <c r="AA60">
        <v>0.99995049999999996</v>
      </c>
      <c r="AB60">
        <v>15</v>
      </c>
      <c r="AC60">
        <v>49.724400000000003</v>
      </c>
      <c r="AD60">
        <v>-1.159063</v>
      </c>
      <c r="AE60">
        <v>0.86700000000001798</v>
      </c>
      <c r="AF60">
        <v>0.495419818717592</v>
      </c>
      <c r="AG60">
        <v>-1.159063</v>
      </c>
      <c r="AH60">
        <v>49.702490250156799</v>
      </c>
      <c r="AI60">
        <v>91.335830183406699</v>
      </c>
      <c r="AJ60">
        <v>89.428911418080304</v>
      </c>
      <c r="AK60">
        <v>49.718471465861398</v>
      </c>
      <c r="AL60">
        <v>89.389827912901495</v>
      </c>
      <c r="AM60">
        <v>88.378448409472895</v>
      </c>
      <c r="AN60">
        <v>0.99999994107453605</v>
      </c>
    </row>
    <row r="61" spans="1:40" x14ac:dyDescent="0.25">
      <c r="A61" t="str">
        <f>"20190312154213578"</f>
        <v>20190312154213578</v>
      </c>
      <c r="B61" t="str">
        <f>"1552376533567279"</f>
        <v>1552376533567279</v>
      </c>
      <c r="C61" t="s">
        <v>40</v>
      </c>
      <c r="D61">
        <v>4.93743</v>
      </c>
      <c r="E61">
        <v>0.49411899999999997</v>
      </c>
      <c r="F61" t="s">
        <v>42</v>
      </c>
      <c r="G61">
        <v>-419.11759999999998</v>
      </c>
      <c r="H61">
        <v>-0.05</v>
      </c>
      <c r="I61">
        <v>368.16809999999998</v>
      </c>
      <c r="J61">
        <v>-471.197</v>
      </c>
      <c r="K61">
        <v>1.1090180000000001</v>
      </c>
      <c r="L61">
        <v>367.34309999999999</v>
      </c>
      <c r="M61">
        <v>0.99962320000000005</v>
      </c>
      <c r="N61">
        <v>0</v>
      </c>
      <c r="O61">
        <v>2.7399380000000001E-2</v>
      </c>
      <c r="P61">
        <v>0.99995299999999998</v>
      </c>
      <c r="Q61">
        <v>9.3884829999999996E-3</v>
      </c>
      <c r="R61">
        <v>-2.507853E-3</v>
      </c>
      <c r="S61">
        <v>3.0007630000000001</v>
      </c>
      <c r="T61">
        <v>-6.6566819999999999E-2</v>
      </c>
      <c r="U61">
        <v>4.7668460000000003E-2</v>
      </c>
      <c r="V61">
        <v>2.9904389999999999E-2</v>
      </c>
      <c r="W61">
        <v>1.1081769999999999E-2</v>
      </c>
      <c r="X61">
        <v>0.99949129999999997</v>
      </c>
      <c r="Y61">
        <v>1.1508920000000001E-2</v>
      </c>
      <c r="Z61">
        <v>-7.3523559999999998E-4</v>
      </c>
      <c r="AA61">
        <v>0.99993350000000003</v>
      </c>
      <c r="AB61">
        <v>15</v>
      </c>
      <c r="AC61">
        <v>52.0793999999999</v>
      </c>
      <c r="AD61">
        <v>-1.1590180000000001</v>
      </c>
      <c r="AE61">
        <v>0.82499999999998797</v>
      </c>
      <c r="AF61">
        <v>0.60195689266818997</v>
      </c>
      <c r="AG61">
        <v>-1.1590180000000001</v>
      </c>
      <c r="AH61">
        <v>52.056676093898901</v>
      </c>
      <c r="AI61">
        <v>91.275368272729906</v>
      </c>
      <c r="AJ61">
        <v>89.337490311345206</v>
      </c>
      <c r="AK61">
        <v>52.073056380147897</v>
      </c>
      <c r="AL61">
        <v>89.365048333054105</v>
      </c>
      <c r="AM61">
        <v>88.2862438694101</v>
      </c>
      <c r="AN61">
        <v>0.99999996847164696</v>
      </c>
    </row>
    <row r="62" spans="1:40" x14ac:dyDescent="0.25">
      <c r="A62" t="str">
        <f>"20190312154213600"</f>
        <v>20190312154213600</v>
      </c>
      <c r="B62" t="str">
        <f>"1552376533587776"</f>
        <v>1552376533587776</v>
      </c>
      <c r="C62" t="s">
        <v>40</v>
      </c>
      <c r="D62">
        <v>4.9679500000000001</v>
      </c>
      <c r="E62">
        <v>0.4940138</v>
      </c>
      <c r="F62" t="s">
        <v>42</v>
      </c>
      <c r="G62">
        <v>-417.41800000000001</v>
      </c>
      <c r="H62">
        <v>-0.05</v>
      </c>
      <c r="I62">
        <v>368.09890000000001</v>
      </c>
      <c r="J62">
        <v>-471.04520000000002</v>
      </c>
      <c r="K62">
        <v>1.108897</v>
      </c>
      <c r="L62">
        <v>367.3476</v>
      </c>
      <c r="M62">
        <v>0.99961529999999998</v>
      </c>
      <c r="N62">
        <v>0</v>
      </c>
      <c r="O62">
        <v>2.7671600000000001E-2</v>
      </c>
      <c r="P62">
        <v>0.99995290000000003</v>
      </c>
      <c r="Q62">
        <v>9.1425929999999992E-3</v>
      </c>
      <c r="R62">
        <v>-3.268459E-3</v>
      </c>
      <c r="S62">
        <v>3.0008240000000002</v>
      </c>
      <c r="T62">
        <v>-6.4672229999999997E-2</v>
      </c>
      <c r="U62">
        <v>4.2175289999999997E-2</v>
      </c>
      <c r="V62">
        <v>3.0939830000000001E-2</v>
      </c>
      <c r="W62">
        <v>1.101502E-2</v>
      </c>
      <c r="X62">
        <v>0.99946060000000003</v>
      </c>
      <c r="Y62">
        <v>1.361153E-2</v>
      </c>
      <c r="Z62">
        <v>-7.4283070000000001E-4</v>
      </c>
      <c r="AA62">
        <v>0.99990710000000005</v>
      </c>
      <c r="AB62">
        <v>15</v>
      </c>
      <c r="AC62">
        <v>53.627200000000002</v>
      </c>
      <c r="AD62">
        <v>-1.1588969999999901</v>
      </c>
      <c r="AE62">
        <v>0.75130000000001396</v>
      </c>
      <c r="AF62">
        <v>0.73259868947978102</v>
      </c>
      <c r="AG62">
        <v>-1.1588969999999901</v>
      </c>
      <c r="AH62">
        <v>53.6024264959199</v>
      </c>
      <c r="AI62">
        <v>91.238439573878395</v>
      </c>
      <c r="AJ62">
        <v>89.216972020294307</v>
      </c>
      <c r="AK62">
        <v>53.619957752192697</v>
      </c>
      <c r="AL62">
        <v>89.368873109685396</v>
      </c>
      <c r="AM62">
        <v>88.226887850388593</v>
      </c>
      <c r="AN62">
        <v>1.0000000473491899</v>
      </c>
    </row>
    <row r="63" spans="1:40" x14ac:dyDescent="0.25">
      <c r="A63" t="str">
        <f>"20190312154213622"</f>
        <v>20190312154213622</v>
      </c>
      <c r="B63" t="str">
        <f>"1552376533617056"</f>
        <v>1552376533617056</v>
      </c>
      <c r="C63" t="s">
        <v>40</v>
      </c>
      <c r="D63">
        <v>4.9537409999999999</v>
      </c>
      <c r="E63">
        <v>0.49391669999999999</v>
      </c>
      <c r="F63" t="s">
        <v>42</v>
      </c>
      <c r="G63">
        <v>-417.83030000000002</v>
      </c>
      <c r="H63">
        <v>-0.05</v>
      </c>
      <c r="I63">
        <v>368.0652</v>
      </c>
      <c r="J63">
        <v>-470.88889999999998</v>
      </c>
      <c r="K63">
        <v>1.108771</v>
      </c>
      <c r="L63">
        <v>367.35230000000001</v>
      </c>
      <c r="M63">
        <v>0.99960020000000005</v>
      </c>
      <c r="N63">
        <v>0</v>
      </c>
      <c r="O63">
        <v>2.8196800000000001E-2</v>
      </c>
      <c r="P63">
        <v>0.99995639999999997</v>
      </c>
      <c r="Q63">
        <v>8.7635530000000003E-3</v>
      </c>
      <c r="R63">
        <v>-3.241804E-3</v>
      </c>
      <c r="S63">
        <v>3.0009160000000001</v>
      </c>
      <c r="T63">
        <v>-6.5352919999999995E-2</v>
      </c>
      <c r="U63">
        <v>4.0466309999999998E-2</v>
      </c>
      <c r="V63">
        <v>3.1440999999999997E-2</v>
      </c>
      <c r="W63">
        <v>1.085815E-2</v>
      </c>
      <c r="X63">
        <v>0.99944659999999996</v>
      </c>
      <c r="Y63">
        <v>1.470606E-2</v>
      </c>
      <c r="Z63">
        <v>-7.7397640000000003E-4</v>
      </c>
      <c r="AA63">
        <v>0.99989159999999999</v>
      </c>
      <c r="AB63">
        <v>16</v>
      </c>
      <c r="AC63">
        <v>53.058599999999899</v>
      </c>
      <c r="AD63">
        <v>-1.158771</v>
      </c>
      <c r="AE63">
        <v>0.71289999999998999</v>
      </c>
      <c r="AF63">
        <v>0.78309602641706799</v>
      </c>
      <c r="AG63">
        <v>-1.158771</v>
      </c>
      <c r="AH63">
        <v>53.032315056737097</v>
      </c>
      <c r="AI63">
        <v>91.251593314596093</v>
      </c>
      <c r="AJ63">
        <v>89.1540094650383</v>
      </c>
      <c r="AK63">
        <v>53.0507533395526</v>
      </c>
      <c r="AL63">
        <v>89.377861588317302</v>
      </c>
      <c r="AM63">
        <v>88.198160158359201</v>
      </c>
      <c r="AN63">
        <v>0.99999997107699001</v>
      </c>
    </row>
    <row r="64" spans="1:40" x14ac:dyDescent="0.25">
      <c r="A64" t="str">
        <f>"20190312154213644"</f>
        <v>20190312154213644</v>
      </c>
      <c r="B64" t="str">
        <f>"1552376533637551"</f>
        <v>1552376533637551</v>
      </c>
      <c r="C64" t="s">
        <v>40</v>
      </c>
      <c r="D64">
        <v>4.940982</v>
      </c>
      <c r="E64">
        <v>0.49392190000000002</v>
      </c>
      <c r="F64" t="s">
        <v>42</v>
      </c>
      <c r="G64">
        <v>-418.4776</v>
      </c>
      <c r="H64">
        <v>-0.05</v>
      </c>
      <c r="I64">
        <v>368.07400000000001</v>
      </c>
      <c r="J64">
        <v>-470.7328</v>
      </c>
      <c r="K64">
        <v>1.1087279999999999</v>
      </c>
      <c r="L64">
        <v>367.3569</v>
      </c>
      <c r="M64">
        <v>0.99958469999999999</v>
      </c>
      <c r="N64">
        <v>0</v>
      </c>
      <c r="O64">
        <v>2.872473E-2</v>
      </c>
      <c r="P64">
        <v>0.99996010000000002</v>
      </c>
      <c r="Q64">
        <v>8.4728609999999999E-3</v>
      </c>
      <c r="R64">
        <v>-2.7788489999999999E-3</v>
      </c>
      <c r="S64">
        <v>3.0008539999999999</v>
      </c>
      <c r="T64">
        <v>-6.6346409999999995E-2</v>
      </c>
      <c r="U64">
        <v>4.1320799999999998E-2</v>
      </c>
      <c r="V64">
        <v>3.1506979999999997E-2</v>
      </c>
      <c r="W64">
        <v>1.0725119999999999E-2</v>
      </c>
      <c r="X64">
        <v>0.99944599999999995</v>
      </c>
      <c r="Y64">
        <v>1.494872E-2</v>
      </c>
      <c r="Z64">
        <v>-8.0010089999999997E-4</v>
      </c>
      <c r="AA64">
        <v>0.99988790000000005</v>
      </c>
      <c r="AB64">
        <v>16</v>
      </c>
      <c r="AC64">
        <v>52.255200000000002</v>
      </c>
      <c r="AD64">
        <v>-1.158728</v>
      </c>
      <c r="AE64">
        <v>0.71710000000001595</v>
      </c>
      <c r="AF64">
        <v>0.78383106721963502</v>
      </c>
      <c r="AG64">
        <v>-1.158728</v>
      </c>
      <c r="AH64">
        <v>52.228559678044299</v>
      </c>
      <c r="AI64">
        <v>91.270796350364805</v>
      </c>
      <c r="AJ64">
        <v>89.140186116445804</v>
      </c>
      <c r="AK64">
        <v>52.247291678736403</v>
      </c>
      <c r="AL64">
        <v>89.385484115387399</v>
      </c>
      <c r="AM64">
        <v>88.194380353749395</v>
      </c>
      <c r="AN64">
        <v>1.00000001245186</v>
      </c>
    </row>
    <row r="65" spans="1:40" x14ac:dyDescent="0.25">
      <c r="A65" t="str">
        <f>"20190312154213666"</f>
        <v>20190312154213666</v>
      </c>
      <c r="B65" t="str">
        <f>"1552376533657075"</f>
        <v>1552376533657075</v>
      </c>
      <c r="C65" t="s">
        <v>40</v>
      </c>
      <c r="D65">
        <v>4.9210539999999998</v>
      </c>
      <c r="E65">
        <v>0.49390820000000002</v>
      </c>
      <c r="F65" t="s">
        <v>42</v>
      </c>
      <c r="G65">
        <v>-418.9067</v>
      </c>
      <c r="H65">
        <v>-0.05</v>
      </c>
      <c r="I65">
        <v>368.10059999999999</v>
      </c>
      <c r="J65">
        <v>-470.57240000000002</v>
      </c>
      <c r="K65">
        <v>1.108749</v>
      </c>
      <c r="L65">
        <v>367.36169999999998</v>
      </c>
      <c r="M65">
        <v>0.99957390000000002</v>
      </c>
      <c r="N65">
        <v>0</v>
      </c>
      <c r="O65">
        <v>2.9101780000000001E-2</v>
      </c>
      <c r="P65">
        <v>0.9999576</v>
      </c>
      <c r="Q65">
        <v>9.0214319999999994E-3</v>
      </c>
      <c r="R65">
        <v>-1.9589120000000002E-3</v>
      </c>
      <c r="S65">
        <v>3.0007630000000001</v>
      </c>
      <c r="T65">
        <v>-6.7090990000000003E-2</v>
      </c>
      <c r="U65">
        <v>4.3060300000000003E-2</v>
      </c>
      <c r="V65">
        <v>3.1063009999999999E-2</v>
      </c>
      <c r="W65">
        <v>1.1363089999999999E-2</v>
      </c>
      <c r="X65">
        <v>0.99945280000000003</v>
      </c>
      <c r="Y65">
        <v>1.4745680000000001E-2</v>
      </c>
      <c r="Z65">
        <v>-8.1525360000000004E-4</v>
      </c>
      <c r="AA65">
        <v>0.99989090000000003</v>
      </c>
      <c r="AB65">
        <v>16</v>
      </c>
      <c r="AC65">
        <v>51.665700000000001</v>
      </c>
      <c r="AD65">
        <v>-1.158749</v>
      </c>
      <c r="AE65">
        <v>0.738900000000001</v>
      </c>
      <c r="AF65">
        <v>0.76459611416901696</v>
      </c>
      <c r="AG65">
        <v>-1.158749</v>
      </c>
      <c r="AH65">
        <v>51.639350774211898</v>
      </c>
      <c r="AI65">
        <v>91.285318536218298</v>
      </c>
      <c r="AJ65">
        <v>89.151714172105997</v>
      </c>
      <c r="AK65">
        <v>51.658008622525401</v>
      </c>
      <c r="AL65">
        <v>89.348928866386899</v>
      </c>
      <c r="AM65">
        <v>88.219819250860994</v>
      </c>
      <c r="AN65">
        <v>0.99999996491622301</v>
      </c>
    </row>
    <row r="66" spans="1:40" x14ac:dyDescent="0.25">
      <c r="A66" t="str">
        <f>"20190312154213690"</f>
        <v>20190312154213690</v>
      </c>
      <c r="B66" t="str">
        <f>"1552376533677567"</f>
        <v>1552376533677567</v>
      </c>
      <c r="C66" t="s">
        <v>40</v>
      </c>
      <c r="D66">
        <v>4.9423370000000002</v>
      </c>
      <c r="E66">
        <v>0.49378349999999999</v>
      </c>
      <c r="F66" t="s">
        <v>42</v>
      </c>
      <c r="G66">
        <v>-417.69260000000003</v>
      </c>
      <c r="H66">
        <v>-0.05</v>
      </c>
      <c r="I66">
        <v>368.16410000000002</v>
      </c>
      <c r="J66">
        <v>-470.4058</v>
      </c>
      <c r="K66">
        <v>1.1088119999999999</v>
      </c>
      <c r="L66">
        <v>367.36689999999999</v>
      </c>
      <c r="M66">
        <v>0.99956730000000005</v>
      </c>
      <c r="N66">
        <v>0</v>
      </c>
      <c r="O66">
        <v>2.9315419999999998E-2</v>
      </c>
      <c r="P66">
        <v>0.99994369999999999</v>
      </c>
      <c r="Q66">
        <v>1.058013E-2</v>
      </c>
      <c r="R66">
        <v>-9.250835E-4</v>
      </c>
      <c r="S66">
        <v>3.0007630000000001</v>
      </c>
      <c r="T66">
        <v>-6.5755369999999994E-2</v>
      </c>
      <c r="U66">
        <v>4.553223E-2</v>
      </c>
      <c r="V66">
        <v>3.024081E-2</v>
      </c>
      <c r="W66">
        <v>1.2981349999999999E-2</v>
      </c>
      <c r="X66">
        <v>0.99945830000000002</v>
      </c>
      <c r="Y66">
        <v>1.413642E-2</v>
      </c>
      <c r="Z66">
        <v>-7.9702590000000002E-4</v>
      </c>
      <c r="AA66">
        <v>0.99989969999999995</v>
      </c>
      <c r="AB66">
        <v>16</v>
      </c>
      <c r="AC66">
        <v>52.713199999999901</v>
      </c>
      <c r="AD66">
        <v>-1.158812</v>
      </c>
      <c r="AE66">
        <v>0.79720000000003199</v>
      </c>
      <c r="AF66">
        <v>0.74809527644691298</v>
      </c>
      <c r="AG66">
        <v>-1.158812</v>
      </c>
      <c r="AH66">
        <v>52.688457846050397</v>
      </c>
      <c r="AI66">
        <v>91.259813797078493</v>
      </c>
      <c r="AJ66">
        <v>89.186542484029403</v>
      </c>
      <c r="AK66">
        <v>52.706508914829598</v>
      </c>
      <c r="AL66">
        <v>89.256202509957305</v>
      </c>
      <c r="AM66">
        <v>88.266918869952505</v>
      </c>
      <c r="AN66">
        <v>0.99999995773808303</v>
      </c>
    </row>
    <row r="67" spans="1:40" x14ac:dyDescent="0.25">
      <c r="A67" t="str">
        <f>"20190312154213710"</f>
        <v>20190312154213710</v>
      </c>
      <c r="B67" t="str">
        <f>"1552376533697091"</f>
        <v>1552376533697091</v>
      </c>
      <c r="C67" t="s">
        <v>40</v>
      </c>
      <c r="D67">
        <v>5.2850729999999997</v>
      </c>
      <c r="E67">
        <v>0.49374220000000002</v>
      </c>
      <c r="F67" t="s">
        <v>42</v>
      </c>
      <c r="G67">
        <v>-414.04910000000001</v>
      </c>
      <c r="H67">
        <v>-0.05</v>
      </c>
      <c r="I67">
        <v>368.30450000000002</v>
      </c>
      <c r="J67">
        <v>-470.24799999999999</v>
      </c>
      <c r="K67">
        <v>1.108867</v>
      </c>
      <c r="L67">
        <v>367.37180000000001</v>
      </c>
      <c r="M67">
        <v>0.99956339999999999</v>
      </c>
      <c r="N67">
        <v>0</v>
      </c>
      <c r="O67">
        <v>2.944776E-2</v>
      </c>
      <c r="P67">
        <v>0.9999441</v>
      </c>
      <c r="Q67">
        <v>1.057141E-2</v>
      </c>
      <c r="R67">
        <v>1.1450060000000001E-4</v>
      </c>
      <c r="S67">
        <v>3.0008539999999999</v>
      </c>
      <c r="T67">
        <v>-6.1703800000000003E-2</v>
      </c>
      <c r="U67">
        <v>4.9926760000000001E-2</v>
      </c>
      <c r="V67">
        <v>2.9332110000000002E-2</v>
      </c>
      <c r="W67">
        <v>1.302236E-2</v>
      </c>
      <c r="X67">
        <v>0.99948490000000001</v>
      </c>
      <c r="Y67">
        <v>1.280685E-2</v>
      </c>
      <c r="Z67">
        <v>-7.3694530000000002E-4</v>
      </c>
      <c r="AA67">
        <v>0.99991770000000002</v>
      </c>
      <c r="AB67">
        <v>16</v>
      </c>
      <c r="AC67">
        <v>56.198900000000002</v>
      </c>
      <c r="AD67">
        <v>-1.1588670000000001</v>
      </c>
      <c r="AE67">
        <v>0.93270000000001096</v>
      </c>
      <c r="AF67">
        <v>0.72233398119235803</v>
      </c>
      <c r="AG67">
        <v>-1.1588670000000001</v>
      </c>
      <c r="AH67">
        <v>56.1781122003798</v>
      </c>
      <c r="AI67">
        <v>91.181657482857801</v>
      </c>
      <c r="AJ67">
        <v>89.263335730628199</v>
      </c>
      <c r="AK67">
        <v>56.194706418865998</v>
      </c>
      <c r="AL67">
        <v>89.253852650255396</v>
      </c>
      <c r="AM67">
        <v>88.319010245240506</v>
      </c>
      <c r="AN67">
        <v>1.0000000099325099</v>
      </c>
    </row>
    <row r="68" spans="1:40" x14ac:dyDescent="0.25">
      <c r="A68" t="str">
        <f>"20190312154213733"</f>
        <v>20190312154213733</v>
      </c>
      <c r="B68" t="str">
        <f>"1552376533727343"</f>
        <v>1552376533727343</v>
      </c>
      <c r="C68" t="s">
        <v>40</v>
      </c>
      <c r="D68">
        <v>4.901891</v>
      </c>
      <c r="E68">
        <v>0.49372149999999998</v>
      </c>
      <c r="F68" t="s">
        <v>42</v>
      </c>
      <c r="G68">
        <v>-413.0018</v>
      </c>
      <c r="H68">
        <v>-0.05</v>
      </c>
      <c r="I68">
        <v>368.38659999999999</v>
      </c>
      <c r="J68">
        <v>-470.084</v>
      </c>
      <c r="K68">
        <v>1.1089059999999999</v>
      </c>
      <c r="L68">
        <v>367.37700000000001</v>
      </c>
      <c r="M68">
        <v>0.99955870000000002</v>
      </c>
      <c r="N68">
        <v>0</v>
      </c>
      <c r="O68">
        <v>2.960374E-2</v>
      </c>
      <c r="P68">
        <v>0.99994360000000004</v>
      </c>
      <c r="Q68">
        <v>1.061785E-2</v>
      </c>
      <c r="R68">
        <v>6.1095240000000003E-4</v>
      </c>
      <c r="S68">
        <v>3.0008240000000002</v>
      </c>
      <c r="T68">
        <v>-6.0747389999999998E-2</v>
      </c>
      <c r="U68">
        <v>5.3192139999999999E-2</v>
      </c>
      <c r="V68">
        <v>2.899059E-2</v>
      </c>
      <c r="W68">
        <v>1.311056E-2</v>
      </c>
      <c r="X68">
        <v>0.99949370000000004</v>
      </c>
      <c r="Y68">
        <v>1.1875399999999999E-2</v>
      </c>
      <c r="Z68">
        <v>-7.1925220000000005E-4</v>
      </c>
      <c r="AA68">
        <v>0.99992919999999996</v>
      </c>
      <c r="AB68">
        <v>16</v>
      </c>
      <c r="AC68">
        <v>57.0822</v>
      </c>
      <c r="AD68">
        <v>-1.158906</v>
      </c>
      <c r="AE68">
        <v>1.00960000000003</v>
      </c>
      <c r="AF68">
        <v>0.680413823609062</v>
      </c>
      <c r="AG68">
        <v>-1.158906</v>
      </c>
      <c r="AH68">
        <v>57.063555963032599</v>
      </c>
      <c r="AI68">
        <v>91.163379618274305</v>
      </c>
      <c r="AJ68">
        <v>89.316849566496401</v>
      </c>
      <c r="AK68">
        <v>57.079378458724896</v>
      </c>
      <c r="AL68">
        <v>89.248798722672205</v>
      </c>
      <c r="AM68">
        <v>88.338585952351195</v>
      </c>
      <c r="AN68">
        <v>0.99999999871587597</v>
      </c>
    </row>
    <row r="69" spans="1:40" x14ac:dyDescent="0.25">
      <c r="A69" t="str">
        <f>"20190312154213755"</f>
        <v>20190312154213755</v>
      </c>
      <c r="B69" t="str">
        <f>"1552376533747840"</f>
        <v>1552376533747840</v>
      </c>
      <c r="C69" t="s">
        <v>40</v>
      </c>
      <c r="D69">
        <v>4.9070220000000004</v>
      </c>
      <c r="E69">
        <v>0.49367440000000001</v>
      </c>
      <c r="F69" t="s">
        <v>42</v>
      </c>
      <c r="G69">
        <v>-410.29410000000001</v>
      </c>
      <c r="H69">
        <v>-0.05</v>
      </c>
      <c r="I69">
        <v>368.47030000000001</v>
      </c>
      <c r="J69">
        <v>-469.91289999999998</v>
      </c>
      <c r="K69">
        <v>1.108922</v>
      </c>
      <c r="L69">
        <v>367.38240000000002</v>
      </c>
      <c r="M69">
        <v>0.9995522</v>
      </c>
      <c r="N69">
        <v>0</v>
      </c>
      <c r="O69">
        <v>2.981843E-2</v>
      </c>
      <c r="P69">
        <v>0.99994300000000003</v>
      </c>
      <c r="Q69">
        <v>1.065352E-2</v>
      </c>
      <c r="R69">
        <v>9.471808E-4</v>
      </c>
      <c r="S69">
        <v>3.0007320000000002</v>
      </c>
      <c r="T69">
        <v>-5.8163050000000001E-2</v>
      </c>
      <c r="U69">
        <v>5.487061E-2</v>
      </c>
      <c r="V69">
        <v>2.8869059999999998E-2</v>
      </c>
      <c r="W69">
        <v>1.3175890000000001E-2</v>
      </c>
      <c r="X69">
        <v>0.9994963</v>
      </c>
      <c r="Y69">
        <v>1.153123E-2</v>
      </c>
      <c r="Z69">
        <v>-6.8949949999999995E-4</v>
      </c>
      <c r="AA69">
        <v>0.99993330000000002</v>
      </c>
      <c r="AB69">
        <v>17</v>
      </c>
      <c r="AC69">
        <v>59.618799999999901</v>
      </c>
      <c r="AD69">
        <v>-1.158922</v>
      </c>
      <c r="AE69">
        <v>1.0878999999999901</v>
      </c>
      <c r="AF69">
        <v>0.69006766828175703</v>
      </c>
      <c r="AG69">
        <v>-1.158922</v>
      </c>
      <c r="AH69">
        <v>59.602214449936298</v>
      </c>
      <c r="AI69">
        <v>91.1138600339156</v>
      </c>
      <c r="AJ69">
        <v>89.336665611782607</v>
      </c>
      <c r="AK69">
        <v>59.617474459466003</v>
      </c>
      <c r="AL69">
        <v>89.245055221873997</v>
      </c>
      <c r="AM69">
        <v>88.345551105330401</v>
      </c>
      <c r="AN69">
        <v>0.99999994020813099</v>
      </c>
    </row>
    <row r="70" spans="1:40" x14ac:dyDescent="0.25">
      <c r="A70" t="str">
        <f>"20190312154213778"</f>
        <v>20190312154213778</v>
      </c>
      <c r="B70" t="str">
        <f>"1552376533767362"</f>
        <v>1552376533767362</v>
      </c>
      <c r="C70" t="s">
        <v>40</v>
      </c>
      <c r="D70">
        <v>4.8685839999999896</v>
      </c>
      <c r="E70">
        <v>0.49361729999999998</v>
      </c>
      <c r="F70" t="s">
        <v>42</v>
      </c>
      <c r="G70">
        <v>-409.80869999999999</v>
      </c>
      <c r="H70">
        <v>-0.05</v>
      </c>
      <c r="I70">
        <v>368.50839999999999</v>
      </c>
      <c r="J70">
        <v>-469.73899999999998</v>
      </c>
      <c r="K70">
        <v>1.1089329999999999</v>
      </c>
      <c r="L70">
        <v>367.38799999999998</v>
      </c>
      <c r="M70">
        <v>0.99954449999999995</v>
      </c>
      <c r="N70">
        <v>0</v>
      </c>
      <c r="O70">
        <v>3.0077130000000001E-2</v>
      </c>
      <c r="P70">
        <v>0.99993719999999997</v>
      </c>
      <c r="Q70">
        <v>1.1158889999999999E-2</v>
      </c>
      <c r="R70">
        <v>1.062871E-3</v>
      </c>
      <c r="S70">
        <v>3.0007320000000002</v>
      </c>
      <c r="T70">
        <v>-5.785978E-2</v>
      </c>
      <c r="U70">
        <v>5.621338E-2</v>
      </c>
      <c r="V70">
        <v>2.9012079999999999E-2</v>
      </c>
      <c r="W70">
        <v>1.370274E-2</v>
      </c>
      <c r="X70">
        <v>0.99948510000000002</v>
      </c>
      <c r="Y70">
        <v>1.13428E-2</v>
      </c>
      <c r="Z70">
        <v>-6.8906990000000003E-4</v>
      </c>
      <c r="AA70">
        <v>0.99993540000000003</v>
      </c>
      <c r="AB70">
        <v>17</v>
      </c>
      <c r="AC70">
        <v>59.930300000000003</v>
      </c>
      <c r="AD70">
        <v>-1.158933</v>
      </c>
      <c r="AE70">
        <v>1.1203999999999601</v>
      </c>
      <c r="AF70">
        <v>0.68238877223806005</v>
      </c>
      <c r="AG70">
        <v>-1.158933</v>
      </c>
      <c r="AH70">
        <v>59.914487012413502</v>
      </c>
      <c r="AI70">
        <v>91.1080689913843</v>
      </c>
      <c r="AJ70">
        <v>89.347464892935605</v>
      </c>
      <c r="AK70">
        <v>59.929579792416597</v>
      </c>
      <c r="AL70">
        <v>89.214866231718403</v>
      </c>
      <c r="AM70">
        <v>88.337340780560197</v>
      </c>
      <c r="AN70">
        <v>0.99999996549572101</v>
      </c>
    </row>
    <row r="71" spans="1:40" x14ac:dyDescent="0.25">
      <c r="A71" t="str">
        <f>"20190312154213801"</f>
        <v>20190312154213801</v>
      </c>
      <c r="B71" t="str">
        <f>"1552376533787856"</f>
        <v>1552376533787856</v>
      </c>
      <c r="C71" t="s">
        <v>40</v>
      </c>
      <c r="D71">
        <v>4.8715359999999999</v>
      </c>
      <c r="E71">
        <v>0.49355070000000001</v>
      </c>
      <c r="F71" t="s">
        <v>42</v>
      </c>
      <c r="G71">
        <v>-408.43239999999997</v>
      </c>
      <c r="H71">
        <v>-0.05</v>
      </c>
      <c r="I71">
        <v>368.55329999999998</v>
      </c>
      <c r="J71">
        <v>-469.56189999999998</v>
      </c>
      <c r="K71">
        <v>1.108954</v>
      </c>
      <c r="L71">
        <v>367.39370000000002</v>
      </c>
      <c r="M71">
        <v>0.99953570000000003</v>
      </c>
      <c r="N71">
        <v>0</v>
      </c>
      <c r="O71">
        <v>3.0359980000000002E-2</v>
      </c>
      <c r="P71">
        <v>0.99993030000000005</v>
      </c>
      <c r="Q71">
        <v>1.176206E-2</v>
      </c>
      <c r="R71">
        <v>1.0776659999999999E-3</v>
      </c>
      <c r="S71">
        <v>3.0007929999999998</v>
      </c>
      <c r="T71">
        <v>-5.6726690000000003E-2</v>
      </c>
      <c r="U71">
        <v>5.7037350000000001E-2</v>
      </c>
      <c r="V71">
        <v>2.9279900000000001E-2</v>
      </c>
      <c r="W71">
        <v>1.432781E-2</v>
      </c>
      <c r="X71">
        <v>0.99946860000000004</v>
      </c>
      <c r="Y71">
        <v>1.135191E-2</v>
      </c>
      <c r="Z71">
        <v>-6.8099169999999995E-4</v>
      </c>
      <c r="AA71">
        <v>0.99993529999999997</v>
      </c>
      <c r="AB71">
        <v>17</v>
      </c>
      <c r="AC71">
        <v>61.1295</v>
      </c>
      <c r="AD71">
        <v>-1.158954</v>
      </c>
      <c r="AE71">
        <v>1.15959999999995</v>
      </c>
      <c r="AF71">
        <v>0.69658082733335702</v>
      </c>
      <c r="AG71">
        <v>-1.158954</v>
      </c>
      <c r="AH71">
        <v>61.114567134068402</v>
      </c>
      <c r="AI71">
        <v>91.086335163136198</v>
      </c>
      <c r="AJ71">
        <v>89.346973803905598</v>
      </c>
      <c r="AK71">
        <v>61.129524087855302</v>
      </c>
      <c r="AL71">
        <v>89.179048900665194</v>
      </c>
      <c r="AM71">
        <v>88.321973278358101</v>
      </c>
      <c r="AN71">
        <v>1.0000000405346801</v>
      </c>
    </row>
    <row r="72" spans="1:40" x14ac:dyDescent="0.25">
      <c r="A72" t="str">
        <f>"20190312154213822"</f>
        <v>20190312154213822</v>
      </c>
      <c r="B72" t="str">
        <f>"1552376533817135"</f>
        <v>1552376533817135</v>
      </c>
      <c r="C72" t="s">
        <v>40</v>
      </c>
      <c r="D72">
        <v>4.8440699999999897</v>
      </c>
      <c r="E72">
        <v>0.49356699999999998</v>
      </c>
      <c r="F72" t="s">
        <v>42</v>
      </c>
      <c r="G72">
        <v>-406.97829999999999</v>
      </c>
      <c r="H72">
        <v>-0.05</v>
      </c>
      <c r="I72">
        <v>368.5915</v>
      </c>
      <c r="J72">
        <v>-469.39280000000002</v>
      </c>
      <c r="K72">
        <v>1.108992</v>
      </c>
      <c r="L72">
        <v>367.399</v>
      </c>
      <c r="M72">
        <v>0.99952730000000001</v>
      </c>
      <c r="N72">
        <v>0</v>
      </c>
      <c r="O72">
        <v>3.0635989999999998E-2</v>
      </c>
      <c r="P72">
        <v>0.99992190000000003</v>
      </c>
      <c r="Q72">
        <v>1.245403E-2</v>
      </c>
      <c r="R72">
        <v>1.1208679999999999E-3</v>
      </c>
      <c r="S72">
        <v>3.0007929999999998</v>
      </c>
      <c r="T72">
        <v>-5.557024E-2</v>
      </c>
      <c r="U72">
        <v>5.7434079999999998E-2</v>
      </c>
      <c r="V72">
        <v>2.9512110000000001E-2</v>
      </c>
      <c r="W72">
        <v>1.5044899999999899E-2</v>
      </c>
      <c r="X72">
        <v>0.99945119999999998</v>
      </c>
      <c r="Y72">
        <v>1.149612E-2</v>
      </c>
      <c r="Z72">
        <v>-6.7355289999999999E-4</v>
      </c>
      <c r="AA72">
        <v>0.99993370000000004</v>
      </c>
      <c r="AB72">
        <v>17</v>
      </c>
      <c r="AC72">
        <v>62.414499999999997</v>
      </c>
      <c r="AD72">
        <v>-1.158992</v>
      </c>
      <c r="AE72">
        <v>1.1924999999999899</v>
      </c>
      <c r="AF72">
        <v>0.71994791343381204</v>
      </c>
      <c r="AG72">
        <v>-1.158992</v>
      </c>
      <c r="AH72">
        <v>62.4002276036532</v>
      </c>
      <c r="AI72">
        <v>91.063991275415802</v>
      </c>
      <c r="AJ72">
        <v>89.338974418889805</v>
      </c>
      <c r="AK72">
        <v>62.4151423329455</v>
      </c>
      <c r="AL72">
        <v>89.137958210726694</v>
      </c>
      <c r="AM72">
        <v>88.308643628739802</v>
      </c>
      <c r="AN72">
        <v>1.0000000074170501</v>
      </c>
    </row>
    <row r="73" spans="1:40" x14ac:dyDescent="0.25">
      <c r="A73" t="str">
        <f>"20190312154213845"</f>
        <v>20190312154213845</v>
      </c>
      <c r="B73" t="str">
        <f>"1552376533837633"</f>
        <v>1552376533837633</v>
      </c>
      <c r="C73" t="s">
        <v>40</v>
      </c>
      <c r="D73">
        <v>4.8251019999999896</v>
      </c>
      <c r="E73">
        <v>0.49793539999999997</v>
      </c>
      <c r="F73" t="s">
        <v>42</v>
      </c>
      <c r="G73">
        <v>-405.97629999999998</v>
      </c>
      <c r="H73">
        <v>-0.05</v>
      </c>
      <c r="I73">
        <v>368.61540000000002</v>
      </c>
      <c r="J73">
        <v>-469.21940000000001</v>
      </c>
      <c r="K73">
        <v>1.1090420000000001</v>
      </c>
      <c r="L73">
        <v>367.40469999999999</v>
      </c>
      <c r="M73">
        <v>0.99951829999999997</v>
      </c>
      <c r="N73">
        <v>0</v>
      </c>
      <c r="O73">
        <v>3.0922990000000001E-2</v>
      </c>
      <c r="P73">
        <v>0.99990610000000002</v>
      </c>
      <c r="Q73">
        <v>1.361381E-2</v>
      </c>
      <c r="R73">
        <v>1.598866E-3</v>
      </c>
      <c r="S73">
        <v>3.0008539999999999</v>
      </c>
      <c r="T73">
        <v>-5.4843309999999999E-2</v>
      </c>
      <c r="U73">
        <v>5.755615E-2</v>
      </c>
      <c r="V73">
        <v>2.9320450000000001E-2</v>
      </c>
      <c r="W73">
        <v>1.623256E-2</v>
      </c>
      <c r="X73">
        <v>0.99943820000000005</v>
      </c>
      <c r="Y73">
        <v>1.174306E-2</v>
      </c>
      <c r="Z73">
        <v>-6.7222739999999999E-4</v>
      </c>
      <c r="AA73">
        <v>0.99993080000000001</v>
      </c>
      <c r="AB73">
        <v>17</v>
      </c>
      <c r="AC73">
        <v>63.243099999999998</v>
      </c>
      <c r="AD73">
        <v>-1.1590419999999999</v>
      </c>
      <c r="AE73">
        <v>1.2107000000000301</v>
      </c>
      <c r="AF73">
        <v>0.74530129575807902</v>
      </c>
      <c r="AG73">
        <v>-1.1590419999999999</v>
      </c>
      <c r="AH73">
        <v>63.229064629058897</v>
      </c>
      <c r="AI73">
        <v>91.050089341501007</v>
      </c>
      <c r="AJ73">
        <v>89.324667517795604</v>
      </c>
      <c r="AK73">
        <v>63.244078507358601</v>
      </c>
      <c r="AL73">
        <v>89.069901925753996</v>
      </c>
      <c r="AM73">
        <v>88.319599613247505</v>
      </c>
      <c r="AN73">
        <v>0.99999995020579602</v>
      </c>
    </row>
    <row r="74" spans="1:40" x14ac:dyDescent="0.25">
      <c r="A74" t="str">
        <f>"20190312154213867"</f>
        <v>20190312154213867</v>
      </c>
      <c r="B74" t="str">
        <f>"1552376533857151"</f>
        <v>1552376533857151</v>
      </c>
      <c r="C74" t="s">
        <v>40</v>
      </c>
      <c r="D74">
        <v>4.8375570000000003</v>
      </c>
      <c r="E74">
        <v>0.49792740000000002</v>
      </c>
      <c r="F74" t="s">
        <v>43</v>
      </c>
      <c r="G74">
        <v>-447.51870000000002</v>
      </c>
      <c r="H74" s="1">
        <v>-1.5109410000000001E-6</v>
      </c>
      <c r="I74">
        <v>367.60079999999999</v>
      </c>
      <c r="J74">
        <v>-469.04309999999998</v>
      </c>
      <c r="K74">
        <v>1.109089</v>
      </c>
      <c r="L74">
        <v>367.41039999999998</v>
      </c>
      <c r="M74">
        <v>0.99950899999999998</v>
      </c>
      <c r="N74">
        <v>0</v>
      </c>
      <c r="O74">
        <v>3.12202E-2</v>
      </c>
      <c r="P74">
        <v>0.99989479999999997</v>
      </c>
      <c r="Q74">
        <v>1.433063E-2</v>
      </c>
      <c r="R74">
        <v>2.3124579999999999E-3</v>
      </c>
      <c r="S74">
        <v>3.002319</v>
      </c>
      <c r="T74">
        <v>-0.15343709999999999</v>
      </c>
      <c r="U74">
        <v>2.7130129999999999E-2</v>
      </c>
      <c r="V74">
        <v>2.8902980000000002E-2</v>
      </c>
      <c r="W74">
        <v>1.6979660000000001E-2</v>
      </c>
      <c r="X74">
        <v>0.99943800000000005</v>
      </c>
      <c r="Y74">
        <v>2.2117830000000002E-2</v>
      </c>
      <c r="Z74">
        <v>-2.159027E-3</v>
      </c>
      <c r="AA74">
        <v>0.99975309999999995</v>
      </c>
      <c r="AB74">
        <v>17</v>
      </c>
      <c r="AC74">
        <v>21.524399999999901</v>
      </c>
      <c r="AD74">
        <v>-1.1090905109410001</v>
      </c>
      <c r="AE74">
        <v>0.190400000000011</v>
      </c>
      <c r="AF74">
        <v>0.48041583336710397</v>
      </c>
      <c r="AG74">
        <v>-1.1090905109410001</v>
      </c>
      <c r="AH74">
        <v>21.462871361025801</v>
      </c>
      <c r="AI74">
        <v>92.957379828120594</v>
      </c>
      <c r="AJ74">
        <v>88.717729629545005</v>
      </c>
      <c r="AK74">
        <v>21.4968771730768</v>
      </c>
      <c r="AL74">
        <v>89.027090394252497</v>
      </c>
      <c r="AM74">
        <v>88.343511707696095</v>
      </c>
      <c r="AN74">
        <v>1.0000000034752901</v>
      </c>
    </row>
    <row r="75" spans="1:40" x14ac:dyDescent="0.25">
      <c r="A75" t="str">
        <f>"20190312154213890"</f>
        <v>20190312154213890</v>
      </c>
      <c r="B75" t="str">
        <f>"1552376533877647"</f>
        <v>1552376533877647</v>
      </c>
      <c r="C75" t="s">
        <v>40</v>
      </c>
      <c r="D75">
        <v>4.8489170000000001</v>
      </c>
      <c r="E75">
        <v>0.4981024</v>
      </c>
      <c r="F75" t="s">
        <v>43</v>
      </c>
      <c r="G75">
        <v>-447.005</v>
      </c>
      <c r="H75" s="1">
        <v>-1.749289E-6</v>
      </c>
      <c r="I75">
        <v>367.6259</v>
      </c>
      <c r="J75">
        <v>-468.8698</v>
      </c>
      <c r="K75">
        <v>1.1091420000000001</v>
      </c>
      <c r="L75">
        <v>367.41609999999997</v>
      </c>
      <c r="M75">
        <v>0.99949900000000003</v>
      </c>
      <c r="N75">
        <v>0</v>
      </c>
      <c r="O75">
        <v>3.1543469999999997E-2</v>
      </c>
      <c r="P75">
        <v>0.99988370000000004</v>
      </c>
      <c r="Q75">
        <v>1.4957399999999999E-2</v>
      </c>
      <c r="R75">
        <v>2.9874200000000002E-3</v>
      </c>
      <c r="S75">
        <v>3.0023499999999999</v>
      </c>
      <c r="T75">
        <v>-0.151096799999999</v>
      </c>
      <c r="U75">
        <v>2.9357910000000001E-2</v>
      </c>
      <c r="V75">
        <v>2.855042E-2</v>
      </c>
      <c r="W75">
        <v>1.7629490000000001E-2</v>
      </c>
      <c r="X75">
        <v>0.99943689999999996</v>
      </c>
      <c r="Y75">
        <v>2.1701729999999999E-2</v>
      </c>
      <c r="Z75">
        <v>-2.1318919999999998E-3</v>
      </c>
      <c r="AA75">
        <v>0.99976220000000005</v>
      </c>
      <c r="AB75">
        <v>18</v>
      </c>
      <c r="AC75">
        <v>21.864799999999999</v>
      </c>
      <c r="AD75">
        <v>-1.1091437492889999</v>
      </c>
      <c r="AE75">
        <v>0.20980000000002899</v>
      </c>
      <c r="AF75">
        <v>0.478766514598429</v>
      </c>
      <c r="AG75">
        <v>-1.1091437492889999</v>
      </c>
      <c r="AH75">
        <v>21.804433988003801</v>
      </c>
      <c r="AI75">
        <v>92.911300265898106</v>
      </c>
      <c r="AJ75">
        <v>88.742141459496807</v>
      </c>
      <c r="AK75">
        <v>21.8378744105122</v>
      </c>
      <c r="AL75">
        <v>88.989852319413103</v>
      </c>
      <c r="AM75">
        <v>88.363704782422303</v>
      </c>
      <c r="AN75">
        <v>1.0000000212407201</v>
      </c>
    </row>
    <row r="76" spans="1:40" x14ac:dyDescent="0.25">
      <c r="A76" t="str">
        <f>"20190312154213911"</f>
        <v>20190312154213911</v>
      </c>
      <c r="B76" t="str">
        <f>"1552376533906927"</f>
        <v>1552376533906927</v>
      </c>
      <c r="C76" t="s">
        <v>40</v>
      </c>
      <c r="D76">
        <v>4.8720970000000001</v>
      </c>
      <c r="E76">
        <v>0.49810379999999899</v>
      </c>
      <c r="F76" t="s">
        <v>43</v>
      </c>
      <c r="G76">
        <v>-446.47269999999997</v>
      </c>
      <c r="H76" s="1">
        <v>-1.9983009999999998E-6</v>
      </c>
      <c r="I76">
        <v>367.64080000000001</v>
      </c>
      <c r="J76">
        <v>-468.69560000000001</v>
      </c>
      <c r="K76">
        <v>1.1091219999999999</v>
      </c>
      <c r="L76">
        <v>367.42180000000002</v>
      </c>
      <c r="M76">
        <v>0.99947649999999999</v>
      </c>
      <c r="N76">
        <v>0</v>
      </c>
      <c r="O76">
        <v>3.2252589999999998E-2</v>
      </c>
      <c r="P76">
        <v>0.99986739999999996</v>
      </c>
      <c r="Q76">
        <v>1.5803770000000002E-2</v>
      </c>
      <c r="R76">
        <v>3.9345129999999997E-3</v>
      </c>
      <c r="S76">
        <v>3.002472</v>
      </c>
      <c r="T76">
        <v>-0.14868770000000001</v>
      </c>
      <c r="U76">
        <v>3.0120850000000001E-2</v>
      </c>
      <c r="V76">
        <v>2.8311670000000001E-2</v>
      </c>
      <c r="W76">
        <v>1.8349399999999998E-2</v>
      </c>
      <c r="X76">
        <v>0.99943070000000001</v>
      </c>
      <c r="Y76">
        <v>2.2158130000000002E-2</v>
      </c>
      <c r="Z76">
        <v>-2.1442259999999999E-3</v>
      </c>
      <c r="AA76">
        <v>0.99975219999999998</v>
      </c>
      <c r="AB76">
        <v>18</v>
      </c>
      <c r="AC76">
        <v>22.222899999999999</v>
      </c>
      <c r="AD76">
        <v>-1.1091239983009999</v>
      </c>
      <c r="AE76">
        <v>0.21899999999999401</v>
      </c>
      <c r="AF76">
        <v>0.49662541487267697</v>
      </c>
      <c r="AG76">
        <v>-1.1091239983009999</v>
      </c>
      <c r="AH76">
        <v>22.163200532329</v>
      </c>
      <c r="AI76">
        <v>92.864173275524905</v>
      </c>
      <c r="AJ76">
        <v>88.716350587877002</v>
      </c>
      <c r="AK76">
        <v>22.196491855303002</v>
      </c>
      <c r="AL76">
        <v>88.948597803485697</v>
      </c>
      <c r="AM76">
        <v>88.3773707292099</v>
      </c>
      <c r="AN76">
        <v>0.999999987620519</v>
      </c>
    </row>
    <row r="77" spans="1:40" x14ac:dyDescent="0.25">
      <c r="A77" t="str">
        <f>"20190312154213924"</f>
        <v>20190312154213924</v>
      </c>
      <c r="B77" t="str">
        <f>"1552376533917664"</f>
        <v>1552376533917664</v>
      </c>
      <c r="C77" t="s">
        <v>40</v>
      </c>
      <c r="D77">
        <v>4.852671</v>
      </c>
      <c r="E77">
        <v>0.49794339999999998</v>
      </c>
      <c r="F77" t="s">
        <v>43</v>
      </c>
      <c r="G77">
        <v>-446.48680000000002</v>
      </c>
      <c r="H77" s="1">
        <v>-1.9870460000000002E-6</v>
      </c>
      <c r="I77">
        <v>367.66640000000001</v>
      </c>
      <c r="J77">
        <v>-468.57749999999999</v>
      </c>
      <c r="K77">
        <v>1.1091690000000001</v>
      </c>
      <c r="L77">
        <v>367.42570000000001</v>
      </c>
      <c r="M77">
        <v>0.99946710000000005</v>
      </c>
      <c r="N77">
        <v>0</v>
      </c>
      <c r="O77">
        <v>3.2544179999999999E-2</v>
      </c>
      <c r="P77">
        <v>0.99986339999999996</v>
      </c>
      <c r="Q77">
        <v>1.6097199999999999E-2</v>
      </c>
      <c r="R77">
        <v>3.7784889999999999E-3</v>
      </c>
      <c r="S77">
        <v>3.0026549999999999</v>
      </c>
      <c r="T77">
        <v>-0.1499549</v>
      </c>
      <c r="U77">
        <v>3.3081050000000001E-2</v>
      </c>
      <c r="V77">
        <v>2.8755960000000001E-2</v>
      </c>
      <c r="W77">
        <v>1.8655479999999999E-2</v>
      </c>
      <c r="X77">
        <v>0.99941239999999998</v>
      </c>
      <c r="Y77">
        <v>2.1464259999999999E-2</v>
      </c>
      <c r="Z77">
        <v>-2.1595579999999998E-3</v>
      </c>
      <c r="AA77">
        <v>0.99976730000000003</v>
      </c>
      <c r="AB77">
        <v>18</v>
      </c>
      <c r="AC77">
        <v>22.090699999999899</v>
      </c>
      <c r="AD77">
        <v>-1.109170987046</v>
      </c>
      <c r="AE77">
        <v>0.24070000000000299</v>
      </c>
      <c r="AF77">
        <v>0.477150746422562</v>
      </c>
      <c r="AG77">
        <v>-1.109170987046</v>
      </c>
      <c r="AH77">
        <v>22.031296872473799</v>
      </c>
      <c r="AI77">
        <v>92.881461928500599</v>
      </c>
      <c r="AJ77">
        <v>88.759289986637597</v>
      </c>
      <c r="AK77">
        <v>22.064359836541598</v>
      </c>
      <c r="AL77">
        <v>88.931057763039504</v>
      </c>
      <c r="AM77">
        <v>88.351890870702803</v>
      </c>
      <c r="AN77">
        <v>1.0000000387216501</v>
      </c>
    </row>
    <row r="78" spans="1:40" x14ac:dyDescent="0.25">
      <c r="A78" t="str">
        <f>"20190312154213944"</f>
        <v>20190312154213944</v>
      </c>
      <c r="B78" t="str">
        <f>"1552376533937184"</f>
        <v>1552376533937184</v>
      </c>
      <c r="C78" t="s">
        <v>40</v>
      </c>
      <c r="D78">
        <v>4.8282889999999998</v>
      </c>
      <c r="E78">
        <v>0.4977316</v>
      </c>
      <c r="F78" t="s">
        <v>43</v>
      </c>
      <c r="G78">
        <v>-446.52510000000001</v>
      </c>
      <c r="H78" s="1">
        <v>-1.9674699999999998E-6</v>
      </c>
      <c r="I78">
        <v>367.67489999999998</v>
      </c>
      <c r="J78">
        <v>-468.416</v>
      </c>
      <c r="K78">
        <v>1.1093139999999999</v>
      </c>
      <c r="L78">
        <v>367.43110000000001</v>
      </c>
      <c r="M78">
        <v>0.9994653</v>
      </c>
      <c r="N78">
        <v>0</v>
      </c>
      <c r="O78">
        <v>3.2588979999999997E-2</v>
      </c>
      <c r="P78">
        <v>0.99985710000000005</v>
      </c>
      <c r="Q78">
        <v>1.6512059999999999E-2</v>
      </c>
      <c r="R78">
        <v>3.6556290000000001E-3</v>
      </c>
      <c r="S78">
        <v>3.0027469999999998</v>
      </c>
      <c r="T78">
        <v>-0.15102950000000001</v>
      </c>
      <c r="U78">
        <v>3.3935550000000002E-2</v>
      </c>
      <c r="V78">
        <v>2.8916210000000001E-2</v>
      </c>
      <c r="W78">
        <v>1.922424E-2</v>
      </c>
      <c r="X78">
        <v>0.99939699999999998</v>
      </c>
      <c r="Y78">
        <v>2.1224239999999998E-2</v>
      </c>
      <c r="Z78">
        <v>-2.1711619999999999E-3</v>
      </c>
      <c r="AA78">
        <v>0.99977240000000001</v>
      </c>
      <c r="AB78">
        <v>18</v>
      </c>
      <c r="AC78">
        <v>21.890899999999899</v>
      </c>
      <c r="AD78">
        <v>-1.1093159674699999</v>
      </c>
      <c r="AE78">
        <v>0.24379999999996399</v>
      </c>
      <c r="AF78">
        <v>0.46853111702522598</v>
      </c>
      <c r="AG78">
        <v>-1.1093159674699999</v>
      </c>
      <c r="AH78">
        <v>21.831163565764498</v>
      </c>
      <c r="AI78">
        <v>92.908223800753703</v>
      </c>
      <c r="AJ78">
        <v>88.770531169282805</v>
      </c>
      <c r="AK78">
        <v>21.864350115163901</v>
      </c>
      <c r="AL78">
        <v>88.898464372486004</v>
      </c>
      <c r="AM78">
        <v>88.342685942181305</v>
      </c>
      <c r="AN78">
        <v>1.0000000411066701</v>
      </c>
    </row>
    <row r="79" spans="1:40" x14ac:dyDescent="0.25">
      <c r="A79" t="str">
        <f>"20190312154213967"</f>
        <v>20190312154213967</v>
      </c>
      <c r="B79" t="str">
        <f>"1552376533957679"</f>
        <v>1552376533957679</v>
      </c>
      <c r="C79" t="s">
        <v>40</v>
      </c>
      <c r="D79">
        <v>4.8715440000000001</v>
      </c>
      <c r="E79">
        <v>0.49761919999999998</v>
      </c>
      <c r="F79" t="s">
        <v>43</v>
      </c>
      <c r="G79">
        <v>-446.9171</v>
      </c>
      <c r="H79" s="1">
        <v>-1.7803739999999901E-6</v>
      </c>
      <c r="I79">
        <v>367.685</v>
      </c>
      <c r="J79">
        <v>-468.23270000000002</v>
      </c>
      <c r="K79">
        <v>1.109432</v>
      </c>
      <c r="L79">
        <v>367.43740000000003</v>
      </c>
      <c r="M79">
        <v>0.999471</v>
      </c>
      <c r="N79">
        <v>0</v>
      </c>
      <c r="O79">
        <v>3.239686E-2</v>
      </c>
      <c r="P79">
        <v>0.99986059999999999</v>
      </c>
      <c r="Q79">
        <v>1.6408099999999998E-2</v>
      </c>
      <c r="R79">
        <v>3.1295580000000002E-3</v>
      </c>
      <c r="S79">
        <v>3.002869</v>
      </c>
      <c r="T79">
        <v>-0.15494430000000001</v>
      </c>
      <c r="U79">
        <v>3.5461430000000002E-2</v>
      </c>
      <c r="V79">
        <v>2.924419E-2</v>
      </c>
      <c r="W79">
        <v>1.931196E-2</v>
      </c>
      <c r="X79">
        <v>0.99938570000000004</v>
      </c>
      <c r="Y79">
        <v>2.0522189999999999E-2</v>
      </c>
      <c r="Z79">
        <v>-2.1992650000000002E-3</v>
      </c>
      <c r="AA79">
        <v>0.99978699999999998</v>
      </c>
      <c r="AB79">
        <v>18</v>
      </c>
      <c r="AC79">
        <v>21.3156</v>
      </c>
      <c r="AD79">
        <v>-1.109433780374</v>
      </c>
      <c r="AE79">
        <v>0.24759999999997701</v>
      </c>
      <c r="AF79">
        <v>0.44189437142639498</v>
      </c>
      <c r="AG79">
        <v>-1.109433780374</v>
      </c>
      <c r="AH79">
        <v>21.254861033232899</v>
      </c>
      <c r="AI79">
        <v>92.9872951446944</v>
      </c>
      <c r="AJ79">
        <v>88.808976661763296</v>
      </c>
      <c r="AK79">
        <v>21.288382547544</v>
      </c>
      <c r="AL79">
        <v>88.893437381522006</v>
      </c>
      <c r="AM79">
        <v>88.3238797002832</v>
      </c>
      <c r="AN79">
        <v>0.99999997590614298</v>
      </c>
    </row>
    <row r="80" spans="1:40" x14ac:dyDescent="0.25">
      <c r="A80" t="str">
        <f>"20190312154213991"</f>
        <v>20190312154213991</v>
      </c>
      <c r="B80" t="str">
        <f>"1552376533987936"</f>
        <v>1552376533987936</v>
      </c>
      <c r="C80" t="s">
        <v>40</v>
      </c>
      <c r="D80">
        <v>4.8173550000000001</v>
      </c>
      <c r="E80">
        <v>0.49824200000000002</v>
      </c>
      <c r="F80" t="s">
        <v>43</v>
      </c>
      <c r="G80">
        <v>-447.29320000000001</v>
      </c>
      <c r="H80" s="1">
        <v>-1.603193E-6</v>
      </c>
      <c r="I80">
        <v>367.68150000000003</v>
      </c>
      <c r="J80">
        <v>-468.0367</v>
      </c>
      <c r="K80">
        <v>1.109394</v>
      </c>
      <c r="L80">
        <v>367.4443</v>
      </c>
      <c r="M80">
        <v>0.99947050000000004</v>
      </c>
      <c r="N80">
        <v>0</v>
      </c>
      <c r="O80">
        <v>3.2407270000000002E-2</v>
      </c>
      <c r="P80">
        <v>0.99986640000000004</v>
      </c>
      <c r="Q80">
        <v>1.6133789999999999E-2</v>
      </c>
      <c r="R80">
        <v>2.7256340000000002E-3</v>
      </c>
      <c r="S80">
        <v>3.0029300000000001</v>
      </c>
      <c r="T80">
        <v>-0.159104</v>
      </c>
      <c r="U80">
        <v>3.5003659999999999E-2</v>
      </c>
      <c r="V80">
        <v>2.9658839999999999E-2</v>
      </c>
      <c r="W80">
        <v>1.9105529999999999E-2</v>
      </c>
      <c r="X80">
        <v>0.99937750000000003</v>
      </c>
      <c r="Y80">
        <v>2.068118E-2</v>
      </c>
      <c r="Z80">
        <v>-2.2629429999999999E-3</v>
      </c>
      <c r="AA80">
        <v>0.99978359999999999</v>
      </c>
      <c r="AB80">
        <v>18</v>
      </c>
      <c r="AC80">
        <v>20.743499999999901</v>
      </c>
      <c r="AD80">
        <v>-1.1093956031929999</v>
      </c>
      <c r="AE80">
        <v>0.237200000000029</v>
      </c>
      <c r="AF80">
        <v>0.43392665938522401</v>
      </c>
      <c r="AG80">
        <v>-1.1093956031929999</v>
      </c>
      <c r="AH80">
        <v>20.6811451806071</v>
      </c>
      <c r="AI80">
        <v>93.069891648627404</v>
      </c>
      <c r="AJ80">
        <v>88.798010528059507</v>
      </c>
      <c r="AK80">
        <v>20.715424613834401</v>
      </c>
      <c r="AL80">
        <v>88.905267189042704</v>
      </c>
      <c r="AM80">
        <v>88.300114090213299</v>
      </c>
      <c r="AN80">
        <v>1.00000002778648</v>
      </c>
    </row>
    <row r="81" spans="1:40" x14ac:dyDescent="0.25">
      <c r="A81" t="str">
        <f>"20190312154214013"</f>
        <v>20190312154214013</v>
      </c>
      <c r="B81" t="str">
        <f>"1552376534007455"</f>
        <v>1552376534007455</v>
      </c>
      <c r="C81" t="s">
        <v>40</v>
      </c>
      <c r="D81">
        <v>4.758006</v>
      </c>
      <c r="E81">
        <v>0.49860149999999998</v>
      </c>
      <c r="F81" t="s">
        <v>43</v>
      </c>
      <c r="G81">
        <v>-446.40010000000001</v>
      </c>
      <c r="H81" s="1">
        <v>-2.03081E-6</v>
      </c>
      <c r="I81">
        <v>367.65100000000001</v>
      </c>
      <c r="J81">
        <v>-467.85610000000003</v>
      </c>
      <c r="K81">
        <v>1.109281</v>
      </c>
      <c r="L81">
        <v>367.45060000000001</v>
      </c>
      <c r="M81">
        <v>0.99945830000000002</v>
      </c>
      <c r="N81">
        <v>0</v>
      </c>
      <c r="O81">
        <v>3.278097E-2</v>
      </c>
      <c r="P81">
        <v>0.99986909999999896</v>
      </c>
      <c r="Q81">
        <v>1.5886230000000001E-2</v>
      </c>
      <c r="R81">
        <v>3.0893399999999999E-3</v>
      </c>
      <c r="S81">
        <v>3.0028079999999999</v>
      </c>
      <c r="T81">
        <v>-0.15396550000000001</v>
      </c>
      <c r="U81">
        <v>2.868652E-2</v>
      </c>
      <c r="V81">
        <v>2.967322E-2</v>
      </c>
      <c r="W81">
        <v>1.8857140000000001E-2</v>
      </c>
      <c r="X81">
        <v>0.99938179999999999</v>
      </c>
      <c r="Y81">
        <v>2.315849E-2</v>
      </c>
      <c r="Z81">
        <v>-2.272689E-3</v>
      </c>
      <c r="AA81">
        <v>0.99972919999999998</v>
      </c>
      <c r="AB81">
        <v>19</v>
      </c>
      <c r="AC81">
        <v>21.456</v>
      </c>
      <c r="AD81">
        <v>-1.1092830308099999</v>
      </c>
      <c r="AE81">
        <v>0.20040000000000099</v>
      </c>
      <c r="AF81">
        <v>0.50171825101907896</v>
      </c>
      <c r="AG81">
        <v>-1.1092830308099999</v>
      </c>
      <c r="AH81">
        <v>21.393858664396799</v>
      </c>
      <c r="AI81">
        <v>92.967344408629401</v>
      </c>
      <c r="AJ81">
        <v>88.656573805983996</v>
      </c>
      <c r="AK81">
        <v>21.428472148009899</v>
      </c>
      <c r="AL81">
        <v>88.919501461721396</v>
      </c>
      <c r="AM81">
        <v>88.299297702796395</v>
      </c>
      <c r="AN81">
        <v>1.00000003694269</v>
      </c>
    </row>
    <row r="82" spans="1:40" x14ac:dyDescent="0.25">
      <c r="A82" t="str">
        <f>"20190312154214036"</f>
        <v>20190312154214036</v>
      </c>
      <c r="B82" t="str">
        <f>"1552376534027952"</f>
        <v>1552376534027952</v>
      </c>
      <c r="C82" t="s">
        <v>40</v>
      </c>
      <c r="D82">
        <v>3.9816410000000002</v>
      </c>
      <c r="E82">
        <v>0.51806459999999999</v>
      </c>
      <c r="F82" t="s">
        <v>43</v>
      </c>
      <c r="G82">
        <v>-446.21690000000001</v>
      </c>
      <c r="H82" s="1">
        <v>-2.1185140000000001E-6</v>
      </c>
      <c r="I82">
        <v>367.64460000000003</v>
      </c>
      <c r="J82">
        <v>-467.66250000000002</v>
      </c>
      <c r="K82">
        <v>1.109192</v>
      </c>
      <c r="L82">
        <v>367.45729999999998</v>
      </c>
      <c r="M82">
        <v>0.99943800000000005</v>
      </c>
      <c r="N82">
        <v>0</v>
      </c>
      <c r="O82">
        <v>3.3388050000000002E-2</v>
      </c>
      <c r="P82">
        <v>0.99986850000000005</v>
      </c>
      <c r="Q82">
        <v>1.5763320000000001E-2</v>
      </c>
      <c r="R82">
        <v>3.8620320000000001E-3</v>
      </c>
      <c r="S82">
        <v>3.002777</v>
      </c>
      <c r="T82">
        <v>-0.15393019999999999</v>
      </c>
      <c r="U82">
        <v>2.6916499999999999E-2</v>
      </c>
      <c r="V82">
        <v>2.951179E-2</v>
      </c>
      <c r="W82">
        <v>1.877705E-2</v>
      </c>
      <c r="X82">
        <v>0.99938800000000005</v>
      </c>
      <c r="Y82">
        <v>2.4352550000000001E-2</v>
      </c>
      <c r="Z82">
        <v>-2.3338719999999999E-3</v>
      </c>
      <c r="AA82">
        <v>0.9997007</v>
      </c>
      <c r="AB82">
        <v>19</v>
      </c>
      <c r="AC82">
        <v>21.445599999999999</v>
      </c>
      <c r="AD82">
        <v>-1.109194118514</v>
      </c>
      <c r="AE82">
        <v>0.18730000000005001</v>
      </c>
      <c r="AF82">
        <v>0.52742358790950705</v>
      </c>
      <c r="AG82">
        <v>-1.109194118514</v>
      </c>
      <c r="AH82">
        <v>21.382700474129699</v>
      </c>
      <c r="AI82">
        <v>92.968566028756797</v>
      </c>
      <c r="AJ82">
        <v>88.587034440980105</v>
      </c>
      <c r="AK82">
        <v>21.417944971448001</v>
      </c>
      <c r="AL82">
        <v>88.924090998478206</v>
      </c>
      <c r="AM82">
        <v>88.308555061583405</v>
      </c>
      <c r="AN82">
        <v>0.999999948949852</v>
      </c>
    </row>
    <row r="83" spans="1:40" x14ac:dyDescent="0.25">
      <c r="A83" t="str">
        <f>"20190312154214078"</f>
        <v>20190312154214078</v>
      </c>
      <c r="B83" t="str">
        <f>"1552376534067967"</f>
        <v>1552376534067967</v>
      </c>
      <c r="C83" t="s">
        <v>40</v>
      </c>
      <c r="D83">
        <v>3.1580520000000001</v>
      </c>
      <c r="E83">
        <v>0.53602810000000001</v>
      </c>
      <c r="F83" t="s">
        <v>41</v>
      </c>
      <c r="G83">
        <v>-466.90499999999997</v>
      </c>
      <c r="H83">
        <v>0.88525069999999995</v>
      </c>
      <c r="I83">
        <v>367.43130000000002</v>
      </c>
      <c r="J83">
        <v>-467.29910000000001</v>
      </c>
      <c r="K83">
        <v>1.1092249999999999</v>
      </c>
      <c r="L83">
        <v>367.4701</v>
      </c>
      <c r="M83">
        <v>0.99940689999999999</v>
      </c>
      <c r="N83">
        <v>0</v>
      </c>
      <c r="O83">
        <v>3.4284139999999998E-2</v>
      </c>
      <c r="P83">
        <v>0.9998631</v>
      </c>
      <c r="Q83">
        <v>1.5870209999999999E-2</v>
      </c>
      <c r="R83">
        <v>4.7002370000000003E-3</v>
      </c>
      <c r="S83">
        <v>3.0148320000000002</v>
      </c>
      <c r="T83">
        <v>-0.89140239999999904</v>
      </c>
      <c r="U83">
        <v>-0.1022339</v>
      </c>
      <c r="V83">
        <v>2.957135E-2</v>
      </c>
      <c r="W83">
        <v>1.9122219999999999E-2</v>
      </c>
      <c r="X83">
        <v>0.99937980000000004</v>
      </c>
      <c r="Y83">
        <v>6.3936080000000006E-2</v>
      </c>
      <c r="Z83">
        <v>-1.9173369999999999E-2</v>
      </c>
      <c r="AA83">
        <v>0.99776980000000004</v>
      </c>
      <c r="AB83">
        <v>19</v>
      </c>
      <c r="AC83">
        <v>0.39410000000003698</v>
      </c>
      <c r="AD83">
        <v>-0.22397429999999999</v>
      </c>
      <c r="AE83">
        <v>-3.87999999999806E-2</v>
      </c>
      <c r="AF83">
        <v>3.9616049839099499E-2</v>
      </c>
      <c r="AG83">
        <v>-0.22397429999999999</v>
      </c>
      <c r="AH83">
        <v>0.29740318769611102</v>
      </c>
      <c r="AI83">
        <v>126.74155974148201</v>
      </c>
      <c r="AJ83">
        <v>82.412494536225395</v>
      </c>
      <c r="AK83">
        <v>0.37440963464787103</v>
      </c>
      <c r="AL83">
        <v>88.904310776881601</v>
      </c>
      <c r="AM83">
        <v>88.305129517872899</v>
      </c>
      <c r="AN83">
        <v>1.0000000543432901</v>
      </c>
    </row>
    <row r="84" spans="1:40" x14ac:dyDescent="0.25">
      <c r="A84" t="str">
        <f>"20190312154214091"</f>
        <v>20190312154214091</v>
      </c>
      <c r="B84" t="str">
        <f>"1552376534087488"</f>
        <v>1552376534087488</v>
      </c>
      <c r="C84" t="s">
        <v>40</v>
      </c>
      <c r="D84">
        <v>4.0934999999999997</v>
      </c>
      <c r="E84">
        <v>0.53667480000000001</v>
      </c>
      <c r="F84" t="s">
        <v>41</v>
      </c>
      <c r="G84">
        <v>-466.5718</v>
      </c>
      <c r="H84">
        <v>0.86187719999999901</v>
      </c>
      <c r="I84">
        <v>367.41199999999998</v>
      </c>
      <c r="J84">
        <v>-467.19310000000002</v>
      </c>
      <c r="K84">
        <v>1.1092599999999999</v>
      </c>
      <c r="L84">
        <v>367.47390000000001</v>
      </c>
      <c r="M84">
        <v>0.99940110000000004</v>
      </c>
      <c r="N84">
        <v>0</v>
      </c>
      <c r="O84">
        <v>3.4446600000000001E-2</v>
      </c>
      <c r="P84">
        <v>0.99985590000000002</v>
      </c>
      <c r="Q84">
        <v>1.6218070000000001E-2</v>
      </c>
      <c r="R84">
        <v>5.03142E-3</v>
      </c>
      <c r="S84">
        <v>3.017792</v>
      </c>
      <c r="T84">
        <v>-1.0263549999999999</v>
      </c>
      <c r="U84">
        <v>-0.2391663</v>
      </c>
      <c r="V84">
        <v>2.9402009999999999E-2</v>
      </c>
      <c r="W84">
        <v>1.9547470000000001E-2</v>
      </c>
      <c r="X84">
        <v>0.9993765</v>
      </c>
      <c r="Y84">
        <v>0.1054689</v>
      </c>
      <c r="Z84">
        <v>-2.8799780000000001E-2</v>
      </c>
      <c r="AA84">
        <v>0.99400540000000004</v>
      </c>
      <c r="AB84">
        <v>19</v>
      </c>
      <c r="AC84">
        <v>0.62130000000001895</v>
      </c>
      <c r="AD84">
        <v>-0.24738280000000001</v>
      </c>
      <c r="AE84">
        <v>-6.1900000000036898E-2</v>
      </c>
      <c r="AF84">
        <v>7.1967528899649205E-2</v>
      </c>
      <c r="AG84">
        <v>-0.24738280000000001</v>
      </c>
      <c r="AH84">
        <v>0.534839464860004</v>
      </c>
      <c r="AI84">
        <v>114.62696690508101</v>
      </c>
      <c r="AJ84">
        <v>82.336361985637296</v>
      </c>
      <c r="AK84">
        <v>0.59365884826514403</v>
      </c>
      <c r="AL84">
        <v>88.879941114858795</v>
      </c>
      <c r="AM84">
        <v>88.314824000720606</v>
      </c>
      <c r="AN84">
        <v>0.99999998526384504</v>
      </c>
    </row>
    <row r="85" spans="1:40" x14ac:dyDescent="0.25">
      <c r="A85" t="str">
        <f>"20190312154214104"</f>
        <v>20190312154214104</v>
      </c>
      <c r="B85" t="str">
        <f>"1552376534097247"</f>
        <v>1552376534097247</v>
      </c>
      <c r="C85" t="s">
        <v>40</v>
      </c>
      <c r="D85">
        <v>4.4802400000000002</v>
      </c>
      <c r="E85">
        <v>0.53373429999999999</v>
      </c>
      <c r="F85" t="s">
        <v>41</v>
      </c>
      <c r="G85">
        <v>-466.40750000000003</v>
      </c>
      <c r="H85">
        <v>0.84073949999999997</v>
      </c>
      <c r="I85">
        <v>367.41050000000001</v>
      </c>
      <c r="J85">
        <v>-467.07769999999999</v>
      </c>
      <c r="K85">
        <v>1.1092959999999901</v>
      </c>
      <c r="L85">
        <v>367.47809999999998</v>
      </c>
      <c r="M85">
        <v>0.99939599999999995</v>
      </c>
      <c r="N85">
        <v>0</v>
      </c>
      <c r="O85">
        <v>3.4587149999999997E-2</v>
      </c>
      <c r="P85">
        <v>0.9998475</v>
      </c>
      <c r="Q85">
        <v>1.667066E-2</v>
      </c>
      <c r="R85">
        <v>5.2079470000000001E-3</v>
      </c>
      <c r="S85">
        <v>3.018402</v>
      </c>
      <c r="T85">
        <v>-1.0316829999999999</v>
      </c>
      <c r="U85">
        <v>-0.24319460000000001</v>
      </c>
      <c r="V85">
        <v>2.9364879999999999E-2</v>
      </c>
      <c r="W85">
        <v>2.007857E-2</v>
      </c>
      <c r="X85">
        <v>0.99936709999999995</v>
      </c>
      <c r="Y85">
        <v>0.106755</v>
      </c>
      <c r="Z85">
        <v>-2.9194479999999998E-2</v>
      </c>
      <c r="AA85">
        <v>0.99385670000000004</v>
      </c>
      <c r="AB85">
        <v>19</v>
      </c>
      <c r="AC85">
        <v>0.67019999999996505</v>
      </c>
      <c r="AD85">
        <v>-0.26855649999999898</v>
      </c>
      <c r="AE85">
        <v>-6.7599999999970295E-2</v>
      </c>
      <c r="AF85">
        <v>7.8294858002778495E-2</v>
      </c>
      <c r="AG85">
        <v>-0.26855649999999898</v>
      </c>
      <c r="AH85">
        <v>0.57591757088949003</v>
      </c>
      <c r="AI85">
        <v>114.79978590572701</v>
      </c>
      <c r="AJ85">
        <v>82.258213178274801</v>
      </c>
      <c r="AK85">
        <v>0.64026067108731299</v>
      </c>
      <c r="AL85">
        <v>88.849505394355006</v>
      </c>
      <c r="AM85">
        <v>88.316935060081406</v>
      </c>
      <c r="AN85">
        <v>1.00000002285653</v>
      </c>
    </row>
    <row r="86" spans="1:40" x14ac:dyDescent="0.25">
      <c r="A86" t="str">
        <f>"20190312154214123"</f>
        <v>20190312154214123</v>
      </c>
      <c r="B86" t="str">
        <f>"1552376534117744"</f>
        <v>1552376534117744</v>
      </c>
      <c r="C86" t="s">
        <v>40</v>
      </c>
      <c r="D86">
        <v>4.7111549999999998</v>
      </c>
      <c r="E86">
        <v>0.52892240000000001</v>
      </c>
      <c r="F86" t="s">
        <v>41</v>
      </c>
      <c r="G86">
        <v>-466.392</v>
      </c>
      <c r="H86">
        <v>0.88219239999999999</v>
      </c>
      <c r="I86">
        <v>367.42790000000002</v>
      </c>
      <c r="J86">
        <v>-466.91340000000002</v>
      </c>
      <c r="K86">
        <v>1.1093500000000001</v>
      </c>
      <c r="L86">
        <v>367.48410000000001</v>
      </c>
      <c r="M86">
        <v>0.99938859999999996</v>
      </c>
      <c r="N86">
        <v>0</v>
      </c>
      <c r="O86">
        <v>3.4793449999999997E-2</v>
      </c>
      <c r="P86">
        <v>0.99984759999999995</v>
      </c>
      <c r="Q86">
        <v>1.6527239999999999E-2</v>
      </c>
      <c r="R86">
        <v>5.6178779999999998E-3</v>
      </c>
      <c r="S86">
        <v>3.0183110000000002</v>
      </c>
      <c r="T86">
        <v>-0.99978639999999996</v>
      </c>
      <c r="U86">
        <v>-0.22064210000000001</v>
      </c>
      <c r="V86">
        <v>2.9161019999999999E-2</v>
      </c>
      <c r="W86">
        <v>2.0038520000000001E-2</v>
      </c>
      <c r="X86">
        <v>0.99937390000000004</v>
      </c>
      <c r="Y86">
        <v>0.10037450000000001</v>
      </c>
      <c r="Z86">
        <v>-2.738459E-2</v>
      </c>
      <c r="AA86">
        <v>0.99457280000000003</v>
      </c>
      <c r="AB86">
        <v>19</v>
      </c>
      <c r="AC86">
        <v>0.52140000000002795</v>
      </c>
      <c r="AD86">
        <v>-0.22715759999999999</v>
      </c>
      <c r="AE86">
        <v>-5.61999999999898E-2</v>
      </c>
      <c r="AF86">
        <v>6.2567933773076706E-2</v>
      </c>
      <c r="AG86">
        <v>-0.22715759999999999</v>
      </c>
      <c r="AH86">
        <v>0.43711433106103398</v>
      </c>
      <c r="AI86">
        <v>117.222748106776</v>
      </c>
      <c r="AJ86">
        <v>81.8540944392211</v>
      </c>
      <c r="AK86">
        <v>0.49657251232154198</v>
      </c>
      <c r="AL86">
        <v>88.851800582851496</v>
      </c>
      <c r="AM86">
        <v>88.328624128387702</v>
      </c>
      <c r="AN86">
        <v>1.00000004968621</v>
      </c>
    </row>
    <row r="87" spans="1:40" x14ac:dyDescent="0.25">
      <c r="A87" t="str">
        <f>"20190312154214147"</f>
        <v>20190312154214147</v>
      </c>
      <c r="B87" t="str">
        <f>"1552376534137264"</f>
        <v>1552376534137264</v>
      </c>
      <c r="C87" t="s">
        <v>40</v>
      </c>
      <c r="D87">
        <v>5.0099019999999896</v>
      </c>
      <c r="E87">
        <v>0.50924060000000004</v>
      </c>
      <c r="F87" t="s">
        <v>41</v>
      </c>
      <c r="G87">
        <v>-466.2133</v>
      </c>
      <c r="H87">
        <v>0.89652089999999995</v>
      </c>
      <c r="I87">
        <v>367.4409</v>
      </c>
      <c r="J87">
        <v>-466.71230000000003</v>
      </c>
      <c r="K87">
        <v>1.109381</v>
      </c>
      <c r="L87">
        <v>367.49160000000001</v>
      </c>
      <c r="M87">
        <v>0.99937750000000003</v>
      </c>
      <c r="N87">
        <v>0</v>
      </c>
      <c r="O87">
        <v>3.5092640000000001E-2</v>
      </c>
      <c r="P87">
        <v>0.99984130000000004</v>
      </c>
      <c r="Q87">
        <v>1.6652650000000001E-2</v>
      </c>
      <c r="R87">
        <v>6.3386529999999996E-3</v>
      </c>
      <c r="S87">
        <v>3.016632</v>
      </c>
      <c r="T87">
        <v>-0.91727029999999998</v>
      </c>
      <c r="U87">
        <v>-0.18429570000000001</v>
      </c>
      <c r="V87">
        <v>2.87397E-2</v>
      </c>
      <c r="W87">
        <v>2.028452E-2</v>
      </c>
      <c r="X87">
        <v>0.99938110000000002</v>
      </c>
      <c r="Y87">
        <v>9.0317980000000006E-2</v>
      </c>
      <c r="Z87">
        <v>-2.3843159999999999E-2</v>
      </c>
      <c r="AA87">
        <v>0.9956275</v>
      </c>
      <c r="AB87">
        <v>19</v>
      </c>
      <c r="AC87">
        <v>0.49900000000002298</v>
      </c>
      <c r="AD87">
        <v>-0.212860099999999</v>
      </c>
      <c r="AE87">
        <v>-5.0700000000006101E-2</v>
      </c>
      <c r="AF87">
        <v>5.77745894887602E-2</v>
      </c>
      <c r="AG87">
        <v>-0.212860099999999</v>
      </c>
      <c r="AH87">
        <v>0.421075414981124</v>
      </c>
      <c r="AI87">
        <v>116.60276965074399</v>
      </c>
      <c r="AJ87">
        <v>82.187387610756105</v>
      </c>
      <c r="AK87">
        <v>0.47534390757022499</v>
      </c>
      <c r="AL87">
        <v>88.837702907259398</v>
      </c>
      <c r="AM87">
        <v>88.352770717000595</v>
      </c>
      <c r="AN87">
        <v>1.00000000757246</v>
      </c>
    </row>
    <row r="88" spans="1:40" x14ac:dyDescent="0.25">
      <c r="A88" t="str">
        <f>"20190312154214169"</f>
        <v>20190312154214169</v>
      </c>
      <c r="B88" t="str">
        <f>"1552376534157760"</f>
        <v>1552376534157760</v>
      </c>
      <c r="C88" t="s">
        <v>40</v>
      </c>
      <c r="D88">
        <v>5.1470969999999996</v>
      </c>
      <c r="E88">
        <v>0.50800859999999903</v>
      </c>
      <c r="F88" t="s">
        <v>41</v>
      </c>
      <c r="G88">
        <v>-465.98360000000002</v>
      </c>
      <c r="H88">
        <v>1.016564</v>
      </c>
      <c r="I88">
        <v>367.48149999999998</v>
      </c>
      <c r="J88">
        <v>-466.52050000000003</v>
      </c>
      <c r="K88">
        <v>1.109405</v>
      </c>
      <c r="L88">
        <v>367.49880000000002</v>
      </c>
      <c r="M88">
        <v>0.99936519999999995</v>
      </c>
      <c r="N88">
        <v>0</v>
      </c>
      <c r="O88">
        <v>3.5431520000000001E-2</v>
      </c>
      <c r="P88">
        <v>0.99983100000000003</v>
      </c>
      <c r="Q88">
        <v>1.7345139999999998E-2</v>
      </c>
      <c r="R88">
        <v>6.1069660000000001E-3</v>
      </c>
      <c r="S88">
        <v>3.0071409999999998</v>
      </c>
      <c r="T88">
        <v>-0.3830076</v>
      </c>
      <c r="U88">
        <v>-4.2053220000000002E-2</v>
      </c>
      <c r="V88">
        <v>2.9310369999999999E-2</v>
      </c>
      <c r="W88">
        <v>2.1093540000000001E-2</v>
      </c>
      <c r="X88">
        <v>0.99934769999999995</v>
      </c>
      <c r="Y88">
        <v>4.8722910000000001E-2</v>
      </c>
      <c r="Z88">
        <v>-7.5841909999999997E-3</v>
      </c>
      <c r="AA88">
        <v>0.99878350000000005</v>
      </c>
      <c r="AB88">
        <v>19</v>
      </c>
      <c r="AC88">
        <v>0.53690000000000204</v>
      </c>
      <c r="AD88">
        <v>-9.2840999999999896E-2</v>
      </c>
      <c r="AE88">
        <v>-1.7300000000034201E-2</v>
      </c>
      <c r="AF88">
        <v>3.52592413807956E-2</v>
      </c>
      <c r="AG88">
        <v>-9.2840999999999896E-2</v>
      </c>
      <c r="AH88">
        <v>0.52040516026849204</v>
      </c>
      <c r="AI88">
        <v>100.092568208854</v>
      </c>
      <c r="AJ88">
        <v>86.1239374828168</v>
      </c>
      <c r="AK88">
        <v>0.52979637240908295</v>
      </c>
      <c r="AL88">
        <v>88.791339457807894</v>
      </c>
      <c r="AM88">
        <v>88.320024946562398</v>
      </c>
      <c r="AN88">
        <v>0.99999993035727597</v>
      </c>
    </row>
    <row r="89" spans="1:40" x14ac:dyDescent="0.25">
      <c r="A89" t="str">
        <f>"20190312154214191"</f>
        <v>20190312154214191</v>
      </c>
      <c r="B89" t="str">
        <f>"1552376534187040"</f>
        <v>1552376534187040</v>
      </c>
      <c r="C89" t="s">
        <v>40</v>
      </c>
      <c r="D89">
        <v>4.8345000000000002</v>
      </c>
      <c r="E89">
        <v>0.50789419999999996</v>
      </c>
      <c r="F89" t="s">
        <v>41</v>
      </c>
      <c r="G89">
        <v>-465.6277</v>
      </c>
      <c r="H89">
        <v>1.024408</v>
      </c>
      <c r="I89">
        <v>367.48820000000001</v>
      </c>
      <c r="J89">
        <v>-466.31950000000001</v>
      </c>
      <c r="K89">
        <v>1.109418</v>
      </c>
      <c r="L89">
        <v>367.50630000000001</v>
      </c>
      <c r="M89">
        <v>0.99935149999999995</v>
      </c>
      <c r="N89">
        <v>0</v>
      </c>
      <c r="O89">
        <v>3.580535E-2</v>
      </c>
      <c r="P89">
        <v>0.99982360000000003</v>
      </c>
      <c r="Q89">
        <v>1.7984610000000002E-2</v>
      </c>
      <c r="R89">
        <v>5.4799130000000003E-3</v>
      </c>
      <c r="S89">
        <v>3.0056759999999998</v>
      </c>
      <c r="T89">
        <v>-0.28624680000000002</v>
      </c>
      <c r="U89">
        <v>-3.5400389999999997E-2</v>
      </c>
      <c r="V89">
        <v>3.031143E-2</v>
      </c>
      <c r="W89">
        <v>2.1853439999999998E-2</v>
      </c>
      <c r="X89">
        <v>0.99930160000000001</v>
      </c>
      <c r="Y89">
        <v>4.7197120000000002E-2</v>
      </c>
      <c r="Z89">
        <v>-5.6440489999999999E-3</v>
      </c>
      <c r="AA89">
        <v>0.99886969999999997</v>
      </c>
      <c r="AB89">
        <v>20</v>
      </c>
      <c r="AC89">
        <v>0.69179999999999997</v>
      </c>
      <c r="AD89">
        <v>-8.5010000000000002E-2</v>
      </c>
      <c r="AE89">
        <v>-1.8100000000003998E-2</v>
      </c>
      <c r="AF89">
        <v>4.2221602255461697E-2</v>
      </c>
      <c r="AG89">
        <v>-8.5010000000000002E-2</v>
      </c>
      <c r="AH89">
        <v>0.68044064621153599</v>
      </c>
      <c r="AI89">
        <v>97.107748797461198</v>
      </c>
      <c r="AJ89">
        <v>86.449327297942204</v>
      </c>
      <c r="AK89">
        <v>0.68702899270248496</v>
      </c>
      <c r="AL89">
        <v>88.747790463626401</v>
      </c>
      <c r="AM89">
        <v>88.262601929626697</v>
      </c>
      <c r="AN89">
        <v>1.0000000216955101</v>
      </c>
    </row>
    <row r="90" spans="1:40" x14ac:dyDescent="0.25">
      <c r="A90" t="str">
        <f>"20190312154214215"</f>
        <v>20190312154214215</v>
      </c>
      <c r="B90" t="str">
        <f>"1552376534207537"</f>
        <v>1552376534207537</v>
      </c>
      <c r="C90" t="s">
        <v>40</v>
      </c>
      <c r="D90">
        <v>4.8402969999999996</v>
      </c>
      <c r="E90">
        <v>0.5090886</v>
      </c>
      <c r="F90" t="s">
        <v>41</v>
      </c>
      <c r="G90">
        <v>-465.4325</v>
      </c>
      <c r="H90">
        <v>1.0553399999999999</v>
      </c>
      <c r="I90">
        <v>367.49459999999999</v>
      </c>
      <c r="J90">
        <v>-466.1103</v>
      </c>
      <c r="K90">
        <v>1.1094360000000001</v>
      </c>
      <c r="L90">
        <v>367.51429999999999</v>
      </c>
      <c r="M90">
        <v>0.99933740000000004</v>
      </c>
      <c r="N90">
        <v>0</v>
      </c>
      <c r="O90">
        <v>3.6181159999999997E-2</v>
      </c>
      <c r="P90">
        <v>0.99981759999999997</v>
      </c>
      <c r="Q90">
        <v>1.836805E-2</v>
      </c>
      <c r="R90">
        <v>5.263958E-3</v>
      </c>
      <c r="S90">
        <v>3.004089</v>
      </c>
      <c r="T90">
        <v>-0.1831883</v>
      </c>
      <c r="U90">
        <v>-3.9550780000000001E-2</v>
      </c>
      <c r="V90">
        <v>3.0903670000000001E-2</v>
      </c>
      <c r="W90">
        <v>2.2354949999999998E-2</v>
      </c>
      <c r="X90">
        <v>0.9992723</v>
      </c>
      <c r="Y90">
        <v>4.9175669999999998E-2</v>
      </c>
      <c r="Z90">
        <v>-3.70186E-3</v>
      </c>
      <c r="AA90">
        <v>0.99878330000000004</v>
      </c>
      <c r="AB90">
        <v>20</v>
      </c>
      <c r="AC90">
        <v>0.67779999999998997</v>
      </c>
      <c r="AD90">
        <v>-5.4096000000000102E-2</v>
      </c>
      <c r="AE90">
        <v>-1.97000000000002E-2</v>
      </c>
      <c r="AF90">
        <v>4.3931285543349297E-2</v>
      </c>
      <c r="AG90">
        <v>-5.4096000000000102E-2</v>
      </c>
      <c r="AH90">
        <v>0.67236420309802603</v>
      </c>
      <c r="AI90">
        <v>94.590157956752293</v>
      </c>
      <c r="AJ90">
        <v>86.261691979342402</v>
      </c>
      <c r="AK90">
        <v>0.67596594342698602</v>
      </c>
      <c r="AL90">
        <v>88.719048949893704</v>
      </c>
      <c r="AM90">
        <v>88.228625284311804</v>
      </c>
      <c r="AN90">
        <v>0.999999955078129</v>
      </c>
    </row>
    <row r="91" spans="1:40" x14ac:dyDescent="0.25">
      <c r="A91" t="str">
        <f>"20190312154214237"</f>
        <v>20190312154214237</v>
      </c>
      <c r="B91" t="str">
        <f>"1552376534227056"</f>
        <v>1552376534227056</v>
      </c>
      <c r="C91" t="s">
        <v>40</v>
      </c>
      <c r="D91">
        <v>4.8754049999999998</v>
      </c>
      <c r="E91">
        <v>0.50807740000000001</v>
      </c>
      <c r="F91" t="s">
        <v>43</v>
      </c>
      <c r="G91">
        <v>-445.28230000000002</v>
      </c>
      <c r="H91" s="1">
        <v>-2.6453599999999999E-6</v>
      </c>
      <c r="I91">
        <v>367.1651</v>
      </c>
      <c r="J91">
        <v>-465.90859999999998</v>
      </c>
      <c r="K91">
        <v>1.1094459999999999</v>
      </c>
      <c r="L91">
        <v>367.52190000000002</v>
      </c>
      <c r="M91">
        <v>0.99932460000000001</v>
      </c>
      <c r="N91">
        <v>0</v>
      </c>
      <c r="O91">
        <v>3.6522789999999999E-2</v>
      </c>
      <c r="P91">
        <v>0.99982079999999995</v>
      </c>
      <c r="Q91">
        <v>1.809523E-2</v>
      </c>
      <c r="R91">
        <v>5.5986330000000004E-3</v>
      </c>
      <c r="S91">
        <v>3.0037539999999998</v>
      </c>
      <c r="T91">
        <v>-0.16000020000000001</v>
      </c>
      <c r="U91">
        <v>-5.0354000000000003E-2</v>
      </c>
      <c r="V91">
        <v>3.0911999999999999E-2</v>
      </c>
      <c r="W91">
        <v>2.2185719999999999E-2</v>
      </c>
      <c r="X91">
        <v>0.99927589999999999</v>
      </c>
      <c r="Y91">
        <v>5.314104E-2</v>
      </c>
      <c r="Z91">
        <v>-3.3579999999999999E-3</v>
      </c>
      <c r="AA91">
        <v>0.99858130000000001</v>
      </c>
      <c r="AB91">
        <v>20</v>
      </c>
      <c r="AC91">
        <v>20.626299999999901</v>
      </c>
      <c r="AD91">
        <v>-1.1094486453600001</v>
      </c>
      <c r="AE91">
        <v>-0.35680000000002099</v>
      </c>
      <c r="AF91">
        <v>1.1066972690348</v>
      </c>
      <c r="AG91">
        <v>-1.1094486453600001</v>
      </c>
      <c r="AH91">
        <v>20.540098967774501</v>
      </c>
      <c r="AI91">
        <v>93.087288634349505</v>
      </c>
      <c r="AJ91">
        <v>86.915894620247201</v>
      </c>
      <c r="AK91">
        <v>20.5997893374653</v>
      </c>
      <c r="AL91">
        <v>88.728747629892695</v>
      </c>
      <c r="AM91">
        <v>88.228154498620398</v>
      </c>
      <c r="AN91">
        <v>1.0000000411183601</v>
      </c>
    </row>
    <row r="92" spans="1:40" x14ac:dyDescent="0.25">
      <c r="A92" t="str">
        <f>"20190312154214260"</f>
        <v>20190312154214260</v>
      </c>
      <c r="B92" t="str">
        <f>"1552376534247552"</f>
        <v>1552376534247552</v>
      </c>
      <c r="C92" t="s">
        <v>40</v>
      </c>
      <c r="D92">
        <v>4.8967239999999999</v>
      </c>
      <c r="E92">
        <v>0.50865450000000001</v>
      </c>
      <c r="F92" t="s">
        <v>43</v>
      </c>
      <c r="G92">
        <v>-443.0718</v>
      </c>
      <c r="H92" s="1">
        <v>-3.68361E-6</v>
      </c>
      <c r="I92">
        <v>367.20260000000002</v>
      </c>
      <c r="J92">
        <v>-465.70870000000002</v>
      </c>
      <c r="K92">
        <v>1.109461</v>
      </c>
      <c r="L92">
        <v>367.52960000000002</v>
      </c>
      <c r="M92">
        <v>0.99931230000000004</v>
      </c>
      <c r="N92">
        <v>0</v>
      </c>
      <c r="O92">
        <v>3.6844719999999997E-2</v>
      </c>
      <c r="P92">
        <v>0.99983739999999999</v>
      </c>
      <c r="Q92">
        <v>1.689643E-2</v>
      </c>
      <c r="R92">
        <v>6.3144909999999898E-3</v>
      </c>
      <c r="S92">
        <v>3.003387</v>
      </c>
      <c r="T92">
        <v>-0.14590980000000001</v>
      </c>
      <c r="U92">
        <v>-4.1992189999999999E-2</v>
      </c>
      <c r="V92">
        <v>3.0520100000000001E-2</v>
      </c>
      <c r="W92">
        <v>2.1081140000000002E-2</v>
      </c>
      <c r="X92">
        <v>0.99931179999999997</v>
      </c>
      <c r="Y92">
        <v>5.0708959999999997E-2</v>
      </c>
      <c r="Z92">
        <v>-3.0196440000000001E-3</v>
      </c>
      <c r="AA92">
        <v>0.99870890000000001</v>
      </c>
      <c r="AB92">
        <v>20</v>
      </c>
      <c r="AC92">
        <v>22.636900000000001</v>
      </c>
      <c r="AD92">
        <v>-1.1094646836099999</v>
      </c>
      <c r="AE92">
        <v>-0.32699999999999801</v>
      </c>
      <c r="AF92">
        <v>1.1580542654510599</v>
      </c>
      <c r="AG92">
        <v>-1.1094646836099999</v>
      </c>
      <c r="AH92">
        <v>22.555311954321098</v>
      </c>
      <c r="AI92">
        <v>92.812332298155994</v>
      </c>
      <c r="AJ92">
        <v>87.060851514869398</v>
      </c>
      <c r="AK92">
        <v>22.612255502772101</v>
      </c>
      <c r="AL92">
        <v>88.792050146285703</v>
      </c>
      <c r="AM92">
        <v>88.250666581677095</v>
      </c>
      <c r="AN92">
        <v>0.99999998229347398</v>
      </c>
    </row>
    <row r="93" spans="1:40" x14ac:dyDescent="0.25">
      <c r="A93" t="str">
        <f>"20190312154214280"</f>
        <v>20190312154214280</v>
      </c>
      <c r="B93" t="str">
        <f>"1552376534267075"</f>
        <v>1552376534267075</v>
      </c>
      <c r="C93" t="s">
        <v>40</v>
      </c>
      <c r="D93">
        <v>4.887626</v>
      </c>
      <c r="E93">
        <v>0.50849619999999995</v>
      </c>
      <c r="F93" t="s">
        <v>43</v>
      </c>
      <c r="G93">
        <v>-440.59309999999999</v>
      </c>
      <c r="H93" s="1">
        <v>-4.8636539999999997E-6</v>
      </c>
      <c r="I93">
        <v>367.15570000000002</v>
      </c>
      <c r="J93">
        <v>-465.52159999999998</v>
      </c>
      <c r="K93">
        <v>1.1094660000000001</v>
      </c>
      <c r="L93">
        <v>367.5369</v>
      </c>
      <c r="M93">
        <v>0.99930129999999995</v>
      </c>
      <c r="N93">
        <v>0</v>
      </c>
      <c r="O93">
        <v>3.7131860000000003E-2</v>
      </c>
      <c r="P93">
        <v>0.99984969999999995</v>
      </c>
      <c r="Q93">
        <v>1.5757399999999901E-2</v>
      </c>
      <c r="R93">
        <v>7.2184010000000002E-3</v>
      </c>
      <c r="S93">
        <v>3.0030209999999999</v>
      </c>
      <c r="T93">
        <v>-0.13265669999999999</v>
      </c>
      <c r="U93">
        <v>-4.4708249999999998E-2</v>
      </c>
      <c r="V93">
        <v>2.9905640000000001E-2</v>
      </c>
      <c r="W93">
        <v>2.0022310000000001E-2</v>
      </c>
      <c r="X93">
        <v>0.99935220000000002</v>
      </c>
      <c r="Y93">
        <v>5.1917110000000002E-2</v>
      </c>
      <c r="Z93">
        <v>-2.785315E-3</v>
      </c>
      <c r="AA93">
        <v>0.99864750000000002</v>
      </c>
      <c r="AB93">
        <v>20</v>
      </c>
      <c r="AC93">
        <v>24.9284999999999</v>
      </c>
      <c r="AD93">
        <v>-1.1094708636540001</v>
      </c>
      <c r="AE93">
        <v>-0.381199999999978</v>
      </c>
      <c r="AF93">
        <v>1.30400471423632</v>
      </c>
      <c r="AG93">
        <v>-1.1094708636540001</v>
      </c>
      <c r="AH93">
        <v>24.847946391249099</v>
      </c>
      <c r="AI93">
        <v>92.553073050129498</v>
      </c>
      <c r="AJ93">
        <v>86.995909078408104</v>
      </c>
      <c r="AK93">
        <v>24.906862382773902</v>
      </c>
      <c r="AL93">
        <v>88.852729511089095</v>
      </c>
      <c r="AM93">
        <v>88.285933871651295</v>
      </c>
      <c r="AN93">
        <v>1.0000000299231899</v>
      </c>
    </row>
    <row r="94" spans="1:40" x14ac:dyDescent="0.25">
      <c r="A94" t="str">
        <f>"20190312154214303"</f>
        <v>20190312154214303</v>
      </c>
      <c r="B94" t="str">
        <f>"1552376534287568"</f>
        <v>1552376534287568</v>
      </c>
      <c r="C94" t="s">
        <v>40</v>
      </c>
      <c r="D94">
        <v>4.8733950000000004</v>
      </c>
      <c r="E94">
        <v>0.50774750000000002</v>
      </c>
      <c r="F94" t="s">
        <v>42</v>
      </c>
      <c r="G94">
        <v>-437.7876</v>
      </c>
      <c r="H94">
        <v>-0.05</v>
      </c>
      <c r="I94">
        <v>367.15969999999999</v>
      </c>
      <c r="J94">
        <v>-465.31760000000003</v>
      </c>
      <c r="K94">
        <v>1.1094679999999999</v>
      </c>
      <c r="L94">
        <v>367.54480000000001</v>
      </c>
      <c r="M94">
        <v>0.99929020000000002</v>
      </c>
      <c r="N94">
        <v>0</v>
      </c>
      <c r="O94">
        <v>3.7422789999999997E-2</v>
      </c>
      <c r="P94">
        <v>0.99985840000000004</v>
      </c>
      <c r="Q94">
        <v>1.484018E-2</v>
      </c>
      <c r="R94">
        <v>7.9502649999999998E-3</v>
      </c>
      <c r="S94">
        <v>3.0026860000000002</v>
      </c>
      <c r="T94">
        <v>-0.12553230000000001</v>
      </c>
      <c r="U94">
        <v>-4.0832519999999997E-2</v>
      </c>
      <c r="V94">
        <v>2.946648E-2</v>
      </c>
      <c r="W94">
        <v>1.9184670000000001E-2</v>
      </c>
      <c r="X94">
        <v>0.99938170000000004</v>
      </c>
      <c r="Y94">
        <v>5.0930400000000001E-2</v>
      </c>
      <c r="Z94">
        <v>-2.6277079999999999E-3</v>
      </c>
      <c r="AA94">
        <v>0.9986988</v>
      </c>
      <c r="AB94">
        <v>20</v>
      </c>
      <c r="AC94">
        <v>27.53</v>
      </c>
      <c r="AD94">
        <v>-1.1594679999999999</v>
      </c>
      <c r="AE94">
        <v>-0.38510000000002198</v>
      </c>
      <c r="AF94">
        <v>1.4125840928982001</v>
      </c>
      <c r="AG94">
        <v>-1.1594679999999999</v>
      </c>
      <c r="AH94">
        <v>27.4476267051717</v>
      </c>
      <c r="AI94">
        <v>92.415709875671297</v>
      </c>
      <c r="AJ94">
        <v>87.053888644172602</v>
      </c>
      <c r="AK94">
        <v>27.508398201439999</v>
      </c>
      <c r="AL94">
        <v>88.900731998378006</v>
      </c>
      <c r="AM94">
        <v>88.311139823202396</v>
      </c>
      <c r="AN94">
        <v>1.0000000536507401</v>
      </c>
    </row>
    <row r="95" spans="1:40" x14ac:dyDescent="0.25">
      <c r="A95" t="str">
        <f>"20190312154214324"</f>
        <v>20190312154214324</v>
      </c>
      <c r="B95" t="str">
        <f>"1552376534317824"</f>
        <v>1552376534317824</v>
      </c>
      <c r="C95" t="s">
        <v>40</v>
      </c>
      <c r="D95">
        <v>4.8481519999999998</v>
      </c>
      <c r="E95">
        <v>0.50701859999999999</v>
      </c>
      <c r="F95" t="s">
        <v>42</v>
      </c>
      <c r="G95">
        <v>-437.113</v>
      </c>
      <c r="H95">
        <v>-0.05</v>
      </c>
      <c r="I95">
        <v>367.23520000000002</v>
      </c>
      <c r="J95">
        <v>-465.1139</v>
      </c>
      <c r="K95">
        <v>1.109456</v>
      </c>
      <c r="L95">
        <v>367.55270000000002</v>
      </c>
      <c r="M95">
        <v>0.99928019999999995</v>
      </c>
      <c r="N95">
        <v>0</v>
      </c>
      <c r="O95">
        <v>3.767906E-2</v>
      </c>
      <c r="P95">
        <v>0.99985919999999895</v>
      </c>
      <c r="Q95">
        <v>1.4395969999999999E-2</v>
      </c>
      <c r="R95">
        <v>8.6352140000000004E-3</v>
      </c>
      <c r="S95">
        <v>3.0025019999999998</v>
      </c>
      <c r="T95">
        <v>-0.12343079999999999</v>
      </c>
      <c r="U95">
        <v>-3.2958979999999999E-2</v>
      </c>
      <c r="V95">
        <v>2.9039510000000001E-2</v>
      </c>
      <c r="W95">
        <v>1.8812800000000001E-2</v>
      </c>
      <c r="X95">
        <v>0.99940119999999999</v>
      </c>
      <c r="Y95">
        <v>4.8573039999999998E-2</v>
      </c>
      <c r="Z95">
        <v>-2.5460309999999998E-3</v>
      </c>
      <c r="AA95">
        <v>0.99881640000000005</v>
      </c>
      <c r="AB95">
        <v>20</v>
      </c>
      <c r="AC95">
        <v>28.000899999999898</v>
      </c>
      <c r="AD95">
        <v>-1.159456</v>
      </c>
      <c r="AE95">
        <v>-0.31749999999999501</v>
      </c>
      <c r="AF95">
        <v>1.3699836645286501</v>
      </c>
      <c r="AG95">
        <v>-1.159456</v>
      </c>
      <c r="AH95">
        <v>27.921185035056801</v>
      </c>
      <c r="AI95">
        <v>92.375046183623695</v>
      </c>
      <c r="AJ95">
        <v>87.190972320144098</v>
      </c>
      <c r="AK95">
        <v>27.978809253055999</v>
      </c>
      <c r="AL95">
        <v>88.9220423529367</v>
      </c>
      <c r="AM95">
        <v>88.335630038694802</v>
      </c>
      <c r="AN95">
        <v>0.99999998657316003</v>
      </c>
    </row>
    <row r="96" spans="1:40" x14ac:dyDescent="0.25">
      <c r="A96" t="str">
        <f>"20190312154214347"</f>
        <v>20190312154214347</v>
      </c>
      <c r="B96" t="str">
        <f>"1552376534337344"</f>
        <v>1552376534337344</v>
      </c>
      <c r="C96" t="s">
        <v>40</v>
      </c>
      <c r="D96">
        <v>4.8712679999999997</v>
      </c>
      <c r="E96">
        <v>0.50658800000000004</v>
      </c>
      <c r="F96" t="s">
        <v>42</v>
      </c>
      <c r="G96">
        <v>-436.0609</v>
      </c>
      <c r="H96">
        <v>-0.05</v>
      </c>
      <c r="I96">
        <v>367.30579999999998</v>
      </c>
      <c r="J96">
        <v>-464.90589999999997</v>
      </c>
      <c r="K96">
        <v>1.1094299999999999</v>
      </c>
      <c r="L96">
        <v>367.5609</v>
      </c>
      <c r="M96">
        <v>0.99927180000000004</v>
      </c>
      <c r="N96">
        <v>0</v>
      </c>
      <c r="O96">
        <v>3.7893570000000001E-2</v>
      </c>
      <c r="P96">
        <v>0.99987429999999999</v>
      </c>
      <c r="Q96">
        <v>1.307961E-2</v>
      </c>
      <c r="R96">
        <v>8.9696719999999997E-3</v>
      </c>
      <c r="S96">
        <v>3.0024109999999999</v>
      </c>
      <c r="T96">
        <v>-0.119821</v>
      </c>
      <c r="U96">
        <v>-2.5512699999999999E-2</v>
      </c>
      <c r="V96">
        <v>2.8922070000000001E-2</v>
      </c>
      <c r="W96">
        <v>1.7561790000000001E-2</v>
      </c>
      <c r="X96">
        <v>0.99942739999999997</v>
      </c>
      <c r="Y96">
        <v>4.6316549999999998E-2</v>
      </c>
      <c r="Z96">
        <v>-2.435263E-3</v>
      </c>
      <c r="AA96">
        <v>0.99892380000000003</v>
      </c>
      <c r="AB96">
        <v>20</v>
      </c>
      <c r="AC96">
        <v>28.844999999999899</v>
      </c>
      <c r="AD96">
        <v>-1.15943</v>
      </c>
      <c r="AE96">
        <v>-0.25510000000002703</v>
      </c>
      <c r="AF96">
        <v>1.34579354213564</v>
      </c>
      <c r="AG96">
        <v>-1.15943</v>
      </c>
      <c r="AH96">
        <v>28.768140121414199</v>
      </c>
      <c r="AI96">
        <v>92.305399658262104</v>
      </c>
      <c r="AJ96">
        <v>87.321616388985305</v>
      </c>
      <c r="AK96">
        <v>28.822930528110302</v>
      </c>
      <c r="AL96">
        <v>88.993731838171001</v>
      </c>
      <c r="AM96">
        <v>88.342400660694295</v>
      </c>
      <c r="AN96">
        <v>1.0000000152359201</v>
      </c>
    </row>
    <row r="97" spans="1:40" x14ac:dyDescent="0.25">
      <c r="A97" t="str">
        <f>"20190312154214381"</f>
        <v>20190312154214381</v>
      </c>
      <c r="B97" t="str">
        <f>"1552376534367600"</f>
        <v>1552376534367600</v>
      </c>
      <c r="C97" t="s">
        <v>40</v>
      </c>
      <c r="D97">
        <v>4.898644</v>
      </c>
      <c r="E97">
        <v>0.50610690000000003</v>
      </c>
      <c r="F97" t="s">
        <v>42</v>
      </c>
      <c r="G97">
        <v>-436.37529999999998</v>
      </c>
      <c r="H97">
        <v>-0.05</v>
      </c>
      <c r="I97">
        <v>367.35989999999998</v>
      </c>
      <c r="J97">
        <v>-464.59609999999998</v>
      </c>
      <c r="K97">
        <v>1.1093869999999999</v>
      </c>
      <c r="L97">
        <v>367.5729</v>
      </c>
      <c r="M97">
        <v>0.99926380000000004</v>
      </c>
      <c r="N97">
        <v>0</v>
      </c>
      <c r="O97">
        <v>3.809278E-2</v>
      </c>
      <c r="P97">
        <v>0.99988100000000002</v>
      </c>
      <c r="Q97">
        <v>1.2001009999999999E-2</v>
      </c>
      <c r="R97">
        <v>9.685618E-3</v>
      </c>
      <c r="S97">
        <v>3.0021360000000001</v>
      </c>
      <c r="T97">
        <v>-0.12200129999999999</v>
      </c>
      <c r="U97">
        <v>-2.114868E-2</v>
      </c>
      <c r="V97">
        <v>2.840906E-2</v>
      </c>
      <c r="W97">
        <v>1.6567249999999999E-2</v>
      </c>
      <c r="X97">
        <v>0.99945910000000004</v>
      </c>
      <c r="Y97">
        <v>4.5062860000000003E-2</v>
      </c>
      <c r="Z97">
        <v>-2.4623969999999998E-3</v>
      </c>
      <c r="AA97">
        <v>0.99898109999999996</v>
      </c>
      <c r="AB97">
        <v>21</v>
      </c>
      <c r="AC97">
        <v>28.220800000000001</v>
      </c>
      <c r="AD97">
        <v>-1.1593869999999999</v>
      </c>
      <c r="AE97">
        <v>-0.21300000000002201</v>
      </c>
      <c r="AF97">
        <v>1.2856954485632399</v>
      </c>
      <c r="AG97">
        <v>-1.1593869999999999</v>
      </c>
      <c r="AH97">
        <v>28.144703637106499</v>
      </c>
      <c r="AI97">
        <v>92.356441929673096</v>
      </c>
      <c r="AJ97">
        <v>87.384454766515304</v>
      </c>
      <c r="AK97">
        <v>28.197899457633099</v>
      </c>
      <c r="AL97">
        <v>89.050723087693001</v>
      </c>
      <c r="AM97">
        <v>88.371838248089702</v>
      </c>
      <c r="AN97">
        <v>1.00000002051772</v>
      </c>
    </row>
    <row r="98" spans="1:40" x14ac:dyDescent="0.25">
      <c r="A98" t="str">
        <f>"20190312154214403"</f>
        <v>20190312154214403</v>
      </c>
      <c r="B98" t="str">
        <f>"1552376534397855"</f>
        <v>1552376534397855</v>
      </c>
      <c r="C98" t="s">
        <v>40</v>
      </c>
      <c r="D98">
        <v>4.8846629999999998</v>
      </c>
      <c r="E98">
        <v>0.48541309999999899</v>
      </c>
      <c r="F98" t="s">
        <v>42</v>
      </c>
      <c r="G98">
        <v>-435.88679999999999</v>
      </c>
      <c r="H98">
        <v>-0.05</v>
      </c>
      <c r="I98">
        <v>367.42750000000001</v>
      </c>
      <c r="J98">
        <v>-464.38499999999999</v>
      </c>
      <c r="K98">
        <v>1.109359</v>
      </c>
      <c r="L98">
        <v>367.58100000000002</v>
      </c>
      <c r="M98">
        <v>0.99926099999999995</v>
      </c>
      <c r="N98">
        <v>0</v>
      </c>
      <c r="O98">
        <v>3.8160560000000003E-2</v>
      </c>
      <c r="P98">
        <v>0.99987669999999995</v>
      </c>
      <c r="Q98">
        <v>1.185845E-2</v>
      </c>
      <c r="R98">
        <v>1.030268E-2</v>
      </c>
      <c r="S98">
        <v>3.0019230000000001</v>
      </c>
      <c r="T98">
        <v>-0.12122860000000001</v>
      </c>
      <c r="U98">
        <v>-1.5197749999999999E-2</v>
      </c>
      <c r="V98">
        <v>2.786143E-2</v>
      </c>
      <c r="W98">
        <v>1.6476190000000002E-2</v>
      </c>
      <c r="X98">
        <v>0.99947600000000003</v>
      </c>
      <c r="Y98">
        <v>4.3153129999999998E-2</v>
      </c>
      <c r="Z98">
        <v>-2.411177E-3</v>
      </c>
      <c r="AA98">
        <v>0.9990656</v>
      </c>
      <c r="AB98">
        <v>21</v>
      </c>
      <c r="AC98">
        <v>28.498200000000001</v>
      </c>
      <c r="AD98">
        <v>-1.159359</v>
      </c>
      <c r="AE98">
        <v>-0.15349999999995101</v>
      </c>
      <c r="AF98">
        <v>1.2388567413529401</v>
      </c>
      <c r="AG98">
        <v>-1.159359</v>
      </c>
      <c r="AH98">
        <v>28.424542767874001</v>
      </c>
      <c r="AI98">
        <v>92.333430049569102</v>
      </c>
      <c r="AJ98">
        <v>87.504397174630597</v>
      </c>
      <c r="AK98">
        <v>28.475138469885898</v>
      </c>
      <c r="AL98">
        <v>89.055941133511297</v>
      </c>
      <c r="AM98">
        <v>88.403234243611095</v>
      </c>
      <c r="AN98">
        <v>0.99999999934728001</v>
      </c>
    </row>
    <row r="99" spans="1:40" x14ac:dyDescent="0.25">
      <c r="A99" t="str">
        <f>"20190312154214427"</f>
        <v>20190312154214427</v>
      </c>
      <c r="B99" t="str">
        <f>"1552376534417376"</f>
        <v>1552376534417376</v>
      </c>
      <c r="C99" t="s">
        <v>40</v>
      </c>
      <c r="D99">
        <v>4.9477859999999998</v>
      </c>
      <c r="E99">
        <v>0.48373890000000003</v>
      </c>
      <c r="F99" t="s">
        <v>42</v>
      </c>
      <c r="G99">
        <v>-412.03989999999999</v>
      </c>
      <c r="H99">
        <v>-0.05</v>
      </c>
      <c r="I99">
        <v>370.2011</v>
      </c>
      <c r="J99">
        <v>-464.15679999999998</v>
      </c>
      <c r="K99">
        <v>1.109334</v>
      </c>
      <c r="L99">
        <v>367.58980000000003</v>
      </c>
      <c r="M99">
        <v>0.99926000000000004</v>
      </c>
      <c r="N99">
        <v>0</v>
      </c>
      <c r="O99">
        <v>3.8180020000000002E-2</v>
      </c>
      <c r="P99">
        <v>0.99986649999999999</v>
      </c>
      <c r="Q99">
        <v>1.1812029999999999E-2</v>
      </c>
      <c r="R99">
        <v>1.130545E-2</v>
      </c>
      <c r="S99">
        <v>2.9996640000000001</v>
      </c>
      <c r="T99">
        <v>-6.6437720000000006E-2</v>
      </c>
      <c r="U99">
        <v>0.15014649999999999</v>
      </c>
      <c r="V99">
        <v>2.687991E-2</v>
      </c>
      <c r="W99">
        <v>1.6481429999999998E-2</v>
      </c>
      <c r="X99">
        <v>0.99950280000000002</v>
      </c>
      <c r="Y99">
        <v>-1.182914E-2</v>
      </c>
      <c r="Z99">
        <v>-7.1374649999999997E-4</v>
      </c>
      <c r="AA99">
        <v>0.99992979999999998</v>
      </c>
      <c r="AB99">
        <v>21</v>
      </c>
      <c r="AC99">
        <v>52.116900000000001</v>
      </c>
      <c r="AD99">
        <v>-1.1593340000000001</v>
      </c>
      <c r="AE99">
        <v>2.6112999999999702</v>
      </c>
      <c r="AF99">
        <v>-0.61924443155259201</v>
      </c>
      <c r="AG99">
        <v>-1.1593340000000001</v>
      </c>
      <c r="AH99">
        <v>52.1528577159131</v>
      </c>
      <c r="AI99">
        <v>91.273359321963795</v>
      </c>
      <c r="AJ99">
        <v>90.6802776825986</v>
      </c>
      <c r="AK99">
        <v>52.169417161070903</v>
      </c>
      <c r="AL99">
        <v>89.055640870225503</v>
      </c>
      <c r="AM99">
        <v>88.459499798583593</v>
      </c>
      <c r="AN99">
        <v>1.00000000715214</v>
      </c>
    </row>
    <row r="100" spans="1:40" x14ac:dyDescent="0.25">
      <c r="A100" t="str">
        <f>"20190312154214450"</f>
        <v>20190312154214450</v>
      </c>
      <c r="B100" t="str">
        <f>"1552376534437872"</f>
        <v>1552376534437872</v>
      </c>
      <c r="C100" t="s">
        <v>40</v>
      </c>
      <c r="D100">
        <v>4.9779070000000001</v>
      </c>
      <c r="E100">
        <v>0.48236420000000002</v>
      </c>
      <c r="F100" t="s">
        <v>42</v>
      </c>
      <c r="G100">
        <v>-418.8929</v>
      </c>
      <c r="H100">
        <v>-0.05</v>
      </c>
      <c r="I100">
        <v>370.10570000000001</v>
      </c>
      <c r="J100">
        <v>-463.94540000000001</v>
      </c>
      <c r="K100">
        <v>1.109313</v>
      </c>
      <c r="L100">
        <v>367.59780000000001</v>
      </c>
      <c r="M100">
        <v>0.99926130000000002</v>
      </c>
      <c r="N100">
        <v>0</v>
      </c>
      <c r="O100">
        <v>3.8141410000000001E-2</v>
      </c>
      <c r="P100">
        <v>0.99986430000000004</v>
      </c>
      <c r="Q100">
        <v>1.168166E-2</v>
      </c>
      <c r="R100">
        <v>1.163406E-2</v>
      </c>
      <c r="S100">
        <v>2.9994809999999998</v>
      </c>
      <c r="T100">
        <v>-7.682514E-2</v>
      </c>
      <c r="U100">
        <v>0.16671749999999999</v>
      </c>
      <c r="V100">
        <v>2.651382E-2</v>
      </c>
      <c r="W100">
        <v>1.6396089999999999E-2</v>
      </c>
      <c r="X100">
        <v>0.99951400000000001</v>
      </c>
      <c r="Y100">
        <v>-1.7379809999999999E-2</v>
      </c>
      <c r="Z100">
        <v>-7.5320589999999896E-4</v>
      </c>
      <c r="AA100">
        <v>0.99984870000000003</v>
      </c>
      <c r="AB100">
        <v>21</v>
      </c>
      <c r="AC100">
        <v>45.052500000000002</v>
      </c>
      <c r="AD100">
        <v>-1.15931299999999</v>
      </c>
      <c r="AE100">
        <v>2.5078999999999998</v>
      </c>
      <c r="AF100">
        <v>-0.78717061567473101</v>
      </c>
      <c r="AG100">
        <v>-1.15931299999999</v>
      </c>
      <c r="AH100">
        <v>45.085611086865697</v>
      </c>
      <c r="AI100">
        <v>91.472731357618798</v>
      </c>
      <c r="AJ100">
        <v>91.000251986683907</v>
      </c>
      <c r="AK100">
        <v>45.107382669428503</v>
      </c>
      <c r="AL100">
        <v>89.060531169875404</v>
      </c>
      <c r="AM100">
        <v>88.480487702158001</v>
      </c>
      <c r="AN100">
        <v>1.0000000253071399</v>
      </c>
    </row>
    <row r="101" spans="1:40" x14ac:dyDescent="0.25">
      <c r="A101" t="str">
        <f>"20190312154214470"</f>
        <v>20190312154214470</v>
      </c>
      <c r="B101" t="str">
        <f>"1552376534457398"</f>
        <v>1552376534457398</v>
      </c>
      <c r="C101" t="s">
        <v>40</v>
      </c>
      <c r="D101">
        <v>4.9069900000000004</v>
      </c>
      <c r="E101">
        <v>0.48243130000000001</v>
      </c>
      <c r="F101" t="s">
        <v>42</v>
      </c>
      <c r="G101">
        <v>-424.76749999999998</v>
      </c>
      <c r="H101">
        <v>-0.05</v>
      </c>
      <c r="I101">
        <v>369.93770000000001</v>
      </c>
      <c r="J101">
        <v>-463.74930000000001</v>
      </c>
      <c r="K101">
        <v>1.109294</v>
      </c>
      <c r="L101">
        <v>367.6053</v>
      </c>
      <c r="M101">
        <v>0.99926440000000005</v>
      </c>
      <c r="N101">
        <v>0</v>
      </c>
      <c r="O101">
        <v>3.8055510000000001E-2</v>
      </c>
      <c r="P101">
        <v>0.99985869999999999</v>
      </c>
      <c r="Q101">
        <v>1.185976E-2</v>
      </c>
      <c r="R101">
        <v>1.192203E-2</v>
      </c>
      <c r="S101">
        <v>2.9993289999999999</v>
      </c>
      <c r="T101">
        <v>-8.8752869999999998E-2</v>
      </c>
      <c r="U101">
        <v>0.1791382</v>
      </c>
      <c r="V101">
        <v>2.614118E-2</v>
      </c>
      <c r="W101">
        <v>1.661207E-2</v>
      </c>
      <c r="X101">
        <v>0.99952019999999997</v>
      </c>
      <c r="Y101">
        <v>-2.15956E-2</v>
      </c>
      <c r="Z101">
        <v>-8.0517640000000003E-4</v>
      </c>
      <c r="AA101">
        <v>0.9997665</v>
      </c>
      <c r="AB101">
        <v>21</v>
      </c>
      <c r="AC101">
        <v>38.9818</v>
      </c>
      <c r="AD101">
        <v>-1.159294</v>
      </c>
      <c r="AE101">
        <v>2.3323999999999998</v>
      </c>
      <c r="AF101">
        <v>-0.84647553382630802</v>
      </c>
      <c r="AG101">
        <v>-1.159294</v>
      </c>
      <c r="AH101">
        <v>39.007946934499202</v>
      </c>
      <c r="AI101">
        <v>91.701896497779899</v>
      </c>
      <c r="AJ101">
        <v>91.243127844847905</v>
      </c>
      <c r="AK101">
        <v>39.034349071715098</v>
      </c>
      <c r="AL101">
        <v>89.048154695254794</v>
      </c>
      <c r="AM101">
        <v>88.501843261240097</v>
      </c>
      <c r="AN101">
        <v>0.999999976184758</v>
      </c>
    </row>
    <row r="102" spans="1:40" x14ac:dyDescent="0.25">
      <c r="A102" t="str">
        <f>"20190312154214492"</f>
        <v>20190312154214492</v>
      </c>
      <c r="B102" t="str">
        <f>"1552376534487649"</f>
        <v>1552376534487649</v>
      </c>
      <c r="C102" t="s">
        <v>40</v>
      </c>
      <c r="D102">
        <v>4.9493489999999998</v>
      </c>
      <c r="E102">
        <v>0.48193350000000001</v>
      </c>
      <c r="F102" t="s">
        <v>42</v>
      </c>
      <c r="G102">
        <v>-428.21300000000002</v>
      </c>
      <c r="H102">
        <v>-0.05</v>
      </c>
      <c r="I102">
        <v>369.73410000000001</v>
      </c>
      <c r="J102">
        <v>-463.53890000000001</v>
      </c>
      <c r="K102">
        <v>1.1092770000000001</v>
      </c>
      <c r="L102">
        <v>367.61320000000001</v>
      </c>
      <c r="M102">
        <v>0.99926939999999997</v>
      </c>
      <c r="N102">
        <v>0</v>
      </c>
      <c r="O102">
        <v>3.7917979999999997E-2</v>
      </c>
      <c r="P102">
        <v>0.99985840000000004</v>
      </c>
      <c r="Q102">
        <v>1.2152130000000001E-2</v>
      </c>
      <c r="R102">
        <v>1.1648439999999999E-2</v>
      </c>
      <c r="S102">
        <v>2.9994809999999998</v>
      </c>
      <c r="T102">
        <v>-9.7851400000000005E-2</v>
      </c>
      <c r="U102">
        <v>0.1796875</v>
      </c>
      <c r="V102">
        <v>2.627821E-2</v>
      </c>
      <c r="W102">
        <v>1.6942470000000001E-2</v>
      </c>
      <c r="X102">
        <v>0.99951109999999999</v>
      </c>
      <c r="Y102">
        <v>-2.19139E-2</v>
      </c>
      <c r="Z102">
        <v>-8.7796439999999999E-4</v>
      </c>
      <c r="AA102">
        <v>0.99975950000000002</v>
      </c>
      <c r="AB102">
        <v>21</v>
      </c>
      <c r="AC102">
        <v>35.325899999999898</v>
      </c>
      <c r="AD102">
        <v>-1.1592769999999999</v>
      </c>
      <c r="AE102">
        <v>2.1208999999999998</v>
      </c>
      <c r="AF102">
        <v>-0.77903667199484805</v>
      </c>
      <c r="AG102">
        <v>-1.1592769999999999</v>
      </c>
      <c r="AH102">
        <v>35.342990865522701</v>
      </c>
      <c r="AI102">
        <v>91.878215730557301</v>
      </c>
      <c r="AJ102">
        <v>91.262719582213705</v>
      </c>
      <c r="AK102">
        <v>35.370578516889701</v>
      </c>
      <c r="AL102">
        <v>89.029221542344303</v>
      </c>
      <c r="AM102">
        <v>88.493979944159705</v>
      </c>
      <c r="AN102">
        <v>1.00000001531685</v>
      </c>
    </row>
    <row r="103" spans="1:40" x14ac:dyDescent="0.25">
      <c r="A103" t="str">
        <f>"20190312154214514"</f>
        <v>20190312154214514</v>
      </c>
      <c r="B103" t="str">
        <f>"1552376534507168"</f>
        <v>1552376534507168</v>
      </c>
      <c r="C103" t="s">
        <v>40</v>
      </c>
      <c r="D103">
        <v>5.002948</v>
      </c>
      <c r="E103">
        <v>0.4817979</v>
      </c>
      <c r="F103" t="s">
        <v>42</v>
      </c>
      <c r="G103">
        <v>-433.10230000000001</v>
      </c>
      <c r="H103">
        <v>-0.05</v>
      </c>
      <c r="I103">
        <v>369.4742</v>
      </c>
      <c r="J103">
        <v>-463.31830000000002</v>
      </c>
      <c r="K103">
        <v>1.109259</v>
      </c>
      <c r="L103">
        <v>367.62139999999999</v>
      </c>
      <c r="M103">
        <v>0.99927639999999995</v>
      </c>
      <c r="N103">
        <v>0</v>
      </c>
      <c r="O103">
        <v>3.7729899999999997E-2</v>
      </c>
      <c r="P103">
        <v>0.99986160000000002</v>
      </c>
      <c r="Q103">
        <v>1.2226819999999999E-2</v>
      </c>
      <c r="R103">
        <v>1.1295670000000001E-2</v>
      </c>
      <c r="S103">
        <v>2.9996640000000001</v>
      </c>
      <c r="T103">
        <v>-0.1142521</v>
      </c>
      <c r="U103">
        <v>0.18341060000000001</v>
      </c>
      <c r="V103">
        <v>2.644374E-2</v>
      </c>
      <c r="W103">
        <v>1.7054509999999998E-2</v>
      </c>
      <c r="X103">
        <v>0.99950479999999997</v>
      </c>
      <c r="Y103">
        <v>-2.333667E-2</v>
      </c>
      <c r="Z103">
        <v>-9.9070389999999999E-4</v>
      </c>
      <c r="AA103">
        <v>0.99972720000000004</v>
      </c>
      <c r="AB103">
        <v>21</v>
      </c>
      <c r="AC103">
        <v>30.216000000000001</v>
      </c>
      <c r="AD103">
        <v>-1.159259</v>
      </c>
      <c r="AE103">
        <v>1.8528</v>
      </c>
      <c r="AF103">
        <v>-0.71037917225658498</v>
      </c>
      <c r="AG103">
        <v>-1.159259</v>
      </c>
      <c r="AH103">
        <v>30.220076488027502</v>
      </c>
      <c r="AI103">
        <v>92.196214831298093</v>
      </c>
      <c r="AJ103">
        <v>91.346595996829507</v>
      </c>
      <c r="AK103">
        <v>30.250645330962598</v>
      </c>
      <c r="AL103">
        <v>89.022801167458496</v>
      </c>
      <c r="AM103">
        <v>88.484488182427299</v>
      </c>
      <c r="AN103">
        <v>0.99999998645978305</v>
      </c>
    </row>
    <row r="104" spans="1:40" x14ac:dyDescent="0.25">
      <c r="A104" t="str">
        <f>"20190312154214548"</f>
        <v>20190312154214548</v>
      </c>
      <c r="B104" t="str">
        <f>"1552376534537235"</f>
        <v>1552376534537235</v>
      </c>
      <c r="C104" t="s">
        <v>40</v>
      </c>
      <c r="D104">
        <v>5.0056799999999999</v>
      </c>
      <c r="E104">
        <v>0.48148750000000001</v>
      </c>
      <c r="F104" t="s">
        <v>42</v>
      </c>
      <c r="G104">
        <v>-434.62580000000003</v>
      </c>
      <c r="H104">
        <v>-0.05</v>
      </c>
      <c r="I104">
        <v>369.3777</v>
      </c>
      <c r="J104">
        <v>-462.99349999999998</v>
      </c>
      <c r="K104">
        <v>1.1092340000000001</v>
      </c>
      <c r="L104">
        <v>367.63319999999999</v>
      </c>
      <c r="M104">
        <v>0.99928890000000004</v>
      </c>
      <c r="N104">
        <v>0</v>
      </c>
      <c r="O104">
        <v>3.7383800000000002E-2</v>
      </c>
      <c r="P104">
        <v>0.99987210000000004</v>
      </c>
      <c r="Q104">
        <v>1.2720179999999999E-2</v>
      </c>
      <c r="R104">
        <v>9.6935219999999996E-3</v>
      </c>
      <c r="S104">
        <v>2.9998469999999999</v>
      </c>
      <c r="T104">
        <v>-0.1212022</v>
      </c>
      <c r="U104">
        <v>0.18362429999999999</v>
      </c>
      <c r="V104">
        <v>2.7700829999999999E-2</v>
      </c>
      <c r="W104">
        <v>1.759898E-2</v>
      </c>
      <c r="X104">
        <v>0.99946140000000006</v>
      </c>
      <c r="Y104">
        <v>-2.3750799999999999E-2</v>
      </c>
      <c r="Z104">
        <v>-1.0285520000000001E-3</v>
      </c>
      <c r="AA104">
        <v>0.99971739999999998</v>
      </c>
      <c r="AB104">
        <v>22</v>
      </c>
      <c r="AC104">
        <v>28.3676999999999</v>
      </c>
      <c r="AD104">
        <v>-1.1592340000000001</v>
      </c>
      <c r="AE104">
        <v>1.7445000000000099</v>
      </c>
      <c r="AF104">
        <v>-0.68164131240363701</v>
      </c>
      <c r="AG104">
        <v>-1.1592340000000001</v>
      </c>
      <c r="AH104">
        <v>28.3658966670334</v>
      </c>
      <c r="AI104">
        <v>92.339539640797398</v>
      </c>
      <c r="AJ104">
        <v>91.3765704592048</v>
      </c>
      <c r="AK104">
        <v>28.397756109776498</v>
      </c>
      <c r="AL104">
        <v>88.991600739157093</v>
      </c>
      <c r="AM104">
        <v>88.412410483433106</v>
      </c>
      <c r="AN104">
        <v>1.0000000750848399</v>
      </c>
    </row>
    <row r="105" spans="1:40" x14ac:dyDescent="0.25">
      <c r="A105" t="str">
        <f>"20190312154214569"</f>
        <v>20190312154214569</v>
      </c>
      <c r="B105" t="str">
        <f>"1552376534557728"</f>
        <v>1552376534557728</v>
      </c>
      <c r="C105" t="s">
        <v>40</v>
      </c>
      <c r="D105">
        <v>5.0078670000000001</v>
      </c>
      <c r="E105">
        <v>0.48128700000000002</v>
      </c>
      <c r="F105" t="s">
        <v>42</v>
      </c>
      <c r="G105">
        <v>-435.41149999999999</v>
      </c>
      <c r="H105">
        <v>-0.05</v>
      </c>
      <c r="I105">
        <v>369.30399999999997</v>
      </c>
      <c r="J105">
        <v>-462.78320000000002</v>
      </c>
      <c r="K105">
        <v>1.1092249999999999</v>
      </c>
      <c r="L105">
        <v>367.64080000000001</v>
      </c>
      <c r="M105">
        <v>0.99929889999999999</v>
      </c>
      <c r="N105">
        <v>0</v>
      </c>
      <c r="O105">
        <v>3.7117270000000001E-2</v>
      </c>
      <c r="P105">
        <v>0.99987420000000005</v>
      </c>
      <c r="Q105">
        <v>1.3565270000000001E-2</v>
      </c>
      <c r="R105">
        <v>8.2499099999999992E-3</v>
      </c>
      <c r="S105">
        <v>3.0002140000000002</v>
      </c>
      <c r="T105">
        <v>-0.12609480000000001</v>
      </c>
      <c r="U105">
        <v>0.18173220000000001</v>
      </c>
      <c r="V105">
        <v>2.887808E-2</v>
      </c>
      <c r="W105">
        <v>1.8474310000000001E-2</v>
      </c>
      <c r="X105">
        <v>0.99941219999999997</v>
      </c>
      <c r="Y105">
        <v>-2.3382859999999998E-2</v>
      </c>
      <c r="Z105">
        <v>-1.066478E-3</v>
      </c>
      <c r="AA105">
        <v>0.999726</v>
      </c>
      <c r="AB105">
        <v>22</v>
      </c>
      <c r="AC105">
        <v>27.371700000000001</v>
      </c>
      <c r="AD105">
        <v>-1.1592249999999999</v>
      </c>
      <c r="AE105">
        <v>1.66320000000001</v>
      </c>
      <c r="AF105">
        <v>-0.64492640799626499</v>
      </c>
      <c r="AG105">
        <v>-1.1592249999999999</v>
      </c>
      <c r="AH105">
        <v>27.3656691306605</v>
      </c>
      <c r="AI105">
        <v>92.424958473335295</v>
      </c>
      <c r="AJ105">
        <v>91.350039071770993</v>
      </c>
      <c r="AK105">
        <v>27.397802460072299</v>
      </c>
      <c r="AL105">
        <v>88.941439781556497</v>
      </c>
      <c r="AM105">
        <v>88.344895281094495</v>
      </c>
      <c r="AN105">
        <v>0.99999999457165101</v>
      </c>
    </row>
    <row r="106" spans="1:40" x14ac:dyDescent="0.25">
      <c r="A106" t="str">
        <f>"20190312154214591"</f>
        <v>20190312154214591</v>
      </c>
      <c r="B106" t="str">
        <f>"1552376534587008"</f>
        <v>1552376534587008</v>
      </c>
      <c r="C106" t="s">
        <v>40</v>
      </c>
      <c r="D106">
        <v>4.9959769999999999</v>
      </c>
      <c r="E106">
        <v>0.48107490000000003</v>
      </c>
      <c r="F106" t="s">
        <v>42</v>
      </c>
      <c r="G106">
        <v>-434.22919999999999</v>
      </c>
      <c r="H106">
        <v>-0.05</v>
      </c>
      <c r="I106">
        <v>369.34519999999998</v>
      </c>
      <c r="J106">
        <v>-462.56319999999999</v>
      </c>
      <c r="K106">
        <v>1.1092139999999999</v>
      </c>
      <c r="L106">
        <v>367.64859999999999</v>
      </c>
      <c r="M106">
        <v>0.99930980000000003</v>
      </c>
      <c r="N106">
        <v>0</v>
      </c>
      <c r="O106">
        <v>3.6817320000000001E-2</v>
      </c>
      <c r="P106">
        <v>0.99988650000000001</v>
      </c>
      <c r="Q106">
        <v>1.3562029999999999E-2</v>
      </c>
      <c r="R106">
        <v>6.5964719999999999E-3</v>
      </c>
      <c r="S106">
        <v>3.0005190000000002</v>
      </c>
      <c r="T106">
        <v>-0.1218137</v>
      </c>
      <c r="U106">
        <v>0.17910770000000001</v>
      </c>
      <c r="V106">
        <v>3.0231609999999999E-2</v>
      </c>
      <c r="W106">
        <v>1.8501480000000001E-2</v>
      </c>
      <c r="X106">
        <v>0.99937160000000003</v>
      </c>
      <c r="Y106">
        <v>-2.2804899999999999E-2</v>
      </c>
      <c r="Z106">
        <v>-1.0297959999999999E-3</v>
      </c>
      <c r="AA106">
        <v>0.99973939999999994</v>
      </c>
      <c r="AB106">
        <v>22</v>
      </c>
      <c r="AC106">
        <v>28.334</v>
      </c>
      <c r="AD106">
        <v>-1.159214</v>
      </c>
      <c r="AE106">
        <v>1.6965999999999799</v>
      </c>
      <c r="AF106">
        <v>-0.65116896970858396</v>
      </c>
      <c r="AG106">
        <v>-1.159214</v>
      </c>
      <c r="AH106">
        <v>28.330004254746701</v>
      </c>
      <c r="AI106">
        <v>92.342517485831195</v>
      </c>
      <c r="AJ106">
        <v>91.316719372872598</v>
      </c>
      <c r="AK106">
        <v>28.361187196569801</v>
      </c>
      <c r="AL106">
        <v>88.939882715284298</v>
      </c>
      <c r="AM106">
        <v>88.267295579286596</v>
      </c>
      <c r="AN106">
        <v>0.99999992494596801</v>
      </c>
    </row>
    <row r="107" spans="1:40" x14ac:dyDescent="0.25">
      <c r="A107" t="str">
        <f>"20190312154214616"</f>
        <v>20190312154214616</v>
      </c>
      <c r="B107" t="str">
        <f>"1552376534607504"</f>
        <v>1552376534607504</v>
      </c>
      <c r="C107" t="s">
        <v>40</v>
      </c>
      <c r="D107">
        <v>4.9262189999999997</v>
      </c>
      <c r="E107">
        <v>0.48126010000000002</v>
      </c>
      <c r="F107" t="s">
        <v>42</v>
      </c>
      <c r="G107">
        <v>-434.26130000000001</v>
      </c>
      <c r="H107">
        <v>-0.05</v>
      </c>
      <c r="I107">
        <v>369.31229999999999</v>
      </c>
      <c r="J107">
        <v>-462.32569999999998</v>
      </c>
      <c r="K107">
        <v>1.1092139999999999</v>
      </c>
      <c r="L107">
        <v>367.65699999999998</v>
      </c>
      <c r="M107">
        <v>0.99932200000000004</v>
      </c>
      <c r="N107">
        <v>0</v>
      </c>
      <c r="O107">
        <v>3.6478259999999998E-2</v>
      </c>
      <c r="P107">
        <v>0.99989709999999998</v>
      </c>
      <c r="Q107">
        <v>1.350261E-2</v>
      </c>
      <c r="R107">
        <v>4.8197550000000002E-3</v>
      </c>
      <c r="S107">
        <v>3.0008240000000002</v>
      </c>
      <c r="T107">
        <v>-0.1229103</v>
      </c>
      <c r="U107">
        <v>0.17639160000000001</v>
      </c>
      <c r="V107">
        <v>3.1668849999999998E-2</v>
      </c>
      <c r="W107">
        <v>1.847526E-2</v>
      </c>
      <c r="X107">
        <v>0.99932770000000004</v>
      </c>
      <c r="Y107">
        <v>-2.2236740000000001E-2</v>
      </c>
      <c r="Z107">
        <v>-1.0367530000000001E-3</v>
      </c>
      <c r="AA107">
        <v>0.99975219999999998</v>
      </c>
      <c r="AB107">
        <v>22</v>
      </c>
      <c r="AC107">
        <v>28.0643999999999</v>
      </c>
      <c r="AD107">
        <v>-1.159214</v>
      </c>
      <c r="AE107">
        <v>1.65530000000001</v>
      </c>
      <c r="AF107">
        <v>-0.62937498673191805</v>
      </c>
      <c r="AG107">
        <v>-1.159214</v>
      </c>
      <c r="AH107">
        <v>28.058398690272799</v>
      </c>
      <c r="AI107">
        <v>92.365197167556204</v>
      </c>
      <c r="AJ107">
        <v>91.2849801159945</v>
      </c>
      <c r="AK107">
        <v>28.089386376957801</v>
      </c>
      <c r="AL107">
        <v>88.941385401694305</v>
      </c>
      <c r="AM107">
        <v>88.184895302994903</v>
      </c>
      <c r="AN107">
        <v>1.00000005163983</v>
      </c>
    </row>
    <row r="108" spans="1:40" x14ac:dyDescent="0.25">
      <c r="A108" t="str">
        <f>"20190312154214639"</f>
        <v>20190312154214639</v>
      </c>
      <c r="B108" t="str">
        <f>"1552376534627025"</f>
        <v>1552376534627025</v>
      </c>
      <c r="C108" t="s">
        <v>40</v>
      </c>
      <c r="D108">
        <v>4.9377459999999997</v>
      </c>
      <c r="E108">
        <v>0.4811588</v>
      </c>
      <c r="F108" t="s">
        <v>42</v>
      </c>
      <c r="G108">
        <v>-433.53680000000003</v>
      </c>
      <c r="H108">
        <v>-0.05</v>
      </c>
      <c r="I108">
        <v>369.28140000000002</v>
      </c>
      <c r="J108">
        <v>-462.09460000000001</v>
      </c>
      <c r="K108">
        <v>1.109216</v>
      </c>
      <c r="L108">
        <v>367.66500000000002</v>
      </c>
      <c r="M108">
        <v>0.99933399999999994</v>
      </c>
      <c r="N108">
        <v>0</v>
      </c>
      <c r="O108">
        <v>3.6141569999999998E-2</v>
      </c>
      <c r="P108">
        <v>0.99990029999999996</v>
      </c>
      <c r="Q108">
        <v>1.357148E-2</v>
      </c>
      <c r="R108">
        <v>3.9270629999999997E-3</v>
      </c>
      <c r="S108">
        <v>3.00116</v>
      </c>
      <c r="T108">
        <v>-0.12084499999999999</v>
      </c>
      <c r="U108">
        <v>0.16934199999999999</v>
      </c>
      <c r="V108">
        <v>3.2224330000000002E-2</v>
      </c>
      <c r="W108">
        <v>1.8580619999999999E-2</v>
      </c>
      <c r="X108">
        <v>0.99930790000000003</v>
      </c>
      <c r="Y108">
        <v>-2.022734E-2</v>
      </c>
      <c r="Z108">
        <v>-1.046197E-3</v>
      </c>
      <c r="AA108">
        <v>0.99979479999999998</v>
      </c>
      <c r="AB108">
        <v>22</v>
      </c>
      <c r="AC108">
        <v>28.557799999999901</v>
      </c>
      <c r="AD108">
        <v>-1.159216</v>
      </c>
      <c r="AE108">
        <v>1.6163999999999901</v>
      </c>
      <c r="AF108">
        <v>-0.58225082672183903</v>
      </c>
      <c r="AG108">
        <v>-1.159216</v>
      </c>
      <c r="AH108">
        <v>28.550669293154598</v>
      </c>
      <c r="AI108">
        <v>92.324566815889796</v>
      </c>
      <c r="AJ108">
        <v>91.168305055641497</v>
      </c>
      <c r="AK108">
        <v>28.580124472208901</v>
      </c>
      <c r="AL108">
        <v>88.935347587814704</v>
      </c>
      <c r="AM108">
        <v>88.1530431779167</v>
      </c>
      <c r="AN108">
        <v>0.99999996294297</v>
      </c>
    </row>
    <row r="109" spans="1:40" x14ac:dyDescent="0.25">
      <c r="A109" t="str">
        <f>"20190312154214660"</f>
        <v>20190312154214660</v>
      </c>
      <c r="B109" t="str">
        <f>"1552376534647520"</f>
        <v>1552376534647520</v>
      </c>
      <c r="C109" t="s">
        <v>40</v>
      </c>
      <c r="D109">
        <v>4.941001</v>
      </c>
      <c r="E109">
        <v>0.48097990000000002</v>
      </c>
      <c r="F109" t="s">
        <v>42</v>
      </c>
      <c r="G109">
        <v>-433.53739999999999</v>
      </c>
      <c r="H109">
        <v>-0.05</v>
      </c>
      <c r="I109">
        <v>369.25659999999999</v>
      </c>
      <c r="J109">
        <v>-461.8854</v>
      </c>
      <c r="K109">
        <v>1.1092249999999999</v>
      </c>
      <c r="L109">
        <v>367.67230000000001</v>
      </c>
      <c r="M109">
        <v>0.99934489999999998</v>
      </c>
      <c r="N109">
        <v>0</v>
      </c>
      <c r="O109">
        <v>3.5836069999999998E-2</v>
      </c>
      <c r="P109">
        <v>0.99990769999999995</v>
      </c>
      <c r="Q109">
        <v>1.315348E-2</v>
      </c>
      <c r="R109">
        <v>3.4338379999999998E-3</v>
      </c>
      <c r="S109">
        <v>3.0012509999999999</v>
      </c>
      <c r="T109">
        <v>-0.121829199999999</v>
      </c>
      <c r="U109">
        <v>0.16726679999999999</v>
      </c>
      <c r="V109">
        <v>3.2411629999999997E-2</v>
      </c>
      <c r="W109">
        <v>1.8198740000000001E-2</v>
      </c>
      <c r="X109">
        <v>0.99930890000000006</v>
      </c>
      <c r="Y109">
        <v>-1.9842390000000001E-2</v>
      </c>
      <c r="Z109">
        <v>-1.050133E-3</v>
      </c>
      <c r="AA109">
        <v>0.99980259999999999</v>
      </c>
      <c r="AB109">
        <v>22</v>
      </c>
      <c r="AC109">
        <v>28.347999999999999</v>
      </c>
      <c r="AD109">
        <v>-1.1592249999999999</v>
      </c>
      <c r="AE109">
        <v>1.5842999999999801</v>
      </c>
      <c r="AF109">
        <v>-0.56644419636195997</v>
      </c>
      <c r="AG109">
        <v>-1.1592249999999999</v>
      </c>
      <c r="AH109">
        <v>28.339325181134502</v>
      </c>
      <c r="AI109">
        <v>92.341920652553895</v>
      </c>
      <c r="AJ109">
        <v>91.145071045975499</v>
      </c>
      <c r="AK109">
        <v>28.368680148189899</v>
      </c>
      <c r="AL109">
        <v>88.957231432783601</v>
      </c>
      <c r="AM109">
        <v>88.142317323800896</v>
      </c>
      <c r="AN109">
        <v>0.99999999275802698</v>
      </c>
    </row>
    <row r="110" spans="1:40" x14ac:dyDescent="0.25">
      <c r="A110" t="str">
        <f>"20190312154214681"</f>
        <v>20190312154214681</v>
      </c>
      <c r="B110" t="str">
        <f>"1552376534667041"</f>
        <v>1552376534667041</v>
      </c>
      <c r="C110" t="s">
        <v>40</v>
      </c>
      <c r="D110">
        <v>4.9126649999999996</v>
      </c>
      <c r="E110">
        <v>0.48080319999999999</v>
      </c>
      <c r="F110" t="s">
        <v>42</v>
      </c>
      <c r="G110">
        <v>-433.61739999999998</v>
      </c>
      <c r="H110">
        <v>-0.05</v>
      </c>
      <c r="I110">
        <v>369.25</v>
      </c>
      <c r="J110">
        <v>-461.6671</v>
      </c>
      <c r="K110">
        <v>1.1092360000000001</v>
      </c>
      <c r="L110">
        <v>367.67970000000003</v>
      </c>
      <c r="M110">
        <v>0.99935609999999997</v>
      </c>
      <c r="N110">
        <v>0</v>
      </c>
      <c r="O110">
        <v>3.5519130000000003E-2</v>
      </c>
      <c r="P110">
        <v>0.99990210000000002</v>
      </c>
      <c r="Q110">
        <v>1.353765E-2</v>
      </c>
      <c r="R110">
        <v>3.6033189999999998E-3</v>
      </c>
      <c r="S110">
        <v>3.001312</v>
      </c>
      <c r="T110">
        <v>-0.1230788</v>
      </c>
      <c r="U110">
        <v>0.16751099999999999</v>
      </c>
      <c r="V110">
        <v>3.1925149999999999E-2</v>
      </c>
      <c r="W110">
        <v>1.862401E-2</v>
      </c>
      <c r="X110">
        <v>0.99931680000000001</v>
      </c>
      <c r="Y110">
        <v>-2.0239090000000001E-2</v>
      </c>
      <c r="Z110">
        <v>-1.0397780000000001E-3</v>
      </c>
      <c r="AA110">
        <v>0.99979459999999998</v>
      </c>
      <c r="AB110">
        <v>22</v>
      </c>
      <c r="AC110">
        <v>28.049700000000001</v>
      </c>
      <c r="AD110">
        <v>-1.1592359999999999</v>
      </c>
      <c r="AE110">
        <v>1.5702999999999701</v>
      </c>
      <c r="AF110">
        <v>-0.57202136938922798</v>
      </c>
      <c r="AG110">
        <v>-1.1592359999999999</v>
      </c>
      <c r="AH110">
        <v>28.040033812892499</v>
      </c>
      <c r="AI110">
        <v>92.366892130695902</v>
      </c>
      <c r="AJ110">
        <v>91.168681360026895</v>
      </c>
      <c r="AK110">
        <v>28.069815332112299</v>
      </c>
      <c r="AL110">
        <v>88.932861205561593</v>
      </c>
      <c r="AM110">
        <v>88.170195432863693</v>
      </c>
      <c r="AN110">
        <v>1.0000000678566101</v>
      </c>
    </row>
    <row r="111" spans="1:40" x14ac:dyDescent="0.25">
      <c r="A111" t="str">
        <f>"20190312154214705"</f>
        <v>20190312154214705</v>
      </c>
      <c r="B111" t="str">
        <f>"1552376534697297"</f>
        <v>1552376534697297</v>
      </c>
      <c r="C111" t="s">
        <v>40</v>
      </c>
      <c r="D111">
        <v>4.8782959999999997</v>
      </c>
      <c r="E111">
        <v>0.48086960000000001</v>
      </c>
      <c r="F111" t="s">
        <v>42</v>
      </c>
      <c r="G111">
        <v>-433.1343</v>
      </c>
      <c r="H111">
        <v>-0.05</v>
      </c>
      <c r="I111">
        <v>369.28719999999998</v>
      </c>
      <c r="J111">
        <v>-461.42950000000002</v>
      </c>
      <c r="K111">
        <v>1.109251</v>
      </c>
      <c r="L111">
        <v>367.68779999999998</v>
      </c>
      <c r="M111">
        <v>0.99936780000000003</v>
      </c>
      <c r="N111">
        <v>0</v>
      </c>
      <c r="O111">
        <v>3.51794E-2</v>
      </c>
      <c r="P111">
        <v>0.99990120000000005</v>
      </c>
      <c r="Q111">
        <v>1.358175E-2</v>
      </c>
      <c r="R111">
        <v>3.6199399999999999E-3</v>
      </c>
      <c r="S111">
        <v>3.001404</v>
      </c>
      <c r="T111">
        <v>-0.1219418</v>
      </c>
      <c r="U111">
        <v>0.1690979</v>
      </c>
      <c r="V111">
        <v>3.1568859999999997E-2</v>
      </c>
      <c r="W111">
        <v>1.871602E-2</v>
      </c>
      <c r="X111">
        <v>0.9993263</v>
      </c>
      <c r="Y111">
        <v>-2.1102989999999999E-2</v>
      </c>
      <c r="Z111">
        <v>-9.9882950000000008E-4</v>
      </c>
      <c r="AA111">
        <v>0.99977680000000002</v>
      </c>
      <c r="AB111">
        <v>22</v>
      </c>
      <c r="AC111">
        <v>28.295200000000001</v>
      </c>
      <c r="AD111">
        <v>-1.159251</v>
      </c>
      <c r="AE111">
        <v>1.5993999999999999</v>
      </c>
      <c r="AF111">
        <v>-0.60198143658704895</v>
      </c>
      <c r="AG111">
        <v>-1.159251</v>
      </c>
      <c r="AH111">
        <v>28.286623102889202</v>
      </c>
      <c r="AI111">
        <v>92.346269151966496</v>
      </c>
      <c r="AJ111">
        <v>91.219155426933</v>
      </c>
      <c r="AK111">
        <v>28.316766960511298</v>
      </c>
      <c r="AL111">
        <v>88.927588395219104</v>
      </c>
      <c r="AM111">
        <v>88.190619895621495</v>
      </c>
      <c r="AN111">
        <v>0.99999996809901404</v>
      </c>
    </row>
    <row r="112" spans="1:40" x14ac:dyDescent="0.25">
      <c r="A112" t="str">
        <f>"20190312154214727"</f>
        <v>20190312154214727</v>
      </c>
      <c r="B112" t="str">
        <f>"1552376534717796"</f>
        <v>1552376534717796</v>
      </c>
      <c r="C112" t="s">
        <v>40</v>
      </c>
      <c r="D112">
        <v>4.8079689999999999</v>
      </c>
      <c r="E112">
        <v>0.49933699999999998</v>
      </c>
      <c r="F112" t="s">
        <v>42</v>
      </c>
      <c r="G112">
        <v>-432.4631</v>
      </c>
      <c r="H112">
        <v>-0.05</v>
      </c>
      <c r="I112">
        <v>369.31779999999998</v>
      </c>
      <c r="J112">
        <v>-461.20049999999998</v>
      </c>
      <c r="K112">
        <v>1.109251</v>
      </c>
      <c r="L112">
        <v>367.69549999999998</v>
      </c>
      <c r="M112">
        <v>0.99937869999999995</v>
      </c>
      <c r="N112">
        <v>0</v>
      </c>
      <c r="O112">
        <v>3.4857350000000002E-2</v>
      </c>
      <c r="P112">
        <v>0.99990239999999997</v>
      </c>
      <c r="Q112">
        <v>1.351159E-2</v>
      </c>
      <c r="R112">
        <v>3.5920370000000002E-3</v>
      </c>
      <c r="S112">
        <v>3.0012819999999998</v>
      </c>
      <c r="T112">
        <v>-0.12011280000000001</v>
      </c>
      <c r="U112">
        <v>0.16888429999999999</v>
      </c>
      <c r="V112">
        <v>3.1274349999999999E-2</v>
      </c>
      <c r="W112">
        <v>1.869552E-2</v>
      </c>
      <c r="X112">
        <v>0.999336</v>
      </c>
      <c r="Y112">
        <v>-2.1355699999999998E-2</v>
      </c>
      <c r="Z112">
        <v>-9.6599109999999995E-4</v>
      </c>
      <c r="AA112">
        <v>0.99977150000000004</v>
      </c>
      <c r="AB112">
        <v>23</v>
      </c>
      <c r="AC112">
        <v>28.737399999999901</v>
      </c>
      <c r="AD112">
        <v>-1.159251</v>
      </c>
      <c r="AE112">
        <v>1.6222999999999901</v>
      </c>
      <c r="AF112">
        <v>-0.61858746318050495</v>
      </c>
      <c r="AG112">
        <v>-1.159251</v>
      </c>
      <c r="AH112">
        <v>28.7298827942458</v>
      </c>
      <c r="AI112">
        <v>92.310096879700495</v>
      </c>
      <c r="AJ112">
        <v>91.233453535084706</v>
      </c>
      <c r="AK112">
        <v>28.759914441835601</v>
      </c>
      <c r="AL112">
        <v>88.928763224351897</v>
      </c>
      <c r="AM112">
        <v>88.207506161486194</v>
      </c>
      <c r="AN112">
        <v>1.0000000241659901</v>
      </c>
    </row>
    <row r="113" spans="1:40" x14ac:dyDescent="0.25">
      <c r="A113" t="str">
        <f>"20190312154214748"</f>
        <v>20190312154214748</v>
      </c>
      <c r="B113" t="str">
        <f>"1552376534737819"</f>
        <v>1552376534737819</v>
      </c>
      <c r="C113" t="s">
        <v>40</v>
      </c>
      <c r="D113">
        <v>4.8106119999999999</v>
      </c>
      <c r="E113">
        <v>0.5071793</v>
      </c>
      <c r="F113" t="s">
        <v>41</v>
      </c>
      <c r="G113">
        <v>-460.47089999999997</v>
      </c>
      <c r="H113">
        <v>1.032813</v>
      </c>
      <c r="I113">
        <v>367.70190000000002</v>
      </c>
      <c r="J113">
        <v>-460.98439999999999</v>
      </c>
      <c r="K113">
        <v>1.109262</v>
      </c>
      <c r="L113">
        <v>367.70280000000002</v>
      </c>
      <c r="M113">
        <v>0.99938879999999997</v>
      </c>
      <c r="N113">
        <v>0</v>
      </c>
      <c r="O113">
        <v>3.4559920000000001E-2</v>
      </c>
      <c r="P113">
        <v>0.99990310000000004</v>
      </c>
      <c r="Q113">
        <v>1.3392909999999999E-2</v>
      </c>
      <c r="R113">
        <v>3.8082670000000002E-3</v>
      </c>
      <c r="S113">
        <v>3.0044559999999998</v>
      </c>
      <c r="T113">
        <v>-0.3150136</v>
      </c>
      <c r="U113">
        <v>2.7740480000000001E-2</v>
      </c>
      <c r="V113">
        <v>3.076081E-2</v>
      </c>
      <c r="W113">
        <v>1.8623049999999999E-2</v>
      </c>
      <c r="X113">
        <v>0.9993533</v>
      </c>
      <c r="Y113">
        <v>2.5005320000000001E-2</v>
      </c>
      <c r="Z113">
        <v>-4.9202300000000003E-3</v>
      </c>
      <c r="AA113">
        <v>0.99967519999999999</v>
      </c>
      <c r="AB113">
        <v>23</v>
      </c>
      <c r="AC113">
        <v>0.51350000000002105</v>
      </c>
      <c r="AD113">
        <v>-7.6448999999999906E-2</v>
      </c>
      <c r="AE113">
        <v>-9.0000000000145497E-4</v>
      </c>
      <c r="AF113">
        <v>1.8241900698132599E-2</v>
      </c>
      <c r="AG113">
        <v>-7.6448999999999906E-2</v>
      </c>
      <c r="AH113">
        <v>0.50203469991962602</v>
      </c>
      <c r="AI113">
        <v>98.6527645816834</v>
      </c>
      <c r="AJ113">
        <v>87.919019743081805</v>
      </c>
      <c r="AK113">
        <v>0.50814963983601202</v>
      </c>
      <c r="AL113">
        <v>88.932916180590993</v>
      </c>
      <c r="AM113">
        <v>88.236951550099207</v>
      </c>
      <c r="AN113">
        <v>1.0000000318220199</v>
      </c>
    </row>
    <row r="114" spans="1:40" x14ac:dyDescent="0.25">
      <c r="A114" t="str">
        <f>"20190312154214771"</f>
        <v>20190312154214771</v>
      </c>
      <c r="B114" t="str">
        <f>"1552376534757339"</f>
        <v>1552376534757339</v>
      </c>
      <c r="C114" t="s">
        <v>40</v>
      </c>
      <c r="D114">
        <v>4.7628360000000001</v>
      </c>
      <c r="E114">
        <v>0.51088650000000002</v>
      </c>
      <c r="F114" t="s">
        <v>41</v>
      </c>
      <c r="G114">
        <v>-460.08730000000003</v>
      </c>
      <c r="H114">
        <v>0.9763231</v>
      </c>
      <c r="I114">
        <v>367.69369999999998</v>
      </c>
      <c r="J114">
        <v>-460.75319999999999</v>
      </c>
      <c r="K114">
        <v>1.109273</v>
      </c>
      <c r="L114">
        <v>367.71039999999999</v>
      </c>
      <c r="M114">
        <v>0.9993995</v>
      </c>
      <c r="N114">
        <v>0</v>
      </c>
      <c r="O114">
        <v>3.4246869999999999E-2</v>
      </c>
      <c r="P114">
        <v>0.99989810000000001</v>
      </c>
      <c r="Q114">
        <v>1.3828750000000001E-2</v>
      </c>
      <c r="R114">
        <v>3.5608800000000002E-3</v>
      </c>
      <c r="S114">
        <v>3.0063780000000002</v>
      </c>
      <c r="T114">
        <v>-0.4455228</v>
      </c>
      <c r="U114">
        <v>-2.9541020000000001E-2</v>
      </c>
      <c r="V114">
        <v>3.0695030000000002E-2</v>
      </c>
      <c r="W114">
        <v>1.910601E-2</v>
      </c>
      <c r="X114">
        <v>0.99934619999999996</v>
      </c>
      <c r="Y114">
        <v>4.3219680000000003E-2</v>
      </c>
      <c r="Z114">
        <v>-8.2319339999999998E-3</v>
      </c>
      <c r="AA114">
        <v>0.99903169999999997</v>
      </c>
      <c r="AB114">
        <v>23</v>
      </c>
      <c r="AC114">
        <v>0.66589999999996496</v>
      </c>
      <c r="AD114">
        <v>-0.13294989999999901</v>
      </c>
      <c r="AE114">
        <v>-1.6700000000014301E-2</v>
      </c>
      <c r="AF114">
        <v>3.7982411747792703E-2</v>
      </c>
      <c r="AG114">
        <v>-0.13294989999999901</v>
      </c>
      <c r="AH114">
        <v>0.639463245826555</v>
      </c>
      <c r="AI114">
        <v>101.72487195804599</v>
      </c>
      <c r="AJ114">
        <v>86.600777250405102</v>
      </c>
      <c r="AK114">
        <v>0.65424122636472704</v>
      </c>
      <c r="AL114">
        <v>88.905239680059196</v>
      </c>
      <c r="AM114">
        <v>88.240706852024701</v>
      </c>
      <c r="AN114">
        <v>1.00000002596963</v>
      </c>
    </row>
    <row r="115" spans="1:40" x14ac:dyDescent="0.25">
      <c r="A115" t="str">
        <f>"20190312154214794"</f>
        <v>20190312154214794</v>
      </c>
      <c r="B115" t="str">
        <f>"1552376534787596"</f>
        <v>1552376534787596</v>
      </c>
      <c r="C115" t="s">
        <v>40</v>
      </c>
      <c r="D115">
        <v>4.7520210000000001</v>
      </c>
      <c r="E115">
        <v>0.51292749999999998</v>
      </c>
      <c r="F115" t="s">
        <v>41</v>
      </c>
      <c r="G115">
        <v>-459.88749999999999</v>
      </c>
      <c r="H115">
        <v>0.96206440000000004</v>
      </c>
      <c r="I115">
        <v>367.69369999999998</v>
      </c>
      <c r="J115">
        <v>-460.51639999999998</v>
      </c>
      <c r="K115">
        <v>1.109283</v>
      </c>
      <c r="L115">
        <v>367.71809999999999</v>
      </c>
      <c r="M115">
        <v>0.99940989999999996</v>
      </c>
      <c r="N115">
        <v>0</v>
      </c>
      <c r="O115">
        <v>3.3930130000000003E-2</v>
      </c>
      <c r="P115">
        <v>0.99988659999999996</v>
      </c>
      <c r="Q115">
        <v>1.4705370000000001E-2</v>
      </c>
      <c r="R115">
        <v>3.2637120000000002E-3</v>
      </c>
      <c r="S115">
        <v>3.0075069999999999</v>
      </c>
      <c r="T115">
        <v>-0.51146599999999998</v>
      </c>
      <c r="U115">
        <v>-5.7128909999999998E-2</v>
      </c>
      <c r="V115">
        <v>3.0675150000000002E-2</v>
      </c>
      <c r="W115">
        <v>2.0028979999999998E-2</v>
      </c>
      <c r="X115">
        <v>0.99932869999999996</v>
      </c>
      <c r="Y115">
        <v>5.1676819999999998E-2</v>
      </c>
      <c r="Z115">
        <v>-1.0090790000000001E-2</v>
      </c>
      <c r="AA115">
        <v>0.99861290000000003</v>
      </c>
      <c r="AB115">
        <v>23</v>
      </c>
      <c r="AC115">
        <v>0.62889999999998702</v>
      </c>
      <c r="AD115">
        <v>-0.14721859999999901</v>
      </c>
      <c r="AE115">
        <v>-2.4400000000014101E-2</v>
      </c>
      <c r="AF115">
        <v>4.33528491727539E-2</v>
      </c>
      <c r="AG115">
        <v>-0.14721859999999901</v>
      </c>
      <c r="AH115">
        <v>0.59514634456748206</v>
      </c>
      <c r="AI115">
        <v>103.858782962405</v>
      </c>
      <c r="AJ115">
        <v>85.833704123315798</v>
      </c>
      <c r="AK115">
        <v>0.61461529200744103</v>
      </c>
      <c r="AL115">
        <v>88.852347223199104</v>
      </c>
      <c r="AM115">
        <v>88.241814794680494</v>
      </c>
      <c r="AN115">
        <v>0.99999998775552601</v>
      </c>
    </row>
    <row r="116" spans="1:40" x14ac:dyDescent="0.25">
      <c r="A116" t="str">
        <f>"20190312154214816"</f>
        <v>20190312154214816</v>
      </c>
      <c r="B116" t="str">
        <f>"1552376534807115"</f>
        <v>1552376534807115</v>
      </c>
      <c r="C116" t="s">
        <v>40</v>
      </c>
      <c r="D116">
        <v>4.7619449999999999</v>
      </c>
      <c r="E116">
        <v>0.51420710000000003</v>
      </c>
      <c r="F116" t="s">
        <v>41</v>
      </c>
      <c r="G116">
        <v>-459.68439999999998</v>
      </c>
      <c r="H116">
        <v>0.95274769999999998</v>
      </c>
      <c r="I116">
        <v>367.6979</v>
      </c>
      <c r="J116">
        <v>-460.27940000000001</v>
      </c>
      <c r="K116">
        <v>1.1092869999999999</v>
      </c>
      <c r="L116">
        <v>367.72579999999999</v>
      </c>
      <c r="M116">
        <v>0.99942030000000004</v>
      </c>
      <c r="N116">
        <v>0</v>
      </c>
      <c r="O116">
        <v>3.3614930000000001E-2</v>
      </c>
      <c r="P116">
        <v>0.99988200000000005</v>
      </c>
      <c r="Q116">
        <v>1.4993100000000001E-2</v>
      </c>
      <c r="R116">
        <v>3.3719349999999999E-3</v>
      </c>
      <c r="S116">
        <v>3.0088810000000001</v>
      </c>
      <c r="T116">
        <v>-0.56622139999999999</v>
      </c>
      <c r="U116">
        <v>-7.2509770000000001E-2</v>
      </c>
      <c r="V116">
        <v>3.0251859999999998E-2</v>
      </c>
      <c r="W116">
        <v>2.0361270000000001E-2</v>
      </c>
      <c r="X116">
        <v>0.99933490000000003</v>
      </c>
      <c r="Y116">
        <v>5.6109510000000001E-2</v>
      </c>
      <c r="Z116">
        <v>-1.1502449999999999E-2</v>
      </c>
      <c r="AA116">
        <v>0.99835839999999998</v>
      </c>
      <c r="AB116">
        <v>23</v>
      </c>
      <c r="AC116">
        <v>0.59500000000002695</v>
      </c>
      <c r="AD116">
        <v>-0.15653929999999999</v>
      </c>
      <c r="AE116">
        <v>-2.7899999999988202E-2</v>
      </c>
      <c r="AF116">
        <v>4.4791850386127201E-2</v>
      </c>
      <c r="AG116">
        <v>-0.15653929999999999</v>
      </c>
      <c r="AH116">
        <v>0.55536920100166498</v>
      </c>
      <c r="AI116">
        <v>105.692866992555</v>
      </c>
      <c r="AJ116">
        <v>85.388939491482802</v>
      </c>
      <c r="AK116">
        <v>0.57874503170803204</v>
      </c>
      <c r="AL116">
        <v>88.833304538224795</v>
      </c>
      <c r="AM116">
        <v>88.266072036038693</v>
      </c>
      <c r="AN116">
        <v>0.99999999935374095</v>
      </c>
    </row>
    <row r="117" spans="1:40" x14ac:dyDescent="0.25">
      <c r="A117" t="str">
        <f>"20190312154214839"</f>
        <v>20190312154214839</v>
      </c>
      <c r="B117" t="str">
        <f>"1552376534827142"</f>
        <v>1552376534827142</v>
      </c>
      <c r="C117" t="s">
        <v>40</v>
      </c>
      <c r="D117">
        <v>4.7791540000000001</v>
      </c>
      <c r="E117">
        <v>0.51508160000000003</v>
      </c>
      <c r="F117" t="s">
        <v>41</v>
      </c>
      <c r="G117">
        <v>-459.47570000000002</v>
      </c>
      <c r="H117">
        <v>0.95353330000000003</v>
      </c>
      <c r="I117">
        <v>367.7038</v>
      </c>
      <c r="J117">
        <v>-460.04480000000001</v>
      </c>
      <c r="K117">
        <v>1.109289</v>
      </c>
      <c r="L117">
        <v>367.73340000000002</v>
      </c>
      <c r="M117">
        <v>0.99943070000000001</v>
      </c>
      <c r="N117">
        <v>0</v>
      </c>
      <c r="O117">
        <v>3.3304210000000001E-2</v>
      </c>
      <c r="P117">
        <v>0.99988659999999996</v>
      </c>
      <c r="Q117">
        <v>1.4718999999999999E-2</v>
      </c>
      <c r="R117">
        <v>3.2380109999999998E-3</v>
      </c>
      <c r="S117">
        <v>3.009369</v>
      </c>
      <c r="T117">
        <v>-0.5832794</v>
      </c>
      <c r="U117">
        <v>-8.2244869999999998E-2</v>
      </c>
      <c r="V117">
        <v>3.007489E-2</v>
      </c>
      <c r="W117">
        <v>2.012862E-2</v>
      </c>
      <c r="X117">
        <v>0.99934489999999998</v>
      </c>
      <c r="Y117">
        <v>5.8881959999999997E-2</v>
      </c>
      <c r="Z117">
        <v>-1.2046960000000001E-2</v>
      </c>
      <c r="AA117">
        <v>0.99819230000000003</v>
      </c>
      <c r="AB117">
        <v>23</v>
      </c>
      <c r="AC117">
        <v>0.56909999999999095</v>
      </c>
      <c r="AD117">
        <v>-0.155755699999999</v>
      </c>
      <c r="AE117">
        <v>-2.96000000000162E-2</v>
      </c>
      <c r="AF117">
        <v>4.5163441121684501E-2</v>
      </c>
      <c r="AG117">
        <v>-0.155755699999999</v>
      </c>
      <c r="AH117">
        <v>0.528330640700307</v>
      </c>
      <c r="AI117">
        <v>106.369411166646</v>
      </c>
      <c r="AJ117">
        <v>85.114046382867798</v>
      </c>
      <c r="AK117">
        <v>0.55265978721021303</v>
      </c>
      <c r="AL117">
        <v>88.846637070899405</v>
      </c>
      <c r="AM117">
        <v>88.276226421920001</v>
      </c>
      <c r="AN117">
        <v>0.99999994475381104</v>
      </c>
    </row>
    <row r="118" spans="1:40" x14ac:dyDescent="0.25">
      <c r="A118" t="str">
        <f>"20190312154214862"</f>
        <v>20190312154214862</v>
      </c>
      <c r="B118" t="str">
        <f>"1552376534857399"</f>
        <v>1552376534857399</v>
      </c>
      <c r="C118" t="s">
        <v>40</v>
      </c>
      <c r="D118">
        <v>4.7547439999999996</v>
      </c>
      <c r="E118">
        <v>0.51562949999999996</v>
      </c>
      <c r="F118" t="s">
        <v>41</v>
      </c>
      <c r="G118">
        <v>-459.26580000000001</v>
      </c>
      <c r="H118">
        <v>0.95475109999999996</v>
      </c>
      <c r="I118">
        <v>367.71019999999999</v>
      </c>
      <c r="J118">
        <v>-459.80369999999999</v>
      </c>
      <c r="K118">
        <v>1.109289</v>
      </c>
      <c r="L118">
        <v>367.74110000000002</v>
      </c>
      <c r="M118">
        <v>0.99944089999999997</v>
      </c>
      <c r="N118">
        <v>0</v>
      </c>
      <c r="O118">
        <v>3.298616E-2</v>
      </c>
      <c r="P118">
        <v>0.99988999999999995</v>
      </c>
      <c r="Q118">
        <v>1.459509E-2</v>
      </c>
      <c r="R118">
        <v>2.6275040000000001E-3</v>
      </c>
      <c r="S118">
        <v>3.0093990000000002</v>
      </c>
      <c r="T118">
        <v>-0.597199699999999</v>
      </c>
      <c r="U118">
        <v>-8.8226319999999997E-2</v>
      </c>
      <c r="V118">
        <v>3.03673E-2</v>
      </c>
      <c r="W118">
        <v>2.0044719999999999E-2</v>
      </c>
      <c r="X118">
        <v>0.99933780000000005</v>
      </c>
      <c r="Y118">
        <v>6.0440319999999999E-2</v>
      </c>
      <c r="Z118">
        <v>-1.241924E-2</v>
      </c>
      <c r="AA118">
        <v>0.99809460000000005</v>
      </c>
      <c r="AB118">
        <v>23</v>
      </c>
      <c r="AC118">
        <v>0.53789999999997895</v>
      </c>
      <c r="AD118">
        <v>-0.15453789999999901</v>
      </c>
      <c r="AE118">
        <v>-3.0900000000031E-2</v>
      </c>
      <c r="AF118">
        <v>4.4930331310816703E-2</v>
      </c>
      <c r="AG118">
        <v>-0.15453789999999901</v>
      </c>
      <c r="AH118">
        <v>0.495799097211296</v>
      </c>
      <c r="AI118">
        <v>107.24552143144599</v>
      </c>
      <c r="AJ118">
        <v>84.821882857379194</v>
      </c>
      <c r="AK118">
        <v>0.52126523191523699</v>
      </c>
      <c r="AL118">
        <v>88.851445221870804</v>
      </c>
      <c r="AM118">
        <v>88.259464539854406</v>
      </c>
      <c r="AN118">
        <v>1.000000001109</v>
      </c>
    </row>
    <row r="119" spans="1:40" x14ac:dyDescent="0.25">
      <c r="A119" t="str">
        <f>"20190312154214883"</f>
        <v>20190312154214883</v>
      </c>
      <c r="B119" t="str">
        <f>"1552376534877896"</f>
        <v>1552376534877896</v>
      </c>
      <c r="C119" t="s">
        <v>40</v>
      </c>
      <c r="D119">
        <v>4.7701560000000001</v>
      </c>
      <c r="E119">
        <v>0.5161597</v>
      </c>
      <c r="F119" t="s">
        <v>41</v>
      </c>
      <c r="G119">
        <v>-459.05509999999998</v>
      </c>
      <c r="H119">
        <v>0.95578770000000002</v>
      </c>
      <c r="I119">
        <v>367.71769999999998</v>
      </c>
      <c r="J119">
        <v>-459.58049999999997</v>
      </c>
      <c r="K119">
        <v>1.109291</v>
      </c>
      <c r="L119">
        <v>367.74810000000002</v>
      </c>
      <c r="M119">
        <v>0.99945039999999996</v>
      </c>
      <c r="N119">
        <v>0</v>
      </c>
      <c r="O119">
        <v>3.2692069999999997E-2</v>
      </c>
      <c r="P119">
        <v>0.99989019999999995</v>
      </c>
      <c r="Q119">
        <v>1.470461E-2</v>
      </c>
      <c r="R119">
        <v>1.875813E-3</v>
      </c>
      <c r="S119">
        <v>3.0095209999999999</v>
      </c>
      <c r="T119">
        <v>-0.61723119999999998</v>
      </c>
      <c r="U119">
        <v>-9.3475340000000004E-2</v>
      </c>
      <c r="V119">
        <v>3.082466E-2</v>
      </c>
      <c r="W119">
        <v>2.0189169999999999E-2</v>
      </c>
      <c r="X119">
        <v>0.99932089999999996</v>
      </c>
      <c r="Y119">
        <v>6.1741049999999999E-2</v>
      </c>
      <c r="Z119">
        <v>-1.2898980000000001E-2</v>
      </c>
      <c r="AA119">
        <v>0.99800880000000003</v>
      </c>
      <c r="AB119">
        <v>23</v>
      </c>
      <c r="AC119">
        <v>0.52539999999998999</v>
      </c>
      <c r="AD119">
        <v>-0.15350329999999901</v>
      </c>
      <c r="AE119">
        <v>-3.0400000000042799E-2</v>
      </c>
      <c r="AF119">
        <v>4.3831446319874699E-2</v>
      </c>
      <c r="AG119">
        <v>-0.15350329999999901</v>
      </c>
      <c r="AH119">
        <v>0.48303124211797699</v>
      </c>
      <c r="AI119">
        <v>107.562126558578</v>
      </c>
      <c r="AJ119">
        <v>84.815039855168905</v>
      </c>
      <c r="AK119">
        <v>0.50872747091091697</v>
      </c>
      <c r="AL119">
        <v>88.843167183593195</v>
      </c>
      <c r="AM119">
        <v>88.233237075589599</v>
      </c>
      <c r="AN119">
        <v>1.0000000117131</v>
      </c>
    </row>
    <row r="120" spans="1:40" x14ac:dyDescent="0.25">
      <c r="A120" t="str">
        <f>"20190312154214906"</f>
        <v>20190312154214906</v>
      </c>
      <c r="B120" t="str">
        <f>"1552376534897416"</f>
        <v>1552376534897416</v>
      </c>
      <c r="C120" t="s">
        <v>40</v>
      </c>
      <c r="D120">
        <v>4.7497740000000004</v>
      </c>
      <c r="E120">
        <v>0.51659179999999905</v>
      </c>
      <c r="F120" t="s">
        <v>41</v>
      </c>
      <c r="G120">
        <v>-458.84359999999998</v>
      </c>
      <c r="H120">
        <v>0.95664859999999896</v>
      </c>
      <c r="I120">
        <v>367.72320000000002</v>
      </c>
      <c r="J120">
        <v>-459.33859999999999</v>
      </c>
      <c r="K120">
        <v>1.109294</v>
      </c>
      <c r="L120">
        <v>367.75569999999999</v>
      </c>
      <c r="M120">
        <v>0.99946049999999997</v>
      </c>
      <c r="N120">
        <v>0</v>
      </c>
      <c r="O120">
        <v>3.2373890000000002E-2</v>
      </c>
      <c r="P120">
        <v>0.99990049999999997</v>
      </c>
      <c r="Q120">
        <v>1.406135E-2</v>
      </c>
      <c r="R120">
        <v>1.1514260000000001E-3</v>
      </c>
      <c r="S120">
        <v>3.009674</v>
      </c>
      <c r="T120">
        <v>-0.62342929999999996</v>
      </c>
      <c r="U120">
        <v>-0.1000061</v>
      </c>
      <c r="V120">
        <v>3.1230569999999999E-2</v>
      </c>
      <c r="W120">
        <v>1.958466E-2</v>
      </c>
      <c r="X120">
        <v>0.99932030000000005</v>
      </c>
      <c r="Y120">
        <v>6.3515269999999999E-2</v>
      </c>
      <c r="Z120">
        <v>-1.3141389999999999E-2</v>
      </c>
      <c r="AA120">
        <v>0.99789430000000001</v>
      </c>
      <c r="AB120">
        <v>24</v>
      </c>
      <c r="AC120">
        <v>0.49500000000000399</v>
      </c>
      <c r="AD120">
        <v>-0.15264539999999999</v>
      </c>
      <c r="AE120">
        <v>-3.24999999999704E-2</v>
      </c>
      <c r="AF120">
        <v>4.4312482796148502E-2</v>
      </c>
      <c r="AG120">
        <v>-0.15264539999999999</v>
      </c>
      <c r="AH120">
        <v>0.450985990448104</v>
      </c>
      <c r="AI120">
        <v>108.61600819664901</v>
      </c>
      <c r="AJ120">
        <v>84.388307595038199</v>
      </c>
      <c r="AK120">
        <v>0.47817630415274298</v>
      </c>
      <c r="AL120">
        <v>88.877809876164505</v>
      </c>
      <c r="AM120">
        <v>88.209985681307899</v>
      </c>
      <c r="AN120">
        <v>0.99999998470096496</v>
      </c>
    </row>
    <row r="121" spans="1:40" x14ac:dyDescent="0.25">
      <c r="A121" t="str">
        <f>"20190312154214929"</f>
        <v>20190312154214929</v>
      </c>
      <c r="B121" t="str">
        <f>"1552376534917912"</f>
        <v>1552376534917912</v>
      </c>
      <c r="C121" t="s">
        <v>40</v>
      </c>
      <c r="D121">
        <v>4.755687</v>
      </c>
      <c r="E121">
        <v>0.51639999999999997</v>
      </c>
      <c r="F121" t="s">
        <v>41</v>
      </c>
      <c r="G121">
        <v>-458.62979999999999</v>
      </c>
      <c r="H121">
        <v>0.9603912</v>
      </c>
      <c r="I121">
        <v>367.73039999999997</v>
      </c>
      <c r="J121">
        <v>-459.10199999999998</v>
      </c>
      <c r="K121">
        <v>1.109286</v>
      </c>
      <c r="L121">
        <v>367.76299999999998</v>
      </c>
      <c r="M121">
        <v>0.99947039999999998</v>
      </c>
      <c r="N121">
        <v>0</v>
      </c>
      <c r="O121">
        <v>3.2062599999999997E-2</v>
      </c>
      <c r="P121">
        <v>0.99990869999999998</v>
      </c>
      <c r="Q121">
        <v>1.3520539999999999E-2</v>
      </c>
      <c r="R121">
        <v>5.0744410000000005E-4</v>
      </c>
      <c r="S121">
        <v>3.009277</v>
      </c>
      <c r="T121">
        <v>-0.63224269999999905</v>
      </c>
      <c r="U121">
        <v>-0.105896</v>
      </c>
      <c r="V121">
        <v>3.1562939999999998E-2</v>
      </c>
      <c r="W121">
        <v>1.908789E-2</v>
      </c>
      <c r="X121">
        <v>0.99931950000000003</v>
      </c>
      <c r="Y121">
        <v>6.5074709999999994E-2</v>
      </c>
      <c r="Z121">
        <v>-1.34219E-2</v>
      </c>
      <c r="AA121">
        <v>0.99779010000000001</v>
      </c>
      <c r="AB121">
        <v>24</v>
      </c>
      <c r="AC121">
        <v>0.47219999999998602</v>
      </c>
      <c r="AD121">
        <v>-0.14889479999999999</v>
      </c>
      <c r="AE121">
        <v>-3.2600000000058998E-2</v>
      </c>
      <c r="AF121">
        <v>4.3426154780235302E-2</v>
      </c>
      <c r="AG121">
        <v>-0.14889479999999999</v>
      </c>
      <c r="AH121">
        <v>0.428508484596205</v>
      </c>
      <c r="AI121">
        <v>109.07034626063999</v>
      </c>
      <c r="AJ121">
        <v>84.2132545674433</v>
      </c>
      <c r="AK121">
        <v>0.45571374102277501</v>
      </c>
      <c r="AL121">
        <v>88.906278056816006</v>
      </c>
      <c r="AM121">
        <v>88.190946675308595</v>
      </c>
      <c r="AN121">
        <v>1.00000001490317</v>
      </c>
    </row>
    <row r="122" spans="1:40" x14ac:dyDescent="0.25">
      <c r="A122" t="str">
        <f>"20190312154214949"</f>
        <v>20190312154214949</v>
      </c>
      <c r="B122" t="str">
        <f>"1552376534937938"</f>
        <v>1552376534937938</v>
      </c>
      <c r="C122" t="s">
        <v>40</v>
      </c>
      <c r="D122">
        <v>4.7703410000000002</v>
      </c>
      <c r="E122">
        <v>0.51639329999999894</v>
      </c>
      <c r="F122" t="s">
        <v>41</v>
      </c>
      <c r="G122">
        <v>-458.22179999999997</v>
      </c>
      <c r="H122">
        <v>0.92073110000000002</v>
      </c>
      <c r="I122">
        <v>367.73169999999999</v>
      </c>
      <c r="J122">
        <v>-458.87670000000003</v>
      </c>
      <c r="K122">
        <v>1.1092879999999901</v>
      </c>
      <c r="L122">
        <v>367.77</v>
      </c>
      <c r="M122">
        <v>0.99947940000000002</v>
      </c>
      <c r="N122">
        <v>0</v>
      </c>
      <c r="O122">
        <v>3.1766019999999999E-2</v>
      </c>
      <c r="P122">
        <v>0.99991350000000001</v>
      </c>
      <c r="Q122">
        <v>1.315762E-2</v>
      </c>
      <c r="R122" s="1">
        <v>-7.3499860000000001E-5</v>
      </c>
      <c r="S122">
        <v>3.0090029999999999</v>
      </c>
      <c r="T122">
        <v>-0.64465119999999998</v>
      </c>
      <c r="U122">
        <v>-0.1061096</v>
      </c>
      <c r="V122">
        <v>3.184712E-2</v>
      </c>
      <c r="W122">
        <v>1.8772750000000001E-2</v>
      </c>
      <c r="X122">
        <v>0.99931650000000005</v>
      </c>
      <c r="Y122">
        <v>6.4782510000000001E-2</v>
      </c>
      <c r="Z122">
        <v>-1.3587E-2</v>
      </c>
      <c r="AA122">
        <v>0.99780690000000005</v>
      </c>
      <c r="AB122">
        <v>24</v>
      </c>
      <c r="AC122">
        <v>0.65490000000005399</v>
      </c>
      <c r="AD122">
        <v>-0.188556899999999</v>
      </c>
      <c r="AE122">
        <v>-3.8299999999992403E-2</v>
      </c>
      <c r="AF122">
        <v>5.4575855300647402E-2</v>
      </c>
      <c r="AG122">
        <v>-0.188556899999999</v>
      </c>
      <c r="AH122">
        <v>0.60349580586938201</v>
      </c>
      <c r="AI122">
        <v>107.28464288079201</v>
      </c>
      <c r="AJ122">
        <v>84.832634280655299</v>
      </c>
      <c r="AK122">
        <v>0.63461753538752896</v>
      </c>
      <c r="AL122">
        <v>88.924337534516596</v>
      </c>
      <c r="AM122">
        <v>88.174664181201194</v>
      </c>
      <c r="AN122">
        <v>1.00000006118355</v>
      </c>
    </row>
    <row r="123" spans="1:40" x14ac:dyDescent="0.25">
      <c r="A123" t="str">
        <f>"20190312154214973"</f>
        <v>20190312154214973</v>
      </c>
      <c r="B123" t="str">
        <f>"1552376534967218"</f>
        <v>1552376534967218</v>
      </c>
      <c r="C123" t="s">
        <v>40</v>
      </c>
      <c r="D123">
        <v>4.782762</v>
      </c>
      <c r="E123">
        <v>0.51640870000000005</v>
      </c>
      <c r="F123" t="s">
        <v>41</v>
      </c>
      <c r="G123">
        <v>-458.00720000000001</v>
      </c>
      <c r="H123">
        <v>0.92051450000000001</v>
      </c>
      <c r="I123">
        <v>367.73880000000003</v>
      </c>
      <c r="J123">
        <v>-458.62970000000001</v>
      </c>
      <c r="K123">
        <v>1.1092919999999999</v>
      </c>
      <c r="L123">
        <v>367.7774</v>
      </c>
      <c r="M123">
        <v>0.99948950000000003</v>
      </c>
      <c r="N123">
        <v>0</v>
      </c>
      <c r="O123">
        <v>3.1440219999999998E-2</v>
      </c>
      <c r="P123">
        <v>0.99992110000000001</v>
      </c>
      <c r="Q123">
        <v>1.2564840000000001E-2</v>
      </c>
      <c r="R123">
        <v>-3.1057429999999998E-4</v>
      </c>
      <c r="S123">
        <v>3.0088499999999998</v>
      </c>
      <c r="T123">
        <v>-0.65333779999999997</v>
      </c>
      <c r="U123">
        <v>-0.10736080000000001</v>
      </c>
      <c r="V123">
        <v>3.1758410000000001E-2</v>
      </c>
      <c r="W123">
        <v>1.8234980000000001E-2</v>
      </c>
      <c r="X123">
        <v>0.99932920000000003</v>
      </c>
      <c r="Y123">
        <v>6.4821260000000006E-2</v>
      </c>
      <c r="Z123">
        <v>-1.37007999999999E-2</v>
      </c>
      <c r="AA123">
        <v>0.99780290000000005</v>
      </c>
      <c r="AB123">
        <v>24</v>
      </c>
      <c r="AC123">
        <v>0.62250000000000205</v>
      </c>
      <c r="AD123">
        <v>-0.18877749999999999</v>
      </c>
      <c r="AE123">
        <v>-3.8599999999973898E-2</v>
      </c>
      <c r="AF123">
        <v>5.3272352072293097E-2</v>
      </c>
      <c r="AG123">
        <v>-0.18877749999999999</v>
      </c>
      <c r="AH123">
        <v>0.56886357796293996</v>
      </c>
      <c r="AI123">
        <v>108.283792329798</v>
      </c>
      <c r="AJ123">
        <v>84.6500266008848</v>
      </c>
      <c r="AK123">
        <v>0.60173138387021297</v>
      </c>
      <c r="AL123">
        <v>88.955154676332</v>
      </c>
      <c r="AM123">
        <v>88.179768337321704</v>
      </c>
      <c r="AN123">
        <v>0.99999998053698402</v>
      </c>
    </row>
    <row r="124" spans="1:40" x14ac:dyDescent="0.25">
      <c r="A124" t="str">
        <f>"20190312154214995"</f>
        <v>20190312154214995</v>
      </c>
      <c r="B124" t="str">
        <f>"1552376534987715"</f>
        <v>1552376534987715</v>
      </c>
      <c r="C124" t="s">
        <v>40</v>
      </c>
      <c r="D124">
        <v>4.7951560000000004</v>
      </c>
      <c r="E124">
        <v>0.51633809999999902</v>
      </c>
      <c r="F124" t="s">
        <v>41</v>
      </c>
      <c r="G124">
        <v>-457.7903</v>
      </c>
      <c r="H124">
        <v>0.92389489999999996</v>
      </c>
      <c r="I124">
        <v>367.74709999999999</v>
      </c>
      <c r="J124">
        <v>-458.3766</v>
      </c>
      <c r="K124">
        <v>1.1093010000000001</v>
      </c>
      <c r="L124">
        <v>367.78500000000003</v>
      </c>
      <c r="M124">
        <v>0.99949960000000004</v>
      </c>
      <c r="N124">
        <v>0</v>
      </c>
      <c r="O124">
        <v>3.1106459999999999E-2</v>
      </c>
      <c r="P124">
        <v>0.99992639999999999</v>
      </c>
      <c r="Q124">
        <v>1.21038E-2</v>
      </c>
      <c r="R124">
        <v>-5.5550480000000001E-4</v>
      </c>
      <c r="S124">
        <v>3.0084840000000002</v>
      </c>
      <c r="T124">
        <v>-0.66450690000000001</v>
      </c>
      <c r="U124">
        <v>-0.1077576</v>
      </c>
      <c r="V124">
        <v>3.1669709999999997E-2</v>
      </c>
      <c r="W124">
        <v>1.7835449999999999E-2</v>
      </c>
      <c r="X124">
        <v>0.99933919999999998</v>
      </c>
      <c r="Y124">
        <v>6.4561220000000002E-2</v>
      </c>
      <c r="Z124">
        <v>-1.383E-2</v>
      </c>
      <c r="AA124">
        <v>0.99781790000000004</v>
      </c>
      <c r="AB124">
        <v>24</v>
      </c>
      <c r="AC124">
        <v>0.58629999999999405</v>
      </c>
      <c r="AD124">
        <v>-0.18540609999999999</v>
      </c>
      <c r="AE124">
        <v>-3.7900000000036002E-2</v>
      </c>
      <c r="AF124">
        <v>5.1037107309171E-2</v>
      </c>
      <c r="AG124">
        <v>-0.18540609999999999</v>
      </c>
      <c r="AH124">
        <v>0.53187057535976301</v>
      </c>
      <c r="AI124">
        <v>109.136703105314</v>
      </c>
      <c r="AJ124">
        <v>84.518807821025405</v>
      </c>
      <c r="AK124">
        <v>0.56556742937798599</v>
      </c>
      <c r="AL124">
        <v>88.978049757693199</v>
      </c>
      <c r="AM124">
        <v>88.184866919044694</v>
      </c>
      <c r="AN124">
        <v>0.99999995523241203</v>
      </c>
    </row>
    <row r="125" spans="1:40" x14ac:dyDescent="0.25">
      <c r="A125" t="str">
        <f>"20190312154215019"</f>
        <v>20190312154215019</v>
      </c>
      <c r="B125" t="str">
        <f>"1552376535007234"</f>
        <v>1552376535007234</v>
      </c>
      <c r="C125" t="s">
        <v>40</v>
      </c>
      <c r="D125">
        <v>4.7883990000000001</v>
      </c>
      <c r="E125">
        <v>0.51641759999999903</v>
      </c>
      <c r="F125" t="s">
        <v>41</v>
      </c>
      <c r="G125">
        <v>-457.57150000000001</v>
      </c>
      <c r="H125">
        <v>0.92921949999999998</v>
      </c>
      <c r="I125">
        <v>367.75599999999997</v>
      </c>
      <c r="J125">
        <v>-458.1241</v>
      </c>
      <c r="K125">
        <v>1.1093040000000001</v>
      </c>
      <c r="L125">
        <v>367.79250000000002</v>
      </c>
      <c r="M125">
        <v>0.9995096</v>
      </c>
      <c r="N125">
        <v>0</v>
      </c>
      <c r="O125">
        <v>3.0772799999999999E-2</v>
      </c>
      <c r="P125">
        <v>0.99993520000000002</v>
      </c>
      <c r="Q125">
        <v>1.1393489999999999E-2</v>
      </c>
      <c r="R125">
        <v>-6.5849140000000001E-4</v>
      </c>
      <c r="S125">
        <v>3.0083009999999999</v>
      </c>
      <c r="T125">
        <v>-0.67289500000000002</v>
      </c>
      <c r="U125">
        <v>-0.1074219</v>
      </c>
      <c r="V125">
        <v>3.1438849999999997E-2</v>
      </c>
      <c r="W125">
        <v>1.7194210000000001E-2</v>
      </c>
      <c r="X125">
        <v>0.99935779999999996</v>
      </c>
      <c r="Y125">
        <v>6.4081100000000002E-2</v>
      </c>
      <c r="Z125">
        <v>-1.3874539999999999E-2</v>
      </c>
      <c r="AA125">
        <v>0.99784819999999996</v>
      </c>
      <c r="AB125">
        <v>24</v>
      </c>
      <c r="AC125">
        <v>0.55259999999998399</v>
      </c>
      <c r="AD125">
        <v>-0.18008450000000001</v>
      </c>
      <c r="AE125">
        <v>-3.6500000000046301E-2</v>
      </c>
      <c r="AF125">
        <v>4.8373068253457198E-2</v>
      </c>
      <c r="AG125">
        <v>-0.18008450000000001</v>
      </c>
      <c r="AH125">
        <v>0.49850320752261301</v>
      </c>
      <c r="AI125">
        <v>109.776634877986</v>
      </c>
      <c r="AJ125">
        <v>84.457563583497901</v>
      </c>
      <c r="AK125">
        <v>0.53223662856180598</v>
      </c>
      <c r="AL125">
        <v>89.014795813317804</v>
      </c>
      <c r="AM125">
        <v>88.198123300922404</v>
      </c>
      <c r="AN125">
        <v>1.0000000272838401</v>
      </c>
    </row>
    <row r="126" spans="1:40" x14ac:dyDescent="0.25">
      <c r="A126" t="str">
        <f>"20190312154215040"</f>
        <v>20190312154215040</v>
      </c>
      <c r="B126" t="str">
        <f>"1552376535027261"</f>
        <v>1552376535027261</v>
      </c>
      <c r="C126" t="s">
        <v>40</v>
      </c>
      <c r="D126">
        <v>4.7978969999999999</v>
      </c>
      <c r="E126">
        <v>0.51649560000000005</v>
      </c>
      <c r="F126" t="s">
        <v>41</v>
      </c>
      <c r="G126">
        <v>-457.35169999999999</v>
      </c>
      <c r="H126">
        <v>0.93494690000000003</v>
      </c>
      <c r="I126">
        <v>367.76459999999997</v>
      </c>
      <c r="J126">
        <v>-457.89249999999998</v>
      </c>
      <c r="K126">
        <v>1.1093139999999999</v>
      </c>
      <c r="L126">
        <v>367.79930000000002</v>
      </c>
      <c r="M126">
        <v>0.99951849999999998</v>
      </c>
      <c r="N126">
        <v>0</v>
      </c>
      <c r="O126">
        <v>3.0466839999999999E-2</v>
      </c>
      <c r="P126">
        <v>0.99993679999999996</v>
      </c>
      <c r="Q126">
        <v>1.1192529999999999E-2</v>
      </c>
      <c r="R126">
        <v>-1.1015619999999999E-3</v>
      </c>
      <c r="S126">
        <v>3.0079039999999999</v>
      </c>
      <c r="T126">
        <v>-0.67914280000000005</v>
      </c>
      <c r="U126">
        <v>-0.1080627</v>
      </c>
      <c r="V126">
        <v>3.1575939999999997E-2</v>
      </c>
      <c r="W126">
        <v>1.7065480000000001E-2</v>
      </c>
      <c r="X126">
        <v>0.99935569999999896</v>
      </c>
      <c r="Y126">
        <v>6.3959710000000003E-2</v>
      </c>
      <c r="Z126">
        <v>-1.392025E-2</v>
      </c>
      <c r="AA126">
        <v>0.99785539999999995</v>
      </c>
      <c r="AB126">
        <v>24</v>
      </c>
      <c r="AC126">
        <v>0.54079999999998996</v>
      </c>
      <c r="AD126">
        <v>-0.174367099999999</v>
      </c>
      <c r="AE126">
        <v>-3.4700000000043398E-2</v>
      </c>
      <c r="AF126">
        <v>4.6360846945496498E-2</v>
      </c>
      <c r="AG126">
        <v>-0.174367099999999</v>
      </c>
      <c r="AH126">
        <v>0.48887761997024898</v>
      </c>
      <c r="AI126">
        <v>109.54868786130601</v>
      </c>
      <c r="AJ126">
        <v>84.582773188594999</v>
      </c>
      <c r="AK126">
        <v>0.52110895309876304</v>
      </c>
      <c r="AL126">
        <v>89.022172596416894</v>
      </c>
      <c r="AM126">
        <v>88.190267579402303</v>
      </c>
      <c r="AN126">
        <v>1.0000000428585001</v>
      </c>
    </row>
    <row r="127" spans="1:40" x14ac:dyDescent="0.25">
      <c r="A127" t="str">
        <f>"20190312154215062"</f>
        <v>20190312154215062</v>
      </c>
      <c r="B127" t="str">
        <f>"1552376535047759"</f>
        <v>1552376535047759</v>
      </c>
      <c r="C127" t="s">
        <v>40</v>
      </c>
      <c r="D127">
        <v>4.7807269999999997</v>
      </c>
      <c r="E127">
        <v>0.51655119999999999</v>
      </c>
      <c r="F127" t="s">
        <v>41</v>
      </c>
      <c r="G127">
        <v>-457.13299999999998</v>
      </c>
      <c r="H127">
        <v>0.93679489999999999</v>
      </c>
      <c r="I127">
        <v>367.77109999999999</v>
      </c>
      <c r="J127">
        <v>-457.65379999999999</v>
      </c>
      <c r="K127">
        <v>1.109329</v>
      </c>
      <c r="L127">
        <v>367.80619999999999</v>
      </c>
      <c r="M127">
        <v>0.99952750000000001</v>
      </c>
      <c r="N127">
        <v>0</v>
      </c>
      <c r="O127">
        <v>3.0152140000000001E-2</v>
      </c>
      <c r="P127">
        <v>0.9999363</v>
      </c>
      <c r="Q127">
        <v>1.117547E-2</v>
      </c>
      <c r="R127">
        <v>-1.665751E-3</v>
      </c>
      <c r="S127">
        <v>3.0076900000000002</v>
      </c>
      <c r="T127">
        <v>-0.68326399999999998</v>
      </c>
      <c r="U127">
        <v>-0.1098633</v>
      </c>
      <c r="V127">
        <v>3.1825079999999999E-2</v>
      </c>
      <c r="W127">
        <v>1.7131270000000001E-2</v>
      </c>
      <c r="X127">
        <v>0.99934659999999997</v>
      </c>
      <c r="Y127">
        <v>6.421731E-2</v>
      </c>
      <c r="Z127">
        <v>-1.396179E-2</v>
      </c>
      <c r="AA127">
        <v>0.99783829999999996</v>
      </c>
      <c r="AB127">
        <v>24</v>
      </c>
      <c r="AC127">
        <v>0.52079999999995097</v>
      </c>
      <c r="AD127">
        <v>-0.172534099999999</v>
      </c>
      <c r="AE127">
        <v>-3.5099999999999902E-2</v>
      </c>
      <c r="AF127">
        <v>4.5785299915666502E-2</v>
      </c>
      <c r="AG127">
        <v>-0.172534099999999</v>
      </c>
      <c r="AH127">
        <v>0.46833687854932099</v>
      </c>
      <c r="AI127">
        <v>110.135436452153</v>
      </c>
      <c r="AJ127">
        <v>84.416423459393897</v>
      </c>
      <c r="AK127">
        <v>0.50120229564567997</v>
      </c>
      <c r="AL127">
        <v>89.018402486086799</v>
      </c>
      <c r="AM127">
        <v>88.175981466068606</v>
      </c>
      <c r="AN127">
        <v>0.99999997153018905</v>
      </c>
    </row>
    <row r="128" spans="1:40" x14ac:dyDescent="0.25">
      <c r="A128" t="str">
        <f>"20190312154215083"</f>
        <v>20190312154215083</v>
      </c>
      <c r="B128" t="str">
        <f>"1552376535078013"</f>
        <v>1552376535078013</v>
      </c>
      <c r="C128" t="s">
        <v>40</v>
      </c>
      <c r="D128">
        <v>4.6765990000000004</v>
      </c>
      <c r="E128">
        <v>0.51141689999999995</v>
      </c>
      <c r="F128" t="s">
        <v>41</v>
      </c>
      <c r="G128">
        <v>-456.9128</v>
      </c>
      <c r="H128">
        <v>0.94010289999999996</v>
      </c>
      <c r="I128">
        <v>367.77839999999998</v>
      </c>
      <c r="J128">
        <v>-457.4162</v>
      </c>
      <c r="K128">
        <v>1.1093409999999999</v>
      </c>
      <c r="L128">
        <v>367.81299999999999</v>
      </c>
      <c r="M128">
        <v>0.99953630000000004</v>
      </c>
      <c r="N128">
        <v>0</v>
      </c>
      <c r="O128">
        <v>2.9839009999999999E-2</v>
      </c>
      <c r="P128">
        <v>0.99993319999999997</v>
      </c>
      <c r="Q128">
        <v>1.1329840000000001E-2</v>
      </c>
      <c r="R128">
        <v>-2.3455889999999999E-3</v>
      </c>
      <c r="S128">
        <v>3.0077210000000001</v>
      </c>
      <c r="T128">
        <v>-0.68692109999999995</v>
      </c>
      <c r="U128">
        <v>-0.1117554</v>
      </c>
      <c r="V128">
        <v>3.2191499999999998E-2</v>
      </c>
      <c r="W128">
        <v>1.7376329999999999E-2</v>
      </c>
      <c r="X128">
        <v>0.99933059999999996</v>
      </c>
      <c r="Y128">
        <v>6.4506530000000006E-2</v>
      </c>
      <c r="Z128">
        <v>-1.3996389999999999E-2</v>
      </c>
      <c r="AA128">
        <v>0.99781909999999896</v>
      </c>
      <c r="AB128">
        <v>24</v>
      </c>
      <c r="AC128">
        <v>0.50339999999999896</v>
      </c>
      <c r="AD128">
        <v>-0.169238099999999</v>
      </c>
      <c r="AE128">
        <v>-3.46000000000685E-2</v>
      </c>
      <c r="AF128">
        <v>4.4589813681903803E-2</v>
      </c>
      <c r="AG128">
        <v>-0.169238099999999</v>
      </c>
      <c r="AH128">
        <v>0.45136794479560899</v>
      </c>
      <c r="AI128">
        <v>110.461983454798</v>
      </c>
      <c r="AJ128">
        <v>84.358160317680799</v>
      </c>
      <c r="AK128">
        <v>0.48411032581923802</v>
      </c>
      <c r="AL128">
        <v>89.0043594589294</v>
      </c>
      <c r="AM128">
        <v>88.154965430132606</v>
      </c>
      <c r="AN128">
        <v>0.99999993880643701</v>
      </c>
    </row>
    <row r="129" spans="1:40" x14ac:dyDescent="0.25">
      <c r="A129" t="str">
        <f>"20190312154215108"</f>
        <v>20190312154215108</v>
      </c>
      <c r="B129" t="str">
        <f>"1552376535097533"</f>
        <v>1552376535097533</v>
      </c>
      <c r="C129" t="s">
        <v>40</v>
      </c>
      <c r="D129">
        <v>4.7123249999999999</v>
      </c>
      <c r="E129">
        <v>0.51113120000000001</v>
      </c>
      <c r="F129" t="s">
        <v>41</v>
      </c>
      <c r="G129">
        <v>-456.6567</v>
      </c>
      <c r="H129">
        <v>1.016675</v>
      </c>
      <c r="I129">
        <v>367.79149999999998</v>
      </c>
      <c r="J129">
        <v>-457.15699999999998</v>
      </c>
      <c r="K129">
        <v>1.109354</v>
      </c>
      <c r="L129">
        <v>367.82040000000001</v>
      </c>
      <c r="M129">
        <v>0.99954589999999999</v>
      </c>
      <c r="N129">
        <v>0</v>
      </c>
      <c r="O129">
        <v>2.9496870000000001E-2</v>
      </c>
      <c r="P129">
        <v>0.99992709999999996</v>
      </c>
      <c r="Q129">
        <v>1.1657600000000001E-2</v>
      </c>
      <c r="R129">
        <v>-3.1796580000000001E-3</v>
      </c>
      <c r="S129">
        <v>3.0041500000000001</v>
      </c>
      <c r="T129">
        <v>-0.36671999999999999</v>
      </c>
      <c r="U129">
        <v>-8.4381100000000001E-2</v>
      </c>
      <c r="V129">
        <v>3.2683450000000003E-2</v>
      </c>
      <c r="W129">
        <v>1.7808750000000002E-2</v>
      </c>
      <c r="X129">
        <v>0.9993071</v>
      </c>
      <c r="Y129">
        <v>5.6909700000000001E-2</v>
      </c>
      <c r="Z129">
        <v>-7.0467439999999998E-3</v>
      </c>
      <c r="AA129">
        <v>0.99835439999999998</v>
      </c>
      <c r="AB129">
        <v>24</v>
      </c>
      <c r="AC129">
        <v>0.50029999999998098</v>
      </c>
      <c r="AD129">
        <v>-9.2679000000000095E-2</v>
      </c>
      <c r="AE129">
        <v>-2.8900000000021402E-2</v>
      </c>
      <c r="AF129">
        <v>4.2201597877061098E-2</v>
      </c>
      <c r="AG129">
        <v>-9.2679000000000095E-2</v>
      </c>
      <c r="AH129">
        <v>0.48271971245380801</v>
      </c>
      <c r="AI129">
        <v>100.827842326715</v>
      </c>
      <c r="AJ129">
        <v>85.003640339733096</v>
      </c>
      <c r="AK129">
        <v>0.49334439562628501</v>
      </c>
      <c r="AL129">
        <v>88.979579863973598</v>
      </c>
      <c r="AM129">
        <v>88.1267455576712</v>
      </c>
      <c r="AN129">
        <v>1.00000001979543</v>
      </c>
    </row>
    <row r="130" spans="1:40" x14ac:dyDescent="0.25">
      <c r="A130" t="str">
        <f>"20190312154215128"</f>
        <v>20190312154215128</v>
      </c>
      <c r="B130" t="str">
        <f>"1552376535118035"</f>
        <v>1552376535118035</v>
      </c>
      <c r="C130" t="s">
        <v>40</v>
      </c>
      <c r="D130">
        <v>4.7461339999999996</v>
      </c>
      <c r="E130">
        <v>0.51109550000000004</v>
      </c>
      <c r="F130" t="s">
        <v>41</v>
      </c>
      <c r="G130">
        <v>-456.41579999999999</v>
      </c>
      <c r="H130">
        <v>1.0539400000000001</v>
      </c>
      <c r="I130">
        <v>367.79840000000002</v>
      </c>
      <c r="J130">
        <v>-456.93009999999998</v>
      </c>
      <c r="K130">
        <v>1.109367</v>
      </c>
      <c r="L130">
        <v>367.82679999999999</v>
      </c>
      <c r="M130">
        <v>0.9995541</v>
      </c>
      <c r="N130">
        <v>0</v>
      </c>
      <c r="O130">
        <v>2.919822E-2</v>
      </c>
      <c r="P130">
        <v>0.99992559999999997</v>
      </c>
      <c r="Q130">
        <v>1.170821E-2</v>
      </c>
      <c r="R130">
        <v>-3.451899E-3</v>
      </c>
      <c r="S130">
        <v>3.0025330000000001</v>
      </c>
      <c r="T130">
        <v>-0.22441179999999999</v>
      </c>
      <c r="U130">
        <v>-8.9355470000000006E-2</v>
      </c>
      <c r="V130">
        <v>3.2657020000000002E-2</v>
      </c>
      <c r="W130">
        <v>1.7950830000000001E-2</v>
      </c>
      <c r="X130">
        <v>0.99930540000000001</v>
      </c>
      <c r="Y130">
        <v>5.8675129999999999E-2</v>
      </c>
      <c r="Z130">
        <v>-4.368004E-3</v>
      </c>
      <c r="AA130">
        <v>0.99826760000000003</v>
      </c>
      <c r="AB130">
        <v>25</v>
      </c>
      <c r="AC130">
        <v>0.51429999999999099</v>
      </c>
      <c r="AD130">
        <v>-5.5427000000000101E-2</v>
      </c>
      <c r="AE130">
        <v>-2.8399999999976399E-2</v>
      </c>
      <c r="AF130">
        <v>4.2907978608656097E-2</v>
      </c>
      <c r="AG130">
        <v>-5.5427000000000101E-2</v>
      </c>
      <c r="AH130">
        <v>0.50737633755650302</v>
      </c>
      <c r="AI130">
        <v>96.212404585717294</v>
      </c>
      <c r="AJ130">
        <v>85.166092414152999</v>
      </c>
      <c r="AK130">
        <v>0.51219527025298806</v>
      </c>
      <c r="AL130">
        <v>88.9714379556804</v>
      </c>
      <c r="AM130">
        <v>88.128256135278804</v>
      </c>
      <c r="AN130">
        <v>0.99999999786106397</v>
      </c>
    </row>
    <row r="131" spans="1:40" x14ac:dyDescent="0.25">
      <c r="A131" t="str">
        <f>"20190312154215151"</f>
        <v>20190312154215151</v>
      </c>
      <c r="B131" t="str">
        <f>"1552376535137550"</f>
        <v>1552376535137550</v>
      </c>
      <c r="C131" t="s">
        <v>40</v>
      </c>
      <c r="D131">
        <v>4.736656</v>
      </c>
      <c r="E131">
        <v>0.5106115</v>
      </c>
      <c r="F131" t="s">
        <v>42</v>
      </c>
      <c r="G131">
        <v>-434.80930000000001</v>
      </c>
      <c r="H131">
        <v>-0.05</v>
      </c>
      <c r="I131">
        <v>367.14870000000002</v>
      </c>
      <c r="J131">
        <v>-456.6823</v>
      </c>
      <c r="K131">
        <v>1.1093759999999999</v>
      </c>
      <c r="L131">
        <v>367.83359999999999</v>
      </c>
      <c r="M131">
        <v>0.99956299999999998</v>
      </c>
      <c r="N131">
        <v>0</v>
      </c>
      <c r="O131">
        <v>2.887195E-2</v>
      </c>
      <c r="P131">
        <v>0.99992599999999998</v>
      </c>
      <c r="Q131">
        <v>1.1607050000000001E-2</v>
      </c>
      <c r="R131">
        <v>-3.6599359999999999E-3</v>
      </c>
      <c r="S131">
        <v>3.0017399999999999</v>
      </c>
      <c r="T131">
        <v>-0.15732370000000001</v>
      </c>
      <c r="U131">
        <v>-9.2010499999999995E-2</v>
      </c>
      <c r="V131">
        <v>3.253901E-2</v>
      </c>
      <c r="W131">
        <v>1.794463E-2</v>
      </c>
      <c r="X131">
        <v>0.99930940000000001</v>
      </c>
      <c r="Y131">
        <v>5.9363199999999998E-2</v>
      </c>
      <c r="Z131">
        <v>-3.0660589999999999E-3</v>
      </c>
      <c r="AA131">
        <v>0.9982318</v>
      </c>
      <c r="AB131">
        <v>25</v>
      </c>
      <c r="AC131">
        <v>21.872999999999902</v>
      </c>
      <c r="AD131">
        <v>-1.159376</v>
      </c>
      <c r="AE131">
        <v>-0.68489999999996998</v>
      </c>
      <c r="AF131">
        <v>1.31245956100363</v>
      </c>
      <c r="AG131">
        <v>-1.159376</v>
      </c>
      <c r="AH131">
        <v>21.782966681612201</v>
      </c>
      <c r="AI131">
        <v>93.041129619864606</v>
      </c>
      <c r="AJ131">
        <v>86.552003414982295</v>
      </c>
      <c r="AK131">
        <v>21.853245531519399</v>
      </c>
      <c r="AL131">
        <v>88.971793286910099</v>
      </c>
      <c r="AM131">
        <v>88.135022577529995</v>
      </c>
      <c r="AN131">
        <v>1.00000003692298</v>
      </c>
    </row>
    <row r="132" spans="1:40" x14ac:dyDescent="0.25">
      <c r="A132" t="str">
        <f>"20190312154215163"</f>
        <v>20190312154215163</v>
      </c>
      <c r="B132" t="str">
        <f>"1552376535158045"</f>
        <v>1552376535158045</v>
      </c>
      <c r="C132" t="s">
        <v>40</v>
      </c>
      <c r="D132">
        <v>4.7257540000000002</v>
      </c>
      <c r="E132">
        <v>0.51041289999999995</v>
      </c>
      <c r="F132" t="s">
        <v>42</v>
      </c>
      <c r="G132">
        <v>-429.39760000000001</v>
      </c>
      <c r="H132">
        <v>-0.05</v>
      </c>
      <c r="I132">
        <v>367.01440000000002</v>
      </c>
      <c r="J132">
        <v>-456.53309999999999</v>
      </c>
      <c r="K132">
        <v>1.1093820000000001</v>
      </c>
      <c r="L132">
        <v>367.83780000000002</v>
      </c>
      <c r="M132">
        <v>0.99956829999999997</v>
      </c>
      <c r="N132">
        <v>0</v>
      </c>
      <c r="O132">
        <v>2.867571E-2</v>
      </c>
      <c r="P132">
        <v>0.99992559999999997</v>
      </c>
      <c r="Q132">
        <v>1.155458E-2</v>
      </c>
      <c r="R132">
        <v>-3.9337280000000001E-3</v>
      </c>
      <c r="S132">
        <v>3.0013730000000001</v>
      </c>
      <c r="T132">
        <v>-0.12753390000000001</v>
      </c>
      <c r="U132">
        <v>-9.0118409999999996E-2</v>
      </c>
      <c r="V132">
        <v>3.2616359999999997E-2</v>
      </c>
      <c r="W132">
        <v>1.794606E-2</v>
      </c>
      <c r="X132">
        <v>0.99930680000000005</v>
      </c>
      <c r="Y132">
        <v>5.8584560000000001E-2</v>
      </c>
      <c r="Z132">
        <v>-2.461534E-3</v>
      </c>
      <c r="AA132">
        <v>0.99827940000000004</v>
      </c>
      <c r="AB132">
        <v>25</v>
      </c>
      <c r="AC132">
        <v>27.135499999999901</v>
      </c>
      <c r="AD132">
        <v>-1.1593819999999999</v>
      </c>
      <c r="AE132">
        <v>-0.82339999999999203</v>
      </c>
      <c r="AF132">
        <v>1.59829205709403</v>
      </c>
      <c r="AG132">
        <v>-1.1593819999999999</v>
      </c>
      <c r="AH132">
        <v>27.0513920844258</v>
      </c>
      <c r="AI132">
        <v>92.449842015578497</v>
      </c>
      <c r="AJ132">
        <v>86.6186933173108</v>
      </c>
      <c r="AK132">
        <v>27.123357421732099</v>
      </c>
      <c r="AL132">
        <v>88.971711286602002</v>
      </c>
      <c r="AM132">
        <v>88.130587534149399</v>
      </c>
      <c r="AN132">
        <v>0.99999998426770598</v>
      </c>
    </row>
    <row r="133" spans="1:40" x14ac:dyDescent="0.25">
      <c r="A133" t="str">
        <f>"20190312154215186"</f>
        <v>20190312154215186</v>
      </c>
      <c r="B133" t="str">
        <f>"1552376535177566"</f>
        <v>1552376535177566</v>
      </c>
      <c r="C133" t="s">
        <v>40</v>
      </c>
      <c r="D133">
        <v>4.7423120000000001</v>
      </c>
      <c r="E133">
        <v>0.51055490000000003</v>
      </c>
      <c r="F133" t="s">
        <v>42</v>
      </c>
      <c r="G133">
        <v>-424.7011</v>
      </c>
      <c r="H133">
        <v>-0.05</v>
      </c>
      <c r="I133">
        <v>366.88479999999998</v>
      </c>
      <c r="J133">
        <v>-456.2878</v>
      </c>
      <c r="K133">
        <v>1.1093850000000001</v>
      </c>
      <c r="L133">
        <v>367.84449999999998</v>
      </c>
      <c r="M133">
        <v>0.99957700000000005</v>
      </c>
      <c r="N133">
        <v>0</v>
      </c>
      <c r="O133">
        <v>2.8352169999999999E-2</v>
      </c>
      <c r="P133">
        <v>0.99992479999999995</v>
      </c>
      <c r="Q133">
        <v>1.162798E-2</v>
      </c>
      <c r="R133">
        <v>-3.9272860000000003E-3</v>
      </c>
      <c r="S133">
        <v>3.0011290000000002</v>
      </c>
      <c r="T133">
        <v>-0.1093068</v>
      </c>
      <c r="U133">
        <v>-8.984375E-2</v>
      </c>
      <c r="V133">
        <v>3.228669E-2</v>
      </c>
      <c r="W133">
        <v>1.810434E-2</v>
      </c>
      <c r="X133">
        <v>0.9993147</v>
      </c>
      <c r="Y133">
        <v>5.819394E-2</v>
      </c>
      <c r="Z133">
        <v>-2.0912719999999999E-3</v>
      </c>
      <c r="AA133">
        <v>0.9983031</v>
      </c>
      <c r="AB133">
        <v>25</v>
      </c>
      <c r="AC133">
        <v>31.5867</v>
      </c>
      <c r="AD133">
        <v>-1.1593850000000001</v>
      </c>
      <c r="AE133">
        <v>-0.959699999999997</v>
      </c>
      <c r="AF133">
        <v>1.85239114077309</v>
      </c>
      <c r="AG133">
        <v>-1.1593850000000001</v>
      </c>
      <c r="AH133">
        <v>31.504386344547999</v>
      </c>
      <c r="AI133">
        <v>92.103946031848906</v>
      </c>
      <c r="AJ133">
        <v>86.635003850632103</v>
      </c>
      <c r="AK133">
        <v>31.5800868501526</v>
      </c>
      <c r="AL133">
        <v>88.962641087987393</v>
      </c>
      <c r="AM133">
        <v>88.149484043243007</v>
      </c>
      <c r="AN133">
        <v>1.00000003355704</v>
      </c>
    </row>
    <row r="134" spans="1:40" x14ac:dyDescent="0.25">
      <c r="A134" t="str">
        <f>"20190312154215209"</f>
        <v>20190312154215209</v>
      </c>
      <c r="B134" t="str">
        <f>"1552376535197085"</f>
        <v>1552376535197085</v>
      </c>
      <c r="C134" t="s">
        <v>40</v>
      </c>
      <c r="D134">
        <v>4.7335659999999997</v>
      </c>
      <c r="E134">
        <v>0.51064160000000003</v>
      </c>
      <c r="F134" t="s">
        <v>42</v>
      </c>
      <c r="G134">
        <v>-420.81760000000003</v>
      </c>
      <c r="H134">
        <v>-0.05</v>
      </c>
      <c r="I134">
        <v>366.762</v>
      </c>
      <c r="J134">
        <v>-456.03559999999999</v>
      </c>
      <c r="K134">
        <v>1.1093930000000001</v>
      </c>
      <c r="L134">
        <v>367.85129999999998</v>
      </c>
      <c r="M134">
        <v>0.99958570000000002</v>
      </c>
      <c r="N134">
        <v>0</v>
      </c>
      <c r="O134">
        <v>2.8019990000000002E-2</v>
      </c>
      <c r="P134">
        <v>0.99992110000000001</v>
      </c>
      <c r="Q134">
        <v>1.186209E-2</v>
      </c>
      <c r="R134">
        <v>-4.1521029999999999E-3</v>
      </c>
      <c r="S134">
        <v>3.0009769999999998</v>
      </c>
      <c r="T134">
        <v>-9.8090410000000003E-2</v>
      </c>
      <c r="U134">
        <v>-9.1583250000000005E-2</v>
      </c>
      <c r="V134">
        <v>3.2179409999999999E-2</v>
      </c>
      <c r="W134">
        <v>1.8418049999999998E-2</v>
      </c>
      <c r="X134">
        <v>0.99931239999999999</v>
      </c>
      <c r="Y134">
        <v>5.8453049999999999E-2</v>
      </c>
      <c r="Z134">
        <v>-1.8702619999999999E-3</v>
      </c>
      <c r="AA134">
        <v>0.99828839999999996</v>
      </c>
      <c r="AB134">
        <v>25</v>
      </c>
      <c r="AC134">
        <v>35.217999999999897</v>
      </c>
      <c r="AD134">
        <v>-1.1593929999999999</v>
      </c>
      <c r="AE134">
        <v>-1.0893000000000299</v>
      </c>
      <c r="AF134">
        <v>2.0734566833397801</v>
      </c>
      <c r="AG134">
        <v>-1.1593929999999999</v>
      </c>
      <c r="AH134">
        <v>35.135606604657397</v>
      </c>
      <c r="AI134">
        <v>91.8866612794654</v>
      </c>
      <c r="AJ134">
        <v>86.6227224383492</v>
      </c>
      <c r="AK134">
        <v>35.215824088375101</v>
      </c>
      <c r="AL134">
        <v>88.944663802629705</v>
      </c>
      <c r="AM134">
        <v>88.155624314916906</v>
      </c>
      <c r="AN134">
        <v>1.0000000058937499</v>
      </c>
    </row>
    <row r="135" spans="1:40" x14ac:dyDescent="0.25">
      <c r="A135" t="str">
        <f>"20190312154215231"</f>
        <v>20190312154215231</v>
      </c>
      <c r="B135" t="str">
        <f>"1552376535217581"</f>
        <v>1552376535217581</v>
      </c>
      <c r="C135" t="s">
        <v>40</v>
      </c>
      <c r="D135">
        <v>4.7737939999999996</v>
      </c>
      <c r="E135">
        <v>0.51072129999999905</v>
      </c>
      <c r="F135" t="s">
        <v>42</v>
      </c>
      <c r="G135">
        <v>-417.60219999999998</v>
      </c>
      <c r="H135">
        <v>-0.05</v>
      </c>
      <c r="I135">
        <v>366.66149999999999</v>
      </c>
      <c r="J135">
        <v>-455.7885</v>
      </c>
      <c r="K135">
        <v>1.109399</v>
      </c>
      <c r="L135">
        <v>367.8578</v>
      </c>
      <c r="M135">
        <v>0.99959430000000005</v>
      </c>
      <c r="N135">
        <v>0</v>
      </c>
      <c r="O135">
        <v>2.769607E-2</v>
      </c>
      <c r="P135">
        <v>0.99991280000000005</v>
      </c>
      <c r="Q135">
        <v>1.2433990000000001E-2</v>
      </c>
      <c r="R135">
        <v>-4.4485490000000004E-3</v>
      </c>
      <c r="S135">
        <v>3.0009160000000001</v>
      </c>
      <c r="T135">
        <v>-9.0526460000000003E-2</v>
      </c>
      <c r="U135">
        <v>-9.2895510000000001E-2</v>
      </c>
      <c r="V135">
        <v>3.2152210000000001E-2</v>
      </c>
      <c r="W135">
        <v>1.9060710000000002E-2</v>
      </c>
      <c r="X135">
        <v>0.9993012</v>
      </c>
      <c r="Y135">
        <v>5.8573239999999999E-2</v>
      </c>
      <c r="Z135">
        <v>-1.718182E-3</v>
      </c>
      <c r="AA135">
        <v>0.99828170000000005</v>
      </c>
      <c r="AB135">
        <v>25</v>
      </c>
      <c r="AC135">
        <v>38.186300000000003</v>
      </c>
      <c r="AD135">
        <v>-1.1593990000000001</v>
      </c>
      <c r="AE135">
        <v>-1.1962999999999999</v>
      </c>
      <c r="AF135">
        <v>2.2514014859213898</v>
      </c>
      <c r="AG135">
        <v>-1.1593990000000001</v>
      </c>
      <c r="AH135">
        <v>38.1034267466082</v>
      </c>
      <c r="AI135">
        <v>91.739807583793805</v>
      </c>
      <c r="AJ135">
        <v>86.618519382059901</v>
      </c>
      <c r="AK135">
        <v>38.187486753204197</v>
      </c>
      <c r="AL135">
        <v>88.907835603291403</v>
      </c>
      <c r="AM135">
        <v>88.157161578605795</v>
      </c>
      <c r="AN135">
        <v>0.99999998179751304</v>
      </c>
    </row>
    <row r="136" spans="1:40" x14ac:dyDescent="0.25">
      <c r="A136" t="str">
        <f>"20190312154215253"</f>
        <v>20190312154215253</v>
      </c>
      <c r="B136" t="str">
        <f>"1552376535247838"</f>
        <v>1552376535247838</v>
      </c>
      <c r="C136" t="s">
        <v>40</v>
      </c>
      <c r="D136">
        <v>4.7600850000000001</v>
      </c>
      <c r="E136">
        <v>0.51103529999999997</v>
      </c>
      <c r="F136" t="s">
        <v>42</v>
      </c>
      <c r="G136">
        <v>-414.35309999999998</v>
      </c>
      <c r="H136">
        <v>-0.05</v>
      </c>
      <c r="I136">
        <v>366.55160000000001</v>
      </c>
      <c r="J136">
        <v>-455.53039999999999</v>
      </c>
      <c r="K136">
        <v>1.109399</v>
      </c>
      <c r="L136">
        <v>367.86470000000003</v>
      </c>
      <c r="M136">
        <v>0.99960309999999997</v>
      </c>
      <c r="N136">
        <v>0</v>
      </c>
      <c r="O136">
        <v>2.736019E-2</v>
      </c>
      <c r="P136">
        <v>0.9999072</v>
      </c>
      <c r="Q136">
        <v>1.2833310000000001E-2</v>
      </c>
      <c r="R136">
        <v>-4.6035349999999997E-3</v>
      </c>
      <c r="S136">
        <v>3.0008539999999999</v>
      </c>
      <c r="T136">
        <v>-8.3966609999999997E-2</v>
      </c>
      <c r="U136">
        <v>-9.4604489999999999E-2</v>
      </c>
      <c r="V136">
        <v>3.1971310000000003E-2</v>
      </c>
      <c r="W136">
        <v>1.9527929999999999E-2</v>
      </c>
      <c r="X136">
        <v>0.99929800000000002</v>
      </c>
      <c r="Y136">
        <v>5.8811929999999998E-2</v>
      </c>
      <c r="Z136">
        <v>-1.587691E-3</v>
      </c>
      <c r="AA136">
        <v>0.99826780000000004</v>
      </c>
      <c r="AB136">
        <v>25</v>
      </c>
      <c r="AC136">
        <v>41.177300000000002</v>
      </c>
      <c r="AD136">
        <v>-1.1593990000000001</v>
      </c>
      <c r="AE136">
        <v>-1.3131000000000199</v>
      </c>
      <c r="AF136">
        <v>2.4373222563281001</v>
      </c>
      <c r="AG136">
        <v>-1.1593990000000001</v>
      </c>
      <c r="AH136">
        <v>41.0934119461945</v>
      </c>
      <c r="AI136">
        <v>91.613266078490895</v>
      </c>
      <c r="AJ136">
        <v>86.605663504331801</v>
      </c>
      <c r="AK136">
        <v>41.181952979454898</v>
      </c>
      <c r="AL136">
        <v>88.881060903250003</v>
      </c>
      <c r="AM136">
        <v>88.167517103080399</v>
      </c>
      <c r="AN136">
        <v>0.99999999875860002</v>
      </c>
    </row>
    <row r="137" spans="1:40" x14ac:dyDescent="0.25">
      <c r="A137" t="str">
        <f>"20190312154215276"</f>
        <v>20190312154215276</v>
      </c>
      <c r="B137" t="str">
        <f>"1552376535267358"</f>
        <v>1552376535267358</v>
      </c>
      <c r="C137" t="s">
        <v>40</v>
      </c>
      <c r="D137">
        <v>4.7769329999999997</v>
      </c>
      <c r="E137">
        <v>0.51109830000000001</v>
      </c>
      <c r="F137" t="s">
        <v>42</v>
      </c>
      <c r="G137">
        <v>-411.40589999999997</v>
      </c>
      <c r="H137">
        <v>-0.05</v>
      </c>
      <c r="I137">
        <v>366.42469999999997</v>
      </c>
      <c r="J137">
        <v>-455.27859999999998</v>
      </c>
      <c r="K137">
        <v>1.1094059999999999</v>
      </c>
      <c r="L137">
        <v>367.87119999999999</v>
      </c>
      <c r="M137">
        <v>0.99961160000000004</v>
      </c>
      <c r="N137">
        <v>0</v>
      </c>
      <c r="O137">
        <v>2.7035549999999998E-2</v>
      </c>
      <c r="P137">
        <v>0.99989989999999995</v>
      </c>
      <c r="Q137">
        <v>1.3181109999999999E-2</v>
      </c>
      <c r="R137">
        <v>-5.1573779999999998E-3</v>
      </c>
      <c r="S137">
        <v>3.0008240000000002</v>
      </c>
      <c r="T137">
        <v>-7.8848600000000005E-2</v>
      </c>
      <c r="U137">
        <v>-9.7930909999999996E-2</v>
      </c>
      <c r="V137">
        <v>3.2200529999999998E-2</v>
      </c>
      <c r="W137">
        <v>1.9934110000000001E-2</v>
      </c>
      <c r="X137">
        <v>0.99928260000000002</v>
      </c>
      <c r="Y137">
        <v>5.9597289999999997E-2</v>
      </c>
      <c r="Z137">
        <v>-1.4927300000000001E-3</v>
      </c>
      <c r="AA137">
        <v>0.99822140000000004</v>
      </c>
      <c r="AB137">
        <v>25</v>
      </c>
      <c r="AC137">
        <v>43.872700000000002</v>
      </c>
      <c r="AD137">
        <v>-1.1594059999999999</v>
      </c>
      <c r="AE137">
        <v>-1.4465000000000101</v>
      </c>
      <c r="AF137">
        <v>2.6302860309856002</v>
      </c>
      <c r="AG137">
        <v>-1.1594059999999999</v>
      </c>
      <c r="AH137">
        <v>43.787008678256598</v>
      </c>
      <c r="AI137">
        <v>91.5140131747076</v>
      </c>
      <c r="AJ137">
        <v>86.562372789273496</v>
      </c>
      <c r="AK137">
        <v>43.881257455402803</v>
      </c>
      <c r="AL137">
        <v>88.8577839490532</v>
      </c>
      <c r="AM137">
        <v>88.154359650735103</v>
      </c>
      <c r="AN137">
        <v>0.99999997876826596</v>
      </c>
    </row>
    <row r="138" spans="1:40" x14ac:dyDescent="0.25">
      <c r="A138" t="str">
        <f>"20190312154215297"</f>
        <v>20190312154215297</v>
      </c>
      <c r="B138" t="str">
        <f>"1552376535287856"</f>
        <v>1552376535287856</v>
      </c>
      <c r="C138" t="s">
        <v>40</v>
      </c>
      <c r="D138">
        <v>4.7725730000000004</v>
      </c>
      <c r="E138">
        <v>0.51109749999999998</v>
      </c>
      <c r="F138" t="s">
        <v>42</v>
      </c>
      <c r="G138">
        <v>-409.57810000000001</v>
      </c>
      <c r="H138">
        <v>-0.05</v>
      </c>
      <c r="I138">
        <v>366.3458</v>
      </c>
      <c r="J138">
        <v>-455.03559999999999</v>
      </c>
      <c r="K138">
        <v>1.109413</v>
      </c>
      <c r="L138">
        <v>367.87740000000002</v>
      </c>
      <c r="M138">
        <v>0.99961949999999999</v>
      </c>
      <c r="N138">
        <v>0</v>
      </c>
      <c r="O138">
        <v>2.6727420000000002E-2</v>
      </c>
      <c r="P138">
        <v>0.99988829999999995</v>
      </c>
      <c r="Q138">
        <v>1.378715E-2</v>
      </c>
      <c r="R138">
        <v>-5.7764269999999998E-3</v>
      </c>
      <c r="S138">
        <v>3.0007630000000001</v>
      </c>
      <c r="T138">
        <v>-7.6128360000000006E-2</v>
      </c>
      <c r="U138">
        <v>-0.1001587</v>
      </c>
      <c r="V138">
        <v>3.2511230000000002E-2</v>
      </c>
      <c r="W138">
        <v>2.0588680000000002E-2</v>
      </c>
      <c r="X138">
        <v>0.99925929999999996</v>
      </c>
      <c r="Y138">
        <v>6.0032519999999999E-2</v>
      </c>
      <c r="Z138">
        <v>-1.438967E-3</v>
      </c>
      <c r="AA138">
        <v>0.99819539999999995</v>
      </c>
      <c r="AB138">
        <v>25</v>
      </c>
      <c r="AC138">
        <v>45.457499999999897</v>
      </c>
      <c r="AD138">
        <v>-1.159413</v>
      </c>
      <c r="AE138">
        <v>-1.5316000000000201</v>
      </c>
      <c r="AF138">
        <v>2.7442595771479099</v>
      </c>
      <c r="AG138">
        <v>-1.159413</v>
      </c>
      <c r="AH138">
        <v>45.370841796474103</v>
      </c>
      <c r="AI138">
        <v>91.4611568104268</v>
      </c>
      <c r="AJ138">
        <v>86.538676370539903</v>
      </c>
      <c r="AK138">
        <v>45.468543900723397</v>
      </c>
      <c r="AL138">
        <v>88.820272186949595</v>
      </c>
      <c r="AM138">
        <v>88.136520309752797</v>
      </c>
      <c r="AN138">
        <v>1.00000001122837</v>
      </c>
    </row>
    <row r="139" spans="1:40" x14ac:dyDescent="0.25">
      <c r="A139" t="str">
        <f>"20190312154215320"</f>
        <v>20190312154215320</v>
      </c>
      <c r="B139" t="str">
        <f>"1552376535307377"</f>
        <v>1552376535307377</v>
      </c>
      <c r="C139" t="s">
        <v>40</v>
      </c>
      <c r="D139">
        <v>4.7738659999999999</v>
      </c>
      <c r="E139">
        <v>0.51110159999999905</v>
      </c>
      <c r="F139" t="s">
        <v>42</v>
      </c>
      <c r="G139">
        <v>-407.34660000000002</v>
      </c>
      <c r="H139">
        <v>-0.05</v>
      </c>
      <c r="I139">
        <v>366.25749999999999</v>
      </c>
      <c r="J139">
        <v>-454.78410000000002</v>
      </c>
      <c r="K139">
        <v>1.109426</v>
      </c>
      <c r="L139">
        <v>367.88380000000001</v>
      </c>
      <c r="M139">
        <v>0.99962740000000005</v>
      </c>
      <c r="N139">
        <v>0</v>
      </c>
      <c r="O139">
        <v>2.6415620000000001E-2</v>
      </c>
      <c r="P139">
        <v>0.99987579999999998</v>
      </c>
      <c r="Q139">
        <v>1.444689E-2</v>
      </c>
      <c r="R139">
        <v>-6.3011430000000004E-3</v>
      </c>
      <c r="S139">
        <v>3.0007929999999998</v>
      </c>
      <c r="T139">
        <v>-7.2955249999999999E-2</v>
      </c>
      <c r="U139">
        <v>-0.1019287</v>
      </c>
      <c r="V139">
        <v>3.2723629999999997E-2</v>
      </c>
      <c r="W139">
        <v>2.1290429999999999E-2</v>
      </c>
      <c r="X139">
        <v>0.99923770000000001</v>
      </c>
      <c r="Y139">
        <v>6.0311240000000002E-2</v>
      </c>
      <c r="Z139">
        <v>-1.374791E-3</v>
      </c>
      <c r="AA139">
        <v>0.99817869999999997</v>
      </c>
      <c r="AB139">
        <v>25</v>
      </c>
      <c r="AC139">
        <v>47.4375</v>
      </c>
      <c r="AD139">
        <v>-1.1594260000000001</v>
      </c>
      <c r="AE139">
        <v>-1.6263000000000101</v>
      </c>
      <c r="AF139">
        <v>2.87713637215208</v>
      </c>
      <c r="AG139">
        <v>-1.1594260000000001</v>
      </c>
      <c r="AH139">
        <v>47.349732958784998</v>
      </c>
      <c r="AI139">
        <v>91.400107560119196</v>
      </c>
      <c r="AJ139">
        <v>86.5227821729965</v>
      </c>
      <c r="AK139">
        <v>47.451231739773498</v>
      </c>
      <c r="AL139">
        <v>88.780056102636294</v>
      </c>
      <c r="AM139">
        <v>88.1243141118468</v>
      </c>
      <c r="AN139">
        <v>1.0000000497356201</v>
      </c>
    </row>
    <row r="140" spans="1:40" x14ac:dyDescent="0.25">
      <c r="A140" t="str">
        <f>"20190312154215341"</f>
        <v>20190312154215341</v>
      </c>
      <c r="B140" t="str">
        <f>"1552376535337630"</f>
        <v>1552376535337630</v>
      </c>
      <c r="C140" t="s">
        <v>40</v>
      </c>
      <c r="D140">
        <v>4.7781019999999996</v>
      </c>
      <c r="E140">
        <v>0.51111059999999997</v>
      </c>
      <c r="F140" t="s">
        <v>42</v>
      </c>
      <c r="G140">
        <v>-404.82029999999997</v>
      </c>
      <c r="H140">
        <v>-0.05</v>
      </c>
      <c r="I140">
        <v>366.16269999999997</v>
      </c>
      <c r="J140">
        <v>-454.5335</v>
      </c>
      <c r="K140">
        <v>1.1094329999999999</v>
      </c>
      <c r="L140">
        <v>367.89</v>
      </c>
      <c r="M140">
        <v>0.99963519999999995</v>
      </c>
      <c r="N140">
        <v>0</v>
      </c>
      <c r="O140">
        <v>2.6112550000000002E-2</v>
      </c>
      <c r="P140">
        <v>0.99985979999999997</v>
      </c>
      <c r="Q140">
        <v>1.525483E-2</v>
      </c>
      <c r="R140">
        <v>-6.9365479999999998E-3</v>
      </c>
      <c r="S140">
        <v>3.0007320000000002</v>
      </c>
      <c r="T140">
        <v>-6.9633009999999995E-2</v>
      </c>
      <c r="U140">
        <v>-0.103363</v>
      </c>
      <c r="V140">
        <v>3.3055840000000003E-2</v>
      </c>
      <c r="W140">
        <v>2.2135180000000001E-2</v>
      </c>
      <c r="X140">
        <v>0.99920830000000005</v>
      </c>
      <c r="Y140">
        <v>6.0488189999999997E-2</v>
      </c>
      <c r="Z140">
        <v>-1.3072419999999999E-3</v>
      </c>
      <c r="AA140">
        <v>0.9981681</v>
      </c>
      <c r="AB140">
        <v>25</v>
      </c>
      <c r="AC140">
        <v>49.713200000000001</v>
      </c>
      <c r="AD140">
        <v>-1.1594329999999999</v>
      </c>
      <c r="AE140">
        <v>-1.72730000000001</v>
      </c>
      <c r="AF140">
        <v>3.0232378318031401</v>
      </c>
      <c r="AG140">
        <v>-1.1594329999999999</v>
      </c>
      <c r="AH140">
        <v>49.624182332442999</v>
      </c>
      <c r="AI140">
        <v>91.335954740271106</v>
      </c>
      <c r="AJ140">
        <v>86.513696922959497</v>
      </c>
      <c r="AK140">
        <v>49.729706655405501</v>
      </c>
      <c r="AL140">
        <v>88.731643942459797</v>
      </c>
      <c r="AM140">
        <v>88.105230266965606</v>
      </c>
      <c r="AN140">
        <v>0.99999994077031196</v>
      </c>
    </row>
    <row r="141" spans="1:40" x14ac:dyDescent="0.25">
      <c r="A141" t="str">
        <f>"20190312154215363"</f>
        <v>20190312154215363</v>
      </c>
      <c r="B141" t="str">
        <f>"1552376535357150"</f>
        <v>1552376535357150</v>
      </c>
      <c r="C141" t="s">
        <v>40</v>
      </c>
      <c r="D141">
        <v>4.7496260000000001</v>
      </c>
      <c r="E141">
        <v>0.51111809999999902</v>
      </c>
      <c r="F141" t="s">
        <v>42</v>
      </c>
      <c r="G141">
        <v>-402.01</v>
      </c>
      <c r="H141">
        <v>-0.05</v>
      </c>
      <c r="I141">
        <v>366.04340000000002</v>
      </c>
      <c r="J141">
        <v>-454.28300000000002</v>
      </c>
      <c r="K141">
        <v>1.109442</v>
      </c>
      <c r="L141">
        <v>367.8963</v>
      </c>
      <c r="M141">
        <v>0.9996427</v>
      </c>
      <c r="N141">
        <v>0</v>
      </c>
      <c r="O141">
        <v>2.5817969999999999E-2</v>
      </c>
      <c r="P141">
        <v>0.99984960000000001</v>
      </c>
      <c r="Q141">
        <v>1.5626439999999998E-2</v>
      </c>
      <c r="R141">
        <v>-7.5166159999999899E-3</v>
      </c>
      <c r="S141">
        <v>3.0006710000000001</v>
      </c>
      <c r="T141">
        <v>-6.6238519999999995E-2</v>
      </c>
      <c r="U141">
        <v>-0.1054993</v>
      </c>
      <c r="V141">
        <v>3.3340990000000001E-2</v>
      </c>
      <c r="W141">
        <v>2.253896E-2</v>
      </c>
      <c r="X141">
        <v>0.99918989999999996</v>
      </c>
      <c r="Y141">
        <v>6.0906670000000003E-2</v>
      </c>
      <c r="Z141">
        <v>-1.241661E-3</v>
      </c>
      <c r="AA141">
        <v>0.99814270000000005</v>
      </c>
      <c r="AB141">
        <v>25</v>
      </c>
      <c r="AC141">
        <v>52.273000000000003</v>
      </c>
      <c r="AD141">
        <v>-1.1594420000000001</v>
      </c>
      <c r="AE141">
        <v>-1.85289999999997</v>
      </c>
      <c r="AF141">
        <v>3.20032489395446</v>
      </c>
      <c r="AG141">
        <v>-1.1594420000000001</v>
      </c>
      <c r="AH141">
        <v>52.182095174383399</v>
      </c>
      <c r="AI141">
        <v>91.270467983332594</v>
      </c>
      <c r="AJ141">
        <v>86.490448965405704</v>
      </c>
      <c r="AK141">
        <v>52.292996108146603</v>
      </c>
      <c r="AL141">
        <v>88.708503407255193</v>
      </c>
      <c r="AM141">
        <v>88.088862293382604</v>
      </c>
      <c r="AN141">
        <v>1.00000004129703</v>
      </c>
    </row>
    <row r="142" spans="1:40" x14ac:dyDescent="0.25">
      <c r="A142" t="str">
        <f>"20190312154215386"</f>
        <v>20190312154215386</v>
      </c>
      <c r="B142" t="str">
        <f>"1552376535377646"</f>
        <v>1552376535377646</v>
      </c>
      <c r="C142" t="s">
        <v>40</v>
      </c>
      <c r="D142">
        <v>4.7713299999999998</v>
      </c>
      <c r="E142">
        <v>0.5111329</v>
      </c>
      <c r="F142" t="s">
        <v>42</v>
      </c>
      <c r="G142">
        <v>-400.53440000000001</v>
      </c>
      <c r="H142">
        <v>-0.05</v>
      </c>
      <c r="I142">
        <v>365.97269999999997</v>
      </c>
      <c r="J142">
        <v>-454.01170000000002</v>
      </c>
      <c r="K142">
        <v>1.109443</v>
      </c>
      <c r="L142">
        <v>367.90300000000002</v>
      </c>
      <c r="M142">
        <v>0.99965040000000005</v>
      </c>
      <c r="N142">
        <v>0</v>
      </c>
      <c r="O142">
        <v>2.5508240000000001E-2</v>
      </c>
      <c r="P142">
        <v>0.9998437</v>
      </c>
      <c r="Q142">
        <v>1.5988430000000001E-2</v>
      </c>
      <c r="R142">
        <v>-7.5625619999999897E-3</v>
      </c>
      <c r="S142">
        <v>3.0006710000000001</v>
      </c>
      <c r="T142">
        <v>-6.4729209999999995E-2</v>
      </c>
      <c r="U142">
        <v>-0.1073914</v>
      </c>
      <c r="V142">
        <v>3.3076990000000001E-2</v>
      </c>
      <c r="W142">
        <v>2.2934159999999999E-2</v>
      </c>
      <c r="X142">
        <v>0.99918960000000001</v>
      </c>
      <c r="Y142">
        <v>6.1226959999999997E-2</v>
      </c>
      <c r="Z142">
        <v>-1.2101379999999999E-3</v>
      </c>
      <c r="AA142">
        <v>0.99812310000000004</v>
      </c>
      <c r="AB142">
        <v>26</v>
      </c>
      <c r="AC142">
        <v>53.4773</v>
      </c>
      <c r="AD142">
        <v>-1.159443</v>
      </c>
      <c r="AE142">
        <v>-1.9303000000000401</v>
      </c>
      <c r="AF142">
        <v>3.2922711190767799</v>
      </c>
      <c r="AG142">
        <v>-1.159443</v>
      </c>
      <c r="AH142">
        <v>53.385596374039601</v>
      </c>
      <c r="AI142">
        <v>91.2418114213541</v>
      </c>
      <c r="AJ142">
        <v>86.471058414929601</v>
      </c>
      <c r="AK142">
        <v>53.499581843259499</v>
      </c>
      <c r="AL142">
        <v>88.6858541539264</v>
      </c>
      <c r="AM142">
        <v>88.103983370049704</v>
      </c>
      <c r="AN142">
        <v>0.99999995985526202</v>
      </c>
    </row>
    <row r="143" spans="1:40" x14ac:dyDescent="0.25">
      <c r="A143" t="str">
        <f>"20190312154215408"</f>
        <v>20190312154215408</v>
      </c>
      <c r="B143" t="str">
        <f>"1552376535397169"</f>
        <v>1552376535397169</v>
      </c>
      <c r="C143" t="s">
        <v>40</v>
      </c>
      <c r="D143">
        <v>4.7707430000000004</v>
      </c>
      <c r="E143">
        <v>0.51102349999999996</v>
      </c>
      <c r="F143" t="s">
        <v>42</v>
      </c>
      <c r="G143">
        <v>-399.03059999999999</v>
      </c>
      <c r="H143">
        <v>-0.05</v>
      </c>
      <c r="I143">
        <v>365.92689999999999</v>
      </c>
      <c r="J143">
        <v>-453.76060000000001</v>
      </c>
      <c r="K143">
        <v>1.1094569999999999</v>
      </c>
      <c r="L143">
        <v>367.90910000000002</v>
      </c>
      <c r="M143">
        <v>0.99965729999999997</v>
      </c>
      <c r="N143">
        <v>0</v>
      </c>
      <c r="O143">
        <v>2.5228029999999999E-2</v>
      </c>
      <c r="P143">
        <v>0.99982969999999904</v>
      </c>
      <c r="Q143">
        <v>1.6930879999999999E-2</v>
      </c>
      <c r="R143">
        <v>-7.3351479999999997E-3</v>
      </c>
      <c r="S143">
        <v>3.000702</v>
      </c>
      <c r="T143">
        <v>-6.3278909999999994E-2</v>
      </c>
      <c r="U143">
        <v>-0.1078491</v>
      </c>
      <c r="V143">
        <v>3.256949E-2</v>
      </c>
      <c r="W143">
        <v>2.3904729999999999E-2</v>
      </c>
      <c r="X143">
        <v>0.9991835</v>
      </c>
      <c r="Y143">
        <v>6.1099870000000001E-2</v>
      </c>
      <c r="Z143">
        <v>-1.1757689999999999E-3</v>
      </c>
      <c r="AA143">
        <v>0.99813099999999999</v>
      </c>
      <c r="AB143">
        <v>26</v>
      </c>
      <c r="AC143">
        <v>54.73</v>
      </c>
      <c r="AD143">
        <v>-1.159457</v>
      </c>
      <c r="AE143">
        <v>-1.9822000000000299</v>
      </c>
      <c r="AF143">
        <v>3.3608264905002398</v>
      </c>
      <c r="AG143">
        <v>-1.159457</v>
      </c>
      <c r="AH143">
        <v>54.638081844656597</v>
      </c>
      <c r="AI143">
        <v>91.2133800850781</v>
      </c>
      <c r="AJ143">
        <v>86.480131421878298</v>
      </c>
      <c r="AK143">
        <v>54.753625294563797</v>
      </c>
      <c r="AL143">
        <v>88.630229297413607</v>
      </c>
      <c r="AM143">
        <v>88.133041801886407</v>
      </c>
      <c r="AN143">
        <v>0.99999993723373903</v>
      </c>
    </row>
    <row r="144" spans="1:40" x14ac:dyDescent="0.25">
      <c r="A144" t="str">
        <f>"20190312154215442"</f>
        <v>20190312154215442</v>
      </c>
      <c r="B144" t="str">
        <f>"1552376535437182"</f>
        <v>1552376535437182</v>
      </c>
      <c r="C144" t="s">
        <v>40</v>
      </c>
      <c r="D144">
        <v>4.7395519999999998</v>
      </c>
      <c r="E144">
        <v>0.51079960000000002</v>
      </c>
      <c r="F144" t="s">
        <v>42</v>
      </c>
      <c r="G144">
        <v>-399.11630000000002</v>
      </c>
      <c r="H144">
        <v>-0.05</v>
      </c>
      <c r="I144">
        <v>365.97789999999998</v>
      </c>
      <c r="J144">
        <v>-453.37700000000001</v>
      </c>
      <c r="K144">
        <v>1.1094679999999999</v>
      </c>
      <c r="L144">
        <v>367.91820000000001</v>
      </c>
      <c r="M144">
        <v>0.99966750000000004</v>
      </c>
      <c r="N144">
        <v>0</v>
      </c>
      <c r="O144">
        <v>2.4808589999999998E-2</v>
      </c>
      <c r="P144">
        <v>0.99981549999999997</v>
      </c>
      <c r="Q144">
        <v>1.8001300000000001E-2</v>
      </c>
      <c r="R144">
        <v>-6.7113229999999999E-3</v>
      </c>
      <c r="S144">
        <v>3.0007929999999998</v>
      </c>
      <c r="T144">
        <v>-6.367159E-2</v>
      </c>
      <c r="U144">
        <v>-0.10604860000000001</v>
      </c>
      <c r="V144">
        <v>3.152667E-2</v>
      </c>
      <c r="W144">
        <v>2.5014950000000001E-2</v>
      </c>
      <c r="X144">
        <v>0.99918989999999996</v>
      </c>
      <c r="Y144">
        <v>6.0081900000000001E-2</v>
      </c>
      <c r="Z144">
        <v>-1.163348E-3</v>
      </c>
      <c r="AA144">
        <v>0.99819279999999999</v>
      </c>
      <c r="AB144">
        <v>26</v>
      </c>
      <c r="AC144">
        <v>54.2606999999999</v>
      </c>
      <c r="AD144">
        <v>-1.1594679999999999</v>
      </c>
      <c r="AE144">
        <v>-1.9403000000000299</v>
      </c>
      <c r="AF144">
        <v>3.2843697444029201</v>
      </c>
      <c r="AG144">
        <v>-1.1594679999999999</v>
      </c>
      <c r="AH144">
        <v>54.171157916045303</v>
      </c>
      <c r="AI144">
        <v>91.2239127556483</v>
      </c>
      <c r="AJ144">
        <v>86.530433179461198</v>
      </c>
      <c r="AK144">
        <v>54.283015765763203</v>
      </c>
      <c r="AL144">
        <v>88.566599519273097</v>
      </c>
      <c r="AM144">
        <v>88.192789919777098</v>
      </c>
      <c r="AN144">
        <v>1.00000006745339</v>
      </c>
    </row>
    <row r="145" spans="1:40" x14ac:dyDescent="0.25">
      <c r="A145" t="str">
        <f>"20190312154215464"</f>
        <v>20190312154215464</v>
      </c>
      <c r="B145" t="str">
        <f>"1552376535457678"</f>
        <v>1552376535457678</v>
      </c>
      <c r="C145" t="s">
        <v>40</v>
      </c>
      <c r="D145">
        <v>4.7598019999999996</v>
      </c>
      <c r="E145">
        <v>0.51068630000000004</v>
      </c>
      <c r="F145" t="s">
        <v>42</v>
      </c>
      <c r="G145">
        <v>-399.92079999999999</v>
      </c>
      <c r="H145">
        <v>-0.05</v>
      </c>
      <c r="I145">
        <v>366.09829999999999</v>
      </c>
      <c r="J145">
        <v>-453.11610000000002</v>
      </c>
      <c r="K145">
        <v>1.1094649999999999</v>
      </c>
      <c r="L145">
        <v>367.92439999999999</v>
      </c>
      <c r="M145">
        <v>0.99967430000000002</v>
      </c>
      <c r="N145">
        <v>0</v>
      </c>
      <c r="O145">
        <v>2.452644E-2</v>
      </c>
      <c r="P145">
        <v>0.9998127</v>
      </c>
      <c r="Q145">
        <v>1.8331509999999999E-2</v>
      </c>
      <c r="R145">
        <v>-6.2281050000000003E-3</v>
      </c>
      <c r="S145">
        <v>3.0010680000000001</v>
      </c>
      <c r="T145">
        <v>-6.5093280000000003E-2</v>
      </c>
      <c r="U145">
        <v>-0.1021729</v>
      </c>
      <c r="V145">
        <v>3.0761569999999998E-2</v>
      </c>
      <c r="W145">
        <v>2.5371990000000001E-2</v>
      </c>
      <c r="X145">
        <v>0.99920469999999895</v>
      </c>
      <c r="Y145">
        <v>5.8508890000000001E-2</v>
      </c>
      <c r="Z145">
        <v>-1.166063E-3</v>
      </c>
      <c r="AA145">
        <v>0.99828620000000001</v>
      </c>
      <c r="AB145">
        <v>26</v>
      </c>
      <c r="AC145">
        <v>53.195300000000003</v>
      </c>
      <c r="AD145">
        <v>-1.159465</v>
      </c>
      <c r="AE145">
        <v>-1.8260999999999901</v>
      </c>
      <c r="AF145">
        <v>3.1287897531057598</v>
      </c>
      <c r="AG145">
        <v>-1.159465</v>
      </c>
      <c r="AH145">
        <v>53.109306645693003</v>
      </c>
      <c r="AI145">
        <v>91.2485000395003</v>
      </c>
      <c r="AJ145">
        <v>86.628472498376595</v>
      </c>
      <c r="AK145">
        <v>53.2140219941287</v>
      </c>
      <c r="AL145">
        <v>88.546136074546993</v>
      </c>
      <c r="AM145">
        <v>88.236645979900501</v>
      </c>
      <c r="AN145">
        <v>1.00000002228375</v>
      </c>
    </row>
    <row r="146" spans="1:40" x14ac:dyDescent="0.25">
      <c r="A146" t="str">
        <f>"20190312154215487"</f>
        <v>20190312154215487</v>
      </c>
      <c r="B146" t="str">
        <f>"1552376535477197"</f>
        <v>1552376535477197</v>
      </c>
      <c r="C146" t="s">
        <v>40</v>
      </c>
      <c r="D146">
        <v>4.7535639999999999</v>
      </c>
      <c r="E146">
        <v>0.51057920000000001</v>
      </c>
      <c r="F146" t="s">
        <v>42</v>
      </c>
      <c r="G146">
        <v>-400.44119999999998</v>
      </c>
      <c r="H146">
        <v>-0.05</v>
      </c>
      <c r="I146">
        <v>366.17450000000002</v>
      </c>
      <c r="J146">
        <v>-452.8415</v>
      </c>
      <c r="K146">
        <v>1.109469</v>
      </c>
      <c r="L146">
        <v>367.93079999999998</v>
      </c>
      <c r="M146">
        <v>0.99968140000000005</v>
      </c>
      <c r="N146">
        <v>0</v>
      </c>
      <c r="O146">
        <v>2.4231590000000001E-2</v>
      </c>
      <c r="P146">
        <v>0.99980460000000004</v>
      </c>
      <c r="Q146">
        <v>1.8599939999999999E-2</v>
      </c>
      <c r="R146">
        <v>-6.7017689999999998E-3</v>
      </c>
      <c r="S146">
        <v>3.0011899999999998</v>
      </c>
      <c r="T146">
        <v>-6.6061380000000003E-2</v>
      </c>
      <c r="U146">
        <v>-9.9700929999999993E-2</v>
      </c>
      <c r="V146">
        <v>3.094038E-2</v>
      </c>
      <c r="W146">
        <v>2.5665629999999998E-2</v>
      </c>
      <c r="X146">
        <v>0.99919159999999996</v>
      </c>
      <c r="Y146">
        <v>5.7391490000000003E-2</v>
      </c>
      <c r="Z146">
        <v>-1.164588E-3</v>
      </c>
      <c r="AA146">
        <v>0.99835110000000005</v>
      </c>
      <c r="AB146">
        <v>26</v>
      </c>
      <c r="AC146">
        <v>52.400300000000001</v>
      </c>
      <c r="AD146">
        <v>-1.1594690000000001</v>
      </c>
      <c r="AE146">
        <v>-1.75629999999995</v>
      </c>
      <c r="AF146">
        <v>3.02407960037509</v>
      </c>
      <c r="AG146">
        <v>-1.1594690000000001</v>
      </c>
      <c r="AH146">
        <v>52.316767931286797</v>
      </c>
      <c r="AI146">
        <v>91.267493347186402</v>
      </c>
      <c r="AJ146">
        <v>86.691798507259193</v>
      </c>
      <c r="AK146">
        <v>52.416921242738802</v>
      </c>
      <c r="AL146">
        <v>88.529306144179799</v>
      </c>
      <c r="AM146">
        <v>88.226379294202104</v>
      </c>
      <c r="AN146">
        <v>0.999999942594199</v>
      </c>
    </row>
    <row r="147" spans="1:40" x14ac:dyDescent="0.25">
      <c r="A147" t="str">
        <f>"20190312154215508"</f>
        <v>20190312154215508</v>
      </c>
      <c r="B147" t="str">
        <f>"1552376535497694"</f>
        <v>1552376535497694</v>
      </c>
      <c r="C147" t="s">
        <v>40</v>
      </c>
      <c r="D147">
        <v>4.737978</v>
      </c>
      <c r="E147">
        <v>0.51050459999999998</v>
      </c>
      <c r="F147" t="s">
        <v>42</v>
      </c>
      <c r="G147">
        <v>-400.8202</v>
      </c>
      <c r="H147">
        <v>-0.05</v>
      </c>
      <c r="I147">
        <v>366.19049999999999</v>
      </c>
      <c r="J147">
        <v>-452.59679999999997</v>
      </c>
      <c r="K147">
        <v>1.1094710000000001</v>
      </c>
      <c r="L147">
        <v>367.93650000000002</v>
      </c>
      <c r="M147">
        <v>0.9996874</v>
      </c>
      <c r="N147">
        <v>0</v>
      </c>
      <c r="O147">
        <v>2.396935E-2</v>
      </c>
      <c r="P147">
        <v>0.9998032</v>
      </c>
      <c r="Q147">
        <v>1.8592560000000001E-2</v>
      </c>
      <c r="R147">
        <v>-6.9300890000000004E-3</v>
      </c>
      <c r="S147">
        <v>3.0011899999999998</v>
      </c>
      <c r="T147">
        <v>-6.6891549999999994E-2</v>
      </c>
      <c r="U147">
        <v>-0.1004028</v>
      </c>
      <c r="V147">
        <v>3.0906570000000001E-2</v>
      </c>
      <c r="W147">
        <v>2.568136E-2</v>
      </c>
      <c r="X147">
        <v>0.99919230000000003</v>
      </c>
      <c r="Y147">
        <v>5.7362400000000001E-2</v>
      </c>
      <c r="Z147">
        <v>-1.1730480000000001E-3</v>
      </c>
      <c r="AA147">
        <v>0.99835269999999998</v>
      </c>
      <c r="AB147">
        <v>26</v>
      </c>
      <c r="AC147">
        <v>51.776599999999902</v>
      </c>
      <c r="AD147">
        <v>-1.1594709999999999</v>
      </c>
      <c r="AE147">
        <v>-1.74600000000003</v>
      </c>
      <c r="AF147">
        <v>2.9850859106048602</v>
      </c>
      <c r="AG147">
        <v>-1.1594709999999999</v>
      </c>
      <c r="AH147">
        <v>51.693977971764099</v>
      </c>
      <c r="AI147">
        <v>91.282765056309501</v>
      </c>
      <c r="AJ147">
        <v>86.695106354927503</v>
      </c>
      <c r="AK147">
        <v>51.793073566247898</v>
      </c>
      <c r="AL147">
        <v>88.528404669357201</v>
      </c>
      <c r="AM147">
        <v>88.228317417008896</v>
      </c>
      <c r="AN147">
        <v>1.0000000003499501</v>
      </c>
    </row>
    <row r="148" spans="1:40" x14ac:dyDescent="0.25">
      <c r="A148" t="str">
        <f>"20190312154215529"</f>
        <v>20190312154215529</v>
      </c>
      <c r="B148" t="str">
        <f>"1552376535517214"</f>
        <v>1552376535517214</v>
      </c>
      <c r="C148" t="s">
        <v>40</v>
      </c>
      <c r="D148">
        <v>4.7211670000000003</v>
      </c>
      <c r="E148">
        <v>0.51042929999999997</v>
      </c>
      <c r="F148" t="s">
        <v>42</v>
      </c>
      <c r="G148">
        <v>-401.65629999999999</v>
      </c>
      <c r="H148">
        <v>-0.05</v>
      </c>
      <c r="I148">
        <v>366.2328</v>
      </c>
      <c r="J148">
        <v>-452.34589999999997</v>
      </c>
      <c r="K148">
        <v>1.1094740000000001</v>
      </c>
      <c r="L148">
        <v>367.94229999999999</v>
      </c>
      <c r="M148">
        <v>0.99969379999999997</v>
      </c>
      <c r="N148">
        <v>0</v>
      </c>
      <c r="O148">
        <v>2.370044E-2</v>
      </c>
      <c r="P148">
        <v>0.99979070000000003</v>
      </c>
      <c r="Q148">
        <v>1.8788300000000001E-2</v>
      </c>
      <c r="R148">
        <v>-8.1186580000000008E-3</v>
      </c>
      <c r="S148">
        <v>3.0011899999999998</v>
      </c>
      <c r="T148">
        <v>-6.8310979999999993E-2</v>
      </c>
      <c r="U148">
        <v>-0.1003723</v>
      </c>
      <c r="V148">
        <v>3.182571E-2</v>
      </c>
      <c r="W148">
        <v>2.589872E-2</v>
      </c>
      <c r="X148">
        <v>0.99915779999999998</v>
      </c>
      <c r="Y148">
        <v>5.7082979999999998E-2</v>
      </c>
      <c r="Z148">
        <v>-1.188637E-3</v>
      </c>
      <c r="AA148">
        <v>0.9983687</v>
      </c>
      <c r="AB148">
        <v>26</v>
      </c>
      <c r="AC148">
        <v>50.689599999999899</v>
      </c>
      <c r="AD148">
        <v>-1.1594739999999999</v>
      </c>
      <c r="AE148">
        <v>-1.70949999999999</v>
      </c>
      <c r="AF148">
        <v>2.9088957390584298</v>
      </c>
      <c r="AG148">
        <v>-1.1594739999999999</v>
      </c>
      <c r="AH148">
        <v>50.608394663632502</v>
      </c>
      <c r="AI148">
        <v>91.310295173906496</v>
      </c>
      <c r="AJ148">
        <v>86.710342844265696</v>
      </c>
      <c r="AK148">
        <v>50.705183806070302</v>
      </c>
      <c r="AL148">
        <v>88.515946661605099</v>
      </c>
      <c r="AM148">
        <v>88.175600943832904</v>
      </c>
      <c r="AN148">
        <v>0.99999996440773997</v>
      </c>
    </row>
    <row r="149" spans="1:40" x14ac:dyDescent="0.25">
      <c r="A149" t="str">
        <f>"20190312154215553"</f>
        <v>20190312154215553</v>
      </c>
      <c r="B149" t="str">
        <f>"1552376535537710"</f>
        <v>1552376535537710</v>
      </c>
      <c r="C149" t="s">
        <v>40</v>
      </c>
      <c r="D149">
        <v>4.7511919999999996</v>
      </c>
      <c r="E149">
        <v>0.5339024</v>
      </c>
      <c r="F149" t="s">
        <v>42</v>
      </c>
      <c r="G149">
        <v>-401.53059999999999</v>
      </c>
      <c r="H149">
        <v>-0.05</v>
      </c>
      <c r="I149">
        <v>366.19</v>
      </c>
      <c r="J149">
        <v>-452.07499999999999</v>
      </c>
      <c r="K149">
        <v>1.109467</v>
      </c>
      <c r="L149">
        <v>367.94830000000002</v>
      </c>
      <c r="M149">
        <v>0.99970040000000004</v>
      </c>
      <c r="N149">
        <v>0</v>
      </c>
      <c r="O149">
        <v>2.340946E-2</v>
      </c>
      <c r="P149">
        <v>0.99979229999999997</v>
      </c>
      <c r="Q149">
        <v>1.8555909999999998E-2</v>
      </c>
      <c r="R149">
        <v>-8.4454390000000008E-3</v>
      </c>
      <c r="S149">
        <v>3.0010680000000001</v>
      </c>
      <c r="T149">
        <v>-6.8476560000000006E-2</v>
      </c>
      <c r="U149">
        <v>-0.1034851</v>
      </c>
      <c r="V149">
        <v>3.186158E-2</v>
      </c>
      <c r="W149">
        <v>2.5690419999999999E-2</v>
      </c>
      <c r="X149">
        <v>0.99916210000000005</v>
      </c>
      <c r="Y149">
        <v>5.7827870000000003E-2</v>
      </c>
      <c r="Z149">
        <v>-1.193405E-3</v>
      </c>
      <c r="AA149">
        <v>0.99832589999999999</v>
      </c>
      <c r="AB149">
        <v>26</v>
      </c>
      <c r="AC149">
        <v>50.544400000000003</v>
      </c>
      <c r="AD149">
        <v>-1.159467</v>
      </c>
      <c r="AE149">
        <v>-1.75830000000001</v>
      </c>
      <c r="AF149">
        <v>2.9395205027098301</v>
      </c>
      <c r="AG149">
        <v>-1.159467</v>
      </c>
      <c r="AH149">
        <v>50.4628635758597</v>
      </c>
      <c r="AI149">
        <v>91.314006180311594</v>
      </c>
      <c r="AJ149">
        <v>86.666221513379298</v>
      </c>
      <c r="AK149">
        <v>50.561702352529302</v>
      </c>
      <c r="AL149">
        <v>88.527885441952904</v>
      </c>
      <c r="AM149">
        <v>88.173553954051201</v>
      </c>
      <c r="AN149">
        <v>1.00000003001814</v>
      </c>
    </row>
    <row r="150" spans="1:40" x14ac:dyDescent="0.25">
      <c r="A150" t="str">
        <f>"20190312154215576"</f>
        <v>20190312154215576</v>
      </c>
      <c r="B150" t="str">
        <f>"1552376535567965"</f>
        <v>1552376535567965</v>
      </c>
      <c r="C150" t="s">
        <v>40</v>
      </c>
      <c r="D150">
        <v>4.6587730000000001</v>
      </c>
      <c r="E150">
        <v>0.55672959999999905</v>
      </c>
      <c r="F150" t="s">
        <v>43</v>
      </c>
      <c r="G150">
        <v>-395.60160000000002</v>
      </c>
      <c r="H150" s="1">
        <v>-3.3891030000000002E-6</v>
      </c>
      <c r="I150">
        <v>362.45190000000002</v>
      </c>
      <c r="J150">
        <v>-451.79930000000002</v>
      </c>
      <c r="K150">
        <v>1.1094630000000001</v>
      </c>
      <c r="L150">
        <v>367.9545</v>
      </c>
      <c r="M150">
        <v>0.99970709999999996</v>
      </c>
      <c r="N150">
        <v>0</v>
      </c>
      <c r="O150">
        <v>2.311247E-2</v>
      </c>
      <c r="P150">
        <v>0.99979680000000004</v>
      </c>
      <c r="Q150">
        <v>1.8069330000000002E-2</v>
      </c>
      <c r="R150">
        <v>-8.9556889999999993E-3</v>
      </c>
      <c r="S150">
        <v>2.9992070000000002</v>
      </c>
      <c r="T150">
        <v>-5.8921929999999997E-2</v>
      </c>
      <c r="U150">
        <v>-0.29190060000000001</v>
      </c>
      <c r="V150">
        <v>3.2074749999999999E-2</v>
      </c>
      <c r="W150">
        <v>2.5229459999999999E-2</v>
      </c>
      <c r="X150">
        <v>0.99916700000000003</v>
      </c>
      <c r="Y150">
        <v>0.11981940000000001</v>
      </c>
      <c r="Z150">
        <v>-1.627149E-3</v>
      </c>
      <c r="AA150">
        <v>0.99279439999999997</v>
      </c>
      <c r="AB150">
        <v>26</v>
      </c>
      <c r="AC150">
        <v>56.197699999999998</v>
      </c>
      <c r="AD150">
        <v>-1.1094663891030001</v>
      </c>
      <c r="AE150">
        <v>-5.50259999999997</v>
      </c>
      <c r="AF150">
        <v>6.7974069801653201</v>
      </c>
      <c r="AG150">
        <v>-1.1094663891030001</v>
      </c>
      <c r="AH150">
        <v>56.033873183305403</v>
      </c>
      <c r="AI150">
        <v>91.126050835952199</v>
      </c>
      <c r="AJ150">
        <v>83.083308760484499</v>
      </c>
      <c r="AK150">
        <v>56.455563067294896</v>
      </c>
      <c r="AL150">
        <v>88.554305031213701</v>
      </c>
      <c r="AM150">
        <v>88.161351481677002</v>
      </c>
      <c r="AN150">
        <v>1.0000000045642199</v>
      </c>
    </row>
    <row r="151" spans="1:40" x14ac:dyDescent="0.25">
      <c r="A151" t="str">
        <f>"20190312154215589"</f>
        <v>20190312154215589</v>
      </c>
      <c r="B151" t="str">
        <f>"1552376535577728"</f>
        <v>1552376535577728</v>
      </c>
      <c r="C151" t="s">
        <v>40</v>
      </c>
      <c r="D151">
        <v>4.6992989999999999</v>
      </c>
      <c r="E151">
        <v>0.56065849999999995</v>
      </c>
      <c r="F151" t="s">
        <v>42</v>
      </c>
      <c r="G151">
        <v>-416.57839999999999</v>
      </c>
      <c r="H151">
        <v>-0.05</v>
      </c>
      <c r="I151">
        <v>362.38249999999999</v>
      </c>
      <c r="J151">
        <v>-451.6395</v>
      </c>
      <c r="K151">
        <v>1.1094630000000001</v>
      </c>
      <c r="L151">
        <v>367.95800000000003</v>
      </c>
      <c r="M151">
        <v>0.99971089999999996</v>
      </c>
      <c r="N151">
        <v>0</v>
      </c>
      <c r="O151">
        <v>2.2940260000000001E-2</v>
      </c>
      <c r="P151">
        <v>0.99979470000000004</v>
      </c>
      <c r="Q151">
        <v>1.798928E-2</v>
      </c>
      <c r="R151">
        <v>-9.3135609999999997E-3</v>
      </c>
      <c r="S151">
        <v>2.998138</v>
      </c>
      <c r="T151">
        <v>-9.8697779999999999E-2</v>
      </c>
      <c r="U151">
        <v>-0.47430420000000001</v>
      </c>
      <c r="V151">
        <v>3.2260469999999999E-2</v>
      </c>
      <c r="W151">
        <v>2.5165110000000001E-2</v>
      </c>
      <c r="X151">
        <v>0.99916260000000001</v>
      </c>
      <c r="Y151">
        <v>0.1787676</v>
      </c>
      <c r="Z151">
        <v>-3.6741539999999998E-3</v>
      </c>
      <c r="AA151">
        <v>0.98388450000000005</v>
      </c>
      <c r="AB151">
        <v>26</v>
      </c>
      <c r="AC151">
        <v>35.061100000000003</v>
      </c>
      <c r="AD151">
        <v>-1.1594629999999999</v>
      </c>
      <c r="AE151">
        <v>-5.5755000000000301</v>
      </c>
      <c r="AF151">
        <v>6.3715681162685298</v>
      </c>
      <c r="AG151">
        <v>-1.1594629999999999</v>
      </c>
      <c r="AH151">
        <v>34.886754506677697</v>
      </c>
      <c r="AI151">
        <v>91.872575533310197</v>
      </c>
      <c r="AJ151">
        <v>79.6498165688553</v>
      </c>
      <c r="AK151">
        <v>35.482768701410698</v>
      </c>
      <c r="AL151">
        <v>88.557993122718003</v>
      </c>
      <c r="AM151">
        <v>88.150704527120794</v>
      </c>
      <c r="AN151">
        <v>0.999999960962345</v>
      </c>
    </row>
    <row r="152" spans="1:40" x14ac:dyDescent="0.25">
      <c r="A152" t="str">
        <f>"20190312154215609"</f>
        <v>20190312154215609</v>
      </c>
      <c r="B152" t="str">
        <f>"1552376535597249"</f>
        <v>1552376535597249</v>
      </c>
      <c r="C152" t="s">
        <v>40</v>
      </c>
      <c r="D152">
        <v>4.6741630000000001</v>
      </c>
      <c r="E152">
        <v>0.56567449999999997</v>
      </c>
      <c r="F152" t="s">
        <v>42</v>
      </c>
      <c r="G152">
        <v>-418.06229999999999</v>
      </c>
      <c r="H152">
        <v>-0.05</v>
      </c>
      <c r="I152">
        <v>362.28489999999999</v>
      </c>
      <c r="J152">
        <v>-451.39920000000001</v>
      </c>
      <c r="K152">
        <v>1.109469</v>
      </c>
      <c r="L152">
        <v>367.96319999999997</v>
      </c>
      <c r="M152">
        <v>0.99971670000000001</v>
      </c>
      <c r="N152">
        <v>0</v>
      </c>
      <c r="O152">
        <v>2.2681159999999999E-2</v>
      </c>
      <c r="P152">
        <v>0.99980069999999999</v>
      </c>
      <c r="Q152">
        <v>1.748713E-2</v>
      </c>
      <c r="R152">
        <v>-9.642688E-3</v>
      </c>
      <c r="S152">
        <v>2.9978030000000002</v>
      </c>
      <c r="T152">
        <v>-0.103518</v>
      </c>
      <c r="U152">
        <v>-0.50650019999999996</v>
      </c>
      <c r="V152">
        <v>3.2330419999999999E-2</v>
      </c>
      <c r="W152">
        <v>2.469033E-2</v>
      </c>
      <c r="X152">
        <v>0.99917219999999995</v>
      </c>
      <c r="Y152">
        <v>0.1887953</v>
      </c>
      <c r="Z152">
        <v>-4.013605E-3</v>
      </c>
      <c r="AA152">
        <v>0.98200829999999995</v>
      </c>
      <c r="AB152">
        <v>27</v>
      </c>
      <c r="AC152">
        <v>33.3369</v>
      </c>
      <c r="AD152">
        <v>-1.1594690000000001</v>
      </c>
      <c r="AE152">
        <v>-5.6782999999999699</v>
      </c>
      <c r="AF152">
        <v>6.4254249186762697</v>
      </c>
      <c r="AG152">
        <v>-1.1594690000000001</v>
      </c>
      <c r="AH152">
        <v>33.1605474043021</v>
      </c>
      <c r="AI152">
        <v>91.966011117543303</v>
      </c>
      <c r="AJ152">
        <v>79.033855988118702</v>
      </c>
      <c r="AK152">
        <v>33.797224115309803</v>
      </c>
      <c r="AL152">
        <v>88.585204492480401</v>
      </c>
      <c r="AM152">
        <v>88.146715308699498</v>
      </c>
      <c r="AN152">
        <v>0.99999997685286202</v>
      </c>
    </row>
    <row r="153" spans="1:40" x14ac:dyDescent="0.25">
      <c r="A153" t="str">
        <f>"20190312154215631"</f>
        <v>20190312154215631</v>
      </c>
      <c r="B153" t="str">
        <f>"1552376535617742"</f>
        <v>1552376535617742</v>
      </c>
      <c r="C153" t="s">
        <v>40</v>
      </c>
      <c r="D153">
        <v>4.6562839999999897</v>
      </c>
      <c r="E153">
        <v>0.56878390000000001</v>
      </c>
      <c r="F153" t="s">
        <v>42</v>
      </c>
      <c r="G153">
        <v>-420.81830000000002</v>
      </c>
      <c r="H153">
        <v>-0.05</v>
      </c>
      <c r="I153">
        <v>362.37909999999999</v>
      </c>
      <c r="J153">
        <v>-451.14749999999998</v>
      </c>
      <c r="K153">
        <v>1.10947</v>
      </c>
      <c r="L153">
        <v>367.96859999999998</v>
      </c>
      <c r="M153">
        <v>0.99972260000000002</v>
      </c>
      <c r="N153">
        <v>0</v>
      </c>
      <c r="O153">
        <v>2.241017E-2</v>
      </c>
      <c r="P153">
        <v>0.99978920000000004</v>
      </c>
      <c r="Q153">
        <v>1.790158E-2</v>
      </c>
      <c r="R153">
        <v>-1.0074710000000001E-2</v>
      </c>
      <c r="S153">
        <v>2.9972530000000002</v>
      </c>
      <c r="T153">
        <v>-0.1136402</v>
      </c>
      <c r="U153">
        <v>-0.54730219999999996</v>
      </c>
      <c r="V153">
        <v>3.2491630000000001E-2</v>
      </c>
      <c r="W153">
        <v>2.5137940000000001E-2</v>
      </c>
      <c r="X153">
        <v>0.99915580000000004</v>
      </c>
      <c r="Y153">
        <v>0.2014764</v>
      </c>
      <c r="Z153">
        <v>-4.6296319999999998E-3</v>
      </c>
      <c r="AA153">
        <v>0.97948239999999998</v>
      </c>
      <c r="AB153">
        <v>27</v>
      </c>
      <c r="AC153">
        <v>30.329199999999901</v>
      </c>
      <c r="AD153">
        <v>-1.15947</v>
      </c>
      <c r="AE153">
        <v>-5.5894999999999797</v>
      </c>
      <c r="AF153">
        <v>6.2589496173260599</v>
      </c>
      <c r="AG153">
        <v>-1.15947</v>
      </c>
      <c r="AH153">
        <v>30.153695979742299</v>
      </c>
      <c r="AI153">
        <v>92.156139021086602</v>
      </c>
      <c r="AJ153">
        <v>78.273730587555605</v>
      </c>
      <c r="AK153">
        <v>30.818244632552499</v>
      </c>
      <c r="AL153">
        <v>88.559550350952193</v>
      </c>
      <c r="AM153">
        <v>88.137450170856894</v>
      </c>
      <c r="AN153">
        <v>0.99999996736056895</v>
      </c>
    </row>
    <row r="154" spans="1:40" x14ac:dyDescent="0.25">
      <c r="A154" t="str">
        <f>"20190312154215654"</f>
        <v>20190312154215654</v>
      </c>
      <c r="B154" t="str">
        <f>"1552376535647998"</f>
        <v>1552376535647998</v>
      </c>
      <c r="C154" t="s">
        <v>40</v>
      </c>
      <c r="D154">
        <v>4.6350920000000002</v>
      </c>
      <c r="E154">
        <v>0.57169879999999995</v>
      </c>
      <c r="F154" t="s">
        <v>42</v>
      </c>
      <c r="G154">
        <v>-421.35950000000003</v>
      </c>
      <c r="H154">
        <v>-0.05</v>
      </c>
      <c r="I154">
        <v>362.27339999999998</v>
      </c>
      <c r="J154">
        <v>-450.86739999999998</v>
      </c>
      <c r="K154">
        <v>1.109483</v>
      </c>
      <c r="L154">
        <v>367.97449999999998</v>
      </c>
      <c r="M154">
        <v>0.99972899999999998</v>
      </c>
      <c r="N154">
        <v>0</v>
      </c>
      <c r="O154">
        <v>2.2108929999999999E-2</v>
      </c>
      <c r="P154">
        <v>0.99978440000000002</v>
      </c>
      <c r="Q154">
        <v>1.7990679999999998E-2</v>
      </c>
      <c r="R154">
        <v>-1.039346E-2</v>
      </c>
      <c r="S154">
        <v>2.9969790000000001</v>
      </c>
      <c r="T154">
        <v>-0.11665449999999999</v>
      </c>
      <c r="U154">
        <v>-0.57299800000000001</v>
      </c>
      <c r="V154">
        <v>3.2509199999999898E-2</v>
      </c>
      <c r="W154">
        <v>2.5270460000000002E-2</v>
      </c>
      <c r="X154">
        <v>0.99915189999999998</v>
      </c>
      <c r="Y154">
        <v>0.20929149999999999</v>
      </c>
      <c r="Z154">
        <v>-4.8881369999999999E-3</v>
      </c>
      <c r="AA154">
        <v>0.97784110000000002</v>
      </c>
      <c r="AB154">
        <v>27</v>
      </c>
      <c r="AC154">
        <v>29.5078999999999</v>
      </c>
      <c r="AD154">
        <v>-1.159483</v>
      </c>
      <c r="AE154">
        <v>-5.7010999999999896</v>
      </c>
      <c r="AF154">
        <v>6.3426710339634997</v>
      </c>
      <c r="AG154">
        <v>-1.159483</v>
      </c>
      <c r="AH154">
        <v>29.3309805064664</v>
      </c>
      <c r="AI154">
        <v>92.212689759641606</v>
      </c>
      <c r="AJ154">
        <v>77.797968523079106</v>
      </c>
      <c r="AK154">
        <v>30.031321884710302</v>
      </c>
      <c r="AL154">
        <v>88.5519551220126</v>
      </c>
      <c r="AM154">
        <v>88.136436429449105</v>
      </c>
      <c r="AN154">
        <v>0.99999998175342997</v>
      </c>
    </row>
    <row r="155" spans="1:40" x14ac:dyDescent="0.25">
      <c r="A155" t="str">
        <f>"20190312154215678"</f>
        <v>20190312154215678</v>
      </c>
      <c r="B155" t="str">
        <f>"1552376535667518"</f>
        <v>1552376535667518</v>
      </c>
      <c r="C155" t="s">
        <v>40</v>
      </c>
      <c r="D155">
        <v>4.6165339999999997</v>
      </c>
      <c r="E155">
        <v>0.57311140000000005</v>
      </c>
      <c r="F155" t="s">
        <v>42</v>
      </c>
      <c r="G155">
        <v>-421.8734</v>
      </c>
      <c r="H155">
        <v>-0.05</v>
      </c>
      <c r="I155">
        <v>362.19659999999999</v>
      </c>
      <c r="J155">
        <v>-450.58499999999998</v>
      </c>
      <c r="K155">
        <v>1.1094900000000001</v>
      </c>
      <c r="L155">
        <v>367.98050000000001</v>
      </c>
      <c r="M155">
        <v>0.99973529999999999</v>
      </c>
      <c r="N155">
        <v>0</v>
      </c>
      <c r="O155">
        <v>2.1805120000000001E-2</v>
      </c>
      <c r="P155">
        <v>0.99977700000000003</v>
      </c>
      <c r="Q155">
        <v>1.814849E-2</v>
      </c>
      <c r="R155">
        <v>-1.08019E-2</v>
      </c>
      <c r="S155">
        <v>2.996613</v>
      </c>
      <c r="T155">
        <v>-0.119835999999999</v>
      </c>
      <c r="U155">
        <v>-0.59716800000000003</v>
      </c>
      <c r="V155">
        <v>3.2613820000000002E-2</v>
      </c>
      <c r="W155">
        <v>2.5472100000000001E-2</v>
      </c>
      <c r="X155">
        <v>0.99914340000000001</v>
      </c>
      <c r="Y155">
        <v>0.21659339999999999</v>
      </c>
      <c r="Z155">
        <v>-5.1506159999999898E-3</v>
      </c>
      <c r="AA155">
        <v>0.97624829999999996</v>
      </c>
      <c r="AB155">
        <v>27</v>
      </c>
      <c r="AC155">
        <v>28.711599999999901</v>
      </c>
      <c r="AD155">
        <v>-1.1594899999999999</v>
      </c>
      <c r="AE155">
        <v>-5.7839000000000098</v>
      </c>
      <c r="AF155">
        <v>6.3985732154448201</v>
      </c>
      <c r="AG155">
        <v>-1.1594899999999999</v>
      </c>
      <c r="AH155">
        <v>28.533930827299301</v>
      </c>
      <c r="AI155">
        <v>92.270632770686802</v>
      </c>
      <c r="AJ155">
        <v>77.360831655179496</v>
      </c>
      <c r="AK155">
        <v>29.2655320250736</v>
      </c>
      <c r="AL155">
        <v>88.5403983239745</v>
      </c>
      <c r="AM155">
        <v>88.130427528255595</v>
      </c>
      <c r="AN155">
        <v>1.0000000114484799</v>
      </c>
    </row>
    <row r="156" spans="1:40" x14ac:dyDescent="0.25">
      <c r="A156" t="str">
        <f>"20190312154215698"</f>
        <v>20190312154215698</v>
      </c>
      <c r="B156" t="str">
        <f>"1552376535688014"</f>
        <v>1552376535688014</v>
      </c>
      <c r="C156" t="s">
        <v>40</v>
      </c>
      <c r="D156">
        <v>4.5683999999999996</v>
      </c>
      <c r="E156">
        <v>0.5747099</v>
      </c>
      <c r="F156" t="s">
        <v>42</v>
      </c>
      <c r="G156">
        <v>-422.09190000000001</v>
      </c>
      <c r="H156">
        <v>-0.05</v>
      </c>
      <c r="I156">
        <v>362.18509999999998</v>
      </c>
      <c r="J156">
        <v>-450.3347</v>
      </c>
      <c r="K156">
        <v>1.1094949999999999</v>
      </c>
      <c r="L156">
        <v>367.98570000000001</v>
      </c>
      <c r="M156">
        <v>0.99974079999999999</v>
      </c>
      <c r="N156">
        <v>0</v>
      </c>
      <c r="O156">
        <v>2.1536010000000001E-2</v>
      </c>
      <c r="P156">
        <v>0.99977000000000005</v>
      </c>
      <c r="Q156">
        <v>1.8411919999999998E-2</v>
      </c>
      <c r="R156">
        <v>-1.1005010000000001E-2</v>
      </c>
      <c r="S156">
        <v>2.9963069999999998</v>
      </c>
      <c r="T156">
        <v>-0.12193080000000001</v>
      </c>
      <c r="U156">
        <v>-0.60943599999999998</v>
      </c>
      <c r="V156">
        <v>3.2548109999999998E-2</v>
      </c>
      <c r="W156">
        <v>2.5775739999999998E-2</v>
      </c>
      <c r="X156">
        <v>0.99913779999999996</v>
      </c>
      <c r="Y156">
        <v>0.2201806</v>
      </c>
      <c r="Z156">
        <v>-5.3003969999999897E-3</v>
      </c>
      <c r="AA156">
        <v>0.97544470000000005</v>
      </c>
      <c r="AB156">
        <v>27</v>
      </c>
      <c r="AC156">
        <v>28.2427999999999</v>
      </c>
      <c r="AD156">
        <v>-1.1594949999999999</v>
      </c>
      <c r="AE156">
        <v>-5.8006000000000304</v>
      </c>
      <c r="AF156">
        <v>6.3971625760996798</v>
      </c>
      <c r="AG156">
        <v>-1.1594949999999999</v>
      </c>
      <c r="AH156">
        <v>28.065934416665801</v>
      </c>
      <c r="AI156">
        <v>92.306635634359907</v>
      </c>
      <c r="AJ156">
        <v>77.159747024362801</v>
      </c>
      <c r="AK156">
        <v>28.8091095377949</v>
      </c>
      <c r="AL156">
        <v>88.522995384940103</v>
      </c>
      <c r="AM156">
        <v>88.134181209005803</v>
      </c>
      <c r="AN156">
        <v>1.00000005581297</v>
      </c>
    </row>
    <row r="157" spans="1:40" x14ac:dyDescent="0.25">
      <c r="A157" t="str">
        <f>"20190312154215721"</f>
        <v>20190312154215721</v>
      </c>
      <c r="B157" t="str">
        <f>"1552376535707534"</f>
        <v>1552376535707534</v>
      </c>
      <c r="C157" t="s">
        <v>40</v>
      </c>
      <c r="D157">
        <v>4.5806969999999998</v>
      </c>
      <c r="E157">
        <v>0.57594630000000002</v>
      </c>
      <c r="F157" t="s">
        <v>42</v>
      </c>
      <c r="G157">
        <v>-421.2251</v>
      </c>
      <c r="H157">
        <v>-0.05</v>
      </c>
      <c r="I157">
        <v>361.93419999999998</v>
      </c>
      <c r="J157">
        <v>-450.07190000000003</v>
      </c>
      <c r="K157">
        <v>1.109497</v>
      </c>
      <c r="L157">
        <v>367.99099999999999</v>
      </c>
      <c r="M157">
        <v>0.99974660000000004</v>
      </c>
      <c r="N157">
        <v>0</v>
      </c>
      <c r="O157">
        <v>2.1253299999999999E-2</v>
      </c>
      <c r="P157">
        <v>0.99976050000000005</v>
      </c>
      <c r="Q157">
        <v>1.8720980000000002E-2</v>
      </c>
      <c r="R157">
        <v>-1.136027E-2</v>
      </c>
      <c r="S157">
        <v>2.9960629999999999</v>
      </c>
      <c r="T157">
        <v>-0.11933920000000001</v>
      </c>
      <c r="U157">
        <v>-0.62283330000000003</v>
      </c>
      <c r="V157">
        <v>3.2620639999999999E-2</v>
      </c>
      <c r="W157">
        <v>2.612896E-2</v>
      </c>
      <c r="X157">
        <v>0.99912619999999996</v>
      </c>
      <c r="Y157">
        <v>0.2241088</v>
      </c>
      <c r="Z157">
        <v>-5.2521699999999996E-3</v>
      </c>
      <c r="AA157">
        <v>0.97454989999999997</v>
      </c>
      <c r="AB157">
        <v>27</v>
      </c>
      <c r="AC157">
        <v>28.846800000000002</v>
      </c>
      <c r="AD157">
        <v>-1.159497</v>
      </c>
      <c r="AE157">
        <v>-6.0568000000000097</v>
      </c>
      <c r="AF157">
        <v>6.6582353147653901</v>
      </c>
      <c r="AG157">
        <v>-1.159497</v>
      </c>
      <c r="AH157">
        <v>28.667193108890601</v>
      </c>
      <c r="AI157">
        <v>92.256179477765698</v>
      </c>
      <c r="AJ157">
        <v>76.924326874202606</v>
      </c>
      <c r="AK157">
        <v>29.4530896773534</v>
      </c>
      <c r="AL157">
        <v>88.502750462479497</v>
      </c>
      <c r="AM157">
        <v>88.1300046837368</v>
      </c>
      <c r="AN157">
        <v>0.999999996115565</v>
      </c>
    </row>
    <row r="158" spans="1:40" x14ac:dyDescent="0.25">
      <c r="A158" t="str">
        <f>"20190312154215743"</f>
        <v>20190312154215743</v>
      </c>
      <c r="B158" t="str">
        <f>"1552376535737790"</f>
        <v>1552376535737790</v>
      </c>
      <c r="C158" t="s">
        <v>40</v>
      </c>
      <c r="D158">
        <v>4.5559620000000001</v>
      </c>
      <c r="E158">
        <v>0.57705099999999998</v>
      </c>
      <c r="F158" t="s">
        <v>42</v>
      </c>
      <c r="G158">
        <v>-420.50959999999998</v>
      </c>
      <c r="H158">
        <v>-0.05</v>
      </c>
      <c r="I158">
        <v>361.73489999999998</v>
      </c>
      <c r="J158">
        <v>-449.79640000000001</v>
      </c>
      <c r="K158">
        <v>1.1095010000000001</v>
      </c>
      <c r="L158">
        <v>367.9966</v>
      </c>
      <c r="M158">
        <v>0.99975230000000004</v>
      </c>
      <c r="N158">
        <v>0</v>
      </c>
      <c r="O158">
        <v>2.0957199999999999E-2</v>
      </c>
      <c r="P158">
        <v>0.99975219999999998</v>
      </c>
      <c r="Q158">
        <v>1.884361E-2</v>
      </c>
      <c r="R158">
        <v>-1.1854E-2</v>
      </c>
      <c r="S158">
        <v>2.9957579999999999</v>
      </c>
      <c r="T158">
        <v>-0.1174999</v>
      </c>
      <c r="U158">
        <v>-0.63397219999999999</v>
      </c>
      <c r="V158">
        <v>3.2818229999999997E-2</v>
      </c>
      <c r="W158">
        <v>2.6302470000000001E-2</v>
      </c>
      <c r="X158">
        <v>0.99911519999999998</v>
      </c>
      <c r="Y158">
        <v>0.2273134</v>
      </c>
      <c r="Z158">
        <v>-5.2204970000000002E-3</v>
      </c>
      <c r="AA158">
        <v>0.97380770000000005</v>
      </c>
      <c r="AB158">
        <v>27</v>
      </c>
      <c r="AC158">
        <v>29.286799999999999</v>
      </c>
      <c r="AD158">
        <v>-1.1595009999999999</v>
      </c>
      <c r="AE158">
        <v>-6.26170000000001</v>
      </c>
      <c r="AF158">
        <v>6.8638227449609799</v>
      </c>
      <c r="AG158">
        <v>-1.1595009999999999</v>
      </c>
      <c r="AH158">
        <v>29.105508533542</v>
      </c>
      <c r="AI158">
        <v>92.220488645400494</v>
      </c>
      <c r="AJ158">
        <v>76.730631641325701</v>
      </c>
      <c r="AK158">
        <v>29.9263618276484</v>
      </c>
      <c r="AL158">
        <v>88.492805689052304</v>
      </c>
      <c r="AM158">
        <v>88.1186651505095</v>
      </c>
      <c r="AN158">
        <v>1.0000000195097301</v>
      </c>
    </row>
    <row r="159" spans="1:40" x14ac:dyDescent="0.25">
      <c r="A159" t="str">
        <f>"20190312154215766"</f>
        <v>20190312154215766</v>
      </c>
      <c r="B159" t="str">
        <f>"1552376535757313"</f>
        <v>1552376535757313</v>
      </c>
      <c r="C159" t="s">
        <v>40</v>
      </c>
      <c r="D159">
        <v>4.5364309999999897</v>
      </c>
      <c r="E159">
        <v>0.57798930000000004</v>
      </c>
      <c r="F159" t="s">
        <v>42</v>
      </c>
      <c r="G159">
        <v>-420.38580000000002</v>
      </c>
      <c r="H159">
        <v>-0.05</v>
      </c>
      <c r="I159">
        <v>361.67160000000001</v>
      </c>
      <c r="J159">
        <v>-449.52350000000001</v>
      </c>
      <c r="K159">
        <v>1.109505</v>
      </c>
      <c r="L159">
        <v>368.00189999999998</v>
      </c>
      <c r="M159">
        <v>0.99975809999999998</v>
      </c>
      <c r="N159">
        <v>0</v>
      </c>
      <c r="O159">
        <v>2.0664020000000002E-2</v>
      </c>
      <c r="P159">
        <v>0.99974660000000004</v>
      </c>
      <c r="Q159">
        <v>1.8974169999999999E-2</v>
      </c>
      <c r="R159">
        <v>-1.211927E-2</v>
      </c>
      <c r="S159">
        <v>2.9952999999999999</v>
      </c>
      <c r="T159">
        <v>-0.1180886</v>
      </c>
      <c r="U159">
        <v>-0.64416499999999999</v>
      </c>
      <c r="V159">
        <v>3.2790659999999999E-2</v>
      </c>
      <c r="W159">
        <v>2.648694E-2</v>
      </c>
      <c r="X159">
        <v>0.99911119999999998</v>
      </c>
      <c r="Y159">
        <v>0.23022280000000001</v>
      </c>
      <c r="Z159">
        <v>-5.2908299999999998E-3</v>
      </c>
      <c r="AA159">
        <v>0.97312359999999998</v>
      </c>
      <c r="AB159">
        <v>27</v>
      </c>
      <c r="AC159">
        <v>29.137699999999899</v>
      </c>
      <c r="AD159">
        <v>-1.159505</v>
      </c>
      <c r="AE159">
        <v>-6.3302999999999603</v>
      </c>
      <c r="AF159">
        <v>6.9206021135467397</v>
      </c>
      <c r="AG159">
        <v>-1.159505</v>
      </c>
      <c r="AH159">
        <v>28.956876713245499</v>
      </c>
      <c r="AI159">
        <v>92.230293769528899</v>
      </c>
      <c r="AJ159">
        <v>76.5586253995628</v>
      </c>
      <c r="AK159">
        <v>29.794964246415098</v>
      </c>
      <c r="AL159">
        <v>88.482232604804196</v>
      </c>
      <c r="AM159">
        <v>88.120236971155904</v>
      </c>
      <c r="AN159">
        <v>0.99999998766961895</v>
      </c>
    </row>
    <row r="160" spans="1:40" x14ac:dyDescent="0.25">
      <c r="A160" t="str">
        <f>"20190312154215788"</f>
        <v>20190312154215788</v>
      </c>
      <c r="B160" t="str">
        <f>"1552376535777810"</f>
        <v>1552376535777810</v>
      </c>
      <c r="C160" t="s">
        <v>40</v>
      </c>
      <c r="D160">
        <v>4.5879640000000004</v>
      </c>
      <c r="E160">
        <v>0.57866509999999904</v>
      </c>
      <c r="F160" t="s">
        <v>42</v>
      </c>
      <c r="G160">
        <v>-419.51560000000001</v>
      </c>
      <c r="H160">
        <v>-0.05</v>
      </c>
      <c r="I160">
        <v>361.46199999999999</v>
      </c>
      <c r="J160">
        <v>-449.25200000000001</v>
      </c>
      <c r="K160">
        <v>1.1095109999999999</v>
      </c>
      <c r="L160">
        <v>368.00729999999999</v>
      </c>
      <c r="M160">
        <v>0.99976370000000003</v>
      </c>
      <c r="N160">
        <v>0</v>
      </c>
      <c r="O160">
        <v>2.0371960000000001E-2</v>
      </c>
      <c r="P160">
        <v>0.99974810000000003</v>
      </c>
      <c r="Q160">
        <v>1.8779959999999998E-2</v>
      </c>
      <c r="R160">
        <v>-1.230675E-2</v>
      </c>
      <c r="S160">
        <v>2.9950559999999999</v>
      </c>
      <c r="T160">
        <v>-0.1157289</v>
      </c>
      <c r="U160">
        <v>-0.65274049999999995</v>
      </c>
      <c r="V160">
        <v>3.2686229999999997E-2</v>
      </c>
      <c r="W160">
        <v>2.63468E-2</v>
      </c>
      <c r="X160">
        <v>0.99911830000000001</v>
      </c>
      <c r="Y160">
        <v>0.23262160000000001</v>
      </c>
      <c r="Z160">
        <v>-5.2186769999999997E-3</v>
      </c>
      <c r="AA160">
        <v>0.97255329999999995</v>
      </c>
      <c r="AB160">
        <v>27</v>
      </c>
      <c r="AC160">
        <v>29.7363999999999</v>
      </c>
      <c r="AD160">
        <v>-1.159511</v>
      </c>
      <c r="AE160">
        <v>-6.5452999999999903</v>
      </c>
      <c r="AF160">
        <v>7.13939425436768</v>
      </c>
      <c r="AG160">
        <v>-1.159511</v>
      </c>
      <c r="AH160">
        <v>29.5540249902953</v>
      </c>
      <c r="AI160">
        <v>92.184009176145594</v>
      </c>
      <c r="AJ160">
        <v>76.419189788256304</v>
      </c>
      <c r="AK160">
        <v>30.426235541147999</v>
      </c>
      <c r="AL160">
        <v>88.490264797484798</v>
      </c>
      <c r="AM160">
        <v>88.126232574997402</v>
      </c>
      <c r="AN160">
        <v>0.99999996044837003</v>
      </c>
    </row>
    <row r="161" spans="1:40" x14ac:dyDescent="0.25">
      <c r="A161" t="str">
        <f>"20190312154215810"</f>
        <v>20190312154215810</v>
      </c>
      <c r="B161" t="str">
        <f>"1552376535797329"</f>
        <v>1552376535797329</v>
      </c>
      <c r="C161" t="s">
        <v>40</v>
      </c>
      <c r="D161">
        <v>4.5409860000000002</v>
      </c>
      <c r="E161">
        <v>0.57914290000000002</v>
      </c>
      <c r="F161" t="s">
        <v>42</v>
      </c>
      <c r="G161">
        <v>-419.46690000000001</v>
      </c>
      <c r="H161">
        <v>-0.05</v>
      </c>
      <c r="I161">
        <v>361.46050000000002</v>
      </c>
      <c r="J161">
        <v>-448.98500000000001</v>
      </c>
      <c r="K161">
        <v>1.1095189999999999</v>
      </c>
      <c r="L161">
        <v>368.01240000000001</v>
      </c>
      <c r="M161">
        <v>0.99976900000000002</v>
      </c>
      <c r="N161">
        <v>0</v>
      </c>
      <c r="O161">
        <v>2.0085740000000001E-2</v>
      </c>
      <c r="P161">
        <v>0.99975119999999895</v>
      </c>
      <c r="Q161">
        <v>1.835562E-2</v>
      </c>
      <c r="R161">
        <v>-1.266653E-2</v>
      </c>
      <c r="S161">
        <v>2.9948429999999999</v>
      </c>
      <c r="T161">
        <v>-0.1165868</v>
      </c>
      <c r="U161">
        <v>-0.65826419999999997</v>
      </c>
      <c r="V161">
        <v>3.2759829999999997E-2</v>
      </c>
      <c r="W161">
        <v>2.5978330000000001E-2</v>
      </c>
      <c r="X161">
        <v>0.99912559999999995</v>
      </c>
      <c r="Y161">
        <v>0.23406569999999999</v>
      </c>
      <c r="Z161">
        <v>-5.2734339999999996E-3</v>
      </c>
      <c r="AA161">
        <v>0.97220649999999997</v>
      </c>
      <c r="AB161">
        <v>27</v>
      </c>
      <c r="AC161">
        <v>29.5181</v>
      </c>
      <c r="AD161">
        <v>-1.159519</v>
      </c>
      <c r="AE161">
        <v>-6.5518999999999803</v>
      </c>
      <c r="AF161">
        <v>7.1329986312453997</v>
      </c>
      <c r="AG161">
        <v>-1.159519</v>
      </c>
      <c r="AH161">
        <v>29.3373976877158</v>
      </c>
      <c r="AI161">
        <v>92.199347624804702</v>
      </c>
      <c r="AJ161">
        <v>76.334455425532397</v>
      </c>
      <c r="AK161">
        <v>30.214351836038201</v>
      </c>
      <c r="AL161">
        <v>88.511383895464803</v>
      </c>
      <c r="AM161">
        <v>88.122030118327601</v>
      </c>
      <c r="AN161">
        <v>1.0000000223332799</v>
      </c>
    </row>
    <row r="162" spans="1:40" x14ac:dyDescent="0.25">
      <c r="A162" t="str">
        <f>"20190312154215832"</f>
        <v>20190312154215832</v>
      </c>
      <c r="B162" t="str">
        <f>"1552376535817822"</f>
        <v>1552376535817822</v>
      </c>
      <c r="C162" t="s">
        <v>40</v>
      </c>
      <c r="D162">
        <v>4.5375480000000001</v>
      </c>
      <c r="E162">
        <v>0.57963629999999999</v>
      </c>
      <c r="F162" t="s">
        <v>42</v>
      </c>
      <c r="G162">
        <v>-419.79419999999999</v>
      </c>
      <c r="H162">
        <v>-0.05</v>
      </c>
      <c r="I162">
        <v>361.54750000000001</v>
      </c>
      <c r="J162">
        <v>-448.71199999999999</v>
      </c>
      <c r="K162">
        <v>1.109526</v>
      </c>
      <c r="L162">
        <v>368.01749999999998</v>
      </c>
      <c r="M162">
        <v>0.99977439999999995</v>
      </c>
      <c r="N162">
        <v>0</v>
      </c>
      <c r="O162">
        <v>1.979289E-2</v>
      </c>
      <c r="P162">
        <v>0.99974649999999998</v>
      </c>
      <c r="Q162">
        <v>1.819635E-2</v>
      </c>
      <c r="R162">
        <v>-1.3266299999999899E-2</v>
      </c>
      <c r="S162">
        <v>2.9945680000000001</v>
      </c>
      <c r="T162">
        <v>-0.1189506</v>
      </c>
      <c r="U162">
        <v>-0.66320800000000002</v>
      </c>
      <c r="V162">
        <v>3.306655E-2</v>
      </c>
      <c r="W162">
        <v>2.5876799999999998E-2</v>
      </c>
      <c r="X162">
        <v>0.99911810000000001</v>
      </c>
      <c r="Y162">
        <v>0.23532169999999999</v>
      </c>
      <c r="Z162">
        <v>-5.392951E-3</v>
      </c>
      <c r="AA162">
        <v>0.9719025</v>
      </c>
      <c r="AB162">
        <v>27</v>
      </c>
      <c r="AC162">
        <v>28.9178</v>
      </c>
      <c r="AD162">
        <v>-1.1595260000000001</v>
      </c>
      <c r="AE162">
        <v>-6.4699999999999704</v>
      </c>
      <c r="AF162">
        <v>7.0303517893741496</v>
      </c>
      <c r="AG162">
        <v>-1.1595260000000001</v>
      </c>
      <c r="AH162">
        <v>28.740065636134499</v>
      </c>
      <c r="AI162">
        <v>92.244261160418304</v>
      </c>
      <c r="AJ162">
        <v>76.254321639107602</v>
      </c>
      <c r="AK162">
        <v>29.6101624378583</v>
      </c>
      <c r="AL162">
        <v>88.517203046563594</v>
      </c>
      <c r="AM162">
        <v>88.104445824915402</v>
      </c>
      <c r="AN162">
        <v>0.99999999162737596</v>
      </c>
    </row>
    <row r="163" spans="1:40" x14ac:dyDescent="0.25">
      <c r="A163" t="str">
        <f>"20190312154215855"</f>
        <v>20190312154215855</v>
      </c>
      <c r="B163" t="str">
        <f>"1552376535847102"</f>
        <v>1552376535847102</v>
      </c>
      <c r="C163" t="s">
        <v>40</v>
      </c>
      <c r="D163">
        <v>4.5081329999999999</v>
      </c>
      <c r="E163">
        <v>0.58035369999999997</v>
      </c>
      <c r="F163" t="s">
        <v>42</v>
      </c>
      <c r="G163">
        <v>-420.08949999999999</v>
      </c>
      <c r="H163">
        <v>-0.05</v>
      </c>
      <c r="I163">
        <v>361.62310000000002</v>
      </c>
      <c r="J163">
        <v>-448.43110000000001</v>
      </c>
      <c r="K163">
        <v>1.1095269999999999</v>
      </c>
      <c r="L163">
        <v>368.02280000000002</v>
      </c>
      <c r="M163">
        <v>0.99977990000000005</v>
      </c>
      <c r="N163">
        <v>0</v>
      </c>
      <c r="O163">
        <v>1.9491330000000001E-2</v>
      </c>
      <c r="P163">
        <v>0.99975139999999996</v>
      </c>
      <c r="Q163">
        <v>1.7733329999999999E-2</v>
      </c>
      <c r="R163">
        <v>-1.352013E-2</v>
      </c>
      <c r="S163">
        <v>2.994049</v>
      </c>
      <c r="T163">
        <v>-0.121292</v>
      </c>
      <c r="U163">
        <v>-0.66888429999999999</v>
      </c>
      <c r="V163">
        <v>3.3019050000000001E-2</v>
      </c>
      <c r="W163">
        <v>2.5473050000000001E-2</v>
      </c>
      <c r="X163">
        <v>0.99913010000000002</v>
      </c>
      <c r="Y163">
        <v>0.23681099999999999</v>
      </c>
      <c r="Z163">
        <v>-5.5165519999999897E-3</v>
      </c>
      <c r="AA163">
        <v>0.97154010000000002</v>
      </c>
      <c r="AB163">
        <v>27</v>
      </c>
      <c r="AC163">
        <v>28.3416</v>
      </c>
      <c r="AD163">
        <v>-1.159527</v>
      </c>
      <c r="AE163">
        <v>-6.3996999999999904</v>
      </c>
      <c r="AF163">
        <v>6.9398636268726897</v>
      </c>
      <c r="AG163">
        <v>-1.159527</v>
      </c>
      <c r="AH163">
        <v>28.166614067705702</v>
      </c>
      <c r="AI163">
        <v>92.288970431604994</v>
      </c>
      <c r="AJ163">
        <v>76.158800023892198</v>
      </c>
      <c r="AK163">
        <v>29.032126309700399</v>
      </c>
      <c r="AL163">
        <v>88.540343924786995</v>
      </c>
      <c r="AM163">
        <v>88.107189517851694</v>
      </c>
      <c r="AN163">
        <v>1.0000000453325999</v>
      </c>
    </row>
    <row r="164" spans="1:40" x14ac:dyDescent="0.25">
      <c r="A164" t="str">
        <f>"20190312154215879"</f>
        <v>20190312154215879</v>
      </c>
      <c r="B164" t="str">
        <f>"1552376535867598"</f>
        <v>1552376535867598</v>
      </c>
      <c r="C164" t="s">
        <v>40</v>
      </c>
      <c r="D164">
        <v>4.5037539999999998</v>
      </c>
      <c r="E164">
        <v>0.58085050000000005</v>
      </c>
      <c r="F164" t="s">
        <v>42</v>
      </c>
      <c r="G164">
        <v>-420.60980000000001</v>
      </c>
      <c r="H164">
        <v>-0.05</v>
      </c>
      <c r="I164">
        <v>361.74740000000003</v>
      </c>
      <c r="J164">
        <v>-448.14319999999998</v>
      </c>
      <c r="K164">
        <v>1.109524</v>
      </c>
      <c r="L164">
        <v>368.02809999999999</v>
      </c>
      <c r="M164">
        <v>0.99978540000000005</v>
      </c>
      <c r="N164">
        <v>0</v>
      </c>
      <c r="O164">
        <v>1.9183100000000002E-2</v>
      </c>
      <c r="P164">
        <v>0.99975099999999995</v>
      </c>
      <c r="Q164">
        <v>1.7207529999999999E-2</v>
      </c>
      <c r="R164">
        <v>-1.4206710000000001E-2</v>
      </c>
      <c r="S164">
        <v>2.9938349999999998</v>
      </c>
      <c r="T164">
        <v>-0.1247761</v>
      </c>
      <c r="U164">
        <v>-0.67529300000000003</v>
      </c>
      <c r="V164">
        <v>3.3397139999999999E-2</v>
      </c>
      <c r="W164">
        <v>2.5004470000000001E-2</v>
      </c>
      <c r="X164">
        <v>0.9991293</v>
      </c>
      <c r="Y164">
        <v>0.23849319999999999</v>
      </c>
      <c r="Z164">
        <v>-5.6958829999999997E-3</v>
      </c>
      <c r="AA164">
        <v>0.97112750000000003</v>
      </c>
      <c r="AB164">
        <v>27</v>
      </c>
      <c r="AC164">
        <v>27.533399999999901</v>
      </c>
      <c r="AD164">
        <v>-1.159524</v>
      </c>
      <c r="AE164">
        <v>-6.2806999999999604</v>
      </c>
      <c r="AF164">
        <v>6.7962790600116501</v>
      </c>
      <c r="AG164">
        <v>-1.159524</v>
      </c>
      <c r="AH164">
        <v>27.361719456788901</v>
      </c>
      <c r="AI164">
        <v>92.355126544822696</v>
      </c>
      <c r="AJ164">
        <v>76.050803472759497</v>
      </c>
      <c r="AK164">
        <v>28.216973554939401</v>
      </c>
      <c r="AL164">
        <v>88.567200034813595</v>
      </c>
      <c r="AM164">
        <v>88.085530089496999</v>
      </c>
      <c r="AN164">
        <v>0.99999997529932405</v>
      </c>
    </row>
    <row r="165" spans="1:40" x14ac:dyDescent="0.25">
      <c r="A165" t="str">
        <f>"20190312154215898"</f>
        <v>20190312154215898</v>
      </c>
      <c r="B165" t="str">
        <f>"1552376535887118"</f>
        <v>1552376535887118</v>
      </c>
      <c r="C165" t="s">
        <v>40</v>
      </c>
      <c r="D165">
        <v>4.4820880000000001</v>
      </c>
      <c r="E165">
        <v>0.58135249999999905</v>
      </c>
      <c r="F165" t="s">
        <v>42</v>
      </c>
      <c r="G165">
        <v>-420.70049999999998</v>
      </c>
      <c r="H165">
        <v>-0.05</v>
      </c>
      <c r="I165">
        <v>361.77980000000002</v>
      </c>
      <c r="J165">
        <v>-447.89210000000003</v>
      </c>
      <c r="K165">
        <v>1.109526</v>
      </c>
      <c r="L165">
        <v>368.0326</v>
      </c>
      <c r="M165">
        <v>0.99979030000000002</v>
      </c>
      <c r="N165">
        <v>0</v>
      </c>
      <c r="O165">
        <v>1.891354E-2</v>
      </c>
      <c r="P165">
        <v>0.99976279999999995</v>
      </c>
      <c r="Q165">
        <v>1.6859809999999999E-2</v>
      </c>
      <c r="R165">
        <v>-1.380642E-2</v>
      </c>
      <c r="S165">
        <v>2.9931640000000002</v>
      </c>
      <c r="T165">
        <v>-0.12646869999999999</v>
      </c>
      <c r="U165">
        <v>-0.68148799999999998</v>
      </c>
      <c r="V165">
        <v>3.272742E-2</v>
      </c>
      <c r="W165">
        <v>2.4704630000000002E-2</v>
      </c>
      <c r="X165">
        <v>0.99915889999999996</v>
      </c>
      <c r="Y165">
        <v>0.24018249999999999</v>
      </c>
      <c r="Z165">
        <v>-5.7970130000000002E-3</v>
      </c>
      <c r="AA165">
        <v>0.97071050000000003</v>
      </c>
      <c r="AB165">
        <v>27</v>
      </c>
      <c r="AC165">
        <v>27.191600000000001</v>
      </c>
      <c r="AD165">
        <v>-1.1595260000000001</v>
      </c>
      <c r="AE165">
        <v>-6.2527999999999704</v>
      </c>
      <c r="AF165">
        <v>6.7543214399406502</v>
      </c>
      <c r="AG165">
        <v>-1.1595260000000001</v>
      </c>
      <c r="AH165">
        <v>27.021800631733999</v>
      </c>
      <c r="AI165">
        <v>92.3838445952575</v>
      </c>
      <c r="AJ165">
        <v>75.966009054505506</v>
      </c>
      <c r="AK165">
        <v>27.877285880083399</v>
      </c>
      <c r="AL165">
        <v>88.584384882027507</v>
      </c>
      <c r="AM165">
        <v>88.123949188150505</v>
      </c>
      <c r="AN165">
        <v>0.99999995510624995</v>
      </c>
    </row>
    <row r="166" spans="1:40" x14ac:dyDescent="0.25">
      <c r="A166" t="str">
        <f>"20190312154215922"</f>
        <v>20190312154215922</v>
      </c>
      <c r="B166" t="str">
        <f>"1552376535907614"</f>
        <v>1552376535907614</v>
      </c>
      <c r="C166" t="s">
        <v>40</v>
      </c>
      <c r="D166">
        <v>4.4556370000000003</v>
      </c>
      <c r="E166">
        <v>0.58181369999999999</v>
      </c>
      <c r="F166" t="s">
        <v>42</v>
      </c>
      <c r="G166">
        <v>-420.62020000000001</v>
      </c>
      <c r="H166">
        <v>-0.05</v>
      </c>
      <c r="I166">
        <v>361.79770000000002</v>
      </c>
      <c r="J166">
        <v>-447.61349999999999</v>
      </c>
      <c r="K166">
        <v>1.109523</v>
      </c>
      <c r="L166">
        <v>368.03750000000002</v>
      </c>
      <c r="M166">
        <v>0.9997954</v>
      </c>
      <c r="N166">
        <v>0</v>
      </c>
      <c r="O166">
        <v>1.8615240000000002E-2</v>
      </c>
      <c r="P166">
        <v>0.99976609999999999</v>
      </c>
      <c r="Q166">
        <v>1.6640519999999999E-2</v>
      </c>
      <c r="R166">
        <v>-1.381638E-2</v>
      </c>
      <c r="S166">
        <v>2.993439</v>
      </c>
      <c r="T166">
        <v>-0.12727260000000001</v>
      </c>
      <c r="U166">
        <v>-0.68435669999999904</v>
      </c>
      <c r="V166">
        <v>3.2439540000000003E-2</v>
      </c>
      <c r="W166">
        <v>2.453493E-2</v>
      </c>
      <c r="X166">
        <v>0.99917250000000002</v>
      </c>
      <c r="Y166">
        <v>0.24075489999999999</v>
      </c>
      <c r="Z166">
        <v>-5.8321789999999998E-3</v>
      </c>
      <c r="AA166">
        <v>0.9705684</v>
      </c>
      <c r="AB166">
        <v>28</v>
      </c>
      <c r="AC166">
        <v>26.993299999999898</v>
      </c>
      <c r="AD166">
        <v>-1.1595229999999901</v>
      </c>
      <c r="AE166">
        <v>-6.2397999999999998</v>
      </c>
      <c r="AF166">
        <v>6.7294338203120203</v>
      </c>
      <c r="AG166">
        <v>-1.1595229999999901</v>
      </c>
      <c r="AH166">
        <v>26.8254754078487</v>
      </c>
      <c r="AI166">
        <v>92.400754990044803</v>
      </c>
      <c r="AJ166">
        <v>75.917399974116606</v>
      </c>
      <c r="AK166">
        <v>27.680966456874</v>
      </c>
      <c r="AL166">
        <v>88.594110967297496</v>
      </c>
      <c r="AM166">
        <v>88.140465137936502</v>
      </c>
      <c r="AN166">
        <v>0.99999998565088299</v>
      </c>
    </row>
    <row r="167" spans="1:40" x14ac:dyDescent="0.25">
      <c r="A167" t="str">
        <f>"20190312154215944"</f>
        <v>20190312154215944</v>
      </c>
      <c r="B167" t="str">
        <f>"1552376535937870"</f>
        <v>1552376535937870</v>
      </c>
      <c r="C167" t="s">
        <v>40</v>
      </c>
      <c r="D167">
        <v>4.408588</v>
      </c>
      <c r="E167">
        <v>0.58291969999999904</v>
      </c>
      <c r="F167" t="s">
        <v>42</v>
      </c>
      <c r="G167">
        <v>-420.39620000000002</v>
      </c>
      <c r="H167">
        <v>-0.05</v>
      </c>
      <c r="I167">
        <v>361.78109999999998</v>
      </c>
      <c r="J167">
        <v>-447.3313</v>
      </c>
      <c r="K167">
        <v>1.109526</v>
      </c>
      <c r="L167">
        <v>368.04250000000002</v>
      </c>
      <c r="M167">
        <v>0.99980069999999999</v>
      </c>
      <c r="N167">
        <v>0</v>
      </c>
      <c r="O167">
        <v>1.831236E-2</v>
      </c>
      <c r="P167">
        <v>0.99976560000000003</v>
      </c>
      <c r="Q167">
        <v>1.654315E-2</v>
      </c>
      <c r="R167">
        <v>-1.397872E-2</v>
      </c>
      <c r="S167">
        <v>2.993347</v>
      </c>
      <c r="T167">
        <v>-0.12752379999999999</v>
      </c>
      <c r="U167">
        <v>-0.68807980000000002</v>
      </c>
      <c r="V167">
        <v>3.2299059999999997E-2</v>
      </c>
      <c r="W167">
        <v>2.4483919999999999E-2</v>
      </c>
      <c r="X167">
        <v>0.99917829999999996</v>
      </c>
      <c r="Y167">
        <v>0.24161279999999999</v>
      </c>
      <c r="Z167">
        <v>-5.8483440000000001E-3</v>
      </c>
      <c r="AA167">
        <v>0.97035510000000003</v>
      </c>
      <c r="AB167">
        <v>28</v>
      </c>
      <c r="AC167">
        <v>26.935099999999899</v>
      </c>
      <c r="AD167">
        <v>-1.1595260000000001</v>
      </c>
      <c r="AE167">
        <v>-6.2614000000000303</v>
      </c>
      <c r="AF167">
        <v>6.7417574995783998</v>
      </c>
      <c r="AG167">
        <v>-1.1595260000000001</v>
      </c>
      <c r="AH167">
        <v>26.7688535763902</v>
      </c>
      <c r="AI167">
        <v>92.4052704213466</v>
      </c>
      <c r="AJ167">
        <v>75.863994247345801</v>
      </c>
      <c r="AK167">
        <v>27.6291027093175</v>
      </c>
      <c r="AL167">
        <v>88.597034500131997</v>
      </c>
      <c r="AM167">
        <v>88.148523009471702</v>
      </c>
      <c r="AN167">
        <v>0.99999998340316898</v>
      </c>
    </row>
    <row r="168" spans="1:40" x14ac:dyDescent="0.25">
      <c r="A168" t="str">
        <f>"20190312154215966"</f>
        <v>20190312154215966</v>
      </c>
      <c r="B168" t="str">
        <f>"1552376535957393"</f>
        <v>1552376535957393</v>
      </c>
      <c r="C168" t="s">
        <v>40</v>
      </c>
      <c r="D168">
        <v>4.3959219999999997</v>
      </c>
      <c r="E168">
        <v>0.58353739999999998</v>
      </c>
      <c r="F168" t="s">
        <v>42</v>
      </c>
      <c r="G168">
        <v>-419.49700000000001</v>
      </c>
      <c r="H168">
        <v>-0.05</v>
      </c>
      <c r="I168">
        <v>361.55700000000002</v>
      </c>
      <c r="J168">
        <v>-447.0573</v>
      </c>
      <c r="K168">
        <v>1.109524</v>
      </c>
      <c r="L168">
        <v>368.04719999999998</v>
      </c>
      <c r="M168">
        <v>0.99980570000000002</v>
      </c>
      <c r="N168">
        <v>0</v>
      </c>
      <c r="O168">
        <v>1.8018860000000001E-2</v>
      </c>
      <c r="P168">
        <v>0.99975519999999996</v>
      </c>
      <c r="Q168">
        <v>1.694965E-2</v>
      </c>
      <c r="R168">
        <v>-1.4226300000000001E-2</v>
      </c>
      <c r="S168">
        <v>2.993042</v>
      </c>
      <c r="T168">
        <v>-0.12468460000000001</v>
      </c>
      <c r="U168">
        <v>-0.69738769999999894</v>
      </c>
      <c r="V168">
        <v>3.225335E-2</v>
      </c>
      <c r="W168">
        <v>2.493153E-2</v>
      </c>
      <c r="X168">
        <v>0.99916879999999997</v>
      </c>
      <c r="Y168">
        <v>0.2442211</v>
      </c>
      <c r="Z168">
        <v>-5.7583590000000002E-3</v>
      </c>
      <c r="AA168">
        <v>0.96970250000000002</v>
      </c>
      <c r="AB168">
        <v>28</v>
      </c>
      <c r="AC168">
        <v>27.560300000000002</v>
      </c>
      <c r="AD168">
        <v>-1.159524</v>
      </c>
      <c r="AE168">
        <v>-6.4902000000000104</v>
      </c>
      <c r="AF168">
        <v>6.9740712670053897</v>
      </c>
      <c r="AG168">
        <v>-1.159524</v>
      </c>
      <c r="AH168">
        <v>27.392935578924401</v>
      </c>
      <c r="AI168">
        <v>92.348998224196293</v>
      </c>
      <c r="AJ168">
        <v>75.716303439202406</v>
      </c>
      <c r="AK168">
        <v>28.290547636533098</v>
      </c>
      <c r="AL168">
        <v>88.571380635270401</v>
      </c>
      <c r="AM168">
        <v>88.151123854551599</v>
      </c>
      <c r="AN168">
        <v>1.00000007533389</v>
      </c>
    </row>
    <row r="169" spans="1:40" x14ac:dyDescent="0.25">
      <c r="A169" t="str">
        <f>"20190312154215991"</f>
        <v>20190312154215991</v>
      </c>
      <c r="B169" t="str">
        <f>"1552376535987646"</f>
        <v>1552376535987646</v>
      </c>
      <c r="C169" t="s">
        <v>40</v>
      </c>
      <c r="D169">
        <v>4.4669610000000004</v>
      </c>
      <c r="E169">
        <v>0.54331529999999995</v>
      </c>
      <c r="F169" t="s">
        <v>42</v>
      </c>
      <c r="G169">
        <v>-418.43349999999998</v>
      </c>
      <c r="H169">
        <v>-0.05</v>
      </c>
      <c r="I169">
        <v>361.32119999999998</v>
      </c>
      <c r="J169">
        <v>-446.74799999999999</v>
      </c>
      <c r="K169">
        <v>1.109534</v>
      </c>
      <c r="L169">
        <v>368.05250000000001</v>
      </c>
      <c r="M169">
        <v>0.99981109999999895</v>
      </c>
      <c r="N169">
        <v>0</v>
      </c>
      <c r="O169">
        <v>1.7688209999999999E-2</v>
      </c>
      <c r="P169">
        <v>0.99975849999999999</v>
      </c>
      <c r="Q169">
        <v>1.6594270000000001E-2</v>
      </c>
      <c r="R169">
        <v>-1.441487E-2</v>
      </c>
      <c r="S169">
        <v>2.9927980000000001</v>
      </c>
      <c r="T169">
        <v>-0.1212353</v>
      </c>
      <c r="U169">
        <v>-0.70324709999999901</v>
      </c>
      <c r="V169">
        <v>3.2111210000000001E-2</v>
      </c>
      <c r="W169">
        <v>2.4619780000000001E-2</v>
      </c>
      <c r="X169">
        <v>0.99918099999999999</v>
      </c>
      <c r="Y169">
        <v>0.24572840000000001</v>
      </c>
      <c r="Z169">
        <v>-5.6152880000000004E-3</v>
      </c>
      <c r="AA169">
        <v>0.96932240000000003</v>
      </c>
      <c r="AB169">
        <v>28</v>
      </c>
      <c r="AC169">
        <v>28.314499999999999</v>
      </c>
      <c r="AD169">
        <v>-1.1595340000000001</v>
      </c>
      <c r="AE169">
        <v>-6.7313000000000303</v>
      </c>
      <c r="AF169">
        <v>7.2196358143867698</v>
      </c>
      <c r="AG169">
        <v>-1.1595340000000001</v>
      </c>
      <c r="AH169">
        <v>28.146323376161199</v>
      </c>
      <c r="AI169">
        <v>92.285164237111402</v>
      </c>
      <c r="AJ169">
        <v>75.613582405172707</v>
      </c>
      <c r="AK169">
        <v>29.080632386263002</v>
      </c>
      <c r="AL169">
        <v>88.589247925147802</v>
      </c>
      <c r="AM169">
        <v>88.159288664417005</v>
      </c>
      <c r="AN169">
        <v>0.99999996706795502</v>
      </c>
    </row>
    <row r="170" spans="1:40" x14ac:dyDescent="0.25">
      <c r="A170" t="str">
        <f>"20190312154216011"</f>
        <v>20190312154216011</v>
      </c>
      <c r="B170" t="str">
        <f>"1552376536007167"</f>
        <v>1552376536007167</v>
      </c>
      <c r="C170" t="s">
        <v>40</v>
      </c>
      <c r="D170">
        <v>4.384976</v>
      </c>
      <c r="E170">
        <v>0.52758190000000005</v>
      </c>
      <c r="F170" t="s">
        <v>43</v>
      </c>
      <c r="G170">
        <v>-386.53559999999999</v>
      </c>
      <c r="H170" s="1">
        <v>-3.6395200000000002E-6</v>
      </c>
      <c r="I170">
        <v>360.31619999999998</v>
      </c>
      <c r="J170">
        <v>-446.5016</v>
      </c>
      <c r="K170">
        <v>1.1095349999999999</v>
      </c>
      <c r="L170">
        <v>368.05650000000003</v>
      </c>
      <c r="M170">
        <v>0.99981560000000003</v>
      </c>
      <c r="N170">
        <v>0</v>
      </c>
      <c r="O170">
        <v>1.7424559999999999E-2</v>
      </c>
      <c r="P170">
        <v>0.99975409999999998</v>
      </c>
      <c r="Q170">
        <v>1.6595059999999998E-2</v>
      </c>
      <c r="R170">
        <v>-1.471681E-2</v>
      </c>
      <c r="S170">
        <v>2.996124</v>
      </c>
      <c r="T170">
        <v>-5.5209759999999997E-2</v>
      </c>
      <c r="U170">
        <v>-0.38494869999999998</v>
      </c>
      <c r="V170">
        <v>3.2149759999999999E-2</v>
      </c>
      <c r="W170">
        <v>2.4652670000000002E-2</v>
      </c>
      <c r="X170">
        <v>0.99917900000000004</v>
      </c>
      <c r="Y170">
        <v>0.14467140000000001</v>
      </c>
      <c r="Z170">
        <v>-1.6471960000000001E-3</v>
      </c>
      <c r="AA170">
        <v>0.98947839999999998</v>
      </c>
      <c r="AB170">
        <v>28</v>
      </c>
      <c r="AC170">
        <v>59.966000000000001</v>
      </c>
      <c r="AD170">
        <v>-1.10953863952</v>
      </c>
      <c r="AE170">
        <v>-7.7403000000000404</v>
      </c>
      <c r="AF170">
        <v>8.7810830340124095</v>
      </c>
      <c r="AG170">
        <v>-1.10953863952</v>
      </c>
      <c r="AH170">
        <v>59.801881843005503</v>
      </c>
      <c r="AI170">
        <v>91.051645364983202</v>
      </c>
      <c r="AJ170">
        <v>81.6465978219764</v>
      </c>
      <c r="AK170">
        <v>60.453317255611402</v>
      </c>
      <c r="AL170">
        <v>88.587362966188394</v>
      </c>
      <c r="AM170">
        <v>88.157076698837997</v>
      </c>
      <c r="AN170">
        <v>1.0000000176235899</v>
      </c>
    </row>
    <row r="171" spans="1:40" x14ac:dyDescent="0.25">
      <c r="A171" t="str">
        <f>"20190312154216024"</f>
        <v>20190312154216024</v>
      </c>
      <c r="B171" t="str">
        <f>"1552376536017903"</f>
        <v>1552376536017903</v>
      </c>
      <c r="C171" t="s">
        <v>40</v>
      </c>
      <c r="D171">
        <v>4.4040229999999996</v>
      </c>
      <c r="E171">
        <v>0.52213520000000002</v>
      </c>
      <c r="F171" t="s">
        <v>43</v>
      </c>
      <c r="G171">
        <v>-343.87060000000002</v>
      </c>
      <c r="H171">
        <v>7.998545E-2</v>
      </c>
      <c r="I171">
        <v>359.1035</v>
      </c>
      <c r="J171">
        <v>-446.32420000000002</v>
      </c>
      <c r="K171">
        <v>1.109537</v>
      </c>
      <c r="L171">
        <v>368.05939999999998</v>
      </c>
      <c r="M171">
        <v>0.99981869999999995</v>
      </c>
      <c r="N171">
        <v>0</v>
      </c>
      <c r="O171">
        <v>1.7234739999999998E-2</v>
      </c>
      <c r="P171">
        <v>0.99975239999999999</v>
      </c>
      <c r="Q171">
        <v>1.6427569999999999E-2</v>
      </c>
      <c r="R171">
        <v>-1.5020820000000001E-2</v>
      </c>
      <c r="S171">
        <v>2.9973450000000001</v>
      </c>
      <c r="T171">
        <v>-3.0068040000000001E-2</v>
      </c>
      <c r="U171">
        <v>-0.2614746</v>
      </c>
      <c r="V171">
        <v>3.2263769999999997E-2</v>
      </c>
      <c r="W171">
        <v>2.4507279999999999E-2</v>
      </c>
      <c r="X171">
        <v>0.99917889999999998</v>
      </c>
      <c r="Y171">
        <v>0.1040565</v>
      </c>
      <c r="Z171">
        <v>-6.9351299999999999E-4</v>
      </c>
      <c r="AA171">
        <v>0.99457110000000004</v>
      </c>
      <c r="AB171">
        <v>28</v>
      </c>
      <c r="AC171">
        <v>102.45359999999999</v>
      </c>
      <c r="AD171">
        <v>-1.0295515500000001</v>
      </c>
      <c r="AE171">
        <v>-8.9558999999999802</v>
      </c>
      <c r="AF171">
        <v>10.719314473613</v>
      </c>
      <c r="AG171">
        <v>-1.0295515500000001</v>
      </c>
      <c r="AH171">
        <v>102.27377455063299</v>
      </c>
      <c r="AI171">
        <v>90.573613745030698</v>
      </c>
      <c r="AJ171">
        <v>84.016674659503806</v>
      </c>
      <c r="AK171">
        <v>102.83913963084299</v>
      </c>
      <c r="AL171">
        <v>88.595695714635298</v>
      </c>
      <c r="AM171">
        <v>88.150545640089604</v>
      </c>
      <c r="AN171">
        <v>1.00000001591641</v>
      </c>
    </row>
    <row r="172" spans="1:40" x14ac:dyDescent="0.25">
      <c r="A172" t="str">
        <f>"20190312154216046"</f>
        <v>20190312154216046</v>
      </c>
      <c r="B172" t="str">
        <f>"1552376536037422"</f>
        <v>1552376536037422</v>
      </c>
      <c r="C172" t="s">
        <v>40</v>
      </c>
      <c r="D172">
        <v>4.3828269999999998</v>
      </c>
      <c r="E172">
        <v>0.51746049999999999</v>
      </c>
      <c r="F172" t="s">
        <v>43</v>
      </c>
      <c r="G172">
        <v>-366.2996</v>
      </c>
      <c r="H172" s="1">
        <v>-3.2107870000000001E-6</v>
      </c>
      <c r="I172">
        <v>362.22949999999997</v>
      </c>
      <c r="J172">
        <v>-446.0668</v>
      </c>
      <c r="K172">
        <v>1.109537</v>
      </c>
      <c r="L172">
        <v>368.06360000000001</v>
      </c>
      <c r="M172">
        <v>0.99982320000000002</v>
      </c>
      <c r="N172">
        <v>0</v>
      </c>
      <c r="O172">
        <v>1.6959519999999999E-2</v>
      </c>
      <c r="P172">
        <v>0.999749</v>
      </c>
      <c r="Q172">
        <v>1.6343050000000001E-2</v>
      </c>
      <c r="R172">
        <v>-1.532446E-2</v>
      </c>
      <c r="S172">
        <v>2.9981080000000002</v>
      </c>
      <c r="T172">
        <v>-4.1568639999999997E-2</v>
      </c>
      <c r="U172">
        <v>-0.21841430000000001</v>
      </c>
      <c r="V172">
        <v>3.229228E-2</v>
      </c>
      <c r="W172">
        <v>2.4452459999999999E-2</v>
      </c>
      <c r="X172">
        <v>0.99917929999999999</v>
      </c>
      <c r="Y172">
        <v>8.9552779999999998E-2</v>
      </c>
      <c r="Z172">
        <v>-8.5482759999999896E-4</v>
      </c>
      <c r="AA172">
        <v>0.99598169999999997</v>
      </c>
      <c r="AB172">
        <v>28</v>
      </c>
      <c r="AC172">
        <v>79.767200000000003</v>
      </c>
      <c r="AD172">
        <v>-1.109540210787</v>
      </c>
      <c r="AE172">
        <v>-5.8341000000000296</v>
      </c>
      <c r="AF172">
        <v>7.1847361870014703</v>
      </c>
      <c r="AG172">
        <v>-1.109540210787</v>
      </c>
      <c r="AH172">
        <v>79.6414530015617</v>
      </c>
      <c r="AI172">
        <v>90.794947667192105</v>
      </c>
      <c r="AJ172">
        <v>84.845099909550697</v>
      </c>
      <c r="AK172">
        <v>79.972573734725501</v>
      </c>
      <c r="AL172">
        <v>88.598837579844798</v>
      </c>
      <c r="AM172">
        <v>88.148913239891598</v>
      </c>
      <c r="AN172">
        <v>0.99999999384806904</v>
      </c>
    </row>
    <row r="173" spans="1:40" x14ac:dyDescent="0.25">
      <c r="A173" t="str">
        <f>"20190312154216069"</f>
        <v>20190312154216069</v>
      </c>
      <c r="B173" t="str">
        <f>"1552376536057918"</f>
        <v>1552376536057918</v>
      </c>
      <c r="C173" t="s">
        <v>40</v>
      </c>
      <c r="D173">
        <v>4.3793350000000002</v>
      </c>
      <c r="E173">
        <v>0.51487890000000003</v>
      </c>
      <c r="F173" t="s">
        <v>43</v>
      </c>
      <c r="G173">
        <v>-352.3562</v>
      </c>
      <c r="H173" s="1">
        <v>-4.5477469999999999E-6</v>
      </c>
      <c r="I173">
        <v>362.36489999999998</v>
      </c>
      <c r="J173">
        <v>-445.78160000000003</v>
      </c>
      <c r="K173">
        <v>1.10954</v>
      </c>
      <c r="L173">
        <v>368.06810000000002</v>
      </c>
      <c r="M173">
        <v>0.99982800000000005</v>
      </c>
      <c r="N173">
        <v>0</v>
      </c>
      <c r="O173">
        <v>1.6653959999999999E-2</v>
      </c>
      <c r="P173">
        <v>0.99974510000000005</v>
      </c>
      <c r="Q173">
        <v>1.652255E-2</v>
      </c>
      <c r="R173">
        <v>-1.538835E-2</v>
      </c>
      <c r="S173">
        <v>2.998535</v>
      </c>
      <c r="T173">
        <v>-3.5502909999999999E-2</v>
      </c>
      <c r="U173">
        <v>-0.18234249999999999</v>
      </c>
      <c r="V173">
        <v>3.2050990000000001E-2</v>
      </c>
      <c r="W173">
        <v>2.4663629999999999E-2</v>
      </c>
      <c r="X173">
        <v>0.99918189999999996</v>
      </c>
      <c r="Y173">
        <v>7.7307230000000005E-2</v>
      </c>
      <c r="Z173">
        <v>-6.5424389999999997E-4</v>
      </c>
      <c r="AA173">
        <v>0.99700710000000003</v>
      </c>
      <c r="AB173">
        <v>28</v>
      </c>
      <c r="AC173">
        <v>93.425399999999996</v>
      </c>
      <c r="AD173">
        <v>-1.1095445477470001</v>
      </c>
      <c r="AE173">
        <v>-5.70320000000003</v>
      </c>
      <c r="AF173">
        <v>7.2573438738526299</v>
      </c>
      <c r="AG173">
        <v>-1.1095445477470001</v>
      </c>
      <c r="AH173">
        <v>93.304346929699093</v>
      </c>
      <c r="AI173">
        <v>90.679258966540303</v>
      </c>
      <c r="AJ173">
        <v>85.552408161832602</v>
      </c>
      <c r="AK173">
        <v>93.592741626605005</v>
      </c>
      <c r="AL173">
        <v>88.586734809676202</v>
      </c>
      <c r="AM173">
        <v>88.162739942002901</v>
      </c>
      <c r="AN173">
        <v>1.0000000149461801</v>
      </c>
    </row>
    <row r="174" spans="1:40" x14ac:dyDescent="0.25">
      <c r="A174" t="str">
        <f>"20190312154216091"</f>
        <v>20190312154216091</v>
      </c>
      <c r="B174" t="str">
        <f>"1552376536087199"</f>
        <v>1552376536087199</v>
      </c>
      <c r="C174" t="s">
        <v>40</v>
      </c>
      <c r="D174">
        <v>4.3879999999999999</v>
      </c>
      <c r="E174">
        <v>0.51257569999999997</v>
      </c>
      <c r="F174" t="s">
        <v>43</v>
      </c>
      <c r="G174">
        <v>-345.27280000000002</v>
      </c>
      <c r="H174" s="1">
        <v>-3.6563620000000001E-6</v>
      </c>
      <c r="I174">
        <v>362.63780000000003</v>
      </c>
      <c r="J174">
        <v>-445.505</v>
      </c>
      <c r="K174">
        <v>1.10954</v>
      </c>
      <c r="L174">
        <v>368.07229999999998</v>
      </c>
      <c r="M174">
        <v>0.99983270000000002</v>
      </c>
      <c r="N174">
        <v>0</v>
      </c>
      <c r="O174">
        <v>1.635754E-2</v>
      </c>
      <c r="P174">
        <v>0.99974399999999997</v>
      </c>
      <c r="Q174">
        <v>1.641389E-2</v>
      </c>
      <c r="R174">
        <v>-1.557005E-2</v>
      </c>
      <c r="S174">
        <v>2.9988100000000002</v>
      </c>
      <c r="T174">
        <v>-3.3104660000000001E-2</v>
      </c>
      <c r="U174">
        <v>-0.16201779999999999</v>
      </c>
      <c r="V174">
        <v>3.1936340000000001E-2</v>
      </c>
      <c r="W174">
        <v>2.4583549999999999E-2</v>
      </c>
      <c r="X174">
        <v>0.99918750000000001</v>
      </c>
      <c r="Y174">
        <v>7.0270479999999996E-2</v>
      </c>
      <c r="Z174">
        <v>-5.6803099999999998E-4</v>
      </c>
      <c r="AA174">
        <v>0.99752779999999996</v>
      </c>
      <c r="AB174">
        <v>28</v>
      </c>
      <c r="AC174">
        <v>100.232199999999</v>
      </c>
      <c r="AD174">
        <v>-1.109543656362</v>
      </c>
      <c r="AE174">
        <v>-5.4344999999999501</v>
      </c>
      <c r="AF174">
        <v>7.0725158827503503</v>
      </c>
      <c r="AG174">
        <v>-1.109543656362</v>
      </c>
      <c r="AH174">
        <v>100.117658298104</v>
      </c>
      <c r="AI174">
        <v>90.633370335165907</v>
      </c>
      <c r="AJ174">
        <v>85.959221744105193</v>
      </c>
      <c r="AK174">
        <v>100.373288633645</v>
      </c>
      <c r="AL174">
        <v>88.591324384546695</v>
      </c>
      <c r="AM174">
        <v>88.169317801237597</v>
      </c>
      <c r="AN174">
        <v>0.999999970449723</v>
      </c>
    </row>
    <row r="175" spans="1:40" x14ac:dyDescent="0.25">
      <c r="A175" t="str">
        <f>"20190312154216111"</f>
        <v>20190312154216111</v>
      </c>
      <c r="B175" t="str">
        <f>"1552376536107694"</f>
        <v>1552376536107694</v>
      </c>
      <c r="C175" t="s">
        <v>40</v>
      </c>
      <c r="D175">
        <v>4.3678730000000003</v>
      </c>
      <c r="E175">
        <v>0.51175729999999997</v>
      </c>
      <c r="F175" t="s">
        <v>43</v>
      </c>
      <c r="G175">
        <v>-364.02289999999999</v>
      </c>
      <c r="H175" s="1">
        <v>-3.514647E-6</v>
      </c>
      <c r="I175">
        <v>364.15809999999999</v>
      </c>
      <c r="J175">
        <v>-445.23880000000003</v>
      </c>
      <c r="K175">
        <v>1.10954</v>
      </c>
      <c r="L175">
        <v>368.07639999999998</v>
      </c>
      <c r="M175">
        <v>0.99983719999999998</v>
      </c>
      <c r="N175">
        <v>0</v>
      </c>
      <c r="O175">
        <v>1.6072690000000001E-2</v>
      </c>
      <c r="P175">
        <v>0.99974680000000005</v>
      </c>
      <c r="Q175">
        <v>1.6290659999999998E-2</v>
      </c>
      <c r="R175">
        <v>-1.553098E-2</v>
      </c>
      <c r="S175">
        <v>2.9992070000000002</v>
      </c>
      <c r="T175">
        <v>-4.0840269999999998E-2</v>
      </c>
      <c r="U175">
        <v>-0.14407349999999999</v>
      </c>
      <c r="V175">
        <v>3.1612519999999998E-2</v>
      </c>
      <c r="W175">
        <v>2.4486299999999999E-2</v>
      </c>
      <c r="X175">
        <v>0.99920019999999998</v>
      </c>
      <c r="Y175">
        <v>6.4022979999999993E-2</v>
      </c>
      <c r="Z175">
        <v>-6.543772E-4</v>
      </c>
      <c r="AA175">
        <v>0.99794819999999995</v>
      </c>
      <c r="AB175">
        <v>28</v>
      </c>
      <c r="AC175">
        <v>81.215900000000005</v>
      </c>
      <c r="AD175">
        <v>-1.1095435146470001</v>
      </c>
      <c r="AE175">
        <v>-3.9182999999999799</v>
      </c>
      <c r="AF175">
        <v>5.22222328045296</v>
      </c>
      <c r="AG175">
        <v>-1.1095435146470001</v>
      </c>
      <c r="AH175">
        <v>81.127322066175097</v>
      </c>
      <c r="AI175">
        <v>90.781942749831899</v>
      </c>
      <c r="AJ175">
        <v>86.316911480542501</v>
      </c>
      <c r="AK175">
        <v>81.302798773662801</v>
      </c>
      <c r="AL175">
        <v>88.596898097512494</v>
      </c>
      <c r="AM175">
        <v>88.1878906658727</v>
      </c>
      <c r="AN175">
        <v>0.99999998499424003</v>
      </c>
    </row>
    <row r="176" spans="1:40" x14ac:dyDescent="0.25">
      <c r="A176" t="str">
        <f>"20190312154216135"</f>
        <v>20190312154216135</v>
      </c>
      <c r="B176" t="str">
        <f>"1552376536127215"</f>
        <v>1552376536127215</v>
      </c>
      <c r="C176" t="s">
        <v>40</v>
      </c>
      <c r="D176">
        <v>4.4124239999999997</v>
      </c>
      <c r="E176">
        <v>0.51111130000000005</v>
      </c>
      <c r="F176" t="s">
        <v>43</v>
      </c>
      <c r="G176">
        <v>-367.14179999999999</v>
      </c>
      <c r="H176" s="1">
        <v>-2.3205699999999999E-6</v>
      </c>
      <c r="I176">
        <v>364.49810000000002</v>
      </c>
      <c r="J176">
        <v>-444.95139999999998</v>
      </c>
      <c r="K176">
        <v>1.10954</v>
      </c>
      <c r="L176">
        <v>368.08069999999998</v>
      </c>
      <c r="M176">
        <v>0.99984189999999995</v>
      </c>
      <c r="N176">
        <v>0</v>
      </c>
      <c r="O176">
        <v>1.576518E-2</v>
      </c>
      <c r="P176">
        <v>0.99975320000000001</v>
      </c>
      <c r="Q176">
        <v>1.5783189999999999E-2</v>
      </c>
      <c r="R176">
        <v>-1.5643540000000001E-2</v>
      </c>
      <c r="S176">
        <v>2.9993289999999999</v>
      </c>
      <c r="T176">
        <v>-4.2612079999999997E-2</v>
      </c>
      <c r="U176">
        <v>-0.13742070000000001</v>
      </c>
      <c r="V176">
        <v>3.1417609999999999E-2</v>
      </c>
      <c r="W176">
        <v>2.400627E-2</v>
      </c>
      <c r="X176">
        <v>0.99921800000000005</v>
      </c>
      <c r="Y176">
        <v>6.150485E-2</v>
      </c>
      <c r="Z176">
        <v>-6.6052630000000003E-4</v>
      </c>
      <c r="AA176">
        <v>0.99810650000000001</v>
      </c>
      <c r="AB176">
        <v>28</v>
      </c>
      <c r="AC176">
        <v>77.809599999999904</v>
      </c>
      <c r="AD176">
        <v>-1.1095423205699999</v>
      </c>
      <c r="AE176">
        <v>-3.58259999999995</v>
      </c>
      <c r="AF176">
        <v>4.8079029979387196</v>
      </c>
      <c r="AG176">
        <v>-1.1095423205699999</v>
      </c>
      <c r="AH176">
        <v>77.727675409420399</v>
      </c>
      <c r="AI176">
        <v>90.816266912331699</v>
      </c>
      <c r="AJ176">
        <v>86.460436755993896</v>
      </c>
      <c r="AK176">
        <v>77.884135354710907</v>
      </c>
      <c r="AL176">
        <v>88.624409885285303</v>
      </c>
      <c r="AM176">
        <v>88.199088078738896</v>
      </c>
      <c r="AN176">
        <v>0.99999998937071199</v>
      </c>
    </row>
    <row r="177" spans="1:40" x14ac:dyDescent="0.25">
      <c r="A177" t="str">
        <f>"20190312154216157"</f>
        <v>20190312154216157</v>
      </c>
      <c r="B177" t="str">
        <f>"1552376536147710"</f>
        <v>1552376536147710</v>
      </c>
      <c r="C177" t="s">
        <v>40</v>
      </c>
      <c r="D177">
        <v>4.397869</v>
      </c>
      <c r="E177">
        <v>0.51050720000000005</v>
      </c>
      <c r="F177" t="s">
        <v>43</v>
      </c>
      <c r="G177">
        <v>-370.38670000000002</v>
      </c>
      <c r="H177" s="1">
        <v>-4.9638209999999998E-6</v>
      </c>
      <c r="I177">
        <v>364.7826</v>
      </c>
      <c r="J177">
        <v>-444.66289999999998</v>
      </c>
      <c r="K177">
        <v>1.1095349999999999</v>
      </c>
      <c r="L177">
        <v>368.0849</v>
      </c>
      <c r="M177">
        <v>0.99984649999999997</v>
      </c>
      <c r="N177">
        <v>0</v>
      </c>
      <c r="O177">
        <v>1.545726E-2</v>
      </c>
      <c r="P177">
        <v>0.99975760000000002</v>
      </c>
      <c r="Q177">
        <v>1.5332800000000001E-2</v>
      </c>
      <c r="R177">
        <v>-1.5815160000000002E-2</v>
      </c>
      <c r="S177">
        <v>2.9993289999999999</v>
      </c>
      <c r="T177">
        <v>-4.4630889999999999E-2</v>
      </c>
      <c r="U177">
        <v>-0.1326599</v>
      </c>
      <c r="V177">
        <v>3.1281259999999998E-2</v>
      </c>
      <c r="W177">
        <v>2.3581049999999999E-2</v>
      </c>
      <c r="X177">
        <v>0.99923240000000002</v>
      </c>
      <c r="Y177">
        <v>5.961578E-2</v>
      </c>
      <c r="Z177">
        <v>-6.7321299999999998E-4</v>
      </c>
      <c r="AA177">
        <v>0.99822120000000003</v>
      </c>
      <c r="AB177">
        <v>28</v>
      </c>
      <c r="AC177">
        <v>74.276199999999903</v>
      </c>
      <c r="AD177">
        <v>-1.109539963821</v>
      </c>
      <c r="AE177">
        <v>-3.3022999999999998</v>
      </c>
      <c r="AF177">
        <v>4.4490602211221004</v>
      </c>
      <c r="AG177">
        <v>-1.109539963821</v>
      </c>
      <c r="AH177">
        <v>74.199754711672497</v>
      </c>
      <c r="AI177">
        <v>90.855168229808996</v>
      </c>
      <c r="AJ177">
        <v>86.568620223206295</v>
      </c>
      <c r="AK177">
        <v>74.341299524926598</v>
      </c>
      <c r="AL177">
        <v>88.648780092209194</v>
      </c>
      <c r="AM177">
        <v>88.206924607591304</v>
      </c>
      <c r="AN177">
        <v>0.99999998617802399</v>
      </c>
    </row>
    <row r="178" spans="1:40" x14ac:dyDescent="0.25">
      <c r="A178" t="str">
        <f>"20190312154216178"</f>
        <v>20190312154216178</v>
      </c>
      <c r="B178" t="str">
        <f>"1552376536167234"</f>
        <v>1552376536167234</v>
      </c>
      <c r="C178" t="s">
        <v>40</v>
      </c>
      <c r="D178">
        <v>4.357602</v>
      </c>
      <c r="E178">
        <v>0.5102177</v>
      </c>
      <c r="F178" t="s">
        <v>43</v>
      </c>
      <c r="G178">
        <v>-377.39830000000001</v>
      </c>
      <c r="H178" s="1">
        <v>-2.0429719999999998E-6</v>
      </c>
      <c r="I178">
        <v>365.21319999999997</v>
      </c>
      <c r="J178">
        <v>-444.38850000000002</v>
      </c>
      <c r="K178">
        <v>1.109534</v>
      </c>
      <c r="L178">
        <v>368.08879999999999</v>
      </c>
      <c r="M178">
        <v>0.99985060000000003</v>
      </c>
      <c r="N178">
        <v>0</v>
      </c>
      <c r="O178">
        <v>1.516473E-2</v>
      </c>
      <c r="P178">
        <v>0.99975820000000004</v>
      </c>
      <c r="Q178">
        <v>1.487513E-2</v>
      </c>
      <c r="R178">
        <v>-1.620313E-2</v>
      </c>
      <c r="S178">
        <v>2.9994809999999998</v>
      </c>
      <c r="T178">
        <v>-4.9476739999999998E-2</v>
      </c>
      <c r="U178">
        <v>-0.12805179999999999</v>
      </c>
      <c r="V178">
        <v>3.1376609999999999E-2</v>
      </c>
      <c r="W178">
        <v>2.3146770000000001E-2</v>
      </c>
      <c r="X178">
        <v>0.99923960000000001</v>
      </c>
      <c r="Y178">
        <v>5.7789100000000003E-2</v>
      </c>
      <c r="Z178">
        <v>-7.2640369999999897E-4</v>
      </c>
      <c r="AA178">
        <v>0.99832860000000001</v>
      </c>
      <c r="AB178">
        <v>28</v>
      </c>
      <c r="AC178">
        <v>66.990200000000002</v>
      </c>
      <c r="AD178">
        <v>-1.109536042972</v>
      </c>
      <c r="AE178">
        <v>-2.8756000000000199</v>
      </c>
      <c r="AF178">
        <v>3.8901273732307602</v>
      </c>
      <c r="AG178">
        <v>-1.109536042972</v>
      </c>
      <c r="AH178">
        <v>66.920562989670003</v>
      </c>
      <c r="AI178">
        <v>90.948270559177303</v>
      </c>
      <c r="AJ178">
        <v>86.6731103217152</v>
      </c>
      <c r="AK178">
        <v>67.042717069529701</v>
      </c>
      <c r="AL178">
        <v>88.673669344708102</v>
      </c>
      <c r="AM178">
        <v>88.201475578278504</v>
      </c>
      <c r="AN178">
        <v>1.0000000214123399</v>
      </c>
    </row>
    <row r="179" spans="1:40" x14ac:dyDescent="0.25">
      <c r="A179" t="str">
        <f>"20190312154216201"</f>
        <v>20190312154216201</v>
      </c>
      <c r="B179" t="str">
        <f>"1552376536197486"</f>
        <v>1552376536197486</v>
      </c>
      <c r="C179" t="s">
        <v>40</v>
      </c>
      <c r="D179">
        <v>3.1592579999999999</v>
      </c>
      <c r="E179">
        <v>0.51021729999999998</v>
      </c>
      <c r="F179" t="s">
        <v>43</v>
      </c>
      <c r="G179">
        <v>-377.0822</v>
      </c>
      <c r="H179" s="1">
        <v>-2.1428890000000002E-6</v>
      </c>
      <c r="I179">
        <v>365.24200000000002</v>
      </c>
      <c r="J179">
        <v>-444.10570000000001</v>
      </c>
      <c r="K179">
        <v>1.109531</v>
      </c>
      <c r="L179">
        <v>368.09280000000001</v>
      </c>
      <c r="M179">
        <v>0.99985500000000005</v>
      </c>
      <c r="N179">
        <v>0</v>
      </c>
      <c r="O179">
        <v>1.486296E-2</v>
      </c>
      <c r="P179">
        <v>0.99975780000000003</v>
      </c>
      <c r="Q179">
        <v>1.4634589999999999E-2</v>
      </c>
      <c r="R179">
        <v>-1.644441E-2</v>
      </c>
      <c r="S179">
        <v>2.9994200000000002</v>
      </c>
      <c r="T179">
        <v>-4.9445030000000001E-2</v>
      </c>
      <c r="U179">
        <v>-0.12686159999999999</v>
      </c>
      <c r="V179">
        <v>3.1316190000000001E-2</v>
      </c>
      <c r="W179">
        <v>2.2929390000000001E-2</v>
      </c>
      <c r="X179">
        <v>0.99924650000000004</v>
      </c>
      <c r="Y179">
        <v>5.7093360000000003E-2</v>
      </c>
      <c r="Z179">
        <v>-7.1525479999999997E-4</v>
      </c>
      <c r="AA179">
        <v>0.99836860000000005</v>
      </c>
      <c r="AB179">
        <v>28</v>
      </c>
      <c r="AC179">
        <v>67.023499999999999</v>
      </c>
      <c r="AD179">
        <v>-1.1095331428890001</v>
      </c>
      <c r="AE179">
        <v>-2.85080000000004</v>
      </c>
      <c r="AF179">
        <v>3.8456350991762598</v>
      </c>
      <c r="AG179">
        <v>-1.1095331428890001</v>
      </c>
      <c r="AH179">
        <v>66.955407443301795</v>
      </c>
      <c r="AI179">
        <v>90.947812596132707</v>
      </c>
      <c r="AJ179">
        <v>86.7127845494567</v>
      </c>
      <c r="AK179">
        <v>67.074932418972594</v>
      </c>
      <c r="AL179">
        <v>88.686127598137404</v>
      </c>
      <c r="AM179">
        <v>88.204949004823604</v>
      </c>
      <c r="AN179">
        <v>1.00000001422206</v>
      </c>
    </row>
    <row r="180" spans="1:40" x14ac:dyDescent="0.25">
      <c r="A180" t="str">
        <f>"20190312154216313"</f>
        <v>20190312154216313</v>
      </c>
      <c r="B180" t="str">
        <f>"1552376536307775"</f>
        <v>1552376536307775</v>
      </c>
      <c r="C180" t="s">
        <v>40</v>
      </c>
      <c r="D180">
        <v>4.3862459999999999</v>
      </c>
      <c r="E180">
        <v>0.5064341</v>
      </c>
      <c r="F180" t="s">
        <v>41</v>
      </c>
      <c r="G180">
        <v>-442.0736</v>
      </c>
      <c r="H180">
        <v>0.90130330000000003</v>
      </c>
      <c r="I180">
        <v>368.07560000000001</v>
      </c>
      <c r="J180">
        <v>-442.67070000000001</v>
      </c>
      <c r="K180">
        <v>1.1095389999999901</v>
      </c>
      <c r="L180">
        <v>368.11160000000001</v>
      </c>
      <c r="M180">
        <v>0.99987550000000003</v>
      </c>
      <c r="N180">
        <v>0</v>
      </c>
      <c r="O180">
        <v>1.3332719999999999E-2</v>
      </c>
      <c r="P180">
        <v>0.99973540000000005</v>
      </c>
      <c r="Q180">
        <v>1.3793730000000001E-2</v>
      </c>
      <c r="R180">
        <v>-1.8408709999999998E-2</v>
      </c>
      <c r="S180">
        <v>3.0089109999999999</v>
      </c>
      <c r="T180">
        <v>-0.71598919999999999</v>
      </c>
      <c r="U180">
        <v>-0.1115112</v>
      </c>
      <c r="V180">
        <v>3.1750380000000002E-2</v>
      </c>
      <c r="W180">
        <v>2.2214790000000002E-2</v>
      </c>
      <c r="X180">
        <v>0.9992489</v>
      </c>
      <c r="Y180">
        <v>4.8627740000000003E-2</v>
      </c>
      <c r="Z180">
        <v>-8.8322219999999903E-3</v>
      </c>
      <c r="AA180">
        <v>0.9987779</v>
      </c>
      <c r="AB180">
        <v>29</v>
      </c>
      <c r="AC180">
        <v>0.59710000000001096</v>
      </c>
      <c r="AD180">
        <v>-0.208235699999999</v>
      </c>
      <c r="AE180">
        <v>-3.6000000000001302E-2</v>
      </c>
      <c r="AF180">
        <v>3.9206859770288899E-2</v>
      </c>
      <c r="AG180">
        <v>-0.208235699999999</v>
      </c>
      <c r="AH180">
        <v>0.53208719681419103</v>
      </c>
      <c r="AI180">
        <v>111.32061305059101</v>
      </c>
      <c r="AJ180">
        <v>85.785774916543801</v>
      </c>
      <c r="AK180">
        <v>0.57272687174701398</v>
      </c>
      <c r="AL180">
        <v>88.727081545398804</v>
      </c>
      <c r="AM180">
        <v>88.180082127703201</v>
      </c>
      <c r="AN180">
        <v>0.99999997383804795</v>
      </c>
    </row>
    <row r="181" spans="1:40" x14ac:dyDescent="0.25">
      <c r="A181" t="str">
        <f>"20190312154216335"</f>
        <v>20190312154216335</v>
      </c>
      <c r="B181" t="str">
        <f>"1552376536327295"</f>
        <v>1552376536327295</v>
      </c>
      <c r="C181" t="s">
        <v>40</v>
      </c>
      <c r="D181">
        <v>4.5836600000000001</v>
      </c>
      <c r="E181">
        <v>0.50466140000000004</v>
      </c>
      <c r="F181" t="s">
        <v>41</v>
      </c>
      <c r="G181">
        <v>-441.80200000000002</v>
      </c>
      <c r="H181">
        <v>0.93193999999999999</v>
      </c>
      <c r="I181">
        <v>368.0865</v>
      </c>
      <c r="J181">
        <v>-442.3877</v>
      </c>
      <c r="K181">
        <v>1.109542</v>
      </c>
      <c r="L181">
        <v>368.11509999999998</v>
      </c>
      <c r="M181">
        <v>0.99987910000000002</v>
      </c>
      <c r="N181">
        <v>0</v>
      </c>
      <c r="O181">
        <v>1.3031259999999999E-2</v>
      </c>
      <c r="P181">
        <v>0.99972760000000005</v>
      </c>
      <c r="Q181">
        <v>1.3409010000000001E-2</v>
      </c>
      <c r="R181">
        <v>-1.9103430000000001E-2</v>
      </c>
      <c r="S181">
        <v>3.0076900000000002</v>
      </c>
      <c r="T181">
        <v>-0.61514340000000001</v>
      </c>
      <c r="U181">
        <v>-8.4991460000000005E-2</v>
      </c>
      <c r="V181">
        <v>3.2143390000000001E-2</v>
      </c>
      <c r="W181">
        <v>2.186393E-2</v>
      </c>
      <c r="X181">
        <v>0.99924409999999997</v>
      </c>
      <c r="Y181">
        <v>4.0170360000000002E-2</v>
      </c>
      <c r="Z181">
        <v>-6.7025670000000004E-3</v>
      </c>
      <c r="AA181">
        <v>0.99917040000000001</v>
      </c>
      <c r="AB181">
        <v>29</v>
      </c>
      <c r="AC181">
        <v>0.58570000000003097</v>
      </c>
      <c r="AD181">
        <v>-0.17760200000000001</v>
      </c>
      <c r="AE181">
        <v>-2.8599999999983E-2</v>
      </c>
      <c r="AF181">
        <v>3.3186097425446599E-2</v>
      </c>
      <c r="AG181">
        <v>-0.17760200000000001</v>
      </c>
      <c r="AH181">
        <v>0.53610105704440503</v>
      </c>
      <c r="AI181">
        <v>108.296553084704</v>
      </c>
      <c r="AJ181">
        <v>86.457757078534797</v>
      </c>
      <c r="AK181">
        <v>0.56572796539543602</v>
      </c>
      <c r="AL181">
        <v>88.747189260302207</v>
      </c>
      <c r="AM181">
        <v>88.157561553692304</v>
      </c>
      <c r="AN181">
        <v>1.00000000017027</v>
      </c>
    </row>
    <row r="182" spans="1:40" x14ac:dyDescent="0.25">
      <c r="A182" t="str">
        <f>"20190312154216358"</f>
        <v>20190312154216358</v>
      </c>
      <c r="B182" t="str">
        <f>"1552376536347506"</f>
        <v>1552376536347506</v>
      </c>
      <c r="C182" t="s">
        <v>40</v>
      </c>
      <c r="D182">
        <v>4.4757989999999896</v>
      </c>
      <c r="E182">
        <v>0.50415129999999997</v>
      </c>
      <c r="F182" t="s">
        <v>41</v>
      </c>
      <c r="G182">
        <v>-441.52870000000001</v>
      </c>
      <c r="H182">
        <v>0.96378779999999997</v>
      </c>
      <c r="I182">
        <v>368.09300000000002</v>
      </c>
      <c r="J182">
        <v>-442.08870000000002</v>
      </c>
      <c r="K182">
        <v>1.109545</v>
      </c>
      <c r="L182">
        <v>368.11869999999999</v>
      </c>
      <c r="M182">
        <v>0.99988290000000002</v>
      </c>
      <c r="N182">
        <v>0</v>
      </c>
      <c r="O182">
        <v>1.2712640000000001E-2</v>
      </c>
      <c r="P182">
        <v>0.99971940000000004</v>
      </c>
      <c r="Q182">
        <v>1.301269E-2</v>
      </c>
      <c r="R182">
        <v>-1.979964E-2</v>
      </c>
      <c r="S182">
        <v>3.006195</v>
      </c>
      <c r="T182">
        <v>-0.51016260000000002</v>
      </c>
      <c r="U182">
        <v>-7.6324459999999997E-2</v>
      </c>
      <c r="V182">
        <v>3.2520739999999999E-2</v>
      </c>
      <c r="W182">
        <v>2.151163E-2</v>
      </c>
      <c r="X182">
        <v>0.99923960000000001</v>
      </c>
      <c r="Y182">
        <v>3.737215E-2</v>
      </c>
      <c r="Z182">
        <v>-5.2899440000000004E-3</v>
      </c>
      <c r="AA182">
        <v>0.99928740000000005</v>
      </c>
      <c r="AB182">
        <v>29</v>
      </c>
      <c r="AC182">
        <v>0.56000000000000205</v>
      </c>
      <c r="AD182">
        <v>-0.145757199999999</v>
      </c>
      <c r="AE182">
        <v>-2.5699999999971999E-2</v>
      </c>
      <c r="AF182">
        <v>3.0739178629338199E-2</v>
      </c>
      <c r="AG182">
        <v>-0.145757199999999</v>
      </c>
      <c r="AH182">
        <v>0.52419079721846495</v>
      </c>
      <c r="AI182">
        <v>105.51382872649801</v>
      </c>
      <c r="AJ182">
        <v>86.643949994057607</v>
      </c>
      <c r="AK182">
        <v>0.54494591506238099</v>
      </c>
      <c r="AL182">
        <v>88.767379390429895</v>
      </c>
      <c r="AM182">
        <v>88.135938876467094</v>
      </c>
      <c r="AN182">
        <v>1.0000000634817801</v>
      </c>
    </row>
    <row r="183" spans="1:40" x14ac:dyDescent="0.25">
      <c r="A183" t="str">
        <f>"20190312154216379"</f>
        <v>20190312154216379</v>
      </c>
      <c r="B183" t="str">
        <f>"1552376536368002"</f>
        <v>1552376536368002</v>
      </c>
      <c r="C183" t="s">
        <v>40</v>
      </c>
      <c r="D183">
        <v>4.5140029999999998</v>
      </c>
      <c r="E183">
        <v>0.50328509999999904</v>
      </c>
      <c r="F183" t="s">
        <v>41</v>
      </c>
      <c r="G183">
        <v>-441.25490000000002</v>
      </c>
      <c r="H183">
        <v>0.99530640000000004</v>
      </c>
      <c r="I183">
        <v>368.0967</v>
      </c>
      <c r="J183">
        <v>-441.81630000000001</v>
      </c>
      <c r="K183">
        <v>1.109556</v>
      </c>
      <c r="L183">
        <v>368.12180000000001</v>
      </c>
      <c r="M183">
        <v>0.99988619999999995</v>
      </c>
      <c r="N183">
        <v>0</v>
      </c>
      <c r="O183">
        <v>1.242308E-2</v>
      </c>
      <c r="P183">
        <v>0.9997144</v>
      </c>
      <c r="Q183">
        <v>1.291843E-2</v>
      </c>
      <c r="R183">
        <v>-2.0110289999999999E-2</v>
      </c>
      <c r="S183">
        <v>3.0046390000000001</v>
      </c>
      <c r="T183">
        <v>-0.4118967</v>
      </c>
      <c r="U183">
        <v>-7.7545169999999997E-2</v>
      </c>
      <c r="V183">
        <v>3.2541979999999998E-2</v>
      </c>
      <c r="W183">
        <v>2.1468250000000001E-2</v>
      </c>
      <c r="X183">
        <v>0.99923980000000001</v>
      </c>
      <c r="Y183">
        <v>3.7748339999999998E-2</v>
      </c>
      <c r="Z183">
        <v>-4.2698700000000003E-3</v>
      </c>
      <c r="AA183">
        <v>0.99927809999999995</v>
      </c>
      <c r="AB183">
        <v>29</v>
      </c>
      <c r="AC183">
        <v>0.56139999999999102</v>
      </c>
      <c r="AD183">
        <v>-0.11424959999999899</v>
      </c>
      <c r="AE183">
        <v>-2.5100000000009001E-2</v>
      </c>
      <c r="AF183">
        <v>3.07995947627644E-2</v>
      </c>
      <c r="AG183">
        <v>-0.11424959999999899</v>
      </c>
      <c r="AH183">
        <v>0.53877561213412395</v>
      </c>
      <c r="AI183">
        <v>101.953501980387</v>
      </c>
      <c r="AJ183">
        <v>86.728195905413401</v>
      </c>
      <c r="AK183">
        <v>0.55161648485901005</v>
      </c>
      <c r="AL183">
        <v>88.769865404348494</v>
      </c>
      <c r="AM183">
        <v>88.134722650577601</v>
      </c>
      <c r="AN183">
        <v>1.0000000220622101</v>
      </c>
    </row>
    <row r="184" spans="1:40" x14ac:dyDescent="0.25">
      <c r="A184" t="str">
        <f>"20190312154216393"</f>
        <v>20190312154216393</v>
      </c>
      <c r="B184" t="str">
        <f>"1552376536387523"</f>
        <v>1552376536387523</v>
      </c>
      <c r="C184" t="s">
        <v>40</v>
      </c>
      <c r="D184">
        <v>4.5649030000000002</v>
      </c>
      <c r="E184">
        <v>0.50266509999999998</v>
      </c>
      <c r="F184" t="s">
        <v>41</v>
      </c>
      <c r="G184">
        <v>-440.9871</v>
      </c>
      <c r="H184">
        <v>1.0131920000000001</v>
      </c>
      <c r="I184">
        <v>368.10129999999998</v>
      </c>
      <c r="J184">
        <v>-441.63670000000002</v>
      </c>
      <c r="K184">
        <v>1.1095619999999999</v>
      </c>
      <c r="L184">
        <v>368.12380000000002</v>
      </c>
      <c r="M184">
        <v>0.9998882</v>
      </c>
      <c r="N184">
        <v>0</v>
      </c>
      <c r="O184">
        <v>1.223226E-2</v>
      </c>
      <c r="P184">
        <v>0.99970579999999998</v>
      </c>
      <c r="Q184">
        <v>1.298323E-2</v>
      </c>
      <c r="R184">
        <v>-2.0506259999999998E-2</v>
      </c>
      <c r="S184">
        <v>3.0038450000000001</v>
      </c>
      <c r="T184">
        <v>-0.34917510000000002</v>
      </c>
      <c r="U184">
        <v>-7.3669429999999994E-2</v>
      </c>
      <c r="V184">
        <v>3.2747060000000001E-2</v>
      </c>
      <c r="W184">
        <v>2.1573599999999998E-2</v>
      </c>
      <c r="X184">
        <v>0.99923079999999997</v>
      </c>
      <c r="Y184">
        <v>3.6417459999999999E-2</v>
      </c>
      <c r="Z184">
        <v>-3.5262240000000001E-3</v>
      </c>
      <c r="AA184">
        <v>0.99933050000000001</v>
      </c>
      <c r="AB184">
        <v>29</v>
      </c>
      <c r="AC184">
        <v>0.64960000000002005</v>
      </c>
      <c r="AD184">
        <v>-9.6369999999999997E-2</v>
      </c>
      <c r="AE184">
        <v>-2.25000000000363E-2</v>
      </c>
      <c r="AF184">
        <v>2.9789840491598801E-2</v>
      </c>
      <c r="AG184">
        <v>-9.6369999999999997E-2</v>
      </c>
      <c r="AH184">
        <v>0.63531063959002398</v>
      </c>
      <c r="AI184">
        <v>98.616092752852893</v>
      </c>
      <c r="AJ184">
        <v>87.315356076145306</v>
      </c>
      <c r="AK184">
        <v>0.64326838898923</v>
      </c>
      <c r="AL184">
        <v>88.763827857295695</v>
      </c>
      <c r="AM184">
        <v>88.122959135731094</v>
      </c>
      <c r="AN184">
        <v>0.999999990912121</v>
      </c>
    </row>
    <row r="185" spans="1:40" x14ac:dyDescent="0.25">
      <c r="A185" t="str">
        <f>"20190312154216412"</f>
        <v>20190312154216412</v>
      </c>
      <c r="B185" t="str">
        <f>"1552376536408018"</f>
        <v>1552376536408018</v>
      </c>
      <c r="C185" t="s">
        <v>40</v>
      </c>
      <c r="D185">
        <v>4.5603210000000001</v>
      </c>
      <c r="E185">
        <v>0.50238509999999903</v>
      </c>
      <c r="F185" t="s">
        <v>41</v>
      </c>
      <c r="G185">
        <v>-440.72570000000002</v>
      </c>
      <c r="H185">
        <v>1.0171939999999999</v>
      </c>
      <c r="I185">
        <v>368.1019</v>
      </c>
      <c r="J185">
        <v>-441.37799999999999</v>
      </c>
      <c r="K185">
        <v>1.1095710000000001</v>
      </c>
      <c r="L185">
        <v>368.12670000000003</v>
      </c>
      <c r="M185">
        <v>0.99989090000000003</v>
      </c>
      <c r="N185">
        <v>0</v>
      </c>
      <c r="O185">
        <v>1.195792E-2</v>
      </c>
      <c r="P185">
        <v>0.99969949999999996</v>
      </c>
      <c r="Q185">
        <v>1.315654E-2</v>
      </c>
      <c r="R185">
        <v>-2.068505E-2</v>
      </c>
      <c r="S185">
        <v>3.0034179999999999</v>
      </c>
      <c r="T185">
        <v>-0.30464770000000002</v>
      </c>
      <c r="U185">
        <v>-7.1380620000000006E-2</v>
      </c>
      <c r="V185">
        <v>3.2651899999999998E-2</v>
      </c>
      <c r="W185">
        <v>2.181816E-2</v>
      </c>
      <c r="X185">
        <v>0.99922860000000002</v>
      </c>
      <c r="Y185">
        <v>3.5469809999999997E-2</v>
      </c>
      <c r="Z185">
        <v>-3.0037900000000001E-3</v>
      </c>
      <c r="AA185">
        <v>0.99936619999999998</v>
      </c>
      <c r="AB185">
        <v>29</v>
      </c>
      <c r="AC185">
        <v>0.65230000000002497</v>
      </c>
      <c r="AD185">
        <v>-9.2376999999999695E-2</v>
      </c>
      <c r="AE185">
        <v>-2.4800000000027401E-2</v>
      </c>
      <c r="AF185">
        <v>3.19586504247905E-2</v>
      </c>
      <c r="AG185">
        <v>-9.2376999999999695E-2</v>
      </c>
      <c r="AH185">
        <v>0.63915670137879599</v>
      </c>
      <c r="AI185">
        <v>98.213861883879403</v>
      </c>
      <c r="AJ185">
        <v>87.137521865404096</v>
      </c>
      <c r="AK185">
        <v>0.64658808710290805</v>
      </c>
      <c r="AL185">
        <v>88.749812297212102</v>
      </c>
      <c r="AM185">
        <v>88.128405644379299</v>
      </c>
      <c r="AN185">
        <v>0.99999998686867697</v>
      </c>
    </row>
    <row r="186" spans="1:40" x14ac:dyDescent="0.25">
      <c r="A186" t="str">
        <f>"20190312154216436"</f>
        <v>20190312154216436</v>
      </c>
      <c r="B186" t="str">
        <f>"1552376536427538"</f>
        <v>1552376536427538</v>
      </c>
      <c r="C186" t="s">
        <v>40</v>
      </c>
      <c r="D186">
        <v>4.577604</v>
      </c>
      <c r="E186">
        <v>0.50215189999999998</v>
      </c>
      <c r="F186" t="s">
        <v>41</v>
      </c>
      <c r="G186">
        <v>-440.46120000000002</v>
      </c>
      <c r="H186">
        <v>1.0269649999999999</v>
      </c>
      <c r="I186">
        <v>368.10509999999999</v>
      </c>
      <c r="J186">
        <v>-441.0736</v>
      </c>
      <c r="K186">
        <v>1.1095200000000001</v>
      </c>
      <c r="L186">
        <v>368.13</v>
      </c>
      <c r="M186">
        <v>0.99989620000000001</v>
      </c>
      <c r="N186">
        <v>0</v>
      </c>
      <c r="O186">
        <v>1.162971E-2</v>
      </c>
      <c r="P186">
        <v>0.99969410000000003</v>
      </c>
      <c r="Q186">
        <v>1.331624E-2</v>
      </c>
      <c r="R186">
        <v>-2.085215E-2</v>
      </c>
      <c r="S186">
        <v>3.0030519999999998</v>
      </c>
      <c r="T186">
        <v>-0.27063939999999997</v>
      </c>
      <c r="U186">
        <v>-7.064819E-2</v>
      </c>
      <c r="V186">
        <v>3.249088E-2</v>
      </c>
      <c r="W186">
        <v>2.182007E-2</v>
      </c>
      <c r="X186">
        <v>0.99923379999999995</v>
      </c>
      <c r="Y186">
        <v>3.495558E-2</v>
      </c>
      <c r="Z186">
        <v>-2.6176020000000001E-3</v>
      </c>
      <c r="AA186">
        <v>0.99938539999999998</v>
      </c>
      <c r="AB186">
        <v>29</v>
      </c>
      <c r="AC186">
        <v>0.61239999999997896</v>
      </c>
      <c r="AD186">
        <v>-8.2555000000000101E-2</v>
      </c>
      <c r="AE186">
        <v>-2.4900000000002299E-2</v>
      </c>
      <c r="AF186">
        <v>3.14500234549367E-2</v>
      </c>
      <c r="AG186">
        <v>-8.2555000000000101E-2</v>
      </c>
      <c r="AH186">
        <v>0.601162356486317</v>
      </c>
      <c r="AI186">
        <v>97.808724530845396</v>
      </c>
      <c r="AJ186">
        <v>87.005280912603894</v>
      </c>
      <c r="AK186">
        <v>0.60761880390298795</v>
      </c>
      <c r="AL186">
        <v>88.749702827498893</v>
      </c>
      <c r="AM186">
        <v>88.137638418112104</v>
      </c>
      <c r="AN186">
        <v>0.99999997990020895</v>
      </c>
    </row>
    <row r="187" spans="1:40" x14ac:dyDescent="0.25">
      <c r="A187" t="str">
        <f>"20190312154216470"</f>
        <v>20190312154216470</v>
      </c>
      <c r="B187" t="str">
        <f>"1552376536457680"</f>
        <v>1552376536457680</v>
      </c>
      <c r="C187" t="s">
        <v>40</v>
      </c>
      <c r="D187">
        <v>4.5586339999999996</v>
      </c>
      <c r="E187">
        <v>0.5011061</v>
      </c>
      <c r="F187" t="s">
        <v>41</v>
      </c>
      <c r="G187">
        <v>-440.1934</v>
      </c>
      <c r="H187">
        <v>1.0382279999999999</v>
      </c>
      <c r="I187">
        <v>368.10890000000001</v>
      </c>
      <c r="J187">
        <v>-440.62909999999999</v>
      </c>
      <c r="K187">
        <v>1.10917</v>
      </c>
      <c r="L187">
        <v>368.13470000000001</v>
      </c>
      <c r="M187">
        <v>0.99990809999999997</v>
      </c>
      <c r="N187">
        <v>0</v>
      </c>
      <c r="O187">
        <v>1.113712E-2</v>
      </c>
      <c r="P187">
        <v>0.9996737</v>
      </c>
      <c r="Q187">
        <v>1.416246E-2</v>
      </c>
      <c r="R187">
        <v>-2.1265800000000001E-2</v>
      </c>
      <c r="S187">
        <v>3.0026860000000002</v>
      </c>
      <c r="T187">
        <v>-0.2434818</v>
      </c>
      <c r="U187">
        <v>-7.0068359999999996E-2</v>
      </c>
      <c r="V187">
        <v>3.2411700000000002E-2</v>
      </c>
      <c r="W187">
        <v>2.1871080000000001E-2</v>
      </c>
      <c r="X187">
        <v>0.99923530000000005</v>
      </c>
      <c r="Y187">
        <v>3.4312740000000001E-2</v>
      </c>
      <c r="Z187">
        <v>-2.2902349999999998E-3</v>
      </c>
      <c r="AA187">
        <v>0.99940850000000003</v>
      </c>
      <c r="AB187">
        <v>29</v>
      </c>
      <c r="AC187">
        <v>0.43569999999999698</v>
      </c>
      <c r="AD187">
        <v>-7.0941999999999797E-2</v>
      </c>
      <c r="AE187">
        <v>-2.5800000000003799E-2</v>
      </c>
      <c r="AF187">
        <v>2.98620706364962E-2</v>
      </c>
      <c r="AG187">
        <v>-7.0941999999999797E-2</v>
      </c>
      <c r="AH187">
        <v>0.42417935938571399</v>
      </c>
      <c r="AI187">
        <v>99.471560098227499</v>
      </c>
      <c r="AJ187">
        <v>85.973042139493103</v>
      </c>
      <c r="AK187">
        <v>0.43110629728127797</v>
      </c>
      <c r="AL187">
        <v>88.7467795268647</v>
      </c>
      <c r="AM187">
        <v>88.142176580050304</v>
      </c>
      <c r="AN187">
        <v>1.00000002360167</v>
      </c>
    </row>
    <row r="188" spans="1:40" x14ac:dyDescent="0.25">
      <c r="A188" t="str">
        <f>"20190312154216492"</f>
        <v>20190312154216492</v>
      </c>
      <c r="B188" t="str">
        <f>"1552376536487936"</f>
        <v>1552376536487936</v>
      </c>
      <c r="C188" t="s">
        <v>40</v>
      </c>
      <c r="D188">
        <v>4.6079239999999997</v>
      </c>
      <c r="E188">
        <v>0.50028430000000002</v>
      </c>
      <c r="F188" t="s">
        <v>41</v>
      </c>
      <c r="G188">
        <v>-439.66340000000002</v>
      </c>
      <c r="H188">
        <v>1.0408520000000001</v>
      </c>
      <c r="I188">
        <v>368.11349999999999</v>
      </c>
      <c r="J188">
        <v>-440.33580000000001</v>
      </c>
      <c r="K188">
        <v>1.108832</v>
      </c>
      <c r="L188">
        <v>368.1377</v>
      </c>
      <c r="M188">
        <v>0.99991149999999995</v>
      </c>
      <c r="N188">
        <v>0</v>
      </c>
      <c r="O188">
        <v>1.0811970000000001E-2</v>
      </c>
      <c r="P188">
        <v>0.99966169999999999</v>
      </c>
      <c r="Q188">
        <v>1.466394E-2</v>
      </c>
      <c r="R188">
        <v>-2.1488469999999999E-2</v>
      </c>
      <c r="S188">
        <v>3.0025940000000002</v>
      </c>
      <c r="T188">
        <v>-0.2127916</v>
      </c>
      <c r="U188">
        <v>-6.3873289999999999E-2</v>
      </c>
      <c r="V188">
        <v>3.2309659999999997E-2</v>
      </c>
      <c r="W188">
        <v>2.2384029999999999E-2</v>
      </c>
      <c r="X188">
        <v>0.99922719999999998</v>
      </c>
      <c r="Y188">
        <v>3.1969249999999998E-2</v>
      </c>
      <c r="Z188">
        <v>-1.8964959999999999E-3</v>
      </c>
      <c r="AA188">
        <v>0.99948700000000001</v>
      </c>
      <c r="AB188">
        <v>30</v>
      </c>
      <c r="AC188">
        <v>0.67239999999998101</v>
      </c>
      <c r="AD188">
        <v>-6.7979999999999902E-2</v>
      </c>
      <c r="AE188">
        <v>-2.42000000000075E-2</v>
      </c>
      <c r="AF188">
        <v>3.1150782313488602E-2</v>
      </c>
      <c r="AG188">
        <v>-6.7979999999999902E-2</v>
      </c>
      <c r="AH188">
        <v>0.66530751492264895</v>
      </c>
      <c r="AI188">
        <v>95.827798234182097</v>
      </c>
      <c r="AJ188">
        <v>87.319276018497604</v>
      </c>
      <c r="AK188">
        <v>0.66949663259145198</v>
      </c>
      <c r="AL188">
        <v>88.717382401025404</v>
      </c>
      <c r="AM188">
        <v>88.148006383291602</v>
      </c>
      <c r="AN188">
        <v>0.99999997807409802</v>
      </c>
    </row>
    <row r="189" spans="1:40" x14ac:dyDescent="0.25">
      <c r="A189" t="str">
        <f>"20190312154216515"</f>
        <v>20190312154216515</v>
      </c>
      <c r="B189" t="str">
        <f>"1552376536507456"</f>
        <v>1552376536507456</v>
      </c>
      <c r="C189" t="s">
        <v>40</v>
      </c>
      <c r="D189">
        <v>4.6924010000000003</v>
      </c>
      <c r="E189">
        <v>0.49969639999999999</v>
      </c>
      <c r="F189" t="s">
        <v>41</v>
      </c>
      <c r="G189">
        <v>-439.39120000000003</v>
      </c>
      <c r="H189">
        <v>1.049085</v>
      </c>
      <c r="I189">
        <v>368.11900000000003</v>
      </c>
      <c r="J189">
        <v>-440.041</v>
      </c>
      <c r="K189">
        <v>1.1083499999999999</v>
      </c>
      <c r="L189">
        <v>368.14060000000001</v>
      </c>
      <c r="M189">
        <v>0.99991079999999999</v>
      </c>
      <c r="N189">
        <v>0</v>
      </c>
      <c r="O189">
        <v>1.049045E-2</v>
      </c>
      <c r="P189">
        <v>0.9996604</v>
      </c>
      <c r="Q189">
        <v>1.467196E-2</v>
      </c>
      <c r="R189">
        <v>-2.1547650000000002E-2</v>
      </c>
      <c r="S189">
        <v>3.0025330000000001</v>
      </c>
      <c r="T189">
        <v>-0.1901159</v>
      </c>
      <c r="U189">
        <v>-5.8624269999999999E-2</v>
      </c>
      <c r="V189">
        <v>3.2048310000000003E-2</v>
      </c>
      <c r="W189">
        <v>2.2921770000000001E-2</v>
      </c>
      <c r="X189">
        <v>0.99922350000000004</v>
      </c>
      <c r="Y189">
        <v>2.9928030000000001E-2</v>
      </c>
      <c r="Z189">
        <v>-1.6100039999999999E-3</v>
      </c>
      <c r="AA189">
        <v>0.99955079999999996</v>
      </c>
      <c r="AB189">
        <v>30</v>
      </c>
      <c r="AC189">
        <v>0.64979999999996996</v>
      </c>
      <c r="AD189">
        <v>-5.9264999999999901E-2</v>
      </c>
      <c r="AE189">
        <v>-2.1599999999978001E-2</v>
      </c>
      <c r="AF189">
        <v>2.81815732763268E-2</v>
      </c>
      <c r="AG189">
        <v>-5.9264999999999901E-2</v>
      </c>
      <c r="AH189">
        <v>0.64418499852909605</v>
      </c>
      <c r="AI189">
        <v>95.251418484688301</v>
      </c>
      <c r="AJ189">
        <v>87.495042104273196</v>
      </c>
      <c r="AK189">
        <v>0.64751899866124496</v>
      </c>
      <c r="AL189">
        <v>88.686564356814401</v>
      </c>
      <c r="AM189">
        <v>88.162969893079804</v>
      </c>
      <c r="AN189">
        <v>1.0000000523330099</v>
      </c>
    </row>
    <row r="190" spans="1:40" x14ac:dyDescent="0.25">
      <c r="A190" t="str">
        <f>"20190312154216536"</f>
        <v>20190312154216536</v>
      </c>
      <c r="B190" t="str">
        <f>"1552376536527952"</f>
        <v>1552376536527952</v>
      </c>
      <c r="C190" t="s">
        <v>40</v>
      </c>
      <c r="D190">
        <v>4.6779270000000004</v>
      </c>
      <c r="E190">
        <v>0.49897530000000001</v>
      </c>
      <c r="F190" t="s">
        <v>42</v>
      </c>
      <c r="G190">
        <v>-420.68680000000001</v>
      </c>
      <c r="H190">
        <v>-0.05</v>
      </c>
      <c r="I190">
        <v>367.78719999999998</v>
      </c>
      <c r="J190">
        <v>-439.7518</v>
      </c>
      <c r="K190">
        <v>1.1076680000000001</v>
      </c>
      <c r="L190">
        <v>368.14330000000001</v>
      </c>
      <c r="M190">
        <v>0.9999053</v>
      </c>
      <c r="N190">
        <v>0</v>
      </c>
      <c r="O190">
        <v>1.019667E-2</v>
      </c>
      <c r="P190">
        <v>0.99966169999999999</v>
      </c>
      <c r="Q190">
        <v>1.4098919999999999E-2</v>
      </c>
      <c r="R190">
        <v>-2.1872229999999999E-2</v>
      </c>
      <c r="S190">
        <v>3.002472</v>
      </c>
      <c r="T190">
        <v>-0.1796982</v>
      </c>
      <c r="U190">
        <v>-5.4809570000000002E-2</v>
      </c>
      <c r="V190">
        <v>3.2080450000000003E-2</v>
      </c>
      <c r="W190">
        <v>2.3320770000000001E-2</v>
      </c>
      <c r="X190">
        <v>0.99921320000000002</v>
      </c>
      <c r="Y190">
        <v>2.837723E-2</v>
      </c>
      <c r="Z190">
        <v>-1.458069E-3</v>
      </c>
      <c r="AA190">
        <v>0.99959620000000005</v>
      </c>
      <c r="AB190">
        <v>30</v>
      </c>
      <c r="AC190">
        <v>19.065000000000001</v>
      </c>
      <c r="AD190">
        <v>-1.1576679999999999</v>
      </c>
      <c r="AE190">
        <v>-0.35610000000002601</v>
      </c>
      <c r="AF190">
        <v>0.54846770815169199</v>
      </c>
      <c r="AG190">
        <v>-1.1576679999999999</v>
      </c>
      <c r="AH190">
        <v>18.990381037413702</v>
      </c>
      <c r="AI190">
        <v>93.487026618748502</v>
      </c>
      <c r="AJ190">
        <v>88.3456808115466</v>
      </c>
      <c r="AK190">
        <v>19.0335383986076</v>
      </c>
      <c r="AL190">
        <v>88.663697180578694</v>
      </c>
      <c r="AM190">
        <v>88.161109929170905</v>
      </c>
      <c r="AN190">
        <v>1.0000000163199101</v>
      </c>
    </row>
    <row r="191" spans="1:40" x14ac:dyDescent="0.25">
      <c r="A191" t="str">
        <f>"20190312154216559"</f>
        <v>20190312154216559</v>
      </c>
      <c r="B191" t="str">
        <f>"1552376536547473"</f>
        <v>1552376536547473</v>
      </c>
      <c r="C191" t="s">
        <v>40</v>
      </c>
      <c r="D191">
        <v>4.6713100000000001</v>
      </c>
      <c r="E191">
        <v>0.49841210000000002</v>
      </c>
      <c r="F191" t="s">
        <v>42</v>
      </c>
      <c r="G191">
        <v>-419.71280000000002</v>
      </c>
      <c r="H191">
        <v>-0.05</v>
      </c>
      <c r="I191">
        <v>367.8082</v>
      </c>
      <c r="J191">
        <v>-439.45190000000002</v>
      </c>
      <c r="K191">
        <v>1.1067659999999999</v>
      </c>
      <c r="L191">
        <v>368.14609999999999</v>
      </c>
      <c r="M191">
        <v>0.99989189999999994</v>
      </c>
      <c r="N191">
        <v>0</v>
      </c>
      <c r="O191">
        <v>9.9305190000000005E-3</v>
      </c>
      <c r="P191">
        <v>0.99967669999999997</v>
      </c>
      <c r="Q191">
        <v>1.194166E-2</v>
      </c>
      <c r="R191">
        <v>-2.244494E-2</v>
      </c>
      <c r="S191">
        <v>3.002319</v>
      </c>
      <c r="T191">
        <v>-0.1734464</v>
      </c>
      <c r="U191">
        <v>-5.0201419999999997E-2</v>
      </c>
      <c r="V191">
        <v>3.2388140000000003E-2</v>
      </c>
      <c r="W191">
        <v>2.2754440000000001E-2</v>
      </c>
      <c r="X191">
        <v>0.99921629999999995</v>
      </c>
      <c r="Y191">
        <v>2.6586559999999999E-2</v>
      </c>
      <c r="Z191">
        <v>-1.340485E-3</v>
      </c>
      <c r="AA191">
        <v>0.99964560000000002</v>
      </c>
      <c r="AB191">
        <v>30</v>
      </c>
      <c r="AC191">
        <v>19.739100000000001</v>
      </c>
      <c r="AD191">
        <v>-1.156766</v>
      </c>
      <c r="AE191">
        <v>-0.33789999999998999</v>
      </c>
      <c r="AF191">
        <v>0.53208756348087705</v>
      </c>
      <c r="AG191">
        <v>-1.156766</v>
      </c>
      <c r="AH191">
        <v>19.667247706667201</v>
      </c>
      <c r="AI191">
        <v>93.364852174010807</v>
      </c>
      <c r="AJ191">
        <v>88.450269335476705</v>
      </c>
      <c r="AK191">
        <v>19.7084209694581</v>
      </c>
      <c r="AL191">
        <v>88.696154072769403</v>
      </c>
      <c r="AM191">
        <v>88.143490806882298</v>
      </c>
      <c r="AN191">
        <v>0.99999998516903099</v>
      </c>
    </row>
    <row r="192" spans="1:40" x14ac:dyDescent="0.25">
      <c r="A192" t="str">
        <f>"20190312154216580"</f>
        <v>20190312154216580</v>
      </c>
      <c r="B192" t="str">
        <f>"1552376536577728"</f>
        <v>1552376536577728</v>
      </c>
      <c r="C192" t="s">
        <v>40</v>
      </c>
      <c r="D192">
        <v>4.6910720000000001</v>
      </c>
      <c r="E192">
        <v>0.49782549999999998</v>
      </c>
      <c r="F192" t="s">
        <v>42</v>
      </c>
      <c r="G192">
        <v>-419.3938</v>
      </c>
      <c r="H192">
        <v>-0.05</v>
      </c>
      <c r="I192">
        <v>367.83049999999997</v>
      </c>
      <c r="J192">
        <v>-439.1712</v>
      </c>
      <c r="K192">
        <v>1.1057840000000001</v>
      </c>
      <c r="L192">
        <v>368.14859999999999</v>
      </c>
      <c r="M192">
        <v>0.99986960000000003</v>
      </c>
      <c r="N192">
        <v>0</v>
      </c>
      <c r="O192">
        <v>9.6842419999999992E-3</v>
      </c>
      <c r="P192">
        <v>0.99969079999999999</v>
      </c>
      <c r="Q192">
        <v>8.8907929999999993E-3</v>
      </c>
      <c r="R192">
        <v>-2.3226739999999999E-2</v>
      </c>
      <c r="S192">
        <v>3.0019529999999999</v>
      </c>
      <c r="T192">
        <v>-0.1731248</v>
      </c>
      <c r="U192">
        <v>-4.7241209999999999E-2</v>
      </c>
      <c r="V192">
        <v>3.2923429999999997E-2</v>
      </c>
      <c r="W192">
        <v>2.1786219999999999E-2</v>
      </c>
      <c r="X192">
        <v>0.99922040000000001</v>
      </c>
      <c r="Y192">
        <v>2.5359779999999998E-2</v>
      </c>
      <c r="Z192">
        <v>-1.288656E-3</v>
      </c>
      <c r="AA192">
        <v>0.9996775</v>
      </c>
      <c r="AB192">
        <v>30</v>
      </c>
      <c r="AC192">
        <v>19.7774</v>
      </c>
      <c r="AD192">
        <v>-1.1557839999999999</v>
      </c>
      <c r="AE192">
        <v>-0.31810000000001498</v>
      </c>
      <c r="AF192">
        <v>0.50789608959136401</v>
      </c>
      <c r="AG192">
        <v>-1.1557839999999999</v>
      </c>
      <c r="AH192">
        <v>19.7061088870615</v>
      </c>
      <c r="AI192">
        <v>93.355500608093706</v>
      </c>
      <c r="AJ192">
        <v>88.523612065531097</v>
      </c>
      <c r="AK192">
        <v>19.746506591324</v>
      </c>
      <c r="AL192">
        <v>88.751642775548603</v>
      </c>
      <c r="AM192">
        <v>88.112837381197195</v>
      </c>
      <c r="AN192">
        <v>0.99999999970050601</v>
      </c>
    </row>
    <row r="193" spans="1:40" x14ac:dyDescent="0.25">
      <c r="A193" t="str">
        <f>"20190312154216603"</f>
        <v>20190312154216603</v>
      </c>
      <c r="B193" t="str">
        <f>"1552376536597248"</f>
        <v>1552376536597248</v>
      </c>
      <c r="C193" t="s">
        <v>40</v>
      </c>
      <c r="D193">
        <v>4.68065</v>
      </c>
      <c r="E193">
        <v>0.49759819999999999</v>
      </c>
      <c r="F193" t="s">
        <v>42</v>
      </c>
      <c r="G193">
        <v>-419.38499999999999</v>
      </c>
      <c r="H193">
        <v>-0.05</v>
      </c>
      <c r="I193">
        <v>367.84989999999999</v>
      </c>
      <c r="J193">
        <v>-438.87630000000001</v>
      </c>
      <c r="K193">
        <v>1.1046069999999999</v>
      </c>
      <c r="L193">
        <v>368.15109999999999</v>
      </c>
      <c r="M193">
        <v>0.99983639999999996</v>
      </c>
      <c r="N193">
        <v>0</v>
      </c>
      <c r="O193">
        <v>9.4033829999999995E-3</v>
      </c>
      <c r="P193">
        <v>0.99969649999999999</v>
      </c>
      <c r="Q193">
        <v>6.3164629999999996E-3</v>
      </c>
      <c r="R193">
        <v>-2.3826010000000002E-2</v>
      </c>
      <c r="S193">
        <v>3.001465</v>
      </c>
      <c r="T193">
        <v>-0.1753267</v>
      </c>
      <c r="U193">
        <v>-4.5318600000000001E-2</v>
      </c>
      <c r="V193">
        <v>3.3241949999999999E-2</v>
      </c>
      <c r="W193">
        <v>2.1747610000000001E-2</v>
      </c>
      <c r="X193">
        <v>0.99921070000000001</v>
      </c>
      <c r="Y193">
        <v>2.4442189999999999E-2</v>
      </c>
      <c r="Z193">
        <v>-1.262088E-3</v>
      </c>
      <c r="AA193">
        <v>0.99970040000000004</v>
      </c>
      <c r="AB193">
        <v>29</v>
      </c>
      <c r="AC193">
        <v>19.491299999999999</v>
      </c>
      <c r="AD193">
        <v>-1.1546069999999999</v>
      </c>
      <c r="AE193">
        <v>-0.30119999999999397</v>
      </c>
      <c r="AF193">
        <v>0.48279897206438499</v>
      </c>
      <c r="AG193">
        <v>-1.1546069999999999</v>
      </c>
      <c r="AH193">
        <v>19.419478179825401</v>
      </c>
      <c r="AI193">
        <v>93.401531013891201</v>
      </c>
      <c r="AJ193">
        <v>88.575829589248301</v>
      </c>
      <c r="AK193">
        <v>19.459762201748301</v>
      </c>
      <c r="AL193">
        <v>88.753855495690601</v>
      </c>
      <c r="AM193">
        <v>88.094574806243799</v>
      </c>
      <c r="AN193">
        <v>1.0000000043874999</v>
      </c>
    </row>
    <row r="194" spans="1:40" x14ac:dyDescent="0.25">
      <c r="A194" t="str">
        <f>"20190312154216626"</f>
        <v>20190312154216626</v>
      </c>
      <c r="B194" t="str">
        <f>"1552376536617745"</f>
        <v>1552376536617745</v>
      </c>
      <c r="C194" t="s">
        <v>40</v>
      </c>
      <c r="D194">
        <v>4.6791790000000004</v>
      </c>
      <c r="E194">
        <v>0.4973746</v>
      </c>
      <c r="F194" t="s">
        <v>42</v>
      </c>
      <c r="G194">
        <v>-419.51850000000002</v>
      </c>
      <c r="H194">
        <v>-0.05</v>
      </c>
      <c r="I194">
        <v>367.85579999999999</v>
      </c>
      <c r="J194">
        <v>-438.56459999999998</v>
      </c>
      <c r="K194">
        <v>1.1031409999999999</v>
      </c>
      <c r="L194">
        <v>368.15370000000001</v>
      </c>
      <c r="M194">
        <v>0.99979309999999999</v>
      </c>
      <c r="N194">
        <v>0</v>
      </c>
      <c r="O194">
        <v>9.3936909999999992E-3</v>
      </c>
      <c r="P194">
        <v>0.99970440000000005</v>
      </c>
      <c r="Q194">
        <v>4.0947459999999998E-3</v>
      </c>
      <c r="R194">
        <v>-2.3974160000000001E-2</v>
      </c>
      <c r="S194">
        <v>3.0009459999999999</v>
      </c>
      <c r="T194">
        <v>-0.17899300000000001</v>
      </c>
      <c r="U194">
        <v>-4.5776369999999997E-2</v>
      </c>
      <c r="V194">
        <v>3.3381939999999999E-2</v>
      </c>
      <c r="W194">
        <v>2.210705E-2</v>
      </c>
      <c r="X194">
        <v>0.99919809999999998</v>
      </c>
      <c r="Y194">
        <v>2.4585280000000001E-2</v>
      </c>
      <c r="Z194">
        <v>-1.2923639999999901E-3</v>
      </c>
      <c r="AA194">
        <v>0.9996969</v>
      </c>
      <c r="AB194">
        <v>29</v>
      </c>
      <c r="AC194">
        <v>19.0460999999999</v>
      </c>
      <c r="AD194">
        <v>-1.153141</v>
      </c>
      <c r="AE194">
        <v>-0.29790000000002598</v>
      </c>
      <c r="AF194">
        <v>0.47508806916259799</v>
      </c>
      <c r="AG194">
        <v>-1.153141</v>
      </c>
      <c r="AH194">
        <v>18.972929162512401</v>
      </c>
      <c r="AI194">
        <v>93.476970263373502</v>
      </c>
      <c r="AJ194">
        <v>88.565595543164207</v>
      </c>
      <c r="AK194">
        <v>19.013876086822901</v>
      </c>
      <c r="AL194">
        <v>88.733256090812702</v>
      </c>
      <c r="AM194">
        <v>88.086532435247307</v>
      </c>
      <c r="AN194">
        <v>0.99999995931073704</v>
      </c>
    </row>
    <row r="195" spans="1:40" x14ac:dyDescent="0.25">
      <c r="A195" t="str">
        <f>"20190312154216647"</f>
        <v>20190312154216647</v>
      </c>
      <c r="B195" t="str">
        <f>"1552376536637774"</f>
        <v>1552376536637774</v>
      </c>
      <c r="C195" t="s">
        <v>40</v>
      </c>
      <c r="D195">
        <v>4.8399539999999996</v>
      </c>
      <c r="E195">
        <v>0.49732130000000002</v>
      </c>
      <c r="F195" t="s">
        <v>42</v>
      </c>
      <c r="G195">
        <v>-419.56880000000001</v>
      </c>
      <c r="H195">
        <v>-0.05</v>
      </c>
      <c r="I195">
        <v>367.87209999999999</v>
      </c>
      <c r="J195">
        <v>-438.28919999999999</v>
      </c>
      <c r="K195">
        <v>1.1016980000000001</v>
      </c>
      <c r="L195">
        <v>368.1558</v>
      </c>
      <c r="M195">
        <v>0.99975990000000003</v>
      </c>
      <c r="N195">
        <v>0</v>
      </c>
      <c r="O195">
        <v>9.2471689999999995E-3</v>
      </c>
      <c r="P195">
        <v>0.99971069999999995</v>
      </c>
      <c r="Q195">
        <v>2.8864910000000001E-3</v>
      </c>
      <c r="R195">
        <v>-2.3876979999999999E-2</v>
      </c>
      <c r="S195">
        <v>3.0005799999999998</v>
      </c>
      <c r="T195">
        <v>-0.18214959999999999</v>
      </c>
      <c r="U195">
        <v>-4.4464110000000001E-2</v>
      </c>
      <c r="V195">
        <v>3.3135320000000003E-2</v>
      </c>
      <c r="W195">
        <v>2.271869E-2</v>
      </c>
      <c r="X195">
        <v>0.99919270000000004</v>
      </c>
      <c r="Y195">
        <v>2.400302E-2</v>
      </c>
      <c r="Z195">
        <v>-1.2887549999999999E-3</v>
      </c>
      <c r="AA195">
        <v>0.99971100000000002</v>
      </c>
      <c r="AB195">
        <v>29</v>
      </c>
      <c r="AC195">
        <v>18.720399999999898</v>
      </c>
      <c r="AD195">
        <v>-1.1516979999999899</v>
      </c>
      <c r="AE195">
        <v>-0.28370000000001</v>
      </c>
      <c r="AF195">
        <v>0.455110612358327</v>
      </c>
      <c r="AG195">
        <v>-1.1516979999999899</v>
      </c>
      <c r="AH195">
        <v>18.646417920231801</v>
      </c>
      <c r="AI195">
        <v>93.533340420609093</v>
      </c>
      <c r="AJ195">
        <v>88.601836488459895</v>
      </c>
      <c r="AK195">
        <v>18.687494085848599</v>
      </c>
      <c r="AL195">
        <v>88.698203037042703</v>
      </c>
      <c r="AM195">
        <v>88.100648152929907</v>
      </c>
      <c r="AN195">
        <v>1.00000007002005</v>
      </c>
    </row>
    <row r="196" spans="1:40" x14ac:dyDescent="0.25">
      <c r="A196" t="str">
        <f>"20190312154216670"</f>
        <v>20190312154216670</v>
      </c>
      <c r="B196" t="str">
        <f>"1552376536667051"</f>
        <v>1552376536667051</v>
      </c>
      <c r="C196" t="s">
        <v>40</v>
      </c>
      <c r="D196">
        <v>4.7477989999999997</v>
      </c>
      <c r="E196">
        <v>0.52267129999999995</v>
      </c>
      <c r="F196" t="s">
        <v>42</v>
      </c>
      <c r="G196">
        <v>-419.06400000000002</v>
      </c>
      <c r="H196">
        <v>-0.05</v>
      </c>
      <c r="I196">
        <v>367.87520000000001</v>
      </c>
      <c r="J196">
        <v>-437.9982</v>
      </c>
      <c r="K196">
        <v>1.1000460000000001</v>
      </c>
      <c r="L196">
        <v>368.15800000000002</v>
      </c>
      <c r="M196">
        <v>0.99973389999999995</v>
      </c>
      <c r="N196">
        <v>0</v>
      </c>
      <c r="O196">
        <v>8.7522309999999992E-3</v>
      </c>
      <c r="P196">
        <v>0.99970049999999999</v>
      </c>
      <c r="Q196">
        <v>1.7086979999999901E-3</v>
      </c>
      <c r="R196">
        <v>-2.4417850000000001E-2</v>
      </c>
      <c r="S196">
        <v>3.000305</v>
      </c>
      <c r="T196">
        <v>-0.17973539999999999</v>
      </c>
      <c r="U196">
        <v>-4.379272E-2</v>
      </c>
      <c r="V196">
        <v>3.3172529999999999E-2</v>
      </c>
      <c r="W196">
        <v>2.3034269999999999E-2</v>
      </c>
      <c r="X196">
        <v>0.99918419999999997</v>
      </c>
      <c r="Y196">
        <v>2.3289839999999999E-2</v>
      </c>
      <c r="Z196">
        <v>-1.2208690000000001E-3</v>
      </c>
      <c r="AA196">
        <v>0.99972799999999995</v>
      </c>
      <c r="AB196">
        <v>29</v>
      </c>
      <c r="AC196">
        <v>18.934199999999901</v>
      </c>
      <c r="AD196">
        <v>-1.1500459999999999</v>
      </c>
      <c r="AE196">
        <v>-0.28280000000000799</v>
      </c>
      <c r="AF196">
        <v>0.44689507877247803</v>
      </c>
      <c r="AG196">
        <v>-1.1500459999999999</v>
      </c>
      <c r="AH196">
        <v>18.861430008721801</v>
      </c>
      <c r="AI196">
        <v>93.488223663339497</v>
      </c>
      <c r="AJ196">
        <v>88.642710969990603</v>
      </c>
      <c r="AK196">
        <v>18.901742326766101</v>
      </c>
      <c r="AL196">
        <v>88.680116850061196</v>
      </c>
      <c r="AM196">
        <v>88.0985006370435</v>
      </c>
      <c r="AN196">
        <v>1.00000002993533</v>
      </c>
    </row>
    <row r="197" spans="1:40" x14ac:dyDescent="0.25">
      <c r="A197" t="str">
        <f>"20190312154216693"</f>
        <v>20190312154216693</v>
      </c>
      <c r="B197" t="str">
        <f>"1552376536687547"</f>
        <v>1552376536687547</v>
      </c>
      <c r="C197" t="s">
        <v>40</v>
      </c>
      <c r="D197">
        <v>4.872611</v>
      </c>
      <c r="E197">
        <v>0.55639959999999999</v>
      </c>
      <c r="F197" t="s">
        <v>44</v>
      </c>
      <c r="G197">
        <v>-141.52070000000001</v>
      </c>
      <c r="H197">
        <v>11.804080000000001</v>
      </c>
      <c r="I197">
        <v>342.64400000000001</v>
      </c>
      <c r="J197">
        <v>-437.69049999999999</v>
      </c>
      <c r="K197">
        <v>1.0980529999999999</v>
      </c>
      <c r="L197">
        <v>368.16030000000001</v>
      </c>
      <c r="M197">
        <v>0.99971129999999997</v>
      </c>
      <c r="N197">
        <v>0</v>
      </c>
      <c r="O197">
        <v>8.1519190000000005E-3</v>
      </c>
      <c r="P197">
        <v>0.99969699999999995</v>
      </c>
      <c r="Q197">
        <v>6.2523780000000001E-4</v>
      </c>
      <c r="R197">
        <v>-2.461087E-2</v>
      </c>
      <c r="S197">
        <v>2.994415</v>
      </c>
      <c r="T197">
        <v>0.1081105</v>
      </c>
      <c r="U197">
        <v>-0.25769039999999999</v>
      </c>
      <c r="V197">
        <v>3.2759169999999997E-2</v>
      </c>
      <c r="W197">
        <v>2.3215889999999999E-2</v>
      </c>
      <c r="X197">
        <v>0.99919360000000002</v>
      </c>
      <c r="Y197">
        <v>9.3795290000000003E-2</v>
      </c>
      <c r="Z197">
        <v>1.9833020000000002E-3</v>
      </c>
      <c r="AA197">
        <v>0.99558959999999996</v>
      </c>
      <c r="AB197">
        <v>29</v>
      </c>
      <c r="AC197">
        <v>296.16980000000001</v>
      </c>
      <c r="AD197">
        <v>10.706027000000001</v>
      </c>
      <c r="AE197">
        <v>-25.516300000000001</v>
      </c>
      <c r="AF197">
        <v>27.894240097841202</v>
      </c>
      <c r="AG197">
        <v>10.706027000000001</v>
      </c>
      <c r="AH197">
        <v>295.56852094810199</v>
      </c>
      <c r="AI197">
        <v>87.934718989327607</v>
      </c>
      <c r="AJ197">
        <v>84.608686660382205</v>
      </c>
      <c r="AK197">
        <v>297.07483606022498</v>
      </c>
      <c r="AL197">
        <v>88.669707961561301</v>
      </c>
      <c r="AM197">
        <v>88.122195636931096</v>
      </c>
      <c r="AN197">
        <v>0.99999999552426999</v>
      </c>
    </row>
    <row r="198" spans="1:40" x14ac:dyDescent="0.25">
      <c r="A198" t="str">
        <f>"20190312154216716"</f>
        <v>20190312154216716</v>
      </c>
      <c r="B198" t="str">
        <f>"1552376536708042"</f>
        <v>1552376536708042</v>
      </c>
      <c r="C198" t="s">
        <v>40</v>
      </c>
      <c r="D198">
        <v>4.7596449999999999</v>
      </c>
      <c r="E198">
        <v>0.5571199</v>
      </c>
      <c r="F198" t="s">
        <v>45</v>
      </c>
      <c r="G198">
        <v>-243.72059999999999</v>
      </c>
      <c r="H198">
        <v>27.327639999999999</v>
      </c>
      <c r="I198">
        <v>333.24279999999999</v>
      </c>
      <c r="J198">
        <v>-437.39269999999999</v>
      </c>
      <c r="K198">
        <v>1.095853</v>
      </c>
      <c r="L198">
        <v>368.16230000000002</v>
      </c>
      <c r="M198">
        <v>0.99969410000000003</v>
      </c>
      <c r="N198">
        <v>0</v>
      </c>
      <c r="O198">
        <v>7.7286330000000004E-3</v>
      </c>
      <c r="P198">
        <v>0.99968919999999994</v>
      </c>
      <c r="Q198">
        <v>5.3649399999999999E-4</v>
      </c>
      <c r="R198">
        <v>-2.4930669999999999E-2</v>
      </c>
      <c r="S198">
        <v>2.9874269999999998</v>
      </c>
      <c r="T198">
        <v>0.40397490000000003</v>
      </c>
      <c r="U198">
        <v>-0.53778079999999995</v>
      </c>
      <c r="V198">
        <v>3.2654049999999997E-2</v>
      </c>
      <c r="W198">
        <v>2.402725E-2</v>
      </c>
      <c r="X198">
        <v>0.99917789999999995</v>
      </c>
      <c r="Y198">
        <v>0.1830871</v>
      </c>
      <c r="Z198">
        <v>1.3258600000000001E-2</v>
      </c>
      <c r="AA198">
        <v>0.98300730000000003</v>
      </c>
      <c r="AB198">
        <v>29</v>
      </c>
      <c r="AC198">
        <v>193.6721</v>
      </c>
      <c r="AD198">
        <v>26.231787000000001</v>
      </c>
      <c r="AE198">
        <v>-34.919499999999999</v>
      </c>
      <c r="AF198">
        <v>35.779967573533298</v>
      </c>
      <c r="AG198">
        <v>26.231787000000001</v>
      </c>
      <c r="AH198">
        <v>190.020162995346</v>
      </c>
      <c r="AI198">
        <v>82.274228867859406</v>
      </c>
      <c r="AJ198">
        <v>79.336312679292305</v>
      </c>
      <c r="AK198">
        <v>195.13066154132301</v>
      </c>
      <c r="AL198">
        <v>88.623207536906506</v>
      </c>
      <c r="AM198">
        <v>88.128187588265604</v>
      </c>
      <c r="AN198">
        <v>1.00000003578618</v>
      </c>
    </row>
    <row r="199" spans="1:40" x14ac:dyDescent="0.25">
      <c r="A199" t="str">
        <f>"20190312154216738"</f>
        <v>20190312154216738</v>
      </c>
      <c r="B199" t="str">
        <f>"1552376536727564"</f>
        <v>1552376536727564</v>
      </c>
      <c r="C199" t="s">
        <v>40</v>
      </c>
      <c r="D199">
        <v>4.8540580000000002</v>
      </c>
      <c r="E199">
        <v>0.55859650000000005</v>
      </c>
      <c r="F199" t="s">
        <v>45</v>
      </c>
      <c r="G199">
        <v>-244.90989999999999</v>
      </c>
      <c r="H199">
        <v>28.301570000000002</v>
      </c>
      <c r="I199">
        <v>333.0213</v>
      </c>
      <c r="J199">
        <v>-437.10610000000003</v>
      </c>
      <c r="K199">
        <v>1.093531</v>
      </c>
      <c r="L199">
        <v>368.16399999999999</v>
      </c>
      <c r="M199">
        <v>0.99968429999999997</v>
      </c>
      <c r="N199">
        <v>0</v>
      </c>
      <c r="O199">
        <v>7.4565359999999997E-3</v>
      </c>
      <c r="P199">
        <v>0.99967530000000004</v>
      </c>
      <c r="Q199">
        <v>8.6457839999999999E-4</v>
      </c>
      <c r="R199">
        <v>-2.546671E-2</v>
      </c>
      <c r="S199">
        <v>2.9871219999999998</v>
      </c>
      <c r="T199">
        <v>0.42220289999999999</v>
      </c>
      <c r="U199">
        <v>-0.54534910000000003</v>
      </c>
      <c r="V199">
        <v>3.2918120000000002E-2</v>
      </c>
      <c r="W199">
        <v>2.4852880000000001E-2</v>
      </c>
      <c r="X199">
        <v>0.99914899999999995</v>
      </c>
      <c r="Y199">
        <v>0.18507779999999999</v>
      </c>
      <c r="Z199">
        <v>1.395043E-2</v>
      </c>
      <c r="AA199">
        <v>0.98262479999999996</v>
      </c>
      <c r="AB199">
        <v>29</v>
      </c>
      <c r="AC199">
        <v>192.1962</v>
      </c>
      <c r="AD199">
        <v>27.208038999999999</v>
      </c>
      <c r="AE199">
        <v>-35.142699999999898</v>
      </c>
      <c r="AF199">
        <v>35.8794785330184</v>
      </c>
      <c r="AG199">
        <v>27.208038999999999</v>
      </c>
      <c r="AH199">
        <v>188.277656975664</v>
      </c>
      <c r="AI199">
        <v>81.920527672295904</v>
      </c>
      <c r="AJ199">
        <v>79.210690104259001</v>
      </c>
      <c r="AK199">
        <v>193.58742335769799</v>
      </c>
      <c r="AL199">
        <v>88.575888232075499</v>
      </c>
      <c r="AM199">
        <v>88.113006790050505</v>
      </c>
      <c r="AN199">
        <v>0.99999999623481395</v>
      </c>
    </row>
    <row r="200" spans="1:40" x14ac:dyDescent="0.25">
      <c r="A200" t="str">
        <f>"20190312154216759"</f>
        <v>20190312154216759</v>
      </c>
      <c r="B200" t="str">
        <f>"1552376536748075"</f>
        <v>1552376536748075</v>
      </c>
      <c r="C200" t="s">
        <v>40</v>
      </c>
      <c r="D200">
        <v>4.8051170000000001</v>
      </c>
      <c r="E200">
        <v>0.55951609999999996</v>
      </c>
      <c r="F200" t="s">
        <v>45</v>
      </c>
      <c r="G200">
        <v>-248.0907</v>
      </c>
      <c r="H200">
        <v>28.423120000000001</v>
      </c>
      <c r="I200">
        <v>332.78769999999997</v>
      </c>
      <c r="J200">
        <v>-436.83049999999997</v>
      </c>
      <c r="K200">
        <v>1.0911729999999999</v>
      </c>
      <c r="L200">
        <v>368.16559999999998</v>
      </c>
      <c r="M200">
        <v>0.99968319999999999</v>
      </c>
      <c r="N200">
        <v>0</v>
      </c>
      <c r="O200">
        <v>7.1958719999999999E-3</v>
      </c>
      <c r="P200">
        <v>0.99967550000000005</v>
      </c>
      <c r="Q200">
        <v>1.8624920000000001E-3</v>
      </c>
      <c r="R200">
        <v>-2.5415900000000002E-2</v>
      </c>
      <c r="S200">
        <v>2.9863590000000002</v>
      </c>
      <c r="T200">
        <v>0.4317957</v>
      </c>
      <c r="U200">
        <v>-0.55892940000000002</v>
      </c>
      <c r="V200">
        <v>3.2604870000000001E-2</v>
      </c>
      <c r="W200">
        <v>2.5982149999999999E-2</v>
      </c>
      <c r="X200">
        <v>0.99913050000000003</v>
      </c>
      <c r="Y200">
        <v>0.18906400000000001</v>
      </c>
      <c r="Z200">
        <v>1.45091E-2</v>
      </c>
      <c r="AA200">
        <v>0.9818576</v>
      </c>
      <c r="AB200">
        <v>29</v>
      </c>
      <c r="AC200">
        <v>188.7398</v>
      </c>
      <c r="AD200">
        <v>27.3319469999999</v>
      </c>
      <c r="AE200">
        <v>-35.377899999999997</v>
      </c>
      <c r="AF200">
        <v>36.0060802235474</v>
      </c>
      <c r="AG200">
        <v>27.3319469999999</v>
      </c>
      <c r="AH200">
        <v>184.73766763694499</v>
      </c>
      <c r="AI200">
        <v>81.737406151081402</v>
      </c>
      <c r="AJ200">
        <v>78.971099004880799</v>
      </c>
      <c r="AK200">
        <v>190.18800956898801</v>
      </c>
      <c r="AL200">
        <v>88.511164848213895</v>
      </c>
      <c r="AM200">
        <v>88.130916104268906</v>
      </c>
      <c r="AN200">
        <v>0.99999995284829302</v>
      </c>
    </row>
    <row r="201" spans="1:40" x14ac:dyDescent="0.25">
      <c r="A201" t="str">
        <f>"20190312154216782"</f>
        <v>20190312154216782</v>
      </c>
      <c r="B201" t="str">
        <f>"1552376536777339"</f>
        <v>1552376536777339</v>
      </c>
      <c r="C201" t="s">
        <v>40</v>
      </c>
      <c r="D201">
        <v>4.8429060000000002</v>
      </c>
      <c r="E201">
        <v>0.56050869999999997</v>
      </c>
      <c r="F201" t="s">
        <v>45</v>
      </c>
      <c r="G201">
        <v>-251.96469999999999</v>
      </c>
      <c r="H201">
        <v>27.9877</v>
      </c>
      <c r="I201">
        <v>333.10199999999998</v>
      </c>
      <c r="J201">
        <v>-436.54300000000001</v>
      </c>
      <c r="K201">
        <v>1.0886180000000001</v>
      </c>
      <c r="L201">
        <v>368.16719999999998</v>
      </c>
      <c r="M201">
        <v>0.99968840000000003</v>
      </c>
      <c r="N201">
        <v>0</v>
      </c>
      <c r="O201">
        <v>6.8228469999999999E-3</v>
      </c>
      <c r="P201">
        <v>0.99966560000000004</v>
      </c>
      <c r="Q201">
        <v>2.587738E-3</v>
      </c>
      <c r="R201">
        <v>-2.5734139999999999E-2</v>
      </c>
      <c r="S201">
        <v>2.985779</v>
      </c>
      <c r="T201">
        <v>0.43440780000000001</v>
      </c>
      <c r="U201">
        <v>-0.56631469999999995</v>
      </c>
      <c r="V201">
        <v>3.2547069999999997E-2</v>
      </c>
      <c r="W201">
        <v>2.660086E-2</v>
      </c>
      <c r="X201">
        <v>0.99911609999999995</v>
      </c>
      <c r="Y201">
        <v>0.1910374</v>
      </c>
      <c r="Z201">
        <v>1.468349E-2</v>
      </c>
      <c r="AA201">
        <v>0.98147289999999998</v>
      </c>
      <c r="AB201">
        <v>29</v>
      </c>
      <c r="AC201">
        <v>184.57830000000001</v>
      </c>
      <c r="AD201">
        <v>26.899082</v>
      </c>
      <c r="AE201">
        <v>-35.065199999999997</v>
      </c>
      <c r="AF201">
        <v>35.594472973247001</v>
      </c>
      <c r="AG201">
        <v>26.899082</v>
      </c>
      <c r="AH201">
        <v>180.63205354176699</v>
      </c>
      <c r="AI201">
        <v>81.687516875071907</v>
      </c>
      <c r="AJ201">
        <v>78.852398027844501</v>
      </c>
      <c r="AK201">
        <v>186.06038236390299</v>
      </c>
      <c r="AL201">
        <v>88.475703110512299</v>
      </c>
      <c r="AM201">
        <v>88.134200290665405</v>
      </c>
      <c r="AN201">
        <v>0.99999994939876502</v>
      </c>
    </row>
    <row r="202" spans="1:40" x14ac:dyDescent="0.25">
      <c r="A202" t="str">
        <f>"20190312154216804"</f>
        <v>20190312154216804</v>
      </c>
      <c r="B202" t="str">
        <f>"1552376536797835"</f>
        <v>1552376536797835</v>
      </c>
      <c r="C202" t="s">
        <v>40</v>
      </c>
      <c r="D202">
        <v>5.1021179999999999</v>
      </c>
      <c r="E202">
        <v>0.56051479999999998</v>
      </c>
      <c r="F202" t="s">
        <v>45</v>
      </c>
      <c r="G202">
        <v>-253.05350000000001</v>
      </c>
      <c r="H202">
        <v>28.0761</v>
      </c>
      <c r="I202">
        <v>332.78769999999997</v>
      </c>
      <c r="J202">
        <v>-436.2543</v>
      </c>
      <c r="K202">
        <v>1.0859639999999999</v>
      </c>
      <c r="L202">
        <v>368.16879999999998</v>
      </c>
      <c r="M202">
        <v>0.99969739999999996</v>
      </c>
      <c r="N202">
        <v>0</v>
      </c>
      <c r="O202">
        <v>6.4152649999999999E-3</v>
      </c>
      <c r="P202">
        <v>0.99965079999999995</v>
      </c>
      <c r="Q202">
        <v>3.3058919999999999E-3</v>
      </c>
      <c r="R202">
        <v>-2.6231419999999998E-2</v>
      </c>
      <c r="S202">
        <v>2.9850460000000001</v>
      </c>
      <c r="T202">
        <v>0.4390384</v>
      </c>
      <c r="U202">
        <v>-0.57556149999999995</v>
      </c>
      <c r="V202">
        <v>3.2635459999999998E-2</v>
      </c>
      <c r="W202">
        <v>2.705989E-2</v>
      </c>
      <c r="X202">
        <v>0.99910089999999996</v>
      </c>
      <c r="Y202">
        <v>0.19354959999999999</v>
      </c>
      <c r="Z202">
        <v>1.496071E-2</v>
      </c>
      <c r="AA202">
        <v>0.98097639999999997</v>
      </c>
      <c r="AB202">
        <v>29</v>
      </c>
      <c r="AC202">
        <v>183.20079999999999</v>
      </c>
      <c r="AD202">
        <v>26.990136</v>
      </c>
      <c r="AE202">
        <v>-35.381100000000004</v>
      </c>
      <c r="AF202">
        <v>35.806752050141903</v>
      </c>
      <c r="AG202">
        <v>26.990136</v>
      </c>
      <c r="AH202">
        <v>179.21992596480999</v>
      </c>
      <c r="AI202">
        <v>81.5993221537979</v>
      </c>
      <c r="AJ202">
        <v>78.701513428458298</v>
      </c>
      <c r="AK202">
        <v>184.74407377913599</v>
      </c>
      <c r="AL202">
        <v>88.449393171595105</v>
      </c>
      <c r="AM202">
        <v>88.129108381760304</v>
      </c>
      <c r="AN202">
        <v>0.99999995963851596</v>
      </c>
    </row>
    <row r="203" spans="1:40" x14ac:dyDescent="0.25">
      <c r="A203" t="str">
        <f>"20190312154216827"</f>
        <v>20190312154216827</v>
      </c>
      <c r="B203" t="str">
        <f>"1552376536817358"</f>
        <v>1552376536817358</v>
      </c>
      <c r="C203" t="s">
        <v>40</v>
      </c>
      <c r="D203">
        <v>4.7635249999999996</v>
      </c>
      <c r="E203">
        <v>0.56074179999999996</v>
      </c>
      <c r="F203" t="s">
        <v>45</v>
      </c>
      <c r="G203">
        <v>-253.41659999999999</v>
      </c>
      <c r="H203">
        <v>28.371980000000001</v>
      </c>
      <c r="I203">
        <v>332.78769999999997</v>
      </c>
      <c r="J203">
        <v>-435.95729999999998</v>
      </c>
      <c r="K203">
        <v>1.0831580000000001</v>
      </c>
      <c r="L203">
        <v>368.1705</v>
      </c>
      <c r="M203">
        <v>0.99971019999999999</v>
      </c>
      <c r="N203">
        <v>0</v>
      </c>
      <c r="O203">
        <v>6.0907519999999996E-3</v>
      </c>
      <c r="P203">
        <v>0.99963429999999998</v>
      </c>
      <c r="Q203">
        <v>4.1581109999999999E-3</v>
      </c>
      <c r="R203">
        <v>-2.6727020000000001E-2</v>
      </c>
      <c r="S203">
        <v>2.9844059999999999</v>
      </c>
      <c r="T203">
        <v>0.4453821</v>
      </c>
      <c r="U203">
        <v>-0.57751459999999999</v>
      </c>
      <c r="V203">
        <v>3.2809240000000003E-2</v>
      </c>
      <c r="W203">
        <v>2.744885E-2</v>
      </c>
      <c r="X203">
        <v>0.99908470000000005</v>
      </c>
      <c r="Y203">
        <v>0.1938291</v>
      </c>
      <c r="Z203">
        <v>1.5149620000000001E-2</v>
      </c>
      <c r="AA203">
        <v>0.98091830000000002</v>
      </c>
      <c r="AB203">
        <v>29</v>
      </c>
      <c r="AC203">
        <v>182.54069999999999</v>
      </c>
      <c r="AD203">
        <v>27.288822</v>
      </c>
      <c r="AE203">
        <v>-35.382800000000003</v>
      </c>
      <c r="AF203">
        <v>35.724768093399497</v>
      </c>
      <c r="AG203">
        <v>27.288822</v>
      </c>
      <c r="AH203">
        <v>178.47746361910899</v>
      </c>
      <c r="AI203">
        <v>81.4734956484089</v>
      </c>
      <c r="AJ203">
        <v>78.681031143782306</v>
      </c>
      <c r="AK203">
        <v>184.05201406500601</v>
      </c>
      <c r="AL203">
        <v>88.427099283148195</v>
      </c>
      <c r="AM203">
        <v>88.119122763909502</v>
      </c>
      <c r="AN203">
        <v>1.0000000616848901</v>
      </c>
    </row>
    <row r="204" spans="1:40" x14ac:dyDescent="0.25">
      <c r="A204" t="str">
        <f>"20190312154216849"</f>
        <v>20190312154216849</v>
      </c>
      <c r="B204" t="str">
        <f>"1552376536837854"</f>
        <v>1552376536837854</v>
      </c>
      <c r="C204" t="s">
        <v>40</v>
      </c>
      <c r="D204">
        <v>4.836551</v>
      </c>
      <c r="E204">
        <v>0.56129050000000003</v>
      </c>
      <c r="F204" t="s">
        <v>45</v>
      </c>
      <c r="G204">
        <v>-254.14529999999999</v>
      </c>
      <c r="H204">
        <v>28.413139999999999</v>
      </c>
      <c r="I204">
        <v>332.78769999999997</v>
      </c>
      <c r="J204">
        <v>-435.68020000000001</v>
      </c>
      <c r="K204">
        <v>1.0805610000000001</v>
      </c>
      <c r="L204">
        <v>368.17189999999999</v>
      </c>
      <c r="M204">
        <v>0.99972640000000002</v>
      </c>
      <c r="N204">
        <v>0</v>
      </c>
      <c r="O204">
        <v>5.885604E-3</v>
      </c>
      <c r="P204">
        <v>0.99961739999999999</v>
      </c>
      <c r="Q204">
        <v>4.8538990000000001E-3</v>
      </c>
      <c r="R204">
        <v>-2.7233139999999999E-2</v>
      </c>
      <c r="S204">
        <v>2.983673</v>
      </c>
      <c r="T204">
        <v>0.44850600000000002</v>
      </c>
      <c r="U204">
        <v>-0.58065800000000001</v>
      </c>
      <c r="V204">
        <v>3.3114499999999998E-2</v>
      </c>
      <c r="W204">
        <v>2.7483170000000001E-2</v>
      </c>
      <c r="X204">
        <v>0.99907360000000001</v>
      </c>
      <c r="Y204">
        <v>0.19463169999999999</v>
      </c>
      <c r="Z204">
        <v>1.52859E-2</v>
      </c>
      <c r="AA204">
        <v>0.98075730000000005</v>
      </c>
      <c r="AB204">
        <v>29</v>
      </c>
      <c r="AC204">
        <v>181.53489999999999</v>
      </c>
      <c r="AD204">
        <v>27.332578999999999</v>
      </c>
      <c r="AE204">
        <v>-35.3842</v>
      </c>
      <c r="AF204">
        <v>35.6732109136533</v>
      </c>
      <c r="AG204">
        <v>27.332578999999999</v>
      </c>
      <c r="AH204">
        <v>177.44803110310801</v>
      </c>
      <c r="AI204">
        <v>81.412639118993397</v>
      </c>
      <c r="AJ204">
        <v>78.633075337316001</v>
      </c>
      <c r="AK204">
        <v>183.05040724907201</v>
      </c>
      <c r="AL204">
        <v>88.425132015772107</v>
      </c>
      <c r="AM204">
        <v>88.101614589373</v>
      </c>
      <c r="AN204">
        <v>0.99999997648022898</v>
      </c>
    </row>
    <row r="205" spans="1:40" x14ac:dyDescent="0.25">
      <c r="A205" t="str">
        <f>"20190312154216870"</f>
        <v>20190312154216870</v>
      </c>
      <c r="B205" t="str">
        <f>"1552376536857371"</f>
        <v>1552376536857371</v>
      </c>
      <c r="C205" t="s">
        <v>40</v>
      </c>
      <c r="D205">
        <v>4.8530540000000002</v>
      </c>
      <c r="E205">
        <v>0.56147269999999905</v>
      </c>
      <c r="F205" t="s">
        <v>45</v>
      </c>
      <c r="G205">
        <v>-257.97329999999999</v>
      </c>
      <c r="H205">
        <v>28.010470000000002</v>
      </c>
      <c r="I205">
        <v>333.24279999999999</v>
      </c>
      <c r="J205">
        <v>-435.4169</v>
      </c>
      <c r="K205">
        <v>1.0782119999999999</v>
      </c>
      <c r="L205">
        <v>368.17309999999998</v>
      </c>
      <c r="M205">
        <v>0.99974499999999999</v>
      </c>
      <c r="N205">
        <v>0</v>
      </c>
      <c r="O205">
        <v>5.7019940000000002E-3</v>
      </c>
      <c r="P205">
        <v>0.99958849999999999</v>
      </c>
      <c r="Q205">
        <v>5.9357230000000004E-3</v>
      </c>
      <c r="R205">
        <v>-2.8068539999999999E-2</v>
      </c>
      <c r="S205">
        <v>2.98291</v>
      </c>
      <c r="T205">
        <v>0.45203379999999999</v>
      </c>
      <c r="U205">
        <v>-0.58630369999999998</v>
      </c>
      <c r="V205">
        <v>3.376941E-2</v>
      </c>
      <c r="W205">
        <v>2.7780599999999999E-2</v>
      </c>
      <c r="X205">
        <v>0.99904349999999997</v>
      </c>
      <c r="Y205">
        <v>0.1962363</v>
      </c>
      <c r="Z205">
        <v>1.549825E-2</v>
      </c>
      <c r="AA205">
        <v>0.98043420000000003</v>
      </c>
      <c r="AB205">
        <v>29</v>
      </c>
      <c r="AC205">
        <v>177.4436</v>
      </c>
      <c r="AD205">
        <v>26.932258000000001</v>
      </c>
      <c r="AE205">
        <v>-34.930299999999903</v>
      </c>
      <c r="AF205">
        <v>35.161950299892901</v>
      </c>
      <c r="AG205">
        <v>26.932258000000001</v>
      </c>
      <c r="AH205">
        <v>173.39599752535</v>
      </c>
      <c r="AI205">
        <v>81.344655694824297</v>
      </c>
      <c r="AJ205">
        <v>78.5367683834898</v>
      </c>
      <c r="AK205">
        <v>178.963351632902</v>
      </c>
      <c r="AL205">
        <v>88.408084099118199</v>
      </c>
      <c r="AM205">
        <v>88.064039970403698</v>
      </c>
      <c r="AN205">
        <v>1.0000000248401699</v>
      </c>
    </row>
    <row r="206" spans="1:40" x14ac:dyDescent="0.25">
      <c r="A206" t="str">
        <f>"20190312154216894"</f>
        <v>20190312154216894</v>
      </c>
      <c r="B206" t="str">
        <f>"1552376536887627"</f>
        <v>1552376536887627</v>
      </c>
      <c r="C206" t="s">
        <v>40</v>
      </c>
      <c r="D206">
        <v>4.901605</v>
      </c>
      <c r="E206">
        <v>0.56199779999999999</v>
      </c>
      <c r="F206" t="s">
        <v>45</v>
      </c>
      <c r="G206">
        <v>-259.03989999999999</v>
      </c>
      <c r="H206">
        <v>27.996759999999998</v>
      </c>
      <c r="I206">
        <v>333.24279999999999</v>
      </c>
      <c r="J206">
        <v>-435.0915</v>
      </c>
      <c r="K206">
        <v>1.0755520000000001</v>
      </c>
      <c r="L206">
        <v>368.17469999999997</v>
      </c>
      <c r="M206">
        <v>0.99976900000000002</v>
      </c>
      <c r="N206">
        <v>0</v>
      </c>
      <c r="O206">
        <v>5.4177440000000004E-3</v>
      </c>
      <c r="P206">
        <v>0.99957130000000005</v>
      </c>
      <c r="Q206">
        <v>7.6241829999999997E-3</v>
      </c>
      <c r="R206">
        <v>-2.8269249999999999E-2</v>
      </c>
      <c r="S206">
        <v>2.981903</v>
      </c>
      <c r="T206">
        <v>0.45509640000000001</v>
      </c>
      <c r="U206">
        <v>-0.59054569999999995</v>
      </c>
      <c r="V206">
        <v>3.3688490000000001E-2</v>
      </c>
      <c r="W206">
        <v>2.8405010000000001E-2</v>
      </c>
      <c r="X206">
        <v>0.99902860000000004</v>
      </c>
      <c r="Y206">
        <v>0.19732279999999999</v>
      </c>
      <c r="Z206">
        <v>1.5643999999999901E-2</v>
      </c>
      <c r="AA206">
        <v>0.98021380000000002</v>
      </c>
      <c r="AB206">
        <v>29</v>
      </c>
      <c r="AC206">
        <v>176.05160000000001</v>
      </c>
      <c r="AD206">
        <v>26.921208</v>
      </c>
      <c r="AE206">
        <v>-34.931899999999899</v>
      </c>
      <c r="AF206">
        <v>35.095819190120601</v>
      </c>
      <c r="AG206">
        <v>26.921208</v>
      </c>
      <c r="AH206">
        <v>171.990327536726</v>
      </c>
      <c r="AI206">
        <v>81.280659722487997</v>
      </c>
      <c r="AJ206">
        <v>78.466737810946796</v>
      </c>
      <c r="AK206">
        <v>177.58699482505801</v>
      </c>
      <c r="AL206">
        <v>88.372293796284396</v>
      </c>
      <c r="AM206">
        <v>88.068646717239602</v>
      </c>
      <c r="AN206">
        <v>0.99999995128476804</v>
      </c>
    </row>
    <row r="207" spans="1:40" x14ac:dyDescent="0.25">
      <c r="A207" t="str">
        <f>"20190312154216916"</f>
        <v>20190312154216916</v>
      </c>
      <c r="B207" t="str">
        <f>"1552376536907147"</f>
        <v>1552376536907147</v>
      </c>
      <c r="C207" t="s">
        <v>40</v>
      </c>
      <c r="D207">
        <v>4.8067299999999999</v>
      </c>
      <c r="E207">
        <v>0.5623726</v>
      </c>
      <c r="F207" t="s">
        <v>45</v>
      </c>
      <c r="G207">
        <v>-259.31830000000002</v>
      </c>
      <c r="H207">
        <v>28.422889999999999</v>
      </c>
      <c r="I207">
        <v>333.08080000000001</v>
      </c>
      <c r="J207">
        <v>-434.80160000000001</v>
      </c>
      <c r="K207">
        <v>1.07341</v>
      </c>
      <c r="L207">
        <v>368.17590000000001</v>
      </c>
      <c r="M207">
        <v>0.99979010000000001</v>
      </c>
      <c r="N207">
        <v>0</v>
      </c>
      <c r="O207">
        <v>5.118498E-3</v>
      </c>
      <c r="P207">
        <v>0.9995638</v>
      </c>
      <c r="Q207">
        <v>8.0096549999999992E-3</v>
      </c>
      <c r="R207">
        <v>-2.8426839999999998E-2</v>
      </c>
      <c r="S207">
        <v>2.9809269999999999</v>
      </c>
      <c r="T207">
        <v>0.46378209999999997</v>
      </c>
      <c r="U207">
        <v>-0.59515379999999996</v>
      </c>
      <c r="V207">
        <v>3.354849E-2</v>
      </c>
      <c r="W207">
        <v>2.7825880000000001E-2</v>
      </c>
      <c r="X207">
        <v>0.99904970000000004</v>
      </c>
      <c r="Y207">
        <v>0.1984514</v>
      </c>
      <c r="Z207">
        <v>1.5982440000000001E-2</v>
      </c>
      <c r="AA207">
        <v>0.97998039999999997</v>
      </c>
      <c r="AB207">
        <v>29</v>
      </c>
      <c r="AC207">
        <v>175.48330000000001</v>
      </c>
      <c r="AD207">
        <v>27.34948</v>
      </c>
      <c r="AE207">
        <v>-35.095100000000002</v>
      </c>
      <c r="AF207">
        <v>35.171567782553097</v>
      </c>
      <c r="AG207">
        <v>27.34948</v>
      </c>
      <c r="AH207">
        <v>171.30047159817099</v>
      </c>
      <c r="AI207">
        <v>81.111208107653795</v>
      </c>
      <c r="AJ207">
        <v>78.397229940832403</v>
      </c>
      <c r="AK207">
        <v>176.999674593793</v>
      </c>
      <c r="AL207">
        <v>88.405488770209203</v>
      </c>
      <c r="AM207">
        <v>88.076707434349501</v>
      </c>
      <c r="AN207">
        <v>1.00000004192457</v>
      </c>
    </row>
    <row r="208" spans="1:40" x14ac:dyDescent="0.25">
      <c r="A208" t="str">
        <f>"20190312154216938"</f>
        <v>20190312154216938</v>
      </c>
      <c r="B208" t="str">
        <f>"1552376536927642"</f>
        <v>1552376536927642</v>
      </c>
      <c r="C208" t="s">
        <v>40</v>
      </c>
      <c r="D208">
        <v>4.8802620000000001</v>
      </c>
      <c r="E208">
        <v>0.56280149999999995</v>
      </c>
      <c r="F208" t="s">
        <v>45</v>
      </c>
      <c r="G208">
        <v>-259.31819999999999</v>
      </c>
      <c r="H208">
        <v>28.530950000000001</v>
      </c>
      <c r="I208">
        <v>332.93079999999998</v>
      </c>
      <c r="J208">
        <v>-434.52420000000001</v>
      </c>
      <c r="K208">
        <v>1.071555</v>
      </c>
      <c r="L208">
        <v>368.1771</v>
      </c>
      <c r="M208">
        <v>0.99980930000000001</v>
      </c>
      <c r="N208">
        <v>0</v>
      </c>
      <c r="O208">
        <v>4.8163670000000002E-3</v>
      </c>
      <c r="P208">
        <v>0.9995444</v>
      </c>
      <c r="Q208">
        <v>8.7311709999999994E-3</v>
      </c>
      <c r="R208">
        <v>-2.8895629999999999E-2</v>
      </c>
      <c r="S208">
        <v>2.9805600000000001</v>
      </c>
      <c r="T208">
        <v>0.46636280000000002</v>
      </c>
      <c r="U208">
        <v>-0.59863279999999996</v>
      </c>
      <c r="V208">
        <v>3.3716980000000001E-2</v>
      </c>
      <c r="W208">
        <v>2.763856E-2</v>
      </c>
      <c r="X208">
        <v>0.99904919999999997</v>
      </c>
      <c r="Y208">
        <v>0.19924629999999999</v>
      </c>
      <c r="Z208">
        <v>1.608511E-2</v>
      </c>
      <c r="AA208">
        <v>0.97981750000000001</v>
      </c>
      <c r="AB208">
        <v>29</v>
      </c>
      <c r="AC208">
        <v>175.20599999999999</v>
      </c>
      <c r="AD208">
        <v>27.459395000000001</v>
      </c>
      <c r="AE208">
        <v>-35.246299999999998</v>
      </c>
      <c r="AF208">
        <v>35.257547277547403</v>
      </c>
      <c r="AG208">
        <v>27.459395000000001</v>
      </c>
      <c r="AH208">
        <v>170.99731589118201</v>
      </c>
      <c r="AI208">
        <v>81.061997813078506</v>
      </c>
      <c r="AJ208">
        <v>78.349582046729594</v>
      </c>
      <c r="AK208">
        <v>176.74047373418199</v>
      </c>
      <c r="AL208">
        <v>88.416225501049496</v>
      </c>
      <c r="AM208">
        <v>88.067054457879905</v>
      </c>
      <c r="AN208">
        <v>1.0000000143799099</v>
      </c>
    </row>
    <row r="209" spans="1:40" x14ac:dyDescent="0.25">
      <c r="A209" t="str">
        <f>"20190312154216959"</f>
        <v>20190312154216959</v>
      </c>
      <c r="B209" t="str">
        <f>"1552376536957899"</f>
        <v>1552376536957899</v>
      </c>
      <c r="C209" t="s">
        <v>40</v>
      </c>
      <c r="D209">
        <v>4.8344449999999997</v>
      </c>
      <c r="E209">
        <v>0.56313279999999999</v>
      </c>
      <c r="F209" t="s">
        <v>45</v>
      </c>
      <c r="G209">
        <v>-259.83890000000002</v>
      </c>
      <c r="H209">
        <v>28.633289999999999</v>
      </c>
      <c r="I209">
        <v>332.78769999999997</v>
      </c>
      <c r="J209">
        <v>-434.2484</v>
      </c>
      <c r="K209">
        <v>1.069896</v>
      </c>
      <c r="L209">
        <v>368.1782</v>
      </c>
      <c r="M209">
        <v>0.99982669999999996</v>
      </c>
      <c r="N209">
        <v>0</v>
      </c>
      <c r="O209">
        <v>4.5204210000000002E-3</v>
      </c>
      <c r="P209">
        <v>0.99954310000000002</v>
      </c>
      <c r="Q209">
        <v>8.730046E-3</v>
      </c>
      <c r="R209">
        <v>-2.8939119999999999E-2</v>
      </c>
      <c r="S209">
        <v>2.9797669999999998</v>
      </c>
      <c r="T209">
        <v>0.47014549999999999</v>
      </c>
      <c r="U209">
        <v>-0.60366819999999999</v>
      </c>
      <c r="V209">
        <v>3.3466490000000002E-2</v>
      </c>
      <c r="W209">
        <v>2.6765790000000001E-2</v>
      </c>
      <c r="X209">
        <v>0.99908140000000001</v>
      </c>
      <c r="Y209">
        <v>0.20054669999999999</v>
      </c>
      <c r="Z209">
        <v>1.6270550000000002E-2</v>
      </c>
      <c r="AA209">
        <v>0.97954909999999995</v>
      </c>
      <c r="AB209">
        <v>29</v>
      </c>
      <c r="AC209">
        <v>174.40949999999901</v>
      </c>
      <c r="AD209">
        <v>27.563393999999999</v>
      </c>
      <c r="AE209">
        <v>-35.390500000000003</v>
      </c>
      <c r="AF209">
        <v>35.331133656739397</v>
      </c>
      <c r="AG209">
        <v>27.563393999999999</v>
      </c>
      <c r="AH209">
        <v>170.165707238343</v>
      </c>
      <c r="AI209">
        <v>80.988103908050803</v>
      </c>
      <c r="AJ209">
        <v>78.270458349693797</v>
      </c>
      <c r="AK209">
        <v>175.96703558960999</v>
      </c>
      <c r="AL209">
        <v>88.466250072760204</v>
      </c>
      <c r="AM209">
        <v>88.081465703059706</v>
      </c>
      <c r="AN209">
        <v>1.0000000286466</v>
      </c>
    </row>
    <row r="210" spans="1:40" x14ac:dyDescent="0.25">
      <c r="A210" t="str">
        <f>"20190312154217140"</f>
        <v>20190312154217140</v>
      </c>
      <c r="B210" t="str">
        <f>"1552376537137483"</f>
        <v>1552376537137483</v>
      </c>
      <c r="C210" t="s">
        <v>40</v>
      </c>
      <c r="D210">
        <v>4.0344749999999996</v>
      </c>
      <c r="E210">
        <v>0.56313279999999999</v>
      </c>
      <c r="F210" t="s">
        <v>45</v>
      </c>
      <c r="G210">
        <v>-260.29989999999998</v>
      </c>
      <c r="H210">
        <v>28.468129999999999</v>
      </c>
      <c r="I210">
        <v>332.78769999999997</v>
      </c>
      <c r="J210">
        <v>-431.90460000000002</v>
      </c>
      <c r="K210">
        <v>1.062317</v>
      </c>
      <c r="L210">
        <v>368.18369999999999</v>
      </c>
      <c r="M210">
        <v>0.99991300000000005</v>
      </c>
      <c r="N210">
        <v>0</v>
      </c>
      <c r="O210">
        <v>2.0518609999999999E-3</v>
      </c>
      <c r="P210">
        <v>0.99935169999999995</v>
      </c>
      <c r="Q210">
        <v>1.3837759999999999E-2</v>
      </c>
      <c r="R210">
        <v>-3.3238469999999999E-2</v>
      </c>
      <c r="S210">
        <v>2.9797060000000002</v>
      </c>
      <c r="T210">
        <v>0.46932669999999999</v>
      </c>
      <c r="U210">
        <v>-0.60623169999999904</v>
      </c>
      <c r="V210">
        <v>3.5305620000000003E-2</v>
      </c>
      <c r="W210">
        <v>2.683729E-2</v>
      </c>
      <c r="X210">
        <v>0.99901620000000002</v>
      </c>
      <c r="Y210">
        <v>0.1989986</v>
      </c>
      <c r="Z210">
        <v>1.5738820000000001E-2</v>
      </c>
      <c r="AA210">
        <v>0.97987340000000001</v>
      </c>
      <c r="AB210">
        <v>29</v>
      </c>
      <c r="AC210">
        <v>171.60470000000001</v>
      </c>
      <c r="AD210">
        <v>27.405812999999998</v>
      </c>
      <c r="AE210">
        <v>-35.396000000000001</v>
      </c>
      <c r="AF210">
        <v>34.894398586794303</v>
      </c>
      <c r="AG210">
        <v>27.405812999999998</v>
      </c>
      <c r="AH210">
        <v>167.435518158457</v>
      </c>
      <c r="AI210">
        <v>80.896481671687994</v>
      </c>
      <c r="AJ210">
        <v>78.227775922230805</v>
      </c>
      <c r="AK210">
        <v>173.21475220060299</v>
      </c>
      <c r="AL210">
        <v>88.462151981338295</v>
      </c>
      <c r="AM210">
        <v>87.975987273552704</v>
      </c>
      <c r="AN210">
        <v>1.0000000474002799</v>
      </c>
    </row>
    <row r="211" spans="1:40" x14ac:dyDescent="0.25">
      <c r="A211" t="str">
        <f>"20190312154217161"</f>
        <v>20190312154217161</v>
      </c>
      <c r="B211" t="str">
        <f>"1552376537157978"</f>
        <v>1552376537157978</v>
      </c>
      <c r="C211" t="s">
        <v>40</v>
      </c>
      <c r="D211">
        <v>4.7405660000000003</v>
      </c>
      <c r="E211">
        <v>0.48625699999999999</v>
      </c>
      <c r="F211" t="s">
        <v>45</v>
      </c>
      <c r="G211">
        <v>-262.02170000000001</v>
      </c>
      <c r="H211">
        <v>28.679649999999999</v>
      </c>
      <c r="I211">
        <v>332.78769999999997</v>
      </c>
      <c r="J211">
        <v>-431.64100000000002</v>
      </c>
      <c r="K211">
        <v>1.061941</v>
      </c>
      <c r="L211">
        <v>368.18400000000003</v>
      </c>
      <c r="M211">
        <v>0.99991759999999996</v>
      </c>
      <c r="N211">
        <v>0</v>
      </c>
      <c r="O211">
        <v>1.772364E-3</v>
      </c>
      <c r="P211">
        <v>0.99932089999999996</v>
      </c>
      <c r="Q211">
        <v>1.4199939999999999E-2</v>
      </c>
      <c r="R211">
        <v>-3.4007139999999998E-2</v>
      </c>
      <c r="S211">
        <v>2.97464</v>
      </c>
      <c r="T211">
        <v>0.4835778</v>
      </c>
      <c r="U211">
        <v>-0.61978149999999999</v>
      </c>
      <c r="V211">
        <v>3.5794949999999999E-2</v>
      </c>
      <c r="W211">
        <v>2.6886859999999999E-2</v>
      </c>
      <c r="X211">
        <v>0.99899740000000004</v>
      </c>
      <c r="Y211">
        <v>0.2031307</v>
      </c>
      <c r="Z211">
        <v>1.6515829999999999E-2</v>
      </c>
      <c r="AA211">
        <v>0.97901229999999995</v>
      </c>
      <c r="AB211">
        <v>29</v>
      </c>
      <c r="AC211">
        <v>169.61929999999899</v>
      </c>
      <c r="AD211">
        <v>27.617709000000001</v>
      </c>
      <c r="AE211">
        <v>-35.396299999999997</v>
      </c>
      <c r="AF211">
        <v>34.812498047658302</v>
      </c>
      <c r="AG211">
        <v>27.617709000000001</v>
      </c>
      <c r="AH211">
        <v>165.355501996453</v>
      </c>
      <c r="AI211">
        <v>80.717793199515299</v>
      </c>
      <c r="AJ211">
        <v>78.111072073005801</v>
      </c>
      <c r="AK211">
        <v>171.222340572794</v>
      </c>
      <c r="AL211">
        <v>88.459310721295594</v>
      </c>
      <c r="AM211">
        <v>87.9479200297869</v>
      </c>
      <c r="AN211">
        <v>0.99999999344646096</v>
      </c>
    </row>
    <row r="212" spans="1:40" x14ac:dyDescent="0.25">
      <c r="A212" t="str">
        <f>"20190312154217175"</f>
        <v>20190312154217175</v>
      </c>
      <c r="B212" t="str">
        <f>"1552376537167739"</f>
        <v>1552376537167739</v>
      </c>
      <c r="C212" t="s">
        <v>40</v>
      </c>
      <c r="D212">
        <v>4.963076</v>
      </c>
      <c r="E212">
        <v>0.48625699999999999</v>
      </c>
      <c r="F212" t="s">
        <v>41</v>
      </c>
      <c r="G212">
        <v>-430.87580000000003</v>
      </c>
      <c r="H212">
        <v>0.88054549999999998</v>
      </c>
      <c r="I212">
        <v>368.19260000000003</v>
      </c>
      <c r="J212">
        <v>-431.46019999999999</v>
      </c>
      <c r="K212">
        <v>1.0617179999999999</v>
      </c>
      <c r="L212">
        <v>368.1841</v>
      </c>
      <c r="M212">
        <v>0.99992040000000004</v>
      </c>
      <c r="N212">
        <v>0</v>
      </c>
      <c r="O212">
        <v>1.580735E-3</v>
      </c>
      <c r="P212">
        <v>0.99931510000000001</v>
      </c>
      <c r="Q212">
        <v>1.444748E-2</v>
      </c>
      <c r="R212">
        <v>-3.4072570000000003E-2</v>
      </c>
      <c r="S212">
        <v>3.013458</v>
      </c>
      <c r="T212">
        <v>-0.7144895</v>
      </c>
      <c r="U212">
        <v>3.5919189999999997E-2</v>
      </c>
      <c r="V212">
        <v>3.5669099999999898E-2</v>
      </c>
      <c r="W212">
        <v>2.6943109999999999E-2</v>
      </c>
      <c r="X212">
        <v>0.99900040000000001</v>
      </c>
      <c r="Y212">
        <v>-1.0101789999999999E-2</v>
      </c>
      <c r="Z212">
        <v>8.1146769999999998E-4</v>
      </c>
      <c r="AA212">
        <v>0.99994859999999997</v>
      </c>
      <c r="AB212">
        <v>29</v>
      </c>
      <c r="AC212">
        <v>0.58439999999995895</v>
      </c>
      <c r="AD212">
        <v>-0.18117249999999999</v>
      </c>
      <c r="AE212">
        <v>8.5000000000263701E-3</v>
      </c>
      <c r="AF212">
        <v>-6.9119730253560004E-3</v>
      </c>
      <c r="AG212">
        <v>-0.18117249999999999</v>
      </c>
      <c r="AH212">
        <v>0.53318012699421702</v>
      </c>
      <c r="AI212">
        <v>108.766091425935</v>
      </c>
      <c r="AJ212">
        <v>90.742722167690602</v>
      </c>
      <c r="AK212">
        <v>0.56316276328333603</v>
      </c>
      <c r="AL212">
        <v>88.456086687443303</v>
      </c>
      <c r="AM212">
        <v>87.955134853470099</v>
      </c>
      <c r="AN212">
        <v>1.00000000753572</v>
      </c>
    </row>
    <row r="213" spans="1:40" x14ac:dyDescent="0.25">
      <c r="A213" t="str">
        <f>"20190312154217196"</f>
        <v>20190312154217196</v>
      </c>
      <c r="B213" t="str">
        <f>"1552376537187261"</f>
        <v>1552376537187261</v>
      </c>
      <c r="C213" t="s">
        <v>40</v>
      </c>
      <c r="D213">
        <v>4.8000790000000002</v>
      </c>
      <c r="E213">
        <v>0.4840873</v>
      </c>
      <c r="F213" t="s">
        <v>41</v>
      </c>
      <c r="G213">
        <v>-430.62200000000001</v>
      </c>
      <c r="H213">
        <v>0.86319509999999899</v>
      </c>
      <c r="I213">
        <v>368.19380000000001</v>
      </c>
      <c r="J213">
        <v>-431.19060000000002</v>
      </c>
      <c r="K213">
        <v>1.0614319999999999</v>
      </c>
      <c r="L213">
        <v>368.18419999999998</v>
      </c>
      <c r="M213">
        <v>0.99992389999999998</v>
      </c>
      <c r="N213">
        <v>0</v>
      </c>
      <c r="O213">
        <v>1.2948320000000001E-3</v>
      </c>
      <c r="P213">
        <v>0.999309</v>
      </c>
      <c r="Q213">
        <v>1.47171E-2</v>
      </c>
      <c r="R213">
        <v>-3.4135890000000002E-2</v>
      </c>
      <c r="S213">
        <v>3.0135800000000001</v>
      </c>
      <c r="T213">
        <v>-0.71372769999999996</v>
      </c>
      <c r="U213">
        <v>3.5858149999999998E-2</v>
      </c>
      <c r="V213">
        <v>3.5446739999999997E-2</v>
      </c>
      <c r="W213">
        <v>2.6961220000000001E-2</v>
      </c>
      <c r="X213">
        <v>0.9990078</v>
      </c>
      <c r="Y213">
        <v>-1.035264E-2</v>
      </c>
      <c r="Z213">
        <v>9.0668560000000005E-4</v>
      </c>
      <c r="AA213">
        <v>0.999946</v>
      </c>
      <c r="AB213">
        <v>29</v>
      </c>
      <c r="AC213">
        <v>0.56860000000005995</v>
      </c>
      <c r="AD213">
        <v>-0.19823689999999999</v>
      </c>
      <c r="AE213">
        <v>9.6000000000344698E-3</v>
      </c>
      <c r="AF213">
        <v>-7.90331961125155E-3</v>
      </c>
      <c r="AG213">
        <v>-0.19823689999999999</v>
      </c>
      <c r="AH213">
        <v>0.50700322844912704</v>
      </c>
      <c r="AI213">
        <v>111.353004317143</v>
      </c>
      <c r="AJ213">
        <v>90.893071601048703</v>
      </c>
      <c r="AK213">
        <v>0.54443787950539002</v>
      </c>
      <c r="AL213">
        <v>88.455048643740099</v>
      </c>
      <c r="AM213">
        <v>87.9678867946065</v>
      </c>
      <c r="AN213">
        <v>0.99999998161067705</v>
      </c>
    </row>
    <row r="214" spans="1:40" x14ac:dyDescent="0.25">
      <c r="A214" t="str">
        <f>"20190312154217218"</f>
        <v>20190312154217218</v>
      </c>
      <c r="B214" t="str">
        <f>"1552376537207755"</f>
        <v>1552376537207755</v>
      </c>
      <c r="C214" t="s">
        <v>40</v>
      </c>
      <c r="D214">
        <v>4.804227</v>
      </c>
      <c r="E214">
        <v>0.48437229999999998</v>
      </c>
      <c r="F214" t="s">
        <v>46</v>
      </c>
      <c r="G214">
        <v>-158.19499999999999</v>
      </c>
      <c r="H214">
        <v>0.84992380000000001</v>
      </c>
      <c r="I214">
        <v>370.57569999999998</v>
      </c>
      <c r="J214">
        <v>-430.89170000000001</v>
      </c>
      <c r="K214">
        <v>1.061167</v>
      </c>
      <c r="L214">
        <v>368.18430000000001</v>
      </c>
      <c r="M214">
        <v>0.99992700000000001</v>
      </c>
      <c r="N214">
        <v>0</v>
      </c>
      <c r="O214">
        <v>9.776749999999999E-4</v>
      </c>
      <c r="P214">
        <v>0.99929579999999996</v>
      </c>
      <c r="Q214">
        <v>1.5124719999999999E-2</v>
      </c>
      <c r="R214">
        <v>-3.433982E-2</v>
      </c>
      <c r="S214">
        <v>3.0029910000000002</v>
      </c>
      <c r="T214">
        <v>-2.3256539999999999E-3</v>
      </c>
      <c r="U214">
        <v>2.630615E-2</v>
      </c>
      <c r="V214">
        <v>3.5334030000000002E-2</v>
      </c>
      <c r="W214">
        <v>2.7134729999999999E-2</v>
      </c>
      <c r="X214">
        <v>0.99900710000000004</v>
      </c>
      <c r="Y214">
        <v>-7.7819339999999999E-3</v>
      </c>
      <c r="Z214" s="1">
        <v>2.25609E-6</v>
      </c>
      <c r="AA214">
        <v>0.99996969999999996</v>
      </c>
      <c r="AB214">
        <v>29</v>
      </c>
      <c r="AC214">
        <v>272.69670000000002</v>
      </c>
      <c r="AD214">
        <v>-0.21124319999999899</v>
      </c>
      <c r="AE214">
        <v>2.3913999999999702</v>
      </c>
      <c r="AF214">
        <v>-2.1247694994172002</v>
      </c>
      <c r="AG214">
        <v>-0.21124319999999899</v>
      </c>
      <c r="AH214">
        <v>272.698744207093</v>
      </c>
      <c r="AI214">
        <v>90.044382213960901</v>
      </c>
      <c r="AJ214">
        <v>90.446418855342699</v>
      </c>
      <c r="AK214">
        <v>272.70710361345698</v>
      </c>
      <c r="AL214">
        <v>88.445103622000005</v>
      </c>
      <c r="AM214">
        <v>87.974341495296301</v>
      </c>
      <c r="AN214">
        <v>0.99999998654931099</v>
      </c>
    </row>
    <row r="215" spans="1:40" x14ac:dyDescent="0.25">
      <c r="A215" t="str">
        <f>"20190312154217240"</f>
        <v>20190312154217240</v>
      </c>
      <c r="B215" t="str">
        <f>"1552376537238011"</f>
        <v>1552376537238011</v>
      </c>
      <c r="C215" t="s">
        <v>40</v>
      </c>
      <c r="D215">
        <v>4.8178799999999997</v>
      </c>
      <c r="E215">
        <v>0.4843634</v>
      </c>
      <c r="F215" t="s">
        <v>43</v>
      </c>
      <c r="G215">
        <v>-362.3689</v>
      </c>
      <c r="H215" s="1">
        <v>-3.4075629999999998E-6</v>
      </c>
      <c r="I215">
        <v>368.76209999999998</v>
      </c>
      <c r="J215">
        <v>-430.6028</v>
      </c>
      <c r="K215">
        <v>1.060954</v>
      </c>
      <c r="L215">
        <v>368.18419999999998</v>
      </c>
      <c r="M215">
        <v>0.99992950000000003</v>
      </c>
      <c r="N215">
        <v>0</v>
      </c>
      <c r="O215">
        <v>6.7116539999999996E-4</v>
      </c>
      <c r="P215">
        <v>0.99929829999999997</v>
      </c>
      <c r="Q215">
        <v>1.505748E-2</v>
      </c>
      <c r="R215">
        <v>-3.4294829999999998E-2</v>
      </c>
      <c r="S215">
        <v>3.0036619999999998</v>
      </c>
      <c r="T215">
        <v>-4.6515819999999999E-2</v>
      </c>
      <c r="U215">
        <v>2.5329589999999999E-2</v>
      </c>
      <c r="V215">
        <v>3.4982560000000003E-2</v>
      </c>
      <c r="W215">
        <v>2.6882099999999999E-2</v>
      </c>
      <c r="X215">
        <v>0.99902630000000003</v>
      </c>
      <c r="Y215">
        <v>-7.76056199999999E-3</v>
      </c>
      <c r="Z215" s="1">
        <v>4.9692969999999998E-5</v>
      </c>
      <c r="AA215">
        <v>0.99996989999999997</v>
      </c>
      <c r="AB215">
        <v>29</v>
      </c>
      <c r="AC215">
        <v>68.233900000000006</v>
      </c>
      <c r="AD215">
        <v>-1.0609574075629999</v>
      </c>
      <c r="AE215">
        <v>0.57789999999999897</v>
      </c>
      <c r="AF215">
        <v>-0.53197181493107504</v>
      </c>
      <c r="AG215">
        <v>-1.0609574075629999</v>
      </c>
      <c r="AH215">
        <v>68.217780955285704</v>
      </c>
      <c r="AI215">
        <v>90.890993999126493</v>
      </c>
      <c r="AJ215">
        <v>90.446791460771806</v>
      </c>
      <c r="AK215">
        <v>68.228104642411694</v>
      </c>
      <c r="AL215">
        <v>88.459583538579693</v>
      </c>
      <c r="AM215">
        <v>87.994512833711795</v>
      </c>
      <c r="AN215">
        <v>0.99999998744812602</v>
      </c>
    </row>
    <row r="216" spans="1:40" x14ac:dyDescent="0.25">
      <c r="A216" t="str">
        <f>"20190312154217263"</f>
        <v>20190312154217263</v>
      </c>
      <c r="B216" t="str">
        <f>"1552376537257531"</f>
        <v>1552376537257531</v>
      </c>
      <c r="C216" t="s">
        <v>40</v>
      </c>
      <c r="D216">
        <v>4.796144</v>
      </c>
      <c r="E216">
        <v>0.48352790000000001</v>
      </c>
      <c r="F216" t="s">
        <v>43</v>
      </c>
      <c r="G216">
        <v>-387.98320000000001</v>
      </c>
      <c r="H216" s="1">
        <v>-1.034715E-6</v>
      </c>
      <c r="I216">
        <v>368.5609</v>
      </c>
      <c r="J216">
        <v>-430.31650000000002</v>
      </c>
      <c r="K216">
        <v>1.0607690000000001</v>
      </c>
      <c r="L216">
        <v>368.1841</v>
      </c>
      <c r="M216">
        <v>0.99993149999999997</v>
      </c>
      <c r="N216">
        <v>0</v>
      </c>
      <c r="O216">
        <v>3.6753669999999998E-4</v>
      </c>
      <c r="P216">
        <v>0.9992856</v>
      </c>
      <c r="Q216">
        <v>1.5214419999999999E-2</v>
      </c>
      <c r="R216">
        <v>-3.459624E-2</v>
      </c>
      <c r="S216">
        <v>3.004181</v>
      </c>
      <c r="T216">
        <v>-7.4784870000000003E-2</v>
      </c>
      <c r="U216">
        <v>2.6550290000000001E-2</v>
      </c>
      <c r="V216">
        <v>3.4980650000000002E-2</v>
      </c>
      <c r="W216">
        <v>2.6884959999999999E-2</v>
      </c>
      <c r="X216">
        <v>0.99902630000000003</v>
      </c>
      <c r="Y216">
        <v>-8.4673790000000006E-3</v>
      </c>
      <c r="Z216" s="1">
        <v>9.6225049999999998E-5</v>
      </c>
      <c r="AA216">
        <v>0.99996410000000002</v>
      </c>
      <c r="AB216">
        <v>29</v>
      </c>
      <c r="AC216">
        <v>42.333300000000001</v>
      </c>
      <c r="AD216">
        <v>-1.060770034715</v>
      </c>
      <c r="AE216">
        <v>0.37680000000000202</v>
      </c>
      <c r="AF216">
        <v>-0.36101321250045698</v>
      </c>
      <c r="AG216">
        <v>-1.060770034715</v>
      </c>
      <c r="AH216">
        <v>42.306874004804399</v>
      </c>
      <c r="AI216">
        <v>91.436237128999906</v>
      </c>
      <c r="AJ216">
        <v>90.488904743758994</v>
      </c>
      <c r="AK216">
        <v>42.321710169421898</v>
      </c>
      <c r="AL216">
        <v>88.459419628921694</v>
      </c>
      <c r="AM216">
        <v>87.994622241166894</v>
      </c>
      <c r="AN216">
        <v>0.999999997520157</v>
      </c>
    </row>
    <row r="217" spans="1:40" x14ac:dyDescent="0.25">
      <c r="A217" t="str">
        <f>"20190312154217284"</f>
        <v>20190312154217284</v>
      </c>
      <c r="B217" t="str">
        <f>"1552376537267291"</f>
        <v>1552376537267291</v>
      </c>
      <c r="C217" t="s">
        <v>40</v>
      </c>
      <c r="D217">
        <v>4.7175219999999998</v>
      </c>
      <c r="E217">
        <v>0.48303620000000003</v>
      </c>
      <c r="F217" t="s">
        <v>43</v>
      </c>
      <c r="G217">
        <v>-393.34480000000002</v>
      </c>
      <c r="H217" s="1">
        <v>-3.0204829999999999E-6</v>
      </c>
      <c r="I217">
        <v>368.584</v>
      </c>
      <c r="J217">
        <v>-430.03019999999998</v>
      </c>
      <c r="K217">
        <v>1.0606169999999999</v>
      </c>
      <c r="L217">
        <v>368.18389999999999</v>
      </c>
      <c r="M217">
        <v>0.99993310000000002</v>
      </c>
      <c r="N217">
        <v>0</v>
      </c>
      <c r="O217" s="1">
        <v>6.4226759999999895E-5</v>
      </c>
      <c r="P217">
        <v>0.99927520000000003</v>
      </c>
      <c r="Q217">
        <v>1.4961230000000001E-2</v>
      </c>
      <c r="R217">
        <v>-3.5007740000000002E-2</v>
      </c>
      <c r="S217">
        <v>3.0046080000000002</v>
      </c>
      <c r="T217">
        <v>-8.6206320000000003E-2</v>
      </c>
      <c r="U217">
        <v>3.2501219999999997E-2</v>
      </c>
      <c r="V217">
        <v>3.5088809999999998E-2</v>
      </c>
      <c r="W217">
        <v>2.6502669999999999E-2</v>
      </c>
      <c r="X217">
        <v>0.9990327</v>
      </c>
      <c r="Y217">
        <v>-1.074787E-2</v>
      </c>
      <c r="Z217">
        <v>1.5230690000000001E-4</v>
      </c>
      <c r="AA217">
        <v>0.9999422</v>
      </c>
      <c r="AB217">
        <v>29</v>
      </c>
      <c r="AC217">
        <v>36.685399999999902</v>
      </c>
      <c r="AD217">
        <v>-1.0606200204830001</v>
      </c>
      <c r="AE217">
        <v>0.400100000000008</v>
      </c>
      <c r="AF217">
        <v>-0.39741151659585799</v>
      </c>
      <c r="AG217">
        <v>-1.0606200204830001</v>
      </c>
      <c r="AH217">
        <v>36.654791022958797</v>
      </c>
      <c r="AI217">
        <v>91.657314897780296</v>
      </c>
      <c r="AJ217">
        <v>90.621176928318405</v>
      </c>
      <c r="AK217">
        <v>36.672285934724002</v>
      </c>
      <c r="AL217">
        <v>88.481331007784604</v>
      </c>
      <c r="AM217">
        <v>87.988439585026796</v>
      </c>
      <c r="AN217">
        <v>0.99999997588681699</v>
      </c>
    </row>
    <row r="218" spans="1:40" x14ac:dyDescent="0.25">
      <c r="A218" t="str">
        <f>"20190312154217308"</f>
        <v>20190312154217308</v>
      </c>
      <c r="B218" t="str">
        <f>"1552376537297547"</f>
        <v>1552376537297547</v>
      </c>
      <c r="C218" t="s">
        <v>40</v>
      </c>
      <c r="D218">
        <v>4.7742509999999996</v>
      </c>
      <c r="E218">
        <v>0.48232570000000002</v>
      </c>
      <c r="F218" t="s">
        <v>43</v>
      </c>
      <c r="G218">
        <v>-397.13889999999998</v>
      </c>
      <c r="H218" s="1">
        <v>-1.394495E-6</v>
      </c>
      <c r="I218">
        <v>368.57470000000001</v>
      </c>
      <c r="J218">
        <v>-429.72179999999997</v>
      </c>
      <c r="K218">
        <v>1.060484</v>
      </c>
      <c r="L218">
        <v>368.18360000000001</v>
      </c>
      <c r="M218">
        <v>0.9999344</v>
      </c>
      <c r="N218">
        <v>0</v>
      </c>
      <c r="O218">
        <v>-2.6224160000000001E-4</v>
      </c>
      <c r="P218">
        <v>0.99925629999999999</v>
      </c>
      <c r="Q218">
        <v>1.5181190000000001E-2</v>
      </c>
      <c r="R218">
        <v>-3.544696E-2</v>
      </c>
      <c r="S218">
        <v>3.004883</v>
      </c>
      <c r="T218">
        <v>-9.6895579999999995E-2</v>
      </c>
      <c r="U218">
        <v>3.5705569999999999E-2</v>
      </c>
      <c r="V218">
        <v>3.5201740000000002E-2</v>
      </c>
      <c r="W218">
        <v>2.6607059999999998E-2</v>
      </c>
      <c r="X218">
        <v>0.99902599999999997</v>
      </c>
      <c r="Y218">
        <v>-1.2137469999999999E-2</v>
      </c>
      <c r="Z218">
        <v>2.0408930000000001E-4</v>
      </c>
      <c r="AA218">
        <v>0.99992630000000005</v>
      </c>
      <c r="AB218">
        <v>29</v>
      </c>
      <c r="AC218">
        <v>32.582899999999903</v>
      </c>
      <c r="AD218">
        <v>-1.0604853944949999</v>
      </c>
      <c r="AE218">
        <v>0.39109999999999401</v>
      </c>
      <c r="AF218">
        <v>-0.399222292741931</v>
      </c>
      <c r="AG218">
        <v>-1.0604853944949999</v>
      </c>
      <c r="AH218">
        <v>32.548321971057703</v>
      </c>
      <c r="AI218">
        <v>91.866003565333401</v>
      </c>
      <c r="AJ218">
        <v>90.702727640435896</v>
      </c>
      <c r="AK218">
        <v>32.568040635607801</v>
      </c>
      <c r="AL218">
        <v>88.475347863748098</v>
      </c>
      <c r="AM218">
        <v>87.981957390497499</v>
      </c>
      <c r="AN218">
        <v>1.0000000234084301</v>
      </c>
    </row>
    <row r="219" spans="1:40" x14ac:dyDescent="0.25">
      <c r="A219" t="str">
        <f>"20190312154217330"</f>
        <v>20190312154217330</v>
      </c>
      <c r="B219" t="str">
        <f>"1552376537317068"</f>
        <v>1552376537317068</v>
      </c>
      <c r="C219" t="s">
        <v>40</v>
      </c>
      <c r="D219">
        <v>4.8093510000000004</v>
      </c>
      <c r="E219">
        <v>0.48188359999999902</v>
      </c>
      <c r="F219" t="s">
        <v>42</v>
      </c>
      <c r="G219">
        <v>-398.99790000000002</v>
      </c>
      <c r="H219">
        <v>-0.05</v>
      </c>
      <c r="I219">
        <v>368.59820000000002</v>
      </c>
      <c r="J219">
        <v>-429.42829999999998</v>
      </c>
      <c r="K219">
        <v>1.0603830000000001</v>
      </c>
      <c r="L219">
        <v>368.1832</v>
      </c>
      <c r="M219">
        <v>0.99993529999999997</v>
      </c>
      <c r="N219">
        <v>0</v>
      </c>
      <c r="O219">
        <v>-5.7359279999999999E-4</v>
      </c>
      <c r="P219">
        <v>0.99924539999999995</v>
      </c>
      <c r="Q219">
        <v>1.540936E-2</v>
      </c>
      <c r="R219">
        <v>-3.5659929999999999E-2</v>
      </c>
      <c r="S219">
        <v>3.00528</v>
      </c>
      <c r="T219">
        <v>-0.1086226</v>
      </c>
      <c r="U219">
        <v>4.0557860000000001E-2</v>
      </c>
      <c r="V219">
        <v>3.5103790000000003E-2</v>
      </c>
      <c r="W219">
        <v>2.6753869999999999E-2</v>
      </c>
      <c r="X219">
        <v>0.99902550000000001</v>
      </c>
      <c r="Y219">
        <v>-1.4058330000000001E-2</v>
      </c>
      <c r="Z219">
        <v>2.7469259999999998E-4</v>
      </c>
      <c r="AA219">
        <v>0.99990109999999999</v>
      </c>
      <c r="AB219">
        <v>29</v>
      </c>
      <c r="AC219">
        <v>30.430399999999899</v>
      </c>
      <c r="AD219">
        <v>-1.1103829999999999</v>
      </c>
      <c r="AE219">
        <v>0.41500000000002002</v>
      </c>
      <c r="AF219">
        <v>-0.43188078865148699</v>
      </c>
      <c r="AG219">
        <v>-1.1103829999999999</v>
      </c>
      <c r="AH219">
        <v>30.389701587657001</v>
      </c>
      <c r="AI219">
        <v>92.092338921937099</v>
      </c>
      <c r="AJ219">
        <v>90.814199530936406</v>
      </c>
      <c r="AK219">
        <v>30.4130471016821</v>
      </c>
      <c r="AL219">
        <v>88.466933235551195</v>
      </c>
      <c r="AM219">
        <v>87.987567030566595</v>
      </c>
      <c r="AN219">
        <v>0.99999999764129499</v>
      </c>
    </row>
    <row r="220" spans="1:40" x14ac:dyDescent="0.25">
      <c r="A220" t="str">
        <f>"20190312154217351"</f>
        <v>20190312154217351</v>
      </c>
      <c r="B220" t="str">
        <f>"1552376537337563"</f>
        <v>1552376537337563</v>
      </c>
      <c r="C220" t="s">
        <v>40</v>
      </c>
      <c r="D220">
        <v>4.7966899999999999</v>
      </c>
      <c r="E220">
        <v>0.48166110000000001</v>
      </c>
      <c r="F220" t="s">
        <v>42</v>
      </c>
      <c r="G220">
        <v>-399.85059999999999</v>
      </c>
      <c r="H220">
        <v>-0.05</v>
      </c>
      <c r="I220">
        <v>368.61180000000002</v>
      </c>
      <c r="J220">
        <v>-429.1551</v>
      </c>
      <c r="K220">
        <v>1.060306</v>
      </c>
      <c r="L220">
        <v>368.18270000000001</v>
      </c>
      <c r="M220">
        <v>0.99993569999999998</v>
      </c>
      <c r="N220">
        <v>0</v>
      </c>
      <c r="O220">
        <v>-8.6326899999999995E-4</v>
      </c>
      <c r="P220">
        <v>0.99924219999999997</v>
      </c>
      <c r="Q220">
        <v>1.5336229999999999E-2</v>
      </c>
      <c r="R220">
        <v>-3.5777730000000001E-2</v>
      </c>
      <c r="S220">
        <v>3.0055239999999999</v>
      </c>
      <c r="T220">
        <v>-0.11283079999999999</v>
      </c>
      <c r="U220">
        <v>4.3548580000000003E-2</v>
      </c>
      <c r="V220">
        <v>3.4931950000000003E-2</v>
      </c>
      <c r="W220">
        <v>2.662136E-2</v>
      </c>
      <c r="X220">
        <v>0.99903509999999995</v>
      </c>
      <c r="Y220">
        <v>-1.5339810000000001E-2</v>
      </c>
      <c r="Z220">
        <v>3.2021760000000002E-4</v>
      </c>
      <c r="AA220">
        <v>0.9998823</v>
      </c>
      <c r="AB220">
        <v>29</v>
      </c>
      <c r="AC220">
        <v>29.304500000000001</v>
      </c>
      <c r="AD220">
        <v>-1.110306</v>
      </c>
      <c r="AE220">
        <v>0.42910000000000498</v>
      </c>
      <c r="AF220">
        <v>-0.45374788804062599</v>
      </c>
      <c r="AG220">
        <v>-1.110306</v>
      </c>
      <c r="AH220">
        <v>29.262120547551099</v>
      </c>
      <c r="AI220">
        <v>92.172696572706698</v>
      </c>
      <c r="AJ220">
        <v>90.888375656626593</v>
      </c>
      <c r="AK220">
        <v>29.286692635033901</v>
      </c>
      <c r="AL220">
        <v>88.474528260695607</v>
      </c>
      <c r="AM220">
        <v>87.997429475239699</v>
      </c>
      <c r="AN220">
        <v>1.00000003448553</v>
      </c>
    </row>
    <row r="221" spans="1:40" x14ac:dyDescent="0.25">
      <c r="A221" t="str">
        <f>"20190312154217363"</f>
        <v>20190312154217363</v>
      </c>
      <c r="B221" t="str">
        <f>"1552376537358061"</f>
        <v>1552376537358061</v>
      </c>
      <c r="C221" t="s">
        <v>40</v>
      </c>
      <c r="D221">
        <v>4.9318089999999897</v>
      </c>
      <c r="E221">
        <v>0.48130210000000001</v>
      </c>
      <c r="F221" t="s">
        <v>42</v>
      </c>
      <c r="G221">
        <v>-400.41950000000003</v>
      </c>
      <c r="H221">
        <v>-0.05</v>
      </c>
      <c r="I221">
        <v>368.613</v>
      </c>
      <c r="J221">
        <v>-428.98379999999997</v>
      </c>
      <c r="K221">
        <v>1.0602640000000001</v>
      </c>
      <c r="L221">
        <v>368.1823</v>
      </c>
      <c r="M221">
        <v>0.99993580000000004</v>
      </c>
      <c r="N221">
        <v>0</v>
      </c>
      <c r="O221">
        <v>-1.0451150000000001E-3</v>
      </c>
      <c r="P221">
        <v>0.99924109999999999</v>
      </c>
      <c r="Q221">
        <v>1.486436E-2</v>
      </c>
      <c r="R221">
        <v>-3.6007949999999997E-2</v>
      </c>
      <c r="S221">
        <v>3.0057070000000001</v>
      </c>
      <c r="T221">
        <v>-0.1161368</v>
      </c>
      <c r="U221">
        <v>4.501343E-2</v>
      </c>
      <c r="V221">
        <v>3.4980240000000003E-2</v>
      </c>
      <c r="W221">
        <v>2.6118949999999998E-2</v>
      </c>
      <c r="X221">
        <v>0.99904660000000001</v>
      </c>
      <c r="Y221">
        <v>-1.6006639999999999E-2</v>
      </c>
      <c r="Z221">
        <v>3.4947299999999999E-4</v>
      </c>
      <c r="AA221">
        <v>0.99987190000000004</v>
      </c>
      <c r="AB221">
        <v>29</v>
      </c>
      <c r="AC221">
        <v>28.5642999999999</v>
      </c>
      <c r="AD221">
        <v>-1.1102639999999999</v>
      </c>
      <c r="AE221">
        <v>0.43070000000005798</v>
      </c>
      <c r="AF221">
        <v>-0.45986004749145998</v>
      </c>
      <c r="AG221">
        <v>-1.1102639999999999</v>
      </c>
      <c r="AH221">
        <v>28.5207550377791</v>
      </c>
      <c r="AI221">
        <v>92.229011193821194</v>
      </c>
      <c r="AJ221">
        <v>90.923739814875702</v>
      </c>
      <c r="AK221">
        <v>28.546061468055001</v>
      </c>
      <c r="AL221">
        <v>88.503324139250296</v>
      </c>
      <c r="AM221">
        <v>87.994686440811194</v>
      </c>
      <c r="AN221">
        <v>0.99999996285555903</v>
      </c>
    </row>
    <row r="222" spans="1:40" x14ac:dyDescent="0.25">
      <c r="A222" t="str">
        <f>"20190312154217385"</f>
        <v>20190312154217385</v>
      </c>
      <c r="B222" t="str">
        <f>"1552376537377579"</f>
        <v>1552376537377579</v>
      </c>
      <c r="C222" t="s">
        <v>40</v>
      </c>
      <c r="D222">
        <v>4.8828019999999999</v>
      </c>
      <c r="E222">
        <v>0.48111399999999999</v>
      </c>
      <c r="F222" t="s">
        <v>42</v>
      </c>
      <c r="G222">
        <v>-401.25959999999998</v>
      </c>
      <c r="H222">
        <v>-0.05</v>
      </c>
      <c r="I222">
        <v>368.6198</v>
      </c>
      <c r="J222">
        <v>-428.70589999999999</v>
      </c>
      <c r="K222">
        <v>1.0601989999999999</v>
      </c>
      <c r="L222">
        <v>368.18180000000001</v>
      </c>
      <c r="M222">
        <v>0.99993589999999999</v>
      </c>
      <c r="N222">
        <v>0</v>
      </c>
      <c r="O222">
        <v>-1.3388510000000001E-3</v>
      </c>
      <c r="P222">
        <v>0.99924219999999997</v>
      </c>
      <c r="Q222">
        <v>1.419021E-2</v>
      </c>
      <c r="R222">
        <v>-3.624662E-2</v>
      </c>
      <c r="S222">
        <v>3.0057680000000002</v>
      </c>
      <c r="T222">
        <v>-0.12037150000000001</v>
      </c>
      <c r="U222">
        <v>4.7424319999999999E-2</v>
      </c>
      <c r="V222">
        <v>3.4924900000000002E-2</v>
      </c>
      <c r="W222">
        <v>2.5405839999999999E-2</v>
      </c>
      <c r="X222">
        <v>0.99906689999999998</v>
      </c>
      <c r="Y222">
        <v>-1.7099779999999998E-2</v>
      </c>
      <c r="Z222">
        <v>3.95833E-4</v>
      </c>
      <c r="AA222">
        <v>0.99985369999999996</v>
      </c>
      <c r="AB222">
        <v>29</v>
      </c>
      <c r="AC222">
        <v>27.446300000000001</v>
      </c>
      <c r="AD222">
        <v>-1.1101989999999999</v>
      </c>
      <c r="AE222">
        <v>0.43799999999998801</v>
      </c>
      <c r="AF222">
        <v>-0.47397312304964401</v>
      </c>
      <c r="AG222">
        <v>-1.1101989999999999</v>
      </c>
      <c r="AH222">
        <v>27.4008673009861</v>
      </c>
      <c r="AI222">
        <v>92.3198333215731</v>
      </c>
      <c r="AJ222">
        <v>90.990988759941999</v>
      </c>
      <c r="AK222">
        <v>27.427444671117801</v>
      </c>
      <c r="AL222">
        <v>88.544195864354293</v>
      </c>
      <c r="AM222">
        <v>87.997896983495295</v>
      </c>
      <c r="AN222">
        <v>0.99999993801085996</v>
      </c>
    </row>
    <row r="223" spans="1:40" x14ac:dyDescent="0.25">
      <c r="A223" t="str">
        <f>"20190312154217407"</f>
        <v>20190312154217407</v>
      </c>
      <c r="B223" t="str">
        <f>"1552376537397103"</f>
        <v>1552376537397103</v>
      </c>
      <c r="C223" t="s">
        <v>40</v>
      </c>
      <c r="D223">
        <v>4.8768589999999996</v>
      </c>
      <c r="E223">
        <v>0.48093350000000001</v>
      </c>
      <c r="F223" t="s">
        <v>42</v>
      </c>
      <c r="G223">
        <v>-401.86</v>
      </c>
      <c r="H223">
        <v>-0.05</v>
      </c>
      <c r="I223">
        <v>368.61189999999999</v>
      </c>
      <c r="J223">
        <v>-428.40800000000002</v>
      </c>
      <c r="K223">
        <v>1.0601430000000001</v>
      </c>
      <c r="L223">
        <v>368.18099999999998</v>
      </c>
      <c r="M223">
        <v>0.99993580000000004</v>
      </c>
      <c r="N223">
        <v>0</v>
      </c>
      <c r="O223">
        <v>-1.65471E-3</v>
      </c>
      <c r="P223">
        <v>0.99924780000000002</v>
      </c>
      <c r="Q223">
        <v>1.354402E-2</v>
      </c>
      <c r="R223">
        <v>-3.6335859999999998E-2</v>
      </c>
      <c r="S223">
        <v>3.005798</v>
      </c>
      <c r="T223">
        <v>-0.1243035</v>
      </c>
      <c r="U223">
        <v>4.8156740000000003E-2</v>
      </c>
      <c r="V223">
        <v>3.4698119999999999E-2</v>
      </c>
      <c r="W223">
        <v>2.4734180000000001E-2</v>
      </c>
      <c r="X223">
        <v>0.99909170000000003</v>
      </c>
      <c r="Y223">
        <v>-1.76572999999999E-2</v>
      </c>
      <c r="Z223">
        <v>4.3332629999999999E-4</v>
      </c>
      <c r="AA223">
        <v>0.99984399999999996</v>
      </c>
      <c r="AB223">
        <v>29</v>
      </c>
      <c r="AC223">
        <v>26.547999999999998</v>
      </c>
      <c r="AD223">
        <v>-1.1101430000000001</v>
      </c>
      <c r="AE223">
        <v>0.430900000000008</v>
      </c>
      <c r="AF223">
        <v>-0.47400278123907902</v>
      </c>
      <c r="AG223">
        <v>-1.1101430000000001</v>
      </c>
      <c r="AH223">
        <v>26.5009228810782</v>
      </c>
      <c r="AI223">
        <v>92.398376369456599</v>
      </c>
      <c r="AJ223">
        <v>91.024698776093601</v>
      </c>
      <c r="AK223">
        <v>26.528400058539599</v>
      </c>
      <c r="AL223">
        <v>88.582691312415804</v>
      </c>
      <c r="AM223">
        <v>88.010936219985496</v>
      </c>
      <c r="AN223">
        <v>0.99999998210034802</v>
      </c>
    </row>
    <row r="224" spans="1:40" x14ac:dyDescent="0.25">
      <c r="A224" t="str">
        <f>"20190312154217430"</f>
        <v>20190312154217430</v>
      </c>
      <c r="B224" t="str">
        <f>"1552376537417595"</f>
        <v>1552376537417595</v>
      </c>
      <c r="C224" t="s">
        <v>40</v>
      </c>
      <c r="D224">
        <v>4.9518430000000002</v>
      </c>
      <c r="E224">
        <v>0.48063450000000002</v>
      </c>
      <c r="F224" t="s">
        <v>42</v>
      </c>
      <c r="G224">
        <v>-402.34320000000002</v>
      </c>
      <c r="H224">
        <v>-0.05</v>
      </c>
      <c r="I224">
        <v>368.60969999999998</v>
      </c>
      <c r="J224">
        <v>-428.11739999999998</v>
      </c>
      <c r="K224">
        <v>1.0601119999999999</v>
      </c>
      <c r="L224">
        <v>368.18020000000001</v>
      </c>
      <c r="M224">
        <v>0.99993520000000002</v>
      </c>
      <c r="N224">
        <v>0</v>
      </c>
      <c r="O224">
        <v>-1.96175E-3</v>
      </c>
      <c r="P224">
        <v>0.99924170000000001</v>
      </c>
      <c r="Q224">
        <v>1.3585369999999999E-2</v>
      </c>
      <c r="R224">
        <v>-3.6493739999999997E-2</v>
      </c>
      <c r="S224">
        <v>3.0058289999999999</v>
      </c>
      <c r="T224">
        <v>-0.12802330000000001</v>
      </c>
      <c r="U224">
        <v>4.943848E-2</v>
      </c>
      <c r="V224">
        <v>3.4549080000000003E-2</v>
      </c>
      <c r="W224">
        <v>2.4767549999999999E-2</v>
      </c>
      <c r="X224">
        <v>0.99909599999999998</v>
      </c>
      <c r="Y224">
        <v>-1.8388439999999999E-2</v>
      </c>
      <c r="Z224">
        <v>4.749097E-4</v>
      </c>
      <c r="AA224">
        <v>0.99983080000000002</v>
      </c>
      <c r="AB224">
        <v>29</v>
      </c>
      <c r="AC224">
        <v>25.774199999999901</v>
      </c>
      <c r="AD224">
        <v>-1.110112</v>
      </c>
      <c r="AE224">
        <v>0.42949999999996102</v>
      </c>
      <c r="AF224">
        <v>-0.47917622502690099</v>
      </c>
      <c r="AG224">
        <v>-1.110112</v>
      </c>
      <c r="AH224">
        <v>25.725597917953198</v>
      </c>
      <c r="AI224">
        <v>92.470468789065393</v>
      </c>
      <c r="AJ224">
        <v>91.067092823037896</v>
      </c>
      <c r="AK224">
        <v>25.753996713973802</v>
      </c>
      <c r="AL224">
        <v>88.580778711998803</v>
      </c>
      <c r="AM224">
        <v>88.019481610919698</v>
      </c>
      <c r="AN224">
        <v>0.99999994383892199</v>
      </c>
    </row>
    <row r="225" spans="1:40" x14ac:dyDescent="0.25">
      <c r="A225" t="str">
        <f>"20190312154217451"</f>
        <v>20190312154217451</v>
      </c>
      <c r="B225" t="str">
        <f>"1552376537447851"</f>
        <v>1552376537447851</v>
      </c>
      <c r="C225" t="s">
        <v>40</v>
      </c>
      <c r="D225">
        <v>4.9477500000000001</v>
      </c>
      <c r="E225">
        <v>0.48028330000000002</v>
      </c>
      <c r="F225" t="s">
        <v>42</v>
      </c>
      <c r="G225">
        <v>-402.43299999999999</v>
      </c>
      <c r="H225">
        <v>-0.05</v>
      </c>
      <c r="I225">
        <v>368.62009999999998</v>
      </c>
      <c r="J225">
        <v>-427.8322</v>
      </c>
      <c r="K225">
        <v>1.0600830000000001</v>
      </c>
      <c r="L225">
        <v>368.17930000000001</v>
      </c>
      <c r="M225">
        <v>0.99993460000000001</v>
      </c>
      <c r="N225">
        <v>0</v>
      </c>
      <c r="O225">
        <v>-2.2637740000000001E-3</v>
      </c>
      <c r="P225">
        <v>0.99923629999999997</v>
      </c>
      <c r="Q225">
        <v>1.395383E-2</v>
      </c>
      <c r="R225">
        <v>-3.6496679999999997E-2</v>
      </c>
      <c r="S225">
        <v>3.0059200000000001</v>
      </c>
      <c r="T225">
        <v>-0.1299198</v>
      </c>
      <c r="U225">
        <v>5.1483149999999998E-2</v>
      </c>
      <c r="V225">
        <v>3.4250799999999998E-2</v>
      </c>
      <c r="W225">
        <v>2.5146999999999999E-2</v>
      </c>
      <c r="X225">
        <v>0.99909689999999995</v>
      </c>
      <c r="Y225">
        <v>-1.9368090000000001E-2</v>
      </c>
      <c r="Z225">
        <v>5.161279E-4</v>
      </c>
      <c r="AA225">
        <v>0.99981229999999999</v>
      </c>
      <c r="AB225">
        <v>29</v>
      </c>
      <c r="AC225">
        <v>25.399199999999901</v>
      </c>
      <c r="AD225">
        <v>-1.1100829999999999</v>
      </c>
      <c r="AE225">
        <v>0.440799999999967</v>
      </c>
      <c r="AF225">
        <v>-0.49735079630968398</v>
      </c>
      <c r="AG225">
        <v>-1.1100829999999999</v>
      </c>
      <c r="AH225">
        <v>25.3497293964226</v>
      </c>
      <c r="AI225">
        <v>92.506939878028604</v>
      </c>
      <c r="AJ225">
        <v>91.123974368849204</v>
      </c>
      <c r="AK225">
        <v>25.378897189463</v>
      </c>
      <c r="AL225">
        <v>88.559031209370502</v>
      </c>
      <c r="AM225">
        <v>88.036568772010597</v>
      </c>
      <c r="AN225">
        <v>1.00000005224962</v>
      </c>
    </row>
    <row r="226" spans="1:40" x14ac:dyDescent="0.25">
      <c r="A226" t="str">
        <f>"20190312154217486"</f>
        <v>20190312154217486</v>
      </c>
      <c r="B226" t="str">
        <f>"1552376537478107"</f>
        <v>1552376537478107</v>
      </c>
      <c r="C226" t="s">
        <v>40</v>
      </c>
      <c r="D226">
        <v>4.9654150000000001</v>
      </c>
      <c r="E226">
        <v>0.47999560000000002</v>
      </c>
      <c r="F226" t="s">
        <v>42</v>
      </c>
      <c r="G226">
        <v>-402.64</v>
      </c>
      <c r="H226">
        <v>-0.05</v>
      </c>
      <c r="I226">
        <v>368.63529999999997</v>
      </c>
      <c r="J226">
        <v>-427.3777</v>
      </c>
      <c r="K226">
        <v>1.0600579999999999</v>
      </c>
      <c r="L226">
        <v>368.17770000000002</v>
      </c>
      <c r="M226">
        <v>0.99993279999999995</v>
      </c>
      <c r="N226">
        <v>0</v>
      </c>
      <c r="O226">
        <v>-2.7447140000000001E-3</v>
      </c>
      <c r="P226">
        <v>0.99922350000000004</v>
      </c>
      <c r="Q226">
        <v>1.411082E-2</v>
      </c>
      <c r="R226">
        <v>-3.678944E-2</v>
      </c>
      <c r="S226">
        <v>3.0061339999999999</v>
      </c>
      <c r="T226">
        <v>-0.13246359999999999</v>
      </c>
      <c r="U226">
        <v>5.4412839999999997E-2</v>
      </c>
      <c r="V226">
        <v>3.4062929999999998E-2</v>
      </c>
      <c r="W226">
        <v>2.5351019999999998E-2</v>
      </c>
      <c r="X226">
        <v>0.99909809999999999</v>
      </c>
      <c r="Y226">
        <v>-2.081916E-2</v>
      </c>
      <c r="Z226">
        <v>5.7931629999999996E-4</v>
      </c>
      <c r="AA226">
        <v>0.99978310000000004</v>
      </c>
      <c r="AB226">
        <v>29</v>
      </c>
      <c r="AC226">
        <v>24.7377</v>
      </c>
      <c r="AD226">
        <v>-1.110058</v>
      </c>
      <c r="AE226">
        <v>0.45759999999995599</v>
      </c>
      <c r="AF226">
        <v>-0.52444483519817497</v>
      </c>
      <c r="AG226">
        <v>-1.110058</v>
      </c>
      <c r="AH226">
        <v>24.68665875144</v>
      </c>
      <c r="AI226">
        <v>92.574042387614298</v>
      </c>
      <c r="AJ226">
        <v>91.217011859624606</v>
      </c>
      <c r="AK226">
        <v>24.717167949799101</v>
      </c>
      <c r="AL226">
        <v>88.5473379000438</v>
      </c>
      <c r="AM226">
        <v>88.047332425641798</v>
      </c>
      <c r="AN226">
        <v>0.99999998541941704</v>
      </c>
    </row>
    <row r="227" spans="1:40" x14ac:dyDescent="0.25">
      <c r="A227" t="str">
        <f>"20190312154217509"</f>
        <v>20190312154217509</v>
      </c>
      <c r="B227" t="str">
        <f>"1552376537497627"</f>
        <v>1552376537497627</v>
      </c>
      <c r="C227" t="s">
        <v>40</v>
      </c>
      <c r="D227">
        <v>4.9960269999999998</v>
      </c>
      <c r="E227">
        <v>0.4797728</v>
      </c>
      <c r="F227" t="s">
        <v>42</v>
      </c>
      <c r="G227">
        <v>-402.7294</v>
      </c>
      <c r="H227">
        <v>-0.05</v>
      </c>
      <c r="I227">
        <v>368.63339999999999</v>
      </c>
      <c r="J227">
        <v>-427.07909999999998</v>
      </c>
      <c r="K227">
        <v>1.0600459999999901</v>
      </c>
      <c r="L227">
        <v>368.17660000000001</v>
      </c>
      <c r="M227">
        <v>0.99993129999999997</v>
      </c>
      <c r="N227">
        <v>0</v>
      </c>
      <c r="O227">
        <v>-3.0626329999999999E-3</v>
      </c>
      <c r="P227">
        <v>0.99922169999999999</v>
      </c>
      <c r="Q227">
        <v>1.4440629999999999E-2</v>
      </c>
      <c r="R227">
        <v>-3.6709569999999997E-2</v>
      </c>
      <c r="S227">
        <v>3.006256</v>
      </c>
      <c r="T227">
        <v>-0.13538900000000001</v>
      </c>
      <c r="U227">
        <v>5.5572509999999999E-2</v>
      </c>
      <c r="V227">
        <v>3.3665870000000001E-2</v>
      </c>
      <c r="W227">
        <v>2.5736180000000001E-2</v>
      </c>
      <c r="X227">
        <v>0.99910169999999998</v>
      </c>
      <c r="Y227">
        <v>-2.1519770000000001E-2</v>
      </c>
      <c r="Z227">
        <v>6.2214859999999998E-4</v>
      </c>
      <c r="AA227">
        <v>0.99976830000000005</v>
      </c>
      <c r="AB227">
        <v>29</v>
      </c>
      <c r="AC227">
        <v>24.349699999999899</v>
      </c>
      <c r="AD227">
        <v>-1.1100460000000001</v>
      </c>
      <c r="AE227">
        <v>0.45679999999998699</v>
      </c>
      <c r="AF227">
        <v>-0.53027517704521698</v>
      </c>
      <c r="AG227">
        <v>-1.1100460000000001</v>
      </c>
      <c r="AH227">
        <v>24.297708098085799</v>
      </c>
      <c r="AI227">
        <v>92.615129320148199</v>
      </c>
      <c r="AJ227">
        <v>91.250229332052996</v>
      </c>
      <c r="AK227">
        <v>24.328830894749</v>
      </c>
      <c r="AL227">
        <v>88.525262637870995</v>
      </c>
      <c r="AM227">
        <v>88.070083642707502</v>
      </c>
      <c r="AN227">
        <v>0.99999997435336896</v>
      </c>
    </row>
    <row r="228" spans="1:40" x14ac:dyDescent="0.25">
      <c r="A228" t="str">
        <f>"20190312154217531"</f>
        <v>20190312154217531</v>
      </c>
      <c r="B228" t="str">
        <f>"1552376537527883"</f>
        <v>1552376537527883</v>
      </c>
      <c r="C228" t="s">
        <v>40</v>
      </c>
      <c r="D228">
        <v>5.0017559999999897</v>
      </c>
      <c r="E228">
        <v>0.47950939999999997</v>
      </c>
      <c r="F228" t="s">
        <v>42</v>
      </c>
      <c r="G228">
        <v>-402.56689999999998</v>
      </c>
      <c r="H228">
        <v>-0.05</v>
      </c>
      <c r="I228">
        <v>368.64859999999999</v>
      </c>
      <c r="J228">
        <v>-426.78219999999999</v>
      </c>
      <c r="K228">
        <v>1.0600350000000001</v>
      </c>
      <c r="L228">
        <v>368.17529999999999</v>
      </c>
      <c r="M228">
        <v>0.99992939999999997</v>
      </c>
      <c r="N228">
        <v>0</v>
      </c>
      <c r="O228">
        <v>-3.3826469999999999E-3</v>
      </c>
      <c r="P228">
        <v>0.99922650000000002</v>
      </c>
      <c r="Q228">
        <v>1.4429239999999999E-2</v>
      </c>
      <c r="R228">
        <v>-3.6586470000000003E-2</v>
      </c>
      <c r="S228">
        <v>3.0064090000000001</v>
      </c>
      <c r="T228">
        <v>-0.1361463</v>
      </c>
      <c r="U228">
        <v>5.7891850000000002E-2</v>
      </c>
      <c r="V228">
        <v>3.3223210000000003E-2</v>
      </c>
      <c r="W228">
        <v>2.5804339999999999E-2</v>
      </c>
      <c r="X228">
        <v>0.99911479999999997</v>
      </c>
      <c r="Y228">
        <v>-2.2608079999999999E-2</v>
      </c>
      <c r="Z228">
        <v>6.647008E-4</v>
      </c>
      <c r="AA228">
        <v>0.99974419999999997</v>
      </c>
      <c r="AB228">
        <v>29</v>
      </c>
      <c r="AC228">
        <v>24.215299999999999</v>
      </c>
      <c r="AD228">
        <v>-1.1100350000000001</v>
      </c>
      <c r="AE228">
        <v>0.473299999999994</v>
      </c>
      <c r="AF228">
        <v>-0.554050621456606</v>
      </c>
      <c r="AG228">
        <v>-1.1100350000000001</v>
      </c>
      <c r="AH228">
        <v>24.1628057653772</v>
      </c>
      <c r="AI228">
        <v>92.629618329737497</v>
      </c>
      <c r="AJ228">
        <v>91.313556079552697</v>
      </c>
      <c r="AK228">
        <v>24.194634368961001</v>
      </c>
      <c r="AL228">
        <v>88.521356119573298</v>
      </c>
      <c r="AM228">
        <v>88.095465535453101</v>
      </c>
      <c r="AN228">
        <v>1.0000000146122801</v>
      </c>
    </row>
    <row r="229" spans="1:40" x14ac:dyDescent="0.25">
      <c r="A229" t="str">
        <f>"20190312154217552"</f>
        <v>20190312154217552</v>
      </c>
      <c r="B229" t="str">
        <f>"1552376537537643"</f>
        <v>1552376537537643</v>
      </c>
      <c r="C229" t="s">
        <v>40</v>
      </c>
      <c r="D229">
        <v>5.020359</v>
      </c>
      <c r="E229">
        <v>0.47942449999999998</v>
      </c>
      <c r="F229" t="s">
        <v>42</v>
      </c>
      <c r="G229">
        <v>-402.70420000000001</v>
      </c>
      <c r="H229">
        <v>-0.05</v>
      </c>
      <c r="I229">
        <v>368.65780000000001</v>
      </c>
      <c r="J229">
        <v>-426.51260000000002</v>
      </c>
      <c r="K229">
        <v>1.060022</v>
      </c>
      <c r="L229">
        <v>368.17410000000001</v>
      </c>
      <c r="M229">
        <v>0.99992740000000002</v>
      </c>
      <c r="N229">
        <v>0</v>
      </c>
      <c r="O229">
        <v>-3.6693239999999998E-3</v>
      </c>
      <c r="P229">
        <v>0.9992143</v>
      </c>
      <c r="Q229">
        <v>1.407277E-2</v>
      </c>
      <c r="R229">
        <v>-3.7055730000000002E-2</v>
      </c>
      <c r="S229">
        <v>3.0065</v>
      </c>
      <c r="T229">
        <v>-0.13860420000000001</v>
      </c>
      <c r="U229">
        <v>6.0241699999999898E-2</v>
      </c>
      <c r="V229">
        <v>3.3406100000000001E-2</v>
      </c>
      <c r="W229">
        <v>2.5533110000000001E-2</v>
      </c>
      <c r="X229">
        <v>0.99911559999999999</v>
      </c>
      <c r="Y229">
        <v>-2.3672800000000001E-2</v>
      </c>
      <c r="Z229">
        <v>7.1439850000000005E-4</v>
      </c>
      <c r="AA229">
        <v>0.99971949999999998</v>
      </c>
      <c r="AB229">
        <v>29</v>
      </c>
      <c r="AC229">
        <v>23.808399999999999</v>
      </c>
      <c r="AD229">
        <v>-1.1100219999999901</v>
      </c>
      <c r="AE229">
        <v>0.48369999999999802</v>
      </c>
      <c r="AF229">
        <v>-0.56982510468422898</v>
      </c>
      <c r="AG229">
        <v>-1.1100219999999901</v>
      </c>
      <c r="AH229">
        <v>23.754849745313699</v>
      </c>
      <c r="AI229">
        <v>92.674615764703603</v>
      </c>
      <c r="AJ229">
        <v>91.374132606514294</v>
      </c>
      <c r="AK229">
        <v>23.787596261767199</v>
      </c>
      <c r="AL229">
        <v>88.536901473516494</v>
      </c>
      <c r="AM229">
        <v>88.084990606599106</v>
      </c>
      <c r="AN229">
        <v>0.99999994469341902</v>
      </c>
    </row>
    <row r="230" spans="1:40" x14ac:dyDescent="0.25">
      <c r="A230" t="str">
        <f>"20190312154217575"</f>
        <v>20190312154217575</v>
      </c>
      <c r="B230" t="str">
        <f>"1552376537567900"</f>
        <v>1552376537567900</v>
      </c>
      <c r="C230" t="s">
        <v>40</v>
      </c>
      <c r="D230">
        <v>4.901872</v>
      </c>
      <c r="E230">
        <v>0.47932429999999898</v>
      </c>
      <c r="F230" t="s">
        <v>42</v>
      </c>
      <c r="G230">
        <v>-402.75549999999998</v>
      </c>
      <c r="H230">
        <v>-0.05</v>
      </c>
      <c r="I230">
        <v>368.64600000000002</v>
      </c>
      <c r="J230">
        <v>-426.20670000000001</v>
      </c>
      <c r="K230">
        <v>1.060022</v>
      </c>
      <c r="L230">
        <v>368.17250000000001</v>
      </c>
      <c r="M230">
        <v>0.99992479999999995</v>
      </c>
      <c r="N230">
        <v>0</v>
      </c>
      <c r="O230">
        <v>-3.985672E-3</v>
      </c>
      <c r="P230">
        <v>0.99919239999999998</v>
      </c>
      <c r="Q230">
        <v>1.346456E-2</v>
      </c>
      <c r="R230">
        <v>-3.7859860000000002E-2</v>
      </c>
      <c r="S230">
        <v>3.0065309999999998</v>
      </c>
      <c r="T230">
        <v>-0.1404765</v>
      </c>
      <c r="U230">
        <v>5.9722900000000002E-2</v>
      </c>
      <c r="V230">
        <v>3.3893899999999998E-2</v>
      </c>
      <c r="W230">
        <v>2.503211E-2</v>
      </c>
      <c r="X230">
        <v>0.99911190000000005</v>
      </c>
      <c r="Y230">
        <v>-2.381515E-2</v>
      </c>
      <c r="Z230">
        <v>7.4212849999999995E-4</v>
      </c>
      <c r="AA230">
        <v>0.9997161</v>
      </c>
      <c r="AB230">
        <v>29</v>
      </c>
      <c r="AC230">
        <v>23.4512</v>
      </c>
      <c r="AD230">
        <v>-1.1100219999999901</v>
      </c>
      <c r="AE230">
        <v>0.47349999999994402</v>
      </c>
      <c r="AF230">
        <v>-0.56570440712948999</v>
      </c>
      <c r="AG230">
        <v>-1.1100219999999901</v>
      </c>
      <c r="AH230">
        <v>23.396728792053899</v>
      </c>
      <c r="AI230">
        <v>92.715481363129499</v>
      </c>
      <c r="AJ230">
        <v>91.385072299049</v>
      </c>
      <c r="AK230">
        <v>23.429875981013101</v>
      </c>
      <c r="AL230">
        <v>88.565615913070005</v>
      </c>
      <c r="AM230">
        <v>88.057041491548006</v>
      </c>
      <c r="AN230">
        <v>0.99999999585493604</v>
      </c>
    </row>
    <row r="231" spans="1:40" x14ac:dyDescent="0.25">
      <c r="A231" t="str">
        <f>"20190312154217598"</f>
        <v>20190312154217598</v>
      </c>
      <c r="B231" t="str">
        <f>"1552376537587423"</f>
        <v>1552376537587423</v>
      </c>
      <c r="C231" t="s">
        <v>40</v>
      </c>
      <c r="D231">
        <v>5.0332220000000003</v>
      </c>
      <c r="E231">
        <v>0.4791974</v>
      </c>
      <c r="F231" t="s">
        <v>42</v>
      </c>
      <c r="G231">
        <v>-403.12169999999998</v>
      </c>
      <c r="H231">
        <v>-0.05</v>
      </c>
      <c r="I231">
        <v>368.61939999999998</v>
      </c>
      <c r="J231">
        <v>-425.90649999999999</v>
      </c>
      <c r="K231">
        <v>1.0600240000000001</v>
      </c>
      <c r="L231">
        <v>368.17099999999999</v>
      </c>
      <c r="M231">
        <v>0.99992219999999998</v>
      </c>
      <c r="N231">
        <v>0</v>
      </c>
      <c r="O231">
        <v>-4.2926850000000001E-3</v>
      </c>
      <c r="P231">
        <v>0.99914800000000004</v>
      </c>
      <c r="Q231">
        <v>1.3425309999999999E-2</v>
      </c>
      <c r="R231">
        <v>-3.9026970000000001E-2</v>
      </c>
      <c r="S231">
        <v>3.0065919999999999</v>
      </c>
      <c r="T231">
        <v>-0.14456959999999999</v>
      </c>
      <c r="U231">
        <v>5.8197020000000002E-2</v>
      </c>
      <c r="V231">
        <v>3.475433E-2</v>
      </c>
      <c r="W231">
        <v>2.5104089999999999E-2</v>
      </c>
      <c r="X231">
        <v>0.99908050000000004</v>
      </c>
      <c r="Y231">
        <v>-2.3612620000000001E-2</v>
      </c>
      <c r="Z231">
        <v>7.7360429999999902E-4</v>
      </c>
      <c r="AA231">
        <v>0.99972090000000002</v>
      </c>
      <c r="AB231">
        <v>29</v>
      </c>
      <c r="AC231">
        <v>22.784800000000001</v>
      </c>
      <c r="AD231">
        <v>-1.1100239999999999</v>
      </c>
      <c r="AE231">
        <v>0.44839999999999203</v>
      </c>
      <c r="AF231">
        <v>-0.54491772889211798</v>
      </c>
      <c r="AG231">
        <v>-1.1100239999999999</v>
      </c>
      <c r="AH231">
        <v>22.728741141928399</v>
      </c>
      <c r="AI231">
        <v>92.795182121693401</v>
      </c>
      <c r="AJ231">
        <v>91.373393535335296</v>
      </c>
      <c r="AK231">
        <v>22.762354063422901</v>
      </c>
      <c r="AL231">
        <v>88.561490417886205</v>
      </c>
      <c r="AM231">
        <v>88.007694269835298</v>
      </c>
      <c r="AN231">
        <v>0.99999996213436204</v>
      </c>
    </row>
    <row r="232" spans="1:40" x14ac:dyDescent="0.25">
      <c r="A232" t="str">
        <f>"20190312154217619"</f>
        <v>20190312154217619</v>
      </c>
      <c r="B232" t="str">
        <f>"1552376537607919"</f>
        <v>1552376537607919</v>
      </c>
      <c r="C232" t="s">
        <v>40</v>
      </c>
      <c r="D232">
        <v>5.0055699999999996</v>
      </c>
      <c r="E232">
        <v>0.47895910000000003</v>
      </c>
      <c r="F232" t="s">
        <v>42</v>
      </c>
      <c r="G232">
        <v>-402.97519999999997</v>
      </c>
      <c r="H232">
        <v>-0.05</v>
      </c>
      <c r="I232">
        <v>368.59660000000002</v>
      </c>
      <c r="J232">
        <v>-425.62139999999999</v>
      </c>
      <c r="K232">
        <v>1.06003799999999</v>
      </c>
      <c r="L232">
        <v>368.16930000000002</v>
      </c>
      <c r="M232">
        <v>0.99991969999999997</v>
      </c>
      <c r="N232">
        <v>0</v>
      </c>
      <c r="O232">
        <v>-4.5868810000000001E-3</v>
      </c>
      <c r="P232">
        <v>0.9991236</v>
      </c>
      <c r="Q232">
        <v>1.319554E-2</v>
      </c>
      <c r="R232">
        <v>-3.9729920000000002E-2</v>
      </c>
      <c r="S232">
        <v>3.0066830000000002</v>
      </c>
      <c r="T232">
        <v>-0.145542899999999</v>
      </c>
      <c r="U232">
        <v>5.5816650000000002E-2</v>
      </c>
      <c r="V232">
        <v>3.516271E-2</v>
      </c>
      <c r="W232">
        <v>2.4984920000000001E-2</v>
      </c>
      <c r="X232">
        <v>0.99906919999999999</v>
      </c>
      <c r="Y232">
        <v>-2.311479E-2</v>
      </c>
      <c r="Z232">
        <v>7.8098000000000002E-4</v>
      </c>
      <c r="AA232">
        <v>0.99973250000000002</v>
      </c>
      <c r="AB232">
        <v>29</v>
      </c>
      <c r="AC232">
        <v>22.6462</v>
      </c>
      <c r="AD232">
        <v>-1.1100380000000001</v>
      </c>
      <c r="AE232">
        <v>0.42730000000000201</v>
      </c>
      <c r="AF232">
        <v>-0.529905469488134</v>
      </c>
      <c r="AG232">
        <v>-1.1100380000000001</v>
      </c>
      <c r="AH232">
        <v>22.5897463709621</v>
      </c>
      <c r="AI232">
        <v>92.812423182973106</v>
      </c>
      <c r="AJ232">
        <v>91.343785774522402</v>
      </c>
      <c r="AK232">
        <v>22.623209879953599</v>
      </c>
      <c r="AL232">
        <v>88.5683205017734</v>
      </c>
      <c r="AM232">
        <v>87.984280144417497</v>
      </c>
      <c r="AN232">
        <v>0.99999996439529404</v>
      </c>
    </row>
    <row r="233" spans="1:40" x14ac:dyDescent="0.25">
      <c r="A233" t="str">
        <f>"20190312154217642"</f>
        <v>20190312154217642</v>
      </c>
      <c r="B233" t="str">
        <f>"1552376537637196"</f>
        <v>1552376537637196</v>
      </c>
      <c r="C233" t="s">
        <v>40</v>
      </c>
      <c r="D233">
        <v>4.9950029999999996</v>
      </c>
      <c r="E233">
        <v>0.4786434</v>
      </c>
      <c r="F233" t="s">
        <v>42</v>
      </c>
      <c r="G233">
        <v>-403.22660000000002</v>
      </c>
      <c r="H233">
        <v>-0.05</v>
      </c>
      <c r="I233">
        <v>368.58370000000002</v>
      </c>
      <c r="J233">
        <v>-425.3347</v>
      </c>
      <c r="K233">
        <v>1.060055</v>
      </c>
      <c r="L233">
        <v>368.16770000000002</v>
      </c>
      <c r="M233">
        <v>0.9999169</v>
      </c>
      <c r="N233">
        <v>0</v>
      </c>
      <c r="O233">
        <v>-4.8877579999999999E-3</v>
      </c>
      <c r="P233">
        <v>0.99909650000000005</v>
      </c>
      <c r="Q233">
        <v>1.343009E-2</v>
      </c>
      <c r="R233">
        <v>-4.0326420000000002E-2</v>
      </c>
      <c r="S233">
        <v>3.0068049999999999</v>
      </c>
      <c r="T233">
        <v>-0.14903710000000001</v>
      </c>
      <c r="U233">
        <v>5.5633540000000002E-2</v>
      </c>
      <c r="V233">
        <v>3.5458459999999997E-2</v>
      </c>
      <c r="W233">
        <v>2.533672E-2</v>
      </c>
      <c r="X233">
        <v>0.99904990000000005</v>
      </c>
      <c r="Y233">
        <v>-2.3351770000000001E-2</v>
      </c>
      <c r="Z233">
        <v>8.2044889999999997E-4</v>
      </c>
      <c r="AA233">
        <v>0.99972700000000003</v>
      </c>
      <c r="AB233">
        <v>29</v>
      </c>
      <c r="AC233">
        <v>22.108099999999901</v>
      </c>
      <c r="AD233">
        <v>-1.110055</v>
      </c>
      <c r="AE233">
        <v>0.41599999999999598</v>
      </c>
      <c r="AF233">
        <v>-0.52274434968588201</v>
      </c>
      <c r="AG233">
        <v>-1.110055</v>
      </c>
      <c r="AH233">
        <v>22.050231763519001</v>
      </c>
      <c r="AI233">
        <v>92.881148814787096</v>
      </c>
      <c r="AJ233">
        <v>91.358055379063899</v>
      </c>
      <c r="AK233">
        <v>22.084342973768901</v>
      </c>
      <c r="AL233">
        <v>88.548157481066895</v>
      </c>
      <c r="AM233">
        <v>87.967301056354898</v>
      </c>
      <c r="AN233">
        <v>0.99999997722796896</v>
      </c>
    </row>
    <row r="234" spans="1:40" x14ac:dyDescent="0.25">
      <c r="A234" t="str">
        <f>"20190312154217664"</f>
        <v>20190312154217664</v>
      </c>
      <c r="B234" t="str">
        <f>"1552376537657691"</f>
        <v>1552376537657691</v>
      </c>
      <c r="C234" t="s">
        <v>40</v>
      </c>
      <c r="D234">
        <v>4.9615600000000004</v>
      </c>
      <c r="E234">
        <v>0.47842220000000002</v>
      </c>
      <c r="F234" t="s">
        <v>42</v>
      </c>
      <c r="G234">
        <v>-403.26240000000001</v>
      </c>
      <c r="H234">
        <v>-0.05</v>
      </c>
      <c r="I234">
        <v>368.58100000000002</v>
      </c>
      <c r="J234">
        <v>-425.03100000000001</v>
      </c>
      <c r="K234">
        <v>1.0600750000000001</v>
      </c>
      <c r="L234">
        <v>368.16579999999999</v>
      </c>
      <c r="M234">
        <v>0.99991359999999996</v>
      </c>
      <c r="N234">
        <v>0</v>
      </c>
      <c r="O234">
        <v>-5.208196E-3</v>
      </c>
      <c r="P234">
        <v>0.99908719999999995</v>
      </c>
      <c r="Q234">
        <v>1.310069E-2</v>
      </c>
      <c r="R234">
        <v>-4.0659260000000003E-2</v>
      </c>
      <c r="S234">
        <v>3.0070190000000001</v>
      </c>
      <c r="T234">
        <v>-0.15122829999999901</v>
      </c>
      <c r="U234">
        <v>5.6304930000000003E-2</v>
      </c>
      <c r="V234">
        <v>3.5470389999999997E-2</v>
      </c>
      <c r="W234">
        <v>2.5144139999999999E-2</v>
      </c>
      <c r="X234">
        <v>0.99905440000000001</v>
      </c>
      <c r="Y234">
        <v>-2.3891860000000001E-2</v>
      </c>
      <c r="Z234">
        <v>8.6211269999999997E-4</v>
      </c>
      <c r="AA234">
        <v>0.9997142</v>
      </c>
      <c r="AB234">
        <v>29</v>
      </c>
      <c r="AC234">
        <v>21.7685999999999</v>
      </c>
      <c r="AD234">
        <v>-1.1100749999999999</v>
      </c>
      <c r="AE234">
        <v>0.41519999999996998</v>
      </c>
      <c r="AF234">
        <v>-0.52720729948765799</v>
      </c>
      <c r="AG234">
        <v>-1.1100749999999999</v>
      </c>
      <c r="AH234">
        <v>21.709708265927802</v>
      </c>
      <c r="AI234">
        <v>92.926274764445296</v>
      </c>
      <c r="AJ234">
        <v>91.391120366713906</v>
      </c>
      <c r="AK234">
        <v>21.744462445274401</v>
      </c>
      <c r="AL234">
        <v>88.559195102625495</v>
      </c>
      <c r="AM234">
        <v>87.966626879924107</v>
      </c>
      <c r="AN234">
        <v>1.0000000352512199</v>
      </c>
    </row>
    <row r="235" spans="1:40" x14ac:dyDescent="0.25">
      <c r="A235" t="str">
        <f>"20190312154217686"</f>
        <v>20190312154217686</v>
      </c>
      <c r="B235" t="str">
        <f>"1552376537677211"</f>
        <v>1552376537677211</v>
      </c>
      <c r="C235" t="s">
        <v>40</v>
      </c>
      <c r="D235">
        <v>5.0160879999999999</v>
      </c>
      <c r="E235">
        <v>0.4784738</v>
      </c>
      <c r="F235" t="s">
        <v>42</v>
      </c>
      <c r="G235">
        <v>-403.47480000000002</v>
      </c>
      <c r="H235">
        <v>-0.05</v>
      </c>
      <c r="I235">
        <v>368.57639999999998</v>
      </c>
      <c r="J235">
        <v>-424.73180000000002</v>
      </c>
      <c r="K235">
        <v>1.060093</v>
      </c>
      <c r="L235">
        <v>368.16390000000001</v>
      </c>
      <c r="M235">
        <v>0.99990999999999997</v>
      </c>
      <c r="N235">
        <v>0</v>
      </c>
      <c r="O235">
        <v>-5.5241179999999997E-3</v>
      </c>
      <c r="P235">
        <v>0.99910030000000005</v>
      </c>
      <c r="Q235">
        <v>1.269844E-2</v>
      </c>
      <c r="R235">
        <v>-4.0467419999999997E-2</v>
      </c>
      <c r="S235">
        <v>3.0071110000000001</v>
      </c>
      <c r="T235">
        <v>-0.15485639999999901</v>
      </c>
      <c r="U235">
        <v>5.7281489999999997E-2</v>
      </c>
      <c r="V235">
        <v>3.4962229999999997E-2</v>
      </c>
      <c r="W235">
        <v>2.48934E-2</v>
      </c>
      <c r="X235">
        <v>0.99907860000000004</v>
      </c>
      <c r="Y235">
        <v>-2.4528660000000001E-2</v>
      </c>
      <c r="Z235">
        <v>9.1538169999999996E-4</v>
      </c>
      <c r="AA235">
        <v>0.99969870000000005</v>
      </c>
      <c r="AB235">
        <v>29</v>
      </c>
      <c r="AC235">
        <v>21.257000000000001</v>
      </c>
      <c r="AD235">
        <v>-1.110093</v>
      </c>
      <c r="AE235">
        <v>0.41249999999996501</v>
      </c>
      <c r="AF235">
        <v>-0.52848791623066305</v>
      </c>
      <c r="AG235">
        <v>-1.110093</v>
      </c>
      <c r="AH235">
        <v>21.196611397060501</v>
      </c>
      <c r="AI235">
        <v>92.996982986526703</v>
      </c>
      <c r="AJ235">
        <v>91.4282403198482</v>
      </c>
      <c r="AK235">
        <v>21.232238239626199</v>
      </c>
      <c r="AL235">
        <v>88.573565956637793</v>
      </c>
      <c r="AM235">
        <v>87.995782202301996</v>
      </c>
      <c r="AN235">
        <v>1.00000004393404</v>
      </c>
    </row>
    <row r="236" spans="1:40" x14ac:dyDescent="0.25">
      <c r="A236" t="str">
        <f>"20190312154217712"</f>
        <v>20190312154217712</v>
      </c>
      <c r="B236" t="str">
        <f>"1552376537707468"</f>
        <v>1552376537707468</v>
      </c>
      <c r="C236" t="s">
        <v>40</v>
      </c>
      <c r="D236">
        <v>5.0427710000000001</v>
      </c>
      <c r="E236">
        <v>0.49715880000000001</v>
      </c>
      <c r="F236" t="s">
        <v>42</v>
      </c>
      <c r="G236">
        <v>-403.43979999999999</v>
      </c>
      <c r="H236">
        <v>-0.05</v>
      </c>
      <c r="I236">
        <v>368.57040000000001</v>
      </c>
      <c r="J236">
        <v>-424.4332</v>
      </c>
      <c r="K236">
        <v>1.0601149999999999</v>
      </c>
      <c r="L236">
        <v>368.1619</v>
      </c>
      <c r="M236">
        <v>0.99990619999999997</v>
      </c>
      <c r="N236">
        <v>0</v>
      </c>
      <c r="O236">
        <v>-5.8372569999999898E-3</v>
      </c>
      <c r="P236">
        <v>0.99910330000000003</v>
      </c>
      <c r="Q236">
        <v>1.226207E-2</v>
      </c>
      <c r="R236">
        <v>-4.0526140000000002E-2</v>
      </c>
      <c r="S236">
        <v>3.0070190000000001</v>
      </c>
      <c r="T236">
        <v>-0.15677569999999999</v>
      </c>
      <c r="U236">
        <v>5.7403559999999999E-2</v>
      </c>
      <c r="V236">
        <v>3.4707929999999998E-2</v>
      </c>
      <c r="W236">
        <v>2.4628839999999999E-2</v>
      </c>
      <c r="X236">
        <v>0.99909389999999998</v>
      </c>
      <c r="Y236">
        <v>-2.4880989999999999E-2</v>
      </c>
      <c r="Z236">
        <v>9.5223249999999997E-4</v>
      </c>
      <c r="AA236">
        <v>0.99968999999999997</v>
      </c>
      <c r="AB236">
        <v>29</v>
      </c>
      <c r="AC236">
        <v>20.993400000000001</v>
      </c>
      <c r="AD236">
        <v>-1.110115</v>
      </c>
      <c r="AE236">
        <v>0.40850000000000303</v>
      </c>
      <c r="AF236">
        <v>-0.52956609826383905</v>
      </c>
      <c r="AG236">
        <v>-1.110115</v>
      </c>
      <c r="AH236">
        <v>20.932148968187001</v>
      </c>
      <c r="AI236">
        <v>93.034809504936504</v>
      </c>
      <c r="AJ236">
        <v>91.449226809320095</v>
      </c>
      <c r="AK236">
        <v>20.968253527464501</v>
      </c>
      <c r="AL236">
        <v>88.588728602312003</v>
      </c>
      <c r="AM236">
        <v>88.0103786929526</v>
      </c>
      <c r="AN236">
        <v>0.99999992059091702</v>
      </c>
    </row>
    <row r="237" spans="1:40" x14ac:dyDescent="0.25">
      <c r="A237" t="str">
        <f>"20190312154217732"</f>
        <v>20190312154217732</v>
      </c>
      <c r="B237" t="str">
        <f>"1552376537727964"</f>
        <v>1552376537727964</v>
      </c>
      <c r="C237" t="s">
        <v>40</v>
      </c>
      <c r="D237">
        <v>4.9358259999999996</v>
      </c>
      <c r="E237">
        <v>0.49832660000000001</v>
      </c>
      <c r="F237" t="s">
        <v>42</v>
      </c>
      <c r="G237">
        <v>-406.20440000000002</v>
      </c>
      <c r="H237">
        <v>-0.05</v>
      </c>
      <c r="I237">
        <v>367.61180000000002</v>
      </c>
      <c r="J237">
        <v>-424.14589999999998</v>
      </c>
      <c r="K237">
        <v>1.0601419999999999</v>
      </c>
      <c r="L237">
        <v>368.15989999999999</v>
      </c>
      <c r="M237">
        <v>0.99990199999999996</v>
      </c>
      <c r="N237">
        <v>0</v>
      </c>
      <c r="O237">
        <v>-6.1358940000000002E-3</v>
      </c>
      <c r="P237">
        <v>0.99910299999999996</v>
      </c>
      <c r="Q237">
        <v>1.143798E-2</v>
      </c>
      <c r="R237">
        <v>-4.0773719999999999E-2</v>
      </c>
      <c r="S237">
        <v>3.0012509999999999</v>
      </c>
      <c r="T237">
        <v>-0.1827742</v>
      </c>
      <c r="U237">
        <v>-9.0576169999999998E-2</v>
      </c>
      <c r="V237">
        <v>3.465646E-2</v>
      </c>
      <c r="W237">
        <v>2.3993400000000002E-2</v>
      </c>
      <c r="X237">
        <v>0.99911119999999998</v>
      </c>
      <c r="Y237">
        <v>2.3998519999999999E-2</v>
      </c>
      <c r="Z237">
        <v>-3.5664460000000002E-4</v>
      </c>
      <c r="AA237">
        <v>0.99971189999999999</v>
      </c>
      <c r="AB237">
        <v>29</v>
      </c>
      <c r="AC237">
        <v>17.941499999999898</v>
      </c>
      <c r="AD237">
        <v>-1.110142</v>
      </c>
      <c r="AE237">
        <v>-0.54809999999997605</v>
      </c>
      <c r="AF237">
        <v>0.43632486742540499</v>
      </c>
      <c r="AG237">
        <v>-1.110142</v>
      </c>
      <c r="AH237">
        <v>17.876148808707999</v>
      </c>
      <c r="AI237">
        <v>93.552555175235398</v>
      </c>
      <c r="AJ237">
        <v>88.601789968754503</v>
      </c>
      <c r="AK237">
        <v>17.915900504333301</v>
      </c>
      <c r="AL237">
        <v>88.625147470155099</v>
      </c>
      <c r="AM237">
        <v>88.013361201089893</v>
      </c>
      <c r="AN237">
        <v>0.99999997171436505</v>
      </c>
    </row>
    <row r="238" spans="1:40" x14ac:dyDescent="0.25">
      <c r="A238" t="str">
        <f>"20190312154217754"</f>
        <v>20190312154217754</v>
      </c>
      <c r="B238" t="str">
        <f>"1552376537747484"</f>
        <v>1552376537747484</v>
      </c>
      <c r="C238" t="s">
        <v>40</v>
      </c>
      <c r="D238">
        <v>5.0009560000000004</v>
      </c>
      <c r="E238">
        <v>0.49839319999999998</v>
      </c>
      <c r="F238" t="s">
        <v>42</v>
      </c>
      <c r="G238">
        <v>-406.46510000000001</v>
      </c>
      <c r="H238">
        <v>-0.05</v>
      </c>
      <c r="I238">
        <v>367.5668</v>
      </c>
      <c r="J238">
        <v>-423.8605</v>
      </c>
      <c r="K238">
        <v>1.060171</v>
      </c>
      <c r="L238">
        <v>368.15780000000001</v>
      </c>
      <c r="M238">
        <v>0.99989749999999999</v>
      </c>
      <c r="N238">
        <v>0</v>
      </c>
      <c r="O238">
        <v>-6.4316750000000004E-3</v>
      </c>
      <c r="P238">
        <v>0.99908629999999998</v>
      </c>
      <c r="Q238">
        <v>1.1943509999999999E-2</v>
      </c>
      <c r="R238">
        <v>-4.1041269999999998E-2</v>
      </c>
      <c r="S238">
        <v>3.0007630000000001</v>
      </c>
      <c r="T238">
        <v>-0.188411</v>
      </c>
      <c r="U238">
        <v>-0.100647</v>
      </c>
      <c r="V238">
        <v>3.4628779999999998E-2</v>
      </c>
      <c r="W238">
        <v>2.4699860000000001E-2</v>
      </c>
      <c r="X238">
        <v>0.99909499999999996</v>
      </c>
      <c r="Y238">
        <v>2.7051769999999999E-2</v>
      </c>
      <c r="Z238">
        <v>-4.4484629999999998E-4</v>
      </c>
      <c r="AA238">
        <v>0.99963389999999996</v>
      </c>
      <c r="AB238">
        <v>29</v>
      </c>
      <c r="AC238">
        <v>17.395399999999899</v>
      </c>
      <c r="AD238">
        <v>-1.110171</v>
      </c>
      <c r="AE238">
        <v>-0.59100000000000796</v>
      </c>
      <c r="AF238">
        <v>0.47715586093822299</v>
      </c>
      <c r="AG238">
        <v>-1.110171</v>
      </c>
      <c r="AH238">
        <v>17.3283451647753</v>
      </c>
      <c r="AI238">
        <v>93.664360068334503</v>
      </c>
      <c r="AJ238">
        <v>88.422693566883098</v>
      </c>
      <c r="AK238">
        <v>17.370426117814699</v>
      </c>
      <c r="AL238">
        <v>88.584658368468695</v>
      </c>
      <c r="AM238">
        <v>88.014914491762795</v>
      </c>
      <c r="AN238">
        <v>1.00000002725665</v>
      </c>
    </row>
    <row r="239" spans="1:40" x14ac:dyDescent="0.25">
      <c r="A239" t="str">
        <f>"20190312154217776"</f>
        <v>20190312154217776</v>
      </c>
      <c r="B239" t="str">
        <f>"1552376537767986"</f>
        <v>1552376537767986</v>
      </c>
      <c r="C239" t="s">
        <v>40</v>
      </c>
      <c r="D239">
        <v>4.9478650000000002</v>
      </c>
      <c r="E239">
        <v>0.49860870000000002</v>
      </c>
      <c r="F239" t="s">
        <v>42</v>
      </c>
      <c r="G239">
        <v>-405.86869999999999</v>
      </c>
      <c r="H239">
        <v>-0.05</v>
      </c>
      <c r="I239">
        <v>367.54629999999997</v>
      </c>
      <c r="J239">
        <v>-423.56310000000002</v>
      </c>
      <c r="K239">
        <v>1.0602049999999901</v>
      </c>
      <c r="L239">
        <v>368.15550000000002</v>
      </c>
      <c r="M239">
        <v>0.99989269999999997</v>
      </c>
      <c r="N239">
        <v>0</v>
      </c>
      <c r="O239">
        <v>-6.7395659999999998E-3</v>
      </c>
      <c r="P239">
        <v>0.99906189999999995</v>
      </c>
      <c r="Q239">
        <v>1.1785500000000001E-2</v>
      </c>
      <c r="R239">
        <v>-4.1669900000000003E-2</v>
      </c>
      <c r="S239">
        <v>3.0007630000000001</v>
      </c>
      <c r="T239">
        <v>-0.1851592</v>
      </c>
      <c r="U239">
        <v>-0.1019897</v>
      </c>
      <c r="V239">
        <v>3.4950299999999997E-2</v>
      </c>
      <c r="W239">
        <v>2.47666E-2</v>
      </c>
      <c r="X239">
        <v>0.99908209999999997</v>
      </c>
      <c r="Y239">
        <v>2.7192460000000002E-2</v>
      </c>
      <c r="Z239">
        <v>-4.225392E-4</v>
      </c>
      <c r="AA239">
        <v>0.99963020000000002</v>
      </c>
      <c r="AB239">
        <v>29</v>
      </c>
      <c r="AC239">
        <v>17.694400000000002</v>
      </c>
      <c r="AD239">
        <v>-1.1102050000000001</v>
      </c>
      <c r="AE239">
        <v>-0.60920000000004304</v>
      </c>
      <c r="AF239">
        <v>0.48800463361112301</v>
      </c>
      <c r="AG239">
        <v>-1.1102050000000001</v>
      </c>
      <c r="AH239">
        <v>17.628786707651201</v>
      </c>
      <c r="AI239">
        <v>93.6021709859168</v>
      </c>
      <c r="AJ239">
        <v>88.414328365632201</v>
      </c>
      <c r="AK239">
        <v>17.670450601167801</v>
      </c>
      <c r="AL239">
        <v>88.580833204271102</v>
      </c>
      <c r="AM239">
        <v>87.996472547905498</v>
      </c>
      <c r="AN239">
        <v>0.99999997524302897</v>
      </c>
    </row>
    <row r="240" spans="1:40" x14ac:dyDescent="0.25">
      <c r="A240" t="str">
        <f>"20190312154217799"</f>
        <v>20190312154217799</v>
      </c>
      <c r="B240" t="str">
        <f>"1552376537787499"</f>
        <v>1552376537787499</v>
      </c>
      <c r="C240" t="s">
        <v>40</v>
      </c>
      <c r="D240">
        <v>4.9330499999999997</v>
      </c>
      <c r="E240">
        <v>0.4991546</v>
      </c>
      <c r="F240" t="s">
        <v>42</v>
      </c>
      <c r="G240">
        <v>-405.39229999999998</v>
      </c>
      <c r="H240">
        <v>-0.05</v>
      </c>
      <c r="I240">
        <v>367.51499999999999</v>
      </c>
      <c r="J240">
        <v>-423.27359999999999</v>
      </c>
      <c r="K240">
        <v>1.0602339999999999</v>
      </c>
      <c r="L240">
        <v>368.1533</v>
      </c>
      <c r="M240">
        <v>0.99988759999999999</v>
      </c>
      <c r="N240">
        <v>0</v>
      </c>
      <c r="O240">
        <v>-7.0403519999999997E-3</v>
      </c>
      <c r="P240">
        <v>0.99904689999999996</v>
      </c>
      <c r="Q240">
        <v>1.120295E-2</v>
      </c>
      <c r="R240">
        <v>-4.2188339999999998E-2</v>
      </c>
      <c r="S240">
        <v>3.00061</v>
      </c>
      <c r="T240">
        <v>-0.1833323</v>
      </c>
      <c r="U240">
        <v>-0.1057739</v>
      </c>
      <c r="V240">
        <v>3.5168030000000003E-2</v>
      </c>
      <c r="W240">
        <v>2.4413850000000001E-2</v>
      </c>
      <c r="X240">
        <v>0.99908319999999995</v>
      </c>
      <c r="Y240">
        <v>2.8152139999999999E-2</v>
      </c>
      <c r="Z240">
        <v>-4.2931559999999998E-4</v>
      </c>
      <c r="AA240">
        <v>0.99960360000000004</v>
      </c>
      <c r="AB240">
        <v>29</v>
      </c>
      <c r="AC240">
        <v>17.8813</v>
      </c>
      <c r="AD240">
        <v>-1.1102339999999999</v>
      </c>
      <c r="AE240">
        <v>-0.63830000000001497</v>
      </c>
      <c r="AF240">
        <v>0.51041731684787295</v>
      </c>
      <c r="AG240">
        <v>-1.1102339999999999</v>
      </c>
      <c r="AH240">
        <v>17.816753807905702</v>
      </c>
      <c r="AI240">
        <v>93.564262723006493</v>
      </c>
      <c r="AJ240">
        <v>88.359029835749894</v>
      </c>
      <c r="AK240">
        <v>17.858607493968101</v>
      </c>
      <c r="AL240">
        <v>88.601050485948704</v>
      </c>
      <c r="AM240">
        <v>87.984003651338895</v>
      </c>
      <c r="AN240">
        <v>1.00000003346407</v>
      </c>
    </row>
    <row r="241" spans="1:40" x14ac:dyDescent="0.25">
      <c r="A241" t="str">
        <f>"20190312154217820"</f>
        <v>20190312154217820</v>
      </c>
      <c r="B241" t="str">
        <f>"1552376537817757"</f>
        <v>1552376537817757</v>
      </c>
      <c r="C241" t="s">
        <v>40</v>
      </c>
      <c r="D241">
        <v>4.9136540000000002</v>
      </c>
      <c r="E241">
        <v>0.49947770000000002</v>
      </c>
      <c r="F241" t="s">
        <v>42</v>
      </c>
      <c r="G241">
        <v>-405.58749999999998</v>
      </c>
      <c r="H241">
        <v>-0.05</v>
      </c>
      <c r="I241">
        <v>367.49720000000002</v>
      </c>
      <c r="J241">
        <v>-422.98919999999998</v>
      </c>
      <c r="K241">
        <v>1.060257</v>
      </c>
      <c r="L241">
        <v>368.15089999999998</v>
      </c>
      <c r="M241">
        <v>0.99988250000000001</v>
      </c>
      <c r="N241">
        <v>0</v>
      </c>
      <c r="O241">
        <v>-7.3362389999999996E-3</v>
      </c>
      <c r="P241">
        <v>0.99903209999999998</v>
      </c>
      <c r="Q241">
        <v>1.0448819999999999E-2</v>
      </c>
      <c r="R241">
        <v>-4.2734170000000002E-2</v>
      </c>
      <c r="S241">
        <v>3.0002749999999998</v>
      </c>
      <c r="T241">
        <v>-0.1883408</v>
      </c>
      <c r="U241">
        <v>-0.1112976</v>
      </c>
      <c r="V241">
        <v>3.5417579999999997E-2</v>
      </c>
      <c r="W241">
        <v>2.3884229999999999E-2</v>
      </c>
      <c r="X241">
        <v>0.99908719999999995</v>
      </c>
      <c r="Y241">
        <v>2.9693509999999999E-2</v>
      </c>
      <c r="Z241">
        <v>-4.7082109999999999E-4</v>
      </c>
      <c r="AA241">
        <v>0.99955890000000003</v>
      </c>
      <c r="AB241">
        <v>29</v>
      </c>
      <c r="AC241">
        <v>17.401700000000002</v>
      </c>
      <c r="AD241">
        <v>-1.110257</v>
      </c>
      <c r="AE241">
        <v>-0.65369999999995798</v>
      </c>
      <c r="AF241">
        <v>0.523878289806187</v>
      </c>
      <c r="AG241">
        <v>-1.110257</v>
      </c>
      <c r="AH241">
        <v>17.335560214243898</v>
      </c>
      <c r="AI241">
        <v>93.662839214692895</v>
      </c>
      <c r="AJ241">
        <v>88.269056070906302</v>
      </c>
      <c r="AK241">
        <v>17.378974854986598</v>
      </c>
      <c r="AL241">
        <v>88.631404347095597</v>
      </c>
      <c r="AM241">
        <v>87.969718327177802</v>
      </c>
      <c r="AN241">
        <v>1.0000000473097901</v>
      </c>
    </row>
    <row r="242" spans="1:40" x14ac:dyDescent="0.25">
      <c r="A242" t="str">
        <f>"20190312154217842"</f>
        <v>20190312154217842</v>
      </c>
      <c r="B242" t="str">
        <f>"1552376537837276"</f>
        <v>1552376537837276</v>
      </c>
      <c r="C242" t="s">
        <v>40</v>
      </c>
      <c r="D242">
        <v>4.9330509999999999</v>
      </c>
      <c r="E242">
        <v>0.49970920000000002</v>
      </c>
      <c r="F242" t="s">
        <v>42</v>
      </c>
      <c r="G242">
        <v>-404.9864</v>
      </c>
      <c r="H242">
        <v>-0.05</v>
      </c>
      <c r="I242">
        <v>367.45479999999998</v>
      </c>
      <c r="J242">
        <v>-422.71289999999999</v>
      </c>
      <c r="K242">
        <v>1.0602750000000001</v>
      </c>
      <c r="L242">
        <v>368.14859999999999</v>
      </c>
      <c r="M242">
        <v>0.99987749999999997</v>
      </c>
      <c r="N242">
        <v>0</v>
      </c>
      <c r="O242">
        <v>-7.6247540000000001E-3</v>
      </c>
      <c r="P242">
        <v>0.99899830000000001</v>
      </c>
      <c r="Q242">
        <v>1.0561890000000001E-2</v>
      </c>
      <c r="R242">
        <v>-4.3486669999999998E-2</v>
      </c>
      <c r="S242">
        <v>2.999908</v>
      </c>
      <c r="T242">
        <v>-0.18500759999999999</v>
      </c>
      <c r="U242">
        <v>-0.1159973</v>
      </c>
      <c r="V242">
        <v>3.5882360000000002E-2</v>
      </c>
      <c r="W242">
        <v>2.4204099999999999E-2</v>
      </c>
      <c r="X242">
        <v>0.99906289999999998</v>
      </c>
      <c r="Y242">
        <v>3.0972900000000001E-2</v>
      </c>
      <c r="Z242">
        <v>-4.841755E-4</v>
      </c>
      <c r="AA242">
        <v>0.99952010000000002</v>
      </c>
      <c r="AB242">
        <v>29</v>
      </c>
      <c r="AC242">
        <v>17.726499999999898</v>
      </c>
      <c r="AD242">
        <v>-1.1102749999999999</v>
      </c>
      <c r="AE242">
        <v>-0.69380000000000996</v>
      </c>
      <c r="AF242">
        <v>0.55642748715498302</v>
      </c>
      <c r="AG242">
        <v>-1.1102749999999999</v>
      </c>
      <c r="AH242">
        <v>17.6620932559388</v>
      </c>
      <c r="AI242">
        <v>93.595216860029794</v>
      </c>
      <c r="AJ242">
        <v>88.195547656876599</v>
      </c>
      <c r="AK242">
        <v>17.705701350287299</v>
      </c>
      <c r="AL242">
        <v>88.6130718231624</v>
      </c>
      <c r="AM242">
        <v>87.943047972832204</v>
      </c>
      <c r="AN242">
        <v>1.00000003018619</v>
      </c>
    </row>
    <row r="243" spans="1:40" x14ac:dyDescent="0.25">
      <c r="A243" t="str">
        <f>"20190312154217865"</f>
        <v>20190312154217865</v>
      </c>
      <c r="B243" t="str">
        <f>"1552376537857771"</f>
        <v>1552376537857771</v>
      </c>
      <c r="C243" t="s">
        <v>40</v>
      </c>
      <c r="D243">
        <v>4.9717120000000001</v>
      </c>
      <c r="E243">
        <v>0.50008019999999997</v>
      </c>
      <c r="F243" t="s">
        <v>42</v>
      </c>
      <c r="G243">
        <v>-404.51929999999999</v>
      </c>
      <c r="H243">
        <v>-0.05</v>
      </c>
      <c r="I243">
        <v>367.41969999999998</v>
      </c>
      <c r="J243">
        <v>-422.41390000000001</v>
      </c>
      <c r="K243">
        <v>1.060298</v>
      </c>
      <c r="L243">
        <v>368.14600000000002</v>
      </c>
      <c r="M243">
        <v>0.99987210000000004</v>
      </c>
      <c r="N243">
        <v>0</v>
      </c>
      <c r="O243">
        <v>-7.936294E-3</v>
      </c>
      <c r="P243">
        <v>0.99900619999999996</v>
      </c>
      <c r="Q243">
        <v>1.042264E-2</v>
      </c>
      <c r="R243">
        <v>-4.333625E-2</v>
      </c>
      <c r="S243">
        <v>2.9997250000000002</v>
      </c>
      <c r="T243">
        <v>-0.18305949999999999</v>
      </c>
      <c r="U243">
        <v>-0.1201782</v>
      </c>
      <c r="V243">
        <v>3.5420739999999999E-2</v>
      </c>
      <c r="W243">
        <v>2.4272269999999999E-2</v>
      </c>
      <c r="X243">
        <v>0.99907769999999996</v>
      </c>
      <c r="Y243">
        <v>3.2054220000000001E-2</v>
      </c>
      <c r="Z243">
        <v>-4.9306570000000002E-4</v>
      </c>
      <c r="AA243">
        <v>0.99948599999999999</v>
      </c>
      <c r="AB243">
        <v>29</v>
      </c>
      <c r="AC243">
        <v>17.894600000000001</v>
      </c>
      <c r="AD243">
        <v>-1.110298</v>
      </c>
      <c r="AE243">
        <v>-0.72629999999997996</v>
      </c>
      <c r="AF243">
        <v>0.58200970313403499</v>
      </c>
      <c r="AG243">
        <v>-1.110298</v>
      </c>
      <c r="AH243">
        <v>17.831267591127698</v>
      </c>
      <c r="AI243">
        <v>93.561139727403003</v>
      </c>
      <c r="AJ243">
        <v>88.130538676013103</v>
      </c>
      <c r="AK243">
        <v>17.875279042570099</v>
      </c>
      <c r="AL243">
        <v>88.609164795853104</v>
      </c>
      <c r="AM243">
        <v>87.969518043528893</v>
      </c>
      <c r="AN243">
        <v>1.0000000112751899</v>
      </c>
    </row>
    <row r="244" spans="1:40" x14ac:dyDescent="0.25">
      <c r="A244" t="str">
        <f>"20190312154217888"</f>
        <v>20190312154217888</v>
      </c>
      <c r="B244" t="str">
        <f>"1552376537877295"</f>
        <v>1552376537877295</v>
      </c>
      <c r="C244" t="s">
        <v>40</v>
      </c>
      <c r="D244">
        <v>4.8941249999999998</v>
      </c>
      <c r="E244">
        <v>0.50769470000000005</v>
      </c>
      <c r="F244" t="s">
        <v>42</v>
      </c>
      <c r="G244">
        <v>-403.86189999999999</v>
      </c>
      <c r="H244">
        <v>-0.05</v>
      </c>
      <c r="I244">
        <v>367.38670000000002</v>
      </c>
      <c r="J244">
        <v>-422.12060000000002</v>
      </c>
      <c r="K244">
        <v>1.060319</v>
      </c>
      <c r="L244">
        <v>368.14330000000001</v>
      </c>
      <c r="M244">
        <v>0.99986710000000001</v>
      </c>
      <c r="N244">
        <v>0</v>
      </c>
      <c r="O244">
        <v>-8.2428959999999996E-3</v>
      </c>
      <c r="P244">
        <v>0.99899610000000005</v>
      </c>
      <c r="Q244">
        <v>1.018665E-2</v>
      </c>
      <c r="R244">
        <v>-4.3626829999999998E-2</v>
      </c>
      <c r="S244">
        <v>2.9995729999999998</v>
      </c>
      <c r="T244">
        <v>-0.17951800000000001</v>
      </c>
      <c r="U244">
        <v>-0.1227722</v>
      </c>
      <c r="V244">
        <v>3.5404779999999997E-2</v>
      </c>
      <c r="W244">
        <v>2.4218400000000001E-2</v>
      </c>
      <c r="X244">
        <v>0.99907959999999996</v>
      </c>
      <c r="Y244">
        <v>3.2613929999999999E-2</v>
      </c>
      <c r="Z244">
        <v>-4.8196079999999997E-4</v>
      </c>
      <c r="AA244">
        <v>0.99946789999999996</v>
      </c>
      <c r="AB244">
        <v>29</v>
      </c>
      <c r="AC244">
        <v>18.258700000000001</v>
      </c>
      <c r="AD244">
        <v>-1.1103190000000001</v>
      </c>
      <c r="AE244">
        <v>-0.75659999999999095</v>
      </c>
      <c r="AF244">
        <v>0.60382577237574997</v>
      </c>
      <c r="AG244">
        <v>-1.1103190000000001</v>
      </c>
      <c r="AH244">
        <v>18.197140797765499</v>
      </c>
      <c r="AI244">
        <v>93.489721654698002</v>
      </c>
      <c r="AJ244">
        <v>88.099482812140295</v>
      </c>
      <c r="AK244">
        <v>18.240979882091001</v>
      </c>
      <c r="AL244">
        <v>88.612252264475202</v>
      </c>
      <c r="AM244">
        <v>87.970436036338</v>
      </c>
      <c r="AN244">
        <v>1.0000000382407801</v>
      </c>
    </row>
    <row r="245" spans="1:40" x14ac:dyDescent="0.25">
      <c r="A245" t="str">
        <f>"20190312154217912"</f>
        <v>20190312154217912</v>
      </c>
      <c r="B245" t="str">
        <f>"1552376537897787"</f>
        <v>1552376537897787</v>
      </c>
      <c r="C245" t="s">
        <v>40</v>
      </c>
      <c r="D245">
        <v>4.9357660000000001</v>
      </c>
      <c r="E245">
        <v>0.51198480000000002</v>
      </c>
      <c r="F245" t="s">
        <v>41</v>
      </c>
      <c r="G245">
        <v>-421.39789999999999</v>
      </c>
      <c r="H245">
        <v>0.97636520000000004</v>
      </c>
      <c r="I245">
        <v>368.09989999999999</v>
      </c>
      <c r="J245">
        <v>-421.8202</v>
      </c>
      <c r="K245">
        <v>1.0603309999999999</v>
      </c>
      <c r="L245">
        <v>368.14049999999997</v>
      </c>
      <c r="M245">
        <v>0.99986220000000003</v>
      </c>
      <c r="N245">
        <v>0</v>
      </c>
      <c r="O245">
        <v>-8.5568789999999999E-3</v>
      </c>
      <c r="P245">
        <v>0.9989924</v>
      </c>
      <c r="Q245">
        <v>1.0188849999999999E-2</v>
      </c>
      <c r="R245">
        <v>-4.3706509999999997E-2</v>
      </c>
      <c r="S245">
        <v>2.9988100000000002</v>
      </c>
      <c r="T245">
        <v>-0.34879339999999998</v>
      </c>
      <c r="U245">
        <v>-0.17764279999999999</v>
      </c>
      <c r="V245">
        <v>3.5170720000000003E-2</v>
      </c>
      <c r="W245">
        <v>2.4385239999999999E-2</v>
      </c>
      <c r="X245">
        <v>0.99908379999999997</v>
      </c>
      <c r="Y245">
        <v>5.0308749999999999E-2</v>
      </c>
      <c r="Z245">
        <v>-1.9222830000000001E-3</v>
      </c>
      <c r="AA245">
        <v>0.99873190000000001</v>
      </c>
      <c r="AB245">
        <v>29</v>
      </c>
      <c r="AC245">
        <v>0.422300000000007</v>
      </c>
      <c r="AD245">
        <v>-8.3965799999999799E-2</v>
      </c>
      <c r="AE245">
        <v>-4.0599999999983503E-2</v>
      </c>
      <c r="AF245">
        <v>3.5590456405161702E-2</v>
      </c>
      <c r="AG245">
        <v>-8.3965799999999799E-2</v>
      </c>
      <c r="AH245">
        <v>0.40670101019237698</v>
      </c>
      <c r="AI245">
        <v>101.621952163358</v>
      </c>
      <c r="AJ245">
        <v>84.998779667822504</v>
      </c>
      <c r="AK245">
        <v>0.41680048926107</v>
      </c>
      <c r="AL245">
        <v>88.602690200700494</v>
      </c>
      <c r="AM245">
        <v>87.983850784984597</v>
      </c>
      <c r="AN245">
        <v>1.0000000294488001</v>
      </c>
    </row>
    <row r="246" spans="1:40" x14ac:dyDescent="0.25">
      <c r="A246" t="str">
        <f>"20190312154217932"</f>
        <v>20190312154217932</v>
      </c>
      <c r="B246" t="str">
        <f>"1552376537928043"</f>
        <v>1552376537928043</v>
      </c>
      <c r="C246" t="s">
        <v>40</v>
      </c>
      <c r="D246">
        <v>4.9557650000000004</v>
      </c>
      <c r="E246">
        <v>0.51300299999999999</v>
      </c>
      <c r="F246" t="s">
        <v>41</v>
      </c>
      <c r="G246">
        <v>-420.9187</v>
      </c>
      <c r="H246">
        <v>0.90528989999999998</v>
      </c>
      <c r="I246">
        <v>368.07870000000003</v>
      </c>
      <c r="J246">
        <v>-421.54660000000001</v>
      </c>
      <c r="K246">
        <v>1.060341</v>
      </c>
      <c r="L246">
        <v>368.13780000000003</v>
      </c>
      <c r="M246">
        <v>0.99985780000000002</v>
      </c>
      <c r="N246">
        <v>0</v>
      </c>
      <c r="O246">
        <v>-8.84380699999999E-3</v>
      </c>
      <c r="P246">
        <v>0.99898520000000002</v>
      </c>
      <c r="Q246">
        <v>1.013735E-2</v>
      </c>
      <c r="R246">
        <v>-4.3883909999999998E-2</v>
      </c>
      <c r="S246">
        <v>2.999298</v>
      </c>
      <c r="T246">
        <v>-0.51588459999999903</v>
      </c>
      <c r="U246">
        <v>-0.2054443</v>
      </c>
      <c r="V246">
        <v>3.5061299999999997E-2</v>
      </c>
      <c r="W246">
        <v>2.4465810000000001E-2</v>
      </c>
      <c r="X246">
        <v>0.99908569999999997</v>
      </c>
      <c r="Y246">
        <v>5.8780859999999997E-2</v>
      </c>
      <c r="Z246">
        <v>-3.5042530000000001E-3</v>
      </c>
      <c r="AA246">
        <v>0.99826479999999995</v>
      </c>
      <c r="AB246">
        <v>29</v>
      </c>
      <c r="AC246">
        <v>0.627900000000011</v>
      </c>
      <c r="AD246">
        <v>-0.1550511</v>
      </c>
      <c r="AE246">
        <v>-5.9100000000000798E-2</v>
      </c>
      <c r="AF246">
        <v>5.0492241801337601E-2</v>
      </c>
      <c r="AG246">
        <v>-0.1550511</v>
      </c>
      <c r="AH246">
        <v>0.59258140989275299</v>
      </c>
      <c r="AI246">
        <v>104.61225854223299</v>
      </c>
      <c r="AJ246">
        <v>85.129747006840304</v>
      </c>
      <c r="AK246">
        <v>0.61460803561604804</v>
      </c>
      <c r="AL246">
        <v>88.598072535617504</v>
      </c>
      <c r="AM246">
        <v>87.990121914895994</v>
      </c>
      <c r="AN246">
        <v>1.00000005328056</v>
      </c>
    </row>
    <row r="247" spans="1:40" x14ac:dyDescent="0.25">
      <c r="A247" t="str">
        <f>"20190312154217955"</f>
        <v>20190312154217955</v>
      </c>
      <c r="B247" t="str">
        <f>"1552376537947564"</f>
        <v>1552376537947564</v>
      </c>
      <c r="C247" t="s">
        <v>40</v>
      </c>
      <c r="D247">
        <v>4.9719329999999999</v>
      </c>
      <c r="E247">
        <v>0.51352719999999996</v>
      </c>
      <c r="F247" t="s">
        <v>41</v>
      </c>
      <c r="G247">
        <v>-420.6705</v>
      </c>
      <c r="H247">
        <v>0.88843269999999996</v>
      </c>
      <c r="I247">
        <v>368.07580000000002</v>
      </c>
      <c r="J247">
        <v>-421.26060000000001</v>
      </c>
      <c r="K247">
        <v>1.0603419999999999</v>
      </c>
      <c r="L247">
        <v>368.13490000000002</v>
      </c>
      <c r="M247">
        <v>0.9998534</v>
      </c>
      <c r="N247">
        <v>0</v>
      </c>
      <c r="O247">
        <v>-9.1441279999999996E-3</v>
      </c>
      <c r="P247">
        <v>0.99897210000000003</v>
      </c>
      <c r="Q247">
        <v>9.7662419999999996E-3</v>
      </c>
      <c r="R247">
        <v>-4.426629E-2</v>
      </c>
      <c r="S247">
        <v>2.9997560000000001</v>
      </c>
      <c r="T247">
        <v>-0.58872650000000004</v>
      </c>
      <c r="U247">
        <v>-0.21121219999999999</v>
      </c>
      <c r="V247">
        <v>3.5143510000000003E-2</v>
      </c>
      <c r="W247">
        <v>2.4215540000000001E-2</v>
      </c>
      <c r="X247">
        <v>0.99908889999999995</v>
      </c>
      <c r="Y247">
        <v>6.0142510000000003E-2</v>
      </c>
      <c r="Z247">
        <v>-4.0633989999999997E-3</v>
      </c>
      <c r="AA247">
        <v>0.99818150000000005</v>
      </c>
      <c r="AB247">
        <v>29</v>
      </c>
      <c r="AC247">
        <v>0.59010000000000595</v>
      </c>
      <c r="AD247">
        <v>-0.17190929999999999</v>
      </c>
      <c r="AE247">
        <v>-5.9100000000000798E-2</v>
      </c>
      <c r="AF247">
        <v>4.9538497837002399E-2</v>
      </c>
      <c r="AG247">
        <v>-0.17190929999999999</v>
      </c>
      <c r="AH247">
        <v>0.544835520035301</v>
      </c>
      <c r="AI247">
        <v>107.444226868501</v>
      </c>
      <c r="AJ247">
        <v>84.804737111916296</v>
      </c>
      <c r="AK247">
        <v>0.57345672381320401</v>
      </c>
      <c r="AL247">
        <v>88.612416187001301</v>
      </c>
      <c r="AM247">
        <v>87.985419578237398</v>
      </c>
      <c r="AN247">
        <v>1.0000000443879</v>
      </c>
    </row>
    <row r="248" spans="1:40" x14ac:dyDescent="0.25">
      <c r="A248" t="str">
        <f>"20190312154217977"</f>
        <v>20190312154217977</v>
      </c>
      <c r="B248" t="str">
        <f>"1552376537968060"</f>
        <v>1552376537968060</v>
      </c>
      <c r="C248" t="s">
        <v>40</v>
      </c>
      <c r="D248">
        <v>4.9835510000000003</v>
      </c>
      <c r="E248">
        <v>0.51402650000000005</v>
      </c>
      <c r="F248" t="s">
        <v>41</v>
      </c>
      <c r="G248">
        <v>-420.41460000000001</v>
      </c>
      <c r="H248">
        <v>0.887934</v>
      </c>
      <c r="I248">
        <v>368.07380000000001</v>
      </c>
      <c r="J248">
        <v>-420.9744</v>
      </c>
      <c r="K248">
        <v>1.0603419999999999</v>
      </c>
      <c r="L248">
        <v>368.13200000000001</v>
      </c>
      <c r="M248">
        <v>0.99984910000000005</v>
      </c>
      <c r="N248">
        <v>0</v>
      </c>
      <c r="O248">
        <v>-9.444104E-3</v>
      </c>
      <c r="P248">
        <v>0.99896229999999997</v>
      </c>
      <c r="Q248">
        <v>9.0298510000000002E-3</v>
      </c>
      <c r="R248">
        <v>-4.4641979999999998E-2</v>
      </c>
      <c r="S248">
        <v>2.9995419999999999</v>
      </c>
      <c r="T248">
        <v>-0.61125620000000003</v>
      </c>
      <c r="U248">
        <v>-0.2157898</v>
      </c>
      <c r="V248">
        <v>3.5219E-2</v>
      </c>
      <c r="W248">
        <v>2.358439E-2</v>
      </c>
      <c r="X248">
        <v>0.99910129999999997</v>
      </c>
      <c r="Y248">
        <v>6.1271930000000002E-2</v>
      </c>
      <c r="Z248">
        <v>-4.269246E-3</v>
      </c>
      <c r="AA248">
        <v>0.998112</v>
      </c>
      <c r="AB248">
        <v>29</v>
      </c>
      <c r="AC248">
        <v>0.55979999999999497</v>
      </c>
      <c r="AD248">
        <v>-0.17240800000000001</v>
      </c>
      <c r="AE248">
        <v>-5.8199999999942499E-2</v>
      </c>
      <c r="AF248">
        <v>4.8370983059532899E-2</v>
      </c>
      <c r="AG248">
        <v>-0.17240800000000001</v>
      </c>
      <c r="AH248">
        <v>0.51225555894669605</v>
      </c>
      <c r="AI248">
        <v>108.524756152867</v>
      </c>
      <c r="AJ248">
        <v>84.605700880699203</v>
      </c>
      <c r="AK248">
        <v>0.54265092659824898</v>
      </c>
      <c r="AL248">
        <v>88.648588695881998</v>
      </c>
      <c r="AM248">
        <v>87.981120773176798</v>
      </c>
      <c r="AN248">
        <v>1.00000000453718</v>
      </c>
    </row>
    <row r="249" spans="1:40" x14ac:dyDescent="0.25">
      <c r="A249" t="str">
        <f>"20190312154218000"</f>
        <v>20190312154218000</v>
      </c>
      <c r="B249" t="str">
        <f>"1552376537987580"</f>
        <v>1552376537987580</v>
      </c>
      <c r="C249" t="s">
        <v>40</v>
      </c>
      <c r="D249">
        <v>4.9716089999999999</v>
      </c>
      <c r="E249">
        <v>0.51432559999999905</v>
      </c>
      <c r="F249" t="s">
        <v>41</v>
      </c>
      <c r="G249">
        <v>-420.1583</v>
      </c>
      <c r="H249">
        <v>0.88922800000000002</v>
      </c>
      <c r="I249">
        <v>368.07190000000003</v>
      </c>
      <c r="J249">
        <v>-420.68709999999999</v>
      </c>
      <c r="K249">
        <v>1.0603450000000001</v>
      </c>
      <c r="L249">
        <v>368.12889999999999</v>
      </c>
      <c r="M249">
        <v>0.99984479999999998</v>
      </c>
      <c r="N249">
        <v>0</v>
      </c>
      <c r="O249">
        <v>-9.7448139999999992E-3</v>
      </c>
      <c r="P249">
        <v>0.99896010000000002</v>
      </c>
      <c r="Q249">
        <v>7.7495709999999898E-3</v>
      </c>
      <c r="R249">
        <v>-4.4926779999999999E-2</v>
      </c>
      <c r="S249">
        <v>2.9989620000000001</v>
      </c>
      <c r="T249">
        <v>-0.62892630000000005</v>
      </c>
      <c r="U249">
        <v>-0.2203369</v>
      </c>
      <c r="V249">
        <v>3.5202499999999998E-2</v>
      </c>
      <c r="W249">
        <v>2.2395950000000001E-2</v>
      </c>
      <c r="X249">
        <v>0.99912920000000005</v>
      </c>
      <c r="Y249">
        <v>6.2411040000000001E-2</v>
      </c>
      <c r="Z249">
        <v>-4.4463810000000001E-3</v>
      </c>
      <c r="AA249">
        <v>0.99804059999999994</v>
      </c>
      <c r="AB249">
        <v>29</v>
      </c>
      <c r="AC249">
        <v>0.52879999999998895</v>
      </c>
      <c r="AD249">
        <v>-0.17111699999999999</v>
      </c>
      <c r="AE249">
        <v>-5.69999999999595E-2</v>
      </c>
      <c r="AF249">
        <v>4.6980665000684499E-2</v>
      </c>
      <c r="AG249">
        <v>-0.17111699999999999</v>
      </c>
      <c r="AH249">
        <v>0.47967841253655003</v>
      </c>
      <c r="AI249">
        <v>109.546590306185</v>
      </c>
      <c r="AJ249">
        <v>84.406177509029305</v>
      </c>
      <c r="AK249">
        <v>0.51144852138459695</v>
      </c>
      <c r="AL249">
        <v>88.716699261964493</v>
      </c>
      <c r="AM249">
        <v>87.982122132976798</v>
      </c>
      <c r="AN249">
        <v>0.99999997643764504</v>
      </c>
    </row>
    <row r="250" spans="1:40" x14ac:dyDescent="0.25">
      <c r="A250" t="str">
        <f>"20190312154218020"</f>
        <v>20190312154218020</v>
      </c>
      <c r="B250" t="str">
        <f>"1552376538008075"</f>
        <v>1552376538008075</v>
      </c>
      <c r="C250" t="s">
        <v>40</v>
      </c>
      <c r="D250">
        <v>4.9841410000000002</v>
      </c>
      <c r="E250">
        <v>0.5146037</v>
      </c>
      <c r="F250" t="s">
        <v>41</v>
      </c>
      <c r="G250">
        <v>-419.90179999999998</v>
      </c>
      <c r="H250">
        <v>0.89185539999999996</v>
      </c>
      <c r="I250">
        <v>368.07</v>
      </c>
      <c r="J250">
        <v>-420.41809999999998</v>
      </c>
      <c r="K250">
        <v>1.0603469999999999</v>
      </c>
      <c r="L250">
        <v>368.12599999999998</v>
      </c>
      <c r="M250">
        <v>0.99984110000000004</v>
      </c>
      <c r="N250">
        <v>0</v>
      </c>
      <c r="O250">
        <v>-1.002668E-2</v>
      </c>
      <c r="P250">
        <v>0.9989439</v>
      </c>
      <c r="Q250">
        <v>7.7980810000000001E-3</v>
      </c>
      <c r="R250">
        <v>-4.5284350000000001E-2</v>
      </c>
      <c r="S250">
        <v>2.998138</v>
      </c>
      <c r="T250">
        <v>-0.64342690000000002</v>
      </c>
      <c r="U250">
        <v>-0.2232056</v>
      </c>
      <c r="V250">
        <v>3.5278329999999997E-2</v>
      </c>
      <c r="W250">
        <v>2.2517990000000002E-2</v>
      </c>
      <c r="X250">
        <v>0.99912380000000001</v>
      </c>
      <c r="Y250">
        <v>6.3038540000000004E-2</v>
      </c>
      <c r="Z250">
        <v>-4.5544779999999998E-3</v>
      </c>
      <c r="AA250">
        <v>0.99800069999999996</v>
      </c>
      <c r="AB250">
        <v>29</v>
      </c>
      <c r="AC250">
        <v>0.51630000000000098</v>
      </c>
      <c r="AD250">
        <v>-0.16849159999999899</v>
      </c>
      <c r="AE250">
        <v>-5.5999999999983098E-2</v>
      </c>
      <c r="AF250">
        <v>4.5979897475712302E-2</v>
      </c>
      <c r="AG250">
        <v>-0.16849159999999899</v>
      </c>
      <c r="AH250">
        <v>0.46761352257493299</v>
      </c>
      <c r="AI250">
        <v>109.72747693091</v>
      </c>
      <c r="AJ250">
        <v>84.384224584717501</v>
      </c>
      <c r="AK250">
        <v>0.49916527997986299</v>
      </c>
      <c r="AL250">
        <v>88.709705143786806</v>
      </c>
      <c r="AM250">
        <v>87.977768089899499</v>
      </c>
      <c r="AN250">
        <v>0.999999994083834</v>
      </c>
    </row>
    <row r="251" spans="1:40" x14ac:dyDescent="0.25">
      <c r="A251" t="str">
        <f>"20190312154218044"</f>
        <v>20190312154218044</v>
      </c>
      <c r="B251" t="str">
        <f>"1552376538037357"</f>
        <v>1552376538037357</v>
      </c>
      <c r="C251" t="s">
        <v>40</v>
      </c>
      <c r="D251">
        <v>4.9564659999999998</v>
      </c>
      <c r="E251">
        <v>0.51496459999999999</v>
      </c>
      <c r="F251" t="s">
        <v>41</v>
      </c>
      <c r="G251">
        <v>-419.64679999999998</v>
      </c>
      <c r="H251">
        <v>0.89261780000000002</v>
      </c>
      <c r="I251">
        <v>368.0675</v>
      </c>
      <c r="J251">
        <v>-420.12790000000001</v>
      </c>
      <c r="K251">
        <v>1.060357</v>
      </c>
      <c r="L251">
        <v>368.12270000000001</v>
      </c>
      <c r="M251">
        <v>0.99983690000000003</v>
      </c>
      <c r="N251">
        <v>0</v>
      </c>
      <c r="O251">
        <v>-1.033032E-2</v>
      </c>
      <c r="P251">
        <v>0.99893359999999998</v>
      </c>
      <c r="Q251">
        <v>7.7983439999999996E-3</v>
      </c>
      <c r="R251">
        <v>-4.5508609999999998E-2</v>
      </c>
      <c r="S251">
        <v>2.9980159999999998</v>
      </c>
      <c r="T251">
        <v>-0.65192569999999905</v>
      </c>
      <c r="U251">
        <v>-0.22628780000000001</v>
      </c>
      <c r="V251">
        <v>3.5199380000000002E-2</v>
      </c>
      <c r="W251">
        <v>2.2587110000000001E-2</v>
      </c>
      <c r="X251">
        <v>0.99912500000000004</v>
      </c>
      <c r="Y251">
        <v>6.3718520000000001E-2</v>
      </c>
      <c r="Z251">
        <v>-4.6210979999999997E-3</v>
      </c>
      <c r="AA251">
        <v>0.99795719999999999</v>
      </c>
      <c r="AB251">
        <v>29</v>
      </c>
      <c r="AC251">
        <v>0.48110000000002601</v>
      </c>
      <c r="AD251">
        <v>-0.16773919999999901</v>
      </c>
      <c r="AE251">
        <v>-5.5200000000013398E-2</v>
      </c>
      <c r="AF251">
        <v>4.4845866093968803E-2</v>
      </c>
      <c r="AG251">
        <v>-0.16773919999999901</v>
      </c>
      <c r="AH251">
        <v>0.43004650422379698</v>
      </c>
      <c r="AI251">
        <v>111.203529306748</v>
      </c>
      <c r="AJ251">
        <v>84.046631931010694</v>
      </c>
      <c r="AK251">
        <v>0.46377536234416999</v>
      </c>
      <c r="AL251">
        <v>88.705743820473799</v>
      </c>
      <c r="AM251">
        <v>87.982292355053303</v>
      </c>
      <c r="AN251">
        <v>0.99999996975776695</v>
      </c>
    </row>
    <row r="252" spans="1:40" x14ac:dyDescent="0.25">
      <c r="A252" t="str">
        <f>"20190312154218057"</f>
        <v>20190312154218057</v>
      </c>
      <c r="B252" t="str">
        <f>"1552376538048092"</f>
        <v>1552376538048092</v>
      </c>
      <c r="C252" t="s">
        <v>40</v>
      </c>
      <c r="D252">
        <v>4.9570730000000003</v>
      </c>
      <c r="E252">
        <v>0.51511220000000002</v>
      </c>
      <c r="F252" t="s">
        <v>41</v>
      </c>
      <c r="G252">
        <v>-419.39010000000002</v>
      </c>
      <c r="H252">
        <v>0.89764169999999999</v>
      </c>
      <c r="I252">
        <v>368.06560000000002</v>
      </c>
      <c r="J252">
        <v>-419.9513</v>
      </c>
      <c r="K252">
        <v>1.060357</v>
      </c>
      <c r="L252">
        <v>368.1207</v>
      </c>
      <c r="M252">
        <v>0.99983449999999996</v>
      </c>
      <c r="N252">
        <v>0</v>
      </c>
      <c r="O252">
        <v>-1.051595E-2</v>
      </c>
      <c r="P252">
        <v>0.99891920000000001</v>
      </c>
      <c r="Q252">
        <v>7.8884439999999997E-3</v>
      </c>
      <c r="R252">
        <v>-4.5810730000000001E-2</v>
      </c>
      <c r="S252">
        <v>2.9978940000000001</v>
      </c>
      <c r="T252">
        <v>-0.66117879999999996</v>
      </c>
      <c r="U252">
        <v>-0.2293396</v>
      </c>
      <c r="V252">
        <v>3.531596E-2</v>
      </c>
      <c r="W252">
        <v>2.2713440000000001E-2</v>
      </c>
      <c r="X252">
        <v>0.99911799999999995</v>
      </c>
      <c r="Y252">
        <v>6.4497139999999994E-2</v>
      </c>
      <c r="Z252">
        <v>-4.729512E-3</v>
      </c>
      <c r="AA252">
        <v>0.99790670000000004</v>
      </c>
      <c r="AB252">
        <v>28</v>
      </c>
      <c r="AC252">
        <v>0.56119999999998504</v>
      </c>
      <c r="AD252">
        <v>-0.16271529999999901</v>
      </c>
      <c r="AE252">
        <v>-5.5099999999981698E-2</v>
      </c>
      <c r="AF252">
        <v>4.5413464173875699E-2</v>
      </c>
      <c r="AG252">
        <v>-0.16271529999999901</v>
      </c>
      <c r="AH252">
        <v>0.51857043234856504</v>
      </c>
      <c r="AI252">
        <v>107.358217215313</v>
      </c>
      <c r="AJ252">
        <v>84.995128334866195</v>
      </c>
      <c r="AK252">
        <v>0.54539338544626703</v>
      </c>
      <c r="AL252">
        <v>88.698503758219999</v>
      </c>
      <c r="AM252">
        <v>87.975601106806707</v>
      </c>
      <c r="AN252">
        <v>0.99999994765567601</v>
      </c>
    </row>
    <row r="253" spans="1:40" x14ac:dyDescent="0.25">
      <c r="A253" t="str">
        <f>"20190312154218078"</f>
        <v>20190312154218078</v>
      </c>
      <c r="B253" t="str">
        <f>"1552376538067611"</f>
        <v>1552376538067611</v>
      </c>
      <c r="C253" t="s">
        <v>40</v>
      </c>
      <c r="D253">
        <v>4.9426300000000003</v>
      </c>
      <c r="E253">
        <v>0.51510519999999904</v>
      </c>
      <c r="F253" t="s">
        <v>41</v>
      </c>
      <c r="G253">
        <v>-419.14429999999999</v>
      </c>
      <c r="H253">
        <v>0.88172129999999904</v>
      </c>
      <c r="I253">
        <v>368.05860000000001</v>
      </c>
      <c r="J253">
        <v>-419.6918</v>
      </c>
      <c r="K253">
        <v>1.060354</v>
      </c>
      <c r="L253">
        <v>368.11770000000001</v>
      </c>
      <c r="M253">
        <v>0.99983080000000002</v>
      </c>
      <c r="N253">
        <v>0</v>
      </c>
      <c r="O253">
        <v>-1.078844E-2</v>
      </c>
      <c r="P253">
        <v>0.99892179999999997</v>
      </c>
      <c r="Q253">
        <v>7.5059009999999997E-3</v>
      </c>
      <c r="R253">
        <v>-4.5818659999999997E-2</v>
      </c>
      <c r="S253">
        <v>2.9978940000000001</v>
      </c>
      <c r="T253">
        <v>-0.66353109999999904</v>
      </c>
      <c r="U253">
        <v>-0.23089599999999999</v>
      </c>
      <c r="V253">
        <v>3.5051029999999997E-2</v>
      </c>
      <c r="W253">
        <v>2.2378309999999998E-2</v>
      </c>
      <c r="X253">
        <v>0.999135</v>
      </c>
      <c r="Y253">
        <v>6.4732129999999999E-2</v>
      </c>
      <c r="Z253">
        <v>-4.7120130000000001E-3</v>
      </c>
      <c r="AA253">
        <v>0.99789150000000004</v>
      </c>
      <c r="AB253">
        <v>28</v>
      </c>
      <c r="AC253">
        <v>0.54750000000001298</v>
      </c>
      <c r="AD253">
        <v>-0.17863270000000001</v>
      </c>
      <c r="AE253">
        <v>-5.9100000000000798E-2</v>
      </c>
      <c r="AF253">
        <v>4.8125216200705298E-2</v>
      </c>
      <c r="AG253">
        <v>-0.17863270000000001</v>
      </c>
      <c r="AH253">
        <v>0.49592198318056202</v>
      </c>
      <c r="AI253">
        <v>109.72372515675001</v>
      </c>
      <c r="AJ253">
        <v>84.457263566344096</v>
      </c>
      <c r="AK253">
        <v>0.52930548017699297</v>
      </c>
      <c r="AL253">
        <v>88.717710314745304</v>
      </c>
      <c r="AM253">
        <v>87.990809219297702</v>
      </c>
      <c r="AN253">
        <v>1.0000000558437501</v>
      </c>
    </row>
    <row r="254" spans="1:40" x14ac:dyDescent="0.25">
      <c r="A254" t="str">
        <f>"20190312154218100"</f>
        <v>20190312154218100</v>
      </c>
      <c r="B254" t="str">
        <f>"1552376538088109"</f>
        <v>1552376538088109</v>
      </c>
      <c r="C254" t="s">
        <v>40</v>
      </c>
      <c r="D254">
        <v>4.8906510000000001</v>
      </c>
      <c r="E254">
        <v>0.5138644</v>
      </c>
      <c r="F254" t="s">
        <v>41</v>
      </c>
      <c r="G254">
        <v>-418.89089999999999</v>
      </c>
      <c r="H254">
        <v>0.88210999999999995</v>
      </c>
      <c r="I254">
        <v>368.0557</v>
      </c>
      <c r="J254">
        <v>-419.40949999999998</v>
      </c>
      <c r="K254">
        <v>1.0603560000000001</v>
      </c>
      <c r="L254">
        <v>368.11430000000001</v>
      </c>
      <c r="M254">
        <v>0.99982700000000002</v>
      </c>
      <c r="N254">
        <v>0</v>
      </c>
      <c r="O254">
        <v>-1.1085090000000001E-2</v>
      </c>
      <c r="P254">
        <v>0.99890939999999995</v>
      </c>
      <c r="Q254">
        <v>6.7215189999999996E-3</v>
      </c>
      <c r="R254">
        <v>-4.6208470000000001E-2</v>
      </c>
      <c r="S254">
        <v>2.9977109999999998</v>
      </c>
      <c r="T254">
        <v>-0.66724969999999995</v>
      </c>
      <c r="U254">
        <v>-0.23049929999999999</v>
      </c>
      <c r="V254">
        <v>3.5144340000000003E-2</v>
      </c>
      <c r="W254">
        <v>2.1637960000000001E-2</v>
      </c>
      <c r="X254">
        <v>0.99914800000000004</v>
      </c>
      <c r="Y254">
        <v>6.4312289999999994E-2</v>
      </c>
      <c r="Z254">
        <v>-4.6268689999999996E-3</v>
      </c>
      <c r="AA254">
        <v>0.99791909999999895</v>
      </c>
      <c r="AB254">
        <v>28</v>
      </c>
      <c r="AC254">
        <v>0.51859999999999196</v>
      </c>
      <c r="AD254">
        <v>-0.17824599999999899</v>
      </c>
      <c r="AE254">
        <v>-5.86000000000126E-2</v>
      </c>
      <c r="AF254">
        <v>4.73266350716696E-2</v>
      </c>
      <c r="AG254">
        <v>-0.17824599999999899</v>
      </c>
      <c r="AH254">
        <v>0.46498035781251401</v>
      </c>
      <c r="AI254">
        <v>110.87538025633999</v>
      </c>
      <c r="AJ254">
        <v>84.188334099242994</v>
      </c>
      <c r="AK254">
        <v>0.50021813247288505</v>
      </c>
      <c r="AL254">
        <v>88.760139483315498</v>
      </c>
      <c r="AM254">
        <v>87.985491106050304</v>
      </c>
      <c r="AN254">
        <v>1.00000002592549</v>
      </c>
    </row>
    <row r="255" spans="1:40" x14ac:dyDescent="0.25">
      <c r="A255" t="str">
        <f>"20190312154218123"</f>
        <v>20190312154218123</v>
      </c>
      <c r="B255" t="str">
        <f>"1552376538117388"</f>
        <v>1552376538117388</v>
      </c>
      <c r="C255" t="s">
        <v>40</v>
      </c>
      <c r="D255">
        <v>4.9686680000000001</v>
      </c>
      <c r="E255">
        <v>0.51523909999999995</v>
      </c>
      <c r="F255" t="s">
        <v>41</v>
      </c>
      <c r="G255">
        <v>-418.64859999999999</v>
      </c>
      <c r="H255">
        <v>0.85890219999999995</v>
      </c>
      <c r="I255">
        <v>368.05869999999999</v>
      </c>
      <c r="J255">
        <v>-419.12889999999999</v>
      </c>
      <c r="K255">
        <v>1.060362</v>
      </c>
      <c r="L255">
        <v>368.11079999999998</v>
      </c>
      <c r="M255">
        <v>0.99982300000000002</v>
      </c>
      <c r="N255">
        <v>0</v>
      </c>
      <c r="O255">
        <v>-1.138027E-2</v>
      </c>
      <c r="P255">
        <v>0.99890420000000002</v>
      </c>
      <c r="Q255">
        <v>6.3093860000000002E-3</v>
      </c>
      <c r="R255">
        <v>-4.6375230000000003E-2</v>
      </c>
      <c r="S255">
        <v>2.9985659999999998</v>
      </c>
      <c r="T255">
        <v>-0.79378389999999999</v>
      </c>
      <c r="U255">
        <v>-0.21713260000000001</v>
      </c>
      <c r="V255">
        <v>3.5015690000000002E-2</v>
      </c>
      <c r="W255">
        <v>2.1263250000000001E-2</v>
      </c>
      <c r="X255">
        <v>0.99916050000000001</v>
      </c>
      <c r="Y255">
        <v>5.9227259999999997E-2</v>
      </c>
      <c r="Z255">
        <v>-4.7391539999999998E-3</v>
      </c>
      <c r="AA255">
        <v>0.99823329999999999</v>
      </c>
      <c r="AB255">
        <v>28</v>
      </c>
      <c r="AC255">
        <v>0.48029999999999901</v>
      </c>
      <c r="AD255">
        <v>-0.20145979999999999</v>
      </c>
      <c r="AE255">
        <v>-5.2099999999995802E-2</v>
      </c>
      <c r="AF255">
        <v>3.9722734558484997E-2</v>
      </c>
      <c r="AG255">
        <v>-0.20145979999999999</v>
      </c>
      <c r="AH255">
        <v>0.40963157725620603</v>
      </c>
      <c r="AI255">
        <v>116.082261982909</v>
      </c>
      <c r="AJ255">
        <v>84.4612398836057</v>
      </c>
      <c r="AK255">
        <v>0.45821607975086498</v>
      </c>
      <c r="AL255">
        <v>88.781613650663104</v>
      </c>
      <c r="AM255">
        <v>87.992884500447005</v>
      </c>
      <c r="AN255">
        <v>0.99999996455349305</v>
      </c>
    </row>
    <row r="256" spans="1:40" x14ac:dyDescent="0.25">
      <c r="A256" t="str">
        <f>"20190312154218145"</f>
        <v>20190312154218145</v>
      </c>
      <c r="B256" t="str">
        <f>"1552376538137884"</f>
        <v>1552376538137884</v>
      </c>
      <c r="C256" t="s">
        <v>40</v>
      </c>
      <c r="D256">
        <v>4.9588190000000001</v>
      </c>
      <c r="E256">
        <v>0.51540569999999997</v>
      </c>
      <c r="F256" t="s">
        <v>41</v>
      </c>
      <c r="G256">
        <v>-418.39400000000001</v>
      </c>
      <c r="H256">
        <v>0.86414669999999905</v>
      </c>
      <c r="I256">
        <v>368.05459999999999</v>
      </c>
      <c r="J256">
        <v>-418.84339999999997</v>
      </c>
      <c r="K256">
        <v>1.060368</v>
      </c>
      <c r="L256">
        <v>368.10730000000001</v>
      </c>
      <c r="M256">
        <v>0.99981909999999896</v>
      </c>
      <c r="N256">
        <v>0</v>
      </c>
      <c r="O256">
        <v>-1.1680650000000001E-2</v>
      </c>
      <c r="P256">
        <v>0.99889760000000005</v>
      </c>
      <c r="Q256">
        <v>5.8282389999999998E-3</v>
      </c>
      <c r="R256">
        <v>-4.6582739999999997E-2</v>
      </c>
      <c r="S256">
        <v>2.9977109999999998</v>
      </c>
      <c r="T256">
        <v>-0.80036379999999996</v>
      </c>
      <c r="U256">
        <v>-0.22817989999999999</v>
      </c>
      <c r="V256">
        <v>3.4922799999999997E-2</v>
      </c>
      <c r="W256">
        <v>2.0813700000000001E-2</v>
      </c>
      <c r="X256">
        <v>0.99917319999999998</v>
      </c>
      <c r="Y256">
        <v>6.2476249999999997E-2</v>
      </c>
      <c r="Z256">
        <v>-5.1248049999999996E-3</v>
      </c>
      <c r="AA256">
        <v>0.99803330000000001</v>
      </c>
      <c r="AB256">
        <v>28</v>
      </c>
      <c r="AC256">
        <v>0.44939999999996799</v>
      </c>
      <c r="AD256">
        <v>-0.19622129999999999</v>
      </c>
      <c r="AE256">
        <v>-5.27000000000157E-2</v>
      </c>
      <c r="AF256">
        <v>3.9936165079586701E-2</v>
      </c>
      <c r="AG256">
        <v>-0.19622129999999999</v>
      </c>
      <c r="AH256">
        <v>0.378756356850591</v>
      </c>
      <c r="AI256">
        <v>117.258034982166</v>
      </c>
      <c r="AJ256">
        <v>83.980958774781399</v>
      </c>
      <c r="AK256">
        <v>0.42843211096938799</v>
      </c>
      <c r="AL256">
        <v>88.807376651741805</v>
      </c>
      <c r="AM256">
        <v>87.998230083600504</v>
      </c>
      <c r="AN256">
        <v>0.99999994783288304</v>
      </c>
    </row>
    <row r="257" spans="1:40" x14ac:dyDescent="0.25">
      <c r="A257" t="str">
        <f>"20190312154218167"</f>
        <v>20190312154218167</v>
      </c>
      <c r="B257" t="str">
        <f>"1552376538157403"</f>
        <v>1552376538157403</v>
      </c>
      <c r="C257" t="s">
        <v>40</v>
      </c>
      <c r="D257">
        <v>4.999644</v>
      </c>
      <c r="E257">
        <v>0.51556550000000001</v>
      </c>
      <c r="F257" t="s">
        <v>41</v>
      </c>
      <c r="G257">
        <v>-418.1388</v>
      </c>
      <c r="H257">
        <v>0.87136919999999995</v>
      </c>
      <c r="I257">
        <v>368.05309999999997</v>
      </c>
      <c r="J257">
        <v>-418.56349999999998</v>
      </c>
      <c r="K257">
        <v>1.0603720000000001</v>
      </c>
      <c r="L257">
        <v>368.10359999999997</v>
      </c>
      <c r="M257">
        <v>0.99981520000000002</v>
      </c>
      <c r="N257">
        <v>0</v>
      </c>
      <c r="O257">
        <v>-1.197514E-2</v>
      </c>
      <c r="P257">
        <v>0.99889410000000001</v>
      </c>
      <c r="Q257">
        <v>6.1417429999999999E-3</v>
      </c>
      <c r="R257">
        <v>-4.66144E-2</v>
      </c>
      <c r="S257">
        <v>2.9973139999999998</v>
      </c>
      <c r="T257">
        <v>-0.80409649999999999</v>
      </c>
      <c r="U257">
        <v>-0.23019410000000001</v>
      </c>
      <c r="V257">
        <v>3.4660160000000002E-2</v>
      </c>
      <c r="W257">
        <v>2.1153600000000002E-2</v>
      </c>
      <c r="X257">
        <v>0.99917529999999999</v>
      </c>
      <c r="Y257">
        <v>6.284004E-2</v>
      </c>
      <c r="Z257">
        <v>-5.1187999999999997E-3</v>
      </c>
      <c r="AA257">
        <v>0.99801050000000002</v>
      </c>
      <c r="AB257">
        <v>28</v>
      </c>
      <c r="AC257">
        <v>0.42469999999997199</v>
      </c>
      <c r="AD257">
        <v>-0.189002799999999</v>
      </c>
      <c r="AE257">
        <v>-5.0499999999999497E-2</v>
      </c>
      <c r="AF257">
        <v>3.7990826819411301E-2</v>
      </c>
      <c r="AG257">
        <v>-0.189002799999999</v>
      </c>
      <c r="AH257">
        <v>0.35579251708791099</v>
      </c>
      <c r="AI257">
        <v>117.84362571299999</v>
      </c>
      <c r="AJ257">
        <v>83.905162613015904</v>
      </c>
      <c r="AK257">
        <v>0.40466489413589302</v>
      </c>
      <c r="AL257">
        <v>88.787897638952302</v>
      </c>
      <c r="AM257">
        <v>88.013276633239997</v>
      </c>
      <c r="AN257">
        <v>1.0000000408071299</v>
      </c>
    </row>
    <row r="258" spans="1:40" x14ac:dyDescent="0.25">
      <c r="A258" t="str">
        <f>"20190312154218190"</f>
        <v>20190312154218190</v>
      </c>
      <c r="B258" t="str">
        <f>"1552376538177900"</f>
        <v>1552376538177900</v>
      </c>
      <c r="C258" t="s">
        <v>40</v>
      </c>
      <c r="D258">
        <v>5.0268280000000001</v>
      </c>
      <c r="E258">
        <v>0.5463498</v>
      </c>
      <c r="F258" t="s">
        <v>41</v>
      </c>
      <c r="G258">
        <v>-417.88420000000002</v>
      </c>
      <c r="H258">
        <v>0.87825929999999997</v>
      </c>
      <c r="I258">
        <v>368.05059999999997</v>
      </c>
      <c r="J258">
        <v>-418.28269999999998</v>
      </c>
      <c r="K258">
        <v>1.060378</v>
      </c>
      <c r="L258">
        <v>368.09989999999999</v>
      </c>
      <c r="M258">
        <v>0.99981120000000001</v>
      </c>
      <c r="N258">
        <v>0</v>
      </c>
      <c r="O258">
        <v>-1.227103E-2</v>
      </c>
      <c r="P258">
        <v>0.99889899999999998</v>
      </c>
      <c r="Q258">
        <v>6.0441480000000001E-3</v>
      </c>
      <c r="R258">
        <v>-4.6523139999999998E-2</v>
      </c>
      <c r="S258">
        <v>2.9974370000000001</v>
      </c>
      <c r="T258">
        <v>-0.80362959999999894</v>
      </c>
      <c r="U258">
        <v>-0.23184199999999999</v>
      </c>
      <c r="V258">
        <v>3.4272919999999998E-2</v>
      </c>
      <c r="W258">
        <v>2.1077329999999998E-2</v>
      </c>
      <c r="X258">
        <v>0.99919020000000003</v>
      </c>
      <c r="Y258">
        <v>6.3090939999999998E-2</v>
      </c>
      <c r="Z258">
        <v>-5.0708020000000001E-3</v>
      </c>
      <c r="AA258">
        <v>0.99799490000000002</v>
      </c>
      <c r="AB258">
        <v>28</v>
      </c>
      <c r="AC258">
        <v>0.398499999999955</v>
      </c>
      <c r="AD258">
        <v>-0.18211869999999999</v>
      </c>
      <c r="AE258">
        <v>-4.9300000000016497E-2</v>
      </c>
      <c r="AF258">
        <v>3.6829518690569898E-2</v>
      </c>
      <c r="AG258">
        <v>-0.18211869999999999</v>
      </c>
      <c r="AH258">
        <v>0.330987509536532</v>
      </c>
      <c r="AI258">
        <v>118.67219083443899</v>
      </c>
      <c r="AJ258">
        <v>83.650723690438298</v>
      </c>
      <c r="AK258">
        <v>0.37957392666760598</v>
      </c>
      <c r="AL258">
        <v>88.792268478481901</v>
      </c>
      <c r="AM258">
        <v>88.035485044949993</v>
      </c>
      <c r="AN258">
        <v>0.999999971330647</v>
      </c>
    </row>
    <row r="259" spans="1:40" x14ac:dyDescent="0.25">
      <c r="A259" t="str">
        <f>"20190312154218213"</f>
        <v>20190312154218213</v>
      </c>
      <c r="B259" t="str">
        <f>"1552376538197420"</f>
        <v>1552376538197420</v>
      </c>
      <c r="C259" t="s">
        <v>40</v>
      </c>
      <c r="D259">
        <v>4.9870109999999999</v>
      </c>
      <c r="E259">
        <v>0.54932829999999999</v>
      </c>
      <c r="F259" t="s">
        <v>41</v>
      </c>
      <c r="G259">
        <v>-417.416</v>
      </c>
      <c r="H259">
        <v>0.80207030000000001</v>
      </c>
      <c r="I259">
        <v>367.9622</v>
      </c>
      <c r="J259">
        <v>-418.00240000000002</v>
      </c>
      <c r="K259">
        <v>1.060381</v>
      </c>
      <c r="L259">
        <v>368.09620000000001</v>
      </c>
      <c r="M259">
        <v>0.99980740000000001</v>
      </c>
      <c r="N259">
        <v>0</v>
      </c>
      <c r="O259">
        <v>-1.2566519999999999E-2</v>
      </c>
      <c r="P259">
        <v>0.99890480000000004</v>
      </c>
      <c r="Q259">
        <v>5.5154210000000004E-3</v>
      </c>
      <c r="R259">
        <v>-4.6465970000000002E-2</v>
      </c>
      <c r="S259">
        <v>2.9866640000000002</v>
      </c>
      <c r="T259">
        <v>-0.89017679999999999</v>
      </c>
      <c r="U259">
        <v>-0.47332760000000001</v>
      </c>
      <c r="V259">
        <v>3.3920180000000001E-2</v>
      </c>
      <c r="W259">
        <v>2.0565320000000002E-2</v>
      </c>
      <c r="X259">
        <v>0.99921289999999996</v>
      </c>
      <c r="Y259">
        <v>0.1387504</v>
      </c>
      <c r="Z259">
        <v>-1.6475730000000001E-2</v>
      </c>
      <c r="AA259">
        <v>0.99019029999999997</v>
      </c>
      <c r="AB259">
        <v>28</v>
      </c>
      <c r="AC259">
        <v>0.58640000000002601</v>
      </c>
      <c r="AD259">
        <v>-0.2583107</v>
      </c>
      <c r="AE259">
        <v>-0.134000000000014</v>
      </c>
      <c r="AF259">
        <v>0.106904933430194</v>
      </c>
      <c r="AG259">
        <v>-0.2583107</v>
      </c>
      <c r="AH259">
        <v>0.49648044109063399</v>
      </c>
      <c r="AI259">
        <v>116.959075989629</v>
      </c>
      <c r="AJ259">
        <v>77.848291469400294</v>
      </c>
      <c r="AK259">
        <v>0.56977707124081001</v>
      </c>
      <c r="AL259">
        <v>88.821610845614501</v>
      </c>
      <c r="AM259">
        <v>88.055732548472406</v>
      </c>
      <c r="AN259">
        <v>0.99999996526217105</v>
      </c>
    </row>
    <row r="260" spans="1:40" x14ac:dyDescent="0.25">
      <c r="A260" t="str">
        <f>"20190312154218234"</f>
        <v>20190312154218234</v>
      </c>
      <c r="B260" t="str">
        <f>"1552376538227676"</f>
        <v>1552376538227676</v>
      </c>
      <c r="C260" t="s">
        <v>40</v>
      </c>
      <c r="D260">
        <v>5.0003029999999997</v>
      </c>
      <c r="E260">
        <v>0.55145350000000004</v>
      </c>
      <c r="F260" t="s">
        <v>41</v>
      </c>
      <c r="G260">
        <v>-417.16329999999999</v>
      </c>
      <c r="H260">
        <v>0.80841759999999996</v>
      </c>
      <c r="I260">
        <v>367.9563</v>
      </c>
      <c r="J260">
        <v>-417.72340000000003</v>
      </c>
      <c r="K260">
        <v>1.0603849999999999</v>
      </c>
      <c r="L260">
        <v>368.09230000000002</v>
      </c>
      <c r="M260">
        <v>0.99980349999999996</v>
      </c>
      <c r="N260">
        <v>0</v>
      </c>
      <c r="O260">
        <v>-1.286006E-2</v>
      </c>
      <c r="P260">
        <v>0.99892020000000004</v>
      </c>
      <c r="Q260">
        <v>5.1481610000000001E-3</v>
      </c>
      <c r="R260">
        <v>-4.6176139999999997E-2</v>
      </c>
      <c r="S260">
        <v>2.9851070000000002</v>
      </c>
      <c r="T260">
        <v>-0.89634799999999903</v>
      </c>
      <c r="U260">
        <v>-0.49685669999999998</v>
      </c>
      <c r="V260">
        <v>3.3336419999999999E-2</v>
      </c>
      <c r="W260">
        <v>2.0209189999999998E-2</v>
      </c>
      <c r="X260">
        <v>0.99923989999999996</v>
      </c>
      <c r="Y260">
        <v>0.14578079999999999</v>
      </c>
      <c r="Z260">
        <v>-1.7524149999999999E-2</v>
      </c>
      <c r="AA260">
        <v>0.98916170000000003</v>
      </c>
      <c r="AB260">
        <v>28</v>
      </c>
      <c r="AC260">
        <v>0.56010000000003302</v>
      </c>
      <c r="AD260">
        <v>-0.25196740000000001</v>
      </c>
      <c r="AE260">
        <v>-0.13600000000002399</v>
      </c>
      <c r="AF260">
        <v>0.10812203760208999</v>
      </c>
      <c r="AG260">
        <v>-0.25196740000000001</v>
      </c>
      <c r="AH260">
        <v>0.471664108800259</v>
      </c>
      <c r="AI260">
        <v>117.506145780335</v>
      </c>
      <c r="AJ260">
        <v>77.088858185456402</v>
      </c>
      <c r="AK260">
        <v>0.54556848993351004</v>
      </c>
      <c r="AL260">
        <v>88.842019935846906</v>
      </c>
      <c r="AM260">
        <v>88.089219601565802</v>
      </c>
      <c r="AN260">
        <v>1.00000005300543</v>
      </c>
    </row>
    <row r="261" spans="1:40" x14ac:dyDescent="0.25">
      <c r="A261" t="str">
        <f>"20190312154218256"</f>
        <v>20190312154218256</v>
      </c>
      <c r="B261" t="str">
        <f>"1552376538247196"</f>
        <v>1552376538247196</v>
      </c>
      <c r="C261" t="s">
        <v>40</v>
      </c>
      <c r="D261">
        <v>4.9747019999999997</v>
      </c>
      <c r="E261">
        <v>0.55239469999999902</v>
      </c>
      <c r="F261" t="s">
        <v>41</v>
      </c>
      <c r="G261">
        <v>-416.91090000000003</v>
      </c>
      <c r="H261">
        <v>0.81507229999999997</v>
      </c>
      <c r="I261">
        <v>367.95190000000002</v>
      </c>
      <c r="J261">
        <v>-417.4427</v>
      </c>
      <c r="K261">
        <v>1.060387</v>
      </c>
      <c r="L261">
        <v>368.08839999999998</v>
      </c>
      <c r="M261">
        <v>0.99979969999999996</v>
      </c>
      <c r="N261">
        <v>0</v>
      </c>
      <c r="O261">
        <v>-1.315259E-2</v>
      </c>
      <c r="P261">
        <v>0.99890290000000004</v>
      </c>
      <c r="Q261">
        <v>4.777094E-3</v>
      </c>
      <c r="R261">
        <v>-4.658694E-2</v>
      </c>
      <c r="S261">
        <v>2.9841310000000001</v>
      </c>
      <c r="T261">
        <v>-0.90087280000000003</v>
      </c>
      <c r="U261">
        <v>-0.51306149999999995</v>
      </c>
      <c r="V261">
        <v>3.3454919999999999E-2</v>
      </c>
      <c r="W261">
        <v>1.9844489999999999E-2</v>
      </c>
      <c r="X261">
        <v>0.9992432</v>
      </c>
      <c r="Y261">
        <v>0.15051789999999901</v>
      </c>
      <c r="Z261">
        <v>-1.8215889999999998E-2</v>
      </c>
      <c r="AA261">
        <v>0.98843939999999997</v>
      </c>
      <c r="AB261">
        <v>28</v>
      </c>
      <c r="AC261">
        <v>0.53179999999997496</v>
      </c>
      <c r="AD261">
        <v>-0.2453147</v>
      </c>
      <c r="AE261">
        <v>-0.13649999999995499</v>
      </c>
      <c r="AF261">
        <v>0.107943350185967</v>
      </c>
      <c r="AG261">
        <v>-0.2453147</v>
      </c>
      <c r="AH261">
        <v>0.44475910699426702</v>
      </c>
      <c r="AI261">
        <v>118.191622292169</v>
      </c>
      <c r="AJ261">
        <v>76.358045027266698</v>
      </c>
      <c r="AK261">
        <v>0.51927038442395101</v>
      </c>
      <c r="AL261">
        <v>88.862919841666795</v>
      </c>
      <c r="AM261">
        <v>88.082438796088496</v>
      </c>
      <c r="AN261">
        <v>1.0000000041009001</v>
      </c>
    </row>
    <row r="262" spans="1:40" x14ac:dyDescent="0.25">
      <c r="A262" t="str">
        <f>"20190312154218278"</f>
        <v>20190312154218278</v>
      </c>
      <c r="B262" t="str">
        <f>"1552376538267692"</f>
        <v>1552376538267692</v>
      </c>
      <c r="C262" t="s">
        <v>40</v>
      </c>
      <c r="D262">
        <v>4.9863730000000004</v>
      </c>
      <c r="E262">
        <v>0.55311399999999999</v>
      </c>
      <c r="F262" t="s">
        <v>41</v>
      </c>
      <c r="G262">
        <v>-416.65870000000001</v>
      </c>
      <c r="H262">
        <v>0.82262739999999901</v>
      </c>
      <c r="I262">
        <v>367.9513</v>
      </c>
      <c r="J262">
        <v>-417.17930000000001</v>
      </c>
      <c r="K262">
        <v>1.060395</v>
      </c>
      <c r="L262">
        <v>368.0847</v>
      </c>
      <c r="M262">
        <v>0.99979600000000002</v>
      </c>
      <c r="N262">
        <v>0</v>
      </c>
      <c r="O262">
        <v>-1.3422760000000001E-2</v>
      </c>
      <c r="P262">
        <v>0.99890100000000004</v>
      </c>
      <c r="Q262">
        <v>4.6203579999999998E-3</v>
      </c>
      <c r="R262">
        <v>-4.664335E-2</v>
      </c>
      <c r="S262">
        <v>2.9833069999999999</v>
      </c>
      <c r="T262">
        <v>-0.90460399999999996</v>
      </c>
      <c r="U262">
        <v>-0.52130129999999997</v>
      </c>
      <c r="V262">
        <v>3.3240840000000001E-2</v>
      </c>
      <c r="W262">
        <v>1.9687639999999999E-2</v>
      </c>
      <c r="X262">
        <v>0.99925350000000002</v>
      </c>
      <c r="Y262">
        <v>0.15281029999999901</v>
      </c>
      <c r="Z262">
        <v>-1.854693E-2</v>
      </c>
      <c r="AA262">
        <v>0.98808149999999995</v>
      </c>
      <c r="AB262">
        <v>28</v>
      </c>
      <c r="AC262">
        <v>0.52060000000000095</v>
      </c>
      <c r="AD262">
        <v>-0.2377676</v>
      </c>
      <c r="AE262">
        <v>-0.133399999999994</v>
      </c>
      <c r="AF262">
        <v>0.105708063782298</v>
      </c>
      <c r="AG262">
        <v>-0.2377676</v>
      </c>
      <c r="AH262">
        <v>0.43683757382007998</v>
      </c>
      <c r="AI262">
        <v>117.87992888814701</v>
      </c>
      <c r="AJ262">
        <v>76.396786808248095</v>
      </c>
      <c r="AK262">
        <v>0.50846306872709701</v>
      </c>
      <c r="AL262">
        <v>88.871908500350401</v>
      </c>
      <c r="AM262">
        <v>88.094719934681194</v>
      </c>
      <c r="AN262">
        <v>1.0000000569374601</v>
      </c>
    </row>
    <row r="263" spans="1:40" x14ac:dyDescent="0.25">
      <c r="A263" t="str">
        <f>"20190312154218300"</f>
        <v>20190312154218300</v>
      </c>
      <c r="B263" t="str">
        <f>"1552376538287215"</f>
        <v>1552376538287215</v>
      </c>
      <c r="C263" t="s">
        <v>40</v>
      </c>
      <c r="D263">
        <v>4.9989179999999998</v>
      </c>
      <c r="E263">
        <v>0.5536411</v>
      </c>
      <c r="F263" t="s">
        <v>41</v>
      </c>
      <c r="G263">
        <v>-416.4085</v>
      </c>
      <c r="H263">
        <v>0.82642969999999905</v>
      </c>
      <c r="I263">
        <v>367.94810000000001</v>
      </c>
      <c r="J263">
        <v>-416.90300000000002</v>
      </c>
      <c r="K263">
        <v>1.060397</v>
      </c>
      <c r="L263">
        <v>368.0806</v>
      </c>
      <c r="M263">
        <v>0.99979240000000003</v>
      </c>
      <c r="N263">
        <v>0</v>
      </c>
      <c r="O263">
        <v>-1.3698190000000001E-2</v>
      </c>
      <c r="P263">
        <v>0.99887230000000005</v>
      </c>
      <c r="Q263">
        <v>4.6218819999999999E-3</v>
      </c>
      <c r="R263">
        <v>-4.7252089999999997E-2</v>
      </c>
      <c r="S263">
        <v>2.9828489999999999</v>
      </c>
      <c r="T263">
        <v>-0.90540750000000003</v>
      </c>
      <c r="U263">
        <v>-0.52694700000000005</v>
      </c>
      <c r="V263">
        <v>3.3574359999999998E-2</v>
      </c>
      <c r="W263">
        <v>1.9683349999999999E-2</v>
      </c>
      <c r="X263">
        <v>0.99924239999999998</v>
      </c>
      <c r="Y263">
        <v>0.15431439999999999</v>
      </c>
      <c r="Z263">
        <v>-1.87031E-2</v>
      </c>
      <c r="AA263">
        <v>0.98784479999999997</v>
      </c>
      <c r="AB263">
        <v>28</v>
      </c>
      <c r="AC263">
        <v>0.49450000000001598</v>
      </c>
      <c r="AD263">
        <v>-0.23396729999999999</v>
      </c>
      <c r="AE263">
        <v>-0.13249999999999301</v>
      </c>
      <c r="AF263">
        <v>0.10399262076148499</v>
      </c>
      <c r="AG263">
        <v>-0.23396729999999999</v>
      </c>
      <c r="AH263">
        <v>0.41052459029168498</v>
      </c>
      <c r="AI263">
        <v>118.919441898242</v>
      </c>
      <c r="AJ263">
        <v>75.785056990078701</v>
      </c>
      <c r="AK263">
        <v>0.48382393685749803</v>
      </c>
      <c r="AL263">
        <v>88.872154308518105</v>
      </c>
      <c r="AM263">
        <v>88.075596361197498</v>
      </c>
      <c r="AN263">
        <v>1.0000000229371899</v>
      </c>
    </row>
    <row r="264" spans="1:40" x14ac:dyDescent="0.25">
      <c r="A264" t="str">
        <f>"20190312154218323"</f>
        <v>20190312154218323</v>
      </c>
      <c r="B264" t="str">
        <f>"1552376538317469"</f>
        <v>1552376538317469</v>
      </c>
      <c r="C264" t="s">
        <v>40</v>
      </c>
      <c r="D264">
        <v>5.0080629999999999</v>
      </c>
      <c r="E264">
        <v>0.55424580000000001</v>
      </c>
      <c r="F264" t="s">
        <v>41</v>
      </c>
      <c r="G264">
        <v>-416.15719999999999</v>
      </c>
      <c r="H264">
        <v>0.83386209999999905</v>
      </c>
      <c r="I264">
        <v>367.94720000000001</v>
      </c>
      <c r="J264">
        <v>-416.62099999999998</v>
      </c>
      <c r="K264">
        <v>1.06040499999999</v>
      </c>
      <c r="L264">
        <v>368.07650000000001</v>
      </c>
      <c r="M264">
        <v>0.99978880000000003</v>
      </c>
      <c r="N264">
        <v>0</v>
      </c>
      <c r="O264">
        <v>-1.3965780000000001E-2</v>
      </c>
      <c r="P264">
        <v>0.99883759999999999</v>
      </c>
      <c r="Q264">
        <v>4.5671590000000003E-3</v>
      </c>
      <c r="R264">
        <v>-4.7987710000000003E-2</v>
      </c>
      <c r="S264">
        <v>2.982361</v>
      </c>
      <c r="T264">
        <v>-0.90589330000000001</v>
      </c>
      <c r="U264">
        <v>-0.53280640000000001</v>
      </c>
      <c r="V264">
        <v>3.404215E-2</v>
      </c>
      <c r="W264">
        <v>1.9619459999999998E-2</v>
      </c>
      <c r="X264">
        <v>0.9992278</v>
      </c>
      <c r="Y264">
        <v>0.15589600000000001</v>
      </c>
      <c r="Z264">
        <v>-1.8866930000000001E-2</v>
      </c>
      <c r="AA264">
        <v>0.98759330000000001</v>
      </c>
      <c r="AB264">
        <v>28</v>
      </c>
      <c r="AC264">
        <v>0.463799999999992</v>
      </c>
      <c r="AD264">
        <v>-0.22654289999999899</v>
      </c>
      <c r="AE264">
        <v>-0.1293</v>
      </c>
      <c r="AF264">
        <v>0.10054985625895101</v>
      </c>
      <c r="AG264">
        <v>-0.22654289999999899</v>
      </c>
      <c r="AH264">
        <v>0.38117680746042398</v>
      </c>
      <c r="AI264">
        <v>119.884575900532</v>
      </c>
      <c r="AJ264">
        <v>75.222679872944695</v>
      </c>
      <c r="AK264">
        <v>0.45467319877009199</v>
      </c>
      <c r="AL264">
        <v>88.875815609991804</v>
      </c>
      <c r="AM264">
        <v>88.048775830371895</v>
      </c>
      <c r="AN264">
        <v>0.99999999374007698</v>
      </c>
    </row>
    <row r="265" spans="1:40" x14ac:dyDescent="0.25">
      <c r="A265" t="str">
        <f>"20190312154218347"</f>
        <v>20190312154218347</v>
      </c>
      <c r="B265" t="str">
        <f>"1552376538337964"</f>
        <v>1552376538337964</v>
      </c>
      <c r="C265" t="s">
        <v>40</v>
      </c>
      <c r="D265">
        <v>5.0171530000000004</v>
      </c>
      <c r="E265">
        <v>0.55448489999999995</v>
      </c>
      <c r="F265" t="s">
        <v>41</v>
      </c>
      <c r="G265">
        <v>-415.9058</v>
      </c>
      <c r="H265">
        <v>0.84286700000000003</v>
      </c>
      <c r="I265">
        <v>367.94659999999999</v>
      </c>
      <c r="J265">
        <v>-416.33240000000001</v>
      </c>
      <c r="K265">
        <v>1.060422</v>
      </c>
      <c r="L265">
        <v>368.07220000000001</v>
      </c>
      <c r="M265">
        <v>0.99978540000000005</v>
      </c>
      <c r="N265">
        <v>0</v>
      </c>
      <c r="O265">
        <v>-1.4220129999999999E-2</v>
      </c>
      <c r="P265">
        <v>0.99879180000000001</v>
      </c>
      <c r="Q265">
        <v>4.2645340000000004E-3</v>
      </c>
      <c r="R265">
        <v>-4.8957849999999997E-2</v>
      </c>
      <c r="S265">
        <v>2.9817200000000001</v>
      </c>
      <c r="T265">
        <v>-0.90665050000000003</v>
      </c>
      <c r="U265">
        <v>-0.53994750000000002</v>
      </c>
      <c r="V265">
        <v>3.4757959999999997E-2</v>
      </c>
      <c r="W265">
        <v>1.9303379999999998E-2</v>
      </c>
      <c r="X265">
        <v>0.99920929999999997</v>
      </c>
      <c r="Y265">
        <v>0.157887</v>
      </c>
      <c r="Z265">
        <v>-1.910092E-2</v>
      </c>
      <c r="AA265">
        <v>0.98727240000000005</v>
      </c>
      <c r="AB265">
        <v>28</v>
      </c>
      <c r="AC265">
        <v>0.42660000000000697</v>
      </c>
      <c r="AD265">
        <v>-0.217554999999999</v>
      </c>
      <c r="AE265">
        <v>-0.125600000000019</v>
      </c>
      <c r="AF265">
        <v>9.6439614335287305E-2</v>
      </c>
      <c r="AG265">
        <v>-0.217554999999999</v>
      </c>
      <c r="AH265">
        <v>0.34562533309672899</v>
      </c>
      <c r="AI265">
        <v>121.228157405235</v>
      </c>
      <c r="AJ265">
        <v>74.409337159120298</v>
      </c>
      <c r="AK265">
        <v>0.41962798776578702</v>
      </c>
      <c r="AL265">
        <v>88.893929076319395</v>
      </c>
      <c r="AM265">
        <v>88.007742978227199</v>
      </c>
      <c r="AN265">
        <v>0.99999998073463703</v>
      </c>
    </row>
    <row r="266" spans="1:40" x14ac:dyDescent="0.25">
      <c r="A266" t="str">
        <f>"20190312154218368"</f>
        <v>20190312154218368</v>
      </c>
      <c r="B266" t="str">
        <f>"1552376538357995"</f>
        <v>1552376538357995</v>
      </c>
      <c r="C266" t="s">
        <v>40</v>
      </c>
      <c r="D266">
        <v>5.0353159999999999</v>
      </c>
      <c r="E266">
        <v>0.55464380000000002</v>
      </c>
      <c r="F266" t="s">
        <v>41</v>
      </c>
      <c r="G266">
        <v>-415.65390000000002</v>
      </c>
      <c r="H266">
        <v>0.85385429999999995</v>
      </c>
      <c r="I266">
        <v>367.94810000000001</v>
      </c>
      <c r="J266">
        <v>-416.0634</v>
      </c>
      <c r="K266">
        <v>1.0604340000000001</v>
      </c>
      <c r="L266">
        <v>368.06810000000002</v>
      </c>
      <c r="M266">
        <v>0.99978290000000003</v>
      </c>
      <c r="N266">
        <v>0</v>
      </c>
      <c r="O266">
        <v>-1.4433130000000001E-2</v>
      </c>
      <c r="P266">
        <v>0.99877459999999996</v>
      </c>
      <c r="Q266">
        <v>4.2864490000000003E-3</v>
      </c>
      <c r="R266">
        <v>-4.9306780000000001E-2</v>
      </c>
      <c r="S266">
        <v>2.9807739999999998</v>
      </c>
      <c r="T266">
        <v>-0.90746009999999999</v>
      </c>
      <c r="U266">
        <v>-0.54470830000000003</v>
      </c>
      <c r="V266">
        <v>3.4893300000000002E-2</v>
      </c>
      <c r="W266">
        <v>1.9305289999999999E-2</v>
      </c>
      <c r="X266">
        <v>0.9992046</v>
      </c>
      <c r="Y266">
        <v>0.15919730000000001</v>
      </c>
      <c r="Z266">
        <v>-1.92511E-2</v>
      </c>
      <c r="AA266">
        <v>0.98705909999999997</v>
      </c>
      <c r="AB266">
        <v>28</v>
      </c>
      <c r="AC266">
        <v>0.40949999999997899</v>
      </c>
      <c r="AD266">
        <v>-0.2065797</v>
      </c>
      <c r="AE266">
        <v>-0.12000000000000401</v>
      </c>
      <c r="AF266">
        <v>9.2417292249676E-2</v>
      </c>
      <c r="AG266">
        <v>-0.2065797</v>
      </c>
      <c r="AH266">
        <v>0.333118854645231</v>
      </c>
      <c r="AI266">
        <v>120.861175024593</v>
      </c>
      <c r="AJ266">
        <v>74.494368975445994</v>
      </c>
      <c r="AK266">
        <v>0.402721118988069</v>
      </c>
      <c r="AL266">
        <v>88.893819680611699</v>
      </c>
      <c r="AM266">
        <v>87.999982446940294</v>
      </c>
      <c r="AN266">
        <v>1.0000000346340101</v>
      </c>
    </row>
    <row r="267" spans="1:40" x14ac:dyDescent="0.25">
      <c r="A267" t="str">
        <f>"20190312154218390"</f>
        <v>20190312154218390</v>
      </c>
      <c r="B267" t="str">
        <f>"1552376538377511"</f>
        <v>1552376538377511</v>
      </c>
      <c r="C267" t="s">
        <v>40</v>
      </c>
      <c r="D267">
        <v>5.0221629999999999</v>
      </c>
      <c r="E267">
        <v>0.55479149999999999</v>
      </c>
      <c r="F267" t="s">
        <v>41</v>
      </c>
      <c r="G267">
        <v>-415.18549999999999</v>
      </c>
      <c r="H267">
        <v>0.79320760000000001</v>
      </c>
      <c r="I267">
        <v>367.90679999999998</v>
      </c>
      <c r="J267">
        <v>-415.79180000000002</v>
      </c>
      <c r="K267">
        <v>1.0604559999999901</v>
      </c>
      <c r="L267">
        <v>368.06389999999999</v>
      </c>
      <c r="M267">
        <v>0.99978049999999996</v>
      </c>
      <c r="N267">
        <v>0</v>
      </c>
      <c r="O267">
        <v>-1.461877E-2</v>
      </c>
      <c r="P267">
        <v>0.99875749999999996</v>
      </c>
      <c r="Q267">
        <v>4.198907E-3</v>
      </c>
      <c r="R267">
        <v>-4.9660910000000003E-2</v>
      </c>
      <c r="S267">
        <v>2.9805600000000001</v>
      </c>
      <c r="T267">
        <v>-0.90737679999999998</v>
      </c>
      <c r="U267">
        <v>-0.54696659999999997</v>
      </c>
      <c r="V267">
        <v>3.5060880000000003E-2</v>
      </c>
      <c r="W267">
        <v>1.918657E-2</v>
      </c>
      <c r="X267">
        <v>0.99920100000000001</v>
      </c>
      <c r="Y267">
        <v>0.15973609999999999</v>
      </c>
      <c r="Z267">
        <v>-1.927427E-2</v>
      </c>
      <c r="AA267">
        <v>0.98697159999999995</v>
      </c>
      <c r="AB267">
        <v>28</v>
      </c>
      <c r="AC267">
        <v>0.60630000000003204</v>
      </c>
      <c r="AD267">
        <v>-0.267248399999999</v>
      </c>
      <c r="AE267">
        <v>-0.15710000000001401</v>
      </c>
      <c r="AF267">
        <v>0.12538942989590701</v>
      </c>
      <c r="AG267">
        <v>-0.267248399999999</v>
      </c>
      <c r="AH267">
        <v>0.51480286476573101</v>
      </c>
      <c r="AI267">
        <v>116.765550063441</v>
      </c>
      <c r="AJ267">
        <v>76.311134226188599</v>
      </c>
      <c r="AK267">
        <v>0.59343593251772697</v>
      </c>
      <c r="AL267">
        <v>88.900623072862004</v>
      </c>
      <c r="AM267">
        <v>87.9903777028196</v>
      </c>
      <c r="AN267">
        <v>1.00000001408786</v>
      </c>
    </row>
    <row r="268" spans="1:40" x14ac:dyDescent="0.25">
      <c r="A268" t="str">
        <f>"20190312154218412"</f>
        <v>20190312154218412</v>
      </c>
      <c r="B268" t="str">
        <f>"1552376538407767"</f>
        <v>1552376538407767</v>
      </c>
      <c r="C268" t="s">
        <v>40</v>
      </c>
      <c r="D268">
        <v>5.0491979999999996</v>
      </c>
      <c r="E268">
        <v>0.5550311</v>
      </c>
      <c r="F268" t="s">
        <v>41</v>
      </c>
      <c r="G268">
        <v>-414.9366</v>
      </c>
      <c r="H268">
        <v>0.80009980000000003</v>
      </c>
      <c r="I268">
        <v>367.90600000000001</v>
      </c>
      <c r="J268">
        <v>-415.5256</v>
      </c>
      <c r="K268">
        <v>1.0604640000000001</v>
      </c>
      <c r="L268">
        <v>368.0598</v>
      </c>
      <c r="M268">
        <v>0.99977890000000003</v>
      </c>
      <c r="N268">
        <v>0</v>
      </c>
      <c r="O268">
        <v>-1.4776009999999999E-2</v>
      </c>
      <c r="P268">
        <v>0.998749</v>
      </c>
      <c r="Q268">
        <v>4.0326229999999999E-3</v>
      </c>
      <c r="R268">
        <v>-4.984388E-2</v>
      </c>
      <c r="S268">
        <v>2.980194</v>
      </c>
      <c r="T268">
        <v>-0.90720339999999999</v>
      </c>
      <c r="U268">
        <v>-0.54943850000000005</v>
      </c>
      <c r="V268">
        <v>3.508584E-2</v>
      </c>
      <c r="W268">
        <v>1.8983E-2</v>
      </c>
      <c r="X268">
        <v>0.99920399999999998</v>
      </c>
      <c r="Y268">
        <v>0.1603754</v>
      </c>
      <c r="Z268">
        <v>-1.9319630000000001E-2</v>
      </c>
      <c r="AA268">
        <v>0.98686700000000005</v>
      </c>
      <c r="AB268">
        <v>28</v>
      </c>
      <c r="AC268">
        <v>0.58899999999999797</v>
      </c>
      <c r="AD268">
        <v>-0.26036419999999899</v>
      </c>
      <c r="AE268">
        <v>-0.153799999999989</v>
      </c>
      <c r="AF268">
        <v>0.122643868687744</v>
      </c>
      <c r="AG268">
        <v>-0.26036419999999899</v>
      </c>
      <c r="AH268">
        <v>0.49978298316985098</v>
      </c>
      <c r="AI268">
        <v>116.836839740667</v>
      </c>
      <c r="AJ268">
        <v>76.212391689661501</v>
      </c>
      <c r="AK268">
        <v>0.57672702852778801</v>
      </c>
      <c r="AL268">
        <v>88.912288886153306</v>
      </c>
      <c r="AM268">
        <v>87.988954250881903</v>
      </c>
      <c r="AN268">
        <v>1.0000000020367501</v>
      </c>
    </row>
    <row r="269" spans="1:40" x14ac:dyDescent="0.25">
      <c r="A269" t="str">
        <f>"20190312154218435"</f>
        <v>20190312154218435</v>
      </c>
      <c r="B269" t="str">
        <f>"1552376538427288"</f>
        <v>1552376538427288</v>
      </c>
      <c r="C269" t="s">
        <v>40</v>
      </c>
      <c r="D269">
        <v>5.0393280000000003</v>
      </c>
      <c r="E269">
        <v>0.55507109999999904</v>
      </c>
      <c r="F269" t="s">
        <v>41</v>
      </c>
      <c r="G269">
        <v>-414.68880000000001</v>
      </c>
      <c r="H269">
        <v>0.80513570000000001</v>
      </c>
      <c r="I269">
        <v>367.90460000000002</v>
      </c>
      <c r="J269">
        <v>-415.24540000000002</v>
      </c>
      <c r="K269">
        <v>1.060478</v>
      </c>
      <c r="L269">
        <v>368.05560000000003</v>
      </c>
      <c r="M269">
        <v>0.99977749999999999</v>
      </c>
      <c r="N269">
        <v>0</v>
      </c>
      <c r="O269">
        <v>-1.4912140000000001E-2</v>
      </c>
      <c r="P269">
        <v>0.99875360000000002</v>
      </c>
      <c r="Q269">
        <v>2.9858409999999999E-3</v>
      </c>
      <c r="R269">
        <v>-4.9825130000000002E-2</v>
      </c>
      <c r="S269">
        <v>2.979889</v>
      </c>
      <c r="T269">
        <v>-0.90919380000000005</v>
      </c>
      <c r="U269">
        <v>-0.5519714</v>
      </c>
      <c r="V269">
        <v>3.492965E-2</v>
      </c>
      <c r="W269">
        <v>1.7896479999999999E-2</v>
      </c>
      <c r="X269">
        <v>0.99922960000000005</v>
      </c>
      <c r="Y269">
        <v>0.16102040000000001</v>
      </c>
      <c r="Z269">
        <v>-1.94159E-2</v>
      </c>
      <c r="AA269">
        <v>0.98676010000000003</v>
      </c>
      <c r="AB269">
        <v>28</v>
      </c>
      <c r="AC269">
        <v>0.55660000000000298</v>
      </c>
      <c r="AD269">
        <v>-0.25534229999999902</v>
      </c>
      <c r="AE269">
        <v>-0.15100000000000999</v>
      </c>
      <c r="AF269">
        <v>0.11929672804528001</v>
      </c>
      <c r="AG269">
        <v>-0.25534229999999902</v>
      </c>
      <c r="AH269">
        <v>0.46720498526980903</v>
      </c>
      <c r="AI269">
        <v>117.903070437069</v>
      </c>
      <c r="AJ269">
        <v>75.676088566387705</v>
      </c>
      <c r="AK269">
        <v>0.54562981750685302</v>
      </c>
      <c r="AL269">
        <v>88.974552564819405</v>
      </c>
      <c r="AM269">
        <v>87.997950679150705</v>
      </c>
      <c r="AN269">
        <v>1.0000000789808301</v>
      </c>
    </row>
    <row r="270" spans="1:40" x14ac:dyDescent="0.25">
      <c r="A270" t="str">
        <f>"20190312154218457"</f>
        <v>20190312154218457</v>
      </c>
      <c r="B270" t="str">
        <f>"1552376538447783"</f>
        <v>1552376538447783</v>
      </c>
      <c r="C270" t="s">
        <v>40</v>
      </c>
      <c r="D270">
        <v>5.0473540000000003</v>
      </c>
      <c r="E270">
        <v>0.55512859999999997</v>
      </c>
      <c r="F270" t="s">
        <v>41</v>
      </c>
      <c r="G270">
        <v>-414.43990000000002</v>
      </c>
      <c r="H270">
        <v>0.81368149999999995</v>
      </c>
      <c r="I270">
        <v>367.90600000000001</v>
      </c>
      <c r="J270">
        <v>-414.96910000000003</v>
      </c>
      <c r="K270">
        <v>1.060495</v>
      </c>
      <c r="L270">
        <v>368.05130000000003</v>
      </c>
      <c r="M270">
        <v>0.9997762</v>
      </c>
      <c r="N270">
        <v>0</v>
      </c>
      <c r="O270">
        <v>-1.501342E-2</v>
      </c>
      <c r="P270">
        <v>0.99873270000000003</v>
      </c>
      <c r="Q270">
        <v>2.5921759999999999E-3</v>
      </c>
      <c r="R270">
        <v>-5.0261930000000003E-2</v>
      </c>
      <c r="S270">
        <v>2.978882</v>
      </c>
      <c r="T270">
        <v>-0.91283800000000004</v>
      </c>
      <c r="U270">
        <v>-0.55166630000000005</v>
      </c>
      <c r="V270">
        <v>3.5264289999999997E-2</v>
      </c>
      <c r="W270">
        <v>1.747311E-2</v>
      </c>
      <c r="X270">
        <v>0.99922529999999998</v>
      </c>
      <c r="Y270">
        <v>0.16084019999999999</v>
      </c>
      <c r="Z270">
        <v>-1.94399E-2</v>
      </c>
      <c r="AA270">
        <v>0.98678900000000003</v>
      </c>
      <c r="AB270">
        <v>27</v>
      </c>
      <c r="AC270">
        <v>0.529200000000003</v>
      </c>
      <c r="AD270">
        <v>-0.24681349999999999</v>
      </c>
      <c r="AE270">
        <v>-0.14530000000002</v>
      </c>
      <c r="AF270">
        <v>0.114231841751678</v>
      </c>
      <c r="AG270">
        <v>-0.24681349999999999</v>
      </c>
      <c r="AH270">
        <v>0.441931989934015</v>
      </c>
      <c r="AI270">
        <v>118.400799987901</v>
      </c>
      <c r="AJ270">
        <v>75.507235815734603</v>
      </c>
      <c r="AK270">
        <v>0.51891203607092096</v>
      </c>
      <c r="AL270">
        <v>88.998813632318004</v>
      </c>
      <c r="AM270">
        <v>87.978777389623701</v>
      </c>
      <c r="AN270">
        <v>1.0000000399411799</v>
      </c>
    </row>
    <row r="271" spans="1:40" x14ac:dyDescent="0.25">
      <c r="A271" t="str">
        <f>"20190312154218480"</f>
        <v>20190312154218480</v>
      </c>
      <c r="B271" t="str">
        <f>"1552376538467303"</f>
        <v>1552376538467303</v>
      </c>
      <c r="C271" t="s">
        <v>40</v>
      </c>
      <c r="D271">
        <v>5.0815279999999996</v>
      </c>
      <c r="E271">
        <v>0.55512399999999995</v>
      </c>
      <c r="F271" t="s">
        <v>41</v>
      </c>
      <c r="G271">
        <v>-414.19170000000003</v>
      </c>
      <c r="H271">
        <v>0.82180169999999997</v>
      </c>
      <c r="I271">
        <v>367.90679999999998</v>
      </c>
      <c r="J271">
        <v>-414.69150000000002</v>
      </c>
      <c r="K271">
        <v>1.0605329999999999</v>
      </c>
      <c r="L271">
        <v>368.0471</v>
      </c>
      <c r="M271">
        <v>0.99977550000000004</v>
      </c>
      <c r="N271">
        <v>0</v>
      </c>
      <c r="O271">
        <v>-1.508084E-2</v>
      </c>
      <c r="P271">
        <v>0.9987376</v>
      </c>
      <c r="Q271">
        <v>2.7257729999999999E-3</v>
      </c>
      <c r="R271">
        <v>-5.0158769999999998E-2</v>
      </c>
      <c r="S271">
        <v>2.9783330000000001</v>
      </c>
      <c r="T271">
        <v>-0.91439199999999998</v>
      </c>
      <c r="U271">
        <v>-0.55334469999999902</v>
      </c>
      <c r="V271">
        <v>3.5092930000000001E-2</v>
      </c>
      <c r="W271">
        <v>1.759755E-2</v>
      </c>
      <c r="X271">
        <v>0.99922909999999998</v>
      </c>
      <c r="Y271">
        <v>0.16130320000000001</v>
      </c>
      <c r="Z271">
        <v>-1.9522890000000001E-2</v>
      </c>
      <c r="AA271">
        <v>0.98671180000000003</v>
      </c>
      <c r="AB271">
        <v>27</v>
      </c>
      <c r="AC271">
        <v>0.49979999999999303</v>
      </c>
      <c r="AD271">
        <v>-0.23873130000000001</v>
      </c>
      <c r="AE271">
        <v>-0.14030000000002399</v>
      </c>
      <c r="AF271">
        <v>0.10957253643633801</v>
      </c>
      <c r="AG271">
        <v>-0.23873130000000001</v>
      </c>
      <c r="AH271">
        <v>0.41425029824606702</v>
      </c>
      <c r="AI271">
        <v>119.123788783593</v>
      </c>
      <c r="AJ271">
        <v>75.184113562163901</v>
      </c>
      <c r="AK271">
        <v>0.49051206298901401</v>
      </c>
      <c r="AL271">
        <v>88.991682599906397</v>
      </c>
      <c r="AM271">
        <v>87.988598685830794</v>
      </c>
      <c r="AN271">
        <v>0.99999999089439795</v>
      </c>
    </row>
    <row r="272" spans="1:40" x14ac:dyDescent="0.25">
      <c r="A272" t="str">
        <f>"20190312154218501"</f>
        <v>20190312154218501</v>
      </c>
      <c r="B272" t="str">
        <f>"1552376538487800"</f>
        <v>1552376538487800</v>
      </c>
      <c r="C272" t="s">
        <v>40</v>
      </c>
      <c r="D272">
        <v>5.0499029999999996</v>
      </c>
      <c r="E272">
        <v>0.55511469999999996</v>
      </c>
      <c r="F272" t="s">
        <v>41</v>
      </c>
      <c r="G272">
        <v>-413.9434</v>
      </c>
      <c r="H272">
        <v>0.83100130000000005</v>
      </c>
      <c r="I272">
        <v>367.90789999999998</v>
      </c>
      <c r="J272">
        <v>-414.43439999999998</v>
      </c>
      <c r="K272">
        <v>1.0605690000000001</v>
      </c>
      <c r="L272">
        <v>368.04309999999998</v>
      </c>
      <c r="M272">
        <v>0.99977490000000002</v>
      </c>
      <c r="N272">
        <v>0</v>
      </c>
      <c r="O272">
        <v>-1.511707E-2</v>
      </c>
      <c r="P272">
        <v>0.99872340000000004</v>
      </c>
      <c r="Q272">
        <v>2.429839E-3</v>
      </c>
      <c r="R272">
        <v>-5.0454359999999997E-2</v>
      </c>
      <c r="S272">
        <v>2.9785460000000001</v>
      </c>
      <c r="T272">
        <v>-0.91395499999999996</v>
      </c>
      <c r="U272">
        <v>-0.55282589999999998</v>
      </c>
      <c r="V272">
        <v>3.5351380000000002E-2</v>
      </c>
      <c r="W272">
        <v>1.7307670000000001E-2</v>
      </c>
      <c r="X272">
        <v>0.99922509999999998</v>
      </c>
      <c r="Y272">
        <v>0.16110579999999999</v>
      </c>
      <c r="Z272">
        <v>-1.947279E-2</v>
      </c>
      <c r="AA272">
        <v>0.98674499999999998</v>
      </c>
      <c r="AB272">
        <v>27</v>
      </c>
      <c r="AC272">
        <v>0.490999999999985</v>
      </c>
      <c r="AD272">
        <v>-0.22956770000000001</v>
      </c>
      <c r="AE272">
        <v>-0.13519999999999699</v>
      </c>
      <c r="AF272">
        <v>0.106184758794311</v>
      </c>
      <c r="AG272">
        <v>-0.22956770000000001</v>
      </c>
      <c r="AH272">
        <v>0.40973149341757897</v>
      </c>
      <c r="AI272">
        <v>118.474105689106</v>
      </c>
      <c r="AJ272">
        <v>75.4710384534052</v>
      </c>
      <c r="AK272">
        <v>0.48151472312038002</v>
      </c>
      <c r="AL272">
        <v>89.0082940774506</v>
      </c>
      <c r="AM272">
        <v>87.9737894536227</v>
      </c>
      <c r="AN272">
        <v>1.0000000379893701</v>
      </c>
    </row>
    <row r="273" spans="1:40" x14ac:dyDescent="0.25">
      <c r="A273" t="str">
        <f>"20190312154218537"</f>
        <v>20190312154218537</v>
      </c>
      <c r="B273" t="str">
        <f>"1552376538527816"</f>
        <v>1552376538527816</v>
      </c>
      <c r="C273" t="s">
        <v>40</v>
      </c>
      <c r="D273">
        <v>5.0580689999999997</v>
      </c>
      <c r="E273">
        <v>0.55504219999999904</v>
      </c>
      <c r="F273" t="s">
        <v>41</v>
      </c>
      <c r="G273">
        <v>-413.69799999999998</v>
      </c>
      <c r="H273">
        <v>0.83447610000000005</v>
      </c>
      <c r="I273">
        <v>367.9058</v>
      </c>
      <c r="J273">
        <v>-414.00709999999998</v>
      </c>
      <c r="K273">
        <v>1.060605</v>
      </c>
      <c r="L273">
        <v>368.03660000000002</v>
      </c>
      <c r="M273">
        <v>0.99977419999999995</v>
      </c>
      <c r="N273">
        <v>0</v>
      </c>
      <c r="O273">
        <v>-1.513949E-2</v>
      </c>
      <c r="P273">
        <v>0.99871679999999996</v>
      </c>
      <c r="Q273">
        <v>7.9077849999999996E-4</v>
      </c>
      <c r="R273">
        <v>-5.0635300000000001E-2</v>
      </c>
      <c r="S273">
        <v>2.9780880000000001</v>
      </c>
      <c r="T273">
        <v>-0.9143348</v>
      </c>
      <c r="U273">
        <v>-0.55401610000000001</v>
      </c>
      <c r="V273">
        <v>3.5508860000000003E-2</v>
      </c>
      <c r="W273">
        <v>1.5691899999999901E-2</v>
      </c>
      <c r="X273">
        <v>0.99924619999999997</v>
      </c>
      <c r="Y273">
        <v>0.16147020000000001</v>
      </c>
      <c r="Z273">
        <v>-1.9530269999999999E-2</v>
      </c>
      <c r="AA273">
        <v>0.98668429999999996</v>
      </c>
      <c r="AB273">
        <v>27</v>
      </c>
      <c r="AC273">
        <v>0.30909999999994398</v>
      </c>
      <c r="AD273">
        <v>-0.22612889999999999</v>
      </c>
      <c r="AE273">
        <v>-0.13080000000002101</v>
      </c>
      <c r="AF273">
        <v>8.6734640522168893E-2</v>
      </c>
      <c r="AG273">
        <v>-0.22612889999999999</v>
      </c>
      <c r="AH273">
        <v>0.21393606147875499</v>
      </c>
      <c r="AI273">
        <v>134.40814201301899</v>
      </c>
      <c r="AJ273">
        <v>67.931225289622404</v>
      </c>
      <c r="AK273">
        <v>0.32314983472494802</v>
      </c>
      <c r="AL273">
        <v>89.100883493133196</v>
      </c>
      <c r="AM273">
        <v>87.964813795127895</v>
      </c>
      <c r="AN273">
        <v>1.00000004153927</v>
      </c>
    </row>
    <row r="274" spans="1:40" x14ac:dyDescent="0.25">
      <c r="A274" t="str">
        <f>"20190312154218560"</f>
        <v>20190312154218560</v>
      </c>
      <c r="B274" t="str">
        <f>"1552376538547335"</f>
        <v>1552376538547335</v>
      </c>
      <c r="C274" t="s">
        <v>40</v>
      </c>
      <c r="D274">
        <v>5.0622360000000004</v>
      </c>
      <c r="E274">
        <v>0.55502399999999996</v>
      </c>
      <c r="F274" t="s">
        <v>41</v>
      </c>
      <c r="G274">
        <v>-413.21870000000001</v>
      </c>
      <c r="H274">
        <v>0.81709609999999899</v>
      </c>
      <c r="I274">
        <v>367.8904</v>
      </c>
      <c r="J274">
        <v>-413.7192</v>
      </c>
      <c r="K274">
        <v>1.0606199999999999</v>
      </c>
      <c r="L274">
        <v>368.03219999999999</v>
      </c>
      <c r="M274">
        <v>0.9997741</v>
      </c>
      <c r="N274">
        <v>0</v>
      </c>
      <c r="O274">
        <v>-1.513141E-2</v>
      </c>
      <c r="P274">
        <v>0.99867899999999998</v>
      </c>
      <c r="Q274">
        <v>-4.5494920000000002E-4</v>
      </c>
      <c r="R274">
        <v>-5.1383020000000001E-2</v>
      </c>
      <c r="S274">
        <v>2.9765630000000001</v>
      </c>
      <c r="T274">
        <v>-0.91925239999999997</v>
      </c>
      <c r="U274">
        <v>-0.55291749999999995</v>
      </c>
      <c r="V274">
        <v>3.6264530000000003E-2</v>
      </c>
      <c r="W274">
        <v>1.4463699999999999E-2</v>
      </c>
      <c r="X274">
        <v>0.9992375</v>
      </c>
      <c r="Y274">
        <v>0.1611552</v>
      </c>
      <c r="Z274">
        <v>-1.959609E-2</v>
      </c>
      <c r="AA274">
        <v>0.98673449999999996</v>
      </c>
      <c r="AB274">
        <v>27</v>
      </c>
      <c r="AC274">
        <v>0.50049999999998795</v>
      </c>
      <c r="AD274">
        <v>-0.24352389999999999</v>
      </c>
      <c r="AE274">
        <v>-0.14179999999998899</v>
      </c>
      <c r="AF274">
        <v>0.110084520048777</v>
      </c>
      <c r="AG274">
        <v>-0.24352389999999999</v>
      </c>
      <c r="AH274">
        <v>0.41224473289041302</v>
      </c>
      <c r="AI274">
        <v>119.71461222475899</v>
      </c>
      <c r="AJ274">
        <v>75.048784760503494</v>
      </c>
      <c r="AK274">
        <v>0.491292388727393</v>
      </c>
      <c r="AL274">
        <v>89.171262093976793</v>
      </c>
      <c r="AM274">
        <v>87.921522167437004</v>
      </c>
      <c r="AN274">
        <v>0.99999994808002901</v>
      </c>
    </row>
    <row r="275" spans="1:40" x14ac:dyDescent="0.25">
      <c r="A275" t="str">
        <f>"20190312154218580"</f>
        <v>20190312154218580</v>
      </c>
      <c r="B275" t="str">
        <f>"1552376538567835"</f>
        <v>1552376538567835</v>
      </c>
      <c r="C275" t="s">
        <v>40</v>
      </c>
      <c r="D275">
        <v>5.0694480000000004</v>
      </c>
      <c r="E275">
        <v>0.55498939999999997</v>
      </c>
      <c r="F275" t="s">
        <v>41</v>
      </c>
      <c r="G275">
        <v>-412.97129999999999</v>
      </c>
      <c r="H275">
        <v>0.8285266</v>
      </c>
      <c r="I275">
        <v>367.89229999999998</v>
      </c>
      <c r="J275">
        <v>-413.47680000000003</v>
      </c>
      <c r="K275">
        <v>1.060627</v>
      </c>
      <c r="L275">
        <v>368.02859999999998</v>
      </c>
      <c r="M275">
        <v>0.9997743</v>
      </c>
      <c r="N275">
        <v>0</v>
      </c>
      <c r="O275">
        <v>-1.5108470000000001E-2</v>
      </c>
      <c r="P275">
        <v>0.9986507</v>
      </c>
      <c r="Q275">
        <v>-1.5685110000000001E-3</v>
      </c>
      <c r="R275">
        <v>-5.1908650000000001E-2</v>
      </c>
      <c r="S275">
        <v>2.975006</v>
      </c>
      <c r="T275">
        <v>-0.92309759999999996</v>
      </c>
      <c r="U275">
        <v>-0.5546875</v>
      </c>
      <c r="V275">
        <v>3.6813020000000002E-2</v>
      </c>
      <c r="W275">
        <v>1.3365169999999999E-2</v>
      </c>
      <c r="X275">
        <v>0.99923280000000003</v>
      </c>
      <c r="Y275">
        <v>0.16175010000000001</v>
      </c>
      <c r="Z275">
        <v>-1.977951E-2</v>
      </c>
      <c r="AA275">
        <v>0.98663350000000005</v>
      </c>
      <c r="AB275">
        <v>27</v>
      </c>
      <c r="AC275">
        <v>0.50550000000004003</v>
      </c>
      <c r="AD275">
        <v>-0.23210040000000001</v>
      </c>
      <c r="AE275">
        <v>-0.136300000000005</v>
      </c>
      <c r="AF275">
        <v>0.107516060675728</v>
      </c>
      <c r="AG275">
        <v>-0.23210040000000001</v>
      </c>
      <c r="AH275">
        <v>0.42414444501881798</v>
      </c>
      <c r="AI275">
        <v>117.94341088121899</v>
      </c>
      <c r="AJ275">
        <v>75.775751785369394</v>
      </c>
      <c r="AK275">
        <v>0.49530678293731001</v>
      </c>
      <c r="AL275">
        <v>89.234209372462104</v>
      </c>
      <c r="AM275">
        <v>87.890104106746193</v>
      </c>
      <c r="AN275">
        <v>1.00000000740324</v>
      </c>
    </row>
    <row r="276" spans="1:40" x14ac:dyDescent="0.25">
      <c r="A276" t="str">
        <f>"20190312154218613"</f>
        <v>20190312154218613</v>
      </c>
      <c r="B276" t="str">
        <f>"1552376538607847"</f>
        <v>1552376538607847</v>
      </c>
      <c r="C276" t="s">
        <v>40</v>
      </c>
      <c r="D276">
        <v>5.0670380000000002</v>
      </c>
      <c r="E276">
        <v>0.55487629999999999</v>
      </c>
      <c r="F276" t="s">
        <v>41</v>
      </c>
      <c r="G276">
        <v>-412.7294</v>
      </c>
      <c r="H276">
        <v>0.82782630000000001</v>
      </c>
      <c r="I276">
        <v>367.88850000000002</v>
      </c>
      <c r="J276">
        <v>-413.07690000000002</v>
      </c>
      <c r="K276">
        <v>1.0606469999999999</v>
      </c>
      <c r="L276">
        <v>368.02260000000001</v>
      </c>
      <c r="M276">
        <v>0.99977510000000003</v>
      </c>
      <c r="N276">
        <v>0</v>
      </c>
      <c r="O276">
        <v>-1.5032190000000001E-2</v>
      </c>
      <c r="P276">
        <v>0.99858219999999998</v>
      </c>
      <c r="Q276">
        <v>-2.5395449999999998E-3</v>
      </c>
      <c r="R276">
        <v>-5.317347E-2</v>
      </c>
      <c r="S276">
        <v>2.9736940000000001</v>
      </c>
      <c r="T276">
        <v>-0.92622400000000005</v>
      </c>
      <c r="U276">
        <v>-0.556427</v>
      </c>
      <c r="V276">
        <v>3.8154519999999997E-2</v>
      </c>
      <c r="W276">
        <v>1.241682E-2</v>
      </c>
      <c r="X276">
        <v>0.99919469999999999</v>
      </c>
      <c r="Y276">
        <v>0.16238</v>
      </c>
      <c r="Z276">
        <v>-1.9968860000000001E-2</v>
      </c>
      <c r="AA276">
        <v>0.98652629999999997</v>
      </c>
      <c r="AB276">
        <v>27</v>
      </c>
      <c r="AC276">
        <v>0.34750000000002501</v>
      </c>
      <c r="AD276">
        <v>-0.23282069999999899</v>
      </c>
      <c r="AE276">
        <v>-0.13409999999998901</v>
      </c>
      <c r="AF276">
        <v>9.2658724995031194E-2</v>
      </c>
      <c r="AG276">
        <v>-0.23282069999999899</v>
      </c>
      <c r="AH276">
        <v>0.25129541842988901</v>
      </c>
      <c r="AI276">
        <v>130.99953652469799</v>
      </c>
      <c r="AJ276">
        <v>69.759844232760997</v>
      </c>
      <c r="AK276">
        <v>0.35488097298960303</v>
      </c>
      <c r="AL276">
        <v>89.288550334273694</v>
      </c>
      <c r="AM276">
        <v>87.813207607037199</v>
      </c>
      <c r="AN276">
        <v>0.99999999666171602</v>
      </c>
    </row>
    <row r="277" spans="1:40" x14ac:dyDescent="0.25">
      <c r="A277" t="str">
        <f>"20190312154218637"</f>
        <v>20190312154218637</v>
      </c>
      <c r="B277" t="str">
        <f>"1552376538627371"</f>
        <v>1552376538627371</v>
      </c>
      <c r="C277" t="s">
        <v>40</v>
      </c>
      <c r="D277">
        <v>5.1047570000000002</v>
      </c>
      <c r="E277">
        <v>0.55485490000000004</v>
      </c>
      <c r="F277" t="s">
        <v>41</v>
      </c>
      <c r="G277">
        <v>-412.25619999999998</v>
      </c>
      <c r="H277">
        <v>0.80431619999999904</v>
      </c>
      <c r="I277">
        <v>367.86770000000001</v>
      </c>
      <c r="J277">
        <v>-412.79559999999998</v>
      </c>
      <c r="K277">
        <v>1.0606709999999999</v>
      </c>
      <c r="L277">
        <v>368.01839999999999</v>
      </c>
      <c r="M277">
        <v>0.99977609999999995</v>
      </c>
      <c r="N277">
        <v>0</v>
      </c>
      <c r="O277">
        <v>-1.4950420000000001E-2</v>
      </c>
      <c r="P277">
        <v>0.99854379999999998</v>
      </c>
      <c r="Q277">
        <v>-1.791244E-3</v>
      </c>
      <c r="R277">
        <v>-5.3918760000000003E-2</v>
      </c>
      <c r="S277">
        <v>2.9721069999999998</v>
      </c>
      <c r="T277">
        <v>-0.92831909999999895</v>
      </c>
      <c r="U277">
        <v>-0.55975339999999996</v>
      </c>
      <c r="V277">
        <v>3.8981269999999998E-2</v>
      </c>
      <c r="W277">
        <v>1.3179700000000001E-2</v>
      </c>
      <c r="X277">
        <v>0.99915299999999996</v>
      </c>
      <c r="Y277">
        <v>0.16353039999999999</v>
      </c>
      <c r="Z277">
        <v>-2.0218940000000001E-2</v>
      </c>
      <c r="AA277">
        <v>0.98633110000000002</v>
      </c>
      <c r="AB277">
        <v>27</v>
      </c>
      <c r="AC277">
        <v>0.53939999999999999</v>
      </c>
      <c r="AD277">
        <v>-0.25635479999999999</v>
      </c>
      <c r="AE277">
        <v>-0.150699999999972</v>
      </c>
      <c r="AF277">
        <v>0.117913151239461</v>
      </c>
      <c r="AG277">
        <v>-0.25635479999999999</v>
      </c>
      <c r="AH277">
        <v>0.447776146943757</v>
      </c>
      <c r="AI277">
        <v>118.970361755803</v>
      </c>
      <c r="AJ277">
        <v>75.247184381088601</v>
      </c>
      <c r="AK277">
        <v>0.52926814800255795</v>
      </c>
      <c r="AL277">
        <v>89.244836936530902</v>
      </c>
      <c r="AM277">
        <v>87.765777525506707</v>
      </c>
      <c r="AN277">
        <v>0.99999998065595097</v>
      </c>
    </row>
    <row r="278" spans="1:40" x14ac:dyDescent="0.25">
      <c r="A278" t="str">
        <f>"20190312154218658"</f>
        <v>20190312154218658</v>
      </c>
      <c r="B278" t="str">
        <f>"1552376538647867"</f>
        <v>1552376538647867</v>
      </c>
      <c r="C278" t="s">
        <v>40</v>
      </c>
      <c r="D278">
        <v>5.0936320000000004</v>
      </c>
      <c r="E278">
        <v>0.55487350000000002</v>
      </c>
      <c r="F278" t="s">
        <v>41</v>
      </c>
      <c r="G278">
        <v>-412.0104</v>
      </c>
      <c r="H278">
        <v>0.8161967</v>
      </c>
      <c r="I278">
        <v>367.86950000000002</v>
      </c>
      <c r="J278">
        <v>-412.52890000000002</v>
      </c>
      <c r="K278">
        <v>1.060694</v>
      </c>
      <c r="L278">
        <v>368.0145</v>
      </c>
      <c r="M278">
        <v>0.99977740000000004</v>
      </c>
      <c r="N278">
        <v>0</v>
      </c>
      <c r="O278">
        <v>-1.485589E-2</v>
      </c>
      <c r="P278">
        <v>0.99857569999999996</v>
      </c>
      <c r="Q278">
        <v>-1.0292719999999999E-3</v>
      </c>
      <c r="R278">
        <v>-5.3346249999999998E-2</v>
      </c>
      <c r="S278">
        <v>2.9723820000000001</v>
      </c>
      <c r="T278">
        <v>-0.92551220000000001</v>
      </c>
      <c r="U278">
        <v>-0.56182860000000001</v>
      </c>
      <c r="V278">
        <v>3.8502019999999998E-2</v>
      </c>
      <c r="W278">
        <v>1.395354E-2</v>
      </c>
      <c r="X278">
        <v>0.99916110000000002</v>
      </c>
      <c r="Y278">
        <v>0.16427610000000001</v>
      </c>
      <c r="Z278">
        <v>-2.0298529999999999E-2</v>
      </c>
      <c r="AA278">
        <v>0.98620549999999996</v>
      </c>
      <c r="AB278">
        <v>27</v>
      </c>
      <c r="AC278">
        <v>0.51850000000001695</v>
      </c>
      <c r="AD278">
        <v>-0.2444973</v>
      </c>
      <c r="AE278">
        <v>-0.14499999999998101</v>
      </c>
      <c r="AF278">
        <v>0.113809560196688</v>
      </c>
      <c r="AG278">
        <v>-0.2444973</v>
      </c>
      <c r="AH278">
        <v>0.43159074102879302</v>
      </c>
      <c r="AI278">
        <v>118.712932921861</v>
      </c>
      <c r="AJ278">
        <v>75.227506349748694</v>
      </c>
      <c r="AK278">
        <v>0.50892250239229597</v>
      </c>
      <c r="AL278">
        <v>89.200495107425397</v>
      </c>
      <c r="AM278">
        <v>87.793236420553697</v>
      </c>
      <c r="AN278">
        <v>1.0000000052879101</v>
      </c>
    </row>
    <row r="279" spans="1:40" x14ac:dyDescent="0.25">
      <c r="A279" t="str">
        <f>"20190312154218681"</f>
        <v>20190312154218681</v>
      </c>
      <c r="B279" t="str">
        <f>"1552376538667384"</f>
        <v>1552376538667384</v>
      </c>
      <c r="C279" t="s">
        <v>40</v>
      </c>
      <c r="D279">
        <v>5.122128</v>
      </c>
      <c r="E279">
        <v>0.55480299999999905</v>
      </c>
      <c r="F279" t="s">
        <v>41</v>
      </c>
      <c r="G279">
        <v>-411.76679999999999</v>
      </c>
      <c r="H279">
        <v>0.82408340000000002</v>
      </c>
      <c r="I279">
        <v>367.87049999999999</v>
      </c>
      <c r="J279">
        <v>-412.2638</v>
      </c>
      <c r="K279">
        <v>1.0607070000000001</v>
      </c>
      <c r="L279">
        <v>368.01069999999999</v>
      </c>
      <c r="M279">
        <v>0.99977899999999997</v>
      </c>
      <c r="N279">
        <v>0</v>
      </c>
      <c r="O279">
        <v>-1.4742770000000001E-2</v>
      </c>
      <c r="P279">
        <v>0.99860669999999996</v>
      </c>
      <c r="Q279">
        <v>-1.5379600000000001E-3</v>
      </c>
      <c r="R279">
        <v>-5.2750699999999998E-2</v>
      </c>
      <c r="S279">
        <v>2.9733890000000001</v>
      </c>
      <c r="T279">
        <v>-0.92325460000000004</v>
      </c>
      <c r="U279">
        <v>-0.56063839999999998</v>
      </c>
      <c r="V279">
        <v>3.8018860000000002E-2</v>
      </c>
      <c r="W279">
        <v>1.3454809999999999E-2</v>
      </c>
      <c r="X279">
        <v>0.99918649999999998</v>
      </c>
      <c r="Y279">
        <v>0.16398960000000001</v>
      </c>
      <c r="Z279">
        <v>-2.0236359999999998E-2</v>
      </c>
      <c r="AA279">
        <v>0.98625450000000003</v>
      </c>
      <c r="AB279">
        <v>27</v>
      </c>
      <c r="AC279">
        <v>0.49700000000001399</v>
      </c>
      <c r="AD279">
        <v>-0.23662359999999999</v>
      </c>
      <c r="AE279">
        <v>-0.140199999999993</v>
      </c>
      <c r="AF279">
        <v>0.109802030612265</v>
      </c>
      <c r="AG279">
        <v>-0.23662359999999999</v>
      </c>
      <c r="AH279">
        <v>0.41241896992809501</v>
      </c>
      <c r="AI279">
        <v>119.005392778657</v>
      </c>
      <c r="AJ279">
        <v>75.091459826000602</v>
      </c>
      <c r="AK279">
        <v>0.48799243924479802</v>
      </c>
      <c r="AL279">
        <v>89.229072960370402</v>
      </c>
      <c r="AM279">
        <v>87.8209574656006</v>
      </c>
      <c r="AN279">
        <v>1.0000000637050399</v>
      </c>
    </row>
    <row r="280" spans="1:40" x14ac:dyDescent="0.25">
      <c r="A280" t="str">
        <f>"20190312154218702"</f>
        <v>20190312154218702</v>
      </c>
      <c r="B280" t="str">
        <f>"1552376538697639"</f>
        <v>1552376538697639</v>
      </c>
      <c r="C280" t="s">
        <v>40</v>
      </c>
      <c r="D280">
        <v>5.1360150000000004</v>
      </c>
      <c r="E280">
        <v>0.55470810000000004</v>
      </c>
      <c r="F280" t="s">
        <v>41</v>
      </c>
      <c r="G280">
        <v>-411.52420000000001</v>
      </c>
      <c r="H280">
        <v>0.83088779999999995</v>
      </c>
      <c r="I280">
        <v>367.87119999999999</v>
      </c>
      <c r="J280">
        <v>-412.0052</v>
      </c>
      <c r="K280">
        <v>1.0607219999999999</v>
      </c>
      <c r="L280">
        <v>368.00709999999998</v>
      </c>
      <c r="M280">
        <v>0.99978069999999997</v>
      </c>
      <c r="N280">
        <v>0</v>
      </c>
      <c r="O280">
        <v>-1.4610980000000001E-2</v>
      </c>
      <c r="P280">
        <v>0.99863939999999995</v>
      </c>
      <c r="Q280">
        <v>-2.8857679999999999E-3</v>
      </c>
      <c r="R280">
        <v>-5.2069839999999999E-2</v>
      </c>
      <c r="S280">
        <v>2.9732059999999998</v>
      </c>
      <c r="T280">
        <v>-0.92386780000000002</v>
      </c>
      <c r="U280">
        <v>-0.55892940000000002</v>
      </c>
      <c r="V280">
        <v>3.7469099999999998E-2</v>
      </c>
      <c r="W280">
        <v>1.211549E-2</v>
      </c>
      <c r="X280">
        <v>0.99922440000000001</v>
      </c>
      <c r="Y280">
        <v>0.16358490000000001</v>
      </c>
      <c r="Z280">
        <v>-2.0230109999999999E-2</v>
      </c>
      <c r="AA280">
        <v>0.98632180000000003</v>
      </c>
      <c r="AB280">
        <v>27</v>
      </c>
      <c r="AC280">
        <v>0.48099999999999399</v>
      </c>
      <c r="AD280">
        <v>-0.22983419999999899</v>
      </c>
      <c r="AE280">
        <v>-0.135899999999992</v>
      </c>
      <c r="AF280">
        <v>0.10636674233964601</v>
      </c>
      <c r="AG280">
        <v>-0.22983419999999899</v>
      </c>
      <c r="AH280">
        <v>0.39864533696154297</v>
      </c>
      <c r="AI280">
        <v>119.11998704214299</v>
      </c>
      <c r="AJ280">
        <v>75.060355075202907</v>
      </c>
      <c r="AK280">
        <v>0.47228778096280499</v>
      </c>
      <c r="AL280">
        <v>89.305816614620795</v>
      </c>
      <c r="AM280">
        <v>87.852518498120503</v>
      </c>
      <c r="AN280">
        <v>1.00000006005405</v>
      </c>
    </row>
    <row r="281" spans="1:40" x14ac:dyDescent="0.25">
      <c r="A281" t="str">
        <f>"20190312154218726"</f>
        <v>20190312154218726</v>
      </c>
      <c r="B281" t="str">
        <f>"1552376538718135"</f>
        <v>1552376538718135</v>
      </c>
      <c r="C281" t="s">
        <v>40</v>
      </c>
      <c r="D281">
        <v>5.1142709999999996</v>
      </c>
      <c r="E281">
        <v>0.55468309999999998</v>
      </c>
      <c r="F281" t="s">
        <v>41</v>
      </c>
      <c r="G281">
        <v>-411.28300000000002</v>
      </c>
      <c r="H281">
        <v>0.83529779999999998</v>
      </c>
      <c r="I281">
        <v>367.87189999999998</v>
      </c>
      <c r="J281">
        <v>-411.71</v>
      </c>
      <c r="K281">
        <v>1.0607390000000001</v>
      </c>
      <c r="L281">
        <v>368.00299999999999</v>
      </c>
      <c r="M281">
        <v>0.99978319999999998</v>
      </c>
      <c r="N281">
        <v>0</v>
      </c>
      <c r="O281">
        <v>-1.443648E-2</v>
      </c>
      <c r="P281">
        <v>0.998668</v>
      </c>
      <c r="Q281">
        <v>-3.1195730000000001E-3</v>
      </c>
      <c r="R281">
        <v>-5.150184E-2</v>
      </c>
      <c r="S281">
        <v>2.9723820000000001</v>
      </c>
      <c r="T281">
        <v>-0.92781599999999997</v>
      </c>
      <c r="U281">
        <v>-0.55584719999999999</v>
      </c>
      <c r="V281">
        <v>3.7074860000000001E-2</v>
      </c>
      <c r="W281">
        <v>1.188901E-2</v>
      </c>
      <c r="X281">
        <v>0.99924179999999996</v>
      </c>
      <c r="Y281">
        <v>0.16278509999999999</v>
      </c>
      <c r="Z281">
        <v>-2.025161E-2</v>
      </c>
      <c r="AA281">
        <v>0.98645369999999999</v>
      </c>
      <c r="AB281">
        <v>27</v>
      </c>
      <c r="AC281">
        <v>0.42699999999996402</v>
      </c>
      <c r="AD281">
        <v>-0.22544119999999901</v>
      </c>
      <c r="AE281">
        <v>-0.13110000000006</v>
      </c>
      <c r="AF281">
        <v>9.9559889000468194E-2</v>
      </c>
      <c r="AG281">
        <v>-0.22544119999999901</v>
      </c>
      <c r="AH281">
        <v>0.34178402112323097</v>
      </c>
      <c r="AI281">
        <v>122.345285575343</v>
      </c>
      <c r="AJ281">
        <v>73.759436171106202</v>
      </c>
      <c r="AK281">
        <v>0.42136946169649098</v>
      </c>
      <c r="AL281">
        <v>89.3187938792409</v>
      </c>
      <c r="AM281">
        <v>87.875129877452295</v>
      </c>
      <c r="AN281">
        <v>1.0000000343350099</v>
      </c>
    </row>
    <row r="282" spans="1:40" x14ac:dyDescent="0.25">
      <c r="A282" t="str">
        <f>"20190312154218749"</f>
        <v>20190312154218749</v>
      </c>
      <c r="B282" t="str">
        <f>"1552376538737657"</f>
        <v>1552376538737657</v>
      </c>
      <c r="C282" t="s">
        <v>40</v>
      </c>
      <c r="D282">
        <v>5.0738529999999997</v>
      </c>
      <c r="E282">
        <v>0.554666199999999</v>
      </c>
      <c r="F282" t="s">
        <v>41</v>
      </c>
      <c r="G282">
        <v>-411.03769999999997</v>
      </c>
      <c r="H282">
        <v>0.85064740000000005</v>
      </c>
      <c r="I282">
        <v>367.8777</v>
      </c>
      <c r="J282">
        <v>-411.44779999999997</v>
      </c>
      <c r="K282">
        <v>1.0607549999999999</v>
      </c>
      <c r="L282">
        <v>367.99930000000001</v>
      </c>
      <c r="M282">
        <v>0.9997857</v>
      </c>
      <c r="N282">
        <v>0</v>
      </c>
      <c r="O282">
        <v>-1.425878E-2</v>
      </c>
      <c r="P282">
        <v>0.99866120000000003</v>
      </c>
      <c r="Q282">
        <v>-2.7458629999999999E-3</v>
      </c>
      <c r="R282">
        <v>-5.1657160000000001E-2</v>
      </c>
      <c r="S282">
        <v>2.9725649999999999</v>
      </c>
      <c r="T282">
        <v>-0.9288092</v>
      </c>
      <c r="U282">
        <v>-0.5527649</v>
      </c>
      <c r="V282">
        <v>3.7407309999999999E-2</v>
      </c>
      <c r="W282">
        <v>1.2267109999999999E-2</v>
      </c>
      <c r="X282">
        <v>0.99922480000000002</v>
      </c>
      <c r="Y282">
        <v>0.1619747</v>
      </c>
      <c r="Z282">
        <v>-2.020402E-2</v>
      </c>
      <c r="AA282">
        <v>0.98658809999999997</v>
      </c>
      <c r="AB282">
        <v>27</v>
      </c>
      <c r="AC282">
        <v>0.41009999999999902</v>
      </c>
      <c r="AD282">
        <v>-0.21010759999999901</v>
      </c>
      <c r="AE282">
        <v>-0.1216</v>
      </c>
      <c r="AF282">
        <v>9.3242613500257795E-2</v>
      </c>
      <c r="AG282">
        <v>-0.21010759999999901</v>
      </c>
      <c r="AH282">
        <v>0.33175028732070899</v>
      </c>
      <c r="AI282">
        <v>121.370914184314</v>
      </c>
      <c r="AJ282">
        <v>74.301310380896197</v>
      </c>
      <c r="AK282">
        <v>0.40360579986849998</v>
      </c>
      <c r="AL282">
        <v>89.297128737584103</v>
      </c>
      <c r="AM282">
        <v>87.856057443017406</v>
      </c>
      <c r="AN282">
        <v>0.999999994882114</v>
      </c>
    </row>
    <row r="283" spans="1:40" x14ac:dyDescent="0.25">
      <c r="A283" t="str">
        <f>"20190312154218772"</f>
        <v>20190312154218772</v>
      </c>
      <c r="B283" t="str">
        <f>"1552376538767911"</f>
        <v>1552376538767911</v>
      </c>
      <c r="C283" t="s">
        <v>40</v>
      </c>
      <c r="D283">
        <v>5.0534999999999997</v>
      </c>
      <c r="E283">
        <v>0.54235299999999997</v>
      </c>
      <c r="F283" t="s">
        <v>41</v>
      </c>
      <c r="G283">
        <v>-410.58539999999999</v>
      </c>
      <c r="H283">
        <v>0.79165299999999905</v>
      </c>
      <c r="I283">
        <v>367.83850000000001</v>
      </c>
      <c r="J283">
        <v>-411.1848</v>
      </c>
      <c r="K283">
        <v>1.0607709999999999</v>
      </c>
      <c r="L283">
        <v>367.99579999999997</v>
      </c>
      <c r="M283">
        <v>0.99978849999999997</v>
      </c>
      <c r="N283">
        <v>0</v>
      </c>
      <c r="O283">
        <v>-1.4058849999999999E-2</v>
      </c>
      <c r="P283">
        <v>0.99864969999999997</v>
      </c>
      <c r="Q283">
        <v>-2.5690940000000001E-3</v>
      </c>
      <c r="R283">
        <v>-5.1889860000000003E-2</v>
      </c>
      <c r="S283">
        <v>2.972839</v>
      </c>
      <c r="T283">
        <v>-0.92773620000000001</v>
      </c>
      <c r="U283">
        <v>-0.5527649</v>
      </c>
      <c r="V283">
        <v>3.7839339999999999E-2</v>
      </c>
      <c r="W283">
        <v>1.244781E-2</v>
      </c>
      <c r="X283">
        <v>0.99920629999999999</v>
      </c>
      <c r="Y283">
        <v>0.16215450000000001</v>
      </c>
      <c r="Z283">
        <v>-2.026756E-2</v>
      </c>
      <c r="AA283">
        <v>0.98655720000000002</v>
      </c>
      <c r="AB283">
        <v>27</v>
      </c>
      <c r="AC283">
        <v>0.59940000000000204</v>
      </c>
      <c r="AD283">
        <v>-0.26911800000000002</v>
      </c>
      <c r="AE283">
        <v>-0.157299999999963</v>
      </c>
      <c r="AF283">
        <v>0.125237587706332</v>
      </c>
      <c r="AG283">
        <v>-0.26911800000000002</v>
      </c>
      <c r="AH283">
        <v>0.50610429698959603</v>
      </c>
      <c r="AI283">
        <v>117.30166657426</v>
      </c>
      <c r="AJ283">
        <v>76.101126867332994</v>
      </c>
      <c r="AK283">
        <v>0.58672865170352295</v>
      </c>
      <c r="AL283">
        <v>89.286774600917795</v>
      </c>
      <c r="AM283">
        <v>87.831279700694907</v>
      </c>
      <c r="AN283">
        <v>0.99999999679256002</v>
      </c>
    </row>
    <row r="284" spans="1:40" x14ac:dyDescent="0.25">
      <c r="A284" t="str">
        <f>"20190312154218792"</f>
        <v>20190312154218792</v>
      </c>
      <c r="B284" t="str">
        <f>"1552376538787432"</f>
        <v>1552376538787432</v>
      </c>
      <c r="C284" t="s">
        <v>40</v>
      </c>
      <c r="D284">
        <v>5.1424960000000004</v>
      </c>
      <c r="E284">
        <v>0.48511559999999998</v>
      </c>
      <c r="F284" t="s">
        <v>41</v>
      </c>
      <c r="G284">
        <v>-410.33859999999999</v>
      </c>
      <c r="H284">
        <v>0.8153937</v>
      </c>
      <c r="I284">
        <v>367.8657</v>
      </c>
      <c r="J284">
        <v>-410.93799999999999</v>
      </c>
      <c r="K284">
        <v>1.0607759999999999</v>
      </c>
      <c r="L284">
        <v>367.99250000000001</v>
      </c>
      <c r="M284">
        <v>0.9997914</v>
      </c>
      <c r="N284">
        <v>0</v>
      </c>
      <c r="O284">
        <v>-1.385488E-2</v>
      </c>
      <c r="P284">
        <v>0.99861929999999999</v>
      </c>
      <c r="Q284">
        <v>-2.480103E-3</v>
      </c>
      <c r="R284">
        <v>-5.2475040000000001E-2</v>
      </c>
      <c r="S284">
        <v>2.978027</v>
      </c>
      <c r="T284">
        <v>-0.86351309999999903</v>
      </c>
      <c r="U284">
        <v>-0.4579163</v>
      </c>
      <c r="V284">
        <v>3.8628429999999998E-2</v>
      </c>
      <c r="W284">
        <v>1.2539359999999999E-2</v>
      </c>
      <c r="X284">
        <v>0.99917500000000004</v>
      </c>
      <c r="Y284">
        <v>0.13345650000000001</v>
      </c>
      <c r="Z284">
        <v>-1.4939879999999999E-2</v>
      </c>
      <c r="AA284">
        <v>0.99094210000000005</v>
      </c>
      <c r="AB284">
        <v>27</v>
      </c>
      <c r="AC284">
        <v>0.599400000000059</v>
      </c>
      <c r="AD284">
        <v>-0.245382299999999</v>
      </c>
      <c r="AE284">
        <v>-0.12680000000000199</v>
      </c>
      <c r="AF284">
        <v>0.10210352356307401</v>
      </c>
      <c r="AG284">
        <v>-0.245382299999999</v>
      </c>
      <c r="AH284">
        <v>0.51800466643813503</v>
      </c>
      <c r="AI284">
        <v>114.92732020433699</v>
      </c>
      <c r="AJ284">
        <v>78.8494118675046</v>
      </c>
      <c r="AK284">
        <v>0.58220824206547395</v>
      </c>
      <c r="AL284">
        <v>89.281528790949494</v>
      </c>
      <c r="AM284">
        <v>87.786029132482994</v>
      </c>
      <c r="AN284">
        <v>1.00000003588923</v>
      </c>
    </row>
    <row r="285" spans="1:40" x14ac:dyDescent="0.25">
      <c r="A285" t="str">
        <f>"20190312154218815"</f>
        <v>20190312154218815</v>
      </c>
      <c r="B285" t="str">
        <f>"1552376538807928"</f>
        <v>1552376538807928</v>
      </c>
      <c r="C285" t="s">
        <v>40</v>
      </c>
      <c r="D285">
        <v>5.1589519999999904</v>
      </c>
      <c r="E285">
        <v>0.48179850000000002</v>
      </c>
      <c r="F285" t="s">
        <v>41</v>
      </c>
      <c r="G285">
        <v>-410.04750000000001</v>
      </c>
      <c r="H285">
        <v>0.92777310000000002</v>
      </c>
      <c r="I285">
        <v>367.98610000000002</v>
      </c>
      <c r="J285">
        <v>-410.666</v>
      </c>
      <c r="K285">
        <v>1.0607899999999999</v>
      </c>
      <c r="L285">
        <v>367.98899999999998</v>
      </c>
      <c r="M285">
        <v>0.99979470000000004</v>
      </c>
      <c r="N285">
        <v>0</v>
      </c>
      <c r="O285">
        <v>-1.360628E-2</v>
      </c>
      <c r="P285">
        <v>0.99860879999999996</v>
      </c>
      <c r="Q285">
        <v>-2.5190920000000001E-3</v>
      </c>
      <c r="R285">
        <v>-5.2670759999999997E-2</v>
      </c>
      <c r="S285">
        <v>3.0019529999999999</v>
      </c>
      <c r="T285">
        <v>-0.44852690000000001</v>
      </c>
      <c r="U285">
        <v>-2.0843509999999999E-2</v>
      </c>
      <c r="V285">
        <v>3.9072330000000002E-2</v>
      </c>
      <c r="W285">
        <v>1.250217E-2</v>
      </c>
      <c r="X285">
        <v>0.99915810000000005</v>
      </c>
      <c r="Y285">
        <v>-6.4424449999999998E-3</v>
      </c>
      <c r="Z285">
        <v>2.5004770000000001E-3</v>
      </c>
      <c r="AA285">
        <v>0.99997610000000003</v>
      </c>
      <c r="AB285">
        <v>27</v>
      </c>
      <c r="AC285">
        <v>0.61849999999998295</v>
      </c>
      <c r="AD285">
        <v>-0.13301689999999899</v>
      </c>
      <c r="AE285">
        <v>-2.9000000000110001E-3</v>
      </c>
      <c r="AF285">
        <v>-5.2728259200215599E-3</v>
      </c>
      <c r="AG285">
        <v>-0.13301689999999899</v>
      </c>
      <c r="AH285">
        <v>0.59114110395118602</v>
      </c>
      <c r="AI285">
        <v>102.68083188043001</v>
      </c>
      <c r="AJ285">
        <v>90.511049997254901</v>
      </c>
      <c r="AK285">
        <v>0.60594480207310897</v>
      </c>
      <c r="AL285">
        <v>89.283659712108602</v>
      </c>
      <c r="AM285">
        <v>87.760575122689005</v>
      </c>
      <c r="AN285">
        <v>0.99999993001097098</v>
      </c>
    </row>
    <row r="286" spans="1:40" x14ac:dyDescent="0.25">
      <c r="A286" t="str">
        <f>"20190312154218837"</f>
        <v>20190312154218837</v>
      </c>
      <c r="B286" t="str">
        <f>"1552376538827447"</f>
        <v>1552376538827447</v>
      </c>
      <c r="C286" t="s">
        <v>40</v>
      </c>
      <c r="D286">
        <v>5.1092750000000002</v>
      </c>
      <c r="E286">
        <v>0.47999409999999998</v>
      </c>
      <c r="F286" t="s">
        <v>41</v>
      </c>
      <c r="G286">
        <v>-409.80029999999999</v>
      </c>
      <c r="H286">
        <v>0.94889400000000002</v>
      </c>
      <c r="I286">
        <v>367.98970000000003</v>
      </c>
      <c r="J286">
        <v>-410.39670000000001</v>
      </c>
      <c r="K286">
        <v>1.0608139999999999</v>
      </c>
      <c r="L286">
        <v>367.98570000000001</v>
      </c>
      <c r="M286">
        <v>0.99979839999999998</v>
      </c>
      <c r="N286">
        <v>0</v>
      </c>
      <c r="O286">
        <v>-1.3330939999999999E-2</v>
      </c>
      <c r="P286">
        <v>0.99859059999999999</v>
      </c>
      <c r="Q286">
        <v>-2.6829390000000001E-3</v>
      </c>
      <c r="R286">
        <v>-5.3008149999999997E-2</v>
      </c>
      <c r="S286">
        <v>3.0033259999999999</v>
      </c>
      <c r="T286">
        <v>-0.38828380000000001</v>
      </c>
      <c r="U286">
        <v>3.112793E-3</v>
      </c>
      <c r="V286">
        <v>3.9684280000000002E-2</v>
      </c>
      <c r="W286">
        <v>1.2339579999999999E-2</v>
      </c>
      <c r="X286">
        <v>0.99913609999999997</v>
      </c>
      <c r="Y286">
        <v>-1.4140150000000001E-2</v>
      </c>
      <c r="Z286">
        <v>2.6267650000000001E-3</v>
      </c>
      <c r="AA286">
        <v>0.99989660000000002</v>
      </c>
      <c r="AB286">
        <v>27</v>
      </c>
      <c r="AC286">
        <v>0.59640000000001603</v>
      </c>
      <c r="AD286">
        <v>-0.11191999999999901</v>
      </c>
      <c r="AE286">
        <v>4.0000000000190898E-3</v>
      </c>
      <c r="AF286">
        <v>-1.1544577788077E-2</v>
      </c>
      <c r="AG286">
        <v>-0.11191999999999901</v>
      </c>
      <c r="AH286">
        <v>0.57600980760194997</v>
      </c>
      <c r="AI286">
        <v>100.993536157731</v>
      </c>
      <c r="AJ286">
        <v>91.148187111302306</v>
      </c>
      <c r="AK286">
        <v>0.58689578472667503</v>
      </c>
      <c r="AL286">
        <v>89.292976220699998</v>
      </c>
      <c r="AM286">
        <v>87.725487821147695</v>
      </c>
      <c r="AN286">
        <v>1.0000000268184499</v>
      </c>
    </row>
    <row r="287" spans="1:40" x14ac:dyDescent="0.25">
      <c r="A287" t="str">
        <f>"20190312154218859"</f>
        <v>20190312154218859</v>
      </c>
      <c r="B287" t="str">
        <f>"1552376538847947"</f>
        <v>1552376538847947</v>
      </c>
      <c r="C287" t="s">
        <v>40</v>
      </c>
      <c r="D287">
        <v>5.0995280000000003</v>
      </c>
      <c r="E287">
        <v>0.47975780000000001</v>
      </c>
      <c r="F287" t="s">
        <v>41</v>
      </c>
      <c r="G287">
        <v>-409.55970000000002</v>
      </c>
      <c r="H287">
        <v>0.95765449999999996</v>
      </c>
      <c r="I287">
        <v>367.9896</v>
      </c>
      <c r="J287">
        <v>-410.13749999999999</v>
      </c>
      <c r="K287">
        <v>1.0608420000000001</v>
      </c>
      <c r="L287">
        <v>367.98250000000002</v>
      </c>
      <c r="M287">
        <v>0.99980239999999998</v>
      </c>
      <c r="N287">
        <v>0</v>
      </c>
      <c r="O287">
        <v>-1.3033370000000001E-2</v>
      </c>
      <c r="P287">
        <v>0.998587</v>
      </c>
      <c r="Q287">
        <v>-2.8776729999999999E-3</v>
      </c>
      <c r="R287">
        <v>-5.306905E-2</v>
      </c>
      <c r="S287">
        <v>3.0041199999999999</v>
      </c>
      <c r="T287">
        <v>-0.37061860000000002</v>
      </c>
      <c r="U287">
        <v>1.5838620000000001E-2</v>
      </c>
      <c r="V287">
        <v>4.0042059999999997E-2</v>
      </c>
      <c r="W287">
        <v>1.2146000000000001E-2</v>
      </c>
      <c r="X287">
        <v>0.99912420000000002</v>
      </c>
      <c r="Y287">
        <v>-1.8070619999999999E-2</v>
      </c>
      <c r="Z287">
        <v>2.7124760000000001E-3</v>
      </c>
      <c r="AA287">
        <v>0.99983299999999997</v>
      </c>
      <c r="AB287">
        <v>26</v>
      </c>
      <c r="AC287">
        <v>0.57779999999996701</v>
      </c>
      <c r="AD287">
        <v>-0.1031875</v>
      </c>
      <c r="AE287">
        <v>7.0999999999799002E-3</v>
      </c>
      <c r="AF287">
        <v>-1.41787867726115E-2</v>
      </c>
      <c r="AG287">
        <v>-0.1031875</v>
      </c>
      <c r="AH287">
        <v>0.55980698232413295</v>
      </c>
      <c r="AI287">
        <v>100.44065085195599</v>
      </c>
      <c r="AJ287">
        <v>91.450876849174904</v>
      </c>
      <c r="AK287">
        <v>0.56941422146750498</v>
      </c>
      <c r="AL287">
        <v>89.304068370562604</v>
      </c>
      <c r="AM287">
        <v>87.704976115066401</v>
      </c>
      <c r="AN287">
        <v>1.0000000294553399</v>
      </c>
    </row>
    <row r="288" spans="1:40" x14ac:dyDescent="0.25">
      <c r="A288" t="str">
        <f>"20190312154218881"</f>
        <v>20190312154218881</v>
      </c>
      <c r="B288" t="str">
        <f>"1552376538877223"</f>
        <v>1552376538877223</v>
      </c>
      <c r="C288" t="s">
        <v>40</v>
      </c>
      <c r="D288">
        <v>5.1079150000000002</v>
      </c>
      <c r="E288">
        <v>0.47926570000000002</v>
      </c>
      <c r="F288" t="s">
        <v>41</v>
      </c>
      <c r="G288">
        <v>-409.32139999999998</v>
      </c>
      <c r="H288">
        <v>0.96278509999999995</v>
      </c>
      <c r="I288">
        <v>367.98689999999999</v>
      </c>
      <c r="J288">
        <v>-409.8854</v>
      </c>
      <c r="K288">
        <v>1.0608629999999999</v>
      </c>
      <c r="L288">
        <v>367.9796</v>
      </c>
      <c r="M288">
        <v>0.99980659999999999</v>
      </c>
      <c r="N288">
        <v>0</v>
      </c>
      <c r="O288">
        <v>-1.270904E-2</v>
      </c>
      <c r="P288">
        <v>0.99859249999999999</v>
      </c>
      <c r="Q288">
        <v>-3.48131E-3</v>
      </c>
      <c r="R288">
        <v>-5.2925060000000003E-2</v>
      </c>
      <c r="S288">
        <v>3.004089</v>
      </c>
      <c r="T288">
        <v>-0.36105310000000002</v>
      </c>
      <c r="U288">
        <v>1.6510009999999999E-2</v>
      </c>
      <c r="V288">
        <v>4.0221939999999998E-2</v>
      </c>
      <c r="W288">
        <v>1.154284E-2</v>
      </c>
      <c r="X288">
        <v>0.99912409999999996</v>
      </c>
      <c r="Y288">
        <v>-1.7984710000000001E-2</v>
      </c>
      <c r="Z288">
        <v>2.5990140000000002E-3</v>
      </c>
      <c r="AA288">
        <v>0.99983489999999997</v>
      </c>
      <c r="AB288">
        <v>26</v>
      </c>
      <c r="AC288">
        <v>0.56400000000002104</v>
      </c>
      <c r="AD288">
        <v>-9.8077899999999801E-2</v>
      </c>
      <c r="AE288">
        <v>7.2999999999865299E-3</v>
      </c>
      <c r="AF288">
        <v>-1.40435093910485E-2</v>
      </c>
      <c r="AG288">
        <v>-9.8077899999999801E-2</v>
      </c>
      <c r="AH288">
        <v>0.54731357419707605</v>
      </c>
      <c r="AI288">
        <v>100.15622599619699</v>
      </c>
      <c r="AJ288">
        <v>91.469828886884997</v>
      </c>
      <c r="AK288">
        <v>0.55620917209697796</v>
      </c>
      <c r="AL288">
        <v>89.3386293002402</v>
      </c>
      <c r="AM288">
        <v>87.694677101642597</v>
      </c>
      <c r="AN288">
        <v>1.0000000044067101</v>
      </c>
    </row>
    <row r="289" spans="1:40" x14ac:dyDescent="0.25">
      <c r="A289" t="str">
        <f>"20190312154218904"</f>
        <v>20190312154218904</v>
      </c>
      <c r="B289" t="str">
        <f>"1552376538897720"</f>
        <v>1552376538897720</v>
      </c>
      <c r="C289" t="s">
        <v>40</v>
      </c>
      <c r="D289">
        <v>5.1568069999999997</v>
      </c>
      <c r="E289">
        <v>0.4789369</v>
      </c>
      <c r="F289" t="s">
        <v>41</v>
      </c>
      <c r="G289">
        <v>-409.08449999999999</v>
      </c>
      <c r="H289">
        <v>0.96589309999999995</v>
      </c>
      <c r="I289">
        <v>367.98469999999998</v>
      </c>
      <c r="J289">
        <v>-409.61579999999998</v>
      </c>
      <c r="K289">
        <v>1.0608900000000001</v>
      </c>
      <c r="L289">
        <v>367.97660000000002</v>
      </c>
      <c r="M289">
        <v>0.99981149999999996</v>
      </c>
      <c r="N289">
        <v>0</v>
      </c>
      <c r="O289">
        <v>-1.232157E-2</v>
      </c>
      <c r="P289">
        <v>0.99862600000000001</v>
      </c>
      <c r="Q289">
        <v>-3.8761350000000002E-3</v>
      </c>
      <c r="R289">
        <v>-5.2262129999999997E-2</v>
      </c>
      <c r="S289">
        <v>3.0040589999999998</v>
      </c>
      <c r="T289">
        <v>-0.35660310000000001</v>
      </c>
      <c r="U289">
        <v>2.0721440000000001E-2</v>
      </c>
      <c r="V289">
        <v>3.9945359999999999E-2</v>
      </c>
      <c r="W289">
        <v>1.114852E-2</v>
      </c>
      <c r="X289">
        <v>0.99913969999999996</v>
      </c>
      <c r="Y289">
        <v>-1.899988E-2</v>
      </c>
      <c r="Z289">
        <v>2.5814280000000002E-3</v>
      </c>
      <c r="AA289">
        <v>0.99981620000000004</v>
      </c>
      <c r="AB289">
        <v>26</v>
      </c>
      <c r="AC289">
        <v>0.531299999999987</v>
      </c>
      <c r="AD289">
        <v>-9.4996899999999801E-2</v>
      </c>
      <c r="AE289">
        <v>8.0999999999562498E-3</v>
      </c>
      <c r="AF289">
        <v>-1.4192933094768099E-2</v>
      </c>
      <c r="AG289">
        <v>-9.4996899999999801E-2</v>
      </c>
      <c r="AH289">
        <v>0.51470856206362803</v>
      </c>
      <c r="AI289">
        <v>100.453200898511</v>
      </c>
      <c r="AJ289">
        <v>91.579513555908093</v>
      </c>
      <c r="AK289">
        <v>0.52359407389794799</v>
      </c>
      <c r="AL289">
        <v>89.361223643128696</v>
      </c>
      <c r="AM289">
        <v>87.710548082255499</v>
      </c>
      <c r="AN289">
        <v>1.0000000306999</v>
      </c>
    </row>
    <row r="290" spans="1:40" x14ac:dyDescent="0.25">
      <c r="A290" t="str">
        <f>"20190312154218929"</f>
        <v>20190312154218929</v>
      </c>
      <c r="B290" t="str">
        <f>"1552376538917239"</f>
        <v>1552376538917239</v>
      </c>
      <c r="C290" t="s">
        <v>40</v>
      </c>
      <c r="D290">
        <v>5.1307650000000002</v>
      </c>
      <c r="E290">
        <v>0.47880869999999998</v>
      </c>
      <c r="F290" t="s">
        <v>41</v>
      </c>
      <c r="G290">
        <v>-408.84800000000001</v>
      </c>
      <c r="H290">
        <v>0.96934690000000001</v>
      </c>
      <c r="I290">
        <v>367.9828</v>
      </c>
      <c r="J290">
        <v>-409.3245</v>
      </c>
      <c r="K290">
        <v>1.0609249999999999</v>
      </c>
      <c r="L290">
        <v>367.9735</v>
      </c>
      <c r="M290">
        <v>0.99981699999999996</v>
      </c>
      <c r="N290">
        <v>0</v>
      </c>
      <c r="O290">
        <v>-1.185393E-2</v>
      </c>
      <c r="P290">
        <v>0.99866739999999998</v>
      </c>
      <c r="Q290">
        <v>-4.3330959999999998E-3</v>
      </c>
      <c r="R290">
        <v>-5.1427979999999998E-2</v>
      </c>
      <c r="S290">
        <v>3.0040279999999999</v>
      </c>
      <c r="T290">
        <v>-0.35832750000000002</v>
      </c>
      <c r="U290">
        <v>2.5146479999999999E-2</v>
      </c>
      <c r="V290">
        <v>3.9577429999999997E-2</v>
      </c>
      <c r="W290">
        <v>1.0691269999999999E-2</v>
      </c>
      <c r="X290">
        <v>0.99915929999999997</v>
      </c>
      <c r="Y290">
        <v>-1.9999099999999999E-2</v>
      </c>
      <c r="Z290">
        <v>2.5976340000000001E-3</v>
      </c>
      <c r="AA290">
        <v>0.99979660000000004</v>
      </c>
      <c r="AB290">
        <v>26</v>
      </c>
      <c r="AC290">
        <v>0.47649999999998699</v>
      </c>
      <c r="AD290">
        <v>-9.1578099999999704E-2</v>
      </c>
      <c r="AE290">
        <v>9.2999999999960892E-3</v>
      </c>
      <c r="AF290">
        <v>-1.4416101244708299E-2</v>
      </c>
      <c r="AG290">
        <v>-9.1578099999999704E-2</v>
      </c>
      <c r="AH290">
        <v>0.45939423870656798</v>
      </c>
      <c r="AI290">
        <v>101.26845637333101</v>
      </c>
      <c r="AJ290">
        <v>91.797390392059697</v>
      </c>
      <c r="AK290">
        <v>0.46865492521843299</v>
      </c>
      <c r="AL290">
        <v>89.387423675867794</v>
      </c>
      <c r="AM290">
        <v>87.731658159463905</v>
      </c>
      <c r="AN290">
        <v>0.99999999149805296</v>
      </c>
    </row>
    <row r="291" spans="1:40" x14ac:dyDescent="0.25">
      <c r="A291" t="str">
        <f>"20190312154218950"</f>
        <v>20190312154218950</v>
      </c>
      <c r="B291" t="str">
        <f>"1552376538937735"</f>
        <v>1552376538937735</v>
      </c>
      <c r="C291" t="s">
        <v>40</v>
      </c>
      <c r="D291">
        <v>5.1526880000000004</v>
      </c>
      <c r="E291">
        <v>0.47871409999999998</v>
      </c>
      <c r="F291" t="s">
        <v>41</v>
      </c>
      <c r="G291">
        <v>-408.38929999999999</v>
      </c>
      <c r="H291">
        <v>0.94913340000000002</v>
      </c>
      <c r="I291">
        <v>367.98239999999998</v>
      </c>
      <c r="J291">
        <v>-409.07810000000001</v>
      </c>
      <c r="K291">
        <v>1.0609489999999999</v>
      </c>
      <c r="L291">
        <v>367.97109999999998</v>
      </c>
      <c r="M291">
        <v>0.99982210000000005</v>
      </c>
      <c r="N291">
        <v>0</v>
      </c>
      <c r="O291">
        <v>-1.141668E-2</v>
      </c>
      <c r="P291">
        <v>0.99870910000000002</v>
      </c>
      <c r="Q291">
        <v>-4.2765870000000001E-3</v>
      </c>
      <c r="R291">
        <v>-5.0611829999999997E-2</v>
      </c>
      <c r="S291">
        <v>3.0039669999999998</v>
      </c>
      <c r="T291">
        <v>-0.35910740000000002</v>
      </c>
      <c r="U291">
        <v>2.886963E-2</v>
      </c>
      <c r="V291">
        <v>3.919715E-2</v>
      </c>
      <c r="W291">
        <v>1.074753E-2</v>
      </c>
      <c r="X291">
        <v>0.99917370000000005</v>
      </c>
      <c r="Y291">
        <v>-2.0797510000000002E-2</v>
      </c>
      <c r="Z291">
        <v>2.5987509999999998E-3</v>
      </c>
      <c r="AA291">
        <v>0.99978040000000001</v>
      </c>
      <c r="AB291">
        <v>26</v>
      </c>
      <c r="AC291">
        <v>0.68880000000001396</v>
      </c>
      <c r="AD291">
        <v>-0.111815599999999</v>
      </c>
      <c r="AE291">
        <v>1.1300000000005601E-2</v>
      </c>
      <c r="AF291">
        <v>-1.8672040272356701E-2</v>
      </c>
      <c r="AG291">
        <v>-0.111815599999999</v>
      </c>
      <c r="AH291">
        <v>0.67094976417299601</v>
      </c>
      <c r="AI291">
        <v>99.4579489172188</v>
      </c>
      <c r="AJ291">
        <v>91.594088119616998</v>
      </c>
      <c r="AK291">
        <v>0.68045937390493105</v>
      </c>
      <c r="AL291">
        <v>89.384200037998994</v>
      </c>
      <c r="AM291">
        <v>87.753463440861296</v>
      </c>
      <c r="AN291">
        <v>1.00000000437045</v>
      </c>
    </row>
    <row r="292" spans="1:40" x14ac:dyDescent="0.25">
      <c r="A292" t="str">
        <f>"20190312154218971"</f>
        <v>20190312154218971</v>
      </c>
      <c r="B292" t="str">
        <f>"1552376538967992"</f>
        <v>1552376538967992</v>
      </c>
      <c r="C292" t="s">
        <v>40</v>
      </c>
      <c r="D292">
        <v>5.1434030000000002</v>
      </c>
      <c r="E292">
        <v>0.47855890000000001</v>
      </c>
      <c r="F292" t="s">
        <v>41</v>
      </c>
      <c r="G292">
        <v>-408.15480000000002</v>
      </c>
      <c r="H292">
        <v>0.95091320000000001</v>
      </c>
      <c r="I292">
        <v>367.98050000000001</v>
      </c>
      <c r="J292">
        <v>-408.82929999999999</v>
      </c>
      <c r="K292">
        <v>1.060972</v>
      </c>
      <c r="L292">
        <v>367.96879999999999</v>
      </c>
      <c r="M292">
        <v>0.99982760000000004</v>
      </c>
      <c r="N292">
        <v>0</v>
      </c>
      <c r="O292">
        <v>-1.0945170000000001E-2</v>
      </c>
      <c r="P292">
        <v>0.99875650000000005</v>
      </c>
      <c r="Q292">
        <v>-4.3853729999999997E-3</v>
      </c>
      <c r="R292">
        <v>-4.9664180000000002E-2</v>
      </c>
      <c r="S292">
        <v>3.0039980000000002</v>
      </c>
      <c r="T292">
        <v>-0.3583152</v>
      </c>
      <c r="U292">
        <v>3.1829830000000003E-2</v>
      </c>
      <c r="V292">
        <v>3.8719650000000001E-2</v>
      </c>
      <c r="W292">
        <v>1.0636909999999999E-2</v>
      </c>
      <c r="X292">
        <v>0.99919349999999996</v>
      </c>
      <c r="Y292">
        <v>-2.1311739999999999E-2</v>
      </c>
      <c r="Z292">
        <v>2.5675350000000001E-3</v>
      </c>
      <c r="AA292">
        <v>0.99976960000000004</v>
      </c>
      <c r="AB292">
        <v>26</v>
      </c>
      <c r="AC292">
        <v>0.67449999999996602</v>
      </c>
      <c r="AD292">
        <v>-0.1100588</v>
      </c>
      <c r="AE292">
        <v>1.17000000000189E-2</v>
      </c>
      <c r="AF292">
        <v>-1.8587897381393399E-2</v>
      </c>
      <c r="AG292">
        <v>-0.1100588</v>
      </c>
      <c r="AH292">
        <v>0.65684834875978504</v>
      </c>
      <c r="AI292">
        <v>99.508149161998105</v>
      </c>
      <c r="AJ292">
        <v>91.620958503230298</v>
      </c>
      <c r="AK292">
        <v>0.66626436393893795</v>
      </c>
      <c r="AL292">
        <v>89.390538458470701</v>
      </c>
      <c r="AM292">
        <v>87.780847168050698</v>
      </c>
      <c r="AN292">
        <v>1.00000000279636</v>
      </c>
    </row>
    <row r="293" spans="1:40" x14ac:dyDescent="0.25">
      <c r="A293" t="str">
        <f>"20190312154218994"</f>
        <v>20190312154218994</v>
      </c>
      <c r="B293" t="str">
        <f>"1552376538987512"</f>
        <v>1552376538987512</v>
      </c>
      <c r="C293" t="s">
        <v>40</v>
      </c>
      <c r="D293">
        <v>5.1870180000000001</v>
      </c>
      <c r="E293">
        <v>0.47848760000000001</v>
      </c>
      <c r="F293" t="s">
        <v>41</v>
      </c>
      <c r="G293">
        <v>-407.92099999999999</v>
      </c>
      <c r="H293">
        <v>0.95267769999999996</v>
      </c>
      <c r="I293">
        <v>367.9796</v>
      </c>
      <c r="J293">
        <v>-408.5659</v>
      </c>
      <c r="K293">
        <v>1.060989</v>
      </c>
      <c r="L293">
        <v>367.9665</v>
      </c>
      <c r="M293">
        <v>0.99983330000000004</v>
      </c>
      <c r="N293">
        <v>0</v>
      </c>
      <c r="O293">
        <v>-1.041567E-2</v>
      </c>
      <c r="P293">
        <v>0.99880780000000002</v>
      </c>
      <c r="Q293">
        <v>-4.6156460000000002E-3</v>
      </c>
      <c r="R293">
        <v>-4.859803E-2</v>
      </c>
      <c r="S293">
        <v>3.0039060000000002</v>
      </c>
      <c r="T293">
        <v>-0.35821389999999997</v>
      </c>
      <c r="U293">
        <v>3.5858149999999998E-2</v>
      </c>
      <c r="V293">
        <v>3.8181960000000001E-2</v>
      </c>
      <c r="W293">
        <v>1.040422E-2</v>
      </c>
      <c r="X293">
        <v>0.99921660000000001</v>
      </c>
      <c r="Y293">
        <v>-2.2121269999999998E-2</v>
      </c>
      <c r="Z293">
        <v>2.5520460000000001E-3</v>
      </c>
      <c r="AA293">
        <v>0.99975199999999997</v>
      </c>
      <c r="AB293">
        <v>26</v>
      </c>
      <c r="AC293">
        <v>0.64490000000000602</v>
      </c>
      <c r="AD293">
        <v>-0.1083113</v>
      </c>
      <c r="AE293">
        <v>1.3100000000008501E-2</v>
      </c>
      <c r="AF293">
        <v>-1.9273674565468499E-2</v>
      </c>
      <c r="AG293">
        <v>-0.1083113</v>
      </c>
      <c r="AH293">
        <v>0.62704844921866798</v>
      </c>
      <c r="AI293">
        <v>99.795572256334196</v>
      </c>
      <c r="AJ293">
        <v>91.760553967058499</v>
      </c>
      <c r="AK293">
        <v>0.63662592619723102</v>
      </c>
      <c r="AL293">
        <v>89.40387132683</v>
      </c>
      <c r="AM293">
        <v>87.811684352438803</v>
      </c>
      <c r="AN293">
        <v>0.99999996178940398</v>
      </c>
    </row>
    <row r="294" spans="1:40" x14ac:dyDescent="0.25">
      <c r="A294" t="str">
        <f>"20190312154219016"</f>
        <v>20190312154219016</v>
      </c>
      <c r="B294" t="str">
        <f>"1552376539008008"</f>
        <v>1552376539008008</v>
      </c>
      <c r="C294" t="s">
        <v>40</v>
      </c>
      <c r="D294">
        <v>5.1228480000000003</v>
      </c>
      <c r="E294">
        <v>0.47842849999999998</v>
      </c>
      <c r="F294" t="s">
        <v>41</v>
      </c>
      <c r="G294">
        <v>-407.68669999999997</v>
      </c>
      <c r="H294">
        <v>0.95594219999999996</v>
      </c>
      <c r="I294">
        <v>367.97789999999998</v>
      </c>
      <c r="J294">
        <v>-408.29509999999999</v>
      </c>
      <c r="K294">
        <v>1.061005</v>
      </c>
      <c r="L294">
        <v>367.96429999999998</v>
      </c>
      <c r="M294">
        <v>0.99983920000000004</v>
      </c>
      <c r="N294">
        <v>0</v>
      </c>
      <c r="O294">
        <v>-9.8446330000000002E-3</v>
      </c>
      <c r="P294">
        <v>0.99885970000000002</v>
      </c>
      <c r="Q294">
        <v>-4.9351159999999998E-3</v>
      </c>
      <c r="R294">
        <v>-4.7490379999999999E-2</v>
      </c>
      <c r="S294">
        <v>3.0038149999999999</v>
      </c>
      <c r="T294">
        <v>-0.3590853</v>
      </c>
      <c r="U294">
        <v>3.9611819999999999E-2</v>
      </c>
      <c r="V294">
        <v>3.7644459999999998E-2</v>
      </c>
      <c r="W294">
        <v>1.0081420000000001E-2</v>
      </c>
      <c r="X294">
        <v>0.99924029999999997</v>
      </c>
      <c r="Y294">
        <v>-2.2797890000000001E-2</v>
      </c>
      <c r="Z294">
        <v>2.5305420000000002E-3</v>
      </c>
      <c r="AA294">
        <v>0.99973690000000004</v>
      </c>
      <c r="AB294">
        <v>26</v>
      </c>
      <c r="AC294">
        <v>0.60840000000001704</v>
      </c>
      <c r="AD294">
        <v>-0.1050628</v>
      </c>
      <c r="AE294">
        <v>1.35999999999967E-2</v>
      </c>
      <c r="AF294">
        <v>-1.9022505102218201E-2</v>
      </c>
      <c r="AG294">
        <v>-0.1050628</v>
      </c>
      <c r="AH294">
        <v>0.59063226867692498</v>
      </c>
      <c r="AI294">
        <v>100.081261852575</v>
      </c>
      <c r="AJ294">
        <v>91.844688647821499</v>
      </c>
      <c r="AK294">
        <v>0.60020540188060201</v>
      </c>
      <c r="AL294">
        <v>89.422367373785605</v>
      </c>
      <c r="AM294">
        <v>87.842511794639407</v>
      </c>
      <c r="AN294">
        <v>0.99999995877099801</v>
      </c>
    </row>
    <row r="295" spans="1:40" x14ac:dyDescent="0.25">
      <c r="A295" t="str">
        <f>"20190312154219038"</f>
        <v>20190312154219038</v>
      </c>
      <c r="B295" t="str">
        <f>"1552376539027527"</f>
        <v>1552376539027527</v>
      </c>
      <c r="C295" t="s">
        <v>40</v>
      </c>
      <c r="D295">
        <v>5.1423800000000002</v>
      </c>
      <c r="E295">
        <v>0.47843429999999998</v>
      </c>
      <c r="F295" t="s">
        <v>41</v>
      </c>
      <c r="G295">
        <v>-407.45249999999999</v>
      </c>
      <c r="H295">
        <v>0.95987750000000005</v>
      </c>
      <c r="I295">
        <v>367.97649999999999</v>
      </c>
      <c r="J295">
        <v>-408.04660000000001</v>
      </c>
      <c r="K295">
        <v>1.061015</v>
      </c>
      <c r="L295">
        <v>367.96249999999998</v>
      </c>
      <c r="M295">
        <v>0.99984430000000002</v>
      </c>
      <c r="N295">
        <v>0</v>
      </c>
      <c r="O295">
        <v>-9.3047999999999898E-3</v>
      </c>
      <c r="P295">
        <v>0.99890020000000002</v>
      </c>
      <c r="Q295">
        <v>-4.8830059999999996E-3</v>
      </c>
      <c r="R295">
        <v>-4.663014E-2</v>
      </c>
      <c r="S295">
        <v>3.0037539999999998</v>
      </c>
      <c r="T295">
        <v>-0.36056379999999999</v>
      </c>
      <c r="U295">
        <v>4.3273930000000002E-2</v>
      </c>
      <c r="V295">
        <v>3.7323099999999998E-2</v>
      </c>
      <c r="W295">
        <v>1.013006E-2</v>
      </c>
      <c r="X295">
        <v>0.99925189999999997</v>
      </c>
      <c r="Y295">
        <v>-2.3474100000000001E-2</v>
      </c>
      <c r="Z295">
        <v>2.5167850000000001E-3</v>
      </c>
      <c r="AA295">
        <v>0.99972130000000003</v>
      </c>
      <c r="AB295">
        <v>26</v>
      </c>
      <c r="AC295">
        <v>0.59410000000002505</v>
      </c>
      <c r="AD295">
        <v>-0.10113750000000001</v>
      </c>
      <c r="AE295">
        <v>1.4000000000009999E-2</v>
      </c>
      <c r="AF295">
        <v>-1.8978302178469901E-2</v>
      </c>
      <c r="AG295">
        <v>-0.10113750000000001</v>
      </c>
      <c r="AH295">
        <v>0.57722502892599503</v>
      </c>
      <c r="AI295">
        <v>99.932842648742593</v>
      </c>
      <c r="AJ295">
        <v>91.883121832448893</v>
      </c>
      <c r="AK295">
        <v>0.58632559544884599</v>
      </c>
      <c r="AL295">
        <v>89.4195803861206</v>
      </c>
      <c r="AM295">
        <v>87.860937280876399</v>
      </c>
      <c r="AN295">
        <v>0.99999999578141097</v>
      </c>
    </row>
    <row r="296" spans="1:40" x14ac:dyDescent="0.25">
      <c r="A296" t="str">
        <f>"20190312154219059"</f>
        <v>20190312154219059</v>
      </c>
      <c r="B296" t="str">
        <f>"1552376539048023"</f>
        <v>1552376539048023</v>
      </c>
      <c r="C296" t="s">
        <v>40</v>
      </c>
      <c r="D296">
        <v>5.1313940000000002</v>
      </c>
      <c r="E296">
        <v>0.47826800000000003</v>
      </c>
      <c r="F296" t="s">
        <v>41</v>
      </c>
      <c r="G296">
        <v>-407.2199</v>
      </c>
      <c r="H296">
        <v>0.96175149999999998</v>
      </c>
      <c r="I296">
        <v>367.97469999999998</v>
      </c>
      <c r="J296">
        <v>-407.79930000000002</v>
      </c>
      <c r="K296">
        <v>1.0610269999999999</v>
      </c>
      <c r="L296">
        <v>367.96080000000001</v>
      </c>
      <c r="M296">
        <v>0.9998494</v>
      </c>
      <c r="N296">
        <v>0</v>
      </c>
      <c r="O296">
        <v>-8.7593129999999995E-3</v>
      </c>
      <c r="P296">
        <v>0.99895219999999996</v>
      </c>
      <c r="Q296">
        <v>-5.0488240000000004E-3</v>
      </c>
      <c r="R296">
        <v>-4.5489969999999998E-2</v>
      </c>
      <c r="S296">
        <v>3.0036619999999998</v>
      </c>
      <c r="T296">
        <v>-0.36095549999999998</v>
      </c>
      <c r="U296">
        <v>4.5562739999999997E-2</v>
      </c>
      <c r="V296">
        <v>3.672752E-2</v>
      </c>
      <c r="W296">
        <v>9.9593579999999998E-3</v>
      </c>
      <c r="X296">
        <v>0.99927569999999999</v>
      </c>
      <c r="Y296">
        <v>-2.3692580000000001E-2</v>
      </c>
      <c r="Z296">
        <v>2.4673210000000002E-3</v>
      </c>
      <c r="AA296">
        <v>0.99971620000000005</v>
      </c>
      <c r="AB296">
        <v>26</v>
      </c>
      <c r="AC296">
        <v>0.57940000000002101</v>
      </c>
      <c r="AD296">
        <v>-9.9275499999999905E-2</v>
      </c>
      <c r="AE296">
        <v>1.3899999999978201E-2</v>
      </c>
      <c r="AF296">
        <v>-1.8434298505747598E-2</v>
      </c>
      <c r="AG296">
        <v>-9.9275499999999905E-2</v>
      </c>
      <c r="AH296">
        <v>0.56274442395768798</v>
      </c>
      <c r="AI296">
        <v>99.999531210422205</v>
      </c>
      <c r="AJ296">
        <v>91.8762157446495</v>
      </c>
      <c r="AK296">
        <v>0.57173134858700803</v>
      </c>
      <c r="AL296">
        <v>89.429361393070593</v>
      </c>
      <c r="AM296">
        <v>87.895090316078495</v>
      </c>
      <c r="AN296">
        <v>1.0000000120738</v>
      </c>
    </row>
    <row r="297" spans="1:40" x14ac:dyDescent="0.25">
      <c r="A297" t="str">
        <f>"20190312154219082"</f>
        <v>20190312154219082</v>
      </c>
      <c r="B297" t="str">
        <f>"1552376539067543"</f>
        <v>1552376539067543</v>
      </c>
      <c r="C297" t="s">
        <v>40</v>
      </c>
      <c r="D297">
        <v>5.0763259999999999</v>
      </c>
      <c r="E297">
        <v>0.46236670000000002</v>
      </c>
      <c r="F297" t="s">
        <v>41</v>
      </c>
      <c r="G297">
        <v>-406.98750000000001</v>
      </c>
      <c r="H297">
        <v>0.9638234</v>
      </c>
      <c r="I297">
        <v>367.97430000000003</v>
      </c>
      <c r="J297">
        <v>-407.54840000000002</v>
      </c>
      <c r="K297">
        <v>1.0610269999999999</v>
      </c>
      <c r="L297">
        <v>367.95920000000001</v>
      </c>
      <c r="M297">
        <v>0.99985429999999997</v>
      </c>
      <c r="N297">
        <v>0</v>
      </c>
      <c r="O297">
        <v>-8.2023219999999997E-3</v>
      </c>
      <c r="P297">
        <v>0.99898929999999997</v>
      </c>
      <c r="Q297">
        <v>-4.8150199999999997E-3</v>
      </c>
      <c r="R297">
        <v>-4.4697599999999997E-2</v>
      </c>
      <c r="S297">
        <v>3.0036320000000001</v>
      </c>
      <c r="T297">
        <v>-0.3596877</v>
      </c>
      <c r="U297">
        <v>5.0048830000000002E-2</v>
      </c>
      <c r="V297">
        <v>3.649136E-2</v>
      </c>
      <c r="W297">
        <v>1.018871E-2</v>
      </c>
      <c r="X297">
        <v>0.999282</v>
      </c>
      <c r="Y297">
        <v>-2.4627489999999998E-2</v>
      </c>
      <c r="Z297">
        <v>2.4480230000000001E-3</v>
      </c>
      <c r="AA297">
        <v>0.99969370000000002</v>
      </c>
      <c r="AB297">
        <v>26</v>
      </c>
      <c r="AC297">
        <v>0.56090000000000295</v>
      </c>
      <c r="AD297">
        <v>-9.7203599999999904E-2</v>
      </c>
      <c r="AE297">
        <v>1.5100000000018101E-2</v>
      </c>
      <c r="AF297">
        <v>-1.91266808128083E-2</v>
      </c>
      <c r="AG297">
        <v>-9.7203599999999904E-2</v>
      </c>
      <c r="AH297">
        <v>0.54441875543692297</v>
      </c>
      <c r="AI297">
        <v>100.117127534438</v>
      </c>
      <c r="AJ297">
        <v>92.012104719977103</v>
      </c>
      <c r="AK297">
        <v>0.55335897123238498</v>
      </c>
      <c r="AL297">
        <v>89.416219801523397</v>
      </c>
      <c r="AM297">
        <v>87.908626118388199</v>
      </c>
      <c r="AN297">
        <v>0.999999972345056</v>
      </c>
    </row>
    <row r="298" spans="1:40" x14ac:dyDescent="0.25">
      <c r="A298" t="str">
        <f>"20190312154219095"</f>
        <v>20190312154219095</v>
      </c>
      <c r="B298" t="str">
        <f>"1552376539088039"</f>
        <v>1552376539088039</v>
      </c>
      <c r="C298" t="s">
        <v>40</v>
      </c>
      <c r="D298">
        <v>5.2009030000000003</v>
      </c>
      <c r="E298">
        <v>0.46266780000000002</v>
      </c>
      <c r="F298" t="s">
        <v>43</v>
      </c>
      <c r="G298">
        <v>-394.93979999999999</v>
      </c>
      <c r="H298" s="1">
        <v>-2.3168110000000001E-6</v>
      </c>
      <c r="I298">
        <v>368.6934</v>
      </c>
      <c r="J298">
        <v>-407.38709999999998</v>
      </c>
      <c r="K298">
        <v>1.061029</v>
      </c>
      <c r="L298">
        <v>367.95830000000001</v>
      </c>
      <c r="M298">
        <v>0.9998572</v>
      </c>
      <c r="N298">
        <v>0</v>
      </c>
      <c r="O298">
        <v>-7.8433800000000005E-3</v>
      </c>
      <c r="P298">
        <v>0.99901439999999997</v>
      </c>
      <c r="Q298">
        <v>-4.6329910000000004E-3</v>
      </c>
      <c r="R298">
        <v>-4.414817E-2</v>
      </c>
      <c r="S298">
        <v>3.0096129999999999</v>
      </c>
      <c r="T298">
        <v>-0.2532606</v>
      </c>
      <c r="U298">
        <v>0.17526249999999999</v>
      </c>
      <c r="V298">
        <v>3.6300529999999998E-2</v>
      </c>
      <c r="W298">
        <v>1.036751E-2</v>
      </c>
      <c r="X298">
        <v>0.99928709999999998</v>
      </c>
      <c r="Y298">
        <v>-6.5705810000000003E-2</v>
      </c>
      <c r="Z298">
        <v>3.4158019999999999E-3</v>
      </c>
      <c r="AA298">
        <v>0.99783319999999998</v>
      </c>
      <c r="AB298">
        <v>26</v>
      </c>
      <c r="AC298">
        <v>12.447299999999901</v>
      </c>
      <c r="AD298">
        <v>-1.0610313168109999</v>
      </c>
      <c r="AE298">
        <v>0.73509999999998799</v>
      </c>
      <c r="AF298">
        <v>-0.82673093020847999</v>
      </c>
      <c r="AG298">
        <v>-1.0610313168109999</v>
      </c>
      <c r="AH298">
        <v>12.351712901407801</v>
      </c>
      <c r="AI298">
        <v>94.898836128176498</v>
      </c>
      <c r="AJ298">
        <v>93.829237867993598</v>
      </c>
      <c r="AK298">
        <v>12.424736741075099</v>
      </c>
      <c r="AL298">
        <v>89.405974767946304</v>
      </c>
      <c r="AM298">
        <v>87.919563840981397</v>
      </c>
      <c r="AN298">
        <v>0.99999996098414401</v>
      </c>
    </row>
    <row r="299" spans="1:40" x14ac:dyDescent="0.25">
      <c r="A299" t="str">
        <f>"20190312154219117"</f>
        <v>20190312154219117</v>
      </c>
      <c r="B299" t="str">
        <f>"1552376539107560"</f>
        <v>1552376539107560</v>
      </c>
      <c r="C299" t="s">
        <v>40</v>
      </c>
      <c r="D299">
        <v>5.0833320000000004</v>
      </c>
      <c r="E299">
        <v>0.46275450000000001</v>
      </c>
      <c r="F299" t="s">
        <v>43</v>
      </c>
      <c r="G299">
        <v>-393.99169999999998</v>
      </c>
      <c r="H299" s="1">
        <v>-2.7165379999999999E-6</v>
      </c>
      <c r="I299">
        <v>368.73289999999997</v>
      </c>
      <c r="J299">
        <v>-407.1422</v>
      </c>
      <c r="K299">
        <v>1.0610310000000001</v>
      </c>
      <c r="L299">
        <v>367.95699999999999</v>
      </c>
      <c r="M299">
        <v>0.99986140000000001</v>
      </c>
      <c r="N299">
        <v>0</v>
      </c>
      <c r="O299">
        <v>-7.2984959999999998E-3</v>
      </c>
      <c r="P299">
        <v>0.9990388</v>
      </c>
      <c r="Q299">
        <v>-4.2805220000000001E-3</v>
      </c>
      <c r="R299">
        <v>-4.3624950000000003E-2</v>
      </c>
      <c r="S299">
        <v>3.0095519999999998</v>
      </c>
      <c r="T299">
        <v>-0.23838190000000001</v>
      </c>
      <c r="U299">
        <v>0.17404169999999999</v>
      </c>
      <c r="V299">
        <v>3.6321430000000002E-2</v>
      </c>
      <c r="W299">
        <v>1.0714629999999999E-2</v>
      </c>
      <c r="X299">
        <v>0.99928269999999997</v>
      </c>
      <c r="Y299">
        <v>-6.479385E-2</v>
      </c>
      <c r="Z299">
        <v>3.1367779999999998E-3</v>
      </c>
      <c r="AA299">
        <v>0.99789380000000005</v>
      </c>
      <c r="AB299">
        <v>26</v>
      </c>
      <c r="AC299">
        <v>13.150499999999999</v>
      </c>
      <c r="AD299">
        <v>-1.0610337165379999</v>
      </c>
      <c r="AE299">
        <v>0.77589999999997805</v>
      </c>
      <c r="AF299">
        <v>-0.86624932137798905</v>
      </c>
      <c r="AG299">
        <v>-1.0610337165379999</v>
      </c>
      <c r="AH299">
        <v>13.0597634044248</v>
      </c>
      <c r="AI299">
        <v>94.634624763163103</v>
      </c>
      <c r="AJ299">
        <v>93.794849277067996</v>
      </c>
      <c r="AK299">
        <v>13.1313975118406</v>
      </c>
      <c r="AL299">
        <v>89.386085163976901</v>
      </c>
      <c r="AM299">
        <v>87.918357927359594</v>
      </c>
      <c r="AN299">
        <v>0.99999998204628504</v>
      </c>
    </row>
    <row r="300" spans="1:40" x14ac:dyDescent="0.25">
      <c r="A300" t="str">
        <f>"20190312154219140"</f>
        <v>20190312154219140</v>
      </c>
      <c r="B300" t="str">
        <f>"1552376539128056"</f>
        <v>1552376539128056</v>
      </c>
      <c r="C300" t="s">
        <v>40</v>
      </c>
      <c r="D300">
        <v>5.0029459999999997</v>
      </c>
      <c r="E300">
        <v>0.4627231</v>
      </c>
      <c r="F300" t="s">
        <v>43</v>
      </c>
      <c r="G300">
        <v>-393.04899999999998</v>
      </c>
      <c r="H300" s="1">
        <v>-3.1135750000000001E-6</v>
      </c>
      <c r="I300">
        <v>368.77460000000002</v>
      </c>
      <c r="J300">
        <v>-406.87860000000001</v>
      </c>
      <c r="K300">
        <v>1.061029</v>
      </c>
      <c r="L300">
        <v>367.95569999999998</v>
      </c>
      <c r="M300">
        <v>0.99986560000000002</v>
      </c>
      <c r="N300">
        <v>0</v>
      </c>
      <c r="O300">
        <v>-6.7134539999999998E-3</v>
      </c>
      <c r="P300">
        <v>0.99905200000000005</v>
      </c>
      <c r="Q300">
        <v>-4.3441520000000004E-3</v>
      </c>
      <c r="R300">
        <v>-4.3320980000000002E-2</v>
      </c>
      <c r="S300">
        <v>3.0095209999999999</v>
      </c>
      <c r="T300">
        <v>-0.2265761</v>
      </c>
      <c r="U300">
        <v>0.1745911</v>
      </c>
      <c r="V300">
        <v>3.6602059999999999E-2</v>
      </c>
      <c r="W300">
        <v>1.0645490000000001E-2</v>
      </c>
      <c r="X300">
        <v>0.99927319999999997</v>
      </c>
      <c r="Y300">
        <v>-6.441653E-2</v>
      </c>
      <c r="Z300">
        <v>2.9237669999999999E-3</v>
      </c>
      <c r="AA300">
        <v>0.99791879999999999</v>
      </c>
      <c r="AB300">
        <v>26</v>
      </c>
      <c r="AC300">
        <v>13.8295999999999</v>
      </c>
      <c r="AD300">
        <v>-1.061032113575</v>
      </c>
      <c r="AE300">
        <v>0.81890000000004104</v>
      </c>
      <c r="AF300">
        <v>-0.90641955256180196</v>
      </c>
      <c r="AG300">
        <v>-1.061032113575</v>
      </c>
      <c r="AH300">
        <v>13.743177048727</v>
      </c>
      <c r="AI300">
        <v>94.405189102645593</v>
      </c>
      <c r="AJ300">
        <v>93.773429326004901</v>
      </c>
      <c r="AK300">
        <v>13.8138445388661</v>
      </c>
      <c r="AL300">
        <v>89.390046820618096</v>
      </c>
      <c r="AM300">
        <v>87.902268940080006</v>
      </c>
      <c r="AN300">
        <v>0.99999998274591095</v>
      </c>
    </row>
    <row r="301" spans="1:40" x14ac:dyDescent="0.25">
      <c r="A301" t="str">
        <f>"20190312154219161"</f>
        <v>20190312154219161</v>
      </c>
      <c r="B301" t="str">
        <f>"1552376539157336"</f>
        <v>1552376539157336</v>
      </c>
      <c r="C301" t="s">
        <v>40</v>
      </c>
      <c r="D301">
        <v>5.0231279999999998</v>
      </c>
      <c r="E301">
        <v>0.46244619999999997</v>
      </c>
      <c r="F301" t="s">
        <v>43</v>
      </c>
      <c r="G301">
        <v>-392.39420000000001</v>
      </c>
      <c r="H301" s="1">
        <v>-3.3897590000000001E-6</v>
      </c>
      <c r="I301">
        <v>368.80110000000002</v>
      </c>
      <c r="J301">
        <v>-406.6379</v>
      </c>
      <c r="K301">
        <v>1.061023</v>
      </c>
      <c r="L301">
        <v>367.9547</v>
      </c>
      <c r="M301">
        <v>0.99986900000000001</v>
      </c>
      <c r="N301">
        <v>0</v>
      </c>
      <c r="O301">
        <v>-6.1811089999999997E-3</v>
      </c>
      <c r="P301">
        <v>0.99904999999999999</v>
      </c>
      <c r="Q301">
        <v>-4.8516560000000002E-3</v>
      </c>
      <c r="R301">
        <v>-4.3311189999999999E-2</v>
      </c>
      <c r="S301">
        <v>3.0095209999999999</v>
      </c>
      <c r="T301">
        <v>-0.22045729999999999</v>
      </c>
      <c r="U301">
        <v>0.17565919999999999</v>
      </c>
      <c r="V301">
        <v>3.7124940000000002E-2</v>
      </c>
      <c r="W301">
        <v>1.013244E-2</v>
      </c>
      <c r="X301">
        <v>0.99925920000000001</v>
      </c>
      <c r="Y301">
        <v>-6.4250730000000006E-2</v>
      </c>
      <c r="Z301">
        <v>2.8000159999999998E-3</v>
      </c>
      <c r="AA301">
        <v>0.99792990000000004</v>
      </c>
      <c r="AB301">
        <v>26</v>
      </c>
      <c r="AC301">
        <v>14.243699999999899</v>
      </c>
      <c r="AD301">
        <v>-1.061026389759</v>
      </c>
      <c r="AE301">
        <v>0.84640000000001603</v>
      </c>
      <c r="AF301">
        <v>-0.92929711149913896</v>
      </c>
      <c r="AG301">
        <v>-1.061026389759</v>
      </c>
      <c r="AH301">
        <v>14.159900187517801</v>
      </c>
      <c r="AI301">
        <v>94.276101153557804</v>
      </c>
      <c r="AJ301">
        <v>93.754867930450004</v>
      </c>
      <c r="AK301">
        <v>14.229973416759201</v>
      </c>
      <c r="AL301">
        <v>89.419443981705001</v>
      </c>
      <c r="AM301">
        <v>87.872299296595401</v>
      </c>
      <c r="AN301">
        <v>0.99999993814749599</v>
      </c>
    </row>
    <row r="302" spans="1:40" x14ac:dyDescent="0.25">
      <c r="A302" t="str">
        <f>"20190312154219183"</f>
        <v>20190312154219183</v>
      </c>
      <c r="B302" t="str">
        <f>"1552376539177833"</f>
        <v>1552376539177833</v>
      </c>
      <c r="C302" t="s">
        <v>40</v>
      </c>
      <c r="D302">
        <v>4.9511050000000001</v>
      </c>
      <c r="E302">
        <v>0.46243200000000001</v>
      </c>
      <c r="F302" t="s">
        <v>43</v>
      </c>
      <c r="G302">
        <v>-392.08109999999999</v>
      </c>
      <c r="H302" s="1">
        <v>-3.5218899999999998E-6</v>
      </c>
      <c r="I302">
        <v>368.81349999999998</v>
      </c>
      <c r="J302">
        <v>-406.38299999999998</v>
      </c>
      <c r="K302">
        <v>1.0610219999999999</v>
      </c>
      <c r="L302">
        <v>367.9538</v>
      </c>
      <c r="M302">
        <v>0.99987239999999999</v>
      </c>
      <c r="N302">
        <v>0</v>
      </c>
      <c r="O302">
        <v>-5.6193179999999999E-3</v>
      </c>
      <c r="P302">
        <v>0.99905999999999995</v>
      </c>
      <c r="Q302">
        <v>-4.7732699999999996E-3</v>
      </c>
      <c r="R302">
        <v>-4.3084709999999998E-2</v>
      </c>
      <c r="S302">
        <v>3.0095209999999999</v>
      </c>
      <c r="T302">
        <v>-0.21935930000000001</v>
      </c>
      <c r="U302">
        <v>0.1775513</v>
      </c>
      <c r="V302">
        <v>3.7460100000000003E-2</v>
      </c>
      <c r="W302">
        <v>1.0204919999999999E-2</v>
      </c>
      <c r="X302">
        <v>0.99924599999999997</v>
      </c>
      <c r="Y302">
        <v>-6.4318459999999994E-2</v>
      </c>
      <c r="Z302">
        <v>2.7476530000000001E-3</v>
      </c>
      <c r="AA302">
        <v>0.99792559999999997</v>
      </c>
      <c r="AB302">
        <v>26</v>
      </c>
      <c r="AC302">
        <v>14.3019</v>
      </c>
      <c r="AD302">
        <v>-1.06102552189</v>
      </c>
      <c r="AE302">
        <v>0.85969999999997504</v>
      </c>
      <c r="AF302">
        <v>-0.93493514634076302</v>
      </c>
      <c r="AG302">
        <v>-1.06102552189</v>
      </c>
      <c r="AH302">
        <v>14.2188663548592</v>
      </c>
      <c r="AI302">
        <v>94.258395391554004</v>
      </c>
      <c r="AJ302">
        <v>93.761962210316099</v>
      </c>
      <c r="AK302">
        <v>14.289018136433</v>
      </c>
      <c r="AL302">
        <v>89.415290995438895</v>
      </c>
      <c r="AM302">
        <v>87.853080201976894</v>
      </c>
      <c r="AN302">
        <v>0.99999998400010803</v>
      </c>
    </row>
    <row r="303" spans="1:40" x14ac:dyDescent="0.25">
      <c r="A303" t="str">
        <f>"20190312154219206"</f>
        <v>20190312154219206</v>
      </c>
      <c r="B303" t="str">
        <f>"1552376539197352"</f>
        <v>1552376539197352</v>
      </c>
      <c r="C303" t="s">
        <v>40</v>
      </c>
      <c r="D303">
        <v>4.931495</v>
      </c>
      <c r="E303">
        <v>0.46244960000000002</v>
      </c>
      <c r="F303" t="s">
        <v>43</v>
      </c>
      <c r="G303">
        <v>-391.73090000000002</v>
      </c>
      <c r="H303" s="1">
        <v>-3.6707919999999999E-6</v>
      </c>
      <c r="I303">
        <v>368.82100000000003</v>
      </c>
      <c r="J303">
        <v>-406.11610000000002</v>
      </c>
      <c r="K303">
        <v>1.061021</v>
      </c>
      <c r="L303">
        <v>367.95299999999997</v>
      </c>
      <c r="M303">
        <v>0.99987570000000003</v>
      </c>
      <c r="N303">
        <v>0</v>
      </c>
      <c r="O303">
        <v>-5.0336790000000001E-3</v>
      </c>
      <c r="P303">
        <v>0.9990713</v>
      </c>
      <c r="Q303">
        <v>-4.599148E-3</v>
      </c>
      <c r="R303">
        <v>-4.2846389999999998E-2</v>
      </c>
      <c r="S303">
        <v>3.0094910000000001</v>
      </c>
      <c r="T303">
        <v>-0.21793019999999999</v>
      </c>
      <c r="U303">
        <v>0.17813109999999999</v>
      </c>
      <c r="V303">
        <v>3.7806649999999997E-2</v>
      </c>
      <c r="W303">
        <v>1.037275E-2</v>
      </c>
      <c r="X303">
        <v>0.99923119999999999</v>
      </c>
      <c r="Y303">
        <v>-6.3931100000000005E-2</v>
      </c>
      <c r="Z303">
        <v>2.6734929999999999E-3</v>
      </c>
      <c r="AA303">
        <v>0.99795069999999997</v>
      </c>
      <c r="AB303">
        <v>26</v>
      </c>
      <c r="AC303">
        <v>14.3851999999999</v>
      </c>
      <c r="AD303">
        <v>-1.0610246707919999</v>
      </c>
      <c r="AE303">
        <v>0.86799999999993804</v>
      </c>
      <c r="AF303">
        <v>-0.93533754978801198</v>
      </c>
      <c r="AG303">
        <v>-1.0610246707919999</v>
      </c>
      <c r="AH303">
        <v>14.303117681453701</v>
      </c>
      <c r="AI303">
        <v>94.233498666347003</v>
      </c>
      <c r="AJ303">
        <v>93.741470854160497</v>
      </c>
      <c r="AK303">
        <v>14.372884369311</v>
      </c>
      <c r="AL303">
        <v>89.405674523632499</v>
      </c>
      <c r="AM303">
        <v>87.833205450058102</v>
      </c>
      <c r="AN303">
        <v>0.99999996389011103</v>
      </c>
    </row>
    <row r="304" spans="1:40" x14ac:dyDescent="0.25">
      <c r="A304" t="str">
        <f>"20190312154219229"</f>
        <v>20190312154219229</v>
      </c>
      <c r="B304" t="str">
        <f>"1552376539217848"</f>
        <v>1552376539217848</v>
      </c>
      <c r="C304" t="s">
        <v>40</v>
      </c>
      <c r="D304">
        <v>4.9683310000000001</v>
      </c>
      <c r="E304">
        <v>0.46206649999999999</v>
      </c>
      <c r="F304" t="s">
        <v>43</v>
      </c>
      <c r="G304">
        <v>-391.3587</v>
      </c>
      <c r="H304" s="1">
        <v>-3.8291710000000004E-6</v>
      </c>
      <c r="I304">
        <v>368.82830000000001</v>
      </c>
      <c r="J304">
        <v>-405.86110000000002</v>
      </c>
      <c r="K304">
        <v>1.0610200000000001</v>
      </c>
      <c r="L304">
        <v>367.95229999999998</v>
      </c>
      <c r="M304">
        <v>0.9998783</v>
      </c>
      <c r="N304">
        <v>0</v>
      </c>
      <c r="O304">
        <v>-4.474736E-3</v>
      </c>
      <c r="P304">
        <v>0.99910829999999995</v>
      </c>
      <c r="Q304">
        <v>-3.8668420000000001E-3</v>
      </c>
      <c r="R304">
        <v>-4.2045989999999998E-2</v>
      </c>
      <c r="S304">
        <v>3.0094599999999998</v>
      </c>
      <c r="T304">
        <v>-0.21637200000000001</v>
      </c>
      <c r="U304">
        <v>0.17852779999999999</v>
      </c>
      <c r="V304">
        <v>3.7564189999999997E-2</v>
      </c>
      <c r="W304">
        <v>1.1099410000000001E-2</v>
      </c>
      <c r="X304">
        <v>0.99923260000000003</v>
      </c>
      <c r="Y304">
        <v>-6.3509999999999997E-2</v>
      </c>
      <c r="Z304">
        <v>2.5992319999999999E-3</v>
      </c>
      <c r="AA304">
        <v>0.99797780000000003</v>
      </c>
      <c r="AB304">
        <v>26</v>
      </c>
      <c r="AC304">
        <v>14.5024</v>
      </c>
      <c r="AD304">
        <v>-1.0610238291709999</v>
      </c>
      <c r="AE304">
        <v>0.87600000000003297</v>
      </c>
      <c r="AF304">
        <v>-0.93590152686269401</v>
      </c>
      <c r="AG304">
        <v>-1.0610238291709999</v>
      </c>
      <c r="AH304">
        <v>14.421421970829</v>
      </c>
      <c r="AI304">
        <v>94.199026089730694</v>
      </c>
      <c r="AJ304">
        <v>93.713095558503198</v>
      </c>
      <c r="AK304">
        <v>14.490655433580701</v>
      </c>
      <c r="AL304">
        <v>89.364037610586607</v>
      </c>
      <c r="AM304">
        <v>87.847091339895201</v>
      </c>
      <c r="AN304">
        <v>1.0000000270877301</v>
      </c>
    </row>
    <row r="305" spans="1:40" x14ac:dyDescent="0.25">
      <c r="A305" t="str">
        <f>"20190312154219252"</f>
        <v>20190312154219252</v>
      </c>
      <c r="B305" t="str">
        <f>"1552376539248104"</f>
        <v>1552376539248104</v>
      </c>
      <c r="C305" t="s">
        <v>40</v>
      </c>
      <c r="D305">
        <v>4.9432130000000001</v>
      </c>
      <c r="E305">
        <v>0.4617156</v>
      </c>
      <c r="F305" t="s">
        <v>43</v>
      </c>
      <c r="G305">
        <v>-391.01280000000003</v>
      </c>
      <c r="H305" s="1">
        <v>-3.9718029999999997E-6</v>
      </c>
      <c r="I305">
        <v>368.86090000000002</v>
      </c>
      <c r="J305">
        <v>-405.61430000000001</v>
      </c>
      <c r="K305">
        <v>1.061023</v>
      </c>
      <c r="L305">
        <v>367.95179999999999</v>
      </c>
      <c r="M305">
        <v>0.99988089999999996</v>
      </c>
      <c r="N305">
        <v>0</v>
      </c>
      <c r="O305">
        <v>-3.9347399999999999E-3</v>
      </c>
      <c r="P305">
        <v>0.99914309999999995</v>
      </c>
      <c r="Q305">
        <v>-3.4075139999999999E-3</v>
      </c>
      <c r="R305">
        <v>-4.1254489999999998E-2</v>
      </c>
      <c r="S305">
        <v>3.0096129999999999</v>
      </c>
      <c r="T305">
        <v>-0.215058</v>
      </c>
      <c r="U305">
        <v>0.18417359999999999</v>
      </c>
      <c r="V305">
        <v>3.7311740000000003E-2</v>
      </c>
      <c r="W305">
        <v>1.1552379999999999E-2</v>
      </c>
      <c r="X305">
        <v>0.99923689999999998</v>
      </c>
      <c r="Y305">
        <v>-6.4833489999999994E-2</v>
      </c>
      <c r="Z305">
        <v>2.5918849999999999E-3</v>
      </c>
      <c r="AA305">
        <v>0.99789269999999997</v>
      </c>
      <c r="AB305">
        <v>26</v>
      </c>
      <c r="AC305">
        <v>14.6014999999999</v>
      </c>
      <c r="AD305">
        <v>-1.0610269718029901</v>
      </c>
      <c r="AE305">
        <v>0.909100000000023</v>
      </c>
      <c r="AF305">
        <v>-0.96149509562062097</v>
      </c>
      <c r="AG305">
        <v>-1.0610269718029901</v>
      </c>
      <c r="AH305">
        <v>14.521428182153199</v>
      </c>
      <c r="AI305">
        <v>94.169866085495698</v>
      </c>
      <c r="AJ305">
        <v>93.788147847005305</v>
      </c>
      <c r="AK305">
        <v>14.59185140766</v>
      </c>
      <c r="AL305">
        <v>89.338082661043501</v>
      </c>
      <c r="AM305">
        <v>87.861555670160897</v>
      </c>
      <c r="AN305">
        <v>1.0000000028735501</v>
      </c>
    </row>
    <row r="306" spans="1:40" x14ac:dyDescent="0.25">
      <c r="A306" t="str">
        <f>"20190312154219272"</f>
        <v>20190312154219272</v>
      </c>
      <c r="B306" t="str">
        <f>"1552376539267624"</f>
        <v>1552376539267624</v>
      </c>
      <c r="C306" t="s">
        <v>40</v>
      </c>
      <c r="D306">
        <v>4.9623670000000004</v>
      </c>
      <c r="E306">
        <v>0.46145920000000001</v>
      </c>
      <c r="F306" t="s">
        <v>43</v>
      </c>
      <c r="G306">
        <v>-390.89519999999999</v>
      </c>
      <c r="H306" s="1">
        <v>-4.0191759999999998E-6</v>
      </c>
      <c r="I306">
        <v>368.87819999999999</v>
      </c>
      <c r="J306">
        <v>-405.36770000000001</v>
      </c>
      <c r="K306">
        <v>1.061023</v>
      </c>
      <c r="L306">
        <v>367.95150000000001</v>
      </c>
      <c r="M306">
        <v>0.99988290000000002</v>
      </c>
      <c r="N306">
        <v>0</v>
      </c>
      <c r="O306">
        <v>-3.3947460000000001E-3</v>
      </c>
      <c r="P306">
        <v>0.99918320000000005</v>
      </c>
      <c r="Q306">
        <v>-3.2561199999999999E-3</v>
      </c>
      <c r="R306">
        <v>-4.0279759999999998E-2</v>
      </c>
      <c r="S306">
        <v>3.0096440000000002</v>
      </c>
      <c r="T306">
        <v>-0.21694849999999999</v>
      </c>
      <c r="U306">
        <v>0.1894226</v>
      </c>
      <c r="V306">
        <v>3.6876720000000002E-2</v>
      </c>
      <c r="W306">
        <v>1.16978E-2</v>
      </c>
      <c r="X306">
        <v>0.99925140000000001</v>
      </c>
      <c r="Y306">
        <v>-6.6022929999999994E-2</v>
      </c>
      <c r="Z306">
        <v>2.6183740000000001E-3</v>
      </c>
      <c r="AA306">
        <v>0.99781470000000005</v>
      </c>
      <c r="AB306">
        <v>25</v>
      </c>
      <c r="AC306">
        <v>14.4725</v>
      </c>
      <c r="AD306">
        <v>-1.0610270191760001</v>
      </c>
      <c r="AE306">
        <v>0.92669999999998198</v>
      </c>
      <c r="AF306">
        <v>-0.97063488395288799</v>
      </c>
      <c r="AG306">
        <v>-1.0610270191760001</v>
      </c>
      <c r="AH306">
        <v>14.392230221228001</v>
      </c>
      <c r="AI306">
        <v>94.206822161278595</v>
      </c>
      <c r="AJ306">
        <v>93.8582759060847</v>
      </c>
      <c r="AK306">
        <v>14.463893015167001</v>
      </c>
      <c r="AL306">
        <v>89.3297501744523</v>
      </c>
      <c r="AM306">
        <v>87.886495828406595</v>
      </c>
      <c r="AN306">
        <v>1.0000000457023701</v>
      </c>
    </row>
    <row r="307" spans="1:40" x14ac:dyDescent="0.25">
      <c r="A307" t="str">
        <f>"20190312154219285"</f>
        <v>20190312154219285</v>
      </c>
      <c r="B307" t="str">
        <f>"1552376539277384"</f>
        <v>1552376539277384</v>
      </c>
      <c r="C307" t="s">
        <v>40</v>
      </c>
      <c r="D307">
        <v>4.9266699999999997</v>
      </c>
      <c r="E307">
        <v>0.46137990000000001</v>
      </c>
      <c r="F307" t="s">
        <v>43</v>
      </c>
      <c r="G307">
        <v>-390.76679999999999</v>
      </c>
      <c r="H307" s="1">
        <v>-4.0713140000000003E-6</v>
      </c>
      <c r="I307">
        <v>368.89490000000001</v>
      </c>
      <c r="J307">
        <v>-405.21730000000002</v>
      </c>
      <c r="K307">
        <v>1.0610200000000001</v>
      </c>
      <c r="L307">
        <v>367.95139999999998</v>
      </c>
      <c r="M307">
        <v>0.99988390000000005</v>
      </c>
      <c r="N307">
        <v>0</v>
      </c>
      <c r="O307">
        <v>-3.06515E-3</v>
      </c>
      <c r="P307">
        <v>0.99920609999999999</v>
      </c>
      <c r="Q307">
        <v>-3.2410749999999999E-3</v>
      </c>
      <c r="R307">
        <v>-3.9709870000000001E-2</v>
      </c>
      <c r="S307">
        <v>3.0095209999999999</v>
      </c>
      <c r="T307">
        <v>-0.2186961</v>
      </c>
      <c r="U307">
        <v>0.19445799999999999</v>
      </c>
      <c r="V307">
        <v>3.6636259999999997E-2</v>
      </c>
      <c r="W307">
        <v>1.1709249999999999E-2</v>
      </c>
      <c r="X307">
        <v>0.99926009999999998</v>
      </c>
      <c r="Y307">
        <v>-6.7353699999999905E-2</v>
      </c>
      <c r="Z307">
        <v>2.6637190000000002E-3</v>
      </c>
      <c r="AA307">
        <v>0.99772559999999999</v>
      </c>
      <c r="AB307">
        <v>25</v>
      </c>
      <c r="AC307">
        <v>14.4505</v>
      </c>
      <c r="AD307">
        <v>-1.061024071314</v>
      </c>
      <c r="AE307">
        <v>0.94350000000002798</v>
      </c>
      <c r="AF307">
        <v>-0.98251898934734305</v>
      </c>
      <c r="AG307">
        <v>-1.061024071314</v>
      </c>
      <c r="AH307">
        <v>14.3703951349415</v>
      </c>
      <c r="AI307">
        <v>94.212915812934298</v>
      </c>
      <c r="AJ307">
        <v>93.911285559396305</v>
      </c>
      <c r="AK307">
        <v>14.4429696385019</v>
      </c>
      <c r="AL307">
        <v>89.3290940855359</v>
      </c>
      <c r="AM307">
        <v>87.900283127393706</v>
      </c>
      <c r="AN307">
        <v>1.00000003476717</v>
      </c>
    </row>
    <row r="308" spans="1:40" x14ac:dyDescent="0.25">
      <c r="A308" t="str">
        <f>"20190312154219306"</f>
        <v>20190312154219306</v>
      </c>
      <c r="B308" t="str">
        <f>"1552376539297883"</f>
        <v>1552376539297883</v>
      </c>
      <c r="C308" t="s">
        <v>40</v>
      </c>
      <c r="D308">
        <v>5.0711539999999999</v>
      </c>
      <c r="E308">
        <v>0.48072619999999999</v>
      </c>
      <c r="F308" t="s">
        <v>43</v>
      </c>
      <c r="G308">
        <v>-390.73559999999998</v>
      </c>
      <c r="H308" s="1">
        <v>-4.0838480000000002E-6</v>
      </c>
      <c r="I308">
        <v>368.89949999999999</v>
      </c>
      <c r="J308">
        <v>-404.97699999999998</v>
      </c>
      <c r="K308">
        <v>1.0610219999999999</v>
      </c>
      <c r="L308">
        <v>367.95119999999997</v>
      </c>
      <c r="M308">
        <v>0.99988549999999998</v>
      </c>
      <c r="N308">
        <v>0</v>
      </c>
      <c r="O308">
        <v>-2.5382650000000001E-3</v>
      </c>
      <c r="P308">
        <v>0.99924369999999996</v>
      </c>
      <c r="Q308">
        <v>-2.9032509999999999E-3</v>
      </c>
      <c r="R308">
        <v>-3.8783129999999999E-2</v>
      </c>
      <c r="S308">
        <v>3.0094910000000001</v>
      </c>
      <c r="T308">
        <v>-0.22049369999999999</v>
      </c>
      <c r="U308">
        <v>0.197052</v>
      </c>
      <c r="V308">
        <v>3.623556E-2</v>
      </c>
      <c r="W308">
        <v>1.2041100000000001E-2</v>
      </c>
      <c r="X308">
        <v>0.99927069999999996</v>
      </c>
      <c r="Y308">
        <v>-6.7682430000000002E-2</v>
      </c>
      <c r="Z308">
        <v>2.659004E-3</v>
      </c>
      <c r="AA308">
        <v>0.99770340000000002</v>
      </c>
      <c r="AB308">
        <v>25</v>
      </c>
      <c r="AC308">
        <v>14.241400000000001</v>
      </c>
      <c r="AD308">
        <v>-1.0610260838479999</v>
      </c>
      <c r="AE308">
        <v>0.94830000000001702</v>
      </c>
      <c r="AF308">
        <v>-0.97903906401581497</v>
      </c>
      <c r="AG308">
        <v>-1.0610260838479999</v>
      </c>
      <c r="AH308">
        <v>14.160692208658601</v>
      </c>
      <c r="AI308">
        <v>94.274859047170295</v>
      </c>
      <c r="AJ308">
        <v>93.955010292542298</v>
      </c>
      <c r="AK308">
        <v>14.2340963066799</v>
      </c>
      <c r="AL308">
        <v>89.310079094745902</v>
      </c>
      <c r="AM308">
        <v>87.923250049779895</v>
      </c>
      <c r="AN308">
        <v>0.99999996788810597</v>
      </c>
    </row>
    <row r="309" spans="1:40" x14ac:dyDescent="0.25">
      <c r="A309" t="str">
        <f>"20190312154219330"</f>
        <v>20190312154219330</v>
      </c>
      <c r="B309" t="str">
        <f>"1552376539317400"</f>
        <v>1552376539317400</v>
      </c>
      <c r="C309" t="s">
        <v>40</v>
      </c>
      <c r="D309">
        <v>4.9107379999999896</v>
      </c>
      <c r="E309">
        <v>0.49312689999999998</v>
      </c>
      <c r="F309" t="s">
        <v>43</v>
      </c>
      <c r="G309">
        <v>-390.7627</v>
      </c>
      <c r="H309" s="1">
        <v>-4.2022110000000003E-6</v>
      </c>
      <c r="I309">
        <v>368.16660000000002</v>
      </c>
      <c r="J309">
        <v>-404.72239999999999</v>
      </c>
      <c r="K309">
        <v>1.0610269999999999</v>
      </c>
      <c r="L309">
        <v>367.95119999999997</v>
      </c>
      <c r="M309">
        <v>0.99988690000000002</v>
      </c>
      <c r="N309">
        <v>0</v>
      </c>
      <c r="O309">
        <v>-1.9794299999999999E-3</v>
      </c>
      <c r="P309">
        <v>0.99926809999999999</v>
      </c>
      <c r="Q309">
        <v>-2.614314E-3</v>
      </c>
      <c r="R309">
        <v>-3.8165699999999997E-2</v>
      </c>
      <c r="S309">
        <v>3.0034480000000001</v>
      </c>
      <c r="T309">
        <v>-0.22419230000000001</v>
      </c>
      <c r="U309">
        <v>4.553223E-2</v>
      </c>
      <c r="V309">
        <v>3.6176409999999999E-2</v>
      </c>
      <c r="W309">
        <v>1.2323850000000001E-2</v>
      </c>
      <c r="X309">
        <v>0.99926939999999997</v>
      </c>
      <c r="Y309">
        <v>-1.708461E-2</v>
      </c>
      <c r="Z309">
        <v>7.8427520000000004E-4</v>
      </c>
      <c r="AA309">
        <v>0.99985369999999996</v>
      </c>
      <c r="AB309">
        <v>25</v>
      </c>
      <c r="AC309">
        <v>13.9596999999999</v>
      </c>
      <c r="AD309">
        <v>-1.061031202211</v>
      </c>
      <c r="AE309">
        <v>0.215400000000045</v>
      </c>
      <c r="AF309">
        <v>-0.24163927479436101</v>
      </c>
      <c r="AG309">
        <v>-1.061031202211</v>
      </c>
      <c r="AH309">
        <v>13.879085510248199</v>
      </c>
      <c r="AI309">
        <v>94.370996531870702</v>
      </c>
      <c r="AJ309">
        <v>90.997436896596</v>
      </c>
      <c r="AK309">
        <v>13.921680622395099</v>
      </c>
      <c r="AL309">
        <v>89.293877513005398</v>
      </c>
      <c r="AM309">
        <v>87.926634427077403</v>
      </c>
      <c r="AN309">
        <v>0.99999997184783496</v>
      </c>
    </row>
    <row r="310" spans="1:40" x14ac:dyDescent="0.25">
      <c r="A310" t="str">
        <f>"20190312154219351"</f>
        <v>20190312154219351</v>
      </c>
      <c r="B310" t="str">
        <f>"1552376539337896"</f>
        <v>1552376539337896</v>
      </c>
      <c r="C310" t="s">
        <v>40</v>
      </c>
      <c r="D310">
        <v>4.904922</v>
      </c>
      <c r="E310">
        <v>0.49711040000000001</v>
      </c>
      <c r="F310" t="s">
        <v>43</v>
      </c>
      <c r="G310">
        <v>-388.99459999999999</v>
      </c>
      <c r="H310" s="1">
        <v>-8.4442730000000005E-7</v>
      </c>
      <c r="I310">
        <v>367.67610000000002</v>
      </c>
      <c r="J310">
        <v>-404.47719999999998</v>
      </c>
      <c r="K310">
        <v>1.061024</v>
      </c>
      <c r="L310">
        <v>367.95139999999998</v>
      </c>
      <c r="M310">
        <v>0.99988779999999999</v>
      </c>
      <c r="N310">
        <v>0</v>
      </c>
      <c r="O310">
        <v>-1.4412139999999999E-3</v>
      </c>
      <c r="P310">
        <v>0.99928720000000004</v>
      </c>
      <c r="Q310">
        <v>-2.5677120000000002E-3</v>
      </c>
      <c r="R310">
        <v>-3.7662809999999998E-2</v>
      </c>
      <c r="S310">
        <v>2.9996640000000001</v>
      </c>
      <c r="T310">
        <v>-0.2023633</v>
      </c>
      <c r="U310">
        <v>-5.2459720000000001E-2</v>
      </c>
      <c r="V310">
        <v>3.6211409999999999E-2</v>
      </c>
      <c r="W310">
        <v>1.236485E-2</v>
      </c>
      <c r="X310">
        <v>0.99926760000000003</v>
      </c>
      <c r="Y310">
        <v>1.6011580000000001E-2</v>
      </c>
      <c r="Z310">
        <v>-4.4231240000000002E-4</v>
      </c>
      <c r="AA310">
        <v>0.99987170000000003</v>
      </c>
      <c r="AB310">
        <v>25</v>
      </c>
      <c r="AC310">
        <v>15.4825999999999</v>
      </c>
      <c r="AD310">
        <v>-1.0610248444273001</v>
      </c>
      <c r="AE310">
        <v>-0.27529999999995802</v>
      </c>
      <c r="AF310">
        <v>0.25180131233023501</v>
      </c>
      <c r="AG310">
        <v>-1.0610248444273001</v>
      </c>
      <c r="AH310">
        <v>15.4106294161992</v>
      </c>
      <c r="AI310">
        <v>93.938085990795997</v>
      </c>
      <c r="AJ310">
        <v>89.063901390503105</v>
      </c>
      <c r="AK310">
        <v>15.4491642694615</v>
      </c>
      <c r="AL310">
        <v>89.291528188711197</v>
      </c>
      <c r="AM310">
        <v>87.924626502805197</v>
      </c>
      <c r="AN310">
        <v>0.99999994606973297</v>
      </c>
    </row>
    <row r="311" spans="1:40" x14ac:dyDescent="0.25">
      <c r="A311" t="str">
        <f>"20190312154219373"</f>
        <v>20190312154219373</v>
      </c>
      <c r="B311" t="str">
        <f>"1552376539357416"</f>
        <v>1552376539357416</v>
      </c>
      <c r="C311" t="s">
        <v>40</v>
      </c>
      <c r="D311">
        <v>4.8673729999999997</v>
      </c>
      <c r="E311">
        <v>0.49908839999999999</v>
      </c>
      <c r="F311" t="s">
        <v>43</v>
      </c>
      <c r="G311">
        <v>-387.88780000000003</v>
      </c>
      <c r="H311" s="1">
        <v>-1.269911E-6</v>
      </c>
      <c r="I311">
        <v>367.49259999999998</v>
      </c>
      <c r="J311">
        <v>-404.23329999999999</v>
      </c>
      <c r="K311">
        <v>1.061023</v>
      </c>
      <c r="L311">
        <v>367.95159999999998</v>
      </c>
      <c r="M311">
        <v>0.99988849999999996</v>
      </c>
      <c r="N311">
        <v>0</v>
      </c>
      <c r="O311">
        <v>-9.0585809999999998E-4</v>
      </c>
      <c r="P311">
        <v>0.99929730000000005</v>
      </c>
      <c r="Q311">
        <v>-2.3249820000000002E-3</v>
      </c>
      <c r="R311">
        <v>-3.7414129999999997E-2</v>
      </c>
      <c r="S311">
        <v>2.9985050000000002</v>
      </c>
      <c r="T311">
        <v>-0.1917778</v>
      </c>
      <c r="U311">
        <v>-8.2916260000000006E-2</v>
      </c>
      <c r="V311">
        <v>3.6497479999999999E-2</v>
      </c>
      <c r="W311">
        <v>1.2601340000000001E-2</v>
      </c>
      <c r="X311">
        <v>0.99925430000000004</v>
      </c>
      <c r="Y311">
        <v>2.6683720000000001E-2</v>
      </c>
      <c r="Z311">
        <v>-7.9441050000000001E-4</v>
      </c>
      <c r="AA311">
        <v>0.99964359999999997</v>
      </c>
      <c r="AB311">
        <v>25</v>
      </c>
      <c r="AC311">
        <v>16.345499999999902</v>
      </c>
      <c r="AD311">
        <v>-1.061024269911</v>
      </c>
      <c r="AE311">
        <v>-0.45900000000000302</v>
      </c>
      <c r="AF311">
        <v>0.44232912961944998</v>
      </c>
      <c r="AG311">
        <v>-1.061024269911</v>
      </c>
      <c r="AH311">
        <v>16.277376670223799</v>
      </c>
      <c r="AI311">
        <v>93.728118656648803</v>
      </c>
      <c r="AJ311">
        <v>88.443400480501793</v>
      </c>
      <c r="AK311">
        <v>16.317917110483101</v>
      </c>
      <c r="AL311">
        <v>89.277977297880994</v>
      </c>
      <c r="AM311">
        <v>87.908217751171406</v>
      </c>
      <c r="AN311">
        <v>1.0000000079423099</v>
      </c>
    </row>
    <row r="312" spans="1:40" x14ac:dyDescent="0.25">
      <c r="A312" t="str">
        <f>"20190312154219395"</f>
        <v>20190312154219395</v>
      </c>
      <c r="B312" t="str">
        <f>"1552376539387672"</f>
        <v>1552376539387672</v>
      </c>
      <c r="C312" t="s">
        <v>40</v>
      </c>
      <c r="D312">
        <v>4.9138669999999998</v>
      </c>
      <c r="E312">
        <v>0.50090889999999999</v>
      </c>
      <c r="F312" t="s">
        <v>43</v>
      </c>
      <c r="G312">
        <v>-387.28550000000001</v>
      </c>
      <c r="H312" s="1">
        <v>-1.5403910000000001E-6</v>
      </c>
      <c r="I312">
        <v>367.39760000000001</v>
      </c>
      <c r="J312">
        <v>-403.9819</v>
      </c>
      <c r="K312">
        <v>1.0610200000000001</v>
      </c>
      <c r="L312">
        <v>367.95209999999997</v>
      </c>
      <c r="M312">
        <v>0.99988900000000003</v>
      </c>
      <c r="N312">
        <v>0</v>
      </c>
      <c r="O312">
        <v>-3.5369509999999999E-4</v>
      </c>
      <c r="P312">
        <v>0.99930920000000001</v>
      </c>
      <c r="Q312">
        <v>-2.0201149999999998E-3</v>
      </c>
      <c r="R312">
        <v>-3.7112949999999999E-2</v>
      </c>
      <c r="S312">
        <v>2.9980159999999998</v>
      </c>
      <c r="T312">
        <v>-0.18769159999999999</v>
      </c>
      <c r="U312">
        <v>-9.799194E-2</v>
      </c>
      <c r="V312">
        <v>3.674815E-2</v>
      </c>
      <c r="W312">
        <v>1.2899819999999999E-2</v>
      </c>
      <c r="X312">
        <v>0.9992413</v>
      </c>
      <c r="Y312">
        <v>3.2252210000000003E-2</v>
      </c>
      <c r="Z312">
        <v>-9.8620520000000005E-4</v>
      </c>
      <c r="AA312">
        <v>0.99947929999999996</v>
      </c>
      <c r="AB312">
        <v>25</v>
      </c>
      <c r="AC312">
        <v>16.696399999999901</v>
      </c>
      <c r="AD312">
        <v>-1.0610215403909999</v>
      </c>
      <c r="AE312">
        <v>-0.55449999999996102</v>
      </c>
      <c r="AF312">
        <v>0.54638979926151998</v>
      </c>
      <c r="AG312">
        <v>-1.0610215403909999</v>
      </c>
      <c r="AH312">
        <v>16.629513484357201</v>
      </c>
      <c r="AI312">
        <v>93.6487603647806</v>
      </c>
      <c r="AJ312">
        <v>88.118130677798305</v>
      </c>
      <c r="AK312">
        <v>16.672283204418299</v>
      </c>
      <c r="AL312">
        <v>89.260874260250205</v>
      </c>
      <c r="AM312">
        <v>87.893836604791304</v>
      </c>
      <c r="AN312">
        <v>1.00000000375507</v>
      </c>
    </row>
    <row r="313" spans="1:40" x14ac:dyDescent="0.25">
      <c r="A313" t="str">
        <f>"20190312154219417"</f>
        <v>20190312154219417</v>
      </c>
      <c r="B313" t="str">
        <f>"1552376539408169"</f>
        <v>1552376539408169</v>
      </c>
      <c r="C313" t="s">
        <v>40</v>
      </c>
      <c r="D313">
        <v>4.9048600000000002</v>
      </c>
      <c r="E313">
        <v>0.50156800000000001</v>
      </c>
      <c r="F313" t="s">
        <v>43</v>
      </c>
      <c r="G313">
        <v>-386.75830000000002</v>
      </c>
      <c r="H313" s="1">
        <v>-1.7823770000000001E-6</v>
      </c>
      <c r="I313">
        <v>367.30840000000001</v>
      </c>
      <c r="J313">
        <v>-403.72460000000001</v>
      </c>
      <c r="K313">
        <v>1.061015</v>
      </c>
      <c r="L313">
        <v>367.95260000000002</v>
      </c>
      <c r="M313">
        <v>0.99988929999999998</v>
      </c>
      <c r="N313">
        <v>0</v>
      </c>
      <c r="O313">
        <v>2.116978E-4</v>
      </c>
      <c r="P313">
        <v>0.99933130000000003</v>
      </c>
      <c r="Q313">
        <v>-2.0615529999999998E-3</v>
      </c>
      <c r="R313">
        <v>-3.6511799999999997E-2</v>
      </c>
      <c r="S313">
        <v>2.997528</v>
      </c>
      <c r="T313">
        <v>-0.18465529999999999</v>
      </c>
      <c r="U313">
        <v>-0.1119995</v>
      </c>
      <c r="V313">
        <v>3.6712130000000003E-2</v>
      </c>
      <c r="W313">
        <v>1.285262E-2</v>
      </c>
      <c r="X313">
        <v>0.9992432</v>
      </c>
      <c r="Y313">
        <v>3.747814E-2</v>
      </c>
      <c r="Z313">
        <v>-1.165906E-3</v>
      </c>
      <c r="AA313">
        <v>0.99929679999999999</v>
      </c>
      <c r="AB313">
        <v>25</v>
      </c>
      <c r="AC313">
        <v>16.966299999999901</v>
      </c>
      <c r="AD313">
        <v>-1.061016782377</v>
      </c>
      <c r="AE313">
        <v>-0.64420000000001199</v>
      </c>
      <c r="AF313">
        <v>0.64527218713147105</v>
      </c>
      <c r="AG313">
        <v>-1.061016782377</v>
      </c>
      <c r="AH313">
        <v>16.9001645116875</v>
      </c>
      <c r="AI313">
        <v>93.589788238612797</v>
      </c>
      <c r="AJ313">
        <v>87.813428220866896</v>
      </c>
      <c r="AK313">
        <v>16.945727878438099</v>
      </c>
      <c r="AL313">
        <v>89.263578821522103</v>
      </c>
      <c r="AM313">
        <v>87.895903176129394</v>
      </c>
      <c r="AN313">
        <v>0.99999997153812004</v>
      </c>
    </row>
    <row r="314" spans="1:40" x14ac:dyDescent="0.25">
      <c r="A314" t="str">
        <f>"20190312154219431"</f>
        <v>20190312154219431</v>
      </c>
      <c r="B314" t="str">
        <f>"1552376539417928"</f>
        <v>1552376539417928</v>
      </c>
      <c r="C314" t="s">
        <v>40</v>
      </c>
      <c r="D314">
        <v>4.9041030000000001</v>
      </c>
      <c r="E314">
        <v>0.50185469999999999</v>
      </c>
      <c r="F314" t="s">
        <v>43</v>
      </c>
      <c r="G314">
        <v>-386.38490000000002</v>
      </c>
      <c r="H314" s="1">
        <v>-1.9466289999999999E-6</v>
      </c>
      <c r="I314">
        <v>367.28559999999999</v>
      </c>
      <c r="J314">
        <v>-403.5797</v>
      </c>
      <c r="K314">
        <v>1.0610139999999999</v>
      </c>
      <c r="L314">
        <v>367.95299999999997</v>
      </c>
      <c r="M314">
        <v>0.99988920000000003</v>
      </c>
      <c r="N314">
        <v>0</v>
      </c>
      <c r="O314">
        <v>5.2973859999999996E-4</v>
      </c>
      <c r="P314">
        <v>0.99935030000000002</v>
      </c>
      <c r="Q314">
        <v>-2.3916979999999998E-3</v>
      </c>
      <c r="R314">
        <v>-3.5966320000000003E-2</v>
      </c>
      <c r="S314">
        <v>2.9974059999999998</v>
      </c>
      <c r="T314">
        <v>-0.18340989999999999</v>
      </c>
      <c r="U314">
        <v>-0.11529540000000001</v>
      </c>
      <c r="V314">
        <v>3.6484950000000002E-2</v>
      </c>
      <c r="W314">
        <v>1.251886E-2</v>
      </c>
      <c r="X314">
        <v>0.99925580000000003</v>
      </c>
      <c r="Y314">
        <v>3.8892419999999997E-2</v>
      </c>
      <c r="Z314">
        <v>-1.2207310000000001E-3</v>
      </c>
      <c r="AA314">
        <v>0.99924270000000004</v>
      </c>
      <c r="AB314">
        <v>25</v>
      </c>
      <c r="AC314">
        <v>17.194799999999901</v>
      </c>
      <c r="AD314">
        <v>-1.0610159466289999</v>
      </c>
      <c r="AE314">
        <v>-0.66740000000004296</v>
      </c>
      <c r="AF314">
        <v>0.67394741200272601</v>
      </c>
      <c r="AG314">
        <v>-1.0610159466289999</v>
      </c>
      <c r="AH314">
        <v>17.1293207718631</v>
      </c>
      <c r="AI314">
        <v>93.541725245781507</v>
      </c>
      <c r="AJ314">
        <v>87.746878800091906</v>
      </c>
      <c r="AK314">
        <v>17.175377435693498</v>
      </c>
      <c r="AL314">
        <v>89.282703430623599</v>
      </c>
      <c r="AM314">
        <v>87.908938382335705</v>
      </c>
      <c r="AN314">
        <v>1.0000000136329199</v>
      </c>
    </row>
    <row r="315" spans="1:40" x14ac:dyDescent="0.25">
      <c r="A315" t="str">
        <f>"20190312154219451"</f>
        <v>20190312154219451</v>
      </c>
      <c r="B315" t="str">
        <f>"1552376539437449"</f>
        <v>1552376539437449</v>
      </c>
      <c r="C315" t="s">
        <v>40</v>
      </c>
      <c r="D315">
        <v>4.8979670000000004</v>
      </c>
      <c r="E315">
        <v>0.50221280000000001</v>
      </c>
      <c r="F315" t="s">
        <v>43</v>
      </c>
      <c r="G315">
        <v>-386.2903</v>
      </c>
      <c r="H315" s="1">
        <v>-1.9873430000000001E-6</v>
      </c>
      <c r="I315">
        <v>367.28469999999999</v>
      </c>
      <c r="J315">
        <v>-403.36419999999998</v>
      </c>
      <c r="K315">
        <v>1.061013</v>
      </c>
      <c r="L315">
        <v>367.95359999999999</v>
      </c>
      <c r="M315">
        <v>0.99988880000000002</v>
      </c>
      <c r="N315">
        <v>0</v>
      </c>
      <c r="O315">
        <v>1.001245E-3</v>
      </c>
      <c r="P315">
        <v>0.99938749999999998</v>
      </c>
      <c r="Q315">
        <v>-2.4656489999999999E-3</v>
      </c>
      <c r="R315">
        <v>-3.4910249999999997E-2</v>
      </c>
      <c r="S315">
        <v>2.9972840000000001</v>
      </c>
      <c r="T315">
        <v>-0.18393670000000001</v>
      </c>
      <c r="U315">
        <v>-0.11584469999999999</v>
      </c>
      <c r="V315">
        <v>3.5900090000000003E-2</v>
      </c>
      <c r="W315">
        <v>1.2439230000000001E-2</v>
      </c>
      <c r="X315">
        <v>0.99927790000000005</v>
      </c>
      <c r="Y315">
        <v>3.9545490000000003E-2</v>
      </c>
      <c r="Z315">
        <v>-1.2731890000000001E-3</v>
      </c>
      <c r="AA315">
        <v>0.99921700000000002</v>
      </c>
      <c r="AB315">
        <v>25</v>
      </c>
      <c r="AC315">
        <v>17.073899999999899</v>
      </c>
      <c r="AD315">
        <v>-1.0610149873429999</v>
      </c>
      <c r="AE315">
        <v>-0.66890000000000704</v>
      </c>
      <c r="AF315">
        <v>0.68336182582621396</v>
      </c>
      <c r="AG315">
        <v>-1.0610149873429999</v>
      </c>
      <c r="AH315">
        <v>17.007644009292498</v>
      </c>
      <c r="AI315">
        <v>93.5668772538057</v>
      </c>
      <c r="AJ315">
        <v>87.699111127202499</v>
      </c>
      <c r="AK315">
        <v>17.054403857513901</v>
      </c>
      <c r="AL315">
        <v>89.287266193559503</v>
      </c>
      <c r="AM315">
        <v>87.942474878550996</v>
      </c>
      <c r="AN315">
        <v>0.99999993616670302</v>
      </c>
    </row>
    <row r="316" spans="1:40" x14ac:dyDescent="0.25">
      <c r="A316" t="str">
        <f>"20190312154219473"</f>
        <v>20190312154219473</v>
      </c>
      <c r="B316" t="str">
        <f>"1552376539467704"</f>
        <v>1552376539467704</v>
      </c>
      <c r="C316" t="s">
        <v>40</v>
      </c>
      <c r="D316">
        <v>4.9119029999999997</v>
      </c>
      <c r="E316">
        <v>0.50286229999999998</v>
      </c>
      <c r="F316" t="s">
        <v>43</v>
      </c>
      <c r="G316">
        <v>-386.05529999999999</v>
      </c>
      <c r="H316" s="1">
        <v>-2.0878780000000002E-6</v>
      </c>
      <c r="I316">
        <v>367.28620000000001</v>
      </c>
      <c r="J316">
        <v>-403.11369999999999</v>
      </c>
      <c r="K316">
        <v>1.0610059999999999</v>
      </c>
      <c r="L316">
        <v>367.9545</v>
      </c>
      <c r="M316">
        <v>0.9998882</v>
      </c>
      <c r="N316">
        <v>0</v>
      </c>
      <c r="O316">
        <v>1.544658E-3</v>
      </c>
      <c r="P316">
        <v>0.99943439999999995</v>
      </c>
      <c r="Q316">
        <v>-2.1635140000000001E-3</v>
      </c>
      <c r="R316">
        <v>-3.3559930000000002E-2</v>
      </c>
      <c r="S316">
        <v>2.9973749999999999</v>
      </c>
      <c r="T316">
        <v>-0.18373539999999999</v>
      </c>
      <c r="U316">
        <v>-0.1155701</v>
      </c>
      <c r="V316">
        <v>3.50928E-2</v>
      </c>
      <c r="W316">
        <v>1.273437E-2</v>
      </c>
      <c r="X316">
        <v>0.99930289999999999</v>
      </c>
      <c r="Y316">
        <v>3.999424E-2</v>
      </c>
      <c r="Z316">
        <v>-1.3187679999999999E-3</v>
      </c>
      <c r="AA316">
        <v>0.99919899999999995</v>
      </c>
      <c r="AB316">
        <v>25</v>
      </c>
      <c r="AC316">
        <v>17.058399999999999</v>
      </c>
      <c r="AD316">
        <v>-1.0610080878779999</v>
      </c>
      <c r="AE316">
        <v>-0.66829999999998702</v>
      </c>
      <c r="AF316">
        <v>0.69197858254394895</v>
      </c>
      <c r="AG316">
        <v>-1.0610080878779999</v>
      </c>
      <c r="AH316">
        <v>16.991712779501398</v>
      </c>
      <c r="AI316">
        <v>93.570111367506996</v>
      </c>
      <c r="AJ316">
        <v>87.667948111797401</v>
      </c>
      <c r="AK316">
        <v>17.038863685771801</v>
      </c>
      <c r="AL316">
        <v>89.270354606432207</v>
      </c>
      <c r="AM316">
        <v>87.988754553264002</v>
      </c>
      <c r="AN316">
        <v>0.99999997736977297</v>
      </c>
    </row>
    <row r="317" spans="1:40" x14ac:dyDescent="0.25">
      <c r="A317" t="str">
        <f>"20190312154219486"</f>
        <v>20190312154219486</v>
      </c>
      <c r="B317" t="str">
        <f>"1552376539477464"</f>
        <v>1552376539477464</v>
      </c>
      <c r="C317" t="s">
        <v>40</v>
      </c>
      <c r="D317">
        <v>4.9110940000000003</v>
      </c>
      <c r="E317">
        <v>0.50303229999999999</v>
      </c>
      <c r="F317" t="s">
        <v>43</v>
      </c>
      <c r="G317">
        <v>-385.66969999999998</v>
      </c>
      <c r="H317" s="1">
        <v>-2.2552509999999999E-6</v>
      </c>
      <c r="I317">
        <v>367.27530000000002</v>
      </c>
      <c r="J317">
        <v>-402.96660000000003</v>
      </c>
      <c r="K317">
        <v>1.0610029999999999</v>
      </c>
      <c r="L317">
        <v>367.95510000000002</v>
      </c>
      <c r="M317">
        <v>0.99988779999999999</v>
      </c>
      <c r="N317">
        <v>0</v>
      </c>
      <c r="O317">
        <v>1.8609290000000001E-3</v>
      </c>
      <c r="P317">
        <v>0.99944999999999995</v>
      </c>
      <c r="Q317">
        <v>-2.1592920000000002E-3</v>
      </c>
      <c r="R317">
        <v>-3.3100629999999999E-2</v>
      </c>
      <c r="S317">
        <v>2.9973450000000001</v>
      </c>
      <c r="T317">
        <v>-0.1823092</v>
      </c>
      <c r="U317">
        <v>-0.1166992</v>
      </c>
      <c r="V317">
        <v>3.4949710000000002E-2</v>
      </c>
      <c r="W317">
        <v>1.2734850000000001E-2</v>
      </c>
      <c r="X317">
        <v>0.99930790000000003</v>
      </c>
      <c r="Y317">
        <v>4.0685869999999999E-2</v>
      </c>
      <c r="Z317">
        <v>-1.348775E-3</v>
      </c>
      <c r="AA317">
        <v>0.99917109999999998</v>
      </c>
      <c r="AB317">
        <v>25</v>
      </c>
      <c r="AC317">
        <v>17.296900000000001</v>
      </c>
      <c r="AD317">
        <v>-1.0610052552509901</v>
      </c>
      <c r="AE317">
        <v>-0.67979999999999996</v>
      </c>
      <c r="AF317">
        <v>0.70932582418943602</v>
      </c>
      <c r="AG317">
        <v>-1.0610052552509901</v>
      </c>
      <c r="AH317">
        <v>17.230870399125099</v>
      </c>
      <c r="AI317">
        <v>93.520612399202903</v>
      </c>
      <c r="AJ317">
        <v>87.642693554242697</v>
      </c>
      <c r="AK317">
        <v>17.278071940699199</v>
      </c>
      <c r="AL317">
        <v>89.2703270959869</v>
      </c>
      <c r="AM317">
        <v>87.9969586754939</v>
      </c>
      <c r="AN317">
        <v>0.99999996881800701</v>
      </c>
    </row>
    <row r="318" spans="1:40" x14ac:dyDescent="0.25">
      <c r="A318" t="str">
        <f>"20190312154219507"</f>
        <v>20190312154219507</v>
      </c>
      <c r="B318" t="str">
        <f>"1552376539497960"</f>
        <v>1552376539497960</v>
      </c>
      <c r="C318" t="s">
        <v>40</v>
      </c>
      <c r="D318">
        <v>4.9021270000000001</v>
      </c>
      <c r="E318">
        <v>0.50334190000000001</v>
      </c>
      <c r="F318" t="s">
        <v>43</v>
      </c>
      <c r="G318">
        <v>-385.5</v>
      </c>
      <c r="H318" s="1">
        <v>-2.3282279999999999E-6</v>
      </c>
      <c r="I318">
        <v>367.27429999999998</v>
      </c>
      <c r="J318">
        <v>-402.73079999999999</v>
      </c>
      <c r="K318">
        <v>1.0609999999999999</v>
      </c>
      <c r="L318">
        <v>367.95609999999999</v>
      </c>
      <c r="M318">
        <v>0.99988670000000002</v>
      </c>
      <c r="N318">
        <v>0</v>
      </c>
      <c r="O318">
        <v>2.3618549999999999E-3</v>
      </c>
      <c r="P318">
        <v>0.99946710000000005</v>
      </c>
      <c r="Q318">
        <v>-2.3106020000000001E-3</v>
      </c>
      <c r="R318">
        <v>-3.2567180000000001E-2</v>
      </c>
      <c r="S318">
        <v>2.9974059999999998</v>
      </c>
      <c r="T318">
        <v>-0.18207670000000001</v>
      </c>
      <c r="U318">
        <v>-0.1168213</v>
      </c>
      <c r="V318">
        <v>3.4917190000000001E-2</v>
      </c>
      <c r="W318">
        <v>1.25775E-2</v>
      </c>
      <c r="X318">
        <v>0.99931110000000001</v>
      </c>
      <c r="Y318">
        <v>4.1224570000000002E-2</v>
      </c>
      <c r="Z318">
        <v>-1.3937629999999999E-3</v>
      </c>
      <c r="AA318">
        <v>0.99914890000000001</v>
      </c>
      <c r="AB318">
        <v>25</v>
      </c>
      <c r="AC318">
        <v>17.230799999999899</v>
      </c>
      <c r="AD318">
        <v>-1.0610023282279999</v>
      </c>
      <c r="AE318">
        <v>-0.68180000000000895</v>
      </c>
      <c r="AF318">
        <v>0.71977442101378497</v>
      </c>
      <c r="AG318">
        <v>-1.0610023282279999</v>
      </c>
      <c r="AH318">
        <v>17.1641636388891</v>
      </c>
      <c r="AI318">
        <v>93.534138152293394</v>
      </c>
      <c r="AJ318">
        <v>87.598724351196907</v>
      </c>
      <c r="AK318">
        <v>17.211981715659999</v>
      </c>
      <c r="AL318">
        <v>89.279343359984296</v>
      </c>
      <c r="AM318">
        <v>87.998827351908403</v>
      </c>
      <c r="AN318">
        <v>1.00000003912347</v>
      </c>
    </row>
    <row r="319" spans="1:40" x14ac:dyDescent="0.25">
      <c r="A319" t="str">
        <f>"20190312154219532"</f>
        <v>20190312154219532</v>
      </c>
      <c r="B319" t="str">
        <f>"1552376539527240"</f>
        <v>1552376539527240</v>
      </c>
      <c r="C319" t="s">
        <v>40</v>
      </c>
      <c r="D319">
        <v>4.9276770000000001</v>
      </c>
      <c r="E319">
        <v>0.50397619999999999</v>
      </c>
      <c r="F319" t="s">
        <v>43</v>
      </c>
      <c r="G319">
        <v>-385.38920000000002</v>
      </c>
      <c r="H319" s="1">
        <v>-2.375564E-6</v>
      </c>
      <c r="I319">
        <v>367.27539999999999</v>
      </c>
      <c r="J319">
        <v>-402.471</v>
      </c>
      <c r="K319">
        <v>1.0609869999999999</v>
      </c>
      <c r="L319">
        <v>367.95740000000001</v>
      </c>
      <c r="M319">
        <v>0.99988549999999998</v>
      </c>
      <c r="N319">
        <v>0</v>
      </c>
      <c r="O319">
        <v>2.8999149999999999E-3</v>
      </c>
      <c r="P319">
        <v>0.99947019999999998</v>
      </c>
      <c r="Q319">
        <v>-1.797589E-3</v>
      </c>
      <c r="R319">
        <v>-3.2498140000000002E-2</v>
      </c>
      <c r="S319">
        <v>2.9973749999999999</v>
      </c>
      <c r="T319">
        <v>-0.18338579999999999</v>
      </c>
      <c r="U319">
        <v>-0.11764529999999999</v>
      </c>
      <c r="V319">
        <v>3.5386290000000001E-2</v>
      </c>
      <c r="W319">
        <v>1.308291E-2</v>
      </c>
      <c r="X319">
        <v>0.99928810000000001</v>
      </c>
      <c r="Y319">
        <v>4.2033170000000002E-2</v>
      </c>
      <c r="Z319">
        <v>-1.4613569999999999E-3</v>
      </c>
      <c r="AA319">
        <v>0.99911519999999998</v>
      </c>
      <c r="AB319">
        <v>25</v>
      </c>
      <c r="AC319">
        <v>17.081799999999902</v>
      </c>
      <c r="AD319">
        <v>-1.0609893755640001</v>
      </c>
      <c r="AE319">
        <v>-0.68200000000001604</v>
      </c>
      <c r="AF319">
        <v>0.72873144040475402</v>
      </c>
      <c r="AG319">
        <v>-1.0609893755640001</v>
      </c>
      <c r="AH319">
        <v>17.014214945424602</v>
      </c>
      <c r="AI319">
        <v>93.565026819881496</v>
      </c>
      <c r="AJ319">
        <v>87.547478246082093</v>
      </c>
      <c r="AK319">
        <v>17.0628326539412</v>
      </c>
      <c r="AL319">
        <v>89.250383109885803</v>
      </c>
      <c r="AM319">
        <v>87.971917973110806</v>
      </c>
      <c r="AN319">
        <v>1.00000002942782</v>
      </c>
    </row>
    <row r="320" spans="1:40" x14ac:dyDescent="0.25">
      <c r="A320" t="str">
        <f>"20190312154219563"</f>
        <v>20190312154219563</v>
      </c>
      <c r="B320" t="str">
        <f>"1552376539557495"</f>
        <v>1552376539557495</v>
      </c>
      <c r="C320" t="s">
        <v>40</v>
      </c>
      <c r="D320">
        <v>4.921557</v>
      </c>
      <c r="E320">
        <v>0.50442520000000002</v>
      </c>
      <c r="F320" t="s">
        <v>43</v>
      </c>
      <c r="G320">
        <v>-385.3091</v>
      </c>
      <c r="H320" s="1">
        <v>-2.4132410000000001E-6</v>
      </c>
      <c r="I320">
        <v>367.2568</v>
      </c>
      <c r="J320">
        <v>-402.11720000000003</v>
      </c>
      <c r="K320">
        <v>1.060975</v>
      </c>
      <c r="L320">
        <v>367.95929999999998</v>
      </c>
      <c r="M320">
        <v>0.99988339999999998</v>
      </c>
      <c r="N320">
        <v>0</v>
      </c>
      <c r="O320">
        <v>3.6069090000000002E-3</v>
      </c>
      <c r="P320">
        <v>0.99947790000000003</v>
      </c>
      <c r="Q320">
        <v>-1.933251E-3</v>
      </c>
      <c r="R320">
        <v>-3.2262289999999999E-2</v>
      </c>
      <c r="S320">
        <v>2.9972840000000001</v>
      </c>
      <c r="T320">
        <v>-0.18529780000000001</v>
      </c>
      <c r="U320">
        <v>-0.122345</v>
      </c>
      <c r="V320">
        <v>3.585758E-2</v>
      </c>
      <c r="W320">
        <v>1.2937489999999999E-2</v>
      </c>
      <c r="X320">
        <v>0.99927319999999997</v>
      </c>
      <c r="Y320">
        <v>4.4297379999999997E-2</v>
      </c>
      <c r="Z320">
        <v>-1.59011E-3</v>
      </c>
      <c r="AA320">
        <v>0.99901709999999999</v>
      </c>
      <c r="AB320">
        <v>25</v>
      </c>
      <c r="AC320">
        <v>16.8081</v>
      </c>
      <c r="AD320">
        <v>-1.0609774132409999</v>
      </c>
      <c r="AE320">
        <v>-0.70249999999998602</v>
      </c>
      <c r="AF320">
        <v>0.76010403017448802</v>
      </c>
      <c r="AG320">
        <v>-1.0609774132409999</v>
      </c>
      <c r="AH320">
        <v>16.7388765752629</v>
      </c>
      <c r="AI320">
        <v>93.623062009796499</v>
      </c>
      <c r="AJ320">
        <v>87.400013346769995</v>
      </c>
      <c r="AK320">
        <v>16.789681956784602</v>
      </c>
      <c r="AL320">
        <v>89.258715772366003</v>
      </c>
      <c r="AM320">
        <v>87.944899486384799</v>
      </c>
      <c r="AN320">
        <v>1.00000003646459</v>
      </c>
    </row>
    <row r="321" spans="1:40" x14ac:dyDescent="0.25">
      <c r="A321" t="str">
        <f>"20190312154219584"</f>
        <v>20190312154219584</v>
      </c>
      <c r="B321" t="str">
        <f>"1552376539577992"</f>
        <v>1552376539577992</v>
      </c>
      <c r="C321" t="s">
        <v>40</v>
      </c>
      <c r="D321">
        <v>4.9554269999999896</v>
      </c>
      <c r="E321">
        <v>0.50471469999999996</v>
      </c>
      <c r="F321" t="s">
        <v>43</v>
      </c>
      <c r="G321">
        <v>-385.2122</v>
      </c>
      <c r="H321" s="1">
        <v>-2.4551180000000001E-6</v>
      </c>
      <c r="I321">
        <v>367.255</v>
      </c>
      <c r="J321">
        <v>-401.8725</v>
      </c>
      <c r="K321">
        <v>1.060967</v>
      </c>
      <c r="L321">
        <v>367.96080000000001</v>
      </c>
      <c r="M321">
        <v>0.99988140000000003</v>
      </c>
      <c r="N321">
        <v>0</v>
      </c>
      <c r="O321">
        <v>4.080167E-3</v>
      </c>
      <c r="P321">
        <v>0.99948559999999997</v>
      </c>
      <c r="Q321">
        <v>-1.401111E-3</v>
      </c>
      <c r="R321">
        <v>-3.2041460000000001E-2</v>
      </c>
      <c r="S321">
        <v>2.9971619999999999</v>
      </c>
      <c r="T321">
        <v>-0.18810399999999999</v>
      </c>
      <c r="U321">
        <v>-0.1248474</v>
      </c>
      <c r="V321">
        <v>3.6109849999999999E-2</v>
      </c>
      <c r="W321">
        <v>1.346196E-2</v>
      </c>
      <c r="X321">
        <v>0.99925710000000001</v>
      </c>
      <c r="Y321">
        <v>4.559829E-2</v>
      </c>
      <c r="Z321">
        <v>-1.684612E-3</v>
      </c>
      <c r="AA321">
        <v>0.99895840000000002</v>
      </c>
      <c r="AB321">
        <v>25</v>
      </c>
      <c r="AC321">
        <v>16.660299999999999</v>
      </c>
      <c r="AD321">
        <v>-1.060969455118</v>
      </c>
      <c r="AE321">
        <v>-0.70580000000000997</v>
      </c>
      <c r="AF321">
        <v>0.770658650705909</v>
      </c>
      <c r="AG321">
        <v>-1.060969455118</v>
      </c>
      <c r="AH321">
        <v>16.590121151271202</v>
      </c>
      <c r="AI321">
        <v>93.655258847775201</v>
      </c>
      <c r="AJ321">
        <v>87.340358867462598</v>
      </c>
      <c r="AK321">
        <v>16.641865603184499</v>
      </c>
      <c r="AL321">
        <v>89.228663169805898</v>
      </c>
      <c r="AM321">
        <v>87.930420383904405</v>
      </c>
      <c r="AN321">
        <v>0.99999994876723497</v>
      </c>
    </row>
    <row r="322" spans="1:40" x14ac:dyDescent="0.25">
      <c r="A322" t="str">
        <f>"20190312154219607"</f>
        <v>20190312154219607</v>
      </c>
      <c r="B322" t="str">
        <f>"1552376539597528"</f>
        <v>1552376539597528</v>
      </c>
      <c r="C322" t="s">
        <v>40</v>
      </c>
      <c r="D322">
        <v>4.9958320000000001</v>
      </c>
      <c r="E322">
        <v>0.50503799999999999</v>
      </c>
      <c r="F322" t="s">
        <v>43</v>
      </c>
      <c r="G322">
        <v>-384.97120000000001</v>
      </c>
      <c r="H322" s="1">
        <v>-2.560173E-6</v>
      </c>
      <c r="I322">
        <v>367.2457</v>
      </c>
      <c r="J322">
        <v>-401.62520000000001</v>
      </c>
      <c r="K322">
        <v>1.060956</v>
      </c>
      <c r="L322">
        <v>367.9622</v>
      </c>
      <c r="M322">
        <v>0.99987959999999998</v>
      </c>
      <c r="N322">
        <v>0</v>
      </c>
      <c r="O322">
        <v>4.542468E-3</v>
      </c>
      <c r="P322">
        <v>0.99950450000000002</v>
      </c>
      <c r="Q322">
        <v>-1.276031E-3</v>
      </c>
      <c r="R322">
        <v>-3.1452550000000003E-2</v>
      </c>
      <c r="S322">
        <v>2.997223</v>
      </c>
      <c r="T322">
        <v>-0.1881477</v>
      </c>
      <c r="U322">
        <v>-0.12680050000000001</v>
      </c>
      <c r="V322">
        <v>3.5983319999999999E-2</v>
      </c>
      <c r="W322">
        <v>1.3580210000000001E-2</v>
      </c>
      <c r="X322">
        <v>0.99926009999999998</v>
      </c>
      <c r="Y322">
        <v>4.6705969999999999E-2</v>
      </c>
      <c r="Z322">
        <v>-1.7486450000000001E-3</v>
      </c>
      <c r="AA322">
        <v>0.99890710000000005</v>
      </c>
      <c r="AB322">
        <v>25</v>
      </c>
      <c r="AC322">
        <v>16.6539999999999</v>
      </c>
      <c r="AD322">
        <v>-1.0609585601730001</v>
      </c>
      <c r="AE322">
        <v>-0.71649999999999603</v>
      </c>
      <c r="AF322">
        <v>0.78895518094862505</v>
      </c>
      <c r="AG322">
        <v>-1.0609585601730001</v>
      </c>
      <c r="AH322">
        <v>16.583394645419698</v>
      </c>
      <c r="AI322">
        <v>93.656508050087496</v>
      </c>
      <c r="AJ322">
        <v>87.276206421320396</v>
      </c>
      <c r="AK322">
        <v>16.636016990544501</v>
      </c>
      <c r="AL322">
        <v>89.221887351876703</v>
      </c>
      <c r="AM322">
        <v>87.937672166256405</v>
      </c>
      <c r="AN322">
        <v>0.99999998443693805</v>
      </c>
    </row>
    <row r="323" spans="1:40" x14ac:dyDescent="0.25">
      <c r="A323" t="str">
        <f>"20190312154219629"</f>
        <v>20190312154219629</v>
      </c>
      <c r="B323" t="str">
        <f>"1552376539618008"</f>
        <v>1552376539618008</v>
      </c>
      <c r="C323" t="s">
        <v>40</v>
      </c>
      <c r="D323">
        <v>5.041461</v>
      </c>
      <c r="E323">
        <v>0.5290994</v>
      </c>
      <c r="F323" t="s">
        <v>43</v>
      </c>
      <c r="G323">
        <v>-384.83019999999999</v>
      </c>
      <c r="H323" s="1">
        <v>-2.6202229999999999E-6</v>
      </c>
      <c r="I323">
        <v>367.24799999999999</v>
      </c>
      <c r="J323">
        <v>-401.38929999999999</v>
      </c>
      <c r="K323">
        <v>1.0609459999999999</v>
      </c>
      <c r="L323">
        <v>367.96379999999999</v>
      </c>
      <c r="M323">
        <v>0.99987760000000003</v>
      </c>
      <c r="N323">
        <v>0</v>
      </c>
      <c r="O323">
        <v>4.9685950000000001E-3</v>
      </c>
      <c r="P323">
        <v>0.99950249999999996</v>
      </c>
      <c r="Q323">
        <v>-1.175553E-3</v>
      </c>
      <c r="R323">
        <v>-3.1514609999999998E-2</v>
      </c>
      <c r="S323">
        <v>2.9971619999999999</v>
      </c>
      <c r="T323">
        <v>-0.189333</v>
      </c>
      <c r="U323">
        <v>-0.12744140000000001</v>
      </c>
      <c r="V323">
        <v>3.64716E-2</v>
      </c>
      <c r="W323">
        <v>1.3673660000000001E-2</v>
      </c>
      <c r="X323">
        <v>0.99924109999999999</v>
      </c>
      <c r="Y323">
        <v>4.7342349999999998E-2</v>
      </c>
      <c r="Z323">
        <v>-1.8066219999999999E-3</v>
      </c>
      <c r="AA323">
        <v>0.99887709999999996</v>
      </c>
      <c r="AB323">
        <v>25</v>
      </c>
      <c r="AC323">
        <v>16.559100000000001</v>
      </c>
      <c r="AD323">
        <v>-1.0609486202229901</v>
      </c>
      <c r="AE323">
        <v>-0.71579999999994404</v>
      </c>
      <c r="AF323">
        <v>0.79481901741593397</v>
      </c>
      <c r="AG323">
        <v>-1.0609486202229901</v>
      </c>
      <c r="AH323">
        <v>16.487782208371499</v>
      </c>
      <c r="AI323">
        <v>93.677509039479602</v>
      </c>
      <c r="AJ323">
        <v>87.240104974888496</v>
      </c>
      <c r="AK323">
        <v>16.540988827633299</v>
      </c>
      <c r="AL323">
        <v>89.2165325458365</v>
      </c>
      <c r="AM323">
        <v>87.909672108486006</v>
      </c>
      <c r="AN323">
        <v>0.99999996125678103</v>
      </c>
    </row>
    <row r="324" spans="1:40" x14ac:dyDescent="0.25">
      <c r="A324" t="str">
        <f>"20190312154219651"</f>
        <v>20190312154219651</v>
      </c>
      <c r="B324" t="str">
        <f>"1552376539637529"</f>
        <v>1552376539637529</v>
      </c>
      <c r="C324" t="s">
        <v>40</v>
      </c>
      <c r="D324">
        <v>5.0262969999999996</v>
      </c>
      <c r="E324">
        <v>0.53557129999999997</v>
      </c>
      <c r="F324" t="s">
        <v>41</v>
      </c>
      <c r="G324">
        <v>-400.49529999999999</v>
      </c>
      <c r="H324">
        <v>0.90356519999999996</v>
      </c>
      <c r="I324">
        <v>367.87189999999998</v>
      </c>
      <c r="J324">
        <v>-401.14789999999999</v>
      </c>
      <c r="K324">
        <v>1.0609690000000001</v>
      </c>
      <c r="L324">
        <v>367.96550000000002</v>
      </c>
      <c r="M324">
        <v>0.99987360000000003</v>
      </c>
      <c r="N324">
        <v>0</v>
      </c>
      <c r="O324">
        <v>5.385969E-3</v>
      </c>
      <c r="P324">
        <v>0.99951500000000004</v>
      </c>
      <c r="Q324">
        <v>-2.0283390000000001E-3</v>
      </c>
      <c r="R324">
        <v>-3.107414E-2</v>
      </c>
      <c r="S324">
        <v>2.9912109999999998</v>
      </c>
      <c r="T324">
        <v>-0.52666619999999997</v>
      </c>
      <c r="U324">
        <v>-0.30685420000000002</v>
      </c>
      <c r="V324">
        <v>3.6449259999999997E-2</v>
      </c>
      <c r="W324">
        <v>1.295227E-2</v>
      </c>
      <c r="X324">
        <v>0.99925149999999996</v>
      </c>
      <c r="Y324">
        <v>0.1057152</v>
      </c>
      <c r="Z324">
        <v>-1.0150869999999999E-2</v>
      </c>
      <c r="AA324">
        <v>0.99434469999999997</v>
      </c>
      <c r="AB324">
        <v>25</v>
      </c>
      <c r="AC324">
        <v>0.65260000000000595</v>
      </c>
      <c r="AD324">
        <v>-0.15740380000000001</v>
      </c>
      <c r="AE324">
        <v>-9.3600000000037598E-2</v>
      </c>
      <c r="AF324">
        <v>9.1876726349447602E-2</v>
      </c>
      <c r="AG324">
        <v>-0.15740380000000001</v>
      </c>
      <c r="AH324">
        <v>0.61692041477228499</v>
      </c>
      <c r="AI324">
        <v>104.163497951325</v>
      </c>
      <c r="AJ324">
        <v>81.529313071711698</v>
      </c>
      <c r="AK324">
        <v>0.64327916743972002</v>
      </c>
      <c r="AL324">
        <v>89.257868794549694</v>
      </c>
      <c r="AM324">
        <v>87.910973088256199</v>
      </c>
      <c r="AN324">
        <v>0.99999993505247298</v>
      </c>
    </row>
    <row r="325" spans="1:40" x14ac:dyDescent="0.25">
      <c r="A325" t="str">
        <f>"20190312154219674"</f>
        <v>20190312154219674</v>
      </c>
      <c r="B325" t="str">
        <f>"1552376539667784"</f>
        <v>1552376539667784</v>
      </c>
      <c r="C325" t="s">
        <v>40</v>
      </c>
      <c r="D325">
        <v>5.011787</v>
      </c>
      <c r="E325">
        <v>0.53992189999999995</v>
      </c>
      <c r="F325" t="s">
        <v>41</v>
      </c>
      <c r="G325">
        <v>-400.29739999999998</v>
      </c>
      <c r="H325">
        <v>0.86612619999999896</v>
      </c>
      <c r="I325">
        <v>367.8657</v>
      </c>
      <c r="J325">
        <v>-400.90230000000003</v>
      </c>
      <c r="K325">
        <v>1.061312</v>
      </c>
      <c r="L325">
        <v>367.96730000000002</v>
      </c>
      <c r="M325">
        <v>0.9998553</v>
      </c>
      <c r="N325">
        <v>0</v>
      </c>
      <c r="O325">
        <v>5.7638019999999898E-3</v>
      </c>
      <c r="P325">
        <v>0.99951219999999996</v>
      </c>
      <c r="Q325">
        <v>-3.410274E-3</v>
      </c>
      <c r="R325">
        <v>-3.1053879999999999E-2</v>
      </c>
      <c r="S325">
        <v>2.9891969999999999</v>
      </c>
      <c r="T325">
        <v>-0.68486979999999997</v>
      </c>
      <c r="U325">
        <v>-0.35058590000000001</v>
      </c>
      <c r="V325">
        <v>3.680742E-2</v>
      </c>
      <c r="W325">
        <v>1.261994E-2</v>
      </c>
      <c r="X325">
        <v>0.99924270000000004</v>
      </c>
      <c r="Y325">
        <v>0.11901879999999999</v>
      </c>
      <c r="Z325">
        <v>-1.4715519999999999E-2</v>
      </c>
      <c r="AA325">
        <v>0.99278299999999997</v>
      </c>
      <c r="AB325">
        <v>25</v>
      </c>
      <c r="AC325">
        <v>0.60490000000004296</v>
      </c>
      <c r="AD325">
        <v>-0.19518579999999999</v>
      </c>
      <c r="AE325">
        <v>-0.10160000000001899</v>
      </c>
      <c r="AF325">
        <v>9.5422589558781704E-2</v>
      </c>
      <c r="AG325">
        <v>-0.19518579999999999</v>
      </c>
      <c r="AH325">
        <v>0.54873791301613595</v>
      </c>
      <c r="AI325">
        <v>109.31252319155401</v>
      </c>
      <c r="AJ325">
        <v>80.135215763179204</v>
      </c>
      <c r="AK325">
        <v>0.59018324637441899</v>
      </c>
      <c r="AL325">
        <v>89.276911514054206</v>
      </c>
      <c r="AM325">
        <v>87.890445656031005</v>
      </c>
      <c r="AN325">
        <v>1.0000000112779699</v>
      </c>
    </row>
    <row r="326" spans="1:40" x14ac:dyDescent="0.25">
      <c r="A326" t="str">
        <f>"20190312154219698"</f>
        <v>20190312154219698</v>
      </c>
      <c r="B326" t="str">
        <f>"1552376539687304"</f>
        <v>1552376539687304</v>
      </c>
      <c r="C326" t="s">
        <v>40</v>
      </c>
      <c r="D326">
        <v>5.0514419999999998</v>
      </c>
      <c r="E326">
        <v>0.54111359999999997</v>
      </c>
      <c r="F326" t="s">
        <v>41</v>
      </c>
      <c r="G326">
        <v>-400.09280000000001</v>
      </c>
      <c r="H326">
        <v>0.84995789999999904</v>
      </c>
      <c r="I326">
        <v>367.86349999999999</v>
      </c>
      <c r="J326">
        <v>-400.65440000000001</v>
      </c>
      <c r="K326">
        <v>1.062092</v>
      </c>
      <c r="L326">
        <v>367.9692</v>
      </c>
      <c r="M326">
        <v>0.99983659999999996</v>
      </c>
      <c r="N326">
        <v>0</v>
      </c>
      <c r="O326">
        <v>6.1322850000000003E-3</v>
      </c>
      <c r="P326">
        <v>0.99950930000000004</v>
      </c>
      <c r="Q326">
        <v>-4.7055129999999997E-3</v>
      </c>
      <c r="R326">
        <v>-3.097337E-2</v>
      </c>
      <c r="S326">
        <v>2.9869379999999999</v>
      </c>
      <c r="T326">
        <v>-0.78008279999999997</v>
      </c>
      <c r="U326">
        <v>-0.38146970000000002</v>
      </c>
      <c r="V326">
        <v>3.7096089999999998E-2</v>
      </c>
      <c r="W326">
        <v>1.231145E-2</v>
      </c>
      <c r="X326">
        <v>0.99923589999999995</v>
      </c>
      <c r="Y326">
        <v>0.12832550000000001</v>
      </c>
      <c r="Z326">
        <v>-1.7986619999999998E-2</v>
      </c>
      <c r="AA326">
        <v>0.99156900000000003</v>
      </c>
      <c r="AB326">
        <v>24</v>
      </c>
      <c r="AC326">
        <v>0.56159999999999799</v>
      </c>
      <c r="AD326">
        <v>-0.21213409999999999</v>
      </c>
      <c r="AE326">
        <v>-0.10570000000001301</v>
      </c>
      <c r="AF326">
        <v>9.5924081402253905E-2</v>
      </c>
      <c r="AG326">
        <v>-0.21213409999999999</v>
      </c>
      <c r="AH326">
        <v>0.493005147120398</v>
      </c>
      <c r="AI326">
        <v>112.897599954505</v>
      </c>
      <c r="AJ326">
        <v>78.989519756696495</v>
      </c>
      <c r="AK326">
        <v>0.54521223469661895</v>
      </c>
      <c r="AL326">
        <v>89.294588081100997</v>
      </c>
      <c r="AM326">
        <v>87.873901697554004</v>
      </c>
      <c r="AN326">
        <v>1.0000000377715901</v>
      </c>
    </row>
    <row r="327" spans="1:40" x14ac:dyDescent="0.25">
      <c r="A327" t="str">
        <f>"20190312154219718"</f>
        <v>20190312154219718</v>
      </c>
      <c r="B327" t="str">
        <f>"1552376539707800"</f>
        <v>1552376539707800</v>
      </c>
      <c r="C327" t="s">
        <v>40</v>
      </c>
      <c r="D327">
        <v>5.0922640000000001</v>
      </c>
      <c r="E327">
        <v>0.54172690000000001</v>
      </c>
      <c r="F327" t="s">
        <v>41</v>
      </c>
      <c r="G327">
        <v>-399.8827</v>
      </c>
      <c r="H327">
        <v>0.85273189999999999</v>
      </c>
      <c r="I327">
        <v>367.86810000000003</v>
      </c>
      <c r="J327">
        <v>-400.43189999999998</v>
      </c>
      <c r="K327">
        <v>1.062886</v>
      </c>
      <c r="L327">
        <v>367.971</v>
      </c>
      <c r="M327">
        <v>0.99984070000000003</v>
      </c>
      <c r="N327">
        <v>0</v>
      </c>
      <c r="O327">
        <v>6.4840949999999996E-3</v>
      </c>
      <c r="P327">
        <v>0.99951789999999996</v>
      </c>
      <c r="Q327">
        <v>-4.014816E-3</v>
      </c>
      <c r="R327">
        <v>-3.0796839999999999E-2</v>
      </c>
      <c r="S327">
        <v>2.9855649999999998</v>
      </c>
      <c r="T327">
        <v>-0.81002369999999901</v>
      </c>
      <c r="U327">
        <v>-0.39010620000000001</v>
      </c>
      <c r="V327">
        <v>3.7270900000000003E-2</v>
      </c>
      <c r="W327">
        <v>1.262661E-2</v>
      </c>
      <c r="X327">
        <v>0.99922540000000004</v>
      </c>
      <c r="Y327">
        <v>0.13109749999999901</v>
      </c>
      <c r="Z327">
        <v>-1.9119830000000001E-2</v>
      </c>
      <c r="AA327">
        <v>0.99118510000000004</v>
      </c>
      <c r="AB327">
        <v>24</v>
      </c>
      <c r="AC327">
        <v>0.54919999999998403</v>
      </c>
      <c r="AD327">
        <v>-0.21015410000000001</v>
      </c>
      <c r="AE327">
        <v>-0.102899999999976</v>
      </c>
      <c r="AF327">
        <v>9.3266077821334198E-2</v>
      </c>
      <c r="AG327">
        <v>-0.21015410000000001</v>
      </c>
      <c r="AH327">
        <v>0.48054393423128</v>
      </c>
      <c r="AI327">
        <v>113.234541664248</v>
      </c>
      <c r="AJ327">
        <v>79.016338357129797</v>
      </c>
      <c r="AK327">
        <v>0.53271547729107904</v>
      </c>
      <c r="AL327">
        <v>89.276529294970004</v>
      </c>
      <c r="AM327">
        <v>87.863869598325195</v>
      </c>
      <c r="AN327">
        <v>0.99999997563603005</v>
      </c>
    </row>
    <row r="328" spans="1:40" x14ac:dyDescent="0.25">
      <c r="A328" t="str">
        <f>"20190312154219741"</f>
        <v>20190312154219741</v>
      </c>
      <c r="B328" t="str">
        <f>"1552376539727320"</f>
        <v>1552376539727320</v>
      </c>
      <c r="C328" t="s">
        <v>40</v>
      </c>
      <c r="D328">
        <v>5.0626670000000003</v>
      </c>
      <c r="E328">
        <v>0.54212550000000004</v>
      </c>
      <c r="F328" t="s">
        <v>41</v>
      </c>
      <c r="G328">
        <v>-399.67140000000001</v>
      </c>
      <c r="H328">
        <v>0.85292239999999997</v>
      </c>
      <c r="I328">
        <v>367.87049999999999</v>
      </c>
      <c r="J328">
        <v>-400.18939999999998</v>
      </c>
      <c r="K328">
        <v>1.0637460000000001</v>
      </c>
      <c r="L328">
        <v>367.97309999999999</v>
      </c>
      <c r="M328">
        <v>0.99986900000000001</v>
      </c>
      <c r="N328">
        <v>0</v>
      </c>
      <c r="O328">
        <v>6.8830559999999898E-3</v>
      </c>
      <c r="P328">
        <v>0.99954639999999995</v>
      </c>
      <c r="Q328">
        <v>-1.4935510000000001E-3</v>
      </c>
      <c r="R328">
        <v>-3.008489E-2</v>
      </c>
      <c r="S328">
        <v>2.985992</v>
      </c>
      <c r="T328">
        <v>-0.82437850000000001</v>
      </c>
      <c r="U328">
        <v>-0.39401249999999999</v>
      </c>
      <c r="V328">
        <v>3.6956940000000001E-2</v>
      </c>
      <c r="W328">
        <v>1.3164439999999999E-2</v>
      </c>
      <c r="X328">
        <v>0.99923010000000001</v>
      </c>
      <c r="Y328">
        <v>0.13251270000000001</v>
      </c>
      <c r="Z328">
        <v>-1.9741100000000001E-2</v>
      </c>
      <c r="AA328">
        <v>0.99098470000000005</v>
      </c>
      <c r="AB328">
        <v>23</v>
      </c>
      <c r="AC328">
        <v>0.51799999999997204</v>
      </c>
      <c r="AD328">
        <v>-0.210823599999999</v>
      </c>
      <c r="AE328">
        <v>-0.102599999999995</v>
      </c>
      <c r="AF328">
        <v>9.1568142104716796E-2</v>
      </c>
      <c r="AG328">
        <v>-0.210823599999999</v>
      </c>
      <c r="AH328">
        <v>0.44616612277421402</v>
      </c>
      <c r="AI328">
        <v>114.838233415662</v>
      </c>
      <c r="AJ328">
        <v>78.402046801934702</v>
      </c>
      <c r="AK328">
        <v>0.50189194462238995</v>
      </c>
      <c r="AL328">
        <v>89.245711326891495</v>
      </c>
      <c r="AM328">
        <v>87.881857278083501</v>
      </c>
      <c r="AN328">
        <v>0.99999995532034203</v>
      </c>
    </row>
    <row r="329" spans="1:40" x14ac:dyDescent="0.25">
      <c r="A329" t="str">
        <f>"20190312154219775"</f>
        <v>20190312154219775</v>
      </c>
      <c r="B329" t="str">
        <f>"1552376539767340"</f>
        <v>1552376539767340</v>
      </c>
      <c r="C329" t="s">
        <v>40</v>
      </c>
      <c r="D329">
        <v>5.094481</v>
      </c>
      <c r="E329">
        <v>0.54283429999999999</v>
      </c>
      <c r="F329" t="s">
        <v>41</v>
      </c>
      <c r="G329">
        <v>-399.45510000000002</v>
      </c>
      <c r="H329">
        <v>0.85999119999999996</v>
      </c>
      <c r="I329">
        <v>367.87610000000001</v>
      </c>
      <c r="J329">
        <v>-399.82990000000001</v>
      </c>
      <c r="K329">
        <v>1.065501</v>
      </c>
      <c r="L329">
        <v>367.97640000000001</v>
      </c>
      <c r="M329">
        <v>0.99990990000000002</v>
      </c>
      <c r="N329">
        <v>0</v>
      </c>
      <c r="O329">
        <v>7.4815400000000001E-3</v>
      </c>
      <c r="P329">
        <v>0.99955930000000004</v>
      </c>
      <c r="Q329">
        <v>1.52893E-3</v>
      </c>
      <c r="R329">
        <v>-2.9649100000000001E-2</v>
      </c>
      <c r="S329">
        <v>2.9882200000000001</v>
      </c>
      <c r="T329">
        <v>-0.82924310000000001</v>
      </c>
      <c r="U329">
        <v>-0.39459230000000001</v>
      </c>
      <c r="V329">
        <v>3.7119289999999999E-2</v>
      </c>
      <c r="W329">
        <v>1.26886E-2</v>
      </c>
      <c r="X329">
        <v>0.99923030000000002</v>
      </c>
      <c r="Y329">
        <v>0.1331022</v>
      </c>
      <c r="Z329">
        <v>-2.008126E-2</v>
      </c>
      <c r="AA329">
        <v>0.99089879999999997</v>
      </c>
      <c r="AB329">
        <v>24</v>
      </c>
      <c r="AC329">
        <v>0.37479999999999303</v>
      </c>
      <c r="AD329">
        <v>-0.20550979999999999</v>
      </c>
      <c r="AE329">
        <v>-0.100300000000004</v>
      </c>
      <c r="AF329">
        <v>8.0512722604347706E-2</v>
      </c>
      <c r="AG329">
        <v>-0.20550979999999999</v>
      </c>
      <c r="AH329">
        <v>0.29209001442202898</v>
      </c>
      <c r="AI329">
        <v>124.14855683862601</v>
      </c>
      <c r="AJ329">
        <v>74.5894752138081</v>
      </c>
      <c r="AK329">
        <v>0.36610538499490197</v>
      </c>
      <c r="AL329">
        <v>89.272977275281605</v>
      </c>
      <c r="AM329">
        <v>87.8725613392361</v>
      </c>
      <c r="AN329">
        <v>1.00000001734907</v>
      </c>
    </row>
    <row r="330" spans="1:40" x14ac:dyDescent="0.25">
      <c r="A330" t="str">
        <f>"20190312154219797"</f>
        <v>20190312154219797</v>
      </c>
      <c r="B330" t="str">
        <f>"1552376539787836"</f>
        <v>1552376539787836</v>
      </c>
      <c r="C330" t="s">
        <v>40</v>
      </c>
      <c r="D330">
        <v>5.1048730000000004</v>
      </c>
      <c r="E330">
        <v>0.54294489999999995</v>
      </c>
      <c r="F330" t="s">
        <v>41</v>
      </c>
      <c r="G330">
        <v>-399.03489999999999</v>
      </c>
      <c r="H330">
        <v>0.84236</v>
      </c>
      <c r="I330">
        <v>367.87029999999999</v>
      </c>
      <c r="J330">
        <v>-399.59190000000001</v>
      </c>
      <c r="K330">
        <v>1.066999</v>
      </c>
      <c r="L330">
        <v>367.9787</v>
      </c>
      <c r="M330">
        <v>0.9999268</v>
      </c>
      <c r="N330">
        <v>0</v>
      </c>
      <c r="O330">
        <v>7.8992719999999902E-3</v>
      </c>
      <c r="P330">
        <v>0.99957530000000006</v>
      </c>
      <c r="Q330">
        <v>2.9099880000000001E-3</v>
      </c>
      <c r="R330">
        <v>-2.9001969999999998E-2</v>
      </c>
      <c r="S330">
        <v>2.9907840000000001</v>
      </c>
      <c r="T330">
        <v>-0.83953269999999902</v>
      </c>
      <c r="U330">
        <v>-0.39797969999999999</v>
      </c>
      <c r="V330">
        <v>3.6890480000000003E-2</v>
      </c>
      <c r="W330">
        <v>1.2104520000000001E-2</v>
      </c>
      <c r="X330">
        <v>0.99924599999999997</v>
      </c>
      <c r="Y330">
        <v>0.13432769999999999</v>
      </c>
      <c r="Z330">
        <v>-2.0585860000000001E-2</v>
      </c>
      <c r="AA330">
        <v>0.99072309999999997</v>
      </c>
      <c r="AB330">
        <v>24</v>
      </c>
      <c r="AC330">
        <v>0.55700000000001604</v>
      </c>
      <c r="AD330">
        <v>-0.22463900000000001</v>
      </c>
      <c r="AE330">
        <v>-0.108400000000017</v>
      </c>
      <c r="AF330">
        <v>9.7514547411880703E-2</v>
      </c>
      <c r="AG330">
        <v>-0.22463900000000001</v>
      </c>
      <c r="AH330">
        <v>0.48078007798259298</v>
      </c>
      <c r="AI330">
        <v>114.603734982709</v>
      </c>
      <c r="AJ330">
        <v>78.534479688741101</v>
      </c>
      <c r="AK330">
        <v>0.53955653148015204</v>
      </c>
      <c r="AL330">
        <v>89.306445152141507</v>
      </c>
      <c r="AM330">
        <v>87.885696505902402</v>
      </c>
      <c r="AN330">
        <v>0.99999999771753001</v>
      </c>
    </row>
    <row r="331" spans="1:40" x14ac:dyDescent="0.25">
      <c r="A331" t="str">
        <f>"20190312154219820"</f>
        <v>20190312154219820</v>
      </c>
      <c r="B331" t="str">
        <f>"1552376539807356"</f>
        <v>1552376539807356</v>
      </c>
      <c r="C331" t="s">
        <v>40</v>
      </c>
      <c r="D331">
        <v>5.1267389999999997</v>
      </c>
      <c r="E331">
        <v>0.54347319999999999</v>
      </c>
      <c r="F331" t="s">
        <v>41</v>
      </c>
      <c r="G331">
        <v>-398.81889999999999</v>
      </c>
      <c r="H331">
        <v>0.84991719999999904</v>
      </c>
      <c r="I331">
        <v>367.87569999999999</v>
      </c>
      <c r="J331">
        <v>-399.35680000000002</v>
      </c>
      <c r="K331">
        <v>1.0685800000000001</v>
      </c>
      <c r="L331">
        <v>367.98099999999999</v>
      </c>
      <c r="M331">
        <v>0.99993779999999999</v>
      </c>
      <c r="N331">
        <v>0</v>
      </c>
      <c r="O331">
        <v>8.3279830000000006E-3</v>
      </c>
      <c r="P331">
        <v>0.9995735</v>
      </c>
      <c r="Q331">
        <v>5.0991939999999996E-3</v>
      </c>
      <c r="R331">
        <v>-2.8754289999999998E-2</v>
      </c>
      <c r="S331">
        <v>2.9921880000000001</v>
      </c>
      <c r="T331">
        <v>-0.84045419999999904</v>
      </c>
      <c r="U331">
        <v>-0.39694210000000002</v>
      </c>
      <c r="V331">
        <v>3.7071260000000002E-2</v>
      </c>
      <c r="W331">
        <v>1.2526010000000001E-2</v>
      </c>
      <c r="X331">
        <v>0.99923410000000001</v>
      </c>
      <c r="Y331">
        <v>0.13433020000000001</v>
      </c>
      <c r="Z331">
        <v>-2.071682E-2</v>
      </c>
      <c r="AA331">
        <v>0.99072000000000005</v>
      </c>
      <c r="AB331">
        <v>24</v>
      </c>
      <c r="AC331">
        <v>0.53790000000003602</v>
      </c>
      <c r="AD331">
        <v>-0.21866279999999999</v>
      </c>
      <c r="AE331">
        <v>-0.10529999999999901</v>
      </c>
      <c r="AF331">
        <v>9.4703724390922395E-2</v>
      </c>
      <c r="AG331">
        <v>-0.21866279999999999</v>
      </c>
      <c r="AH331">
        <v>0.463273137377961</v>
      </c>
      <c r="AI331">
        <v>114.817334970094</v>
      </c>
      <c r="AJ331">
        <v>78.446599009764995</v>
      </c>
      <c r="AK331">
        <v>0.52096469682059099</v>
      </c>
      <c r="AL331">
        <v>89.282293711640506</v>
      </c>
      <c r="AM331">
        <v>87.875319657572106</v>
      </c>
      <c r="AN331">
        <v>0.99999998292365799</v>
      </c>
    </row>
    <row r="332" spans="1:40" x14ac:dyDescent="0.25">
      <c r="A332" t="str">
        <f>"20190312154219841"</f>
        <v>20190312154219841</v>
      </c>
      <c r="B332" t="str">
        <f>"1552376539827848"</f>
        <v>1552376539827848</v>
      </c>
      <c r="C332" t="s">
        <v>40</v>
      </c>
      <c r="D332">
        <v>5.1117790000000003</v>
      </c>
      <c r="E332">
        <v>0.54414619999999903</v>
      </c>
      <c r="F332" t="s">
        <v>41</v>
      </c>
      <c r="G332">
        <v>-398.60309999999998</v>
      </c>
      <c r="H332">
        <v>0.85725439999999997</v>
      </c>
      <c r="I332">
        <v>367.88010000000003</v>
      </c>
      <c r="J332">
        <v>-399.12479999999999</v>
      </c>
      <c r="K332">
        <v>1.0701339999999999</v>
      </c>
      <c r="L332">
        <v>367.98340000000002</v>
      </c>
      <c r="M332">
        <v>0.99994530000000004</v>
      </c>
      <c r="N332">
        <v>0</v>
      </c>
      <c r="O332">
        <v>8.7472899999999996E-3</v>
      </c>
      <c r="P332">
        <v>0.99957750000000001</v>
      </c>
      <c r="Q332">
        <v>6.5813809999999999E-3</v>
      </c>
      <c r="R332">
        <v>-2.8315159999999999E-2</v>
      </c>
      <c r="S332">
        <v>2.994049</v>
      </c>
      <c r="T332">
        <v>-0.83955360000000001</v>
      </c>
      <c r="U332">
        <v>-0.39999390000000001</v>
      </c>
      <c r="V332">
        <v>3.7051649999999998E-2</v>
      </c>
      <c r="W332">
        <v>1.2354840000000001E-2</v>
      </c>
      <c r="X332">
        <v>0.99923700000000004</v>
      </c>
      <c r="Y332">
        <v>0.13561139999999999</v>
      </c>
      <c r="Z332">
        <v>-2.0972210000000002E-2</v>
      </c>
      <c r="AA332">
        <v>0.99054010000000003</v>
      </c>
      <c r="AB332">
        <v>24</v>
      </c>
      <c r="AC332">
        <v>0.52170000000000905</v>
      </c>
      <c r="AD332">
        <v>-0.212879599999999</v>
      </c>
      <c r="AE332">
        <v>-0.10329999999999</v>
      </c>
      <c r="AF332">
        <v>9.2964538133108301E-2</v>
      </c>
      <c r="AG332">
        <v>-0.212879599999999</v>
      </c>
      <c r="AH332">
        <v>0.44885895617803501</v>
      </c>
      <c r="AI332">
        <v>114.910733965258</v>
      </c>
      <c r="AJ332">
        <v>78.298737226701405</v>
      </c>
      <c r="AK332">
        <v>0.50540527498998</v>
      </c>
      <c r="AL332">
        <v>89.292101818834297</v>
      </c>
      <c r="AM332">
        <v>87.876448701678996</v>
      </c>
      <c r="AN332">
        <v>1.0000000245040701</v>
      </c>
    </row>
    <row r="333" spans="1:40" x14ac:dyDescent="0.25">
      <c r="A333" t="str">
        <f>"20190312154219864"</f>
        <v>20190312154219864</v>
      </c>
      <c r="B333" t="str">
        <f>"1552376539857635"</f>
        <v>1552376539857635</v>
      </c>
      <c r="C333" t="s">
        <v>40</v>
      </c>
      <c r="D333">
        <v>5.131615</v>
      </c>
      <c r="E333">
        <v>0.54497930000000006</v>
      </c>
      <c r="F333" t="s">
        <v>41</v>
      </c>
      <c r="G333">
        <v>-398.38799999999998</v>
      </c>
      <c r="H333">
        <v>0.86305330000000002</v>
      </c>
      <c r="I333">
        <v>367.8836</v>
      </c>
      <c r="J333">
        <v>-398.88130000000001</v>
      </c>
      <c r="K333">
        <v>1.071723</v>
      </c>
      <c r="L333">
        <v>367.98599999999999</v>
      </c>
      <c r="M333">
        <v>0.99994930000000004</v>
      </c>
      <c r="N333">
        <v>0</v>
      </c>
      <c r="O333">
        <v>9.1739539999999998E-3</v>
      </c>
      <c r="P333">
        <v>0.99956750000000005</v>
      </c>
      <c r="Q333">
        <v>8.6019089999999996E-3</v>
      </c>
      <c r="R333">
        <v>-2.8128690000000001E-2</v>
      </c>
      <c r="S333">
        <v>2.9953609999999999</v>
      </c>
      <c r="T333">
        <v>-0.84201939999999997</v>
      </c>
      <c r="U333">
        <v>-0.40399170000000001</v>
      </c>
      <c r="V333">
        <v>3.7291100000000001E-2</v>
      </c>
      <c r="W333">
        <v>1.277347E-2</v>
      </c>
      <c r="X333">
        <v>0.99922279999999997</v>
      </c>
      <c r="Y333">
        <v>0.13717370000000001</v>
      </c>
      <c r="Z333">
        <v>-2.1352650000000001E-2</v>
      </c>
      <c r="AA333">
        <v>0.99031690000000006</v>
      </c>
      <c r="AB333">
        <v>24</v>
      </c>
      <c r="AC333">
        <v>0.49329999999997598</v>
      </c>
      <c r="AD333">
        <v>-0.20866969999999899</v>
      </c>
      <c r="AE333">
        <v>-0.102399999999988</v>
      </c>
      <c r="AF333">
        <v>9.1265262354648199E-2</v>
      </c>
      <c r="AG333">
        <v>-0.20866969999999899</v>
      </c>
      <c r="AH333">
        <v>0.42024879513470398</v>
      </c>
      <c r="AI333">
        <v>115.88395963620501</v>
      </c>
      <c r="AJ333">
        <v>77.747356376167005</v>
      </c>
      <c r="AK333">
        <v>0.47799732386585903</v>
      </c>
      <c r="AL333">
        <v>89.268114172708295</v>
      </c>
      <c r="AM333">
        <v>87.862707380377003</v>
      </c>
      <c r="AN333">
        <v>0.99999999585744503</v>
      </c>
    </row>
    <row r="334" spans="1:40" x14ac:dyDescent="0.25">
      <c r="A334" t="str">
        <f>"20190312154219887"</f>
        <v>20190312154219887</v>
      </c>
      <c r="B334" t="str">
        <f>"1552376539878134"</f>
        <v>1552376539878134</v>
      </c>
      <c r="C334" t="s">
        <v>40</v>
      </c>
      <c r="D334">
        <v>5.1284359999999998</v>
      </c>
      <c r="E334">
        <v>0.54549239999999999</v>
      </c>
      <c r="F334" t="s">
        <v>41</v>
      </c>
      <c r="G334">
        <v>-398.17180000000002</v>
      </c>
      <c r="H334">
        <v>0.87214389999999997</v>
      </c>
      <c r="I334">
        <v>367.8886</v>
      </c>
      <c r="J334">
        <v>-398.63200000000001</v>
      </c>
      <c r="K334">
        <v>1.073285</v>
      </c>
      <c r="L334">
        <v>367.98869999999999</v>
      </c>
      <c r="M334">
        <v>0.99995040000000002</v>
      </c>
      <c r="N334">
        <v>0</v>
      </c>
      <c r="O334">
        <v>9.595424E-3</v>
      </c>
      <c r="P334">
        <v>0.99956940000000005</v>
      </c>
      <c r="Q334">
        <v>1.0132260000000001E-2</v>
      </c>
      <c r="R334">
        <v>-2.754508E-2</v>
      </c>
      <c r="S334">
        <v>2.9969790000000001</v>
      </c>
      <c r="T334">
        <v>-0.84321550000000001</v>
      </c>
      <c r="U334">
        <v>-0.4100647</v>
      </c>
      <c r="V334">
        <v>3.7128479999999998E-2</v>
      </c>
      <c r="W334">
        <v>1.2858339999999999E-2</v>
      </c>
      <c r="X334">
        <v>0.9992278</v>
      </c>
      <c r="Y334">
        <v>0.1393818</v>
      </c>
      <c r="Z334">
        <v>-2.1787319999999999E-2</v>
      </c>
      <c r="AA334">
        <v>0.98999899999999996</v>
      </c>
      <c r="AB334">
        <v>24</v>
      </c>
      <c r="AC334">
        <v>0.460199999999929</v>
      </c>
      <c r="AD334">
        <v>-0.20114109999999999</v>
      </c>
      <c r="AE334">
        <v>-0.100099999999997</v>
      </c>
      <c r="AF334">
        <v>8.8388827111051393E-2</v>
      </c>
      <c r="AG334">
        <v>-0.20114109999999999</v>
      </c>
      <c r="AH334">
        <v>0.38837712414022202</v>
      </c>
      <c r="AI334">
        <v>116.793258554039</v>
      </c>
      <c r="AJ334">
        <v>77.178719242462805</v>
      </c>
      <c r="AK334">
        <v>0.44621420576076098</v>
      </c>
      <c r="AL334">
        <v>89.263251104622299</v>
      </c>
      <c r="AM334">
        <v>87.872029792652498</v>
      </c>
      <c r="AN334">
        <v>1.00000002861375</v>
      </c>
    </row>
    <row r="335" spans="1:40" x14ac:dyDescent="0.25">
      <c r="A335" t="str">
        <f>"20190312154219910"</f>
        <v>20190312154219910</v>
      </c>
      <c r="B335" t="str">
        <f>"1552376539897651"</f>
        <v>1552376539897651</v>
      </c>
      <c r="C335" t="s">
        <v>40</v>
      </c>
      <c r="D335">
        <v>5.1292119999999999</v>
      </c>
      <c r="E335">
        <v>0.54589860000000001</v>
      </c>
      <c r="F335" t="s">
        <v>41</v>
      </c>
      <c r="G335">
        <v>-397.95519999999999</v>
      </c>
      <c r="H335">
        <v>0.88291469999999905</v>
      </c>
      <c r="I335">
        <v>367.89550000000003</v>
      </c>
      <c r="J335">
        <v>-398.399</v>
      </c>
      <c r="K335">
        <v>1.074892</v>
      </c>
      <c r="L335">
        <v>367.9914</v>
      </c>
      <c r="M335">
        <v>0.99994720000000004</v>
      </c>
      <c r="N335">
        <v>0</v>
      </c>
      <c r="O335">
        <v>1.000175E-2</v>
      </c>
      <c r="P335">
        <v>0.99956769999999995</v>
      </c>
      <c r="Q335">
        <v>1.086486E-2</v>
      </c>
      <c r="R335">
        <v>-2.7324689999999999E-2</v>
      </c>
      <c r="S335">
        <v>2.9984739999999999</v>
      </c>
      <c r="T335">
        <v>-0.84337759999999995</v>
      </c>
      <c r="U335">
        <v>-0.41207890000000003</v>
      </c>
      <c r="V335">
        <v>3.7314029999999998E-2</v>
      </c>
      <c r="W335">
        <v>1.3231669999999999E-2</v>
      </c>
      <c r="X335">
        <v>0.99921599999999999</v>
      </c>
      <c r="Y335">
        <v>0.14032269999999999</v>
      </c>
      <c r="Z335">
        <v>-2.2020930000000001E-2</v>
      </c>
      <c r="AA335">
        <v>0.98986090000000004</v>
      </c>
      <c r="AB335">
        <v>24</v>
      </c>
      <c r="AC335">
        <v>0.44380000000001002</v>
      </c>
      <c r="AD335">
        <v>-0.19197729999999999</v>
      </c>
      <c r="AE335">
        <v>-9.5899999999971897E-2</v>
      </c>
      <c r="AF335">
        <v>8.5117212505169099E-2</v>
      </c>
      <c r="AG335">
        <v>-0.19197729999999999</v>
      </c>
      <c r="AH335">
        <v>0.37566019956205998</v>
      </c>
      <c r="AI335">
        <v>116.49194724273799</v>
      </c>
      <c r="AJ335">
        <v>77.233462441607998</v>
      </c>
      <c r="AK335">
        <v>0.43037287218753401</v>
      </c>
      <c r="AL335">
        <v>89.241859040641799</v>
      </c>
      <c r="AM335">
        <v>87.861379855701401</v>
      </c>
      <c r="AN335">
        <v>1.00000001429091</v>
      </c>
    </row>
    <row r="336" spans="1:40" x14ac:dyDescent="0.25">
      <c r="A336" t="str">
        <f>"20190312154219930"</f>
        <v>20190312154219930</v>
      </c>
      <c r="B336" t="str">
        <f>"1552376539918147"</f>
        <v>1552376539918147</v>
      </c>
      <c r="C336" t="s">
        <v>40</v>
      </c>
      <c r="D336">
        <v>5.1281019999999904</v>
      </c>
      <c r="E336">
        <v>0.54626560000000002</v>
      </c>
      <c r="F336" t="s">
        <v>41</v>
      </c>
      <c r="G336">
        <v>-397.55610000000001</v>
      </c>
      <c r="H336">
        <v>0.83748389999999995</v>
      </c>
      <c r="I336">
        <v>367.87439999999998</v>
      </c>
      <c r="J336">
        <v>-398.17829999999998</v>
      </c>
      <c r="K336">
        <v>1.0768450000000001</v>
      </c>
      <c r="L336">
        <v>367.99400000000003</v>
      </c>
      <c r="M336">
        <v>0.99994190000000005</v>
      </c>
      <c r="N336">
        <v>0</v>
      </c>
      <c r="O336">
        <v>1.0406159999999999E-2</v>
      </c>
      <c r="P336">
        <v>0.99958179999999996</v>
      </c>
      <c r="Q336">
        <v>1.0367929999999999E-2</v>
      </c>
      <c r="R336">
        <v>-2.69947E-2</v>
      </c>
      <c r="S336">
        <v>2.9990839999999999</v>
      </c>
      <c r="T336">
        <v>-0.84486079999999997</v>
      </c>
      <c r="U336">
        <v>-0.41546630000000001</v>
      </c>
      <c r="V336">
        <v>3.7388310000000001E-2</v>
      </c>
      <c r="W336">
        <v>1.3195429999999999E-2</v>
      </c>
      <c r="X336">
        <v>0.99921369999999998</v>
      </c>
      <c r="Y336">
        <v>0.14170769999999999</v>
      </c>
      <c r="Z336">
        <v>-2.2354140000000002E-2</v>
      </c>
      <c r="AA336">
        <v>0.98965610000000004</v>
      </c>
      <c r="AB336">
        <v>24</v>
      </c>
      <c r="AC336">
        <v>0.622199999999963</v>
      </c>
      <c r="AD336">
        <v>-0.23936109999999999</v>
      </c>
      <c r="AE336">
        <v>-0.119600000000048</v>
      </c>
      <c r="AF336">
        <v>0.11032281270602901</v>
      </c>
      <c r="AG336">
        <v>-0.23936109999999999</v>
      </c>
      <c r="AH336">
        <v>0.54337095019820403</v>
      </c>
      <c r="AI336">
        <v>113.35001426201499</v>
      </c>
      <c r="AJ336">
        <v>78.523012484339702</v>
      </c>
      <c r="AK336">
        <v>0.60391791554471996</v>
      </c>
      <c r="AL336">
        <v>89.243935618980899</v>
      </c>
      <c r="AM336">
        <v>87.857121601217898</v>
      </c>
      <c r="AN336">
        <v>1.00000001168261</v>
      </c>
    </row>
    <row r="337" spans="1:40" x14ac:dyDescent="0.25">
      <c r="A337" t="str">
        <f>"20190312154219954"</f>
        <v>20190312154219954</v>
      </c>
      <c r="B337" t="str">
        <f>"1552376539947427"</f>
        <v>1552376539947427</v>
      </c>
      <c r="C337" t="s">
        <v>40</v>
      </c>
      <c r="D337">
        <v>5.1299060000000001</v>
      </c>
      <c r="E337">
        <v>0.54664550000000001</v>
      </c>
      <c r="F337" t="s">
        <v>41</v>
      </c>
      <c r="G337">
        <v>-397.34739999999999</v>
      </c>
      <c r="H337">
        <v>0.84121469999999898</v>
      </c>
      <c r="I337">
        <v>367.87819999999999</v>
      </c>
      <c r="J337">
        <v>-397.93740000000003</v>
      </c>
      <c r="K337">
        <v>1.0792010000000001</v>
      </c>
      <c r="L337">
        <v>367.99689999999998</v>
      </c>
      <c r="M337">
        <v>0.99993620000000005</v>
      </c>
      <c r="N337">
        <v>0</v>
      </c>
      <c r="O337">
        <v>1.084714E-2</v>
      </c>
      <c r="P337">
        <v>0.99959920000000002</v>
      </c>
      <c r="Q337">
        <v>1.033862E-2</v>
      </c>
      <c r="R337">
        <v>-2.6354249999999999E-2</v>
      </c>
      <c r="S337">
        <v>2.9988100000000002</v>
      </c>
      <c r="T337">
        <v>-0.85043409999999997</v>
      </c>
      <c r="U337">
        <v>-0.41744999999999999</v>
      </c>
      <c r="V337">
        <v>3.718838E-2</v>
      </c>
      <c r="W337">
        <v>1.3511550000000001E-2</v>
      </c>
      <c r="X337">
        <v>0.99921689999999996</v>
      </c>
      <c r="Y337">
        <v>0.14266809999999999</v>
      </c>
      <c r="Z337">
        <v>-2.275216E-2</v>
      </c>
      <c r="AA337">
        <v>0.98950899999999997</v>
      </c>
      <c r="AB337">
        <v>23</v>
      </c>
      <c r="AC337">
        <v>0.59000000000003106</v>
      </c>
      <c r="AD337">
        <v>-0.23798630000000001</v>
      </c>
      <c r="AE337">
        <v>-0.11869999999998899</v>
      </c>
      <c r="AF337">
        <v>0.108176708415662</v>
      </c>
      <c r="AG337">
        <v>-0.23798630000000001</v>
      </c>
      <c r="AH337">
        <v>0.50907156746033499</v>
      </c>
      <c r="AI337">
        <v>114.57369392415499</v>
      </c>
      <c r="AJ337">
        <v>78.003208343370005</v>
      </c>
      <c r="AK337">
        <v>0.57227051298128195</v>
      </c>
      <c r="AL337">
        <v>89.225821634146996</v>
      </c>
      <c r="AM337">
        <v>87.868576637373906</v>
      </c>
      <c r="AN337">
        <v>0.99999997541801799</v>
      </c>
    </row>
    <row r="338" spans="1:40" x14ac:dyDescent="0.25">
      <c r="A338" t="str">
        <f>"20190312154219976"</f>
        <v>20190312154219976</v>
      </c>
      <c r="B338" t="str">
        <f>"1552376539967922"</f>
        <v>1552376539967922</v>
      </c>
      <c r="C338" t="s">
        <v>40</v>
      </c>
      <c r="D338">
        <v>5.1083239999999996</v>
      </c>
      <c r="E338">
        <v>0.54684049999999995</v>
      </c>
      <c r="F338" t="s">
        <v>41</v>
      </c>
      <c r="G338">
        <v>-397.13459999999998</v>
      </c>
      <c r="H338">
        <v>0.85040559999999998</v>
      </c>
      <c r="I338">
        <v>367.88440000000003</v>
      </c>
      <c r="J338">
        <v>-397.69560000000001</v>
      </c>
      <c r="K338">
        <v>1.0816699999999999</v>
      </c>
      <c r="L338">
        <v>368</v>
      </c>
      <c r="M338">
        <v>0.99993160000000003</v>
      </c>
      <c r="N338">
        <v>0</v>
      </c>
      <c r="O338">
        <v>1.128345E-2</v>
      </c>
      <c r="P338">
        <v>0.99962090000000003</v>
      </c>
      <c r="Q338">
        <v>1.0845850000000001E-2</v>
      </c>
      <c r="R338">
        <v>-2.5321400000000001E-2</v>
      </c>
      <c r="S338">
        <v>2.9990230000000002</v>
      </c>
      <c r="T338">
        <v>-0.85484189999999904</v>
      </c>
      <c r="U338">
        <v>-0.41873169999999998</v>
      </c>
      <c r="V338">
        <v>3.6591079999999998E-2</v>
      </c>
      <c r="W338">
        <v>1.3982619999999999E-2</v>
      </c>
      <c r="X338">
        <v>0.99923249999999997</v>
      </c>
      <c r="Y338">
        <v>0.14339969999999999</v>
      </c>
      <c r="Z338">
        <v>-2.308665E-2</v>
      </c>
      <c r="AA338">
        <v>0.98939560000000004</v>
      </c>
      <c r="AB338">
        <v>23</v>
      </c>
      <c r="AC338">
        <v>0.56100000000003503</v>
      </c>
      <c r="AD338">
        <v>-0.23126440000000001</v>
      </c>
      <c r="AE338">
        <v>-0.115599999999972</v>
      </c>
      <c r="AF338">
        <v>0.10483313653142901</v>
      </c>
      <c r="AG338">
        <v>-0.23126440000000001</v>
      </c>
      <c r="AH338">
        <v>0.48121400454193902</v>
      </c>
      <c r="AI338">
        <v>115.15342390752799</v>
      </c>
      <c r="AJ338">
        <v>77.710057654609002</v>
      </c>
      <c r="AK338">
        <v>0.54409569690420001</v>
      </c>
      <c r="AL338">
        <v>89.198828783312806</v>
      </c>
      <c r="AM338">
        <v>87.902812320676702</v>
      </c>
      <c r="AN338">
        <v>1.00000000492694</v>
      </c>
    </row>
    <row r="339" spans="1:40" x14ac:dyDescent="0.25">
      <c r="A339" t="str">
        <f>"20190312154219999"</f>
        <v>20190312154219999</v>
      </c>
      <c r="B339" t="str">
        <f>"1552376539987442"</f>
        <v>1552376539987442</v>
      </c>
      <c r="C339" t="s">
        <v>40</v>
      </c>
      <c r="D339">
        <v>5.1056910000000002</v>
      </c>
      <c r="E339">
        <v>0.54700700000000002</v>
      </c>
      <c r="F339" t="s">
        <v>41</v>
      </c>
      <c r="G339">
        <v>-396.9203</v>
      </c>
      <c r="H339">
        <v>0.86025130000000005</v>
      </c>
      <c r="I339">
        <v>367.89210000000003</v>
      </c>
      <c r="J339">
        <v>-397.4631</v>
      </c>
      <c r="K339">
        <v>1.084198</v>
      </c>
      <c r="L339">
        <v>368.00310000000002</v>
      </c>
      <c r="M339">
        <v>0.99992669999999995</v>
      </c>
      <c r="N339">
        <v>0</v>
      </c>
      <c r="O339">
        <v>1.168544E-2</v>
      </c>
      <c r="P339">
        <v>0.99963610000000003</v>
      </c>
      <c r="Q339">
        <v>1.097446E-2</v>
      </c>
      <c r="R339">
        <v>-2.4648320000000001E-2</v>
      </c>
      <c r="S339">
        <v>2.999908</v>
      </c>
      <c r="T339">
        <v>-0.85685250000000002</v>
      </c>
      <c r="U339">
        <v>-0.41680909999999899</v>
      </c>
      <c r="V339">
        <v>3.6320089999999999E-2</v>
      </c>
      <c r="W339">
        <v>1.419145E-2</v>
      </c>
      <c r="X339">
        <v>0.9992394</v>
      </c>
      <c r="Y339">
        <v>0.1431057</v>
      </c>
      <c r="Z339">
        <v>-2.3204470000000001E-2</v>
      </c>
      <c r="AA339">
        <v>0.98943530000000002</v>
      </c>
      <c r="AB339">
        <v>24</v>
      </c>
      <c r="AC339">
        <v>0.54279999999999895</v>
      </c>
      <c r="AD339">
        <v>-0.223946699999999</v>
      </c>
      <c r="AE339">
        <v>-0.11099999999999</v>
      </c>
      <c r="AF339">
        <v>0.10085663930573401</v>
      </c>
      <c r="AG339">
        <v>-0.223946699999999</v>
      </c>
      <c r="AH339">
        <v>0.465421924927584</v>
      </c>
      <c r="AI339">
        <v>115.18547245565</v>
      </c>
      <c r="AJ339">
        <v>77.773087428548706</v>
      </c>
      <c r="AK339">
        <v>0.52625255755790401</v>
      </c>
      <c r="AL339">
        <v>89.186862483713298</v>
      </c>
      <c r="AM339">
        <v>87.918344536415503</v>
      </c>
      <c r="AN339">
        <v>0.99999996235153399</v>
      </c>
    </row>
    <row r="340" spans="1:40" x14ac:dyDescent="0.25">
      <c r="A340" t="str">
        <f>"20190312154220020"</f>
        <v>20190312154220020</v>
      </c>
      <c r="B340" t="str">
        <f>"1552376540007939"</f>
        <v>1552376540007939</v>
      </c>
      <c r="C340" t="s">
        <v>40</v>
      </c>
      <c r="D340">
        <v>5.1084199999999997</v>
      </c>
      <c r="E340">
        <v>0.547127699999999</v>
      </c>
      <c r="F340" t="s">
        <v>41</v>
      </c>
      <c r="G340">
        <v>-396.70659999999998</v>
      </c>
      <c r="H340">
        <v>0.86769719999999995</v>
      </c>
      <c r="I340">
        <v>367.89789999999999</v>
      </c>
      <c r="J340">
        <v>-397.23590000000002</v>
      </c>
      <c r="K340">
        <v>1.0868089999999999</v>
      </c>
      <c r="L340">
        <v>368.0061</v>
      </c>
      <c r="M340">
        <v>0.99992060000000005</v>
      </c>
      <c r="N340">
        <v>0</v>
      </c>
      <c r="O340">
        <v>1.206162E-2</v>
      </c>
      <c r="P340">
        <v>0.99965420000000005</v>
      </c>
      <c r="Q340">
        <v>1.0564270000000001E-2</v>
      </c>
      <c r="R340">
        <v>-2.4085269999999999E-2</v>
      </c>
      <c r="S340">
        <v>3.0002749999999998</v>
      </c>
      <c r="T340">
        <v>-0.85879609999999995</v>
      </c>
      <c r="U340">
        <v>-0.41607670000000002</v>
      </c>
      <c r="V340">
        <v>3.6133289999999998E-2</v>
      </c>
      <c r="W340">
        <v>1.4250570000000001E-2</v>
      </c>
      <c r="X340">
        <v>0.9992453</v>
      </c>
      <c r="Y340">
        <v>0.14318059999999999</v>
      </c>
      <c r="Z340">
        <v>-2.3368340000000001E-2</v>
      </c>
      <c r="AA340">
        <v>0.98942070000000004</v>
      </c>
      <c r="AB340">
        <v>24</v>
      </c>
      <c r="AC340">
        <v>0.52930000000003397</v>
      </c>
      <c r="AD340">
        <v>-0.2191118</v>
      </c>
      <c r="AE340">
        <v>-0.10820000000001</v>
      </c>
      <c r="AF340">
        <v>9.8391617130427794E-2</v>
      </c>
      <c r="AG340">
        <v>-0.2191118</v>
      </c>
      <c r="AH340">
        <v>0.45337863526858702</v>
      </c>
      <c r="AI340">
        <v>115.28102424959999</v>
      </c>
      <c r="AJ340">
        <v>77.755616123217905</v>
      </c>
      <c r="AK340">
        <v>0.51307219583484298</v>
      </c>
      <c r="AL340">
        <v>89.183474789319305</v>
      </c>
      <c r="AM340">
        <v>87.929053692265597</v>
      </c>
      <c r="AN340">
        <v>0.99999993148181698</v>
      </c>
    </row>
    <row r="341" spans="1:40" x14ac:dyDescent="0.25">
      <c r="A341" t="str">
        <f>"20190312154220043"</f>
        <v>20190312154220043</v>
      </c>
      <c r="B341" t="str">
        <f>"1552376540027473"</f>
        <v>1552376540027473</v>
      </c>
      <c r="C341" t="s">
        <v>40</v>
      </c>
      <c r="D341">
        <v>5.1078720000000004</v>
      </c>
      <c r="E341">
        <v>0.54722209999999905</v>
      </c>
      <c r="F341" t="s">
        <v>41</v>
      </c>
      <c r="G341">
        <v>-396.49419999999998</v>
      </c>
      <c r="H341">
        <v>0.87359179999999903</v>
      </c>
      <c r="I341">
        <v>367.90350000000001</v>
      </c>
      <c r="J341">
        <v>-396.99799999999999</v>
      </c>
      <c r="K341">
        <v>1.0895699999999999</v>
      </c>
      <c r="L341">
        <v>368.0095</v>
      </c>
      <c r="M341">
        <v>0.99991220000000003</v>
      </c>
      <c r="N341">
        <v>0</v>
      </c>
      <c r="O341">
        <v>1.245112E-2</v>
      </c>
      <c r="P341">
        <v>0.99967720000000004</v>
      </c>
      <c r="Q341">
        <v>9.6818189999999995E-3</v>
      </c>
      <c r="R341">
        <v>-2.3487859999999999E-2</v>
      </c>
      <c r="S341">
        <v>3.0001530000000001</v>
      </c>
      <c r="T341">
        <v>-0.86240090000000003</v>
      </c>
      <c r="U341">
        <v>-0.41503909999999999</v>
      </c>
      <c r="V341">
        <v>3.5925560000000002E-2</v>
      </c>
      <c r="W341">
        <v>1.4230069999999999E-2</v>
      </c>
      <c r="X341">
        <v>0.99925319999999995</v>
      </c>
      <c r="Y341">
        <v>0.14316899999999999</v>
      </c>
      <c r="Z341">
        <v>-2.3571780000000001E-2</v>
      </c>
      <c r="AA341">
        <v>0.98941749999999995</v>
      </c>
      <c r="AB341">
        <v>24</v>
      </c>
      <c r="AC341">
        <v>0.50380000000006897</v>
      </c>
      <c r="AD341">
        <v>-0.21597820000000001</v>
      </c>
      <c r="AE341">
        <v>-0.105999999999994</v>
      </c>
      <c r="AF341">
        <v>9.5463901436517701E-2</v>
      </c>
      <c r="AG341">
        <v>-0.21597820000000001</v>
      </c>
      <c r="AH341">
        <v>0.42724898977110998</v>
      </c>
      <c r="AI341">
        <v>116.25914723672101</v>
      </c>
      <c r="AJ341">
        <v>77.404797671962896</v>
      </c>
      <c r="AK341">
        <v>0.48816148825276601</v>
      </c>
      <c r="AL341">
        <v>89.1846495680049</v>
      </c>
      <c r="AM341">
        <v>87.940965533196504</v>
      </c>
      <c r="AN341">
        <v>1.0000000492318699</v>
      </c>
    </row>
    <row r="342" spans="1:40" x14ac:dyDescent="0.25">
      <c r="A342" t="str">
        <f>"20190312154220065"</f>
        <v>20190312154220065</v>
      </c>
      <c r="B342" t="str">
        <f>"1552376540058221"</f>
        <v>1552376540058221</v>
      </c>
      <c r="C342" t="s">
        <v>40</v>
      </c>
      <c r="D342">
        <v>5.10032</v>
      </c>
      <c r="E342">
        <v>0.54744879999999996</v>
      </c>
      <c r="F342" t="s">
        <v>41</v>
      </c>
      <c r="G342">
        <v>-396.28129999999999</v>
      </c>
      <c r="H342">
        <v>0.88246119999999995</v>
      </c>
      <c r="I342">
        <v>367.9101</v>
      </c>
      <c r="J342">
        <v>-396.76760000000002</v>
      </c>
      <c r="K342">
        <v>1.092144</v>
      </c>
      <c r="L342">
        <v>368.01280000000003</v>
      </c>
      <c r="M342">
        <v>0.99990270000000003</v>
      </c>
      <c r="N342">
        <v>0</v>
      </c>
      <c r="O342">
        <v>1.2835239999999999E-2</v>
      </c>
      <c r="P342">
        <v>0.99969169999999996</v>
      </c>
      <c r="Q342">
        <v>8.5655460000000003E-3</v>
      </c>
      <c r="R342">
        <v>-2.331051E-2</v>
      </c>
      <c r="S342">
        <v>2.9996640000000001</v>
      </c>
      <c r="T342">
        <v>-0.86695239999999996</v>
      </c>
      <c r="U342">
        <v>-0.41400150000000002</v>
      </c>
      <c r="V342">
        <v>3.6132549999999999E-2</v>
      </c>
      <c r="W342">
        <v>1.4071780000000001E-2</v>
      </c>
      <c r="X342">
        <v>0.99924789999999997</v>
      </c>
      <c r="Y342">
        <v>0.14315349999999999</v>
      </c>
      <c r="Z342">
        <v>-2.3801739999999998E-2</v>
      </c>
      <c r="AA342">
        <v>0.98941429999999997</v>
      </c>
      <c r="AB342">
        <v>24</v>
      </c>
      <c r="AC342">
        <v>0.48630000000002799</v>
      </c>
      <c r="AD342">
        <v>-0.2096828</v>
      </c>
      <c r="AE342">
        <v>-0.10270000000002701</v>
      </c>
      <c r="AF342">
        <v>9.2474883564472699E-2</v>
      </c>
      <c r="AG342">
        <v>-0.2096828</v>
      </c>
      <c r="AH342">
        <v>0.41167288304362298</v>
      </c>
      <c r="AI342">
        <v>116.425509706247</v>
      </c>
      <c r="AJ342">
        <v>77.339689533419602</v>
      </c>
      <c r="AK342">
        <v>0.471161377172993</v>
      </c>
      <c r="AL342">
        <v>89.193719761550796</v>
      </c>
      <c r="AM342">
        <v>87.929101451467702</v>
      </c>
      <c r="AN342">
        <v>0.99999997090813997</v>
      </c>
    </row>
    <row r="343" spans="1:40" x14ac:dyDescent="0.25">
      <c r="A343" t="str">
        <f>"20190312154220099"</f>
        <v>20190312154220099</v>
      </c>
      <c r="B343" t="str">
        <f>"1552376540087502"</f>
        <v>1552376540087502</v>
      </c>
      <c r="C343" t="s">
        <v>40</v>
      </c>
      <c r="D343">
        <v>5.1019119999999996</v>
      </c>
      <c r="E343">
        <v>0.54755089999999995</v>
      </c>
      <c r="F343" t="s">
        <v>41</v>
      </c>
      <c r="G343">
        <v>-396.06979999999999</v>
      </c>
      <c r="H343">
        <v>0.88887359999999904</v>
      </c>
      <c r="I343">
        <v>367.91609999999997</v>
      </c>
      <c r="J343">
        <v>-396.41210000000001</v>
      </c>
      <c r="K343">
        <v>1.0957049999999999</v>
      </c>
      <c r="L343">
        <v>368.0181</v>
      </c>
      <c r="M343">
        <v>0.99988659999999996</v>
      </c>
      <c r="N343">
        <v>0</v>
      </c>
      <c r="O343">
        <v>1.343505E-2</v>
      </c>
      <c r="P343">
        <v>0.99971010000000005</v>
      </c>
      <c r="Q343">
        <v>7.4559240000000001E-3</v>
      </c>
      <c r="R343">
        <v>-2.2900879999999998E-2</v>
      </c>
      <c r="S343">
        <v>2.9987180000000002</v>
      </c>
      <c r="T343">
        <v>-0.87353250000000005</v>
      </c>
      <c r="U343">
        <v>-0.41561890000000001</v>
      </c>
      <c r="V343">
        <v>3.6322260000000002E-2</v>
      </c>
      <c r="W343">
        <v>1.4307790000000001E-2</v>
      </c>
      <c r="X343">
        <v>0.99923770000000001</v>
      </c>
      <c r="Y343">
        <v>0.14415029999999901</v>
      </c>
      <c r="Z343">
        <v>-2.4293780000000001E-2</v>
      </c>
      <c r="AA343">
        <v>0.98925759999999996</v>
      </c>
      <c r="AB343">
        <v>23</v>
      </c>
      <c r="AC343">
        <v>0.34230000000002198</v>
      </c>
      <c r="AD343">
        <v>-0.2068314</v>
      </c>
      <c r="AE343">
        <v>-0.102000000000032</v>
      </c>
      <c r="AF343">
        <v>7.9822717751221697E-2</v>
      </c>
      <c r="AG343">
        <v>-0.2068314</v>
      </c>
      <c r="AH343">
        <v>0.25529160898031</v>
      </c>
      <c r="AI343">
        <v>127.71333742289499</v>
      </c>
      <c r="AJ343">
        <v>72.636960940674001</v>
      </c>
      <c r="AK343">
        <v>0.33811935749215299</v>
      </c>
      <c r="AL343">
        <v>89.180196046699606</v>
      </c>
      <c r="AM343">
        <v>87.918216735505993</v>
      </c>
      <c r="AN343">
        <v>1.0000000002637399</v>
      </c>
    </row>
    <row r="344" spans="1:40" x14ac:dyDescent="0.25">
      <c r="A344" t="str">
        <f>"20190312154220120"</f>
        <v>20190312154220120</v>
      </c>
      <c r="B344" t="str">
        <f>"1552376540107997"</f>
        <v>1552376540107997</v>
      </c>
      <c r="C344" t="s">
        <v>40</v>
      </c>
      <c r="D344">
        <v>5.1121970000000001</v>
      </c>
      <c r="E344">
        <v>0.54765980000000003</v>
      </c>
      <c r="F344" t="s">
        <v>41</v>
      </c>
      <c r="G344">
        <v>-395.65789999999998</v>
      </c>
      <c r="H344">
        <v>0.87474929999999995</v>
      </c>
      <c r="I344">
        <v>367.91309999999999</v>
      </c>
      <c r="J344">
        <v>-396.18970000000002</v>
      </c>
      <c r="K344">
        <v>1.0976859999999999</v>
      </c>
      <c r="L344">
        <v>368.0215</v>
      </c>
      <c r="M344">
        <v>0.99987599999999999</v>
      </c>
      <c r="N344">
        <v>0</v>
      </c>
      <c r="O344">
        <v>1.3807379999999999E-2</v>
      </c>
      <c r="P344">
        <v>0.9997317</v>
      </c>
      <c r="Q344">
        <v>6.3154250000000004E-3</v>
      </c>
      <c r="R344">
        <v>-2.228784E-2</v>
      </c>
      <c r="S344">
        <v>2.9978940000000001</v>
      </c>
      <c r="T344">
        <v>-0.87832679999999996</v>
      </c>
      <c r="U344">
        <v>-0.41531370000000001</v>
      </c>
      <c r="V344">
        <v>3.6082049999999997E-2</v>
      </c>
      <c r="W344">
        <v>1.392064E-2</v>
      </c>
      <c r="X344">
        <v>0.99925180000000002</v>
      </c>
      <c r="Y344">
        <v>0.1443596</v>
      </c>
      <c r="Z344">
        <v>-2.456469E-2</v>
      </c>
      <c r="AA344">
        <v>0.98922030000000005</v>
      </c>
      <c r="AB344">
        <v>23</v>
      </c>
      <c r="AC344">
        <v>0.53180000000003202</v>
      </c>
      <c r="AD344">
        <v>-0.22293669999999999</v>
      </c>
      <c r="AE344">
        <v>-0.108400000000017</v>
      </c>
      <c r="AF344">
        <v>9.9024459449987098E-2</v>
      </c>
      <c r="AG344">
        <v>-0.22293669999999999</v>
      </c>
      <c r="AH344">
        <v>0.45370062019197299</v>
      </c>
      <c r="AI344">
        <v>115.644377240601</v>
      </c>
      <c r="AJ344">
        <v>77.687736991616106</v>
      </c>
      <c r="AK344">
        <v>0.515122187969838</v>
      </c>
      <c r="AL344">
        <v>89.202380260953007</v>
      </c>
      <c r="AM344">
        <v>87.932001354506298</v>
      </c>
      <c r="AN344">
        <v>0.99999992917672298</v>
      </c>
    </row>
    <row r="345" spans="1:40" x14ac:dyDescent="0.25">
      <c r="A345" t="str">
        <f>"20190312154220144"</f>
        <v>20190312154220144</v>
      </c>
      <c r="B345" t="str">
        <f>"1552376540138254"</f>
        <v>1552376540138254</v>
      </c>
      <c r="C345" t="s">
        <v>40</v>
      </c>
      <c r="D345">
        <v>5.1235030000000004</v>
      </c>
      <c r="E345">
        <v>0.5477592</v>
      </c>
      <c r="F345" t="s">
        <v>41</v>
      </c>
      <c r="G345">
        <v>-395.4479</v>
      </c>
      <c r="H345">
        <v>0.87907080000000004</v>
      </c>
      <c r="I345">
        <v>367.91860000000003</v>
      </c>
      <c r="J345">
        <v>-395.93990000000002</v>
      </c>
      <c r="K345">
        <v>1.0996779999999999</v>
      </c>
      <c r="L345">
        <v>368.02550000000002</v>
      </c>
      <c r="M345">
        <v>0.99986370000000002</v>
      </c>
      <c r="N345">
        <v>0</v>
      </c>
      <c r="O345">
        <v>1.422376E-2</v>
      </c>
      <c r="P345">
        <v>0.99975150000000002</v>
      </c>
      <c r="Q345">
        <v>5.523338E-3</v>
      </c>
      <c r="R345">
        <v>-2.1603750000000001E-2</v>
      </c>
      <c r="S345">
        <v>2.9971619999999999</v>
      </c>
      <c r="T345">
        <v>-0.88335319999999995</v>
      </c>
      <c r="U345">
        <v>-0.41427609999999898</v>
      </c>
      <c r="V345">
        <v>3.581442E-2</v>
      </c>
      <c r="W345">
        <v>1.39235E-2</v>
      </c>
      <c r="X345">
        <v>0.99926139999999997</v>
      </c>
      <c r="Y345">
        <v>0.14437320000000001</v>
      </c>
      <c r="Z345">
        <v>-2.482757E-2</v>
      </c>
      <c r="AA345">
        <v>0.98921179999999997</v>
      </c>
      <c r="AB345">
        <v>23</v>
      </c>
      <c r="AC345">
        <v>0.49200000000001798</v>
      </c>
      <c r="AD345">
        <v>-0.2206072</v>
      </c>
      <c r="AE345">
        <v>-0.106899999999996</v>
      </c>
      <c r="AF345">
        <v>9.5544124035417996E-2</v>
      </c>
      <c r="AG345">
        <v>-0.2206072</v>
      </c>
      <c r="AH345">
        <v>0.41143815501006498</v>
      </c>
      <c r="AI345">
        <v>117.577524856952</v>
      </c>
      <c r="AJ345">
        <v>76.926494084169207</v>
      </c>
      <c r="AK345">
        <v>0.47652656980237901</v>
      </c>
      <c r="AL345">
        <v>89.202216388586905</v>
      </c>
      <c r="AM345">
        <v>87.947346774064997</v>
      </c>
      <c r="AN345">
        <v>0.99999994103107104</v>
      </c>
    </row>
    <row r="346" spans="1:40" x14ac:dyDescent="0.25">
      <c r="A346" t="str">
        <f>"20190312154220166"</f>
        <v>20190312154220166</v>
      </c>
      <c r="B346" t="str">
        <f>"1552376540157772"</f>
        <v>1552376540157772</v>
      </c>
      <c r="C346" t="s">
        <v>40</v>
      </c>
      <c r="D346">
        <v>5.072775</v>
      </c>
      <c r="E346">
        <v>0.54775790000000002</v>
      </c>
      <c r="F346" t="s">
        <v>41</v>
      </c>
      <c r="G346">
        <v>-395.23540000000003</v>
      </c>
      <c r="H346">
        <v>0.89089059999999898</v>
      </c>
      <c r="I346">
        <v>367.9282</v>
      </c>
      <c r="J346">
        <v>-395.70679999999999</v>
      </c>
      <c r="K346">
        <v>1.101318</v>
      </c>
      <c r="L346">
        <v>368.0292</v>
      </c>
      <c r="M346">
        <v>0.99985199999999996</v>
      </c>
      <c r="N346">
        <v>0</v>
      </c>
      <c r="O346">
        <v>1.461466E-2</v>
      </c>
      <c r="P346">
        <v>0.99977229999999995</v>
      </c>
      <c r="Q346">
        <v>4.5207420000000003E-3</v>
      </c>
      <c r="R346">
        <v>-2.0862539999999999E-2</v>
      </c>
      <c r="S346">
        <v>2.9967350000000001</v>
      </c>
      <c r="T346">
        <v>-0.88804810000000001</v>
      </c>
      <c r="U346">
        <v>-0.41308590000000001</v>
      </c>
      <c r="V346">
        <v>3.5464379999999997E-2</v>
      </c>
      <c r="W346">
        <v>1.361358E-2</v>
      </c>
      <c r="X346">
        <v>0.99927820000000001</v>
      </c>
      <c r="Y346">
        <v>0.14430799999999999</v>
      </c>
      <c r="Z346">
        <v>-2.5061750000000001E-2</v>
      </c>
      <c r="AA346">
        <v>0.98921539999999997</v>
      </c>
      <c r="AB346">
        <v>23</v>
      </c>
      <c r="AC346">
        <v>0.47139999999996002</v>
      </c>
      <c r="AD346">
        <v>-0.21042739999999999</v>
      </c>
      <c r="AE346">
        <v>-0.10099999999999899</v>
      </c>
      <c r="AF346">
        <v>9.0615148775576401E-2</v>
      </c>
      <c r="AG346">
        <v>-0.21042739999999999</v>
      </c>
      <c r="AH346">
        <v>0.39468032103887601</v>
      </c>
      <c r="AI346">
        <v>117.45816204372601</v>
      </c>
      <c r="AJ346">
        <v>77.069480395746297</v>
      </c>
      <c r="AK346">
        <v>0.45635879708156202</v>
      </c>
      <c r="AL346">
        <v>89.219975216455694</v>
      </c>
      <c r="AM346">
        <v>87.967426058189204</v>
      </c>
      <c r="AN346">
        <v>0.99999998640221999</v>
      </c>
    </row>
    <row r="347" spans="1:40" x14ac:dyDescent="0.25">
      <c r="A347" t="str">
        <f>"20190312154220189"</f>
        <v>20190312154220189</v>
      </c>
      <c r="B347" t="str">
        <f>"1552376540178270"</f>
        <v>1552376540178270</v>
      </c>
      <c r="C347" t="s">
        <v>40</v>
      </c>
      <c r="D347">
        <v>5.1273220000000004</v>
      </c>
      <c r="E347">
        <v>0.54781679999999999</v>
      </c>
      <c r="F347" t="s">
        <v>41</v>
      </c>
      <c r="G347">
        <v>-395.0249</v>
      </c>
      <c r="H347">
        <v>0.89819680000000002</v>
      </c>
      <c r="I347">
        <v>367.93540000000002</v>
      </c>
      <c r="J347">
        <v>-395.47269999999997</v>
      </c>
      <c r="K347">
        <v>1.1027530000000001</v>
      </c>
      <c r="L347">
        <v>368.03309999999999</v>
      </c>
      <c r="M347">
        <v>0.99984010000000001</v>
      </c>
      <c r="N347">
        <v>0</v>
      </c>
      <c r="O347">
        <v>1.501249E-2</v>
      </c>
      <c r="P347">
        <v>0.99979119999999999</v>
      </c>
      <c r="Q347">
        <v>3.9332489999999998E-3</v>
      </c>
      <c r="R347">
        <v>-2.0049959999999999E-2</v>
      </c>
      <c r="S347">
        <v>2.9961549999999999</v>
      </c>
      <c r="T347">
        <v>-0.89262619999999904</v>
      </c>
      <c r="U347">
        <v>-0.41036990000000001</v>
      </c>
      <c r="V347">
        <v>3.5050390000000001E-2</v>
      </c>
      <c r="W347">
        <v>1.3658399999999999E-2</v>
      </c>
      <c r="X347">
        <v>0.99929219999999996</v>
      </c>
      <c r="Y347">
        <v>0.1437811</v>
      </c>
      <c r="Z347">
        <v>-2.5230820000000001E-2</v>
      </c>
      <c r="AA347">
        <v>0.98928780000000005</v>
      </c>
      <c r="AB347">
        <v>23</v>
      </c>
      <c r="AC347">
        <v>0.447799999999972</v>
      </c>
      <c r="AD347">
        <v>-0.20455619999999999</v>
      </c>
      <c r="AE347">
        <v>-9.7699999999974793E-2</v>
      </c>
      <c r="AF347">
        <v>8.7068905131983801E-2</v>
      </c>
      <c r="AG347">
        <v>-0.20455619999999999</v>
      </c>
      <c r="AH347">
        <v>0.37215441920294101</v>
      </c>
      <c r="AI347">
        <v>118.155761084425</v>
      </c>
      <c r="AJ347">
        <v>76.8319810110209</v>
      </c>
      <c r="AK347">
        <v>0.43350103221515002</v>
      </c>
      <c r="AL347">
        <v>89.217406984679002</v>
      </c>
      <c r="AM347">
        <v>87.991161678996093</v>
      </c>
      <c r="AN347">
        <v>0.99999999135527595</v>
      </c>
    </row>
    <row r="348" spans="1:40" x14ac:dyDescent="0.25">
      <c r="A348" t="str">
        <f>"20190312154220210"</f>
        <v>20190312154220210</v>
      </c>
      <c r="B348" t="str">
        <f>"1552376540197789"</f>
        <v>1552376540197789</v>
      </c>
      <c r="C348" t="s">
        <v>40</v>
      </c>
      <c r="D348">
        <v>5.1160160000000001</v>
      </c>
      <c r="E348">
        <v>0.54787379999999997</v>
      </c>
      <c r="F348" t="s">
        <v>41</v>
      </c>
      <c r="G348">
        <v>-394.62970000000001</v>
      </c>
      <c r="H348">
        <v>0.85075400000000001</v>
      </c>
      <c r="I348">
        <v>367.91800000000001</v>
      </c>
      <c r="J348">
        <v>-395.25119999999998</v>
      </c>
      <c r="K348">
        <v>1.1039239999999999</v>
      </c>
      <c r="L348">
        <v>368.0369</v>
      </c>
      <c r="M348">
        <v>0.99982919999999997</v>
      </c>
      <c r="N348">
        <v>0</v>
      </c>
      <c r="O348">
        <v>1.539015E-2</v>
      </c>
      <c r="P348">
        <v>0.99980460000000004</v>
      </c>
      <c r="Q348">
        <v>3.363563E-3</v>
      </c>
      <c r="R348">
        <v>-1.9484189999999998E-2</v>
      </c>
      <c r="S348">
        <v>2.9959720000000001</v>
      </c>
      <c r="T348">
        <v>-0.89569069999999995</v>
      </c>
      <c r="U348">
        <v>-0.40808109999999997</v>
      </c>
      <c r="V348">
        <v>3.4862570000000002E-2</v>
      </c>
      <c r="W348">
        <v>1.3623120000000001E-2</v>
      </c>
      <c r="X348">
        <v>0.9992993</v>
      </c>
      <c r="Y348">
        <v>0.14337469999999999</v>
      </c>
      <c r="Z348">
        <v>-2.5367440000000002E-2</v>
      </c>
      <c r="AA348">
        <v>0.98934330000000004</v>
      </c>
      <c r="AB348">
        <v>23</v>
      </c>
      <c r="AC348">
        <v>0.62149999999996897</v>
      </c>
      <c r="AD348">
        <v>-0.25316999999999901</v>
      </c>
      <c r="AE348">
        <v>-0.118899999999996</v>
      </c>
      <c r="AF348">
        <v>0.110726539186524</v>
      </c>
      <c r="AG348">
        <v>-0.25316999999999901</v>
      </c>
      <c r="AH348">
        <v>0.53409902430996004</v>
      </c>
      <c r="AI348">
        <v>114.898081682815</v>
      </c>
      <c r="AJ348">
        <v>78.287662152828005</v>
      </c>
      <c r="AK348">
        <v>0.60134614254111196</v>
      </c>
      <c r="AL348">
        <v>89.2194286055324</v>
      </c>
      <c r="AM348">
        <v>88.001931617660304</v>
      </c>
      <c r="AN348">
        <v>1.00000003958301</v>
      </c>
    </row>
    <row r="349" spans="1:40" x14ac:dyDescent="0.25">
      <c r="A349" t="str">
        <f>"20190312154220233"</f>
        <v>20190312154220233</v>
      </c>
      <c r="B349" t="str">
        <f>"1552376540228045"</f>
        <v>1552376540228045</v>
      </c>
      <c r="C349" t="s">
        <v>40</v>
      </c>
      <c r="D349">
        <v>5.1447839999999996</v>
      </c>
      <c r="E349">
        <v>0.54795130000000003</v>
      </c>
      <c r="F349" t="s">
        <v>41</v>
      </c>
      <c r="G349">
        <v>-394.42169999999999</v>
      </c>
      <c r="H349">
        <v>0.85511409999999999</v>
      </c>
      <c r="I349">
        <v>367.9239</v>
      </c>
      <c r="J349">
        <v>-395.01029999999997</v>
      </c>
      <c r="K349">
        <v>1.1050310000000001</v>
      </c>
      <c r="L349">
        <v>368.041</v>
      </c>
      <c r="M349">
        <v>0.99981730000000002</v>
      </c>
      <c r="N349">
        <v>0</v>
      </c>
      <c r="O349">
        <v>1.5798469999999998E-2</v>
      </c>
      <c r="P349">
        <v>0.99981889999999995</v>
      </c>
      <c r="Q349">
        <v>2.8296319999999999E-3</v>
      </c>
      <c r="R349">
        <v>-1.8820090000000001E-2</v>
      </c>
      <c r="S349">
        <v>2.9956360000000002</v>
      </c>
      <c r="T349">
        <v>-0.89850779999999997</v>
      </c>
      <c r="U349">
        <v>-0.40692139999999999</v>
      </c>
      <c r="V349">
        <v>3.4607029999999997E-2</v>
      </c>
      <c r="W349">
        <v>1.3608810000000001E-2</v>
      </c>
      <c r="X349">
        <v>0.99930830000000004</v>
      </c>
      <c r="Y349">
        <v>0.14335629999999999</v>
      </c>
      <c r="Z349">
        <v>-2.5563949999999998E-2</v>
      </c>
      <c r="AA349">
        <v>0.98934089999999997</v>
      </c>
      <c r="AB349">
        <v>23</v>
      </c>
      <c r="AC349">
        <v>0.58859999999998502</v>
      </c>
      <c r="AD349">
        <v>-0.249916899999999</v>
      </c>
      <c r="AE349">
        <v>-0.117099999999993</v>
      </c>
      <c r="AF349">
        <v>0.107706678871702</v>
      </c>
      <c r="AG349">
        <v>-0.249916899999999</v>
      </c>
      <c r="AH349">
        <v>0.49997245259124801</v>
      </c>
      <c r="AI349">
        <v>116.042505293353</v>
      </c>
      <c r="AJ349">
        <v>77.842834630781795</v>
      </c>
      <c r="AK349">
        <v>0.56923777011833099</v>
      </c>
      <c r="AL349">
        <v>89.220248523885502</v>
      </c>
      <c r="AM349">
        <v>88.016583415751896</v>
      </c>
      <c r="AN349">
        <v>0.99999996234196198</v>
      </c>
    </row>
    <row r="350" spans="1:40" x14ac:dyDescent="0.25">
      <c r="A350" t="str">
        <f>"20190312154220256"</f>
        <v>20190312154220256</v>
      </c>
      <c r="B350" t="str">
        <f>"1552376540247565"</f>
        <v>1552376540247565</v>
      </c>
      <c r="C350" t="s">
        <v>40</v>
      </c>
      <c r="D350">
        <v>5.143694</v>
      </c>
      <c r="E350">
        <v>0.54803069999999998</v>
      </c>
      <c r="F350" t="s">
        <v>41</v>
      </c>
      <c r="G350">
        <v>-394.21190000000001</v>
      </c>
      <c r="H350">
        <v>0.86480409999999996</v>
      </c>
      <c r="I350">
        <v>367.9323</v>
      </c>
      <c r="J350">
        <v>-394.77940000000001</v>
      </c>
      <c r="K350">
        <v>1.105945</v>
      </c>
      <c r="L350">
        <v>368.04509999999999</v>
      </c>
      <c r="M350">
        <v>0.99980610000000003</v>
      </c>
      <c r="N350">
        <v>0</v>
      </c>
      <c r="O350">
        <v>1.6187920000000001E-2</v>
      </c>
      <c r="P350">
        <v>0.99982910000000003</v>
      </c>
      <c r="Q350">
        <v>2.1289680000000002E-3</v>
      </c>
      <c r="R350">
        <v>-1.836556E-2</v>
      </c>
      <c r="S350">
        <v>2.9954830000000001</v>
      </c>
      <c r="T350">
        <v>-0.90139409999999998</v>
      </c>
      <c r="U350">
        <v>-0.40588380000000002</v>
      </c>
      <c r="V350">
        <v>3.454231E-2</v>
      </c>
      <c r="W350">
        <v>1.335421E-2</v>
      </c>
      <c r="X350">
        <v>0.99931400000000004</v>
      </c>
      <c r="Y350">
        <v>0.14335049999999999</v>
      </c>
      <c r="Z350">
        <v>-2.5757829999999999E-2</v>
      </c>
      <c r="AA350">
        <v>0.98933669999999996</v>
      </c>
      <c r="AB350">
        <v>23</v>
      </c>
      <c r="AC350">
        <v>0.56749999999999501</v>
      </c>
      <c r="AD350">
        <v>-0.24114089999999999</v>
      </c>
      <c r="AE350">
        <v>-0.112799999999992</v>
      </c>
      <c r="AF350">
        <v>0.103921934724427</v>
      </c>
      <c r="AG350">
        <v>-0.24114089999999999</v>
      </c>
      <c r="AH350">
        <v>0.481897355250054</v>
      </c>
      <c r="AI350">
        <v>116.065750706484</v>
      </c>
      <c r="AJ350">
        <v>77.830440304233093</v>
      </c>
      <c r="AK350">
        <v>0.54879300575597301</v>
      </c>
      <c r="AL350">
        <v>89.234837375668704</v>
      </c>
      <c r="AM350">
        <v>88.020301011744806</v>
      </c>
      <c r="AN350">
        <v>0.99999998835043002</v>
      </c>
    </row>
    <row r="351" spans="1:40" x14ac:dyDescent="0.25">
      <c r="A351" t="str">
        <f>"20190312154220277"</f>
        <v>20190312154220277</v>
      </c>
      <c r="B351" t="str">
        <f>"1552376540268064"</f>
        <v>1552376540268064</v>
      </c>
      <c r="C351" t="s">
        <v>40</v>
      </c>
      <c r="D351">
        <v>5.1491400000000001</v>
      </c>
      <c r="E351">
        <v>0.54808559999999995</v>
      </c>
      <c r="F351" t="s">
        <v>41</v>
      </c>
      <c r="G351">
        <v>-394.00360000000001</v>
      </c>
      <c r="H351">
        <v>0.87161860000000002</v>
      </c>
      <c r="I351">
        <v>367.9402</v>
      </c>
      <c r="J351">
        <v>-394.55630000000002</v>
      </c>
      <c r="K351">
        <v>1.106711</v>
      </c>
      <c r="L351">
        <v>368.04930000000002</v>
      </c>
      <c r="M351">
        <v>0.99979560000000001</v>
      </c>
      <c r="N351">
        <v>0</v>
      </c>
      <c r="O351">
        <v>1.6562299999999999E-2</v>
      </c>
      <c r="P351">
        <v>0.99983359999999999</v>
      </c>
      <c r="Q351">
        <v>1.7160490000000001E-3</v>
      </c>
      <c r="R351">
        <v>-1.8168429999999999E-2</v>
      </c>
      <c r="S351">
        <v>2.9949949999999999</v>
      </c>
      <c r="T351">
        <v>-0.90452290000000002</v>
      </c>
      <c r="U351">
        <v>-0.40448000000000001</v>
      </c>
      <c r="V351">
        <v>3.4719409999999999E-2</v>
      </c>
      <c r="W351">
        <v>1.332703E-2</v>
      </c>
      <c r="X351">
        <v>0.99930819999999998</v>
      </c>
      <c r="Y351">
        <v>0.14322579999999999</v>
      </c>
      <c r="Z351">
        <v>-2.5940089999999999E-2</v>
      </c>
      <c r="AA351">
        <v>0.98934999999999995</v>
      </c>
      <c r="AB351">
        <v>23</v>
      </c>
      <c r="AC351">
        <v>0.55270000000001496</v>
      </c>
      <c r="AD351">
        <v>-0.23509240000000001</v>
      </c>
      <c r="AE351">
        <v>-0.10910000000001201</v>
      </c>
      <c r="AF351">
        <v>0.100703216435823</v>
      </c>
      <c r="AG351">
        <v>-0.23509240000000001</v>
      </c>
      <c r="AH351">
        <v>0.46912404727302698</v>
      </c>
      <c r="AI351">
        <v>116.10341479360901</v>
      </c>
      <c r="AJ351">
        <v>77.884618581590004</v>
      </c>
      <c r="AK351">
        <v>0.53430978473925195</v>
      </c>
      <c r="AL351">
        <v>89.236394794114901</v>
      </c>
      <c r="AM351">
        <v>88.010147603571795</v>
      </c>
      <c r="AN351">
        <v>0.99999996287330295</v>
      </c>
    </row>
    <row r="352" spans="1:40" x14ac:dyDescent="0.25">
      <c r="A352" t="str">
        <f>"20190312154220291"</f>
        <v>20190312154220291</v>
      </c>
      <c r="B352" t="str">
        <f>"1552376540277821"</f>
        <v>1552376540277821</v>
      </c>
      <c r="C352" t="s">
        <v>40</v>
      </c>
      <c r="D352">
        <v>5.1562809999999999</v>
      </c>
      <c r="E352">
        <v>0.54812439999999996</v>
      </c>
      <c r="F352" t="s">
        <v>41</v>
      </c>
      <c r="G352">
        <v>-393.79629999999997</v>
      </c>
      <c r="H352">
        <v>0.87650869999999903</v>
      </c>
      <c r="I352">
        <v>367.94650000000001</v>
      </c>
      <c r="J352">
        <v>-394.41930000000002</v>
      </c>
      <c r="K352">
        <v>1.1071310000000001</v>
      </c>
      <c r="L352">
        <v>368.05180000000001</v>
      </c>
      <c r="M352">
        <v>0.99978920000000004</v>
      </c>
      <c r="N352">
        <v>0</v>
      </c>
      <c r="O352">
        <v>1.679226E-2</v>
      </c>
      <c r="P352">
        <v>0.99983520000000004</v>
      </c>
      <c r="Q352">
        <v>1.205247E-3</v>
      </c>
      <c r="R352">
        <v>-1.8112420000000001E-2</v>
      </c>
      <c r="S352">
        <v>2.9947509999999999</v>
      </c>
      <c r="T352">
        <v>-0.90711980000000003</v>
      </c>
      <c r="U352">
        <v>-0.40341189999999999</v>
      </c>
      <c r="V352">
        <v>3.4893559999999997E-2</v>
      </c>
      <c r="W352">
        <v>1.303523E-2</v>
      </c>
      <c r="X352">
        <v>0.99930600000000003</v>
      </c>
      <c r="Y352">
        <v>0.14307300000000001</v>
      </c>
      <c r="Z352">
        <v>-2.605934E-2</v>
      </c>
      <c r="AA352">
        <v>0.98936900000000005</v>
      </c>
      <c r="AB352">
        <v>23</v>
      </c>
      <c r="AC352">
        <v>0.62300000000004696</v>
      </c>
      <c r="AD352">
        <v>-0.230622299999999</v>
      </c>
      <c r="AE352">
        <v>-0.10529999999999901</v>
      </c>
      <c r="AF352">
        <v>0.10213965992780601</v>
      </c>
      <c r="AG352">
        <v>-0.230622299999999</v>
      </c>
      <c r="AH352">
        <v>0.54811930039175805</v>
      </c>
      <c r="AI352">
        <v>112.471537193953</v>
      </c>
      <c r="AJ352">
        <v>79.444249924631805</v>
      </c>
      <c r="AK352">
        <v>0.60336881163133405</v>
      </c>
      <c r="AL352">
        <v>89.253115168399503</v>
      </c>
      <c r="AM352">
        <v>88.000170335676799</v>
      </c>
      <c r="AN352">
        <v>0.999999979693313</v>
      </c>
    </row>
    <row r="353" spans="1:40" x14ac:dyDescent="0.25">
      <c r="A353" t="str">
        <f>"20190312154220310"</f>
        <v>20190312154220310</v>
      </c>
      <c r="B353" t="str">
        <f>"1552376540298328"</f>
        <v>1552376540298328</v>
      </c>
      <c r="C353" t="s">
        <v>40</v>
      </c>
      <c r="D353">
        <v>5.1635039999999996</v>
      </c>
      <c r="E353">
        <v>0.54819390000000001</v>
      </c>
      <c r="F353" t="s">
        <v>41</v>
      </c>
      <c r="G353">
        <v>-393.59870000000001</v>
      </c>
      <c r="H353">
        <v>0.85804460000000005</v>
      </c>
      <c r="I353">
        <v>367.9409</v>
      </c>
      <c r="J353">
        <v>-394.22449999999998</v>
      </c>
      <c r="K353">
        <v>1.1076569999999999</v>
      </c>
      <c r="L353">
        <v>368.05540000000002</v>
      </c>
      <c r="M353">
        <v>0.99978020000000001</v>
      </c>
      <c r="N353">
        <v>0</v>
      </c>
      <c r="O353">
        <v>1.712004E-2</v>
      </c>
      <c r="P353">
        <v>0.9998437</v>
      </c>
      <c r="Q353">
        <v>9.352602E-4</v>
      </c>
      <c r="R353">
        <v>-1.7662810000000001E-2</v>
      </c>
      <c r="S353">
        <v>2.9942630000000001</v>
      </c>
      <c r="T353">
        <v>-0.90896359999999998</v>
      </c>
      <c r="U353">
        <v>-0.40374759999999998</v>
      </c>
      <c r="V353">
        <v>3.4771679999999999E-2</v>
      </c>
      <c r="W353">
        <v>1.3048580000000001E-2</v>
      </c>
      <c r="X353">
        <v>0.99931009999999998</v>
      </c>
      <c r="Y353">
        <v>0.14346529999999999</v>
      </c>
      <c r="Z353">
        <v>-2.626887E-2</v>
      </c>
      <c r="AA353">
        <v>0.98930669999999998</v>
      </c>
      <c r="AB353">
        <v>23</v>
      </c>
      <c r="AC353">
        <v>0.62579999999996905</v>
      </c>
      <c r="AD353">
        <v>-0.24961239999999901</v>
      </c>
      <c r="AE353">
        <v>-0.11450000000002</v>
      </c>
      <c r="AF353">
        <v>0.10849556458103</v>
      </c>
      <c r="AG353">
        <v>-0.24961239999999901</v>
      </c>
      <c r="AH353">
        <v>0.540536020993442</v>
      </c>
      <c r="AI353">
        <v>114.358951632751</v>
      </c>
      <c r="AJ353">
        <v>78.6504908329605</v>
      </c>
      <c r="AK353">
        <v>0.60519156286166098</v>
      </c>
      <c r="AL353">
        <v>89.252350224012702</v>
      </c>
      <c r="AM353">
        <v>88.007158084552501</v>
      </c>
      <c r="AN353">
        <v>1.0000000055660201</v>
      </c>
    </row>
    <row r="354" spans="1:40" x14ac:dyDescent="0.25">
      <c r="A354" t="str">
        <f>"20190312154220323"</f>
        <v>20190312154220323</v>
      </c>
      <c r="B354" t="str">
        <f>"1552376540317837"</f>
        <v>1552376540317837</v>
      </c>
      <c r="C354" t="s">
        <v>40</v>
      </c>
      <c r="D354">
        <v>5.15977</v>
      </c>
      <c r="E354">
        <v>0.54824209999999995</v>
      </c>
      <c r="F354" t="s">
        <v>41</v>
      </c>
      <c r="G354">
        <v>-393.39519999999999</v>
      </c>
      <c r="H354">
        <v>0.85551499999999903</v>
      </c>
      <c r="I354">
        <v>367.9434</v>
      </c>
      <c r="J354">
        <v>-394.0849</v>
      </c>
      <c r="K354">
        <v>1.1079870000000001</v>
      </c>
      <c r="L354">
        <v>368.05810000000002</v>
      </c>
      <c r="M354">
        <v>0.99977389999999999</v>
      </c>
      <c r="N354">
        <v>0</v>
      </c>
      <c r="O354">
        <v>1.7356090000000001E-2</v>
      </c>
      <c r="P354">
        <v>0.99985170000000001</v>
      </c>
      <c r="Q354">
        <v>9.1190260000000001E-4</v>
      </c>
      <c r="R354">
        <v>-1.7199530000000001E-2</v>
      </c>
      <c r="S354">
        <v>2.994202</v>
      </c>
      <c r="T354">
        <v>-0.91045399999999999</v>
      </c>
      <c r="U354">
        <v>-0.4027405</v>
      </c>
      <c r="V354">
        <v>3.4544699999999998E-2</v>
      </c>
      <c r="W354">
        <v>1.320926E-2</v>
      </c>
      <c r="X354">
        <v>0.99931590000000003</v>
      </c>
      <c r="Y354">
        <v>0.1433458</v>
      </c>
      <c r="Z354">
        <v>-2.6363419999999999E-2</v>
      </c>
      <c r="AA354">
        <v>0.98932149999999996</v>
      </c>
      <c r="AB354">
        <v>23</v>
      </c>
      <c r="AC354">
        <v>0.68970000000001597</v>
      </c>
      <c r="AD354">
        <v>-0.25247199999999997</v>
      </c>
      <c r="AE354">
        <v>-0.114700000000027</v>
      </c>
      <c r="AF354">
        <v>0.112044219596709</v>
      </c>
      <c r="AG354">
        <v>-0.25247199999999997</v>
      </c>
      <c r="AH354">
        <v>0.60828805966558896</v>
      </c>
      <c r="AI354">
        <v>112.204624709466</v>
      </c>
      <c r="AJ354">
        <v>79.563330346086602</v>
      </c>
      <c r="AK354">
        <v>0.66806465365319501</v>
      </c>
      <c r="AL354">
        <v>89.243143174071193</v>
      </c>
      <c r="AM354">
        <v>88.020167905637905</v>
      </c>
      <c r="AN354">
        <v>1.0000000444203201</v>
      </c>
    </row>
    <row r="355" spans="1:40" x14ac:dyDescent="0.25">
      <c r="A355" t="str">
        <f>"20190312154220337"</f>
        <v>20190312154220337</v>
      </c>
      <c r="B355" t="str">
        <f>"1552376540327598"</f>
        <v>1552376540327598</v>
      </c>
      <c r="C355" t="s">
        <v>40</v>
      </c>
      <c r="D355">
        <v>5.153556</v>
      </c>
      <c r="E355">
        <v>0.54826960000000002</v>
      </c>
      <c r="F355" t="s">
        <v>41</v>
      </c>
      <c r="G355">
        <v>-393.3802</v>
      </c>
      <c r="H355">
        <v>0.89351930000000002</v>
      </c>
      <c r="I355">
        <v>367.96319999999997</v>
      </c>
      <c r="J355">
        <v>-393.95209999999997</v>
      </c>
      <c r="K355">
        <v>1.1082689999999999</v>
      </c>
      <c r="L355">
        <v>368.06060000000002</v>
      </c>
      <c r="M355">
        <v>0.99976799999999999</v>
      </c>
      <c r="N355">
        <v>0</v>
      </c>
      <c r="O355">
        <v>1.758034E-2</v>
      </c>
      <c r="P355">
        <v>0.99985559999999996</v>
      </c>
      <c r="Q355">
        <v>8.1742179999999998E-4</v>
      </c>
      <c r="R355">
        <v>-1.698419E-2</v>
      </c>
      <c r="S355">
        <v>2.9943849999999999</v>
      </c>
      <c r="T355">
        <v>-0.9114776</v>
      </c>
      <c r="U355">
        <v>-0.40106199999999997</v>
      </c>
      <c r="V355">
        <v>3.4553639999999997E-2</v>
      </c>
      <c r="W355">
        <v>1.3278399999999999E-2</v>
      </c>
      <c r="X355">
        <v>0.99931460000000005</v>
      </c>
      <c r="Y355">
        <v>0.14300450000000001</v>
      </c>
      <c r="Z355">
        <v>-2.6407099999999999E-2</v>
      </c>
      <c r="AA355">
        <v>0.98936970000000002</v>
      </c>
      <c r="AB355">
        <v>23</v>
      </c>
      <c r="AC355">
        <v>0.57189999999997099</v>
      </c>
      <c r="AD355">
        <v>-0.21474969999999899</v>
      </c>
      <c r="AE355">
        <v>-9.7400000000050099E-2</v>
      </c>
      <c r="AF355">
        <v>9.4491938363466907E-2</v>
      </c>
      <c r="AG355">
        <v>-0.21474969999999899</v>
      </c>
      <c r="AH355">
        <v>0.50139438993962404</v>
      </c>
      <c r="AI355">
        <v>112.826020389287</v>
      </c>
      <c r="AJ355">
        <v>79.327311707355193</v>
      </c>
      <c r="AK355">
        <v>0.55357248335579601</v>
      </c>
      <c r="AL355">
        <v>89.239181339858206</v>
      </c>
      <c r="AM355">
        <v>88.019653368493906</v>
      </c>
      <c r="AN355">
        <v>0.99999996985848405</v>
      </c>
    </row>
    <row r="356" spans="1:40" x14ac:dyDescent="0.25">
      <c r="A356" t="str">
        <f>"20190312154220357"</f>
        <v>20190312154220357</v>
      </c>
      <c r="B356" t="str">
        <f>"1552376540348092"</f>
        <v>1552376540348092</v>
      </c>
      <c r="C356" t="s">
        <v>40</v>
      </c>
      <c r="D356">
        <v>5.1678709999999999</v>
      </c>
      <c r="E356">
        <v>0.54833900000000002</v>
      </c>
      <c r="F356" t="s">
        <v>41</v>
      </c>
      <c r="G356">
        <v>-393.18380000000002</v>
      </c>
      <c r="H356">
        <v>0.87426539999999997</v>
      </c>
      <c r="I356">
        <v>367.95760000000001</v>
      </c>
      <c r="J356">
        <v>-393.74349999999998</v>
      </c>
      <c r="K356">
        <v>1.1086640000000001</v>
      </c>
      <c r="L356">
        <v>368.06470000000002</v>
      </c>
      <c r="M356">
        <v>0.9997587</v>
      </c>
      <c r="N356">
        <v>0</v>
      </c>
      <c r="O356">
        <v>1.7933580000000001E-2</v>
      </c>
      <c r="P356">
        <v>0.99986540000000002</v>
      </c>
      <c r="Q356">
        <v>6.3231589999999905E-4</v>
      </c>
      <c r="R356">
        <v>-1.6406690000000002E-2</v>
      </c>
      <c r="S356">
        <v>2.9943240000000002</v>
      </c>
      <c r="T356">
        <v>-0.91203749999999995</v>
      </c>
      <c r="U356">
        <v>-0.40097050000000001</v>
      </c>
      <c r="V356">
        <v>3.4329430000000001E-2</v>
      </c>
      <c r="W356">
        <v>1.3328939999999999E-2</v>
      </c>
      <c r="X356">
        <v>0.99932169999999998</v>
      </c>
      <c r="Y356">
        <v>0.14328929999999901</v>
      </c>
      <c r="Z356">
        <v>-2.657027E-2</v>
      </c>
      <c r="AA356">
        <v>0.98932410000000004</v>
      </c>
      <c r="AB356">
        <v>23</v>
      </c>
      <c r="AC356">
        <v>0.559699999999963</v>
      </c>
      <c r="AD356">
        <v>-0.23439859999999901</v>
      </c>
      <c r="AE356">
        <v>-0.107100000000002</v>
      </c>
      <c r="AF356">
        <v>0.100172543757478</v>
      </c>
      <c r="AG356">
        <v>-0.23439859999999901</v>
      </c>
      <c r="AH356">
        <v>0.47698650397535602</v>
      </c>
      <c r="AI356">
        <v>115.68404064395401</v>
      </c>
      <c r="AJ356">
        <v>78.139602167802593</v>
      </c>
      <c r="AK356">
        <v>0.54082655924005496</v>
      </c>
      <c r="AL356">
        <v>89.236285389452803</v>
      </c>
      <c r="AM356">
        <v>88.032507182069097</v>
      </c>
      <c r="AN356">
        <v>1.00000001524826</v>
      </c>
    </row>
    <row r="357" spans="1:40" x14ac:dyDescent="0.25">
      <c r="A357" t="str">
        <f>"20190312154220379"</f>
        <v>20190312154220379</v>
      </c>
      <c r="B357" t="str">
        <f>"1552376540367613"</f>
        <v>1552376540367613</v>
      </c>
      <c r="C357" t="s">
        <v>40</v>
      </c>
      <c r="D357">
        <v>5.1911110000000003</v>
      </c>
      <c r="E357">
        <v>0.54839680000000002</v>
      </c>
      <c r="F357" t="s">
        <v>41</v>
      </c>
      <c r="G357">
        <v>-392.9796</v>
      </c>
      <c r="H357">
        <v>0.87569799999999998</v>
      </c>
      <c r="I357">
        <v>367.96230000000003</v>
      </c>
      <c r="J357">
        <v>-393.51839999999999</v>
      </c>
      <c r="K357">
        <v>1.109027</v>
      </c>
      <c r="L357">
        <v>368.06920000000002</v>
      </c>
      <c r="M357">
        <v>0.99974890000000005</v>
      </c>
      <c r="N357">
        <v>0</v>
      </c>
      <c r="O357">
        <v>1.8314690000000002E-2</v>
      </c>
      <c r="P357">
        <v>0.9998766</v>
      </c>
      <c r="Q357">
        <v>4.228465E-4</v>
      </c>
      <c r="R357">
        <v>-1.5716899999999999E-2</v>
      </c>
      <c r="S357">
        <v>2.994354</v>
      </c>
      <c r="T357">
        <v>-0.91325599999999996</v>
      </c>
      <c r="U357">
        <v>-0.4000244</v>
      </c>
      <c r="V357">
        <v>3.4020929999999998E-2</v>
      </c>
      <c r="W357">
        <v>1.3345620000000001E-2</v>
      </c>
      <c r="X357">
        <v>0.999332</v>
      </c>
      <c r="Y357">
        <v>0.14332029999999901</v>
      </c>
      <c r="Z357">
        <v>-2.6722360000000001E-2</v>
      </c>
      <c r="AA357">
        <v>0.98931550000000001</v>
      </c>
      <c r="AB357">
        <v>23</v>
      </c>
      <c r="AC357">
        <v>0.53879999999997996</v>
      </c>
      <c r="AD357">
        <v>-0.23332900000000001</v>
      </c>
      <c r="AE357">
        <v>-0.106899999999996</v>
      </c>
      <c r="AF357">
        <v>9.8905149699289305E-2</v>
      </c>
      <c r="AG357">
        <v>-0.23332900000000001</v>
      </c>
      <c r="AH357">
        <v>0.45470761703484702</v>
      </c>
      <c r="AI357">
        <v>116.62993050591101</v>
      </c>
      <c r="AJ357">
        <v>77.728528523783496</v>
      </c>
      <c r="AK357">
        <v>0.52056091657705905</v>
      </c>
      <c r="AL357">
        <v>89.235329589815095</v>
      </c>
      <c r="AM357">
        <v>88.050194346458795</v>
      </c>
      <c r="AN357">
        <v>0.999999987737624</v>
      </c>
    </row>
    <row r="358" spans="1:40" x14ac:dyDescent="0.25">
      <c r="A358" t="str">
        <f>"20190312154220398"</f>
        <v>20190312154220398</v>
      </c>
      <c r="B358" t="str">
        <f>"1552376540388109"</f>
        <v>1552376540388109</v>
      </c>
      <c r="C358" t="s">
        <v>40</v>
      </c>
      <c r="D358">
        <v>5.1798390000000003</v>
      </c>
      <c r="E358">
        <v>0.54845089999999996</v>
      </c>
      <c r="F358" t="s">
        <v>41</v>
      </c>
      <c r="G358">
        <v>-392.77390000000003</v>
      </c>
      <c r="H358">
        <v>0.88170389999999998</v>
      </c>
      <c r="I358">
        <v>367.97</v>
      </c>
      <c r="J358">
        <v>-393.31909999999999</v>
      </c>
      <c r="K358">
        <v>1.1093040000000001</v>
      </c>
      <c r="L358">
        <v>368.07319999999999</v>
      </c>
      <c r="M358">
        <v>0.99974039999999997</v>
      </c>
      <c r="N358">
        <v>0</v>
      </c>
      <c r="O358">
        <v>1.8651910000000001E-2</v>
      </c>
      <c r="P358">
        <v>0.99988770000000005</v>
      </c>
      <c r="Q358">
        <v>5.0939059999999996E-4</v>
      </c>
      <c r="R358">
        <v>-1.4984219999999999E-2</v>
      </c>
      <c r="S358">
        <v>2.994507</v>
      </c>
      <c r="T358">
        <v>-0.9142652</v>
      </c>
      <c r="U358">
        <v>-0.39831539999999999</v>
      </c>
      <c r="V358">
        <v>3.3625740000000001E-2</v>
      </c>
      <c r="W358">
        <v>1.36112E-2</v>
      </c>
      <c r="X358">
        <v>0.99934179999999995</v>
      </c>
      <c r="Y358">
        <v>0.1430727</v>
      </c>
      <c r="Z358">
        <v>-2.6813770000000001E-2</v>
      </c>
      <c r="AA358">
        <v>0.98934889999999998</v>
      </c>
      <c r="AB358">
        <v>23</v>
      </c>
      <c r="AC358">
        <v>0.54519999999996505</v>
      </c>
      <c r="AD358">
        <v>-0.2276001</v>
      </c>
      <c r="AE358">
        <v>-0.10319999999995801</v>
      </c>
      <c r="AF358">
        <v>9.7027456927503905E-2</v>
      </c>
      <c r="AG358">
        <v>-0.2276001</v>
      </c>
      <c r="AH358">
        <v>0.464953536073342</v>
      </c>
      <c r="AI358">
        <v>115.603217788324</v>
      </c>
      <c r="AJ358">
        <v>78.212563539110803</v>
      </c>
      <c r="AK358">
        <v>0.52668579212366595</v>
      </c>
      <c r="AL358">
        <v>89.220111599123697</v>
      </c>
      <c r="AM358">
        <v>88.072845159250207</v>
      </c>
      <c r="AN358">
        <v>0.99999999419161301</v>
      </c>
    </row>
    <row r="359" spans="1:40" x14ac:dyDescent="0.25">
      <c r="A359" t="str">
        <f>"20190312154220422"</f>
        <v>20190312154220422</v>
      </c>
      <c r="B359" t="str">
        <f>"1552376540407630"</f>
        <v>1552376540407630</v>
      </c>
      <c r="C359" t="s">
        <v>40</v>
      </c>
      <c r="D359">
        <v>5.1832320000000003</v>
      </c>
      <c r="E359">
        <v>0.548496599999999</v>
      </c>
      <c r="F359" t="s">
        <v>41</v>
      </c>
      <c r="G359">
        <v>-392.57130000000001</v>
      </c>
      <c r="H359">
        <v>0.88097209999999904</v>
      </c>
      <c r="I359">
        <v>367.97379999999998</v>
      </c>
      <c r="J359">
        <v>-393.08460000000002</v>
      </c>
      <c r="K359">
        <v>1.1095870000000001</v>
      </c>
      <c r="L359">
        <v>368.07799999999997</v>
      </c>
      <c r="M359">
        <v>0.99973049999999997</v>
      </c>
      <c r="N359">
        <v>0</v>
      </c>
      <c r="O359">
        <v>1.9047950000000001E-2</v>
      </c>
      <c r="P359">
        <v>0.99989890000000003</v>
      </c>
      <c r="Q359">
        <v>8.6257049999999996E-4</v>
      </c>
      <c r="R359">
        <v>-1.420334E-2</v>
      </c>
      <c r="S359">
        <v>2.9948429999999999</v>
      </c>
      <c r="T359">
        <v>-0.9145103</v>
      </c>
      <c r="U359">
        <v>-0.39611819999999998</v>
      </c>
      <c r="V359">
        <v>3.3240939999999997E-2</v>
      </c>
      <c r="W359">
        <v>1.4150930000000001E-2</v>
      </c>
      <c r="X359">
        <v>0.99934719999999999</v>
      </c>
      <c r="Y359">
        <v>0.142731</v>
      </c>
      <c r="Z359">
        <v>-2.688604E-2</v>
      </c>
      <c r="AA359">
        <v>0.98939630000000001</v>
      </c>
      <c r="AB359">
        <v>23</v>
      </c>
      <c r="AC359">
        <v>0.51330000000001497</v>
      </c>
      <c r="AD359">
        <v>-0.22861490000000001</v>
      </c>
      <c r="AE359">
        <v>-0.104200000000048</v>
      </c>
      <c r="AF359">
        <v>9.5722683168327605E-2</v>
      </c>
      <c r="AG359">
        <v>-0.22861490000000001</v>
      </c>
      <c r="AH359">
        <v>0.42941247729865001</v>
      </c>
      <c r="AI359">
        <v>117.45800402091101</v>
      </c>
      <c r="AJ359">
        <v>77.433346996250805</v>
      </c>
      <c r="AK359">
        <v>0.49580508290528602</v>
      </c>
      <c r="AL359">
        <v>89.189184386681802</v>
      </c>
      <c r="AM359">
        <v>88.094892717410602</v>
      </c>
      <c r="AN359">
        <v>1.00000001752989</v>
      </c>
    </row>
    <row r="360" spans="1:40" x14ac:dyDescent="0.25">
      <c r="A360" t="str">
        <f>"20190312154220435"</f>
        <v>20190312154220435</v>
      </c>
      <c r="B360" t="str">
        <f>"1552376540428125"</f>
        <v>1552376540428125</v>
      </c>
      <c r="C360" t="s">
        <v>40</v>
      </c>
      <c r="D360">
        <v>5.2067249999999996</v>
      </c>
      <c r="E360">
        <v>0.54856229999999995</v>
      </c>
      <c r="F360" t="s">
        <v>41</v>
      </c>
      <c r="G360">
        <v>-392.36509999999998</v>
      </c>
      <c r="H360">
        <v>0.89008469999999995</v>
      </c>
      <c r="I360">
        <v>367.98320000000001</v>
      </c>
      <c r="J360">
        <v>-392.95030000000003</v>
      </c>
      <c r="K360">
        <v>1.1097250000000001</v>
      </c>
      <c r="L360">
        <v>368.08080000000001</v>
      </c>
      <c r="M360">
        <v>0.99972470000000002</v>
      </c>
      <c r="N360">
        <v>0</v>
      </c>
      <c r="O360">
        <v>1.927541E-2</v>
      </c>
      <c r="P360">
        <v>0.99990190000000001</v>
      </c>
      <c r="Q360">
        <v>1.0111289999999999E-3</v>
      </c>
      <c r="R360">
        <v>-1.397964E-2</v>
      </c>
      <c r="S360">
        <v>2.9955440000000002</v>
      </c>
      <c r="T360">
        <v>-0.91387499999999999</v>
      </c>
      <c r="U360">
        <v>-0.39355469999999998</v>
      </c>
      <c r="V360">
        <v>3.3244360000000001E-2</v>
      </c>
      <c r="W360">
        <v>1.4396000000000001E-2</v>
      </c>
      <c r="X360">
        <v>0.9993436</v>
      </c>
      <c r="Y360">
        <v>0.14212279999999999</v>
      </c>
      <c r="Z360">
        <v>-2.6840860000000001E-2</v>
      </c>
      <c r="AA360">
        <v>0.98948510000000001</v>
      </c>
      <c r="AB360">
        <v>23</v>
      </c>
      <c r="AC360">
        <v>0.58520000000004302</v>
      </c>
      <c r="AD360">
        <v>-0.21964030000000001</v>
      </c>
      <c r="AE360">
        <v>-9.7599999999999895E-2</v>
      </c>
      <c r="AF360">
        <v>9.5740913462140198E-2</v>
      </c>
      <c r="AG360">
        <v>-0.21964030000000001</v>
      </c>
      <c r="AH360">
        <v>0.51291182669985003</v>
      </c>
      <c r="AI360">
        <v>112.828737759842</v>
      </c>
      <c r="AJ360">
        <v>79.426760211057896</v>
      </c>
      <c r="AK360">
        <v>0.56611547043269606</v>
      </c>
      <c r="AL360">
        <v>89.175141491226796</v>
      </c>
      <c r="AM360">
        <v>88.094689996031903</v>
      </c>
      <c r="AN360">
        <v>1.00000003157438</v>
      </c>
    </row>
    <row r="361" spans="1:40" x14ac:dyDescent="0.25">
      <c r="A361" t="str">
        <f>"20190312154220448"</f>
        <v>20190312154220448</v>
      </c>
      <c r="B361" t="str">
        <f>"1552376540437886"</f>
        <v>1552376540437886</v>
      </c>
      <c r="C361" t="s">
        <v>40</v>
      </c>
      <c r="D361">
        <v>5.1945819999999996</v>
      </c>
      <c r="E361">
        <v>0.54860350000000002</v>
      </c>
      <c r="F361" t="s">
        <v>41</v>
      </c>
      <c r="G361">
        <v>-392.1703</v>
      </c>
      <c r="H361">
        <v>0.87171919999999903</v>
      </c>
      <c r="I361">
        <v>367.97820000000002</v>
      </c>
      <c r="J361">
        <v>-392.81630000000001</v>
      </c>
      <c r="K361">
        <v>1.1098509999999999</v>
      </c>
      <c r="L361">
        <v>368.08359999999999</v>
      </c>
      <c r="M361">
        <v>0.99971929999999998</v>
      </c>
      <c r="N361">
        <v>0</v>
      </c>
      <c r="O361">
        <v>1.9502129999999999E-2</v>
      </c>
      <c r="P361">
        <v>0.99990559999999995</v>
      </c>
      <c r="Q361">
        <v>1.2018249999999999E-3</v>
      </c>
      <c r="R361">
        <v>-1.3688789999999999E-2</v>
      </c>
      <c r="S361">
        <v>2.9957280000000002</v>
      </c>
      <c r="T361">
        <v>-0.91414139999999999</v>
      </c>
      <c r="U361">
        <v>-0.39370729999999998</v>
      </c>
      <c r="V361">
        <v>3.3180479999999998E-2</v>
      </c>
      <c r="W361">
        <v>1.467778E-2</v>
      </c>
      <c r="X361">
        <v>0.99934160000000005</v>
      </c>
      <c r="Y361">
        <v>0.1423645</v>
      </c>
      <c r="Z361">
        <v>-2.695003E-2</v>
      </c>
      <c r="AA361">
        <v>0.98944739999999998</v>
      </c>
      <c r="AB361">
        <v>23</v>
      </c>
      <c r="AC361">
        <v>0.64600000000001501</v>
      </c>
      <c r="AD361">
        <v>-0.23813179999999901</v>
      </c>
      <c r="AE361">
        <v>-0.105399999999974</v>
      </c>
      <c r="AF361">
        <v>0.104188923884797</v>
      </c>
      <c r="AG361">
        <v>-0.23813179999999901</v>
      </c>
      <c r="AH361">
        <v>0.56856554198119902</v>
      </c>
      <c r="AI361">
        <v>112.39015430064499</v>
      </c>
      <c r="AJ361">
        <v>79.615831026448205</v>
      </c>
      <c r="AK361">
        <v>0.625163067974978</v>
      </c>
      <c r="AL361">
        <v>89.158994960531103</v>
      </c>
      <c r="AM361">
        <v>88.098344610674204</v>
      </c>
      <c r="AN361">
        <v>1.00000000748465</v>
      </c>
    </row>
    <row r="362" spans="1:40" x14ac:dyDescent="0.25">
      <c r="A362" t="str">
        <f>"20190312154220468"</f>
        <v>20190312154220468</v>
      </c>
      <c r="B362" t="str">
        <f>"1552376540457405"</f>
        <v>1552376540457405</v>
      </c>
      <c r="C362" t="s">
        <v>40</v>
      </c>
      <c r="D362">
        <v>5.1897149999999996</v>
      </c>
      <c r="E362">
        <v>0.54866749999999997</v>
      </c>
      <c r="F362" t="s">
        <v>41</v>
      </c>
      <c r="G362">
        <v>-391.97559999999999</v>
      </c>
      <c r="H362">
        <v>0.85340849999999902</v>
      </c>
      <c r="I362">
        <v>367.97320000000002</v>
      </c>
      <c r="J362">
        <v>-392.62009999999998</v>
      </c>
      <c r="K362">
        <v>1.110012</v>
      </c>
      <c r="L362">
        <v>368.08789999999999</v>
      </c>
      <c r="M362">
        <v>0.99971100000000002</v>
      </c>
      <c r="N362">
        <v>0</v>
      </c>
      <c r="O362">
        <v>1.9834149999999998E-2</v>
      </c>
      <c r="P362">
        <v>0.99991189999999996</v>
      </c>
      <c r="Q362">
        <v>1.7391829999999901E-3</v>
      </c>
      <c r="R362">
        <v>-1.316582E-2</v>
      </c>
      <c r="S362">
        <v>2.9960019999999998</v>
      </c>
      <c r="T362">
        <v>-0.91391250000000002</v>
      </c>
      <c r="U362">
        <v>-0.39315800000000001</v>
      </c>
      <c r="V362">
        <v>3.2989449999999997E-2</v>
      </c>
      <c r="W362">
        <v>1.533383E-2</v>
      </c>
      <c r="X362">
        <v>0.99933810000000001</v>
      </c>
      <c r="Y362">
        <v>0.14248710000000001</v>
      </c>
      <c r="Z362">
        <v>-2.705844E-2</v>
      </c>
      <c r="AA362">
        <v>0.98942669999999999</v>
      </c>
      <c r="AB362">
        <v>23</v>
      </c>
      <c r="AC362">
        <v>0.64449999999999297</v>
      </c>
      <c r="AD362">
        <v>-0.25660349999999998</v>
      </c>
      <c r="AE362">
        <v>-0.11469999999997001</v>
      </c>
      <c r="AF362">
        <v>0.110485440979708</v>
      </c>
      <c r="AG362">
        <v>-0.25660349999999998</v>
      </c>
      <c r="AH362">
        <v>0.55657871556057403</v>
      </c>
      <c r="AI362">
        <v>114.333122625529</v>
      </c>
      <c r="AJ362">
        <v>78.772277245052294</v>
      </c>
      <c r="AK362">
        <v>0.62276179675361398</v>
      </c>
      <c r="AL362">
        <v>89.121401854663603</v>
      </c>
      <c r="AM362">
        <v>88.109278426052597</v>
      </c>
      <c r="AN362">
        <v>1.00000003413269</v>
      </c>
    </row>
    <row r="363" spans="1:40" x14ac:dyDescent="0.25">
      <c r="A363" t="str">
        <f>"20190312154220489"</f>
        <v>20190312154220489</v>
      </c>
      <c r="B363" t="str">
        <f>"1552376540477905"</f>
        <v>1552376540477905</v>
      </c>
      <c r="C363" t="s">
        <v>40</v>
      </c>
      <c r="D363">
        <v>5.217733</v>
      </c>
      <c r="E363">
        <v>0.54869219999999996</v>
      </c>
      <c r="F363" t="s">
        <v>41</v>
      </c>
      <c r="G363">
        <v>-391.77460000000002</v>
      </c>
      <c r="H363">
        <v>0.85244580000000003</v>
      </c>
      <c r="I363">
        <v>367.97710000000001</v>
      </c>
      <c r="J363">
        <v>-392.40390000000002</v>
      </c>
      <c r="K363">
        <v>1.1101639999999999</v>
      </c>
      <c r="L363">
        <v>368.09249999999997</v>
      </c>
      <c r="M363">
        <v>0.99970219999999999</v>
      </c>
      <c r="N363">
        <v>0</v>
      </c>
      <c r="O363">
        <v>2.020052E-2</v>
      </c>
      <c r="P363">
        <v>0.99991269999999999</v>
      </c>
      <c r="Q363">
        <v>2.421524E-3</v>
      </c>
      <c r="R363">
        <v>-1.301303E-2</v>
      </c>
      <c r="S363">
        <v>2.9967350000000001</v>
      </c>
      <c r="T363">
        <v>-0.9129872</v>
      </c>
      <c r="U363">
        <v>-0.39166260000000003</v>
      </c>
      <c r="V363">
        <v>3.3202299999999997E-2</v>
      </c>
      <c r="W363">
        <v>1.6132440000000001E-2</v>
      </c>
      <c r="X363">
        <v>0.99931840000000005</v>
      </c>
      <c r="Y363">
        <v>0.1423402</v>
      </c>
      <c r="Z363">
        <v>-2.7113749999999999E-2</v>
      </c>
      <c r="AA363">
        <v>0.9894463</v>
      </c>
      <c r="AB363">
        <v>23</v>
      </c>
      <c r="AC363">
        <v>0.62929999999999997</v>
      </c>
      <c r="AD363">
        <v>-0.25771819999999901</v>
      </c>
      <c r="AE363">
        <v>-0.115399999999965</v>
      </c>
      <c r="AF363">
        <v>0.110207580442392</v>
      </c>
      <c r="AG363">
        <v>-0.25771819999999901</v>
      </c>
      <c r="AH363">
        <v>0.53932887801686902</v>
      </c>
      <c r="AI363">
        <v>115.08783169019701</v>
      </c>
      <c r="AJ363">
        <v>78.451054644604397</v>
      </c>
      <c r="AK363">
        <v>0.60781577806202203</v>
      </c>
      <c r="AL363">
        <v>89.075639136530199</v>
      </c>
      <c r="AM363">
        <v>88.097050826569898</v>
      </c>
      <c r="AN363">
        <v>0.99999995646210005</v>
      </c>
    </row>
    <row r="364" spans="1:40" x14ac:dyDescent="0.25">
      <c r="A364" t="str">
        <f>"20190312154220503"</f>
        <v>20190312154220503</v>
      </c>
      <c r="B364" t="str">
        <f>"1552376540497421"</f>
        <v>1552376540497421</v>
      </c>
      <c r="C364" t="s">
        <v>40</v>
      </c>
      <c r="D364">
        <v>5.1861930000000003</v>
      </c>
      <c r="E364">
        <v>0.54874979999999995</v>
      </c>
      <c r="F364" t="s">
        <v>41</v>
      </c>
      <c r="G364">
        <v>-391.57190000000003</v>
      </c>
      <c r="H364">
        <v>0.85718719999999904</v>
      </c>
      <c r="I364">
        <v>367.98379999999997</v>
      </c>
      <c r="J364">
        <v>-392.26499999999999</v>
      </c>
      <c r="K364">
        <v>1.1102459999999901</v>
      </c>
      <c r="L364">
        <v>368.09559999999999</v>
      </c>
      <c r="M364">
        <v>0.99969640000000004</v>
      </c>
      <c r="N364">
        <v>0</v>
      </c>
      <c r="O364">
        <v>2.0436139999999998E-2</v>
      </c>
      <c r="P364">
        <v>0.99991669999999999</v>
      </c>
      <c r="Q364">
        <v>2.5343430000000001E-3</v>
      </c>
      <c r="R364">
        <v>-1.267418E-2</v>
      </c>
      <c r="S364">
        <v>2.9973749999999999</v>
      </c>
      <c r="T364">
        <v>-0.91129879999999996</v>
      </c>
      <c r="U364">
        <v>-0.39105220000000002</v>
      </c>
      <c r="V364">
        <v>3.3099169999999997E-2</v>
      </c>
      <c r="W364">
        <v>1.6312179999999999E-2</v>
      </c>
      <c r="X364">
        <v>0.99931899999999996</v>
      </c>
      <c r="Y364">
        <v>0.1423654</v>
      </c>
      <c r="Z364">
        <v>-2.7134140000000001E-2</v>
      </c>
      <c r="AA364">
        <v>0.98944219999999905</v>
      </c>
      <c r="AB364">
        <v>23</v>
      </c>
      <c r="AC364">
        <v>0.69309999999995797</v>
      </c>
      <c r="AD364">
        <v>-0.25305879999999897</v>
      </c>
      <c r="AE364">
        <v>-0.111800000000016</v>
      </c>
      <c r="AF364">
        <v>0.111460654675587</v>
      </c>
      <c r="AG364">
        <v>-0.25305879999999897</v>
      </c>
      <c r="AH364">
        <v>0.61125270504419904</v>
      </c>
      <c r="AI364">
        <v>112.160301375579</v>
      </c>
      <c r="AJ364">
        <v>79.665776192022705</v>
      </c>
      <c r="AK364">
        <v>0.67088903942604505</v>
      </c>
      <c r="AL364">
        <v>89.065339527570401</v>
      </c>
      <c r="AM364">
        <v>88.102958408867806</v>
      </c>
      <c r="AN364">
        <v>1.00000005301601</v>
      </c>
    </row>
    <row r="365" spans="1:40" x14ac:dyDescent="0.25">
      <c r="A365" t="str">
        <f>"20190312154220523"</f>
        <v>20190312154220523</v>
      </c>
      <c r="B365" t="str">
        <f>"1552376540517917"</f>
        <v>1552376540517917</v>
      </c>
      <c r="C365" t="s">
        <v>40</v>
      </c>
      <c r="D365">
        <v>5.1966700000000001</v>
      </c>
      <c r="E365">
        <v>0.54879869999999897</v>
      </c>
      <c r="F365" t="s">
        <v>41</v>
      </c>
      <c r="G365">
        <v>-391.55689999999998</v>
      </c>
      <c r="H365">
        <v>0.89495849999999899</v>
      </c>
      <c r="I365">
        <v>368.00319999999999</v>
      </c>
      <c r="J365">
        <v>-392.06810000000002</v>
      </c>
      <c r="K365">
        <v>1.1103499999999999</v>
      </c>
      <c r="L365">
        <v>368.1001</v>
      </c>
      <c r="M365">
        <v>0.99968840000000003</v>
      </c>
      <c r="N365">
        <v>0</v>
      </c>
      <c r="O365">
        <v>2.0768700000000001E-2</v>
      </c>
      <c r="P365">
        <v>0.99992349999999997</v>
      </c>
      <c r="Q365">
        <v>2.5759379999999998E-3</v>
      </c>
      <c r="R365">
        <v>-1.2106530000000001E-2</v>
      </c>
      <c r="S365">
        <v>2.99762</v>
      </c>
      <c r="T365">
        <v>-0.91143660000000004</v>
      </c>
      <c r="U365">
        <v>-0.39059450000000001</v>
      </c>
      <c r="V365">
        <v>3.2864419999999998E-2</v>
      </c>
      <c r="W365">
        <v>1.6440429999999999E-2</v>
      </c>
      <c r="X365">
        <v>0.99932460000000001</v>
      </c>
      <c r="Y365">
        <v>0.1425128</v>
      </c>
      <c r="Z365">
        <v>-2.7256599999999999E-2</v>
      </c>
      <c r="AA365">
        <v>0.98941760000000001</v>
      </c>
      <c r="AB365">
        <v>23</v>
      </c>
      <c r="AC365">
        <v>0.51120000000002996</v>
      </c>
      <c r="AD365">
        <v>-0.21539150000000001</v>
      </c>
      <c r="AE365">
        <v>-9.6900000000005093E-2</v>
      </c>
      <c r="AF365">
        <v>9.1770075677052407E-2</v>
      </c>
      <c r="AG365">
        <v>-0.21539150000000001</v>
      </c>
      <c r="AH365">
        <v>0.43459823520798102</v>
      </c>
      <c r="AI365">
        <v>115.869561046016</v>
      </c>
      <c r="AJ365">
        <v>78.076540454609997</v>
      </c>
      <c r="AK365">
        <v>0.49365055566454402</v>
      </c>
      <c r="AL365">
        <v>89.057990315355298</v>
      </c>
      <c r="AM365">
        <v>88.116413661458694</v>
      </c>
      <c r="AN365">
        <v>1.0000000070028401</v>
      </c>
    </row>
    <row r="366" spans="1:40" x14ac:dyDescent="0.25">
      <c r="A366" t="str">
        <f>"20190312154220537"</f>
        <v>20190312154220537</v>
      </c>
      <c r="B366" t="str">
        <f>"1552376540527678"</f>
        <v>1552376540527678</v>
      </c>
      <c r="C366" t="s">
        <v>40</v>
      </c>
      <c r="D366">
        <v>5.2137900000000004</v>
      </c>
      <c r="E366">
        <v>0.54883280000000001</v>
      </c>
      <c r="F366" t="s">
        <v>41</v>
      </c>
      <c r="G366">
        <v>-391.35680000000002</v>
      </c>
      <c r="H366">
        <v>0.89406419999999998</v>
      </c>
      <c r="I366">
        <v>368.00729999999999</v>
      </c>
      <c r="J366">
        <v>-391.92149999999998</v>
      </c>
      <c r="K366">
        <v>1.110412</v>
      </c>
      <c r="L366">
        <v>368.10340000000002</v>
      </c>
      <c r="M366">
        <v>0.99968250000000003</v>
      </c>
      <c r="N366">
        <v>0</v>
      </c>
      <c r="O366">
        <v>2.1012989999999999E-2</v>
      </c>
      <c r="P366">
        <v>0.99992599999999998</v>
      </c>
      <c r="Q366">
        <v>3.0046809999999999E-3</v>
      </c>
      <c r="R366">
        <v>-1.1792199999999999E-2</v>
      </c>
      <c r="S366">
        <v>2.997833</v>
      </c>
      <c r="T366">
        <v>-0.91157869999999996</v>
      </c>
      <c r="U366">
        <v>-0.38931270000000001</v>
      </c>
      <c r="V366">
        <v>3.2794320000000002E-2</v>
      </c>
      <c r="W366">
        <v>1.6926739999999999E-2</v>
      </c>
      <c r="X366">
        <v>0.99931879999999995</v>
      </c>
      <c r="Y366">
        <v>0.14232510000000001</v>
      </c>
      <c r="Z366">
        <v>-2.7304120000000001E-2</v>
      </c>
      <c r="AA366">
        <v>0.98944330000000003</v>
      </c>
      <c r="AB366">
        <v>22</v>
      </c>
      <c r="AC366">
        <v>0.56469999999995901</v>
      </c>
      <c r="AD366">
        <v>-0.21634780000000001</v>
      </c>
      <c r="AE366">
        <v>-9.6100000000035296E-2</v>
      </c>
      <c r="AF366">
        <v>9.4469871200172806E-2</v>
      </c>
      <c r="AG366">
        <v>-0.21634780000000001</v>
      </c>
      <c r="AH366">
        <v>0.49232568806243099</v>
      </c>
      <c r="AI366">
        <v>113.343439323917</v>
      </c>
      <c r="AJ366">
        <v>79.137834425617996</v>
      </c>
      <c r="AK366">
        <v>0.54599955151589996</v>
      </c>
      <c r="AL366">
        <v>89.030122941647505</v>
      </c>
      <c r="AM366">
        <v>88.120417576123799</v>
      </c>
      <c r="AN366">
        <v>1.00000002299236</v>
      </c>
    </row>
    <row r="367" spans="1:40" x14ac:dyDescent="0.25">
      <c r="A367" t="str">
        <f>"20190312154220551"</f>
        <v>20190312154220551</v>
      </c>
      <c r="B367" t="str">
        <f>"1552376540538414"</f>
        <v>1552376540538414</v>
      </c>
      <c r="C367" t="s">
        <v>40</v>
      </c>
      <c r="D367">
        <v>5.2149570000000001</v>
      </c>
      <c r="E367">
        <v>0.54889940000000004</v>
      </c>
      <c r="F367" t="s">
        <v>41</v>
      </c>
      <c r="G367">
        <v>-391.16210000000001</v>
      </c>
      <c r="H367">
        <v>0.87986609999999998</v>
      </c>
      <c r="I367">
        <v>368.00470000000001</v>
      </c>
      <c r="J367">
        <v>-391.78930000000003</v>
      </c>
      <c r="K367">
        <v>1.1104560000000001</v>
      </c>
      <c r="L367">
        <v>368.10640000000001</v>
      </c>
      <c r="M367">
        <v>0.99967709999999999</v>
      </c>
      <c r="N367">
        <v>0</v>
      </c>
      <c r="O367">
        <v>2.1231110000000001E-2</v>
      </c>
      <c r="P367">
        <v>0.99992780000000003</v>
      </c>
      <c r="Q367">
        <v>3.055505E-3</v>
      </c>
      <c r="R367">
        <v>-1.1631590000000001E-2</v>
      </c>
      <c r="S367">
        <v>2.998383</v>
      </c>
      <c r="T367">
        <v>-0.91030789999999995</v>
      </c>
      <c r="U367">
        <v>-0.38879390000000003</v>
      </c>
      <c r="V367">
        <v>3.28518E-2</v>
      </c>
      <c r="W367">
        <v>1.7026380000000001E-2</v>
      </c>
      <c r="X367">
        <v>0.99931519999999996</v>
      </c>
      <c r="Y367">
        <v>0.1423603</v>
      </c>
      <c r="Z367">
        <v>-2.7332970000000002E-2</v>
      </c>
      <c r="AA367">
        <v>0.98943749999999997</v>
      </c>
      <c r="AB367">
        <v>22</v>
      </c>
      <c r="AC367">
        <v>0.62720000000001597</v>
      </c>
      <c r="AD367">
        <v>-0.23058989999999899</v>
      </c>
      <c r="AE367">
        <v>-0.101699999999993</v>
      </c>
      <c r="AF367">
        <v>0.101611880422143</v>
      </c>
      <c r="AG367">
        <v>-0.23058989999999899</v>
      </c>
      <c r="AH367">
        <v>0.55217570360200896</v>
      </c>
      <c r="AI367">
        <v>112.328263931831</v>
      </c>
      <c r="AJ367">
        <v>79.573032158391797</v>
      </c>
      <c r="AK367">
        <v>0.60695525689568597</v>
      </c>
      <c r="AL367">
        <v>89.024413148600502</v>
      </c>
      <c r="AM367">
        <v>88.117118743183497</v>
      </c>
      <c r="AN367">
        <v>1.00000000366509</v>
      </c>
    </row>
    <row r="368" spans="1:40" x14ac:dyDescent="0.25">
      <c r="A368" t="str">
        <f>"20190312154220570"</f>
        <v>20190312154220570</v>
      </c>
      <c r="B368" t="str">
        <f>"1552376540557933"</f>
        <v>1552376540557933</v>
      </c>
      <c r="C368" t="s">
        <v>40</v>
      </c>
      <c r="D368">
        <v>5.1784210000000002</v>
      </c>
      <c r="E368">
        <v>0.54902580000000001</v>
      </c>
      <c r="F368" t="s">
        <v>41</v>
      </c>
      <c r="G368">
        <v>-390.96949999999998</v>
      </c>
      <c r="H368">
        <v>0.86161840000000001</v>
      </c>
      <c r="I368">
        <v>367.99990000000003</v>
      </c>
      <c r="J368">
        <v>-391.60059999999999</v>
      </c>
      <c r="K368">
        <v>1.110517</v>
      </c>
      <c r="L368">
        <v>368.11079999999998</v>
      </c>
      <c r="M368">
        <v>0.99966969999999999</v>
      </c>
      <c r="N368">
        <v>0</v>
      </c>
      <c r="O368">
        <v>2.1534049999999999E-2</v>
      </c>
      <c r="P368">
        <v>0.99993209999999999</v>
      </c>
      <c r="Q368">
        <v>3.5475720000000001E-3</v>
      </c>
      <c r="R368">
        <v>-1.1110210000000001E-2</v>
      </c>
      <c r="S368">
        <v>2.9984739999999999</v>
      </c>
      <c r="T368">
        <v>-0.9102441</v>
      </c>
      <c r="U368">
        <v>-0.38864140000000003</v>
      </c>
      <c r="V368">
        <v>3.2633570000000001E-2</v>
      </c>
      <c r="W368">
        <v>1.758086E-2</v>
      </c>
      <c r="X368">
        <v>0.9993128</v>
      </c>
      <c r="Y368">
        <v>0.1425845</v>
      </c>
      <c r="Z368">
        <v>-2.7453229999999999E-2</v>
      </c>
      <c r="AA368">
        <v>0.9894018</v>
      </c>
      <c r="AB368">
        <v>22</v>
      </c>
      <c r="AC368">
        <v>0.63110000000000299</v>
      </c>
      <c r="AD368">
        <v>-0.248898599999999</v>
      </c>
      <c r="AE368">
        <v>-0.110899999999958</v>
      </c>
      <c r="AF368">
        <v>0.108148038248098</v>
      </c>
      <c r="AG368">
        <v>-0.248898599999999</v>
      </c>
      <c r="AH368">
        <v>0.54615906605099795</v>
      </c>
      <c r="AI368">
        <v>114.086810171192</v>
      </c>
      <c r="AJ368">
        <v>78.799431553009398</v>
      </c>
      <c r="AK368">
        <v>0.60986575300517598</v>
      </c>
      <c r="AL368">
        <v>88.992639078400501</v>
      </c>
      <c r="AM368">
        <v>88.129613062519496</v>
      </c>
      <c r="AN368">
        <v>1.0000000543865599</v>
      </c>
    </row>
    <row r="369" spans="1:40" x14ac:dyDescent="0.25">
      <c r="A369" t="str">
        <f>"20190312154220591"</f>
        <v>20190312154220591</v>
      </c>
      <c r="B369" t="str">
        <f>"1552376540577453"</f>
        <v>1552376540577453</v>
      </c>
      <c r="C369" t="s">
        <v>40</v>
      </c>
      <c r="D369">
        <v>5.2052969999999998</v>
      </c>
      <c r="E369">
        <v>0.54911269999999901</v>
      </c>
      <c r="F369" t="s">
        <v>41</v>
      </c>
      <c r="G369">
        <v>-390.77109999999999</v>
      </c>
      <c r="H369">
        <v>0.8590894</v>
      </c>
      <c r="I369">
        <v>368.0034</v>
      </c>
      <c r="J369">
        <v>-391.38889999999998</v>
      </c>
      <c r="K369">
        <v>1.110571</v>
      </c>
      <c r="L369">
        <v>368.1157</v>
      </c>
      <c r="M369">
        <v>0.99966200000000005</v>
      </c>
      <c r="N369">
        <v>0</v>
      </c>
      <c r="O369">
        <v>2.1860049999999999E-2</v>
      </c>
      <c r="P369">
        <v>0.99994190000000005</v>
      </c>
      <c r="Q369">
        <v>3.6483930000000002E-3</v>
      </c>
      <c r="R369">
        <v>-1.0168170000000001E-2</v>
      </c>
      <c r="S369">
        <v>2.9990839999999999</v>
      </c>
      <c r="T369">
        <v>-0.90912079999999995</v>
      </c>
      <c r="U369">
        <v>-0.38763429999999999</v>
      </c>
      <c r="V369">
        <v>3.2018249999999998E-2</v>
      </c>
      <c r="W369">
        <v>1.7742480000000001E-2</v>
      </c>
      <c r="X369">
        <v>0.99932980000000005</v>
      </c>
      <c r="Y369">
        <v>0.1425611</v>
      </c>
      <c r="Z369">
        <v>-2.7508919999999999E-2</v>
      </c>
      <c r="AA369">
        <v>0.9894037</v>
      </c>
      <c r="AB369">
        <v>22</v>
      </c>
      <c r="AC369">
        <v>0.61779999999998803</v>
      </c>
      <c r="AD369">
        <v>-0.25148160000000003</v>
      </c>
      <c r="AE369">
        <v>-0.11230000000000399</v>
      </c>
      <c r="AF369">
        <v>0.108393537982491</v>
      </c>
      <c r="AG369">
        <v>-0.25148160000000003</v>
      </c>
      <c r="AH369">
        <v>0.530160564201966</v>
      </c>
      <c r="AI369">
        <v>114.92598891052999</v>
      </c>
      <c r="AJ369">
        <v>78.444889490714004</v>
      </c>
      <c r="AK369">
        <v>0.59670962624200197</v>
      </c>
      <c r="AL369">
        <v>88.983377441753802</v>
      </c>
      <c r="AM369">
        <v>88.164886863615493</v>
      </c>
      <c r="AN369">
        <v>1.0000000065488199</v>
      </c>
    </row>
    <row r="370" spans="1:40" x14ac:dyDescent="0.25">
      <c r="A370" t="str">
        <f>"20190312154220612"</f>
        <v>20190312154220612</v>
      </c>
      <c r="B370" t="str">
        <f>"1552376540597949"</f>
        <v>1552376540597949</v>
      </c>
      <c r="C370" t="s">
        <v>40</v>
      </c>
      <c r="D370">
        <v>5.1903600000000001</v>
      </c>
      <c r="E370">
        <v>0.54918900000000004</v>
      </c>
      <c r="F370" t="s">
        <v>41</v>
      </c>
      <c r="G370">
        <v>-390.57060000000001</v>
      </c>
      <c r="H370">
        <v>0.86276939999999902</v>
      </c>
      <c r="I370">
        <v>368.00979999999998</v>
      </c>
      <c r="J370">
        <v>-391.1823</v>
      </c>
      <c r="K370">
        <v>1.1106100000000001</v>
      </c>
      <c r="L370">
        <v>368.12060000000002</v>
      </c>
      <c r="M370">
        <v>0.9996545</v>
      </c>
      <c r="N370">
        <v>0</v>
      </c>
      <c r="O370">
        <v>2.2161690000000001E-2</v>
      </c>
      <c r="P370">
        <v>0.99994870000000002</v>
      </c>
      <c r="Q370">
        <v>2.994586E-3</v>
      </c>
      <c r="R370">
        <v>-9.6809679999999999E-3</v>
      </c>
      <c r="S370">
        <v>2.9995729999999998</v>
      </c>
      <c r="T370">
        <v>-0.90852379999999999</v>
      </c>
      <c r="U370">
        <v>-0.38659670000000002</v>
      </c>
      <c r="V370">
        <v>3.1833999999999897E-2</v>
      </c>
      <c r="W370">
        <v>1.7140799999999901E-2</v>
      </c>
      <c r="X370">
        <v>0.99934619999999996</v>
      </c>
      <c r="Y370">
        <v>0.14250280000000001</v>
      </c>
      <c r="Z370">
        <v>-2.75684E-2</v>
      </c>
      <c r="AA370">
        <v>0.98941040000000002</v>
      </c>
      <c r="AB370">
        <v>22</v>
      </c>
      <c r="AC370">
        <v>0.61169999999998403</v>
      </c>
      <c r="AD370">
        <v>-0.24784059999999999</v>
      </c>
      <c r="AE370">
        <v>-0.11080000000004001</v>
      </c>
      <c r="AF370">
        <v>0.107278958248487</v>
      </c>
      <c r="AG370">
        <v>-0.24784059999999999</v>
      </c>
      <c r="AH370">
        <v>0.52555887518936095</v>
      </c>
      <c r="AI370">
        <v>114.799185769866</v>
      </c>
      <c r="AJ370">
        <v>78.463072146756701</v>
      </c>
      <c r="AK370">
        <v>0.59088566506689499</v>
      </c>
      <c r="AL370">
        <v>89.017856423749805</v>
      </c>
      <c r="AM370">
        <v>88.175469842036804</v>
      </c>
      <c r="AN370">
        <v>1.00000001901753</v>
      </c>
    </row>
    <row r="371" spans="1:40" x14ac:dyDescent="0.25">
      <c r="A371" t="str">
        <f>"20190312154220635"</f>
        <v>20190312154220635</v>
      </c>
      <c r="B371" t="str">
        <f>"1552376540628206"</f>
        <v>1552376540628206</v>
      </c>
      <c r="C371" t="s">
        <v>40</v>
      </c>
      <c r="D371">
        <v>5.2066319999999999</v>
      </c>
      <c r="E371">
        <v>0.54928769999999905</v>
      </c>
      <c r="F371" t="s">
        <v>41</v>
      </c>
      <c r="G371">
        <v>-390.37139999999999</v>
      </c>
      <c r="H371">
        <v>0.86450530000000003</v>
      </c>
      <c r="I371">
        <v>368.01609999999999</v>
      </c>
      <c r="J371">
        <v>-390.95769999999999</v>
      </c>
      <c r="K371">
        <v>1.110638</v>
      </c>
      <c r="L371">
        <v>368.1259</v>
      </c>
      <c r="M371">
        <v>0.99964699999999995</v>
      </c>
      <c r="N371">
        <v>0</v>
      </c>
      <c r="O371">
        <v>2.2464399999999999E-2</v>
      </c>
      <c r="P371">
        <v>0.99995650000000003</v>
      </c>
      <c r="Q371">
        <v>2.553526E-3</v>
      </c>
      <c r="R371">
        <v>-8.9926169999999996E-3</v>
      </c>
      <c r="S371">
        <v>2.9991150000000002</v>
      </c>
      <c r="T371">
        <v>-0.91024159999999998</v>
      </c>
      <c r="U371">
        <v>-0.38607789999999997</v>
      </c>
      <c r="V371">
        <v>3.1449289999999998E-2</v>
      </c>
      <c r="W371">
        <v>1.6748909999999999E-2</v>
      </c>
      <c r="X371">
        <v>0.99936499999999995</v>
      </c>
      <c r="Y371">
        <v>0.1426057</v>
      </c>
      <c r="Z371">
        <v>-2.772736E-2</v>
      </c>
      <c r="AA371">
        <v>0.98939109999999997</v>
      </c>
      <c r="AB371">
        <v>22</v>
      </c>
      <c r="AC371">
        <v>0.58629999999999405</v>
      </c>
      <c r="AD371">
        <v>-0.24613270000000001</v>
      </c>
      <c r="AE371">
        <v>-0.109800000000006</v>
      </c>
      <c r="AF371">
        <v>0.10505686780763</v>
      </c>
      <c r="AG371">
        <v>-0.24613270000000001</v>
      </c>
      <c r="AH371">
        <v>0.49876278971857302</v>
      </c>
      <c r="AI371">
        <v>115.775456457389</v>
      </c>
      <c r="AJ371">
        <v>78.105382790935096</v>
      </c>
      <c r="AK371">
        <v>0.56602347291494304</v>
      </c>
      <c r="AL371">
        <v>89.040313266264405</v>
      </c>
      <c r="AM371">
        <v>88.197538318072702</v>
      </c>
      <c r="AN371">
        <v>0.99999999352634505</v>
      </c>
    </row>
    <row r="372" spans="1:40" x14ac:dyDescent="0.25">
      <c r="A372" t="str">
        <f>"20190312154220657"</f>
        <v>20190312154220657</v>
      </c>
      <c r="B372" t="str">
        <f>"1552376540647725"</f>
        <v>1552376540647725</v>
      </c>
      <c r="C372" t="s">
        <v>40</v>
      </c>
      <c r="D372">
        <v>5.1879049999999998</v>
      </c>
      <c r="E372">
        <v>0.54936409999999902</v>
      </c>
      <c r="F372" t="s">
        <v>41</v>
      </c>
      <c r="G372">
        <v>-390.17039999999997</v>
      </c>
      <c r="H372">
        <v>0.87131550000000002</v>
      </c>
      <c r="I372">
        <v>368.02460000000002</v>
      </c>
      <c r="J372">
        <v>-390.73270000000002</v>
      </c>
      <c r="K372">
        <v>1.1106549999999999</v>
      </c>
      <c r="L372">
        <v>368.13130000000001</v>
      </c>
      <c r="M372">
        <v>0.99964030000000004</v>
      </c>
      <c r="N372">
        <v>0</v>
      </c>
      <c r="O372">
        <v>2.2733349999999999E-2</v>
      </c>
      <c r="P372">
        <v>0.99995290000000003</v>
      </c>
      <c r="Q372">
        <v>2.7442999999999999E-3</v>
      </c>
      <c r="R372">
        <v>-9.3192150000000005E-3</v>
      </c>
      <c r="S372">
        <v>2.998993</v>
      </c>
      <c r="T372">
        <v>-0.91160739999999996</v>
      </c>
      <c r="U372">
        <v>-0.38476559999999999</v>
      </c>
      <c r="V372">
        <v>3.2045650000000002E-2</v>
      </c>
      <c r="W372">
        <v>1.6981090000000001E-2</v>
      </c>
      <c r="X372">
        <v>0.99934210000000001</v>
      </c>
      <c r="Y372">
        <v>0.14242439999999901</v>
      </c>
      <c r="Z372">
        <v>-2.7821829999999999E-2</v>
      </c>
      <c r="AA372">
        <v>0.98941460000000003</v>
      </c>
      <c r="AB372">
        <v>22</v>
      </c>
      <c r="AC372">
        <v>0.56230000000004998</v>
      </c>
      <c r="AD372">
        <v>-0.23933950000000001</v>
      </c>
      <c r="AE372">
        <v>-0.106699999999989</v>
      </c>
      <c r="AF372">
        <v>0.101676004154403</v>
      </c>
      <c r="AG372">
        <v>-0.23933950000000001</v>
      </c>
      <c r="AH372">
        <v>0.47641526038894799</v>
      </c>
      <c r="AI372">
        <v>116.165410889483</v>
      </c>
      <c r="AJ372">
        <v>77.952737657188706</v>
      </c>
      <c r="AK372">
        <v>0.54276413515681499</v>
      </c>
      <c r="AL372">
        <v>89.027008404217</v>
      </c>
      <c r="AM372">
        <v>88.163340109365507</v>
      </c>
      <c r="AN372">
        <v>0.99999995696695898</v>
      </c>
    </row>
    <row r="373" spans="1:40" x14ac:dyDescent="0.25">
      <c r="A373" t="str">
        <f>"20190312154220679"</f>
        <v>20190312154220679</v>
      </c>
      <c r="B373" t="str">
        <f>"1552376540668222"</f>
        <v>1552376540668222</v>
      </c>
      <c r="C373" t="s">
        <v>40</v>
      </c>
      <c r="D373">
        <v>5.2084739999999998</v>
      </c>
      <c r="E373">
        <v>0.54942460000000004</v>
      </c>
      <c r="F373" t="s">
        <v>41</v>
      </c>
      <c r="G373">
        <v>-389.96949999999998</v>
      </c>
      <c r="H373">
        <v>0.8788165</v>
      </c>
      <c r="I373">
        <v>368.03289999999998</v>
      </c>
      <c r="J373">
        <v>-390.50869999999998</v>
      </c>
      <c r="K373">
        <v>1.110657</v>
      </c>
      <c r="L373">
        <v>368.13670000000002</v>
      </c>
      <c r="M373">
        <v>0.99963460000000004</v>
      </c>
      <c r="N373">
        <v>0</v>
      </c>
      <c r="O373">
        <v>2.2958920000000001E-2</v>
      </c>
      <c r="P373">
        <v>0.99995460000000003</v>
      </c>
      <c r="Q373">
        <v>2.4999589999999999E-3</v>
      </c>
      <c r="R373">
        <v>-9.2028909999999995E-3</v>
      </c>
      <c r="S373">
        <v>2.9990540000000001</v>
      </c>
      <c r="T373">
        <v>-0.91111450000000005</v>
      </c>
      <c r="U373">
        <v>-0.38571169999999999</v>
      </c>
      <c r="V373">
        <v>3.2156120000000003E-2</v>
      </c>
      <c r="W373">
        <v>1.6771790000000002E-2</v>
      </c>
      <c r="X373">
        <v>0.99934210000000001</v>
      </c>
      <c r="Y373">
        <v>0.1429279</v>
      </c>
      <c r="Z373">
        <v>-2.7947690000000001E-2</v>
      </c>
      <c r="AA373">
        <v>0.98933850000000001</v>
      </c>
      <c r="AB373">
        <v>22</v>
      </c>
      <c r="AC373">
        <v>0.53919999999999302</v>
      </c>
      <c r="AD373">
        <v>-0.23184049999999901</v>
      </c>
      <c r="AE373">
        <v>-0.103800000000035</v>
      </c>
      <c r="AF373">
        <v>9.8579665210443798E-2</v>
      </c>
      <c r="AG373">
        <v>-0.23184049999999901</v>
      </c>
      <c r="AH373">
        <v>0.45547710838636501</v>
      </c>
      <c r="AI373">
        <v>116.449764134867</v>
      </c>
      <c r="AJ373">
        <v>77.787739255256199</v>
      </c>
      <c r="AK373">
        <v>0.52050683386220598</v>
      </c>
      <c r="AL373">
        <v>89.039002132922406</v>
      </c>
      <c r="AM373">
        <v>88.157013006170104</v>
      </c>
      <c r="AN373">
        <v>0.99999997091283299</v>
      </c>
    </row>
    <row r="374" spans="1:40" x14ac:dyDescent="0.25">
      <c r="A374" t="str">
        <f>"20190312154220700"</f>
        <v>20190312154220700</v>
      </c>
      <c r="B374" t="str">
        <f>"1552376540687741"</f>
        <v>1552376540687741</v>
      </c>
      <c r="C374" t="s">
        <v>40</v>
      </c>
      <c r="D374">
        <v>5.211068</v>
      </c>
      <c r="E374">
        <v>0.54948929999999996</v>
      </c>
      <c r="F374" t="s">
        <v>41</v>
      </c>
      <c r="G374">
        <v>-389.76920000000001</v>
      </c>
      <c r="H374">
        <v>0.88585069999999999</v>
      </c>
      <c r="I374">
        <v>368.04129999999998</v>
      </c>
      <c r="J374">
        <v>-390.30369999999999</v>
      </c>
      <c r="K374">
        <v>1.1106510000000001</v>
      </c>
      <c r="L374">
        <v>368.14159999999998</v>
      </c>
      <c r="M374">
        <v>0.99963040000000003</v>
      </c>
      <c r="N374">
        <v>0</v>
      </c>
      <c r="O374">
        <v>2.312283E-2</v>
      </c>
      <c r="P374">
        <v>0.99995590000000001</v>
      </c>
      <c r="Q374">
        <v>2.695767E-3</v>
      </c>
      <c r="R374">
        <v>-9.0012570000000004E-3</v>
      </c>
      <c r="S374">
        <v>2.9988709999999998</v>
      </c>
      <c r="T374">
        <v>-0.91165770000000002</v>
      </c>
      <c r="U374">
        <v>-0.38626100000000002</v>
      </c>
      <c r="V374">
        <v>3.2119809999999999E-2</v>
      </c>
      <c r="W374">
        <v>1.699444E-2</v>
      </c>
      <c r="X374">
        <v>0.99933950000000005</v>
      </c>
      <c r="Y374">
        <v>0.14324519999999999</v>
      </c>
      <c r="Z374">
        <v>-2.806051E-2</v>
      </c>
      <c r="AA374">
        <v>0.98928930000000004</v>
      </c>
      <c r="AB374">
        <v>22</v>
      </c>
      <c r="AC374">
        <v>0.53449999999997999</v>
      </c>
      <c r="AD374">
        <v>-0.22480030000000001</v>
      </c>
      <c r="AE374">
        <v>-0.100300000000004</v>
      </c>
      <c r="AF374">
        <v>9.6196410503576704E-2</v>
      </c>
      <c r="AG374">
        <v>-0.22480030000000001</v>
      </c>
      <c r="AH374">
        <v>0.45439470018421102</v>
      </c>
      <c r="AI374">
        <v>115.826877173651</v>
      </c>
      <c r="AJ374">
        <v>78.0468370417356</v>
      </c>
      <c r="AK374">
        <v>0.51600723621802203</v>
      </c>
      <c r="AL374">
        <v>89.026243402687896</v>
      </c>
      <c r="AM374">
        <v>88.1590878485286</v>
      </c>
      <c r="AN374">
        <v>0.99999996472279895</v>
      </c>
    </row>
    <row r="375" spans="1:40" x14ac:dyDescent="0.25">
      <c r="A375" t="str">
        <f>"20190312154220723"</f>
        <v>20190312154220723</v>
      </c>
      <c r="B375" t="str">
        <f>"1552376540717997"</f>
        <v>1552376540717997</v>
      </c>
      <c r="C375" t="s">
        <v>40</v>
      </c>
      <c r="D375">
        <v>5.1994030000000002</v>
      </c>
      <c r="E375">
        <v>0.54953430000000003</v>
      </c>
      <c r="F375" t="s">
        <v>41</v>
      </c>
      <c r="G375">
        <v>-389.5711</v>
      </c>
      <c r="H375">
        <v>0.88802579999999998</v>
      </c>
      <c r="I375">
        <v>368.04730000000001</v>
      </c>
      <c r="J375">
        <v>-390.07729999999998</v>
      </c>
      <c r="K375">
        <v>1.110641</v>
      </c>
      <c r="L375">
        <v>368.14699999999999</v>
      </c>
      <c r="M375">
        <v>0.99962709999999999</v>
      </c>
      <c r="N375">
        <v>0</v>
      </c>
      <c r="O375">
        <v>2.3253670000000001E-2</v>
      </c>
      <c r="P375">
        <v>0.99995639999999997</v>
      </c>
      <c r="Q375">
        <v>1.706274E-3</v>
      </c>
      <c r="R375">
        <v>-9.2062749999999999E-3</v>
      </c>
      <c r="S375">
        <v>2.9991460000000001</v>
      </c>
      <c r="T375">
        <v>-0.91138050000000004</v>
      </c>
      <c r="U375">
        <v>-0.38574219999999998</v>
      </c>
      <c r="V375">
        <v>3.2457029999999998E-2</v>
      </c>
      <c r="W375">
        <v>1.6029930000000001E-2</v>
      </c>
      <c r="X375">
        <v>0.99934460000000003</v>
      </c>
      <c r="Y375">
        <v>0.14319660000000001</v>
      </c>
      <c r="Z375">
        <v>-2.8081760000000001E-2</v>
      </c>
      <c r="AA375">
        <v>0.98929579999999995</v>
      </c>
      <c r="AB375">
        <v>22</v>
      </c>
      <c r="AC375">
        <v>0.506199999999978</v>
      </c>
      <c r="AD375">
        <v>-0.22261520000000001</v>
      </c>
      <c r="AE375">
        <v>-9.9699999999984301E-2</v>
      </c>
      <c r="AF375">
        <v>9.3952945686933395E-2</v>
      </c>
      <c r="AG375">
        <v>-0.22261520000000001</v>
      </c>
      <c r="AH375">
        <v>0.42467737910596498</v>
      </c>
      <c r="AI375">
        <v>117.104392866187</v>
      </c>
      <c r="AJ375">
        <v>77.525176684949898</v>
      </c>
      <c r="AK375">
        <v>0.48860573021466303</v>
      </c>
      <c r="AL375">
        <v>89.081513348315696</v>
      </c>
      <c r="AM375">
        <v>88.139783444675402</v>
      </c>
      <c r="AN375">
        <v>1.0000000235006901</v>
      </c>
    </row>
    <row r="376" spans="1:40" x14ac:dyDescent="0.25">
      <c r="A376" t="str">
        <f>"20190312154220747"</f>
        <v>20190312154220747</v>
      </c>
      <c r="B376" t="str">
        <f>"1552376540737529"</f>
        <v>1552376540737529</v>
      </c>
      <c r="C376" t="s">
        <v>40</v>
      </c>
      <c r="D376">
        <v>5.1953589999999998</v>
      </c>
      <c r="E376">
        <v>0.54958799999999997</v>
      </c>
      <c r="F376" t="s">
        <v>41</v>
      </c>
      <c r="G376">
        <v>-389.37150000000003</v>
      </c>
      <c r="H376">
        <v>0.89529230000000004</v>
      </c>
      <c r="I376">
        <v>368.05560000000003</v>
      </c>
      <c r="J376">
        <v>-389.846</v>
      </c>
      <c r="K376">
        <v>1.110619</v>
      </c>
      <c r="L376">
        <v>368.15249999999997</v>
      </c>
      <c r="M376">
        <v>0.99962479999999998</v>
      </c>
      <c r="N376">
        <v>0</v>
      </c>
      <c r="O376">
        <v>2.3332769999999999E-2</v>
      </c>
      <c r="P376">
        <v>0.99995400000000001</v>
      </c>
      <c r="Q376">
        <v>1.100827E-3</v>
      </c>
      <c r="R376">
        <v>-9.5529389999999999E-3</v>
      </c>
      <c r="S376">
        <v>2.998138</v>
      </c>
      <c r="T376">
        <v>-0.9147807</v>
      </c>
      <c r="U376">
        <v>-0.38635249999999999</v>
      </c>
      <c r="V376">
        <v>3.288398E-2</v>
      </c>
      <c r="W376">
        <v>1.54454E-2</v>
      </c>
      <c r="X376">
        <v>0.9993398</v>
      </c>
      <c r="Y376">
        <v>0.14344170000000001</v>
      </c>
      <c r="Z376">
        <v>-2.8250620000000001E-2</v>
      </c>
      <c r="AA376">
        <v>0.98925549999999995</v>
      </c>
      <c r="AB376">
        <v>22</v>
      </c>
      <c r="AC376">
        <v>0.474499999999977</v>
      </c>
      <c r="AD376">
        <v>-0.21532670000000001</v>
      </c>
      <c r="AE376">
        <v>-9.6899999999948194E-2</v>
      </c>
      <c r="AF376">
        <v>9.0128816655764804E-2</v>
      </c>
      <c r="AG376">
        <v>-0.21532670000000001</v>
      </c>
      <c r="AH376">
        <v>0.39418431993443198</v>
      </c>
      <c r="AI376">
        <v>118.036036919683</v>
      </c>
      <c r="AJ376">
        <v>77.120917485983099</v>
      </c>
      <c r="AK376">
        <v>0.45811578166095601</v>
      </c>
      <c r="AL376">
        <v>89.115008556343994</v>
      </c>
      <c r="AM376">
        <v>88.115322056673804</v>
      </c>
      <c r="AN376">
        <v>0.99999997619291903</v>
      </c>
    </row>
    <row r="377" spans="1:40" x14ac:dyDescent="0.25">
      <c r="A377" t="str">
        <f>"20190312154220769"</f>
        <v>20190312154220769</v>
      </c>
      <c r="B377" t="str">
        <f>"1552376540758013"</f>
        <v>1552376540758013</v>
      </c>
      <c r="C377" t="s">
        <v>40</v>
      </c>
      <c r="D377">
        <v>5.2116230000000003</v>
      </c>
      <c r="E377">
        <v>0.54964639999999998</v>
      </c>
      <c r="F377" t="s">
        <v>41</v>
      </c>
      <c r="G377">
        <v>-389.17149999999998</v>
      </c>
      <c r="H377">
        <v>0.90438070000000004</v>
      </c>
      <c r="I377">
        <v>368.065</v>
      </c>
      <c r="J377">
        <v>-389.63209999999998</v>
      </c>
      <c r="K377">
        <v>1.110606</v>
      </c>
      <c r="L377">
        <v>368.15750000000003</v>
      </c>
      <c r="M377">
        <v>0.99962390000000001</v>
      </c>
      <c r="N377">
        <v>0</v>
      </c>
      <c r="O377">
        <v>2.3360490000000001E-2</v>
      </c>
      <c r="P377">
        <v>0.99995299999999998</v>
      </c>
      <c r="Q377">
        <v>6.887633E-4</v>
      </c>
      <c r="R377">
        <v>-9.6816639999999995E-3</v>
      </c>
      <c r="S377">
        <v>2.9974370000000001</v>
      </c>
      <c r="T377">
        <v>-0.9166086</v>
      </c>
      <c r="U377">
        <v>-0.3877563</v>
      </c>
      <c r="V377">
        <v>3.304153E-2</v>
      </c>
      <c r="W377">
        <v>1.504919E-2</v>
      </c>
      <c r="X377">
        <v>0.99934069999999997</v>
      </c>
      <c r="Y377">
        <v>0.1439001</v>
      </c>
      <c r="Z377">
        <v>-2.8386660000000001E-2</v>
      </c>
      <c r="AA377">
        <v>0.98918499999999998</v>
      </c>
      <c r="AB377">
        <v>22</v>
      </c>
      <c r="AC377">
        <v>0.46059999999999901</v>
      </c>
      <c r="AD377">
        <v>-0.2062253</v>
      </c>
      <c r="AE377">
        <v>-9.2500000000029503E-2</v>
      </c>
      <c r="AF377">
        <v>8.6556854990138002E-2</v>
      </c>
      <c r="AG377">
        <v>-0.2062253</v>
      </c>
      <c r="AH377">
        <v>0.384267734490507</v>
      </c>
      <c r="AI377">
        <v>117.634446833691</v>
      </c>
      <c r="AJ377">
        <v>77.305905766988701</v>
      </c>
      <c r="AK377">
        <v>0.44461517661494698</v>
      </c>
      <c r="AL377">
        <v>89.137712401538096</v>
      </c>
      <c r="AM377">
        <v>88.106300664256594</v>
      </c>
      <c r="AN377">
        <v>1.0000000277504399</v>
      </c>
    </row>
    <row r="378" spans="1:40" x14ac:dyDescent="0.25">
      <c r="A378" t="str">
        <f>"20190312154220792"</f>
        <v>20190312154220792</v>
      </c>
      <c r="B378" t="str">
        <f>"1552376540777534"</f>
        <v>1552376540777534</v>
      </c>
      <c r="C378" t="s">
        <v>40</v>
      </c>
      <c r="D378">
        <v>5.2063110000000004</v>
      </c>
      <c r="E378">
        <v>0.54969969999999901</v>
      </c>
      <c r="F378" t="s">
        <v>41</v>
      </c>
      <c r="G378">
        <v>-388.79910000000001</v>
      </c>
      <c r="H378">
        <v>0.85536970000000001</v>
      </c>
      <c r="I378">
        <v>368.0496</v>
      </c>
      <c r="J378">
        <v>-389.41300000000001</v>
      </c>
      <c r="K378">
        <v>1.1105989999999999</v>
      </c>
      <c r="L378">
        <v>368.16269999999997</v>
      </c>
      <c r="M378">
        <v>0.9996237</v>
      </c>
      <c r="N378">
        <v>0</v>
      </c>
      <c r="O378">
        <v>2.3357639999999999E-2</v>
      </c>
      <c r="P378">
        <v>0.99994899999999998</v>
      </c>
      <c r="Q378">
        <v>6.5039280000000002E-4</v>
      </c>
      <c r="R378">
        <v>-1.011687E-2</v>
      </c>
      <c r="S378">
        <v>2.9970089999999998</v>
      </c>
      <c r="T378">
        <v>-0.91835619999999996</v>
      </c>
      <c r="U378">
        <v>-0.38796999999999998</v>
      </c>
      <c r="V378">
        <v>3.3474259999999999E-2</v>
      </c>
      <c r="W378">
        <v>1.5024869999999999E-2</v>
      </c>
      <c r="X378">
        <v>0.99932659999999995</v>
      </c>
      <c r="Y378">
        <v>0.1439522</v>
      </c>
      <c r="Z378">
        <v>-2.844909E-2</v>
      </c>
      <c r="AA378">
        <v>0.98917560000000004</v>
      </c>
      <c r="AB378">
        <v>22</v>
      </c>
      <c r="AC378">
        <v>0.613900000000001</v>
      </c>
      <c r="AD378">
        <v>-0.25522929999999899</v>
      </c>
      <c r="AE378">
        <v>-0.113099999999974</v>
      </c>
      <c r="AF378">
        <v>0.10916095477820099</v>
      </c>
      <c r="AG378">
        <v>-0.25522929999999899</v>
      </c>
      <c r="AH378">
        <v>0.523563948052019</v>
      </c>
      <c r="AI378">
        <v>115.511515444102</v>
      </c>
      <c r="AJ378">
        <v>78.222782516499294</v>
      </c>
      <c r="AK378">
        <v>0.59260215771324698</v>
      </c>
      <c r="AL378">
        <v>89.139105936788297</v>
      </c>
      <c r="AM378">
        <v>88.081491103982103</v>
      </c>
      <c r="AN378">
        <v>0.99999996313431105</v>
      </c>
    </row>
    <row r="379" spans="1:40" x14ac:dyDescent="0.25">
      <c r="A379" t="str">
        <f>"20190312154220812"</f>
        <v>20190312154220812</v>
      </c>
      <c r="B379" t="str">
        <f>"1552376540807790"</f>
        <v>1552376540807790</v>
      </c>
      <c r="C379" t="s">
        <v>40</v>
      </c>
      <c r="D379">
        <v>5.2216630000000004</v>
      </c>
      <c r="E379">
        <v>0.54976709999999995</v>
      </c>
      <c r="F379" t="s">
        <v>41</v>
      </c>
      <c r="G379">
        <v>-388.60129999999998</v>
      </c>
      <c r="H379">
        <v>0.86184079999999996</v>
      </c>
      <c r="I379">
        <v>368.0566</v>
      </c>
      <c r="J379">
        <v>-389.20359999999999</v>
      </c>
      <c r="K379">
        <v>1.110592</v>
      </c>
      <c r="L379">
        <v>368.16759999999999</v>
      </c>
      <c r="M379">
        <v>0.99962410000000002</v>
      </c>
      <c r="N379">
        <v>0</v>
      </c>
      <c r="O379">
        <v>2.333694E-2</v>
      </c>
      <c r="P379">
        <v>0.99994620000000001</v>
      </c>
      <c r="Q379">
        <v>3.590062E-4</v>
      </c>
      <c r="R379">
        <v>-1.0386569999999999E-2</v>
      </c>
      <c r="S379">
        <v>2.9967959999999998</v>
      </c>
      <c r="T379">
        <v>-0.91840449999999996</v>
      </c>
      <c r="U379">
        <v>-0.38980100000000001</v>
      </c>
      <c r="V379">
        <v>3.3723599999999999E-2</v>
      </c>
      <c r="W379">
        <v>1.474548E-2</v>
      </c>
      <c r="X379">
        <v>0.99932240000000006</v>
      </c>
      <c r="Y379">
        <v>0.14450969999999999</v>
      </c>
      <c r="Z379">
        <v>-2.8528419999999999E-2</v>
      </c>
      <c r="AA379">
        <v>0.98909210000000003</v>
      </c>
      <c r="AB379">
        <v>22</v>
      </c>
      <c r="AC379">
        <v>0.60230000000001305</v>
      </c>
      <c r="AD379">
        <v>-0.24875119999999901</v>
      </c>
      <c r="AE379">
        <v>-0.11099999999999</v>
      </c>
      <c r="AF379">
        <v>0.107322329481463</v>
      </c>
      <c r="AG379">
        <v>-0.24875119999999901</v>
      </c>
      <c r="AH379">
        <v>0.51464535396497502</v>
      </c>
      <c r="AI379">
        <v>115.321919949413</v>
      </c>
      <c r="AJ379">
        <v>78.220556359468901</v>
      </c>
      <c r="AK379">
        <v>0.58159701019219601</v>
      </c>
      <c r="AL379">
        <v>89.155115597254905</v>
      </c>
      <c r="AM379">
        <v>88.067203372394204</v>
      </c>
      <c r="AN379">
        <v>0.99999998475957497</v>
      </c>
    </row>
    <row r="380" spans="1:40" x14ac:dyDescent="0.25">
      <c r="A380" t="str">
        <f>"20190312154220836"</f>
        <v>20190312154220836</v>
      </c>
      <c r="B380" t="str">
        <f>"1552376540827313"</f>
        <v>1552376540827313</v>
      </c>
      <c r="C380" t="s">
        <v>40</v>
      </c>
      <c r="D380">
        <v>5.2395839999999998</v>
      </c>
      <c r="E380">
        <v>0.54978950000000004</v>
      </c>
      <c r="F380" t="s">
        <v>41</v>
      </c>
      <c r="G380">
        <v>-388.40480000000002</v>
      </c>
      <c r="H380">
        <v>0.86564449999999904</v>
      </c>
      <c r="I380">
        <v>368.0634</v>
      </c>
      <c r="J380">
        <v>-388.9778</v>
      </c>
      <c r="K380">
        <v>1.1105989999999999</v>
      </c>
      <c r="L380">
        <v>368.1728</v>
      </c>
      <c r="M380">
        <v>0.99962470000000003</v>
      </c>
      <c r="N380">
        <v>0</v>
      </c>
      <c r="O380">
        <v>2.3303540000000001E-2</v>
      </c>
      <c r="P380">
        <v>0.99994380000000005</v>
      </c>
      <c r="Q380">
        <v>2.393536E-4</v>
      </c>
      <c r="R380">
        <v>-1.0602159999999999E-2</v>
      </c>
      <c r="S380">
        <v>2.996429</v>
      </c>
      <c r="T380">
        <v>-0.91899679999999995</v>
      </c>
      <c r="U380">
        <v>-0.39080809999999999</v>
      </c>
      <c r="V380">
        <v>3.3905860000000003E-2</v>
      </c>
      <c r="W380">
        <v>1.463677E-2</v>
      </c>
      <c r="X380">
        <v>0.99931780000000003</v>
      </c>
      <c r="Y380">
        <v>0.1447966</v>
      </c>
      <c r="Z380">
        <v>-2.858161E-2</v>
      </c>
      <c r="AA380">
        <v>0.9890485</v>
      </c>
      <c r="AB380">
        <v>22</v>
      </c>
      <c r="AC380">
        <v>0.57299999999997897</v>
      </c>
      <c r="AD380">
        <v>-0.24495449999999999</v>
      </c>
      <c r="AE380">
        <v>-0.109399999999993</v>
      </c>
      <c r="AF380">
        <v>0.10432887766287301</v>
      </c>
      <c r="AG380">
        <v>-0.24495449999999999</v>
      </c>
      <c r="AH380">
        <v>0.48481075391002199</v>
      </c>
      <c r="AI380">
        <v>116.287080874004</v>
      </c>
      <c r="AJ380">
        <v>77.855438115602993</v>
      </c>
      <c r="AK380">
        <v>0.55310820721758303</v>
      </c>
      <c r="AL380">
        <v>89.161344867919198</v>
      </c>
      <c r="AM380">
        <v>88.056756575948498</v>
      </c>
      <c r="AN380">
        <v>0.99999995388760499</v>
      </c>
    </row>
    <row r="381" spans="1:40" x14ac:dyDescent="0.25">
      <c r="A381" t="str">
        <f>"20190312154220858"</f>
        <v>20190312154220858</v>
      </c>
      <c r="B381" t="str">
        <f>"1552376540847809"</f>
        <v>1552376540847809</v>
      </c>
      <c r="C381" t="s">
        <v>40</v>
      </c>
      <c r="D381">
        <v>5.2410550000000002</v>
      </c>
      <c r="E381">
        <v>0.54980299999999904</v>
      </c>
      <c r="F381" t="s">
        <v>41</v>
      </c>
      <c r="G381">
        <v>-388.20699999999999</v>
      </c>
      <c r="H381">
        <v>0.87404380000000004</v>
      </c>
      <c r="I381">
        <v>368.07159999999999</v>
      </c>
      <c r="J381">
        <v>-388.76069999999999</v>
      </c>
      <c r="K381">
        <v>1.110609</v>
      </c>
      <c r="L381">
        <v>368.17779999999999</v>
      </c>
      <c r="M381">
        <v>0.99962530000000005</v>
      </c>
      <c r="N381">
        <v>0</v>
      </c>
      <c r="O381">
        <v>2.3269700000000001E-2</v>
      </c>
      <c r="P381">
        <v>0.99994209999999994</v>
      </c>
      <c r="Q381">
        <v>1.5836020000000001E-4</v>
      </c>
      <c r="R381">
        <v>-1.0760570000000001E-2</v>
      </c>
      <c r="S381">
        <v>2.996216</v>
      </c>
      <c r="T381">
        <v>-0.91951320000000003</v>
      </c>
      <c r="U381">
        <v>-0.39199830000000002</v>
      </c>
      <c r="V381">
        <v>3.4030089999999999E-2</v>
      </c>
      <c r="W381">
        <v>1.4564779999999999E-2</v>
      </c>
      <c r="X381">
        <v>0.9993147</v>
      </c>
      <c r="Y381">
        <v>0.14513570000000001</v>
      </c>
      <c r="Z381">
        <v>-2.8638770000000001E-2</v>
      </c>
      <c r="AA381">
        <v>0.98899720000000002</v>
      </c>
      <c r="AB381">
        <v>22</v>
      </c>
      <c r="AC381">
        <v>0.55369999999999198</v>
      </c>
      <c r="AD381">
        <v>-0.236565199999999</v>
      </c>
      <c r="AE381">
        <v>-0.106200000000001</v>
      </c>
      <c r="AF381">
        <v>0.101233710680193</v>
      </c>
      <c r="AG381">
        <v>-0.236565199999999</v>
      </c>
      <c r="AH381">
        <v>0.46857993447059398</v>
      </c>
      <c r="AI381">
        <v>116.26498417958599</v>
      </c>
      <c r="AJ381">
        <v>77.808978356245703</v>
      </c>
      <c r="AK381">
        <v>0.53458255958980405</v>
      </c>
      <c r="AL381">
        <v>89.165470090139294</v>
      </c>
      <c r="AM381">
        <v>88.049636036650696</v>
      </c>
      <c r="AN381">
        <v>1.00000002473897</v>
      </c>
    </row>
    <row r="382" spans="1:40" x14ac:dyDescent="0.25">
      <c r="A382" t="str">
        <f>"20190312154220880"</f>
        <v>20190312154220880</v>
      </c>
      <c r="B382" t="str">
        <f>"1552376540867326"</f>
        <v>1552376540867326</v>
      </c>
      <c r="C382" t="s">
        <v>40</v>
      </c>
      <c r="D382">
        <v>5.4089169999999998</v>
      </c>
      <c r="E382">
        <v>0.52970319999999904</v>
      </c>
      <c r="F382" t="s">
        <v>41</v>
      </c>
      <c r="G382">
        <v>-388.01029999999997</v>
      </c>
      <c r="H382">
        <v>0.88029579999999996</v>
      </c>
      <c r="I382">
        <v>368.07929999999999</v>
      </c>
      <c r="J382">
        <v>-388.55349999999999</v>
      </c>
      <c r="K382">
        <v>1.110619</v>
      </c>
      <c r="L382">
        <v>368.18259999999998</v>
      </c>
      <c r="M382">
        <v>0.99962589999999996</v>
      </c>
      <c r="N382">
        <v>0</v>
      </c>
      <c r="O382">
        <v>2.3241919999999999E-2</v>
      </c>
      <c r="P382">
        <v>0.99993900000000002</v>
      </c>
      <c r="Q382">
        <v>3.5515429999999999E-4</v>
      </c>
      <c r="R382">
        <v>-1.1050630000000001E-2</v>
      </c>
      <c r="S382">
        <v>2.9960629999999999</v>
      </c>
      <c r="T382">
        <v>-0.91955819999999999</v>
      </c>
      <c r="U382">
        <v>-0.39227289999999998</v>
      </c>
      <c r="V382">
        <v>3.4292110000000001E-2</v>
      </c>
      <c r="W382">
        <v>1.476884E-2</v>
      </c>
      <c r="X382">
        <v>0.99930269999999999</v>
      </c>
      <c r="Y382">
        <v>0.14520079999999999</v>
      </c>
      <c r="Z382">
        <v>-2.864276E-2</v>
      </c>
      <c r="AA382">
        <v>0.98898750000000002</v>
      </c>
      <c r="AB382">
        <v>22</v>
      </c>
      <c r="AC382">
        <v>0.54320000000001301</v>
      </c>
      <c r="AD382">
        <v>-0.23032319999999901</v>
      </c>
      <c r="AE382">
        <v>-0.10329999999999</v>
      </c>
      <c r="AF382">
        <v>9.8762096178435704E-2</v>
      </c>
      <c r="AG382">
        <v>-0.23032319999999901</v>
      </c>
      <c r="AH382">
        <v>0.46071324675881897</v>
      </c>
      <c r="AI382">
        <v>116.050404191052</v>
      </c>
      <c r="AJ382">
        <v>77.9007450014103</v>
      </c>
      <c r="AK382">
        <v>0.52446107943187803</v>
      </c>
      <c r="AL382">
        <v>89.153777015357605</v>
      </c>
      <c r="AM382">
        <v>88.034607054029095</v>
      </c>
      <c r="AN382">
        <v>0.999999976835243</v>
      </c>
    </row>
    <row r="383" spans="1:40" x14ac:dyDescent="0.25">
      <c r="A383" t="str">
        <f>"20190312154220901"</f>
        <v>20190312154220901</v>
      </c>
      <c r="B383" t="str">
        <f>"1552376540887822"</f>
        <v>1552376540887822</v>
      </c>
      <c r="C383" t="s">
        <v>40</v>
      </c>
      <c r="D383">
        <v>5.2894410000000001</v>
      </c>
      <c r="E383">
        <v>0.51275590000000004</v>
      </c>
      <c r="F383" t="s">
        <v>41</v>
      </c>
      <c r="G383">
        <v>-387.8005</v>
      </c>
      <c r="H383">
        <v>0.92206379999999999</v>
      </c>
      <c r="I383">
        <v>368.12209999999999</v>
      </c>
      <c r="J383">
        <v>-388.34160000000003</v>
      </c>
      <c r="K383">
        <v>1.1106339999999999</v>
      </c>
      <c r="L383">
        <v>368.1875</v>
      </c>
      <c r="M383">
        <v>0.99962629999999997</v>
      </c>
      <c r="N383">
        <v>0</v>
      </c>
      <c r="O383">
        <v>2.3221660000000002E-2</v>
      </c>
      <c r="P383">
        <v>0.99993770000000004</v>
      </c>
      <c r="Q383">
        <v>-2.0986240000000001E-4</v>
      </c>
      <c r="R383">
        <v>-1.1167440000000001E-2</v>
      </c>
      <c r="S383">
        <v>2.9978030000000002</v>
      </c>
      <c r="T383">
        <v>-0.75075340000000002</v>
      </c>
      <c r="U383">
        <v>-0.23944090000000001</v>
      </c>
      <c r="V383">
        <v>3.4388389999999998E-2</v>
      </c>
      <c r="W383">
        <v>1.4209569999999999E-2</v>
      </c>
      <c r="X383">
        <v>0.99930750000000002</v>
      </c>
      <c r="Y383">
        <v>9.8995020000000003E-2</v>
      </c>
      <c r="Z383">
        <v>-1.7908739999999999E-2</v>
      </c>
      <c r="AA383">
        <v>0.9949268</v>
      </c>
      <c r="AB383">
        <v>22</v>
      </c>
      <c r="AC383">
        <v>0.541100000000028</v>
      </c>
      <c r="AD383">
        <v>-0.18857019999999999</v>
      </c>
      <c r="AE383">
        <v>-6.5400000000010894E-2</v>
      </c>
      <c r="AF383">
        <v>6.9615912324298201E-2</v>
      </c>
      <c r="AG383">
        <v>-0.18857019999999999</v>
      </c>
      <c r="AH383">
        <v>0.48176779843707401</v>
      </c>
      <c r="AI383">
        <v>111.175844127516</v>
      </c>
      <c r="AJ383">
        <v>81.777618509271704</v>
      </c>
      <c r="AK383">
        <v>0.52202040878464595</v>
      </c>
      <c r="AL383">
        <v>89.185824190894493</v>
      </c>
      <c r="AM383">
        <v>88.029102737740303</v>
      </c>
      <c r="AN383">
        <v>0.999999976401313</v>
      </c>
    </row>
    <row r="384" spans="1:40" x14ac:dyDescent="0.25">
      <c r="A384" t="str">
        <f>"20190312154220925"</f>
        <v>20190312154220925</v>
      </c>
      <c r="B384" t="str">
        <f>"1552376540918077"</f>
        <v>1552376540918077</v>
      </c>
      <c r="C384" t="s">
        <v>40</v>
      </c>
      <c r="D384">
        <v>5.3675490000000003</v>
      </c>
      <c r="E384">
        <v>0.49720959999999997</v>
      </c>
      <c r="F384" t="s">
        <v>41</v>
      </c>
      <c r="G384">
        <v>-387.58929999999998</v>
      </c>
      <c r="H384">
        <v>0.95931920000000004</v>
      </c>
      <c r="I384">
        <v>368.15960000000001</v>
      </c>
      <c r="J384">
        <v>-388.10660000000001</v>
      </c>
      <c r="K384">
        <v>1.1106450000000001</v>
      </c>
      <c r="L384">
        <v>368.19299999999998</v>
      </c>
      <c r="M384">
        <v>0.99962649999999997</v>
      </c>
      <c r="N384">
        <v>0</v>
      </c>
      <c r="O384">
        <v>2.3210209999999998E-2</v>
      </c>
      <c r="P384">
        <v>0.99993339999999997</v>
      </c>
      <c r="Q384">
        <v>-3.8286480000000001E-4</v>
      </c>
      <c r="R384">
        <v>-1.154167E-2</v>
      </c>
      <c r="S384">
        <v>2.99884</v>
      </c>
      <c r="T384">
        <v>-0.603267</v>
      </c>
      <c r="U384">
        <v>-0.1105652</v>
      </c>
      <c r="V384">
        <v>3.4750610000000001E-2</v>
      </c>
      <c r="W384">
        <v>1.404174E-2</v>
      </c>
      <c r="X384">
        <v>0.9992974</v>
      </c>
      <c r="Y384">
        <v>5.8398190000000003E-2</v>
      </c>
      <c r="Z384">
        <v>-1.0435669999999999E-2</v>
      </c>
      <c r="AA384">
        <v>0.99823879999999998</v>
      </c>
      <c r="AB384">
        <v>22</v>
      </c>
      <c r="AC384">
        <v>0.51730000000003395</v>
      </c>
      <c r="AD384">
        <v>-0.15132580000000001</v>
      </c>
      <c r="AE384">
        <v>-3.3400000000028698E-2</v>
      </c>
      <c r="AF384">
        <v>4.1833868917987099E-2</v>
      </c>
      <c r="AG384">
        <v>-0.15132580000000001</v>
      </c>
      <c r="AH384">
        <v>0.47583530362770599</v>
      </c>
      <c r="AI384">
        <v>107.578171021156</v>
      </c>
      <c r="AJ384">
        <v>84.975662601106606</v>
      </c>
      <c r="AK384">
        <v>0.50106766660078805</v>
      </c>
      <c r="AL384">
        <v>89.195441148055906</v>
      </c>
      <c r="AM384">
        <v>88.008339388908496</v>
      </c>
      <c r="AN384">
        <v>1.00000003450217</v>
      </c>
    </row>
    <row r="385" spans="1:40" x14ac:dyDescent="0.25">
      <c r="A385" t="str">
        <f>"20190312154220947"</f>
        <v>20190312154220947</v>
      </c>
      <c r="B385" t="str">
        <f>"1552376540937598"</f>
        <v>1552376540937598</v>
      </c>
      <c r="C385" t="s">
        <v>40</v>
      </c>
      <c r="D385">
        <v>5.3611399999999998</v>
      </c>
      <c r="E385">
        <v>0.49256610000000001</v>
      </c>
      <c r="F385" t="s">
        <v>41</v>
      </c>
      <c r="G385">
        <v>-387.38130000000001</v>
      </c>
      <c r="H385">
        <v>0.99009170000000002</v>
      </c>
      <c r="I385">
        <v>368.19439999999997</v>
      </c>
      <c r="J385">
        <v>-387.89879999999999</v>
      </c>
      <c r="K385">
        <v>1.1106529999999999</v>
      </c>
      <c r="L385">
        <v>368.19779999999997</v>
      </c>
      <c r="M385">
        <v>0.99962649999999997</v>
      </c>
      <c r="N385">
        <v>0</v>
      </c>
      <c r="O385">
        <v>2.320709E-2</v>
      </c>
      <c r="P385">
        <v>0.99993529999999997</v>
      </c>
      <c r="Q385">
        <v>-4.3045730000000002E-4</v>
      </c>
      <c r="R385">
        <v>-1.138218E-2</v>
      </c>
      <c r="S385">
        <v>3.000092</v>
      </c>
      <c r="T385">
        <v>-0.49892809999999999</v>
      </c>
      <c r="U385">
        <v>8.2092290000000002E-3</v>
      </c>
      <c r="V385">
        <v>3.4587949999999999E-2</v>
      </c>
      <c r="W385">
        <v>1.39973999999999E-2</v>
      </c>
      <c r="X385">
        <v>0.99930359999999996</v>
      </c>
      <c r="Y385">
        <v>1.9882070000000002E-2</v>
      </c>
      <c r="Z385">
        <v>-5.4751770000000003E-3</v>
      </c>
      <c r="AA385">
        <v>0.99978730000000005</v>
      </c>
      <c r="AB385">
        <v>22</v>
      </c>
      <c r="AC385">
        <v>0.51749999999998397</v>
      </c>
      <c r="AD385">
        <v>-0.1205613</v>
      </c>
      <c r="AE385">
        <v>-3.3999999999991802E-3</v>
      </c>
      <c r="AF385">
        <v>1.4616724255926101E-2</v>
      </c>
      <c r="AG385">
        <v>-0.1205613</v>
      </c>
      <c r="AH385">
        <v>0.49065293449365399</v>
      </c>
      <c r="AI385">
        <v>103.79911001868</v>
      </c>
      <c r="AJ385">
        <v>88.293643144921106</v>
      </c>
      <c r="AK385">
        <v>0.50545917521882799</v>
      </c>
      <c r="AL385">
        <v>89.197981840183004</v>
      </c>
      <c r="AM385">
        <v>88.017666750241503</v>
      </c>
      <c r="AN385">
        <v>0.99999996923246004</v>
      </c>
    </row>
    <row r="386" spans="1:40" x14ac:dyDescent="0.25">
      <c r="A386" t="str">
        <f>"20190312154220970"</f>
        <v>20190312154220970</v>
      </c>
      <c r="B386" t="str">
        <f>"1552376540958095"</f>
        <v>1552376540958095</v>
      </c>
      <c r="C386" t="s">
        <v>40</v>
      </c>
      <c r="D386">
        <v>5.3386069999999997</v>
      </c>
      <c r="E386">
        <v>0.48974469999999998</v>
      </c>
      <c r="F386" t="s">
        <v>41</v>
      </c>
      <c r="G386">
        <v>-387.18470000000002</v>
      </c>
      <c r="H386">
        <v>0.99819650000000004</v>
      </c>
      <c r="I386">
        <v>368.20819999999998</v>
      </c>
      <c r="J386">
        <v>-387.6841</v>
      </c>
      <c r="K386">
        <v>1.11066</v>
      </c>
      <c r="L386">
        <v>368.20280000000002</v>
      </c>
      <c r="M386">
        <v>0.99962649999999997</v>
      </c>
      <c r="N386">
        <v>0</v>
      </c>
      <c r="O386">
        <v>2.3207789999999999E-2</v>
      </c>
      <c r="P386">
        <v>0.99993410000000005</v>
      </c>
      <c r="Q386">
        <v>-4.3059510000000001E-4</v>
      </c>
      <c r="R386">
        <v>-1.1473499999999999E-2</v>
      </c>
      <c r="S386">
        <v>3.0005190000000002</v>
      </c>
      <c r="T386">
        <v>-0.47250930000000002</v>
      </c>
      <c r="U386">
        <v>4.4403079999999998E-2</v>
      </c>
      <c r="V386">
        <v>3.4679889999999998E-2</v>
      </c>
      <c r="W386">
        <v>1.3999309999999999E-2</v>
      </c>
      <c r="X386">
        <v>0.99930039999999998</v>
      </c>
      <c r="Y386">
        <v>8.0299789999999996E-3</v>
      </c>
      <c r="Z386">
        <v>-4.2604260000000003E-3</v>
      </c>
      <c r="AA386">
        <v>0.99995869999999998</v>
      </c>
      <c r="AB386">
        <v>22</v>
      </c>
      <c r="AC386">
        <v>0.49939999999998003</v>
      </c>
      <c r="AD386">
        <v>-0.11246349999999899</v>
      </c>
      <c r="AE386">
        <v>5.3999999999518799E-3</v>
      </c>
      <c r="AF386">
        <v>5.8937715153373404E-3</v>
      </c>
      <c r="AG386">
        <v>-0.11246349999999899</v>
      </c>
      <c r="AH386">
        <v>0.47528986509625099</v>
      </c>
      <c r="AI386">
        <v>103.311540958926</v>
      </c>
      <c r="AJ386">
        <v>89.289547387922198</v>
      </c>
      <c r="AK386">
        <v>0.48844982468840897</v>
      </c>
      <c r="AL386">
        <v>89.1978724051163</v>
      </c>
      <c r="AM386">
        <v>88.012395269942004</v>
      </c>
      <c r="AN386">
        <v>0.99999998244552302</v>
      </c>
    </row>
    <row r="387" spans="1:40" x14ac:dyDescent="0.25">
      <c r="A387" t="str">
        <f>"20190312154220993"</f>
        <v>20190312154220993</v>
      </c>
      <c r="B387" t="str">
        <f>"1552376540987375"</f>
        <v>1552376540987375</v>
      </c>
      <c r="C387" t="s">
        <v>40</v>
      </c>
      <c r="D387">
        <v>5.3611719999999998</v>
      </c>
      <c r="E387">
        <v>0.48723260000000002</v>
      </c>
      <c r="F387" t="s">
        <v>41</v>
      </c>
      <c r="G387">
        <v>-386.81020000000001</v>
      </c>
      <c r="H387">
        <v>0.97829869999999997</v>
      </c>
      <c r="I387">
        <v>368.22190000000001</v>
      </c>
      <c r="J387">
        <v>-387.4599</v>
      </c>
      <c r="K387">
        <v>1.1106579999999999</v>
      </c>
      <c r="L387">
        <v>368.20800000000003</v>
      </c>
      <c r="M387">
        <v>0.99962649999999997</v>
      </c>
      <c r="N387">
        <v>0</v>
      </c>
      <c r="O387">
        <v>2.3210040000000001E-2</v>
      </c>
      <c r="P387">
        <v>0.99993650000000001</v>
      </c>
      <c r="Q387">
        <v>-3.5727959999999999E-4</v>
      </c>
      <c r="R387">
        <v>-1.1269670000000001E-2</v>
      </c>
      <c r="S387">
        <v>3.0007630000000001</v>
      </c>
      <c r="T387">
        <v>-0.4545863</v>
      </c>
      <c r="U387">
        <v>6.6131590000000004E-2</v>
      </c>
      <c r="V387">
        <v>3.4478259999999997E-2</v>
      </c>
      <c r="W387">
        <v>1.407369E-2</v>
      </c>
      <c r="X387">
        <v>0.99930629999999998</v>
      </c>
      <c r="Y387">
        <v>9.048878E-4</v>
      </c>
      <c r="Z387">
        <v>-3.5637820000000001E-3</v>
      </c>
      <c r="AA387">
        <v>0.99999329999999997</v>
      </c>
      <c r="AB387">
        <v>22</v>
      </c>
      <c r="AC387">
        <v>0.64969999999999495</v>
      </c>
      <c r="AD387">
        <v>-0.13235929999999901</v>
      </c>
      <c r="AE387">
        <v>1.3899999999978201E-2</v>
      </c>
      <c r="AF387">
        <v>1.13768194988321E-3</v>
      </c>
      <c r="AG387">
        <v>-0.13235929999999901</v>
      </c>
      <c r="AH387">
        <v>0.62396289012294304</v>
      </c>
      <c r="AI387">
        <v>101.976423775424</v>
      </c>
      <c r="AJ387">
        <v>89.895531764863406</v>
      </c>
      <c r="AK387">
        <v>0.63784791829031195</v>
      </c>
      <c r="AL387">
        <v>89.193610299063806</v>
      </c>
      <c r="AM387">
        <v>88.023953737330203</v>
      </c>
      <c r="AN387">
        <v>0.99999995019126497</v>
      </c>
    </row>
    <row r="388" spans="1:40" x14ac:dyDescent="0.25">
      <c r="A388" t="str">
        <f>"20190312154221015"</f>
        <v>20190312154221015</v>
      </c>
      <c r="B388" t="str">
        <f>"1552376541007870"</f>
        <v>1552376541007870</v>
      </c>
      <c r="C388" t="s">
        <v>40</v>
      </c>
      <c r="D388">
        <v>5.3069160000000002</v>
      </c>
      <c r="E388">
        <v>0.48666239999999999</v>
      </c>
      <c r="F388" t="s">
        <v>41</v>
      </c>
      <c r="G388">
        <v>-386.61439999999999</v>
      </c>
      <c r="H388">
        <v>0.987147</v>
      </c>
      <c r="I388">
        <v>368.2319</v>
      </c>
      <c r="J388">
        <v>-387.25229999999999</v>
      </c>
      <c r="K388">
        <v>1.1106670000000001</v>
      </c>
      <c r="L388">
        <v>368.21280000000002</v>
      </c>
      <c r="M388">
        <v>0.99962629999999997</v>
      </c>
      <c r="N388">
        <v>0</v>
      </c>
      <c r="O388">
        <v>2.3212400000000001E-2</v>
      </c>
      <c r="P388">
        <v>0.99993359999999998</v>
      </c>
      <c r="Q388">
        <v>-5.1910239999999896E-4</v>
      </c>
      <c r="R388">
        <v>-1.1515299999999999E-2</v>
      </c>
      <c r="S388">
        <v>3.0009769999999998</v>
      </c>
      <c r="T388">
        <v>-0.43866280000000002</v>
      </c>
      <c r="U388">
        <v>8.6547849999999996E-2</v>
      </c>
      <c r="V388">
        <v>3.4726050000000001E-2</v>
      </c>
      <c r="W388">
        <v>1.3912529999999999E-2</v>
      </c>
      <c r="X388">
        <v>0.99929999999999997</v>
      </c>
      <c r="Y388">
        <v>-5.799818E-3</v>
      </c>
      <c r="Z388">
        <v>-2.9526909999999999E-3</v>
      </c>
      <c r="AA388">
        <v>0.99997879999999995</v>
      </c>
      <c r="AB388">
        <v>21</v>
      </c>
      <c r="AC388">
        <v>0.63790000000000102</v>
      </c>
      <c r="AD388">
        <v>-0.12352</v>
      </c>
      <c r="AE388">
        <v>1.9099999999980299E-2</v>
      </c>
      <c r="AF388">
        <v>-4.1313541546773502E-3</v>
      </c>
      <c r="AG388">
        <v>-0.12352</v>
      </c>
      <c r="AH388">
        <v>0.61512813072457695</v>
      </c>
      <c r="AI388">
        <v>101.353953303537</v>
      </c>
      <c r="AJ388">
        <v>90.384806978986006</v>
      </c>
      <c r="AK388">
        <v>0.62742081229097202</v>
      </c>
      <c r="AL388">
        <v>89.202845010111403</v>
      </c>
      <c r="AM388">
        <v>88.009751037104905</v>
      </c>
      <c r="AN388">
        <v>0.99999997351980097</v>
      </c>
    </row>
    <row r="389" spans="1:40" x14ac:dyDescent="0.25">
      <c r="A389" t="str">
        <f>"20190312154221037"</f>
        <v>20190312154221037</v>
      </c>
      <c r="B389" t="str">
        <f>"1552376541027394"</f>
        <v>1552376541027394</v>
      </c>
      <c r="C389" t="s">
        <v>40</v>
      </c>
      <c r="D389">
        <v>5.2934739999999998</v>
      </c>
      <c r="E389">
        <v>0.48610110000000001</v>
      </c>
      <c r="F389" t="s">
        <v>41</v>
      </c>
      <c r="G389">
        <v>-386.42129999999997</v>
      </c>
      <c r="H389">
        <v>0.99113240000000002</v>
      </c>
      <c r="I389">
        <v>368.23759999999999</v>
      </c>
      <c r="J389">
        <v>-387.03789999999998</v>
      </c>
      <c r="K389">
        <v>1.110673</v>
      </c>
      <c r="L389">
        <v>368.21769999999998</v>
      </c>
      <c r="M389">
        <v>0.99962629999999997</v>
      </c>
      <c r="N389">
        <v>0</v>
      </c>
      <c r="O389">
        <v>2.32144E-2</v>
      </c>
      <c r="P389">
        <v>0.99993259999999995</v>
      </c>
      <c r="Q389">
        <v>-5.3740669999999995E-4</v>
      </c>
      <c r="R389">
        <v>-1.160664E-2</v>
      </c>
      <c r="S389">
        <v>3.001007</v>
      </c>
      <c r="T389">
        <v>-0.43163560000000001</v>
      </c>
      <c r="U389">
        <v>8.9599609999999996E-2</v>
      </c>
      <c r="V389">
        <v>3.4819490000000002E-2</v>
      </c>
      <c r="W389">
        <v>1.389394E-2</v>
      </c>
      <c r="X389">
        <v>0.99929699999999999</v>
      </c>
      <c r="Y389">
        <v>-6.7974469999999999E-3</v>
      </c>
      <c r="Z389">
        <v>-2.834718E-3</v>
      </c>
      <c r="AA389">
        <v>0.99997290000000005</v>
      </c>
      <c r="AB389">
        <v>21</v>
      </c>
      <c r="AC389">
        <v>0.61660000000000503</v>
      </c>
      <c r="AD389">
        <v>-0.1195406</v>
      </c>
      <c r="AE389">
        <v>1.9900000000006898E-2</v>
      </c>
      <c r="AF389">
        <v>-5.3772477016767297E-3</v>
      </c>
      <c r="AG389">
        <v>-0.1195406</v>
      </c>
      <c r="AH389">
        <v>0.59457161403161096</v>
      </c>
      <c r="AI389">
        <v>101.367497815622</v>
      </c>
      <c r="AJ389">
        <v>90.518163316179994</v>
      </c>
      <c r="AK389">
        <v>0.60649342457553501</v>
      </c>
      <c r="AL389">
        <v>89.203910235916894</v>
      </c>
      <c r="AM389">
        <v>88.004394062267806</v>
      </c>
      <c r="AN389">
        <v>0.99999996633079102</v>
      </c>
    </row>
    <row r="390" spans="1:40" x14ac:dyDescent="0.25">
      <c r="A390" t="str">
        <f>"20190312154221059"</f>
        <v>20190312154221059</v>
      </c>
      <c r="B390" t="str">
        <f>"1552376541047889"</f>
        <v>1552376541047889</v>
      </c>
      <c r="C390" t="s">
        <v>40</v>
      </c>
      <c r="D390">
        <v>5.2811640000000004</v>
      </c>
      <c r="E390">
        <v>0.48566189999999998</v>
      </c>
      <c r="F390" t="s">
        <v>41</v>
      </c>
      <c r="G390">
        <v>-386.22809999999998</v>
      </c>
      <c r="H390">
        <v>0.99612239999999996</v>
      </c>
      <c r="I390">
        <v>368.24259999999998</v>
      </c>
      <c r="J390">
        <v>-386.82749999999999</v>
      </c>
      <c r="K390">
        <v>1.1106819999999999</v>
      </c>
      <c r="L390">
        <v>368.22269999999997</v>
      </c>
      <c r="M390">
        <v>0.99962629999999997</v>
      </c>
      <c r="N390">
        <v>0</v>
      </c>
      <c r="O390">
        <v>2.3215969999999999E-2</v>
      </c>
      <c r="P390">
        <v>0.9999304</v>
      </c>
      <c r="Q390" s="1">
        <v>-2.0153820000000001E-5</v>
      </c>
      <c r="R390">
        <v>-1.180146E-2</v>
      </c>
      <c r="S390">
        <v>3.0010680000000001</v>
      </c>
      <c r="T390">
        <v>-0.42476320000000001</v>
      </c>
      <c r="U390">
        <v>9.3627929999999998E-2</v>
      </c>
      <c r="V390">
        <v>3.5015659999999997E-2</v>
      </c>
      <c r="W390">
        <v>1.440982E-2</v>
      </c>
      <c r="X390">
        <v>0.99928289999999997</v>
      </c>
      <c r="Y390">
        <v>-8.1178239999999992E-3</v>
      </c>
      <c r="Z390">
        <v>-2.6971730000000002E-3</v>
      </c>
      <c r="AA390">
        <v>0.99996339999999995</v>
      </c>
      <c r="AB390">
        <v>21</v>
      </c>
      <c r="AC390">
        <v>0.59940000000000204</v>
      </c>
      <c r="AD390">
        <v>-0.114559599999999</v>
      </c>
      <c r="AE390">
        <v>1.9900000000006898E-2</v>
      </c>
      <c r="AF390">
        <v>-5.7671029398943799E-3</v>
      </c>
      <c r="AG390">
        <v>-0.114559599999999</v>
      </c>
      <c r="AH390">
        <v>0.57858885837643503</v>
      </c>
      <c r="AI390">
        <v>101.19906906135699</v>
      </c>
      <c r="AJ390">
        <v>90.571078601659195</v>
      </c>
      <c r="AK390">
        <v>0.58984932691817604</v>
      </c>
      <c r="AL390">
        <v>89.174349577489906</v>
      </c>
      <c r="AM390">
        <v>87.993131864636396</v>
      </c>
      <c r="AN390">
        <v>1.00000002679503</v>
      </c>
    </row>
    <row r="391" spans="1:40" x14ac:dyDescent="0.25">
      <c r="A391" t="str">
        <f>"20190312154221081"</f>
        <v>20190312154221081</v>
      </c>
      <c r="B391" t="str">
        <f>"1552376541067406"</f>
        <v>1552376541067406</v>
      </c>
      <c r="C391" t="s">
        <v>40</v>
      </c>
      <c r="D391">
        <v>5.300611</v>
      </c>
      <c r="E391">
        <v>0.48525740000000001</v>
      </c>
      <c r="F391" t="s">
        <v>41</v>
      </c>
      <c r="G391">
        <v>-386.03590000000003</v>
      </c>
      <c r="H391">
        <v>0.99996839999999998</v>
      </c>
      <c r="I391">
        <v>368.24799999999999</v>
      </c>
      <c r="J391">
        <v>-386.62380000000002</v>
      </c>
      <c r="K391">
        <v>1.1106860000000001</v>
      </c>
      <c r="L391">
        <v>368.22739999999999</v>
      </c>
      <c r="M391">
        <v>0.99962609999999996</v>
      </c>
      <c r="N391">
        <v>0</v>
      </c>
      <c r="O391">
        <v>2.32173E-2</v>
      </c>
      <c r="P391">
        <v>0.99993370000000004</v>
      </c>
      <c r="Q391">
        <v>1.2753530000000001E-4</v>
      </c>
      <c r="R391">
        <v>-1.151951E-2</v>
      </c>
      <c r="S391">
        <v>3.0013730000000001</v>
      </c>
      <c r="T391">
        <v>-0.41980840000000003</v>
      </c>
      <c r="U391">
        <v>9.6282960000000001E-2</v>
      </c>
      <c r="V391">
        <v>3.4735050000000003E-2</v>
      </c>
      <c r="W391">
        <v>1.4555719999999999E-2</v>
      </c>
      <c r="X391">
        <v>0.99929049999999997</v>
      </c>
      <c r="Y391">
        <v>-8.9850880000000004E-3</v>
      </c>
      <c r="Z391">
        <v>-2.6055430000000001E-3</v>
      </c>
      <c r="AA391">
        <v>0.99995630000000002</v>
      </c>
      <c r="AB391">
        <v>21</v>
      </c>
      <c r="AC391">
        <v>0.58789999999998999</v>
      </c>
      <c r="AD391">
        <v>-0.110717599999999</v>
      </c>
      <c r="AE391">
        <v>2.0600000000058499E-2</v>
      </c>
      <c r="AF391">
        <v>-6.7060195057546497E-3</v>
      </c>
      <c r="AG391">
        <v>-0.110717599999999</v>
      </c>
      <c r="AH391">
        <v>0.56809578472700994</v>
      </c>
      <c r="AI391">
        <v>101.02752501946</v>
      </c>
      <c r="AJ391">
        <v>90.676309841313298</v>
      </c>
      <c r="AK391">
        <v>0.57882309756260497</v>
      </c>
      <c r="AL391">
        <v>89.165989180947406</v>
      </c>
      <c r="AM391">
        <v>88.009216725965601</v>
      </c>
      <c r="AN391">
        <v>0.99999994803673398</v>
      </c>
    </row>
    <row r="392" spans="1:40" x14ac:dyDescent="0.25">
      <c r="A392" t="str">
        <f>"20190312154221103"</f>
        <v>20190312154221103</v>
      </c>
      <c r="B392" t="str">
        <f>"1552376541097662"</f>
        <v>1552376541097662</v>
      </c>
      <c r="C392" t="s">
        <v>40</v>
      </c>
      <c r="D392">
        <v>5.2942980000000004</v>
      </c>
      <c r="E392">
        <v>0.48472900000000002</v>
      </c>
      <c r="F392" t="s">
        <v>41</v>
      </c>
      <c r="G392">
        <v>-385.84449999999998</v>
      </c>
      <c r="H392">
        <v>1.002626</v>
      </c>
      <c r="I392">
        <v>368.25299999999999</v>
      </c>
      <c r="J392">
        <v>-386.40629999999999</v>
      </c>
      <c r="K392">
        <v>1.110687</v>
      </c>
      <c r="L392">
        <v>368.23250000000002</v>
      </c>
      <c r="M392">
        <v>0.99962629999999997</v>
      </c>
      <c r="N392">
        <v>0</v>
      </c>
      <c r="O392">
        <v>2.321749E-2</v>
      </c>
      <c r="P392">
        <v>0.99993489999999996</v>
      </c>
      <c r="Q392">
        <v>4.0102189999999998E-4</v>
      </c>
      <c r="R392">
        <v>-1.1407820000000001E-2</v>
      </c>
      <c r="S392">
        <v>3.0013730000000001</v>
      </c>
      <c r="T392">
        <v>-0.41636109999999998</v>
      </c>
      <c r="U392">
        <v>0.10031130000000001</v>
      </c>
      <c r="V392">
        <v>3.4623710000000002E-2</v>
      </c>
      <c r="W392">
        <v>1.482749E-2</v>
      </c>
      <c r="X392">
        <v>0.99929040000000002</v>
      </c>
      <c r="Y392">
        <v>-1.031062E-2</v>
      </c>
      <c r="Z392">
        <v>-2.492831E-3</v>
      </c>
      <c r="AA392">
        <v>0.99994369999999999</v>
      </c>
      <c r="AB392">
        <v>21</v>
      </c>
      <c r="AC392">
        <v>0.56180000000000496</v>
      </c>
      <c r="AD392">
        <v>-0.10806099999999901</v>
      </c>
      <c r="AE392">
        <v>2.0500000000026799E-2</v>
      </c>
      <c r="AF392">
        <v>-7.1840876940594701E-3</v>
      </c>
      <c r="AG392">
        <v>-0.10806099999999901</v>
      </c>
      <c r="AH392">
        <v>0.54209495043054901</v>
      </c>
      <c r="AI392">
        <v>101.27258150052199</v>
      </c>
      <c r="AJ392">
        <v>90.759265161189802</v>
      </c>
      <c r="AK392">
        <v>0.55280713284046501</v>
      </c>
      <c r="AL392">
        <v>89.150416252196493</v>
      </c>
      <c r="AM392">
        <v>88.015592689718304</v>
      </c>
      <c r="AN392">
        <v>0.99999997964301102</v>
      </c>
    </row>
    <row r="393" spans="1:40" x14ac:dyDescent="0.25">
      <c r="A393" t="str">
        <f>"20190312154221126"</f>
        <v>20190312154221126</v>
      </c>
      <c r="B393" t="str">
        <f>"1552376541118157"</f>
        <v>1552376541118157</v>
      </c>
      <c r="C393" t="s">
        <v>40</v>
      </c>
      <c r="D393">
        <v>5.3182450000000001</v>
      </c>
      <c r="E393">
        <v>0.48439599999999999</v>
      </c>
      <c r="F393" t="s">
        <v>41</v>
      </c>
      <c r="G393">
        <v>-385.65260000000001</v>
      </c>
      <c r="H393">
        <v>1.00735</v>
      </c>
      <c r="I393">
        <v>368.25869999999998</v>
      </c>
      <c r="J393">
        <v>-386.19110000000001</v>
      </c>
      <c r="K393">
        <v>1.1106879999999999</v>
      </c>
      <c r="L393">
        <v>368.23739999999998</v>
      </c>
      <c r="M393">
        <v>0.99962629999999997</v>
      </c>
      <c r="N393">
        <v>0</v>
      </c>
      <c r="O393">
        <v>2.3217149999999999E-2</v>
      </c>
      <c r="P393">
        <v>0.99993969999999999</v>
      </c>
      <c r="Q393">
        <v>2.5112179999999998E-4</v>
      </c>
      <c r="R393">
        <v>-1.099635E-2</v>
      </c>
      <c r="S393">
        <v>3.0015559999999999</v>
      </c>
      <c r="T393">
        <v>-0.41156939999999997</v>
      </c>
      <c r="U393">
        <v>0.1045837</v>
      </c>
      <c r="V393">
        <v>3.4212109999999997E-2</v>
      </c>
      <c r="W393">
        <v>1.4674919999999999E-2</v>
      </c>
      <c r="X393">
        <v>0.9993069</v>
      </c>
      <c r="Y393">
        <v>-1.171464E-2</v>
      </c>
      <c r="Z393">
        <v>-2.3683599999999999E-3</v>
      </c>
      <c r="AA393">
        <v>0.99992859999999995</v>
      </c>
      <c r="AB393">
        <v>21</v>
      </c>
      <c r="AC393">
        <v>0.53849999999999898</v>
      </c>
      <c r="AD393">
        <v>-0.103337999999999</v>
      </c>
      <c r="AE393">
        <v>2.1299999999996499E-2</v>
      </c>
      <c r="AF393">
        <v>-8.4787728299364901E-3</v>
      </c>
      <c r="AG393">
        <v>-0.103337999999999</v>
      </c>
      <c r="AH393">
        <v>0.51973961675319602</v>
      </c>
      <c r="AI393">
        <v>101.24380845162</v>
      </c>
      <c r="AJ393">
        <v>90.934611860717496</v>
      </c>
      <c r="AK393">
        <v>0.52998103839237598</v>
      </c>
      <c r="AL393">
        <v>89.159158880759094</v>
      </c>
      <c r="AM393">
        <v>88.039196766966299</v>
      </c>
      <c r="AN393">
        <v>1.0000000510676299</v>
      </c>
    </row>
    <row r="394" spans="1:40" x14ac:dyDescent="0.25">
      <c r="A394" t="str">
        <f>"20190312154221149"</f>
        <v>20190312154221149</v>
      </c>
      <c r="B394" t="str">
        <f>"1552376541137678"</f>
        <v>1552376541137678</v>
      </c>
      <c r="C394" t="s">
        <v>40</v>
      </c>
      <c r="D394">
        <v>5.3126439999999997</v>
      </c>
      <c r="E394">
        <v>0.48406549999999998</v>
      </c>
      <c r="F394" t="s">
        <v>41</v>
      </c>
      <c r="G394">
        <v>-385.46129999999999</v>
      </c>
      <c r="H394">
        <v>1.011433</v>
      </c>
      <c r="I394">
        <v>368.26339999999999</v>
      </c>
      <c r="J394">
        <v>-385.9821</v>
      </c>
      <c r="K394">
        <v>1.110692</v>
      </c>
      <c r="L394">
        <v>368.2423</v>
      </c>
      <c r="M394">
        <v>0.99962649999999997</v>
      </c>
      <c r="N394">
        <v>0</v>
      </c>
      <c r="O394">
        <v>2.321633E-2</v>
      </c>
      <c r="P394">
        <v>0.9999439</v>
      </c>
      <c r="Q394">
        <v>1.2211869999999999E-4</v>
      </c>
      <c r="R394">
        <v>-1.0620900000000001E-2</v>
      </c>
      <c r="S394">
        <v>3.001465</v>
      </c>
      <c r="T394">
        <v>-0.40840169999999998</v>
      </c>
      <c r="U394">
        <v>0.1082153</v>
      </c>
      <c r="V394">
        <v>3.3835860000000002E-2</v>
      </c>
      <c r="W394">
        <v>1.4543800000000001E-2</v>
      </c>
      <c r="X394">
        <v>0.99932160000000003</v>
      </c>
      <c r="Y394">
        <v>-1.2912180000000001E-2</v>
      </c>
      <c r="Z394">
        <v>-2.269124E-3</v>
      </c>
      <c r="AA394">
        <v>0.99991410000000003</v>
      </c>
      <c r="AB394">
        <v>21</v>
      </c>
      <c r="AC394">
        <v>0.52080000000000803</v>
      </c>
      <c r="AD394">
        <v>-9.9259E-2</v>
      </c>
      <c r="AE394">
        <v>2.1099999999989901E-2</v>
      </c>
      <c r="AF394">
        <v>-8.6869590909351493E-3</v>
      </c>
      <c r="AG394">
        <v>-9.9259E-2</v>
      </c>
      <c r="AH394">
        <v>0.50291151533032996</v>
      </c>
      <c r="AI394">
        <v>101.163273013967</v>
      </c>
      <c r="AJ394">
        <v>90.989590781955201</v>
      </c>
      <c r="AK394">
        <v>0.51268684846707002</v>
      </c>
      <c r="AL394">
        <v>89.166672282186198</v>
      </c>
      <c r="AM394">
        <v>88.060772781586607</v>
      </c>
      <c r="AN394">
        <v>1.0000000238834601</v>
      </c>
    </row>
    <row r="395" spans="1:40" x14ac:dyDescent="0.25">
      <c r="A395" t="str">
        <f>"20190312154221161"</f>
        <v>20190312154221161</v>
      </c>
      <c r="B395" t="str">
        <f>"1552376541147439"</f>
        <v>1552376541147439</v>
      </c>
      <c r="C395" t="s">
        <v>40</v>
      </c>
      <c r="D395">
        <v>5.398269</v>
      </c>
      <c r="E395">
        <v>0.48406549999999998</v>
      </c>
      <c r="F395" t="s">
        <v>41</v>
      </c>
      <c r="G395">
        <v>-385.09379999999999</v>
      </c>
      <c r="H395">
        <v>0.99088189999999998</v>
      </c>
      <c r="I395">
        <v>368.27510000000001</v>
      </c>
      <c r="J395">
        <v>-385.86369999999999</v>
      </c>
      <c r="K395">
        <v>1.1106929999999999</v>
      </c>
      <c r="L395">
        <v>368.245</v>
      </c>
      <c r="M395">
        <v>0.99962629999999997</v>
      </c>
      <c r="N395">
        <v>0</v>
      </c>
      <c r="O395">
        <v>2.3215690000000001E-2</v>
      </c>
      <c r="P395">
        <v>0.99994329999999998</v>
      </c>
      <c r="Q395" s="1">
        <v>4.0497629999999999E-5</v>
      </c>
      <c r="R395">
        <v>-1.065718E-2</v>
      </c>
      <c r="S395">
        <v>3.001404</v>
      </c>
      <c r="T395">
        <v>-0.40507199999999999</v>
      </c>
      <c r="U395">
        <v>0.1119995</v>
      </c>
      <c r="V395">
        <v>3.3871699999999998E-2</v>
      </c>
      <c r="W395">
        <v>1.446036E-2</v>
      </c>
      <c r="X395">
        <v>0.99932160000000003</v>
      </c>
      <c r="Y395">
        <v>-1.4159710000000001E-2</v>
      </c>
      <c r="Z395">
        <v>-2.166912E-3</v>
      </c>
      <c r="AA395">
        <v>0.99989740000000005</v>
      </c>
      <c r="AB395">
        <v>21</v>
      </c>
      <c r="AC395">
        <v>0.76990000000000602</v>
      </c>
      <c r="AD395">
        <v>-0.119811099999999</v>
      </c>
      <c r="AE395">
        <v>3.0100000000004401E-2</v>
      </c>
      <c r="AF395">
        <v>-1.19278450527808E-2</v>
      </c>
      <c r="AG395">
        <v>-0.119811099999999</v>
      </c>
      <c r="AH395">
        <v>0.75220280850544397</v>
      </c>
      <c r="AI395">
        <v>99.048947955916503</v>
      </c>
      <c r="AJ395">
        <v>90.908475612188994</v>
      </c>
      <c r="AK395">
        <v>0.761778208072593</v>
      </c>
      <c r="AL395">
        <v>89.1714535474229</v>
      </c>
      <c r="AM395">
        <v>88.058720262365</v>
      </c>
      <c r="AN395">
        <v>1.0000000271493801</v>
      </c>
    </row>
    <row r="396" spans="1:40" x14ac:dyDescent="0.25">
      <c r="A396" t="str">
        <f>"20190312154221175"</f>
        <v>20190312154221175</v>
      </c>
      <c r="B396" t="str">
        <f>"1552376541167934"</f>
        <v>1552376541167934</v>
      </c>
      <c r="C396" t="s">
        <v>40</v>
      </c>
      <c r="D396">
        <v>5.3616489999999999</v>
      </c>
      <c r="E396">
        <v>0.47602359999999999</v>
      </c>
      <c r="F396" t="s">
        <v>41</v>
      </c>
      <c r="G396">
        <v>-385.08659999999998</v>
      </c>
      <c r="H396">
        <v>1.005808</v>
      </c>
      <c r="I396">
        <v>368.27350000000001</v>
      </c>
      <c r="J396">
        <v>-385.73500000000001</v>
      </c>
      <c r="K396">
        <v>1.1106940000000001</v>
      </c>
      <c r="L396">
        <v>368.24799999999999</v>
      </c>
      <c r="M396">
        <v>0.99962649999999997</v>
      </c>
      <c r="N396">
        <v>0</v>
      </c>
      <c r="O396">
        <v>2.321486E-2</v>
      </c>
      <c r="P396">
        <v>0.999946</v>
      </c>
      <c r="Q396">
        <v>2.598166E-4</v>
      </c>
      <c r="R396">
        <v>-1.041068E-2</v>
      </c>
      <c r="S396">
        <v>3.001404</v>
      </c>
      <c r="T396">
        <v>-0.40532790000000002</v>
      </c>
      <c r="U396">
        <v>0.11154169999999999</v>
      </c>
      <c r="V396">
        <v>3.3624349999999997E-2</v>
      </c>
      <c r="W396">
        <v>1.467778E-2</v>
      </c>
      <c r="X396">
        <v>0.99932679999999996</v>
      </c>
      <c r="Y396">
        <v>-1.40097E-2</v>
      </c>
      <c r="Z396">
        <v>-2.1782450000000001E-3</v>
      </c>
      <c r="AA396">
        <v>0.99989950000000005</v>
      </c>
      <c r="AB396">
        <v>21</v>
      </c>
      <c r="AC396">
        <v>0.64840000000003695</v>
      </c>
      <c r="AD396">
        <v>-0.10488599999999999</v>
      </c>
      <c r="AE396">
        <v>2.5499999999965401E-2</v>
      </c>
      <c r="AF396">
        <v>-1.01732563715738E-2</v>
      </c>
      <c r="AG396">
        <v>-0.10488599999999999</v>
      </c>
      <c r="AH396">
        <v>0.63229766347126404</v>
      </c>
      <c r="AI396">
        <v>99.417306005752394</v>
      </c>
      <c r="AJ396">
        <v>90.921772131905797</v>
      </c>
      <c r="AK396">
        <v>0.64101864510513396</v>
      </c>
      <c r="AL396">
        <v>89.158994990964004</v>
      </c>
      <c r="AM396">
        <v>88.072895858924994</v>
      </c>
      <c r="AN396">
        <v>1.00000004366844</v>
      </c>
    </row>
    <row r="397" spans="1:40" x14ac:dyDescent="0.25">
      <c r="A397" t="str">
        <f>"20190312154221194"</f>
        <v>20190312154221194</v>
      </c>
      <c r="B397" t="str">
        <f>"1552376541187454"</f>
        <v>1552376541187454</v>
      </c>
      <c r="C397" t="s">
        <v>40</v>
      </c>
      <c r="D397">
        <v>5.3581000000000003</v>
      </c>
      <c r="E397">
        <v>0.47541539999999999</v>
      </c>
      <c r="F397" t="s">
        <v>43</v>
      </c>
      <c r="G397">
        <v>-371.84500000000003</v>
      </c>
      <c r="H397" s="1">
        <v>-3.584211E-6</v>
      </c>
      <c r="I397">
        <v>369.03320000000002</v>
      </c>
      <c r="J397">
        <v>-385.55520000000001</v>
      </c>
      <c r="K397">
        <v>1.110697</v>
      </c>
      <c r="L397">
        <v>368.25220000000002</v>
      </c>
      <c r="M397">
        <v>0.99962660000000003</v>
      </c>
      <c r="N397">
        <v>0</v>
      </c>
      <c r="O397">
        <v>2.3213580000000001E-2</v>
      </c>
      <c r="P397">
        <v>0.99994479999999997</v>
      </c>
      <c r="Q397">
        <v>-1.2504309999999901E-4</v>
      </c>
      <c r="R397">
        <v>-1.0532369999999999E-2</v>
      </c>
      <c r="S397">
        <v>3.002014</v>
      </c>
      <c r="T397">
        <v>-0.24005290000000001</v>
      </c>
      <c r="U397">
        <v>0.16970829999999901</v>
      </c>
      <c r="V397">
        <v>3.3744669999999997E-2</v>
      </c>
      <c r="W397">
        <v>1.428872E-2</v>
      </c>
      <c r="X397">
        <v>0.99932829999999995</v>
      </c>
      <c r="Y397">
        <v>-3.3215330000000001E-2</v>
      </c>
      <c r="Z397">
        <v>-5.2673930000000002E-4</v>
      </c>
      <c r="AA397">
        <v>0.99944809999999995</v>
      </c>
      <c r="AB397">
        <v>21</v>
      </c>
      <c r="AC397">
        <v>13.710199999999899</v>
      </c>
      <c r="AD397">
        <v>-1.110700584211</v>
      </c>
      <c r="AE397">
        <v>0.78100000000000502</v>
      </c>
      <c r="AF397">
        <v>-0.459487711792262</v>
      </c>
      <c r="AG397">
        <v>-1.110700584211</v>
      </c>
      <c r="AH397">
        <v>13.635435678737601</v>
      </c>
      <c r="AI397">
        <v>94.654225872882904</v>
      </c>
      <c r="AJ397">
        <v>91.930026208943801</v>
      </c>
      <c r="AK397">
        <v>13.6883122003425</v>
      </c>
      <c r="AL397">
        <v>89.181288756548895</v>
      </c>
      <c r="AM397">
        <v>88.066008116408</v>
      </c>
      <c r="AN397">
        <v>0.999999960726768</v>
      </c>
    </row>
    <row r="398" spans="1:40" x14ac:dyDescent="0.25">
      <c r="A398" t="str">
        <f>"20190312154221217"</f>
        <v>20190312154221217</v>
      </c>
      <c r="B398" t="str">
        <f>"1552376541207950"</f>
        <v>1552376541207950</v>
      </c>
      <c r="C398" t="s">
        <v>40</v>
      </c>
      <c r="D398">
        <v>5.3304650000000002</v>
      </c>
      <c r="E398">
        <v>0.4761783</v>
      </c>
      <c r="F398" t="s">
        <v>43</v>
      </c>
      <c r="G398">
        <v>-371.30059999999997</v>
      </c>
      <c r="H398" s="1">
        <v>-3.8096930000000002E-6</v>
      </c>
      <c r="I398">
        <v>369.0788</v>
      </c>
      <c r="J398">
        <v>-385.3399</v>
      </c>
      <c r="K398">
        <v>1.1106929999999999</v>
      </c>
      <c r="L398">
        <v>368.25720000000001</v>
      </c>
      <c r="M398">
        <v>0.99962680000000004</v>
      </c>
      <c r="N398">
        <v>0</v>
      </c>
      <c r="O398">
        <v>2.3212E-2</v>
      </c>
      <c r="P398">
        <v>0.99994930000000004</v>
      </c>
      <c r="Q398">
        <v>-1.6998130000000001E-4</v>
      </c>
      <c r="R398">
        <v>-1.008188E-2</v>
      </c>
      <c r="S398">
        <v>3.0019840000000002</v>
      </c>
      <c r="T398">
        <v>-0.23390910000000001</v>
      </c>
      <c r="U398">
        <v>0.174102799999999</v>
      </c>
      <c r="V398">
        <v>3.3293009999999998E-2</v>
      </c>
      <c r="W398">
        <v>1.4231499999999999E-2</v>
      </c>
      <c r="X398">
        <v>0.99934429999999996</v>
      </c>
      <c r="Y398">
        <v>-3.4672939999999999E-2</v>
      </c>
      <c r="Z398">
        <v>-4.5649850000000001E-4</v>
      </c>
      <c r="AA398">
        <v>0.99939860000000003</v>
      </c>
      <c r="AB398">
        <v>21</v>
      </c>
      <c r="AC398">
        <v>14.039300000000001</v>
      </c>
      <c r="AD398">
        <v>-1.1106968096930001</v>
      </c>
      <c r="AE398">
        <v>0.82159999999998901</v>
      </c>
      <c r="AF398">
        <v>-0.49239320905265299</v>
      </c>
      <c r="AG398">
        <v>-1.1106968096930001</v>
      </c>
      <c r="AH398">
        <v>13.9674664684233</v>
      </c>
      <c r="AI398">
        <v>94.543798210271206</v>
      </c>
      <c r="AJ398">
        <v>92.019004271895696</v>
      </c>
      <c r="AK398">
        <v>14.020207488547101</v>
      </c>
      <c r="AL398">
        <v>89.184567582541504</v>
      </c>
      <c r="AM398">
        <v>88.091905148852106</v>
      </c>
      <c r="AN398">
        <v>0.99999999502479997</v>
      </c>
    </row>
    <row r="399" spans="1:40" x14ac:dyDescent="0.25">
      <c r="A399" t="str">
        <f>"20190312154221240"</f>
        <v>20190312154221240</v>
      </c>
      <c r="B399" t="str">
        <f>"1552376541227470"</f>
        <v>1552376541227470</v>
      </c>
      <c r="C399" t="s">
        <v>40</v>
      </c>
      <c r="D399">
        <v>5.2862309999999999</v>
      </c>
      <c r="E399">
        <v>0.47644229999999999</v>
      </c>
      <c r="F399" t="s">
        <v>43</v>
      </c>
      <c r="G399">
        <v>-370.4624</v>
      </c>
      <c r="H399" s="1">
        <v>-4.1666120000000004E-6</v>
      </c>
      <c r="I399">
        <v>369.09370000000001</v>
      </c>
      <c r="J399">
        <v>-385.12580000000003</v>
      </c>
      <c r="K399">
        <v>1.1106910000000001</v>
      </c>
      <c r="L399">
        <v>368.26220000000001</v>
      </c>
      <c r="M399">
        <v>0.99962720000000005</v>
      </c>
      <c r="N399">
        <v>0</v>
      </c>
      <c r="O399">
        <v>2.321032E-2</v>
      </c>
      <c r="P399">
        <v>0.99995270000000003</v>
      </c>
      <c r="Q399" s="1">
        <v>8.7004150000000006E-5</v>
      </c>
      <c r="R399">
        <v>-9.7335110000000002E-3</v>
      </c>
      <c r="S399">
        <v>3.0018009999999999</v>
      </c>
      <c r="T399">
        <v>-0.22410269999999999</v>
      </c>
      <c r="U399">
        <v>0.16879269999999999</v>
      </c>
      <c r="V399">
        <v>3.2943140000000003E-2</v>
      </c>
      <c r="W399">
        <v>1.446561E-2</v>
      </c>
      <c r="X399">
        <v>0.99935249999999998</v>
      </c>
      <c r="Y399">
        <v>-3.2923630000000002E-2</v>
      </c>
      <c r="Z399">
        <v>-5.025028E-4</v>
      </c>
      <c r="AA399">
        <v>0.9994577</v>
      </c>
      <c r="AB399">
        <v>21</v>
      </c>
      <c r="AC399">
        <v>14.663399999999999</v>
      </c>
      <c r="AD399">
        <v>-1.110695166612</v>
      </c>
      <c r="AE399">
        <v>0.83150000000000501</v>
      </c>
      <c r="AF399">
        <v>-0.48810703481245798</v>
      </c>
      <c r="AG399">
        <v>-1.110695166612</v>
      </c>
      <c r="AH399">
        <v>14.5952787398351</v>
      </c>
      <c r="AI399">
        <v>94.349377141531406</v>
      </c>
      <c r="AJ399">
        <v>91.915417611192694</v>
      </c>
      <c r="AK399">
        <v>14.6456155119561</v>
      </c>
      <c r="AL399">
        <v>89.171152658955407</v>
      </c>
      <c r="AM399">
        <v>88.111957850941806</v>
      </c>
      <c r="AN399">
        <v>0.99999996180099004</v>
      </c>
    </row>
    <row r="400" spans="1:40" x14ac:dyDescent="0.25">
      <c r="A400" t="str">
        <f>"20190312154221260"</f>
        <v>20190312154221260</v>
      </c>
      <c r="B400" t="str">
        <f>"1552376541247966"</f>
        <v>1552376541247966</v>
      </c>
      <c r="C400" t="s">
        <v>40</v>
      </c>
      <c r="D400">
        <v>5.2967420000000001</v>
      </c>
      <c r="E400">
        <v>0.47669739999999999</v>
      </c>
      <c r="F400" t="s">
        <v>43</v>
      </c>
      <c r="G400">
        <v>-370.02949999999998</v>
      </c>
      <c r="H400" s="1">
        <v>-4.3504129999999996E-6</v>
      </c>
      <c r="I400">
        <v>369.1044</v>
      </c>
      <c r="J400">
        <v>-384.93040000000002</v>
      </c>
      <c r="K400">
        <v>1.1106819999999999</v>
      </c>
      <c r="L400">
        <v>368.26670000000001</v>
      </c>
      <c r="M400">
        <v>0.99962770000000001</v>
      </c>
      <c r="N400">
        <v>0</v>
      </c>
      <c r="O400">
        <v>2.3209270000000001E-2</v>
      </c>
      <c r="P400">
        <v>0.99995970000000001</v>
      </c>
      <c r="Q400">
        <v>3.2790940000000001E-4</v>
      </c>
      <c r="R400">
        <v>-8.9913919999999904E-3</v>
      </c>
      <c r="S400">
        <v>3.00177</v>
      </c>
      <c r="T400">
        <v>-0.22085260000000001</v>
      </c>
      <c r="U400">
        <v>0.1674805</v>
      </c>
      <c r="V400">
        <v>3.2200180000000002E-2</v>
      </c>
      <c r="W400">
        <v>1.4672060000000001E-2</v>
      </c>
      <c r="X400">
        <v>0.99937370000000003</v>
      </c>
      <c r="Y400">
        <v>-3.2491640000000002E-2</v>
      </c>
      <c r="Z400">
        <v>-5.1102799999999996E-4</v>
      </c>
      <c r="AA400">
        <v>0.99947189999999997</v>
      </c>
      <c r="AB400">
        <v>21</v>
      </c>
      <c r="AC400">
        <v>14.9009</v>
      </c>
      <c r="AD400">
        <v>-1.110686350413</v>
      </c>
      <c r="AE400">
        <v>0.83769999999998301</v>
      </c>
      <c r="AF400">
        <v>-0.488891999966513</v>
      </c>
      <c r="AG400">
        <v>-1.110686350413</v>
      </c>
      <c r="AH400">
        <v>14.834171534449601</v>
      </c>
      <c r="AI400">
        <v>94.279630976374904</v>
      </c>
      <c r="AJ400">
        <v>91.887622305653494</v>
      </c>
      <c r="AK400">
        <v>14.8837254970018</v>
      </c>
      <c r="AL400">
        <v>89.159322684896694</v>
      </c>
      <c r="AM400">
        <v>88.154547822877205</v>
      </c>
      <c r="AN400">
        <v>0.99999995659418195</v>
      </c>
    </row>
    <row r="401" spans="1:40" x14ac:dyDescent="0.25">
      <c r="A401" t="str">
        <f>"20190312154221282"</f>
        <v>20190312154221282</v>
      </c>
      <c r="B401" t="str">
        <f>"1552376541278222"</f>
        <v>1552376541278222</v>
      </c>
      <c r="C401" t="s">
        <v>40</v>
      </c>
      <c r="D401">
        <v>5.2589620000000004</v>
      </c>
      <c r="E401">
        <v>0.47708050000000002</v>
      </c>
      <c r="F401" t="s">
        <v>43</v>
      </c>
      <c r="G401">
        <v>-369.58080000000001</v>
      </c>
      <c r="H401" s="1">
        <v>-2.597525E-7</v>
      </c>
      <c r="I401">
        <v>369.12389999999999</v>
      </c>
      <c r="J401">
        <v>-384.7296</v>
      </c>
      <c r="K401">
        <v>1.110668</v>
      </c>
      <c r="L401">
        <v>368.27140000000003</v>
      </c>
      <c r="M401">
        <v>0.99962839999999997</v>
      </c>
      <c r="N401">
        <v>0</v>
      </c>
      <c r="O401">
        <v>2.3208099999999999E-2</v>
      </c>
      <c r="P401">
        <v>0.99996320000000005</v>
      </c>
      <c r="Q401">
        <v>4.5060929999999998E-4</v>
      </c>
      <c r="R401">
        <v>-8.5944980000000008E-3</v>
      </c>
      <c r="S401">
        <v>3.001709</v>
      </c>
      <c r="T401">
        <v>-0.2171988</v>
      </c>
      <c r="U401">
        <v>0.16763310000000001</v>
      </c>
      <c r="V401">
        <v>3.1802270000000001E-2</v>
      </c>
      <c r="W401">
        <v>1.474405E-2</v>
      </c>
      <c r="X401">
        <v>0.99938539999999998</v>
      </c>
      <c r="Y401">
        <v>-3.2545280000000003E-2</v>
      </c>
      <c r="Z401">
        <v>-5.0058199999999996E-4</v>
      </c>
      <c r="AA401">
        <v>0.99947010000000003</v>
      </c>
      <c r="AB401">
        <v>21</v>
      </c>
      <c r="AC401">
        <v>15.1487999999999</v>
      </c>
      <c r="AD401">
        <v>-1.1106682597524999</v>
      </c>
      <c r="AE401">
        <v>0.85249999999996295</v>
      </c>
      <c r="AF401">
        <v>-0.49799106770887902</v>
      </c>
      <c r="AG401">
        <v>-1.1106682597524999</v>
      </c>
      <c r="AH401">
        <v>15.0836807236387</v>
      </c>
      <c r="AI401">
        <v>94.2090189709252</v>
      </c>
      <c r="AJ401">
        <v>91.890946033227294</v>
      </c>
      <c r="AK401">
        <v>15.1327130171496</v>
      </c>
      <c r="AL401">
        <v>89.155197530511899</v>
      </c>
      <c r="AM401">
        <v>88.177358630288794</v>
      </c>
      <c r="AN401">
        <v>0.99999997456035705</v>
      </c>
    </row>
    <row r="402" spans="1:40" x14ac:dyDescent="0.25">
      <c r="A402" t="str">
        <f>"20190312154221295"</f>
        <v>20190312154221295</v>
      </c>
      <c r="B402" t="str">
        <f>"1552376541287982"</f>
        <v>1552376541287982</v>
      </c>
      <c r="C402" t="s">
        <v>40</v>
      </c>
      <c r="D402">
        <v>5.2750219999999999</v>
      </c>
      <c r="E402">
        <v>0.4771378</v>
      </c>
      <c r="F402" t="s">
        <v>43</v>
      </c>
      <c r="G402">
        <v>-369.19159999999999</v>
      </c>
      <c r="H402" s="1">
        <v>-4.1569110000000001E-7</v>
      </c>
      <c r="I402">
        <v>369.1284</v>
      </c>
      <c r="J402">
        <v>-384.60410000000002</v>
      </c>
      <c r="K402">
        <v>1.11066</v>
      </c>
      <c r="L402">
        <v>368.27429999999998</v>
      </c>
      <c r="M402">
        <v>0.99962910000000005</v>
      </c>
      <c r="N402">
        <v>0</v>
      </c>
      <c r="O402">
        <v>2.3207430000000001E-2</v>
      </c>
      <c r="P402">
        <v>0.99996479999999999</v>
      </c>
      <c r="Q402">
        <v>3.7042610000000001E-4</v>
      </c>
      <c r="R402">
        <v>-8.3896030000000007E-3</v>
      </c>
      <c r="S402">
        <v>3.001617</v>
      </c>
      <c r="T402">
        <v>-0.21455689999999999</v>
      </c>
      <c r="U402">
        <v>0.16555790000000001</v>
      </c>
      <c r="V402">
        <v>3.1596909999999999E-2</v>
      </c>
      <c r="W402">
        <v>1.462485E-2</v>
      </c>
      <c r="X402">
        <v>0.99939370000000005</v>
      </c>
      <c r="Y402">
        <v>-3.1861100000000003E-2</v>
      </c>
      <c r="Z402">
        <v>-5.1889079999999999E-4</v>
      </c>
      <c r="AA402">
        <v>0.99949219999999905</v>
      </c>
      <c r="AB402">
        <v>21</v>
      </c>
      <c r="AC402">
        <v>15.4125</v>
      </c>
      <c r="AD402">
        <v>-1.1106604156911</v>
      </c>
      <c r="AE402">
        <v>0.85410000000001596</v>
      </c>
      <c r="AF402">
        <v>-0.493593706957066</v>
      </c>
      <c r="AG402">
        <v>-1.1106604156911</v>
      </c>
      <c r="AH402">
        <v>15.348710128518199</v>
      </c>
      <c r="AI402">
        <v>94.136681279754995</v>
      </c>
      <c r="AJ402">
        <v>91.841919800937106</v>
      </c>
      <c r="AK402">
        <v>15.396756279028599</v>
      </c>
      <c r="AL402">
        <v>89.162027953172398</v>
      </c>
      <c r="AM402">
        <v>88.189135323512502</v>
      </c>
      <c r="AN402">
        <v>1.0000000092793799</v>
      </c>
    </row>
    <row r="403" spans="1:40" x14ac:dyDescent="0.25">
      <c r="A403" t="str">
        <f>"20190312154221310"</f>
        <v>20190312154221310</v>
      </c>
      <c r="B403" t="str">
        <f>"1552376541297742"</f>
        <v>1552376541297742</v>
      </c>
      <c r="C403" t="s">
        <v>40</v>
      </c>
      <c r="D403">
        <v>5.2502389999999997</v>
      </c>
      <c r="E403">
        <v>0.47722530000000002</v>
      </c>
      <c r="F403" t="s">
        <v>43</v>
      </c>
      <c r="G403">
        <v>-369.04509999999999</v>
      </c>
      <c r="H403" s="1">
        <v>-4.7728110000000002E-7</v>
      </c>
      <c r="I403">
        <v>369.13529999999997</v>
      </c>
      <c r="J403">
        <v>-384.46940000000001</v>
      </c>
      <c r="K403">
        <v>1.1106510000000001</v>
      </c>
      <c r="L403">
        <v>368.2774</v>
      </c>
      <c r="M403">
        <v>0.99962960000000001</v>
      </c>
      <c r="N403">
        <v>0</v>
      </c>
      <c r="O403">
        <v>2.3206930000000001E-2</v>
      </c>
      <c r="P403">
        <v>0.99996470000000004</v>
      </c>
      <c r="Q403">
        <v>2.1032620000000001E-4</v>
      </c>
      <c r="R403">
        <v>-8.4042709999999996E-3</v>
      </c>
      <c r="S403">
        <v>3.0015869999999998</v>
      </c>
      <c r="T403">
        <v>-0.21426400000000001</v>
      </c>
      <c r="U403">
        <v>0.16610720000000001</v>
      </c>
      <c r="V403">
        <v>3.1611069999999998E-2</v>
      </c>
      <c r="W403">
        <v>1.441888E-2</v>
      </c>
      <c r="X403">
        <v>0.99939630000000002</v>
      </c>
      <c r="Y403">
        <v>-3.2044129999999997E-2</v>
      </c>
      <c r="Z403">
        <v>-5.1163070000000003E-4</v>
      </c>
      <c r="AA403">
        <v>0.99948630000000005</v>
      </c>
      <c r="AB403">
        <v>21</v>
      </c>
      <c r="AC403">
        <v>15.424300000000001</v>
      </c>
      <c r="AD403">
        <v>-1.1106514772811</v>
      </c>
      <c r="AE403">
        <v>0.85789999999997202</v>
      </c>
      <c r="AF403">
        <v>-0.49711252415110302</v>
      </c>
      <c r="AG403">
        <v>-1.1106514772811</v>
      </c>
      <c r="AH403">
        <v>15.3606577368034</v>
      </c>
      <c r="AI403">
        <v>94.133414662380702</v>
      </c>
      <c r="AJ403">
        <v>91.853599803988701</v>
      </c>
      <c r="AK403">
        <v>15.408779110392601</v>
      </c>
      <c r="AL403">
        <v>89.1738304546694</v>
      </c>
      <c r="AM403">
        <v>88.188329044150507</v>
      </c>
      <c r="AN403">
        <v>1.0000000641503399</v>
      </c>
    </row>
    <row r="404" spans="1:40" x14ac:dyDescent="0.25">
      <c r="A404" t="str">
        <f>"20190312154221327"</f>
        <v>20190312154221327</v>
      </c>
      <c r="B404" t="str">
        <f>"1552376541317262"</f>
        <v>1552376541317262</v>
      </c>
      <c r="C404" t="s">
        <v>40</v>
      </c>
      <c r="D404">
        <v>5.2344369999999998</v>
      </c>
      <c r="E404">
        <v>0.47740749999999998</v>
      </c>
      <c r="F404" t="s">
        <v>43</v>
      </c>
      <c r="G404">
        <v>-368.93430000000001</v>
      </c>
      <c r="H404" s="1">
        <v>-5.253085E-7</v>
      </c>
      <c r="I404">
        <v>369.1327</v>
      </c>
      <c r="J404">
        <v>-384.30180000000001</v>
      </c>
      <c r="K404">
        <v>1.1106389999999999</v>
      </c>
      <c r="L404">
        <v>368.28129999999999</v>
      </c>
      <c r="M404">
        <v>0.99963060000000004</v>
      </c>
      <c r="N404">
        <v>0</v>
      </c>
      <c r="O404">
        <v>2.3206029999999999E-2</v>
      </c>
      <c r="P404">
        <v>0.99996609999999997</v>
      </c>
      <c r="Q404">
        <v>6.2466409999999996E-4</v>
      </c>
      <c r="R404">
        <v>-8.2375880000000005E-3</v>
      </c>
      <c r="S404">
        <v>3.001465</v>
      </c>
      <c r="T404">
        <v>-0.21458260000000001</v>
      </c>
      <c r="U404">
        <v>0.1652527</v>
      </c>
      <c r="V404">
        <v>3.1443390000000002E-2</v>
      </c>
      <c r="W404">
        <v>1.476884E-2</v>
      </c>
      <c r="X404">
        <v>0.99939639999999996</v>
      </c>
      <c r="Y404">
        <v>-3.1764260000000002E-2</v>
      </c>
      <c r="Z404">
        <v>-5.2233339999999996E-4</v>
      </c>
      <c r="AA404">
        <v>0.99949529999999998</v>
      </c>
      <c r="AB404">
        <v>21</v>
      </c>
      <c r="AC404">
        <v>15.3675</v>
      </c>
      <c r="AD404">
        <v>-1.1106395253085</v>
      </c>
      <c r="AE404">
        <v>0.85140000000001204</v>
      </c>
      <c r="AF404">
        <v>-0.49195458374880002</v>
      </c>
      <c r="AG404">
        <v>-1.1106395253085</v>
      </c>
      <c r="AH404">
        <v>15.3034314917474</v>
      </c>
      <c r="AI404">
        <v>94.148801727794407</v>
      </c>
      <c r="AJ404">
        <v>91.841235271291197</v>
      </c>
      <c r="AK404">
        <v>15.3515652260692</v>
      </c>
      <c r="AL404">
        <v>89.153777022158394</v>
      </c>
      <c r="AM404">
        <v>88.1979328269055</v>
      </c>
      <c r="AN404">
        <v>0.99999998487129804</v>
      </c>
    </row>
    <row r="405" spans="1:40" x14ac:dyDescent="0.25">
      <c r="A405" t="str">
        <f>"20190312154221349"</f>
        <v>20190312154221349</v>
      </c>
      <c r="B405" t="str">
        <f>"1552376541337758"</f>
        <v>1552376541337758</v>
      </c>
      <c r="C405" t="s">
        <v>40</v>
      </c>
      <c r="D405">
        <v>5.2404460000000004</v>
      </c>
      <c r="E405">
        <v>0.47752509999999998</v>
      </c>
      <c r="F405" t="s">
        <v>43</v>
      </c>
      <c r="G405">
        <v>-368.6662</v>
      </c>
      <c r="H405" s="1">
        <v>-6.3952649999999997E-7</v>
      </c>
      <c r="I405">
        <v>369.137</v>
      </c>
      <c r="J405">
        <v>-384.10059999999999</v>
      </c>
      <c r="K405">
        <v>1.110625</v>
      </c>
      <c r="L405">
        <v>368.286</v>
      </c>
      <c r="M405">
        <v>0.99963179999999996</v>
      </c>
      <c r="N405">
        <v>0</v>
      </c>
      <c r="O405">
        <v>2.3205130000000001E-2</v>
      </c>
      <c r="P405">
        <v>0.99996609999999997</v>
      </c>
      <c r="Q405">
        <v>1.147211E-3</v>
      </c>
      <c r="R405">
        <v>-8.1848570000000002E-3</v>
      </c>
      <c r="S405">
        <v>3.0015559999999999</v>
      </c>
      <c r="T405">
        <v>-0.21320800000000001</v>
      </c>
      <c r="U405">
        <v>0.16427610000000001</v>
      </c>
      <c r="V405">
        <v>3.138987E-2</v>
      </c>
      <c r="W405">
        <v>1.520987E-2</v>
      </c>
      <c r="X405">
        <v>0.99939149999999999</v>
      </c>
      <c r="Y405">
        <v>-3.1440379999999997E-2</v>
      </c>
      <c r="Z405">
        <v>-5.3040050000000005E-4</v>
      </c>
      <c r="AA405">
        <v>0.99950550000000005</v>
      </c>
      <c r="AB405">
        <v>21</v>
      </c>
      <c r="AC405">
        <v>15.434399999999901</v>
      </c>
      <c r="AD405">
        <v>-1.1106256395265</v>
      </c>
      <c r="AE405">
        <v>0.85099999999994203</v>
      </c>
      <c r="AF405">
        <v>-0.49004837438263299</v>
      </c>
      <c r="AG405">
        <v>-1.1106256395265</v>
      </c>
      <c r="AH405">
        <v>15.370645736813801</v>
      </c>
      <c r="AI405">
        <v>94.130705750635002</v>
      </c>
      <c r="AJ405">
        <v>91.826090882976203</v>
      </c>
      <c r="AK405">
        <v>15.4185079397145</v>
      </c>
      <c r="AL405">
        <v>89.128505052864497</v>
      </c>
      <c r="AM405">
        <v>88.200989305269104</v>
      </c>
      <c r="AN405">
        <v>1.00000001717814</v>
      </c>
    </row>
    <row r="406" spans="1:40" x14ac:dyDescent="0.25">
      <c r="A406" t="str">
        <f>"20190312154221364"</f>
        <v>20190312154221364</v>
      </c>
      <c r="B406" t="str">
        <f>"1552376541358254"</f>
        <v>1552376541358254</v>
      </c>
      <c r="C406" t="s">
        <v>40</v>
      </c>
      <c r="D406">
        <v>5.232424</v>
      </c>
      <c r="E406">
        <v>0.47762109999999902</v>
      </c>
      <c r="F406" t="s">
        <v>43</v>
      </c>
      <c r="G406">
        <v>-368.38929999999999</v>
      </c>
      <c r="H406" s="1">
        <v>-7.5749799999999904E-7</v>
      </c>
      <c r="I406">
        <v>369.14179999999999</v>
      </c>
      <c r="J406">
        <v>-383.96929999999998</v>
      </c>
      <c r="K406">
        <v>1.110619</v>
      </c>
      <c r="L406">
        <v>368.28899999999999</v>
      </c>
      <c r="M406">
        <v>0.99963239999999998</v>
      </c>
      <c r="N406">
        <v>0</v>
      </c>
      <c r="O406">
        <v>2.320469E-2</v>
      </c>
      <c r="P406">
        <v>0.99996580000000002</v>
      </c>
      <c r="Q406">
        <v>1.447715E-3</v>
      </c>
      <c r="R406">
        <v>-8.1338969999999993E-3</v>
      </c>
      <c r="S406">
        <v>3.0016479999999999</v>
      </c>
      <c r="T406">
        <v>-0.21218400000000001</v>
      </c>
      <c r="U406">
        <v>0.1635132</v>
      </c>
      <c r="V406">
        <v>3.1338530000000003E-2</v>
      </c>
      <c r="W406">
        <v>1.545588E-2</v>
      </c>
      <c r="X406">
        <v>0.99938930000000004</v>
      </c>
      <c r="Y406">
        <v>-3.1186709999999999E-2</v>
      </c>
      <c r="Z406">
        <v>-5.3676470000000003E-4</v>
      </c>
      <c r="AA406">
        <v>0.9995134</v>
      </c>
      <c r="AB406">
        <v>21</v>
      </c>
      <c r="AC406">
        <v>15.579999999999901</v>
      </c>
      <c r="AD406">
        <v>-1.1106197574979999</v>
      </c>
      <c r="AE406">
        <v>0.852800000000002</v>
      </c>
      <c r="AF406">
        <v>-0.488530635134927</v>
      </c>
      <c r="AG406">
        <v>-1.1106197574979999</v>
      </c>
      <c r="AH406">
        <v>15.5169802168374</v>
      </c>
      <c r="AI406">
        <v>94.091913487841296</v>
      </c>
      <c r="AJ406">
        <v>91.803282620170094</v>
      </c>
      <c r="AK406">
        <v>15.5643442996143</v>
      </c>
      <c r="AL406">
        <v>89.114408028532793</v>
      </c>
      <c r="AM406">
        <v>88.203925814349006</v>
      </c>
      <c r="AN406">
        <v>0.99999998032181203</v>
      </c>
    </row>
    <row r="407" spans="1:40" x14ac:dyDescent="0.25">
      <c r="A407" t="str">
        <f>"20190312154221384"</f>
        <v>20190312154221384</v>
      </c>
      <c r="B407" t="str">
        <f>"1552376541377774"</f>
        <v>1552376541377774</v>
      </c>
      <c r="C407" t="s">
        <v>40</v>
      </c>
      <c r="D407">
        <v>5.2353370000000004</v>
      </c>
      <c r="E407">
        <v>0.47772680000000001</v>
      </c>
      <c r="F407" t="s">
        <v>43</v>
      </c>
      <c r="G407">
        <v>-368.11360000000002</v>
      </c>
      <c r="H407" s="1">
        <v>-8.7422029999999998E-7</v>
      </c>
      <c r="I407">
        <v>369.15039999999999</v>
      </c>
      <c r="J407">
        <v>-383.78149999999999</v>
      </c>
      <c r="K407">
        <v>1.110617</v>
      </c>
      <c r="L407">
        <v>368.29340000000002</v>
      </c>
      <c r="M407">
        <v>0.99963380000000002</v>
      </c>
      <c r="N407">
        <v>0</v>
      </c>
      <c r="O407">
        <v>2.3202750000000001E-2</v>
      </c>
      <c r="P407">
        <v>0.99996890000000005</v>
      </c>
      <c r="Q407">
        <v>1.456611E-3</v>
      </c>
      <c r="R407">
        <v>-7.7790659999999899E-3</v>
      </c>
      <c r="S407">
        <v>3.0017399999999999</v>
      </c>
      <c r="T407">
        <v>-0.21025679999999999</v>
      </c>
      <c r="U407">
        <v>0.16308590000000001</v>
      </c>
      <c r="V407">
        <v>3.0982010000000001E-2</v>
      </c>
      <c r="W407">
        <v>1.53858E-2</v>
      </c>
      <c r="X407">
        <v>0.99940150000000005</v>
      </c>
      <c r="Y407">
        <v>-3.1045880000000001E-2</v>
      </c>
      <c r="Z407">
        <v>-5.3667220000000004E-4</v>
      </c>
      <c r="AA407">
        <v>0.99951780000000001</v>
      </c>
      <c r="AB407">
        <v>21</v>
      </c>
      <c r="AC407">
        <v>15.6678999999999</v>
      </c>
      <c r="AD407">
        <v>-1.1106178742202999</v>
      </c>
      <c r="AE407">
        <v>0.85699999999997001</v>
      </c>
      <c r="AF407">
        <v>-0.49073717890333102</v>
      </c>
      <c r="AG407">
        <v>-1.1106178742202999</v>
      </c>
      <c r="AH407">
        <v>15.6053896832845</v>
      </c>
      <c r="AI407">
        <v>94.068807420190595</v>
      </c>
      <c r="AJ407">
        <v>91.801166583443404</v>
      </c>
      <c r="AK407">
        <v>15.652555133538399</v>
      </c>
      <c r="AL407">
        <v>89.118423796704207</v>
      </c>
      <c r="AM407">
        <v>88.224367198952393</v>
      </c>
      <c r="AN407">
        <v>0.99999998299376402</v>
      </c>
    </row>
    <row r="408" spans="1:40" x14ac:dyDescent="0.25">
      <c r="A408" t="str">
        <f>"20190312154221408"</f>
        <v>20190312154221408</v>
      </c>
      <c r="B408" t="str">
        <f>"1552376541398269"</f>
        <v>1552376541398269</v>
      </c>
      <c r="C408" t="s">
        <v>40</v>
      </c>
      <c r="D408">
        <v>5.228059</v>
      </c>
      <c r="E408">
        <v>0.47773480000000001</v>
      </c>
      <c r="F408" t="s">
        <v>43</v>
      </c>
      <c r="G408">
        <v>-367.8759</v>
      </c>
      <c r="H408" s="1">
        <v>-9.7462080000000002E-7</v>
      </c>
      <c r="I408">
        <v>369.15929999999997</v>
      </c>
      <c r="J408">
        <v>-383.56540000000001</v>
      </c>
      <c r="K408">
        <v>1.1106009999999999</v>
      </c>
      <c r="L408">
        <v>368.29840000000002</v>
      </c>
      <c r="M408">
        <v>0.9996351</v>
      </c>
      <c r="N408">
        <v>0</v>
      </c>
      <c r="O408">
        <v>2.3195360000000002E-2</v>
      </c>
      <c r="P408">
        <v>0.9999692</v>
      </c>
      <c r="Q408">
        <v>1.857704E-3</v>
      </c>
      <c r="R408">
        <v>-7.6535959999999899E-3</v>
      </c>
      <c r="S408">
        <v>3.0016780000000001</v>
      </c>
      <c r="T408">
        <v>-0.20959220000000001</v>
      </c>
      <c r="U408">
        <v>0.1634216</v>
      </c>
      <c r="V408">
        <v>3.0848960000000002E-2</v>
      </c>
      <c r="W408">
        <v>1.5695230000000001E-2</v>
      </c>
      <c r="X408">
        <v>0.99940079999999998</v>
      </c>
      <c r="Y408">
        <v>-3.116565E-2</v>
      </c>
      <c r="Z408">
        <v>-5.3029930000000002E-4</v>
      </c>
      <c r="AA408">
        <v>0.99951409999999996</v>
      </c>
      <c r="AB408">
        <v>21</v>
      </c>
      <c r="AC408">
        <v>15.689500000000001</v>
      </c>
      <c r="AD408">
        <v>-1.1106019746208</v>
      </c>
      <c r="AE408">
        <v>0.86089999999995803</v>
      </c>
      <c r="AF408">
        <v>-0.49424079444081898</v>
      </c>
      <c r="AG408">
        <v>-1.1106019746208</v>
      </c>
      <c r="AH408">
        <v>15.6271806394821</v>
      </c>
      <c r="AI408">
        <v>94.063071800411194</v>
      </c>
      <c r="AJ408">
        <v>91.811489613944701</v>
      </c>
      <c r="AK408">
        <v>15.674389476082499</v>
      </c>
      <c r="AL408">
        <v>89.100692618277606</v>
      </c>
      <c r="AM408">
        <v>88.231986437932605</v>
      </c>
      <c r="AN408">
        <v>0.99999997880923697</v>
      </c>
    </row>
    <row r="409" spans="1:40" x14ac:dyDescent="0.25">
      <c r="A409" t="str">
        <f>"20190312154221428"</f>
        <v>20190312154221428</v>
      </c>
      <c r="B409" t="str">
        <f>"1552376541417790"</f>
        <v>1552376541417790</v>
      </c>
      <c r="C409" t="s">
        <v>40</v>
      </c>
      <c r="D409">
        <v>5.2007989999999999</v>
      </c>
      <c r="E409">
        <v>0.47776780000000002</v>
      </c>
      <c r="F409" t="s">
        <v>43</v>
      </c>
      <c r="G409">
        <v>-367.56979999999999</v>
      </c>
      <c r="H409" s="1">
        <v>-1.1040290000000001E-6</v>
      </c>
      <c r="I409">
        <v>369.17009999999999</v>
      </c>
      <c r="J409">
        <v>-383.3741</v>
      </c>
      <c r="K409">
        <v>1.110581</v>
      </c>
      <c r="L409">
        <v>368.30279999999999</v>
      </c>
      <c r="M409">
        <v>0.99963670000000004</v>
      </c>
      <c r="N409">
        <v>0</v>
      </c>
      <c r="O409">
        <v>2.3177340000000001E-2</v>
      </c>
      <c r="P409">
        <v>0.99997080000000005</v>
      </c>
      <c r="Q409">
        <v>2.2762899999999998E-3</v>
      </c>
      <c r="R409">
        <v>-7.3121459999999899E-3</v>
      </c>
      <c r="S409">
        <v>3.001709</v>
      </c>
      <c r="T409">
        <v>-0.2084115</v>
      </c>
      <c r="U409">
        <v>0.16360469999999999</v>
      </c>
      <c r="V409">
        <v>3.0490079999999999E-2</v>
      </c>
      <c r="W409">
        <v>1.6032790000000002E-2</v>
      </c>
      <c r="X409">
        <v>0.99940649999999998</v>
      </c>
      <c r="Y409">
        <v>-3.1243920000000001E-2</v>
      </c>
      <c r="Z409">
        <v>-5.2335019999999997E-4</v>
      </c>
      <c r="AA409">
        <v>0.9995117</v>
      </c>
      <c r="AB409">
        <v>21</v>
      </c>
      <c r="AC409">
        <v>15.8043</v>
      </c>
      <c r="AD409">
        <v>-1.110582104029</v>
      </c>
      <c r="AE409">
        <v>0.86729999999999996</v>
      </c>
      <c r="AF409">
        <v>-0.49827756104202803</v>
      </c>
      <c r="AG409">
        <v>-1.110582104029</v>
      </c>
      <c r="AH409">
        <v>15.7426535181595</v>
      </c>
      <c r="AI409">
        <v>94.033292727999495</v>
      </c>
      <c r="AJ409">
        <v>91.812888361607804</v>
      </c>
      <c r="AK409">
        <v>15.789642583999401</v>
      </c>
      <c r="AL409">
        <v>89.081349461592893</v>
      </c>
      <c r="AM409">
        <v>88.252551677747704</v>
      </c>
      <c r="AN409">
        <v>1.0000000237879201</v>
      </c>
    </row>
    <row r="410" spans="1:40" x14ac:dyDescent="0.25">
      <c r="A410" t="str">
        <f>"20190312154221441"</f>
        <v>20190312154221441</v>
      </c>
      <c r="B410" t="str">
        <f>"1552376541437311"</f>
        <v>1552376541437311</v>
      </c>
      <c r="C410" t="s">
        <v>40</v>
      </c>
      <c r="D410">
        <v>5.2179979999999997</v>
      </c>
      <c r="E410">
        <v>0.47779630000000001</v>
      </c>
      <c r="F410" t="s">
        <v>43</v>
      </c>
      <c r="G410">
        <v>-367.33449999999999</v>
      </c>
      <c r="H410" s="1">
        <v>-1.2030430000000001E-6</v>
      </c>
      <c r="I410">
        <v>369.18099999999998</v>
      </c>
      <c r="J410">
        <v>-383.24740000000003</v>
      </c>
      <c r="K410">
        <v>1.1105689999999999</v>
      </c>
      <c r="L410">
        <v>368.3057</v>
      </c>
      <c r="M410">
        <v>0.99963800000000003</v>
      </c>
      <c r="N410">
        <v>0</v>
      </c>
      <c r="O410">
        <v>2.315439E-2</v>
      </c>
      <c r="P410">
        <v>0.99996969999999996</v>
      </c>
      <c r="Q410">
        <v>2.4532820000000002E-3</v>
      </c>
      <c r="R410">
        <v>-7.4190569999999997E-3</v>
      </c>
      <c r="S410">
        <v>3.0017399999999999</v>
      </c>
      <c r="T410">
        <v>-0.20783879999999999</v>
      </c>
      <c r="U410">
        <v>0.16436770000000001</v>
      </c>
      <c r="V410">
        <v>3.0574219999999999E-2</v>
      </c>
      <c r="W410">
        <v>1.6157709999999999E-2</v>
      </c>
      <c r="X410">
        <v>0.99940189999999995</v>
      </c>
      <c r="Y410">
        <v>-3.151901E-2</v>
      </c>
      <c r="Z410">
        <v>-5.1081369999999996E-4</v>
      </c>
      <c r="AA410">
        <v>0.99950300000000003</v>
      </c>
      <c r="AB410">
        <v>21</v>
      </c>
      <c r="AC410">
        <v>15.9129</v>
      </c>
      <c r="AD410">
        <v>-1.110570203043</v>
      </c>
      <c r="AE410">
        <v>0.87529999999998098</v>
      </c>
      <c r="AF410">
        <v>-0.50412913811902804</v>
      </c>
      <c r="AG410">
        <v>-1.110570203043</v>
      </c>
      <c r="AH410">
        <v>15.8519244924631</v>
      </c>
      <c r="AI410">
        <v>94.005519236846894</v>
      </c>
      <c r="AJ410">
        <v>91.821528989687494</v>
      </c>
      <c r="AK410">
        <v>15.8987742445303</v>
      </c>
      <c r="AL410">
        <v>89.074191129359093</v>
      </c>
      <c r="AM410">
        <v>88.247724385636303</v>
      </c>
      <c r="AN410">
        <v>1.00000000612233</v>
      </c>
    </row>
    <row r="411" spans="1:40" x14ac:dyDescent="0.25">
      <c r="A411" t="str">
        <f>"20190312154221460"</f>
        <v>20190312154221460</v>
      </c>
      <c r="B411" t="str">
        <f>"1552376541448050"</f>
        <v>1552376541448050</v>
      </c>
      <c r="C411" t="s">
        <v>40</v>
      </c>
      <c r="D411">
        <v>5.2162379999999997</v>
      </c>
      <c r="E411">
        <v>0.4778366</v>
      </c>
      <c r="F411" t="s">
        <v>43</v>
      </c>
      <c r="G411">
        <v>-367.2482</v>
      </c>
      <c r="H411" s="1">
        <v>-1.240401E-6</v>
      </c>
      <c r="I411">
        <v>369.1789</v>
      </c>
      <c r="J411">
        <v>-383.07459999999998</v>
      </c>
      <c r="K411">
        <v>1.1105579999999999</v>
      </c>
      <c r="L411">
        <v>368.30970000000002</v>
      </c>
      <c r="M411">
        <v>0.99963970000000002</v>
      </c>
      <c r="N411">
        <v>0</v>
      </c>
      <c r="O411">
        <v>2.3113519999999999E-2</v>
      </c>
      <c r="P411">
        <v>0.99997000000000003</v>
      </c>
      <c r="Q411">
        <v>2.124721E-3</v>
      </c>
      <c r="R411">
        <v>-7.4628580000000002E-3</v>
      </c>
      <c r="S411">
        <v>3.0018310000000001</v>
      </c>
      <c r="T411">
        <v>-0.20836830000000001</v>
      </c>
      <c r="U411">
        <v>0.16384889999999999</v>
      </c>
      <c r="V411">
        <v>3.0577650000000001E-2</v>
      </c>
      <c r="W411">
        <v>1.5761979999999998E-2</v>
      </c>
      <c r="X411">
        <v>0.99940810000000002</v>
      </c>
      <c r="Y411">
        <v>-3.1386129999999998E-2</v>
      </c>
      <c r="Z411">
        <v>-5.1387099999999995E-4</v>
      </c>
      <c r="AA411">
        <v>0.99950720000000004</v>
      </c>
      <c r="AB411">
        <v>21</v>
      </c>
      <c r="AC411">
        <v>15.8263999999999</v>
      </c>
      <c r="AD411">
        <v>-1.1105592404009901</v>
      </c>
      <c r="AE411">
        <v>0.86919999999997799</v>
      </c>
      <c r="AF411">
        <v>-0.50067196533511305</v>
      </c>
      <c r="AG411">
        <v>-1.1105592404009901</v>
      </c>
      <c r="AH411">
        <v>15.7648702990075</v>
      </c>
      <c r="AI411">
        <v>94.027531210348002</v>
      </c>
      <c r="AJ411">
        <v>91.819028720668996</v>
      </c>
      <c r="AK411">
        <v>15.8118673719406</v>
      </c>
      <c r="AL411">
        <v>89.096867663236495</v>
      </c>
      <c r="AM411">
        <v>88.247538792369895</v>
      </c>
      <c r="AN411">
        <v>0.99999999151932595</v>
      </c>
    </row>
    <row r="412" spans="1:40" x14ac:dyDescent="0.25">
      <c r="A412" t="str">
        <f>"20190312154221484"</f>
        <v>20190312154221484</v>
      </c>
      <c r="B412" t="str">
        <f>"1552376541477511"</f>
        <v>1552376541477511</v>
      </c>
      <c r="C412" t="s">
        <v>40</v>
      </c>
      <c r="D412">
        <v>5.2140919999999999</v>
      </c>
      <c r="E412">
        <v>0.477904</v>
      </c>
      <c r="F412" t="s">
        <v>43</v>
      </c>
      <c r="G412">
        <v>-367.15539999999999</v>
      </c>
      <c r="H412" s="1">
        <v>-1.280773E-6</v>
      </c>
      <c r="I412">
        <v>369.17590000000001</v>
      </c>
      <c r="J412">
        <v>-382.85820000000001</v>
      </c>
      <c r="K412">
        <v>1.110527</v>
      </c>
      <c r="L412">
        <v>368.31459999999998</v>
      </c>
      <c r="M412">
        <v>0.99964260000000005</v>
      </c>
      <c r="N412">
        <v>0</v>
      </c>
      <c r="O412">
        <v>2.3037740000000001E-2</v>
      </c>
      <c r="P412">
        <v>0.99996890000000005</v>
      </c>
      <c r="Q412">
        <v>2.011798E-3</v>
      </c>
      <c r="R412">
        <v>-7.6536039999999996E-3</v>
      </c>
      <c r="S412">
        <v>3.0018009999999999</v>
      </c>
      <c r="T412">
        <v>-0.20941009999999999</v>
      </c>
      <c r="U412">
        <v>0.16336059999999999</v>
      </c>
      <c r="V412">
        <v>3.069324E-2</v>
      </c>
      <c r="W412">
        <v>1.55727E-2</v>
      </c>
      <c r="X412">
        <v>0.9994075</v>
      </c>
      <c r="Y412">
        <v>-3.13002E-2</v>
      </c>
      <c r="Z412">
        <v>-5.1415800000000002E-4</v>
      </c>
      <c r="AA412">
        <v>0.99950989999999995</v>
      </c>
      <c r="AB412">
        <v>21</v>
      </c>
      <c r="AC412">
        <v>15.7028</v>
      </c>
      <c r="AD412">
        <v>-1.1105282807729999</v>
      </c>
      <c r="AE412">
        <v>0.86130000000002804</v>
      </c>
      <c r="AF412">
        <v>-0.49680372938758999</v>
      </c>
      <c r="AG412">
        <v>-1.1105282807729999</v>
      </c>
      <c r="AH412">
        <v>15.6404837808332</v>
      </c>
      <c r="AI412">
        <v>94.059341459797096</v>
      </c>
      <c r="AJ412">
        <v>91.819329246134203</v>
      </c>
      <c r="AK412">
        <v>15.687728322049599</v>
      </c>
      <c r="AL412">
        <v>89.107713918342796</v>
      </c>
      <c r="AM412">
        <v>88.240917216366398</v>
      </c>
      <c r="AN412">
        <v>0.99999996751161802</v>
      </c>
    </row>
    <row r="413" spans="1:40" x14ac:dyDescent="0.25">
      <c r="A413" t="str">
        <f>"20190312154221498"</f>
        <v>20190312154221498</v>
      </c>
      <c r="B413" t="str">
        <f>"1552376541488246"</f>
        <v>1552376541488246</v>
      </c>
      <c r="C413" t="s">
        <v>40</v>
      </c>
      <c r="D413">
        <v>5.2480469999999997</v>
      </c>
      <c r="E413">
        <v>0.477904</v>
      </c>
      <c r="F413" t="s">
        <v>43</v>
      </c>
      <c r="G413">
        <v>-366.95710000000003</v>
      </c>
      <c r="H413" s="1">
        <v>-1.3661159999999999E-6</v>
      </c>
      <c r="I413">
        <v>369.17439999999999</v>
      </c>
      <c r="J413">
        <v>-382.7278</v>
      </c>
      <c r="K413">
        <v>1.1105100000000001</v>
      </c>
      <c r="L413">
        <v>368.3175</v>
      </c>
      <c r="M413">
        <v>0.99964459999999999</v>
      </c>
      <c r="N413">
        <v>0</v>
      </c>
      <c r="O413">
        <v>2.297248E-2</v>
      </c>
      <c r="P413">
        <v>0.99996839999999998</v>
      </c>
      <c r="Q413">
        <v>1.594521E-3</v>
      </c>
      <c r="R413">
        <v>-7.8046690000000002E-3</v>
      </c>
      <c r="S413">
        <v>3.00177</v>
      </c>
      <c r="T413">
        <v>-0.2096412</v>
      </c>
      <c r="U413">
        <v>0.162323</v>
      </c>
      <c r="V413">
        <v>3.077939E-2</v>
      </c>
      <c r="W413">
        <v>1.5113079999999999E-2</v>
      </c>
      <c r="X413">
        <v>0.99941190000000002</v>
      </c>
      <c r="Y413">
        <v>-3.1022009999999999E-2</v>
      </c>
      <c r="Z413">
        <v>-5.1988309999999999E-4</v>
      </c>
      <c r="AA413">
        <v>0.99951860000000003</v>
      </c>
      <c r="AB413">
        <v>21</v>
      </c>
      <c r="AC413">
        <v>15.7706999999999</v>
      </c>
      <c r="AD413">
        <v>-1.110511366116</v>
      </c>
      <c r="AE413">
        <v>0.856899999999996</v>
      </c>
      <c r="AF413">
        <v>-0.49191663350866999</v>
      </c>
      <c r="AG413">
        <v>-1.110511366116</v>
      </c>
      <c r="AH413">
        <v>15.708563716675</v>
      </c>
      <c r="AI413">
        <v>94.041802564216596</v>
      </c>
      <c r="AJ413">
        <v>91.793641981391104</v>
      </c>
      <c r="AK413">
        <v>15.755449581317301</v>
      </c>
      <c r="AL413">
        <v>89.134051300075996</v>
      </c>
      <c r="AM413">
        <v>88.235990687024696</v>
      </c>
      <c r="AN413">
        <v>0.999999960948733</v>
      </c>
    </row>
    <row r="414" spans="1:40" x14ac:dyDescent="0.25">
      <c r="A414" t="str">
        <f>"20190312154221528"</f>
        <v>20190312154221528</v>
      </c>
      <c r="B414" t="str">
        <f>"1552376541517526"</f>
        <v>1552376541517526</v>
      </c>
      <c r="C414" t="s">
        <v>40</v>
      </c>
      <c r="D414">
        <v>5.1483540000000003</v>
      </c>
      <c r="E414">
        <v>0.49883050000000001</v>
      </c>
      <c r="F414" t="s">
        <v>43</v>
      </c>
      <c r="G414">
        <v>-366.92349999999999</v>
      </c>
      <c r="H414" s="1">
        <v>-1.381475E-6</v>
      </c>
      <c r="I414">
        <v>369.16899999999998</v>
      </c>
      <c r="J414">
        <v>-382.44990000000001</v>
      </c>
      <c r="K414">
        <v>1.1104670000000001</v>
      </c>
      <c r="L414">
        <v>368.32369999999997</v>
      </c>
      <c r="M414">
        <v>0.99965009999999999</v>
      </c>
      <c r="N414">
        <v>0</v>
      </c>
      <c r="O414">
        <v>2.278372E-2</v>
      </c>
      <c r="P414">
        <v>0.9999709</v>
      </c>
      <c r="Q414">
        <v>6.8210809999999999E-4</v>
      </c>
      <c r="R414">
        <v>-7.61757199999999E-3</v>
      </c>
      <c r="S414">
        <v>3.001709</v>
      </c>
      <c r="T414">
        <v>-0.21091679999999999</v>
      </c>
      <c r="U414">
        <v>0.1617432</v>
      </c>
      <c r="V414">
        <v>3.0404629999999998E-2</v>
      </c>
      <c r="W414">
        <v>1.411517E-2</v>
      </c>
      <c r="X414">
        <v>0.99943800000000005</v>
      </c>
      <c r="Y414">
        <v>-3.101866E-2</v>
      </c>
      <c r="Z414">
        <v>-5.0993709999999995E-4</v>
      </c>
      <c r="AA414">
        <v>0.99951869999999998</v>
      </c>
      <c r="AB414">
        <v>21</v>
      </c>
      <c r="AC414">
        <v>15.526400000000001</v>
      </c>
      <c r="AD414">
        <v>-1.110468381475</v>
      </c>
      <c r="AE414">
        <v>0.845300000000065</v>
      </c>
      <c r="AF414">
        <v>-0.48880643984858502</v>
      </c>
      <c r="AG414">
        <v>-1.110468381475</v>
      </c>
      <c r="AH414">
        <v>15.462766811866301</v>
      </c>
      <c r="AI414">
        <v>94.105636706881199</v>
      </c>
      <c r="AJ414">
        <v>91.810621790775699</v>
      </c>
      <c r="AK414">
        <v>15.5102942989502</v>
      </c>
      <c r="AL414">
        <v>89.191233472337103</v>
      </c>
      <c r="AM414">
        <v>88.257500854420201</v>
      </c>
      <c r="AN414">
        <v>0.99999999769678205</v>
      </c>
    </row>
    <row r="415" spans="1:40" x14ac:dyDescent="0.25">
      <c r="A415" t="str">
        <f>"20190312154221549"</f>
        <v>20190312154221549</v>
      </c>
      <c r="B415" t="str">
        <f>"1552376541538022"</f>
        <v>1552376541538022</v>
      </c>
      <c r="C415" t="s">
        <v>40</v>
      </c>
      <c r="D415">
        <v>5.163494</v>
      </c>
      <c r="E415">
        <v>0.54048280000000004</v>
      </c>
      <c r="F415" t="s">
        <v>41</v>
      </c>
      <c r="G415">
        <v>-381.5489</v>
      </c>
      <c r="H415">
        <v>1.0154430000000001</v>
      </c>
      <c r="I415">
        <v>368.32350000000002</v>
      </c>
      <c r="J415">
        <v>-382.24979999999999</v>
      </c>
      <c r="K415">
        <v>1.1104270000000001</v>
      </c>
      <c r="L415">
        <v>368.32810000000001</v>
      </c>
      <c r="M415">
        <v>0.99965519999999997</v>
      </c>
      <c r="N415">
        <v>0</v>
      </c>
      <c r="O415">
        <v>2.2592629999999999E-2</v>
      </c>
      <c r="P415">
        <v>0.99997349999999996</v>
      </c>
      <c r="Q415" s="1">
        <v>3.6926940000000003E-5</v>
      </c>
      <c r="R415">
        <v>-7.3000139999999996E-3</v>
      </c>
      <c r="S415">
        <v>3.0002439999999999</v>
      </c>
      <c r="T415">
        <v>-0.31646099999999999</v>
      </c>
      <c r="U415">
        <v>-5.7983399999999999E-4</v>
      </c>
      <c r="V415">
        <v>2.9896740000000002E-2</v>
      </c>
      <c r="W415">
        <v>1.3410470000000001E-2</v>
      </c>
      <c r="X415">
        <v>0.99946299999999999</v>
      </c>
      <c r="Y415">
        <v>2.253751E-2</v>
      </c>
      <c r="Z415">
        <v>-3.561828E-3</v>
      </c>
      <c r="AA415">
        <v>0.99973959999999995</v>
      </c>
      <c r="AB415">
        <v>21</v>
      </c>
      <c r="AC415">
        <v>0.70089999999998998</v>
      </c>
      <c r="AD415">
        <v>-9.4983999999999902E-2</v>
      </c>
      <c r="AE415">
        <v>-4.5999999999821696E-3</v>
      </c>
      <c r="AF415">
        <v>2.0066906839646102E-2</v>
      </c>
      <c r="AG415">
        <v>-9.4983999999999902E-2</v>
      </c>
      <c r="AH415">
        <v>0.68798293062114102</v>
      </c>
      <c r="AI415">
        <v>97.857352510695705</v>
      </c>
      <c r="AJ415">
        <v>88.329285317115506</v>
      </c>
      <c r="AK415">
        <v>0.69479864265279401</v>
      </c>
      <c r="AL415">
        <v>89.231613613885102</v>
      </c>
      <c r="AM415">
        <v>88.286633529053503</v>
      </c>
      <c r="AN415">
        <v>0.99999997206862301</v>
      </c>
    </row>
    <row r="416" spans="1:40" x14ac:dyDescent="0.25">
      <c r="A416" t="str">
        <f>"20190312154221573"</f>
        <v>20190312154221573</v>
      </c>
      <c r="B416" t="str">
        <f>"1552376541568279"</f>
        <v>1552376541568279</v>
      </c>
      <c r="C416" t="s">
        <v>40</v>
      </c>
      <c r="D416">
        <v>5.1660529999999998</v>
      </c>
      <c r="E416">
        <v>0.5411416</v>
      </c>
      <c r="F416" t="s">
        <v>41</v>
      </c>
      <c r="G416">
        <v>-381.41449999999998</v>
      </c>
      <c r="H416">
        <v>0.90813580000000005</v>
      </c>
      <c r="I416">
        <v>368.24009999999998</v>
      </c>
      <c r="J416">
        <v>-382.03800000000001</v>
      </c>
      <c r="K416">
        <v>1.110393</v>
      </c>
      <c r="L416">
        <v>368.33260000000001</v>
      </c>
      <c r="M416">
        <v>0.99966140000000003</v>
      </c>
      <c r="N416">
        <v>0</v>
      </c>
      <c r="O416">
        <v>2.234856E-2</v>
      </c>
      <c r="P416">
        <v>0.99997720000000001</v>
      </c>
      <c r="Q416">
        <v>-2.7388519999999998E-4</v>
      </c>
      <c r="R416">
        <v>-6.775919E-3</v>
      </c>
      <c r="S416">
        <v>2.997833</v>
      </c>
      <c r="T416">
        <v>-0.7261379</v>
      </c>
      <c r="U416">
        <v>-0.3142395</v>
      </c>
      <c r="V416">
        <v>2.912963E-2</v>
      </c>
      <c r="W416">
        <v>1.3038569999999999E-2</v>
      </c>
      <c r="X416">
        <v>0.99949060000000001</v>
      </c>
      <c r="Y416">
        <v>0.1223129</v>
      </c>
      <c r="Z416">
        <v>-1.9887849999999999E-2</v>
      </c>
      <c r="AA416">
        <v>0.99229230000000002</v>
      </c>
      <c r="AB416">
        <v>21</v>
      </c>
      <c r="AC416">
        <v>0.62350000000003503</v>
      </c>
      <c r="AD416">
        <v>-0.202257199999999</v>
      </c>
      <c r="AE416">
        <v>-9.2500000000029503E-2</v>
      </c>
      <c r="AF416">
        <v>9.6478741598416407E-2</v>
      </c>
      <c r="AG416">
        <v>-0.202257199999999</v>
      </c>
      <c r="AH416">
        <v>0.56327996800440505</v>
      </c>
      <c r="AI416">
        <v>109.48971554403001</v>
      </c>
      <c r="AJ416">
        <v>80.280676454818206</v>
      </c>
      <c r="AK416">
        <v>0.60621814958585496</v>
      </c>
      <c r="AL416">
        <v>89.252923799077706</v>
      </c>
      <c r="AM416">
        <v>88.330617069054995</v>
      </c>
      <c r="AN416">
        <v>0.99999999956997099</v>
      </c>
    </row>
    <row r="417" spans="1:40" x14ac:dyDescent="0.25">
      <c r="A417" t="str">
        <f>"20190312154221595"</f>
        <v>20190312154221595</v>
      </c>
      <c r="B417" t="str">
        <f>"1552376541587799"</f>
        <v>1552376541587799</v>
      </c>
      <c r="C417" t="s">
        <v>40</v>
      </c>
      <c r="D417">
        <v>5.1404189999999996</v>
      </c>
      <c r="E417">
        <v>0.54164129999999999</v>
      </c>
      <c r="F417" t="s">
        <v>41</v>
      </c>
      <c r="G417">
        <v>-381.22989999999999</v>
      </c>
      <c r="H417">
        <v>0.91007470000000001</v>
      </c>
      <c r="I417">
        <v>368.2473</v>
      </c>
      <c r="J417">
        <v>-381.83049999999997</v>
      </c>
      <c r="K417">
        <v>1.1103639999999999</v>
      </c>
      <c r="L417">
        <v>368.33690000000001</v>
      </c>
      <c r="M417">
        <v>0.99966840000000001</v>
      </c>
      <c r="N417">
        <v>0</v>
      </c>
      <c r="O417">
        <v>2.2071509999999999E-2</v>
      </c>
      <c r="P417">
        <v>0.99998109999999996</v>
      </c>
      <c r="Q417">
        <v>-2.157204E-4</v>
      </c>
      <c r="R417">
        <v>-6.1501189999999999E-3</v>
      </c>
      <c r="S417">
        <v>2.997681</v>
      </c>
      <c r="T417">
        <v>-0.74307159999999906</v>
      </c>
      <c r="U417">
        <v>-0.31661990000000001</v>
      </c>
      <c r="V417">
        <v>2.822792E-2</v>
      </c>
      <c r="W417">
        <v>1.303523E-2</v>
      </c>
      <c r="X417">
        <v>0.99951650000000003</v>
      </c>
      <c r="Y417">
        <v>0.1226289</v>
      </c>
      <c r="Z417">
        <v>-2.030943E-2</v>
      </c>
      <c r="AA417">
        <v>0.99224480000000004</v>
      </c>
      <c r="AB417">
        <v>21</v>
      </c>
      <c r="AC417">
        <v>0.60059999999998503</v>
      </c>
      <c r="AD417">
        <v>-0.200289299999999</v>
      </c>
      <c r="AE417">
        <v>-8.9600000000018498E-2</v>
      </c>
      <c r="AF417">
        <v>9.2745760495421603E-2</v>
      </c>
      <c r="AG417">
        <v>-0.200289299999999</v>
      </c>
      <c r="AH417">
        <v>0.539756304276093</v>
      </c>
      <c r="AI417">
        <v>110.088171538517</v>
      </c>
      <c r="AJ417">
        <v>80.250137689878699</v>
      </c>
      <c r="AK417">
        <v>0.58314187621036995</v>
      </c>
      <c r="AL417">
        <v>89.2531151710416</v>
      </c>
      <c r="AM417">
        <v>88.382306949044704</v>
      </c>
      <c r="AN417">
        <v>0.99999998323046402</v>
      </c>
    </row>
    <row r="418" spans="1:40" x14ac:dyDescent="0.25">
      <c r="A418" t="str">
        <f>"20190312154221618"</f>
        <v>20190312154221618</v>
      </c>
      <c r="B418" t="str">
        <f>"1552376541607320"</f>
        <v>1552376541607320</v>
      </c>
      <c r="C418" t="s">
        <v>40</v>
      </c>
      <c r="D418">
        <v>5.1610430000000003</v>
      </c>
      <c r="E418">
        <v>0.54191099999999903</v>
      </c>
      <c r="F418" t="s">
        <v>41</v>
      </c>
      <c r="G418">
        <v>-381.04669999999999</v>
      </c>
      <c r="H418">
        <v>0.90854380000000001</v>
      </c>
      <c r="I418">
        <v>368.25380000000001</v>
      </c>
      <c r="J418">
        <v>-381.62</v>
      </c>
      <c r="K418">
        <v>1.1103320000000001</v>
      </c>
      <c r="L418">
        <v>368.34120000000001</v>
      </c>
      <c r="M418">
        <v>0.99967629999999996</v>
      </c>
      <c r="N418">
        <v>0</v>
      </c>
      <c r="O418">
        <v>2.174999E-2</v>
      </c>
      <c r="P418">
        <v>0.99997720000000001</v>
      </c>
      <c r="Q418">
        <v>-3.346205E-4</v>
      </c>
      <c r="R418">
        <v>-6.7406599999999999E-3</v>
      </c>
      <c r="S418">
        <v>2.997925</v>
      </c>
      <c r="T418">
        <v>-0.77186659999999996</v>
      </c>
      <c r="U418">
        <v>-0.3163147</v>
      </c>
      <c r="V418">
        <v>2.8497290000000002E-2</v>
      </c>
      <c r="W418">
        <v>1.2842599999999999E-2</v>
      </c>
      <c r="X418">
        <v>0.99951140000000005</v>
      </c>
      <c r="Y418">
        <v>0.12189899999999999</v>
      </c>
      <c r="Z418">
        <v>-2.0897180000000001E-2</v>
      </c>
      <c r="AA418">
        <v>0.9923225</v>
      </c>
      <c r="AB418">
        <v>21</v>
      </c>
      <c r="AC418">
        <v>0.57330000000001702</v>
      </c>
      <c r="AD418">
        <v>-0.201788199999999</v>
      </c>
      <c r="AE418">
        <v>-8.7400000000002295E-2</v>
      </c>
      <c r="AF418">
        <v>8.9066117274126402E-2</v>
      </c>
      <c r="AG418">
        <v>-0.201788199999999</v>
      </c>
      <c r="AH418">
        <v>0.50956798812107296</v>
      </c>
      <c r="AI418">
        <v>111.309997425305</v>
      </c>
      <c r="AJ418">
        <v>80.0855682039779</v>
      </c>
      <c r="AK418">
        <v>0.55525740465417095</v>
      </c>
      <c r="AL418">
        <v>89.264153018101396</v>
      </c>
      <c r="AM418">
        <v>88.366869814214198</v>
      </c>
      <c r="AN418">
        <v>1.0000000333210299</v>
      </c>
    </row>
    <row r="419" spans="1:40" x14ac:dyDescent="0.25">
      <c r="A419" t="str">
        <f>"20190312154221639"</f>
        <v>20190312154221639</v>
      </c>
      <c r="B419" t="str">
        <f>"1552376541627815"</f>
        <v>1552376541627815</v>
      </c>
      <c r="C419" t="s">
        <v>40</v>
      </c>
      <c r="D419">
        <v>5.1703599999999996</v>
      </c>
      <c r="E419">
        <v>0.54208529999999999</v>
      </c>
      <c r="F419" t="s">
        <v>41</v>
      </c>
      <c r="G419">
        <v>-380.8621</v>
      </c>
      <c r="H419">
        <v>0.91062030000000005</v>
      </c>
      <c r="I419">
        <v>368.26060000000001</v>
      </c>
      <c r="J419">
        <v>-381.42529999999999</v>
      </c>
      <c r="K419">
        <v>1.1103000000000001</v>
      </c>
      <c r="L419">
        <v>368.34500000000003</v>
      </c>
      <c r="M419">
        <v>0.99968460000000003</v>
      </c>
      <c r="N419">
        <v>0</v>
      </c>
      <c r="O419">
        <v>2.1417559999999999E-2</v>
      </c>
      <c r="P419">
        <v>0.99996879999999999</v>
      </c>
      <c r="Q419">
        <v>-7.5906330000000003E-4</v>
      </c>
      <c r="R419">
        <v>-7.8626479999999999E-3</v>
      </c>
      <c r="S419">
        <v>2.9976500000000001</v>
      </c>
      <c r="T419">
        <v>-0.78989670000000001</v>
      </c>
      <c r="U419">
        <v>-0.31921389999999999</v>
      </c>
      <c r="V419">
        <v>2.9286889999999999E-2</v>
      </c>
      <c r="W419">
        <v>1.233481E-2</v>
      </c>
      <c r="X419">
        <v>0.99949489999999996</v>
      </c>
      <c r="Y419">
        <v>0.1223093</v>
      </c>
      <c r="Z419">
        <v>-2.1337430000000001E-2</v>
      </c>
      <c r="AA419">
        <v>0.99226270000000005</v>
      </c>
      <c r="AB419">
        <v>21</v>
      </c>
      <c r="AC419">
        <v>0.56319999999999404</v>
      </c>
      <c r="AD419">
        <v>-0.19967969999999899</v>
      </c>
      <c r="AE419">
        <v>-8.4400000000016406E-2</v>
      </c>
      <c r="AF419">
        <v>8.58852158020013E-2</v>
      </c>
      <c r="AG419">
        <v>-0.19967969999999899</v>
      </c>
      <c r="AH419">
        <v>0.499815138289883</v>
      </c>
      <c r="AI419">
        <v>111.491369539921</v>
      </c>
      <c r="AJ419">
        <v>80.249858875455601</v>
      </c>
      <c r="AK419">
        <v>0.545035251473866</v>
      </c>
      <c r="AL419">
        <v>89.293249496757895</v>
      </c>
      <c r="AM419">
        <v>88.321617051287205</v>
      </c>
      <c r="AN419">
        <v>0.99999996229480803</v>
      </c>
    </row>
    <row r="420" spans="1:40" x14ac:dyDescent="0.25">
      <c r="A420" t="str">
        <f>"20190312154221661"</f>
        <v>20190312154221661</v>
      </c>
      <c r="B420" t="str">
        <f>"1552376541647335"</f>
        <v>1552376541647335</v>
      </c>
      <c r="C420" t="s">
        <v>40</v>
      </c>
      <c r="D420">
        <v>5.186617</v>
      </c>
      <c r="E420">
        <v>0.54224229999999995</v>
      </c>
      <c r="F420" t="s">
        <v>41</v>
      </c>
      <c r="G420">
        <v>-380.67829999999998</v>
      </c>
      <c r="H420">
        <v>0.91038289999999999</v>
      </c>
      <c r="I420">
        <v>368.26389999999998</v>
      </c>
      <c r="J420">
        <v>-381.22120000000001</v>
      </c>
      <c r="K420">
        <v>1.1102620000000001</v>
      </c>
      <c r="L420">
        <v>368.34890000000001</v>
      </c>
      <c r="M420">
        <v>0.99969410000000003</v>
      </c>
      <c r="N420">
        <v>0</v>
      </c>
      <c r="O420">
        <v>2.103673E-2</v>
      </c>
      <c r="P420">
        <v>0.99995710000000004</v>
      </c>
      <c r="Q420">
        <v>-6.0319900000000001E-4</v>
      </c>
      <c r="R420">
        <v>-9.2644279999999999E-3</v>
      </c>
      <c r="S420">
        <v>2.9969480000000002</v>
      </c>
      <c r="T420">
        <v>-0.80208579999999996</v>
      </c>
      <c r="U420">
        <v>-0.32324219999999998</v>
      </c>
      <c r="V420">
        <v>3.0307899999999999E-2</v>
      </c>
      <c r="W420">
        <v>1.238392E-2</v>
      </c>
      <c r="X420">
        <v>0.99946389999999996</v>
      </c>
      <c r="Y420">
        <v>0.12310989999999999</v>
      </c>
      <c r="Z420">
        <v>-2.1664159999999998E-2</v>
      </c>
      <c r="AA420">
        <v>0.99215660000000006</v>
      </c>
      <c r="AB420">
        <v>21</v>
      </c>
      <c r="AC420">
        <v>0.54290000000003102</v>
      </c>
      <c r="AD420">
        <v>-0.1998791</v>
      </c>
      <c r="AE420">
        <v>-8.5000000000036297E-2</v>
      </c>
      <c r="AF420">
        <v>8.5138685526069693E-2</v>
      </c>
      <c r="AG420">
        <v>-0.1998791</v>
      </c>
      <c r="AH420">
        <v>0.47777884313107599</v>
      </c>
      <c r="AI420">
        <v>112.38493107487299</v>
      </c>
      <c r="AJ420">
        <v>79.896128164642903</v>
      </c>
      <c r="AK420">
        <v>0.52485509746365799</v>
      </c>
      <c r="AL420">
        <v>89.290435519014395</v>
      </c>
      <c r="AM420">
        <v>88.263086064365098</v>
      </c>
      <c r="AN420">
        <v>1.00000000884009</v>
      </c>
    </row>
    <row r="421" spans="1:40" x14ac:dyDescent="0.25">
      <c r="A421" t="str">
        <f>"20190312154221684"</f>
        <v>20190312154221684</v>
      </c>
      <c r="B421" t="str">
        <f>"1552376541677591"</f>
        <v>1552376541677591</v>
      </c>
      <c r="C421" t="s">
        <v>40</v>
      </c>
      <c r="D421">
        <v>5.1703910000000004</v>
      </c>
      <c r="E421">
        <v>0.5423133</v>
      </c>
      <c r="F421" t="s">
        <v>41</v>
      </c>
      <c r="G421">
        <v>-380.49299999999999</v>
      </c>
      <c r="H421">
        <v>0.91332630000000004</v>
      </c>
      <c r="I421">
        <v>368.26900000000001</v>
      </c>
      <c r="J421">
        <v>-381.00990000000002</v>
      </c>
      <c r="K421">
        <v>1.110236</v>
      </c>
      <c r="L421">
        <v>368.3528</v>
      </c>
      <c r="M421">
        <v>0.9997045</v>
      </c>
      <c r="N421">
        <v>0</v>
      </c>
      <c r="O421">
        <v>2.0615809999999998E-2</v>
      </c>
      <c r="P421">
        <v>0.99993699999999996</v>
      </c>
      <c r="Q421" s="1">
        <v>-2.0882109999999999E-5</v>
      </c>
      <c r="R421">
        <v>-1.122745E-2</v>
      </c>
      <c r="S421">
        <v>2.996613</v>
      </c>
      <c r="T421">
        <v>-0.81042400000000003</v>
      </c>
      <c r="U421">
        <v>-0.328125</v>
      </c>
      <c r="V421">
        <v>3.1849669999999997E-2</v>
      </c>
      <c r="W421">
        <v>1.283021E-2</v>
      </c>
      <c r="X421">
        <v>0.99941029999999997</v>
      </c>
      <c r="Y421">
        <v>0.12417590000000001</v>
      </c>
      <c r="Z421">
        <v>-2.1911839999999998E-2</v>
      </c>
      <c r="AA421">
        <v>0.99201830000000002</v>
      </c>
      <c r="AB421">
        <v>21</v>
      </c>
      <c r="AC421">
        <v>0.51689999999996405</v>
      </c>
      <c r="AD421">
        <v>-0.19690969999999999</v>
      </c>
      <c r="AE421">
        <v>-8.3799999999996502E-2</v>
      </c>
      <c r="AF421">
        <v>8.2739845092616698E-2</v>
      </c>
      <c r="AG421">
        <v>-0.19690969999999999</v>
      </c>
      <c r="AH421">
        <v>0.45125433690822098</v>
      </c>
      <c r="AI421">
        <v>113.22928391795099</v>
      </c>
      <c r="AJ421">
        <v>79.609928109540505</v>
      </c>
      <c r="AK421">
        <v>0.49924922483516998</v>
      </c>
      <c r="AL421">
        <v>89.264862933370196</v>
      </c>
      <c r="AM421">
        <v>88.174689340710898</v>
      </c>
      <c r="AN421">
        <v>0.99999998175692095</v>
      </c>
    </row>
    <row r="422" spans="1:40" x14ac:dyDescent="0.25">
      <c r="A422" t="str">
        <f>"20190312154221707"</f>
        <v>20190312154221707</v>
      </c>
      <c r="B422" t="str">
        <f>"1552376541698091"</f>
        <v>1552376541698091</v>
      </c>
      <c r="C422" t="s">
        <v>40</v>
      </c>
      <c r="D422">
        <v>5.1800129999999998</v>
      </c>
      <c r="E422">
        <v>0.54231600000000002</v>
      </c>
      <c r="F422" t="s">
        <v>41</v>
      </c>
      <c r="G422">
        <v>-380.30669999999998</v>
      </c>
      <c r="H422">
        <v>0.91849009999999998</v>
      </c>
      <c r="I422">
        <v>368.27420000000001</v>
      </c>
      <c r="J422">
        <v>-380.79750000000001</v>
      </c>
      <c r="K422">
        <v>1.110204</v>
      </c>
      <c r="L422">
        <v>368.35669999999999</v>
      </c>
      <c r="M422">
        <v>0.99971569999999998</v>
      </c>
      <c r="N422">
        <v>0</v>
      </c>
      <c r="O422">
        <v>2.0176909999999999E-2</v>
      </c>
      <c r="P422">
        <v>0.99991600000000003</v>
      </c>
      <c r="Q422">
        <v>3.097299E-4</v>
      </c>
      <c r="R422">
        <v>-1.296606E-2</v>
      </c>
      <c r="S422">
        <v>2.996429</v>
      </c>
      <c r="T422">
        <v>-0.81703789999999998</v>
      </c>
      <c r="U422">
        <v>-0.33422849999999998</v>
      </c>
      <c r="V422">
        <v>3.3148789999999997E-2</v>
      </c>
      <c r="W422">
        <v>1.299661E-2</v>
      </c>
      <c r="X422">
        <v>0.99936590000000003</v>
      </c>
      <c r="Y422">
        <v>0.12562470000000001</v>
      </c>
      <c r="Z422">
        <v>-2.215959E-2</v>
      </c>
      <c r="AA422">
        <v>0.99183030000000005</v>
      </c>
      <c r="AB422">
        <v>21</v>
      </c>
      <c r="AC422">
        <v>0.49080000000003499</v>
      </c>
      <c r="AD422">
        <v>-0.19171389999999999</v>
      </c>
      <c r="AE422">
        <v>-8.2499999999981796E-2</v>
      </c>
      <c r="AF422">
        <v>8.0449180421900704E-2</v>
      </c>
      <c r="AG422">
        <v>-0.19171389999999999</v>
      </c>
      <c r="AH422">
        <v>0.425845249537953</v>
      </c>
      <c r="AI422">
        <v>113.86322713197499</v>
      </c>
      <c r="AJ422">
        <v>79.301963546368299</v>
      </c>
      <c r="AK422">
        <v>0.473888664812535</v>
      </c>
      <c r="AL422">
        <v>89.255328117735601</v>
      </c>
      <c r="AM422">
        <v>88.100205672909993</v>
      </c>
      <c r="AN422">
        <v>0.99999997811638297</v>
      </c>
    </row>
    <row r="423" spans="1:40" x14ac:dyDescent="0.25">
      <c r="A423" t="str">
        <f>"20190312154221728"</f>
        <v>20190312154221728</v>
      </c>
      <c r="B423" t="str">
        <f>"1552376541717607"</f>
        <v>1552376541717607</v>
      </c>
      <c r="C423" t="s">
        <v>40</v>
      </c>
      <c r="D423">
        <v>5.204599</v>
      </c>
      <c r="E423">
        <v>0.54250279999999995</v>
      </c>
      <c r="F423" t="s">
        <v>41</v>
      </c>
      <c r="G423">
        <v>-380.11970000000002</v>
      </c>
      <c r="H423">
        <v>0.92479739999999999</v>
      </c>
      <c r="I423">
        <v>368.28</v>
      </c>
      <c r="J423">
        <v>-380.60610000000003</v>
      </c>
      <c r="K423">
        <v>1.110169</v>
      </c>
      <c r="L423">
        <v>368.36009999999999</v>
      </c>
      <c r="M423">
        <v>0.9997258</v>
      </c>
      <c r="N423">
        <v>0</v>
      </c>
      <c r="O423">
        <v>1.9775600000000001E-2</v>
      </c>
      <c r="P423">
        <v>0.99989870000000003</v>
      </c>
      <c r="Q423">
        <v>4.6115739999999999E-4</v>
      </c>
      <c r="R423">
        <v>-1.4236209999999999E-2</v>
      </c>
      <c r="S423">
        <v>2.9960939999999998</v>
      </c>
      <c r="T423">
        <v>-0.81967289999999904</v>
      </c>
      <c r="U423">
        <v>-0.33914179999999999</v>
      </c>
      <c r="V423">
        <v>3.401705E-2</v>
      </c>
      <c r="W423">
        <v>1.2976110000000001E-2</v>
      </c>
      <c r="X423">
        <v>0.99933700000000003</v>
      </c>
      <c r="Y423">
        <v>0.12678420000000001</v>
      </c>
      <c r="Z423">
        <v>-2.2276770000000001E-2</v>
      </c>
      <c r="AA423">
        <v>0.99168009999999995</v>
      </c>
      <c r="AB423">
        <v>21</v>
      </c>
      <c r="AC423">
        <v>0.486400000000003</v>
      </c>
      <c r="AD423">
        <v>-0.1853716</v>
      </c>
      <c r="AE423">
        <v>-8.0100000000015797E-2</v>
      </c>
      <c r="AF423">
        <v>7.8590502995946304E-2</v>
      </c>
      <c r="AG423">
        <v>-0.1853716</v>
      </c>
      <c r="AH423">
        <v>0.42466857299216298</v>
      </c>
      <c r="AI423">
        <v>113.230010898252</v>
      </c>
      <c r="AJ423">
        <v>79.515283510836298</v>
      </c>
      <c r="AK423">
        <v>0.46998137637029402</v>
      </c>
      <c r="AL423">
        <v>89.256502788645406</v>
      </c>
      <c r="AM423">
        <v>88.050426292048499</v>
      </c>
      <c r="AN423">
        <v>0.99999998934521706</v>
      </c>
    </row>
    <row r="424" spans="1:40" x14ac:dyDescent="0.25">
      <c r="A424" t="str">
        <f>"20190312154221750"</f>
        <v>20190312154221750</v>
      </c>
      <c r="B424" t="str">
        <f>"1552376541738103"</f>
        <v>1552376541738103</v>
      </c>
      <c r="C424" t="s">
        <v>40</v>
      </c>
      <c r="D424">
        <v>5.1828430000000001</v>
      </c>
      <c r="E424">
        <v>0.55045739999999999</v>
      </c>
      <c r="F424" t="s">
        <v>41</v>
      </c>
      <c r="G424">
        <v>-379.76909999999998</v>
      </c>
      <c r="H424">
        <v>0.88052540000000001</v>
      </c>
      <c r="I424">
        <v>368.2638</v>
      </c>
      <c r="J424">
        <v>-380.404</v>
      </c>
      <c r="K424">
        <v>1.1101350000000001</v>
      </c>
      <c r="L424">
        <v>368.36360000000002</v>
      </c>
      <c r="M424">
        <v>0.99973650000000003</v>
      </c>
      <c r="N424">
        <v>0</v>
      </c>
      <c r="O424">
        <v>1.9351670000000001E-2</v>
      </c>
      <c r="P424">
        <v>0.99988679999999996</v>
      </c>
      <c r="Q424">
        <v>7.7391419999999996E-4</v>
      </c>
      <c r="R424">
        <v>-1.502994E-2</v>
      </c>
      <c r="S424">
        <v>2.9957889999999998</v>
      </c>
      <c r="T424">
        <v>-0.82189269999999903</v>
      </c>
      <c r="U424">
        <v>-0.34396359999999998</v>
      </c>
      <c r="V424">
        <v>3.4386409999999999E-2</v>
      </c>
      <c r="W424">
        <v>1.309102E-2</v>
      </c>
      <c r="X424">
        <v>0.99932290000000001</v>
      </c>
      <c r="Y424">
        <v>0.12789729999999999</v>
      </c>
      <c r="Z424">
        <v>-2.2370790000000002E-2</v>
      </c>
      <c r="AA424">
        <v>0.9915351</v>
      </c>
      <c r="AB424">
        <v>21</v>
      </c>
      <c r="AC424">
        <v>0.63490000000001601</v>
      </c>
      <c r="AD424">
        <v>-0.2296096</v>
      </c>
      <c r="AE424">
        <v>-9.9800000000016098E-2</v>
      </c>
      <c r="AF424">
        <v>9.9383793001472001E-2</v>
      </c>
      <c r="AG424">
        <v>-0.2296096</v>
      </c>
      <c r="AH424">
        <v>0.56121863552645301</v>
      </c>
      <c r="AI424">
        <v>111.94247916933</v>
      </c>
      <c r="AJ424">
        <v>79.957845077867205</v>
      </c>
      <c r="AK424">
        <v>0.61446241836722104</v>
      </c>
      <c r="AL424">
        <v>89.249918401183194</v>
      </c>
      <c r="AM424">
        <v>88.029246474417306</v>
      </c>
      <c r="AN424">
        <v>1.00000002923086</v>
      </c>
    </row>
    <row r="425" spans="1:40" x14ac:dyDescent="0.25">
      <c r="A425" t="str">
        <f>"20190312154221774"</f>
        <v>20190312154221774</v>
      </c>
      <c r="B425" t="str">
        <f>"1552376541767383"</f>
        <v>1552376541767383</v>
      </c>
      <c r="C425" t="s">
        <v>40</v>
      </c>
      <c r="D425">
        <v>5.1382770000000004</v>
      </c>
      <c r="E425">
        <v>0.55040979999999995</v>
      </c>
      <c r="F425" t="s">
        <v>41</v>
      </c>
      <c r="G425">
        <v>-379.58929999999998</v>
      </c>
      <c r="H425">
        <v>0.86644669999999901</v>
      </c>
      <c r="I425">
        <v>368.2525</v>
      </c>
      <c r="J425">
        <v>-380.18680000000001</v>
      </c>
      <c r="K425">
        <v>1.110107</v>
      </c>
      <c r="L425">
        <v>368.36739999999998</v>
      </c>
      <c r="M425">
        <v>0.99974779999999996</v>
      </c>
      <c r="N425">
        <v>0</v>
      </c>
      <c r="O425">
        <v>1.890066E-2</v>
      </c>
      <c r="P425">
        <v>0.99988160000000004</v>
      </c>
      <c r="Q425">
        <v>7.0728920000000001E-4</v>
      </c>
      <c r="R425">
        <v>-1.5378030000000001E-2</v>
      </c>
      <c r="S425">
        <v>2.994904</v>
      </c>
      <c r="T425">
        <v>-0.89576329999999904</v>
      </c>
      <c r="U425">
        <v>-0.40713500000000002</v>
      </c>
      <c r="V425">
        <v>3.428324E-2</v>
      </c>
      <c r="W425">
        <v>1.2807799999999999E-2</v>
      </c>
      <c r="X425">
        <v>0.9993301</v>
      </c>
      <c r="Y425">
        <v>0.14630209999999999</v>
      </c>
      <c r="Z425">
        <v>-2.68288E-2</v>
      </c>
      <c r="AA425">
        <v>0.98887610000000004</v>
      </c>
      <c r="AB425">
        <v>21</v>
      </c>
      <c r="AC425">
        <v>0.59750000000002501</v>
      </c>
      <c r="AD425">
        <v>-0.2436603</v>
      </c>
      <c r="AE425">
        <v>-0.11489999999997701</v>
      </c>
      <c r="AF425">
        <v>0.10873551917817199</v>
      </c>
      <c r="AG425">
        <v>-0.2436603</v>
      </c>
      <c r="AH425">
        <v>0.51295823355196402</v>
      </c>
      <c r="AI425">
        <v>114.923566422921</v>
      </c>
      <c r="AJ425">
        <v>78.031756401720102</v>
      </c>
      <c r="AK425">
        <v>0.57820403344821802</v>
      </c>
      <c r="AL425">
        <v>89.266147061372195</v>
      </c>
      <c r="AM425">
        <v>88.035168855902697</v>
      </c>
      <c r="AN425">
        <v>1.0000000145258701</v>
      </c>
    </row>
    <row r="426" spans="1:40" x14ac:dyDescent="0.25">
      <c r="A426" t="str">
        <f>"20190312154221797"</f>
        <v>20190312154221797</v>
      </c>
      <c r="B426" t="str">
        <f>"1552376541787879"</f>
        <v>1552376541787879</v>
      </c>
      <c r="C426" t="s">
        <v>40</v>
      </c>
      <c r="D426">
        <v>5.2074170000000004</v>
      </c>
      <c r="E426">
        <v>0.55014189999999996</v>
      </c>
      <c r="F426" t="s">
        <v>41</v>
      </c>
      <c r="G426">
        <v>-379.40129999999999</v>
      </c>
      <c r="H426">
        <v>0.87416450000000001</v>
      </c>
      <c r="I426">
        <v>368.26049999999998</v>
      </c>
      <c r="J426">
        <v>-379.97199999999998</v>
      </c>
      <c r="K426">
        <v>1.1100779999999999</v>
      </c>
      <c r="L426">
        <v>368.37090000000001</v>
      </c>
      <c r="M426">
        <v>0.9997587</v>
      </c>
      <c r="N426">
        <v>0</v>
      </c>
      <c r="O426">
        <v>1.8460939999999999E-2</v>
      </c>
      <c r="P426">
        <v>0.9998901</v>
      </c>
      <c r="Q426">
        <v>1.185827E-3</v>
      </c>
      <c r="R426">
        <v>-1.478315E-2</v>
      </c>
      <c r="S426">
        <v>2.99472</v>
      </c>
      <c r="T426">
        <v>-0.89953760000000005</v>
      </c>
      <c r="U426">
        <v>-0.4076843</v>
      </c>
      <c r="V426">
        <v>3.3248989999999999E-2</v>
      </c>
      <c r="W426">
        <v>1.307147E-2</v>
      </c>
      <c r="X426">
        <v>0.99936159999999996</v>
      </c>
      <c r="Y426">
        <v>0.1460253</v>
      </c>
      <c r="Z426">
        <v>-2.676914E-2</v>
      </c>
      <c r="AA426">
        <v>0.98891859999999998</v>
      </c>
      <c r="AB426">
        <v>21</v>
      </c>
      <c r="AC426">
        <v>0.570699999999987</v>
      </c>
      <c r="AD426">
        <v>-0.2359135</v>
      </c>
      <c r="AE426">
        <v>-0.11040000000002601</v>
      </c>
      <c r="AF426">
        <v>0.103817271275495</v>
      </c>
      <c r="AG426">
        <v>-0.2359135</v>
      </c>
      <c r="AH426">
        <v>0.488157391869739</v>
      </c>
      <c r="AI426">
        <v>115.300180027781</v>
      </c>
      <c r="AJ426">
        <v>77.993687378132293</v>
      </c>
      <c r="AK426">
        <v>0.55202431516592299</v>
      </c>
      <c r="AL426">
        <v>89.251038594944902</v>
      </c>
      <c r="AM426">
        <v>88.094459132767298</v>
      </c>
      <c r="AN426">
        <v>0.99999998310926996</v>
      </c>
    </row>
    <row r="427" spans="1:40" x14ac:dyDescent="0.25">
      <c r="A427" t="str">
        <f>"20190312154221820"</f>
        <v>20190312154221820</v>
      </c>
      <c r="B427" t="str">
        <f>"1552376541807399"</f>
        <v>1552376541807399</v>
      </c>
      <c r="C427" t="s">
        <v>40</v>
      </c>
      <c r="D427">
        <v>5.1620309999999998</v>
      </c>
      <c r="E427">
        <v>0.54982240000000004</v>
      </c>
      <c r="F427" t="s">
        <v>41</v>
      </c>
      <c r="G427">
        <v>-379.21260000000001</v>
      </c>
      <c r="H427">
        <v>0.88300959999999995</v>
      </c>
      <c r="I427">
        <v>368.2681</v>
      </c>
      <c r="J427">
        <v>-379.76429999999999</v>
      </c>
      <c r="K427">
        <v>1.1100559999999999</v>
      </c>
      <c r="L427">
        <v>368.37419999999997</v>
      </c>
      <c r="M427">
        <v>0.99976900000000002</v>
      </c>
      <c r="N427">
        <v>0</v>
      </c>
      <c r="O427">
        <v>1.8041250000000002E-2</v>
      </c>
      <c r="P427">
        <v>0.99989629999999996</v>
      </c>
      <c r="Q427">
        <v>1.1273940000000001E-3</v>
      </c>
      <c r="R427">
        <v>-1.437803E-2</v>
      </c>
      <c r="S427">
        <v>2.995422</v>
      </c>
      <c r="T427">
        <v>-0.89558719999999903</v>
      </c>
      <c r="U427">
        <v>-0.4041748</v>
      </c>
      <c r="V427">
        <v>3.24242E-2</v>
      </c>
      <c r="W427">
        <v>1.279922E-2</v>
      </c>
      <c r="X427">
        <v>0.99939219999999895</v>
      </c>
      <c r="Y427">
        <v>0.14458480000000001</v>
      </c>
      <c r="Z427">
        <v>-2.632025E-2</v>
      </c>
      <c r="AA427">
        <v>0.98914230000000003</v>
      </c>
      <c r="AB427">
        <v>21</v>
      </c>
      <c r="AC427">
        <v>0.55169999999998198</v>
      </c>
      <c r="AD427">
        <v>-0.22704640000000001</v>
      </c>
      <c r="AE427">
        <v>-0.106099999999969</v>
      </c>
      <c r="AF427">
        <v>9.9745844864320907E-2</v>
      </c>
      <c r="AG427">
        <v>-0.22704640000000001</v>
      </c>
      <c r="AH427">
        <v>0.47252162082244697</v>
      </c>
      <c r="AI427">
        <v>115.18004415135201</v>
      </c>
      <c r="AJ427">
        <v>78.080273643087907</v>
      </c>
      <c r="AK427">
        <v>0.53364406064841596</v>
      </c>
      <c r="AL427">
        <v>89.266638658802293</v>
      </c>
      <c r="AM427">
        <v>88.141752165910503</v>
      </c>
      <c r="AN427">
        <v>0.99999995909954298</v>
      </c>
    </row>
    <row r="428" spans="1:40" x14ac:dyDescent="0.25">
      <c r="A428" t="str">
        <f>"20190312154221840"</f>
        <v>20190312154221840</v>
      </c>
      <c r="B428" t="str">
        <f>"1552376541827894"</f>
        <v>1552376541827894</v>
      </c>
      <c r="C428" t="s">
        <v>40</v>
      </c>
      <c r="D428">
        <v>5.1612030000000004</v>
      </c>
      <c r="E428">
        <v>0.54971590000000004</v>
      </c>
      <c r="F428" t="s">
        <v>41</v>
      </c>
      <c r="G428">
        <v>-379.02449999999999</v>
      </c>
      <c r="H428">
        <v>0.88963429999999999</v>
      </c>
      <c r="I428">
        <v>368.27530000000002</v>
      </c>
      <c r="J428">
        <v>-379.57040000000001</v>
      </c>
      <c r="K428">
        <v>1.1100270000000001</v>
      </c>
      <c r="L428">
        <v>368.37729999999999</v>
      </c>
      <c r="M428">
        <v>0.99977830000000001</v>
      </c>
      <c r="N428">
        <v>0</v>
      </c>
      <c r="O428">
        <v>1.765313E-2</v>
      </c>
      <c r="P428">
        <v>0.99990349999999995</v>
      </c>
      <c r="Q428">
        <v>1.817742E-3</v>
      </c>
      <c r="R428">
        <v>-1.377463E-2</v>
      </c>
      <c r="S428">
        <v>2.9956049999999999</v>
      </c>
      <c r="T428">
        <v>-0.89239419999999903</v>
      </c>
      <c r="U428">
        <v>-0.40032960000000001</v>
      </c>
      <c r="V428">
        <v>3.1433309999999999E-2</v>
      </c>
      <c r="W428">
        <v>1.328316E-2</v>
      </c>
      <c r="X428">
        <v>0.99941760000000002</v>
      </c>
      <c r="Y428">
        <v>0.14307500000000001</v>
      </c>
      <c r="Z428">
        <v>-2.5898870000000001E-2</v>
      </c>
      <c r="AA428">
        <v>0.9893729</v>
      </c>
      <c r="AB428">
        <v>21</v>
      </c>
      <c r="AC428">
        <v>0.54590000000001704</v>
      </c>
      <c r="AD428">
        <v>-0.2203927</v>
      </c>
      <c r="AE428">
        <v>-0.101999999999975</v>
      </c>
      <c r="AF428">
        <v>9.6433807529921103E-2</v>
      </c>
      <c r="AG428">
        <v>-0.2203927</v>
      </c>
      <c r="AH428">
        <v>0.46999297341452101</v>
      </c>
      <c r="AI428">
        <v>114.672062226615</v>
      </c>
      <c r="AJ428">
        <v>78.404900869179698</v>
      </c>
      <c r="AK428">
        <v>0.52798278050238601</v>
      </c>
      <c r="AL428">
        <v>89.238908623958594</v>
      </c>
      <c r="AM428">
        <v>88.198548334544597</v>
      </c>
      <c r="AN428">
        <v>1.00000001725345</v>
      </c>
    </row>
    <row r="429" spans="1:40" x14ac:dyDescent="0.25">
      <c r="A429" t="str">
        <f>"20190312154221863"</f>
        <v>20190312154221863</v>
      </c>
      <c r="B429" t="str">
        <f>"1552376541858150"</f>
        <v>1552376541858150</v>
      </c>
      <c r="C429" t="s">
        <v>40</v>
      </c>
      <c r="D429">
        <v>5.1547109999999998</v>
      </c>
      <c r="E429">
        <v>0.5495352</v>
      </c>
      <c r="F429" t="s">
        <v>41</v>
      </c>
      <c r="G429">
        <v>-378.8372</v>
      </c>
      <c r="H429">
        <v>0.89283509999999999</v>
      </c>
      <c r="I429">
        <v>368.27969999999999</v>
      </c>
      <c r="J429">
        <v>-379.36239999999998</v>
      </c>
      <c r="K429">
        <v>1.1100030000000001</v>
      </c>
      <c r="L429">
        <v>368.38049999999998</v>
      </c>
      <c r="M429">
        <v>0.99978820000000002</v>
      </c>
      <c r="N429">
        <v>0</v>
      </c>
      <c r="O429">
        <v>1.7239190000000001E-2</v>
      </c>
      <c r="P429">
        <v>0.99990559999999995</v>
      </c>
      <c r="Q429">
        <v>2.0953809999999999E-3</v>
      </c>
      <c r="R429">
        <v>-1.3585140000000001E-2</v>
      </c>
      <c r="S429">
        <v>2.9963989999999998</v>
      </c>
      <c r="T429">
        <v>-0.88765720000000004</v>
      </c>
      <c r="U429">
        <v>-0.39752199999999999</v>
      </c>
      <c r="V429">
        <v>3.0829990000000002E-2</v>
      </c>
      <c r="W429">
        <v>1.333084E-2</v>
      </c>
      <c r="X429">
        <v>0.99943570000000004</v>
      </c>
      <c r="Y429">
        <v>0.14186270000000001</v>
      </c>
      <c r="Z429">
        <v>-2.546729E-2</v>
      </c>
      <c r="AA429">
        <v>0.98955870000000001</v>
      </c>
      <c r="AB429">
        <v>21</v>
      </c>
      <c r="AC429">
        <v>0.52519999999998301</v>
      </c>
      <c r="AD429">
        <v>-0.2171679</v>
      </c>
      <c r="AE429">
        <v>-0.10079999999999199</v>
      </c>
      <c r="AF429">
        <v>9.42906813320427E-2</v>
      </c>
      <c r="AG429">
        <v>-0.2171679</v>
      </c>
      <c r="AH429">
        <v>0.44929369268454</v>
      </c>
      <c r="AI429">
        <v>115.31644279206699</v>
      </c>
      <c r="AJ429">
        <v>78.147670773574205</v>
      </c>
      <c r="AK429">
        <v>0.50785573902692205</v>
      </c>
      <c r="AL429">
        <v>89.236176474839198</v>
      </c>
      <c r="AM429">
        <v>88.233134617395606</v>
      </c>
      <c r="AN429">
        <v>0.99999995900649696</v>
      </c>
    </row>
    <row r="430" spans="1:40" x14ac:dyDescent="0.25">
      <c r="A430" t="str">
        <f>"20190312154221886"</f>
        <v>20190312154221886</v>
      </c>
      <c r="B430" t="str">
        <f>"1552376541877671"</f>
        <v>1552376541877671</v>
      </c>
      <c r="C430" t="s">
        <v>40</v>
      </c>
      <c r="D430">
        <v>5.1429720000000003</v>
      </c>
      <c r="E430">
        <v>0.5494909</v>
      </c>
      <c r="F430" t="s">
        <v>41</v>
      </c>
      <c r="G430">
        <v>-378.64850000000001</v>
      </c>
      <c r="H430">
        <v>0.89892859999999997</v>
      </c>
      <c r="I430">
        <v>368.28620000000001</v>
      </c>
      <c r="J430">
        <v>-379.14620000000002</v>
      </c>
      <c r="K430">
        <v>1.1099779999999999</v>
      </c>
      <c r="L430">
        <v>368.38369999999998</v>
      </c>
      <c r="M430">
        <v>0.99979810000000002</v>
      </c>
      <c r="N430">
        <v>0</v>
      </c>
      <c r="O430">
        <v>1.6810289999999999E-2</v>
      </c>
      <c r="P430">
        <v>0.99990000000000001</v>
      </c>
      <c r="Q430">
        <v>2.1589119999999998E-3</v>
      </c>
      <c r="R430">
        <v>-1.397234E-2</v>
      </c>
      <c r="S430">
        <v>2.9967350000000001</v>
      </c>
      <c r="T430">
        <v>-0.88605979999999995</v>
      </c>
      <c r="U430">
        <v>-0.39578249999999998</v>
      </c>
      <c r="V430">
        <v>3.0788019999999999E-2</v>
      </c>
      <c r="W430">
        <v>1.314823E-2</v>
      </c>
      <c r="X430">
        <v>0.99943950000000004</v>
      </c>
      <c r="Y430">
        <v>0.14094079999999901</v>
      </c>
      <c r="Z430">
        <v>-2.5164909999999999E-2</v>
      </c>
      <c r="AA430">
        <v>0.98969810000000003</v>
      </c>
      <c r="AB430">
        <v>21</v>
      </c>
      <c r="AC430">
        <v>0.49770000000000802</v>
      </c>
      <c r="AD430">
        <v>-0.2110494</v>
      </c>
      <c r="AE430">
        <v>-9.7499999999968098E-2</v>
      </c>
      <c r="AF430">
        <v>9.0228206274024406E-2</v>
      </c>
      <c r="AG430">
        <v>-0.2110494</v>
      </c>
      <c r="AH430">
        <v>0.42277734381089699</v>
      </c>
      <c r="AI430">
        <v>116.021777428414</v>
      </c>
      <c r="AJ430">
        <v>77.952796582022103</v>
      </c>
      <c r="AK430">
        <v>0.48106513164808101</v>
      </c>
      <c r="AL430">
        <v>89.246640240335694</v>
      </c>
      <c r="AM430">
        <v>88.2355450992453</v>
      </c>
      <c r="AN430">
        <v>1.00000004614395</v>
      </c>
    </row>
    <row r="431" spans="1:40" x14ac:dyDescent="0.25">
      <c r="A431" t="str">
        <f>"20190312154221907"</f>
        <v>20190312154221907</v>
      </c>
      <c r="B431" t="str">
        <f>"1552376541898175"</f>
        <v>1552376541898175</v>
      </c>
      <c r="C431" t="s">
        <v>40</v>
      </c>
      <c r="D431">
        <v>5.1325120000000002</v>
      </c>
      <c r="E431">
        <v>0.54960149999999997</v>
      </c>
      <c r="F431" t="s">
        <v>41</v>
      </c>
      <c r="G431">
        <v>-378.45859999999999</v>
      </c>
      <c r="H431">
        <v>0.90677540000000001</v>
      </c>
      <c r="I431">
        <v>368.29259999999999</v>
      </c>
      <c r="J431">
        <v>-378.93990000000002</v>
      </c>
      <c r="K431">
        <v>1.109945</v>
      </c>
      <c r="L431">
        <v>368.38670000000002</v>
      </c>
      <c r="M431">
        <v>0.99980749999999996</v>
      </c>
      <c r="N431">
        <v>0</v>
      </c>
      <c r="O431">
        <v>1.6400809999999998E-2</v>
      </c>
      <c r="P431">
        <v>0.99988500000000002</v>
      </c>
      <c r="Q431">
        <v>2.7234550000000001E-3</v>
      </c>
      <c r="R431">
        <v>-1.492215E-2</v>
      </c>
      <c r="S431">
        <v>2.9966740000000001</v>
      </c>
      <c r="T431">
        <v>-0.88545759999999996</v>
      </c>
      <c r="U431">
        <v>-0.39682010000000001</v>
      </c>
      <c r="V431">
        <v>3.1327999999999898E-2</v>
      </c>
      <c r="W431">
        <v>1.347197E-2</v>
      </c>
      <c r="X431">
        <v>0.99941840000000004</v>
      </c>
      <c r="Y431">
        <v>0.140903</v>
      </c>
      <c r="Z431">
        <v>-2.5024950000000001E-2</v>
      </c>
      <c r="AA431">
        <v>0.98970709999999995</v>
      </c>
      <c r="AB431">
        <v>21</v>
      </c>
      <c r="AC431">
        <v>0.48130000000003198</v>
      </c>
      <c r="AD431">
        <v>-0.20316960000000001</v>
      </c>
      <c r="AE431">
        <v>-9.4100000000025802E-2</v>
      </c>
      <c r="AF431">
        <v>8.7042388516151703E-2</v>
      </c>
      <c r="AG431">
        <v>-0.20316960000000001</v>
      </c>
      <c r="AH431">
        <v>0.40942249875341102</v>
      </c>
      <c r="AI431">
        <v>115.891313638483</v>
      </c>
      <c r="AJ431">
        <v>77.997730535071597</v>
      </c>
      <c r="AK431">
        <v>0.46527523708902002</v>
      </c>
      <c r="AL431">
        <v>89.2280896558227</v>
      </c>
      <c r="AM431">
        <v>88.204581159147807</v>
      </c>
      <c r="AN431">
        <v>1.0000000379091101</v>
      </c>
    </row>
    <row r="432" spans="1:40" x14ac:dyDescent="0.25">
      <c r="A432" t="str">
        <f>"20190312154221929"</f>
        <v>20190312154221929</v>
      </c>
      <c r="B432" t="str">
        <f>"1552376541917687"</f>
        <v>1552376541917687</v>
      </c>
      <c r="C432" t="s">
        <v>40</v>
      </c>
      <c r="D432">
        <v>5.1228530000000001</v>
      </c>
      <c r="E432">
        <v>0.54970750000000002</v>
      </c>
      <c r="F432" t="s">
        <v>41</v>
      </c>
      <c r="G432">
        <v>-378.26900000000001</v>
      </c>
      <c r="H432">
        <v>0.9121068</v>
      </c>
      <c r="I432">
        <v>368.29689999999999</v>
      </c>
      <c r="J432">
        <v>-378.73899999999998</v>
      </c>
      <c r="K432">
        <v>1.109915</v>
      </c>
      <c r="L432">
        <v>368.3895</v>
      </c>
      <c r="M432">
        <v>0.99981660000000006</v>
      </c>
      <c r="N432">
        <v>0</v>
      </c>
      <c r="O432">
        <v>1.6002539999999999E-2</v>
      </c>
      <c r="P432">
        <v>0.99987409999999999</v>
      </c>
      <c r="Q432">
        <v>3.3681840000000002E-3</v>
      </c>
      <c r="R432">
        <v>-1.551689E-2</v>
      </c>
      <c r="S432">
        <v>2.9967649999999999</v>
      </c>
      <c r="T432">
        <v>-0.88364339999999997</v>
      </c>
      <c r="U432">
        <v>-0.40084839999999999</v>
      </c>
      <c r="V432">
        <v>3.1524789999999997E-2</v>
      </c>
      <c r="W432">
        <v>1.3877250000000001E-2</v>
      </c>
      <c r="X432">
        <v>0.99940660000000003</v>
      </c>
      <c r="Y432">
        <v>0.1418189</v>
      </c>
      <c r="Z432">
        <v>-2.499005E-2</v>
      </c>
      <c r="AA432">
        <v>0.98957709999999999</v>
      </c>
      <c r="AB432">
        <v>21</v>
      </c>
      <c r="AC432">
        <v>0.47000000000002701</v>
      </c>
      <c r="AD432">
        <v>-0.19780819999999899</v>
      </c>
      <c r="AE432">
        <v>-9.2600000000004401E-2</v>
      </c>
      <c r="AF432">
        <v>8.5526500183698298E-2</v>
      </c>
      <c r="AG432">
        <v>-0.19780819999999899</v>
      </c>
      <c r="AH432">
        <v>0.40021639759227801</v>
      </c>
      <c r="AI432">
        <v>115.796324422518</v>
      </c>
      <c r="AJ432">
        <v>77.9372973555366</v>
      </c>
      <c r="AK432">
        <v>0.45455036148115902</v>
      </c>
      <c r="AL432">
        <v>89.204866598652998</v>
      </c>
      <c r="AM432">
        <v>88.193289187846403</v>
      </c>
      <c r="AN432">
        <v>0.99999997128783202</v>
      </c>
    </row>
    <row r="433" spans="1:40" x14ac:dyDescent="0.25">
      <c r="A433" t="str">
        <f>"20190312154221951"</f>
        <v>20190312154221951</v>
      </c>
      <c r="B433" t="str">
        <f>"1552376541938183"</f>
        <v>1552376541938183</v>
      </c>
      <c r="C433" t="s">
        <v>40</v>
      </c>
      <c r="D433">
        <v>5.1406280000000004</v>
      </c>
      <c r="E433">
        <v>0.54984180000000005</v>
      </c>
      <c r="F433" t="s">
        <v>41</v>
      </c>
      <c r="G433">
        <v>-377.91070000000002</v>
      </c>
      <c r="H433">
        <v>0.866338099999999</v>
      </c>
      <c r="I433">
        <v>368.27769999999998</v>
      </c>
      <c r="J433">
        <v>-378.52440000000001</v>
      </c>
      <c r="K433">
        <v>1.1098889999999999</v>
      </c>
      <c r="L433">
        <v>368.39240000000001</v>
      </c>
      <c r="M433">
        <v>0.99982579999999999</v>
      </c>
      <c r="N433">
        <v>0</v>
      </c>
      <c r="O433">
        <v>1.557761E-2</v>
      </c>
      <c r="P433">
        <v>0.99985769999999996</v>
      </c>
      <c r="Q433">
        <v>3.8551950000000001E-3</v>
      </c>
      <c r="R433">
        <v>-1.6426630000000001E-2</v>
      </c>
      <c r="S433">
        <v>2.9970699999999999</v>
      </c>
      <c r="T433">
        <v>-0.88123969999999896</v>
      </c>
      <c r="U433">
        <v>-0.40359499999999998</v>
      </c>
      <c r="V433">
        <v>3.2009299999999997E-2</v>
      </c>
      <c r="W433">
        <v>1.410992E-2</v>
      </c>
      <c r="X433">
        <v>0.99938800000000005</v>
      </c>
      <c r="Y433">
        <v>0.14231079999999999</v>
      </c>
      <c r="Z433">
        <v>-2.486959E-2</v>
      </c>
      <c r="AA433">
        <v>0.98950950000000004</v>
      </c>
      <c r="AB433">
        <v>21</v>
      </c>
      <c r="AC433">
        <v>0.61369999999999403</v>
      </c>
      <c r="AD433">
        <v>-0.24355089999999999</v>
      </c>
      <c r="AE433">
        <v>-0.114700000000027</v>
      </c>
      <c r="AF433">
        <v>0.10783613331189899</v>
      </c>
      <c r="AG433">
        <v>-0.24355089999999999</v>
      </c>
      <c r="AH433">
        <v>0.53102729395191905</v>
      </c>
      <c r="AI433">
        <v>114.20235079960599</v>
      </c>
      <c r="AJ433">
        <v>78.520991479876997</v>
      </c>
      <c r="AK433">
        <v>0.59408388251186395</v>
      </c>
      <c r="AL433">
        <v>89.191534331124799</v>
      </c>
      <c r="AM433">
        <v>88.165506244805897</v>
      </c>
      <c r="AN433">
        <v>1.00000002983644</v>
      </c>
    </row>
    <row r="434" spans="1:40" x14ac:dyDescent="0.25">
      <c r="A434" t="str">
        <f>"20190312154221975"</f>
        <v>20190312154221975</v>
      </c>
      <c r="B434" t="str">
        <f>"1552376541967464"</f>
        <v>1552376541967464</v>
      </c>
      <c r="C434" t="s">
        <v>40</v>
      </c>
      <c r="D434">
        <v>5.1108989999999999</v>
      </c>
      <c r="E434">
        <v>0.54997469999999904</v>
      </c>
      <c r="F434" t="s">
        <v>41</v>
      </c>
      <c r="G434">
        <v>-377.71879999999999</v>
      </c>
      <c r="H434">
        <v>0.87345839999999997</v>
      </c>
      <c r="I434">
        <v>368.28230000000002</v>
      </c>
      <c r="J434">
        <v>-378.30529999999999</v>
      </c>
      <c r="K434">
        <v>1.1098589999999999</v>
      </c>
      <c r="L434">
        <v>368.3954</v>
      </c>
      <c r="M434">
        <v>0.99983509999999998</v>
      </c>
      <c r="N434">
        <v>0</v>
      </c>
      <c r="O434">
        <v>1.5143190000000001E-2</v>
      </c>
      <c r="P434">
        <v>0.99985400000000002</v>
      </c>
      <c r="Q434">
        <v>4.1108519999999999E-3</v>
      </c>
      <c r="R434">
        <v>-1.6596989999999999E-2</v>
      </c>
      <c r="S434">
        <v>2.997131</v>
      </c>
      <c r="T434">
        <v>-0.87951399999999902</v>
      </c>
      <c r="U434">
        <v>-0.40795900000000002</v>
      </c>
      <c r="V434">
        <v>3.1745460000000003E-2</v>
      </c>
      <c r="W434">
        <v>1.4118500000000001E-2</v>
      </c>
      <c r="X434">
        <v>0.99939630000000002</v>
      </c>
      <c r="Y434">
        <v>0.14329739999999999</v>
      </c>
      <c r="Z434">
        <v>-2.4836879999999999E-2</v>
      </c>
      <c r="AA434">
        <v>0.98936800000000003</v>
      </c>
      <c r="AB434">
        <v>21</v>
      </c>
      <c r="AC434">
        <v>0.58650000000000002</v>
      </c>
      <c r="AD434">
        <v>-0.23640059999999899</v>
      </c>
      <c r="AE434">
        <v>-0.113099999999974</v>
      </c>
      <c r="AF434">
        <v>0.10545104971547301</v>
      </c>
      <c r="AG434">
        <v>-0.23640059999999899</v>
      </c>
      <c r="AH434">
        <v>0.50553300740208496</v>
      </c>
      <c r="AI434">
        <v>114.597042342173</v>
      </c>
      <c r="AJ434">
        <v>78.217409098897605</v>
      </c>
      <c r="AK434">
        <v>0.56795139681090001</v>
      </c>
      <c r="AL434">
        <v>89.191042688849393</v>
      </c>
      <c r="AM434">
        <v>88.180632146334801</v>
      </c>
      <c r="AN434">
        <v>1.0000000353632701</v>
      </c>
    </row>
    <row r="435" spans="1:40" x14ac:dyDescent="0.25">
      <c r="A435" t="str">
        <f>"20190312154221997"</f>
        <v>20190312154221997</v>
      </c>
      <c r="B435" t="str">
        <f>"1552376541987959"</f>
        <v>1552376541987959</v>
      </c>
      <c r="C435" t="s">
        <v>40</v>
      </c>
      <c r="D435">
        <v>5.1355500000000003</v>
      </c>
      <c r="E435">
        <v>0.54997980000000002</v>
      </c>
      <c r="F435" t="s">
        <v>41</v>
      </c>
      <c r="G435">
        <v>-377.52609999999999</v>
      </c>
      <c r="H435">
        <v>0.88145669999999898</v>
      </c>
      <c r="I435">
        <v>368.28879999999998</v>
      </c>
      <c r="J435">
        <v>-378.09</v>
      </c>
      <c r="K435">
        <v>1.1098330000000001</v>
      </c>
      <c r="L435">
        <v>368.3981</v>
      </c>
      <c r="M435">
        <v>0.99984360000000005</v>
      </c>
      <c r="N435">
        <v>0</v>
      </c>
      <c r="O435">
        <v>1.4716379999999999E-2</v>
      </c>
      <c r="P435">
        <v>0.99985000000000002</v>
      </c>
      <c r="Q435">
        <v>4.4818330000000002E-3</v>
      </c>
      <c r="R435">
        <v>-1.6727479999999999E-2</v>
      </c>
      <c r="S435">
        <v>2.997223</v>
      </c>
      <c r="T435">
        <v>-0.87864469999999995</v>
      </c>
      <c r="U435">
        <v>-0.4096069</v>
      </c>
      <c r="V435">
        <v>3.1449409999999997E-2</v>
      </c>
      <c r="W435">
        <v>1.4259630000000001E-2</v>
      </c>
      <c r="X435">
        <v>0.99940359999999995</v>
      </c>
      <c r="Y435">
        <v>0.14343129999999901</v>
      </c>
      <c r="Z435">
        <v>-2.4708790000000001E-2</v>
      </c>
      <c r="AA435">
        <v>0.9893518</v>
      </c>
      <c r="AB435">
        <v>21</v>
      </c>
      <c r="AC435">
        <v>0.56389999999998897</v>
      </c>
      <c r="AD435">
        <v>-0.2283763</v>
      </c>
      <c r="AE435">
        <v>-0.10930000000001799</v>
      </c>
      <c r="AF435">
        <v>0.101536155326705</v>
      </c>
      <c r="AG435">
        <v>-0.2283763</v>
      </c>
      <c r="AH435">
        <v>0.48548432949277398</v>
      </c>
      <c r="AI435">
        <v>114.723552387544</v>
      </c>
      <c r="AJ435">
        <v>78.187200263807895</v>
      </c>
      <c r="AK435">
        <v>0.54604062067145398</v>
      </c>
      <c r="AL435">
        <v>89.182955675650902</v>
      </c>
      <c r="AM435">
        <v>88.197601015902606</v>
      </c>
      <c r="AN435">
        <v>0.99999997906502203</v>
      </c>
    </row>
    <row r="436" spans="1:40" x14ac:dyDescent="0.25">
      <c r="A436" t="str">
        <f>"20190312154222021"</f>
        <v>20190312154222021</v>
      </c>
      <c r="B436" t="str">
        <f>"1552376542007479"</f>
        <v>1552376542007479</v>
      </c>
      <c r="C436" t="s">
        <v>40</v>
      </c>
      <c r="D436">
        <v>5.1424329999999996</v>
      </c>
      <c r="E436">
        <v>0.54996299999999998</v>
      </c>
      <c r="F436" t="s">
        <v>41</v>
      </c>
      <c r="G436">
        <v>-377.33330000000001</v>
      </c>
      <c r="H436">
        <v>0.88813889999999995</v>
      </c>
      <c r="I436">
        <v>368.29430000000002</v>
      </c>
      <c r="J436">
        <v>-377.87400000000002</v>
      </c>
      <c r="K436">
        <v>1.1098030000000001</v>
      </c>
      <c r="L436">
        <v>368.4008</v>
      </c>
      <c r="M436">
        <v>0.99985210000000002</v>
      </c>
      <c r="N436">
        <v>0</v>
      </c>
      <c r="O436">
        <v>1.428742E-2</v>
      </c>
      <c r="P436">
        <v>0.99984830000000002</v>
      </c>
      <c r="Q436">
        <v>5.0302840000000003E-3</v>
      </c>
      <c r="R436">
        <v>-1.6680480000000001E-2</v>
      </c>
      <c r="S436">
        <v>2.997528</v>
      </c>
      <c r="T436">
        <v>-0.87820089999999995</v>
      </c>
      <c r="U436">
        <v>-0.41033940000000002</v>
      </c>
      <c r="V436">
        <v>3.0973810000000001E-2</v>
      </c>
      <c r="W436">
        <v>1.4588139999999999E-2</v>
      </c>
      <c r="X436">
        <v>0.99941369999999896</v>
      </c>
      <c r="Y436">
        <v>0.14326359999999999</v>
      </c>
      <c r="Z436">
        <v>-2.4547469999999998E-2</v>
      </c>
      <c r="AA436">
        <v>0.98938009999999998</v>
      </c>
      <c r="AB436">
        <v>21</v>
      </c>
      <c r="AC436">
        <v>0.54070000000001495</v>
      </c>
      <c r="AD436">
        <v>-0.2216641</v>
      </c>
      <c r="AE436">
        <v>-0.106499999999982</v>
      </c>
      <c r="AF436">
        <v>9.8309363025940594E-2</v>
      </c>
      <c r="AG436">
        <v>-0.2216641</v>
      </c>
      <c r="AH436">
        <v>0.46404583175012298</v>
      </c>
      <c r="AI436">
        <v>115.046945886416</v>
      </c>
      <c r="AJ436">
        <v>78.038590462370806</v>
      </c>
      <c r="AK436">
        <v>0.52358212159320305</v>
      </c>
      <c r="AL436">
        <v>89.164131470485998</v>
      </c>
      <c r="AM436">
        <v>88.224858510298304</v>
      </c>
      <c r="AN436">
        <v>0.99999996724113205</v>
      </c>
    </row>
    <row r="437" spans="1:40" x14ac:dyDescent="0.25">
      <c r="A437" t="str">
        <f>"20190312154222041"</f>
        <v>20190312154222041</v>
      </c>
      <c r="B437" t="str">
        <f>"1552376542027975"</f>
        <v>1552376542027975</v>
      </c>
      <c r="C437" t="s">
        <v>40</v>
      </c>
      <c r="D437">
        <v>5.1442889999999997</v>
      </c>
      <c r="E437">
        <v>0.5499539</v>
      </c>
      <c r="F437" t="s">
        <v>41</v>
      </c>
      <c r="G437">
        <v>-377.13979999999998</v>
      </c>
      <c r="H437">
        <v>0.89516899999999999</v>
      </c>
      <c r="I437">
        <v>368.30009999999999</v>
      </c>
      <c r="J437">
        <v>-377.66980000000001</v>
      </c>
      <c r="K437">
        <v>1.109785</v>
      </c>
      <c r="L437">
        <v>368.4033</v>
      </c>
      <c r="M437">
        <v>0.99985959999999996</v>
      </c>
      <c r="N437">
        <v>0</v>
      </c>
      <c r="O437">
        <v>1.3882520000000001E-2</v>
      </c>
      <c r="P437">
        <v>0.99984709999999999</v>
      </c>
      <c r="Q437">
        <v>5.0988090000000002E-3</v>
      </c>
      <c r="R437">
        <v>-1.6723950000000001E-2</v>
      </c>
      <c r="S437">
        <v>2.997986</v>
      </c>
      <c r="T437">
        <v>-0.87648999999999999</v>
      </c>
      <c r="U437">
        <v>-0.41064450000000002</v>
      </c>
      <c r="V437">
        <v>3.061235E-2</v>
      </c>
      <c r="W437">
        <v>1.445655E-2</v>
      </c>
      <c r="X437">
        <v>0.99942679999999995</v>
      </c>
      <c r="Y437">
        <v>0.14299629999999999</v>
      </c>
      <c r="Z437">
        <v>-2.434422E-2</v>
      </c>
      <c r="AA437">
        <v>0.98942379999999996</v>
      </c>
      <c r="AB437">
        <v>21</v>
      </c>
      <c r="AC437">
        <v>0.530000000000029</v>
      </c>
      <c r="AD437">
        <v>-0.214615999999999</v>
      </c>
      <c r="AE437">
        <v>-0.103200000000015</v>
      </c>
      <c r="AF437">
        <v>9.5466080770664902E-2</v>
      </c>
      <c r="AG437">
        <v>-0.214615999999999</v>
      </c>
      <c r="AH437">
        <v>0.456410940488849</v>
      </c>
      <c r="AI437">
        <v>114.71494492752601</v>
      </c>
      <c r="AJ437">
        <v>78.185943213535694</v>
      </c>
      <c r="AK437">
        <v>0.51330765300317405</v>
      </c>
      <c r="AL437">
        <v>89.171671859731205</v>
      </c>
      <c r="AM437">
        <v>88.2455841204129</v>
      </c>
      <c r="AN437">
        <v>1.00000001818433</v>
      </c>
    </row>
    <row r="438" spans="1:40" x14ac:dyDescent="0.25">
      <c r="A438" t="str">
        <f>"20190312154222064"</f>
        <v>20190312154222064</v>
      </c>
      <c r="B438" t="str">
        <f>"1552376542057255"</f>
        <v>1552376542057255</v>
      </c>
      <c r="C438" t="s">
        <v>40</v>
      </c>
      <c r="D438">
        <v>5.149292</v>
      </c>
      <c r="E438">
        <v>0.5499851</v>
      </c>
      <c r="F438" t="s">
        <v>41</v>
      </c>
      <c r="G438">
        <v>-376.94709999999998</v>
      </c>
      <c r="H438">
        <v>0.89855249999999998</v>
      </c>
      <c r="I438">
        <v>368.30419999999998</v>
      </c>
      <c r="J438">
        <v>-377.45420000000001</v>
      </c>
      <c r="K438">
        <v>1.109764</v>
      </c>
      <c r="L438">
        <v>368.4058</v>
      </c>
      <c r="M438">
        <v>0.99986730000000001</v>
      </c>
      <c r="N438">
        <v>0</v>
      </c>
      <c r="O438">
        <v>1.345437E-2</v>
      </c>
      <c r="P438">
        <v>0.9998456</v>
      </c>
      <c r="Q438">
        <v>5.0960839999999999E-3</v>
      </c>
      <c r="R438">
        <v>-1.6820499999999999E-2</v>
      </c>
      <c r="S438">
        <v>2.9980470000000001</v>
      </c>
      <c r="T438">
        <v>-0.87630640000000004</v>
      </c>
      <c r="U438">
        <v>-0.41076659999999998</v>
      </c>
      <c r="V438">
        <v>3.0280749999999999E-2</v>
      </c>
      <c r="W438">
        <v>1.4249619999999999E-2</v>
      </c>
      <c r="X438">
        <v>0.99943979999999999</v>
      </c>
      <c r="Y438">
        <v>0.14264479999999999</v>
      </c>
      <c r="Z438">
        <v>-2.4166590000000002E-2</v>
      </c>
      <c r="AA438">
        <v>0.98947890000000005</v>
      </c>
      <c r="AB438">
        <v>21</v>
      </c>
      <c r="AC438">
        <v>0.50710000000003597</v>
      </c>
      <c r="AD438">
        <v>-0.211211499999999</v>
      </c>
      <c r="AE438">
        <v>-0.10160000000001899</v>
      </c>
      <c r="AF438">
        <v>9.2916745499963996E-2</v>
      </c>
      <c r="AG438">
        <v>-0.211211499999999</v>
      </c>
      <c r="AH438">
        <v>0.43340235687154699</v>
      </c>
      <c r="AI438">
        <v>115.478070693132</v>
      </c>
      <c r="AJ438">
        <v>77.899578996838798</v>
      </c>
      <c r="AK438">
        <v>0.49100043000833199</v>
      </c>
      <c r="AL438">
        <v>89.183529236599099</v>
      </c>
      <c r="AM438">
        <v>88.264599230553699</v>
      </c>
      <c r="AN438">
        <v>0.99999994465737196</v>
      </c>
    </row>
    <row r="439" spans="1:40" x14ac:dyDescent="0.25">
      <c r="A439" t="str">
        <f>"20190312154222088"</f>
        <v>20190312154222088</v>
      </c>
      <c r="B439" t="str">
        <f>"1552376542077751"</f>
        <v>1552376542077751</v>
      </c>
      <c r="C439" t="s">
        <v>40</v>
      </c>
      <c r="D439">
        <v>5.1555200000000001</v>
      </c>
      <c r="E439">
        <v>0.55004390000000003</v>
      </c>
      <c r="F439" t="s">
        <v>41</v>
      </c>
      <c r="G439">
        <v>-376.7527</v>
      </c>
      <c r="H439">
        <v>0.90452920000000003</v>
      </c>
      <c r="I439">
        <v>368.30959999999999</v>
      </c>
      <c r="J439">
        <v>-377.22309999999999</v>
      </c>
      <c r="K439">
        <v>1.1097399999999999</v>
      </c>
      <c r="L439">
        <v>368.40839999999997</v>
      </c>
      <c r="M439">
        <v>0.99987550000000003</v>
      </c>
      <c r="N439">
        <v>0</v>
      </c>
      <c r="O439">
        <v>1.299525E-2</v>
      </c>
      <c r="P439">
        <v>0.99983880000000003</v>
      </c>
      <c r="Q439">
        <v>5.4418670000000004E-3</v>
      </c>
      <c r="R439">
        <v>-1.711847E-2</v>
      </c>
      <c r="S439">
        <v>2.997986</v>
      </c>
      <c r="T439">
        <v>-0.87715900000000002</v>
      </c>
      <c r="U439">
        <v>-0.4110413</v>
      </c>
      <c r="V439">
        <v>3.011962E-2</v>
      </c>
      <c r="W439">
        <v>1.4383119999999999E-2</v>
      </c>
      <c r="X439">
        <v>0.99944279999999996</v>
      </c>
      <c r="Y439">
        <v>0.14230309999999999</v>
      </c>
      <c r="Z439">
        <v>-2.400969E-2</v>
      </c>
      <c r="AA439">
        <v>0.98953190000000002</v>
      </c>
      <c r="AB439">
        <v>21</v>
      </c>
      <c r="AC439">
        <v>0.470399999999983</v>
      </c>
      <c r="AD439">
        <v>-0.2052108</v>
      </c>
      <c r="AE439">
        <v>-9.8799999999982901E-2</v>
      </c>
      <c r="AF439">
        <v>8.8731652904777095E-2</v>
      </c>
      <c r="AG439">
        <v>-0.2052108</v>
      </c>
      <c r="AH439">
        <v>0.396758663843364</v>
      </c>
      <c r="AI439">
        <v>116.782340994531</v>
      </c>
      <c r="AJ439">
        <v>77.393730604868907</v>
      </c>
      <c r="AK439">
        <v>0.45541433442374801</v>
      </c>
      <c r="AL439">
        <v>89.175879501394405</v>
      </c>
      <c r="AM439">
        <v>88.273833225866895</v>
      </c>
      <c r="AN439">
        <v>0.99999998806085899</v>
      </c>
    </row>
    <row r="440" spans="1:40" x14ac:dyDescent="0.25">
      <c r="A440" t="str">
        <f>"20190312154222100"</f>
        <v>20190312154222100</v>
      </c>
      <c r="B440" t="str">
        <f>"1552376542087511"</f>
        <v>1552376542087511</v>
      </c>
      <c r="C440" t="s">
        <v>40</v>
      </c>
      <c r="D440">
        <v>5.1470510000000003</v>
      </c>
      <c r="E440">
        <v>0.5500659</v>
      </c>
      <c r="F440" t="s">
        <v>41</v>
      </c>
      <c r="G440">
        <v>-376.38240000000002</v>
      </c>
      <c r="H440">
        <v>0.8639983</v>
      </c>
      <c r="I440">
        <v>368.29270000000002</v>
      </c>
      <c r="J440">
        <v>-377.10210000000001</v>
      </c>
      <c r="K440">
        <v>1.109726</v>
      </c>
      <c r="L440">
        <v>368.40960000000001</v>
      </c>
      <c r="M440">
        <v>0.99987950000000003</v>
      </c>
      <c r="N440">
        <v>0</v>
      </c>
      <c r="O440">
        <v>1.2754730000000001E-2</v>
      </c>
      <c r="P440">
        <v>0.9998437</v>
      </c>
      <c r="Q440">
        <v>5.4351130000000001E-3</v>
      </c>
      <c r="R440">
        <v>-1.6829469999999999E-2</v>
      </c>
      <c r="S440">
        <v>2.9981689999999999</v>
      </c>
      <c r="T440">
        <v>-0.87633709999999898</v>
      </c>
      <c r="U440">
        <v>-0.413269</v>
      </c>
      <c r="V440">
        <v>2.9590399999999999E-2</v>
      </c>
      <c r="W440">
        <v>1.4266310000000001E-2</v>
      </c>
      <c r="X440">
        <v>0.99946029999999997</v>
      </c>
      <c r="Y440">
        <v>0.1427822</v>
      </c>
      <c r="Z440">
        <v>-2.398525E-2</v>
      </c>
      <c r="AA440">
        <v>0.98946339999999999</v>
      </c>
      <c r="AB440">
        <v>22</v>
      </c>
      <c r="AC440">
        <v>0.71969999999998802</v>
      </c>
      <c r="AD440">
        <v>-0.24572769999999999</v>
      </c>
      <c r="AE440">
        <v>-0.116899999999986</v>
      </c>
      <c r="AF440">
        <v>0.113211992224062</v>
      </c>
      <c r="AG440">
        <v>-0.24572769999999999</v>
      </c>
      <c r="AH440">
        <v>0.64490328494651805</v>
      </c>
      <c r="AI440">
        <v>110.57068349679101</v>
      </c>
      <c r="AJ440">
        <v>80.043248250347801</v>
      </c>
      <c r="AK440">
        <v>0.69935635027176302</v>
      </c>
      <c r="AL440">
        <v>89.182572922366205</v>
      </c>
      <c r="AM440">
        <v>88.304174830808805</v>
      </c>
      <c r="AN440">
        <v>1.0000000053246301</v>
      </c>
    </row>
    <row r="441" spans="1:40" x14ac:dyDescent="0.25">
      <c r="A441" t="str">
        <f>"20190312154222112"</f>
        <v>20190312154222112</v>
      </c>
      <c r="B441" t="str">
        <f>"1552376542098247"</f>
        <v>1552376542098247</v>
      </c>
      <c r="C441" t="s">
        <v>40</v>
      </c>
      <c r="D441">
        <v>5.1834769999999999</v>
      </c>
      <c r="E441">
        <v>0.55009189999999997</v>
      </c>
      <c r="F441" t="s">
        <v>41</v>
      </c>
      <c r="G441">
        <v>-376.37</v>
      </c>
      <c r="H441">
        <v>0.8956674</v>
      </c>
      <c r="I441">
        <v>368.3091</v>
      </c>
      <c r="J441">
        <v>-376.98680000000002</v>
      </c>
      <c r="K441">
        <v>1.109704</v>
      </c>
      <c r="L441">
        <v>368.41090000000003</v>
      </c>
      <c r="M441">
        <v>0.99988330000000003</v>
      </c>
      <c r="N441">
        <v>0</v>
      </c>
      <c r="O441">
        <v>1.252587E-2</v>
      </c>
      <c r="P441">
        <v>0.99984010000000001</v>
      </c>
      <c r="Q441">
        <v>5.8539509999999996E-3</v>
      </c>
      <c r="R441">
        <v>-1.6908110000000001E-2</v>
      </c>
      <c r="S441">
        <v>2.9982600000000001</v>
      </c>
      <c r="T441">
        <v>-0.87673619999999997</v>
      </c>
      <c r="U441">
        <v>-0.41287230000000003</v>
      </c>
      <c r="V441">
        <v>2.944045E-2</v>
      </c>
      <c r="W441">
        <v>1.4580040000000001E-2</v>
      </c>
      <c r="X441">
        <v>0.99946020000000002</v>
      </c>
      <c r="Y441">
        <v>0.14244129999999899</v>
      </c>
      <c r="Z441">
        <v>-2.3881340000000001E-2</v>
      </c>
      <c r="AA441">
        <v>0.98951509999999998</v>
      </c>
      <c r="AB441">
        <v>22</v>
      </c>
      <c r="AC441">
        <v>0.61680000000001201</v>
      </c>
      <c r="AD441">
        <v>-0.21403659999999899</v>
      </c>
      <c r="AE441">
        <v>-0.101800000000025</v>
      </c>
      <c r="AF441">
        <v>9.8027158442312898E-2</v>
      </c>
      <c r="AG441">
        <v>-0.21403659999999899</v>
      </c>
      <c r="AH441">
        <v>0.55089810784722204</v>
      </c>
      <c r="AI441">
        <v>110.93257553725201</v>
      </c>
      <c r="AJ441">
        <v>79.910357175992701</v>
      </c>
      <c r="AK441">
        <v>0.59909074034029597</v>
      </c>
      <c r="AL441">
        <v>89.164595646826697</v>
      </c>
      <c r="AM441">
        <v>88.312763313376195</v>
      </c>
      <c r="AN441">
        <v>1.0000000045233199</v>
      </c>
    </row>
    <row r="442" spans="1:40" x14ac:dyDescent="0.25">
      <c r="A442" t="str">
        <f>"20190312154222130"</f>
        <v>20190312154222130</v>
      </c>
      <c r="B442" t="str">
        <f>"1552376542117767"</f>
        <v>1552376542117767</v>
      </c>
      <c r="C442" t="s">
        <v>40</v>
      </c>
      <c r="D442">
        <v>5.165311</v>
      </c>
      <c r="E442">
        <v>0.55015389999999997</v>
      </c>
      <c r="F442" t="s">
        <v>41</v>
      </c>
      <c r="G442">
        <v>-376.18380000000002</v>
      </c>
      <c r="H442">
        <v>0.87522180000000005</v>
      </c>
      <c r="I442">
        <v>368.29989999999998</v>
      </c>
      <c r="J442">
        <v>-376.82060000000001</v>
      </c>
      <c r="K442">
        <v>1.109683</v>
      </c>
      <c r="L442">
        <v>368.4126</v>
      </c>
      <c r="M442">
        <v>0.99988880000000002</v>
      </c>
      <c r="N442">
        <v>0</v>
      </c>
      <c r="O442">
        <v>1.2195350000000001E-2</v>
      </c>
      <c r="P442">
        <v>0.99984450000000002</v>
      </c>
      <c r="Q442">
        <v>5.6860629999999999E-3</v>
      </c>
      <c r="R442">
        <v>-1.6700590000000001E-2</v>
      </c>
      <c r="S442">
        <v>2.998596</v>
      </c>
      <c r="T442">
        <v>-0.87560079999999996</v>
      </c>
      <c r="U442">
        <v>-0.41345209999999999</v>
      </c>
      <c r="V442">
        <v>2.8902460000000001E-2</v>
      </c>
      <c r="W442">
        <v>1.426059E-2</v>
      </c>
      <c r="X442">
        <v>0.99948049999999999</v>
      </c>
      <c r="Y442">
        <v>0.14232339999999999</v>
      </c>
      <c r="Z442">
        <v>-2.3737870000000001E-2</v>
      </c>
      <c r="AA442">
        <v>0.98953550000000001</v>
      </c>
      <c r="AB442">
        <v>22</v>
      </c>
      <c r="AC442">
        <v>0.63679999999999304</v>
      </c>
      <c r="AD442">
        <v>-0.23446119999999901</v>
      </c>
      <c r="AE442">
        <v>-0.11270000000001799</v>
      </c>
      <c r="AF442">
        <v>0.106463837010257</v>
      </c>
      <c r="AG442">
        <v>-0.23446119999999901</v>
      </c>
      <c r="AH442">
        <v>0.56156380356300495</v>
      </c>
      <c r="AI442">
        <v>112.30382926356501</v>
      </c>
      <c r="AJ442">
        <v>79.265007247722906</v>
      </c>
      <c r="AK442">
        <v>0.61778678228700901</v>
      </c>
      <c r="AL442">
        <v>89.182900677699905</v>
      </c>
      <c r="AM442">
        <v>88.343611890183993</v>
      </c>
      <c r="AN442">
        <v>0.99999999325072397</v>
      </c>
    </row>
    <row r="443" spans="1:40" x14ac:dyDescent="0.25">
      <c r="A443" t="str">
        <f>"20190312154222153"</f>
        <v>20190312154222153</v>
      </c>
      <c r="B443" t="str">
        <f>"1552376542148024"</f>
        <v>1552376542148024</v>
      </c>
      <c r="C443" t="s">
        <v>40</v>
      </c>
      <c r="D443">
        <v>5.1703839999999897</v>
      </c>
      <c r="E443">
        <v>0.55024059999999997</v>
      </c>
      <c r="F443" t="s">
        <v>41</v>
      </c>
      <c r="G443">
        <v>-375.99189999999999</v>
      </c>
      <c r="H443">
        <v>0.86734259999999996</v>
      </c>
      <c r="I443">
        <v>368.29840000000002</v>
      </c>
      <c r="J443">
        <v>-376.58909999999997</v>
      </c>
      <c r="K443">
        <v>1.1096520000000001</v>
      </c>
      <c r="L443">
        <v>368.41489999999999</v>
      </c>
      <c r="M443">
        <v>0.99989620000000001</v>
      </c>
      <c r="N443">
        <v>0</v>
      </c>
      <c r="O443">
        <v>1.1734369999999999E-2</v>
      </c>
      <c r="P443">
        <v>0.9998378</v>
      </c>
      <c r="Q443">
        <v>5.843684E-3</v>
      </c>
      <c r="R443">
        <v>-1.7039160000000001E-2</v>
      </c>
      <c r="S443">
        <v>2.9985050000000002</v>
      </c>
      <c r="T443">
        <v>-0.8768802</v>
      </c>
      <c r="U443">
        <v>-0.41302489999999997</v>
      </c>
      <c r="V443">
        <v>2.878E-2</v>
      </c>
      <c r="W443">
        <v>1.4195269999999999E-2</v>
      </c>
      <c r="X443">
        <v>0.99948499999999996</v>
      </c>
      <c r="Y443">
        <v>0.14175679999999999</v>
      </c>
      <c r="Z443">
        <v>-2.3559770000000001E-2</v>
      </c>
      <c r="AA443">
        <v>0.98962110000000003</v>
      </c>
      <c r="AB443">
        <v>22</v>
      </c>
      <c r="AC443">
        <v>0.59719999999998596</v>
      </c>
      <c r="AD443">
        <v>-0.24230940000000001</v>
      </c>
      <c r="AE443">
        <v>-0.116499999999973</v>
      </c>
      <c r="AF443">
        <v>0.106594916621156</v>
      </c>
      <c r="AG443">
        <v>-0.24230940000000001</v>
      </c>
      <c r="AH443">
        <v>0.51423789887971305</v>
      </c>
      <c r="AI443">
        <v>114.76825412949199</v>
      </c>
      <c r="AJ443">
        <v>78.2891706484899</v>
      </c>
      <c r="AK443">
        <v>0.57837439277863401</v>
      </c>
      <c r="AL443">
        <v>89.186643646525695</v>
      </c>
      <c r="AM443">
        <v>88.350633559541095</v>
      </c>
      <c r="AN443">
        <v>1.0000000296576801</v>
      </c>
    </row>
    <row r="444" spans="1:40" x14ac:dyDescent="0.25">
      <c r="A444" t="str">
        <f>"20190312154222165"</f>
        <v>20190312154222165</v>
      </c>
      <c r="B444" t="str">
        <f>"1552376542157783"</f>
        <v>1552376542157783</v>
      </c>
      <c r="C444" t="s">
        <v>40</v>
      </c>
      <c r="D444">
        <v>5.1900890000000004</v>
      </c>
      <c r="E444">
        <v>0.5502937</v>
      </c>
      <c r="F444" t="s">
        <v>41</v>
      </c>
      <c r="G444">
        <v>-375.79250000000002</v>
      </c>
      <c r="H444">
        <v>0.87657339999999995</v>
      </c>
      <c r="I444">
        <v>368.30459999999999</v>
      </c>
      <c r="J444">
        <v>-376.4633</v>
      </c>
      <c r="K444">
        <v>1.109632</v>
      </c>
      <c r="L444">
        <v>368.41609999999997</v>
      </c>
      <c r="M444">
        <v>0.99990009999999996</v>
      </c>
      <c r="N444">
        <v>0</v>
      </c>
      <c r="O444">
        <v>1.148418E-2</v>
      </c>
      <c r="P444">
        <v>0.99983100000000003</v>
      </c>
      <c r="Q444">
        <v>5.9743169999999998E-3</v>
      </c>
      <c r="R444">
        <v>-1.7397070000000001E-2</v>
      </c>
      <c r="S444">
        <v>2.998535</v>
      </c>
      <c r="T444">
        <v>-0.87729239999999997</v>
      </c>
      <c r="U444">
        <v>-0.4145508</v>
      </c>
      <c r="V444">
        <v>2.8887670000000001E-2</v>
      </c>
      <c r="W444">
        <v>1.4199079999999999E-2</v>
      </c>
      <c r="X444">
        <v>0.99948179999999998</v>
      </c>
      <c r="Y444">
        <v>0.1419975</v>
      </c>
      <c r="Z444">
        <v>-2.3532339999999999E-2</v>
      </c>
      <c r="AA444">
        <v>0.9895872</v>
      </c>
      <c r="AB444">
        <v>22</v>
      </c>
      <c r="AC444">
        <v>0.67079999999998496</v>
      </c>
      <c r="AD444">
        <v>-0.23305859999999901</v>
      </c>
      <c r="AE444">
        <v>-0.11149999999997801</v>
      </c>
      <c r="AF444">
        <v>0.106666888366954</v>
      </c>
      <c r="AG444">
        <v>-0.23305859999999901</v>
      </c>
      <c r="AH444">
        <v>0.59910183686139395</v>
      </c>
      <c r="AI444">
        <v>110.956355717817</v>
      </c>
      <c r="AJ444">
        <v>79.904579430245604</v>
      </c>
      <c r="AK444">
        <v>0.65162653954435001</v>
      </c>
      <c r="AL444">
        <v>89.186425295294399</v>
      </c>
      <c r="AM444">
        <v>88.344461179308098</v>
      </c>
      <c r="AN444">
        <v>0.99999998994105699</v>
      </c>
    </row>
    <row r="445" spans="1:40" x14ac:dyDescent="0.25">
      <c r="A445" t="str">
        <f>"20190312154222188"</f>
        <v>20190312154222188</v>
      </c>
      <c r="B445" t="str">
        <f>"1552376542178279"</f>
        <v>1552376542178279</v>
      </c>
      <c r="C445" t="s">
        <v>40</v>
      </c>
      <c r="D445">
        <v>5.2095609999999999</v>
      </c>
      <c r="E445">
        <v>0.5503538</v>
      </c>
      <c r="F445" t="s">
        <v>41</v>
      </c>
      <c r="G445">
        <v>-375.77960000000002</v>
      </c>
      <c r="H445">
        <v>0.90947809999999996</v>
      </c>
      <c r="I445">
        <v>368.3211</v>
      </c>
      <c r="J445">
        <v>-376.25139999999999</v>
      </c>
      <c r="K445">
        <v>1.1095999999999999</v>
      </c>
      <c r="L445">
        <v>368.41809999999998</v>
      </c>
      <c r="M445">
        <v>0.99990670000000004</v>
      </c>
      <c r="N445">
        <v>0</v>
      </c>
      <c r="O445">
        <v>1.106328E-2</v>
      </c>
      <c r="P445">
        <v>0.99981699999999996</v>
      </c>
      <c r="Q445">
        <v>6.3114E-3</v>
      </c>
      <c r="R445">
        <v>-1.8062430000000001E-2</v>
      </c>
      <c r="S445">
        <v>2.998535</v>
      </c>
      <c r="T445">
        <v>-0.87774159999999901</v>
      </c>
      <c r="U445">
        <v>-0.41577150000000002</v>
      </c>
      <c r="V445">
        <v>2.91323E-2</v>
      </c>
      <c r="W445">
        <v>1.431208E-2</v>
      </c>
      <c r="X445">
        <v>0.9994731</v>
      </c>
      <c r="Y445">
        <v>0.14198839999999999</v>
      </c>
      <c r="Z445">
        <v>-2.3421810000000001E-2</v>
      </c>
      <c r="AA445">
        <v>0.9895912</v>
      </c>
      <c r="AB445">
        <v>22</v>
      </c>
      <c r="AC445">
        <v>0.47179999999997302</v>
      </c>
      <c r="AD445">
        <v>-0.20012189999999999</v>
      </c>
      <c r="AE445">
        <v>-9.6999999999980005E-2</v>
      </c>
      <c r="AF445">
        <v>8.7167036228486705E-2</v>
      </c>
      <c r="AG445">
        <v>-0.20012189999999999</v>
      </c>
      <c r="AH445">
        <v>0.40140676456253199</v>
      </c>
      <c r="AI445">
        <v>115.97518787404999</v>
      </c>
      <c r="AJ445">
        <v>77.748216473818104</v>
      </c>
      <c r="AK445">
        <v>0.45691821773817198</v>
      </c>
      <c r="AL445">
        <v>89.179950224124894</v>
      </c>
      <c r="AM445">
        <v>88.330434925529502</v>
      </c>
      <c r="AN445">
        <v>1.0000000020804101</v>
      </c>
    </row>
    <row r="446" spans="1:40" x14ac:dyDescent="0.25">
      <c r="A446" t="str">
        <f>"20190312154222211"</f>
        <v>20190312154222211</v>
      </c>
      <c r="B446" t="str">
        <f>"1552376542197799"</f>
        <v>1552376542197799</v>
      </c>
      <c r="C446" t="s">
        <v>40</v>
      </c>
      <c r="D446">
        <v>5.1844539999999997</v>
      </c>
      <c r="E446">
        <v>0.55043019999999998</v>
      </c>
      <c r="F446" t="s">
        <v>41</v>
      </c>
      <c r="G446">
        <v>-375.58120000000002</v>
      </c>
      <c r="H446">
        <v>0.91350889999999996</v>
      </c>
      <c r="I446">
        <v>368.32470000000001</v>
      </c>
      <c r="J446">
        <v>-376.02330000000001</v>
      </c>
      <c r="K446">
        <v>1.109551</v>
      </c>
      <c r="L446">
        <v>368.42009999999999</v>
      </c>
      <c r="M446">
        <v>0.99991359999999996</v>
      </c>
      <c r="N446">
        <v>0</v>
      </c>
      <c r="O446">
        <v>1.061018E-2</v>
      </c>
      <c r="P446">
        <v>0.99980150000000001</v>
      </c>
      <c r="Q446">
        <v>6.517503E-3</v>
      </c>
      <c r="R446">
        <v>-1.8827489999999999E-2</v>
      </c>
      <c r="S446">
        <v>2.998535</v>
      </c>
      <c r="T446">
        <v>-0.87735129999999995</v>
      </c>
      <c r="U446">
        <v>-0.41827389999999998</v>
      </c>
      <c r="V446">
        <v>2.94443E-2</v>
      </c>
      <c r="W446">
        <v>1.424915E-2</v>
      </c>
      <c r="X446">
        <v>0.99946489999999999</v>
      </c>
      <c r="Y446">
        <v>0.14236019999999999</v>
      </c>
      <c r="Z446">
        <v>-2.3334279999999999E-2</v>
      </c>
      <c r="AA446">
        <v>0.98953990000000003</v>
      </c>
      <c r="AB446">
        <v>22</v>
      </c>
      <c r="AC446">
        <v>0.44209999999998201</v>
      </c>
      <c r="AD446">
        <v>-0.1960421</v>
      </c>
      <c r="AE446">
        <v>-9.5399999999983706E-2</v>
      </c>
      <c r="AF446">
        <v>8.4255251127960895E-2</v>
      </c>
      <c r="AG446">
        <v>-0.1960421</v>
      </c>
      <c r="AH446">
        <v>0.37130105055512003</v>
      </c>
      <c r="AI446">
        <v>117.24379079658701</v>
      </c>
      <c r="AJ446">
        <v>77.215008806599201</v>
      </c>
      <c r="AK446">
        <v>0.428247501403547</v>
      </c>
      <c r="AL446">
        <v>89.183556250856697</v>
      </c>
      <c r="AM446">
        <v>88.3125507275562</v>
      </c>
      <c r="AN446">
        <v>1.0000000457051099</v>
      </c>
    </row>
    <row r="447" spans="1:40" x14ac:dyDescent="0.25">
      <c r="A447" t="str">
        <f>"20190312154222232"</f>
        <v>20190312154222232</v>
      </c>
      <c r="B447" t="str">
        <f>"1552376542218296"</f>
        <v>1552376542218296</v>
      </c>
      <c r="C447" t="s">
        <v>40</v>
      </c>
      <c r="D447">
        <v>5.2118520000000004</v>
      </c>
      <c r="E447">
        <v>0.55049340000000002</v>
      </c>
      <c r="F447" t="s">
        <v>41</v>
      </c>
      <c r="G447">
        <v>-375.20209999999997</v>
      </c>
      <c r="H447">
        <v>0.86920090000000005</v>
      </c>
      <c r="I447">
        <v>368.30459999999999</v>
      </c>
      <c r="J447">
        <v>-375.80599999999998</v>
      </c>
      <c r="K447">
        <v>1.109502</v>
      </c>
      <c r="L447">
        <v>368.42189999999999</v>
      </c>
      <c r="M447">
        <v>0.99992040000000004</v>
      </c>
      <c r="N447">
        <v>0</v>
      </c>
      <c r="O447">
        <v>1.01785E-2</v>
      </c>
      <c r="P447">
        <v>0.99977830000000001</v>
      </c>
      <c r="Q447">
        <v>7.0884769999999897E-3</v>
      </c>
      <c r="R447">
        <v>-1.9831129999999999E-2</v>
      </c>
      <c r="S447">
        <v>2.9984130000000002</v>
      </c>
      <c r="T447">
        <v>-0.87751089999999998</v>
      </c>
      <c r="U447">
        <v>-0.4217224</v>
      </c>
      <c r="V447">
        <v>3.0016250000000001E-2</v>
      </c>
      <c r="W447">
        <v>1.453379E-2</v>
      </c>
      <c r="X447">
        <v>0.99944379999999999</v>
      </c>
      <c r="Y447">
        <v>0.14304310000000001</v>
      </c>
      <c r="Z447">
        <v>-2.3311720000000001E-2</v>
      </c>
      <c r="AA447">
        <v>0.98944189999999999</v>
      </c>
      <c r="AB447">
        <v>22</v>
      </c>
      <c r="AC447">
        <v>0.60390000000000998</v>
      </c>
      <c r="AD447">
        <v>-0.24030109999999999</v>
      </c>
      <c r="AE447">
        <v>-0.1173</v>
      </c>
      <c r="AF447">
        <v>0.107099621268095</v>
      </c>
      <c r="AG447">
        <v>-0.24030109999999999</v>
      </c>
      <c r="AH447">
        <v>0.52289186063292803</v>
      </c>
      <c r="AI447">
        <v>114.23799218936399</v>
      </c>
      <c r="AJ447">
        <v>78.424675693930496</v>
      </c>
      <c r="AK447">
        <v>0.58534677367620702</v>
      </c>
      <c r="AL447">
        <v>89.167245901827499</v>
      </c>
      <c r="AM447">
        <v>88.279755554030302</v>
      </c>
      <c r="AN447">
        <v>1.00000005783713</v>
      </c>
    </row>
    <row r="448" spans="1:40" x14ac:dyDescent="0.25">
      <c r="A448" t="str">
        <f>"20190312154222256"</f>
        <v>20190312154222256</v>
      </c>
      <c r="B448" t="str">
        <f>"1552376542247575"</f>
        <v>1552376542247575</v>
      </c>
      <c r="C448" t="s">
        <v>40</v>
      </c>
      <c r="D448">
        <v>5.221705</v>
      </c>
      <c r="E448">
        <v>0.55057900000000004</v>
      </c>
      <c r="F448" t="s">
        <v>41</v>
      </c>
      <c r="G448">
        <v>-375.00020000000001</v>
      </c>
      <c r="H448">
        <v>0.87394450000000001</v>
      </c>
      <c r="I448">
        <v>368.3073</v>
      </c>
      <c r="J448">
        <v>-375.5788</v>
      </c>
      <c r="K448">
        <v>1.109451</v>
      </c>
      <c r="L448">
        <v>368.4237</v>
      </c>
      <c r="M448">
        <v>0.99992720000000002</v>
      </c>
      <c r="N448">
        <v>0</v>
      </c>
      <c r="O448">
        <v>9.7273499999999992E-3</v>
      </c>
      <c r="P448">
        <v>0.9997644</v>
      </c>
      <c r="Q448">
        <v>7.3651430000000002E-3</v>
      </c>
      <c r="R448">
        <v>-2.042967E-2</v>
      </c>
      <c r="S448">
        <v>2.9984440000000001</v>
      </c>
      <c r="T448">
        <v>-0.87663139999999995</v>
      </c>
      <c r="U448">
        <v>-0.4253845</v>
      </c>
      <c r="V448">
        <v>3.0163740000000001E-2</v>
      </c>
      <c r="W448">
        <v>1.44966E-2</v>
      </c>
      <c r="X448">
        <v>0.99943979999999999</v>
      </c>
      <c r="Y448">
        <v>0.14378239999999901</v>
      </c>
      <c r="Z448">
        <v>-2.326392E-2</v>
      </c>
      <c r="AA448">
        <v>0.98933579999999999</v>
      </c>
      <c r="AB448">
        <v>22</v>
      </c>
      <c r="AC448">
        <v>0.57859999999999401</v>
      </c>
      <c r="AD448">
        <v>-0.23550649999999901</v>
      </c>
      <c r="AE448">
        <v>-0.11639999999999801</v>
      </c>
      <c r="AF448">
        <v>0.1052622151656</v>
      </c>
      <c r="AG448">
        <v>-0.23550649999999901</v>
      </c>
      <c r="AH448">
        <v>0.49812500768914902</v>
      </c>
      <c r="AI448">
        <v>114.82387959191</v>
      </c>
      <c r="AJ448">
        <v>78.067976068493394</v>
      </c>
      <c r="AK448">
        <v>0.56095629844858097</v>
      </c>
      <c r="AL448">
        <v>89.169376873505698</v>
      </c>
      <c r="AM448">
        <v>88.271301039303594</v>
      </c>
      <c r="AN448">
        <v>0.99999995822319199</v>
      </c>
    </row>
    <row r="449" spans="1:40" x14ac:dyDescent="0.25">
      <c r="A449" t="str">
        <f>"20190312154222276"</f>
        <v>20190312154222276</v>
      </c>
      <c r="B449" t="str">
        <f>"1552376542268071"</f>
        <v>1552376542268071</v>
      </c>
      <c r="C449" t="s">
        <v>40</v>
      </c>
      <c r="D449">
        <v>5.2261030000000002</v>
      </c>
      <c r="E449">
        <v>0.55057619999999996</v>
      </c>
      <c r="F449" t="s">
        <v>41</v>
      </c>
      <c r="G449">
        <v>-374.79660000000001</v>
      </c>
      <c r="H449">
        <v>0.88060439999999995</v>
      </c>
      <c r="I449">
        <v>368.31229999999999</v>
      </c>
      <c r="J449">
        <v>-375.36110000000002</v>
      </c>
      <c r="K449">
        <v>1.1093959999999901</v>
      </c>
      <c r="L449">
        <v>368.42540000000002</v>
      </c>
      <c r="M449">
        <v>0.99993350000000003</v>
      </c>
      <c r="N449">
        <v>0</v>
      </c>
      <c r="O449">
        <v>9.2958030000000001E-3</v>
      </c>
      <c r="P449">
        <v>0.99974580000000002</v>
      </c>
      <c r="Q449">
        <v>7.4643460000000002E-3</v>
      </c>
      <c r="R449">
        <v>-2.1287420000000001E-2</v>
      </c>
      <c r="S449">
        <v>2.9984440000000001</v>
      </c>
      <c r="T449">
        <v>-0.87724380000000002</v>
      </c>
      <c r="U449">
        <v>-0.42721559999999997</v>
      </c>
      <c r="V449">
        <v>3.0589729999999999E-2</v>
      </c>
      <c r="W449">
        <v>1.428538E-2</v>
      </c>
      <c r="X449">
        <v>0.99942989999999998</v>
      </c>
      <c r="Y449">
        <v>0.14395079999999999</v>
      </c>
      <c r="Z449">
        <v>-2.3179479999999999E-2</v>
      </c>
      <c r="AA449">
        <v>0.98931340000000001</v>
      </c>
      <c r="AB449">
        <v>22</v>
      </c>
      <c r="AC449">
        <v>0.56450000000000899</v>
      </c>
      <c r="AD449">
        <v>-0.22879159999999901</v>
      </c>
      <c r="AE449">
        <v>-0.113100000000031</v>
      </c>
      <c r="AF449">
        <v>0.102202119189045</v>
      </c>
      <c r="AG449">
        <v>-0.22879159999999901</v>
      </c>
      <c r="AH449">
        <v>0.48657958920310401</v>
      </c>
      <c r="AI449">
        <v>114.710126940978</v>
      </c>
      <c r="AJ449">
        <v>78.137919599923407</v>
      </c>
      <c r="AK449">
        <v>0.54731212852115096</v>
      </c>
      <c r="AL449">
        <v>89.181480146950605</v>
      </c>
      <c r="AM449">
        <v>88.246885114051594</v>
      </c>
      <c r="AN449">
        <v>0.99999996433861305</v>
      </c>
    </row>
    <row r="450" spans="1:40" x14ac:dyDescent="0.25">
      <c r="A450" t="str">
        <f>"20190312154222291"</f>
        <v>20190312154222291</v>
      </c>
      <c r="B450" t="str">
        <f>"1552376542277831"</f>
        <v>1552376542277831</v>
      </c>
      <c r="C450" t="s">
        <v>40</v>
      </c>
      <c r="D450">
        <v>5.2275229999999997</v>
      </c>
      <c r="E450">
        <v>0.55058309999999999</v>
      </c>
      <c r="F450" t="s">
        <v>41</v>
      </c>
      <c r="G450">
        <v>-374.59280000000001</v>
      </c>
      <c r="H450">
        <v>0.8844535</v>
      </c>
      <c r="I450">
        <v>368.31509999999997</v>
      </c>
      <c r="J450">
        <v>-375.22019999999998</v>
      </c>
      <c r="K450">
        <v>1.109362</v>
      </c>
      <c r="L450">
        <v>368.4264</v>
      </c>
      <c r="M450">
        <v>0.99993730000000003</v>
      </c>
      <c r="N450">
        <v>0</v>
      </c>
      <c r="O450">
        <v>9.0170159999999992E-3</v>
      </c>
      <c r="P450">
        <v>0.99974890000000005</v>
      </c>
      <c r="Q450">
        <v>7.7091030000000001E-3</v>
      </c>
      <c r="R450">
        <v>-2.1041279999999999E-2</v>
      </c>
      <c r="S450">
        <v>2.998138</v>
      </c>
      <c r="T450">
        <v>-0.87778449999999997</v>
      </c>
      <c r="U450">
        <v>-0.4295349</v>
      </c>
      <c r="V450">
        <v>3.0065169999999999E-2</v>
      </c>
      <c r="W450">
        <v>1.432543E-2</v>
      </c>
      <c r="X450">
        <v>0.99944529999999998</v>
      </c>
      <c r="Y450">
        <v>0.1444232</v>
      </c>
      <c r="Z450">
        <v>-2.3182080000000001E-2</v>
      </c>
      <c r="AA450">
        <v>0.98924440000000002</v>
      </c>
      <c r="AB450">
        <v>22</v>
      </c>
      <c r="AC450">
        <v>0.62739999999996598</v>
      </c>
      <c r="AD450">
        <v>-0.22490850000000001</v>
      </c>
      <c r="AE450">
        <v>-0.111300000000028</v>
      </c>
      <c r="AF450">
        <v>0.103996469103185</v>
      </c>
      <c r="AG450">
        <v>-0.22490850000000001</v>
      </c>
      <c r="AH450">
        <v>0.55697954577549202</v>
      </c>
      <c r="AI450">
        <v>111.650127296297</v>
      </c>
      <c r="AJ450">
        <v>79.423797252703196</v>
      </c>
      <c r="AK450">
        <v>0.60961078843017003</v>
      </c>
      <c r="AL450">
        <v>89.179185261789698</v>
      </c>
      <c r="AM450">
        <v>88.276956200504401</v>
      </c>
      <c r="AN450">
        <v>1.0000000200419501</v>
      </c>
    </row>
    <row r="451" spans="1:40" x14ac:dyDescent="0.25">
      <c r="A451" t="str">
        <f>"20190312154222304"</f>
        <v>20190312154222304</v>
      </c>
      <c r="B451" t="str">
        <f>"1552376542298328"</f>
        <v>1552376542298328</v>
      </c>
      <c r="C451" t="s">
        <v>40</v>
      </c>
      <c r="D451">
        <v>5.2274510000000003</v>
      </c>
      <c r="E451">
        <v>0.55059749999999996</v>
      </c>
      <c r="F451" t="s">
        <v>41</v>
      </c>
      <c r="G451">
        <v>-374.39569999999998</v>
      </c>
      <c r="H451">
        <v>0.86799689999999996</v>
      </c>
      <c r="I451">
        <v>368.30849999999998</v>
      </c>
      <c r="J451">
        <v>-375.0881</v>
      </c>
      <c r="K451">
        <v>1.109329</v>
      </c>
      <c r="L451">
        <v>368.4273</v>
      </c>
      <c r="M451">
        <v>0.99994090000000002</v>
      </c>
      <c r="N451">
        <v>0</v>
      </c>
      <c r="O451">
        <v>8.7557050000000008E-3</v>
      </c>
      <c r="P451">
        <v>0.99973520000000005</v>
      </c>
      <c r="Q451">
        <v>8.0826730000000003E-3</v>
      </c>
      <c r="R451">
        <v>-2.1550110000000001E-2</v>
      </c>
      <c r="S451">
        <v>2.9985050000000002</v>
      </c>
      <c r="T451">
        <v>-0.87761209999999901</v>
      </c>
      <c r="U451">
        <v>-0.42843629999999999</v>
      </c>
      <c r="V451">
        <v>3.0312760000000001E-2</v>
      </c>
      <c r="W451">
        <v>1.449946E-2</v>
      </c>
      <c r="X451">
        <v>0.99943530000000003</v>
      </c>
      <c r="Y451">
        <v>0.1438314</v>
      </c>
      <c r="Z451">
        <v>-2.3016579999999998E-2</v>
      </c>
      <c r="AA451">
        <v>0.98933450000000001</v>
      </c>
      <c r="AB451">
        <v>23</v>
      </c>
      <c r="AC451">
        <v>0.69240000000002</v>
      </c>
      <c r="AD451">
        <v>-0.24133209999999899</v>
      </c>
      <c r="AE451">
        <v>-0.118800000000021</v>
      </c>
      <c r="AF451">
        <v>0.11167889404147099</v>
      </c>
      <c r="AG451">
        <v>-0.24133209999999899</v>
      </c>
      <c r="AH451">
        <v>0.61836101897209195</v>
      </c>
      <c r="AI451">
        <v>111.009964353218</v>
      </c>
      <c r="AJ451">
        <v>79.762471489681701</v>
      </c>
      <c r="AK451">
        <v>0.67311492900465397</v>
      </c>
      <c r="AL451">
        <v>89.169213031969903</v>
      </c>
      <c r="AM451">
        <v>88.262758032205596</v>
      </c>
      <c r="AN451">
        <v>1.00000000832259</v>
      </c>
    </row>
    <row r="452" spans="1:40" x14ac:dyDescent="0.25">
      <c r="A452" t="str">
        <f>"20190312154222320"</f>
        <v>20190312154222320</v>
      </c>
      <c r="B452" t="str">
        <f>"1552376542308088"</f>
        <v>1552376542308088</v>
      </c>
      <c r="C452" t="s">
        <v>40</v>
      </c>
      <c r="D452">
        <v>5.2343460000000004</v>
      </c>
      <c r="E452">
        <v>0.55059449999999999</v>
      </c>
      <c r="F452" t="s">
        <v>41</v>
      </c>
      <c r="G452">
        <v>-374.38200000000001</v>
      </c>
      <c r="H452">
        <v>0.90277649999999998</v>
      </c>
      <c r="I452">
        <v>368.32580000000002</v>
      </c>
      <c r="J452">
        <v>-374.92110000000002</v>
      </c>
      <c r="K452">
        <v>1.1092930000000001</v>
      </c>
      <c r="L452">
        <v>368.42840000000001</v>
      </c>
      <c r="M452">
        <v>0.99994550000000004</v>
      </c>
      <c r="N452">
        <v>0</v>
      </c>
      <c r="O452">
        <v>8.4254289999999999E-3</v>
      </c>
      <c r="P452">
        <v>0.99973230000000002</v>
      </c>
      <c r="Q452">
        <v>8.3852600000000003E-3</v>
      </c>
      <c r="R452">
        <v>-2.1568199999999999E-2</v>
      </c>
      <c r="S452">
        <v>2.998596</v>
      </c>
      <c r="T452">
        <v>-0.8771021</v>
      </c>
      <c r="U452">
        <v>-0.43072510000000003</v>
      </c>
      <c r="V452">
        <v>3.0000889999999999E-2</v>
      </c>
      <c r="W452">
        <v>1.4546659999999999E-2</v>
      </c>
      <c r="X452">
        <v>0.999444</v>
      </c>
      <c r="Y452">
        <v>0.1442456</v>
      </c>
      <c r="Z452">
        <v>-2.2966750000000001E-2</v>
      </c>
      <c r="AA452">
        <v>0.98927529999999997</v>
      </c>
      <c r="AB452">
        <v>23</v>
      </c>
      <c r="AC452">
        <v>0.53910000000007496</v>
      </c>
      <c r="AD452">
        <v>-0.20651649999999999</v>
      </c>
      <c r="AE452">
        <v>-0.102599999999995</v>
      </c>
      <c r="AF452">
        <v>9.3848019620092593E-2</v>
      </c>
      <c r="AG452">
        <v>-0.20651649999999999</v>
      </c>
      <c r="AH452">
        <v>0.47145049817338103</v>
      </c>
      <c r="AI452">
        <v>113.249118890964</v>
      </c>
      <c r="AJ452">
        <v>78.741736790597997</v>
      </c>
      <c r="AK452">
        <v>0.52318456378871903</v>
      </c>
      <c r="AL452">
        <v>89.1665083656181</v>
      </c>
      <c r="AM452">
        <v>88.280635657706597</v>
      </c>
      <c r="AN452">
        <v>0.99999998392697298</v>
      </c>
    </row>
    <row r="453" spans="1:40" x14ac:dyDescent="0.25">
      <c r="A453" t="str">
        <f>"20190312154222344"</f>
        <v>20190312154222344</v>
      </c>
      <c r="B453" t="str">
        <f>"1552376542338343"</f>
        <v>1552376542338343</v>
      </c>
      <c r="C453" t="s">
        <v>40</v>
      </c>
      <c r="D453">
        <v>5.2031099999999997</v>
      </c>
      <c r="E453">
        <v>0.55062759999999999</v>
      </c>
      <c r="F453" t="s">
        <v>41</v>
      </c>
      <c r="G453">
        <v>-374.18099999999998</v>
      </c>
      <c r="H453">
        <v>0.89292800000000006</v>
      </c>
      <c r="I453">
        <v>368.32170000000002</v>
      </c>
      <c r="J453">
        <v>-374.67840000000001</v>
      </c>
      <c r="K453">
        <v>1.109229</v>
      </c>
      <c r="L453">
        <v>368.43</v>
      </c>
      <c r="M453">
        <v>0.9999517</v>
      </c>
      <c r="N453">
        <v>0</v>
      </c>
      <c r="O453">
        <v>7.946313E-3</v>
      </c>
      <c r="P453">
        <v>0.99971319999999997</v>
      </c>
      <c r="Q453">
        <v>8.9755059999999994E-3</v>
      </c>
      <c r="R453">
        <v>-2.2210009999999999E-2</v>
      </c>
      <c r="S453">
        <v>2.9988709999999998</v>
      </c>
      <c r="T453">
        <v>-0.87665550000000003</v>
      </c>
      <c r="U453">
        <v>-0.4309692</v>
      </c>
      <c r="V453">
        <v>3.0163760000000001E-2</v>
      </c>
      <c r="W453">
        <v>1.47636E-2</v>
      </c>
      <c r="X453">
        <v>0.99943599999999999</v>
      </c>
      <c r="Y453">
        <v>0.14388020000000001</v>
      </c>
      <c r="Z453">
        <v>-2.2764759999999998E-2</v>
      </c>
      <c r="AA453">
        <v>0.98933320000000002</v>
      </c>
      <c r="AB453">
        <v>23</v>
      </c>
      <c r="AC453">
        <v>0.49740000000002699</v>
      </c>
      <c r="AD453">
        <v>-0.21630099999999999</v>
      </c>
      <c r="AE453">
        <v>-0.10829999999998501</v>
      </c>
      <c r="AF453">
        <v>9.5082328831065002E-2</v>
      </c>
      <c r="AG453">
        <v>-0.21630099999999999</v>
      </c>
      <c r="AH453">
        <v>0.42058788236794398</v>
      </c>
      <c r="AI453">
        <v>116.639434142425</v>
      </c>
      <c r="AJ453">
        <v>77.261274098622394</v>
      </c>
      <c r="AK453">
        <v>0.48241158635722098</v>
      </c>
      <c r="AL453">
        <v>89.154077354432303</v>
      </c>
      <c r="AM453">
        <v>88.271293325009793</v>
      </c>
      <c r="AN453">
        <v>1.00000006719914</v>
      </c>
    </row>
    <row r="454" spans="1:40" x14ac:dyDescent="0.25">
      <c r="A454" t="str">
        <f>"20190312154222358"</f>
        <v>20190312154222358</v>
      </c>
      <c r="B454" t="str">
        <f>"1552376542348104"</f>
        <v>1552376542348104</v>
      </c>
      <c r="C454" t="s">
        <v>40</v>
      </c>
      <c r="D454">
        <v>5.2246969999999999</v>
      </c>
      <c r="E454">
        <v>0.55064679999999999</v>
      </c>
      <c r="F454" t="s">
        <v>41</v>
      </c>
      <c r="G454">
        <v>-373.97089999999997</v>
      </c>
      <c r="H454">
        <v>0.90248419999999896</v>
      </c>
      <c r="I454">
        <v>368.32780000000002</v>
      </c>
      <c r="J454">
        <v>-374.53019999999998</v>
      </c>
      <c r="K454">
        <v>1.1091949999999999</v>
      </c>
      <c r="L454">
        <v>368.43079999999998</v>
      </c>
      <c r="M454">
        <v>0.99995509999999999</v>
      </c>
      <c r="N454">
        <v>0</v>
      </c>
      <c r="O454">
        <v>7.6546590000000003E-3</v>
      </c>
      <c r="P454">
        <v>0.99970999999999999</v>
      </c>
      <c r="Q454">
        <v>9.3387139999999997E-3</v>
      </c>
      <c r="R454">
        <v>-2.220726E-2</v>
      </c>
      <c r="S454">
        <v>2.9990839999999999</v>
      </c>
      <c r="T454">
        <v>-0.87637889999999996</v>
      </c>
      <c r="U454">
        <v>-0.43209839999999999</v>
      </c>
      <c r="V454">
        <v>2.986952E-2</v>
      </c>
      <c r="W454">
        <v>1.490234E-2</v>
      </c>
      <c r="X454">
        <v>0.99944270000000002</v>
      </c>
      <c r="Y454">
        <v>0.1439607</v>
      </c>
      <c r="Z454">
        <v>-2.268411E-2</v>
      </c>
      <c r="AA454">
        <v>0.98932339999999996</v>
      </c>
      <c r="AB454">
        <v>23</v>
      </c>
      <c r="AC454">
        <v>0.55930000000000701</v>
      </c>
      <c r="AD454">
        <v>-0.2067108</v>
      </c>
      <c r="AE454">
        <v>-0.10299999999995101</v>
      </c>
      <c r="AF454">
        <v>9.4759190509192001E-2</v>
      </c>
      <c r="AG454">
        <v>-0.2067108</v>
      </c>
      <c r="AH454">
        <v>0.49332018131581301</v>
      </c>
      <c r="AI454">
        <v>112.367014937747</v>
      </c>
      <c r="AJ454">
        <v>79.126801994763198</v>
      </c>
      <c r="AK454">
        <v>0.54320664605292102</v>
      </c>
      <c r="AL454">
        <v>89.146127197340903</v>
      </c>
      <c r="AM454">
        <v>88.288157816024395</v>
      </c>
      <c r="AN454">
        <v>0.99999998927289802</v>
      </c>
    </row>
    <row r="455" spans="1:40" x14ac:dyDescent="0.25">
      <c r="A455" t="str">
        <f>"20190312154222377"</f>
        <v>20190312154222377</v>
      </c>
      <c r="B455" t="str">
        <f>"1552376542367623"</f>
        <v>1552376542367623</v>
      </c>
      <c r="C455" t="s">
        <v>40</v>
      </c>
      <c r="D455">
        <v>5.2234669999999896</v>
      </c>
      <c r="E455">
        <v>0.55066490000000001</v>
      </c>
      <c r="F455" t="s">
        <v>41</v>
      </c>
      <c r="G455">
        <v>-373.76920000000001</v>
      </c>
      <c r="H455">
        <v>0.88707639999999999</v>
      </c>
      <c r="I455">
        <v>368.32080000000002</v>
      </c>
      <c r="J455">
        <v>-374.32679999999999</v>
      </c>
      <c r="K455">
        <v>1.1091549999999999</v>
      </c>
      <c r="L455">
        <v>368.43200000000002</v>
      </c>
      <c r="M455">
        <v>0.99995990000000001</v>
      </c>
      <c r="N455">
        <v>0</v>
      </c>
      <c r="O455">
        <v>7.2548419999999897E-3</v>
      </c>
      <c r="P455">
        <v>0.99969920000000001</v>
      </c>
      <c r="Q455">
        <v>9.4875789999999995E-3</v>
      </c>
      <c r="R455">
        <v>-2.2628829999999999E-2</v>
      </c>
      <c r="S455">
        <v>2.9995120000000002</v>
      </c>
      <c r="T455">
        <v>-0.8755155</v>
      </c>
      <c r="U455">
        <v>-0.43215940000000003</v>
      </c>
      <c r="V455">
        <v>2.9891259999999999E-2</v>
      </c>
      <c r="W455">
        <v>1.475311E-2</v>
      </c>
      <c r="X455">
        <v>0.9994442</v>
      </c>
      <c r="Y455">
        <v>0.14360970000000001</v>
      </c>
      <c r="Z455">
        <v>-2.249582E-2</v>
      </c>
      <c r="AA455">
        <v>0.98937870000000006</v>
      </c>
      <c r="AB455">
        <v>23</v>
      </c>
      <c r="AC455">
        <v>0.557599999999979</v>
      </c>
      <c r="AD455">
        <v>-0.22207859999999899</v>
      </c>
      <c r="AE455">
        <v>-0.111199999999939</v>
      </c>
      <c r="AF455">
        <v>9.9988542243487105E-2</v>
      </c>
      <c r="AG455">
        <v>-0.22207859999999899</v>
      </c>
      <c r="AH455">
        <v>0.48308143587935998</v>
      </c>
      <c r="AI455">
        <v>114.235882386372</v>
      </c>
      <c r="AJ455">
        <v>78.306006506696505</v>
      </c>
      <c r="AK455">
        <v>0.541003037744893</v>
      </c>
      <c r="AL455">
        <v>89.154678332622595</v>
      </c>
      <c r="AM455">
        <v>88.2869151937346</v>
      </c>
      <c r="AN455">
        <v>0.99999992529634696</v>
      </c>
    </row>
    <row r="456" spans="1:40" x14ac:dyDescent="0.25">
      <c r="A456" t="str">
        <f>"20190312154222390"</f>
        <v>20190312154222390</v>
      </c>
      <c r="B456" t="str">
        <f>"1552376542378359"</f>
        <v>1552376542378359</v>
      </c>
      <c r="C456" t="s">
        <v>40</v>
      </c>
      <c r="D456">
        <v>5.2460459999999998</v>
      </c>
      <c r="E456">
        <v>0.550674199999999</v>
      </c>
      <c r="F456" t="s">
        <v>41</v>
      </c>
      <c r="G456">
        <v>-373.56079999999997</v>
      </c>
      <c r="H456">
        <v>0.88551340000000001</v>
      </c>
      <c r="I456">
        <v>368.32139999999998</v>
      </c>
      <c r="J456">
        <v>-374.19589999999999</v>
      </c>
      <c r="K456">
        <v>1.1091279999999999</v>
      </c>
      <c r="L456">
        <v>368.43270000000001</v>
      </c>
      <c r="M456">
        <v>0.99996260000000003</v>
      </c>
      <c r="N456">
        <v>0</v>
      </c>
      <c r="O456">
        <v>6.9974750000000004E-3</v>
      </c>
      <c r="P456">
        <v>0.99968679999999999</v>
      </c>
      <c r="Q456">
        <v>9.4985910000000007E-3</v>
      </c>
      <c r="R456">
        <v>-2.3163469999999999E-2</v>
      </c>
      <c r="S456">
        <v>2.9993590000000001</v>
      </c>
      <c r="T456">
        <v>-0.87564969999999998</v>
      </c>
      <c r="U456">
        <v>-0.43365480000000001</v>
      </c>
      <c r="V456">
        <v>3.016872E-2</v>
      </c>
      <c r="W456">
        <v>1.457718E-2</v>
      </c>
      <c r="X456">
        <v>0.99943850000000001</v>
      </c>
      <c r="Y456">
        <v>0.14384459999999999</v>
      </c>
      <c r="Z456">
        <v>-2.245962E-2</v>
      </c>
      <c r="AA456">
        <v>0.98934540000000004</v>
      </c>
      <c r="AB456">
        <v>23</v>
      </c>
      <c r="AC456">
        <v>0.63510000000002198</v>
      </c>
      <c r="AD456">
        <v>-0.2236146</v>
      </c>
      <c r="AE456">
        <v>-0.111300000000028</v>
      </c>
      <c r="AF456">
        <v>0.103315105803369</v>
      </c>
      <c r="AG456">
        <v>-0.2236146</v>
      </c>
      <c r="AH456">
        <v>0.56620479889825004</v>
      </c>
      <c r="AI456">
        <v>111.232190348682</v>
      </c>
      <c r="AJ456">
        <v>79.659034135951998</v>
      </c>
      <c r="AK456">
        <v>0.61746690171678797</v>
      </c>
      <c r="AL456">
        <v>89.164759510157594</v>
      </c>
      <c r="AM456">
        <v>88.271013558664805</v>
      </c>
      <c r="AN456">
        <v>0.99999998056271999</v>
      </c>
    </row>
    <row r="457" spans="1:40" x14ac:dyDescent="0.25">
      <c r="A457" t="str">
        <f>"20190312154222405"</f>
        <v>20190312154222405</v>
      </c>
      <c r="B457" t="str">
        <f>"1552376542397879"</f>
        <v>1552376542397879</v>
      </c>
      <c r="C457" t="s">
        <v>40</v>
      </c>
      <c r="D457">
        <v>5.2420739999999997</v>
      </c>
      <c r="E457">
        <v>0.55069219999999997</v>
      </c>
      <c r="F457" t="s">
        <v>41</v>
      </c>
      <c r="G457">
        <v>-373.35840000000002</v>
      </c>
      <c r="H457">
        <v>0.86456699999999997</v>
      </c>
      <c r="I457">
        <v>368.3109</v>
      </c>
      <c r="J457">
        <v>-374.02789999999999</v>
      </c>
      <c r="K457">
        <v>1.1090949999999999</v>
      </c>
      <c r="L457">
        <v>368.43349999999998</v>
      </c>
      <c r="M457">
        <v>0.99996600000000002</v>
      </c>
      <c r="N457">
        <v>0</v>
      </c>
      <c r="O457">
        <v>6.6684930000000002E-3</v>
      </c>
      <c r="P457">
        <v>0.99967810000000001</v>
      </c>
      <c r="Q457">
        <v>9.6096170000000009E-3</v>
      </c>
      <c r="R457">
        <v>-2.3494230000000001E-2</v>
      </c>
      <c r="S457">
        <v>2.9992369999999999</v>
      </c>
      <c r="T457">
        <v>-0.87572729999999999</v>
      </c>
      <c r="U457">
        <v>-0.43548579999999998</v>
      </c>
      <c r="V457">
        <v>3.0170539999999999E-2</v>
      </c>
      <c r="W457">
        <v>1.4462269999999999E-2</v>
      </c>
      <c r="X457">
        <v>0.99944010000000005</v>
      </c>
      <c r="Y457">
        <v>0.144118</v>
      </c>
      <c r="Z457">
        <v>-2.2406740000000001E-2</v>
      </c>
      <c r="AA457">
        <v>0.98930680000000004</v>
      </c>
      <c r="AB457">
        <v>23</v>
      </c>
      <c r="AC457">
        <v>0.66949999999997001</v>
      </c>
      <c r="AD457">
        <v>-0.244528</v>
      </c>
      <c r="AE457">
        <v>-0.12259999999997701</v>
      </c>
      <c r="AF457">
        <v>0.112536580971279</v>
      </c>
      <c r="AG457">
        <v>-0.244528</v>
      </c>
      <c r="AH457">
        <v>0.59222764527236804</v>
      </c>
      <c r="AI457">
        <v>112.079282499597</v>
      </c>
      <c r="AJ457">
        <v>79.240788375463296</v>
      </c>
      <c r="AK457">
        <v>0.65053209656830902</v>
      </c>
      <c r="AL457">
        <v>89.171344050460306</v>
      </c>
      <c r="AM457">
        <v>88.270912083163907</v>
      </c>
      <c r="AN457">
        <v>0.99999996611272601</v>
      </c>
    </row>
    <row r="458" spans="1:40" x14ac:dyDescent="0.25">
      <c r="A458" t="str">
        <f>"20190312154222423"</f>
        <v>20190312154222423</v>
      </c>
      <c r="B458" t="str">
        <f>"1552376542407641"</f>
        <v>1552376542407641</v>
      </c>
      <c r="C458" t="s">
        <v>40</v>
      </c>
      <c r="D458">
        <v>5.2200110000000004</v>
      </c>
      <c r="E458">
        <v>0.55069140000000005</v>
      </c>
      <c r="F458" t="s">
        <v>41</v>
      </c>
      <c r="G458">
        <v>-373.34120000000001</v>
      </c>
      <c r="H458">
        <v>0.90851099999999996</v>
      </c>
      <c r="I458">
        <v>368.33319999999998</v>
      </c>
      <c r="J458">
        <v>-373.85700000000003</v>
      </c>
      <c r="K458">
        <v>1.109067</v>
      </c>
      <c r="L458">
        <v>368.43430000000001</v>
      </c>
      <c r="M458">
        <v>0.99996910000000006</v>
      </c>
      <c r="N458">
        <v>0</v>
      </c>
      <c r="O458">
        <v>6.3345060000000002E-3</v>
      </c>
      <c r="P458">
        <v>0.99966580000000005</v>
      </c>
      <c r="Q458">
        <v>9.4738600000000006E-3</v>
      </c>
      <c r="R458">
        <v>-2.4060109999999999E-2</v>
      </c>
      <c r="S458">
        <v>2.9991460000000001</v>
      </c>
      <c r="T458">
        <v>-0.87604530000000003</v>
      </c>
      <c r="U458">
        <v>-0.43704219999999999</v>
      </c>
      <c r="V458">
        <v>3.0402269999999999E-2</v>
      </c>
      <c r="W458">
        <v>1.4112309999999999E-2</v>
      </c>
      <c r="X458">
        <v>0.9994381</v>
      </c>
      <c r="Y458">
        <v>0.14429710000000001</v>
      </c>
      <c r="Z458">
        <v>-2.2344800000000001E-2</v>
      </c>
      <c r="AA458">
        <v>0.98928210000000005</v>
      </c>
      <c r="AB458">
        <v>23</v>
      </c>
      <c r="AC458">
        <v>0.51579999999995596</v>
      </c>
      <c r="AD458">
        <v>-0.20055600000000001</v>
      </c>
      <c r="AE458">
        <v>-0.10110000000003</v>
      </c>
      <c r="AF458">
        <v>9.11017042476608E-2</v>
      </c>
      <c r="AG458">
        <v>-0.20055600000000001</v>
      </c>
      <c r="AH458">
        <v>0.44967965492355899</v>
      </c>
      <c r="AI458">
        <v>113.610968078247</v>
      </c>
      <c r="AJ458">
        <v>78.547315334847696</v>
      </c>
      <c r="AK458">
        <v>0.50073348370665205</v>
      </c>
      <c r="AL458">
        <v>89.191397344745894</v>
      </c>
      <c r="AM458">
        <v>88.257636197635307</v>
      </c>
      <c r="AN458">
        <v>0.99999998552314895</v>
      </c>
    </row>
    <row r="459" spans="1:40" x14ac:dyDescent="0.25">
      <c r="A459" t="str">
        <f>"20190312154222444"</f>
        <v>20190312154222444</v>
      </c>
      <c r="B459" t="str">
        <f>"1552376542437895"</f>
        <v>1552376542437895</v>
      </c>
      <c r="C459" t="s">
        <v>40</v>
      </c>
      <c r="D459">
        <v>5.2588309999999998</v>
      </c>
      <c r="E459">
        <v>0.55073079999999996</v>
      </c>
      <c r="F459" t="s">
        <v>41</v>
      </c>
      <c r="G459">
        <v>-373.13350000000003</v>
      </c>
      <c r="H459">
        <v>0.89759739999999999</v>
      </c>
      <c r="I459">
        <v>368.32839999999999</v>
      </c>
      <c r="J459">
        <v>-373.61829999999998</v>
      </c>
      <c r="K459">
        <v>1.109027</v>
      </c>
      <c r="L459">
        <v>368.43529999999998</v>
      </c>
      <c r="M459">
        <v>0.99997320000000001</v>
      </c>
      <c r="N459">
        <v>0</v>
      </c>
      <c r="O459">
        <v>5.8683240000000003E-3</v>
      </c>
      <c r="P459">
        <v>0.99964450000000005</v>
      </c>
      <c r="Q459">
        <v>9.6958210000000003E-3</v>
      </c>
      <c r="R459">
        <v>-2.4846279999999998E-2</v>
      </c>
      <c r="S459">
        <v>2.9987490000000001</v>
      </c>
      <c r="T459">
        <v>-0.87650680000000003</v>
      </c>
      <c r="U459">
        <v>-0.43832399999999999</v>
      </c>
      <c r="V459">
        <v>3.0722320000000001E-2</v>
      </c>
      <c r="W459">
        <v>1.405986E-2</v>
      </c>
      <c r="X459">
        <v>0.99942900000000001</v>
      </c>
      <c r="Y459">
        <v>0.1442813</v>
      </c>
      <c r="Z459">
        <v>-2.2223179999999999E-2</v>
      </c>
      <c r="AA459">
        <v>0.98928709999999997</v>
      </c>
      <c r="AB459">
        <v>24</v>
      </c>
      <c r="AC459">
        <v>0.48479999999994999</v>
      </c>
      <c r="AD459">
        <v>-0.2114296</v>
      </c>
      <c r="AE459">
        <v>-0.106899999999996</v>
      </c>
      <c r="AF459">
        <v>9.2894092673104597E-2</v>
      </c>
      <c r="AG459">
        <v>-0.2114296</v>
      </c>
      <c r="AH459">
        <v>0.40982972899202502</v>
      </c>
      <c r="AI459">
        <v>116.70849194643201</v>
      </c>
      <c r="AJ459">
        <v>77.228843321567993</v>
      </c>
      <c r="AK459">
        <v>0.470417043670184</v>
      </c>
      <c r="AL459">
        <v>89.194402764555207</v>
      </c>
      <c r="AM459">
        <v>88.239289493635994</v>
      </c>
      <c r="AN459">
        <v>0.99999993332519799</v>
      </c>
    </row>
    <row r="460" spans="1:40" x14ac:dyDescent="0.25">
      <c r="A460" t="str">
        <f>"20190312154222467"</f>
        <v>20190312154222467</v>
      </c>
      <c r="B460" t="str">
        <f>"1552376542458392"</f>
        <v>1552376542458392</v>
      </c>
      <c r="C460" t="s">
        <v>40</v>
      </c>
      <c r="D460">
        <v>5.2554129999999999</v>
      </c>
      <c r="E460">
        <v>0.55075640000000003</v>
      </c>
      <c r="F460" t="s">
        <v>41</v>
      </c>
      <c r="G460">
        <v>-372.91759999999999</v>
      </c>
      <c r="H460">
        <v>0.90411520000000001</v>
      </c>
      <c r="I460">
        <v>368.33229999999998</v>
      </c>
      <c r="J460">
        <v>-373.37369999999999</v>
      </c>
      <c r="K460">
        <v>1.109</v>
      </c>
      <c r="L460">
        <v>368.43619999999999</v>
      </c>
      <c r="M460">
        <v>0.99997709999999995</v>
      </c>
      <c r="N460">
        <v>0</v>
      </c>
      <c r="O460">
        <v>5.3917870000000003E-3</v>
      </c>
      <c r="P460">
        <v>0.99962870000000004</v>
      </c>
      <c r="Q460">
        <v>1.002756E-2</v>
      </c>
      <c r="R460">
        <v>-2.5339E-2</v>
      </c>
      <c r="S460">
        <v>2.9986570000000001</v>
      </c>
      <c r="T460">
        <v>-0.87691350000000001</v>
      </c>
      <c r="U460">
        <v>-0.4406738</v>
      </c>
      <c r="V460">
        <v>3.0739099999999901E-2</v>
      </c>
      <c r="W460">
        <v>1.414521E-2</v>
      </c>
      <c r="X460">
        <v>0.99942730000000002</v>
      </c>
      <c r="Y460">
        <v>0.14457579999999901</v>
      </c>
      <c r="Z460">
        <v>-2.2138689999999999E-2</v>
      </c>
      <c r="AA460">
        <v>0.98924599999999996</v>
      </c>
      <c r="AB460">
        <v>24</v>
      </c>
      <c r="AC460">
        <v>0.45609999999999201</v>
      </c>
      <c r="AD460">
        <v>-0.20488480000000001</v>
      </c>
      <c r="AE460">
        <v>-0.10390000000001</v>
      </c>
      <c r="AF460">
        <v>8.9238620725148404E-2</v>
      </c>
      <c r="AG460">
        <v>-0.20488480000000001</v>
      </c>
      <c r="AH460">
        <v>0.38221162293760103</v>
      </c>
      <c r="AI460">
        <v>117.565069523403</v>
      </c>
      <c r="AJ460">
        <v>76.858029646667404</v>
      </c>
      <c r="AK460">
        <v>0.44274940701096599</v>
      </c>
      <c r="AL460">
        <v>89.189512099530702</v>
      </c>
      <c r="AM460">
        <v>88.238325435143395</v>
      </c>
      <c r="AN460">
        <v>0.99999995361002103</v>
      </c>
    </row>
    <row r="461" spans="1:40" x14ac:dyDescent="0.25">
      <c r="A461" t="str">
        <f>"20190312154222479"</f>
        <v>20190312154222479</v>
      </c>
      <c r="B461" t="str">
        <f>"1552376542468151"</f>
        <v>1552376542468151</v>
      </c>
      <c r="C461" t="s">
        <v>40</v>
      </c>
      <c r="D461">
        <v>5.2231629999999996</v>
      </c>
      <c r="E461">
        <v>0.55078530000000003</v>
      </c>
      <c r="F461" t="s">
        <v>41</v>
      </c>
      <c r="G461">
        <v>-372.69970000000001</v>
      </c>
      <c r="H461">
        <v>0.91198460000000003</v>
      </c>
      <c r="I461">
        <v>368.33690000000001</v>
      </c>
      <c r="J461">
        <v>-373.23669999999998</v>
      </c>
      <c r="K461">
        <v>1.108992</v>
      </c>
      <c r="L461">
        <v>368.43669999999997</v>
      </c>
      <c r="M461">
        <v>0.99997879999999995</v>
      </c>
      <c r="N461">
        <v>0</v>
      </c>
      <c r="O461">
        <v>5.1253929999999998E-3</v>
      </c>
      <c r="P461">
        <v>0.99962720000000005</v>
      </c>
      <c r="Q461">
        <v>9.908544E-3</v>
      </c>
      <c r="R461">
        <v>-2.544275E-2</v>
      </c>
      <c r="S461">
        <v>2.998688</v>
      </c>
      <c r="T461">
        <v>-0.87653969999999903</v>
      </c>
      <c r="U461">
        <v>-0.44226070000000001</v>
      </c>
      <c r="V461">
        <v>3.0576470000000001E-2</v>
      </c>
      <c r="W461">
        <v>1.390681E-2</v>
      </c>
      <c r="X461">
        <v>0.99943570000000004</v>
      </c>
      <c r="Y461">
        <v>0.14482979999999901</v>
      </c>
      <c r="Z461">
        <v>-2.208889E-2</v>
      </c>
      <c r="AA461">
        <v>0.98921000000000003</v>
      </c>
      <c r="AB461">
        <v>24</v>
      </c>
      <c r="AC461">
        <v>0.53699999999997705</v>
      </c>
      <c r="AD461">
        <v>-0.1970074</v>
      </c>
      <c r="AE461">
        <v>-9.9799999999959199E-2</v>
      </c>
      <c r="AF461">
        <v>9.0745295090189304E-2</v>
      </c>
      <c r="AG461">
        <v>-0.1970074</v>
      </c>
      <c r="AH461">
        <v>0.474721290118648</v>
      </c>
      <c r="AI461">
        <v>112.176573743492</v>
      </c>
      <c r="AJ461">
        <v>79.178181762460298</v>
      </c>
      <c r="AK461">
        <v>0.52192617057173796</v>
      </c>
      <c r="AL461">
        <v>89.203172810056401</v>
      </c>
      <c r="AM461">
        <v>88.247654741366205</v>
      </c>
      <c r="AN461">
        <v>1.0000000191582601</v>
      </c>
    </row>
    <row r="462" spans="1:40" x14ac:dyDescent="0.25">
      <c r="A462" t="str">
        <f>"20190312154222499"</f>
        <v>20190312154222499</v>
      </c>
      <c r="B462" t="str">
        <f>"1552376542487671"</f>
        <v>1552376542487671</v>
      </c>
      <c r="C462" t="s">
        <v>40</v>
      </c>
      <c r="D462">
        <v>5.2488429999999999</v>
      </c>
      <c r="E462">
        <v>0.55079129999999998</v>
      </c>
      <c r="F462" t="s">
        <v>41</v>
      </c>
      <c r="G462">
        <v>-372.49169999999998</v>
      </c>
      <c r="H462">
        <v>0.89105140000000005</v>
      </c>
      <c r="I462">
        <v>368.32639999999998</v>
      </c>
      <c r="J462">
        <v>-373.02519999999998</v>
      </c>
      <c r="K462">
        <v>1.1089690000000001</v>
      </c>
      <c r="L462">
        <v>368.43729999999999</v>
      </c>
      <c r="M462">
        <v>0.99998149999999997</v>
      </c>
      <c r="N462">
        <v>0</v>
      </c>
      <c r="O462">
        <v>4.7142620000000003E-3</v>
      </c>
      <c r="P462">
        <v>0.99961169999999999</v>
      </c>
      <c r="Q462">
        <v>9.7242409999999998E-3</v>
      </c>
      <c r="R462">
        <v>-2.6113540000000001E-2</v>
      </c>
      <c r="S462">
        <v>2.998535</v>
      </c>
      <c r="T462">
        <v>-0.87708580000000003</v>
      </c>
      <c r="U462">
        <v>-0.44271850000000001</v>
      </c>
      <c r="V462">
        <v>3.083603E-2</v>
      </c>
      <c r="W462">
        <v>1.3553030000000001E-2</v>
      </c>
      <c r="X462">
        <v>0.9994326</v>
      </c>
      <c r="Y462">
        <v>0.144597</v>
      </c>
      <c r="Z462">
        <v>-2.1952550000000001E-2</v>
      </c>
      <c r="AA462">
        <v>0.98924710000000005</v>
      </c>
      <c r="AB462">
        <v>24</v>
      </c>
      <c r="AC462">
        <v>0.53350000000000297</v>
      </c>
      <c r="AD462">
        <v>-0.21791759999999999</v>
      </c>
      <c r="AE462">
        <v>-0.110900000000015</v>
      </c>
      <c r="AF462">
        <v>9.7776031835576593E-2</v>
      </c>
      <c r="AG462">
        <v>-0.21791759999999999</v>
      </c>
      <c r="AH462">
        <v>0.45948371205630201</v>
      </c>
      <c r="AI462">
        <v>114.88563354311999</v>
      </c>
      <c r="AJ462">
        <v>77.986906372279407</v>
      </c>
      <c r="AK462">
        <v>0.51785472329245996</v>
      </c>
      <c r="AL462">
        <v>89.223444832744207</v>
      </c>
      <c r="AM462">
        <v>88.232783206743093</v>
      </c>
      <c r="AN462">
        <v>1.0000000336555499</v>
      </c>
    </row>
    <row r="463" spans="1:40" x14ac:dyDescent="0.25">
      <c r="A463" t="str">
        <f>"20190312154222521"</f>
        <v>20190312154222521</v>
      </c>
      <c r="B463" t="str">
        <f>"1552376542508168"</f>
        <v>1552376542508168</v>
      </c>
      <c r="C463" t="s">
        <v>40</v>
      </c>
      <c r="D463">
        <v>5.2674469999999998</v>
      </c>
      <c r="E463">
        <v>0.55085490000000004</v>
      </c>
      <c r="F463" t="s">
        <v>41</v>
      </c>
      <c r="G463">
        <v>-372.27480000000003</v>
      </c>
      <c r="H463">
        <v>0.88919369999999998</v>
      </c>
      <c r="I463">
        <v>368.32580000000002</v>
      </c>
      <c r="J463">
        <v>-372.78339999999997</v>
      </c>
      <c r="K463">
        <v>1.108949</v>
      </c>
      <c r="L463">
        <v>368.43799999999999</v>
      </c>
      <c r="M463">
        <v>0.99998419999999999</v>
      </c>
      <c r="N463">
        <v>0</v>
      </c>
      <c r="O463">
        <v>4.2446350000000001E-3</v>
      </c>
      <c r="P463">
        <v>0.99960059999999995</v>
      </c>
      <c r="Q463">
        <v>9.2505369999999996E-3</v>
      </c>
      <c r="R463">
        <v>-2.6707439999999999E-2</v>
      </c>
      <c r="S463">
        <v>2.998138</v>
      </c>
      <c r="T463">
        <v>-0.87798039999999999</v>
      </c>
      <c r="U463">
        <v>-0.44421389999999999</v>
      </c>
      <c r="V463">
        <v>3.0960129999999999E-2</v>
      </c>
      <c r="W463">
        <v>1.2914119999999999E-2</v>
      </c>
      <c r="X463">
        <v>0.99943720000000003</v>
      </c>
      <c r="Y463">
        <v>0.14463889999999999</v>
      </c>
      <c r="Z463">
        <v>-2.1847999999999999E-2</v>
      </c>
      <c r="AA463">
        <v>0.98924330000000005</v>
      </c>
      <c r="AB463">
        <v>24</v>
      </c>
      <c r="AC463">
        <v>0.50859999999994399</v>
      </c>
      <c r="AD463">
        <v>-0.21975529999999999</v>
      </c>
      <c r="AE463">
        <v>-0.112200000000029</v>
      </c>
      <c r="AF463">
        <v>9.7075637226246098E-2</v>
      </c>
      <c r="AG463">
        <v>-0.21975529999999999</v>
      </c>
      <c r="AH463">
        <v>0.43133027238696398</v>
      </c>
      <c r="AI463">
        <v>116.429662997791</v>
      </c>
      <c r="AJ463">
        <v>77.316288049587797</v>
      </c>
      <c r="AK463">
        <v>0.49372246768643602</v>
      </c>
      <c r="AL463">
        <v>89.260054867301704</v>
      </c>
      <c r="AM463">
        <v>88.225683718366597</v>
      </c>
      <c r="AN463">
        <v>1.00000001044441</v>
      </c>
    </row>
    <row r="464" spans="1:40" x14ac:dyDescent="0.25">
      <c r="A464" t="str">
        <f>"20190312154222544"</f>
        <v>20190312154222544</v>
      </c>
      <c r="B464" t="str">
        <f>"1552376542538424"</f>
        <v>1552376542538424</v>
      </c>
      <c r="C464" t="s">
        <v>40</v>
      </c>
      <c r="D464">
        <v>5.2754979999999998</v>
      </c>
      <c r="E464">
        <v>0.55089489999999997</v>
      </c>
      <c r="F464" t="s">
        <v>41</v>
      </c>
      <c r="G464">
        <v>-372.05360000000002</v>
      </c>
      <c r="H464">
        <v>0.89473879999999995</v>
      </c>
      <c r="I464">
        <v>368.32900000000001</v>
      </c>
      <c r="J464">
        <v>-372.53250000000003</v>
      </c>
      <c r="K464">
        <v>1.1089290000000001</v>
      </c>
      <c r="L464">
        <v>368.43849999999998</v>
      </c>
      <c r="M464">
        <v>0.99998670000000001</v>
      </c>
      <c r="N464">
        <v>0</v>
      </c>
      <c r="O464">
        <v>3.7581989999999998E-3</v>
      </c>
      <c r="P464">
        <v>0.99957940000000001</v>
      </c>
      <c r="Q464">
        <v>9.1920100000000005E-3</v>
      </c>
      <c r="R464">
        <v>-2.7506329999999999E-2</v>
      </c>
      <c r="S464">
        <v>2.9974059999999998</v>
      </c>
      <c r="T464">
        <v>-0.87976869999999996</v>
      </c>
      <c r="U464">
        <v>-0.4464417</v>
      </c>
      <c r="V464">
        <v>3.1272750000000002E-2</v>
      </c>
      <c r="W464">
        <v>1.2710529999999999E-2</v>
      </c>
      <c r="X464">
        <v>0.99943009999999999</v>
      </c>
      <c r="Y464">
        <v>0.14489540000000001</v>
      </c>
      <c r="Z464">
        <v>-2.1792260000000001E-2</v>
      </c>
      <c r="AA464">
        <v>0.98920699999999995</v>
      </c>
      <c r="AB464">
        <v>24</v>
      </c>
      <c r="AC464">
        <v>0.47890000000000998</v>
      </c>
      <c r="AD464">
        <v>-0.2141902</v>
      </c>
      <c r="AE464">
        <v>-0.109499999999968</v>
      </c>
      <c r="AF464">
        <v>9.3520885415402905E-2</v>
      </c>
      <c r="AG464">
        <v>-0.2141902</v>
      </c>
      <c r="AH464">
        <v>0.40205512777248698</v>
      </c>
      <c r="AI464">
        <v>117.424160205859</v>
      </c>
      <c r="AJ464">
        <v>76.9054445724299</v>
      </c>
      <c r="AK464">
        <v>0.46505045269634099</v>
      </c>
      <c r="AL464">
        <v>89.271720689377801</v>
      </c>
      <c r="AM464">
        <v>88.2077664570499</v>
      </c>
      <c r="AN464">
        <v>1.00000003362572</v>
      </c>
    </row>
    <row r="465" spans="1:40" x14ac:dyDescent="0.25">
      <c r="A465" t="str">
        <f>"20190312154222567"</f>
        <v>20190312154222567</v>
      </c>
      <c r="B465" t="str">
        <f>"1552376542557947"</f>
        <v>1552376542557947</v>
      </c>
      <c r="C465" t="s">
        <v>40</v>
      </c>
      <c r="D465">
        <v>5.3056239999999999</v>
      </c>
      <c r="E465">
        <v>0.55086080000000004</v>
      </c>
      <c r="F465" t="s">
        <v>41</v>
      </c>
      <c r="G465">
        <v>-371.83019999999999</v>
      </c>
      <c r="H465">
        <v>0.90258870000000002</v>
      </c>
      <c r="I465">
        <v>368.33319999999998</v>
      </c>
      <c r="J465">
        <v>-372.27670000000001</v>
      </c>
      <c r="K465">
        <v>1.108916</v>
      </c>
      <c r="L465">
        <v>368.43900000000002</v>
      </c>
      <c r="M465">
        <v>0.99998889999999996</v>
      </c>
      <c r="N465">
        <v>0</v>
      </c>
      <c r="O465">
        <v>3.262465E-3</v>
      </c>
      <c r="P465">
        <v>0.9995638</v>
      </c>
      <c r="Q465">
        <v>9.7411270000000005E-3</v>
      </c>
      <c r="R465">
        <v>-2.788123E-2</v>
      </c>
      <c r="S465">
        <v>2.9969790000000001</v>
      </c>
      <c r="T465">
        <v>-0.88051650000000004</v>
      </c>
      <c r="U465">
        <v>-0.44952389999999998</v>
      </c>
      <c r="V465">
        <v>3.1152579999999999E-2</v>
      </c>
      <c r="W465">
        <v>1.313869E-2</v>
      </c>
      <c r="X465">
        <v>0.99942830000000005</v>
      </c>
      <c r="Y465">
        <v>0.1454096</v>
      </c>
      <c r="Z465">
        <v>-2.174311E-2</v>
      </c>
      <c r="AA465">
        <v>0.98913260000000003</v>
      </c>
      <c r="AB465">
        <v>24</v>
      </c>
      <c r="AC465">
        <v>0.446500000000014</v>
      </c>
      <c r="AD465">
        <v>-0.20632729999999999</v>
      </c>
      <c r="AE465">
        <v>-0.105800000000044</v>
      </c>
      <c r="AF465">
        <v>8.9217764294974994E-2</v>
      </c>
      <c r="AG465">
        <v>-0.20632729999999999</v>
      </c>
      <c r="AH465">
        <v>0.37111838893861199</v>
      </c>
      <c r="AI465">
        <v>118.39387688081599</v>
      </c>
      <c r="AJ465">
        <v>76.482466692582193</v>
      </c>
      <c r="AK465">
        <v>0.43388895215190099</v>
      </c>
      <c r="AL465">
        <v>89.247186867797794</v>
      </c>
      <c r="AM465">
        <v>88.21464569087</v>
      </c>
      <c r="AN465">
        <v>1.00000001762823</v>
      </c>
    </row>
    <row r="466" spans="1:40" x14ac:dyDescent="0.25">
      <c r="A466" t="str">
        <f>"20190312154222589"</f>
        <v>20190312154222589</v>
      </c>
      <c r="B466" t="str">
        <f>"1552376542577798"</f>
        <v>1552376542577798</v>
      </c>
      <c r="C466" t="s">
        <v>40</v>
      </c>
      <c r="D466">
        <v>5.2970309999999996</v>
      </c>
      <c r="E466">
        <v>0.52078959999999996</v>
      </c>
      <c r="F466" t="s">
        <v>41</v>
      </c>
      <c r="G466">
        <v>-371.60480000000001</v>
      </c>
      <c r="H466">
        <v>0.91186789999999995</v>
      </c>
      <c r="I466">
        <v>368.33769999999998</v>
      </c>
      <c r="J466">
        <v>-372.03559999999999</v>
      </c>
      <c r="K466">
        <v>1.1089119999999999</v>
      </c>
      <c r="L466">
        <v>368.4393</v>
      </c>
      <c r="M466">
        <v>0.99999059999999995</v>
      </c>
      <c r="N466">
        <v>0</v>
      </c>
      <c r="O466">
        <v>2.7958689999999999E-3</v>
      </c>
      <c r="P466">
        <v>0.99955530000000004</v>
      </c>
      <c r="Q466">
        <v>1.0310629999999999E-2</v>
      </c>
      <c r="R466">
        <v>-2.7981599999999999E-2</v>
      </c>
      <c r="S466">
        <v>2.9972840000000001</v>
      </c>
      <c r="T466">
        <v>-0.87895440000000002</v>
      </c>
      <c r="U466">
        <v>-0.45013429999999999</v>
      </c>
      <c r="V466">
        <v>3.078703E-2</v>
      </c>
      <c r="W466">
        <v>1.361978E-2</v>
      </c>
      <c r="X466">
        <v>0.99943320000000002</v>
      </c>
      <c r="Y466">
        <v>0.14518210000000001</v>
      </c>
      <c r="Z466">
        <v>-2.1537850000000001E-2</v>
      </c>
      <c r="AA466">
        <v>0.98917049999999995</v>
      </c>
      <c r="AB466">
        <v>25</v>
      </c>
      <c r="AC466">
        <v>0.43079999999997598</v>
      </c>
      <c r="AD466">
        <v>-0.1970441</v>
      </c>
      <c r="AE466">
        <v>-0.10160000000001899</v>
      </c>
      <c r="AF466">
        <v>8.5799934216992904E-2</v>
      </c>
      <c r="AG466">
        <v>-0.1970441</v>
      </c>
      <c r="AH466">
        <v>0.35930576239638801</v>
      </c>
      <c r="AI466">
        <v>118.075687764571</v>
      </c>
      <c r="AJ466">
        <v>76.569638977717801</v>
      </c>
      <c r="AK466">
        <v>0.418674858270353</v>
      </c>
      <c r="AL466">
        <v>89.219619984051207</v>
      </c>
      <c r="AM466">
        <v>88.235590685090102</v>
      </c>
      <c r="AN466">
        <v>1.00000003044285</v>
      </c>
    </row>
    <row r="467" spans="1:40" x14ac:dyDescent="0.25">
      <c r="A467" t="str">
        <f>"20190312154222611"</f>
        <v>20190312154222611</v>
      </c>
      <c r="B467" t="str">
        <f>"1552376542598294"</f>
        <v>1552376542598294</v>
      </c>
      <c r="C467" t="s">
        <v>40</v>
      </c>
      <c r="D467">
        <v>5.2947749999999996</v>
      </c>
      <c r="E467">
        <v>0.51059200000000005</v>
      </c>
      <c r="F467" t="s">
        <v>41</v>
      </c>
      <c r="G467">
        <v>-371.14789999999999</v>
      </c>
      <c r="H467">
        <v>0.93466009999999999</v>
      </c>
      <c r="I467">
        <v>368.37290000000002</v>
      </c>
      <c r="J467">
        <v>-371.77969999999999</v>
      </c>
      <c r="K467">
        <v>1.1088960000000001</v>
      </c>
      <c r="L467">
        <v>368.43950000000001</v>
      </c>
      <c r="M467">
        <v>0.9999922</v>
      </c>
      <c r="N467">
        <v>0</v>
      </c>
      <c r="O467">
        <v>2.3006229999999999E-3</v>
      </c>
      <c r="P467">
        <v>0.99955680000000002</v>
      </c>
      <c r="Q467">
        <v>1.044635E-2</v>
      </c>
      <c r="R467">
        <v>-2.788732E-2</v>
      </c>
      <c r="S467">
        <v>3.00116</v>
      </c>
      <c r="T467">
        <v>-0.58909699999999998</v>
      </c>
      <c r="U467">
        <v>-0.22332759999999999</v>
      </c>
      <c r="V467">
        <v>3.0197959999999999E-2</v>
      </c>
      <c r="W467">
        <v>1.36851E-2</v>
      </c>
      <c r="X467">
        <v>0.99945030000000001</v>
      </c>
      <c r="Y467">
        <v>7.5034899999999904E-2</v>
      </c>
      <c r="Z467">
        <v>-7.7316340000000002E-3</v>
      </c>
      <c r="AA467">
        <v>0.99715100000000001</v>
      </c>
      <c r="AB467">
        <v>25</v>
      </c>
      <c r="AC467">
        <v>0.63179999999999803</v>
      </c>
      <c r="AD467">
        <v>-0.174235899999999</v>
      </c>
      <c r="AE467">
        <v>-6.6599999999993997E-2</v>
      </c>
      <c r="AF467">
        <v>6.3292671189950897E-2</v>
      </c>
      <c r="AG467">
        <v>-0.174235899999999</v>
      </c>
      <c r="AH467">
        <v>0.58745818185668197</v>
      </c>
      <c r="AI467">
        <v>106.430065615654</v>
      </c>
      <c r="AJ467">
        <v>83.8506801833975</v>
      </c>
      <c r="AK467">
        <v>0.616012359052582</v>
      </c>
      <c r="AL467">
        <v>89.215877090708602</v>
      </c>
      <c r="AM467">
        <v>88.2693592369166</v>
      </c>
      <c r="AN467">
        <v>1.0000000504601201</v>
      </c>
    </row>
    <row r="468" spans="1:40" x14ac:dyDescent="0.25">
      <c r="A468" t="str">
        <f>"20190312154222634"</f>
        <v>20190312154222634</v>
      </c>
      <c r="B468" t="str">
        <f>"1552376542627574"</f>
        <v>1552376542627574</v>
      </c>
      <c r="C468" t="s">
        <v>40</v>
      </c>
      <c r="D468">
        <v>5.3179980000000002</v>
      </c>
      <c r="E468">
        <v>0.50066569999999999</v>
      </c>
      <c r="F468" t="s">
        <v>41</v>
      </c>
      <c r="G468">
        <v>-370.90219999999999</v>
      </c>
      <c r="H468">
        <v>0.97547130000000004</v>
      </c>
      <c r="I468">
        <v>368.3963</v>
      </c>
      <c r="J468">
        <v>-371.52699999999999</v>
      </c>
      <c r="K468">
        <v>1.108884</v>
      </c>
      <c r="L468">
        <v>368.43959999999998</v>
      </c>
      <c r="M468">
        <v>0.99999329999999997</v>
      </c>
      <c r="N468">
        <v>0</v>
      </c>
      <c r="O468">
        <v>1.812309E-3</v>
      </c>
      <c r="P468">
        <v>0.99954880000000002</v>
      </c>
      <c r="Q468">
        <v>1.0956E-2</v>
      </c>
      <c r="R468">
        <v>-2.79686E-2</v>
      </c>
      <c r="S468">
        <v>3.0019840000000002</v>
      </c>
      <c r="T468">
        <v>-0.45658209999999999</v>
      </c>
      <c r="U468">
        <v>-0.1472473</v>
      </c>
      <c r="V468">
        <v>2.9791749999999999E-2</v>
      </c>
      <c r="W468">
        <v>1.4144250000000001E-2</v>
      </c>
      <c r="X468">
        <v>0.99945600000000001</v>
      </c>
      <c r="Y468">
        <v>5.0204390000000002E-2</v>
      </c>
      <c r="Z468">
        <v>-4.0677170000000002E-3</v>
      </c>
      <c r="AA468">
        <v>0.99873069999999997</v>
      </c>
      <c r="AB468">
        <v>25</v>
      </c>
      <c r="AC468">
        <v>0.62479999999999303</v>
      </c>
      <c r="AD468">
        <v>-0.1334127</v>
      </c>
      <c r="AE468">
        <v>-4.3299999999987897E-2</v>
      </c>
      <c r="AF468">
        <v>4.2503598617329399E-2</v>
      </c>
      <c r="AG468">
        <v>-0.1334127</v>
      </c>
      <c r="AH468">
        <v>0.59760332351664103</v>
      </c>
      <c r="AI468">
        <v>102.554003414679</v>
      </c>
      <c r="AJ468">
        <v>85.931778120137693</v>
      </c>
      <c r="AK468">
        <v>0.61378761529933801</v>
      </c>
      <c r="AL468">
        <v>89.189567107725395</v>
      </c>
      <c r="AM468">
        <v>88.292634932365402</v>
      </c>
      <c r="AN468">
        <v>0.99999995205606096</v>
      </c>
    </row>
    <row r="469" spans="1:40" x14ac:dyDescent="0.25">
      <c r="A469" t="str">
        <f>"20190312154222656"</f>
        <v>20190312154222656</v>
      </c>
      <c r="B469" t="str">
        <f>"1552376542648070"</f>
        <v>1552376542648070</v>
      </c>
      <c r="C469" t="s">
        <v>40</v>
      </c>
      <c r="D469">
        <v>5.271846</v>
      </c>
      <c r="E469">
        <v>0.49819669999999999</v>
      </c>
      <c r="F469" t="s">
        <v>41</v>
      </c>
      <c r="G469">
        <v>-370.65899999999999</v>
      </c>
      <c r="H469">
        <v>1.0085660000000001</v>
      </c>
      <c r="I469">
        <v>368.41820000000001</v>
      </c>
      <c r="J469">
        <v>-371.26960000000003</v>
      </c>
      <c r="K469">
        <v>1.1088789999999999</v>
      </c>
      <c r="L469">
        <v>368.43950000000001</v>
      </c>
      <c r="M469">
        <v>0.99999400000000005</v>
      </c>
      <c r="N469">
        <v>0</v>
      </c>
      <c r="O469">
        <v>1.316446E-3</v>
      </c>
      <c r="P469">
        <v>0.99954069999999995</v>
      </c>
      <c r="Q469">
        <v>1.127532E-2</v>
      </c>
      <c r="R469">
        <v>-2.8132259999999999E-2</v>
      </c>
      <c r="S469">
        <v>3.003082</v>
      </c>
      <c r="T469">
        <v>-0.34713539999999998</v>
      </c>
      <c r="U469">
        <v>-7.2845460000000001E-2</v>
      </c>
      <c r="V469">
        <v>2.9460009999999998E-2</v>
      </c>
      <c r="W469">
        <v>1.443176E-2</v>
      </c>
      <c r="X469">
        <v>0.99946179999999996</v>
      </c>
      <c r="Y469">
        <v>2.53881E-2</v>
      </c>
      <c r="Z469">
        <v>-1.6139079999999901E-3</v>
      </c>
      <c r="AA469">
        <v>0.99967629999999996</v>
      </c>
      <c r="AB469">
        <v>25</v>
      </c>
      <c r="AC469">
        <v>0.61060000000003301</v>
      </c>
      <c r="AD469">
        <v>-0.100313</v>
      </c>
      <c r="AE469">
        <v>-2.1299999999996499E-2</v>
      </c>
      <c r="AF469">
        <v>2.1523594563902099E-2</v>
      </c>
      <c r="AG469">
        <v>-0.100313</v>
      </c>
      <c r="AH469">
        <v>0.59454425956910995</v>
      </c>
      <c r="AI469">
        <v>99.570738047098203</v>
      </c>
      <c r="AJ469">
        <v>87.926692934776398</v>
      </c>
      <c r="AK469">
        <v>0.60333145092770701</v>
      </c>
      <c r="AL469">
        <v>89.1730923790265</v>
      </c>
      <c r="AM469">
        <v>88.311645676644005</v>
      </c>
      <c r="AN469">
        <v>1.0000000287725599</v>
      </c>
    </row>
    <row r="470" spans="1:40" x14ac:dyDescent="0.25">
      <c r="A470" t="str">
        <f>"20190312154222679"</f>
        <v>20190312154222679</v>
      </c>
      <c r="B470" t="str">
        <f>"1552376542667590"</f>
        <v>1552376542667590</v>
      </c>
      <c r="C470" t="s">
        <v>40</v>
      </c>
      <c r="D470">
        <v>5.2725179999999998</v>
      </c>
      <c r="E470">
        <v>0.49643480000000001</v>
      </c>
      <c r="F470" t="s">
        <v>41</v>
      </c>
      <c r="G470">
        <v>-370.42520000000002</v>
      </c>
      <c r="H470">
        <v>1.0193509999999999</v>
      </c>
      <c r="I470">
        <v>368.42410000000001</v>
      </c>
      <c r="J470">
        <v>-371.01830000000001</v>
      </c>
      <c r="K470">
        <v>1.108873</v>
      </c>
      <c r="L470">
        <v>368.4393</v>
      </c>
      <c r="M470">
        <v>0.99999479999999996</v>
      </c>
      <c r="N470">
        <v>0</v>
      </c>
      <c r="O470">
        <v>8.3438199999999896E-4</v>
      </c>
      <c r="P470">
        <v>0.99953999999999998</v>
      </c>
      <c r="Q470">
        <v>1.090089E-2</v>
      </c>
      <c r="R470">
        <v>-2.8313330000000001E-2</v>
      </c>
      <c r="S470">
        <v>3.0034179999999999</v>
      </c>
      <c r="T470">
        <v>-0.31840740000000001</v>
      </c>
      <c r="U470">
        <v>-5.4901119999999998E-2</v>
      </c>
      <c r="V470">
        <v>2.9158880000000002E-2</v>
      </c>
      <c r="W470">
        <v>1.404174E-2</v>
      </c>
      <c r="X470">
        <v>0.99947609999999998</v>
      </c>
      <c r="Y470">
        <v>1.8999619999999998E-2</v>
      </c>
      <c r="Z470">
        <v>-1.092429E-3</v>
      </c>
      <c r="AA470">
        <v>0.99981889999999995</v>
      </c>
      <c r="AB470">
        <v>25</v>
      </c>
      <c r="AC470">
        <v>0.59309999999999197</v>
      </c>
      <c r="AD470">
        <v>-8.9521999999999796E-2</v>
      </c>
      <c r="AE470">
        <v>-1.51999999999929E-2</v>
      </c>
      <c r="AF470">
        <v>1.5345488092292499E-2</v>
      </c>
      <c r="AG470">
        <v>-8.9521999999999796E-2</v>
      </c>
      <c r="AH470">
        <v>0.57988449311728396</v>
      </c>
      <c r="AI470">
        <v>98.772961486857795</v>
      </c>
      <c r="AJ470">
        <v>88.484135100021405</v>
      </c>
      <c r="AK470">
        <v>0.58695459606913303</v>
      </c>
      <c r="AL470">
        <v>89.1954410741169</v>
      </c>
      <c r="AM470">
        <v>88.328917508521499</v>
      </c>
      <c r="AN470">
        <v>0.99999994260814395</v>
      </c>
    </row>
    <row r="471" spans="1:40" x14ac:dyDescent="0.25">
      <c r="A471" t="str">
        <f>"20190312154222699"</f>
        <v>20190312154222699</v>
      </c>
      <c r="B471" t="str">
        <f>"1552376542688086"</f>
        <v>1552376542688086</v>
      </c>
      <c r="C471" t="s">
        <v>40</v>
      </c>
      <c r="D471">
        <v>5.2727269999999997</v>
      </c>
      <c r="E471">
        <v>0.49537930000000002</v>
      </c>
      <c r="F471" t="s">
        <v>41</v>
      </c>
      <c r="G471">
        <v>-370.1925</v>
      </c>
      <c r="H471">
        <v>1.0254760000000001</v>
      </c>
      <c r="I471">
        <v>368.42750000000001</v>
      </c>
      <c r="J471">
        <v>-370.77460000000002</v>
      </c>
      <c r="K471">
        <v>1.108868</v>
      </c>
      <c r="L471">
        <v>368.4391</v>
      </c>
      <c r="M471">
        <v>0.99999499999999997</v>
      </c>
      <c r="N471">
        <v>0</v>
      </c>
      <c r="O471">
        <v>3.6987780000000001E-4</v>
      </c>
      <c r="P471">
        <v>0.999529</v>
      </c>
      <c r="Q471">
        <v>1.0373250000000001E-2</v>
      </c>
      <c r="R471">
        <v>-2.8880030000000001E-2</v>
      </c>
      <c r="S471">
        <v>3.0035099999999999</v>
      </c>
      <c r="T471">
        <v>-0.30351139999999999</v>
      </c>
      <c r="U471">
        <v>-4.1992189999999999E-2</v>
      </c>
      <c r="V471">
        <v>2.9261369999999998E-2</v>
      </c>
      <c r="W471">
        <v>1.351203E-2</v>
      </c>
      <c r="X471">
        <v>0.99948049999999999</v>
      </c>
      <c r="Y471">
        <v>1.427495E-2</v>
      </c>
      <c r="Z471">
        <v>-7.5667140000000002E-4</v>
      </c>
      <c r="AA471">
        <v>0.99989779999999995</v>
      </c>
      <c r="AB471">
        <v>26</v>
      </c>
      <c r="AC471">
        <v>0.58210000000002504</v>
      </c>
      <c r="AD471">
        <v>-8.3391999999999897E-2</v>
      </c>
      <c r="AE471">
        <v>-1.15999999999871E-2</v>
      </c>
      <c r="AF471">
        <v>1.15777826592288E-2</v>
      </c>
      <c r="AG471">
        <v>-8.3391999999999897E-2</v>
      </c>
      <c r="AH471">
        <v>0.57039378174901501</v>
      </c>
      <c r="AI471">
        <v>98.316068069886697</v>
      </c>
      <c r="AJ471">
        <v>88.837177009614095</v>
      </c>
      <c r="AK471">
        <v>0.57657379143804999</v>
      </c>
      <c r="AL471">
        <v>89.225794176802907</v>
      </c>
      <c r="AM471">
        <v>88.323054578198906</v>
      </c>
      <c r="AN471">
        <v>1.00000003630462</v>
      </c>
    </row>
    <row r="472" spans="1:40" x14ac:dyDescent="0.25">
      <c r="A472" t="str">
        <f>"20190312154222723"</f>
        <v>20190312154222723</v>
      </c>
      <c r="B472" t="str">
        <f>"1552376542718342"</f>
        <v>1552376542718342</v>
      </c>
      <c r="C472" t="s">
        <v>40</v>
      </c>
      <c r="D472">
        <v>4.595396</v>
      </c>
      <c r="E472">
        <v>0.49433080000000001</v>
      </c>
      <c r="F472" t="s">
        <v>41</v>
      </c>
      <c r="G472">
        <v>-369.96010000000001</v>
      </c>
      <c r="H472">
        <v>1.028051</v>
      </c>
      <c r="I472">
        <v>368.42930000000001</v>
      </c>
      <c r="J472">
        <v>-370.50540000000001</v>
      </c>
      <c r="K472">
        <v>1.10886</v>
      </c>
      <c r="L472">
        <v>368.43860000000001</v>
      </c>
      <c r="M472">
        <v>0.99999510000000003</v>
      </c>
      <c r="N472">
        <v>0</v>
      </c>
      <c r="O472">
        <v>-1.3756240000000001E-4</v>
      </c>
      <c r="P472">
        <v>0.99949619999999995</v>
      </c>
      <c r="Q472">
        <v>1.0564520000000001E-2</v>
      </c>
      <c r="R472">
        <v>-2.9931360000000001E-2</v>
      </c>
      <c r="S472">
        <v>3.0034480000000001</v>
      </c>
      <c r="T472">
        <v>-0.29801250000000001</v>
      </c>
      <c r="U472">
        <v>-3.5552979999999998E-2</v>
      </c>
      <c r="V472">
        <v>2.9805459999999999E-2</v>
      </c>
      <c r="W472">
        <v>1.371371E-2</v>
      </c>
      <c r="X472">
        <v>0.99946170000000001</v>
      </c>
      <c r="Y472">
        <v>1.164252E-2</v>
      </c>
      <c r="Z472">
        <v>-5.6255490000000003E-4</v>
      </c>
      <c r="AA472">
        <v>0.99993209999999999</v>
      </c>
      <c r="AB472">
        <v>26</v>
      </c>
      <c r="AC472">
        <v>0.54529999999999701</v>
      </c>
      <c r="AD472">
        <v>-8.0808999999999895E-2</v>
      </c>
      <c r="AE472">
        <v>-9.2999999999960892E-3</v>
      </c>
      <c r="AF472">
        <v>9.0268083367621398E-3</v>
      </c>
      <c r="AG472">
        <v>-8.0808999999999895E-2</v>
      </c>
      <c r="AH472">
        <v>0.53358668270783205</v>
      </c>
      <c r="AI472">
        <v>98.610501695561695</v>
      </c>
      <c r="AJ472">
        <v>89.030806603733296</v>
      </c>
      <c r="AK472">
        <v>0.53974653839825304</v>
      </c>
      <c r="AL472">
        <v>89.214237712608295</v>
      </c>
      <c r="AM472">
        <v>88.291859413631002</v>
      </c>
      <c r="AN472">
        <v>1.00000006052733</v>
      </c>
    </row>
    <row r="473" spans="1:40" x14ac:dyDescent="0.25">
      <c r="A473" t="str">
        <f>"20190312154222745"</f>
        <v>20190312154222745</v>
      </c>
      <c r="B473" t="str">
        <f>"1552376542737865"</f>
        <v>1552376542737865</v>
      </c>
      <c r="C473" t="s">
        <v>40</v>
      </c>
      <c r="D473">
        <v>5.3170890000000002</v>
      </c>
      <c r="E473">
        <v>0.49402819999999997</v>
      </c>
      <c r="F473" t="s">
        <v>41</v>
      </c>
      <c r="G473">
        <v>-369.72399999999999</v>
      </c>
      <c r="H473">
        <v>1.0359100000000001</v>
      </c>
      <c r="I473">
        <v>368.43</v>
      </c>
      <c r="J473">
        <v>-370.24270000000001</v>
      </c>
      <c r="K473">
        <v>1.1088549999999999</v>
      </c>
      <c r="L473">
        <v>368.43810000000002</v>
      </c>
      <c r="M473">
        <v>0.99999479999999996</v>
      </c>
      <c r="N473">
        <v>0</v>
      </c>
      <c r="O473">
        <v>-6.2468859999999997E-4</v>
      </c>
      <c r="P473">
        <v>0.99948329999999996</v>
      </c>
      <c r="Q473">
        <v>1.048441E-2</v>
      </c>
      <c r="R473">
        <v>-3.039182E-2</v>
      </c>
      <c r="S473">
        <v>3.0035400000000001</v>
      </c>
      <c r="T473">
        <v>-0.2807924</v>
      </c>
      <c r="U473">
        <v>-3.125E-2</v>
      </c>
      <c r="V473">
        <v>2.9778900000000001E-2</v>
      </c>
      <c r="W473">
        <v>1.365506E-2</v>
      </c>
      <c r="X473">
        <v>0.99946330000000005</v>
      </c>
      <c r="Y473">
        <v>9.7394279999999996E-3</v>
      </c>
      <c r="Z473">
        <v>-3.95981E-4</v>
      </c>
      <c r="AA473">
        <v>0.99995250000000002</v>
      </c>
      <c r="AB473">
        <v>26</v>
      </c>
      <c r="AC473">
        <v>0.51870000000002303</v>
      </c>
      <c r="AD473">
        <v>-7.2944999999999802E-2</v>
      </c>
      <c r="AE473">
        <v>-8.1000000000130898E-3</v>
      </c>
      <c r="AF473">
        <v>7.6252045592189698E-3</v>
      </c>
      <c r="AG473">
        <v>-7.2944999999999802E-2</v>
      </c>
      <c r="AH473">
        <v>0.508647924192968</v>
      </c>
      <c r="AI473">
        <v>98.160216322694794</v>
      </c>
      <c r="AJ473">
        <v>89.141136148087298</v>
      </c>
      <c r="AK473">
        <v>0.51390838439880104</v>
      </c>
      <c r="AL473">
        <v>89.217598428679906</v>
      </c>
      <c r="AM473">
        <v>88.293383387918297</v>
      </c>
      <c r="AN473">
        <v>1.0000000657978401</v>
      </c>
    </row>
    <row r="474" spans="1:40" x14ac:dyDescent="0.25">
      <c r="A474" t="str">
        <f>"20190312154222768"</f>
        <v>20190312154222768</v>
      </c>
      <c r="B474" t="str">
        <f>"1552376542758359"</f>
        <v>1552376542758359</v>
      </c>
      <c r="C474" t="s">
        <v>40</v>
      </c>
      <c r="D474">
        <v>5.3064600000000004</v>
      </c>
      <c r="E474">
        <v>0.49362470000000003</v>
      </c>
      <c r="F474" t="s">
        <v>41</v>
      </c>
      <c r="G474">
        <v>-369.48750000000001</v>
      </c>
      <c r="H474">
        <v>1.041237</v>
      </c>
      <c r="I474">
        <v>368.43029999999999</v>
      </c>
      <c r="J474">
        <v>-369.983</v>
      </c>
      <c r="K474">
        <v>1.1088530000000001</v>
      </c>
      <c r="L474">
        <v>368.43740000000003</v>
      </c>
      <c r="M474">
        <v>0.99999420000000006</v>
      </c>
      <c r="N474">
        <v>0</v>
      </c>
      <c r="O474">
        <v>-1.095129E-3</v>
      </c>
      <c r="P474">
        <v>0.99945689999999998</v>
      </c>
      <c r="Q474">
        <v>1.051682E-2</v>
      </c>
      <c r="R474">
        <v>-3.123248E-2</v>
      </c>
      <c r="S474">
        <v>3.0034480000000001</v>
      </c>
      <c r="T474">
        <v>-0.26897389999999999</v>
      </c>
      <c r="U474">
        <v>-3.0761719999999999E-2</v>
      </c>
      <c r="V474">
        <v>3.0149370000000002E-2</v>
      </c>
      <c r="W474">
        <v>1.371609E-2</v>
      </c>
      <c r="X474">
        <v>0.99945130000000004</v>
      </c>
      <c r="Y474">
        <v>9.1144250000000007E-3</v>
      </c>
      <c r="Z474">
        <v>-3.0941950000000002E-4</v>
      </c>
      <c r="AA474">
        <v>0.99995840000000003</v>
      </c>
      <c r="AB474">
        <v>26</v>
      </c>
      <c r="AC474">
        <v>0.495499999999992</v>
      </c>
      <c r="AD474">
        <v>-6.7615999999999898E-2</v>
      </c>
      <c r="AE474">
        <v>-7.1000000000367401E-3</v>
      </c>
      <c r="AF474">
        <v>6.4375059278891896E-3</v>
      </c>
      <c r="AG474">
        <v>-6.7615999999999898E-2</v>
      </c>
      <c r="AH474">
        <v>0.48645095451546</v>
      </c>
      <c r="AI474">
        <v>97.912645383283206</v>
      </c>
      <c r="AJ474">
        <v>89.241813820071499</v>
      </c>
      <c r="AK474">
        <v>0.49116992587858399</v>
      </c>
      <c r="AL474">
        <v>89.214101294829106</v>
      </c>
      <c r="AM474">
        <v>88.272143961241198</v>
      </c>
      <c r="AN474">
        <v>1.00000000835398</v>
      </c>
    </row>
    <row r="475" spans="1:40" x14ac:dyDescent="0.25">
      <c r="A475" t="str">
        <f>"20190312154222790"</f>
        <v>20190312154222790</v>
      </c>
      <c r="B475" t="str">
        <f>"1552376542777878"</f>
        <v>1552376542777878</v>
      </c>
      <c r="C475" t="s">
        <v>40</v>
      </c>
      <c r="D475">
        <v>5.3110169999999997</v>
      </c>
      <c r="E475">
        <v>0.49328810000000001</v>
      </c>
      <c r="F475" t="s">
        <v>41</v>
      </c>
      <c r="G475">
        <v>-369.24869999999999</v>
      </c>
      <c r="H475">
        <v>1.0456730000000001</v>
      </c>
      <c r="I475">
        <v>368.42959999999999</v>
      </c>
      <c r="J475">
        <v>-369.72469999999998</v>
      </c>
      <c r="K475">
        <v>1.10886</v>
      </c>
      <c r="L475">
        <v>368.4366</v>
      </c>
      <c r="M475">
        <v>0.99999360000000004</v>
      </c>
      <c r="N475">
        <v>0</v>
      </c>
      <c r="O475">
        <v>-1.546609E-3</v>
      </c>
      <c r="P475">
        <v>0.99942739999999997</v>
      </c>
      <c r="Q475">
        <v>1.054049E-2</v>
      </c>
      <c r="R475">
        <v>-3.2155019999999999E-2</v>
      </c>
      <c r="S475">
        <v>3.0034179999999999</v>
      </c>
      <c r="T475">
        <v>-0.25861919999999999</v>
      </c>
      <c r="U475">
        <v>-3.067017E-2</v>
      </c>
      <c r="V475">
        <v>3.062049E-2</v>
      </c>
      <c r="W475">
        <v>1.377331E-2</v>
      </c>
      <c r="X475">
        <v>0.9994362</v>
      </c>
      <c r="Y475">
        <v>8.6384329999999992E-3</v>
      </c>
      <c r="Z475">
        <v>-2.38297E-4</v>
      </c>
      <c r="AA475">
        <v>0.99996269999999998</v>
      </c>
      <c r="AB475">
        <v>26</v>
      </c>
      <c r="AC475">
        <v>0.47599999999999898</v>
      </c>
      <c r="AD475">
        <v>-6.3187000000000104E-2</v>
      </c>
      <c r="AE475">
        <v>-7.0000000000049996E-3</v>
      </c>
      <c r="AF475">
        <v>6.1553590321926999E-3</v>
      </c>
      <c r="AG475">
        <v>-6.3187000000000104E-2</v>
      </c>
      <c r="AH475">
        <v>0.46776926788907403</v>
      </c>
      <c r="AI475">
        <v>97.692378834349398</v>
      </c>
      <c r="AJ475">
        <v>89.246090403993904</v>
      </c>
      <c r="AK475">
        <v>0.47205780726018598</v>
      </c>
      <c r="AL475">
        <v>89.210822528379595</v>
      </c>
      <c r="AM475">
        <v>88.2451343976755</v>
      </c>
      <c r="AN475">
        <v>1.00000001817331</v>
      </c>
    </row>
    <row r="476" spans="1:40" x14ac:dyDescent="0.25">
      <c r="A476" t="str">
        <f>"20190312154222813"</f>
        <v>20190312154222813</v>
      </c>
      <c r="B476" t="str">
        <f>"1552376542808134"</f>
        <v>1552376542808134</v>
      </c>
      <c r="C476" t="s">
        <v>40</v>
      </c>
      <c r="D476">
        <v>5.2995109999999999</v>
      </c>
      <c r="E476">
        <v>0.49270330000000001</v>
      </c>
      <c r="F476" t="s">
        <v>41</v>
      </c>
      <c r="G476">
        <v>-368.78469999999999</v>
      </c>
      <c r="H476">
        <v>1.0304850000000001</v>
      </c>
      <c r="I476">
        <v>368.42669999999998</v>
      </c>
      <c r="J476">
        <v>-369.45330000000001</v>
      </c>
      <c r="K476">
        <v>1.108867</v>
      </c>
      <c r="L476">
        <v>368.4357</v>
      </c>
      <c r="M476">
        <v>0.99999269999999996</v>
      </c>
      <c r="N476">
        <v>0</v>
      </c>
      <c r="O476">
        <v>-2.0020189999999998E-3</v>
      </c>
      <c r="P476">
        <v>0.9994035</v>
      </c>
      <c r="Q476">
        <v>1.038848E-2</v>
      </c>
      <c r="R476">
        <v>-3.294002E-2</v>
      </c>
      <c r="S476">
        <v>3.0033569999999998</v>
      </c>
      <c r="T476">
        <v>-0.25057180000000001</v>
      </c>
      <c r="U476">
        <v>-3.1127930000000002E-2</v>
      </c>
      <c r="V476">
        <v>3.0949910000000001E-2</v>
      </c>
      <c r="W476">
        <v>1.3660790000000001E-2</v>
      </c>
      <c r="X476">
        <v>0.99942759999999997</v>
      </c>
      <c r="Y476">
        <v>8.339862E-3</v>
      </c>
      <c r="Z476">
        <v>-1.8055139999999999E-4</v>
      </c>
      <c r="AA476">
        <v>0.9999652</v>
      </c>
      <c r="AB476">
        <v>26</v>
      </c>
      <c r="AC476">
        <v>0.66860000000002595</v>
      </c>
      <c r="AD476">
        <v>-7.8381999999999896E-2</v>
      </c>
      <c r="AE476">
        <v>-9.0000000000145502E-3</v>
      </c>
      <c r="AF476">
        <v>7.5575756282208698E-3</v>
      </c>
      <c r="AG476">
        <v>-7.8381999999999896E-2</v>
      </c>
      <c r="AH476">
        <v>0.65955369033403899</v>
      </c>
      <c r="AI476">
        <v>96.776858854292698</v>
      </c>
      <c r="AJ476">
        <v>89.3434981215796</v>
      </c>
      <c r="AK476">
        <v>0.66423785296129101</v>
      </c>
      <c r="AL476">
        <v>89.217270058096901</v>
      </c>
      <c r="AM476">
        <v>88.226252022783797</v>
      </c>
      <c r="AN476">
        <v>1.0000000208770901</v>
      </c>
    </row>
    <row r="477" spans="1:40" x14ac:dyDescent="0.25">
      <c r="A477" t="str">
        <f>"20190312154222835"</f>
        <v>20190312154222835</v>
      </c>
      <c r="B477" t="str">
        <f>"1552376542827653"</f>
        <v>1552376542827653</v>
      </c>
      <c r="C477" t="s">
        <v>40</v>
      </c>
      <c r="D477">
        <v>5.2986230000000001</v>
      </c>
      <c r="E477">
        <v>0.49249349999999997</v>
      </c>
      <c r="F477" t="s">
        <v>41</v>
      </c>
      <c r="G477">
        <v>-368.5437</v>
      </c>
      <c r="H477">
        <v>1.035606</v>
      </c>
      <c r="I477">
        <v>368.42669999999998</v>
      </c>
      <c r="J477">
        <v>-369.17939999999999</v>
      </c>
      <c r="K477">
        <v>1.108878</v>
      </c>
      <c r="L477">
        <v>368.43470000000002</v>
      </c>
      <c r="M477">
        <v>0.99999150000000003</v>
      </c>
      <c r="N477">
        <v>0</v>
      </c>
      <c r="O477">
        <v>-2.4439599999999998E-3</v>
      </c>
      <c r="P477">
        <v>0.99936320000000001</v>
      </c>
      <c r="Q477">
        <v>1.106125E-2</v>
      </c>
      <c r="R477">
        <v>-3.3925139999999999E-2</v>
      </c>
      <c r="S477">
        <v>3.003387</v>
      </c>
      <c r="T477">
        <v>-0.24197089999999999</v>
      </c>
      <c r="U477">
        <v>-2.9418949999999999E-2</v>
      </c>
      <c r="V477">
        <v>3.1493779999999999E-2</v>
      </c>
      <c r="W477">
        <v>1.4375489999999999E-2</v>
      </c>
      <c r="X477">
        <v>0.99940059999999997</v>
      </c>
      <c r="Y477">
        <v>7.3350539999999997E-3</v>
      </c>
      <c r="Z477" s="1">
        <v>-9.8415769999999998E-5</v>
      </c>
      <c r="AA477">
        <v>0.99997309999999995</v>
      </c>
      <c r="AB477">
        <v>27</v>
      </c>
      <c r="AC477">
        <v>0.63569999999998505</v>
      </c>
      <c r="AD477">
        <v>-7.3272000000000004E-2</v>
      </c>
      <c r="AE477">
        <v>-8.0000000000381901E-3</v>
      </c>
      <c r="AF477">
        <v>6.3618365865942498E-3</v>
      </c>
      <c r="AG477">
        <v>-7.3272000000000004E-2</v>
      </c>
      <c r="AH477">
        <v>0.62738398282737395</v>
      </c>
      <c r="AI477">
        <v>96.661041362690895</v>
      </c>
      <c r="AJ477">
        <v>89.419025822031003</v>
      </c>
      <c r="AK477">
        <v>0.63168023624068903</v>
      </c>
      <c r="AL477">
        <v>89.176316752959707</v>
      </c>
      <c r="AM477">
        <v>88.195054390576601</v>
      </c>
      <c r="AN477">
        <v>1.0000000360858901</v>
      </c>
    </row>
    <row r="478" spans="1:40" x14ac:dyDescent="0.25">
      <c r="A478" t="str">
        <f>"20190312154222857"</f>
        <v>20190312154222857</v>
      </c>
      <c r="B478" t="str">
        <f>"1552376542848150"</f>
        <v>1552376542848150</v>
      </c>
      <c r="C478" t="s">
        <v>40</v>
      </c>
      <c r="D478">
        <v>5.2658339999999999</v>
      </c>
      <c r="E478">
        <v>0.4924346</v>
      </c>
      <c r="F478" t="s">
        <v>41</v>
      </c>
      <c r="G478">
        <v>-368.30169999999998</v>
      </c>
      <c r="H478">
        <v>1.040173</v>
      </c>
      <c r="I478">
        <v>368.42540000000002</v>
      </c>
      <c r="J478">
        <v>-368.90940000000001</v>
      </c>
      <c r="K478">
        <v>1.108894</v>
      </c>
      <c r="L478">
        <v>368.43360000000001</v>
      </c>
      <c r="M478">
        <v>0.9999903</v>
      </c>
      <c r="N478">
        <v>0</v>
      </c>
      <c r="O478">
        <v>-2.8575269999999999E-3</v>
      </c>
      <c r="P478">
        <v>0.99934750000000006</v>
      </c>
      <c r="Q478">
        <v>1.164365E-2</v>
      </c>
      <c r="R478">
        <v>-3.4193689999999999E-2</v>
      </c>
      <c r="S478">
        <v>3.0035099999999999</v>
      </c>
      <c r="T478">
        <v>-0.23528840000000001</v>
      </c>
      <c r="U478">
        <v>-3.0822749999999999E-2</v>
      </c>
      <c r="V478">
        <v>3.1349120000000001E-2</v>
      </c>
      <c r="W478">
        <v>1.500199E-2</v>
      </c>
      <c r="X478">
        <v>0.9993959</v>
      </c>
      <c r="Y478">
        <v>7.3903850000000002E-3</v>
      </c>
      <c r="Z478" s="1">
        <v>-6.5518530000000002E-5</v>
      </c>
      <c r="AA478">
        <v>0.99997270000000005</v>
      </c>
      <c r="AB478">
        <v>27</v>
      </c>
      <c r="AC478">
        <v>0.607700000000022</v>
      </c>
      <c r="AD478">
        <v>-6.8721000000000004E-2</v>
      </c>
      <c r="AE478">
        <v>-8.1999999999879895E-3</v>
      </c>
      <c r="AF478">
        <v>6.3818418770880498E-3</v>
      </c>
      <c r="AG478">
        <v>-6.8721000000000004E-2</v>
      </c>
      <c r="AH478">
        <v>0.60004895967314897</v>
      </c>
      <c r="AI478">
        <v>96.533005431603399</v>
      </c>
      <c r="AJ478">
        <v>89.390651690609005</v>
      </c>
      <c r="AK478">
        <v>0.60400501467419399</v>
      </c>
      <c r="AL478">
        <v>89.140417040278507</v>
      </c>
      <c r="AM478">
        <v>88.203331135363101</v>
      </c>
      <c r="AN478">
        <v>0.99999999598277201</v>
      </c>
    </row>
    <row r="479" spans="1:40" x14ac:dyDescent="0.25">
      <c r="A479" t="str">
        <f>"20190312154222879"</f>
        <v>20190312154222879</v>
      </c>
      <c r="B479" t="str">
        <f>"1552376542867672"</f>
        <v>1552376542867672</v>
      </c>
      <c r="C479" t="s">
        <v>40</v>
      </c>
      <c r="D479">
        <v>5.2331659999999998</v>
      </c>
      <c r="E479">
        <v>0.49235869999999998</v>
      </c>
      <c r="F479" t="s">
        <v>41</v>
      </c>
      <c r="G479">
        <v>-368.05770000000001</v>
      </c>
      <c r="H479">
        <v>1.043517</v>
      </c>
      <c r="I479">
        <v>368.42439999999999</v>
      </c>
      <c r="J479">
        <v>-368.64839999999998</v>
      </c>
      <c r="K479">
        <v>1.1089039999999999</v>
      </c>
      <c r="L479">
        <v>368.43239999999997</v>
      </c>
      <c r="M479">
        <v>0.99998889999999996</v>
      </c>
      <c r="N479">
        <v>0</v>
      </c>
      <c r="O479">
        <v>-3.2318659999999999E-3</v>
      </c>
      <c r="P479">
        <v>0.99934880000000004</v>
      </c>
      <c r="Q479">
        <v>1.18562999999999E-2</v>
      </c>
      <c r="R479">
        <v>-3.4084990000000003E-2</v>
      </c>
      <c r="S479">
        <v>3.0036010000000002</v>
      </c>
      <c r="T479">
        <v>-0.2307234</v>
      </c>
      <c r="U479">
        <v>-3.1311039999999998E-2</v>
      </c>
      <c r="V479">
        <v>3.086585E-2</v>
      </c>
      <c r="W479">
        <v>1.525898E-2</v>
      </c>
      <c r="X479">
        <v>0.99940709999999999</v>
      </c>
      <c r="Y479">
        <v>7.1805369999999999E-3</v>
      </c>
      <c r="Z479" s="1">
        <v>-2.748962E-5</v>
      </c>
      <c r="AA479">
        <v>0.99997420000000004</v>
      </c>
      <c r="AB479">
        <v>27</v>
      </c>
      <c r="AC479">
        <v>0.59069999999996903</v>
      </c>
      <c r="AD479">
        <v>-6.5387000000000001E-2</v>
      </c>
      <c r="AE479">
        <v>-7.9999999999813502E-3</v>
      </c>
      <c r="AF479">
        <v>6.0171678216251502E-3</v>
      </c>
      <c r="AG479">
        <v>-6.5387000000000001E-2</v>
      </c>
      <c r="AH479">
        <v>0.583573449782533</v>
      </c>
      <c r="AI479">
        <v>96.392754395848996</v>
      </c>
      <c r="AJ479">
        <v>89.4092498483501</v>
      </c>
      <c r="AK479">
        <v>0.58725602369722896</v>
      </c>
      <c r="AL479">
        <v>89.125690954357395</v>
      </c>
      <c r="AM479">
        <v>88.231030198341898</v>
      </c>
      <c r="AN479">
        <v>1.0000000443486301</v>
      </c>
    </row>
    <row r="480" spans="1:40" x14ac:dyDescent="0.25">
      <c r="A480" t="str">
        <f>"20190312154222900"</f>
        <v>20190312154222900</v>
      </c>
      <c r="B480" t="str">
        <f>"1552376542888167"</f>
        <v>1552376542888167</v>
      </c>
      <c r="C480" t="s">
        <v>40</v>
      </c>
      <c r="D480">
        <v>5.2162889999999997</v>
      </c>
      <c r="E480">
        <v>0.4923825</v>
      </c>
      <c r="F480" t="s">
        <v>41</v>
      </c>
      <c r="G480">
        <v>-367.81360000000001</v>
      </c>
      <c r="H480">
        <v>1.045774</v>
      </c>
      <c r="I480">
        <v>368.42360000000002</v>
      </c>
      <c r="J480">
        <v>-368.38920000000002</v>
      </c>
      <c r="K480">
        <v>1.1089169999999999</v>
      </c>
      <c r="L480">
        <v>368.43119999999999</v>
      </c>
      <c r="M480">
        <v>0.99998770000000003</v>
      </c>
      <c r="N480">
        <v>0</v>
      </c>
      <c r="O480">
        <v>-3.5772270000000001E-3</v>
      </c>
      <c r="P480">
        <v>0.99935719999999995</v>
      </c>
      <c r="Q480">
        <v>1.173884E-2</v>
      </c>
      <c r="R480">
        <v>-3.3878279999999997E-2</v>
      </c>
      <c r="S480">
        <v>3.003571</v>
      </c>
      <c r="T480">
        <v>-0.22738249999999999</v>
      </c>
      <c r="U480">
        <v>-3.0456540000000001E-2</v>
      </c>
      <c r="V480">
        <v>3.0313280000000001E-2</v>
      </c>
      <c r="W480">
        <v>1.518603E-2</v>
      </c>
      <c r="X480">
        <v>0.99942509999999996</v>
      </c>
      <c r="Y480">
        <v>6.5539459999999997E-3</v>
      </c>
      <c r="Z480" s="1">
        <v>2.2697319999999998E-5</v>
      </c>
      <c r="AA480">
        <v>0.99997849999999999</v>
      </c>
      <c r="AB480">
        <v>27</v>
      </c>
      <c r="AC480">
        <v>0.57560000000000799</v>
      </c>
      <c r="AD480">
        <v>-6.3142999999999894E-2</v>
      </c>
      <c r="AE480">
        <v>-7.5999999999680698E-3</v>
      </c>
      <c r="AF480">
        <v>5.4750127155489201E-3</v>
      </c>
      <c r="AG480">
        <v>-6.3142999999999894E-2</v>
      </c>
      <c r="AH480">
        <v>0.56878001670934597</v>
      </c>
      <c r="AI480">
        <v>96.334449708068604</v>
      </c>
      <c r="AJ480">
        <v>89.448494279076996</v>
      </c>
      <c r="AK480">
        <v>0.57230037709328696</v>
      </c>
      <c r="AL480">
        <v>89.129871144875807</v>
      </c>
      <c r="AM480">
        <v>88.262710529464599</v>
      </c>
      <c r="AN480">
        <v>1.00000002048076</v>
      </c>
    </row>
    <row r="481" spans="1:40" x14ac:dyDescent="0.25">
      <c r="A481" t="str">
        <f>"20190312154222924"</f>
        <v>20190312154222924</v>
      </c>
      <c r="B481" t="str">
        <f>"1552376542917446"</f>
        <v>1552376542917446</v>
      </c>
      <c r="C481" t="s">
        <v>40</v>
      </c>
      <c r="D481">
        <v>5.0789369999999998</v>
      </c>
      <c r="E481">
        <v>0.49254130000000002</v>
      </c>
      <c r="F481" t="s">
        <v>41</v>
      </c>
      <c r="G481">
        <v>-367.56880000000001</v>
      </c>
      <c r="H481">
        <v>1.0472429999999999</v>
      </c>
      <c r="I481">
        <v>368.42290000000003</v>
      </c>
      <c r="J481">
        <v>-368.10770000000002</v>
      </c>
      <c r="K481">
        <v>1.1089359999999999</v>
      </c>
      <c r="L481">
        <v>368.42989999999998</v>
      </c>
      <c r="M481">
        <v>0.99998620000000005</v>
      </c>
      <c r="N481">
        <v>0</v>
      </c>
      <c r="O481">
        <v>-3.9213850000000003E-3</v>
      </c>
      <c r="P481">
        <v>0.99935410000000002</v>
      </c>
      <c r="Q481">
        <v>1.2121359999999999E-2</v>
      </c>
      <c r="R481">
        <v>-3.3832130000000002E-2</v>
      </c>
      <c r="S481">
        <v>3.0035400000000001</v>
      </c>
      <c r="T481">
        <v>-0.22588469999999999</v>
      </c>
      <c r="U481">
        <v>-3.0517579999999999E-2</v>
      </c>
      <c r="V481">
        <v>2.9922879999999999E-2</v>
      </c>
      <c r="W481">
        <v>1.561799E-2</v>
      </c>
      <c r="X481">
        <v>0.99943020000000005</v>
      </c>
      <c r="Y481">
        <v>6.2322030000000004E-3</v>
      </c>
      <c r="Z481" s="1">
        <v>6.0475140000000003E-5</v>
      </c>
      <c r="AA481">
        <v>0.9999806</v>
      </c>
      <c r="AB481">
        <v>27</v>
      </c>
      <c r="AC481">
        <v>0.53890000000001204</v>
      </c>
      <c r="AD481">
        <v>-6.1693000000000199E-2</v>
      </c>
      <c r="AE481">
        <v>-6.9999999999481597E-3</v>
      </c>
      <c r="AF481">
        <v>4.8234949737022701E-3</v>
      </c>
      <c r="AG481">
        <v>-6.1693000000000199E-2</v>
      </c>
      <c r="AH481">
        <v>0.53195294399045501</v>
      </c>
      <c r="AI481">
        <v>96.615029198243704</v>
      </c>
      <c r="AJ481">
        <v>89.480483501919693</v>
      </c>
      <c r="AK481">
        <v>0.53554012638911896</v>
      </c>
      <c r="AL481">
        <v>89.105118717060805</v>
      </c>
      <c r="AM481">
        <v>88.285080107492206</v>
      </c>
      <c r="AN481">
        <v>1.0000000125155799</v>
      </c>
    </row>
    <row r="482" spans="1:40" x14ac:dyDescent="0.25">
      <c r="A482" t="str">
        <f>"20190312154222946"</f>
        <v>20190312154222946</v>
      </c>
      <c r="B482" t="str">
        <f>"1552376542937946"</f>
        <v>1552376542937946</v>
      </c>
      <c r="C482" t="s">
        <v>40</v>
      </c>
      <c r="D482">
        <v>5.0640150000000004</v>
      </c>
      <c r="E482">
        <v>0.51951270000000005</v>
      </c>
      <c r="F482" t="s">
        <v>41</v>
      </c>
      <c r="G482">
        <v>-367.31509999999997</v>
      </c>
      <c r="H482">
        <v>1.0493870000000001</v>
      </c>
      <c r="I482">
        <v>368.42129999999997</v>
      </c>
      <c r="J482">
        <v>-367.82650000000001</v>
      </c>
      <c r="K482">
        <v>1.1089549999999999</v>
      </c>
      <c r="L482">
        <v>368.42849999999999</v>
      </c>
      <c r="M482">
        <v>0.99998480000000001</v>
      </c>
      <c r="N482">
        <v>0</v>
      </c>
      <c r="O482">
        <v>-4.2346659999999998E-3</v>
      </c>
      <c r="P482">
        <v>0.99935200000000002</v>
      </c>
      <c r="Q482">
        <v>1.2088389999999999E-2</v>
      </c>
      <c r="R482">
        <v>-3.3909639999999998E-2</v>
      </c>
      <c r="S482">
        <v>3.0036320000000001</v>
      </c>
      <c r="T482">
        <v>-0.2258424</v>
      </c>
      <c r="U482">
        <v>-3.1555180000000002E-2</v>
      </c>
      <c r="V482">
        <v>2.9686319999999999E-2</v>
      </c>
      <c r="W482">
        <v>1.5634200000000001E-2</v>
      </c>
      <c r="X482">
        <v>0.99943700000000002</v>
      </c>
      <c r="Y482">
        <v>6.2648110000000003E-3</v>
      </c>
      <c r="Z482" s="1">
        <v>8.2759199999999999E-5</v>
      </c>
      <c r="AA482">
        <v>0.99998039999999999</v>
      </c>
      <c r="AB482">
        <v>27</v>
      </c>
      <c r="AC482">
        <v>0.51140000000003705</v>
      </c>
      <c r="AD482">
        <v>-5.9567999999999802E-2</v>
      </c>
      <c r="AE482">
        <v>-7.2000000000116398E-3</v>
      </c>
      <c r="AF482">
        <v>4.9669374428719503E-3</v>
      </c>
      <c r="AG482">
        <v>-5.9567999999999802E-2</v>
      </c>
      <c r="AH482">
        <v>0.50458127957702004</v>
      </c>
      <c r="AI482">
        <v>96.732528342917206</v>
      </c>
      <c r="AJ482">
        <v>89.436016806930795</v>
      </c>
      <c r="AK482">
        <v>0.508109520468908</v>
      </c>
      <c r="AL482">
        <v>89.104189838064102</v>
      </c>
      <c r="AM482">
        <v>88.298641243471295</v>
      </c>
      <c r="AN482">
        <v>1.0000000113868901</v>
      </c>
    </row>
    <row r="483" spans="1:40" x14ac:dyDescent="0.25">
      <c r="A483" t="str">
        <f>"20190312154222968"</f>
        <v>20190312154222968</v>
      </c>
      <c r="B483" t="str">
        <f>"1552376542957462"</f>
        <v>1552376542957462</v>
      </c>
      <c r="C483" t="s">
        <v>40</v>
      </c>
      <c r="D483">
        <v>4.9846620000000001</v>
      </c>
      <c r="E483">
        <v>0.52142599999999995</v>
      </c>
      <c r="F483" t="s">
        <v>43</v>
      </c>
      <c r="G483">
        <v>-347.75720000000001</v>
      </c>
      <c r="H483" s="1">
        <v>-1.6054689999999999E-6</v>
      </c>
      <c r="I483">
        <v>366.76010000000002</v>
      </c>
      <c r="J483">
        <v>-367.56270000000001</v>
      </c>
      <c r="K483">
        <v>1.10897</v>
      </c>
      <c r="L483">
        <v>368.4271</v>
      </c>
      <c r="M483">
        <v>0.99998339999999997</v>
      </c>
      <c r="N483">
        <v>0</v>
      </c>
      <c r="O483">
        <v>-4.5006259999999998E-3</v>
      </c>
      <c r="P483">
        <v>0.99935229999999997</v>
      </c>
      <c r="Q483">
        <v>1.183825E-2</v>
      </c>
      <c r="R483">
        <v>-3.3990260000000001E-2</v>
      </c>
      <c r="S483">
        <v>2.995514</v>
      </c>
      <c r="T483">
        <v>-0.165521</v>
      </c>
      <c r="U483">
        <v>-0.24902340000000001</v>
      </c>
      <c r="V483">
        <v>2.950028E-2</v>
      </c>
      <c r="W483">
        <v>1.543014E-2</v>
      </c>
      <c r="X483">
        <v>0.99944569999999999</v>
      </c>
      <c r="Y483">
        <v>7.8248609999999996E-2</v>
      </c>
      <c r="Z483">
        <v>-1.9084449999999999E-3</v>
      </c>
      <c r="AA483">
        <v>0.99693200000000004</v>
      </c>
      <c r="AB483">
        <v>27</v>
      </c>
      <c r="AC483">
        <v>19.805499999999899</v>
      </c>
      <c r="AD483">
        <v>-1.108971605469</v>
      </c>
      <c r="AE483">
        <v>-1.6669999999999701</v>
      </c>
      <c r="AF483">
        <v>1.57294852909862</v>
      </c>
      <c r="AG483">
        <v>-1.108971605469</v>
      </c>
      <c r="AH483">
        <v>19.751312729831</v>
      </c>
      <c r="AI483">
        <v>93.203475345162701</v>
      </c>
      <c r="AJ483">
        <v>85.446707283086198</v>
      </c>
      <c r="AK483">
        <v>19.844856755555401</v>
      </c>
      <c r="AL483">
        <v>89.115883043063405</v>
      </c>
      <c r="AM483">
        <v>88.309311920937603</v>
      </c>
      <c r="AN483">
        <v>1.0000000314944899</v>
      </c>
    </row>
    <row r="484" spans="1:40" x14ac:dyDescent="0.25">
      <c r="A484" t="str">
        <f>"20190312154222991"</f>
        <v>20190312154222991</v>
      </c>
      <c r="B484" t="str">
        <f>"1552376542977326"</f>
        <v>1552376542977326</v>
      </c>
      <c r="C484" t="s">
        <v>40</v>
      </c>
      <c r="D484">
        <v>4.9590930000000002</v>
      </c>
      <c r="E484">
        <v>0.52175939999999998</v>
      </c>
      <c r="F484" t="s">
        <v>43</v>
      </c>
      <c r="G484">
        <v>-345.24340000000001</v>
      </c>
      <c r="H484" s="1">
        <v>-2.7908980000000002E-6</v>
      </c>
      <c r="I484">
        <v>366.44850000000002</v>
      </c>
      <c r="J484">
        <v>-367.27280000000002</v>
      </c>
      <c r="K484">
        <v>1.108992</v>
      </c>
      <c r="L484">
        <v>368.4255</v>
      </c>
      <c r="M484">
        <v>0.99998209999999998</v>
      </c>
      <c r="N484">
        <v>0</v>
      </c>
      <c r="O484">
        <v>-4.7637299999999999E-3</v>
      </c>
      <c r="P484">
        <v>0.99934239999999996</v>
      </c>
      <c r="Q484">
        <v>1.14106E-2</v>
      </c>
      <c r="R484">
        <v>-3.4419810000000002E-2</v>
      </c>
      <c r="S484">
        <v>2.9946899999999999</v>
      </c>
      <c r="T484">
        <v>-0.14879579999999901</v>
      </c>
      <c r="U484">
        <v>-0.2654724</v>
      </c>
      <c r="V484">
        <v>2.96662E-2</v>
      </c>
      <c r="W484">
        <v>1.505396E-2</v>
      </c>
      <c r="X484">
        <v>0.99944650000000002</v>
      </c>
      <c r="Y484">
        <v>8.3458969999999993E-2</v>
      </c>
      <c r="Z484">
        <v>-1.8319950000000001E-3</v>
      </c>
      <c r="AA484">
        <v>0.9965096</v>
      </c>
      <c r="AB484">
        <v>28</v>
      </c>
      <c r="AC484">
        <v>22.029399999999999</v>
      </c>
      <c r="AD484">
        <v>-1.108994790898</v>
      </c>
      <c r="AE484">
        <v>-1.9769999999999699</v>
      </c>
      <c r="AF484">
        <v>1.8673402226387701</v>
      </c>
      <c r="AG484">
        <v>-1.108994790898</v>
      </c>
      <c r="AH484">
        <v>21.983301383992501</v>
      </c>
      <c r="AI484">
        <v>92.877614866925697</v>
      </c>
      <c r="AJ484">
        <v>85.144746787278294</v>
      </c>
      <c r="AK484">
        <v>22.090322964881501</v>
      </c>
      <c r="AL484">
        <v>89.137439050734301</v>
      </c>
      <c r="AM484">
        <v>88.299809819300606</v>
      </c>
      <c r="AN484">
        <v>1.0000000057481799</v>
      </c>
    </row>
    <row r="485" spans="1:40" x14ac:dyDescent="0.25">
      <c r="A485" t="str">
        <f>"20190312154223013"</f>
        <v>20190312154223013</v>
      </c>
      <c r="B485" t="str">
        <f>"1552376543007583"</f>
        <v>1552376543007583</v>
      </c>
      <c r="C485" t="s">
        <v>40</v>
      </c>
      <c r="D485">
        <v>4.9658360000000004</v>
      </c>
      <c r="E485">
        <v>0.52193109999999998</v>
      </c>
      <c r="F485" t="s">
        <v>43</v>
      </c>
      <c r="G485">
        <v>-343.87419999999997</v>
      </c>
      <c r="H485" s="1">
        <v>-3.4615510000000002E-6</v>
      </c>
      <c r="I485">
        <v>366.31639999999999</v>
      </c>
      <c r="J485">
        <v>-366.99689999999998</v>
      </c>
      <c r="K485">
        <v>1.1090070000000001</v>
      </c>
      <c r="L485">
        <v>368.4239</v>
      </c>
      <c r="M485">
        <v>0.9999808</v>
      </c>
      <c r="N485">
        <v>0</v>
      </c>
      <c r="O485">
        <v>-4.9935939999999996E-3</v>
      </c>
      <c r="P485">
        <v>0.99934429999999996</v>
      </c>
      <c r="Q485">
        <v>1.132961E-2</v>
      </c>
      <c r="R485">
        <v>-3.439673E-2</v>
      </c>
      <c r="S485">
        <v>2.9942929999999999</v>
      </c>
      <c r="T485">
        <v>-0.14191689999999901</v>
      </c>
      <c r="U485">
        <v>-0.26989750000000001</v>
      </c>
      <c r="V485">
        <v>2.9412770000000001E-2</v>
      </c>
      <c r="W485">
        <v>1.5022020000000001E-2</v>
      </c>
      <c r="X485">
        <v>0.99945439999999997</v>
      </c>
      <c r="Y485">
        <v>8.4709989999999999E-2</v>
      </c>
      <c r="Z485">
        <v>-1.766217E-3</v>
      </c>
      <c r="AA485">
        <v>0.99640410000000001</v>
      </c>
      <c r="AB485">
        <v>28</v>
      </c>
      <c r="AC485">
        <v>23.122699999999998</v>
      </c>
      <c r="AD485">
        <v>-1.1090104615509999</v>
      </c>
      <c r="AE485">
        <v>-2.1075000000000101</v>
      </c>
      <c r="AF485">
        <v>1.9874733496371799</v>
      </c>
      <c r="AG485">
        <v>-1.1090104615509999</v>
      </c>
      <c r="AH485">
        <v>23.080280435727101</v>
      </c>
      <c r="AI485">
        <v>92.740826263595693</v>
      </c>
      <c r="AJ485">
        <v>85.078325992765599</v>
      </c>
      <c r="AK485">
        <v>23.192224979746001</v>
      </c>
      <c r="AL485">
        <v>89.139269223894402</v>
      </c>
      <c r="AM485">
        <v>88.314338966292098</v>
      </c>
      <c r="AN485">
        <v>0.99999993490165395</v>
      </c>
    </row>
    <row r="486" spans="1:40" x14ac:dyDescent="0.25">
      <c r="A486" t="str">
        <f>"20190312154223036"</f>
        <v>20190312154223036</v>
      </c>
      <c r="B486" t="str">
        <f>"1552376543028078"</f>
        <v>1552376543028078</v>
      </c>
      <c r="C486" t="s">
        <v>40</v>
      </c>
      <c r="D486">
        <v>4.9849730000000001</v>
      </c>
      <c r="E486">
        <v>0.5218952</v>
      </c>
      <c r="F486" t="s">
        <v>43</v>
      </c>
      <c r="G486">
        <v>-342.68699999999899</v>
      </c>
      <c r="H486" s="1">
        <v>-4.0398709999999999E-6</v>
      </c>
      <c r="I486">
        <v>366.22</v>
      </c>
      <c r="J486">
        <v>-366.7081</v>
      </c>
      <c r="K486">
        <v>1.1090169999999999</v>
      </c>
      <c r="L486">
        <v>368.42219999999998</v>
      </c>
      <c r="M486">
        <v>0.99997939999999996</v>
      </c>
      <c r="N486">
        <v>0</v>
      </c>
      <c r="O486">
        <v>-5.2168049999999997E-3</v>
      </c>
      <c r="P486">
        <v>0.99934080000000003</v>
      </c>
      <c r="Q486">
        <v>1.1076630000000001E-2</v>
      </c>
      <c r="R486">
        <v>-3.4573390000000002E-2</v>
      </c>
      <c r="S486">
        <v>2.9941710000000001</v>
      </c>
      <c r="T486">
        <v>-0.13659289999999999</v>
      </c>
      <c r="U486">
        <v>-0.27145390000000003</v>
      </c>
      <c r="V486">
        <v>2.9366159999999999E-2</v>
      </c>
      <c r="W486">
        <v>1.481938E-2</v>
      </c>
      <c r="X486">
        <v>0.99945879999999998</v>
      </c>
      <c r="Y486">
        <v>8.5011399999999904E-2</v>
      </c>
      <c r="Z486">
        <v>-1.6967589999999999E-3</v>
      </c>
      <c r="AA486">
        <v>0.99637849999999994</v>
      </c>
      <c r="AB486">
        <v>28</v>
      </c>
      <c r="AC486">
        <v>24.021100000000001</v>
      </c>
      <c r="AD486">
        <v>-1.1090210398710001</v>
      </c>
      <c r="AE486">
        <v>-2.20219999999994</v>
      </c>
      <c r="AF486">
        <v>2.0724750149338398</v>
      </c>
      <c r="AG486">
        <v>-1.1090210398710001</v>
      </c>
      <c r="AH486">
        <v>23.981569996112601</v>
      </c>
      <c r="AI486">
        <v>92.637922864898997</v>
      </c>
      <c r="AJ486">
        <v>85.060799499387301</v>
      </c>
      <c r="AK486">
        <v>24.0964889523941</v>
      </c>
      <c r="AL486">
        <v>89.150880937641205</v>
      </c>
      <c r="AM486">
        <v>88.317016076884599</v>
      </c>
      <c r="AN486">
        <v>0.99999993913708296</v>
      </c>
    </row>
    <row r="487" spans="1:40" x14ac:dyDescent="0.25">
      <c r="A487" t="str">
        <f>"20190312154223059"</f>
        <v>20190312154223059</v>
      </c>
      <c r="B487" t="str">
        <f>"1552376543047598"</f>
        <v>1552376543047598</v>
      </c>
      <c r="C487" t="s">
        <v>40</v>
      </c>
      <c r="D487">
        <v>4.9145430000000001</v>
      </c>
      <c r="E487">
        <v>0.52224859999999995</v>
      </c>
      <c r="F487" t="s">
        <v>43</v>
      </c>
      <c r="G487">
        <v>-342.89789999999999</v>
      </c>
      <c r="H487" s="1">
        <v>-3.9323179999999997E-6</v>
      </c>
      <c r="I487">
        <v>366.26400000000001</v>
      </c>
      <c r="J487">
        <v>-366.42739999999998</v>
      </c>
      <c r="K487">
        <v>1.1090249999999999</v>
      </c>
      <c r="L487">
        <v>368.4205</v>
      </c>
      <c r="M487">
        <v>0.99997820000000004</v>
      </c>
      <c r="N487">
        <v>0</v>
      </c>
      <c r="O487">
        <v>-5.4203569999999998E-3</v>
      </c>
      <c r="P487">
        <v>0.99933170000000004</v>
      </c>
      <c r="Q487">
        <v>1.1508900000000001E-2</v>
      </c>
      <c r="R487">
        <v>-3.4699760000000003E-2</v>
      </c>
      <c r="S487">
        <v>2.99411</v>
      </c>
      <c r="T487">
        <v>-0.13945879999999999</v>
      </c>
      <c r="U487">
        <v>-0.27139279999999999</v>
      </c>
      <c r="V487">
        <v>2.9288769999999999E-2</v>
      </c>
      <c r="W487">
        <v>1.5300930000000001E-2</v>
      </c>
      <c r="X487">
        <v>0.99945390000000001</v>
      </c>
      <c r="Y487">
        <v>8.478724E-2</v>
      </c>
      <c r="Z487">
        <v>-1.7176959999999999E-3</v>
      </c>
      <c r="AA487">
        <v>0.99639759999999999</v>
      </c>
      <c r="AB487">
        <v>28</v>
      </c>
      <c r="AC487">
        <v>23.529499999999899</v>
      </c>
      <c r="AD487">
        <v>-1.109028932318</v>
      </c>
      <c r="AE487">
        <v>-2.1564999999999901</v>
      </c>
      <c r="AF487">
        <v>2.0244690836465802</v>
      </c>
      <c r="AG487">
        <v>-1.109028932318</v>
      </c>
      <c r="AH487">
        <v>23.489095389639999</v>
      </c>
      <c r="AI487">
        <v>92.693221768651696</v>
      </c>
      <c r="AJ487">
        <v>85.073986720306095</v>
      </c>
      <c r="AK487">
        <v>23.602246131819001</v>
      </c>
      <c r="AL487">
        <v>89.123287098356002</v>
      </c>
      <c r="AM487">
        <v>88.321440556916897</v>
      </c>
      <c r="AN487">
        <v>1.00000002436609</v>
      </c>
    </row>
    <row r="488" spans="1:40" x14ac:dyDescent="0.25">
      <c r="A488" t="str">
        <f>"20190312154223080"</f>
        <v>20190312154223080</v>
      </c>
      <c r="B488" t="str">
        <f>"1552376543068095"</f>
        <v>1552376543068095</v>
      </c>
      <c r="C488" t="s">
        <v>40</v>
      </c>
      <c r="D488">
        <v>4.872217</v>
      </c>
      <c r="E488">
        <v>0.52240039999999999</v>
      </c>
      <c r="F488" t="s">
        <v>43</v>
      </c>
      <c r="G488">
        <v>-342.36419999999998</v>
      </c>
      <c r="H488" s="1">
        <v>-4.1935900000000001E-6</v>
      </c>
      <c r="I488">
        <v>366.21359999999999</v>
      </c>
      <c r="J488">
        <v>-366.1635</v>
      </c>
      <c r="K488">
        <v>1.1090359999999999</v>
      </c>
      <c r="L488">
        <v>368.41890000000001</v>
      </c>
      <c r="M488">
        <v>0.99997689999999995</v>
      </c>
      <c r="N488">
        <v>0</v>
      </c>
      <c r="O488">
        <v>-5.602101E-3</v>
      </c>
      <c r="P488">
        <v>0.99933000000000005</v>
      </c>
      <c r="Q488">
        <v>1.162943E-2</v>
      </c>
      <c r="R488">
        <v>-3.4704980000000003E-2</v>
      </c>
      <c r="S488">
        <v>2.9940190000000002</v>
      </c>
      <c r="T488">
        <v>-0.13798859999999999</v>
      </c>
      <c r="U488">
        <v>-0.27459719999999999</v>
      </c>
      <c r="V488">
        <v>2.9112180000000001E-2</v>
      </c>
      <c r="W488">
        <v>1.546781E-2</v>
      </c>
      <c r="X488">
        <v>0.99945649999999997</v>
      </c>
      <c r="Y488">
        <v>8.5667489999999999E-2</v>
      </c>
      <c r="Z488">
        <v>-1.7114539999999901E-3</v>
      </c>
      <c r="AA488">
        <v>0.99632229999999999</v>
      </c>
      <c r="AB488">
        <v>28</v>
      </c>
      <c r="AC488">
        <v>23.799299999999999</v>
      </c>
      <c r="AD488">
        <v>-1.1090401935900001</v>
      </c>
      <c r="AE488">
        <v>-2.2053000000000198</v>
      </c>
      <c r="AF488">
        <v>2.0674869314828501</v>
      </c>
      <c r="AG488">
        <v>-1.1090401935900001</v>
      </c>
      <c r="AH488">
        <v>23.760124323422101</v>
      </c>
      <c r="AI488">
        <v>92.662382887758099</v>
      </c>
      <c r="AJ488">
        <v>85.026934561761394</v>
      </c>
      <c r="AK488">
        <v>23.8756775867686</v>
      </c>
      <c r="AL488">
        <v>89.113724455532505</v>
      </c>
      <c r="AM488">
        <v>88.331559650886504</v>
      </c>
      <c r="AN488">
        <v>1.0000000337813899</v>
      </c>
    </row>
    <row r="489" spans="1:40" x14ac:dyDescent="0.25">
      <c r="A489" t="str">
        <f>"20190312154223093"</f>
        <v>20190312154223093</v>
      </c>
      <c r="B489" t="str">
        <f>"1552376543088120"</f>
        <v>1552376543088120</v>
      </c>
      <c r="C489" t="s">
        <v>40</v>
      </c>
      <c r="D489">
        <v>4.8788489999999998</v>
      </c>
      <c r="E489">
        <v>0.52234999999999998</v>
      </c>
      <c r="F489" t="s">
        <v>43</v>
      </c>
      <c r="G489">
        <v>-341.00689999999997</v>
      </c>
      <c r="H489" s="1">
        <v>-4.8560069999999997E-6</v>
      </c>
      <c r="I489">
        <v>366.09629999999999</v>
      </c>
      <c r="J489">
        <v>-365.99959999999999</v>
      </c>
      <c r="K489">
        <v>1.1090370000000001</v>
      </c>
      <c r="L489">
        <v>368.41789999999997</v>
      </c>
      <c r="M489">
        <v>0.99997630000000004</v>
      </c>
      <c r="N489">
        <v>0</v>
      </c>
      <c r="O489">
        <v>-5.7122980000000002E-3</v>
      </c>
      <c r="P489">
        <v>0.99932430000000005</v>
      </c>
      <c r="Q489">
        <v>1.176932E-2</v>
      </c>
      <c r="R489">
        <v>-3.4823960000000001E-2</v>
      </c>
      <c r="S489">
        <v>2.9939580000000001</v>
      </c>
      <c r="T489">
        <v>-0.1319901</v>
      </c>
      <c r="U489">
        <v>-0.27642820000000001</v>
      </c>
      <c r="V489">
        <v>2.9121230000000001E-2</v>
      </c>
      <c r="W489">
        <v>1.5636110000000002E-2</v>
      </c>
      <c r="X489">
        <v>0.99945360000000005</v>
      </c>
      <c r="Y489">
        <v>8.6170549999999999E-2</v>
      </c>
      <c r="Z489">
        <v>-1.643332E-3</v>
      </c>
      <c r="AA489">
        <v>0.99627909999999997</v>
      </c>
      <c r="AB489">
        <v>28</v>
      </c>
      <c r="AC489">
        <v>24.992699999999999</v>
      </c>
      <c r="AD489">
        <v>-1.1090418560069999</v>
      </c>
      <c r="AE489">
        <v>-2.3215999999999801</v>
      </c>
      <c r="AF489">
        <v>2.1745500252329899</v>
      </c>
      <c r="AG489">
        <v>-1.1090418560069999</v>
      </c>
      <c r="AH489">
        <v>24.956831716988599</v>
      </c>
      <c r="AI489">
        <v>92.534867520282603</v>
      </c>
      <c r="AJ489">
        <v>85.020254819757199</v>
      </c>
      <c r="AK489">
        <v>25.075926523275399</v>
      </c>
      <c r="AL489">
        <v>89.104080394116707</v>
      </c>
      <c r="AM489">
        <v>88.331036442163906</v>
      </c>
      <c r="AN489">
        <v>1.0000000162628</v>
      </c>
    </row>
    <row r="490" spans="1:40" x14ac:dyDescent="0.25">
      <c r="A490" t="str">
        <f>"20190312154223114"</f>
        <v>20190312154223114</v>
      </c>
      <c r="B490" t="str">
        <f>"1552376543107640"</f>
        <v>1552376543107640</v>
      </c>
      <c r="C490" t="s">
        <v>40</v>
      </c>
      <c r="D490">
        <v>4.9018319999999997</v>
      </c>
      <c r="E490">
        <v>0.52317769999999997</v>
      </c>
      <c r="F490" t="s">
        <v>43</v>
      </c>
      <c r="G490">
        <v>-339.78100000000001</v>
      </c>
      <c r="H490" s="1">
        <v>-1.023245E-6</v>
      </c>
      <c r="I490">
        <v>365.9984</v>
      </c>
      <c r="J490">
        <v>-365.7269</v>
      </c>
      <c r="K490">
        <v>1.1090420000000001</v>
      </c>
      <c r="L490">
        <v>368.41609999999997</v>
      </c>
      <c r="M490">
        <v>0.99997499999999995</v>
      </c>
      <c r="N490">
        <v>0</v>
      </c>
      <c r="O490">
        <v>-5.8911989999999997E-3</v>
      </c>
      <c r="P490">
        <v>0.99931490000000001</v>
      </c>
      <c r="Q490">
        <v>1.157218E-2</v>
      </c>
      <c r="R490">
        <v>-3.5150630000000002E-2</v>
      </c>
      <c r="S490">
        <v>2.9938959999999999</v>
      </c>
      <c r="T490">
        <v>-0.12664069999999999</v>
      </c>
      <c r="U490">
        <v>-0.27627560000000001</v>
      </c>
      <c r="V490">
        <v>2.9268990000000002E-2</v>
      </c>
      <c r="W490">
        <v>1.5486400000000001E-2</v>
      </c>
      <c r="X490">
        <v>0.9994516</v>
      </c>
      <c r="Y490">
        <v>8.5950310000000002E-2</v>
      </c>
      <c r="Z490">
        <v>-1.564633E-3</v>
      </c>
      <c r="AA490">
        <v>0.99629820000000002</v>
      </c>
      <c r="AB490">
        <v>28</v>
      </c>
      <c r="AC490">
        <v>25.945899999999899</v>
      </c>
      <c r="AD490">
        <v>-1.1090430232449999</v>
      </c>
      <c r="AE490">
        <v>-2.41769999999996</v>
      </c>
      <c r="AF490">
        <v>2.2607094581103602</v>
      </c>
      <c r="AG490">
        <v>-1.1090430232449999</v>
      </c>
      <c r="AH490">
        <v>25.912755694318001</v>
      </c>
      <c r="AI490">
        <v>92.441450555945295</v>
      </c>
      <c r="AJ490">
        <v>85.013962469333507</v>
      </c>
      <c r="AK490">
        <v>26.0348169064968</v>
      </c>
      <c r="AL490">
        <v>89.112659170832401</v>
      </c>
      <c r="AM490">
        <v>88.322569656389604</v>
      </c>
      <c r="AN490">
        <v>1.00000000155157</v>
      </c>
    </row>
    <row r="491" spans="1:40" x14ac:dyDescent="0.25">
      <c r="A491" t="str">
        <f>"20190312154223126"</f>
        <v>20190312154223126</v>
      </c>
      <c r="B491" t="str">
        <f>"1552376543117401"</f>
        <v>1552376543117401</v>
      </c>
      <c r="C491" t="s">
        <v>40</v>
      </c>
      <c r="D491">
        <v>4.9009580000000001</v>
      </c>
      <c r="E491">
        <v>0.52317769999999997</v>
      </c>
      <c r="F491" t="s">
        <v>43</v>
      </c>
      <c r="G491">
        <v>-339.34719999999999</v>
      </c>
      <c r="H491" s="1">
        <v>-1.19299E-6</v>
      </c>
      <c r="I491">
        <v>365.9153</v>
      </c>
      <c r="J491">
        <v>-365.57</v>
      </c>
      <c r="K491">
        <v>1.109043</v>
      </c>
      <c r="L491">
        <v>368.4151</v>
      </c>
      <c r="M491">
        <v>0.99997420000000004</v>
      </c>
      <c r="N491">
        <v>0</v>
      </c>
      <c r="O491">
        <v>-5.9930560000000001E-3</v>
      </c>
      <c r="P491">
        <v>0.99930640000000004</v>
      </c>
      <c r="Q491">
        <v>1.1532580000000001E-2</v>
      </c>
      <c r="R491">
        <v>-3.5409429999999999E-2</v>
      </c>
      <c r="S491">
        <v>2.9935299999999998</v>
      </c>
      <c r="T491">
        <v>-0.1258522</v>
      </c>
      <c r="U491">
        <v>-0.28378300000000001</v>
      </c>
      <c r="V491">
        <v>2.942581E-2</v>
      </c>
      <c r="W491">
        <v>1.5474E-2</v>
      </c>
      <c r="X491">
        <v>0.99944719999999998</v>
      </c>
      <c r="Y491">
        <v>8.8335520000000001E-2</v>
      </c>
      <c r="Z491">
        <v>-1.600644E-3</v>
      </c>
      <c r="AA491">
        <v>0.99608949999999996</v>
      </c>
      <c r="AB491">
        <v>29</v>
      </c>
      <c r="AC491">
        <v>26.222799999999999</v>
      </c>
      <c r="AD491">
        <v>-1.1090441929899999</v>
      </c>
      <c r="AE491">
        <v>-2.4997999999999898</v>
      </c>
      <c r="AF491">
        <v>2.3384540224065198</v>
      </c>
      <c r="AG491">
        <v>-1.1090441929899999</v>
      </c>
      <c r="AH491">
        <v>26.1908846734474</v>
      </c>
      <c r="AI491">
        <v>92.415126033038902</v>
      </c>
      <c r="AJ491">
        <v>84.897873430228103</v>
      </c>
      <c r="AK491">
        <v>26.318449540478898</v>
      </c>
      <c r="AL491">
        <v>89.113369734925001</v>
      </c>
      <c r="AM491">
        <v>88.313579926771098</v>
      </c>
      <c r="AN491">
        <v>1.00000001427899</v>
      </c>
    </row>
    <row r="492" spans="1:40" x14ac:dyDescent="0.25">
      <c r="A492" t="str">
        <f>"20190312154223137"</f>
        <v>20190312154223137</v>
      </c>
      <c r="B492" t="str">
        <f>"1552376543128136"</f>
        <v>1552376543128136</v>
      </c>
      <c r="C492" t="s">
        <v>40</v>
      </c>
      <c r="D492">
        <v>5.3635699999999904</v>
      </c>
      <c r="E492">
        <v>0.52508559999999904</v>
      </c>
      <c r="F492" t="s">
        <v>43</v>
      </c>
      <c r="G492">
        <v>-339.21620000000001</v>
      </c>
      <c r="H492" s="1">
        <v>-1.2391600000000001E-6</v>
      </c>
      <c r="I492">
        <v>365.90940000000001</v>
      </c>
      <c r="J492">
        <v>-365.42059999999998</v>
      </c>
      <c r="K492">
        <v>1.109046</v>
      </c>
      <c r="L492">
        <v>368.41410000000002</v>
      </c>
      <c r="M492">
        <v>0.99997349999999996</v>
      </c>
      <c r="N492">
        <v>0</v>
      </c>
      <c r="O492">
        <v>-6.08955E-3</v>
      </c>
      <c r="P492">
        <v>0.99929319999999999</v>
      </c>
      <c r="Q492">
        <v>1.160776E-2</v>
      </c>
      <c r="R492">
        <v>-3.575689E-2</v>
      </c>
      <c r="S492">
        <v>2.9934080000000001</v>
      </c>
      <c r="T492">
        <v>-0.12597059999999999</v>
      </c>
      <c r="U492">
        <v>-0.2846069</v>
      </c>
      <c r="V492">
        <v>2.9676899999999999E-2</v>
      </c>
      <c r="W492">
        <v>1.557508E-2</v>
      </c>
      <c r="X492">
        <v>0.99943820000000005</v>
      </c>
      <c r="Y492">
        <v>8.8514739999999995E-2</v>
      </c>
      <c r="Z492">
        <v>-1.60190299999999E-3</v>
      </c>
      <c r="AA492">
        <v>0.9960736</v>
      </c>
      <c r="AB492">
        <v>29</v>
      </c>
      <c r="AC492">
        <v>26.2043999999999</v>
      </c>
      <c r="AD492">
        <v>-1.1090472391599999</v>
      </c>
      <c r="AE492">
        <v>-2.5047000000000099</v>
      </c>
      <c r="AF492">
        <v>2.3409241103673302</v>
      </c>
      <c r="AG492">
        <v>-1.1090472391599999</v>
      </c>
      <c r="AH492">
        <v>26.172709803587502</v>
      </c>
      <c r="AI492">
        <v>92.416774322755899</v>
      </c>
      <c r="AJ492">
        <v>84.888984624095499</v>
      </c>
      <c r="AK492">
        <v>26.300582691871998</v>
      </c>
      <c r="AL492">
        <v>89.107577574482704</v>
      </c>
      <c r="AM492">
        <v>88.299182838800206</v>
      </c>
      <c r="AN492">
        <v>1.0000000085649201</v>
      </c>
    </row>
    <row r="493" spans="1:40" x14ac:dyDescent="0.25">
      <c r="A493" t="str">
        <f>"20190312154223194"</f>
        <v>20190312154223194</v>
      </c>
      <c r="B493" t="str">
        <f>"1552376543187673"</f>
        <v>1552376543187673</v>
      </c>
      <c r="C493" t="s">
        <v>40</v>
      </c>
      <c r="D493">
        <v>4.356446</v>
      </c>
      <c r="E493">
        <v>0.50648649999999995</v>
      </c>
      <c r="F493" t="s">
        <v>43</v>
      </c>
      <c r="G493">
        <v>-340.60660000000001</v>
      </c>
      <c r="H493" s="1">
        <v>-5.0760009999999996E-6</v>
      </c>
      <c r="I493">
        <v>365.92259999999999</v>
      </c>
      <c r="J493">
        <v>-364.68849999999998</v>
      </c>
      <c r="K493">
        <v>1.1090500000000001</v>
      </c>
      <c r="L493">
        <v>368.40910000000002</v>
      </c>
      <c r="M493">
        <v>0.99997020000000003</v>
      </c>
      <c r="N493">
        <v>0</v>
      </c>
      <c r="O493">
        <v>-6.5598749999999997E-3</v>
      </c>
      <c r="P493">
        <v>0.999224</v>
      </c>
      <c r="Q493">
        <v>1.193291E-2</v>
      </c>
      <c r="R493">
        <v>-3.7538189999999999E-2</v>
      </c>
      <c r="S493">
        <v>2.9929199999999998</v>
      </c>
      <c r="T493">
        <v>-0.1337672</v>
      </c>
      <c r="U493">
        <v>-0.30050660000000001</v>
      </c>
      <c r="V493">
        <v>3.098886E-2</v>
      </c>
      <c r="W493">
        <v>1.602659E-2</v>
      </c>
      <c r="X493">
        <v>0.99939129999999998</v>
      </c>
      <c r="Y493">
        <v>9.3288549999999998E-2</v>
      </c>
      <c r="Z493">
        <v>-1.7861999999999999E-3</v>
      </c>
      <c r="AA493">
        <v>0.99563749999999995</v>
      </c>
      <c r="AB493">
        <v>29</v>
      </c>
      <c r="AC493">
        <v>24.081899999999901</v>
      </c>
      <c r="AD493">
        <v>-1.1090550760010001</v>
      </c>
      <c r="AE493">
        <v>-2.4865000000000301</v>
      </c>
      <c r="AF493">
        <v>2.3235947577063198</v>
      </c>
      <c r="AG493">
        <v>-1.1090550760010001</v>
      </c>
      <c r="AH493">
        <v>24.047228800763701</v>
      </c>
      <c r="AI493">
        <v>92.628378442402706</v>
      </c>
      <c r="AJ493">
        <v>84.480854990010599</v>
      </c>
      <c r="AK493">
        <v>24.184670945785498</v>
      </c>
      <c r="AL493">
        <v>89.081704779623394</v>
      </c>
      <c r="AM493">
        <v>88.223956750074393</v>
      </c>
      <c r="AN493">
        <v>1.0000000657734001</v>
      </c>
    </row>
    <row r="494" spans="1:40" x14ac:dyDescent="0.25">
      <c r="A494" t="str">
        <f>"20190312154223215"</f>
        <v>20190312154223215</v>
      </c>
      <c r="B494" t="str">
        <f>"1552376543208168"</f>
        <v>1552376543208168</v>
      </c>
      <c r="C494" t="s">
        <v>40</v>
      </c>
      <c r="D494">
        <v>4.2917449999999997</v>
      </c>
      <c r="E494">
        <v>0.50859860000000001</v>
      </c>
      <c r="F494" t="s">
        <v>41</v>
      </c>
      <c r="G494">
        <v>-363.90260000000001</v>
      </c>
      <c r="H494">
        <v>0.76951519999999995</v>
      </c>
      <c r="I494">
        <v>368.37970000000001</v>
      </c>
      <c r="J494">
        <v>-364.41469999999998</v>
      </c>
      <c r="K494">
        <v>1.109049</v>
      </c>
      <c r="L494">
        <v>368.40710000000001</v>
      </c>
      <c r="M494">
        <v>0.99996879999999999</v>
      </c>
      <c r="N494">
        <v>0</v>
      </c>
      <c r="O494">
        <v>-6.7354650000000004E-3</v>
      </c>
      <c r="P494">
        <v>0.99920920000000002</v>
      </c>
      <c r="Q494">
        <v>1.1980559999999999E-2</v>
      </c>
      <c r="R494">
        <v>-3.7918779999999999E-2</v>
      </c>
      <c r="S494">
        <v>3.0136720000000001</v>
      </c>
      <c r="T494">
        <v>-1.3019080000000001</v>
      </c>
      <c r="U494">
        <v>-0.11114499999999999</v>
      </c>
      <c r="V494">
        <v>3.119398E-2</v>
      </c>
      <c r="W494">
        <v>1.6121940000000001E-2</v>
      </c>
      <c r="X494">
        <v>0.99938329999999997</v>
      </c>
      <c r="Y494">
        <v>2.820806E-2</v>
      </c>
      <c r="Z494">
        <v>-3.0463E-3</v>
      </c>
      <c r="AA494">
        <v>0.99959739999999997</v>
      </c>
      <c r="AB494">
        <v>29</v>
      </c>
      <c r="AC494">
        <v>0.51209999999997502</v>
      </c>
      <c r="AD494">
        <v>-0.3395338</v>
      </c>
      <c r="AE494">
        <v>-2.7400000000000001E-2</v>
      </c>
      <c r="AF494">
        <v>1.6651176191872199E-2</v>
      </c>
      <c r="AG494">
        <v>-0.3395338</v>
      </c>
      <c r="AH494">
        <v>0.35615470131979898</v>
      </c>
      <c r="AI494">
        <v>133.60015106020299</v>
      </c>
      <c r="AJ494">
        <v>87.323219634498201</v>
      </c>
      <c r="AK494">
        <v>0.49234808244087702</v>
      </c>
      <c r="AL494">
        <v>89.0762408430016</v>
      </c>
      <c r="AM494">
        <v>88.212194150481395</v>
      </c>
      <c r="AN494">
        <v>0.99999998082824604</v>
      </c>
    </row>
    <row r="495" spans="1:40" x14ac:dyDescent="0.25">
      <c r="A495" t="str">
        <f>"20190312154223240"</f>
        <v>20190312154223240</v>
      </c>
      <c r="B495" t="str">
        <f>"1552376543227690"</f>
        <v>1552376543227690</v>
      </c>
      <c r="C495" t="s">
        <v>40</v>
      </c>
      <c r="D495">
        <v>4.5444149999999999</v>
      </c>
      <c r="E495">
        <v>0.50586350000000002</v>
      </c>
      <c r="F495" t="s">
        <v>41</v>
      </c>
      <c r="G495">
        <v>-363.62490000000003</v>
      </c>
      <c r="H495">
        <v>0.81126259999999994</v>
      </c>
      <c r="I495">
        <v>368.37110000000001</v>
      </c>
      <c r="J495">
        <v>-364.10230000000001</v>
      </c>
      <c r="K495">
        <v>1.1090519999999999</v>
      </c>
      <c r="L495">
        <v>368.40480000000002</v>
      </c>
      <c r="M495">
        <v>0.99996719999999895</v>
      </c>
      <c r="N495">
        <v>0</v>
      </c>
      <c r="O495">
        <v>-6.9357560000000004E-3</v>
      </c>
      <c r="P495">
        <v>0.99919270000000004</v>
      </c>
      <c r="Q495">
        <v>1.217387E-2</v>
      </c>
      <c r="R495">
        <v>-3.8286590000000002E-2</v>
      </c>
      <c r="S495">
        <v>3.0108030000000001</v>
      </c>
      <c r="T495">
        <v>-1.1350100000000001</v>
      </c>
      <c r="U495">
        <v>-0.13629150000000001</v>
      </c>
      <c r="V495">
        <v>3.1362109999999999E-2</v>
      </c>
      <c r="W495">
        <v>1.6373680000000002E-2</v>
      </c>
      <c r="X495">
        <v>0.99937399999999998</v>
      </c>
      <c r="Y495">
        <v>3.6279680000000002E-2</v>
      </c>
      <c r="Z495">
        <v>-4.0816460000000004E-3</v>
      </c>
      <c r="AA495">
        <v>0.99933329999999998</v>
      </c>
      <c r="AB495">
        <v>29</v>
      </c>
      <c r="AC495">
        <v>0.477399999999988</v>
      </c>
      <c r="AD495">
        <v>-0.29778939999999998</v>
      </c>
      <c r="AE495">
        <v>-3.3700000000010201E-2</v>
      </c>
      <c r="AF495">
        <v>2.1906589111986698E-2</v>
      </c>
      <c r="AG495">
        <v>-0.29778939999999998</v>
      </c>
      <c r="AH495">
        <v>0.34431564952211502</v>
      </c>
      <c r="AI495">
        <v>130.79839873598601</v>
      </c>
      <c r="AJ495">
        <v>86.3595450922422</v>
      </c>
      <c r="AK495">
        <v>0.45575398177604298</v>
      </c>
      <c r="AL495">
        <v>89.061815350315598</v>
      </c>
      <c r="AM495">
        <v>88.202547783496101</v>
      </c>
      <c r="AN495">
        <v>1.00000003560819</v>
      </c>
    </row>
    <row r="496" spans="1:40" x14ac:dyDescent="0.25">
      <c r="A496" t="str">
        <f>"20190312154223260"</f>
        <v>20190312154223260</v>
      </c>
      <c r="B496" t="str">
        <f>"1552376543257690"</f>
        <v>1552376543257690</v>
      </c>
      <c r="C496" t="s">
        <v>40</v>
      </c>
      <c r="D496">
        <v>5.1952480000000003</v>
      </c>
      <c r="E496">
        <v>0.49407980000000001</v>
      </c>
      <c r="F496" t="s">
        <v>41</v>
      </c>
      <c r="G496">
        <v>-363.34249999999997</v>
      </c>
      <c r="H496">
        <v>0.8604465</v>
      </c>
      <c r="I496">
        <v>368.37389999999999</v>
      </c>
      <c r="J496">
        <v>-363.82839999999999</v>
      </c>
      <c r="K496">
        <v>1.1090549999999999</v>
      </c>
      <c r="L496">
        <v>368.40269999999998</v>
      </c>
      <c r="M496">
        <v>0.99996569999999996</v>
      </c>
      <c r="N496">
        <v>0</v>
      </c>
      <c r="O496">
        <v>-7.1114799999999999E-3</v>
      </c>
      <c r="P496">
        <v>0.99918200000000001</v>
      </c>
      <c r="Q496">
        <v>1.180675E-2</v>
      </c>
      <c r="R496">
        <v>-3.8681090000000001E-2</v>
      </c>
      <c r="S496">
        <v>3.009827</v>
      </c>
      <c r="T496">
        <v>-0.9847863</v>
      </c>
      <c r="U496">
        <v>-0.12048339999999901</v>
      </c>
      <c r="V496">
        <v>3.1580770000000001E-2</v>
      </c>
      <c r="W496">
        <v>1.6059960000000002E-2</v>
      </c>
      <c r="X496">
        <v>0.99937220000000004</v>
      </c>
      <c r="Y496">
        <v>3.1614950000000003E-2</v>
      </c>
      <c r="Z496">
        <v>-2.771964E-3</v>
      </c>
      <c r="AA496">
        <v>0.9994963</v>
      </c>
      <c r="AB496">
        <v>29</v>
      </c>
      <c r="AC496">
        <v>0.48590000000001499</v>
      </c>
      <c r="AD496">
        <v>-0.24860849999999901</v>
      </c>
      <c r="AE496">
        <v>-2.8799999999989698E-2</v>
      </c>
      <c r="AF496">
        <v>2.0100312938508998E-2</v>
      </c>
      <c r="AG496">
        <v>-0.24860849999999901</v>
      </c>
      <c r="AH496">
        <v>0.38552318509258898</v>
      </c>
      <c r="AI496">
        <v>122.78094214736799</v>
      </c>
      <c r="AJ496">
        <v>87.015429156716095</v>
      </c>
      <c r="AK496">
        <v>0.45917135700782802</v>
      </c>
      <c r="AL496">
        <v>89.079792541242796</v>
      </c>
      <c r="AM496">
        <v>88.190020802622598</v>
      </c>
      <c r="AN496">
        <v>1.00000003074091</v>
      </c>
    </row>
    <row r="497" spans="1:40" x14ac:dyDescent="0.25">
      <c r="A497" t="str">
        <f>"20190312154223281"</f>
        <v>20190312154223281</v>
      </c>
      <c r="B497" t="str">
        <f>"1552376543278186"</f>
        <v>1552376543278186</v>
      </c>
      <c r="C497" t="s">
        <v>40</v>
      </c>
      <c r="D497">
        <v>4.9519570000000002</v>
      </c>
      <c r="E497">
        <v>0.49393399999999998</v>
      </c>
      <c r="F497" t="s">
        <v>41</v>
      </c>
      <c r="G497">
        <v>-363.00749999999999</v>
      </c>
      <c r="H497">
        <v>1.0174909999999999</v>
      </c>
      <c r="I497">
        <v>368.3879</v>
      </c>
      <c r="J497">
        <v>-363.5532</v>
      </c>
      <c r="K497">
        <v>1.109056</v>
      </c>
      <c r="L497">
        <v>368.40050000000002</v>
      </c>
      <c r="M497">
        <v>0.99996410000000002</v>
      </c>
      <c r="N497">
        <v>0</v>
      </c>
      <c r="O497">
        <v>-7.2881609999999996E-3</v>
      </c>
      <c r="P497">
        <v>0.9991776</v>
      </c>
      <c r="Q497">
        <v>1.170449E-2</v>
      </c>
      <c r="R497">
        <v>-3.8824049999999999E-2</v>
      </c>
      <c r="S497">
        <v>3.0043639999999998</v>
      </c>
      <c r="T497">
        <v>-0.3352057</v>
      </c>
      <c r="U497">
        <v>-5.368042E-2</v>
      </c>
      <c r="V497">
        <v>3.1547110000000003E-2</v>
      </c>
      <c r="W497">
        <v>1.6012289999999998E-2</v>
      </c>
      <c r="X497">
        <v>0.99937399999999998</v>
      </c>
      <c r="Y497">
        <v>1.055682E-2</v>
      </c>
      <c r="Z497">
        <v>2.235119E-4</v>
      </c>
      <c r="AA497">
        <v>0.99994430000000001</v>
      </c>
      <c r="AB497">
        <v>29</v>
      </c>
      <c r="AC497">
        <v>0.54570000000000995</v>
      </c>
      <c r="AD497">
        <v>-9.1565000000000105E-2</v>
      </c>
      <c r="AE497">
        <v>-1.26000000000203E-2</v>
      </c>
      <c r="AF497">
        <v>8.3864854732221897E-3</v>
      </c>
      <c r="AG497">
        <v>-9.1565000000000105E-2</v>
      </c>
      <c r="AH497">
        <v>0.53083966394429305</v>
      </c>
      <c r="AI497">
        <v>99.785498634682099</v>
      </c>
      <c r="AJ497">
        <v>89.094886302258999</v>
      </c>
      <c r="AK497">
        <v>0.53874412403299798</v>
      </c>
      <c r="AL497">
        <v>89.082524156518602</v>
      </c>
      <c r="AM497">
        <v>88.191951921339793</v>
      </c>
      <c r="AN497">
        <v>1.0000000027281899</v>
      </c>
    </row>
    <row r="498" spans="1:40" x14ac:dyDescent="0.25">
      <c r="A498" t="str">
        <f>"20190312154223303"</f>
        <v>20190312154223303</v>
      </c>
      <c r="B498" t="str">
        <f>"1552376543297706"</f>
        <v>1552376543297706</v>
      </c>
      <c r="C498" t="s">
        <v>40</v>
      </c>
      <c r="D498">
        <v>4.9650259999999999</v>
      </c>
      <c r="E498">
        <v>0.49447619999999998</v>
      </c>
      <c r="F498" t="s">
        <v>41</v>
      </c>
      <c r="G498">
        <v>-362.726</v>
      </c>
      <c r="H498">
        <v>1.046753</v>
      </c>
      <c r="I498">
        <v>368.3843</v>
      </c>
      <c r="J498">
        <v>-363.25220000000002</v>
      </c>
      <c r="K498">
        <v>1.1090629999999999</v>
      </c>
      <c r="L498">
        <v>368.39819999999997</v>
      </c>
      <c r="M498">
        <v>0.99996240000000003</v>
      </c>
      <c r="N498">
        <v>0</v>
      </c>
      <c r="O498">
        <v>-7.4815480000000002E-3</v>
      </c>
      <c r="P498">
        <v>0.99917370000000005</v>
      </c>
      <c r="Q498">
        <v>1.146495E-2</v>
      </c>
      <c r="R498">
        <v>-3.8996860000000001E-2</v>
      </c>
      <c r="S498">
        <v>3.002869</v>
      </c>
      <c r="T498">
        <v>-0.22645680000000001</v>
      </c>
      <c r="U498">
        <v>-5.7678220000000002E-2</v>
      </c>
      <c r="V498">
        <v>3.152655E-2</v>
      </c>
      <c r="W498">
        <v>1.58335E-2</v>
      </c>
      <c r="X498">
        <v>0.99937750000000003</v>
      </c>
      <c r="Y498">
        <v>1.171138E-2</v>
      </c>
      <c r="Z498">
        <v>1.2241779999999999E-4</v>
      </c>
      <c r="AA498">
        <v>0.99993140000000003</v>
      </c>
      <c r="AB498">
        <v>30</v>
      </c>
      <c r="AC498">
        <v>0.52620000000001699</v>
      </c>
      <c r="AD498">
        <v>-6.2309999999999803E-2</v>
      </c>
      <c r="AE498">
        <v>-1.3899999999978201E-2</v>
      </c>
      <c r="AF498">
        <v>9.82510972703831E-3</v>
      </c>
      <c r="AG498">
        <v>-6.2309999999999803E-2</v>
      </c>
      <c r="AH498">
        <v>0.51901662650640201</v>
      </c>
      <c r="AI498">
        <v>96.844606392210494</v>
      </c>
      <c r="AJ498">
        <v>88.915506627911398</v>
      </c>
      <c r="AK498">
        <v>0.52283585136372801</v>
      </c>
      <c r="AL498">
        <v>89.092769370109806</v>
      </c>
      <c r="AM498">
        <v>88.193135811606695</v>
      </c>
      <c r="AN498">
        <v>1.0000000052917</v>
      </c>
    </row>
    <row r="499" spans="1:40" x14ac:dyDescent="0.25">
      <c r="A499" t="str">
        <f>"20190312154223316"</f>
        <v>20190312154223316</v>
      </c>
      <c r="B499" t="str">
        <f>"1552376543307465"</f>
        <v>1552376543307465</v>
      </c>
      <c r="C499" t="s">
        <v>40</v>
      </c>
      <c r="D499">
        <v>4.9445129999999997</v>
      </c>
      <c r="E499">
        <v>0.49467139999999998</v>
      </c>
      <c r="F499" t="s">
        <v>43</v>
      </c>
      <c r="G499">
        <v>-343.57870000000003</v>
      </c>
      <c r="H499" s="1">
        <v>-3.3070810000000002E-6</v>
      </c>
      <c r="I499">
        <v>367.97460000000001</v>
      </c>
      <c r="J499">
        <v>-363.08800000000002</v>
      </c>
      <c r="K499">
        <v>1.109073</v>
      </c>
      <c r="L499">
        <v>368.39690000000002</v>
      </c>
      <c r="M499">
        <v>0.9999614</v>
      </c>
      <c r="N499">
        <v>0</v>
      </c>
      <c r="O499">
        <v>-7.5871289999999997E-3</v>
      </c>
      <c r="P499">
        <v>0.99916400000000005</v>
      </c>
      <c r="Q499">
        <v>1.1481440000000001E-2</v>
      </c>
      <c r="R499">
        <v>-3.9235520000000003E-2</v>
      </c>
      <c r="S499">
        <v>3.0018919999999998</v>
      </c>
      <c r="T499">
        <v>-0.16922809999999999</v>
      </c>
      <c r="U499">
        <v>-6.4636230000000003E-2</v>
      </c>
      <c r="V499">
        <v>3.1660069999999998E-2</v>
      </c>
      <c r="W499">
        <v>1.5883080000000001E-2</v>
      </c>
      <c r="X499">
        <v>0.9993725</v>
      </c>
      <c r="Y499">
        <v>1.3930710000000001E-2</v>
      </c>
      <c r="Z499" s="1">
        <v>3.5012399999999997E-5</v>
      </c>
      <c r="AA499">
        <v>0.99990299999999999</v>
      </c>
      <c r="AB499">
        <v>30</v>
      </c>
      <c r="AC499">
        <v>19.5093</v>
      </c>
      <c r="AD499">
        <v>-1.1090763070809999</v>
      </c>
      <c r="AE499">
        <v>-0.422300000000007</v>
      </c>
      <c r="AF499">
        <v>0.273383718348162</v>
      </c>
      <c r="AG499">
        <v>-1.1090763070809999</v>
      </c>
      <c r="AH499">
        <v>19.449117038728499</v>
      </c>
      <c r="AI499">
        <v>93.263407292049493</v>
      </c>
      <c r="AJ499">
        <v>89.194683145741294</v>
      </c>
      <c r="AK499">
        <v>19.482631816532098</v>
      </c>
      <c r="AL499">
        <v>89.089928295132907</v>
      </c>
      <c r="AM499">
        <v>88.1854794843007</v>
      </c>
      <c r="AN499">
        <v>1.0000000130094699</v>
      </c>
    </row>
    <row r="500" spans="1:40" x14ac:dyDescent="0.25">
      <c r="A500" t="str">
        <f>"20190312154223328"</f>
        <v>20190312154223328</v>
      </c>
      <c r="B500" t="str">
        <f>"1552376543318202"</f>
        <v>1552376543318202</v>
      </c>
      <c r="C500" t="s">
        <v>40</v>
      </c>
      <c r="D500">
        <v>4.941014</v>
      </c>
      <c r="E500">
        <v>0.49499029999999999</v>
      </c>
      <c r="F500" t="s">
        <v>43</v>
      </c>
      <c r="G500">
        <v>-340.94529999999997</v>
      </c>
      <c r="H500" s="1">
        <v>-4.566237E-6</v>
      </c>
      <c r="I500">
        <v>367.89389999999997</v>
      </c>
      <c r="J500">
        <v>-362.91969999999998</v>
      </c>
      <c r="K500">
        <v>1.109076</v>
      </c>
      <c r="L500">
        <v>368.39550000000003</v>
      </c>
      <c r="M500">
        <v>0.99996050000000003</v>
      </c>
      <c r="N500">
        <v>0</v>
      </c>
      <c r="O500">
        <v>-7.6954550000000004E-3</v>
      </c>
      <c r="P500">
        <v>0.99915690000000001</v>
      </c>
      <c r="Q500">
        <v>1.146203E-2</v>
      </c>
      <c r="R500">
        <v>-3.9424099999999997E-2</v>
      </c>
      <c r="S500">
        <v>3.0015869999999998</v>
      </c>
      <c r="T500">
        <v>-0.15034310000000001</v>
      </c>
      <c r="U500">
        <v>-6.8176269999999997E-2</v>
      </c>
      <c r="V500">
        <v>3.1740289999999997E-2</v>
      </c>
      <c r="W500">
        <v>1.5897379999999999E-2</v>
      </c>
      <c r="X500">
        <v>0.99936970000000003</v>
      </c>
      <c r="Y500">
        <v>1.5004170000000001E-2</v>
      </c>
      <c r="Z500" s="1">
        <v>9.670592E-6</v>
      </c>
      <c r="AA500">
        <v>0.99988739999999998</v>
      </c>
      <c r="AB500">
        <v>30</v>
      </c>
      <c r="AC500">
        <v>21.974399999999999</v>
      </c>
      <c r="AD500">
        <v>-1.109080566237</v>
      </c>
      <c r="AE500">
        <v>-0.501600000000053</v>
      </c>
      <c r="AF500">
        <v>0.33163610830116802</v>
      </c>
      <c r="AG500">
        <v>-1.109080566237</v>
      </c>
      <c r="AH500">
        <v>21.921795537132699</v>
      </c>
      <c r="AI500">
        <v>92.895942053659695</v>
      </c>
      <c r="AJ500">
        <v>89.133287236801095</v>
      </c>
      <c r="AK500">
        <v>21.952338412629</v>
      </c>
      <c r="AL500">
        <v>89.089108836511102</v>
      </c>
      <c r="AM500">
        <v>88.180879860441706</v>
      </c>
      <c r="AN500">
        <v>0.99999998498911902</v>
      </c>
    </row>
    <row r="501" spans="1:40" x14ac:dyDescent="0.25">
      <c r="A501" t="str">
        <f>"20190312154223339"</f>
        <v>20190312154223339</v>
      </c>
      <c r="B501" t="str">
        <f>"1552376543327962"</f>
        <v>1552376543327962</v>
      </c>
      <c r="C501" t="s">
        <v>40</v>
      </c>
      <c r="D501">
        <v>4.9202940000000002</v>
      </c>
      <c r="E501">
        <v>0.4951972</v>
      </c>
      <c r="F501" t="s">
        <v>43</v>
      </c>
      <c r="G501">
        <v>-338.4323</v>
      </c>
      <c r="H501" s="1">
        <v>-1.000315E-6</v>
      </c>
      <c r="I501">
        <v>367.80950000000001</v>
      </c>
      <c r="J501">
        <v>-362.76069999999999</v>
      </c>
      <c r="K501">
        <v>1.109078</v>
      </c>
      <c r="L501">
        <v>368.39420000000001</v>
      </c>
      <c r="M501">
        <v>0.9999595</v>
      </c>
      <c r="N501">
        <v>0</v>
      </c>
      <c r="O501">
        <v>-7.7974580000000002E-3</v>
      </c>
      <c r="P501">
        <v>0.99915989999999999</v>
      </c>
      <c r="Q501">
        <v>1.159028E-2</v>
      </c>
      <c r="R501">
        <v>-3.9312529999999998E-2</v>
      </c>
      <c r="S501">
        <v>3.0012509999999999</v>
      </c>
      <c r="T501">
        <v>-0.13593150000000001</v>
      </c>
      <c r="U501">
        <v>-7.1807860000000001E-2</v>
      </c>
      <c r="V501">
        <v>3.1526760000000001E-2</v>
      </c>
      <c r="W501">
        <v>1.6057100000000001E-2</v>
      </c>
      <c r="X501">
        <v>0.99937390000000004</v>
      </c>
      <c r="Y501">
        <v>1.611458E-2</v>
      </c>
      <c r="Z501" s="1">
        <v>-1.176778E-5</v>
      </c>
      <c r="AA501">
        <v>0.99987020000000004</v>
      </c>
      <c r="AB501">
        <v>30</v>
      </c>
      <c r="AC501">
        <v>24.328399999999899</v>
      </c>
      <c r="AD501">
        <v>-1.109079000315</v>
      </c>
      <c r="AE501">
        <v>-0.584699999999997</v>
      </c>
      <c r="AF501">
        <v>0.39416193706830599</v>
      </c>
      <c r="AG501">
        <v>-1.109079000315</v>
      </c>
      <c r="AH501">
        <v>24.2817851084959</v>
      </c>
      <c r="AI501">
        <v>92.614843070853794</v>
      </c>
      <c r="AJ501">
        <v>89.070009391598802</v>
      </c>
      <c r="AK501">
        <v>24.3102963354367</v>
      </c>
      <c r="AL501">
        <v>89.079956381178405</v>
      </c>
      <c r="AM501">
        <v>88.193117279452906</v>
      </c>
      <c r="AN501">
        <v>0.999999979528858</v>
      </c>
    </row>
    <row r="502" spans="1:40" x14ac:dyDescent="0.25">
      <c r="A502" t="str">
        <f>"20190312154223353"</f>
        <v>20190312154223353</v>
      </c>
      <c r="B502" t="str">
        <f>"1552376543347483"</f>
        <v>1552376543347483</v>
      </c>
      <c r="C502" t="s">
        <v>40</v>
      </c>
      <c r="D502">
        <v>4.9952920000000001</v>
      </c>
      <c r="E502">
        <v>0.49488660000000001</v>
      </c>
      <c r="F502" t="s">
        <v>43</v>
      </c>
      <c r="G502">
        <v>-336.16320000000002</v>
      </c>
      <c r="H502" s="1">
        <v>-1.960926E-6</v>
      </c>
      <c r="I502">
        <v>367.74119999999999</v>
      </c>
      <c r="J502">
        <v>-362.5865</v>
      </c>
      <c r="K502">
        <v>1.1090799999999901</v>
      </c>
      <c r="L502">
        <v>368.39269999999999</v>
      </c>
      <c r="M502">
        <v>0.99995849999999997</v>
      </c>
      <c r="N502">
        <v>0</v>
      </c>
      <c r="O502">
        <v>-7.9092450000000005E-3</v>
      </c>
      <c r="P502">
        <v>0.99914559999999997</v>
      </c>
      <c r="Q502">
        <v>1.1669809999999999E-2</v>
      </c>
      <c r="R502">
        <v>-3.964728E-2</v>
      </c>
      <c r="S502">
        <v>3.001099</v>
      </c>
      <c r="T502">
        <v>-0.12514149999999999</v>
      </c>
      <c r="U502">
        <v>-7.3669429999999994E-2</v>
      </c>
      <c r="V502">
        <v>3.1750159999999999E-2</v>
      </c>
      <c r="W502">
        <v>1.6171060000000001E-2</v>
      </c>
      <c r="X502">
        <v>0.99936499999999995</v>
      </c>
      <c r="Y502">
        <v>1.6624819999999998E-2</v>
      </c>
      <c r="Z502" s="1">
        <v>-1.6808710000000001E-5</v>
      </c>
      <c r="AA502">
        <v>0.99986180000000002</v>
      </c>
      <c r="AB502">
        <v>30</v>
      </c>
      <c r="AC502">
        <v>26.423299999999902</v>
      </c>
      <c r="AD502">
        <v>-1.1090819609260001</v>
      </c>
      <c r="AE502">
        <v>-0.65149999999999797</v>
      </c>
      <c r="AF502">
        <v>0.44171140387975399</v>
      </c>
      <c r="AG502">
        <v>-1.1090819609260001</v>
      </c>
      <c r="AH502">
        <v>26.381176674596102</v>
      </c>
      <c r="AI502">
        <v>92.406997571635699</v>
      </c>
      <c r="AJ502">
        <v>89.040761717065806</v>
      </c>
      <c r="AK502">
        <v>26.408174009132502</v>
      </c>
      <c r="AL502">
        <v>89.073426115386198</v>
      </c>
      <c r="AM502">
        <v>88.180306012631107</v>
      </c>
      <c r="AN502">
        <v>0.99999998953327396</v>
      </c>
    </row>
    <row r="503" spans="1:40" x14ac:dyDescent="0.25">
      <c r="A503" t="str">
        <f>"20190312154223370"</f>
        <v>20190312154223370</v>
      </c>
      <c r="B503" t="str">
        <f>"1552376543358218"</f>
        <v>1552376543358218</v>
      </c>
      <c r="C503" t="s">
        <v>40</v>
      </c>
      <c r="D503">
        <v>4.9969769999999896</v>
      </c>
      <c r="E503">
        <v>0.49456850000000002</v>
      </c>
      <c r="F503" t="s">
        <v>43</v>
      </c>
      <c r="G503">
        <v>-332.58980000000003</v>
      </c>
      <c r="H503" s="1">
        <v>-3.5070119999999898E-6</v>
      </c>
      <c r="I503">
        <v>367.66730000000001</v>
      </c>
      <c r="J503">
        <v>-362.35930000000002</v>
      </c>
      <c r="K503">
        <v>1.1090850000000001</v>
      </c>
      <c r="L503">
        <v>368.39080000000001</v>
      </c>
      <c r="M503">
        <v>0.99995730000000005</v>
      </c>
      <c r="N503">
        <v>0</v>
      </c>
      <c r="O503">
        <v>-8.0549130000000004E-3</v>
      </c>
      <c r="P503">
        <v>0.99913759999999996</v>
      </c>
      <c r="Q503">
        <v>1.237482E-2</v>
      </c>
      <c r="R503">
        <v>-3.9639470000000003E-2</v>
      </c>
      <c r="S503">
        <v>3.0009769999999998</v>
      </c>
      <c r="T503">
        <v>-0.1109562</v>
      </c>
      <c r="U503">
        <v>-7.2570800000000005E-2</v>
      </c>
      <c r="V503">
        <v>3.1597159999999999E-2</v>
      </c>
      <c r="W503">
        <v>1.6920540000000001E-2</v>
      </c>
      <c r="X503">
        <v>0.99935750000000001</v>
      </c>
      <c r="Y503">
        <v>1.6116399999999999E-2</v>
      </c>
      <c r="Z503" s="1">
        <v>-1.2799860000000001E-7</v>
      </c>
      <c r="AA503">
        <v>0.99987009999999998</v>
      </c>
      <c r="AB503">
        <v>30</v>
      </c>
      <c r="AC503">
        <v>29.769499999999901</v>
      </c>
      <c r="AD503">
        <v>-1.109088507012</v>
      </c>
      <c r="AE503">
        <v>-0.72350000000000103</v>
      </c>
      <c r="AF503">
        <v>0.48301330927243402</v>
      </c>
      <c r="AG503">
        <v>-1.109088507012</v>
      </c>
      <c r="AH503">
        <v>29.733116815689499</v>
      </c>
      <c r="AI503">
        <v>92.135943948500497</v>
      </c>
      <c r="AJ503">
        <v>89.069314186129404</v>
      </c>
      <c r="AK503">
        <v>29.757715213852599</v>
      </c>
      <c r="AL503">
        <v>89.030478251571793</v>
      </c>
      <c r="AM503">
        <v>88.189055452902494</v>
      </c>
      <c r="AN503">
        <v>1.0000000490001</v>
      </c>
    </row>
    <row r="504" spans="1:40" x14ac:dyDescent="0.25">
      <c r="A504" t="str">
        <f>"20190312154223383"</f>
        <v>20190312154223383</v>
      </c>
      <c r="B504" t="str">
        <f>"1552376543378248"</f>
        <v>1552376543378248</v>
      </c>
      <c r="C504" t="s">
        <v>40</v>
      </c>
      <c r="D504">
        <v>4.9791550000000004</v>
      </c>
      <c r="E504">
        <v>0.49349870000000001</v>
      </c>
      <c r="F504" t="s">
        <v>43</v>
      </c>
      <c r="G504">
        <v>-330.35820000000001</v>
      </c>
      <c r="H504" s="1">
        <v>-4.4686160000000003E-6</v>
      </c>
      <c r="I504">
        <v>367.64319999999998</v>
      </c>
      <c r="J504">
        <v>-362.18</v>
      </c>
      <c r="K504">
        <v>1.109092</v>
      </c>
      <c r="L504">
        <v>368.38920000000002</v>
      </c>
      <c r="M504">
        <v>0.99995610000000001</v>
      </c>
      <c r="N504">
        <v>0</v>
      </c>
      <c r="O504">
        <v>-8.1698020000000003E-3</v>
      </c>
      <c r="P504">
        <v>0.9991331</v>
      </c>
      <c r="Q504">
        <v>1.288372E-2</v>
      </c>
      <c r="R504">
        <v>-3.9590970000000003E-2</v>
      </c>
      <c r="S504">
        <v>3.001099</v>
      </c>
      <c r="T504">
        <v>-0.1040114</v>
      </c>
      <c r="U504">
        <v>-7.0098880000000002E-2</v>
      </c>
      <c r="V504">
        <v>3.1434009999999998E-2</v>
      </c>
      <c r="W504">
        <v>1.7464049999999998E-2</v>
      </c>
      <c r="X504">
        <v>0.99935320000000005</v>
      </c>
      <c r="Y504">
        <v>1.517872E-2</v>
      </c>
      <c r="Z504" s="1">
        <v>2.0101809999999999E-5</v>
      </c>
      <c r="AA504">
        <v>0.99988480000000002</v>
      </c>
      <c r="AB504">
        <v>30</v>
      </c>
      <c r="AC504">
        <v>31.8218</v>
      </c>
      <c r="AD504">
        <v>-1.1090964686160001</v>
      </c>
      <c r="AE504">
        <v>-0.74600000000003697</v>
      </c>
      <c r="AF504">
        <v>0.48540523583071399</v>
      </c>
      <c r="AG504">
        <v>-1.1090964686160001</v>
      </c>
      <c r="AH504">
        <v>31.788238959346501</v>
      </c>
      <c r="AI504">
        <v>91.998015106862098</v>
      </c>
      <c r="AJ504">
        <v>89.125163552710603</v>
      </c>
      <c r="AK504">
        <v>31.811284937207201</v>
      </c>
      <c r="AL504">
        <v>88.999332725461301</v>
      </c>
      <c r="AM504">
        <v>88.198392229132807</v>
      </c>
      <c r="AN504">
        <v>0.99999995418865995</v>
      </c>
    </row>
    <row r="505" spans="1:40" x14ac:dyDescent="0.25">
      <c r="A505" t="str">
        <f>"20190312154223404"</f>
        <v>20190312154223404</v>
      </c>
      <c r="B505" t="str">
        <f>"1552376543397768"</f>
        <v>1552376543397768</v>
      </c>
      <c r="C505" t="s">
        <v>40</v>
      </c>
      <c r="D505">
        <v>4.9539359999999997</v>
      </c>
      <c r="E505">
        <v>0.49284990000000001</v>
      </c>
      <c r="F505" t="s">
        <v>43</v>
      </c>
      <c r="G505">
        <v>-328.30099999999999</v>
      </c>
      <c r="H505" s="1">
        <v>-1.075917E-6</v>
      </c>
      <c r="I505">
        <v>367.69330000000002</v>
      </c>
      <c r="J505">
        <v>-361.8954</v>
      </c>
      <c r="K505">
        <v>1.109097</v>
      </c>
      <c r="L505">
        <v>368.38670000000002</v>
      </c>
      <c r="M505">
        <v>0.99995440000000002</v>
      </c>
      <c r="N505">
        <v>0</v>
      </c>
      <c r="O505">
        <v>-8.3515009999999903E-3</v>
      </c>
      <c r="P505">
        <v>0.99912040000000002</v>
      </c>
      <c r="Q505">
        <v>1.3411950000000001E-2</v>
      </c>
      <c r="R505">
        <v>-3.9740289999999998E-2</v>
      </c>
      <c r="S505">
        <v>3.0014340000000002</v>
      </c>
      <c r="T505">
        <v>-9.8257419999999998E-2</v>
      </c>
      <c r="U505">
        <v>-6.1645510000000001E-2</v>
      </c>
      <c r="V505">
        <v>3.1401900000000003E-2</v>
      </c>
      <c r="W505">
        <v>1.8046659999999999E-2</v>
      </c>
      <c r="X505">
        <v>0.99934389999999995</v>
      </c>
      <c r="Y505">
        <v>1.218176E-2</v>
      </c>
      <c r="Z505" s="1">
        <v>7.3972669999999995E-5</v>
      </c>
      <c r="AA505">
        <v>0.99992579999999998</v>
      </c>
      <c r="AB505">
        <v>30</v>
      </c>
      <c r="AC505">
        <v>33.5944</v>
      </c>
      <c r="AD505">
        <v>-1.1090980759169999</v>
      </c>
      <c r="AE505">
        <v>-0.69339999999999602</v>
      </c>
      <c r="AF505">
        <v>0.41235988344597102</v>
      </c>
      <c r="AG505">
        <v>-1.1090980759169999</v>
      </c>
      <c r="AH505">
        <v>33.562453602959103</v>
      </c>
      <c r="AI505">
        <v>91.892553287842404</v>
      </c>
      <c r="AJ505">
        <v>89.296079705325099</v>
      </c>
      <c r="AK505">
        <v>33.583305838857797</v>
      </c>
      <c r="AL505">
        <v>88.965946409472295</v>
      </c>
      <c r="AM505">
        <v>88.200214631778806</v>
      </c>
      <c r="AN505">
        <v>0.99999999586398702</v>
      </c>
    </row>
    <row r="506" spans="1:40" x14ac:dyDescent="0.25">
      <c r="A506" t="str">
        <f>"20190312154223428"</f>
        <v>20190312154223428</v>
      </c>
      <c r="B506" t="str">
        <f>"1552376543418263"</f>
        <v>1552376543418263</v>
      </c>
      <c r="C506" t="s">
        <v>40</v>
      </c>
      <c r="D506">
        <v>4.9654049999999996</v>
      </c>
      <c r="E506">
        <v>0.49227769999999998</v>
      </c>
      <c r="F506" t="s">
        <v>43</v>
      </c>
      <c r="G506">
        <v>-326.68819999999999</v>
      </c>
      <c r="H506" s="1">
        <v>-1.740073E-6</v>
      </c>
      <c r="I506">
        <v>367.71660000000003</v>
      </c>
      <c r="J506">
        <v>-361.58609999999999</v>
      </c>
      <c r="K506">
        <v>1.1091059999999999</v>
      </c>
      <c r="L506">
        <v>368.38389999999998</v>
      </c>
      <c r="M506">
        <v>0.99995239999999996</v>
      </c>
      <c r="N506">
        <v>0</v>
      </c>
      <c r="O506">
        <v>-8.5494279999999995E-3</v>
      </c>
      <c r="P506">
        <v>0.99909809999999999</v>
      </c>
      <c r="Q506">
        <v>1.3398439999999999E-2</v>
      </c>
      <c r="R506">
        <v>-4.0291779999999999E-2</v>
      </c>
      <c r="S506">
        <v>3.0016479999999999</v>
      </c>
      <c r="T506">
        <v>-9.4557760000000005E-2</v>
      </c>
      <c r="U506">
        <v>-5.7128909999999998E-2</v>
      </c>
      <c r="V506">
        <v>3.1756039999999999E-2</v>
      </c>
      <c r="W506">
        <v>1.8092899999999999E-2</v>
      </c>
      <c r="X506">
        <v>0.99933190000000005</v>
      </c>
      <c r="Y506">
        <v>1.047944E-2</v>
      </c>
      <c r="Z506">
        <v>1.0422200000000001E-4</v>
      </c>
      <c r="AA506">
        <v>0.99994510000000003</v>
      </c>
      <c r="AB506">
        <v>30</v>
      </c>
      <c r="AC506">
        <v>34.8978999999999</v>
      </c>
      <c r="AD506">
        <v>-1.1091077400729901</v>
      </c>
      <c r="AE506">
        <v>-0.66729999999995404</v>
      </c>
      <c r="AF506">
        <v>0.36854311451152599</v>
      </c>
      <c r="AG506">
        <v>-1.1091077400729901</v>
      </c>
      <c r="AH506">
        <v>34.867124499186801</v>
      </c>
      <c r="AI506">
        <v>91.821837249649505</v>
      </c>
      <c r="AJ506">
        <v>89.394410092507101</v>
      </c>
      <c r="AK506">
        <v>34.886706850147696</v>
      </c>
      <c r="AL506">
        <v>88.963296647838007</v>
      </c>
      <c r="AM506">
        <v>88.17990899662</v>
      </c>
      <c r="AN506">
        <v>1.0000000227322501</v>
      </c>
    </row>
    <row r="507" spans="1:40" x14ac:dyDescent="0.25">
      <c r="A507" t="str">
        <f>"20190312154223450"</f>
        <v>20190312154223450</v>
      </c>
      <c r="B507" t="str">
        <f>"1552376543437784"</f>
        <v>1552376543437784</v>
      </c>
      <c r="C507" t="s">
        <v>40</v>
      </c>
      <c r="D507">
        <v>4.999206</v>
      </c>
      <c r="E507">
        <v>0.49167709999999998</v>
      </c>
      <c r="F507" t="s">
        <v>43</v>
      </c>
      <c r="G507">
        <v>-325.84199999999998</v>
      </c>
      <c r="H507" s="1">
        <v>-2.09907E-6</v>
      </c>
      <c r="I507">
        <v>367.73919999999998</v>
      </c>
      <c r="J507">
        <v>-361.27760000000001</v>
      </c>
      <c r="K507">
        <v>1.10911</v>
      </c>
      <c r="L507">
        <v>368.3811</v>
      </c>
      <c r="M507">
        <v>0.99995049999999996</v>
      </c>
      <c r="N507">
        <v>0</v>
      </c>
      <c r="O507">
        <v>-8.7466479999999992E-3</v>
      </c>
      <c r="P507">
        <v>0.99906629999999996</v>
      </c>
      <c r="Q507">
        <v>1.356183E-2</v>
      </c>
      <c r="R507">
        <v>-4.102505E-2</v>
      </c>
      <c r="S507">
        <v>3.0018009999999999</v>
      </c>
      <c r="T507">
        <v>-9.3143110000000001E-2</v>
      </c>
      <c r="U507">
        <v>-5.4138180000000001E-2</v>
      </c>
      <c r="V507">
        <v>3.2292469999999997E-2</v>
      </c>
      <c r="W507">
        <v>1.831936E-2</v>
      </c>
      <c r="X507">
        <v>0.99931060000000005</v>
      </c>
      <c r="Y507">
        <v>9.2860319999999996E-3</v>
      </c>
      <c r="Z507">
        <v>1.2728610000000001E-4</v>
      </c>
      <c r="AA507">
        <v>0.99995679999999998</v>
      </c>
      <c r="AB507">
        <v>30</v>
      </c>
      <c r="AC507">
        <v>35.435600000000001</v>
      </c>
      <c r="AD507">
        <v>-1.1091120990700001</v>
      </c>
      <c r="AE507">
        <v>-0.64190000000002101</v>
      </c>
      <c r="AF507">
        <v>0.33160448921441699</v>
      </c>
      <c r="AG507">
        <v>-1.1091120990700001</v>
      </c>
      <c r="AH507">
        <v>35.4051856587324</v>
      </c>
      <c r="AI507">
        <v>91.794197146574703</v>
      </c>
      <c r="AJ507">
        <v>89.463384195900403</v>
      </c>
      <c r="AK507">
        <v>35.424105672760199</v>
      </c>
      <c r="AL507">
        <v>88.950319311936099</v>
      </c>
      <c r="AM507">
        <v>88.149145403738103</v>
      </c>
      <c r="AN507">
        <v>1.00000003892093</v>
      </c>
    </row>
    <row r="508" spans="1:40" x14ac:dyDescent="0.25">
      <c r="A508" t="str">
        <f>"20190312154223471"</f>
        <v>20190312154223471</v>
      </c>
      <c r="B508" t="str">
        <f>"1552376543458280"</f>
        <v>1552376543458280</v>
      </c>
      <c r="C508" t="s">
        <v>40</v>
      </c>
      <c r="D508">
        <v>4.9587899999999996</v>
      </c>
      <c r="E508">
        <v>0.4912434</v>
      </c>
      <c r="F508" t="s">
        <v>43</v>
      </c>
      <c r="G508">
        <v>-324.66950000000003</v>
      </c>
      <c r="H508" s="1">
        <v>-2.599665E-6</v>
      </c>
      <c r="I508">
        <v>367.75279999999998</v>
      </c>
      <c r="J508">
        <v>-360.9821</v>
      </c>
      <c r="K508">
        <v>1.109116</v>
      </c>
      <c r="L508">
        <v>368.37830000000002</v>
      </c>
      <c r="M508">
        <v>0.99994850000000002</v>
      </c>
      <c r="N508">
        <v>0</v>
      </c>
      <c r="O508">
        <v>-8.9352819999999993E-3</v>
      </c>
      <c r="P508">
        <v>0.99904579999999998</v>
      </c>
      <c r="Q508">
        <v>1.365301E-2</v>
      </c>
      <c r="R508">
        <v>-4.148864E-2</v>
      </c>
      <c r="S508">
        <v>3.0019230000000001</v>
      </c>
      <c r="T508">
        <v>-9.094882E-2</v>
      </c>
      <c r="U508">
        <v>-5.1513669999999998E-2</v>
      </c>
      <c r="V508">
        <v>3.2567810000000003E-2</v>
      </c>
      <c r="W508">
        <v>1.847145E-2</v>
      </c>
      <c r="X508">
        <v>0.99929880000000004</v>
      </c>
      <c r="Y508">
        <v>8.2232750000000004E-3</v>
      </c>
      <c r="Z508">
        <v>1.460923E-4</v>
      </c>
      <c r="AA508">
        <v>0.99996620000000003</v>
      </c>
      <c r="AB508">
        <v>31</v>
      </c>
      <c r="AC508">
        <v>36.312599999999897</v>
      </c>
      <c r="AD508">
        <v>-1.1091185996649999</v>
      </c>
      <c r="AE508">
        <v>-0.62550000000004502</v>
      </c>
      <c r="AF508">
        <v>0.30072748155254098</v>
      </c>
      <c r="AG508">
        <v>-1.1091185996649999</v>
      </c>
      <c r="AH508">
        <v>36.282900675285703</v>
      </c>
      <c r="AI508">
        <v>91.750848198603805</v>
      </c>
      <c r="AJ508">
        <v>89.525120081118004</v>
      </c>
      <c r="AK508">
        <v>36.301094508277998</v>
      </c>
      <c r="AL508">
        <v>88.941603653886901</v>
      </c>
      <c r="AM508">
        <v>88.133353283040293</v>
      </c>
      <c r="AN508">
        <v>0.99999997419736897</v>
      </c>
    </row>
    <row r="509" spans="1:40" x14ac:dyDescent="0.25">
      <c r="A509" t="str">
        <f>"20190312154223493"</f>
        <v>20190312154223493</v>
      </c>
      <c r="B509" t="str">
        <f>"1552376543487559"</f>
        <v>1552376543487559</v>
      </c>
      <c r="C509" t="s">
        <v>40</v>
      </c>
      <c r="D509">
        <v>4.9585410000000003</v>
      </c>
      <c r="E509">
        <v>0.49060330000000002</v>
      </c>
      <c r="F509" t="s">
        <v>43</v>
      </c>
      <c r="G509">
        <v>-324.02760000000001</v>
      </c>
      <c r="H509" s="1">
        <v>-2.873043E-6</v>
      </c>
      <c r="I509">
        <v>367.76400000000001</v>
      </c>
      <c r="J509">
        <v>-360.67649999999998</v>
      </c>
      <c r="K509">
        <v>1.1091120000000001</v>
      </c>
      <c r="L509">
        <v>368.37540000000001</v>
      </c>
      <c r="M509">
        <v>0.99994640000000001</v>
      </c>
      <c r="N509">
        <v>0</v>
      </c>
      <c r="O509">
        <v>-9.1305999999999991E-3</v>
      </c>
      <c r="P509">
        <v>0.99902429999999998</v>
      </c>
      <c r="Q509">
        <v>1.397438E-2</v>
      </c>
      <c r="R509">
        <v>-4.1897179999999999E-2</v>
      </c>
      <c r="S509">
        <v>3.0019840000000002</v>
      </c>
      <c r="T509">
        <v>-9.0098499999999998E-2</v>
      </c>
      <c r="U509">
        <v>-4.9896240000000001E-2</v>
      </c>
      <c r="V509">
        <v>3.2781690000000002E-2</v>
      </c>
      <c r="W509">
        <v>1.8855230000000001E-2</v>
      </c>
      <c r="X509">
        <v>0.99928470000000003</v>
      </c>
      <c r="Y509">
        <v>7.4893939999999999E-3</v>
      </c>
      <c r="Z509">
        <v>1.6159480000000001E-4</v>
      </c>
      <c r="AA509">
        <v>0.99997190000000002</v>
      </c>
      <c r="AB509">
        <v>31</v>
      </c>
      <c r="AC509">
        <v>36.648899999999898</v>
      </c>
      <c r="AD509">
        <v>-1.109114873043</v>
      </c>
      <c r="AE509">
        <v>-0.61140000000000305</v>
      </c>
      <c r="AF509">
        <v>0.27649092221282801</v>
      </c>
      <c r="AG509">
        <v>-1.109114873043</v>
      </c>
      <c r="AH509">
        <v>36.6194256807591</v>
      </c>
      <c r="AI509">
        <v>91.734772447181498</v>
      </c>
      <c r="AJ509">
        <v>89.567402776134998</v>
      </c>
      <c r="AK509">
        <v>36.637261363539601</v>
      </c>
      <c r="AL509">
        <v>88.919610914315498</v>
      </c>
      <c r="AM509">
        <v>88.121076867391395</v>
      </c>
      <c r="AN509">
        <v>1.00000003527584</v>
      </c>
    </row>
    <row r="510" spans="1:40" x14ac:dyDescent="0.25">
      <c r="A510" t="str">
        <f>"20190312154223506"</f>
        <v>20190312154223506</v>
      </c>
      <c r="B510" t="str">
        <f>"1552376543498297"</f>
        <v>1552376543498297</v>
      </c>
      <c r="C510" t="s">
        <v>40</v>
      </c>
      <c r="D510">
        <v>4.9828359999999998</v>
      </c>
      <c r="E510">
        <v>0.49040850000000002</v>
      </c>
      <c r="F510" t="s">
        <v>43</v>
      </c>
      <c r="G510">
        <v>-323.1773</v>
      </c>
      <c r="H510" s="1">
        <v>-3.231488E-6</v>
      </c>
      <c r="I510">
        <v>367.79969999999997</v>
      </c>
      <c r="J510">
        <v>-360.5061</v>
      </c>
      <c r="K510">
        <v>1.1091150000000001</v>
      </c>
      <c r="L510">
        <v>368.37369999999999</v>
      </c>
      <c r="M510">
        <v>0.99994519999999998</v>
      </c>
      <c r="N510">
        <v>0</v>
      </c>
      <c r="O510">
        <v>-9.2392949999999998E-3</v>
      </c>
      <c r="P510">
        <v>0.99903120000000001</v>
      </c>
      <c r="Q510">
        <v>1.427528E-2</v>
      </c>
      <c r="R510">
        <v>-4.1630830000000001E-2</v>
      </c>
      <c r="S510">
        <v>3.0022280000000001</v>
      </c>
      <c r="T510">
        <v>-8.8796730000000004E-2</v>
      </c>
      <c r="U510">
        <v>-4.6081539999999997E-2</v>
      </c>
      <c r="V510">
        <v>3.2406879999999999E-2</v>
      </c>
      <c r="W510">
        <v>1.9191340000000001E-2</v>
      </c>
      <c r="X510">
        <v>0.99929049999999997</v>
      </c>
      <c r="Y510">
        <v>6.1097030000000002E-3</v>
      </c>
      <c r="Z510">
        <v>1.8286180000000001E-4</v>
      </c>
      <c r="AA510">
        <v>0.99998129999999996</v>
      </c>
      <c r="AB510">
        <v>31</v>
      </c>
      <c r="AC510">
        <v>37.328800000000001</v>
      </c>
      <c r="AD510">
        <v>-1.1091182314879999</v>
      </c>
      <c r="AE510">
        <v>-0.57400000000001195</v>
      </c>
      <c r="AF510">
        <v>0.22887751742040699</v>
      </c>
      <c r="AG510">
        <v>-1.1091182314879999</v>
      </c>
      <c r="AH510">
        <v>37.299589372691202</v>
      </c>
      <c r="AI510">
        <v>91.703179038396499</v>
      </c>
      <c r="AJ510">
        <v>89.648426392671396</v>
      </c>
      <c r="AK510">
        <v>37.316777668238998</v>
      </c>
      <c r="AL510">
        <v>88.900349715407302</v>
      </c>
      <c r="AM510">
        <v>88.142555204153098</v>
      </c>
      <c r="AN510">
        <v>1.0000000083962799</v>
      </c>
    </row>
    <row r="511" spans="1:40" x14ac:dyDescent="0.25">
      <c r="A511" t="str">
        <f>"20190312154223517"</f>
        <v>20190312154223517</v>
      </c>
      <c r="B511" t="str">
        <f>"1552376543508055"</f>
        <v>1552376543508055</v>
      </c>
      <c r="C511" t="s">
        <v>40</v>
      </c>
      <c r="D511">
        <v>4.9876690000000004</v>
      </c>
      <c r="E511">
        <v>0.49021769999999998</v>
      </c>
      <c r="F511" t="s">
        <v>43</v>
      </c>
      <c r="G511">
        <v>-322.42619999999999</v>
      </c>
      <c r="H511" s="1">
        <v>-3.5500080000000001E-6</v>
      </c>
      <c r="I511">
        <v>367.82049999999998</v>
      </c>
      <c r="J511">
        <v>-360.33620000000002</v>
      </c>
      <c r="K511">
        <v>1.109118</v>
      </c>
      <c r="L511">
        <v>368.37209999999999</v>
      </c>
      <c r="M511">
        <v>0.99994400000000006</v>
      </c>
      <c r="N511">
        <v>0</v>
      </c>
      <c r="O511">
        <v>-9.3475139999999995E-3</v>
      </c>
      <c r="P511">
        <v>0.99903169999999997</v>
      </c>
      <c r="Q511">
        <v>1.4625799999999901E-2</v>
      </c>
      <c r="R511">
        <v>-4.1495799999999999E-2</v>
      </c>
      <c r="S511">
        <v>3.0023499999999999</v>
      </c>
      <c r="T511">
        <v>-8.7446570000000001E-2</v>
      </c>
      <c r="U511">
        <v>-4.3609620000000002E-2</v>
      </c>
      <c r="V511">
        <v>3.2163700000000003E-2</v>
      </c>
      <c r="W511">
        <v>1.9576079999999999E-2</v>
      </c>
      <c r="X511">
        <v>0.99929089999999998</v>
      </c>
      <c r="Y511">
        <v>5.1781199999999996E-3</v>
      </c>
      <c r="Z511">
        <v>1.9679070000000001E-4</v>
      </c>
      <c r="AA511">
        <v>0.99998659999999995</v>
      </c>
      <c r="AB511">
        <v>31</v>
      </c>
      <c r="AC511">
        <v>37.909999999999997</v>
      </c>
      <c r="AD511">
        <v>-1.1091215500080001</v>
      </c>
      <c r="AE511">
        <v>-0.55160000000000697</v>
      </c>
      <c r="AF511">
        <v>0.19703866193414599</v>
      </c>
      <c r="AG511">
        <v>-1.1091215500080001</v>
      </c>
      <c r="AH511">
        <v>37.881082240230299</v>
      </c>
      <c r="AI511">
        <v>91.677063361408898</v>
      </c>
      <c r="AJ511">
        <v>89.701978368913103</v>
      </c>
      <c r="AK511">
        <v>37.897827992354401</v>
      </c>
      <c r="AL511">
        <v>88.878301601838601</v>
      </c>
      <c r="AM511">
        <v>88.156484482884295</v>
      </c>
      <c r="AN511">
        <v>1.00000001466433</v>
      </c>
    </row>
    <row r="512" spans="1:40" x14ac:dyDescent="0.25">
      <c r="A512" t="str">
        <f>"20190312154223538"</f>
        <v>20190312154223538</v>
      </c>
      <c r="B512" t="str">
        <f>"1552376543527576"</f>
        <v>1552376543527576</v>
      </c>
      <c r="C512" t="s">
        <v>40</v>
      </c>
      <c r="D512">
        <v>4.975085</v>
      </c>
      <c r="E512">
        <v>0.48995470000000002</v>
      </c>
      <c r="F512" t="s">
        <v>43</v>
      </c>
      <c r="G512">
        <v>-321.7321</v>
      </c>
      <c r="H512" s="1">
        <v>-3.8451249999999999E-6</v>
      </c>
      <c r="I512">
        <v>367.8356</v>
      </c>
      <c r="J512">
        <v>-360.0498</v>
      </c>
      <c r="K512">
        <v>1.1091260000000001</v>
      </c>
      <c r="L512">
        <v>368.36930000000001</v>
      </c>
      <c r="M512">
        <v>0.999942</v>
      </c>
      <c r="N512">
        <v>0</v>
      </c>
      <c r="O512">
        <v>-9.5299470000000004E-3</v>
      </c>
      <c r="P512">
        <v>0.99904020000000004</v>
      </c>
      <c r="Q512">
        <v>1.5243670000000001E-2</v>
      </c>
      <c r="R512">
        <v>-4.1064919999999998E-2</v>
      </c>
      <c r="S512">
        <v>3.0024410000000001</v>
      </c>
      <c r="T512">
        <v>-8.6261749999999998E-2</v>
      </c>
      <c r="U512">
        <v>-4.1717530000000003E-2</v>
      </c>
      <c r="V512">
        <v>3.1550759999999997E-2</v>
      </c>
      <c r="W512">
        <v>2.0251620000000001E-2</v>
      </c>
      <c r="X512">
        <v>0.99929699999999999</v>
      </c>
      <c r="Y512">
        <v>4.3655480000000003E-3</v>
      </c>
      <c r="Z512">
        <v>2.1103030000000001E-4</v>
      </c>
      <c r="AA512">
        <v>0.9999905</v>
      </c>
      <c r="AB512">
        <v>31</v>
      </c>
      <c r="AC512">
        <v>38.317700000000002</v>
      </c>
      <c r="AD512">
        <v>-1.109129845125</v>
      </c>
      <c r="AE512">
        <v>-0.53370000000001006</v>
      </c>
      <c r="AF512">
        <v>0.16836447975888599</v>
      </c>
      <c r="AG512">
        <v>-1.109129845125</v>
      </c>
      <c r="AH512">
        <v>38.288971942257497</v>
      </c>
      <c r="AI512">
        <v>91.6592265678903</v>
      </c>
      <c r="AJ512">
        <v>89.748060304364898</v>
      </c>
      <c r="AK512">
        <v>38.3054028565994</v>
      </c>
      <c r="AL512">
        <v>88.839588359134694</v>
      </c>
      <c r="AM512">
        <v>88.191603627847797</v>
      </c>
      <c r="AN512">
        <v>1.0000000363891</v>
      </c>
    </row>
    <row r="513" spans="1:40" x14ac:dyDescent="0.25">
      <c r="A513" t="str">
        <f>"20190312154223572"</f>
        <v>20190312154223572</v>
      </c>
      <c r="B513" t="str">
        <f>"1552376543567592"</f>
        <v>1552376543567592</v>
      </c>
      <c r="C513" t="s">
        <v>40</v>
      </c>
      <c r="D513">
        <v>5.0083310000000001</v>
      </c>
      <c r="E513">
        <v>0.48946529999999999</v>
      </c>
      <c r="F513" t="s">
        <v>43</v>
      </c>
      <c r="G513">
        <v>-320.3005</v>
      </c>
      <c r="H513" s="1">
        <v>-4.4545310000000001E-6</v>
      </c>
      <c r="I513">
        <v>367.86219999999997</v>
      </c>
      <c r="J513">
        <v>-359.58969999999999</v>
      </c>
      <c r="K513">
        <v>1.1091359999999999</v>
      </c>
      <c r="L513">
        <v>368.3646</v>
      </c>
      <c r="M513">
        <v>0.99993880000000002</v>
      </c>
      <c r="N513">
        <v>0</v>
      </c>
      <c r="O513">
        <v>-9.8222670000000008E-3</v>
      </c>
      <c r="P513">
        <v>0.99906980000000001</v>
      </c>
      <c r="Q513">
        <v>1.6126290000000001E-2</v>
      </c>
      <c r="R513">
        <v>-3.999776E-2</v>
      </c>
      <c r="S513">
        <v>3.0025629999999999</v>
      </c>
      <c r="T513">
        <v>-8.3780880000000002E-2</v>
      </c>
      <c r="U513">
        <v>-3.8299560000000003E-2</v>
      </c>
      <c r="V513">
        <v>3.0191800000000001E-2</v>
      </c>
      <c r="W513">
        <v>2.1224159999999999E-2</v>
      </c>
      <c r="X513">
        <v>0.99931879999999995</v>
      </c>
      <c r="Y513">
        <v>2.9350539999999999E-3</v>
      </c>
      <c r="Z513">
        <v>2.330644E-4</v>
      </c>
      <c r="AA513">
        <v>0.99999559999999998</v>
      </c>
      <c r="AB513">
        <v>31</v>
      </c>
      <c r="AC513">
        <v>39.289200000000001</v>
      </c>
      <c r="AD513">
        <v>-1.109140454531</v>
      </c>
      <c r="AE513">
        <v>-0.50240000000002205</v>
      </c>
      <c r="AF513">
        <v>0.116369025615013</v>
      </c>
      <c r="AG513">
        <v>-1.109140454531</v>
      </c>
      <c r="AH513">
        <v>39.260955835645497</v>
      </c>
      <c r="AI513">
        <v>91.618195196987003</v>
      </c>
      <c r="AJ513">
        <v>89.830176459870998</v>
      </c>
      <c r="AK513">
        <v>39.2767919696416</v>
      </c>
      <c r="AL513">
        <v>88.783853936306002</v>
      </c>
      <c r="AM513">
        <v>88.269484501480804</v>
      </c>
      <c r="AN513">
        <v>1.0000000368941899</v>
      </c>
    </row>
    <row r="514" spans="1:40" x14ac:dyDescent="0.25">
      <c r="A514" t="str">
        <f>"20190312154223593"</f>
        <v>20190312154223593</v>
      </c>
      <c r="B514" t="str">
        <f>"1552376543588088"</f>
        <v>1552376543588088</v>
      </c>
      <c r="C514" t="s">
        <v>40</v>
      </c>
      <c r="D514">
        <v>4.9506860000000001</v>
      </c>
      <c r="E514">
        <v>0.48935919999999999</v>
      </c>
      <c r="F514" t="s">
        <v>42</v>
      </c>
      <c r="G514">
        <v>-316.9787</v>
      </c>
      <c r="H514">
        <v>-0.05</v>
      </c>
      <c r="I514">
        <v>367.91899999999998</v>
      </c>
      <c r="J514">
        <v>-359.27859999999998</v>
      </c>
      <c r="K514">
        <v>1.1091390000000001</v>
      </c>
      <c r="L514">
        <v>368.3614</v>
      </c>
      <c r="M514">
        <v>0.99993639999999995</v>
      </c>
      <c r="N514">
        <v>0</v>
      </c>
      <c r="O514">
        <v>-1.002056E-2</v>
      </c>
      <c r="P514">
        <v>0.99905849999999996</v>
      </c>
      <c r="Q514">
        <v>1.6664849999999998E-2</v>
      </c>
      <c r="R514">
        <v>-4.0056799999999997E-2</v>
      </c>
      <c r="S514">
        <v>3.002869</v>
      </c>
      <c r="T514">
        <v>-8.1686259999999997E-2</v>
      </c>
      <c r="U514">
        <v>-3.1402590000000001E-2</v>
      </c>
      <c r="V514">
        <v>3.0053059999999999E-2</v>
      </c>
      <c r="W514">
        <v>2.1821980000000001E-2</v>
      </c>
      <c r="X514">
        <v>0.99931009999999998</v>
      </c>
      <c r="Y514">
        <v>4.3983029999999999E-4</v>
      </c>
      <c r="Z514">
        <v>2.6654450000000002E-4</v>
      </c>
      <c r="AA514">
        <v>0.99999990000000005</v>
      </c>
      <c r="AB514">
        <v>31</v>
      </c>
      <c r="AC514">
        <v>42.299899999999901</v>
      </c>
      <c r="AD514">
        <v>-1.1591389999999999</v>
      </c>
      <c r="AE514">
        <v>-0.44239999999996299</v>
      </c>
      <c r="AF514">
        <v>1.8489542611842699E-2</v>
      </c>
      <c r="AG514">
        <v>-1.1591389999999999</v>
      </c>
      <c r="AH514">
        <v>42.270471169748397</v>
      </c>
      <c r="AI514">
        <v>91.570768552489497</v>
      </c>
      <c r="AJ514">
        <v>89.974938233241602</v>
      </c>
      <c r="AK514">
        <v>42.286365154704903</v>
      </c>
      <c r="AL514">
        <v>88.749593429892599</v>
      </c>
      <c r="AM514">
        <v>88.2774169279554</v>
      </c>
      <c r="AN514">
        <v>1.00000003059424</v>
      </c>
    </row>
    <row r="515" spans="1:40" x14ac:dyDescent="0.25">
      <c r="A515" t="str">
        <f>"20190312154223616"</f>
        <v>20190312154223616</v>
      </c>
      <c r="B515" t="str">
        <f>"1552376543607607"</f>
        <v>1552376543607607</v>
      </c>
      <c r="C515" t="s">
        <v>40</v>
      </c>
      <c r="D515">
        <v>5.0015539999999996</v>
      </c>
      <c r="E515">
        <v>0.48953099999999999</v>
      </c>
      <c r="F515" t="s">
        <v>42</v>
      </c>
      <c r="G515">
        <v>-315.44589999999999</v>
      </c>
      <c r="H515">
        <v>-0.05</v>
      </c>
      <c r="I515">
        <v>367.91460000000001</v>
      </c>
      <c r="J515">
        <v>-358.96339999999998</v>
      </c>
      <c r="K515">
        <v>1.1091439999999999</v>
      </c>
      <c r="L515">
        <v>368.358</v>
      </c>
      <c r="M515">
        <v>0.9999342</v>
      </c>
      <c r="N515">
        <v>0</v>
      </c>
      <c r="O515">
        <v>-1.022148E-2</v>
      </c>
      <c r="P515">
        <v>0.99906550000000005</v>
      </c>
      <c r="Q515">
        <v>1.7147530000000001E-2</v>
      </c>
      <c r="R515">
        <v>-3.9677749999999998E-2</v>
      </c>
      <c r="S515">
        <v>3.0029300000000001</v>
      </c>
      <c r="T515">
        <v>-7.9411389999999998E-2</v>
      </c>
      <c r="U515">
        <v>-3.0609129999999998E-2</v>
      </c>
      <c r="V515">
        <v>2.9473470000000002E-2</v>
      </c>
      <c r="W515">
        <v>2.2363060000000001E-2</v>
      </c>
      <c r="X515">
        <v>0.99931539999999996</v>
      </c>
      <c r="Y515" s="1">
        <v>-2.5476299999999999E-5</v>
      </c>
      <c r="Z515">
        <v>2.7058250000000001E-4</v>
      </c>
      <c r="AA515">
        <v>0.99999990000000005</v>
      </c>
      <c r="AB515">
        <v>31</v>
      </c>
      <c r="AC515">
        <v>43.517499999999899</v>
      </c>
      <c r="AD515">
        <v>-1.159144</v>
      </c>
      <c r="AE515">
        <v>-0.44339999999999602</v>
      </c>
      <c r="AF515">
        <v>-1.44142860312185E-3</v>
      </c>
      <c r="AG515">
        <v>-1.159144</v>
      </c>
      <c r="AH515">
        <v>43.488907033351303</v>
      </c>
      <c r="AI515">
        <v>91.526787929489004</v>
      </c>
      <c r="AJ515">
        <v>90.001899053828396</v>
      </c>
      <c r="AK515">
        <v>43.504352102357799</v>
      </c>
      <c r="AL515">
        <v>88.7185842612909</v>
      </c>
      <c r="AM515">
        <v>88.310627416330405</v>
      </c>
      <c r="AN515">
        <v>1.00000003028178</v>
      </c>
    </row>
    <row r="516" spans="1:40" x14ac:dyDescent="0.25">
      <c r="A516" t="str">
        <f>"20190312154223639"</f>
        <v>20190312154223639</v>
      </c>
      <c r="B516" t="str">
        <f>"1552376543628107"</f>
        <v>1552376543628107</v>
      </c>
      <c r="C516" t="s">
        <v>40</v>
      </c>
      <c r="D516">
        <v>5.012232</v>
      </c>
      <c r="E516">
        <v>0.50678270000000003</v>
      </c>
      <c r="F516" t="s">
        <v>42</v>
      </c>
      <c r="G516">
        <v>-313.60399999999998</v>
      </c>
      <c r="H516">
        <v>-0.05</v>
      </c>
      <c r="I516">
        <v>367.88729999999998</v>
      </c>
      <c r="J516">
        <v>-358.6345</v>
      </c>
      <c r="K516">
        <v>1.1091489999999999</v>
      </c>
      <c r="L516">
        <v>368.3544</v>
      </c>
      <c r="M516">
        <v>0.99993160000000003</v>
      </c>
      <c r="N516">
        <v>0</v>
      </c>
      <c r="O516">
        <v>-1.043087E-2</v>
      </c>
      <c r="P516">
        <v>0.99903120000000001</v>
      </c>
      <c r="Q516">
        <v>1.7251280000000001E-2</v>
      </c>
      <c r="R516">
        <v>-4.0488870000000003E-2</v>
      </c>
      <c r="S516">
        <v>3.0029300000000001</v>
      </c>
      <c r="T516">
        <v>-7.6738719999999996E-2</v>
      </c>
      <c r="U516">
        <v>-3.1158450000000001E-2</v>
      </c>
      <c r="V516">
        <v>3.007549E-2</v>
      </c>
      <c r="W516">
        <v>2.2525610000000001E-2</v>
      </c>
      <c r="X516">
        <v>0.99929380000000001</v>
      </c>
      <c r="Y516" s="1">
        <v>-5.2135729999999998E-5</v>
      </c>
      <c r="Z516">
        <v>2.671687E-4</v>
      </c>
      <c r="AA516">
        <v>0.99999990000000005</v>
      </c>
      <c r="AB516">
        <v>31</v>
      </c>
      <c r="AC516">
        <v>45.030499999999897</v>
      </c>
      <c r="AD516">
        <v>-1.159149</v>
      </c>
      <c r="AE516">
        <v>-0.467100000000016</v>
      </c>
      <c r="AF516">
        <v>-2.6375306206101699E-3</v>
      </c>
      <c r="AG516">
        <v>-1.159149</v>
      </c>
      <c r="AH516">
        <v>45.003105683878303</v>
      </c>
      <c r="AI516">
        <v>91.475446265538594</v>
      </c>
      <c r="AJ516">
        <v>90.003357976531305</v>
      </c>
      <c r="AK516">
        <v>45.018031438025901</v>
      </c>
      <c r="AL516">
        <v>88.709268470645597</v>
      </c>
      <c r="AM516">
        <v>88.276103957395904</v>
      </c>
      <c r="AN516">
        <v>1.0000000184615201</v>
      </c>
    </row>
    <row r="517" spans="1:40" x14ac:dyDescent="0.25">
      <c r="A517" t="str">
        <f>"20190312154223662"</f>
        <v>20190312154223662</v>
      </c>
      <c r="B517" t="str">
        <f>"1552376543658359"</f>
        <v>1552376543658359</v>
      </c>
      <c r="C517" t="s">
        <v>40</v>
      </c>
      <c r="D517">
        <v>4.9568159999999999</v>
      </c>
      <c r="E517">
        <v>0.50798620000000005</v>
      </c>
      <c r="F517" t="s">
        <v>43</v>
      </c>
      <c r="G517">
        <v>-331.12400000000002</v>
      </c>
      <c r="H517" s="1">
        <v>-4.289531E-6</v>
      </c>
      <c r="I517">
        <v>366.80079999999998</v>
      </c>
      <c r="J517">
        <v>-358.32139999999998</v>
      </c>
      <c r="K517">
        <v>1.1091549999999999</v>
      </c>
      <c r="L517">
        <v>368.351</v>
      </c>
      <c r="M517">
        <v>0.99992919999999996</v>
      </c>
      <c r="N517">
        <v>0</v>
      </c>
      <c r="O517">
        <v>-1.0629990000000001E-2</v>
      </c>
      <c r="P517">
        <v>0.99901130000000005</v>
      </c>
      <c r="Q517">
        <v>1.724409E-2</v>
      </c>
      <c r="R517">
        <v>-4.0978069999999998E-2</v>
      </c>
      <c r="S517">
        <v>2.998138</v>
      </c>
      <c r="T517">
        <v>-0.1208771</v>
      </c>
      <c r="U517">
        <v>-0.1693115</v>
      </c>
      <c r="V517">
        <v>3.036616E-2</v>
      </c>
      <c r="W517">
        <v>2.2574239999999999E-2</v>
      </c>
      <c r="X517">
        <v>0.9992839</v>
      </c>
      <c r="Y517">
        <v>4.5737529999999998E-2</v>
      </c>
      <c r="Z517">
        <v>-4.928752E-4</v>
      </c>
      <c r="AA517">
        <v>0.99895330000000004</v>
      </c>
      <c r="AB517">
        <v>32</v>
      </c>
      <c r="AC517">
        <v>27.197399999999899</v>
      </c>
      <c r="AD517">
        <v>-1.1091592895309901</v>
      </c>
      <c r="AE517">
        <v>-1.55020000000001</v>
      </c>
      <c r="AF517">
        <v>1.2589131979354999</v>
      </c>
      <c r="AG517">
        <v>-1.1091592895309901</v>
      </c>
      <c r="AH517">
        <v>27.1673049922871</v>
      </c>
      <c r="AI517">
        <v>92.335412490348205</v>
      </c>
      <c r="AJ517">
        <v>87.3468531300461</v>
      </c>
      <c r="AK517">
        <v>27.219066062476099</v>
      </c>
      <c r="AL517">
        <v>88.706481452639906</v>
      </c>
      <c r="AM517">
        <v>88.259436019206603</v>
      </c>
      <c r="AN517">
        <v>1.0000000063919601</v>
      </c>
    </row>
    <row r="518" spans="1:40" x14ac:dyDescent="0.25">
      <c r="A518" t="str">
        <f>"20190312154223683"</f>
        <v>20190312154223683</v>
      </c>
      <c r="B518" t="str">
        <f>"1552376543677881"</f>
        <v>1552376543677881</v>
      </c>
      <c r="C518" t="s">
        <v>40</v>
      </c>
      <c r="D518">
        <v>4.9436549999999997</v>
      </c>
      <c r="E518">
        <v>0.50827709999999904</v>
      </c>
      <c r="F518" t="s">
        <v>43</v>
      </c>
      <c r="G518">
        <v>-330.73410000000001</v>
      </c>
      <c r="H518" s="1">
        <v>-4.4768099999999999E-6</v>
      </c>
      <c r="I518">
        <v>366.68799999999999</v>
      </c>
      <c r="J518">
        <v>-358.01679999999999</v>
      </c>
      <c r="K518">
        <v>1.109154</v>
      </c>
      <c r="L518">
        <v>368.3476</v>
      </c>
      <c r="M518">
        <v>0.99992689999999995</v>
      </c>
      <c r="N518">
        <v>0</v>
      </c>
      <c r="O518">
        <v>-1.082399E-2</v>
      </c>
      <c r="P518">
        <v>0.99899970000000005</v>
      </c>
      <c r="Q518">
        <v>1.6965270000000001E-2</v>
      </c>
      <c r="R518">
        <v>-4.1373109999999998E-2</v>
      </c>
      <c r="S518">
        <v>2.99762</v>
      </c>
      <c r="T518">
        <v>-0.1205204</v>
      </c>
      <c r="U518">
        <v>-0.18069460000000001</v>
      </c>
      <c r="V518">
        <v>3.056764E-2</v>
      </c>
      <c r="W518">
        <v>2.2348280000000002E-2</v>
      </c>
      <c r="X518">
        <v>0.99928280000000003</v>
      </c>
      <c r="Y518">
        <v>4.9331090000000001E-2</v>
      </c>
      <c r="Z518">
        <v>-5.5581169999999896E-4</v>
      </c>
      <c r="AA518">
        <v>0.99878230000000001</v>
      </c>
      <c r="AB518">
        <v>32</v>
      </c>
      <c r="AC518">
        <v>27.282699999999899</v>
      </c>
      <c r="AD518">
        <v>-1.10915847681</v>
      </c>
      <c r="AE518">
        <v>-1.65959999999995</v>
      </c>
      <c r="AF518">
        <v>1.3619481277246901</v>
      </c>
      <c r="AG518">
        <v>-1.10915847681</v>
      </c>
      <c r="AH518">
        <v>27.254186609871301</v>
      </c>
      <c r="AI518">
        <v>92.327568271439304</v>
      </c>
      <c r="AJ518">
        <v>87.139191042559403</v>
      </c>
      <c r="AK518">
        <v>27.3107272513015</v>
      </c>
      <c r="AL518">
        <v>88.719431227761604</v>
      </c>
      <c r="AM518">
        <v>88.247892594090203</v>
      </c>
      <c r="AN518">
        <v>0.999999970304983</v>
      </c>
    </row>
    <row r="519" spans="1:40" x14ac:dyDescent="0.25">
      <c r="A519" t="str">
        <f>"20190312154223706"</f>
        <v>20190312154223706</v>
      </c>
      <c r="B519" t="str">
        <f>"1552376543698377"</f>
        <v>1552376543698377</v>
      </c>
      <c r="C519" t="s">
        <v>40</v>
      </c>
      <c r="D519">
        <v>4.972213</v>
      </c>
      <c r="E519">
        <v>0.50857989999999997</v>
      </c>
      <c r="F519" t="s">
        <v>43</v>
      </c>
      <c r="G519">
        <v>-332.72449999999998</v>
      </c>
      <c r="H519" s="1">
        <v>-3.6037319999999999E-6</v>
      </c>
      <c r="I519">
        <v>366.79640000000001</v>
      </c>
      <c r="J519">
        <v>-357.68770000000001</v>
      </c>
      <c r="K519">
        <v>1.109151</v>
      </c>
      <c r="L519">
        <v>368.34379999999999</v>
      </c>
      <c r="M519">
        <v>0.99992429999999999</v>
      </c>
      <c r="N519">
        <v>0</v>
      </c>
      <c r="O519">
        <v>-1.103289E-2</v>
      </c>
      <c r="P519">
        <v>0.99897990000000003</v>
      </c>
      <c r="Q519">
        <v>1.6890740000000001E-2</v>
      </c>
      <c r="R519">
        <v>-4.1878730000000003E-2</v>
      </c>
      <c r="S519">
        <v>2.99762</v>
      </c>
      <c r="T519">
        <v>-0.13145589999999999</v>
      </c>
      <c r="U519">
        <v>-0.1838379</v>
      </c>
      <c r="V519">
        <v>3.0864450000000002E-2</v>
      </c>
      <c r="W519">
        <v>2.2330160000000002E-2</v>
      </c>
      <c r="X519">
        <v>0.99927410000000005</v>
      </c>
      <c r="Y519">
        <v>5.01594E-2</v>
      </c>
      <c r="Z519">
        <v>-6.1516879999999998E-4</v>
      </c>
      <c r="AA519">
        <v>0.99874099999999999</v>
      </c>
      <c r="AB519">
        <v>32</v>
      </c>
      <c r="AC519">
        <v>24.963200000000001</v>
      </c>
      <c r="AD519">
        <v>-1.1091546037319999</v>
      </c>
      <c r="AE519">
        <v>-1.5473999999999799</v>
      </c>
      <c r="AF519">
        <v>1.26938909791802</v>
      </c>
      <c r="AG519">
        <v>-1.1091546037319999</v>
      </c>
      <c r="AH519">
        <v>24.9297261030469</v>
      </c>
      <c r="AI519">
        <v>92.544188979270004</v>
      </c>
      <c r="AJ519">
        <v>87.085091163687906</v>
      </c>
      <c r="AK519">
        <v>24.9866527608208</v>
      </c>
      <c r="AL519">
        <v>88.720469709911299</v>
      </c>
      <c r="AM519">
        <v>88.2308750999224</v>
      </c>
      <c r="AN519">
        <v>0.99999998862511896</v>
      </c>
    </row>
    <row r="520" spans="1:40" x14ac:dyDescent="0.25">
      <c r="A520" t="str">
        <f>"20190312154223728"</f>
        <v>20190312154223728</v>
      </c>
      <c r="B520" t="str">
        <f>"1552376543717900"</f>
        <v>1552376543717900</v>
      </c>
      <c r="C520" t="s">
        <v>40</v>
      </c>
      <c r="D520">
        <v>4.9500900000000003</v>
      </c>
      <c r="E520">
        <v>0.5087737</v>
      </c>
      <c r="F520" t="s">
        <v>43</v>
      </c>
      <c r="G520">
        <v>-333.36759999999998</v>
      </c>
      <c r="H520" s="1">
        <v>-3.3234600000000002E-6</v>
      </c>
      <c r="I520">
        <v>366.82100000000003</v>
      </c>
      <c r="J520">
        <v>-357.3725</v>
      </c>
      <c r="K520">
        <v>1.1091549999999999</v>
      </c>
      <c r="L520">
        <v>368.34010000000001</v>
      </c>
      <c r="M520">
        <v>0.99992170000000002</v>
      </c>
      <c r="N520">
        <v>0</v>
      </c>
      <c r="O520">
        <v>-1.1233089999999999E-2</v>
      </c>
      <c r="P520">
        <v>0.9989768</v>
      </c>
      <c r="Q520">
        <v>1.694963E-2</v>
      </c>
      <c r="R520">
        <v>-4.1931030000000001E-2</v>
      </c>
      <c r="S520">
        <v>2.9974980000000002</v>
      </c>
      <c r="T520">
        <v>-0.13670479999999999</v>
      </c>
      <c r="U520">
        <v>-0.18768309999999999</v>
      </c>
      <c r="V520">
        <v>3.0716730000000001E-2</v>
      </c>
      <c r="W520">
        <v>2.244171E-2</v>
      </c>
      <c r="X520">
        <v>0.99927619999999895</v>
      </c>
      <c r="Y520">
        <v>5.1234229999999999E-2</v>
      </c>
      <c r="Z520">
        <v>-6.550665E-4</v>
      </c>
      <c r="AA520">
        <v>0.99868639999999997</v>
      </c>
      <c r="AB520">
        <v>32</v>
      </c>
      <c r="AC520">
        <v>24.004899999999999</v>
      </c>
      <c r="AD520">
        <v>-1.10915832346</v>
      </c>
      <c r="AE520">
        <v>-1.5191000000000301</v>
      </c>
      <c r="AF520">
        <v>1.24669982725921</v>
      </c>
      <c r="AG520">
        <v>-1.10915832346</v>
      </c>
      <c r="AH520">
        <v>23.969480382591001</v>
      </c>
      <c r="AI520">
        <v>92.645830721975599</v>
      </c>
      <c r="AJ520">
        <v>87.022616711791599</v>
      </c>
      <c r="AK520">
        <v>24.027494302511101</v>
      </c>
      <c r="AL520">
        <v>88.714076824341902</v>
      </c>
      <c r="AM520">
        <v>88.239340644483207</v>
      </c>
      <c r="AN520">
        <v>1.0000000358680201</v>
      </c>
    </row>
    <row r="521" spans="1:40" x14ac:dyDescent="0.25">
      <c r="A521" t="str">
        <f>"20190312154223750"</f>
        <v>20190312154223750</v>
      </c>
      <c r="B521" t="str">
        <f>"1552376543738393"</f>
        <v>1552376543738393</v>
      </c>
      <c r="C521" t="s">
        <v>40</v>
      </c>
      <c r="D521">
        <v>4.9210260000000003</v>
      </c>
      <c r="E521">
        <v>0.50879579999999902</v>
      </c>
      <c r="F521" t="s">
        <v>43</v>
      </c>
      <c r="G521">
        <v>-333.42570000000001</v>
      </c>
      <c r="H521" s="1">
        <v>-3.2973050000000001E-6</v>
      </c>
      <c r="I521">
        <v>366.82799999999997</v>
      </c>
      <c r="J521">
        <v>-357.06650000000002</v>
      </c>
      <c r="K521">
        <v>1.109156</v>
      </c>
      <c r="L521">
        <v>368.3365</v>
      </c>
      <c r="M521">
        <v>0.99991940000000001</v>
      </c>
      <c r="N521">
        <v>0</v>
      </c>
      <c r="O521">
        <v>-1.14272E-2</v>
      </c>
      <c r="P521">
        <v>0.99897840000000004</v>
      </c>
      <c r="Q521">
        <v>1.695876E-2</v>
      </c>
      <c r="R521">
        <v>-4.1891449999999997E-2</v>
      </c>
      <c r="S521">
        <v>2.9974980000000002</v>
      </c>
      <c r="T521">
        <v>-0.13883609999999999</v>
      </c>
      <c r="U521">
        <v>-0.18926999999999999</v>
      </c>
      <c r="V521">
        <v>3.0483340000000001E-2</v>
      </c>
      <c r="W521">
        <v>2.2501779999999999E-2</v>
      </c>
      <c r="X521">
        <v>0.99928189999999995</v>
      </c>
      <c r="Y521">
        <v>5.1565560000000003E-2</v>
      </c>
      <c r="Z521">
        <v>-6.6394429999999996E-4</v>
      </c>
      <c r="AA521">
        <v>0.99866940000000004</v>
      </c>
      <c r="AB521">
        <v>32</v>
      </c>
      <c r="AC521">
        <v>23.640799999999999</v>
      </c>
      <c r="AD521">
        <v>-1.109159297305</v>
      </c>
      <c r="AE521">
        <v>-1.50849999999996</v>
      </c>
      <c r="AF521">
        <v>1.2355405500001999</v>
      </c>
      <c r="AG521">
        <v>-1.109159297305</v>
      </c>
      <c r="AH521">
        <v>23.604746032656202</v>
      </c>
      <c r="AI521">
        <v>92.686610118779399</v>
      </c>
      <c r="AJ521">
        <v>87.003707892856994</v>
      </c>
      <c r="AK521">
        <v>23.663068906287101</v>
      </c>
      <c r="AL521">
        <v>88.710634073885799</v>
      </c>
      <c r="AM521">
        <v>88.252720016036704</v>
      </c>
      <c r="AN521">
        <v>0.99999993989416502</v>
      </c>
    </row>
    <row r="522" spans="1:40" x14ac:dyDescent="0.25">
      <c r="A522" t="str">
        <f>"20190312154223772"</f>
        <v>20190312154223772</v>
      </c>
      <c r="B522" t="str">
        <f>"1552376543767672"</f>
        <v>1552376543767672</v>
      </c>
      <c r="C522" t="s">
        <v>40</v>
      </c>
      <c r="D522">
        <v>4.9156409999999999</v>
      </c>
      <c r="E522">
        <v>0.50882629999999995</v>
      </c>
      <c r="F522" t="s">
        <v>43</v>
      </c>
      <c r="G522">
        <v>-333.51429999999999</v>
      </c>
      <c r="H522" s="1">
        <v>-3.2552670000000001E-6</v>
      </c>
      <c r="I522">
        <v>366.85050000000001</v>
      </c>
      <c r="J522">
        <v>-356.738</v>
      </c>
      <c r="K522">
        <v>1.1091549999999999</v>
      </c>
      <c r="L522">
        <v>368.33260000000001</v>
      </c>
      <c r="M522">
        <v>0.99991669999999999</v>
      </c>
      <c r="N522">
        <v>0</v>
      </c>
      <c r="O522">
        <v>-1.1635629999999999E-2</v>
      </c>
      <c r="P522">
        <v>0.99898790000000004</v>
      </c>
      <c r="Q522">
        <v>1.6955310000000001E-2</v>
      </c>
      <c r="R522">
        <v>-4.1669539999999998E-2</v>
      </c>
      <c r="S522">
        <v>2.9974980000000002</v>
      </c>
      <c r="T522">
        <v>-0.14116310000000001</v>
      </c>
      <c r="U522">
        <v>-0.18911739999999999</v>
      </c>
      <c r="V522">
        <v>3.0053110000000001E-2</v>
      </c>
      <c r="W522">
        <v>2.2551829999999998E-2</v>
      </c>
      <c r="X522">
        <v>0.99929389999999996</v>
      </c>
      <c r="Y522">
        <v>5.130581E-2</v>
      </c>
      <c r="Z522">
        <v>-6.5915600000000004E-4</v>
      </c>
      <c r="AA522">
        <v>0.99868279999999998</v>
      </c>
      <c r="AB522">
        <v>32</v>
      </c>
      <c r="AC522">
        <v>23.223700000000001</v>
      </c>
      <c r="AD522">
        <v>-1.1091582552669901</v>
      </c>
      <c r="AE522">
        <v>-1.4821</v>
      </c>
      <c r="AF522">
        <v>1.2090264713657399</v>
      </c>
      <c r="AG522">
        <v>-1.1091582552669901</v>
      </c>
      <c r="AH522">
        <v>23.186699032125698</v>
      </c>
      <c r="AI522">
        <v>92.735001597373795</v>
      </c>
      <c r="AJ522">
        <v>87.015123418041895</v>
      </c>
      <c r="AK522">
        <v>23.2446765744346</v>
      </c>
      <c r="AL522">
        <v>88.707765816946605</v>
      </c>
      <c r="AM522">
        <v>88.277386154993806</v>
      </c>
      <c r="AN522">
        <v>1.00000003651711</v>
      </c>
    </row>
    <row r="523" spans="1:40" x14ac:dyDescent="0.25">
      <c r="A523" t="str">
        <f>"20190312154223795"</f>
        <v>20190312154223795</v>
      </c>
      <c r="B523" t="str">
        <f>"1552376543788171"</f>
        <v>1552376543788171</v>
      </c>
      <c r="C523" t="s">
        <v>40</v>
      </c>
      <c r="D523">
        <v>4.88896</v>
      </c>
      <c r="E523">
        <v>0.50890950000000001</v>
      </c>
      <c r="F523" t="s">
        <v>43</v>
      </c>
      <c r="G523">
        <v>-333.6103</v>
      </c>
      <c r="H523" s="1">
        <v>-3.2096670000000001E-6</v>
      </c>
      <c r="I523">
        <v>366.87549999999999</v>
      </c>
      <c r="J523">
        <v>-356.40789999999998</v>
      </c>
      <c r="K523">
        <v>1.10917</v>
      </c>
      <c r="L523">
        <v>368.32859999999999</v>
      </c>
      <c r="M523">
        <v>0.99991370000000002</v>
      </c>
      <c r="N523">
        <v>0</v>
      </c>
      <c r="O523">
        <v>-1.184459E-2</v>
      </c>
      <c r="P523">
        <v>0.9989981</v>
      </c>
      <c r="Q523">
        <v>1.6568099999999999E-2</v>
      </c>
      <c r="R523">
        <v>-4.1571419999999998E-2</v>
      </c>
      <c r="S523">
        <v>2.9975890000000001</v>
      </c>
      <c r="T523">
        <v>-0.14375779999999999</v>
      </c>
      <c r="U523">
        <v>-0.18884280000000001</v>
      </c>
      <c r="V523">
        <v>2.974605E-2</v>
      </c>
      <c r="W523">
        <v>2.2239109999999999E-2</v>
      </c>
      <c r="X523">
        <v>0.99931009999999998</v>
      </c>
      <c r="Y523">
        <v>5.1003010000000001E-2</v>
      </c>
      <c r="Z523">
        <v>-6.539858E-4</v>
      </c>
      <c r="AA523">
        <v>0.99869830000000004</v>
      </c>
      <c r="AB523">
        <v>32</v>
      </c>
      <c r="AC523">
        <v>22.7975999999999</v>
      </c>
      <c r="AD523">
        <v>-1.1091732096669999</v>
      </c>
      <c r="AE523">
        <v>-1.4531000000000001</v>
      </c>
      <c r="AF523">
        <v>1.1801831437546499</v>
      </c>
      <c r="AG523">
        <v>-1.1091732096669999</v>
      </c>
      <c r="AH523">
        <v>22.759555721460998</v>
      </c>
      <c r="AI523">
        <v>92.786330157758698</v>
      </c>
      <c r="AJ523">
        <v>87.031620269212496</v>
      </c>
      <c r="AK523">
        <v>22.817109240658201</v>
      </c>
      <c r="AL523">
        <v>88.725687852932097</v>
      </c>
      <c r="AM523">
        <v>88.295003705062598</v>
      </c>
      <c r="AN523">
        <v>1.0000000407331</v>
      </c>
    </row>
    <row r="524" spans="1:40" x14ac:dyDescent="0.25">
      <c r="A524" t="str">
        <f>"20190312154223817"</f>
        <v>20190312154223817</v>
      </c>
      <c r="B524" t="str">
        <f>"1552376543807688"</f>
        <v>1552376543807688</v>
      </c>
      <c r="C524" t="s">
        <v>40</v>
      </c>
      <c r="D524">
        <v>4.8703019999999997</v>
      </c>
      <c r="E524">
        <v>0.50894830000000002</v>
      </c>
      <c r="F524" t="s">
        <v>43</v>
      </c>
      <c r="G524">
        <v>-333.63580000000002</v>
      </c>
      <c r="H524" s="1">
        <v>-3.1960489999999998E-6</v>
      </c>
      <c r="I524">
        <v>366.89060000000001</v>
      </c>
      <c r="J524">
        <v>-356.08100000000002</v>
      </c>
      <c r="K524">
        <v>1.1092070000000001</v>
      </c>
      <c r="L524">
        <v>368.3245</v>
      </c>
      <c r="M524">
        <v>0.99991039999999998</v>
      </c>
      <c r="N524">
        <v>0</v>
      </c>
      <c r="O524">
        <v>-1.2050679999999999E-2</v>
      </c>
      <c r="P524">
        <v>0.99901830000000003</v>
      </c>
      <c r="Q524">
        <v>1.6349760000000001E-2</v>
      </c>
      <c r="R524">
        <v>-4.1176900000000002E-2</v>
      </c>
      <c r="S524">
        <v>2.9975589999999999</v>
      </c>
      <c r="T524">
        <v>-0.1460031</v>
      </c>
      <c r="U524">
        <v>-0.18926999999999999</v>
      </c>
      <c r="V524">
        <v>2.9145250000000001E-2</v>
      </c>
      <c r="W524">
        <v>2.220335E-2</v>
      </c>
      <c r="X524">
        <v>0.99932860000000001</v>
      </c>
      <c r="Y524">
        <v>5.0938480000000001E-2</v>
      </c>
      <c r="Z524">
        <v>-6.5260290000000005E-4</v>
      </c>
      <c r="AA524">
        <v>0.99870159999999997</v>
      </c>
      <c r="AB524">
        <v>32</v>
      </c>
      <c r="AC524">
        <v>22.4451999999999</v>
      </c>
      <c r="AD524">
        <v>-1.109210196049</v>
      </c>
      <c r="AE524">
        <v>-1.43389999999999</v>
      </c>
      <c r="AF524">
        <v>1.1604887379298101</v>
      </c>
      <c r="AG524">
        <v>-1.109210196049</v>
      </c>
      <c r="AH524">
        <v>22.406351604116601</v>
      </c>
      <c r="AI524">
        <v>92.830285023986704</v>
      </c>
      <c r="AJ524">
        <v>87.035137650742996</v>
      </c>
      <c r="AK524">
        <v>22.463785824681899</v>
      </c>
      <c r="AL524">
        <v>88.727737258295804</v>
      </c>
      <c r="AM524">
        <v>88.329451799835894</v>
      </c>
      <c r="AN524">
        <v>1.0000000425633699</v>
      </c>
    </row>
    <row r="525" spans="1:40" x14ac:dyDescent="0.25">
      <c r="A525" t="str">
        <f>"20190312154223839"</f>
        <v>20190312154223839</v>
      </c>
      <c r="B525" t="str">
        <f>"1552376543828188"</f>
        <v>1552376543828188</v>
      </c>
      <c r="C525" t="s">
        <v>40</v>
      </c>
      <c r="D525">
        <v>4.8807749999999999</v>
      </c>
      <c r="E525">
        <v>0.50904280000000002</v>
      </c>
      <c r="F525" t="s">
        <v>43</v>
      </c>
      <c r="G525">
        <v>-333.4667</v>
      </c>
      <c r="H525" s="1">
        <v>-3.2661049999999999E-6</v>
      </c>
      <c r="I525">
        <v>366.90460000000002</v>
      </c>
      <c r="J525">
        <v>-355.7647</v>
      </c>
      <c r="K525">
        <v>1.109278</v>
      </c>
      <c r="L525">
        <v>368.32049999999998</v>
      </c>
      <c r="M525">
        <v>0.99990559999999995</v>
      </c>
      <c r="N525">
        <v>0</v>
      </c>
      <c r="O525">
        <v>-1.22539E-2</v>
      </c>
      <c r="P525">
        <v>0.99901949999999995</v>
      </c>
      <c r="Q525">
        <v>1.6262370000000002E-2</v>
      </c>
      <c r="R525">
        <v>-4.1175249999999997E-2</v>
      </c>
      <c r="S525">
        <v>2.9975890000000001</v>
      </c>
      <c r="T525">
        <v>-0.1470283</v>
      </c>
      <c r="U525">
        <v>-0.18820190000000001</v>
      </c>
      <c r="V525">
        <v>2.894097E-2</v>
      </c>
      <c r="W525">
        <v>2.246507E-2</v>
      </c>
      <c r="X525">
        <v>0.99932869999999996</v>
      </c>
      <c r="Y525">
        <v>5.0380639999999997E-2</v>
      </c>
      <c r="Z525">
        <v>-6.3357050000000003E-4</v>
      </c>
      <c r="AA525">
        <v>0.99872989999999995</v>
      </c>
      <c r="AB525">
        <v>32</v>
      </c>
      <c r="AC525">
        <v>22.297999999999998</v>
      </c>
      <c r="AD525">
        <v>-1.109281266105</v>
      </c>
      <c r="AE525">
        <v>-1.41589999999996</v>
      </c>
      <c r="AF525">
        <v>1.1397415682491501</v>
      </c>
      <c r="AG525">
        <v>-1.109281266105</v>
      </c>
      <c r="AH525">
        <v>22.258810067273799</v>
      </c>
      <c r="AI525">
        <v>92.849282901177702</v>
      </c>
      <c r="AJ525">
        <v>87.068783108498494</v>
      </c>
      <c r="AK525">
        <v>22.315558280730801</v>
      </c>
      <c r="AL525">
        <v>88.712738081941495</v>
      </c>
      <c r="AM525">
        <v>88.341154326903094</v>
      </c>
      <c r="AN525">
        <v>1.0000000548791601</v>
      </c>
    </row>
    <row r="526" spans="1:40" x14ac:dyDescent="0.25">
      <c r="A526" t="str">
        <f>"20190312154223862"</f>
        <v>20190312154223862</v>
      </c>
      <c r="B526" t="str">
        <f>"1552376543857465"</f>
        <v>1552376543857465</v>
      </c>
      <c r="C526" t="s">
        <v>40</v>
      </c>
      <c r="D526">
        <v>4.8726469999999997</v>
      </c>
      <c r="E526">
        <v>0.50919490000000001</v>
      </c>
      <c r="F526" t="s">
        <v>43</v>
      </c>
      <c r="G526">
        <v>-333.2423</v>
      </c>
      <c r="H526" s="1">
        <v>-3.363275E-6</v>
      </c>
      <c r="I526">
        <v>366.89949999999999</v>
      </c>
      <c r="J526">
        <v>-355.44229999999999</v>
      </c>
      <c r="K526">
        <v>1.1093959999999901</v>
      </c>
      <c r="L526">
        <v>368.31639999999999</v>
      </c>
      <c r="M526">
        <v>0.99989989999999995</v>
      </c>
      <c r="N526">
        <v>0</v>
      </c>
      <c r="O526">
        <v>-1.2453290000000001E-2</v>
      </c>
      <c r="P526">
        <v>0.99903640000000005</v>
      </c>
      <c r="Q526">
        <v>1.5168890000000001E-2</v>
      </c>
      <c r="R526">
        <v>-4.1189610000000001E-2</v>
      </c>
      <c r="S526">
        <v>2.9975589999999999</v>
      </c>
      <c r="T526">
        <v>-0.1476364</v>
      </c>
      <c r="U526">
        <v>-0.18911739999999999</v>
      </c>
      <c r="V526">
        <v>2.8755619999999999E-2</v>
      </c>
      <c r="W526">
        <v>2.1895390000000001E-2</v>
      </c>
      <c r="X526">
        <v>0.99934659999999997</v>
      </c>
      <c r="Y526">
        <v>5.0485639999999998E-2</v>
      </c>
      <c r="Z526">
        <v>-6.2896529999999999E-4</v>
      </c>
      <c r="AA526">
        <v>0.99872459999999996</v>
      </c>
      <c r="AB526">
        <v>32</v>
      </c>
      <c r="AC526">
        <v>22.1999999999999</v>
      </c>
      <c r="AD526">
        <v>-1.1093993632750001</v>
      </c>
      <c r="AE526">
        <v>-1.4168999999999901</v>
      </c>
      <c r="AF526">
        <v>1.1374917200086201</v>
      </c>
      <c r="AG526">
        <v>-1.1093993632750001</v>
      </c>
      <c r="AH526">
        <v>22.1608063323301</v>
      </c>
      <c r="AI526">
        <v>92.862148564254895</v>
      </c>
      <c r="AJ526">
        <v>87.0616444470771</v>
      </c>
      <c r="AK526">
        <v>22.2176954623868</v>
      </c>
      <c r="AL526">
        <v>88.745386253515207</v>
      </c>
      <c r="AM526">
        <v>88.351801891247902</v>
      </c>
      <c r="AN526">
        <v>0.99999996035819705</v>
      </c>
    </row>
    <row r="527" spans="1:40" x14ac:dyDescent="0.25">
      <c r="A527" t="str">
        <f>"20190312154223885"</f>
        <v>20190312154223885</v>
      </c>
      <c r="B527" t="str">
        <f>"1552376543877675"</f>
        <v>1552376543877675</v>
      </c>
      <c r="C527" t="s">
        <v>40</v>
      </c>
      <c r="D527">
        <v>4.8586499999999999</v>
      </c>
      <c r="E527">
        <v>0.50934399999999902</v>
      </c>
      <c r="F527" t="s">
        <v>43</v>
      </c>
      <c r="G527">
        <v>-333.42950000000002</v>
      </c>
      <c r="H527" s="1">
        <v>-3.279717E-6</v>
      </c>
      <c r="I527">
        <v>366.9178</v>
      </c>
      <c r="J527">
        <v>-355.10750000000002</v>
      </c>
      <c r="K527">
        <v>1.109504</v>
      </c>
      <c r="L527">
        <v>368.31200000000001</v>
      </c>
      <c r="M527">
        <v>0.99989320000000004</v>
      </c>
      <c r="N527">
        <v>0</v>
      </c>
      <c r="O527">
        <v>-1.265639E-2</v>
      </c>
      <c r="P527">
        <v>0.99903399999999998</v>
      </c>
      <c r="Q527">
        <v>1.4290829999999999E-2</v>
      </c>
      <c r="R527">
        <v>-4.1562010000000003E-2</v>
      </c>
      <c r="S527">
        <v>2.9974059999999998</v>
      </c>
      <c r="T527">
        <v>-0.1510628</v>
      </c>
      <c r="U527">
        <v>-0.19042970000000001</v>
      </c>
      <c r="V527">
        <v>2.8924869999999998E-2</v>
      </c>
      <c r="W527">
        <v>2.1610310000000001E-2</v>
      </c>
      <c r="X527">
        <v>0.99934800000000001</v>
      </c>
      <c r="Y527">
        <v>5.0719229999999997E-2</v>
      </c>
      <c r="Z527">
        <v>-6.3922589999999997E-4</v>
      </c>
      <c r="AA527">
        <v>0.99871270000000001</v>
      </c>
      <c r="AB527">
        <v>32</v>
      </c>
      <c r="AC527">
        <v>21.678000000000001</v>
      </c>
      <c r="AD527">
        <v>-1.109507279717</v>
      </c>
      <c r="AE527">
        <v>-1.3941999999999499</v>
      </c>
      <c r="AF527">
        <v>1.11680233991641</v>
      </c>
      <c r="AG527">
        <v>-1.109507279717</v>
      </c>
      <c r="AH527">
        <v>21.637463299949498</v>
      </c>
      <c r="AI527">
        <v>92.931497518268003</v>
      </c>
      <c r="AJ527">
        <v>87.045340840183897</v>
      </c>
      <c r="AK527">
        <v>21.694655377001201</v>
      </c>
      <c r="AL527">
        <v>88.761724098733097</v>
      </c>
      <c r="AM527">
        <v>88.342108636430794</v>
      </c>
      <c r="AN527">
        <v>1.0000000393534001</v>
      </c>
    </row>
    <row r="528" spans="1:40" x14ac:dyDescent="0.25">
      <c r="A528" t="str">
        <f>"20190312154223906"</f>
        <v>20190312154223906</v>
      </c>
      <c r="B528" t="str">
        <f>"1552376543898175"</f>
        <v>1552376543898175</v>
      </c>
      <c r="C528" t="s">
        <v>40</v>
      </c>
      <c r="D528">
        <v>5.0574680000000001</v>
      </c>
      <c r="E528">
        <v>0.50948599999999999</v>
      </c>
      <c r="F528" t="s">
        <v>43</v>
      </c>
      <c r="G528">
        <v>-333.51620000000003</v>
      </c>
      <c r="H528" s="1">
        <v>-3.2411179999999998E-6</v>
      </c>
      <c r="I528">
        <v>366.92579999999998</v>
      </c>
      <c r="J528">
        <v>-354.78539999999998</v>
      </c>
      <c r="K528">
        <v>1.1095889999999999</v>
      </c>
      <c r="L528">
        <v>368.30759999999998</v>
      </c>
      <c r="M528">
        <v>0.99988630000000001</v>
      </c>
      <c r="N528">
        <v>0</v>
      </c>
      <c r="O528">
        <v>-1.286351E-2</v>
      </c>
      <c r="P528">
        <v>0.99902809999999997</v>
      </c>
      <c r="Q528">
        <v>1.3250960000000001E-2</v>
      </c>
      <c r="R528">
        <v>-4.2040389999999997E-2</v>
      </c>
      <c r="S528">
        <v>2.9971009999999998</v>
      </c>
      <c r="T528">
        <v>-0.15401049999999999</v>
      </c>
      <c r="U528">
        <v>-0.19241330000000001</v>
      </c>
      <c r="V528">
        <v>2.9195929999999998E-2</v>
      </c>
      <c r="W528">
        <v>2.109687E-2</v>
      </c>
      <c r="X528">
        <v>0.99935099999999999</v>
      </c>
      <c r="Y528">
        <v>5.1174810000000001E-2</v>
      </c>
      <c r="Z528">
        <v>-6.5279589999999897E-4</v>
      </c>
      <c r="AA528">
        <v>0.99868950000000001</v>
      </c>
      <c r="AB528">
        <v>32</v>
      </c>
      <c r="AC528">
        <v>21.269199999999898</v>
      </c>
      <c r="AD528">
        <v>-1.1095922411179999</v>
      </c>
      <c r="AE528">
        <v>-1.3817999999999899</v>
      </c>
      <c r="AF528">
        <v>1.1050856658886401</v>
      </c>
      <c r="AG528">
        <v>-1.1095922411179999</v>
      </c>
      <c r="AH528">
        <v>21.227684985242099</v>
      </c>
      <c r="AI528">
        <v>92.988145306076703</v>
      </c>
      <c r="AJ528">
        <v>87.019946399252802</v>
      </c>
      <c r="AK528">
        <v>21.285371011640301</v>
      </c>
      <c r="AL528">
        <v>88.791148645009301</v>
      </c>
      <c r="AM528">
        <v>88.326586060915503</v>
      </c>
      <c r="AN528">
        <v>0.99999995072667902</v>
      </c>
    </row>
    <row r="529" spans="1:40" x14ac:dyDescent="0.25">
      <c r="A529" t="str">
        <f>"20190312154223929"</f>
        <v>20190312154223929</v>
      </c>
      <c r="B529" t="str">
        <f>"1552376543917691"</f>
        <v>1552376543917691</v>
      </c>
      <c r="C529" t="s">
        <v>40</v>
      </c>
      <c r="D529">
        <v>4.8515379999999997</v>
      </c>
      <c r="E529">
        <v>0.50956559999999995</v>
      </c>
      <c r="F529" t="s">
        <v>43</v>
      </c>
      <c r="G529">
        <v>-333.46460000000002</v>
      </c>
      <c r="H529" s="1">
        <v>-3.2642009999999998E-6</v>
      </c>
      <c r="I529">
        <v>366.92039999999997</v>
      </c>
      <c r="J529">
        <v>-354.46230000000003</v>
      </c>
      <c r="K529">
        <v>1.1096459999999999</v>
      </c>
      <c r="L529">
        <v>368.3032</v>
      </c>
      <c r="M529">
        <v>0.99987979999999999</v>
      </c>
      <c r="N529">
        <v>0</v>
      </c>
      <c r="O529">
        <v>-1.307679E-2</v>
      </c>
      <c r="P529">
        <v>0.99900040000000001</v>
      </c>
      <c r="Q529">
        <v>1.295344E-2</v>
      </c>
      <c r="R529">
        <v>-4.2788569999999998E-2</v>
      </c>
      <c r="S529">
        <v>2.9967959999999998</v>
      </c>
      <c r="T529">
        <v>-0.15596070000000001</v>
      </c>
      <c r="U529">
        <v>-0.19497680000000001</v>
      </c>
      <c r="V529">
        <v>2.9731380000000002E-2</v>
      </c>
      <c r="W529">
        <v>2.127851E-2</v>
      </c>
      <c r="X529">
        <v>0.99933139999999998</v>
      </c>
      <c r="Y529">
        <v>5.1817090000000003E-2</v>
      </c>
      <c r="Z529">
        <v>-6.6670450000000001E-4</v>
      </c>
      <c r="AA529">
        <v>0.9986564</v>
      </c>
      <c r="AB529">
        <v>32</v>
      </c>
      <c r="AC529">
        <v>20.997699999999998</v>
      </c>
      <c r="AD529">
        <v>-1.1096492642010001</v>
      </c>
      <c r="AE529">
        <v>-1.38280000000003</v>
      </c>
      <c r="AF529">
        <v>1.1050170343572301</v>
      </c>
      <c r="AG529">
        <v>-1.1096492642010001</v>
      </c>
      <c r="AH529">
        <v>20.955716862708201</v>
      </c>
      <c r="AI529">
        <v>93.026903610892703</v>
      </c>
      <c r="AJ529">
        <v>86.981528777863304</v>
      </c>
      <c r="AK529">
        <v>21.014148885114299</v>
      </c>
      <c r="AL529">
        <v>88.780739148356801</v>
      </c>
      <c r="AM529">
        <v>88.295880371580495</v>
      </c>
      <c r="AN529">
        <v>0.99999998848524196</v>
      </c>
    </row>
    <row r="530" spans="1:40" x14ac:dyDescent="0.25">
      <c r="A530" t="str">
        <f>"20190312154223950"</f>
        <v>20190312154223950</v>
      </c>
      <c r="B530" t="str">
        <f>"1552376543938187"</f>
        <v>1552376543938187</v>
      </c>
      <c r="C530" t="s">
        <v>40</v>
      </c>
      <c r="D530">
        <v>4.8275360000000003</v>
      </c>
      <c r="E530">
        <v>0.509596099999999</v>
      </c>
      <c r="F530" t="s">
        <v>43</v>
      </c>
      <c r="G530">
        <v>-332.9529</v>
      </c>
      <c r="H530" s="1">
        <v>-3.4904359999999998E-6</v>
      </c>
      <c r="I530">
        <v>366.88260000000002</v>
      </c>
      <c r="J530">
        <v>-354.15159999999997</v>
      </c>
      <c r="K530">
        <v>1.109691</v>
      </c>
      <c r="L530">
        <v>368.29899999999998</v>
      </c>
      <c r="M530">
        <v>0.99987360000000003</v>
      </c>
      <c r="N530">
        <v>0</v>
      </c>
      <c r="O530">
        <v>-1.3273160000000001E-2</v>
      </c>
      <c r="P530">
        <v>0.99899859999999896</v>
      </c>
      <c r="Q530">
        <v>1.267135E-2</v>
      </c>
      <c r="R530">
        <v>-4.2914729999999998E-2</v>
      </c>
      <c r="S530">
        <v>2.996521</v>
      </c>
      <c r="T530">
        <v>-0.15458729999999901</v>
      </c>
      <c r="U530">
        <v>-0.19790650000000001</v>
      </c>
      <c r="V530">
        <v>2.9661420000000001E-2</v>
      </c>
      <c r="W530">
        <v>2.1422E-2</v>
      </c>
      <c r="X530">
        <v>0.99933039999999995</v>
      </c>
      <c r="Y530">
        <v>5.2599159999999999E-2</v>
      </c>
      <c r="Z530">
        <v>-6.709067E-4</v>
      </c>
      <c r="AA530">
        <v>0.99861549999999999</v>
      </c>
      <c r="AB530">
        <v>32</v>
      </c>
      <c r="AC530">
        <v>21.198699999999899</v>
      </c>
      <c r="AD530">
        <v>-1.109694490436</v>
      </c>
      <c r="AE530">
        <v>-1.4164000000000101</v>
      </c>
      <c r="AF530">
        <v>1.1318030748657899</v>
      </c>
      <c r="AG530">
        <v>-1.109694490436</v>
      </c>
      <c r="AH530">
        <v>21.1579131855976</v>
      </c>
      <c r="AI530">
        <v>92.998031108654502</v>
      </c>
      <c r="AJ530">
        <v>86.937987656600896</v>
      </c>
      <c r="AK530">
        <v>21.217202700442499</v>
      </c>
      <c r="AL530">
        <v>88.772515886043195</v>
      </c>
      <c r="AM530">
        <v>88.299886226980107</v>
      </c>
      <c r="AN530">
        <v>0.999999975142287</v>
      </c>
    </row>
    <row r="531" spans="1:40" x14ac:dyDescent="0.25">
      <c r="A531" t="str">
        <f>"20190312154223974"</f>
        <v>20190312154223974</v>
      </c>
      <c r="B531" t="str">
        <f>"1552376543967467"</f>
        <v>1552376543967467</v>
      </c>
      <c r="C531" t="s">
        <v>40</v>
      </c>
      <c r="D531">
        <v>4.8198119999999998</v>
      </c>
      <c r="E531">
        <v>0.50966659999999997</v>
      </c>
      <c r="F531" t="s">
        <v>43</v>
      </c>
      <c r="G531">
        <v>-332.5797</v>
      </c>
      <c r="H531" s="1">
        <v>-3.6532360000000002E-6</v>
      </c>
      <c r="I531">
        <v>366.86750000000001</v>
      </c>
      <c r="J531">
        <v>-353.81699999999898</v>
      </c>
      <c r="K531">
        <v>1.1097250000000001</v>
      </c>
      <c r="L531">
        <v>368.29419999999999</v>
      </c>
      <c r="M531">
        <v>0.99986699999999995</v>
      </c>
      <c r="N531">
        <v>0</v>
      </c>
      <c r="O531">
        <v>-1.3482320000000001E-2</v>
      </c>
      <c r="P531">
        <v>0.99898500000000001</v>
      </c>
      <c r="Q531">
        <v>1.2033500000000001E-2</v>
      </c>
      <c r="R531">
        <v>-4.3409410000000002E-2</v>
      </c>
      <c r="S531">
        <v>2.996429</v>
      </c>
      <c r="T531">
        <v>-0.15414050000000001</v>
      </c>
      <c r="U531">
        <v>-0.198822</v>
      </c>
      <c r="V531">
        <v>2.994716E-2</v>
      </c>
      <c r="W531">
        <v>2.1200799999999999E-2</v>
      </c>
      <c r="X531">
        <v>0.99932659999999995</v>
      </c>
      <c r="Y531">
        <v>5.2696460000000001E-2</v>
      </c>
      <c r="Z531">
        <v>-6.6074179999999903E-4</v>
      </c>
      <c r="AA531">
        <v>0.99861040000000001</v>
      </c>
      <c r="AB531">
        <v>32</v>
      </c>
      <c r="AC531">
        <v>21.237299999999902</v>
      </c>
      <c r="AD531">
        <v>-1.109728653236</v>
      </c>
      <c r="AE531">
        <v>-1.4266999999999801</v>
      </c>
      <c r="AF531">
        <v>1.13713922665084</v>
      </c>
      <c r="AG531">
        <v>-1.109728653236</v>
      </c>
      <c r="AH531">
        <v>21.196988211634199</v>
      </c>
      <c r="AI531">
        <v>92.992582047595604</v>
      </c>
      <c r="AJ531">
        <v>86.929239029145606</v>
      </c>
      <c r="AK531">
        <v>21.2564553147688</v>
      </c>
      <c r="AL531">
        <v>88.785192597634406</v>
      </c>
      <c r="AM531">
        <v>88.283511597308106</v>
      </c>
      <c r="AN531">
        <v>0.99999997989013201</v>
      </c>
    </row>
    <row r="532" spans="1:40" x14ac:dyDescent="0.25">
      <c r="A532" t="str">
        <f>"20190312154223995"</f>
        <v>20190312154223995</v>
      </c>
      <c r="B532" t="str">
        <f>"1552376543987964"</f>
        <v>1552376543987964</v>
      </c>
      <c r="C532" t="s">
        <v>40</v>
      </c>
      <c r="D532">
        <v>4.8566190000000002</v>
      </c>
      <c r="E532">
        <v>0.50971809999999995</v>
      </c>
      <c r="F532" t="s">
        <v>43</v>
      </c>
      <c r="G532">
        <v>-332.42680000000001</v>
      </c>
      <c r="H532" s="1">
        <v>-3.7200840000000002E-6</v>
      </c>
      <c r="I532">
        <v>366.86040000000003</v>
      </c>
      <c r="J532">
        <v>-353.49250000000001</v>
      </c>
      <c r="K532">
        <v>1.1097539999999999</v>
      </c>
      <c r="L532">
        <v>368.28960000000001</v>
      </c>
      <c r="M532">
        <v>0.99986059999999999</v>
      </c>
      <c r="N532">
        <v>0</v>
      </c>
      <c r="O532">
        <v>-1.368898E-2</v>
      </c>
      <c r="P532">
        <v>0.99900310000000003</v>
      </c>
      <c r="Q532">
        <v>1.1224949999999999E-2</v>
      </c>
      <c r="R532">
        <v>-4.3205390000000003E-2</v>
      </c>
      <c r="S532">
        <v>2.9961850000000001</v>
      </c>
      <c r="T532">
        <v>-0.1554421</v>
      </c>
      <c r="U532">
        <v>-0.20083619999999999</v>
      </c>
      <c r="V532">
        <v>2.953604E-2</v>
      </c>
      <c r="W532">
        <v>2.0755059999999999E-2</v>
      </c>
      <c r="X532">
        <v>0.99934820000000002</v>
      </c>
      <c r="Y532">
        <v>5.3162479999999998E-2</v>
      </c>
      <c r="Z532">
        <v>-6.6771880000000004E-4</v>
      </c>
      <c r="AA532">
        <v>0.99858559999999996</v>
      </c>
      <c r="AB532">
        <v>32</v>
      </c>
      <c r="AC532">
        <v>21.0657</v>
      </c>
      <c r="AD532">
        <v>-1.1097577200839901</v>
      </c>
      <c r="AE532">
        <v>-1.42919999999998</v>
      </c>
      <c r="AF532">
        <v>1.1375424320407601</v>
      </c>
      <c r="AG532">
        <v>-1.1097577200839901</v>
      </c>
      <c r="AH532">
        <v>21.025207995174998</v>
      </c>
      <c r="AI532">
        <v>93.016991932723002</v>
      </c>
      <c r="AJ532">
        <v>86.903103324451607</v>
      </c>
      <c r="AK532">
        <v>21.085182859589999</v>
      </c>
      <c r="AL532">
        <v>88.810737249561498</v>
      </c>
      <c r="AM532">
        <v>88.307098620851207</v>
      </c>
      <c r="AN532">
        <v>0.99999998750886199</v>
      </c>
    </row>
    <row r="533" spans="1:40" x14ac:dyDescent="0.25">
      <c r="A533" t="str">
        <f>"20190312154224018"</f>
        <v>20190312154224018</v>
      </c>
      <c r="B533" t="str">
        <f>"1552376544007484"</f>
        <v>1552376544007484</v>
      </c>
      <c r="C533" t="s">
        <v>40</v>
      </c>
      <c r="D533">
        <v>4.8493539999999999</v>
      </c>
      <c r="E533">
        <v>0.50977709999999998</v>
      </c>
      <c r="F533" t="s">
        <v>43</v>
      </c>
      <c r="G533">
        <v>-332.37369999999999</v>
      </c>
      <c r="H533" s="1">
        <v>-3.7400109999999999E-6</v>
      </c>
      <c r="I533">
        <v>366.87630000000001</v>
      </c>
      <c r="J533">
        <v>-353.17360000000002</v>
      </c>
      <c r="K533">
        <v>1.109775</v>
      </c>
      <c r="L533">
        <v>368.28500000000003</v>
      </c>
      <c r="M533">
        <v>0.99985480000000004</v>
      </c>
      <c r="N533">
        <v>0</v>
      </c>
      <c r="O533">
        <v>-1.389569E-2</v>
      </c>
      <c r="P533">
        <v>0.99900069999999996</v>
      </c>
      <c r="Q533">
        <v>1.0911260000000001E-2</v>
      </c>
      <c r="R533">
        <v>-4.3342159999999998E-2</v>
      </c>
      <c r="S533">
        <v>2.996124</v>
      </c>
      <c r="T533">
        <v>-0.15744129999999901</v>
      </c>
      <c r="U533">
        <v>-0.2005005</v>
      </c>
      <c r="V533">
        <v>2.9465990000000001E-2</v>
      </c>
      <c r="W533">
        <v>2.0758390000000002E-2</v>
      </c>
      <c r="X533">
        <v>0.99935019999999997</v>
      </c>
      <c r="Y533">
        <v>5.2845330000000003E-2</v>
      </c>
      <c r="Z533">
        <v>-6.5715079999999996E-4</v>
      </c>
      <c r="AA533">
        <v>0.99860249999999995</v>
      </c>
      <c r="AB533">
        <v>32</v>
      </c>
      <c r="AC533">
        <v>20.799900000000001</v>
      </c>
      <c r="AD533">
        <v>-1.109778740011</v>
      </c>
      <c r="AE533">
        <v>-1.4087000000000101</v>
      </c>
      <c r="AF533">
        <v>1.1163574666968501</v>
      </c>
      <c r="AG533">
        <v>-1.109778740011</v>
      </c>
      <c r="AH533">
        <v>20.7586424129371</v>
      </c>
      <c r="AI533">
        <v>93.055771940496399</v>
      </c>
      <c r="AJ533">
        <v>86.921715043637107</v>
      </c>
      <c r="AK533">
        <v>20.818239543088701</v>
      </c>
      <c r="AL533">
        <v>88.810546415012297</v>
      </c>
      <c r="AM533">
        <v>88.311114689130406</v>
      </c>
      <c r="AN533">
        <v>0.999999988781056</v>
      </c>
    </row>
    <row r="534" spans="1:40" x14ac:dyDescent="0.25">
      <c r="A534" t="str">
        <f>"20190312154224040"</f>
        <v>20190312154224040</v>
      </c>
      <c r="B534" t="str">
        <f>"1552376544027979"</f>
        <v>1552376544027979</v>
      </c>
      <c r="C534" t="s">
        <v>40</v>
      </c>
      <c r="D534">
        <v>4.8410029999999997</v>
      </c>
      <c r="E534">
        <v>0.50978880000000004</v>
      </c>
      <c r="F534" t="s">
        <v>43</v>
      </c>
      <c r="G534">
        <v>-332.17860000000002</v>
      </c>
      <c r="H534" s="1">
        <v>-3.8241219999999997E-6</v>
      </c>
      <c r="I534">
        <v>366.87389999999999</v>
      </c>
      <c r="J534">
        <v>-352.8578</v>
      </c>
      <c r="K534">
        <v>1.1097919999999999</v>
      </c>
      <c r="L534">
        <v>368.28030000000001</v>
      </c>
      <c r="M534">
        <v>0.99984910000000005</v>
      </c>
      <c r="N534">
        <v>0</v>
      </c>
      <c r="O534">
        <v>-1.4102119999999999E-2</v>
      </c>
      <c r="P534">
        <v>0.99900869999999997</v>
      </c>
      <c r="Q534">
        <v>1.088568E-2</v>
      </c>
      <c r="R534">
        <v>-4.3163489999999999E-2</v>
      </c>
      <c r="S534">
        <v>2.9960019999999998</v>
      </c>
      <c r="T534">
        <v>-0.15836610000000001</v>
      </c>
      <c r="U534">
        <v>-0.20135500000000001</v>
      </c>
      <c r="V534">
        <v>2.9080709999999999E-2</v>
      </c>
      <c r="W534">
        <v>2.101107E-2</v>
      </c>
      <c r="X534">
        <v>0.99935620000000003</v>
      </c>
      <c r="Y534">
        <v>5.2924890000000002E-2</v>
      </c>
      <c r="Z534">
        <v>-6.522346E-4</v>
      </c>
      <c r="AA534">
        <v>0.99859830000000005</v>
      </c>
      <c r="AB534">
        <v>32</v>
      </c>
      <c r="AC534">
        <v>20.679199999999899</v>
      </c>
      <c r="AD534">
        <v>-1.1097958241220001</v>
      </c>
      <c r="AE534">
        <v>-1.4064000000000101</v>
      </c>
      <c r="AF534">
        <v>1.11143817061002</v>
      </c>
      <c r="AG534">
        <v>-1.1097958241220001</v>
      </c>
      <c r="AH534">
        <v>20.6378108813824</v>
      </c>
      <c r="AI534">
        <v>93.073663489806904</v>
      </c>
      <c r="AJ534">
        <v>86.917344616272402</v>
      </c>
      <c r="AK534">
        <v>20.6974921078384</v>
      </c>
      <c r="AL534">
        <v>88.796065752654002</v>
      </c>
      <c r="AM534">
        <v>88.333195024772294</v>
      </c>
      <c r="AN534">
        <v>0.99999998361754405</v>
      </c>
    </row>
    <row r="535" spans="1:40" x14ac:dyDescent="0.25">
      <c r="A535" t="str">
        <f>"20190312154224063"</f>
        <v>20190312154224063</v>
      </c>
      <c r="B535" t="str">
        <f>"1552376544058235"</f>
        <v>1552376544058235</v>
      </c>
      <c r="C535" t="s">
        <v>40</v>
      </c>
      <c r="D535">
        <v>4.8606420000000004</v>
      </c>
      <c r="E535">
        <v>0.50979669999999999</v>
      </c>
      <c r="F535" t="s">
        <v>43</v>
      </c>
      <c r="G535">
        <v>-331.75810000000001</v>
      </c>
      <c r="H535" s="1">
        <v>-4.0063089999999997E-6</v>
      </c>
      <c r="I535">
        <v>366.8639</v>
      </c>
      <c r="J535">
        <v>-352.52359999999999</v>
      </c>
      <c r="K535">
        <v>1.1098079999999999</v>
      </c>
      <c r="L535">
        <v>368.27539999999999</v>
      </c>
      <c r="M535">
        <v>0.99984340000000005</v>
      </c>
      <c r="N535">
        <v>0</v>
      </c>
      <c r="O535">
        <v>-1.432053E-2</v>
      </c>
      <c r="P535">
        <v>0.99899800000000005</v>
      </c>
      <c r="Q535">
        <v>1.0695949999999999E-2</v>
      </c>
      <c r="R535">
        <v>-4.345777E-2</v>
      </c>
      <c r="S535">
        <v>2.9960019999999998</v>
      </c>
      <c r="T535">
        <v>-0.15758249999999999</v>
      </c>
      <c r="U535">
        <v>-0.20111080000000001</v>
      </c>
      <c r="V535">
        <v>2.9156499999999998E-2</v>
      </c>
      <c r="W535">
        <v>2.1080189999999999E-2</v>
      </c>
      <c r="X535">
        <v>0.99935260000000004</v>
      </c>
      <c r="Y535">
        <v>5.262696E-2</v>
      </c>
      <c r="Z535">
        <v>-6.2972620000000001E-4</v>
      </c>
      <c r="AA535">
        <v>0.99861409999999995</v>
      </c>
      <c r="AB535">
        <v>32</v>
      </c>
      <c r="AC535">
        <v>20.7654999999999</v>
      </c>
      <c r="AD535">
        <v>-1.109812006309</v>
      </c>
      <c r="AE535">
        <v>-1.41149999999998</v>
      </c>
      <c r="AF535">
        <v>1.11080792073818</v>
      </c>
      <c r="AG535">
        <v>-1.109812006309</v>
      </c>
      <c r="AH535">
        <v>20.724659926558999</v>
      </c>
      <c r="AI535">
        <v>93.060893955471002</v>
      </c>
      <c r="AJ535">
        <v>86.931975481648493</v>
      </c>
      <c r="AK535">
        <v>20.784058939428601</v>
      </c>
      <c r="AL535">
        <v>88.792104668167696</v>
      </c>
      <c r="AM535">
        <v>88.328847449487697</v>
      </c>
      <c r="AN535">
        <v>1.0000000475147199</v>
      </c>
    </row>
    <row r="536" spans="1:40" x14ac:dyDescent="0.25">
      <c r="A536" t="str">
        <f>"20190312154224086"</f>
        <v>20190312154224086</v>
      </c>
      <c r="B536" t="str">
        <f>"1552376544077755"</f>
        <v>1552376544077755</v>
      </c>
      <c r="C536" t="s">
        <v>40</v>
      </c>
      <c r="D536">
        <v>4.8728220000000002</v>
      </c>
      <c r="E536">
        <v>0.50978859999999904</v>
      </c>
      <c r="F536" t="s">
        <v>43</v>
      </c>
      <c r="G536">
        <v>-331.42779999999999</v>
      </c>
      <c r="H536" s="1">
        <v>-4.1500019999999997E-6</v>
      </c>
      <c r="I536">
        <v>366.8528</v>
      </c>
      <c r="J536">
        <v>-352.19330000000002</v>
      </c>
      <c r="K536">
        <v>1.10982</v>
      </c>
      <c r="L536">
        <v>368.2704</v>
      </c>
      <c r="M536">
        <v>0.99983809999999995</v>
      </c>
      <c r="N536">
        <v>0</v>
      </c>
      <c r="O536">
        <v>-1.4534989999999999E-2</v>
      </c>
      <c r="P536">
        <v>0.99898560000000003</v>
      </c>
      <c r="Q536">
        <v>1.054708E-2</v>
      </c>
      <c r="R536">
        <v>-4.377984E-2</v>
      </c>
      <c r="S536">
        <v>2.9959410000000002</v>
      </c>
      <c r="T536">
        <v>-0.15761040000000001</v>
      </c>
      <c r="U536">
        <v>-0.20202639999999999</v>
      </c>
      <c r="V536">
        <v>2.9264310000000002E-2</v>
      </c>
      <c r="W536">
        <v>2.1154559999999999E-2</v>
      </c>
      <c r="X536">
        <v>0.99934780000000001</v>
      </c>
      <c r="Y536">
        <v>5.2718050000000002E-2</v>
      </c>
      <c r="Z536">
        <v>-6.2097580000000001E-4</v>
      </c>
      <c r="AA536">
        <v>0.99860919999999997</v>
      </c>
      <c r="AB536">
        <v>32</v>
      </c>
      <c r="AC536">
        <v>20.765499999999999</v>
      </c>
      <c r="AD536">
        <v>-1.1098241500020001</v>
      </c>
      <c r="AE536">
        <v>-1.41759999999999</v>
      </c>
      <c r="AF536">
        <v>1.1124440367016299</v>
      </c>
      <c r="AG536">
        <v>-1.1098241500020001</v>
      </c>
      <c r="AH536">
        <v>20.724987218722301</v>
      </c>
      <c r="AI536">
        <v>93.060866376953399</v>
      </c>
      <c r="AJ536">
        <v>86.927513650159298</v>
      </c>
      <c r="AK536">
        <v>20.784473450028099</v>
      </c>
      <c r="AL536">
        <v>88.787842537224705</v>
      </c>
      <c r="AM536">
        <v>88.322663614361005</v>
      </c>
      <c r="AN536">
        <v>0.99999997030670396</v>
      </c>
    </row>
    <row r="537" spans="1:40" x14ac:dyDescent="0.25">
      <c r="A537" t="str">
        <f>"20190312154224100"</f>
        <v>20190312154224100</v>
      </c>
      <c r="B537" t="str">
        <f>"1552376544087516"</f>
        <v>1552376544087516</v>
      </c>
      <c r="C537" t="s">
        <v>40</v>
      </c>
      <c r="D537">
        <v>4.8779219999999999</v>
      </c>
      <c r="E537">
        <v>0.50979399999999997</v>
      </c>
      <c r="F537" t="s">
        <v>43</v>
      </c>
      <c r="G537">
        <v>-331.11669999999998</v>
      </c>
      <c r="H537" s="1">
        <v>-4.2853369999999998E-6</v>
      </c>
      <c r="I537">
        <v>366.84210000000002</v>
      </c>
      <c r="J537">
        <v>-351.99610000000001</v>
      </c>
      <c r="K537">
        <v>1.109826</v>
      </c>
      <c r="L537">
        <v>368.26740000000001</v>
      </c>
      <c r="M537">
        <v>0.99983480000000002</v>
      </c>
      <c r="N537">
        <v>0</v>
      </c>
      <c r="O537">
        <v>-1.466222E-2</v>
      </c>
      <c r="P537">
        <v>0.99898529999999996</v>
      </c>
      <c r="Q537">
        <v>1.05539E-2</v>
      </c>
      <c r="R537">
        <v>-4.3784869999999997E-2</v>
      </c>
      <c r="S537">
        <v>2.9957889999999998</v>
      </c>
      <c r="T537">
        <v>-0.15774769999999999</v>
      </c>
      <c r="U537">
        <v>-0.20300289999999999</v>
      </c>
      <c r="V537">
        <v>2.9142169999999998E-2</v>
      </c>
      <c r="W537">
        <v>2.127851E-2</v>
      </c>
      <c r="X537">
        <v>0.99934880000000004</v>
      </c>
      <c r="Y537">
        <v>5.2918199999999999E-2</v>
      </c>
      <c r="Z537">
        <v>-6.2011469999999997E-4</v>
      </c>
      <c r="AA537">
        <v>0.9985986</v>
      </c>
      <c r="AB537">
        <v>32</v>
      </c>
      <c r="AC537">
        <v>20.8794</v>
      </c>
      <c r="AD537">
        <v>-1.1098302853369999</v>
      </c>
      <c r="AE537">
        <v>-1.42529999999999</v>
      </c>
      <c r="AF537">
        <v>1.1158526609071899</v>
      </c>
      <c r="AG537">
        <v>-1.1098302853369999</v>
      </c>
      <c r="AH537">
        <v>20.839448259843799</v>
      </c>
      <c r="AI537">
        <v>93.044124335126497</v>
      </c>
      <c r="AJ537">
        <v>86.935012340068795</v>
      </c>
      <c r="AK537">
        <v>20.8987907352988</v>
      </c>
      <c r="AL537">
        <v>88.780739202104499</v>
      </c>
      <c r="AM537">
        <v>88.329661983706799</v>
      </c>
      <c r="AN537">
        <v>1.0000000325607801</v>
      </c>
    </row>
    <row r="538" spans="1:40" x14ac:dyDescent="0.25">
      <c r="A538" t="str">
        <f>"20190312154224118"</f>
        <v>20190312154224118</v>
      </c>
      <c r="B538" t="str">
        <f>"1552376544108011"</f>
        <v>1552376544108011</v>
      </c>
      <c r="C538" t="s">
        <v>40</v>
      </c>
      <c r="D538">
        <v>4.8787070000000003</v>
      </c>
      <c r="E538">
        <v>0.50979509999999995</v>
      </c>
      <c r="F538" t="s">
        <v>43</v>
      </c>
      <c r="G538">
        <v>-330.90789999999998</v>
      </c>
      <c r="H538" s="1">
        <v>-4.3755389999999999E-6</v>
      </c>
      <c r="I538">
        <v>366.83859999999999</v>
      </c>
      <c r="J538">
        <v>-351.72239999999999</v>
      </c>
      <c r="K538">
        <v>1.109834</v>
      </c>
      <c r="L538">
        <v>368.26319999999998</v>
      </c>
      <c r="M538">
        <v>0.99983060000000001</v>
      </c>
      <c r="N538">
        <v>0</v>
      </c>
      <c r="O538">
        <v>-1.483923E-2</v>
      </c>
      <c r="P538">
        <v>0.99897879999999994</v>
      </c>
      <c r="Q538">
        <v>1.0604799999999999E-2</v>
      </c>
      <c r="R538">
        <v>-4.3918909999999999E-2</v>
      </c>
      <c r="S538">
        <v>2.995819</v>
      </c>
      <c r="T538">
        <v>-0.15766369999999999</v>
      </c>
      <c r="U538">
        <v>-0.2029724</v>
      </c>
      <c r="V538">
        <v>2.9099440000000001E-2</v>
      </c>
      <c r="W538">
        <v>2.1478730000000001E-2</v>
      </c>
      <c r="X538">
        <v>0.9993457</v>
      </c>
      <c r="Y538">
        <v>5.2731130000000001E-2</v>
      </c>
      <c r="Z538">
        <v>-6.0556789999999998E-4</v>
      </c>
      <c r="AA538">
        <v>0.99860859999999996</v>
      </c>
      <c r="AB538">
        <v>32</v>
      </c>
      <c r="AC538">
        <v>20.814499999999999</v>
      </c>
      <c r="AD538">
        <v>-1.109838375539</v>
      </c>
      <c r="AE538">
        <v>-1.4245999999999901</v>
      </c>
      <c r="AF538">
        <v>1.112405755588</v>
      </c>
      <c r="AG538">
        <v>-1.109838375539</v>
      </c>
      <c r="AH538">
        <v>20.774560979349001</v>
      </c>
      <c r="AI538">
        <v>93.053636391198694</v>
      </c>
      <c r="AJ538">
        <v>86.934936718489496</v>
      </c>
      <c r="AK538">
        <v>20.833904378910201</v>
      </c>
      <c r="AL538">
        <v>88.769264742857203</v>
      </c>
      <c r="AM538">
        <v>88.332104578317498</v>
      </c>
      <c r="AN538">
        <v>0.999999970679607</v>
      </c>
    </row>
    <row r="539" spans="1:40" x14ac:dyDescent="0.25">
      <c r="A539" t="str">
        <f>"20190312154224130"</f>
        <v>20190312154224130</v>
      </c>
      <c r="B539" t="str">
        <f>"1552376544127531"</f>
        <v>1552376544127531</v>
      </c>
      <c r="C539" t="s">
        <v>40</v>
      </c>
      <c r="D539">
        <v>4.8949910000000001</v>
      </c>
      <c r="E539">
        <v>0.50985309999999995</v>
      </c>
      <c r="F539" t="s">
        <v>43</v>
      </c>
      <c r="G539">
        <v>-330.59469999999999</v>
      </c>
      <c r="H539" s="1">
        <v>-4.5115830000000003E-6</v>
      </c>
      <c r="I539">
        <v>366.82909999999998</v>
      </c>
      <c r="J539">
        <v>-351.55119999999999</v>
      </c>
      <c r="K539">
        <v>1.109837</v>
      </c>
      <c r="L539">
        <v>368.26049999999998</v>
      </c>
      <c r="M539">
        <v>0.99982800000000005</v>
      </c>
      <c r="N539">
        <v>0</v>
      </c>
      <c r="O539">
        <v>-1.4950110000000001E-2</v>
      </c>
      <c r="P539">
        <v>0.99896300000000005</v>
      </c>
      <c r="Q539">
        <v>1.065905E-2</v>
      </c>
      <c r="R539">
        <v>-4.4269580000000003E-2</v>
      </c>
      <c r="S539">
        <v>2.995819</v>
      </c>
      <c r="T539">
        <v>-0.15737000000000001</v>
      </c>
      <c r="U539">
        <v>-0.20333860000000001</v>
      </c>
      <c r="V539">
        <v>2.933941E-2</v>
      </c>
      <c r="W539">
        <v>2.162128E-2</v>
      </c>
      <c r="X539">
        <v>0.99933559999999999</v>
      </c>
      <c r="Y539">
        <v>5.2742219999999999E-2</v>
      </c>
      <c r="Z539">
        <v>-5.9891670000000003E-4</v>
      </c>
      <c r="AA539">
        <v>0.99860800000000005</v>
      </c>
      <c r="AB539">
        <v>32</v>
      </c>
      <c r="AC539">
        <v>20.956499999999998</v>
      </c>
      <c r="AD539">
        <v>-1.109841511583</v>
      </c>
      <c r="AE539">
        <v>-1.43139999999999</v>
      </c>
      <c r="AF539">
        <v>1.11480699037049</v>
      </c>
      <c r="AG539">
        <v>-1.109841511583</v>
      </c>
      <c r="AH539">
        <v>20.917164837421499</v>
      </c>
      <c r="AI539">
        <v>93.032905975643203</v>
      </c>
      <c r="AJ539">
        <v>86.949234695745005</v>
      </c>
      <c r="AK539">
        <v>20.976232446330201</v>
      </c>
      <c r="AL539">
        <v>88.761095320174803</v>
      </c>
      <c r="AM539">
        <v>88.318341073824996</v>
      </c>
      <c r="AN539">
        <v>0.99999996107767197</v>
      </c>
    </row>
    <row r="540" spans="1:40" x14ac:dyDescent="0.25">
      <c r="A540" t="str">
        <f>"20190312154224143"</f>
        <v>20190312154224143</v>
      </c>
      <c r="B540" t="str">
        <f>"1552376544138267"</f>
        <v>1552376544138267</v>
      </c>
      <c r="C540" t="s">
        <v>40</v>
      </c>
      <c r="D540">
        <v>4.7991720000000004</v>
      </c>
      <c r="E540">
        <v>0.50991009999999903</v>
      </c>
      <c r="F540" t="s">
        <v>43</v>
      </c>
      <c r="G540">
        <v>-330.19920000000002</v>
      </c>
      <c r="H540" s="1">
        <v>-4.6865190000000003E-6</v>
      </c>
      <c r="I540">
        <v>366.79939999999999</v>
      </c>
      <c r="J540">
        <v>-351.35829999999999</v>
      </c>
      <c r="K540">
        <v>1.1098440000000001</v>
      </c>
      <c r="L540">
        <v>368.25749999999999</v>
      </c>
      <c r="M540">
        <v>0.99982499999999996</v>
      </c>
      <c r="N540">
        <v>0</v>
      </c>
      <c r="O540">
        <v>-1.507465E-2</v>
      </c>
      <c r="P540">
        <v>0.99895109999999998</v>
      </c>
      <c r="Q540">
        <v>1.052061E-2</v>
      </c>
      <c r="R540">
        <v>-4.4563579999999998E-2</v>
      </c>
      <c r="S540">
        <v>2.9956969999999998</v>
      </c>
      <c r="T540">
        <v>-0.15571070000000001</v>
      </c>
      <c r="U540">
        <v>-0.20498659999999999</v>
      </c>
      <c r="V540">
        <v>2.9509270000000001E-2</v>
      </c>
      <c r="W540">
        <v>2.158171E-2</v>
      </c>
      <c r="X540">
        <v>0.99933150000000004</v>
      </c>
      <c r="Y540">
        <v>5.3168029999999998E-2</v>
      </c>
      <c r="Z540">
        <v>-5.9720979999999997E-4</v>
      </c>
      <c r="AA540">
        <v>0.99858539999999996</v>
      </c>
      <c r="AB540">
        <v>32</v>
      </c>
      <c r="AC540">
        <v>21.159099999999899</v>
      </c>
      <c r="AD540">
        <v>-1.109848686519</v>
      </c>
      <c r="AE540">
        <v>-1.4581</v>
      </c>
      <c r="AF540">
        <v>1.1358384679573801</v>
      </c>
      <c r="AG540">
        <v>-1.109848686519</v>
      </c>
      <c r="AH540">
        <v>21.120842621867901</v>
      </c>
      <c r="AI540">
        <v>93.003654384817494</v>
      </c>
      <c r="AJ540">
        <v>86.921707977069303</v>
      </c>
      <c r="AK540">
        <v>21.180460008932101</v>
      </c>
      <c r="AL540">
        <v>88.763363100277004</v>
      </c>
      <c r="AM540">
        <v>88.308603842638902</v>
      </c>
      <c r="AN540">
        <v>1.00000000705735</v>
      </c>
    </row>
    <row r="541" spans="1:40" x14ac:dyDescent="0.25">
      <c r="A541" t="str">
        <f>"20190312154224155"</f>
        <v>20190312154224155</v>
      </c>
      <c r="B541" t="str">
        <f>"1552376544148028"</f>
        <v>1552376544148028</v>
      </c>
      <c r="C541" t="s">
        <v>40</v>
      </c>
      <c r="D541">
        <v>4.8298860000000001</v>
      </c>
      <c r="E541">
        <v>0.50994830000000002</v>
      </c>
      <c r="F541" t="s">
        <v>43</v>
      </c>
      <c r="G541">
        <v>-329.904</v>
      </c>
      <c r="H541" s="1">
        <v>-7.7345089999999996E-7</v>
      </c>
      <c r="I541">
        <v>366.7799</v>
      </c>
      <c r="J541">
        <v>-351.18860000000001</v>
      </c>
      <c r="K541">
        <v>1.1097570000000001</v>
      </c>
      <c r="L541">
        <v>368.25490000000002</v>
      </c>
      <c r="M541">
        <v>0.9998264</v>
      </c>
      <c r="N541">
        <v>0</v>
      </c>
      <c r="O541">
        <v>-1.518158E-2</v>
      </c>
      <c r="P541">
        <v>0.99894620000000001</v>
      </c>
      <c r="Q541">
        <v>1.0812250000000001E-2</v>
      </c>
      <c r="R541">
        <v>-4.4604989999999997E-2</v>
      </c>
      <c r="S541">
        <v>2.9956049999999999</v>
      </c>
      <c r="T541">
        <v>-0.15496399999999999</v>
      </c>
      <c r="U541">
        <v>-0.2062988</v>
      </c>
      <c r="V541">
        <v>2.9443629999999998E-2</v>
      </c>
      <c r="W541">
        <v>2.1605539999999999E-2</v>
      </c>
      <c r="X541">
        <v>0.99933289999999997</v>
      </c>
      <c r="Y541">
        <v>5.3498940000000002E-2</v>
      </c>
      <c r="Z541">
        <v>-5.9738519999999896E-4</v>
      </c>
      <c r="AA541">
        <v>0.99856769999999995</v>
      </c>
      <c r="AB541">
        <v>32</v>
      </c>
      <c r="AC541">
        <v>21.284600000000001</v>
      </c>
      <c r="AD541">
        <v>-1.1097577734509001</v>
      </c>
      <c r="AE541">
        <v>-1.4750000000000201</v>
      </c>
      <c r="AF541">
        <v>1.14856984272833</v>
      </c>
      <c r="AG541">
        <v>-1.1097577734509001</v>
      </c>
      <c r="AH541">
        <v>21.247057321423402</v>
      </c>
      <c r="AI541">
        <v>92.985555082563494</v>
      </c>
      <c r="AJ541">
        <v>86.905726144857795</v>
      </c>
      <c r="AK541">
        <v>21.306999315230001</v>
      </c>
      <c r="AL541">
        <v>88.761997397185496</v>
      </c>
      <c r="AM541">
        <v>88.312366344934006</v>
      </c>
      <c r="AN541">
        <v>0.99999998586433902</v>
      </c>
    </row>
    <row r="542" spans="1:40" x14ac:dyDescent="0.25">
      <c r="A542" t="str">
        <f>"20190312154224168"</f>
        <v>20190312154224168</v>
      </c>
      <c r="B542" t="str">
        <f>"1552376544157787"</f>
        <v>1552376544157787</v>
      </c>
      <c r="C542" t="s">
        <v>40</v>
      </c>
      <c r="D542">
        <v>4.8415780000000002</v>
      </c>
      <c r="E542">
        <v>0.51000109999999999</v>
      </c>
      <c r="F542" t="s">
        <v>43</v>
      </c>
      <c r="G542">
        <v>-329.45890000000003</v>
      </c>
      <c r="H542" s="1">
        <v>-9.3162520000000004E-7</v>
      </c>
      <c r="I542">
        <v>366.75479999999999</v>
      </c>
      <c r="J542">
        <v>-351.00450000000001</v>
      </c>
      <c r="K542">
        <v>1.109605</v>
      </c>
      <c r="L542">
        <v>368.25189999999998</v>
      </c>
      <c r="M542">
        <v>0.99982990000000005</v>
      </c>
      <c r="N542">
        <v>0</v>
      </c>
      <c r="O542">
        <v>-1.5296189999999999E-2</v>
      </c>
      <c r="P542">
        <v>0.99893209999999999</v>
      </c>
      <c r="Q542">
        <v>1.1484889999999999E-2</v>
      </c>
      <c r="R542">
        <v>-4.4751720000000002E-2</v>
      </c>
      <c r="S542">
        <v>2.9955750000000001</v>
      </c>
      <c r="T542">
        <v>-0.15298629999999999</v>
      </c>
      <c r="U542">
        <v>-0.2067871</v>
      </c>
      <c r="V542">
        <v>2.9475950000000001E-2</v>
      </c>
      <c r="W542">
        <v>2.1772880000000001E-2</v>
      </c>
      <c r="X542">
        <v>0.99932829999999995</v>
      </c>
      <c r="Y542">
        <v>5.3548619999999998E-2</v>
      </c>
      <c r="Z542">
        <v>-5.8520350000000002E-4</v>
      </c>
      <c r="AA542">
        <v>0.99856509999999998</v>
      </c>
      <c r="AB542">
        <v>32</v>
      </c>
      <c r="AC542">
        <v>21.545599999999901</v>
      </c>
      <c r="AD542">
        <v>-1.1096059316251901</v>
      </c>
      <c r="AE542">
        <v>-1.4970999999999799</v>
      </c>
      <c r="AF542">
        <v>1.1642686025036</v>
      </c>
      <c r="AG542">
        <v>-1.1096059316251901</v>
      </c>
      <c r="AH542">
        <v>21.509205730489001</v>
      </c>
      <c r="AI542">
        <v>92.948818485221096</v>
      </c>
      <c r="AJ542">
        <v>86.901668866611601</v>
      </c>
      <c r="AK542">
        <v>21.5692530667794</v>
      </c>
      <c r="AL542">
        <v>88.752407246224806</v>
      </c>
      <c r="AM542">
        <v>88.310507145792997</v>
      </c>
      <c r="AN542">
        <v>0.999999970556393</v>
      </c>
    </row>
    <row r="543" spans="1:40" x14ac:dyDescent="0.25">
      <c r="A543" t="str">
        <f>"20190312154224186"</f>
        <v>20190312154224186</v>
      </c>
      <c r="B543" t="str">
        <f>"1552376544178304"</f>
        <v>1552376544178304</v>
      </c>
      <c r="C543" t="s">
        <v>40</v>
      </c>
      <c r="D543">
        <v>4.9244570000000003</v>
      </c>
      <c r="E543">
        <v>0.50999749999999999</v>
      </c>
      <c r="F543" t="s">
        <v>43</v>
      </c>
      <c r="G543">
        <v>-328.8177</v>
      </c>
      <c r="H543" s="1">
        <v>-1.1610580000000001E-6</v>
      </c>
      <c r="I543">
        <v>366.71260000000001</v>
      </c>
      <c r="J543">
        <v>-350.73090000000002</v>
      </c>
      <c r="K543">
        <v>1.109354</v>
      </c>
      <c r="L543">
        <v>368.24759999999998</v>
      </c>
      <c r="M543">
        <v>0.99983699999999998</v>
      </c>
      <c r="N543">
        <v>0</v>
      </c>
      <c r="O543">
        <v>-1.5464790000000001E-2</v>
      </c>
      <c r="P543">
        <v>0.998919</v>
      </c>
      <c r="Q543">
        <v>1.2147379999999999E-2</v>
      </c>
      <c r="R543">
        <v>-4.4868760000000001E-2</v>
      </c>
      <c r="S543">
        <v>2.9955440000000002</v>
      </c>
      <c r="T543">
        <v>-0.1498121</v>
      </c>
      <c r="U543">
        <v>-0.2078247</v>
      </c>
      <c r="V543">
        <v>2.942409E-2</v>
      </c>
      <c r="W543">
        <v>2.1432489999999998E-2</v>
      </c>
      <c r="X543">
        <v>0.99933720000000004</v>
      </c>
      <c r="Y543">
        <v>5.3727360000000002E-2</v>
      </c>
      <c r="Z543">
        <v>-5.6913160000000005E-4</v>
      </c>
      <c r="AA543">
        <v>0.99855550000000004</v>
      </c>
      <c r="AB543">
        <v>33</v>
      </c>
      <c r="AC543">
        <v>21.9132</v>
      </c>
      <c r="AD543">
        <v>-1.1093551610579999</v>
      </c>
      <c r="AE543">
        <v>-1.53499999999996</v>
      </c>
      <c r="AF543">
        <v>1.19287639058465</v>
      </c>
      <c r="AG543">
        <v>-1.1093551610579999</v>
      </c>
      <c r="AH543">
        <v>21.878520322195399</v>
      </c>
      <c r="AI543">
        <v>92.898411563294502</v>
      </c>
      <c r="AJ543">
        <v>86.879168391611302</v>
      </c>
      <c r="AK543">
        <v>21.9390809845193</v>
      </c>
      <c r="AL543">
        <v>88.771914726160503</v>
      </c>
      <c r="AM543">
        <v>88.313492933418701</v>
      </c>
      <c r="AN543">
        <v>0.99999998400188395</v>
      </c>
    </row>
    <row r="544" spans="1:40" x14ac:dyDescent="0.25">
      <c r="A544" t="str">
        <f>"20190312154224209"</f>
        <v>20190312154224209</v>
      </c>
      <c r="B544" t="str">
        <f>"1552376544197803"</f>
        <v>1552376544197803</v>
      </c>
      <c r="C544" t="s">
        <v>40</v>
      </c>
      <c r="D544">
        <v>4.7926070000000003</v>
      </c>
      <c r="E544">
        <v>0.54042440000000003</v>
      </c>
      <c r="F544" t="s">
        <v>43</v>
      </c>
      <c r="G544">
        <v>-328.16050000000001</v>
      </c>
      <c r="H544" s="1">
        <v>-1.3932109999999999E-6</v>
      </c>
      <c r="I544">
        <v>366.68049999999999</v>
      </c>
      <c r="J544">
        <v>-350.39749999999998</v>
      </c>
      <c r="K544">
        <v>1.1090960000000001</v>
      </c>
      <c r="L544">
        <v>368.24220000000003</v>
      </c>
      <c r="M544">
        <v>0.99984479999999998</v>
      </c>
      <c r="N544">
        <v>0</v>
      </c>
      <c r="O544">
        <v>-1.5669820000000001E-2</v>
      </c>
      <c r="P544">
        <v>0.99889859999999997</v>
      </c>
      <c r="Q544">
        <v>1.326475E-2</v>
      </c>
      <c r="R544">
        <v>-4.5012749999999997E-2</v>
      </c>
      <c r="S544">
        <v>2.9956969999999998</v>
      </c>
      <c r="T544">
        <v>-0.14724079999999901</v>
      </c>
      <c r="U544">
        <v>-0.2079773</v>
      </c>
      <c r="V544">
        <v>2.9362449999999998E-2</v>
      </c>
      <c r="W544">
        <v>2.1309970000000001E-2</v>
      </c>
      <c r="X544">
        <v>0.9993417</v>
      </c>
      <c r="Y544">
        <v>5.357191E-2</v>
      </c>
      <c r="Z544">
        <v>-5.454848E-4</v>
      </c>
      <c r="AA544">
        <v>0.9985638</v>
      </c>
      <c r="AB544">
        <v>33</v>
      </c>
      <c r="AC544">
        <v>22.236999999999899</v>
      </c>
      <c r="AD544">
        <v>-1.10909739321099</v>
      </c>
      <c r="AE544">
        <v>-1.5617000000000301</v>
      </c>
      <c r="AF544">
        <v>1.2100517646245501</v>
      </c>
      <c r="AG544">
        <v>-1.10909739321099</v>
      </c>
      <c r="AH544">
        <v>22.2037780918408</v>
      </c>
      <c r="AI544">
        <v>92.855365626325707</v>
      </c>
      <c r="AJ544">
        <v>86.880605467910797</v>
      </c>
      <c r="AK544">
        <v>22.264368031731902</v>
      </c>
      <c r="AL544">
        <v>88.778936290433194</v>
      </c>
      <c r="AM544">
        <v>88.317031506955203</v>
      </c>
      <c r="AN544">
        <v>1.0000000508251401</v>
      </c>
    </row>
    <row r="545" spans="1:40" x14ac:dyDescent="0.25">
      <c r="A545" t="str">
        <f>"20190312154224222"</f>
        <v>20190312154224222</v>
      </c>
      <c r="B545" t="str">
        <f>"1552376544207563"</f>
        <v>1552376544207563</v>
      </c>
      <c r="C545" t="s">
        <v>40</v>
      </c>
      <c r="D545">
        <v>4.7770060000000001</v>
      </c>
      <c r="E545">
        <v>0.544166699999999</v>
      </c>
      <c r="F545" t="s">
        <v>42</v>
      </c>
      <c r="G545">
        <v>-303.18799999999999</v>
      </c>
      <c r="H545">
        <v>-0.05</v>
      </c>
      <c r="I545">
        <v>361.07100000000003</v>
      </c>
      <c r="J545">
        <v>-350.19920000000002</v>
      </c>
      <c r="K545">
        <v>1.108968</v>
      </c>
      <c r="L545">
        <v>368.23899999999998</v>
      </c>
      <c r="M545">
        <v>0.99984850000000003</v>
      </c>
      <c r="N545">
        <v>0</v>
      </c>
      <c r="O545">
        <v>-1.578953E-2</v>
      </c>
      <c r="P545">
        <v>0.99887250000000005</v>
      </c>
      <c r="Q545">
        <v>1.3999920000000001E-2</v>
      </c>
      <c r="R545">
        <v>-4.5364050000000003E-2</v>
      </c>
      <c r="S545">
        <v>2.9838260000000001</v>
      </c>
      <c r="T545">
        <v>-7.3259350000000001E-2</v>
      </c>
      <c r="U545">
        <v>-0.45324710000000001</v>
      </c>
      <c r="V545">
        <v>2.9594539999999999E-2</v>
      </c>
      <c r="W545">
        <v>2.1320459999999999E-2</v>
      </c>
      <c r="X545">
        <v>0.99933459999999996</v>
      </c>
      <c r="Y545">
        <v>0.13451399999999999</v>
      </c>
      <c r="Z545">
        <v>-1.256362E-3</v>
      </c>
      <c r="AA545">
        <v>0.99091090000000004</v>
      </c>
      <c r="AB545">
        <v>33</v>
      </c>
      <c r="AC545">
        <v>47.011200000000002</v>
      </c>
      <c r="AD545">
        <v>-1.158968</v>
      </c>
      <c r="AE545">
        <v>-7.1680000000000597</v>
      </c>
      <c r="AF545">
        <v>6.42098787306261</v>
      </c>
      <c r="AG545">
        <v>-1.158968</v>
      </c>
      <c r="AH545">
        <v>47.090551515924098</v>
      </c>
      <c r="AI545">
        <v>91.396927971420894</v>
      </c>
      <c r="AJ545">
        <v>82.235372667370498</v>
      </c>
      <c r="AK545">
        <v>47.540428417978603</v>
      </c>
      <c r="AL545">
        <v>88.778335084449196</v>
      </c>
      <c r="AM545">
        <v>88.303724493715194</v>
      </c>
      <c r="AN545">
        <v>1.0000000207847899</v>
      </c>
    </row>
    <row r="546" spans="1:40" x14ac:dyDescent="0.25">
      <c r="A546" t="str">
        <f>"20190312154224242"</f>
        <v>20190312154224242</v>
      </c>
      <c r="B546" t="str">
        <f>"1552376544237819"</f>
        <v>1552376544237819</v>
      </c>
      <c r="C546" t="s">
        <v>40</v>
      </c>
      <c r="D546">
        <v>4.7781929999999999</v>
      </c>
      <c r="E546">
        <v>0.54820919999999995</v>
      </c>
      <c r="F546" t="s">
        <v>42</v>
      </c>
      <c r="G546">
        <v>-298.81909999999999</v>
      </c>
      <c r="H546">
        <v>-0.05</v>
      </c>
      <c r="I546">
        <v>359.89100000000002</v>
      </c>
      <c r="J546">
        <v>-349.90570000000002</v>
      </c>
      <c r="K546">
        <v>1.1087940000000001</v>
      </c>
      <c r="L546">
        <v>368.23430000000002</v>
      </c>
      <c r="M546">
        <v>0.99985299999999999</v>
      </c>
      <c r="N546">
        <v>0</v>
      </c>
      <c r="O546">
        <v>-1.596183E-2</v>
      </c>
      <c r="P546">
        <v>0.9988515</v>
      </c>
      <c r="Q546">
        <v>1.5144380000000001E-2</v>
      </c>
      <c r="R546">
        <v>-4.5462219999999998E-2</v>
      </c>
      <c r="S546">
        <v>2.9823300000000001</v>
      </c>
      <c r="T546">
        <v>-6.7271709999999998E-2</v>
      </c>
      <c r="U546">
        <v>-0.48455809999999999</v>
      </c>
      <c r="V546">
        <v>2.9520459999999998E-2</v>
      </c>
      <c r="W546">
        <v>2.141152E-2</v>
      </c>
      <c r="X546">
        <v>0.99933479999999997</v>
      </c>
      <c r="Y546">
        <v>0.14456550000000001</v>
      </c>
      <c r="Z546">
        <v>-1.262104E-3</v>
      </c>
      <c r="AA546">
        <v>0.9894944</v>
      </c>
      <c r="AB546">
        <v>33</v>
      </c>
      <c r="AC546">
        <v>51.086599999999997</v>
      </c>
      <c r="AD546">
        <v>-1.1587940000000001</v>
      </c>
      <c r="AE546">
        <v>-8.3433000000000508</v>
      </c>
      <c r="AF546">
        <v>7.5230152814948497</v>
      </c>
      <c r="AG546">
        <v>-1.1587940000000001</v>
      </c>
      <c r="AH546">
        <v>51.187615747757597</v>
      </c>
      <c r="AI546">
        <v>91.283071675468193</v>
      </c>
      <c r="AJ546">
        <v>81.639126763359997</v>
      </c>
      <c r="AK546">
        <v>51.750464426902703</v>
      </c>
      <c r="AL546">
        <v>88.773116485395903</v>
      </c>
      <c r="AM546">
        <v>88.307968417317099</v>
      </c>
      <c r="AN546">
        <v>0.99999997661918005</v>
      </c>
    </row>
    <row r="547" spans="1:40" x14ac:dyDescent="0.25">
      <c r="A547" t="str">
        <f>"20190312154224266"</f>
        <v>20190312154224266</v>
      </c>
      <c r="B547" t="str">
        <f>"1552376544258315"</f>
        <v>1552376544258315</v>
      </c>
      <c r="C547" t="s">
        <v>40</v>
      </c>
      <c r="D547">
        <v>4.804754</v>
      </c>
      <c r="E547">
        <v>0.54943419999999998</v>
      </c>
      <c r="F547" t="s">
        <v>42</v>
      </c>
      <c r="G547">
        <v>-307.5231</v>
      </c>
      <c r="H547">
        <v>-0.05</v>
      </c>
      <c r="I547">
        <v>360.8929</v>
      </c>
      <c r="J547">
        <v>-349.5462</v>
      </c>
      <c r="K547">
        <v>1.1086180000000001</v>
      </c>
      <c r="L547">
        <v>368.22840000000002</v>
      </c>
      <c r="M547">
        <v>0.99985670000000004</v>
      </c>
      <c r="N547">
        <v>0</v>
      </c>
      <c r="O547">
        <v>-1.616298E-2</v>
      </c>
      <c r="P547">
        <v>0.99885420000000003</v>
      </c>
      <c r="Q547">
        <v>1.5829019999999999E-2</v>
      </c>
      <c r="R547">
        <v>-4.5163460000000002E-2</v>
      </c>
      <c r="S547">
        <v>2.9811709999999998</v>
      </c>
      <c r="T547">
        <v>-8.1508990000000003E-2</v>
      </c>
      <c r="U547">
        <v>-0.51638790000000001</v>
      </c>
      <c r="V547">
        <v>2.902099E-2</v>
      </c>
      <c r="W547">
        <v>2.08647E-2</v>
      </c>
      <c r="X547">
        <v>0.99936100000000005</v>
      </c>
      <c r="Y547">
        <v>0.15467639999999999</v>
      </c>
      <c r="Z547">
        <v>-1.660105E-3</v>
      </c>
      <c r="AA547">
        <v>0.98796379999999995</v>
      </c>
      <c r="AB547">
        <v>34</v>
      </c>
      <c r="AC547">
        <v>42.023099999999999</v>
      </c>
      <c r="AD547">
        <v>-1.1586179999999999</v>
      </c>
      <c r="AE547">
        <v>-7.3355000000000201</v>
      </c>
      <c r="AF547">
        <v>6.6504087319233998</v>
      </c>
      <c r="AG547">
        <v>-1.1586179999999999</v>
      </c>
      <c r="AH547">
        <v>42.105115295878598</v>
      </c>
      <c r="AI547">
        <v>91.556934419641607</v>
      </c>
      <c r="AJ547">
        <v>81.024409188822005</v>
      </c>
      <c r="AK547">
        <v>42.642831355936003</v>
      </c>
      <c r="AL547">
        <v>88.804453971728293</v>
      </c>
      <c r="AM547">
        <v>88.336624027000596</v>
      </c>
      <c r="AN547">
        <v>0.99999998094383402</v>
      </c>
    </row>
    <row r="548" spans="1:40" x14ac:dyDescent="0.25">
      <c r="A548" t="str">
        <f>"20190312154224287"</f>
        <v>20190312154224287</v>
      </c>
      <c r="B548" t="str">
        <f>"1552376544277837"</f>
        <v>1552376544277837</v>
      </c>
      <c r="C548" t="s">
        <v>40</v>
      </c>
      <c r="D548">
        <v>4.7355600000000004</v>
      </c>
      <c r="E548">
        <v>0.54971780000000003</v>
      </c>
      <c r="F548" t="s">
        <v>42</v>
      </c>
      <c r="G548">
        <v>-305.9212</v>
      </c>
      <c r="H548">
        <v>-0.05</v>
      </c>
      <c r="I548">
        <v>360.53809999999999</v>
      </c>
      <c r="J548">
        <v>-349.20870000000002</v>
      </c>
      <c r="K548">
        <v>1.1084830000000001</v>
      </c>
      <c r="L548">
        <v>368.22289999999998</v>
      </c>
      <c r="M548">
        <v>0.99985840000000004</v>
      </c>
      <c r="N548">
        <v>0</v>
      </c>
      <c r="O548">
        <v>-1.6343130000000001E-2</v>
      </c>
      <c r="P548">
        <v>0.99883690000000003</v>
      </c>
      <c r="Q548">
        <v>1.6815859999999998E-2</v>
      </c>
      <c r="R548">
        <v>-4.51878E-2</v>
      </c>
      <c r="S548">
        <v>2.9809269999999999</v>
      </c>
      <c r="T548">
        <v>-7.9169149999999994E-2</v>
      </c>
      <c r="U548">
        <v>-0.52548219999999901</v>
      </c>
      <c r="V548">
        <v>2.8865769999999999E-2</v>
      </c>
      <c r="W548">
        <v>2.0809879999999999E-2</v>
      </c>
      <c r="X548">
        <v>0.99936659999999999</v>
      </c>
      <c r="Y548">
        <v>0.157438299999999</v>
      </c>
      <c r="Z548">
        <v>-1.6438259999999999E-3</v>
      </c>
      <c r="AA548">
        <v>0.9875275</v>
      </c>
      <c r="AB548">
        <v>34</v>
      </c>
      <c r="AC548">
        <v>43.287500000000001</v>
      </c>
      <c r="AD548">
        <v>-1.1584829999999999</v>
      </c>
      <c r="AE548">
        <v>-7.6847999999999903</v>
      </c>
      <c r="AF548">
        <v>6.9714740504403103</v>
      </c>
      <c r="AG548">
        <v>-1.1584829999999999</v>
      </c>
      <c r="AH548">
        <v>43.3771942865013</v>
      </c>
      <c r="AI548">
        <v>91.510471347198504</v>
      </c>
      <c r="AJ548">
        <v>80.869644211704994</v>
      </c>
      <c r="AK548">
        <v>43.949112817736498</v>
      </c>
      <c r="AL548">
        <v>88.807595562673498</v>
      </c>
      <c r="AM548">
        <v>88.345524971999794</v>
      </c>
      <c r="AN548">
        <v>0.99999994248943203</v>
      </c>
    </row>
    <row r="549" spans="1:40" x14ac:dyDescent="0.25">
      <c r="A549" t="str">
        <f>"20190312154224310"</f>
        <v>20190312154224310</v>
      </c>
      <c r="B549" t="str">
        <f>"1552376544297356"</f>
        <v>1552376544297356</v>
      </c>
      <c r="C549" t="s">
        <v>40</v>
      </c>
      <c r="D549">
        <v>4.8508100000000001</v>
      </c>
      <c r="E549">
        <v>0.55006409999999994</v>
      </c>
      <c r="F549" t="s">
        <v>42</v>
      </c>
      <c r="G549">
        <v>-300.7285</v>
      </c>
      <c r="H549">
        <v>-0.05</v>
      </c>
      <c r="I549">
        <v>359.63709999999998</v>
      </c>
      <c r="J549">
        <v>-348.86340000000001</v>
      </c>
      <c r="K549">
        <v>1.1084099999999999</v>
      </c>
      <c r="L549">
        <v>368.21710000000002</v>
      </c>
      <c r="M549">
        <v>0.99985860000000004</v>
      </c>
      <c r="N549">
        <v>0</v>
      </c>
      <c r="O549">
        <v>-1.652149E-2</v>
      </c>
      <c r="P549">
        <v>0.99881730000000002</v>
      </c>
      <c r="Q549">
        <v>1.743896E-2</v>
      </c>
      <c r="R549">
        <v>-4.5386650000000001E-2</v>
      </c>
      <c r="S549">
        <v>2.980804</v>
      </c>
      <c r="T549">
        <v>-7.1229219999999996E-2</v>
      </c>
      <c r="U549">
        <v>-0.5278931</v>
      </c>
      <c r="V549">
        <v>2.8887019999999999E-2</v>
      </c>
      <c r="W549">
        <v>2.0567700000000001E-2</v>
      </c>
      <c r="X549">
        <v>0.99937109999999996</v>
      </c>
      <c r="Y549">
        <v>0.15805259999999999</v>
      </c>
      <c r="Z549">
        <v>-1.4820300000000001E-3</v>
      </c>
      <c r="AA549">
        <v>0.98742960000000002</v>
      </c>
      <c r="AB549">
        <v>34</v>
      </c>
      <c r="AC549">
        <v>48.134900000000002</v>
      </c>
      <c r="AD549">
        <v>-1.1584099999999999</v>
      </c>
      <c r="AE549">
        <v>-8.5800000000000392</v>
      </c>
      <c r="AF549">
        <v>7.7791980189845704</v>
      </c>
      <c r="AG549">
        <v>-1.1584099999999999</v>
      </c>
      <c r="AH549">
        <v>48.243004744994799</v>
      </c>
      <c r="AI549">
        <v>91.357985766808198</v>
      </c>
      <c r="AJ549">
        <v>80.839889072903304</v>
      </c>
      <c r="AK549">
        <v>48.879907348237303</v>
      </c>
      <c r="AL549">
        <v>88.821474544271297</v>
      </c>
      <c r="AM549">
        <v>88.344315132484198</v>
      </c>
      <c r="AN549">
        <v>1.0000000428614799</v>
      </c>
    </row>
    <row r="550" spans="1:40" x14ac:dyDescent="0.25">
      <c r="A550" t="str">
        <f>"20190312154224330"</f>
        <v>20190312154224330</v>
      </c>
      <c r="B550" t="str">
        <f>"1552376544317853"</f>
        <v>1552376544317853</v>
      </c>
      <c r="C550" t="s">
        <v>40</v>
      </c>
      <c r="D550">
        <v>4.8310269999999997</v>
      </c>
      <c r="E550">
        <v>0.55047040000000003</v>
      </c>
      <c r="F550" t="s">
        <v>42</v>
      </c>
      <c r="G550">
        <v>-297.83</v>
      </c>
      <c r="H550">
        <v>-0.05</v>
      </c>
      <c r="I550">
        <v>359.1191</v>
      </c>
      <c r="J550">
        <v>-348.5367</v>
      </c>
      <c r="K550">
        <v>1.1083970000000001</v>
      </c>
      <c r="L550">
        <v>368.21159999999998</v>
      </c>
      <c r="M550">
        <v>0.99985749999999995</v>
      </c>
      <c r="N550">
        <v>0</v>
      </c>
      <c r="O550">
        <v>-1.6686070000000001E-2</v>
      </c>
      <c r="P550">
        <v>0.99879660000000003</v>
      </c>
      <c r="Q550">
        <v>1.8106529999999999E-2</v>
      </c>
      <c r="R550">
        <v>-4.558297E-2</v>
      </c>
      <c r="S550">
        <v>2.9806520000000001</v>
      </c>
      <c r="T550">
        <v>-6.7657830000000002E-2</v>
      </c>
      <c r="U550">
        <v>-0.53137209999999901</v>
      </c>
      <c r="V550">
        <v>2.8919819999999999E-2</v>
      </c>
      <c r="W550">
        <v>2.0665909999999999E-2</v>
      </c>
      <c r="X550">
        <v>0.99936809999999998</v>
      </c>
      <c r="Y550">
        <v>0.15901960000000001</v>
      </c>
      <c r="Z550">
        <v>-1.414855E-3</v>
      </c>
      <c r="AA550">
        <v>0.9872744</v>
      </c>
      <c r="AB550">
        <v>35</v>
      </c>
      <c r="AC550">
        <v>50.706699999999998</v>
      </c>
      <c r="AD550">
        <v>-1.1583969999999999</v>
      </c>
      <c r="AE550">
        <v>-9.0924999999999692</v>
      </c>
      <c r="AF550">
        <v>8.2409688493375395</v>
      </c>
      <c r="AG550">
        <v>-1.1583969999999999</v>
      </c>
      <c r="AH550">
        <v>50.825659666109999</v>
      </c>
      <c r="AI550">
        <v>91.288809499334604</v>
      </c>
      <c r="AJ550">
        <v>80.790104847934501</v>
      </c>
      <c r="AK550">
        <v>51.5024575304965</v>
      </c>
      <c r="AL550">
        <v>88.815846299769902</v>
      </c>
      <c r="AM550">
        <v>88.342431246854304</v>
      </c>
      <c r="AN550">
        <v>1.00000001756128</v>
      </c>
    </row>
    <row r="551" spans="1:40" x14ac:dyDescent="0.25">
      <c r="A551" t="str">
        <f>"20190312154224344"</f>
        <v>20190312154224344</v>
      </c>
      <c r="B551" t="str">
        <f>"1552376544338349"</f>
        <v>1552376544338349</v>
      </c>
      <c r="C551" t="s">
        <v>40</v>
      </c>
      <c r="D551">
        <v>4.7492479999999997</v>
      </c>
      <c r="E551">
        <v>0.55092479999999999</v>
      </c>
      <c r="F551" t="s">
        <v>42</v>
      </c>
      <c r="G551">
        <v>-292.85059999999999</v>
      </c>
      <c r="H551">
        <v>-0.05</v>
      </c>
      <c r="I551">
        <v>358.21339999999998</v>
      </c>
      <c r="J551">
        <v>-348.33370000000002</v>
      </c>
      <c r="K551">
        <v>1.108425</v>
      </c>
      <c r="L551">
        <v>368.2081</v>
      </c>
      <c r="M551">
        <v>0.99985639999999998</v>
      </c>
      <c r="N551">
        <v>0</v>
      </c>
      <c r="O551">
        <v>-1.6787360000000001E-2</v>
      </c>
      <c r="P551">
        <v>0.99878440000000002</v>
      </c>
      <c r="Q551">
        <v>1.836689E-2</v>
      </c>
      <c r="R551">
        <v>-4.5746299999999997E-2</v>
      </c>
      <c r="S551">
        <v>2.980286</v>
      </c>
      <c r="T551">
        <v>-6.1996700000000002E-2</v>
      </c>
      <c r="U551">
        <v>-0.53509519999999899</v>
      </c>
      <c r="V551">
        <v>2.8982460000000002E-2</v>
      </c>
      <c r="W551">
        <v>2.0714059999999999E-2</v>
      </c>
      <c r="X551">
        <v>0.99936530000000001</v>
      </c>
      <c r="Y551">
        <v>0.16014110000000001</v>
      </c>
      <c r="Z551">
        <v>-1.305994E-3</v>
      </c>
      <c r="AA551">
        <v>0.98709329999999995</v>
      </c>
      <c r="AB551">
        <v>35</v>
      </c>
      <c r="AC551">
        <v>55.4831</v>
      </c>
      <c r="AD551">
        <v>-1.158425</v>
      </c>
      <c r="AE551">
        <v>-9.9947000000000195</v>
      </c>
      <c r="AF551">
        <v>9.0580497443585006</v>
      </c>
      <c r="AG551">
        <v>-1.158425</v>
      </c>
      <c r="AH551">
        <v>55.619582436663599</v>
      </c>
      <c r="AI551">
        <v>91.177653252526994</v>
      </c>
      <c r="AJ551">
        <v>80.750175075697797</v>
      </c>
      <c r="AK551">
        <v>56.364245440533701</v>
      </c>
      <c r="AL551">
        <v>88.813086931005301</v>
      </c>
      <c r="AM551">
        <v>88.338838329688699</v>
      </c>
      <c r="AN551">
        <v>1.0000000290567099</v>
      </c>
    </row>
    <row r="552" spans="1:40" x14ac:dyDescent="0.25">
      <c r="A552" t="str">
        <f>"20190312154224356"</f>
        <v>20190312154224356</v>
      </c>
      <c r="B552" t="str">
        <f>"1552376544348108"</f>
        <v>1552376544348108</v>
      </c>
      <c r="C552" t="s">
        <v>40</v>
      </c>
      <c r="D552">
        <v>4.8237110000000003</v>
      </c>
      <c r="E552">
        <v>0.55112090000000002</v>
      </c>
      <c r="F552" t="s">
        <v>42</v>
      </c>
      <c r="G552">
        <v>-290.2013</v>
      </c>
      <c r="H552">
        <v>-0.05</v>
      </c>
      <c r="I552">
        <v>357.68720000000002</v>
      </c>
      <c r="J552">
        <v>-348.13499999999999</v>
      </c>
      <c r="K552">
        <v>1.1084670000000001</v>
      </c>
      <c r="L552">
        <v>368.2047</v>
      </c>
      <c r="M552">
        <v>0.99985489999999999</v>
      </c>
      <c r="N552">
        <v>0</v>
      </c>
      <c r="O552">
        <v>-1.6887249999999999E-2</v>
      </c>
      <c r="P552">
        <v>0.99876730000000002</v>
      </c>
      <c r="Q552">
        <v>1.832514E-2</v>
      </c>
      <c r="R552">
        <v>-4.6129360000000001E-2</v>
      </c>
      <c r="S552">
        <v>2.9800719999999998</v>
      </c>
      <c r="T552">
        <v>-5.9384939999999997E-2</v>
      </c>
      <c r="U552">
        <v>-0.53933719999999996</v>
      </c>
      <c r="V552">
        <v>2.9266500000000001E-2</v>
      </c>
      <c r="W552">
        <v>2.0561980000000001E-2</v>
      </c>
      <c r="X552">
        <v>0.99936009999999997</v>
      </c>
      <c r="Y552">
        <v>0.1614177</v>
      </c>
      <c r="Z552">
        <v>-1.261564E-3</v>
      </c>
      <c r="AA552">
        <v>0.98688540000000002</v>
      </c>
      <c r="AB552">
        <v>35</v>
      </c>
      <c r="AC552">
        <v>57.933699999999902</v>
      </c>
      <c r="AD552">
        <v>-1.1584669999999999</v>
      </c>
      <c r="AE552">
        <v>-10.517499999999901</v>
      </c>
      <c r="AF552">
        <v>9.5339662892030006</v>
      </c>
      <c r="AG552">
        <v>-1.1584669999999999</v>
      </c>
      <c r="AH552">
        <v>58.080567790492701</v>
      </c>
      <c r="AI552">
        <v>91.127575641043705</v>
      </c>
      <c r="AJ552">
        <v>80.677992556363193</v>
      </c>
      <c r="AK552">
        <v>58.869269690219298</v>
      </c>
      <c r="AL552">
        <v>88.821802255172102</v>
      </c>
      <c r="AM552">
        <v>88.322558796495699</v>
      </c>
      <c r="AN552">
        <v>0.99999996625788901</v>
      </c>
    </row>
    <row r="553" spans="1:40" x14ac:dyDescent="0.25">
      <c r="A553" t="str">
        <f>"20190312154224368"</f>
        <v>20190312154224368</v>
      </c>
      <c r="B553" t="str">
        <f>"1552376544357868"</f>
        <v>1552376544357868</v>
      </c>
      <c r="C553" t="s">
        <v>40</v>
      </c>
      <c r="D553">
        <v>4.7967389999999996</v>
      </c>
      <c r="E553">
        <v>0.55125570000000002</v>
      </c>
      <c r="F553" t="s">
        <v>42</v>
      </c>
      <c r="G553">
        <v>-291.80869999999999</v>
      </c>
      <c r="H553">
        <v>-0.05</v>
      </c>
      <c r="I553">
        <v>357.95949999999999</v>
      </c>
      <c r="J553">
        <v>-347.94740000000002</v>
      </c>
      <c r="K553">
        <v>1.1085100000000001</v>
      </c>
      <c r="L553">
        <v>368.20139999999998</v>
      </c>
      <c r="M553">
        <v>0.99985360000000001</v>
      </c>
      <c r="N553">
        <v>0</v>
      </c>
      <c r="O553">
        <v>-1.6982560000000001E-2</v>
      </c>
      <c r="P553">
        <v>0.99875720000000001</v>
      </c>
      <c r="Q553">
        <v>1.8420059999999999E-2</v>
      </c>
      <c r="R553">
        <v>-4.6313790000000001E-2</v>
      </c>
      <c r="S553">
        <v>2.979797</v>
      </c>
      <c r="T553">
        <v>-6.1285609999999997E-2</v>
      </c>
      <c r="U553">
        <v>-0.54199219999999904</v>
      </c>
      <c r="V553">
        <v>2.9355820000000001E-2</v>
      </c>
      <c r="W553">
        <v>2.0602019999999999E-2</v>
      </c>
      <c r="X553">
        <v>0.99935669999999999</v>
      </c>
      <c r="Y553">
        <v>0.1621889</v>
      </c>
      <c r="Z553">
        <v>-1.3078720000000001E-3</v>
      </c>
      <c r="AA553">
        <v>0.98675889999999999</v>
      </c>
      <c r="AB553">
        <v>35</v>
      </c>
      <c r="AC553">
        <v>56.1387</v>
      </c>
      <c r="AD553">
        <v>-1.1585099999999999</v>
      </c>
      <c r="AE553">
        <v>-10.2418999999999</v>
      </c>
      <c r="AF553">
        <v>9.2832159666504008</v>
      </c>
      <c r="AG553">
        <v>-1.1585099999999999</v>
      </c>
      <c r="AH553">
        <v>56.281341689408201</v>
      </c>
      <c r="AI553">
        <v>91.163508220646193</v>
      </c>
      <c r="AJ553">
        <v>80.633791634612805</v>
      </c>
      <c r="AK553">
        <v>57.053568393777901</v>
      </c>
      <c r="AL553">
        <v>88.819507698382793</v>
      </c>
      <c r="AM553">
        <v>88.317436540969297</v>
      </c>
      <c r="AN553">
        <v>1.0000000106154201</v>
      </c>
    </row>
    <row r="554" spans="1:40" x14ac:dyDescent="0.25">
      <c r="A554" t="str">
        <f>"20190312154224386"</f>
        <v>20190312154224386</v>
      </c>
      <c r="B554" t="str">
        <f>"1552376544377391"</f>
        <v>1552376544377391</v>
      </c>
      <c r="C554" t="s">
        <v>40</v>
      </c>
      <c r="D554">
        <v>4.8150009999999996</v>
      </c>
      <c r="E554">
        <v>0.55151899999999998</v>
      </c>
      <c r="F554" t="s">
        <v>42</v>
      </c>
      <c r="G554">
        <v>-292.71120000000002</v>
      </c>
      <c r="H554">
        <v>-0.05</v>
      </c>
      <c r="I554">
        <v>358.12479999999999</v>
      </c>
      <c r="J554">
        <v>-347.66219999999998</v>
      </c>
      <c r="K554">
        <v>1.1085969999999901</v>
      </c>
      <c r="L554">
        <v>368.19650000000001</v>
      </c>
      <c r="M554">
        <v>0.99985080000000004</v>
      </c>
      <c r="N554">
        <v>0</v>
      </c>
      <c r="O554">
        <v>-1.7133329999999999E-2</v>
      </c>
      <c r="P554">
        <v>0.99875309999999995</v>
      </c>
      <c r="Q554">
        <v>1.8023040000000001E-2</v>
      </c>
      <c r="R554">
        <v>-4.6558059999999998E-2</v>
      </c>
      <c r="S554">
        <v>2.9796749999999999</v>
      </c>
      <c r="T554">
        <v>-6.249499E-2</v>
      </c>
      <c r="U554">
        <v>-0.54357909999999998</v>
      </c>
      <c r="V554">
        <v>2.9449550000000001E-2</v>
      </c>
      <c r="W554">
        <v>2.0256389999999999E-2</v>
      </c>
      <c r="X554">
        <v>0.99936100000000005</v>
      </c>
      <c r="Y554">
        <v>0.16255459999999999</v>
      </c>
      <c r="Z554">
        <v>-1.3343369999999999E-3</v>
      </c>
      <c r="AA554">
        <v>0.98669859999999998</v>
      </c>
      <c r="AB554">
        <v>35</v>
      </c>
      <c r="AC554">
        <v>54.950999999999901</v>
      </c>
      <c r="AD554">
        <v>-1.1585970000000001</v>
      </c>
      <c r="AE554">
        <v>-10.0717</v>
      </c>
      <c r="AF554">
        <v>9.1248011900299808</v>
      </c>
      <c r="AG554">
        <v>-1.1585970000000001</v>
      </c>
      <c r="AH554">
        <v>55.091801405753401</v>
      </c>
      <c r="AI554">
        <v>91.188581605000394</v>
      </c>
      <c r="AJ554">
        <v>80.595533335847307</v>
      </c>
      <c r="AK554">
        <v>55.854372486824701</v>
      </c>
      <c r="AL554">
        <v>88.839314963240199</v>
      </c>
      <c r="AM554">
        <v>88.3120746568475</v>
      </c>
      <c r="AN554">
        <v>1.0000000028260101</v>
      </c>
    </row>
    <row r="555" spans="1:40" x14ac:dyDescent="0.25">
      <c r="A555" t="str">
        <f>"20190312154224409"</f>
        <v>20190312154224409</v>
      </c>
      <c r="B555" t="str">
        <f>"1552376544397887"</f>
        <v>1552376544397887</v>
      </c>
      <c r="C555" t="s">
        <v>40</v>
      </c>
      <c r="D555">
        <v>4.8076589999999904</v>
      </c>
      <c r="E555">
        <v>0.55181369999999996</v>
      </c>
      <c r="F555" t="s">
        <v>42</v>
      </c>
      <c r="G555">
        <v>-296.93329999999997</v>
      </c>
      <c r="H555">
        <v>-0.05</v>
      </c>
      <c r="I555">
        <v>358.89940000000001</v>
      </c>
      <c r="J555">
        <v>-347.31270000000001</v>
      </c>
      <c r="K555">
        <v>1.1087039999999999</v>
      </c>
      <c r="L555">
        <v>368.19029999999998</v>
      </c>
      <c r="M555">
        <v>0.99984709999999999</v>
      </c>
      <c r="N555">
        <v>0</v>
      </c>
      <c r="O555">
        <v>-1.7328820000000002E-2</v>
      </c>
      <c r="P555">
        <v>0.99874490000000005</v>
      </c>
      <c r="Q555">
        <v>1.7838380000000001E-2</v>
      </c>
      <c r="R555">
        <v>-4.6802900000000001E-2</v>
      </c>
      <c r="S555">
        <v>2.979492</v>
      </c>
      <c r="T555">
        <v>-6.8048600000000001E-2</v>
      </c>
      <c r="U555">
        <v>-0.54605099999999995</v>
      </c>
      <c r="V555">
        <v>2.949918E-2</v>
      </c>
      <c r="W555">
        <v>2.0228260000000001E-2</v>
      </c>
      <c r="X555">
        <v>0.99936009999999997</v>
      </c>
      <c r="Y555">
        <v>0.16315859999999999</v>
      </c>
      <c r="Z555">
        <v>-1.45528E-3</v>
      </c>
      <c r="AA555">
        <v>0.9865988</v>
      </c>
      <c r="AB555">
        <v>35</v>
      </c>
      <c r="AC555">
        <v>50.379399999999997</v>
      </c>
      <c r="AD555">
        <v>-1.158704</v>
      </c>
      <c r="AE555">
        <v>-9.2908999999999597</v>
      </c>
      <c r="AF555">
        <v>8.4121834534368496</v>
      </c>
      <c r="AG555">
        <v>-1.158704</v>
      </c>
      <c r="AH555">
        <v>50.506997593690798</v>
      </c>
      <c r="AI555">
        <v>91.296366295734899</v>
      </c>
      <c r="AJ555">
        <v>80.543913533701797</v>
      </c>
      <c r="AK555">
        <v>51.215859178022001</v>
      </c>
      <c r="AL555">
        <v>88.840927016831301</v>
      </c>
      <c r="AM555">
        <v>88.309230200238702</v>
      </c>
      <c r="AN555">
        <v>0.99999999679765395</v>
      </c>
    </row>
    <row r="556" spans="1:40" x14ac:dyDescent="0.25">
      <c r="A556" t="str">
        <f>"20190312154224431"</f>
        <v>20190312154224431</v>
      </c>
      <c r="B556" t="str">
        <f>"1552376544417403"</f>
        <v>1552376544417403</v>
      </c>
      <c r="C556" t="s">
        <v>40</v>
      </c>
      <c r="D556">
        <v>4.7641169999999997</v>
      </c>
      <c r="E556">
        <v>0.55212869999999903</v>
      </c>
      <c r="F556" t="s">
        <v>42</v>
      </c>
      <c r="G556">
        <v>-298.50020000000001</v>
      </c>
      <c r="H556">
        <v>-0.05</v>
      </c>
      <c r="I556">
        <v>359.19279999999998</v>
      </c>
      <c r="J556">
        <v>-346.96159999999998</v>
      </c>
      <c r="K556">
        <v>1.108795</v>
      </c>
      <c r="L556">
        <v>368.18400000000003</v>
      </c>
      <c r="M556">
        <v>0.99984280000000003</v>
      </c>
      <c r="N556">
        <v>0</v>
      </c>
      <c r="O556">
        <v>-1.753704E-2</v>
      </c>
      <c r="P556">
        <v>0.99872000000000005</v>
      </c>
      <c r="Q556">
        <v>1.7515030000000001E-2</v>
      </c>
      <c r="R556">
        <v>-4.7453389999999998E-2</v>
      </c>
      <c r="S556">
        <v>2.9793090000000002</v>
      </c>
      <c r="T556">
        <v>-7.0722339999999995E-2</v>
      </c>
      <c r="U556">
        <v>-0.54916379999999998</v>
      </c>
      <c r="V556">
        <v>2.994175E-2</v>
      </c>
      <c r="W556">
        <v>2.0121469999999999E-2</v>
      </c>
      <c r="X556">
        <v>0.99934909999999999</v>
      </c>
      <c r="Y556">
        <v>0.16395789999999999</v>
      </c>
      <c r="Z556">
        <v>-1.516905E-3</v>
      </c>
      <c r="AA556">
        <v>0.98646619999999996</v>
      </c>
      <c r="AB556">
        <v>35</v>
      </c>
      <c r="AC556">
        <v>48.461399999999898</v>
      </c>
      <c r="AD556">
        <v>-1.158795</v>
      </c>
      <c r="AE556">
        <v>-8.99120000000004</v>
      </c>
      <c r="AF556">
        <v>8.1354480482711597</v>
      </c>
      <c r="AG556">
        <v>-1.158795</v>
      </c>
      <c r="AH556">
        <v>48.584771953667499</v>
      </c>
      <c r="AI556">
        <v>91.347547841952306</v>
      </c>
      <c r="AJ556">
        <v>80.494097282644006</v>
      </c>
      <c r="AK556">
        <v>49.274825079223</v>
      </c>
      <c r="AL556">
        <v>88.847046885675894</v>
      </c>
      <c r="AM556">
        <v>88.283860114156994</v>
      </c>
      <c r="AN556">
        <v>1.00000000280941</v>
      </c>
    </row>
    <row r="557" spans="1:40" x14ac:dyDescent="0.25">
      <c r="A557" t="str">
        <f>"20190312154224454"</f>
        <v>20190312154224454</v>
      </c>
      <c r="B557" t="str">
        <f>"1552376544447660"</f>
        <v>1552376544447660</v>
      </c>
      <c r="C557" t="s">
        <v>40</v>
      </c>
      <c r="D557">
        <v>4.7545140000000004</v>
      </c>
      <c r="E557">
        <v>0.55222479999999996</v>
      </c>
      <c r="F557" t="s">
        <v>42</v>
      </c>
      <c r="G557">
        <v>-300.14949999999999</v>
      </c>
      <c r="H557">
        <v>-0.05</v>
      </c>
      <c r="I557">
        <v>359.48099999999999</v>
      </c>
      <c r="J557">
        <v>-346.5942</v>
      </c>
      <c r="K557">
        <v>1.108873</v>
      </c>
      <c r="L557">
        <v>368.1773</v>
      </c>
      <c r="M557">
        <v>0.99983820000000001</v>
      </c>
      <c r="N557">
        <v>0</v>
      </c>
      <c r="O557">
        <v>-1.776109E-2</v>
      </c>
      <c r="P557">
        <v>0.99872260000000002</v>
      </c>
      <c r="Q557">
        <v>1.714502E-2</v>
      </c>
      <c r="R557">
        <v>-4.7532770000000002E-2</v>
      </c>
      <c r="S557">
        <v>2.9788209999999999</v>
      </c>
      <c r="T557">
        <v>-7.3738219999999993E-2</v>
      </c>
      <c r="U557">
        <v>-0.55380249999999998</v>
      </c>
      <c r="V557">
        <v>2.9797049999999999E-2</v>
      </c>
      <c r="W557">
        <v>2.000658E-2</v>
      </c>
      <c r="X557">
        <v>0.99935569999999896</v>
      </c>
      <c r="Y557">
        <v>0.1652469</v>
      </c>
      <c r="Z557">
        <v>-1.591931E-3</v>
      </c>
      <c r="AA557">
        <v>0.98625090000000004</v>
      </c>
      <c r="AB557">
        <v>35</v>
      </c>
      <c r="AC557">
        <v>46.444699999999997</v>
      </c>
      <c r="AD557">
        <v>-1.158873</v>
      </c>
      <c r="AE557">
        <v>-8.6963000000000008</v>
      </c>
      <c r="AF557">
        <v>7.8652854291659597</v>
      </c>
      <c r="AG557">
        <v>-1.158873</v>
      </c>
      <c r="AH557">
        <v>46.563822062923798</v>
      </c>
      <c r="AI557">
        <v>91.405768478105998</v>
      </c>
      <c r="AJ557">
        <v>80.412436217579099</v>
      </c>
      <c r="AK557">
        <v>47.237646285775099</v>
      </c>
      <c r="AL557">
        <v>88.853630887002197</v>
      </c>
      <c r="AM557">
        <v>88.292160081121907</v>
      </c>
      <c r="AN557">
        <v>0.99999997127724305</v>
      </c>
    </row>
    <row r="558" spans="1:40" x14ac:dyDescent="0.25">
      <c r="A558" t="str">
        <f>"20190312154224467"</f>
        <v>20190312154224467</v>
      </c>
      <c r="B558" t="str">
        <f>"1552376544458395"</f>
        <v>1552376544458395</v>
      </c>
      <c r="C558" t="s">
        <v>40</v>
      </c>
      <c r="D558">
        <v>4.7700209999999998</v>
      </c>
      <c r="E558">
        <v>0.55234220000000001</v>
      </c>
      <c r="F558" t="s">
        <v>42</v>
      </c>
      <c r="G558">
        <v>-298.68360000000001</v>
      </c>
      <c r="H558">
        <v>-0.05</v>
      </c>
      <c r="I558">
        <v>359.25400000000002</v>
      </c>
      <c r="J558">
        <v>-346.38869999999997</v>
      </c>
      <c r="K558">
        <v>1.1089039999999999</v>
      </c>
      <c r="L558">
        <v>368.17360000000002</v>
      </c>
      <c r="M558">
        <v>0.99983540000000004</v>
      </c>
      <c r="N558">
        <v>0</v>
      </c>
      <c r="O558">
        <v>-1.7888299999999999E-2</v>
      </c>
      <c r="P558">
        <v>0.99871920000000003</v>
      </c>
      <c r="Q558">
        <v>1.7046470000000001E-2</v>
      </c>
      <c r="R558">
        <v>-4.7634900000000001E-2</v>
      </c>
      <c r="S558">
        <v>2.9786990000000002</v>
      </c>
      <c r="T558">
        <v>-7.2049379999999996E-2</v>
      </c>
      <c r="U558">
        <v>-0.55477909999999997</v>
      </c>
      <c r="V558">
        <v>2.9772050000000001E-2</v>
      </c>
      <c r="W558">
        <v>2.0055679999999999E-2</v>
      </c>
      <c r="X558">
        <v>0.99935549999999995</v>
      </c>
      <c r="Y558">
        <v>0.16544320000000001</v>
      </c>
      <c r="Z558">
        <v>-1.55480299999999E-3</v>
      </c>
      <c r="AA558">
        <v>0.98621809999999999</v>
      </c>
      <c r="AB558">
        <v>36</v>
      </c>
      <c r="AC558">
        <v>47.705099999999902</v>
      </c>
      <c r="AD558">
        <v>-1.1589039999999999</v>
      </c>
      <c r="AE558">
        <v>-8.9196000000000009</v>
      </c>
      <c r="AF558">
        <v>8.0602096287099592</v>
      </c>
      <c r="AG558">
        <v>-1.1589039999999999</v>
      </c>
      <c r="AH558">
        <v>47.8297504668149</v>
      </c>
      <c r="AI558">
        <v>91.368701130695001</v>
      </c>
      <c r="AJ558">
        <v>80.434460515203995</v>
      </c>
      <c r="AK558">
        <v>48.517987050760397</v>
      </c>
      <c r="AL558">
        <v>88.850817144453899</v>
      </c>
      <c r="AM558">
        <v>88.293591785762302</v>
      </c>
      <c r="AN558">
        <v>1.00000001032085</v>
      </c>
    </row>
    <row r="559" spans="1:40" x14ac:dyDescent="0.25">
      <c r="A559" t="str">
        <f>"20190312154224479"</f>
        <v>20190312154224479</v>
      </c>
      <c r="B559" t="str">
        <f>"1552376544468156"</f>
        <v>1552376544468156</v>
      </c>
      <c r="C559" t="s">
        <v>40</v>
      </c>
      <c r="D559">
        <v>4.7436179999999997</v>
      </c>
      <c r="E559">
        <v>0.55240210000000001</v>
      </c>
      <c r="F559" t="s">
        <v>42</v>
      </c>
      <c r="G559">
        <v>-298.31060000000002</v>
      </c>
      <c r="H559">
        <v>-0.05</v>
      </c>
      <c r="I559">
        <v>359.19839999999999</v>
      </c>
      <c r="J559">
        <v>-346.18509999999998</v>
      </c>
      <c r="K559">
        <v>1.1089279999999999</v>
      </c>
      <c r="L559">
        <v>368.16980000000001</v>
      </c>
      <c r="M559">
        <v>0.99983290000000002</v>
      </c>
      <c r="N559">
        <v>0</v>
      </c>
      <c r="O559">
        <v>-1.801504E-2</v>
      </c>
      <c r="P559">
        <v>0.99873140000000005</v>
      </c>
      <c r="Q559">
        <v>1.6703320000000001E-2</v>
      </c>
      <c r="R559">
        <v>-4.7504619999999997E-2</v>
      </c>
      <c r="S559">
        <v>2.9785460000000001</v>
      </c>
      <c r="T559">
        <v>-7.1796659999999998E-2</v>
      </c>
      <c r="U559">
        <v>-0.55603029999999998</v>
      </c>
      <c r="V559">
        <v>2.9514840000000001E-2</v>
      </c>
      <c r="W559">
        <v>1.9857360000000001E-2</v>
      </c>
      <c r="X559">
        <v>0.99936709999999995</v>
      </c>
      <c r="Y559">
        <v>0.16572790000000001</v>
      </c>
      <c r="Z559">
        <v>-1.5497460000000001E-3</v>
      </c>
      <c r="AA559">
        <v>0.98617030000000006</v>
      </c>
      <c r="AB559">
        <v>36</v>
      </c>
      <c r="AC559">
        <v>47.874499999999898</v>
      </c>
      <c r="AD559">
        <v>-1.158928</v>
      </c>
      <c r="AE559">
        <v>-8.9714000000000098</v>
      </c>
      <c r="AF559">
        <v>8.1028916065605792</v>
      </c>
      <c r="AG559">
        <v>-1.158928</v>
      </c>
      <c r="AH559">
        <v>48.001176725258802</v>
      </c>
      <c r="AI559">
        <v>91.363778934286003</v>
      </c>
      <c r="AJ559">
        <v>80.418451618594403</v>
      </c>
      <c r="AK559">
        <v>48.694074932237697</v>
      </c>
      <c r="AL559">
        <v>88.8621823183678</v>
      </c>
      <c r="AM559">
        <v>88.308344998119196</v>
      </c>
      <c r="AN559">
        <v>1.0000000205444</v>
      </c>
    </row>
    <row r="560" spans="1:40" x14ac:dyDescent="0.25">
      <c r="A560" t="str">
        <f>"20190312154224511"</f>
        <v>20190312154224511</v>
      </c>
      <c r="B560" t="str">
        <f>"1552376544497993"</f>
        <v>1552376544497993</v>
      </c>
      <c r="C560" t="s">
        <v>40</v>
      </c>
      <c r="D560">
        <v>4.809774</v>
      </c>
      <c r="E560">
        <v>0.55254639999999999</v>
      </c>
      <c r="F560" t="s">
        <v>42</v>
      </c>
      <c r="G560">
        <v>-298.4153</v>
      </c>
      <c r="H560">
        <v>-0.05</v>
      </c>
      <c r="I560">
        <v>359.2552</v>
      </c>
      <c r="J560">
        <v>-345.68799999999999</v>
      </c>
      <c r="K560">
        <v>1.1089639999999901</v>
      </c>
      <c r="L560">
        <v>368.16059999999999</v>
      </c>
      <c r="M560">
        <v>0.99982590000000005</v>
      </c>
      <c r="N560">
        <v>0</v>
      </c>
      <c r="O560">
        <v>-1.8323269999999999E-2</v>
      </c>
      <c r="P560">
        <v>0.9987395</v>
      </c>
      <c r="Q560">
        <v>1.626791E-2</v>
      </c>
      <c r="R560">
        <v>-4.7486170000000001E-2</v>
      </c>
      <c r="S560">
        <v>2.978577</v>
      </c>
      <c r="T560">
        <v>-7.2262290000000007E-2</v>
      </c>
      <c r="U560">
        <v>-0.55584719999999999</v>
      </c>
      <c r="V560">
        <v>2.9188260000000001E-2</v>
      </c>
      <c r="W560">
        <v>1.976582E-2</v>
      </c>
      <c r="X560">
        <v>0.99937849999999995</v>
      </c>
      <c r="Y560">
        <v>0.16536310000000001</v>
      </c>
      <c r="Z560">
        <v>-1.547994E-3</v>
      </c>
      <c r="AA560">
        <v>0.98623159999999999</v>
      </c>
      <c r="AB560">
        <v>36</v>
      </c>
      <c r="AC560">
        <v>47.2727</v>
      </c>
      <c r="AD560">
        <v>-1.1589640000000001</v>
      </c>
      <c r="AE560">
        <v>-8.9053999999999807</v>
      </c>
      <c r="AF560">
        <v>8.0330461897935699</v>
      </c>
      <c r="AG560">
        <v>-1.1589640000000001</v>
      </c>
      <c r="AH560">
        <v>47.400426427119797</v>
      </c>
      <c r="AI560">
        <v>91.380948457541706</v>
      </c>
      <c r="AJ560">
        <v>80.381358368853697</v>
      </c>
      <c r="AK560">
        <v>48.090263610355201</v>
      </c>
      <c r="AL560">
        <v>88.867428196349394</v>
      </c>
      <c r="AM560">
        <v>88.327071439282307</v>
      </c>
      <c r="AN560">
        <v>1.0000000142121701</v>
      </c>
    </row>
    <row r="561" spans="1:40" x14ac:dyDescent="0.25">
      <c r="A561" t="str">
        <f>"20190312154224532"</f>
        <v>20190312154224532</v>
      </c>
      <c r="B561" t="str">
        <f>"1552376544528250"</f>
        <v>1552376544528250</v>
      </c>
      <c r="C561" t="s">
        <v>40</v>
      </c>
      <c r="D561">
        <v>4.8946969999999999</v>
      </c>
      <c r="E561">
        <v>0.5529134</v>
      </c>
      <c r="F561" t="s">
        <v>42</v>
      </c>
      <c r="G561">
        <v>-298.05959999999999</v>
      </c>
      <c r="H561">
        <v>-0.05</v>
      </c>
      <c r="I561">
        <v>359.24770000000001</v>
      </c>
      <c r="J561">
        <v>-345.351</v>
      </c>
      <c r="K561">
        <v>1.1089770000000001</v>
      </c>
      <c r="L561">
        <v>368.15429999999998</v>
      </c>
      <c r="M561">
        <v>0.99982139999999997</v>
      </c>
      <c r="N561">
        <v>0</v>
      </c>
      <c r="O561">
        <v>-1.8531860000000001E-2</v>
      </c>
      <c r="P561">
        <v>0.99874779999999996</v>
      </c>
      <c r="Q561">
        <v>1.610516E-2</v>
      </c>
      <c r="R561">
        <v>-4.7367119999999999E-2</v>
      </c>
      <c r="S561">
        <v>2.978485</v>
      </c>
      <c r="T561">
        <v>-7.2476860000000004E-2</v>
      </c>
      <c r="U561">
        <v>-0.55737300000000001</v>
      </c>
      <c r="V561">
        <v>2.886058E-2</v>
      </c>
      <c r="W561">
        <v>1.9819690000000001E-2</v>
      </c>
      <c r="X561">
        <v>0.99938689999999997</v>
      </c>
      <c r="Y561">
        <v>0.16565070000000001</v>
      </c>
      <c r="Z561">
        <v>-1.551006E-3</v>
      </c>
      <c r="AA561">
        <v>0.98618329999999998</v>
      </c>
      <c r="AB561">
        <v>36</v>
      </c>
      <c r="AC561">
        <v>47.291400000000003</v>
      </c>
      <c r="AD561">
        <v>-1.1589769999999999</v>
      </c>
      <c r="AE561">
        <v>-8.9065999999999601</v>
      </c>
      <c r="AF561">
        <v>8.0240126874977804</v>
      </c>
      <c r="AG561">
        <v>-1.1589769999999999</v>
      </c>
      <c r="AH561">
        <v>47.420830212623102</v>
      </c>
      <c r="AI561">
        <v>91.380429818976594</v>
      </c>
      <c r="AJ561">
        <v>80.396030222641798</v>
      </c>
      <c r="AK561">
        <v>48.108867637370999</v>
      </c>
      <c r="AL561">
        <v>88.864341011577906</v>
      </c>
      <c r="AM561">
        <v>88.345855859312294</v>
      </c>
      <c r="AN561">
        <v>0.99999996454062001</v>
      </c>
    </row>
    <row r="562" spans="1:40" x14ac:dyDescent="0.25">
      <c r="A562" t="str">
        <f>"20190312154224554"</f>
        <v>20190312154224554</v>
      </c>
      <c r="B562" t="str">
        <f>"1552376544547775"</f>
        <v>1552376544547775</v>
      </c>
      <c r="C562" t="s">
        <v>40</v>
      </c>
      <c r="D562">
        <v>4.5920170000000002</v>
      </c>
      <c r="E562">
        <v>0.56151289999999998</v>
      </c>
      <c r="F562" t="s">
        <v>42</v>
      </c>
      <c r="G562">
        <v>-299.75760000000002</v>
      </c>
      <c r="H562">
        <v>-0.05</v>
      </c>
      <c r="I562">
        <v>359.58580000000001</v>
      </c>
      <c r="J562">
        <v>-344.98559999999998</v>
      </c>
      <c r="K562">
        <v>1.1089880000000001</v>
      </c>
      <c r="L562">
        <v>368.14729999999997</v>
      </c>
      <c r="M562">
        <v>0.99981640000000005</v>
      </c>
      <c r="N562">
        <v>0</v>
      </c>
      <c r="O562">
        <v>-1.8757179999999998E-2</v>
      </c>
      <c r="P562">
        <v>0.99872950000000005</v>
      </c>
      <c r="Q562">
        <v>1.600097E-2</v>
      </c>
      <c r="R562">
        <v>-4.7790239999999998E-2</v>
      </c>
      <c r="S562">
        <v>2.9784549999999999</v>
      </c>
      <c r="T562">
        <v>-7.5711970000000003E-2</v>
      </c>
      <c r="U562">
        <v>-0.55975339999999996</v>
      </c>
      <c r="V562">
        <v>2.905891E-2</v>
      </c>
      <c r="W562">
        <v>1.9932680000000001E-2</v>
      </c>
      <c r="X562">
        <v>0.99937889999999996</v>
      </c>
      <c r="Y562">
        <v>0.16618769999999999</v>
      </c>
      <c r="Z562">
        <v>-1.6212069999999999E-3</v>
      </c>
      <c r="AA562">
        <v>0.98609279999999999</v>
      </c>
      <c r="AB562">
        <v>36</v>
      </c>
      <c r="AC562">
        <v>45.227999999999902</v>
      </c>
      <c r="AD562">
        <v>-1.1589879999999999</v>
      </c>
      <c r="AE562">
        <v>-8.5614999999999597</v>
      </c>
      <c r="AF562">
        <v>7.7067518225946001</v>
      </c>
      <c r="AG562">
        <v>-1.1589879999999999</v>
      </c>
      <c r="AH562">
        <v>45.3518829678004</v>
      </c>
      <c r="AI562">
        <v>91.443220384045105</v>
      </c>
      <c r="AJ562">
        <v>80.355722192556001</v>
      </c>
      <c r="AK562">
        <v>46.016633574874596</v>
      </c>
      <c r="AL562">
        <v>88.857865875576906</v>
      </c>
      <c r="AM562">
        <v>88.334481631074993</v>
      </c>
      <c r="AN562">
        <v>0.99999995887378901</v>
      </c>
    </row>
    <row r="563" spans="1:40" x14ac:dyDescent="0.25">
      <c r="A563" t="str">
        <f>"20190312154224577"</f>
        <v>20190312154224577</v>
      </c>
      <c r="B563" t="str">
        <f>"1552376544568265"</f>
        <v>1552376544568265</v>
      </c>
      <c r="C563" t="s">
        <v>40</v>
      </c>
      <c r="D563">
        <v>4.7256790000000004</v>
      </c>
      <c r="E563">
        <v>0.56041940000000001</v>
      </c>
      <c r="F563" t="s">
        <v>43</v>
      </c>
      <c r="G563">
        <v>-322.59589999999997</v>
      </c>
      <c r="H563" s="1">
        <v>-4.2559030000000001E-6</v>
      </c>
      <c r="I563">
        <v>363.43049999999999</v>
      </c>
      <c r="J563">
        <v>-344.62040000000002</v>
      </c>
      <c r="K563">
        <v>1.1089899999999999</v>
      </c>
      <c r="L563">
        <v>368.14019999999999</v>
      </c>
      <c r="M563">
        <v>0.99981120000000001</v>
      </c>
      <c r="N563">
        <v>0</v>
      </c>
      <c r="O563">
        <v>-1.8982590000000001E-2</v>
      </c>
      <c r="P563">
        <v>0.99871379999999998</v>
      </c>
      <c r="Q563">
        <v>1.5873580000000002E-2</v>
      </c>
      <c r="R563">
        <v>-4.8154700000000002E-2</v>
      </c>
      <c r="S563">
        <v>2.9761959999999998</v>
      </c>
      <c r="T563">
        <v>-0.14741470000000001</v>
      </c>
      <c r="U563">
        <v>-0.62698359999999997</v>
      </c>
      <c r="V563">
        <v>2.9198760000000001E-2</v>
      </c>
      <c r="W563">
        <v>2.000277E-2</v>
      </c>
      <c r="X563">
        <v>0.99937339999999997</v>
      </c>
      <c r="Y563">
        <v>0.1873319</v>
      </c>
      <c r="Z563">
        <v>-3.6573259999999998E-3</v>
      </c>
      <c r="AA563">
        <v>0.98228990000000005</v>
      </c>
      <c r="AB563">
        <v>36</v>
      </c>
      <c r="AC563">
        <v>22.0245</v>
      </c>
      <c r="AD563">
        <v>-1.1089942559029999</v>
      </c>
      <c r="AE563">
        <v>-4.70969999999999</v>
      </c>
      <c r="AF563">
        <v>4.2803877698997601</v>
      </c>
      <c r="AG563">
        <v>-1.1089942559029999</v>
      </c>
      <c r="AH563">
        <v>22.056457900062</v>
      </c>
      <c r="AI563">
        <v>92.825765000741299</v>
      </c>
      <c r="AJ563">
        <v>79.017405993352199</v>
      </c>
      <c r="AK563">
        <v>22.495308906915302</v>
      </c>
      <c r="AL563">
        <v>88.853849186621602</v>
      </c>
      <c r="AM563">
        <v>88.326461437213396</v>
      </c>
      <c r="AN563">
        <v>0.99999993551038302</v>
      </c>
    </row>
    <row r="564" spans="1:40" x14ac:dyDescent="0.25">
      <c r="A564" t="str">
        <f>"20190312154224598"</f>
        <v>20190312154224598</v>
      </c>
      <c r="B564" t="str">
        <f>"1552376544587789"</f>
        <v>1552376544587789</v>
      </c>
      <c r="C564" t="s">
        <v>40</v>
      </c>
      <c r="D564">
        <v>4.7075690000000003</v>
      </c>
      <c r="E564">
        <v>0.56077959999999905</v>
      </c>
      <c r="F564" t="s">
        <v>43</v>
      </c>
      <c r="G564">
        <v>-321.74149999999997</v>
      </c>
      <c r="H564" s="1">
        <v>-4.6320220000000001E-6</v>
      </c>
      <c r="I564">
        <v>363.3766</v>
      </c>
      <c r="J564">
        <v>-344.27379999999999</v>
      </c>
      <c r="K564">
        <v>1.108986</v>
      </c>
      <c r="L564">
        <v>368.13350000000003</v>
      </c>
      <c r="M564">
        <v>0.99980639999999998</v>
      </c>
      <c r="N564">
        <v>0</v>
      </c>
      <c r="O564">
        <v>-1.9196390000000001E-2</v>
      </c>
      <c r="P564">
        <v>0.99869989999999997</v>
      </c>
      <c r="Q564">
        <v>1.5803009999999999E-2</v>
      </c>
      <c r="R564">
        <v>-4.8463010000000001E-2</v>
      </c>
      <c r="S564">
        <v>2.976318</v>
      </c>
      <c r="T564">
        <v>-0.14426889999999901</v>
      </c>
      <c r="U564">
        <v>-0.61968990000000002</v>
      </c>
      <c r="V564">
        <v>2.92935E-2</v>
      </c>
      <c r="W564">
        <v>2.010288E-2</v>
      </c>
      <c r="X564">
        <v>0.9993687</v>
      </c>
      <c r="Y564">
        <v>0.18481829999999999</v>
      </c>
      <c r="Z564">
        <v>-3.5096329999999999E-3</v>
      </c>
      <c r="AA564">
        <v>0.98276640000000004</v>
      </c>
      <c r="AB564">
        <v>36</v>
      </c>
      <c r="AC564">
        <v>22.532299999999999</v>
      </c>
      <c r="AD564">
        <v>-1.108990632022</v>
      </c>
      <c r="AE564">
        <v>-4.7569000000000301</v>
      </c>
      <c r="AF564">
        <v>4.3134774790585304</v>
      </c>
      <c r="AG564">
        <v>-1.108990632022</v>
      </c>
      <c r="AH564">
        <v>22.567130131730799</v>
      </c>
      <c r="AI564">
        <v>92.763410323627099</v>
      </c>
      <c r="AJ564">
        <v>79.179013963853706</v>
      </c>
      <c r="AK564">
        <v>23.002419667650798</v>
      </c>
      <c r="AL564">
        <v>88.8481122457422</v>
      </c>
      <c r="AM564">
        <v>88.321026587714798</v>
      </c>
      <c r="AN564">
        <v>1.00000001673311</v>
      </c>
    </row>
    <row r="565" spans="1:40" x14ac:dyDescent="0.25">
      <c r="A565" t="str">
        <f>"20190312154224621"</f>
        <v>20190312154224621</v>
      </c>
      <c r="B565" t="str">
        <f>"1552376544608282"</f>
        <v>1552376544608282</v>
      </c>
      <c r="C565" t="s">
        <v>40</v>
      </c>
      <c r="D565">
        <v>4.6858069999999996</v>
      </c>
      <c r="E565">
        <v>0.56104929999999997</v>
      </c>
      <c r="F565" t="s">
        <v>43</v>
      </c>
      <c r="G565">
        <v>-320.66340000000002</v>
      </c>
      <c r="H565" s="1">
        <v>-5.1284209999999998E-6</v>
      </c>
      <c r="I565">
        <v>363.18560000000002</v>
      </c>
      <c r="J565">
        <v>-343.8963</v>
      </c>
      <c r="K565">
        <v>1.108975</v>
      </c>
      <c r="L565">
        <v>368.12599999999998</v>
      </c>
      <c r="M565">
        <v>0.99980119999999895</v>
      </c>
      <c r="N565">
        <v>0</v>
      </c>
      <c r="O565">
        <v>-1.9429149999999999E-2</v>
      </c>
      <c r="P565">
        <v>0.99866770000000005</v>
      </c>
      <c r="Q565">
        <v>1.5699919999999999E-2</v>
      </c>
      <c r="R565">
        <v>-4.9161110000000001E-2</v>
      </c>
      <c r="S565">
        <v>2.9758909999999998</v>
      </c>
      <c r="T565">
        <v>-0.13977800000000001</v>
      </c>
      <c r="U565">
        <v>-0.62362669999999998</v>
      </c>
      <c r="V565">
        <v>2.9759420000000002E-2</v>
      </c>
      <c r="W565">
        <v>2.0167239999999999E-2</v>
      </c>
      <c r="X565">
        <v>0.99935359999999995</v>
      </c>
      <c r="Y565">
        <v>0.18587390000000001</v>
      </c>
      <c r="Z565">
        <v>-3.4142399999999998E-3</v>
      </c>
      <c r="AA565">
        <v>0.98256770000000004</v>
      </c>
      <c r="AB565">
        <v>36</v>
      </c>
      <c r="AC565">
        <v>23.232899999999901</v>
      </c>
      <c r="AD565">
        <v>-1.1089801284209999</v>
      </c>
      <c r="AE565">
        <v>-4.9403999999999497</v>
      </c>
      <c r="AF565">
        <v>4.4783051949283097</v>
      </c>
      <c r="AG565">
        <v>-1.1089801284209999</v>
      </c>
      <c r="AH565">
        <v>23.273768983478401</v>
      </c>
      <c r="AI565">
        <v>92.678973618289803</v>
      </c>
      <c r="AJ565">
        <v>79.108347169794996</v>
      </c>
      <c r="AK565">
        <v>23.7266385533324</v>
      </c>
      <c r="AL565">
        <v>88.8444238983692</v>
      </c>
      <c r="AM565">
        <v>88.294312015345099</v>
      </c>
      <c r="AN565">
        <v>0.99999997924045603</v>
      </c>
    </row>
    <row r="566" spans="1:40" x14ac:dyDescent="0.25">
      <c r="A566" t="str">
        <f>"20190312154224644"</f>
        <v>20190312154224644</v>
      </c>
      <c r="B566" t="str">
        <f>"1552376544627805"</f>
        <v>1552376544627805</v>
      </c>
      <c r="C566" t="s">
        <v>40</v>
      </c>
      <c r="D566">
        <v>4.6722659999999996</v>
      </c>
      <c r="E566">
        <v>0.56141439999999998</v>
      </c>
      <c r="F566" t="s">
        <v>42</v>
      </c>
      <c r="G566">
        <v>-316.42860000000002</v>
      </c>
      <c r="H566">
        <v>-0.05</v>
      </c>
      <c r="I566">
        <v>362.32580000000002</v>
      </c>
      <c r="J566">
        <v>-343.52519999999998</v>
      </c>
      <c r="K566">
        <v>1.108962</v>
      </c>
      <c r="L566">
        <v>368.11860000000001</v>
      </c>
      <c r="M566">
        <v>0.99979600000000002</v>
      </c>
      <c r="N566">
        <v>0</v>
      </c>
      <c r="O566">
        <v>-1.9658419999999999E-2</v>
      </c>
      <c r="P566">
        <v>0.998668</v>
      </c>
      <c r="Q566">
        <v>1.516023E-2</v>
      </c>
      <c r="R566">
        <v>-4.9322009999999999E-2</v>
      </c>
      <c r="S566">
        <v>2.975098</v>
      </c>
      <c r="T566">
        <v>-0.1255317</v>
      </c>
      <c r="U566">
        <v>-0.62823490000000004</v>
      </c>
      <c r="V566">
        <v>2.969113E-2</v>
      </c>
      <c r="W566">
        <v>1.9775359999999999E-2</v>
      </c>
      <c r="X566">
        <v>0.99936349999999996</v>
      </c>
      <c r="Y566">
        <v>0.18719140000000001</v>
      </c>
      <c r="Z566">
        <v>-3.084818E-3</v>
      </c>
      <c r="AA566">
        <v>0.98231860000000004</v>
      </c>
      <c r="AB566">
        <v>36</v>
      </c>
      <c r="AC566">
        <v>27.096599999999899</v>
      </c>
      <c r="AD566">
        <v>-1.158962</v>
      </c>
      <c r="AE566">
        <v>-5.7927999999999997</v>
      </c>
      <c r="AF566">
        <v>5.2498142111289603</v>
      </c>
      <c r="AG566">
        <v>-1.158962</v>
      </c>
      <c r="AH566">
        <v>27.157731153996199</v>
      </c>
      <c r="AI566">
        <v>92.399263515892301</v>
      </c>
      <c r="AJ566">
        <v>79.059198503818195</v>
      </c>
      <c r="AK566">
        <v>27.6847630223116</v>
      </c>
      <c r="AL566">
        <v>88.866881490466298</v>
      </c>
      <c r="AM566">
        <v>88.298240662445295</v>
      </c>
      <c r="AN566">
        <v>1.0000000165980201</v>
      </c>
    </row>
    <row r="567" spans="1:40" x14ac:dyDescent="0.25">
      <c r="A567" t="str">
        <f>"20190312154224666"</f>
        <v>20190312154224666</v>
      </c>
      <c r="B567" t="str">
        <f>"1552376544658061"</f>
        <v>1552376544658061</v>
      </c>
      <c r="C567" t="s">
        <v>40</v>
      </c>
      <c r="D567">
        <v>4.675986</v>
      </c>
      <c r="E567">
        <v>0.56144649999999996</v>
      </c>
      <c r="F567" t="s">
        <v>42</v>
      </c>
      <c r="G567">
        <v>-317.47559999999999</v>
      </c>
      <c r="H567">
        <v>-0.05</v>
      </c>
      <c r="I567">
        <v>362.58659999999998</v>
      </c>
      <c r="J567">
        <v>-343.15589999999997</v>
      </c>
      <c r="K567">
        <v>1.108946</v>
      </c>
      <c r="L567">
        <v>368.1112</v>
      </c>
      <c r="M567">
        <v>0.99979099999999999</v>
      </c>
      <c r="N567">
        <v>0</v>
      </c>
      <c r="O567">
        <v>-1.98867E-2</v>
      </c>
      <c r="P567">
        <v>0.99864739999999996</v>
      </c>
      <c r="Q567">
        <v>1.5066390000000001E-2</v>
      </c>
      <c r="R567">
        <v>-4.9762559999999997E-2</v>
      </c>
      <c r="S567">
        <v>2.9748230000000002</v>
      </c>
      <c r="T567">
        <v>-0.13235160000000001</v>
      </c>
      <c r="U567">
        <v>-0.63174439999999998</v>
      </c>
      <c r="V567">
        <v>2.9904090000000001E-2</v>
      </c>
      <c r="W567">
        <v>1.9813020000000001E-2</v>
      </c>
      <c r="X567">
        <v>0.99935640000000003</v>
      </c>
      <c r="Y567">
        <v>0.188078</v>
      </c>
      <c r="Z567">
        <v>-3.2616279999999999E-3</v>
      </c>
      <c r="AA567">
        <v>0.98214869999999999</v>
      </c>
      <c r="AB567">
        <v>37</v>
      </c>
      <c r="AC567">
        <v>25.6802999999999</v>
      </c>
      <c r="AD567">
        <v>-1.15894599999999</v>
      </c>
      <c r="AE567">
        <v>-5.5246000000000199</v>
      </c>
      <c r="AF567">
        <v>5.00306627350301</v>
      </c>
      <c r="AG567">
        <v>-1.15894599999999</v>
      </c>
      <c r="AH567">
        <v>25.734992771040801</v>
      </c>
      <c r="AI567">
        <v>92.531182841467398</v>
      </c>
      <c r="AJ567">
        <v>78.998518830331605</v>
      </c>
      <c r="AK567">
        <v>26.2424023460791</v>
      </c>
      <c r="AL567">
        <v>88.864723303714797</v>
      </c>
      <c r="AM567">
        <v>88.286029857216406</v>
      </c>
      <c r="AN567">
        <v>1.0000000122906001</v>
      </c>
    </row>
    <row r="568" spans="1:40" x14ac:dyDescent="0.25">
      <c r="A568" t="str">
        <f>"20190312154224689"</f>
        <v>20190312154224689</v>
      </c>
      <c r="B568" t="str">
        <f>"1552376544678553"</f>
        <v>1552376544678553</v>
      </c>
      <c r="C568" t="s">
        <v>40</v>
      </c>
      <c r="D568">
        <v>4.6728399999999999</v>
      </c>
      <c r="E568">
        <v>0.5616428</v>
      </c>
      <c r="F568" t="s">
        <v>42</v>
      </c>
      <c r="G568">
        <v>-316.08449999999999</v>
      </c>
      <c r="H568">
        <v>-0.05</v>
      </c>
      <c r="I568">
        <v>362.34809999999999</v>
      </c>
      <c r="J568">
        <v>-342.78089999999997</v>
      </c>
      <c r="K568">
        <v>1.1089329999999999</v>
      </c>
      <c r="L568">
        <v>368.1035</v>
      </c>
      <c r="M568">
        <v>0.99978579999999995</v>
      </c>
      <c r="N568">
        <v>0</v>
      </c>
      <c r="O568">
        <v>-2.0117579999999999E-2</v>
      </c>
      <c r="P568">
        <v>0.9986294</v>
      </c>
      <c r="Q568">
        <v>1.4395730000000001E-2</v>
      </c>
      <c r="R568">
        <v>-5.0324309999999997E-2</v>
      </c>
      <c r="S568">
        <v>2.9744259999999998</v>
      </c>
      <c r="T568">
        <v>-0.1273377</v>
      </c>
      <c r="U568">
        <v>-0.63320919999999903</v>
      </c>
      <c r="V568">
        <v>3.0234819999999999E-2</v>
      </c>
      <c r="W568">
        <v>1.926143E-2</v>
      </c>
      <c r="X568">
        <v>0.99935719999999995</v>
      </c>
      <c r="Y568">
        <v>0.1883523</v>
      </c>
      <c r="Z568">
        <v>-3.1344739999999999E-3</v>
      </c>
      <c r="AA568">
        <v>0.98209659999999999</v>
      </c>
      <c r="AB568">
        <v>37</v>
      </c>
      <c r="AC568">
        <v>26.696399999999901</v>
      </c>
      <c r="AD568">
        <v>-1.158933</v>
      </c>
      <c r="AE568">
        <v>-5.7553999999999998</v>
      </c>
      <c r="AF568">
        <v>5.2077833737742303</v>
      </c>
      <c r="AG568">
        <v>-1.158933</v>
      </c>
      <c r="AH568">
        <v>26.758594545226401</v>
      </c>
      <c r="AI568">
        <v>92.434351097596206</v>
      </c>
      <c r="AJ568">
        <v>78.986714293778903</v>
      </c>
      <c r="AK568">
        <v>27.285280196517402</v>
      </c>
      <c r="AL568">
        <v>88.896333080585293</v>
      </c>
      <c r="AM568">
        <v>88.267086758043902</v>
      </c>
      <c r="AN568">
        <v>0.99999998010895796</v>
      </c>
    </row>
    <row r="569" spans="1:40" x14ac:dyDescent="0.25">
      <c r="A569" t="str">
        <f>"20190312154224711"</f>
        <v>20190312154224711</v>
      </c>
      <c r="B569" t="str">
        <f>"1552376544698073"</f>
        <v>1552376544698073</v>
      </c>
      <c r="C569" t="s">
        <v>40</v>
      </c>
      <c r="D569">
        <v>4.7019919999999997</v>
      </c>
      <c r="E569">
        <v>0.56186919999999996</v>
      </c>
      <c r="F569" t="s">
        <v>42</v>
      </c>
      <c r="G569">
        <v>-314.88049999999998</v>
      </c>
      <c r="H569">
        <v>-0.05</v>
      </c>
      <c r="I569">
        <v>362.13040000000001</v>
      </c>
      <c r="J569">
        <v>-342.41730000000001</v>
      </c>
      <c r="K569">
        <v>1.108922</v>
      </c>
      <c r="L569">
        <v>368.09609999999998</v>
      </c>
      <c r="M569">
        <v>0.99978069999999997</v>
      </c>
      <c r="N569">
        <v>0</v>
      </c>
      <c r="O569">
        <v>-2.0341379999999999E-2</v>
      </c>
      <c r="P569">
        <v>0.99862620000000002</v>
      </c>
      <c r="Q569">
        <v>1.4151520000000001E-2</v>
      </c>
      <c r="R569">
        <v>-5.0449859999999999E-2</v>
      </c>
      <c r="S569">
        <v>2.9738159999999998</v>
      </c>
      <c r="T569">
        <v>-0.1235272</v>
      </c>
      <c r="U569">
        <v>-0.63665769999999899</v>
      </c>
      <c r="V569">
        <v>3.013673E-2</v>
      </c>
      <c r="W569">
        <v>1.9119830000000001E-2</v>
      </c>
      <c r="X569">
        <v>0.99936290000000005</v>
      </c>
      <c r="Y569">
        <v>0.18927069999999999</v>
      </c>
      <c r="Z569">
        <v>-3.0506790000000002E-3</v>
      </c>
      <c r="AA569">
        <v>0.98192020000000002</v>
      </c>
      <c r="AB569">
        <v>37</v>
      </c>
      <c r="AC569">
        <v>27.536799999999999</v>
      </c>
      <c r="AD569">
        <v>-1.158922</v>
      </c>
      <c r="AE569">
        <v>-5.9656999999999698</v>
      </c>
      <c r="AF569">
        <v>5.3951943113585203</v>
      </c>
      <c r="AG569">
        <v>-1.158922</v>
      </c>
      <c r="AH569">
        <v>27.605749587623201</v>
      </c>
      <c r="AI569">
        <v>92.359348535899102</v>
      </c>
      <c r="AJ569">
        <v>78.941653075245895</v>
      </c>
      <c r="AK569">
        <v>28.151885055071499</v>
      </c>
      <c r="AL569">
        <v>88.904447677251795</v>
      </c>
      <c r="AM569">
        <v>88.272715235712695</v>
      </c>
      <c r="AN569">
        <v>0.999999998145365</v>
      </c>
    </row>
    <row r="570" spans="1:40" x14ac:dyDescent="0.25">
      <c r="A570" t="str">
        <f>"20190312154224734"</f>
        <v>20190312154224734</v>
      </c>
      <c r="B570" t="str">
        <f>"1552376544728330"</f>
        <v>1552376544728330</v>
      </c>
      <c r="C570" t="s">
        <v>40</v>
      </c>
      <c r="D570">
        <v>4.6917439999999999</v>
      </c>
      <c r="E570">
        <v>0.56215230000000005</v>
      </c>
      <c r="F570" t="s">
        <v>42</v>
      </c>
      <c r="G570">
        <v>-314.34129999999999</v>
      </c>
      <c r="H570">
        <v>-0.05</v>
      </c>
      <c r="I570">
        <v>362.06389999999999</v>
      </c>
      <c r="J570">
        <v>-342.04919999999998</v>
      </c>
      <c r="K570">
        <v>1.108911</v>
      </c>
      <c r="L570">
        <v>368.08839999999998</v>
      </c>
      <c r="M570">
        <v>0.99977550000000004</v>
      </c>
      <c r="N570">
        <v>0</v>
      </c>
      <c r="O570">
        <v>-2.056755E-2</v>
      </c>
      <c r="P570">
        <v>0.99861259999999996</v>
      </c>
      <c r="Q570">
        <v>1.3960800000000001E-2</v>
      </c>
      <c r="R570">
        <v>-5.0772949999999997E-2</v>
      </c>
      <c r="S570">
        <v>2.973633</v>
      </c>
      <c r="T570">
        <v>-0.1227456</v>
      </c>
      <c r="U570">
        <v>-0.6388855</v>
      </c>
      <c r="V570">
        <v>3.0233980000000001E-2</v>
      </c>
      <c r="W570">
        <v>1.902305E-2</v>
      </c>
      <c r="X570">
        <v>0.99936179999999997</v>
      </c>
      <c r="Y570">
        <v>0.18976580000000001</v>
      </c>
      <c r="Z570">
        <v>-3.0322249999999999E-3</v>
      </c>
      <c r="AA570">
        <v>0.98182469999999999</v>
      </c>
      <c r="AB570">
        <v>37</v>
      </c>
      <c r="AC570">
        <v>27.707899999999899</v>
      </c>
      <c r="AD570">
        <v>-1.158911</v>
      </c>
      <c r="AE570">
        <v>-6.0244999999999802</v>
      </c>
      <c r="AF570">
        <v>5.4442402702584696</v>
      </c>
      <c r="AG570">
        <v>-1.158911</v>
      </c>
      <c r="AH570">
        <v>27.779545294402698</v>
      </c>
      <c r="AI570">
        <v>92.344342547506898</v>
      </c>
      <c r="AJ570">
        <v>78.911698092759906</v>
      </c>
      <c r="AK570">
        <v>28.331713036630799</v>
      </c>
      <c r="AL570">
        <v>88.909993761145699</v>
      </c>
      <c r="AM570">
        <v>88.2671428448228</v>
      </c>
      <c r="AN570">
        <v>0.99999998863859096</v>
      </c>
    </row>
    <row r="571" spans="1:40" x14ac:dyDescent="0.25">
      <c r="A571" t="str">
        <f>"20190312154224755"</f>
        <v>20190312154224755</v>
      </c>
      <c r="B571" t="str">
        <f>"1552376544747849"</f>
        <v>1552376544747849</v>
      </c>
      <c r="C571" t="s">
        <v>40</v>
      </c>
      <c r="D571">
        <v>4.6780119999999998</v>
      </c>
      <c r="E571">
        <v>0.56257669999999904</v>
      </c>
      <c r="F571" t="s">
        <v>42</v>
      </c>
      <c r="G571">
        <v>-314.35860000000002</v>
      </c>
      <c r="H571">
        <v>-0.05</v>
      </c>
      <c r="I571">
        <v>362.11040000000003</v>
      </c>
      <c r="J571">
        <v>-341.6789</v>
      </c>
      <c r="K571">
        <v>1.108911</v>
      </c>
      <c r="L571">
        <v>368.08049999999997</v>
      </c>
      <c r="M571">
        <v>0.99977059999999995</v>
      </c>
      <c r="N571">
        <v>0</v>
      </c>
      <c r="O571">
        <v>-2.0791899999999999E-2</v>
      </c>
      <c r="P571">
        <v>0.99861429999999995</v>
      </c>
      <c r="Q571">
        <v>1.396562E-2</v>
      </c>
      <c r="R571">
        <v>-5.0743499999999997E-2</v>
      </c>
      <c r="S571">
        <v>2.9732669999999999</v>
      </c>
      <c r="T571">
        <v>-0.1244377</v>
      </c>
      <c r="U571">
        <v>-0.64187620000000001</v>
      </c>
      <c r="V571">
        <v>2.9980139999999999E-2</v>
      </c>
      <c r="W571">
        <v>1.9112199999999999E-2</v>
      </c>
      <c r="X571">
        <v>0.99936780000000003</v>
      </c>
      <c r="Y571">
        <v>0.19050980000000001</v>
      </c>
      <c r="Z571">
        <v>-3.0801579999999999E-3</v>
      </c>
      <c r="AA571">
        <v>0.98168049999999996</v>
      </c>
      <c r="AB571">
        <v>37</v>
      </c>
      <c r="AC571">
        <v>27.3202999999999</v>
      </c>
      <c r="AD571">
        <v>-1.158911</v>
      </c>
      <c r="AE571">
        <v>-5.97009999999994</v>
      </c>
      <c r="AF571">
        <v>5.3915015746861297</v>
      </c>
      <c r="AG571">
        <v>-1.158911</v>
      </c>
      <c r="AH571">
        <v>27.391483191395501</v>
      </c>
      <c r="AI571">
        <v>92.377135385853293</v>
      </c>
      <c r="AJ571">
        <v>78.864743087471993</v>
      </c>
      <c r="AK571">
        <v>27.941093667934101</v>
      </c>
      <c r="AL571">
        <v>88.904884972340597</v>
      </c>
      <c r="AM571">
        <v>88.281693207088196</v>
      </c>
      <c r="AN571">
        <v>1.0000000423300399</v>
      </c>
    </row>
    <row r="572" spans="1:40" x14ac:dyDescent="0.25">
      <c r="A572" t="str">
        <f>"20190312154224778"</f>
        <v>20190312154224778</v>
      </c>
      <c r="B572" t="str">
        <f>"1552376544768346"</f>
        <v>1552376544768346</v>
      </c>
      <c r="C572" t="s">
        <v>40</v>
      </c>
      <c r="D572">
        <v>4.6974790000000004</v>
      </c>
      <c r="E572">
        <v>0.56282140000000003</v>
      </c>
      <c r="F572" t="s">
        <v>42</v>
      </c>
      <c r="G572">
        <v>-314.4495</v>
      </c>
      <c r="H572">
        <v>-0.05</v>
      </c>
      <c r="I572">
        <v>362.17200000000003</v>
      </c>
      <c r="J572">
        <v>-341.30079999999998</v>
      </c>
      <c r="K572">
        <v>1.1089089999999999</v>
      </c>
      <c r="L572">
        <v>368.07240000000002</v>
      </c>
      <c r="M572">
        <v>0.99976549999999997</v>
      </c>
      <c r="N572">
        <v>0</v>
      </c>
      <c r="O572">
        <v>-2.10149E-2</v>
      </c>
      <c r="P572">
        <v>0.998614</v>
      </c>
      <c r="Q572">
        <v>1.3729959999999999E-2</v>
      </c>
      <c r="R572">
        <v>-5.0810620000000001E-2</v>
      </c>
      <c r="S572">
        <v>2.9731450000000001</v>
      </c>
      <c r="T572">
        <v>-0.12653980000000001</v>
      </c>
      <c r="U572">
        <v>-0.64514159999999998</v>
      </c>
      <c r="V572">
        <v>2.9824259999999998E-2</v>
      </c>
      <c r="W572">
        <v>1.895488E-2</v>
      </c>
      <c r="X572">
        <v>0.99937540000000002</v>
      </c>
      <c r="Y572">
        <v>0.19132360000000001</v>
      </c>
      <c r="Z572">
        <v>-3.1396620000000001E-3</v>
      </c>
      <c r="AA572">
        <v>0.98152200000000001</v>
      </c>
      <c r="AB572">
        <v>37</v>
      </c>
      <c r="AC572">
        <v>26.851299999999899</v>
      </c>
      <c r="AD572">
        <v>-1.158909</v>
      </c>
      <c r="AE572">
        <v>-5.9004000000000403</v>
      </c>
      <c r="AF572">
        <v>5.3253486916647903</v>
      </c>
      <c r="AG572">
        <v>-1.158909</v>
      </c>
      <c r="AH572">
        <v>26.921528485707</v>
      </c>
      <c r="AI572">
        <v>92.418129736840001</v>
      </c>
      <c r="AJ572">
        <v>78.810767532551907</v>
      </c>
      <c r="AK572">
        <v>27.4676374077719</v>
      </c>
      <c r="AL572">
        <v>88.913900311694107</v>
      </c>
      <c r="AM572">
        <v>88.290635120953297</v>
      </c>
      <c r="AN572">
        <v>0.99999998204275997</v>
      </c>
    </row>
    <row r="573" spans="1:40" x14ac:dyDescent="0.25">
      <c r="A573" t="str">
        <f>"20190312154224800"</f>
        <v>20190312154224800</v>
      </c>
      <c r="B573" t="str">
        <f>"1552376544787866"</f>
        <v>1552376544787866</v>
      </c>
      <c r="C573" t="s">
        <v>40</v>
      </c>
      <c r="D573">
        <v>4.9610510000000003</v>
      </c>
      <c r="E573">
        <v>0.56298709999999996</v>
      </c>
      <c r="F573" t="s">
        <v>42</v>
      </c>
      <c r="G573">
        <v>-314.08879999999999</v>
      </c>
      <c r="H573">
        <v>-0.05</v>
      </c>
      <c r="I573">
        <v>362.14609999999999</v>
      </c>
      <c r="J573">
        <v>-340.93169999999998</v>
      </c>
      <c r="K573">
        <v>1.10891299999999</v>
      </c>
      <c r="L573">
        <v>368.06450000000001</v>
      </c>
      <c r="M573">
        <v>0.99976069999999995</v>
      </c>
      <c r="N573">
        <v>0</v>
      </c>
      <c r="O573">
        <v>-2.1221540000000001E-2</v>
      </c>
      <c r="P573">
        <v>0.99859759999999997</v>
      </c>
      <c r="Q573">
        <v>1.362003E-2</v>
      </c>
      <c r="R573">
        <v>-5.1164349999999997E-2</v>
      </c>
      <c r="S573">
        <v>2.9729610000000002</v>
      </c>
      <c r="T573">
        <v>-0.126613</v>
      </c>
      <c r="U573">
        <v>-0.64746090000000001</v>
      </c>
      <c r="V573">
        <v>2.9971270000000001E-2</v>
      </c>
      <c r="W573">
        <v>1.8916260000000001E-2</v>
      </c>
      <c r="X573">
        <v>0.99937180000000003</v>
      </c>
      <c r="Y573">
        <v>0.19186400000000001</v>
      </c>
      <c r="Z573">
        <v>-3.144095E-3</v>
      </c>
      <c r="AA573">
        <v>0.98141650000000002</v>
      </c>
      <c r="AB573">
        <v>37</v>
      </c>
      <c r="AC573">
        <v>26.842899999999901</v>
      </c>
      <c r="AD573">
        <v>-1.1589130000000001</v>
      </c>
      <c r="AE573">
        <v>-5.9184000000000099</v>
      </c>
      <c r="AF573">
        <v>5.3379228674952799</v>
      </c>
      <c r="AG573">
        <v>-1.1589130000000001</v>
      </c>
      <c r="AH573">
        <v>26.914611367779699</v>
      </c>
      <c r="AI573">
        <v>92.418520290152699</v>
      </c>
      <c r="AJ573">
        <v>78.782207321966496</v>
      </c>
      <c r="AK573">
        <v>27.463299236608702</v>
      </c>
      <c r="AL573">
        <v>88.9161135433434</v>
      </c>
      <c r="AM573">
        <v>88.282208156435402</v>
      </c>
      <c r="AN573">
        <v>1.0000000482765099</v>
      </c>
    </row>
    <row r="574" spans="1:40" x14ac:dyDescent="0.25">
      <c r="A574" t="str">
        <f>"20190312154224823"</f>
        <v>20190312154224823</v>
      </c>
      <c r="B574" t="str">
        <f>"1552376544808361"</f>
        <v>1552376544808361</v>
      </c>
      <c r="C574" t="s">
        <v>40</v>
      </c>
      <c r="D574">
        <v>4.698353</v>
      </c>
      <c r="E574">
        <v>0.56240579999999996</v>
      </c>
      <c r="F574" t="s">
        <v>42</v>
      </c>
      <c r="G574">
        <v>-313.58120000000002</v>
      </c>
      <c r="H574">
        <v>-0.05</v>
      </c>
      <c r="I574">
        <v>362.0872</v>
      </c>
      <c r="J574">
        <v>-340.5575</v>
      </c>
      <c r="K574">
        <v>1.1089230000000001</v>
      </c>
      <c r="L574">
        <v>368.05650000000003</v>
      </c>
      <c r="M574">
        <v>0.99975630000000004</v>
      </c>
      <c r="N574">
        <v>0</v>
      </c>
      <c r="O574">
        <v>-2.1414550000000001E-2</v>
      </c>
      <c r="P574">
        <v>0.99859500000000001</v>
      </c>
      <c r="Q574">
        <v>1.345991E-2</v>
      </c>
      <c r="R574">
        <v>-5.1253939999999998E-2</v>
      </c>
      <c r="S574">
        <v>2.9726560000000002</v>
      </c>
      <c r="T574">
        <v>-0.1259593</v>
      </c>
      <c r="U574">
        <v>-0.64965819999999996</v>
      </c>
      <c r="V574">
        <v>2.9867640000000001E-2</v>
      </c>
      <c r="W574">
        <v>1.882663E-2</v>
      </c>
      <c r="X574">
        <v>0.9993765</v>
      </c>
      <c r="Y574">
        <v>0.19238910000000001</v>
      </c>
      <c r="Z574">
        <v>-3.1308690000000001E-3</v>
      </c>
      <c r="AA574">
        <v>0.98131369999999896</v>
      </c>
      <c r="AB574">
        <v>37</v>
      </c>
      <c r="AC574">
        <v>26.976299999999899</v>
      </c>
      <c r="AD574">
        <v>-1.1589229999999999</v>
      </c>
      <c r="AE574">
        <v>-5.9693000000000298</v>
      </c>
      <c r="AF574">
        <v>5.3807701214502099</v>
      </c>
      <c r="AG574">
        <v>-1.1589229999999999</v>
      </c>
      <c r="AH574">
        <v>27.050350920435701</v>
      </c>
      <c r="AI574">
        <v>92.406148721071901</v>
      </c>
      <c r="AJ574">
        <v>78.749753908081004</v>
      </c>
      <c r="AK574">
        <v>27.604660377163398</v>
      </c>
      <c r="AL574">
        <v>88.921249776070496</v>
      </c>
      <c r="AM574">
        <v>88.2881521759235</v>
      </c>
      <c r="AN574">
        <v>0.99999995333428704</v>
      </c>
    </row>
    <row r="575" spans="1:40" x14ac:dyDescent="0.25">
      <c r="A575" t="str">
        <f>"20190312154224845"</f>
        <v>20190312154224845</v>
      </c>
      <c r="B575" t="str">
        <f>"1552376544837641"</f>
        <v>1552376544837641</v>
      </c>
      <c r="C575" t="s">
        <v>40</v>
      </c>
      <c r="D575">
        <v>4.6585010000000002</v>
      </c>
      <c r="E575">
        <v>0.56171660000000001</v>
      </c>
      <c r="F575" t="s">
        <v>42</v>
      </c>
      <c r="G575">
        <v>-313.62009999999998</v>
      </c>
      <c r="H575">
        <v>-0.05</v>
      </c>
      <c r="I575">
        <v>362.21010000000001</v>
      </c>
      <c r="J575">
        <v>-340.1814</v>
      </c>
      <c r="K575">
        <v>1.108932</v>
      </c>
      <c r="L575">
        <v>368.04820000000001</v>
      </c>
      <c r="M575">
        <v>0.99975230000000004</v>
      </c>
      <c r="N575">
        <v>0</v>
      </c>
      <c r="O575">
        <v>-2.1585460000000001E-2</v>
      </c>
      <c r="P575">
        <v>0.99858919999999995</v>
      </c>
      <c r="Q575">
        <v>1.341731E-2</v>
      </c>
      <c r="R575">
        <v>-5.1382369999999997E-2</v>
      </c>
      <c r="S575">
        <v>2.972839</v>
      </c>
      <c r="T575">
        <v>-0.12790009999999999</v>
      </c>
      <c r="U575">
        <v>-0.64520259999999996</v>
      </c>
      <c r="V575">
        <v>2.982423E-2</v>
      </c>
      <c r="W575">
        <v>1.8850470000000001E-2</v>
      </c>
      <c r="X575">
        <v>0.99937739999999997</v>
      </c>
      <c r="Y575">
        <v>0.19080140000000001</v>
      </c>
      <c r="Z575">
        <v>-3.1383719999999999E-3</v>
      </c>
      <c r="AA575">
        <v>0.98162360000000004</v>
      </c>
      <c r="AB575">
        <v>37</v>
      </c>
      <c r="AC575">
        <v>26.561299999999999</v>
      </c>
      <c r="AD575">
        <v>-1.1589320000000001</v>
      </c>
      <c r="AE575">
        <v>-5.8380999999999901</v>
      </c>
      <c r="AF575">
        <v>5.2538521689210196</v>
      </c>
      <c r="AG575">
        <v>-1.1589320000000001</v>
      </c>
      <c r="AH575">
        <v>26.632764779021102</v>
      </c>
      <c r="AI575">
        <v>92.444615508608095</v>
      </c>
      <c r="AJ575">
        <v>78.840533810285393</v>
      </c>
      <c r="AK575">
        <v>27.170760861046301</v>
      </c>
      <c r="AL575">
        <v>88.919883659366405</v>
      </c>
      <c r="AM575">
        <v>88.2906402581972</v>
      </c>
      <c r="AN575">
        <v>1.0000000062725301</v>
      </c>
    </row>
    <row r="576" spans="1:40" x14ac:dyDescent="0.25">
      <c r="A576" t="str">
        <f>"20190312154224866"</f>
        <v>20190312154224866</v>
      </c>
      <c r="B576" t="str">
        <f>"1552376544858141"</f>
        <v>1552376544858141</v>
      </c>
      <c r="C576" t="s">
        <v>40</v>
      </c>
      <c r="D576">
        <v>4.6270020000000001</v>
      </c>
      <c r="E576">
        <v>0.56144499999999997</v>
      </c>
      <c r="F576" t="s">
        <v>42</v>
      </c>
      <c r="G576">
        <v>-313.81110000000001</v>
      </c>
      <c r="H576">
        <v>-0.05</v>
      </c>
      <c r="I576">
        <v>362.37060000000002</v>
      </c>
      <c r="J576">
        <v>-339.803</v>
      </c>
      <c r="K576">
        <v>1.1089519999999999</v>
      </c>
      <c r="L576">
        <v>368.04</v>
      </c>
      <c r="M576">
        <v>0.99974879999999999</v>
      </c>
      <c r="N576">
        <v>0</v>
      </c>
      <c r="O576">
        <v>-2.173021E-2</v>
      </c>
      <c r="P576">
        <v>0.99859659999999995</v>
      </c>
      <c r="Q576">
        <v>1.3205369999999999E-2</v>
      </c>
      <c r="R576">
        <v>-5.1292209999999998E-2</v>
      </c>
      <c r="S576">
        <v>2.9730530000000002</v>
      </c>
      <c r="T576">
        <v>-0.1306611</v>
      </c>
      <c r="U576">
        <v>-0.64010619999999996</v>
      </c>
      <c r="V576">
        <v>2.9588469999999999E-2</v>
      </c>
      <c r="W576">
        <v>1.8701720000000002E-2</v>
      </c>
      <c r="X576">
        <v>0.99938720000000003</v>
      </c>
      <c r="Y576">
        <v>0.1890319</v>
      </c>
      <c r="Z576">
        <v>-3.161699E-3</v>
      </c>
      <c r="AA576">
        <v>0.9819658</v>
      </c>
      <c r="AB576">
        <v>38</v>
      </c>
      <c r="AC576">
        <v>25.991900000000001</v>
      </c>
      <c r="AD576">
        <v>-1.158952</v>
      </c>
      <c r="AE576">
        <v>-5.6693999999999898</v>
      </c>
      <c r="AF576">
        <v>5.0935762962027598</v>
      </c>
      <c r="AG576">
        <v>-1.158952</v>
      </c>
      <c r="AH576">
        <v>26.059503664275201</v>
      </c>
      <c r="AI576">
        <v>92.499222644268599</v>
      </c>
      <c r="AJ576">
        <v>78.940432873224793</v>
      </c>
      <c r="AK576">
        <v>26.577912266615598</v>
      </c>
      <c r="AL576">
        <v>88.928407906482093</v>
      </c>
      <c r="AM576">
        <v>88.304161414163303</v>
      </c>
      <c r="AN576">
        <v>1.0000000037058601</v>
      </c>
    </row>
    <row r="577" spans="1:40" x14ac:dyDescent="0.25">
      <c r="A577" t="str">
        <f>"20190312154224890"</f>
        <v>20190312154224890</v>
      </c>
      <c r="B577" t="str">
        <f>"1552376544877657"</f>
        <v>1552376544877657</v>
      </c>
      <c r="C577" t="s">
        <v>40</v>
      </c>
      <c r="D577">
        <v>4.6072810000000004</v>
      </c>
      <c r="E577">
        <v>0.5612258</v>
      </c>
      <c r="F577" t="s">
        <v>42</v>
      </c>
      <c r="G577">
        <v>-313.69260000000003</v>
      </c>
      <c r="H577">
        <v>-0.05</v>
      </c>
      <c r="I577">
        <v>362.44040000000001</v>
      </c>
      <c r="J577">
        <v>-339.4221</v>
      </c>
      <c r="K577">
        <v>1.1089800000000001</v>
      </c>
      <c r="L577">
        <v>368.03160000000003</v>
      </c>
      <c r="M577">
        <v>0.99974600000000002</v>
      </c>
      <c r="N577">
        <v>0</v>
      </c>
      <c r="O577">
        <v>-2.1840829999999999E-2</v>
      </c>
      <c r="P577">
        <v>0.9985811</v>
      </c>
      <c r="Q577">
        <v>1.294328E-2</v>
      </c>
      <c r="R577">
        <v>-5.165674E-2</v>
      </c>
      <c r="S577">
        <v>2.9732059999999998</v>
      </c>
      <c r="T577">
        <v>-0.13197039999999999</v>
      </c>
      <c r="U577">
        <v>-0.63763429999999999</v>
      </c>
      <c r="V577">
        <v>2.9841400000000001E-2</v>
      </c>
      <c r="W577">
        <v>1.850243E-2</v>
      </c>
      <c r="X577">
        <v>0.99938340000000003</v>
      </c>
      <c r="Y577">
        <v>0.1881303</v>
      </c>
      <c r="Z577">
        <v>-3.1688409999999999E-3</v>
      </c>
      <c r="AA577">
        <v>0.98213899999999998</v>
      </c>
      <c r="AB577">
        <v>38</v>
      </c>
      <c r="AC577">
        <v>25.729499999999899</v>
      </c>
      <c r="AD577">
        <v>-1.1589799999999999</v>
      </c>
      <c r="AE577">
        <v>-5.5912000000000104</v>
      </c>
      <c r="AF577">
        <v>5.0181809977719896</v>
      </c>
      <c r="AG577">
        <v>-1.1589799999999999</v>
      </c>
      <c r="AH577">
        <v>25.795500876450301</v>
      </c>
      <c r="AI577">
        <v>92.525265765612403</v>
      </c>
      <c r="AJ577">
        <v>78.991345872589804</v>
      </c>
      <c r="AK577">
        <v>26.304623940169702</v>
      </c>
      <c r="AL577">
        <v>88.939828370065001</v>
      </c>
      <c r="AM577">
        <v>88.289667015486501</v>
      </c>
      <c r="AN577">
        <v>1.0000000146327099</v>
      </c>
    </row>
    <row r="578" spans="1:40" x14ac:dyDescent="0.25">
      <c r="A578" t="str">
        <f>"20190312154224912"</f>
        <v>20190312154224912</v>
      </c>
      <c r="B578" t="str">
        <f>"1552376544898154"</f>
        <v>1552376544898154</v>
      </c>
      <c r="C578" t="s">
        <v>40</v>
      </c>
      <c r="D578">
        <v>4.5388250000000001</v>
      </c>
      <c r="E578">
        <v>0.56101400000000001</v>
      </c>
      <c r="F578" t="s">
        <v>42</v>
      </c>
      <c r="G578">
        <v>-313.7115</v>
      </c>
      <c r="H578">
        <v>-0.05</v>
      </c>
      <c r="I578">
        <v>362.52480000000003</v>
      </c>
      <c r="J578">
        <v>-339.04719999999998</v>
      </c>
      <c r="K578">
        <v>1.109005</v>
      </c>
      <c r="L578">
        <v>368.02330000000001</v>
      </c>
      <c r="M578">
        <v>0.99974390000000002</v>
      </c>
      <c r="N578">
        <v>0</v>
      </c>
      <c r="O578">
        <v>-2.1917599999999999E-2</v>
      </c>
      <c r="P578">
        <v>0.99860040000000005</v>
      </c>
      <c r="Q578">
        <v>1.2289339999999999E-2</v>
      </c>
      <c r="R578">
        <v>-5.1441309999999997E-2</v>
      </c>
      <c r="S578">
        <v>2.9730829999999999</v>
      </c>
      <c r="T578">
        <v>-0.13402020000000001</v>
      </c>
      <c r="U578">
        <v>-0.63677980000000001</v>
      </c>
      <c r="V578">
        <v>2.9547460000000001E-2</v>
      </c>
      <c r="W578">
        <v>1.7914119999999999E-2</v>
      </c>
      <c r="X578">
        <v>0.99940280000000004</v>
      </c>
      <c r="Y578">
        <v>0.1877887</v>
      </c>
      <c r="Z578">
        <v>-3.207213E-3</v>
      </c>
      <c r="AA578">
        <v>0.98220419999999997</v>
      </c>
      <c r="AB578">
        <v>38</v>
      </c>
      <c r="AC578">
        <v>25.3356999999999</v>
      </c>
      <c r="AD578">
        <v>-1.1590049999999901</v>
      </c>
      <c r="AE578">
        <v>-5.4984999999999697</v>
      </c>
      <c r="AF578">
        <v>4.93201564165813</v>
      </c>
      <c r="AG578">
        <v>-1.1590049999999901</v>
      </c>
      <c r="AH578">
        <v>25.3993674291922</v>
      </c>
      <c r="AI578">
        <v>92.564825277652204</v>
      </c>
      <c r="AJ578">
        <v>79.011132311596597</v>
      </c>
      <c r="AK578">
        <v>25.899728505965001</v>
      </c>
      <c r="AL578">
        <v>88.973541585583703</v>
      </c>
      <c r="AM578">
        <v>88.306536917449407</v>
      </c>
      <c r="AN578">
        <v>0.99999996236783195</v>
      </c>
    </row>
    <row r="579" spans="1:40" x14ac:dyDescent="0.25">
      <c r="A579" t="str">
        <f>"20190312154224934"</f>
        <v>20190312154224934</v>
      </c>
      <c r="B579" t="str">
        <f>"1552376544928410"</f>
        <v>1552376544928410</v>
      </c>
      <c r="C579" t="s">
        <v>40</v>
      </c>
      <c r="D579">
        <v>4.5114400000000003</v>
      </c>
      <c r="E579">
        <v>0.56072339999999998</v>
      </c>
      <c r="F579" t="s">
        <v>42</v>
      </c>
      <c r="G579">
        <v>-313.91239999999999</v>
      </c>
      <c r="H579">
        <v>-0.05</v>
      </c>
      <c r="I579">
        <v>362.65949999999998</v>
      </c>
      <c r="J579">
        <v>-338.6687</v>
      </c>
      <c r="K579">
        <v>1.1090340000000001</v>
      </c>
      <c r="L579">
        <v>368.01499999999999</v>
      </c>
      <c r="M579">
        <v>0.99974260000000004</v>
      </c>
      <c r="N579">
        <v>0</v>
      </c>
      <c r="O579">
        <v>-2.1969470000000001E-2</v>
      </c>
      <c r="P579">
        <v>0.99860570000000004</v>
      </c>
      <c r="Q579">
        <v>1.157249E-2</v>
      </c>
      <c r="R579">
        <v>-5.1511059999999997E-2</v>
      </c>
      <c r="S579">
        <v>2.9732059999999998</v>
      </c>
      <c r="T579">
        <v>-0.13709879999999999</v>
      </c>
      <c r="U579">
        <v>-0.63449100000000003</v>
      </c>
      <c r="V579">
        <v>2.9563849999999999E-2</v>
      </c>
      <c r="W579">
        <v>1.7263810000000001E-2</v>
      </c>
      <c r="X579">
        <v>0.99941380000000002</v>
      </c>
      <c r="Y579">
        <v>0.18699969999999999</v>
      </c>
      <c r="Z579">
        <v>-3.2605960000000002E-3</v>
      </c>
      <c r="AA579">
        <v>0.98235459999999997</v>
      </c>
      <c r="AB579">
        <v>38</v>
      </c>
      <c r="AC579">
        <v>24.7563</v>
      </c>
      <c r="AD579">
        <v>-1.1590339999999999</v>
      </c>
      <c r="AE579">
        <v>-5.3555000000000001</v>
      </c>
      <c r="AF579">
        <v>4.8002645327298703</v>
      </c>
      <c r="AG579">
        <v>-1.1590339999999999</v>
      </c>
      <c r="AH579">
        <v>24.816021555712702</v>
      </c>
      <c r="AI579">
        <v>92.6254630183807</v>
      </c>
      <c r="AJ579">
        <v>79.0522498002248</v>
      </c>
      <c r="AK579">
        <v>25.302585347172201</v>
      </c>
      <c r="AL579">
        <v>89.010807410158506</v>
      </c>
      <c r="AM579">
        <v>88.305616738025094</v>
      </c>
      <c r="AN579">
        <v>1.0000000019964801</v>
      </c>
    </row>
    <row r="580" spans="1:40" x14ac:dyDescent="0.25">
      <c r="A580" t="str">
        <f>"20190312154224956"</f>
        <v>20190312154224956</v>
      </c>
      <c r="B580" t="str">
        <f>"1552376544947933"</f>
        <v>1552376544947933</v>
      </c>
      <c r="C580" t="s">
        <v>40</v>
      </c>
      <c r="D580">
        <v>4.5012429999999997</v>
      </c>
      <c r="E580">
        <v>0.56067690000000003</v>
      </c>
      <c r="F580" t="s">
        <v>42</v>
      </c>
      <c r="G580">
        <v>-314.1866</v>
      </c>
      <c r="H580">
        <v>-0.05</v>
      </c>
      <c r="I580">
        <v>362.80610000000001</v>
      </c>
      <c r="J580">
        <v>-338.2824</v>
      </c>
      <c r="K580">
        <v>1.109062</v>
      </c>
      <c r="L580">
        <v>368.00650000000002</v>
      </c>
      <c r="M580">
        <v>0.99974130000000005</v>
      </c>
      <c r="N580">
        <v>0</v>
      </c>
      <c r="O580">
        <v>-2.2002069999999999E-2</v>
      </c>
      <c r="P580">
        <v>0.99863270000000004</v>
      </c>
      <c r="Q580">
        <v>1.1034800000000001E-2</v>
      </c>
      <c r="R580">
        <v>-5.1096820000000001E-2</v>
      </c>
      <c r="S580">
        <v>2.973236</v>
      </c>
      <c r="T580">
        <v>-0.140759299999999</v>
      </c>
      <c r="U580">
        <v>-0.63259889999999996</v>
      </c>
      <c r="V580">
        <v>2.911588E-2</v>
      </c>
      <c r="W580">
        <v>1.6798009999999999E-2</v>
      </c>
      <c r="X580">
        <v>0.99943490000000001</v>
      </c>
      <c r="Y580">
        <v>0.1863592</v>
      </c>
      <c r="Z580">
        <v>-3.331236E-3</v>
      </c>
      <c r="AA580">
        <v>0.98247609999999996</v>
      </c>
      <c r="AB580">
        <v>38</v>
      </c>
      <c r="AC580">
        <v>24.095800000000001</v>
      </c>
      <c r="AD580">
        <v>-1.159062</v>
      </c>
      <c r="AE580">
        <v>-5.2004000000000001</v>
      </c>
      <c r="AF580">
        <v>4.6586751661635599</v>
      </c>
      <c r="AG580">
        <v>-1.159062</v>
      </c>
      <c r="AH580">
        <v>24.150994144767999</v>
      </c>
      <c r="AI580">
        <v>92.697987081955205</v>
      </c>
      <c r="AJ580">
        <v>79.081868143501893</v>
      </c>
      <c r="AK580">
        <v>24.623509035153599</v>
      </c>
      <c r="AL580">
        <v>89.037499666840205</v>
      </c>
      <c r="AM580">
        <v>88.331311678174103</v>
      </c>
      <c r="AN580">
        <v>1.00000001347307</v>
      </c>
    </row>
    <row r="581" spans="1:40" x14ac:dyDescent="0.25">
      <c r="A581" t="str">
        <f>"20190312154224978"</f>
        <v>20190312154224978</v>
      </c>
      <c r="B581" t="str">
        <f>"1552376544968426"</f>
        <v>1552376544968426</v>
      </c>
      <c r="C581" t="s">
        <v>40</v>
      </c>
      <c r="D581">
        <v>4.506329</v>
      </c>
      <c r="E581">
        <v>0.56066559999999999</v>
      </c>
      <c r="F581" t="s">
        <v>42</v>
      </c>
      <c r="G581">
        <v>-314.08749999999998</v>
      </c>
      <c r="H581">
        <v>-0.05</v>
      </c>
      <c r="I581">
        <v>362.87180000000001</v>
      </c>
      <c r="J581">
        <v>-337.90789999999998</v>
      </c>
      <c r="K581">
        <v>1.1090819999999999</v>
      </c>
      <c r="L581">
        <v>367.9982</v>
      </c>
      <c r="M581">
        <v>0.99974059999999998</v>
      </c>
      <c r="N581">
        <v>0</v>
      </c>
      <c r="O581">
        <v>-2.20197E-2</v>
      </c>
      <c r="P581">
        <v>0.99865870000000001</v>
      </c>
      <c r="Q581">
        <v>1.0234109999999999E-2</v>
      </c>
      <c r="R581">
        <v>-5.075909E-2</v>
      </c>
      <c r="S581">
        <v>2.9733890000000001</v>
      </c>
      <c r="T581">
        <v>-0.14244039999999999</v>
      </c>
      <c r="U581">
        <v>-0.63101200000000002</v>
      </c>
      <c r="V581">
        <v>2.8759070000000001E-2</v>
      </c>
      <c r="W581">
        <v>1.607045E-2</v>
      </c>
      <c r="X581">
        <v>0.99945720000000005</v>
      </c>
      <c r="Y581">
        <v>0.1858263</v>
      </c>
      <c r="Z581">
        <v>-3.35754E-3</v>
      </c>
      <c r="AA581">
        <v>0.98257689999999998</v>
      </c>
      <c r="AB581">
        <v>38</v>
      </c>
      <c r="AC581">
        <v>23.820399999999999</v>
      </c>
      <c r="AD581">
        <v>-1.1590819999999999</v>
      </c>
      <c r="AE581">
        <v>-5.1263999999999896</v>
      </c>
      <c r="AF581">
        <v>4.5902427395950696</v>
      </c>
      <c r="AG581">
        <v>-1.1590819999999999</v>
      </c>
      <c r="AH581">
        <v>23.873484361802898</v>
      </c>
      <c r="AI581">
        <v>92.729664752724503</v>
      </c>
      <c r="AJ581">
        <v>79.116352110917106</v>
      </c>
      <c r="AK581">
        <v>24.3383864515373</v>
      </c>
      <c r="AL581">
        <v>89.079191420193695</v>
      </c>
      <c r="AM581">
        <v>88.351786566182</v>
      </c>
      <c r="AN581">
        <v>1.00000001905115</v>
      </c>
    </row>
    <row r="582" spans="1:40" x14ac:dyDescent="0.25">
      <c r="A582" t="str">
        <f>"20190312154225000"</f>
        <v>20190312154225000</v>
      </c>
      <c r="B582" t="str">
        <f>"1552376544987946"</f>
        <v>1552376544987946</v>
      </c>
      <c r="C582" t="s">
        <v>40</v>
      </c>
      <c r="D582">
        <v>4.4518409999999999</v>
      </c>
      <c r="E582">
        <v>0.56072409999999995</v>
      </c>
      <c r="F582" t="s">
        <v>42</v>
      </c>
      <c r="G582">
        <v>-314.1857</v>
      </c>
      <c r="H582">
        <v>-0.05</v>
      </c>
      <c r="I582">
        <v>362.97480000000002</v>
      </c>
      <c r="J582">
        <v>-337.53379999999999</v>
      </c>
      <c r="K582">
        <v>1.1090979999999999</v>
      </c>
      <c r="L582">
        <v>367.99</v>
      </c>
      <c r="M582">
        <v>0.99973990000000001</v>
      </c>
      <c r="N582">
        <v>0</v>
      </c>
      <c r="O582">
        <v>-2.2027950000000001E-2</v>
      </c>
      <c r="P582">
        <v>0.99868230000000002</v>
      </c>
      <c r="Q582">
        <v>1.0019439999999999E-2</v>
      </c>
      <c r="R582">
        <v>-5.0331710000000002E-2</v>
      </c>
      <c r="S582">
        <v>2.9734799999999999</v>
      </c>
      <c r="T582">
        <v>-0.1452862</v>
      </c>
      <c r="U582">
        <v>-0.62966919999999904</v>
      </c>
      <c r="V582">
        <v>2.8322859999999998E-2</v>
      </c>
      <c r="W582">
        <v>1.5933619999999999E-2</v>
      </c>
      <c r="X582">
        <v>0.99947180000000002</v>
      </c>
      <c r="Y582">
        <v>0.18538060000000001</v>
      </c>
      <c r="Z582">
        <v>-3.4134360000000002E-3</v>
      </c>
      <c r="AA582">
        <v>0.98266089999999995</v>
      </c>
      <c r="AB582">
        <v>38</v>
      </c>
      <c r="AC582">
        <v>23.348099999999899</v>
      </c>
      <c r="AD582">
        <v>-1.159098</v>
      </c>
      <c r="AE582">
        <v>-5.0151999999999903</v>
      </c>
      <c r="AF582">
        <v>4.4890876745409098</v>
      </c>
      <c r="AG582">
        <v>-1.159098</v>
      </c>
      <c r="AH582">
        <v>23.397789334145099</v>
      </c>
      <c r="AI582">
        <v>92.785326167403596</v>
      </c>
      <c r="AJ582">
        <v>79.139239865296602</v>
      </c>
      <c r="AK582">
        <v>23.8527139346523</v>
      </c>
      <c r="AL582">
        <v>89.087032162377199</v>
      </c>
      <c r="AM582">
        <v>88.376796454757695</v>
      </c>
      <c r="AN582">
        <v>0.99999997182006095</v>
      </c>
    </row>
    <row r="583" spans="1:40" x14ac:dyDescent="0.25">
      <c r="A583" t="str">
        <f>"20190312154225023"</f>
        <v>20190312154225023</v>
      </c>
      <c r="B583" t="str">
        <f>"1552376545018203"</f>
        <v>1552376545018203</v>
      </c>
      <c r="C583" t="s">
        <v>40</v>
      </c>
      <c r="D583">
        <v>4.470135</v>
      </c>
      <c r="E583">
        <v>0.54640069999999996</v>
      </c>
      <c r="F583" t="s">
        <v>42</v>
      </c>
      <c r="G583">
        <v>-314.08080000000001</v>
      </c>
      <c r="H583">
        <v>-0.05</v>
      </c>
      <c r="I583">
        <v>363.03120000000001</v>
      </c>
      <c r="J583">
        <v>-337.14229999999998</v>
      </c>
      <c r="K583">
        <v>1.109118</v>
      </c>
      <c r="L583">
        <v>367.98140000000001</v>
      </c>
      <c r="M583">
        <v>0.9997393</v>
      </c>
      <c r="N583">
        <v>0</v>
      </c>
      <c r="O583">
        <v>-2.2029460000000001E-2</v>
      </c>
      <c r="P583">
        <v>0.99870000000000003</v>
      </c>
      <c r="Q583">
        <v>9.4965929999999994E-3</v>
      </c>
      <c r="R583">
        <v>-5.0083179999999998E-2</v>
      </c>
      <c r="S583">
        <v>2.9737550000000001</v>
      </c>
      <c r="T583">
        <v>-0.1469694</v>
      </c>
      <c r="U583">
        <v>-0.62875369999999997</v>
      </c>
      <c r="V583">
        <v>2.8071860000000001E-2</v>
      </c>
      <c r="W583">
        <v>1.5497850000000001E-2</v>
      </c>
      <c r="X583">
        <v>0.99948579999999998</v>
      </c>
      <c r="Y583">
        <v>0.18506719999999999</v>
      </c>
      <c r="Z583">
        <v>-3.4450010000000001E-3</v>
      </c>
      <c r="AA583">
        <v>0.98271980000000003</v>
      </c>
      <c r="AB583">
        <v>38</v>
      </c>
      <c r="AC583">
        <v>23.061499999999899</v>
      </c>
      <c r="AD583">
        <v>-1.1591180000000001</v>
      </c>
      <c r="AE583">
        <v>-4.9501999999999899</v>
      </c>
      <c r="AF583">
        <v>4.4302580330308796</v>
      </c>
      <c r="AG583">
        <v>-1.1591180000000001</v>
      </c>
      <c r="AH583">
        <v>23.1091468855644</v>
      </c>
      <c r="AI583">
        <v>92.820186542671493</v>
      </c>
      <c r="AJ583">
        <v>79.147492218489603</v>
      </c>
      <c r="AK583">
        <v>23.558510363682799</v>
      </c>
      <c r="AL583">
        <v>89.112003088265794</v>
      </c>
      <c r="AM583">
        <v>88.391196375410004</v>
      </c>
      <c r="AN583">
        <v>1.00000003854006</v>
      </c>
    </row>
    <row r="584" spans="1:40" x14ac:dyDescent="0.25">
      <c r="A584" t="str">
        <f>"20190312154225036"</f>
        <v>20190312154225036</v>
      </c>
      <c r="B584" t="str">
        <f>"1552376545027963"</f>
        <v>1552376545027963</v>
      </c>
      <c r="C584" t="s">
        <v>40</v>
      </c>
      <c r="D584">
        <v>4.485398</v>
      </c>
      <c r="E584">
        <v>0.5362751</v>
      </c>
      <c r="F584" t="s">
        <v>43</v>
      </c>
      <c r="G584">
        <v>-271.57040000000001</v>
      </c>
      <c r="H584">
        <v>7.9986509999999997E-2</v>
      </c>
      <c r="I584">
        <v>356.58839999999998</v>
      </c>
      <c r="J584">
        <v>-336.91849999999999</v>
      </c>
      <c r="K584">
        <v>1.1091260000000001</v>
      </c>
      <c r="L584">
        <v>367.97640000000001</v>
      </c>
      <c r="M584">
        <v>0.99973920000000005</v>
      </c>
      <c r="N584">
        <v>0</v>
      </c>
      <c r="O584">
        <v>-2.2026830000000001E-2</v>
      </c>
      <c r="P584">
        <v>0.99871620000000005</v>
      </c>
      <c r="Q584">
        <v>9.5922739999999996E-3</v>
      </c>
      <c r="R584">
        <v>-4.9742990000000001E-2</v>
      </c>
      <c r="S584">
        <v>2.9783940000000002</v>
      </c>
      <c r="T584">
        <v>-4.6744939999999999E-2</v>
      </c>
      <c r="U584">
        <v>-0.51748660000000002</v>
      </c>
      <c r="V584">
        <v>2.7733850000000001E-2</v>
      </c>
      <c r="W584">
        <v>1.5645160000000002E-2</v>
      </c>
      <c r="X584">
        <v>0.99949290000000002</v>
      </c>
      <c r="Y584">
        <v>0.14942339999999901</v>
      </c>
      <c r="Z584">
        <v>-8.2085209999999999E-4</v>
      </c>
      <c r="AA584">
        <v>0.98877300000000001</v>
      </c>
      <c r="AB584">
        <v>38</v>
      </c>
      <c r="AC584">
        <v>65.348099999999903</v>
      </c>
      <c r="AD584">
        <v>-1.0291394899999999</v>
      </c>
      <c r="AE584">
        <v>-11.388</v>
      </c>
      <c r="AF584">
        <v>9.9434058368861304</v>
      </c>
      <c r="AG584">
        <v>-1.0291394899999999</v>
      </c>
      <c r="AH584">
        <v>65.567308213532698</v>
      </c>
      <c r="AI584">
        <v>90.889072561231799</v>
      </c>
      <c r="AJ584">
        <v>81.376693573988106</v>
      </c>
      <c r="AK584">
        <v>66.324975341837003</v>
      </c>
      <c r="AL584">
        <v>89.103561786892897</v>
      </c>
      <c r="AM584">
        <v>88.410569080312399</v>
      </c>
      <c r="AN584">
        <v>0.99999999730882805</v>
      </c>
    </row>
    <row r="585" spans="1:40" x14ac:dyDescent="0.25">
      <c r="A585" t="str">
        <f>"20190312154225048"</f>
        <v>20190312154225048</v>
      </c>
      <c r="B585" t="str">
        <f>"1552376545037722"</f>
        <v>1552376545037722</v>
      </c>
      <c r="C585" t="s">
        <v>40</v>
      </c>
      <c r="D585">
        <v>4.4486739999999996</v>
      </c>
      <c r="E585">
        <v>0.52667919999999901</v>
      </c>
      <c r="F585" t="s">
        <v>43</v>
      </c>
      <c r="G585">
        <v>-251.7756</v>
      </c>
      <c r="H585">
        <v>7.9986489999999993E-2</v>
      </c>
      <c r="I585">
        <v>355.52609999999999</v>
      </c>
      <c r="J585">
        <v>-336.70429999999999</v>
      </c>
      <c r="K585">
        <v>1.1091340000000001</v>
      </c>
      <c r="L585">
        <v>367.9717</v>
      </c>
      <c r="M585">
        <v>0.99973889999999999</v>
      </c>
      <c r="N585">
        <v>0</v>
      </c>
      <c r="O585">
        <v>-2.2022170000000001E-2</v>
      </c>
      <c r="P585">
        <v>0.99871869999999996</v>
      </c>
      <c r="Q585">
        <v>9.2942849999999994E-3</v>
      </c>
      <c r="R585">
        <v>-4.9748390000000003E-2</v>
      </c>
      <c r="S585">
        <v>2.982513</v>
      </c>
      <c r="T585">
        <v>-3.6050199999999998E-2</v>
      </c>
      <c r="U585">
        <v>-0.43612669999999998</v>
      </c>
      <c r="V585">
        <v>2.774339E-2</v>
      </c>
      <c r="W585">
        <v>1.5395809999999999E-2</v>
      </c>
      <c r="X585">
        <v>0.99949650000000001</v>
      </c>
      <c r="Y585">
        <v>0.1228561</v>
      </c>
      <c r="Z585">
        <v>-4.7388669999999999E-4</v>
      </c>
      <c r="AA585">
        <v>0.99242439999999998</v>
      </c>
      <c r="AB585">
        <v>39</v>
      </c>
      <c r="AC585">
        <v>84.928699999999907</v>
      </c>
      <c r="AD585">
        <v>-1.02914751</v>
      </c>
      <c r="AE585">
        <v>-12.445600000000001</v>
      </c>
      <c r="AF585">
        <v>10.570713018329601</v>
      </c>
      <c r="AG585">
        <v>-1.02914751</v>
      </c>
      <c r="AH585">
        <v>85.169943271200395</v>
      </c>
      <c r="AI585">
        <v>90.687026729709501</v>
      </c>
      <c r="AJ585">
        <v>82.925018090832594</v>
      </c>
      <c r="AK585">
        <v>85.829589042082205</v>
      </c>
      <c r="AL585">
        <v>89.117850204255902</v>
      </c>
      <c r="AM585">
        <v>88.410028346004495</v>
      </c>
      <c r="AN585">
        <v>0.99999999008324902</v>
      </c>
    </row>
    <row r="586" spans="1:40" x14ac:dyDescent="0.25">
      <c r="A586" t="str">
        <f>"20190312154225060"</f>
        <v>20190312154225060</v>
      </c>
      <c r="B586" t="str">
        <f>"1552376545047482"</f>
        <v>1552376545047482</v>
      </c>
      <c r="C586" t="s">
        <v>40</v>
      </c>
      <c r="D586">
        <v>4.3977279999999999</v>
      </c>
      <c r="E586">
        <v>0.51892660000000002</v>
      </c>
      <c r="F586" t="s">
        <v>43</v>
      </c>
      <c r="G586">
        <v>-267.0505</v>
      </c>
      <c r="H586">
        <v>7.7539319999999995E-2</v>
      </c>
      <c r="I586">
        <v>359.58870000000002</v>
      </c>
      <c r="J586">
        <v>-336.49189999999999</v>
      </c>
      <c r="K586">
        <v>1.109148</v>
      </c>
      <c r="L586">
        <v>367.96710000000002</v>
      </c>
      <c r="M586">
        <v>0.99973889999999999</v>
      </c>
      <c r="N586">
        <v>0</v>
      </c>
      <c r="O586">
        <v>-2.2011530000000001E-2</v>
      </c>
      <c r="P586">
        <v>0.99872000000000005</v>
      </c>
      <c r="Q586">
        <v>9.2089059999999993E-3</v>
      </c>
      <c r="R586">
        <v>-4.9737240000000002E-2</v>
      </c>
      <c r="S586">
        <v>2.9862980000000001</v>
      </c>
      <c r="T586">
        <v>-4.4227959999999997E-2</v>
      </c>
      <c r="U586">
        <v>-0.35940549999999999</v>
      </c>
      <c r="V586">
        <v>2.7742679999999999E-2</v>
      </c>
      <c r="W586">
        <v>1.536005E-2</v>
      </c>
      <c r="X586">
        <v>0.99949710000000003</v>
      </c>
      <c r="Y586">
        <v>9.7597939999999994E-2</v>
      </c>
      <c r="Z586">
        <v>-3.9540279999999999E-4</v>
      </c>
      <c r="AA586">
        <v>0.99522580000000005</v>
      </c>
      <c r="AB586">
        <v>39</v>
      </c>
      <c r="AC586">
        <v>69.441399999999902</v>
      </c>
      <c r="AD586">
        <v>-1.0316086799999999</v>
      </c>
      <c r="AE586">
        <v>-8.3783999999999992</v>
      </c>
      <c r="AF586">
        <v>6.8463404893148203</v>
      </c>
      <c r="AG586">
        <v>-1.0316086799999999</v>
      </c>
      <c r="AH586">
        <v>69.593861106984804</v>
      </c>
      <c r="AI586">
        <v>90.845169449870497</v>
      </c>
      <c r="AJ586">
        <v>84.381569214541898</v>
      </c>
      <c r="AK586">
        <v>69.937415582380297</v>
      </c>
      <c r="AL586">
        <v>89.119899370137603</v>
      </c>
      <c r="AM586">
        <v>88.410069969115696</v>
      </c>
      <c r="AN586">
        <v>1.00000002016899</v>
      </c>
    </row>
    <row r="587" spans="1:40" x14ac:dyDescent="0.25">
      <c r="A587" t="str">
        <f>"20190312154225073"</f>
        <v>20190312154225073</v>
      </c>
      <c r="B587" t="str">
        <f>"1552376545067977"</f>
        <v>1552376545067977</v>
      </c>
      <c r="C587" t="s">
        <v>40</v>
      </c>
      <c r="D587">
        <v>4.4926890000000004</v>
      </c>
      <c r="E587">
        <v>0.509243</v>
      </c>
      <c r="F587" t="s">
        <v>43</v>
      </c>
      <c r="G587">
        <v>-268.44690000000003</v>
      </c>
      <c r="H587" s="1">
        <v>-2.7548829999999998E-6</v>
      </c>
      <c r="I587">
        <v>361.19650000000001</v>
      </c>
      <c r="J587">
        <v>-336.27409999999998</v>
      </c>
      <c r="K587">
        <v>1.109162</v>
      </c>
      <c r="L587">
        <v>367.96230000000003</v>
      </c>
      <c r="M587">
        <v>0.99973880000000004</v>
      </c>
      <c r="N587">
        <v>0</v>
      </c>
      <c r="O587">
        <v>-2.1997070000000001E-2</v>
      </c>
      <c r="P587">
        <v>0.99872700000000003</v>
      </c>
      <c r="Q587">
        <v>9.487667E-3</v>
      </c>
      <c r="R587">
        <v>-4.9544779999999997E-2</v>
      </c>
      <c r="S587">
        <v>2.989471</v>
      </c>
      <c r="T587">
        <v>-4.8729059999999998E-2</v>
      </c>
      <c r="U587">
        <v>-0.29745480000000002</v>
      </c>
      <c r="V587">
        <v>2.7564209999999999E-2</v>
      </c>
      <c r="W587">
        <v>1.5689040000000001E-2</v>
      </c>
      <c r="X587">
        <v>0.99949690000000002</v>
      </c>
      <c r="Y587">
        <v>7.7091300000000001E-2</v>
      </c>
      <c r="Z587">
        <v>-2.6917569999999999E-4</v>
      </c>
      <c r="AA587">
        <v>0.99702400000000002</v>
      </c>
      <c r="AB587">
        <v>39</v>
      </c>
      <c r="AC587">
        <v>67.827199999999905</v>
      </c>
      <c r="AD587">
        <v>-1.1091647548829999</v>
      </c>
      <c r="AE587">
        <v>-6.7658000000000103</v>
      </c>
      <c r="AF587">
        <v>5.2707389089280099</v>
      </c>
      <c r="AG587">
        <v>-1.1091647548829999</v>
      </c>
      <c r="AH587">
        <v>67.941628658829401</v>
      </c>
      <c r="AI587">
        <v>90.932484155302006</v>
      </c>
      <c r="AJ587">
        <v>85.564023735446696</v>
      </c>
      <c r="AK587">
        <v>68.154793227724198</v>
      </c>
      <c r="AL587">
        <v>89.101047335034593</v>
      </c>
      <c r="AM587">
        <v>88.420292550496995</v>
      </c>
      <c r="AN587">
        <v>0.99999999237932702</v>
      </c>
    </row>
    <row r="588" spans="1:40" x14ac:dyDescent="0.25">
      <c r="A588" t="str">
        <f>"20190312154225091"</f>
        <v>20190312154225091</v>
      </c>
      <c r="B588" t="str">
        <f>"1552376545077739"</f>
        <v>1552376545077739</v>
      </c>
      <c r="C588" t="s">
        <v>40</v>
      </c>
      <c r="D588">
        <v>4.5125960000000003</v>
      </c>
      <c r="E588">
        <v>0.50606969999999996</v>
      </c>
      <c r="F588" t="s">
        <v>43</v>
      </c>
      <c r="G588">
        <v>-267.3922</v>
      </c>
      <c r="H588" s="1">
        <v>-2.6589640000000001E-6</v>
      </c>
      <c r="I588">
        <v>362.90600000000001</v>
      </c>
      <c r="J588">
        <v>-335.97469999999998</v>
      </c>
      <c r="K588">
        <v>1.1091850000000001</v>
      </c>
      <c r="L588">
        <v>367.95569999999998</v>
      </c>
      <c r="M588">
        <v>0.99973920000000005</v>
      </c>
      <c r="N588">
        <v>0</v>
      </c>
      <c r="O588">
        <v>-2.1968930000000001E-2</v>
      </c>
      <c r="P588">
        <v>0.99872340000000004</v>
      </c>
      <c r="Q588">
        <v>9.5227300000000001E-3</v>
      </c>
      <c r="R588">
        <v>-4.9610960000000003E-2</v>
      </c>
      <c r="S588">
        <v>2.9933779999999999</v>
      </c>
      <c r="T588">
        <v>-4.8200489999999999E-2</v>
      </c>
      <c r="U588">
        <v>-0.21972659999999999</v>
      </c>
      <c r="V588">
        <v>2.7658140000000001E-2</v>
      </c>
      <c r="W588">
        <v>1.579297E-2</v>
      </c>
      <c r="X588">
        <v>0.99949270000000001</v>
      </c>
      <c r="Y588">
        <v>5.1275420000000002E-2</v>
      </c>
      <c r="Z588" s="1">
        <v>-5.9078449999999997E-5</v>
      </c>
      <c r="AA588">
        <v>0.99868449999999998</v>
      </c>
      <c r="AB588">
        <v>39</v>
      </c>
      <c r="AC588">
        <v>68.582499999999897</v>
      </c>
      <c r="AD588">
        <v>-1.109187658964</v>
      </c>
      <c r="AE588">
        <v>-5.0496999999999703</v>
      </c>
      <c r="AF588">
        <v>3.5408466055300001</v>
      </c>
      <c r="AG588">
        <v>-1.109187658964</v>
      </c>
      <c r="AH588">
        <v>68.659023784266694</v>
      </c>
      <c r="AI588">
        <v>90.924305630293304</v>
      </c>
      <c r="AJ588">
        <v>87.047787972453406</v>
      </c>
      <c r="AK588">
        <v>68.759213484122895</v>
      </c>
      <c r="AL588">
        <v>89.095091875352296</v>
      </c>
      <c r="AM588">
        <v>88.414905497658793</v>
      </c>
      <c r="AN588">
        <v>1.0000000239814799</v>
      </c>
    </row>
    <row r="589" spans="1:40" x14ac:dyDescent="0.25">
      <c r="A589" t="str">
        <f>"20190312154225113"</f>
        <v>20190312154225113</v>
      </c>
      <c r="B589" t="str">
        <f>"1552376545108000"</f>
        <v>1552376545108000</v>
      </c>
      <c r="C589" t="s">
        <v>40</v>
      </c>
      <c r="D589">
        <v>4.4508919999999996</v>
      </c>
      <c r="E589">
        <v>0.50018379999999996</v>
      </c>
      <c r="F589" t="s">
        <v>43</v>
      </c>
      <c r="G589">
        <v>-272.9975</v>
      </c>
      <c r="H589" s="1">
        <v>-4.0067689999999997E-6</v>
      </c>
      <c r="I589">
        <v>363.86369999999999</v>
      </c>
      <c r="J589">
        <v>-335.57530000000003</v>
      </c>
      <c r="K589">
        <v>1.109216</v>
      </c>
      <c r="L589">
        <v>367.947</v>
      </c>
      <c r="M589">
        <v>0.99973959999999995</v>
      </c>
      <c r="N589">
        <v>0</v>
      </c>
      <c r="O589">
        <v>-2.191181E-2</v>
      </c>
      <c r="P589">
        <v>0.9987317</v>
      </c>
      <c r="Q589">
        <v>9.7770570000000005E-3</v>
      </c>
      <c r="R589">
        <v>-4.9391980000000002E-2</v>
      </c>
      <c r="S589">
        <v>2.994659</v>
      </c>
      <c r="T589">
        <v>-5.274355E-2</v>
      </c>
      <c r="U589">
        <v>-0.19458010000000001</v>
      </c>
      <c r="V589">
        <v>2.7495450000000001E-2</v>
      </c>
      <c r="W589">
        <v>1.6135299999999901E-2</v>
      </c>
      <c r="X589">
        <v>0.99949169999999998</v>
      </c>
      <c r="Y589">
        <v>4.2954020000000002E-2</v>
      </c>
      <c r="Z589" s="1">
        <v>7.5654240000000003E-6</v>
      </c>
      <c r="AA589">
        <v>0.99907699999999999</v>
      </c>
      <c r="AB589">
        <v>39</v>
      </c>
      <c r="AC589">
        <v>62.577800000000003</v>
      </c>
      <c r="AD589">
        <v>-1.1092200067689999</v>
      </c>
      <c r="AE589">
        <v>-4.0832999999999497</v>
      </c>
      <c r="AF589">
        <v>2.7102509589323698</v>
      </c>
      <c r="AG589">
        <v>-1.1092200067689999</v>
      </c>
      <c r="AH589">
        <v>62.632654005237903</v>
      </c>
      <c r="AI589">
        <v>91.013649883022595</v>
      </c>
      <c r="AJ589">
        <v>87.522232942818505</v>
      </c>
      <c r="AK589">
        <v>62.701077957429497</v>
      </c>
      <c r="AL589">
        <v>89.075475292312404</v>
      </c>
      <c r="AM589">
        <v>88.424223009225301</v>
      </c>
      <c r="AN589">
        <v>1.00000000302284</v>
      </c>
    </row>
    <row r="590" spans="1:40" x14ac:dyDescent="0.25">
      <c r="A590" t="str">
        <f>"20190312154225136"</f>
        <v>20190312154225136</v>
      </c>
      <c r="B590" t="str">
        <f>"1552376545127772"</f>
        <v>1552376545127772</v>
      </c>
      <c r="C590" t="s">
        <v>40</v>
      </c>
      <c r="D590">
        <v>4.452801</v>
      </c>
      <c r="E590">
        <v>0.49797419999999998</v>
      </c>
      <c r="F590" t="s">
        <v>42</v>
      </c>
      <c r="G590">
        <v>-286.76670000000001</v>
      </c>
      <c r="H590">
        <v>-0.05</v>
      </c>
      <c r="I590">
        <v>365.56560000000002</v>
      </c>
      <c r="J590">
        <v>-335.17899999999997</v>
      </c>
      <c r="K590">
        <v>1.109246</v>
      </c>
      <c r="L590">
        <v>367.93830000000003</v>
      </c>
      <c r="M590">
        <v>0.99974079999999999</v>
      </c>
      <c r="N590">
        <v>0</v>
      </c>
      <c r="O590">
        <v>-2.183537E-2</v>
      </c>
      <c r="P590">
        <v>0.99876030000000005</v>
      </c>
      <c r="Q590">
        <v>9.6379499999999993E-3</v>
      </c>
      <c r="R590">
        <v>-4.8837409999999998E-2</v>
      </c>
      <c r="S590">
        <v>2.9973139999999998</v>
      </c>
      <c r="T590">
        <v>-7.1186899999999997E-2</v>
      </c>
      <c r="U590">
        <v>-0.14624019999999999</v>
      </c>
      <c r="V590">
        <v>2.7016080000000001E-2</v>
      </c>
      <c r="W590">
        <v>1.6082369999999999E-2</v>
      </c>
      <c r="X590">
        <v>0.99950559999999999</v>
      </c>
      <c r="Y590">
        <v>2.6909519999999999E-2</v>
      </c>
      <c r="Z590">
        <v>1.988061E-4</v>
      </c>
      <c r="AA590">
        <v>0.99963780000000002</v>
      </c>
      <c r="AB590">
        <v>39</v>
      </c>
      <c r="AC590">
        <v>48.412300000000002</v>
      </c>
      <c r="AD590">
        <v>-1.159246</v>
      </c>
      <c r="AE590">
        <v>-2.3727</v>
      </c>
      <c r="AF590">
        <v>1.31426007247134</v>
      </c>
      <c r="AG590">
        <v>-1.159246</v>
      </c>
      <c r="AH590">
        <v>48.4248677723116</v>
      </c>
      <c r="AI590">
        <v>91.370840811261999</v>
      </c>
      <c r="AJ590">
        <v>88.445363339587303</v>
      </c>
      <c r="AK590">
        <v>48.456567662108199</v>
      </c>
      <c r="AL590">
        <v>89.078508328241398</v>
      </c>
      <c r="AM590">
        <v>88.451703956588503</v>
      </c>
      <c r="AN590">
        <v>0.99999997781737104</v>
      </c>
    </row>
    <row r="591" spans="1:40" x14ac:dyDescent="0.25">
      <c r="A591" t="str">
        <f>"20190312154225149"</f>
        <v>20190312154225149</v>
      </c>
      <c r="B591" t="str">
        <f>"1552376545137529"</f>
        <v>1552376545137529</v>
      </c>
      <c r="C591" t="s">
        <v>40</v>
      </c>
      <c r="D591">
        <v>4.4311439999999997</v>
      </c>
      <c r="E591">
        <v>0.4971199</v>
      </c>
      <c r="F591" t="s">
        <v>42</v>
      </c>
      <c r="G591">
        <v>-291.9966</v>
      </c>
      <c r="H591">
        <v>-0.05</v>
      </c>
      <c r="I591">
        <v>366.11340000000001</v>
      </c>
      <c r="J591">
        <v>-334.9599</v>
      </c>
      <c r="K591">
        <v>1.109262</v>
      </c>
      <c r="L591">
        <v>367.93360000000001</v>
      </c>
      <c r="M591">
        <v>0.99974169999999996</v>
      </c>
      <c r="N591">
        <v>0</v>
      </c>
      <c r="O591">
        <v>-2.178619E-2</v>
      </c>
      <c r="P591">
        <v>0.99875119999999895</v>
      </c>
      <c r="Q591">
        <v>9.8290029999999994E-3</v>
      </c>
      <c r="R591">
        <v>-4.8988329999999997E-2</v>
      </c>
      <c r="S591">
        <v>2.9983520000000001</v>
      </c>
      <c r="T591">
        <v>-8.0491900000000005E-2</v>
      </c>
      <c r="U591">
        <v>-0.12670899999999999</v>
      </c>
      <c r="V591">
        <v>2.7215509999999998E-2</v>
      </c>
      <c r="W591">
        <v>1.6319810000000001E-2</v>
      </c>
      <c r="X591">
        <v>0.9994963</v>
      </c>
      <c r="Y591">
        <v>2.0445100000000001E-2</v>
      </c>
      <c r="Z591">
        <v>3.1014649999999998E-4</v>
      </c>
      <c r="AA591">
        <v>0.99979090000000004</v>
      </c>
      <c r="AB591">
        <v>39</v>
      </c>
      <c r="AC591">
        <v>42.963299999999997</v>
      </c>
      <c r="AD591">
        <v>-1.159262</v>
      </c>
      <c r="AE591">
        <v>-1.8202</v>
      </c>
      <c r="AF591">
        <v>0.88309993907608297</v>
      </c>
      <c r="AG591">
        <v>-1.159262</v>
      </c>
      <c r="AH591">
        <v>42.961535818238502</v>
      </c>
      <c r="AI591">
        <v>91.545351838506704</v>
      </c>
      <c r="AJ591">
        <v>88.822416987171195</v>
      </c>
      <c r="AK591">
        <v>42.986245634491397</v>
      </c>
      <c r="AL591">
        <v>89.064902194050603</v>
      </c>
      <c r="AM591">
        <v>88.440265709532298</v>
      </c>
      <c r="AN591">
        <v>0.999999936948341</v>
      </c>
    </row>
    <row r="592" spans="1:40" x14ac:dyDescent="0.25">
      <c r="A592" t="str">
        <f>"20190312154225160"</f>
        <v>20190312154225160</v>
      </c>
      <c r="B592" t="str">
        <f>"1552376545158025"</f>
        <v>1552376545158025</v>
      </c>
      <c r="C592" t="s">
        <v>40</v>
      </c>
      <c r="D592">
        <v>4.43811</v>
      </c>
      <c r="E592">
        <v>0.49568030000000002</v>
      </c>
      <c r="F592" t="s">
        <v>42</v>
      </c>
      <c r="G592">
        <v>-293.30900000000003</v>
      </c>
      <c r="H592">
        <v>-0.05</v>
      </c>
      <c r="I592">
        <v>366.26179999999999</v>
      </c>
      <c r="J592">
        <v>-334.74689999999998</v>
      </c>
      <c r="K592">
        <v>1.1092759999999999</v>
      </c>
      <c r="L592">
        <v>367.92899999999997</v>
      </c>
      <c r="M592">
        <v>0.99974260000000004</v>
      </c>
      <c r="N592">
        <v>0</v>
      </c>
      <c r="O592">
        <v>-2.1727110000000001E-2</v>
      </c>
      <c r="P592">
        <v>0.99874929999999995</v>
      </c>
      <c r="Q592">
        <v>9.9469199999999997E-3</v>
      </c>
      <c r="R592">
        <v>-4.8998380000000001E-2</v>
      </c>
      <c r="S592">
        <v>2.9986570000000001</v>
      </c>
      <c r="T592">
        <v>-8.3461049999999995E-2</v>
      </c>
      <c r="U592">
        <v>-0.1203613</v>
      </c>
      <c r="V592">
        <v>2.7284289999999999E-2</v>
      </c>
      <c r="W592">
        <v>1.6480479999999999E-2</v>
      </c>
      <c r="X592">
        <v>0.99949189999999999</v>
      </c>
      <c r="Y592">
        <v>1.8387839999999999E-2</v>
      </c>
      <c r="Z592">
        <v>3.4853739999999997E-4</v>
      </c>
      <c r="AA592">
        <v>0.99983080000000002</v>
      </c>
      <c r="AB592">
        <v>39</v>
      </c>
      <c r="AC592">
        <v>41.4378999999999</v>
      </c>
      <c r="AD592">
        <v>-1.159276</v>
      </c>
      <c r="AE592">
        <v>-1.66720000000003</v>
      </c>
      <c r="AF592">
        <v>0.76586295394823001</v>
      </c>
      <c r="AG592">
        <v>-1.159276</v>
      </c>
      <c r="AH592">
        <v>41.431966784774197</v>
      </c>
      <c r="AI592">
        <v>91.602457370728402</v>
      </c>
      <c r="AJ592">
        <v>88.941017732850995</v>
      </c>
      <c r="AK592">
        <v>41.455257067868203</v>
      </c>
      <c r="AL592">
        <v>89.055695347595403</v>
      </c>
      <c r="AM592">
        <v>88.436318968110598</v>
      </c>
      <c r="AN592">
        <v>1.0000000484337199</v>
      </c>
    </row>
    <row r="593" spans="1:40" x14ac:dyDescent="0.25">
      <c r="A593" t="str">
        <f>"20190312154225179"</f>
        <v>20190312154225179</v>
      </c>
      <c r="B593" t="str">
        <f>"1552376545167784"</f>
        <v>1552376545167784</v>
      </c>
      <c r="C593" t="s">
        <v>40</v>
      </c>
      <c r="D593">
        <v>4.4342629999999996</v>
      </c>
      <c r="E593">
        <v>0.49506630000000001</v>
      </c>
      <c r="F593" t="s">
        <v>42</v>
      </c>
      <c r="G593">
        <v>-295.22359999999998</v>
      </c>
      <c r="H593">
        <v>-0.05</v>
      </c>
      <c r="I593">
        <v>366.49619999999999</v>
      </c>
      <c r="J593">
        <v>-334.423</v>
      </c>
      <c r="K593">
        <v>1.1093010000000001</v>
      </c>
      <c r="L593">
        <v>367.92200000000003</v>
      </c>
      <c r="M593">
        <v>0.99974439999999998</v>
      </c>
      <c r="N593">
        <v>0</v>
      </c>
      <c r="O593">
        <v>-2.162644E-2</v>
      </c>
      <c r="P593">
        <v>0.99878199999999995</v>
      </c>
      <c r="Q593">
        <v>9.7287710000000006E-3</v>
      </c>
      <c r="R593">
        <v>-4.8374220000000002E-2</v>
      </c>
      <c r="S593">
        <v>2.999298</v>
      </c>
      <c r="T593">
        <v>-8.7973949999999995E-2</v>
      </c>
      <c r="U593">
        <v>-0.1087341</v>
      </c>
      <c r="V593">
        <v>2.6759430000000001E-2</v>
      </c>
      <c r="W593">
        <v>1.6327910000000001E-2</v>
      </c>
      <c r="X593">
        <v>0.99950859999999997</v>
      </c>
      <c r="Y593">
        <v>1.4611219999999999E-2</v>
      </c>
      <c r="Z593">
        <v>4.1973809999999999E-4</v>
      </c>
      <c r="AA593">
        <v>0.99989320000000004</v>
      </c>
      <c r="AB593">
        <v>39</v>
      </c>
      <c r="AC593">
        <v>39.199399999999997</v>
      </c>
      <c r="AD593">
        <v>-1.1593009999999999</v>
      </c>
      <c r="AE593">
        <v>-1.42579999999998</v>
      </c>
      <c r="AF593">
        <v>0.57720045836841305</v>
      </c>
      <c r="AG593">
        <v>-1.1593009999999999</v>
      </c>
      <c r="AH593">
        <v>39.186837915099801</v>
      </c>
      <c r="AI593">
        <v>91.694356885391201</v>
      </c>
      <c r="AJ593">
        <v>89.156125867766903</v>
      </c>
      <c r="AK593">
        <v>39.208231341926698</v>
      </c>
      <c r="AL593">
        <v>89.064438146447699</v>
      </c>
      <c r="AM593">
        <v>88.466410153839803</v>
      </c>
      <c r="AN593">
        <v>1.0000000546064201</v>
      </c>
    </row>
    <row r="594" spans="1:40" x14ac:dyDescent="0.25">
      <c r="A594" t="str">
        <f>"20190312154225194"</f>
        <v>20190312154225194</v>
      </c>
      <c r="B594" t="str">
        <f>"1552376545188282"</f>
        <v>1552376545188282</v>
      </c>
      <c r="C594" t="s">
        <v>40</v>
      </c>
      <c r="D594">
        <v>4.4404760000000003</v>
      </c>
      <c r="E594">
        <v>0.4939443</v>
      </c>
      <c r="F594" t="s">
        <v>42</v>
      </c>
      <c r="G594">
        <v>-295.85419999999999</v>
      </c>
      <c r="H594">
        <v>-0.05</v>
      </c>
      <c r="I594">
        <v>366.61340000000001</v>
      </c>
      <c r="J594">
        <v>-334.17250000000001</v>
      </c>
      <c r="K594">
        <v>1.109318</v>
      </c>
      <c r="L594">
        <v>367.91669999999999</v>
      </c>
      <c r="M594">
        <v>0.99974609999999997</v>
      </c>
      <c r="N594">
        <v>0</v>
      </c>
      <c r="O594">
        <v>-2.1537549999999999E-2</v>
      </c>
      <c r="P594">
        <v>0.99879099999999998</v>
      </c>
      <c r="Q594">
        <v>9.7343859999999994E-3</v>
      </c>
      <c r="R594">
        <v>-4.8186640000000003E-2</v>
      </c>
      <c r="S594">
        <v>2.999603</v>
      </c>
      <c r="T594">
        <v>-9.0162160000000005E-2</v>
      </c>
      <c r="U594">
        <v>-0.10177609999999999</v>
      </c>
      <c r="V594">
        <v>2.666021E-2</v>
      </c>
      <c r="W594">
        <v>1.638274E-2</v>
      </c>
      <c r="X594">
        <v>0.99951029999999996</v>
      </c>
      <c r="Y594">
        <v>1.238097E-2</v>
      </c>
      <c r="Z594">
        <v>4.6098340000000002E-4</v>
      </c>
      <c r="AA594">
        <v>0.99992320000000001</v>
      </c>
      <c r="AB594">
        <v>39</v>
      </c>
      <c r="AC594">
        <v>38.318300000000001</v>
      </c>
      <c r="AD594">
        <v>-1.1593180000000001</v>
      </c>
      <c r="AE594">
        <v>-1.3032999999999699</v>
      </c>
      <c r="AF594">
        <v>0.47726090673897198</v>
      </c>
      <c r="AG594">
        <v>-1.1593180000000001</v>
      </c>
      <c r="AH594">
        <v>38.302461714502499</v>
      </c>
      <c r="AI594">
        <v>91.733533601241206</v>
      </c>
      <c r="AJ594">
        <v>89.286113231425404</v>
      </c>
      <c r="AK594">
        <v>38.322974435567403</v>
      </c>
      <c r="AL594">
        <v>89.061296147868902</v>
      </c>
      <c r="AM594">
        <v>88.472096374719499</v>
      </c>
      <c r="AN594">
        <v>1.0000000003866201</v>
      </c>
    </row>
    <row r="595" spans="1:40" x14ac:dyDescent="0.25">
      <c r="A595" t="str">
        <f>"20190312154225213"</f>
        <v>20190312154225213</v>
      </c>
      <c r="B595" t="str">
        <f>"1552376545207801"</f>
        <v>1552376545207801</v>
      </c>
      <c r="C595" t="s">
        <v>40</v>
      </c>
      <c r="D595">
        <v>4.3989330000000004</v>
      </c>
      <c r="E595">
        <v>0.49320750000000002</v>
      </c>
      <c r="F595" t="s">
        <v>42</v>
      </c>
      <c r="G595">
        <v>-299.07080000000002</v>
      </c>
      <c r="H595">
        <v>-0.05</v>
      </c>
      <c r="I595">
        <v>366.83940000000001</v>
      </c>
      <c r="J595">
        <v>-333.81810000000002</v>
      </c>
      <c r="K595">
        <v>1.109337</v>
      </c>
      <c r="L595">
        <v>367.90910000000002</v>
      </c>
      <c r="M595">
        <v>0.99974859999999999</v>
      </c>
      <c r="N595">
        <v>0</v>
      </c>
      <c r="O595">
        <v>-2.1393599999999999E-2</v>
      </c>
      <c r="P595">
        <v>0.99882070000000001</v>
      </c>
      <c r="Q595">
        <v>9.3981480000000003E-3</v>
      </c>
      <c r="R595">
        <v>-4.7634129999999997E-2</v>
      </c>
      <c r="S595">
        <v>3.0001220000000002</v>
      </c>
      <c r="T595">
        <v>-9.9086170000000001E-2</v>
      </c>
      <c r="U595">
        <v>-9.2071529999999999E-2</v>
      </c>
      <c r="V595">
        <v>2.6250269999999999E-2</v>
      </c>
      <c r="W595">
        <v>1.6114799999999999E-2</v>
      </c>
      <c r="X595">
        <v>0.99952549999999996</v>
      </c>
      <c r="Y595">
        <v>9.2903800000000009E-3</v>
      </c>
      <c r="Z595">
        <v>5.5279289999999996E-4</v>
      </c>
      <c r="AA595">
        <v>0.99995670000000003</v>
      </c>
      <c r="AB595">
        <v>39</v>
      </c>
      <c r="AC595">
        <v>34.747300000000003</v>
      </c>
      <c r="AD595">
        <v>-1.1593370000000001</v>
      </c>
      <c r="AE595">
        <v>-1.0697000000000101</v>
      </c>
      <c r="AF595">
        <v>0.32570634862492498</v>
      </c>
      <c r="AG595">
        <v>-1.1593370000000001</v>
      </c>
      <c r="AH595">
        <v>34.7236142124802</v>
      </c>
      <c r="AI595">
        <v>91.912172289626895</v>
      </c>
      <c r="AJ595">
        <v>89.462583251111695</v>
      </c>
      <c r="AK595">
        <v>34.744489216021798</v>
      </c>
      <c r="AL595">
        <v>89.076650000469201</v>
      </c>
      <c r="AM595">
        <v>88.495602130103094</v>
      </c>
      <c r="AN595">
        <v>0.99999999430218101</v>
      </c>
    </row>
    <row r="596" spans="1:40" x14ac:dyDescent="0.25">
      <c r="A596" t="str">
        <f>"20190312154225227"</f>
        <v>20190312154225227</v>
      </c>
      <c r="B596" t="str">
        <f>"1552376545217561"</f>
        <v>1552376545217561</v>
      </c>
      <c r="C596" t="s">
        <v>40</v>
      </c>
      <c r="D596">
        <v>4.4163059999999996</v>
      </c>
      <c r="E596">
        <v>0.49289270000000002</v>
      </c>
      <c r="F596" t="s">
        <v>42</v>
      </c>
      <c r="G596">
        <v>-299.72629999999998</v>
      </c>
      <c r="H596">
        <v>-0.05</v>
      </c>
      <c r="I596">
        <v>366.9511</v>
      </c>
      <c r="J596">
        <v>-333.56939999999997</v>
      </c>
      <c r="K596">
        <v>1.1093519999999999</v>
      </c>
      <c r="L596">
        <v>367.90390000000002</v>
      </c>
      <c r="M596">
        <v>0.99975069999999999</v>
      </c>
      <c r="N596">
        <v>0</v>
      </c>
      <c r="O596">
        <v>-2.1282760000000001E-2</v>
      </c>
      <c r="P596">
        <v>0.99881920000000002</v>
      </c>
      <c r="Q596">
        <v>9.3433530000000004E-3</v>
      </c>
      <c r="R596">
        <v>-4.767586E-2</v>
      </c>
      <c r="S596">
        <v>3.0004879999999998</v>
      </c>
      <c r="T596">
        <v>-0.1020355</v>
      </c>
      <c r="U596">
        <v>-8.4320069999999997E-2</v>
      </c>
      <c r="V596">
        <v>2.6402419999999999E-2</v>
      </c>
      <c r="W596">
        <v>1.6106209999999999E-2</v>
      </c>
      <c r="X596">
        <v>0.99952160000000001</v>
      </c>
      <c r="Y596">
        <v>6.8181630000000003E-3</v>
      </c>
      <c r="Z596">
        <v>6.0744399999999995E-4</v>
      </c>
      <c r="AA596">
        <v>0.99997659999999999</v>
      </c>
      <c r="AB596">
        <v>39</v>
      </c>
      <c r="AC596">
        <v>33.8430999999999</v>
      </c>
      <c r="AD596">
        <v>-1.1593519999999999</v>
      </c>
      <c r="AE596">
        <v>-0.95280000000002396</v>
      </c>
      <c r="AF596">
        <v>0.23202112056108601</v>
      </c>
      <c r="AG596">
        <v>-1.1593519999999999</v>
      </c>
      <c r="AH596">
        <v>33.816060361512001</v>
      </c>
      <c r="AI596">
        <v>91.963516946916698</v>
      </c>
      <c r="AJ596">
        <v>89.606884355584896</v>
      </c>
      <c r="AK596">
        <v>33.836723677591998</v>
      </c>
      <c r="AL596">
        <v>89.077142206510999</v>
      </c>
      <c r="AM596">
        <v>88.4868805839468</v>
      </c>
      <c r="AN596">
        <v>0.99999996332448904</v>
      </c>
    </row>
    <row r="597" spans="1:40" x14ac:dyDescent="0.25">
      <c r="A597" t="str">
        <f>"20190312154225247"</f>
        <v>20190312154225247</v>
      </c>
      <c r="B597" t="str">
        <f>"1552376545238056"</f>
        <v>1552376545238056</v>
      </c>
      <c r="C597" t="s">
        <v>40</v>
      </c>
      <c r="D597">
        <v>4.3859269999999997</v>
      </c>
      <c r="E597">
        <v>0.49234879999999998</v>
      </c>
      <c r="F597" t="s">
        <v>42</v>
      </c>
      <c r="G597">
        <v>-299.8879</v>
      </c>
      <c r="H597">
        <v>-0.05</v>
      </c>
      <c r="I597">
        <v>366.98450000000003</v>
      </c>
      <c r="J597">
        <v>-333.21710000000002</v>
      </c>
      <c r="K597">
        <v>1.10938</v>
      </c>
      <c r="L597">
        <v>367.8965</v>
      </c>
      <c r="M597">
        <v>0.99975400000000003</v>
      </c>
      <c r="N597">
        <v>0</v>
      </c>
      <c r="O597">
        <v>-2.1106969999999999E-2</v>
      </c>
      <c r="P597">
        <v>0.99884969999999995</v>
      </c>
      <c r="Q597">
        <v>8.8304779999999992E-3</v>
      </c>
      <c r="R597">
        <v>-4.7131939999999997E-2</v>
      </c>
      <c r="S597">
        <v>3.00061</v>
      </c>
      <c r="T597">
        <v>-0.1032844</v>
      </c>
      <c r="U597">
        <v>-8.1909179999999998E-2</v>
      </c>
      <c r="V597">
        <v>2.6032969999999999E-2</v>
      </c>
      <c r="W597">
        <v>1.5657560000000001E-2</v>
      </c>
      <c r="X597">
        <v>0.9995385</v>
      </c>
      <c r="Y597">
        <v>6.1904919999999997E-3</v>
      </c>
      <c r="Z597">
        <v>6.1960889999999999E-4</v>
      </c>
      <c r="AA597">
        <v>0.9999806</v>
      </c>
      <c r="AB597">
        <v>39</v>
      </c>
      <c r="AC597">
        <v>33.3292</v>
      </c>
      <c r="AD597">
        <v>-1.1593799999999901</v>
      </c>
      <c r="AE597">
        <v>-0.91199999999997705</v>
      </c>
      <c r="AF597">
        <v>0.20805049753223301</v>
      </c>
      <c r="AG597">
        <v>-1.1593799999999901</v>
      </c>
      <c r="AH597">
        <v>33.300759385558798</v>
      </c>
      <c r="AI597">
        <v>91.993932495905199</v>
      </c>
      <c r="AJ597">
        <v>89.642042386954401</v>
      </c>
      <c r="AK597">
        <v>33.321584936026198</v>
      </c>
      <c r="AL597">
        <v>89.102851273944495</v>
      </c>
      <c r="AM597">
        <v>88.508069294297101</v>
      </c>
      <c r="AN597">
        <v>1.0000000438472101</v>
      </c>
    </row>
    <row r="598" spans="1:40" x14ac:dyDescent="0.25">
      <c r="A598" t="str">
        <f>"20190312154225268"</f>
        <v>20190312154225268</v>
      </c>
      <c r="B598" t="str">
        <f>"1552376545257577"</f>
        <v>1552376545257577</v>
      </c>
      <c r="C598" t="s">
        <v>40</v>
      </c>
      <c r="D598">
        <v>4.3492579999999998</v>
      </c>
      <c r="E598">
        <v>0.4918978</v>
      </c>
      <c r="F598" t="s">
        <v>42</v>
      </c>
      <c r="G598">
        <v>-300.24079999999998</v>
      </c>
      <c r="H598">
        <v>-0.05</v>
      </c>
      <c r="I598">
        <v>367.0598</v>
      </c>
      <c r="J598">
        <v>-332.85649999999998</v>
      </c>
      <c r="K598">
        <v>1.109407</v>
      </c>
      <c r="L598">
        <v>367.88900000000001</v>
      </c>
      <c r="M598">
        <v>0.99975780000000003</v>
      </c>
      <c r="N598">
        <v>0</v>
      </c>
      <c r="O598">
        <v>-2.0903850000000002E-2</v>
      </c>
      <c r="P598">
        <v>0.99885400000000002</v>
      </c>
      <c r="Q598">
        <v>8.6856039999999995E-3</v>
      </c>
      <c r="R598">
        <v>-4.7066770000000001E-2</v>
      </c>
      <c r="S598">
        <v>3.0007630000000001</v>
      </c>
      <c r="T598">
        <v>-0.10550080000000001</v>
      </c>
      <c r="U598">
        <v>-7.6141360000000005E-2</v>
      </c>
      <c r="V598">
        <v>2.6169890000000001E-2</v>
      </c>
      <c r="W598">
        <v>1.557794E-2</v>
      </c>
      <c r="X598">
        <v>0.99953610000000004</v>
      </c>
      <c r="Y598">
        <v>4.4728199999999997E-3</v>
      </c>
      <c r="Z598">
        <v>6.5593009999999905E-4</v>
      </c>
      <c r="AA598">
        <v>0.99998980000000004</v>
      </c>
      <c r="AB598">
        <v>39</v>
      </c>
      <c r="AC598">
        <v>32.615699999999997</v>
      </c>
      <c r="AD598">
        <v>-1.1594070000000001</v>
      </c>
      <c r="AE598">
        <v>-0.82920000000001404</v>
      </c>
      <c r="AF598">
        <v>0.14702329163098399</v>
      </c>
      <c r="AG598">
        <v>-1.1594070000000001</v>
      </c>
      <c r="AH598">
        <v>32.584758370071</v>
      </c>
      <c r="AI598">
        <v>92.037776046984902</v>
      </c>
      <c r="AJ598">
        <v>89.741481681695205</v>
      </c>
      <c r="AK598">
        <v>32.605709906024799</v>
      </c>
      <c r="AL598">
        <v>89.107413658959999</v>
      </c>
      <c r="AM598">
        <v>88.500222482979794</v>
      </c>
      <c r="AN598">
        <v>0.99999997528023199</v>
      </c>
    </row>
    <row r="599" spans="1:40" x14ac:dyDescent="0.25">
      <c r="A599" t="str">
        <f>"20190312154225291"</f>
        <v>20190312154225291</v>
      </c>
      <c r="B599" t="str">
        <f>"1552376545287833"</f>
        <v>1552376545287833</v>
      </c>
      <c r="C599" t="s">
        <v>40</v>
      </c>
      <c r="D599">
        <v>4.350803</v>
      </c>
      <c r="E599">
        <v>0.49135970000000001</v>
      </c>
      <c r="F599" t="s">
        <v>42</v>
      </c>
      <c r="G599">
        <v>-300.49900000000002</v>
      </c>
      <c r="H599">
        <v>-0.05</v>
      </c>
      <c r="I599">
        <v>367.10879999999997</v>
      </c>
      <c r="J599">
        <v>-332.44</v>
      </c>
      <c r="K599">
        <v>1.1094349999999999</v>
      </c>
      <c r="L599">
        <v>367.88060000000002</v>
      </c>
      <c r="M599">
        <v>0.99976290000000001</v>
      </c>
      <c r="N599">
        <v>0</v>
      </c>
      <c r="O599">
        <v>-2.063454E-2</v>
      </c>
      <c r="P599">
        <v>0.99888319999999997</v>
      </c>
      <c r="Q599">
        <v>8.3555179999999993E-3</v>
      </c>
      <c r="R599">
        <v>-4.6502759999999997E-2</v>
      </c>
      <c r="S599">
        <v>3.0009769999999998</v>
      </c>
      <c r="T599">
        <v>-0.10752829999999999</v>
      </c>
      <c r="U599">
        <v>-7.2357179999999993E-2</v>
      </c>
      <c r="V599">
        <v>2.5873520000000001E-2</v>
      </c>
      <c r="W599">
        <v>1.5319050000000001E-2</v>
      </c>
      <c r="X599">
        <v>0.99954779999999999</v>
      </c>
      <c r="Y599">
        <v>3.4810330000000001E-3</v>
      </c>
      <c r="Z599">
        <v>6.7661109999999996E-4</v>
      </c>
      <c r="AA599">
        <v>0.99999369999999999</v>
      </c>
      <c r="AB599">
        <v>40</v>
      </c>
      <c r="AC599">
        <v>31.940999999999899</v>
      </c>
      <c r="AD599">
        <v>-1.159435</v>
      </c>
      <c r="AE599">
        <v>-0.77180000000004101</v>
      </c>
      <c r="AF599">
        <v>0.112383890340441</v>
      </c>
      <c r="AG599">
        <v>-1.159435</v>
      </c>
      <c r="AH599">
        <v>31.908106313436001</v>
      </c>
      <c r="AI599">
        <v>92.081010565904407</v>
      </c>
      <c r="AJ599">
        <v>89.798198742589904</v>
      </c>
      <c r="AK599">
        <v>31.929362163494101</v>
      </c>
      <c r="AL599">
        <v>89.122248719260597</v>
      </c>
      <c r="AM599">
        <v>88.517216956541802</v>
      </c>
      <c r="AN599">
        <v>0.99999995840746503</v>
      </c>
    </row>
    <row r="600" spans="1:40" x14ac:dyDescent="0.25">
      <c r="A600" t="str">
        <f>"20190312154225315"</f>
        <v>20190312154225315</v>
      </c>
      <c r="B600" t="str">
        <f>"1552376545308329"</f>
        <v>1552376545308329</v>
      </c>
      <c r="C600" t="s">
        <v>40</v>
      </c>
      <c r="D600">
        <v>4.3201890000000001</v>
      </c>
      <c r="E600">
        <v>0.49122009999999999</v>
      </c>
      <c r="F600" t="s">
        <v>42</v>
      </c>
      <c r="G600">
        <v>-300.82389999999998</v>
      </c>
      <c r="H600">
        <v>-0.05</v>
      </c>
      <c r="I600">
        <v>367.18619999999999</v>
      </c>
      <c r="J600">
        <v>-332.03379999999999</v>
      </c>
      <c r="K600">
        <v>1.109469</v>
      </c>
      <c r="L600">
        <v>367.87240000000003</v>
      </c>
      <c r="M600">
        <v>0.99976830000000005</v>
      </c>
      <c r="N600">
        <v>0</v>
      </c>
      <c r="O600">
        <v>-2.0344350000000001E-2</v>
      </c>
      <c r="P600">
        <v>0.99891569999999996</v>
      </c>
      <c r="Q600">
        <v>7.8365499999999994E-3</v>
      </c>
      <c r="R600">
        <v>-4.5890819999999999E-2</v>
      </c>
      <c r="S600">
        <v>3.0012210000000001</v>
      </c>
      <c r="T600">
        <v>-0.1100618</v>
      </c>
      <c r="U600">
        <v>-6.5917970000000006E-2</v>
      </c>
      <c r="V600">
        <v>2.555048E-2</v>
      </c>
      <c r="W600">
        <v>1.486468E-2</v>
      </c>
      <c r="X600">
        <v>0.99956299999999998</v>
      </c>
      <c r="Y600">
        <v>1.6265029999999901E-3</v>
      </c>
      <c r="Z600">
        <v>7.1586239999999997E-4</v>
      </c>
      <c r="AA600">
        <v>0.99999850000000001</v>
      </c>
      <c r="AB600">
        <v>40</v>
      </c>
      <c r="AC600">
        <v>31.209900000000001</v>
      </c>
      <c r="AD600">
        <v>-1.1594690000000001</v>
      </c>
      <c r="AE600">
        <v>-0.686200000000042</v>
      </c>
      <c r="AF600">
        <v>5.10267501679737E-2</v>
      </c>
      <c r="AG600">
        <v>-1.1594690000000001</v>
      </c>
      <c r="AH600">
        <v>31.174395607198999</v>
      </c>
      <c r="AI600">
        <v>92.130016729886194</v>
      </c>
      <c r="AJ600">
        <v>89.906217433922905</v>
      </c>
      <c r="AK600">
        <v>31.195991947128999</v>
      </c>
      <c r="AL600">
        <v>89.148285194670095</v>
      </c>
      <c r="AM600">
        <v>88.535744170710103</v>
      </c>
      <c r="AN600">
        <v>0.99999998835436599</v>
      </c>
    </row>
    <row r="601" spans="1:40" x14ac:dyDescent="0.25">
      <c r="A601" t="str">
        <f>"20190312154225336"</f>
        <v>20190312154225336</v>
      </c>
      <c r="B601" t="str">
        <f>"1552376545327849"</f>
        <v>1552376545327849</v>
      </c>
      <c r="C601" t="s">
        <v>40</v>
      </c>
      <c r="D601">
        <v>4.3017390000000004</v>
      </c>
      <c r="E601">
        <v>0.49107899999999999</v>
      </c>
      <c r="F601" t="s">
        <v>42</v>
      </c>
      <c r="G601">
        <v>-301.00119999999998</v>
      </c>
      <c r="H601">
        <v>-0.05</v>
      </c>
      <c r="I601">
        <v>367.2199</v>
      </c>
      <c r="J601">
        <v>-331.64780000000002</v>
      </c>
      <c r="K601">
        <v>1.1094980000000001</v>
      </c>
      <c r="L601">
        <v>367.8648</v>
      </c>
      <c r="M601">
        <v>0.9997741</v>
      </c>
      <c r="N601">
        <v>0</v>
      </c>
      <c r="O601">
        <v>-2.004235E-2</v>
      </c>
      <c r="P601">
        <v>0.99894090000000002</v>
      </c>
      <c r="Q601">
        <v>7.4168630000000001E-3</v>
      </c>
      <c r="R601">
        <v>-4.5409379999999999E-2</v>
      </c>
      <c r="S601">
        <v>3.0012509999999999</v>
      </c>
      <c r="T601">
        <v>-0.1121354</v>
      </c>
      <c r="U601">
        <v>-6.3110349999999996E-2</v>
      </c>
      <c r="V601">
        <v>2.5369630000000001E-2</v>
      </c>
      <c r="W601">
        <v>1.450327E-2</v>
      </c>
      <c r="X601">
        <v>0.99957289999999999</v>
      </c>
      <c r="Y601">
        <v>9.9400060000000008E-4</v>
      </c>
      <c r="Z601">
        <v>7.2987729999999997E-4</v>
      </c>
      <c r="AA601">
        <v>0.99999919999999998</v>
      </c>
      <c r="AB601">
        <v>40</v>
      </c>
      <c r="AC601">
        <v>30.646599999999999</v>
      </c>
      <c r="AD601">
        <v>-1.1594979999999999</v>
      </c>
      <c r="AE601">
        <v>-0.64490000000000602</v>
      </c>
      <c r="AF601">
        <v>3.0481584058076199E-2</v>
      </c>
      <c r="AG601">
        <v>-1.1594979999999999</v>
      </c>
      <c r="AH601">
        <v>30.609572802320301</v>
      </c>
      <c r="AI601">
        <v>92.169339663542303</v>
      </c>
      <c r="AJ601">
        <v>89.942943811944602</v>
      </c>
      <c r="AK601">
        <v>30.631541128051602</v>
      </c>
      <c r="AL601">
        <v>89.168994682483003</v>
      </c>
      <c r="AM601">
        <v>88.546118314883202</v>
      </c>
      <c r="AN601">
        <v>0.99999997269071905</v>
      </c>
    </row>
    <row r="602" spans="1:40" x14ac:dyDescent="0.25">
      <c r="A602" t="str">
        <f>"20190312154225348"</f>
        <v>20190312154225348</v>
      </c>
      <c r="B602" t="str">
        <f>"1552376545337609"</f>
        <v>1552376545337609</v>
      </c>
      <c r="C602" t="s">
        <v>40</v>
      </c>
      <c r="D602">
        <v>4.3128739999999999</v>
      </c>
      <c r="E602">
        <v>0.49101119999999998</v>
      </c>
      <c r="F602" t="s">
        <v>42</v>
      </c>
      <c r="G602">
        <v>-300.94779999999997</v>
      </c>
      <c r="H602">
        <v>-0.05</v>
      </c>
      <c r="I602">
        <v>367.24639999999999</v>
      </c>
      <c r="J602">
        <v>-331.42669999999998</v>
      </c>
      <c r="K602">
        <v>1.1095219999999999</v>
      </c>
      <c r="L602">
        <v>367.8605</v>
      </c>
      <c r="M602">
        <v>0.99977760000000004</v>
      </c>
      <c r="N602">
        <v>0</v>
      </c>
      <c r="O602">
        <v>-1.985934E-2</v>
      </c>
      <c r="P602">
        <v>0.9989498</v>
      </c>
      <c r="Q602">
        <v>7.2087369999999998E-3</v>
      </c>
      <c r="R602">
        <v>-4.5251310000000003E-2</v>
      </c>
      <c r="S602">
        <v>3.0012819999999998</v>
      </c>
      <c r="T602">
        <v>-0.1133546</v>
      </c>
      <c r="U602">
        <v>-6.045532E-2</v>
      </c>
      <c r="V602">
        <v>2.5393990000000002E-2</v>
      </c>
      <c r="W602">
        <v>1.432782E-2</v>
      </c>
      <c r="X602">
        <v>0.99957479999999999</v>
      </c>
      <c r="Y602">
        <v>2.9323990000000002E-4</v>
      </c>
      <c r="Z602">
        <v>7.4412789999999903E-4</v>
      </c>
      <c r="AA602">
        <v>0.99999970000000005</v>
      </c>
      <c r="AB602">
        <v>40</v>
      </c>
      <c r="AC602">
        <v>30.478899999999999</v>
      </c>
      <c r="AD602">
        <v>-1.1595219999999999</v>
      </c>
      <c r="AE602">
        <v>-0.61410000000000697</v>
      </c>
      <c r="AF602">
        <v>8.6602756504788794E-3</v>
      </c>
      <c r="AG602">
        <v>-1.1595219999999999</v>
      </c>
      <c r="AH602">
        <v>30.441045161690901</v>
      </c>
      <c r="AI602">
        <v>92.181384086110299</v>
      </c>
      <c r="AJ602">
        <v>89.983699730801902</v>
      </c>
      <c r="AK602">
        <v>30.463121914947699</v>
      </c>
      <c r="AL602">
        <v>89.179048262329104</v>
      </c>
      <c r="AM602">
        <v>88.544725658088296</v>
      </c>
      <c r="AN602">
        <v>0.99999996097455501</v>
      </c>
    </row>
    <row r="603" spans="1:40" x14ac:dyDescent="0.25">
      <c r="A603" t="str">
        <f>"20190312154225361"</f>
        <v>20190312154225361</v>
      </c>
      <c r="B603" t="str">
        <f>"1552376545358104"</f>
        <v>1552376545358104</v>
      </c>
      <c r="C603" t="s">
        <v>40</v>
      </c>
      <c r="D603">
        <v>4.2995619999999999</v>
      </c>
      <c r="E603">
        <v>0.49087180000000002</v>
      </c>
      <c r="F603" t="s">
        <v>42</v>
      </c>
      <c r="G603">
        <v>-300.91770000000002</v>
      </c>
      <c r="H603">
        <v>-0.05</v>
      </c>
      <c r="I603">
        <v>367.25490000000002</v>
      </c>
      <c r="J603">
        <v>-331.20170000000002</v>
      </c>
      <c r="K603">
        <v>1.109542</v>
      </c>
      <c r="L603">
        <v>367.85610000000003</v>
      </c>
      <c r="M603">
        <v>0.99978140000000004</v>
      </c>
      <c r="N603">
        <v>0</v>
      </c>
      <c r="O603">
        <v>-1.9656170000000001E-2</v>
      </c>
      <c r="P603">
        <v>0.99896660000000004</v>
      </c>
      <c r="Q603">
        <v>6.9979869999999998E-3</v>
      </c>
      <c r="R603">
        <v>-4.4913689999999999E-2</v>
      </c>
      <c r="S603">
        <v>3.001312</v>
      </c>
      <c r="T603">
        <v>-0.1140674</v>
      </c>
      <c r="U603">
        <v>-5.9570310000000001E-2</v>
      </c>
      <c r="V603">
        <v>2.5258570000000001E-2</v>
      </c>
      <c r="W603">
        <v>1.415045E-2</v>
      </c>
      <c r="X603">
        <v>0.99958080000000005</v>
      </c>
      <c r="Y603">
        <v>2.0158470000000001E-4</v>
      </c>
      <c r="Z603">
        <v>7.4282410000000004E-4</v>
      </c>
      <c r="AA603">
        <v>0.99999970000000005</v>
      </c>
      <c r="AB603">
        <v>40</v>
      </c>
      <c r="AC603">
        <v>30.283999999999899</v>
      </c>
      <c r="AD603">
        <v>-1.1595420000000001</v>
      </c>
      <c r="AE603">
        <v>-0.60120000000000495</v>
      </c>
      <c r="AF603">
        <v>5.7927835970387198E-3</v>
      </c>
      <c r="AG603">
        <v>-1.1595420000000001</v>
      </c>
      <c r="AH603">
        <v>30.245642465861</v>
      </c>
      <c r="AI603">
        <v>92.195501103448606</v>
      </c>
      <c r="AJ603">
        <v>89.989026450733803</v>
      </c>
      <c r="AK603">
        <v>30.267861823703399</v>
      </c>
      <c r="AL603">
        <v>89.189211879758602</v>
      </c>
      <c r="AM603">
        <v>88.552491658179207</v>
      </c>
      <c r="AN603">
        <v>1.00000000316114</v>
      </c>
    </row>
    <row r="604" spans="1:40" x14ac:dyDescent="0.25">
      <c r="A604" t="str">
        <f>"20190312154225380"</f>
        <v>20190312154225380</v>
      </c>
      <c r="B604" t="str">
        <f>"1552376545367865"</f>
        <v>1552376545367865</v>
      </c>
      <c r="C604" t="s">
        <v>40</v>
      </c>
      <c r="D604">
        <v>4.3116709999999996</v>
      </c>
      <c r="E604">
        <v>0.49083979999999999</v>
      </c>
      <c r="F604" t="s">
        <v>42</v>
      </c>
      <c r="G604">
        <v>-300.8202</v>
      </c>
      <c r="H604">
        <v>-0.05</v>
      </c>
      <c r="I604">
        <v>367.27749999999997</v>
      </c>
      <c r="J604">
        <v>-330.86239999999998</v>
      </c>
      <c r="K604">
        <v>1.109572</v>
      </c>
      <c r="L604">
        <v>367.84969999999998</v>
      </c>
      <c r="M604">
        <v>0.99978739999999999</v>
      </c>
      <c r="N604">
        <v>0</v>
      </c>
      <c r="O604">
        <v>-1.9331129999999998E-2</v>
      </c>
      <c r="P604">
        <v>0.99896790000000002</v>
      </c>
      <c r="Q604">
        <v>6.5148319999999999E-3</v>
      </c>
      <c r="R604">
        <v>-4.4956650000000001E-2</v>
      </c>
      <c r="S604">
        <v>3.0013730000000001</v>
      </c>
      <c r="T604">
        <v>-0.11455070000000001</v>
      </c>
      <c r="U604">
        <v>-5.7159420000000002E-2</v>
      </c>
      <c r="V604">
        <v>2.5625950000000002E-2</v>
      </c>
      <c r="W604">
        <v>1.371752E-2</v>
      </c>
      <c r="X604">
        <v>0.99957750000000001</v>
      </c>
      <c r="Y604">
        <v>-2.764415E-4</v>
      </c>
      <c r="Z604">
        <v>7.4268199999999896E-4</v>
      </c>
      <c r="AA604">
        <v>0.99999970000000005</v>
      </c>
      <c r="AB604">
        <v>40</v>
      </c>
      <c r="AC604">
        <v>30.042199999999902</v>
      </c>
      <c r="AD604">
        <v>-1.1595719999999901</v>
      </c>
      <c r="AE604">
        <v>-0.57220000000000903</v>
      </c>
      <c r="AF604">
        <v>-8.6586514374785706E-3</v>
      </c>
      <c r="AG604">
        <v>-1.1595719999999901</v>
      </c>
      <c r="AH604">
        <v>30.0029648504634</v>
      </c>
      <c r="AI604">
        <v>92.213298878061494</v>
      </c>
      <c r="AJ604">
        <v>90.016535171518598</v>
      </c>
      <c r="AK604">
        <v>30.0253656432951</v>
      </c>
      <c r="AL604">
        <v>89.214019362592794</v>
      </c>
      <c r="AM604">
        <v>88.531442294936198</v>
      </c>
      <c r="AN604">
        <v>1.0000000190873</v>
      </c>
    </row>
    <row r="605" spans="1:40" x14ac:dyDescent="0.25">
      <c r="A605" t="str">
        <f>"20190312154225394"</f>
        <v>20190312154225394</v>
      </c>
      <c r="B605" t="str">
        <f>"1552376545388361"</f>
        <v>1552376545388361</v>
      </c>
      <c r="C605" t="s">
        <v>40</v>
      </c>
      <c r="D605">
        <v>4.308656</v>
      </c>
      <c r="E605">
        <v>0.49075839999999998</v>
      </c>
      <c r="F605" t="s">
        <v>42</v>
      </c>
      <c r="G605">
        <v>-300.83019999999999</v>
      </c>
      <c r="H605">
        <v>-0.05</v>
      </c>
      <c r="I605">
        <v>367.2808</v>
      </c>
      <c r="J605">
        <v>-330.61529999999999</v>
      </c>
      <c r="K605">
        <v>1.10959599999999</v>
      </c>
      <c r="L605">
        <v>367.8451</v>
      </c>
      <c r="M605">
        <v>0.99979200000000001</v>
      </c>
      <c r="N605">
        <v>0</v>
      </c>
      <c r="O605">
        <v>-1.9075829999999998E-2</v>
      </c>
      <c r="P605">
        <v>0.99899260000000001</v>
      </c>
      <c r="Q605">
        <v>6.2876449999999997E-3</v>
      </c>
      <c r="R605">
        <v>-4.4431459999999999E-2</v>
      </c>
      <c r="S605">
        <v>3.0012819999999998</v>
      </c>
      <c r="T605">
        <v>-0.115882399999999</v>
      </c>
      <c r="U605">
        <v>-5.6854250000000002E-2</v>
      </c>
      <c r="V605">
        <v>2.5355180000000001E-2</v>
      </c>
      <c r="W605">
        <v>1.352633E-2</v>
      </c>
      <c r="X605">
        <v>0.999587</v>
      </c>
      <c r="Y605">
        <v>-1.221328E-4</v>
      </c>
      <c r="Z605">
        <v>7.3850529999999997E-4</v>
      </c>
      <c r="AA605">
        <v>0.99999970000000005</v>
      </c>
      <c r="AB605">
        <v>40</v>
      </c>
      <c r="AC605">
        <v>29.7851</v>
      </c>
      <c r="AD605">
        <v>-1.1595959999999901</v>
      </c>
      <c r="AE605">
        <v>-0.56430000000000202</v>
      </c>
      <c r="AF605">
        <v>-3.9869416230276997E-3</v>
      </c>
      <c r="AG605">
        <v>-1.1595959999999901</v>
      </c>
      <c r="AH605">
        <v>29.7453756853863</v>
      </c>
      <c r="AI605">
        <v>92.232492537579901</v>
      </c>
      <c r="AJ605">
        <v>90.007679678656999</v>
      </c>
      <c r="AK605">
        <v>29.7679702607298</v>
      </c>
      <c r="AL605">
        <v>89.224974750877095</v>
      </c>
      <c r="AM605">
        <v>88.546966547489902</v>
      </c>
      <c r="AN605">
        <v>1.00000000866255</v>
      </c>
    </row>
    <row r="606" spans="1:40" x14ac:dyDescent="0.25">
      <c r="A606" t="str">
        <f>"20190312154225405"</f>
        <v>20190312154225405</v>
      </c>
      <c r="B606" t="str">
        <f>"1552376545398121"</f>
        <v>1552376545398121</v>
      </c>
      <c r="C606" t="s">
        <v>40</v>
      </c>
      <c r="D606">
        <v>4.2839460000000003</v>
      </c>
      <c r="E606">
        <v>0.49072300000000002</v>
      </c>
      <c r="F606" t="s">
        <v>42</v>
      </c>
      <c r="G606">
        <v>-300.7466</v>
      </c>
      <c r="H606">
        <v>-0.05</v>
      </c>
      <c r="I606">
        <v>367.29840000000002</v>
      </c>
      <c r="J606">
        <v>-330.39319999999998</v>
      </c>
      <c r="K606">
        <v>1.1096189999999999</v>
      </c>
      <c r="L606">
        <v>367.84109999999998</v>
      </c>
      <c r="M606">
        <v>0.99979640000000003</v>
      </c>
      <c r="N606">
        <v>0</v>
      </c>
      <c r="O606">
        <v>-1.8833760000000001E-2</v>
      </c>
      <c r="P606">
        <v>0.99898960000000003</v>
      </c>
      <c r="Q606">
        <v>6.0258859999999899E-3</v>
      </c>
      <c r="R606">
        <v>-4.4539719999999998E-2</v>
      </c>
      <c r="S606">
        <v>3.001312</v>
      </c>
      <c r="T606">
        <v>-0.11652</v>
      </c>
      <c r="U606">
        <v>-5.4931639999999997E-2</v>
      </c>
      <c r="V606">
        <v>2.5704810000000002E-2</v>
      </c>
      <c r="W606">
        <v>1.329747E-2</v>
      </c>
      <c r="X606">
        <v>0.99958119999999995</v>
      </c>
      <c r="Y606">
        <v>-5.203006E-4</v>
      </c>
      <c r="Z606">
        <v>7.4089789999999902E-4</v>
      </c>
      <c r="AA606">
        <v>0.99999959999999999</v>
      </c>
      <c r="AB606">
        <v>40</v>
      </c>
      <c r="AC606">
        <v>29.6465999999999</v>
      </c>
      <c r="AD606">
        <v>-1.159619</v>
      </c>
      <c r="AE606">
        <v>-0.54269999999996799</v>
      </c>
      <c r="AF606">
        <v>-1.5743777114318801E-2</v>
      </c>
      <c r="AG606">
        <v>-1.159619</v>
      </c>
      <c r="AH606">
        <v>29.6062812930716</v>
      </c>
      <c r="AI606">
        <v>92.243014553891001</v>
      </c>
      <c r="AJ606">
        <v>90.030468260714201</v>
      </c>
      <c r="AK606">
        <v>29.628986754463199</v>
      </c>
      <c r="AL606">
        <v>89.238088687370094</v>
      </c>
      <c r="AM606">
        <v>88.526930468316195</v>
      </c>
      <c r="AN606">
        <v>1.00000006767948</v>
      </c>
    </row>
    <row r="607" spans="1:40" x14ac:dyDescent="0.25">
      <c r="A607" t="str">
        <f>"20190312154225417"</f>
        <v>20190312154225417</v>
      </c>
      <c r="B607" t="str">
        <f>"1552376545407880"</f>
        <v>1552376545407880</v>
      </c>
      <c r="C607" t="s">
        <v>40</v>
      </c>
      <c r="D607">
        <v>4.2920610000000003</v>
      </c>
      <c r="E607">
        <v>0.49068689999999998</v>
      </c>
      <c r="F607" t="s">
        <v>42</v>
      </c>
      <c r="G607">
        <v>-300.67599999999999</v>
      </c>
      <c r="H607">
        <v>-0.05</v>
      </c>
      <c r="I607">
        <v>367.29739999999998</v>
      </c>
      <c r="J607">
        <v>-330.1866</v>
      </c>
      <c r="K607">
        <v>1.1096379999999999</v>
      </c>
      <c r="L607">
        <v>367.83730000000003</v>
      </c>
      <c r="M607">
        <v>0.99980069999999999</v>
      </c>
      <c r="N607">
        <v>0</v>
      </c>
      <c r="O607">
        <v>-1.859098E-2</v>
      </c>
      <c r="P607">
        <v>0.99900350000000004</v>
      </c>
      <c r="Q607">
        <v>5.836791E-3</v>
      </c>
      <c r="R607">
        <v>-4.4253389999999997E-2</v>
      </c>
      <c r="S607">
        <v>3.0012509999999999</v>
      </c>
      <c r="T607">
        <v>-0.1171143</v>
      </c>
      <c r="U607">
        <v>-5.4901119999999998E-2</v>
      </c>
      <c r="V607">
        <v>2.566036E-2</v>
      </c>
      <c r="W607">
        <v>1.3139649999999999E-2</v>
      </c>
      <c r="X607">
        <v>0.99958440000000004</v>
      </c>
      <c r="Y607">
        <v>-2.8747560000000002E-4</v>
      </c>
      <c r="Z607">
        <v>7.3068079999999999E-4</v>
      </c>
      <c r="AA607">
        <v>0.99999970000000005</v>
      </c>
      <c r="AB607">
        <v>40</v>
      </c>
      <c r="AC607">
        <v>29.5106</v>
      </c>
      <c r="AD607">
        <v>-1.1596379999999999</v>
      </c>
      <c r="AE607">
        <v>-0.53990000000004501</v>
      </c>
      <c r="AF607">
        <v>-8.8251875734699503E-3</v>
      </c>
      <c r="AG607">
        <v>-1.1596379999999999</v>
      </c>
      <c r="AH607">
        <v>29.4700461579557</v>
      </c>
      <c r="AI607">
        <v>92.253410073812503</v>
      </c>
      <c r="AJ607">
        <v>90.017157963837093</v>
      </c>
      <c r="AK607">
        <v>29.4928543672365</v>
      </c>
      <c r="AL607">
        <v>89.247131874892105</v>
      </c>
      <c r="AM607">
        <v>88.529481357466906</v>
      </c>
      <c r="AN607">
        <v>1.0000000386004</v>
      </c>
    </row>
    <row r="608" spans="1:40" x14ac:dyDescent="0.25">
      <c r="A608" t="str">
        <f>"20190312154225429"</f>
        <v>20190312154225429</v>
      </c>
      <c r="B608" t="str">
        <f>"1552376545417642"</f>
        <v>1552376545417642</v>
      </c>
      <c r="C608" t="s">
        <v>40</v>
      </c>
      <c r="D608">
        <v>4.2766960000000003</v>
      </c>
      <c r="E608">
        <v>0.49063770000000001</v>
      </c>
      <c r="F608" t="s">
        <v>42</v>
      </c>
      <c r="G608">
        <v>-300.56639999999999</v>
      </c>
      <c r="H608">
        <v>-0.05</v>
      </c>
      <c r="I608">
        <v>367.30689999999998</v>
      </c>
      <c r="J608">
        <v>-329.97329999999999</v>
      </c>
      <c r="K608">
        <v>1.1096629999999901</v>
      </c>
      <c r="L608">
        <v>367.83350000000002</v>
      </c>
      <c r="M608">
        <v>0.99980519999999995</v>
      </c>
      <c r="N608">
        <v>0</v>
      </c>
      <c r="O608">
        <v>-1.8333519999999999E-2</v>
      </c>
      <c r="P608">
        <v>0.99900909999999998</v>
      </c>
      <c r="Q608">
        <v>5.7044599999999997E-3</v>
      </c>
      <c r="R608">
        <v>-4.414092E-2</v>
      </c>
      <c r="S608">
        <v>3.0013429999999999</v>
      </c>
      <c r="T608">
        <v>-0.1175032</v>
      </c>
      <c r="U608">
        <v>-5.3741459999999998E-2</v>
      </c>
      <c r="V608">
        <v>2.58046E-2</v>
      </c>
      <c r="W608">
        <v>1.304048E-2</v>
      </c>
      <c r="X608">
        <v>0.99958190000000002</v>
      </c>
      <c r="Y608">
        <v>-4.1679100000000001E-4</v>
      </c>
      <c r="Z608">
        <v>7.255432E-4</v>
      </c>
      <c r="AA608">
        <v>0.99999959999999999</v>
      </c>
      <c r="AB608">
        <v>40</v>
      </c>
      <c r="AC608">
        <v>29.4069</v>
      </c>
      <c r="AD608">
        <v>-1.1596630000000001</v>
      </c>
      <c r="AE608">
        <v>-0.52660000000003004</v>
      </c>
      <c r="AF608">
        <v>-1.26152965377858E-2</v>
      </c>
      <c r="AG608">
        <v>-1.1596630000000001</v>
      </c>
      <c r="AH608">
        <v>29.365958839597301</v>
      </c>
      <c r="AI608">
        <v>92.261437577690302</v>
      </c>
      <c r="AJ608">
        <v>90.024613642224494</v>
      </c>
      <c r="AK608">
        <v>29.388850198471498</v>
      </c>
      <c r="AL608">
        <v>89.252814320150506</v>
      </c>
      <c r="AM608">
        <v>88.521215356820406</v>
      </c>
      <c r="AN608">
        <v>0.99999995315369905</v>
      </c>
    </row>
    <row r="609" spans="1:40" x14ac:dyDescent="0.25">
      <c r="A609" t="str">
        <f>"20190312154225441"</f>
        <v>20190312154225441</v>
      </c>
      <c r="B609" t="str">
        <f>"1552376545438137"</f>
        <v>1552376545438137</v>
      </c>
      <c r="C609" t="s">
        <v>40</v>
      </c>
      <c r="D609">
        <v>4.2927650000000002</v>
      </c>
      <c r="E609">
        <v>0.4905756</v>
      </c>
      <c r="F609" t="s">
        <v>42</v>
      </c>
      <c r="G609">
        <v>-300.44959999999998</v>
      </c>
      <c r="H609">
        <v>-0.05</v>
      </c>
      <c r="I609">
        <v>367.31270000000001</v>
      </c>
      <c r="J609">
        <v>-329.75290000000001</v>
      </c>
      <c r="K609">
        <v>1.109693</v>
      </c>
      <c r="L609">
        <v>367.8297</v>
      </c>
      <c r="M609">
        <v>0.99981030000000004</v>
      </c>
      <c r="N609">
        <v>0</v>
      </c>
      <c r="O609">
        <v>-1.8045780000000001E-2</v>
      </c>
      <c r="P609">
        <v>0.99901930000000005</v>
      </c>
      <c r="Q609">
        <v>5.4225119999999896E-3</v>
      </c>
      <c r="R609">
        <v>-4.394969E-2</v>
      </c>
      <c r="S609">
        <v>3.0012819999999998</v>
      </c>
      <c r="T609">
        <v>-0.11788750000000001</v>
      </c>
      <c r="U609">
        <v>-5.2948000000000002E-2</v>
      </c>
      <c r="V609">
        <v>2.590027E-2</v>
      </c>
      <c r="W609">
        <v>1.2795880000000001E-2</v>
      </c>
      <c r="X609">
        <v>0.99958259999999999</v>
      </c>
      <c r="Y609">
        <v>-3.9306330000000002E-4</v>
      </c>
      <c r="Z609">
        <v>7.1617060000000001E-4</v>
      </c>
      <c r="AA609">
        <v>0.99999959999999999</v>
      </c>
      <c r="AB609">
        <v>40</v>
      </c>
      <c r="AC609">
        <v>29.3033</v>
      </c>
      <c r="AD609">
        <v>-1.1596930000000001</v>
      </c>
      <c r="AE609">
        <v>-0.51699999999999502</v>
      </c>
      <c r="AF609">
        <v>-1.18806975506641E-2</v>
      </c>
      <c r="AG609">
        <v>-1.1596930000000001</v>
      </c>
      <c r="AH609">
        <v>29.262041403089199</v>
      </c>
      <c r="AI609">
        <v>92.269518843630394</v>
      </c>
      <c r="AJ609">
        <v>90.023262689726295</v>
      </c>
      <c r="AK609">
        <v>29.285014872479199</v>
      </c>
      <c r="AL609">
        <v>89.266830047722294</v>
      </c>
      <c r="AM609">
        <v>88.515736281474602</v>
      </c>
      <c r="AN609">
        <v>0.99999996637690303</v>
      </c>
    </row>
    <row r="610" spans="1:40" x14ac:dyDescent="0.25">
      <c r="A610" t="str">
        <f>"20190312154225470"</f>
        <v>20190312154225470</v>
      </c>
      <c r="B610" t="str">
        <f>"1552376545457657"</f>
        <v>1552376545457657</v>
      </c>
      <c r="C610" t="s">
        <v>40</v>
      </c>
      <c r="D610">
        <v>4.2953349999999997</v>
      </c>
      <c r="E610">
        <v>0.49052400000000002</v>
      </c>
      <c r="F610" t="s">
        <v>42</v>
      </c>
      <c r="G610">
        <v>-300.36950000000002</v>
      </c>
      <c r="H610">
        <v>-0.05</v>
      </c>
      <c r="I610">
        <v>367.31790000000001</v>
      </c>
      <c r="J610">
        <v>-329.2577</v>
      </c>
      <c r="K610">
        <v>1.109766</v>
      </c>
      <c r="L610">
        <v>367.82130000000001</v>
      </c>
      <c r="M610">
        <v>0.99982179999999998</v>
      </c>
      <c r="N610">
        <v>0</v>
      </c>
      <c r="O610">
        <v>-1.7353199999999999E-2</v>
      </c>
      <c r="P610">
        <v>0.99903050000000004</v>
      </c>
      <c r="Q610">
        <v>5.313056E-3</v>
      </c>
      <c r="R610">
        <v>-4.3702999999999999E-2</v>
      </c>
      <c r="S610">
        <v>3.0012819999999998</v>
      </c>
      <c r="T610">
        <v>-0.11845310000000001</v>
      </c>
      <c r="U610">
        <v>-5.2276610000000001E-2</v>
      </c>
      <c r="V610">
        <v>2.6343950000000001E-2</v>
      </c>
      <c r="W610">
        <v>1.277204E-2</v>
      </c>
      <c r="X610">
        <v>0.99957130000000005</v>
      </c>
      <c r="Y610" s="1">
        <v>7.5233129999999998E-5</v>
      </c>
      <c r="Z610">
        <v>6.8305250000000003E-4</v>
      </c>
      <c r="AA610">
        <v>0.99999979999999999</v>
      </c>
      <c r="AB610">
        <v>40</v>
      </c>
      <c r="AC610">
        <v>28.888199999999902</v>
      </c>
      <c r="AD610">
        <v>-1.1597660000000001</v>
      </c>
      <c r="AE610">
        <v>-0.50339999999999896</v>
      </c>
      <c r="AF610">
        <v>2.0044076873614301E-3</v>
      </c>
      <c r="AG610">
        <v>-1.1597660000000001</v>
      </c>
      <c r="AH610">
        <v>28.846106847159</v>
      </c>
      <c r="AI610">
        <v>92.302353220905601</v>
      </c>
      <c r="AJ610">
        <v>89.996018731354795</v>
      </c>
      <c r="AK610">
        <v>28.869411864984698</v>
      </c>
      <c r="AL610">
        <v>89.268196083367798</v>
      </c>
      <c r="AM610">
        <v>88.490304972775704</v>
      </c>
      <c r="AN610">
        <v>0.99999995624552596</v>
      </c>
    </row>
    <row r="611" spans="1:40" x14ac:dyDescent="0.25">
      <c r="A611" t="str">
        <f>"20190312154225492"</f>
        <v>20190312154225492</v>
      </c>
      <c r="B611" t="str">
        <f>"1552376545487913"</f>
        <v>1552376545487913</v>
      </c>
      <c r="C611" t="s">
        <v>40</v>
      </c>
      <c r="D611">
        <v>4.2633559999999999</v>
      </c>
      <c r="E611">
        <v>0.49042289999999999</v>
      </c>
      <c r="F611" t="s">
        <v>42</v>
      </c>
      <c r="G611">
        <v>-299.71910000000003</v>
      </c>
      <c r="H611">
        <v>-0.05</v>
      </c>
      <c r="I611">
        <v>367.32060000000001</v>
      </c>
      <c r="J611">
        <v>-328.84249999999997</v>
      </c>
      <c r="K611">
        <v>1.1098349999999999</v>
      </c>
      <c r="L611">
        <v>367.81470000000002</v>
      </c>
      <c r="M611">
        <v>0.99983230000000001</v>
      </c>
      <c r="N611">
        <v>0</v>
      </c>
      <c r="O611">
        <v>-1.6707509999999998E-2</v>
      </c>
      <c r="P611">
        <v>0.99906019999999895</v>
      </c>
      <c r="Q611">
        <v>5.224897E-3</v>
      </c>
      <c r="R611">
        <v>-4.3028329999999997E-2</v>
      </c>
      <c r="S611">
        <v>3.0013429999999999</v>
      </c>
      <c r="T611">
        <v>-0.117840899999999</v>
      </c>
      <c r="U611">
        <v>-5.0872800000000003E-2</v>
      </c>
      <c r="V611">
        <v>2.6313039999999999E-2</v>
      </c>
      <c r="W611">
        <v>1.2762030000000001E-2</v>
      </c>
      <c r="X611">
        <v>0.99957229999999997</v>
      </c>
      <c r="Y611">
        <v>2.5231199999999998E-4</v>
      </c>
      <c r="Z611">
        <v>6.5070379999999895E-4</v>
      </c>
      <c r="AA611">
        <v>0.99999979999999999</v>
      </c>
      <c r="AB611">
        <v>40</v>
      </c>
      <c r="AC611">
        <v>29.123399999999901</v>
      </c>
      <c r="AD611">
        <v>-1.1598349999999999</v>
      </c>
      <c r="AE611">
        <v>-0.49410000000000298</v>
      </c>
      <c r="AF611">
        <v>7.4260773103724202E-3</v>
      </c>
      <c r="AG611">
        <v>-1.1598349999999999</v>
      </c>
      <c r="AH611">
        <v>29.081479639882101</v>
      </c>
      <c r="AI611">
        <v>92.283874447893993</v>
      </c>
      <c r="AJ611">
        <v>89.985369283673194</v>
      </c>
      <c r="AK611">
        <v>29.1045998154712</v>
      </c>
      <c r="AL611">
        <v>89.268769703277897</v>
      </c>
      <c r="AM611">
        <v>88.492077024376599</v>
      </c>
      <c r="AN611">
        <v>1.0000000142055201</v>
      </c>
    </row>
    <row r="612" spans="1:40" x14ac:dyDescent="0.25">
      <c r="A612" t="str">
        <f>"20190312154225516"</f>
        <v>20190312154225516</v>
      </c>
      <c r="B612" t="str">
        <f>"1552376545508410"</f>
        <v>1552376545508410</v>
      </c>
      <c r="C612" t="s">
        <v>40</v>
      </c>
      <c r="D612">
        <v>4.268516</v>
      </c>
      <c r="E612">
        <v>0.49040289999999997</v>
      </c>
      <c r="F612" t="s">
        <v>42</v>
      </c>
      <c r="G612">
        <v>-299.14879999999999</v>
      </c>
      <c r="H612">
        <v>-0.05</v>
      </c>
      <c r="I612">
        <v>367.33980000000003</v>
      </c>
      <c r="J612">
        <v>-328.4221</v>
      </c>
      <c r="K612">
        <v>1.1099030000000001</v>
      </c>
      <c r="L612">
        <v>367.8082</v>
      </c>
      <c r="M612">
        <v>0.99984309999999998</v>
      </c>
      <c r="N612">
        <v>0</v>
      </c>
      <c r="O612">
        <v>-1.600439E-2</v>
      </c>
      <c r="P612">
        <v>0.99910540000000003</v>
      </c>
      <c r="Q612">
        <v>4.5986050000000004E-3</v>
      </c>
      <c r="R612">
        <v>-4.203834E-2</v>
      </c>
      <c r="S612">
        <v>3.0013730000000001</v>
      </c>
      <c r="T612">
        <v>-0.1172335</v>
      </c>
      <c r="U612">
        <v>-4.8004150000000002E-2</v>
      </c>
      <c r="V612">
        <v>2.6024479999999999E-2</v>
      </c>
      <c r="W612">
        <v>1.2220379999999999E-2</v>
      </c>
      <c r="X612">
        <v>0.99958659999999999</v>
      </c>
      <c r="Y612" s="1">
        <v>-6.3938209999999899E-7</v>
      </c>
      <c r="Z612">
        <v>6.2484330000000003E-4</v>
      </c>
      <c r="AA612">
        <v>0.99999979999999999</v>
      </c>
      <c r="AB612">
        <v>40</v>
      </c>
      <c r="AC612">
        <v>29.273299999999999</v>
      </c>
      <c r="AD612">
        <v>-1.1599029999999999</v>
      </c>
      <c r="AE612">
        <v>-0.468399999999974</v>
      </c>
      <c r="AF612">
        <v>-1.7453283796131601E-4</v>
      </c>
      <c r="AG612">
        <v>-1.1599029999999999</v>
      </c>
      <c r="AH612">
        <v>29.231165959425098</v>
      </c>
      <c r="AI612">
        <v>92.272324673595193</v>
      </c>
      <c r="AJ612">
        <v>90.000342100449004</v>
      </c>
      <c r="AK612">
        <v>29.254169589091401</v>
      </c>
      <c r="AL612">
        <v>89.299806367416096</v>
      </c>
      <c r="AM612">
        <v>88.508627365997299</v>
      </c>
      <c r="AN612">
        <v>0.99999999107308701</v>
      </c>
    </row>
    <row r="613" spans="1:40" x14ac:dyDescent="0.25">
      <c r="A613" t="str">
        <f>"20190312154225537"</f>
        <v>20190312154225537</v>
      </c>
      <c r="B613" t="str">
        <f>"1552376545527929"</f>
        <v>1552376545527929</v>
      </c>
      <c r="C613" t="s">
        <v>40</v>
      </c>
      <c r="D613">
        <v>4.2667679999999999</v>
      </c>
      <c r="E613">
        <v>0.49035200000000001</v>
      </c>
      <c r="F613" t="s">
        <v>42</v>
      </c>
      <c r="G613">
        <v>-299.04759999999999</v>
      </c>
      <c r="H613">
        <v>-0.05</v>
      </c>
      <c r="I613">
        <v>367.36680000000001</v>
      </c>
      <c r="J613">
        <v>-328.02539999999999</v>
      </c>
      <c r="K613">
        <v>1.10996299999999</v>
      </c>
      <c r="L613">
        <v>367.8023</v>
      </c>
      <c r="M613">
        <v>0.99985369999999996</v>
      </c>
      <c r="N613">
        <v>0</v>
      </c>
      <c r="O613">
        <v>-1.529382E-2</v>
      </c>
      <c r="P613">
        <v>0.99914519999999996</v>
      </c>
      <c r="Q613">
        <v>4.3426250000000001E-3</v>
      </c>
      <c r="R613">
        <v>-4.111418E-2</v>
      </c>
      <c r="S613">
        <v>3.0013730000000001</v>
      </c>
      <c r="T613">
        <v>-0.1185143</v>
      </c>
      <c r="U613">
        <v>-4.5104980000000003E-2</v>
      </c>
      <c r="V613">
        <v>2.580901E-2</v>
      </c>
      <c r="W613">
        <v>1.205732E-2</v>
      </c>
      <c r="X613">
        <v>0.99959419999999999</v>
      </c>
      <c r="Y613">
        <v>-2.5576510000000001E-4</v>
      </c>
      <c r="Z613">
        <v>6.0866309999999999E-4</v>
      </c>
      <c r="AA613">
        <v>0.99999979999999999</v>
      </c>
      <c r="AB613">
        <v>41</v>
      </c>
      <c r="AC613">
        <v>28.977799999999998</v>
      </c>
      <c r="AD613">
        <v>-1.1599630000000001</v>
      </c>
      <c r="AE613">
        <v>-0.43549999999999001</v>
      </c>
      <c r="AF613">
        <v>-7.7328102120268697E-3</v>
      </c>
      <c r="AG613">
        <v>-1.1599630000000001</v>
      </c>
      <c r="AH613">
        <v>28.934718206343099</v>
      </c>
      <c r="AI613">
        <v>92.295699305898495</v>
      </c>
      <c r="AJ613">
        <v>90.015312310118802</v>
      </c>
      <c r="AK613">
        <v>28.957960764498001</v>
      </c>
      <c r="AL613">
        <v>89.309149728689405</v>
      </c>
      <c r="AM613">
        <v>88.5209809365832</v>
      </c>
      <c r="AN613">
        <v>1.0000000243181999</v>
      </c>
    </row>
    <row r="614" spans="1:40" x14ac:dyDescent="0.25">
      <c r="A614" t="str">
        <f>"20190312154225559"</f>
        <v>20190312154225559</v>
      </c>
      <c r="B614" t="str">
        <f>"1552376545548424"</f>
        <v>1552376545548424</v>
      </c>
      <c r="C614" t="s">
        <v>40</v>
      </c>
      <c r="D614">
        <v>4.2790599999999896</v>
      </c>
      <c r="E614">
        <v>0.49036000000000002</v>
      </c>
      <c r="F614" t="s">
        <v>42</v>
      </c>
      <c r="G614">
        <v>-298.65980000000002</v>
      </c>
      <c r="H614">
        <v>-0.05</v>
      </c>
      <c r="I614">
        <v>367.39569999999998</v>
      </c>
      <c r="J614">
        <v>-327.63010000000003</v>
      </c>
      <c r="K614">
        <v>1.1100289999999999</v>
      </c>
      <c r="L614">
        <v>367.79689999999999</v>
      </c>
      <c r="M614">
        <v>0.99986410000000003</v>
      </c>
      <c r="N614">
        <v>0</v>
      </c>
      <c r="O614">
        <v>-1.4536550000000001E-2</v>
      </c>
      <c r="P614">
        <v>0.99919639999999998</v>
      </c>
      <c r="Q614">
        <v>4.2168140000000002E-3</v>
      </c>
      <c r="R614">
        <v>-3.986311E-2</v>
      </c>
      <c r="S614">
        <v>3.0013730000000001</v>
      </c>
      <c r="T614">
        <v>-0.1185565</v>
      </c>
      <c r="U614">
        <v>-4.1564940000000002E-2</v>
      </c>
      <c r="V614">
        <v>2.5312830000000001E-2</v>
      </c>
      <c r="W614">
        <v>1.204349E-2</v>
      </c>
      <c r="X614">
        <v>0.99960700000000002</v>
      </c>
      <c r="Y614">
        <v>-6.7788309999999895E-4</v>
      </c>
      <c r="Z614">
        <v>5.8732369999999997E-4</v>
      </c>
      <c r="AA614">
        <v>0.99999959999999999</v>
      </c>
      <c r="AB614">
        <v>41</v>
      </c>
      <c r="AC614">
        <v>28.970300000000002</v>
      </c>
      <c r="AD614">
        <v>-1.160029</v>
      </c>
      <c r="AE614">
        <v>-0.40120000000001699</v>
      </c>
      <c r="AF614">
        <v>-1.9951358627598899E-2</v>
      </c>
      <c r="AG614">
        <v>-1.160029</v>
      </c>
      <c r="AH614">
        <v>28.926699926589901</v>
      </c>
      <c r="AI614">
        <v>92.296465030725599</v>
      </c>
      <c r="AJ614">
        <v>90.039518108410107</v>
      </c>
      <c r="AK614">
        <v>28.949957408958799</v>
      </c>
      <c r="AL614">
        <v>89.309942149170396</v>
      </c>
      <c r="AM614">
        <v>88.549421479185597</v>
      </c>
      <c r="AN614">
        <v>0.99999996973149397</v>
      </c>
    </row>
    <row r="615" spans="1:40" x14ac:dyDescent="0.25">
      <c r="A615" t="str">
        <f>"20190312154225581"</f>
        <v>20190312154225581</v>
      </c>
      <c r="B615" t="str">
        <f>"1552376545577705"</f>
        <v>1552376545577705</v>
      </c>
      <c r="C615" t="s">
        <v>40</v>
      </c>
      <c r="D615">
        <v>4.3033270000000003</v>
      </c>
      <c r="E615">
        <v>0.49036170000000001</v>
      </c>
      <c r="F615" t="s">
        <v>42</v>
      </c>
      <c r="G615">
        <v>-298.15839999999997</v>
      </c>
      <c r="H615">
        <v>-0.05</v>
      </c>
      <c r="I615">
        <v>367.42200000000003</v>
      </c>
      <c r="J615">
        <v>-327.22890000000001</v>
      </c>
      <c r="K615">
        <v>1.110109</v>
      </c>
      <c r="L615">
        <v>367.79169999999999</v>
      </c>
      <c r="M615">
        <v>0.99987470000000001</v>
      </c>
      <c r="N615">
        <v>0</v>
      </c>
      <c r="O615">
        <v>-1.3717109999999999E-2</v>
      </c>
      <c r="P615">
        <v>0.99923499999999998</v>
      </c>
      <c r="Q615">
        <v>4.1510970000000003E-3</v>
      </c>
      <c r="R615">
        <v>-3.8889989999999999E-2</v>
      </c>
      <c r="S615">
        <v>3.001404</v>
      </c>
      <c r="T615">
        <v>-0.1181376</v>
      </c>
      <c r="U615">
        <v>-3.8177490000000001E-2</v>
      </c>
      <c r="V615">
        <v>2.5156930000000001E-2</v>
      </c>
      <c r="W615">
        <v>1.2116439999999999E-2</v>
      </c>
      <c r="X615">
        <v>0.99961009999999995</v>
      </c>
      <c r="Y615">
        <v>-9.8739250000000008E-4</v>
      </c>
      <c r="Z615">
        <v>5.5910179999999995E-4</v>
      </c>
      <c r="AA615">
        <v>0.99999930000000004</v>
      </c>
      <c r="AB615">
        <v>41</v>
      </c>
      <c r="AC615">
        <v>29.070499999999999</v>
      </c>
      <c r="AD615">
        <v>-1.1601090000000001</v>
      </c>
      <c r="AE615">
        <v>-0.36970000000002201</v>
      </c>
      <c r="AF615">
        <v>-2.9064199638289701E-2</v>
      </c>
      <c r="AG615">
        <v>-1.1601090000000001</v>
      </c>
      <c r="AH615">
        <v>29.0266173222732</v>
      </c>
      <c r="AI615">
        <v>92.288725460755302</v>
      </c>
      <c r="AJ615">
        <v>90.057369944254503</v>
      </c>
      <c r="AK615">
        <v>29.049805692866101</v>
      </c>
      <c r="AL615">
        <v>89.305762148798195</v>
      </c>
      <c r="AM615">
        <v>88.558356180740702</v>
      </c>
      <c r="AN615">
        <v>1.0000000156336499</v>
      </c>
    </row>
    <row r="616" spans="1:40" x14ac:dyDescent="0.25">
      <c r="A616" t="str">
        <f>"20190312154225603"</f>
        <v>20190312154225603</v>
      </c>
      <c r="B616" t="str">
        <f>"1552376545598201"</f>
        <v>1552376545598201</v>
      </c>
      <c r="C616" t="s">
        <v>40</v>
      </c>
      <c r="D616">
        <v>4.2984260000000001</v>
      </c>
      <c r="E616">
        <v>0.49033589999999999</v>
      </c>
      <c r="F616" t="s">
        <v>42</v>
      </c>
      <c r="G616">
        <v>-297.49279999999999</v>
      </c>
      <c r="H616">
        <v>-0.05</v>
      </c>
      <c r="I616">
        <v>367.44279999999998</v>
      </c>
      <c r="J616">
        <v>-326.82350000000002</v>
      </c>
      <c r="K616">
        <v>1.110198</v>
      </c>
      <c r="L616">
        <v>367.78680000000003</v>
      </c>
      <c r="M616">
        <v>0.99988500000000002</v>
      </c>
      <c r="N616">
        <v>0</v>
      </c>
      <c r="O616">
        <v>-1.2839450000000001E-2</v>
      </c>
      <c r="P616">
        <v>0.99926939999999997</v>
      </c>
      <c r="Q616">
        <v>3.9552040000000004E-3</v>
      </c>
      <c r="R616">
        <v>-3.8017059999999998E-2</v>
      </c>
      <c r="S616">
        <v>3.001404</v>
      </c>
      <c r="T616">
        <v>-0.11709509999999999</v>
      </c>
      <c r="U616">
        <v>-3.5217289999999998E-2</v>
      </c>
      <c r="V616">
        <v>2.5159319999999999E-2</v>
      </c>
      <c r="W616">
        <v>1.208974E-2</v>
      </c>
      <c r="X616">
        <v>0.99961040000000001</v>
      </c>
      <c r="Y616">
        <v>-1.096552E-3</v>
      </c>
      <c r="Z616">
        <v>5.2208129999999997E-4</v>
      </c>
      <c r="AA616">
        <v>0.99999930000000004</v>
      </c>
      <c r="AB616">
        <v>41</v>
      </c>
      <c r="AC616">
        <v>29.3307</v>
      </c>
      <c r="AD616">
        <v>-1.1601980000000001</v>
      </c>
      <c r="AE616">
        <v>-0.34400000000004999</v>
      </c>
      <c r="AF616">
        <v>-3.2579709750793301E-2</v>
      </c>
      <c r="AG616">
        <v>-1.1601980000000001</v>
      </c>
      <c r="AH616">
        <v>29.286881407893599</v>
      </c>
      <c r="AI616">
        <v>92.2685811360179</v>
      </c>
      <c r="AJ616">
        <v>90.063737721694295</v>
      </c>
      <c r="AK616">
        <v>29.3098710921204</v>
      </c>
      <c r="AL616">
        <v>89.307292083679002</v>
      </c>
      <c r="AM616">
        <v>88.5582197096535</v>
      </c>
      <c r="AN616">
        <v>1.00000005249214</v>
      </c>
    </row>
    <row r="617" spans="1:40" x14ac:dyDescent="0.25">
      <c r="A617" t="str">
        <f>"20190312154225626"</f>
        <v>20190312154225626</v>
      </c>
      <c r="B617" t="str">
        <f>"1552376545617730"</f>
        <v>1552376545617730</v>
      </c>
      <c r="C617" t="s">
        <v>40</v>
      </c>
      <c r="D617">
        <v>4.31243</v>
      </c>
      <c r="E617">
        <v>0.49030489999999999</v>
      </c>
      <c r="F617" t="s">
        <v>42</v>
      </c>
      <c r="G617">
        <v>-297.18040000000002</v>
      </c>
      <c r="H617">
        <v>-0.05</v>
      </c>
      <c r="I617">
        <v>367.46550000000002</v>
      </c>
      <c r="J617">
        <v>-326.40690000000001</v>
      </c>
      <c r="K617">
        <v>1.1102909999999999</v>
      </c>
      <c r="L617">
        <v>367.78219999999999</v>
      </c>
      <c r="M617">
        <v>0.99989499999999998</v>
      </c>
      <c r="N617">
        <v>0</v>
      </c>
      <c r="O617">
        <v>-1.189143E-2</v>
      </c>
      <c r="P617">
        <v>0.99931650000000005</v>
      </c>
      <c r="Q617">
        <v>3.775863E-3</v>
      </c>
      <c r="R617">
        <v>-3.677648E-2</v>
      </c>
      <c r="S617">
        <v>3.001404</v>
      </c>
      <c r="T617">
        <v>-0.117471699999999</v>
      </c>
      <c r="U617">
        <v>-3.2531740000000003E-2</v>
      </c>
      <c r="V617">
        <v>2.4864279999999999E-2</v>
      </c>
      <c r="W617">
        <v>1.211453E-2</v>
      </c>
      <c r="X617">
        <v>0.99961750000000005</v>
      </c>
      <c r="Y617">
        <v>-1.043804E-3</v>
      </c>
      <c r="Z617">
        <v>4.856447E-4</v>
      </c>
      <c r="AA617">
        <v>0.99999930000000004</v>
      </c>
      <c r="AB617">
        <v>41</v>
      </c>
      <c r="AC617">
        <v>29.226499999999898</v>
      </c>
      <c r="AD617">
        <v>-1.160291</v>
      </c>
      <c r="AE617">
        <v>-0.31669999999996801</v>
      </c>
      <c r="AF617">
        <v>-3.08306052891619E-2</v>
      </c>
      <c r="AG617">
        <v>-1.160291</v>
      </c>
      <c r="AH617">
        <v>29.182211219350201</v>
      </c>
      <c r="AI617">
        <v>92.276891935636201</v>
      </c>
      <c r="AJ617">
        <v>90.060532181485598</v>
      </c>
      <c r="AK617">
        <v>29.2052850933127</v>
      </c>
      <c r="AL617">
        <v>89.305871629702494</v>
      </c>
      <c r="AM617">
        <v>88.575130380178805</v>
      </c>
      <c r="AN617">
        <v>1.0000000702816401</v>
      </c>
    </row>
    <row r="618" spans="1:40" x14ac:dyDescent="0.25">
      <c r="A618" t="str">
        <f>"20190312154225648"</f>
        <v>20190312154225648</v>
      </c>
      <c r="B618" t="str">
        <f>"1552376545638220"</f>
        <v>1552376545638220</v>
      </c>
      <c r="C618" t="s">
        <v>40</v>
      </c>
      <c r="D618">
        <v>4.3312920000000004</v>
      </c>
      <c r="E618">
        <v>0.49028250000000001</v>
      </c>
      <c r="F618" t="s">
        <v>42</v>
      </c>
      <c r="G618">
        <v>-296.83670000000001</v>
      </c>
      <c r="H618">
        <v>-0.05</v>
      </c>
      <c r="I618">
        <v>367.50259999999997</v>
      </c>
      <c r="J618">
        <v>-326.00029999999998</v>
      </c>
      <c r="K618">
        <v>1.110382</v>
      </c>
      <c r="L618">
        <v>367.77809999999999</v>
      </c>
      <c r="M618">
        <v>0.99990400000000002</v>
      </c>
      <c r="N618">
        <v>0</v>
      </c>
      <c r="O618">
        <v>-1.092519E-2</v>
      </c>
      <c r="P618">
        <v>0.99935229999999997</v>
      </c>
      <c r="Q618">
        <v>3.8376510000000001E-3</v>
      </c>
      <c r="R618">
        <v>-3.5783469999999998E-2</v>
      </c>
      <c r="S618">
        <v>3.0014949999999998</v>
      </c>
      <c r="T618">
        <v>-0.1177744</v>
      </c>
      <c r="U618">
        <v>-2.838135E-2</v>
      </c>
      <c r="V618">
        <v>2.4834579999999998E-2</v>
      </c>
      <c r="W618">
        <v>1.24092E-2</v>
      </c>
      <c r="X618">
        <v>0.99961449999999996</v>
      </c>
      <c r="Y618">
        <v>-1.460823E-3</v>
      </c>
      <c r="Z618">
        <v>4.5716680000000001E-4</v>
      </c>
      <c r="AA618">
        <v>0.99999879999999997</v>
      </c>
      <c r="AB618">
        <v>41</v>
      </c>
      <c r="AC618">
        <v>29.163599999999899</v>
      </c>
      <c r="AD618">
        <v>-1.160382</v>
      </c>
      <c r="AE618">
        <v>-0.27550000000002201</v>
      </c>
      <c r="AF618">
        <v>-4.3077693982550999E-2</v>
      </c>
      <c r="AG618">
        <v>-1.160382</v>
      </c>
      <c r="AH618">
        <v>29.118774317350699</v>
      </c>
      <c r="AI618">
        <v>92.282024586781205</v>
      </c>
      <c r="AJ618">
        <v>90.084762092967196</v>
      </c>
      <c r="AK618">
        <v>29.141917572775601</v>
      </c>
      <c r="AL618">
        <v>89.288986926164995</v>
      </c>
      <c r="AM618">
        <v>88.576827395241395</v>
      </c>
      <c r="AN618">
        <v>0.999999946609331</v>
      </c>
    </row>
    <row r="619" spans="1:40" x14ac:dyDescent="0.25">
      <c r="A619" t="str">
        <f>"20190312154225670"</f>
        <v>20190312154225670</v>
      </c>
      <c r="B619" t="str">
        <f>"1552376545657737"</f>
        <v>1552376545657737</v>
      </c>
      <c r="C619" t="s">
        <v>40</v>
      </c>
      <c r="D619">
        <v>4.3497789999999998</v>
      </c>
      <c r="E619">
        <v>0.49027929999999997</v>
      </c>
      <c r="F619" t="s">
        <v>42</v>
      </c>
      <c r="G619">
        <v>-296.38339999999999</v>
      </c>
      <c r="H619">
        <v>-0.05</v>
      </c>
      <c r="I619">
        <v>367.52789999999999</v>
      </c>
      <c r="J619">
        <v>-325.6044</v>
      </c>
      <c r="K619">
        <v>1.110466</v>
      </c>
      <c r="L619">
        <v>367.77460000000002</v>
      </c>
      <c r="M619">
        <v>0.99991200000000002</v>
      </c>
      <c r="N619">
        <v>0</v>
      </c>
      <c r="O619">
        <v>-9.9539680000000005E-3</v>
      </c>
      <c r="P619">
        <v>0.99940110000000004</v>
      </c>
      <c r="Q619">
        <v>3.512509E-3</v>
      </c>
      <c r="R619">
        <v>-3.4425490000000003E-2</v>
      </c>
      <c r="S619">
        <v>3.0014949999999998</v>
      </c>
      <c r="T619">
        <v>-0.1175978</v>
      </c>
      <c r="U619">
        <v>-2.5360110000000002E-2</v>
      </c>
      <c r="V619">
        <v>2.4446030000000001E-2</v>
      </c>
      <c r="W619">
        <v>1.23391E-2</v>
      </c>
      <c r="X619">
        <v>0.99962499999999999</v>
      </c>
      <c r="Y619">
        <v>-1.496774E-3</v>
      </c>
      <c r="Z619">
        <v>4.1915339999999999E-4</v>
      </c>
      <c r="AA619">
        <v>0.99999879999999997</v>
      </c>
      <c r="AB619">
        <v>41</v>
      </c>
      <c r="AC619">
        <v>29.221</v>
      </c>
      <c r="AD619">
        <v>-1.160466</v>
      </c>
      <c r="AE619">
        <v>-0.246700000000032</v>
      </c>
      <c r="AF619">
        <v>-4.4118730671141797E-2</v>
      </c>
      <c r="AG619">
        <v>-1.160466</v>
      </c>
      <c r="AH619">
        <v>29.1759961390973</v>
      </c>
      <c r="AI619">
        <v>92.277718239493694</v>
      </c>
      <c r="AJ619">
        <v>90.086640234189801</v>
      </c>
      <c r="AK619">
        <v>29.199098933155</v>
      </c>
      <c r="AL619">
        <v>89.293003706653096</v>
      </c>
      <c r="AM619">
        <v>88.599099440925698</v>
      </c>
      <c r="AN619">
        <v>1.0000000011982799</v>
      </c>
    </row>
    <row r="620" spans="1:40" x14ac:dyDescent="0.25">
      <c r="A620" t="str">
        <f>"20190312154225692"</f>
        <v>20190312154225692</v>
      </c>
      <c r="B620" t="str">
        <f>"1552376545687993"</f>
        <v>1552376545687993</v>
      </c>
      <c r="C620" t="s">
        <v>40</v>
      </c>
      <c r="D620">
        <v>4.2949109999999999</v>
      </c>
      <c r="E620">
        <v>0.49031360000000002</v>
      </c>
      <c r="F620" t="s">
        <v>42</v>
      </c>
      <c r="G620">
        <v>-296.25049999999999</v>
      </c>
      <c r="H620">
        <v>-0.05</v>
      </c>
      <c r="I620">
        <v>367.5659</v>
      </c>
      <c r="J620">
        <v>-325.19069999999999</v>
      </c>
      <c r="K620">
        <v>1.11054599999999</v>
      </c>
      <c r="L620">
        <v>367.7713</v>
      </c>
      <c r="M620">
        <v>0.99991949999999996</v>
      </c>
      <c r="N620">
        <v>0</v>
      </c>
      <c r="O620">
        <v>-8.9170640000000006E-3</v>
      </c>
      <c r="P620">
        <v>0.99944699999999997</v>
      </c>
      <c r="Q620">
        <v>3.1968209999999999E-3</v>
      </c>
      <c r="R620">
        <v>-3.3104799999999997E-2</v>
      </c>
      <c r="S620">
        <v>3.001465</v>
      </c>
      <c r="T620">
        <v>-0.1186585</v>
      </c>
      <c r="U620">
        <v>-2.133179E-2</v>
      </c>
      <c r="V620">
        <v>2.416041E-2</v>
      </c>
      <c r="W620">
        <v>1.229858E-2</v>
      </c>
      <c r="X620">
        <v>0.99963239999999998</v>
      </c>
      <c r="Y620">
        <v>-1.802166E-3</v>
      </c>
      <c r="Z620">
        <v>3.8799789999999999E-4</v>
      </c>
      <c r="AA620">
        <v>0.99999830000000001</v>
      </c>
      <c r="AB620">
        <v>41</v>
      </c>
      <c r="AC620">
        <v>28.940200000000001</v>
      </c>
      <c r="AD620">
        <v>-1.1605460000000001</v>
      </c>
      <c r="AE620">
        <v>-0.205399999999997</v>
      </c>
      <c r="AF620">
        <v>-5.2595719904740802E-2</v>
      </c>
      <c r="AG620">
        <v>-1.1605460000000001</v>
      </c>
      <c r="AH620">
        <v>28.894417253908699</v>
      </c>
      <c r="AI620">
        <v>92.300048302595698</v>
      </c>
      <c r="AJ620">
        <v>90.104293830057202</v>
      </c>
      <c r="AK620">
        <v>28.9177623921845</v>
      </c>
      <c r="AL620">
        <v>89.295325477234798</v>
      </c>
      <c r="AM620">
        <v>88.615470974848094</v>
      </c>
      <c r="AN620">
        <v>0.99999995780557105</v>
      </c>
    </row>
    <row r="621" spans="1:40" x14ac:dyDescent="0.25">
      <c r="A621" t="str">
        <f>"20190312154225717"</f>
        <v>20190312154225717</v>
      </c>
      <c r="B621" t="str">
        <f>"1552376545708490"</f>
        <v>1552376545708490</v>
      </c>
      <c r="C621" t="s">
        <v>40</v>
      </c>
      <c r="D621">
        <v>4.3890070000000003</v>
      </c>
      <c r="E621">
        <v>0.49036069999999998</v>
      </c>
      <c r="F621" t="s">
        <v>42</v>
      </c>
      <c r="G621">
        <v>-295.99259999999998</v>
      </c>
      <c r="H621">
        <v>-0.05</v>
      </c>
      <c r="I621">
        <v>367.6</v>
      </c>
      <c r="J621">
        <v>-324.75299999999999</v>
      </c>
      <c r="K621">
        <v>1.1106259999999999</v>
      </c>
      <c r="L621">
        <v>367.76839999999999</v>
      </c>
      <c r="M621">
        <v>0.99992590000000003</v>
      </c>
      <c r="N621">
        <v>0</v>
      </c>
      <c r="O621">
        <v>-7.8031719999999997E-3</v>
      </c>
      <c r="P621">
        <v>0.99949279999999996</v>
      </c>
      <c r="Q621">
        <v>3.176201E-3</v>
      </c>
      <c r="R621">
        <v>-3.1685230000000002E-2</v>
      </c>
      <c r="S621">
        <v>3.001465</v>
      </c>
      <c r="T621">
        <v>-0.11930010000000001</v>
      </c>
      <c r="U621">
        <v>-1.7608639999999998E-2</v>
      </c>
      <c r="V621">
        <v>2.3852439999999999E-2</v>
      </c>
      <c r="W621">
        <v>1.257321E-2</v>
      </c>
      <c r="X621">
        <v>0.99963639999999998</v>
      </c>
      <c r="Y621">
        <v>-1.92929E-3</v>
      </c>
      <c r="Z621">
        <v>3.4836589999999998E-4</v>
      </c>
      <c r="AA621">
        <v>0.9999981</v>
      </c>
      <c r="AB621">
        <v>41</v>
      </c>
      <c r="AC621">
        <v>28.760400000000001</v>
      </c>
      <c r="AD621">
        <v>-1.1606259999999999</v>
      </c>
      <c r="AE621">
        <v>-0.168399999999962</v>
      </c>
      <c r="AF621">
        <v>-5.5946165976844098E-2</v>
      </c>
      <c r="AG621">
        <v>-1.1606259999999999</v>
      </c>
      <c r="AH621">
        <v>28.714078393167</v>
      </c>
      <c r="AI621">
        <v>92.314636915222707</v>
      </c>
      <c r="AJ621">
        <v>90.111634268399598</v>
      </c>
      <c r="AK621">
        <v>28.737579589351299</v>
      </c>
      <c r="AL621">
        <v>89.279589134525295</v>
      </c>
      <c r="AM621">
        <v>88.633118137679006</v>
      </c>
      <c r="AN621">
        <v>0.99999997835430798</v>
      </c>
    </row>
    <row r="622" spans="1:40" x14ac:dyDescent="0.25">
      <c r="A622" t="str">
        <f>"20190312154225738"</f>
        <v>20190312154225738</v>
      </c>
      <c r="B622" t="str">
        <f>"1552376545728009"</f>
        <v>1552376545728009</v>
      </c>
      <c r="C622" t="s">
        <v>40</v>
      </c>
      <c r="D622">
        <v>4.3657440000000003</v>
      </c>
      <c r="E622">
        <v>0.4903711</v>
      </c>
      <c r="F622" t="s">
        <v>42</v>
      </c>
      <c r="G622">
        <v>-295.49220000000003</v>
      </c>
      <c r="H622">
        <v>-0.05</v>
      </c>
      <c r="I622">
        <v>367.6345</v>
      </c>
      <c r="J622">
        <v>-324.36090000000002</v>
      </c>
      <c r="K622">
        <v>1.110689</v>
      </c>
      <c r="L622">
        <v>367.76620000000003</v>
      </c>
      <c r="M622">
        <v>0.99993089999999996</v>
      </c>
      <c r="N622">
        <v>0</v>
      </c>
      <c r="O622">
        <v>-6.7961180000000003E-3</v>
      </c>
      <c r="P622">
        <v>0.99952240000000003</v>
      </c>
      <c r="Q622">
        <v>3.349543E-3</v>
      </c>
      <c r="R622">
        <v>-3.0724499999999998E-2</v>
      </c>
      <c r="S622">
        <v>3.0014340000000002</v>
      </c>
      <c r="T622">
        <v>-0.1190515</v>
      </c>
      <c r="U622">
        <v>-1.3732909999999999E-2</v>
      </c>
      <c r="V622">
        <v>2.3896400000000002E-2</v>
      </c>
      <c r="W622">
        <v>1.3019019999999999E-2</v>
      </c>
      <c r="X622">
        <v>0.99962969999999896</v>
      </c>
      <c r="Y622">
        <v>-2.2139780000000001E-3</v>
      </c>
      <c r="Z622">
        <v>3.133605E-4</v>
      </c>
      <c r="AA622">
        <v>0.99999749999999998</v>
      </c>
      <c r="AB622">
        <v>41</v>
      </c>
      <c r="AC622">
        <v>28.868699999999901</v>
      </c>
      <c r="AD622">
        <v>-1.1606889999999901</v>
      </c>
      <c r="AE622">
        <v>-0.13170000000002299</v>
      </c>
      <c r="AF622">
        <v>-6.4403054084949493E-2</v>
      </c>
      <c r="AG622">
        <v>-1.1606889999999901</v>
      </c>
      <c r="AH622">
        <v>28.822337830123701</v>
      </c>
      <c r="AI622">
        <v>92.306075978127694</v>
      </c>
      <c r="AJ622">
        <v>90.128026292220198</v>
      </c>
      <c r="AK622">
        <v>28.845771002035601</v>
      </c>
      <c r="AL622">
        <v>89.254044053057896</v>
      </c>
      <c r="AM622">
        <v>88.630590760576496</v>
      </c>
      <c r="AN622">
        <v>1.0000000349684</v>
      </c>
    </row>
    <row r="623" spans="1:40" x14ac:dyDescent="0.25">
      <c r="A623" t="str">
        <f>"20190312154225759"</f>
        <v>20190312154225759</v>
      </c>
      <c r="B623" t="str">
        <f>"1552376545748504"</f>
        <v>1552376545748504</v>
      </c>
      <c r="C623" t="s">
        <v>40</v>
      </c>
      <c r="D623">
        <v>4.410965</v>
      </c>
      <c r="E623">
        <v>0.49040679999999998</v>
      </c>
      <c r="F623" t="s">
        <v>42</v>
      </c>
      <c r="G623">
        <v>-295.00510000000003</v>
      </c>
      <c r="H623">
        <v>-0.05</v>
      </c>
      <c r="I623">
        <v>367.65940000000001</v>
      </c>
      <c r="J623">
        <v>-323.9753</v>
      </c>
      <c r="K623">
        <v>1.1107469999999999</v>
      </c>
      <c r="L623">
        <v>367.76440000000002</v>
      </c>
      <c r="M623">
        <v>0.99993430000000005</v>
      </c>
      <c r="N623">
        <v>0</v>
      </c>
      <c r="O623">
        <v>-5.8008410000000002E-3</v>
      </c>
      <c r="P623">
        <v>0.99954500000000002</v>
      </c>
      <c r="Q623">
        <v>3.3990869999999999E-3</v>
      </c>
      <c r="R623">
        <v>-2.997153E-2</v>
      </c>
      <c r="S623">
        <v>3.0014949999999998</v>
      </c>
      <c r="T623">
        <v>-0.11867510000000001</v>
      </c>
      <c r="U623">
        <v>-1.0925290000000001E-2</v>
      </c>
      <c r="V623">
        <v>2.4136899999999999E-2</v>
      </c>
      <c r="W623">
        <v>1.3348489999999999E-2</v>
      </c>
      <c r="X623">
        <v>0.99961949999999999</v>
      </c>
      <c r="Y623">
        <v>-2.1550060000000001E-3</v>
      </c>
      <c r="Z623">
        <v>2.7186309999999999E-4</v>
      </c>
      <c r="AA623">
        <v>0.99999760000000004</v>
      </c>
      <c r="AB623">
        <v>41</v>
      </c>
      <c r="AC623">
        <v>28.970199999999899</v>
      </c>
      <c r="AD623">
        <v>-1.160747</v>
      </c>
      <c r="AE623">
        <v>-0.105000000000018</v>
      </c>
      <c r="AF623">
        <v>-6.2960431751397095E-2</v>
      </c>
      <c r="AG623">
        <v>-1.160747</v>
      </c>
      <c r="AH623">
        <v>28.9238890321448</v>
      </c>
      <c r="AI623">
        <v>92.298103086644701</v>
      </c>
      <c r="AJ623">
        <v>90.124719096871601</v>
      </c>
      <c r="AK623">
        <v>28.947239149145101</v>
      </c>
      <c r="AL623">
        <v>89.235165113878296</v>
      </c>
      <c r="AM623">
        <v>88.616799865128101</v>
      </c>
      <c r="AN623">
        <v>0.99999995845356904</v>
      </c>
    </row>
    <row r="624" spans="1:40" x14ac:dyDescent="0.25">
      <c r="A624" t="str">
        <f>"20190312154225782"</f>
        <v>20190312154225782</v>
      </c>
      <c r="B624" t="str">
        <f>"1552376545768028"</f>
        <v>1552376545768028</v>
      </c>
      <c r="C624" t="s">
        <v>40</v>
      </c>
      <c r="D624">
        <v>4.4184469999999996</v>
      </c>
      <c r="E624">
        <v>0.49039529999999998</v>
      </c>
      <c r="F624" t="s">
        <v>42</v>
      </c>
      <c r="G624">
        <v>-294.6157</v>
      </c>
      <c r="H624">
        <v>-0.05</v>
      </c>
      <c r="I624">
        <v>367.67689999999999</v>
      </c>
      <c r="J624">
        <v>-323.56169999999997</v>
      </c>
      <c r="K624">
        <v>1.1108009999999999</v>
      </c>
      <c r="L624">
        <v>367.7629</v>
      </c>
      <c r="M624">
        <v>0.99993690000000002</v>
      </c>
      <c r="N624">
        <v>0</v>
      </c>
      <c r="O624">
        <v>-4.7311239999999997E-3</v>
      </c>
      <c r="P624">
        <v>0.99957169999999895</v>
      </c>
      <c r="Q624">
        <v>2.36229E-3</v>
      </c>
      <c r="R624">
        <v>-2.9174019999999998E-2</v>
      </c>
      <c r="S624">
        <v>3.001465</v>
      </c>
      <c r="T624">
        <v>-0.11866409999999999</v>
      </c>
      <c r="U624">
        <v>-8.9416500000000006E-3</v>
      </c>
      <c r="V624">
        <v>2.4409989999999999E-2</v>
      </c>
      <c r="W624">
        <v>1.2626139999999999E-2</v>
      </c>
      <c r="X624">
        <v>0.99962229999999996</v>
      </c>
      <c r="Y624">
        <v>-1.7472379999999999E-3</v>
      </c>
      <c r="Z624">
        <v>2.2150769999999999E-4</v>
      </c>
      <c r="AA624">
        <v>0.99999850000000001</v>
      </c>
      <c r="AB624">
        <v>41</v>
      </c>
      <c r="AC624">
        <v>28.945999999999898</v>
      </c>
      <c r="AD624">
        <v>-1.160801</v>
      </c>
      <c r="AE624">
        <v>-8.6000000000012705E-2</v>
      </c>
      <c r="AF624">
        <v>-5.0873373334429699E-2</v>
      </c>
      <c r="AG624">
        <v>-1.160801</v>
      </c>
      <c r="AH624">
        <v>28.8996071415167</v>
      </c>
      <c r="AI624">
        <v>92.3001406851388</v>
      </c>
      <c r="AJ624">
        <v>90.1008604219614</v>
      </c>
      <c r="AK624">
        <v>28.9229552431234</v>
      </c>
      <c r="AL624">
        <v>89.276556247262505</v>
      </c>
      <c r="AM624">
        <v>88.601160145820998</v>
      </c>
      <c r="AN624">
        <v>1.00000000484019</v>
      </c>
    </row>
    <row r="625" spans="1:40" x14ac:dyDescent="0.25">
      <c r="A625" t="str">
        <f>"20190312154225805"</f>
        <v>20190312154225805</v>
      </c>
      <c r="B625" t="str">
        <f>"1552376545798281"</f>
        <v>1552376545798281</v>
      </c>
      <c r="C625" t="s">
        <v>40</v>
      </c>
      <c r="D625">
        <v>4.36172</v>
      </c>
      <c r="E625">
        <v>0.49052000000000001</v>
      </c>
      <c r="F625" t="s">
        <v>42</v>
      </c>
      <c r="G625">
        <v>-294.85399999999998</v>
      </c>
      <c r="H625">
        <v>-0.05</v>
      </c>
      <c r="I625">
        <v>367.7004</v>
      </c>
      <c r="J625">
        <v>-323.13740000000001</v>
      </c>
      <c r="K625">
        <v>1.1108530000000001</v>
      </c>
      <c r="L625">
        <v>367.76190000000003</v>
      </c>
      <c r="M625">
        <v>0.99993810000000005</v>
      </c>
      <c r="N625">
        <v>0</v>
      </c>
      <c r="O625">
        <v>-3.6351970000000002E-3</v>
      </c>
      <c r="P625">
        <v>0.99957530000000006</v>
      </c>
      <c r="Q625">
        <v>1.59737299999999E-3</v>
      </c>
      <c r="R625">
        <v>-2.9104959999999999E-2</v>
      </c>
      <c r="S625">
        <v>3.0013730000000001</v>
      </c>
      <c r="T625">
        <v>-0.121361</v>
      </c>
      <c r="U625">
        <v>-6.5307619999999999E-3</v>
      </c>
      <c r="V625">
        <v>2.5437319999999999E-2</v>
      </c>
      <c r="W625">
        <v>1.2192730000000001E-2</v>
      </c>
      <c r="X625">
        <v>0.99960210000000005</v>
      </c>
      <c r="Y625">
        <v>-1.4553249999999999E-3</v>
      </c>
      <c r="Z625">
        <v>1.763484E-4</v>
      </c>
      <c r="AA625">
        <v>0.99999890000000002</v>
      </c>
      <c r="AB625">
        <v>41</v>
      </c>
      <c r="AC625">
        <v>28.283399999999901</v>
      </c>
      <c r="AD625">
        <v>-1.1608529999999999</v>
      </c>
      <c r="AE625">
        <v>-6.1500000000023598E-2</v>
      </c>
      <c r="AF625">
        <v>-4.1252330002680797E-2</v>
      </c>
      <c r="AG625">
        <v>-1.1608529999999999</v>
      </c>
      <c r="AH625">
        <v>28.2358713641765</v>
      </c>
      <c r="AI625">
        <v>92.354256035454398</v>
      </c>
      <c r="AJ625">
        <v>90.083708510074501</v>
      </c>
      <c r="AK625">
        <v>28.259754300712899</v>
      </c>
      <c r="AL625">
        <v>89.301390747338999</v>
      </c>
      <c r="AM625">
        <v>88.542283375990195</v>
      </c>
      <c r="AN625">
        <v>1.00000003911902</v>
      </c>
    </row>
    <row r="626" spans="1:40" x14ac:dyDescent="0.25">
      <c r="A626" t="str">
        <f>"20190312154225827"</f>
        <v>20190312154225827</v>
      </c>
      <c r="B626" t="str">
        <f>"1552376545817805"</f>
        <v>1552376545817805</v>
      </c>
      <c r="C626" t="s">
        <v>40</v>
      </c>
      <c r="D626">
        <v>4.4177410000000004</v>
      </c>
      <c r="E626">
        <v>0.49053930000000001</v>
      </c>
      <c r="F626" t="s">
        <v>42</v>
      </c>
      <c r="G626">
        <v>-294.67450000000002</v>
      </c>
      <c r="H626">
        <v>-0.05</v>
      </c>
      <c r="I626">
        <v>367.69240000000002</v>
      </c>
      <c r="J626">
        <v>-322.73680000000002</v>
      </c>
      <c r="K626">
        <v>1.1108990000000001</v>
      </c>
      <c r="L626">
        <v>367.76130000000001</v>
      </c>
      <c r="M626">
        <v>0.99993799999999999</v>
      </c>
      <c r="N626">
        <v>0</v>
      </c>
      <c r="O626">
        <v>-2.6028340000000001E-3</v>
      </c>
      <c r="P626">
        <v>0.99959500000000001</v>
      </c>
      <c r="Q626">
        <v>2.4189039999999999E-3</v>
      </c>
      <c r="R626">
        <v>-2.835588E-2</v>
      </c>
      <c r="S626">
        <v>3.0012509999999999</v>
      </c>
      <c r="T626">
        <v>-0.1224055</v>
      </c>
      <c r="U626">
        <v>-7.3242189999999999E-3</v>
      </c>
      <c r="V626">
        <v>2.5717E-2</v>
      </c>
      <c r="W626">
        <v>1.332655E-2</v>
      </c>
      <c r="X626">
        <v>0.99958040000000004</v>
      </c>
      <c r="Y626">
        <v>-1.6030889999999999E-4</v>
      </c>
      <c r="Z626">
        <v>1.093856E-4</v>
      </c>
      <c r="AA626">
        <v>1</v>
      </c>
      <c r="AB626">
        <v>41</v>
      </c>
      <c r="AC626">
        <v>28.0623</v>
      </c>
      <c r="AD626">
        <v>-1.1608989999999999</v>
      </c>
      <c r="AE626">
        <v>-6.8899999999985001E-2</v>
      </c>
      <c r="AF626">
        <v>-4.1389401768930001E-3</v>
      </c>
      <c r="AG626">
        <v>-1.1608989999999999</v>
      </c>
      <c r="AH626">
        <v>28.014441663942399</v>
      </c>
      <c r="AI626">
        <v>92.372939610003598</v>
      </c>
      <c r="AJ626">
        <v>90.008465055449307</v>
      </c>
      <c r="AK626">
        <v>28.038485076078199</v>
      </c>
      <c r="AL626">
        <v>89.236422302862906</v>
      </c>
      <c r="AM626">
        <v>88.526231023123799</v>
      </c>
      <c r="AN626">
        <v>0.99999996854402995</v>
      </c>
    </row>
    <row r="627" spans="1:40" x14ac:dyDescent="0.25">
      <c r="A627" t="str">
        <f>"20190312154225850"</f>
        <v>20190312154225850</v>
      </c>
      <c r="B627" t="str">
        <f>"1552376545838298"</f>
        <v>1552376545838298</v>
      </c>
      <c r="C627" t="s">
        <v>40</v>
      </c>
      <c r="D627">
        <v>4.3973620000000002</v>
      </c>
      <c r="E627">
        <v>0.49053449999999998</v>
      </c>
      <c r="F627" t="s">
        <v>42</v>
      </c>
      <c r="G627">
        <v>-293.66980000000001</v>
      </c>
      <c r="H627">
        <v>-0.05</v>
      </c>
      <c r="I627">
        <v>367.70929999999998</v>
      </c>
      <c r="J627">
        <v>-322.34280000000001</v>
      </c>
      <c r="K627">
        <v>1.1109420000000001</v>
      </c>
      <c r="L627">
        <v>367.76119999999997</v>
      </c>
      <c r="M627">
        <v>0.99993670000000001</v>
      </c>
      <c r="N627">
        <v>0</v>
      </c>
      <c r="O627">
        <v>-1.5960849999999999E-3</v>
      </c>
      <c r="P627">
        <v>0.99964830000000005</v>
      </c>
      <c r="Q627">
        <v>3.650281E-3</v>
      </c>
      <c r="R627">
        <v>-2.626612E-2</v>
      </c>
      <c r="S627">
        <v>3.0013730000000001</v>
      </c>
      <c r="T627">
        <v>-0.1198709</v>
      </c>
      <c r="U627">
        <v>-5.3710939999999999E-3</v>
      </c>
      <c r="V627">
        <v>2.4629560000000002E-2</v>
      </c>
      <c r="W627">
        <v>1.4862770000000001E-2</v>
      </c>
      <c r="X627">
        <v>0.99958619999999998</v>
      </c>
      <c r="Y627">
        <v>1.944766E-4</v>
      </c>
      <c r="Z627" s="1">
        <v>5.9841969999999897E-5</v>
      </c>
      <c r="AA627">
        <v>1</v>
      </c>
      <c r="AB627">
        <v>41</v>
      </c>
      <c r="AC627">
        <v>28.672999999999998</v>
      </c>
      <c r="AD627">
        <v>-1.1609419999999999</v>
      </c>
      <c r="AE627">
        <v>-5.1899999999989101E-2</v>
      </c>
      <c r="AF627">
        <v>6.1225129234780597E-3</v>
      </c>
      <c r="AG627">
        <v>-1.1609419999999999</v>
      </c>
      <c r="AH627">
        <v>28.626117908600801</v>
      </c>
      <c r="AI627">
        <v>92.322377202064402</v>
      </c>
      <c r="AJ627">
        <v>89.987745661276804</v>
      </c>
      <c r="AK627">
        <v>28.6496500908762</v>
      </c>
      <c r="AL627">
        <v>89.148394689257998</v>
      </c>
      <c r="AM627">
        <v>88.588531573118999</v>
      </c>
      <c r="AN627">
        <v>1.0000000441941499</v>
      </c>
    </row>
    <row r="628" spans="1:40" x14ac:dyDescent="0.25">
      <c r="A628" t="str">
        <f>"20190312154225872"</f>
        <v>20190312154225872</v>
      </c>
      <c r="B628" t="str">
        <f>"1552376545868553"</f>
        <v>1552376545868553</v>
      </c>
      <c r="C628" t="s">
        <v>40</v>
      </c>
      <c r="D628">
        <v>4.4357480000000002</v>
      </c>
      <c r="E628">
        <v>0.49062129999999998</v>
      </c>
      <c r="F628" t="s">
        <v>42</v>
      </c>
      <c r="G628">
        <v>-292.32569999999998</v>
      </c>
      <c r="H628">
        <v>-0.05</v>
      </c>
      <c r="I628">
        <v>367.76859999999999</v>
      </c>
      <c r="J628">
        <v>-321.92570000000001</v>
      </c>
      <c r="K628">
        <v>1.110968</v>
      </c>
      <c r="L628">
        <v>367.76150000000001</v>
      </c>
      <c r="M628">
        <v>0.99993410000000005</v>
      </c>
      <c r="N628">
        <v>0</v>
      </c>
      <c r="O628">
        <v>-5.5022260000000005E-4</v>
      </c>
      <c r="P628">
        <v>0.9997239</v>
      </c>
      <c r="Q628">
        <v>3.4439959999999999E-3</v>
      </c>
      <c r="R628">
        <v>-2.325089E-2</v>
      </c>
      <c r="S628">
        <v>3.0014949999999998</v>
      </c>
      <c r="T628">
        <v>-0.11608599999999999</v>
      </c>
      <c r="U628">
        <v>7.3242190000000001E-4</v>
      </c>
      <c r="V628">
        <v>2.2659760000000001E-2</v>
      </c>
      <c r="W628">
        <v>1.497338E-2</v>
      </c>
      <c r="X628">
        <v>0.99963109999999999</v>
      </c>
      <c r="Y628">
        <v>-7.9327339999999997E-4</v>
      </c>
      <c r="Z628" s="1">
        <v>3.66085E-5</v>
      </c>
      <c r="AA628">
        <v>0.99999970000000005</v>
      </c>
      <c r="AB628">
        <v>41</v>
      </c>
      <c r="AC628">
        <v>29.6</v>
      </c>
      <c r="AD628">
        <v>-1.160968</v>
      </c>
      <c r="AE628">
        <v>7.0999999999799002E-3</v>
      </c>
      <c r="AF628">
        <v>-2.3351735477133099E-2</v>
      </c>
      <c r="AG628">
        <v>-1.160968</v>
      </c>
      <c r="AH628">
        <v>29.554526208095499</v>
      </c>
      <c r="AI628">
        <v>92.249549263077697</v>
      </c>
      <c r="AJ628">
        <v>90.045270751400196</v>
      </c>
      <c r="AK628">
        <v>29.577329348431299</v>
      </c>
      <c r="AL628">
        <v>89.142056461378104</v>
      </c>
      <c r="AM628">
        <v>88.701434653859195</v>
      </c>
      <c r="AN628">
        <v>1.00000000145954</v>
      </c>
    </row>
    <row r="629" spans="1:40" x14ac:dyDescent="0.25">
      <c r="A629" t="str">
        <f>"20190312154225894"</f>
        <v>20190312154225894</v>
      </c>
      <c r="B629" t="str">
        <f>"1552376545888077"</f>
        <v>1552376545888077</v>
      </c>
      <c r="C629" t="s">
        <v>40</v>
      </c>
      <c r="D629">
        <v>4.4205769999999998</v>
      </c>
      <c r="E629">
        <v>0.51523459999999999</v>
      </c>
      <c r="F629" t="s">
        <v>42</v>
      </c>
      <c r="G629">
        <v>-291.93009999999998</v>
      </c>
      <c r="H629">
        <v>-0.05</v>
      </c>
      <c r="I629">
        <v>367.85359999999997</v>
      </c>
      <c r="J629">
        <v>-321.51229999999998</v>
      </c>
      <c r="K629">
        <v>1.1109789999999999</v>
      </c>
      <c r="L629">
        <v>367.76220000000001</v>
      </c>
      <c r="M629">
        <v>0.99993069999999895</v>
      </c>
      <c r="N629">
        <v>0</v>
      </c>
      <c r="O629">
        <v>4.6625799999999999E-4</v>
      </c>
      <c r="P629">
        <v>0.99979019999999996</v>
      </c>
      <c r="Q629">
        <v>2.2114439999999999E-3</v>
      </c>
      <c r="R629">
        <v>-2.0362129999999999E-2</v>
      </c>
      <c r="S629">
        <v>3.001465</v>
      </c>
      <c r="T629">
        <v>-0.1161706</v>
      </c>
      <c r="U629">
        <v>9.2163090000000007E-3</v>
      </c>
      <c r="V629">
        <v>2.0790550000000001E-2</v>
      </c>
      <c r="W629">
        <v>1.4038399999999901E-2</v>
      </c>
      <c r="X629">
        <v>0.9996853</v>
      </c>
      <c r="Y629">
        <v>-2.6027009999999998E-3</v>
      </c>
      <c r="Z629" s="1">
        <v>3.230854E-5</v>
      </c>
      <c r="AA629">
        <v>0.99999660000000001</v>
      </c>
      <c r="AB629">
        <v>41</v>
      </c>
      <c r="AC629">
        <v>29.5822</v>
      </c>
      <c r="AD629">
        <v>-1.160979</v>
      </c>
      <c r="AE629">
        <v>9.1399999999964607E-2</v>
      </c>
      <c r="AF629">
        <v>-7.7486751351029906E-2</v>
      </c>
      <c r="AG629">
        <v>-1.160979</v>
      </c>
      <c r="AH629">
        <v>29.536746222848301</v>
      </c>
      <c r="AI629">
        <v>92.250916282012795</v>
      </c>
      <c r="AJ629">
        <v>90.150309502685204</v>
      </c>
      <c r="AK629">
        <v>29.5596558482676</v>
      </c>
      <c r="AL629">
        <v>89.1956325161851</v>
      </c>
      <c r="AM629">
        <v>88.808585989191499</v>
      </c>
      <c r="AN629">
        <v>1.0000000113399701</v>
      </c>
    </row>
    <row r="630" spans="1:40" x14ac:dyDescent="0.25">
      <c r="A630" t="str">
        <f>"20190312154225917"</f>
        <v>20190312154225917</v>
      </c>
      <c r="B630" t="str">
        <f>"1552376545908569"</f>
        <v>1552376545908569</v>
      </c>
      <c r="C630" t="s">
        <v>40</v>
      </c>
      <c r="D630">
        <v>4.4041059999999996</v>
      </c>
      <c r="E630">
        <v>0.52072180000000001</v>
      </c>
      <c r="F630" t="s">
        <v>41</v>
      </c>
      <c r="G630">
        <v>-320.56060000000002</v>
      </c>
      <c r="H630">
        <v>0.99367499999999997</v>
      </c>
      <c r="I630">
        <v>367.70800000000003</v>
      </c>
      <c r="J630">
        <v>-321.09930000000003</v>
      </c>
      <c r="K630">
        <v>1.110867</v>
      </c>
      <c r="L630">
        <v>367.76330000000002</v>
      </c>
      <c r="M630">
        <v>0.99993069999999895</v>
      </c>
      <c r="N630">
        <v>0</v>
      </c>
      <c r="O630">
        <v>1.4722159999999999E-3</v>
      </c>
      <c r="P630">
        <v>0.99983759999999999</v>
      </c>
      <c r="Q630">
        <v>1.661065E-3</v>
      </c>
      <c r="R630">
        <v>-1.794894E-2</v>
      </c>
      <c r="S630">
        <v>2.997986</v>
      </c>
      <c r="T630">
        <v>-0.3696488</v>
      </c>
      <c r="U630">
        <v>-0.17053219999999999</v>
      </c>
      <c r="V630">
        <v>1.9385940000000001E-2</v>
      </c>
      <c r="W630">
        <v>1.339569E-2</v>
      </c>
      <c r="X630">
        <v>0.99972240000000001</v>
      </c>
      <c r="Y630">
        <v>5.7812830000000003E-2</v>
      </c>
      <c r="Z630">
        <v>-3.7285619999999999E-3</v>
      </c>
      <c r="AA630">
        <v>0.99832050000000006</v>
      </c>
      <c r="AB630">
        <v>41</v>
      </c>
      <c r="AC630">
        <v>0.53870000000000495</v>
      </c>
      <c r="AD630">
        <v>-0.117192</v>
      </c>
      <c r="AE630">
        <v>-5.5299999999988303E-2</v>
      </c>
      <c r="AF630">
        <v>5.3583610859708301E-2</v>
      </c>
      <c r="AG630">
        <v>-0.117192</v>
      </c>
      <c r="AH630">
        <v>0.51452155481623096</v>
      </c>
      <c r="AI630">
        <v>102.76454045574199</v>
      </c>
      <c r="AJ630">
        <v>84.054501244122704</v>
      </c>
      <c r="AK630">
        <v>0.53041266820021904</v>
      </c>
      <c r="AL630">
        <v>89.2324605953321</v>
      </c>
      <c r="AM630">
        <v>88.889098258860301</v>
      </c>
      <c r="AN630">
        <v>1.000000068121</v>
      </c>
    </row>
    <row r="631" spans="1:40" x14ac:dyDescent="0.25">
      <c r="A631" t="str">
        <f>"20190312154225938"</f>
        <v>20190312154225938</v>
      </c>
      <c r="B631" t="str">
        <f>"1552376545928089"</f>
        <v>1552376545928089</v>
      </c>
      <c r="C631" t="s">
        <v>40</v>
      </c>
      <c r="D631">
        <v>4.3960109999999997</v>
      </c>
      <c r="E631">
        <v>0.52379750000000003</v>
      </c>
      <c r="F631" t="s">
        <v>41</v>
      </c>
      <c r="G631">
        <v>-320.2045</v>
      </c>
      <c r="H631">
        <v>0.9723792</v>
      </c>
      <c r="I631">
        <v>367.70190000000002</v>
      </c>
      <c r="J631">
        <v>-320.6927</v>
      </c>
      <c r="K631">
        <v>1.1105700000000001</v>
      </c>
      <c r="L631">
        <v>367.7647</v>
      </c>
      <c r="M631">
        <v>0.99993529999999997</v>
      </c>
      <c r="N631">
        <v>0</v>
      </c>
      <c r="O631">
        <v>2.4535030000000001E-3</v>
      </c>
      <c r="P631">
        <v>0.9998631</v>
      </c>
      <c r="Q631">
        <v>2.2078530000000001E-3</v>
      </c>
      <c r="R631">
        <v>-1.640368E-2</v>
      </c>
      <c r="S631">
        <v>2.99762</v>
      </c>
      <c r="T631">
        <v>-0.46416829999999998</v>
      </c>
      <c r="U631">
        <v>-0.20449829999999999</v>
      </c>
      <c r="V631">
        <v>1.8823380000000001E-2</v>
      </c>
      <c r="W631">
        <v>1.336041E-2</v>
      </c>
      <c r="X631">
        <v>0.9997336</v>
      </c>
      <c r="Y631">
        <v>6.9654350000000004E-2</v>
      </c>
      <c r="Z631">
        <v>-5.732043E-3</v>
      </c>
      <c r="AA631">
        <v>0.99755470000000002</v>
      </c>
      <c r="AB631">
        <v>41</v>
      </c>
      <c r="AC631">
        <v>0.48820000000000602</v>
      </c>
      <c r="AD631">
        <v>-0.1381908</v>
      </c>
      <c r="AE631">
        <v>-6.2799999999981496E-2</v>
      </c>
      <c r="AF631">
        <v>5.93219429801553E-2</v>
      </c>
      <c r="AG631">
        <v>-0.1381908</v>
      </c>
      <c r="AH631">
        <v>0.45238737130835899</v>
      </c>
      <c r="AI631">
        <v>106.85036052384</v>
      </c>
      <c r="AJ631">
        <v>82.529380672821304</v>
      </c>
      <c r="AK631">
        <v>0.47672856411470399</v>
      </c>
      <c r="AL631">
        <v>89.234482153949799</v>
      </c>
      <c r="AM631">
        <v>88.9213398334891</v>
      </c>
      <c r="AN631">
        <v>1.00000004557947</v>
      </c>
    </row>
    <row r="632" spans="1:40" x14ac:dyDescent="0.25">
      <c r="A632" t="str">
        <f>"20190312154225961"</f>
        <v>20190312154225961</v>
      </c>
      <c r="B632" t="str">
        <f>"1552376545947609"</f>
        <v>1552376545947609</v>
      </c>
      <c r="C632" t="s">
        <v>40</v>
      </c>
      <c r="D632">
        <v>4.3581979999999998</v>
      </c>
      <c r="E632">
        <v>0.52538619999999903</v>
      </c>
      <c r="F632" t="s">
        <v>41</v>
      </c>
      <c r="G632">
        <v>-319.83999999999997</v>
      </c>
      <c r="H632">
        <v>0.96546699999999996</v>
      </c>
      <c r="I632">
        <v>367.7011</v>
      </c>
      <c r="J632">
        <v>-320.3005</v>
      </c>
      <c r="K632">
        <v>1.1102449999999999</v>
      </c>
      <c r="L632">
        <v>367.7663</v>
      </c>
      <c r="M632">
        <v>0.99993460000000001</v>
      </c>
      <c r="N632">
        <v>0</v>
      </c>
      <c r="O632">
        <v>3.352706E-3</v>
      </c>
      <c r="P632">
        <v>0.99988500000000002</v>
      </c>
      <c r="Q632">
        <v>2.3265510000000001E-3</v>
      </c>
      <c r="R632">
        <v>-1.5015540000000001E-2</v>
      </c>
      <c r="S632">
        <v>2.9978940000000001</v>
      </c>
      <c r="T632">
        <v>-0.51023099999999999</v>
      </c>
      <c r="U632">
        <v>-0.2228088</v>
      </c>
      <c r="V632">
        <v>1.8336089999999999E-2</v>
      </c>
      <c r="W632">
        <v>1.331797E-2</v>
      </c>
      <c r="X632">
        <v>0.99974320000000005</v>
      </c>
      <c r="Y632">
        <v>7.6321089999999994E-2</v>
      </c>
      <c r="Z632">
        <v>-7.0055639999999997E-3</v>
      </c>
      <c r="AA632">
        <v>0.99705869999999996</v>
      </c>
      <c r="AB632">
        <v>41</v>
      </c>
      <c r="AC632">
        <v>0.460500000000024</v>
      </c>
      <c r="AD632">
        <v>-0.14477799999999999</v>
      </c>
      <c r="AE632">
        <v>-6.5200000000004296E-2</v>
      </c>
      <c r="AF632">
        <v>6.0847495038543802E-2</v>
      </c>
      <c r="AG632">
        <v>-0.14477799999999999</v>
      </c>
      <c r="AH632">
        <v>0.41961764772607302</v>
      </c>
      <c r="AI632">
        <v>108.852595135228</v>
      </c>
      <c r="AJ632">
        <v>81.749220121074003</v>
      </c>
      <c r="AK632">
        <v>0.448042472562176</v>
      </c>
      <c r="AL632">
        <v>89.236913986033002</v>
      </c>
      <c r="AM632">
        <v>88.949267378148605</v>
      </c>
      <c r="AN632">
        <v>1.00000002323382</v>
      </c>
    </row>
    <row r="633" spans="1:40" x14ac:dyDescent="0.25">
      <c r="A633" t="str">
        <f>"20190312154225987"</f>
        <v>20190312154225987</v>
      </c>
      <c r="B633" t="str">
        <f>"1552376545977867"</f>
        <v>1552376545977867</v>
      </c>
      <c r="C633" t="s">
        <v>40</v>
      </c>
      <c r="D633">
        <v>4.3994150000000003</v>
      </c>
      <c r="E633">
        <v>0.52702890000000002</v>
      </c>
      <c r="F633" t="s">
        <v>41</v>
      </c>
      <c r="G633">
        <v>-319.47359999999998</v>
      </c>
      <c r="H633">
        <v>0.96294559999999996</v>
      </c>
      <c r="I633">
        <v>367.70240000000001</v>
      </c>
      <c r="J633">
        <v>-319.81580000000002</v>
      </c>
      <c r="K633">
        <v>1.1097349999999999</v>
      </c>
      <c r="L633">
        <v>367.76859999999999</v>
      </c>
      <c r="M633">
        <v>0.99992389999999998</v>
      </c>
      <c r="N633">
        <v>0</v>
      </c>
      <c r="O633">
        <v>4.3760839999999997E-3</v>
      </c>
      <c r="P633">
        <v>0.99990979999999996</v>
      </c>
      <c r="Q633">
        <v>1.5085949999999999E-3</v>
      </c>
      <c r="R633">
        <v>-1.3340690000000001E-2</v>
      </c>
      <c r="S633">
        <v>2.9981080000000002</v>
      </c>
      <c r="T633">
        <v>-0.53417230000000004</v>
      </c>
      <c r="U633">
        <v>-0.23065189999999999</v>
      </c>
      <c r="V633">
        <v>1.7687430000000001E-2</v>
      </c>
      <c r="W633">
        <v>1.30791E-2</v>
      </c>
      <c r="X633">
        <v>0.99975800000000004</v>
      </c>
      <c r="Y633">
        <v>7.9751329999999995E-2</v>
      </c>
      <c r="Z633">
        <v>-7.811536E-3</v>
      </c>
      <c r="AA633">
        <v>0.99678420000000001</v>
      </c>
      <c r="AB633">
        <v>41</v>
      </c>
      <c r="AC633">
        <v>0.34220000000004802</v>
      </c>
      <c r="AD633">
        <v>-0.14678939999999999</v>
      </c>
      <c r="AE633">
        <v>-6.6199999999980705E-2</v>
      </c>
      <c r="AF633">
        <v>5.7498605092306199E-2</v>
      </c>
      <c r="AG633">
        <v>-0.14678939999999999</v>
      </c>
      <c r="AH633">
        <v>0.290399679701145</v>
      </c>
      <c r="AI633">
        <v>116.37440812769201</v>
      </c>
      <c r="AJ633">
        <v>78.800394882843193</v>
      </c>
      <c r="AK633">
        <v>0.330431825813508</v>
      </c>
      <c r="AL633">
        <v>89.250601390908599</v>
      </c>
      <c r="AM633">
        <v>88.986445342331294</v>
      </c>
      <c r="AN633">
        <v>0.99999998330040696</v>
      </c>
    </row>
    <row r="634" spans="1:40" x14ac:dyDescent="0.25">
      <c r="A634" t="str">
        <f>"20190312154226000"</f>
        <v>20190312154226000</v>
      </c>
      <c r="B634" t="str">
        <f>"1552376545987626"</f>
        <v>1552376545987626</v>
      </c>
      <c r="C634" t="s">
        <v>40</v>
      </c>
      <c r="D634">
        <v>4.4150600000000004</v>
      </c>
      <c r="E634">
        <v>0.52741719999999903</v>
      </c>
      <c r="F634" t="s">
        <v>41</v>
      </c>
      <c r="G634">
        <v>-319.09960000000001</v>
      </c>
      <c r="H634">
        <v>0.97589559999999997</v>
      </c>
      <c r="I634">
        <v>367.7115</v>
      </c>
      <c r="J634">
        <v>-319.57740000000001</v>
      </c>
      <c r="K634">
        <v>1.1093649999999999</v>
      </c>
      <c r="L634">
        <v>367.76979999999998</v>
      </c>
      <c r="M634">
        <v>0.9999152</v>
      </c>
      <c r="N634">
        <v>0</v>
      </c>
      <c r="O634">
        <v>4.8140079999999998E-3</v>
      </c>
      <c r="P634">
        <v>0.99992170000000002</v>
      </c>
      <c r="Q634">
        <v>8.0769039999999896E-4</v>
      </c>
      <c r="R634">
        <v>-1.249931E-2</v>
      </c>
      <c r="S634">
        <v>2.9978639999999999</v>
      </c>
      <c r="T634">
        <v>-0.56036269999999999</v>
      </c>
      <c r="U634">
        <v>-0.23806759999999999</v>
      </c>
      <c r="V634">
        <v>1.7285080000000001E-2</v>
      </c>
      <c r="W634">
        <v>1.2951789999999999E-2</v>
      </c>
      <c r="X634">
        <v>0.99976670000000001</v>
      </c>
      <c r="Y634">
        <v>8.2459240000000003E-2</v>
      </c>
      <c r="Z634">
        <v>-8.5196500000000001E-3</v>
      </c>
      <c r="AA634">
        <v>0.99655800000000005</v>
      </c>
      <c r="AB634">
        <v>41</v>
      </c>
      <c r="AC634">
        <v>0.477800000000002</v>
      </c>
      <c r="AD634">
        <v>-0.13346939999999899</v>
      </c>
      <c r="AE634">
        <v>-5.8299999999974199E-2</v>
      </c>
      <c r="AF634">
        <v>5.6272966527244499E-2</v>
      </c>
      <c r="AG634">
        <v>-0.13346939999999899</v>
      </c>
      <c r="AH634">
        <v>0.44342051488790901</v>
      </c>
      <c r="AI634">
        <v>106.625869883191</v>
      </c>
      <c r="AJ634">
        <v>82.7674524694703</v>
      </c>
      <c r="AK634">
        <v>0.46647881036719702</v>
      </c>
      <c r="AL634">
        <v>89.2578963386038</v>
      </c>
      <c r="AM634">
        <v>89.009505444900199</v>
      </c>
      <c r="AN634">
        <v>0.99999998864185002</v>
      </c>
    </row>
    <row r="635" spans="1:40" x14ac:dyDescent="0.25">
      <c r="A635" t="str">
        <f>"20190312154226013"</f>
        <v>20190312154226013</v>
      </c>
      <c r="B635" t="str">
        <f>"1552376545998361"</f>
        <v>1552376545998361</v>
      </c>
      <c r="C635" t="s">
        <v>40</v>
      </c>
      <c r="D635">
        <v>4.4292559999999996</v>
      </c>
      <c r="E635">
        <v>0.52773979999999998</v>
      </c>
      <c r="F635" t="s">
        <v>41</v>
      </c>
      <c r="G635">
        <v>-318.7441</v>
      </c>
      <c r="H635">
        <v>0.9516599</v>
      </c>
      <c r="I635">
        <v>367.70319999999998</v>
      </c>
      <c r="J635">
        <v>-319.35050000000001</v>
      </c>
      <c r="K635">
        <v>1.108965</v>
      </c>
      <c r="L635">
        <v>367.77100000000002</v>
      </c>
      <c r="M635">
        <v>0.9999053</v>
      </c>
      <c r="N635">
        <v>0</v>
      </c>
      <c r="O635">
        <v>5.1837050000000003E-3</v>
      </c>
      <c r="P635">
        <v>0.99993200000000004</v>
      </c>
      <c r="Q635">
        <v>-1.7309749999999999E-4</v>
      </c>
      <c r="R635">
        <v>-1.1673920000000001E-2</v>
      </c>
      <c r="S635">
        <v>2.9977109999999998</v>
      </c>
      <c r="T635">
        <v>-0.56750990000000001</v>
      </c>
      <c r="U635">
        <v>-0.2385254</v>
      </c>
      <c r="V635">
        <v>1.6830879999999999E-2</v>
      </c>
      <c r="W635">
        <v>1.26147E-2</v>
      </c>
      <c r="X635">
        <v>0.99977870000000002</v>
      </c>
      <c r="Y635">
        <v>8.2929719999999998E-2</v>
      </c>
      <c r="Z635">
        <v>-8.740177E-3</v>
      </c>
      <c r="AA635">
        <v>0.99651710000000004</v>
      </c>
      <c r="AB635">
        <v>41</v>
      </c>
      <c r="AC635">
        <v>0.60640000000000704</v>
      </c>
      <c r="AD635">
        <v>-0.157305099999999</v>
      </c>
      <c r="AE635">
        <v>-6.7799999999976907E-2</v>
      </c>
      <c r="AF635">
        <v>6.6521600755853894E-2</v>
      </c>
      <c r="AG635">
        <v>-0.157305099999999</v>
      </c>
      <c r="AH635">
        <v>0.56827201225875501</v>
      </c>
      <c r="AI635">
        <v>105.37282788185</v>
      </c>
      <c r="AJ635">
        <v>83.323374174362996</v>
      </c>
      <c r="AK635">
        <v>0.59338275823430098</v>
      </c>
      <c r="AL635">
        <v>89.277211708418093</v>
      </c>
      <c r="AM635">
        <v>89.035539258959702</v>
      </c>
      <c r="AN635">
        <v>0.99999992907567403</v>
      </c>
    </row>
    <row r="636" spans="1:40" x14ac:dyDescent="0.25">
      <c r="A636" t="str">
        <f>"20190312154226029"</f>
        <v>20190312154226029</v>
      </c>
      <c r="B636" t="str">
        <f>"1552376546017882"</f>
        <v>1552376546017882</v>
      </c>
      <c r="C636" t="s">
        <v>40</v>
      </c>
      <c r="D636">
        <v>4.470936</v>
      </c>
      <c r="E636">
        <v>0.52842609999999901</v>
      </c>
      <c r="F636" t="s">
        <v>41</v>
      </c>
      <c r="G636">
        <v>-318.39010000000002</v>
      </c>
      <c r="H636">
        <v>0.92467889999999997</v>
      </c>
      <c r="I636">
        <v>367.69450000000001</v>
      </c>
      <c r="J636">
        <v>-319.04379999999998</v>
      </c>
      <c r="K636">
        <v>1.1083179999999999</v>
      </c>
      <c r="L636">
        <v>367.77280000000002</v>
      </c>
      <c r="M636">
        <v>0.99988849999999996</v>
      </c>
      <c r="N636">
        <v>0</v>
      </c>
      <c r="O636">
        <v>5.5711099999999998E-3</v>
      </c>
      <c r="P636">
        <v>0.99993529999999997</v>
      </c>
      <c r="Q636">
        <v>-2.2300000000000002E-3</v>
      </c>
      <c r="R636">
        <v>-1.117483E-2</v>
      </c>
      <c r="S636">
        <v>2.9973139999999998</v>
      </c>
      <c r="T636">
        <v>-0.57519509999999996</v>
      </c>
      <c r="U636">
        <v>-0.2381287</v>
      </c>
      <c r="V636">
        <v>1.6721650000000001E-2</v>
      </c>
      <c r="W636">
        <v>1.166157E-2</v>
      </c>
      <c r="X636">
        <v>0.99979220000000002</v>
      </c>
      <c r="Y636">
        <v>8.3141839999999995E-2</v>
      </c>
      <c r="Z636">
        <v>-8.9513579999999995E-3</v>
      </c>
      <c r="AA636">
        <v>0.99649750000000004</v>
      </c>
      <c r="AB636">
        <v>41</v>
      </c>
      <c r="AC636">
        <v>0.65369999999995798</v>
      </c>
      <c r="AD636">
        <v>-0.1836391</v>
      </c>
      <c r="AE636">
        <v>-7.8300000000012901E-2</v>
      </c>
      <c r="AF636">
        <v>7.6026045542524401E-2</v>
      </c>
      <c r="AG636">
        <v>-0.1836391</v>
      </c>
      <c r="AH636">
        <v>0.60609836777163795</v>
      </c>
      <c r="AI636">
        <v>106.732344715427</v>
      </c>
      <c r="AJ636">
        <v>82.8504357360667</v>
      </c>
      <c r="AK636">
        <v>0.637854615147596</v>
      </c>
      <c r="AL636">
        <v>89.331826127874606</v>
      </c>
      <c r="AM636">
        <v>89.041810236194806</v>
      </c>
      <c r="AN636">
        <v>1.00000002448721</v>
      </c>
    </row>
    <row r="637" spans="1:40" x14ac:dyDescent="0.25">
      <c r="A637" t="str">
        <f>"20190312154226042"</f>
        <v>20190312154226042</v>
      </c>
      <c r="B637" t="str">
        <f>"1552376546028617"</f>
        <v>1552376546028617</v>
      </c>
      <c r="C637" t="s">
        <v>40</v>
      </c>
      <c r="D637">
        <v>4.4696400000000001</v>
      </c>
      <c r="E637">
        <v>0.52842609999999901</v>
      </c>
      <c r="F637" t="s">
        <v>41</v>
      </c>
      <c r="G637">
        <v>-318.03129999999999</v>
      </c>
      <c r="H637">
        <v>0.90917899999999996</v>
      </c>
      <c r="I637">
        <v>367.69110000000001</v>
      </c>
      <c r="J637">
        <v>-318.80360000000002</v>
      </c>
      <c r="K637">
        <v>1.1077189999999999</v>
      </c>
      <c r="L637">
        <v>367.77429999999998</v>
      </c>
      <c r="M637">
        <v>0.99987040000000005</v>
      </c>
      <c r="N637">
        <v>0</v>
      </c>
      <c r="O637">
        <v>5.8038789999999996E-3</v>
      </c>
      <c r="P637">
        <v>0.99993279999999995</v>
      </c>
      <c r="Q637">
        <v>-3.5104699999999999E-3</v>
      </c>
      <c r="R637">
        <v>-1.1063419999999999E-2</v>
      </c>
      <c r="S637">
        <v>2.9961850000000001</v>
      </c>
      <c r="T637">
        <v>-0.58941889999999997</v>
      </c>
      <c r="U637">
        <v>-0.24118039999999999</v>
      </c>
      <c r="V637">
        <v>1.6844049999999999E-2</v>
      </c>
      <c r="W637">
        <v>1.154809E-2</v>
      </c>
      <c r="X637">
        <v>0.9997914</v>
      </c>
      <c r="Y637">
        <v>8.4304519999999994E-2</v>
      </c>
      <c r="Z637">
        <v>-9.3300529999999996E-3</v>
      </c>
      <c r="AA637">
        <v>0.99639639999999996</v>
      </c>
      <c r="AB637">
        <v>41</v>
      </c>
      <c r="AC637">
        <v>0.77230000000002896</v>
      </c>
      <c r="AD637">
        <v>-0.19853999999999999</v>
      </c>
      <c r="AE637">
        <v>-8.3199999999976598E-2</v>
      </c>
      <c r="AF637">
        <v>8.2304487402165394E-2</v>
      </c>
      <c r="AG637">
        <v>-0.19853999999999999</v>
      </c>
      <c r="AH637">
        <v>0.72447415547913097</v>
      </c>
      <c r="AI637">
        <v>105.232090885467</v>
      </c>
      <c r="AJ637">
        <v>83.518653485405395</v>
      </c>
      <c r="AK637">
        <v>0.75568178633849103</v>
      </c>
      <c r="AL637">
        <v>89.3383284492608</v>
      </c>
      <c r="AM637">
        <v>89.034796978995402</v>
      </c>
      <c r="AN637">
        <v>0.99999996195850405</v>
      </c>
    </row>
    <row r="638" spans="1:40" x14ac:dyDescent="0.25">
      <c r="A638" t="str">
        <f>"20190312154226055"</f>
        <v>20190312154226055</v>
      </c>
      <c r="B638" t="str">
        <f>"1552376546048138"</f>
        <v>1552376546048138</v>
      </c>
      <c r="C638" t="s">
        <v>40</v>
      </c>
      <c r="D638">
        <v>4.4367039999999998</v>
      </c>
      <c r="E638">
        <v>0.54648129999999995</v>
      </c>
      <c r="F638" t="s">
        <v>41</v>
      </c>
      <c r="G638">
        <v>-318.01139999999998</v>
      </c>
      <c r="H638">
        <v>0.95085629999999999</v>
      </c>
      <c r="I638">
        <v>367.71039999999999</v>
      </c>
      <c r="J638">
        <v>-318.5772</v>
      </c>
      <c r="K638">
        <v>1.107064</v>
      </c>
      <c r="L638">
        <v>367.77569999999997</v>
      </c>
      <c r="M638">
        <v>0.99985190000000002</v>
      </c>
      <c r="N638">
        <v>0</v>
      </c>
      <c r="O638">
        <v>6.0242369999999896E-3</v>
      </c>
      <c r="P638">
        <v>0.99992630000000005</v>
      </c>
      <c r="Q638">
        <v>-4.817656E-3</v>
      </c>
      <c r="R638">
        <v>-1.115154E-2</v>
      </c>
      <c r="S638">
        <v>2.995422</v>
      </c>
      <c r="T638">
        <v>-0.59329390000000004</v>
      </c>
      <c r="U638">
        <v>-0.24078369999999999</v>
      </c>
      <c r="V638">
        <v>1.7153970000000001E-2</v>
      </c>
      <c r="W638">
        <v>1.133925E-2</v>
      </c>
      <c r="X638">
        <v>0.99978860000000003</v>
      </c>
      <c r="Y638">
        <v>8.4384260000000003E-2</v>
      </c>
      <c r="Z638">
        <v>-9.4436160000000002E-3</v>
      </c>
      <c r="AA638">
        <v>0.99638859999999996</v>
      </c>
      <c r="AB638">
        <v>41</v>
      </c>
      <c r="AC638">
        <v>0.56580000000002395</v>
      </c>
      <c r="AD638">
        <v>-0.1562077</v>
      </c>
      <c r="AE638">
        <v>-6.5299999999979194E-2</v>
      </c>
      <c r="AF638">
        <v>6.3901137510009198E-2</v>
      </c>
      <c r="AG638">
        <v>-0.1562077</v>
      </c>
      <c r="AH638">
        <v>0.52584250570678104</v>
      </c>
      <c r="AI638">
        <v>106.430384117645</v>
      </c>
      <c r="AJ638">
        <v>83.071307590533806</v>
      </c>
      <c r="AK638">
        <v>0.55226310914486199</v>
      </c>
      <c r="AL638">
        <v>89.350294935249906</v>
      </c>
      <c r="AM638">
        <v>89.017038546854096</v>
      </c>
      <c r="AN638">
        <v>1.00000004098364</v>
      </c>
    </row>
    <row r="639" spans="1:40" x14ac:dyDescent="0.25">
      <c r="A639" t="str">
        <f>"20190312154226067"</f>
        <v>20190312154226067</v>
      </c>
      <c r="B639" t="str">
        <f>"1552376546057898"</f>
        <v>1552376546057898</v>
      </c>
      <c r="C639" t="s">
        <v>40</v>
      </c>
      <c r="D639">
        <v>4.4459299999999997</v>
      </c>
      <c r="E639">
        <v>0.54686669999999904</v>
      </c>
      <c r="F639" t="s">
        <v>41</v>
      </c>
      <c r="G639">
        <v>-317.67399999999998</v>
      </c>
      <c r="H639">
        <v>0.88630370000000003</v>
      </c>
      <c r="I639">
        <v>367.66090000000003</v>
      </c>
      <c r="J639">
        <v>-318.33940000000001</v>
      </c>
      <c r="K639">
        <v>1.1062959999999999</v>
      </c>
      <c r="L639">
        <v>367.77730000000003</v>
      </c>
      <c r="M639">
        <v>0.99983120000000003</v>
      </c>
      <c r="N639">
        <v>0</v>
      </c>
      <c r="O639">
        <v>6.2560769999999996E-3</v>
      </c>
      <c r="P639">
        <v>0.99991620000000003</v>
      </c>
      <c r="Q639">
        <v>-5.9466880000000003E-3</v>
      </c>
      <c r="R639">
        <v>-1.150294E-2</v>
      </c>
      <c r="S639">
        <v>2.9924620000000002</v>
      </c>
      <c r="T639">
        <v>-0.73145309999999997</v>
      </c>
      <c r="U639">
        <v>-0.38018800000000003</v>
      </c>
      <c r="V639">
        <v>1.773829E-2</v>
      </c>
      <c r="W639">
        <v>1.136261E-2</v>
      </c>
      <c r="X639">
        <v>0.9997781</v>
      </c>
      <c r="Y639">
        <v>0.1283388</v>
      </c>
      <c r="Z639">
        <v>-1.6899839999999999E-2</v>
      </c>
      <c r="AA639">
        <v>0.99158639999999998</v>
      </c>
      <c r="AB639">
        <v>41</v>
      </c>
      <c r="AC639">
        <v>0.66539999999997601</v>
      </c>
      <c r="AD639">
        <v>-0.219992299999999</v>
      </c>
      <c r="AE639">
        <v>-0.11639999999999801</v>
      </c>
      <c r="AF639">
        <v>0.109000369653349</v>
      </c>
      <c r="AG639">
        <v>-0.219992299999999</v>
      </c>
      <c r="AH639">
        <v>0.60092366128855101</v>
      </c>
      <c r="AI639">
        <v>109.809650555704</v>
      </c>
      <c r="AJ639">
        <v>79.719011577565595</v>
      </c>
      <c r="AK639">
        <v>0.64914323484135195</v>
      </c>
      <c r="AL639">
        <v>89.348956394632694</v>
      </c>
      <c r="AM639">
        <v>88.983551919527201</v>
      </c>
      <c r="AN639">
        <v>1.00000000253887</v>
      </c>
    </row>
    <row r="640" spans="1:40" x14ac:dyDescent="0.25">
      <c r="A640" t="str">
        <f>"20190312154226084"</f>
        <v>20190312154226084</v>
      </c>
      <c r="B640" t="str">
        <f>"1552376546078530"</f>
        <v>1552376546078530</v>
      </c>
      <c r="C640" t="s">
        <v>40</v>
      </c>
      <c r="D640">
        <v>4.4735690000000004</v>
      </c>
      <c r="E640">
        <v>0.546971599999999</v>
      </c>
      <c r="F640" t="s">
        <v>41</v>
      </c>
      <c r="G640">
        <v>-317.65210000000002</v>
      </c>
      <c r="H640">
        <v>0.93663430000000003</v>
      </c>
      <c r="I640">
        <v>367.68900000000002</v>
      </c>
      <c r="J640">
        <v>-318.04109999999997</v>
      </c>
      <c r="K640">
        <v>1.10511</v>
      </c>
      <c r="L640">
        <v>367.77940000000001</v>
      </c>
      <c r="M640">
        <v>0.99980530000000001</v>
      </c>
      <c r="N640">
        <v>0</v>
      </c>
      <c r="O640">
        <v>6.5577029999999998E-3</v>
      </c>
      <c r="P640">
        <v>0.99990029999999996</v>
      </c>
      <c r="Q640">
        <v>-7.4013680000000002E-3</v>
      </c>
      <c r="R640">
        <v>-1.20193E-2</v>
      </c>
      <c r="S640">
        <v>2.991425</v>
      </c>
      <c r="T640">
        <v>-0.73846699999999998</v>
      </c>
      <c r="U640">
        <v>-0.38433840000000002</v>
      </c>
      <c r="V640">
        <v>1.8558410000000001E-2</v>
      </c>
      <c r="W640">
        <v>1.12415E-2</v>
      </c>
      <c r="X640">
        <v>0.9997646</v>
      </c>
      <c r="Y640">
        <v>0.129903399999999</v>
      </c>
      <c r="Z640">
        <v>-1.732417E-2</v>
      </c>
      <c r="AA640">
        <v>0.99137529999999996</v>
      </c>
      <c r="AB640">
        <v>41</v>
      </c>
      <c r="AC640">
        <v>0.38899999999995299</v>
      </c>
      <c r="AD640">
        <v>-0.16847570000000001</v>
      </c>
      <c r="AE640">
        <v>-9.0399999999988198E-2</v>
      </c>
      <c r="AF640">
        <v>7.8906854223866604E-2</v>
      </c>
      <c r="AG640">
        <v>-0.16847570000000001</v>
      </c>
      <c r="AH640">
        <v>0.32972032326110301</v>
      </c>
      <c r="AI640">
        <v>116.424322369644</v>
      </c>
      <c r="AJ640">
        <v>76.541409661269896</v>
      </c>
      <c r="AK640">
        <v>0.37858399953696198</v>
      </c>
      <c r="AL640">
        <v>89.355895941377497</v>
      </c>
      <c r="AM640">
        <v>88.936553203539404</v>
      </c>
      <c r="AN640">
        <v>1.00000002065856</v>
      </c>
    </row>
    <row r="641" spans="1:40" x14ac:dyDescent="0.25">
      <c r="A641" t="str">
        <f>"20190312154226107"</f>
        <v>20190312154226107</v>
      </c>
      <c r="B641" t="str">
        <f>"1552376546098053"</f>
        <v>1552376546098053</v>
      </c>
      <c r="C641" t="s">
        <v>40</v>
      </c>
      <c r="D641">
        <v>4.4708940000000004</v>
      </c>
      <c r="E641">
        <v>0.54721790000000003</v>
      </c>
      <c r="F641" t="s">
        <v>41</v>
      </c>
      <c r="G641">
        <v>-317.29450000000003</v>
      </c>
      <c r="H641">
        <v>0.91921410000000003</v>
      </c>
      <c r="I641">
        <v>367.68259999999998</v>
      </c>
      <c r="J641">
        <v>-317.61930000000001</v>
      </c>
      <c r="K641">
        <v>1.103175</v>
      </c>
      <c r="L641">
        <v>367.78230000000002</v>
      </c>
      <c r="M641">
        <v>0.99977000000000005</v>
      </c>
      <c r="N641">
        <v>0</v>
      </c>
      <c r="O641">
        <v>6.9721369999999998E-3</v>
      </c>
      <c r="P641">
        <v>0.99987210000000004</v>
      </c>
      <c r="Q641">
        <v>-9.4455089999999995E-3</v>
      </c>
      <c r="R641">
        <v>-1.2904819999999999E-2</v>
      </c>
      <c r="S641">
        <v>2.9901119999999999</v>
      </c>
      <c r="T641">
        <v>-0.74466679999999996</v>
      </c>
      <c r="U641">
        <v>-0.38604739999999999</v>
      </c>
      <c r="V641">
        <v>1.9860490000000001E-2</v>
      </c>
      <c r="W641">
        <v>1.086673E-2</v>
      </c>
      <c r="X641">
        <v>0.99974370000000001</v>
      </c>
      <c r="Y641">
        <v>0.13081660000000001</v>
      </c>
      <c r="Z641">
        <v>-1.7685059999999999E-2</v>
      </c>
      <c r="AA641">
        <v>0.99124880000000004</v>
      </c>
      <c r="AB641">
        <v>41</v>
      </c>
      <c r="AC641">
        <v>0.32479999999998199</v>
      </c>
      <c r="AD641">
        <v>-0.18396090000000001</v>
      </c>
      <c r="AE641">
        <v>-9.97000000000412E-2</v>
      </c>
      <c r="AF641">
        <v>7.8847279320903199E-2</v>
      </c>
      <c r="AG641">
        <v>-0.18396090000000001</v>
      </c>
      <c r="AH641">
        <v>0.25062283549432501</v>
      </c>
      <c r="AI641">
        <v>124.99900198010199</v>
      </c>
      <c r="AJ641">
        <v>72.536146814748903</v>
      </c>
      <c r="AK641">
        <v>0.32073402042242799</v>
      </c>
      <c r="AL641">
        <v>89.377369976584205</v>
      </c>
      <c r="AM641">
        <v>88.861935713011306</v>
      </c>
      <c r="AN641">
        <v>0.99999999528681105</v>
      </c>
    </row>
    <row r="642" spans="1:40" x14ac:dyDescent="0.25">
      <c r="A642" t="str">
        <f>"20190312154226130"</f>
        <v>20190312154226130</v>
      </c>
      <c r="B642" t="str">
        <f>"1552376546118547"</f>
        <v>1552376546118547</v>
      </c>
      <c r="C642" t="s">
        <v>40</v>
      </c>
      <c r="D642">
        <v>4.5186669999999998</v>
      </c>
      <c r="E642">
        <v>0.54737279999999999</v>
      </c>
      <c r="F642" t="s">
        <v>41</v>
      </c>
      <c r="G642">
        <v>-316.92489999999998</v>
      </c>
      <c r="H642">
        <v>0.92853799999999997</v>
      </c>
      <c r="I642">
        <v>367.69139999999999</v>
      </c>
      <c r="J642">
        <v>-317.21789999999999</v>
      </c>
      <c r="K642">
        <v>1.101038</v>
      </c>
      <c r="L642">
        <v>367.78530000000001</v>
      </c>
      <c r="M642">
        <v>0.99974149999999995</v>
      </c>
      <c r="N642">
        <v>0</v>
      </c>
      <c r="O642">
        <v>7.3056909999999996E-3</v>
      </c>
      <c r="P642">
        <v>0.9998418</v>
      </c>
      <c r="Q642">
        <v>-1.1125940000000001E-2</v>
      </c>
      <c r="R642">
        <v>-1.3885339999999999E-2</v>
      </c>
      <c r="S642">
        <v>2.9882200000000001</v>
      </c>
      <c r="T642">
        <v>-0.75155119999999997</v>
      </c>
      <c r="U642">
        <v>-0.39028930000000001</v>
      </c>
      <c r="V642">
        <v>2.1176009999999999E-2</v>
      </c>
      <c r="W642">
        <v>1.043617E-2</v>
      </c>
      <c r="X642">
        <v>0.99972130000000003</v>
      </c>
      <c r="Y642">
        <v>0.13246959999999999</v>
      </c>
      <c r="Z642">
        <v>-1.8139229999999999E-2</v>
      </c>
      <c r="AA642">
        <v>0.99102109999999999</v>
      </c>
      <c r="AB642">
        <v>41</v>
      </c>
      <c r="AC642">
        <v>0.29300000000000598</v>
      </c>
      <c r="AD642">
        <v>-0.17249999999999999</v>
      </c>
      <c r="AE642">
        <v>-9.3900000000019204E-2</v>
      </c>
      <c r="AF642">
        <v>7.3070458322897297E-2</v>
      </c>
      <c r="AG642">
        <v>-0.17249999999999999</v>
      </c>
      <c r="AH642">
        <v>0.222399577004391</v>
      </c>
      <c r="AI642">
        <v>126.385672561501</v>
      </c>
      <c r="AJ642">
        <v>71.811811942072694</v>
      </c>
      <c r="AK642">
        <v>0.29078705908490898</v>
      </c>
      <c r="AL642">
        <v>89.402040654462297</v>
      </c>
      <c r="AM642">
        <v>88.786547219852594</v>
      </c>
      <c r="AN642">
        <v>1.0000000073587301</v>
      </c>
    </row>
    <row r="643" spans="1:40" x14ac:dyDescent="0.25">
      <c r="A643" t="str">
        <f>"20190312154226151"</f>
        <v>20190312154226151</v>
      </c>
      <c r="B643" t="str">
        <f>"1552376546138067"</f>
        <v>1552376546138067</v>
      </c>
      <c r="C643" t="s">
        <v>40</v>
      </c>
      <c r="D643">
        <v>4.4931970000000003</v>
      </c>
      <c r="E643">
        <v>0.54721019999999998</v>
      </c>
      <c r="F643" t="s">
        <v>41</v>
      </c>
      <c r="G643">
        <v>-316.22890000000001</v>
      </c>
      <c r="H643">
        <v>0.8503001</v>
      </c>
      <c r="I643">
        <v>367.65449999999998</v>
      </c>
      <c r="J643">
        <v>-316.80619999999999</v>
      </c>
      <c r="K643">
        <v>1.0985929999999999</v>
      </c>
      <c r="L643">
        <v>367.78859999999997</v>
      </c>
      <c r="M643">
        <v>0.99971900000000002</v>
      </c>
      <c r="N643">
        <v>0</v>
      </c>
      <c r="O643">
        <v>7.5686119999999997E-3</v>
      </c>
      <c r="P643">
        <v>0.99982130000000002</v>
      </c>
      <c r="Q643">
        <v>-1.1949929999999999E-2</v>
      </c>
      <c r="R643">
        <v>-1.4662730000000001E-2</v>
      </c>
      <c r="S643">
        <v>2.9865719999999998</v>
      </c>
      <c r="T643">
        <v>-0.75719309999999995</v>
      </c>
      <c r="U643">
        <v>-0.39453129999999997</v>
      </c>
      <c r="V643">
        <v>2.2216300000000001E-2</v>
      </c>
      <c r="W643">
        <v>1.0543449999999999E-2</v>
      </c>
      <c r="X643">
        <v>0.99969759999999996</v>
      </c>
      <c r="Y643">
        <v>0.13405909999999999</v>
      </c>
      <c r="Z643">
        <v>-1.8542340000000001E-2</v>
      </c>
      <c r="AA643">
        <v>0.99079980000000001</v>
      </c>
      <c r="AB643">
        <v>41</v>
      </c>
      <c r="AC643">
        <v>0.57729999999997905</v>
      </c>
      <c r="AD643">
        <v>-0.24829290000000001</v>
      </c>
      <c r="AE643">
        <v>-0.13409999999998901</v>
      </c>
      <c r="AF643">
        <v>0.11779278887696699</v>
      </c>
      <c r="AG643">
        <v>-0.24829290000000001</v>
      </c>
      <c r="AH643">
        <v>0.49022821798232702</v>
      </c>
      <c r="AI643">
        <v>116.218744364337</v>
      </c>
      <c r="AJ643">
        <v>76.489015437923896</v>
      </c>
      <c r="AK643">
        <v>0.56200374643586803</v>
      </c>
      <c r="AL643">
        <v>89.395893626597498</v>
      </c>
      <c r="AM643">
        <v>88.726924279385898</v>
      </c>
      <c r="AN643">
        <v>1.00000000988467</v>
      </c>
    </row>
    <row r="644" spans="1:40" x14ac:dyDescent="0.25">
      <c r="A644" t="str">
        <f>"20190312154226174"</f>
        <v>20190312154226174</v>
      </c>
      <c r="B644" t="str">
        <f>"1552376546168322"</f>
        <v>1552376546168322</v>
      </c>
      <c r="C644" t="s">
        <v>40</v>
      </c>
      <c r="D644">
        <v>4.4938849999999997</v>
      </c>
      <c r="E644">
        <v>0.54710930000000002</v>
      </c>
      <c r="F644" t="s">
        <v>41</v>
      </c>
      <c r="G644">
        <v>-315.86169999999998</v>
      </c>
      <c r="H644">
        <v>0.85838819999999905</v>
      </c>
      <c r="I644">
        <v>367.66309999999999</v>
      </c>
      <c r="J644">
        <v>-316.40660000000003</v>
      </c>
      <c r="K644">
        <v>1.096006</v>
      </c>
      <c r="L644">
        <v>367.79180000000002</v>
      </c>
      <c r="M644">
        <v>0.99970420000000004</v>
      </c>
      <c r="N644">
        <v>0</v>
      </c>
      <c r="O644">
        <v>7.7780779999999999E-3</v>
      </c>
      <c r="P644">
        <v>0.9998165</v>
      </c>
      <c r="Q644">
        <v>-1.2011529999999999E-2</v>
      </c>
      <c r="R644">
        <v>-1.4922889999999999E-2</v>
      </c>
      <c r="S644">
        <v>2.9856569999999998</v>
      </c>
      <c r="T644">
        <v>-0.7593936</v>
      </c>
      <c r="U644">
        <v>-0.39550780000000002</v>
      </c>
      <c r="V644">
        <v>2.2685750000000001E-2</v>
      </c>
      <c r="W644">
        <v>1.105984E-2</v>
      </c>
      <c r="X644">
        <v>0.9996815</v>
      </c>
      <c r="Y644">
        <v>0.1345742</v>
      </c>
      <c r="Z644">
        <v>-1.8716179999999999E-2</v>
      </c>
      <c r="AA644">
        <v>0.99072680000000002</v>
      </c>
      <c r="AB644">
        <v>41</v>
      </c>
      <c r="AC644">
        <v>0.54490000000004102</v>
      </c>
      <c r="AD644">
        <v>-0.23761779999999999</v>
      </c>
      <c r="AE644">
        <v>-0.12870000000003701</v>
      </c>
      <c r="AF644">
        <v>0.112646283577248</v>
      </c>
      <c r="AG644">
        <v>-0.23761779999999999</v>
      </c>
      <c r="AH644">
        <v>0.46087242709148901</v>
      </c>
      <c r="AI644">
        <v>116.60350798364099</v>
      </c>
      <c r="AJ644">
        <v>76.265071485498694</v>
      </c>
      <c r="AK644">
        <v>0.53061737451180901</v>
      </c>
      <c r="AL644">
        <v>89.366304947044199</v>
      </c>
      <c r="AM644">
        <v>88.700011274068999</v>
      </c>
      <c r="AN644">
        <v>1.00000003237806</v>
      </c>
    </row>
    <row r="645" spans="1:40" x14ac:dyDescent="0.25">
      <c r="A645" t="str">
        <f>"20190312154226188"</f>
        <v>20190312154226188</v>
      </c>
      <c r="B645" t="str">
        <f>"1552376546178083"</f>
        <v>1552376546178083</v>
      </c>
      <c r="C645" t="s">
        <v>40</v>
      </c>
      <c r="D645">
        <v>4.4939900000000002</v>
      </c>
      <c r="E645">
        <v>0.54702039999999996</v>
      </c>
      <c r="F645" t="s">
        <v>41</v>
      </c>
      <c r="G645">
        <v>-315.49579999999997</v>
      </c>
      <c r="H645">
        <v>0.86464409999999903</v>
      </c>
      <c r="I645">
        <v>367.6712</v>
      </c>
      <c r="J645">
        <v>-316.13600000000002</v>
      </c>
      <c r="K645">
        <v>1.0941639999999999</v>
      </c>
      <c r="L645">
        <v>367.79410000000001</v>
      </c>
      <c r="M645">
        <v>0.99969770000000002</v>
      </c>
      <c r="N645">
        <v>0</v>
      </c>
      <c r="O645">
        <v>7.9085149999999996E-3</v>
      </c>
      <c r="P645">
        <v>0.99981419999999999</v>
      </c>
      <c r="Q645">
        <v>-1.207782E-2</v>
      </c>
      <c r="R645">
        <v>-1.502651E-2</v>
      </c>
      <c r="S645">
        <v>2.9855040000000002</v>
      </c>
      <c r="T645">
        <v>-0.75841080000000005</v>
      </c>
      <c r="U645">
        <v>-0.3954163</v>
      </c>
      <c r="V645">
        <v>2.2920070000000001E-2</v>
      </c>
      <c r="W645">
        <v>1.123244E-2</v>
      </c>
      <c r="X645">
        <v>0.99967419999999996</v>
      </c>
      <c r="Y645">
        <v>0.13468359999999999</v>
      </c>
      <c r="Z645">
        <v>-1.8739769999999999E-2</v>
      </c>
      <c r="AA645">
        <v>0.99071149999999997</v>
      </c>
      <c r="AB645">
        <v>41</v>
      </c>
      <c r="AC645">
        <v>0.640199999999992</v>
      </c>
      <c r="AD645">
        <v>-0.2295199</v>
      </c>
      <c r="AE645">
        <v>-0.122900000000015</v>
      </c>
      <c r="AF645">
        <v>0.113847657853187</v>
      </c>
      <c r="AG645">
        <v>-0.2295199</v>
      </c>
      <c r="AH645">
        <v>0.56870887382143798</v>
      </c>
      <c r="AI645">
        <v>111.590152895214</v>
      </c>
      <c r="AJ645">
        <v>78.679810762595494</v>
      </c>
      <c r="AK645">
        <v>0.62375512571674696</v>
      </c>
      <c r="AL645">
        <v>89.356415061723794</v>
      </c>
      <c r="AM645">
        <v>88.686578845964803</v>
      </c>
      <c r="AN645">
        <v>1.0000000017313899</v>
      </c>
    </row>
    <row r="646" spans="1:40" x14ac:dyDescent="0.25">
      <c r="A646" t="str">
        <f>"20190312154226202"</f>
        <v>20190312154226202</v>
      </c>
      <c r="B646" t="str">
        <f>"1552376546187843"</f>
        <v>1552376546187843</v>
      </c>
      <c r="C646" t="s">
        <v>40</v>
      </c>
      <c r="D646">
        <v>4.5431280000000003</v>
      </c>
      <c r="E646">
        <v>0.54702039999999996</v>
      </c>
      <c r="F646" t="s">
        <v>41</v>
      </c>
      <c r="G646">
        <v>-315.14240000000001</v>
      </c>
      <c r="H646">
        <v>0.84196559999999898</v>
      </c>
      <c r="I646">
        <v>367.66230000000002</v>
      </c>
      <c r="J646">
        <v>-315.88299999999998</v>
      </c>
      <c r="K646">
        <v>1.092365</v>
      </c>
      <c r="L646">
        <v>367.79629999999997</v>
      </c>
      <c r="M646">
        <v>0.99969490000000005</v>
      </c>
      <c r="N646">
        <v>0</v>
      </c>
      <c r="O646">
        <v>7.9942899999999994E-3</v>
      </c>
      <c r="P646">
        <v>0.99980820000000004</v>
      </c>
      <c r="Q646">
        <v>-1.2438319999999999E-2</v>
      </c>
      <c r="R646">
        <v>-1.513482E-2</v>
      </c>
      <c r="S646">
        <v>2.985474</v>
      </c>
      <c r="T646">
        <v>-0.75785419999999903</v>
      </c>
      <c r="U646">
        <v>-0.39535520000000002</v>
      </c>
      <c r="V646">
        <v>2.3115050000000002E-2</v>
      </c>
      <c r="W646">
        <v>1.096018E-2</v>
      </c>
      <c r="X646">
        <v>0.99967269999999997</v>
      </c>
      <c r="Y646">
        <v>0.1347515</v>
      </c>
      <c r="Z646">
        <v>-1.8756459999999999E-2</v>
      </c>
      <c r="AA646">
        <v>0.99070190000000002</v>
      </c>
      <c r="AB646">
        <v>41</v>
      </c>
      <c r="AC646">
        <v>0.74059999999997195</v>
      </c>
      <c r="AD646">
        <v>-0.25039939999999999</v>
      </c>
      <c r="AE646">
        <v>-0.13399999999995699</v>
      </c>
      <c r="AF646">
        <v>0.12597383140393101</v>
      </c>
      <c r="AG646">
        <v>-0.25039939999999999</v>
      </c>
      <c r="AH646">
        <v>0.66580651403812197</v>
      </c>
      <c r="AI646">
        <v>110.280693963685</v>
      </c>
      <c r="AJ646">
        <v>79.286009875054603</v>
      </c>
      <c r="AK646">
        <v>0.72240402812729498</v>
      </c>
      <c r="AL646">
        <v>89.372015350632395</v>
      </c>
      <c r="AM646">
        <v>88.675407608628504</v>
      </c>
      <c r="AN646">
        <v>0.99999996910371103</v>
      </c>
    </row>
    <row r="647" spans="1:40" x14ac:dyDescent="0.25">
      <c r="A647" t="str">
        <f>"20190312154226220"</f>
        <v>20190312154226220</v>
      </c>
      <c r="B647" t="str">
        <f>"1552376546208338"</f>
        <v>1552376546208338</v>
      </c>
      <c r="C647" t="s">
        <v>40</v>
      </c>
      <c r="D647">
        <v>4.5134150000000002</v>
      </c>
      <c r="E647">
        <v>0.5511142</v>
      </c>
      <c r="F647" t="s">
        <v>41</v>
      </c>
      <c r="G647">
        <v>-315.11900000000003</v>
      </c>
      <c r="H647">
        <v>0.8982173</v>
      </c>
      <c r="I647">
        <v>367.69479999999999</v>
      </c>
      <c r="J647">
        <v>-315.59030000000001</v>
      </c>
      <c r="K647">
        <v>1.090244</v>
      </c>
      <c r="L647">
        <v>367.7989</v>
      </c>
      <c r="M647">
        <v>0.99969260000000004</v>
      </c>
      <c r="N647">
        <v>0</v>
      </c>
      <c r="O647">
        <v>8.0976190000000003E-3</v>
      </c>
      <c r="P647">
        <v>0.99980519999999995</v>
      </c>
      <c r="Q647">
        <v>-1.285207E-2</v>
      </c>
      <c r="R647">
        <v>-1.499697E-2</v>
      </c>
      <c r="S647">
        <v>2.9851380000000001</v>
      </c>
      <c r="T647">
        <v>-0.75870859999999996</v>
      </c>
      <c r="U647">
        <v>-0.39559939999999999</v>
      </c>
      <c r="V647">
        <v>2.3081709999999998E-2</v>
      </c>
      <c r="W647">
        <v>1.0613549999999999E-2</v>
      </c>
      <c r="X647">
        <v>0.99967720000000004</v>
      </c>
      <c r="Y647">
        <v>0.134928399999999</v>
      </c>
      <c r="Z647">
        <v>-1.8826699999999998E-2</v>
      </c>
      <c r="AA647">
        <v>0.99067649999999996</v>
      </c>
      <c r="AB647">
        <v>41</v>
      </c>
      <c r="AC647">
        <v>0.47129999999998501</v>
      </c>
      <c r="AD647">
        <v>-0.192026699999999</v>
      </c>
      <c r="AE647">
        <v>-0.104100000000016</v>
      </c>
      <c r="AF647">
        <v>9.3167053791750901E-2</v>
      </c>
      <c r="AG647">
        <v>-0.192026699999999</v>
      </c>
      <c r="AH647">
        <v>0.40615320925162202</v>
      </c>
      <c r="AI647">
        <v>114.741433542804</v>
      </c>
      <c r="AJ647">
        <v>77.080492091568203</v>
      </c>
      <c r="AK647">
        <v>0.45881889979654999</v>
      </c>
      <c r="AL647">
        <v>89.391876936489396</v>
      </c>
      <c r="AM647">
        <v>88.677323407584296</v>
      </c>
      <c r="AN647">
        <v>0.99999995848998202</v>
      </c>
    </row>
    <row r="648" spans="1:40" x14ac:dyDescent="0.25">
      <c r="A648" t="str">
        <f>"20190312154226241"</f>
        <v>20190312154226241</v>
      </c>
      <c r="B648" t="str">
        <f>"1552376546227858"</f>
        <v>1552376546227858</v>
      </c>
      <c r="C648" t="s">
        <v>40</v>
      </c>
      <c r="D648">
        <v>4.5227839999999997</v>
      </c>
      <c r="E648">
        <v>0.55126140000000001</v>
      </c>
      <c r="F648" t="s">
        <v>41</v>
      </c>
      <c r="G648">
        <v>-314.77010000000001</v>
      </c>
      <c r="H648">
        <v>0.86872669999999996</v>
      </c>
      <c r="I648">
        <v>367.68150000000003</v>
      </c>
      <c r="J648">
        <v>-315.19529999999997</v>
      </c>
      <c r="K648">
        <v>1.0873520000000001</v>
      </c>
      <c r="L648">
        <v>367.80239999999998</v>
      </c>
      <c r="M648">
        <v>0.99969039999999998</v>
      </c>
      <c r="N648">
        <v>0</v>
      </c>
      <c r="O648">
        <v>8.2655430000000002E-3</v>
      </c>
      <c r="P648">
        <v>0.99980210000000003</v>
      </c>
      <c r="Q648">
        <v>-1.3397799999999901E-2</v>
      </c>
      <c r="R648">
        <v>-1.471187E-2</v>
      </c>
      <c r="S648">
        <v>2.9837950000000002</v>
      </c>
      <c r="T648">
        <v>-0.80588349999999997</v>
      </c>
      <c r="U648">
        <v>-0.42642210000000003</v>
      </c>
      <c r="V648">
        <v>2.29667E-2</v>
      </c>
      <c r="W648">
        <v>1.0093339999999999E-2</v>
      </c>
      <c r="X648">
        <v>0.9996853</v>
      </c>
      <c r="Y648">
        <v>0.14429449999999999</v>
      </c>
      <c r="Z648">
        <v>-2.1234719999999999E-2</v>
      </c>
      <c r="AA648">
        <v>0.98930689999999999</v>
      </c>
      <c r="AB648">
        <v>40</v>
      </c>
      <c r="AC648">
        <v>0.425199999999961</v>
      </c>
      <c r="AD648">
        <v>-0.21862529999999999</v>
      </c>
      <c r="AE648">
        <v>-0.12089999999994901</v>
      </c>
      <c r="AF648">
        <v>9.9961201620748605E-2</v>
      </c>
      <c r="AG648">
        <v>-0.21862529999999999</v>
      </c>
      <c r="AH648">
        <v>0.34082206142627097</v>
      </c>
      <c r="AI648">
        <v>121.61379476048801</v>
      </c>
      <c r="AJ648">
        <v>73.653882516878497</v>
      </c>
      <c r="AK648">
        <v>0.41707186573108301</v>
      </c>
      <c r="AL648">
        <v>89.421684409841703</v>
      </c>
      <c r="AM648">
        <v>88.683922288141801</v>
      </c>
      <c r="AN648">
        <v>1.00000002192866</v>
      </c>
    </row>
    <row r="649" spans="1:40" x14ac:dyDescent="0.25">
      <c r="A649" t="str">
        <f>"20190312154226256"</f>
        <v>20190312154226256</v>
      </c>
      <c r="B649" t="str">
        <f>"1552376546248354"</f>
        <v>1552376546248354</v>
      </c>
      <c r="C649" t="s">
        <v>40</v>
      </c>
      <c r="D649">
        <v>4.520626</v>
      </c>
      <c r="E649">
        <v>0.55148649999999999</v>
      </c>
      <c r="F649" t="s">
        <v>41</v>
      </c>
      <c r="G649">
        <v>-314.40820000000002</v>
      </c>
      <c r="H649">
        <v>0.87289729999999999</v>
      </c>
      <c r="I649">
        <v>367.68979999999999</v>
      </c>
      <c r="J649">
        <v>-314.9314</v>
      </c>
      <c r="K649">
        <v>1.085429</v>
      </c>
      <c r="L649">
        <v>367.80470000000003</v>
      </c>
      <c r="M649">
        <v>0.99969039999999998</v>
      </c>
      <c r="N649">
        <v>0</v>
      </c>
      <c r="O649">
        <v>8.4028079999999995E-3</v>
      </c>
      <c r="P649">
        <v>0.99980380000000002</v>
      </c>
      <c r="Q649">
        <v>-1.3482279999999999E-2</v>
      </c>
      <c r="R649">
        <v>-1.452228E-2</v>
      </c>
      <c r="S649">
        <v>2.983368</v>
      </c>
      <c r="T649">
        <v>-0.81286740000000002</v>
      </c>
      <c r="U649">
        <v>-0.42636109999999999</v>
      </c>
      <c r="V649">
        <v>2.2915390000000001E-2</v>
      </c>
      <c r="W649">
        <v>9.9636510000000005E-3</v>
      </c>
      <c r="X649">
        <v>0.99968769999999996</v>
      </c>
      <c r="Y649">
        <v>0.14433080000000001</v>
      </c>
      <c r="Z649">
        <v>-2.1456759999999998E-2</v>
      </c>
      <c r="AA649">
        <v>0.98929690000000003</v>
      </c>
      <c r="AB649">
        <v>40</v>
      </c>
      <c r="AC649">
        <v>0.52319999999997402</v>
      </c>
      <c r="AD649">
        <v>-0.21253169999999999</v>
      </c>
      <c r="AE649">
        <v>-0.114900000000034</v>
      </c>
      <c r="AF649">
        <v>0.103068587166723</v>
      </c>
      <c r="AG649">
        <v>-0.21253169999999999</v>
      </c>
      <c r="AH649">
        <v>0.45119007523742499</v>
      </c>
      <c r="AI649">
        <v>114.665415096967</v>
      </c>
      <c r="AJ649">
        <v>77.132308774154396</v>
      </c>
      <c r="AK649">
        <v>0.50927923692036303</v>
      </c>
      <c r="AL649">
        <v>89.429115370930006</v>
      </c>
      <c r="AM649">
        <v>88.686864663599195</v>
      </c>
      <c r="AN649">
        <v>0.99999994348569399</v>
      </c>
    </row>
    <row r="650" spans="1:40" x14ac:dyDescent="0.25">
      <c r="A650" t="str">
        <f>"20190312154226274"</f>
        <v>20190312154226274</v>
      </c>
      <c r="B650" t="str">
        <f>"1552376546267874"</f>
        <v>1552376546267874</v>
      </c>
      <c r="C650" t="s">
        <v>40</v>
      </c>
      <c r="D650">
        <v>4.5155760000000003</v>
      </c>
      <c r="E650">
        <v>0.55190719999999904</v>
      </c>
      <c r="F650" t="s">
        <v>41</v>
      </c>
      <c r="G650">
        <v>-314.06020000000001</v>
      </c>
      <c r="H650">
        <v>0.84608150000000004</v>
      </c>
      <c r="I650">
        <v>367.6798</v>
      </c>
      <c r="J650">
        <v>-314.59620000000001</v>
      </c>
      <c r="K650">
        <v>1.083027</v>
      </c>
      <c r="L650">
        <v>367.80779999999999</v>
      </c>
      <c r="M650">
        <v>0.99969189999999997</v>
      </c>
      <c r="N650">
        <v>0</v>
      </c>
      <c r="O650">
        <v>8.5940670000000004E-3</v>
      </c>
      <c r="P650">
        <v>0.99980930000000001</v>
      </c>
      <c r="Q650">
        <v>-1.390277E-2</v>
      </c>
      <c r="R650">
        <v>-1.3718589999999999E-2</v>
      </c>
      <c r="S650">
        <v>2.9833069999999999</v>
      </c>
      <c r="T650">
        <v>-0.81956929999999995</v>
      </c>
      <c r="U650">
        <v>-0.42749019999999999</v>
      </c>
      <c r="V650">
        <v>2.230466E-2</v>
      </c>
      <c r="W650">
        <v>9.3962400000000001E-3</v>
      </c>
      <c r="X650">
        <v>0.99970700000000001</v>
      </c>
      <c r="Y650">
        <v>0.14477770000000001</v>
      </c>
      <c r="Z650">
        <v>-2.1738690000000001E-2</v>
      </c>
      <c r="AA650">
        <v>0.98922540000000003</v>
      </c>
      <c r="AB650">
        <v>40</v>
      </c>
      <c r="AC650">
        <v>0.53600000000000103</v>
      </c>
      <c r="AD650">
        <v>-0.236945499999999</v>
      </c>
      <c r="AE650">
        <v>-0.12799999999998499</v>
      </c>
      <c r="AF650">
        <v>0.11191291753511599</v>
      </c>
      <c r="AG650">
        <v>-0.236945499999999</v>
      </c>
      <c r="AH650">
        <v>0.451422610407753</v>
      </c>
      <c r="AI650">
        <v>116.997194293837</v>
      </c>
      <c r="AJ650">
        <v>76.076427738334402</v>
      </c>
      <c r="AK650">
        <v>0.52196747433994595</v>
      </c>
      <c r="AL650">
        <v>89.461627148235394</v>
      </c>
      <c r="AM650">
        <v>88.721874616652798</v>
      </c>
      <c r="AN650">
        <v>0.99999993651642405</v>
      </c>
    </row>
    <row r="651" spans="1:40" x14ac:dyDescent="0.25">
      <c r="A651" t="str">
        <f>"20190312154226287"</f>
        <v>20190312154226287</v>
      </c>
      <c r="B651" t="str">
        <f>"1552376546277634"</f>
        <v>1552376546277634</v>
      </c>
      <c r="C651" t="s">
        <v>40</v>
      </c>
      <c r="D651">
        <v>4.5110429999999999</v>
      </c>
      <c r="E651">
        <v>0.55175419999999997</v>
      </c>
      <c r="F651" t="s">
        <v>41</v>
      </c>
      <c r="G651">
        <v>-313.7056</v>
      </c>
      <c r="H651">
        <v>0.83749099999999999</v>
      </c>
      <c r="I651">
        <v>367.67950000000002</v>
      </c>
      <c r="J651">
        <v>-314.3716</v>
      </c>
      <c r="K651">
        <v>1.081458</v>
      </c>
      <c r="L651">
        <v>367.8098</v>
      </c>
      <c r="M651">
        <v>0.99969439999999998</v>
      </c>
      <c r="N651">
        <v>0</v>
      </c>
      <c r="O651">
        <v>8.7236980000000002E-3</v>
      </c>
      <c r="P651">
        <v>0.99982009999999999</v>
      </c>
      <c r="Q651">
        <v>-1.374921E-2</v>
      </c>
      <c r="R651">
        <v>-1.307375E-2</v>
      </c>
      <c r="S651">
        <v>2.9832459999999998</v>
      </c>
      <c r="T651">
        <v>-0.82251489999999905</v>
      </c>
      <c r="U651">
        <v>-0.42883300000000002</v>
      </c>
      <c r="V651">
        <v>2.1790299999999999E-2</v>
      </c>
      <c r="W651">
        <v>9.4005319999999996E-3</v>
      </c>
      <c r="X651">
        <v>0.99971840000000001</v>
      </c>
      <c r="Y651">
        <v>0.14528250000000001</v>
      </c>
      <c r="Z651">
        <v>-2.1916729999999999E-2</v>
      </c>
      <c r="AA651">
        <v>0.98914740000000001</v>
      </c>
      <c r="AB651">
        <v>40</v>
      </c>
      <c r="AC651">
        <v>0.66599999999999604</v>
      </c>
      <c r="AD651">
        <v>-0.24396699999999999</v>
      </c>
      <c r="AE651">
        <v>-0.13029999999997699</v>
      </c>
      <c r="AF651">
        <v>0.120529252837325</v>
      </c>
      <c r="AG651">
        <v>-0.24396699999999999</v>
      </c>
      <c r="AH651">
        <v>0.58874733372575705</v>
      </c>
      <c r="AI651">
        <v>112.095350311472</v>
      </c>
      <c r="AJ651">
        <v>78.430186492683902</v>
      </c>
      <c r="AK651">
        <v>0.64859125868894596</v>
      </c>
      <c r="AL651">
        <v>89.461381275969899</v>
      </c>
      <c r="AM651">
        <v>88.751353813757106</v>
      </c>
      <c r="AN651">
        <v>1.0000000332372601</v>
      </c>
    </row>
    <row r="652" spans="1:40" x14ac:dyDescent="0.25">
      <c r="A652" t="str">
        <f>"20190312154226299"</f>
        <v>20190312154226299</v>
      </c>
      <c r="B652" t="str">
        <f>"1552376546288370"</f>
        <v>1552376546288370</v>
      </c>
      <c r="C652" t="s">
        <v>40</v>
      </c>
      <c r="D652">
        <v>4.531549</v>
      </c>
      <c r="E652">
        <v>0.55173950000000005</v>
      </c>
      <c r="F652" t="s">
        <v>41</v>
      </c>
      <c r="G652">
        <v>-313.68290000000002</v>
      </c>
      <c r="H652">
        <v>0.89157779999999998</v>
      </c>
      <c r="I652">
        <v>367.71120000000002</v>
      </c>
      <c r="J652">
        <v>-314.1619</v>
      </c>
      <c r="K652">
        <v>1.0800700000000001</v>
      </c>
      <c r="L652">
        <v>367.81169999999997</v>
      </c>
      <c r="M652">
        <v>0.99969799999999998</v>
      </c>
      <c r="N652">
        <v>0</v>
      </c>
      <c r="O652">
        <v>8.8328260000000002E-3</v>
      </c>
      <c r="P652">
        <v>0.99982389999999999</v>
      </c>
      <c r="Q652">
        <v>-1.3903169999999999E-2</v>
      </c>
      <c r="R652">
        <v>-1.2615080000000001E-2</v>
      </c>
      <c r="S652">
        <v>2.9836429999999998</v>
      </c>
      <c r="T652">
        <v>-0.82272019999999901</v>
      </c>
      <c r="U652">
        <v>-0.42596440000000002</v>
      </c>
      <c r="V652">
        <v>2.1441479999999999E-2</v>
      </c>
      <c r="W652">
        <v>9.0467350000000002E-3</v>
      </c>
      <c r="X652">
        <v>0.99972919999999998</v>
      </c>
      <c r="Y652">
        <v>0.1444636</v>
      </c>
      <c r="Z652">
        <v>-2.183972E-2</v>
      </c>
      <c r="AA652">
        <v>0.98926910000000001</v>
      </c>
      <c r="AB652">
        <v>40</v>
      </c>
      <c r="AC652">
        <v>0.47899999999998399</v>
      </c>
      <c r="AD652">
        <v>-0.1884922</v>
      </c>
      <c r="AE652">
        <v>-0.100499999999954</v>
      </c>
      <c r="AF652">
        <v>9.1200975447395499E-2</v>
      </c>
      <c r="AG652">
        <v>-0.1884922</v>
      </c>
      <c r="AH652">
        <v>0.41634075313779401</v>
      </c>
      <c r="AI652">
        <v>113.85737071450301</v>
      </c>
      <c r="AJ652">
        <v>77.644308592188693</v>
      </c>
      <c r="AK652">
        <v>0.466032777931705</v>
      </c>
      <c r="AL652">
        <v>89.481653209364197</v>
      </c>
      <c r="AM652">
        <v>88.771349284201605</v>
      </c>
      <c r="AN652">
        <v>1.0000000269056899</v>
      </c>
    </row>
    <row r="653" spans="1:40" x14ac:dyDescent="0.25">
      <c r="A653" t="str">
        <f>"20190312154226311"</f>
        <v>20190312154226311</v>
      </c>
      <c r="B653" t="str">
        <f>"1552376546298131"</f>
        <v>1552376546298131</v>
      </c>
      <c r="C653" t="s">
        <v>40</v>
      </c>
      <c r="D653">
        <v>4.534726</v>
      </c>
      <c r="E653">
        <v>0.55175240000000003</v>
      </c>
      <c r="F653" t="s">
        <v>41</v>
      </c>
      <c r="G653">
        <v>-313.34179999999998</v>
      </c>
      <c r="H653">
        <v>0.85343380000000002</v>
      </c>
      <c r="I653">
        <v>367.69510000000002</v>
      </c>
      <c r="J653">
        <v>-313.94</v>
      </c>
      <c r="K653">
        <v>1.078635</v>
      </c>
      <c r="L653">
        <v>367.81380000000001</v>
      </c>
      <c r="M653">
        <v>0.99970210000000004</v>
      </c>
      <c r="N653">
        <v>0</v>
      </c>
      <c r="O653">
        <v>8.9420079999999996E-3</v>
      </c>
      <c r="P653">
        <v>0.99982610000000005</v>
      </c>
      <c r="Q653">
        <v>-1.3937690000000001E-2</v>
      </c>
      <c r="R653">
        <v>-1.2400120000000001E-2</v>
      </c>
      <c r="S653">
        <v>2.9837340000000001</v>
      </c>
      <c r="T653">
        <v>-0.82452939999999997</v>
      </c>
      <c r="U653">
        <v>-0.4244385</v>
      </c>
      <c r="V653">
        <v>2.1335980000000001E-2</v>
      </c>
      <c r="W653">
        <v>8.7830530000000007E-3</v>
      </c>
      <c r="X653">
        <v>0.99973380000000001</v>
      </c>
      <c r="Y653">
        <v>0.14405799999999999</v>
      </c>
      <c r="Z653">
        <v>-2.1860870000000001E-2</v>
      </c>
      <c r="AA653">
        <v>0.98932770000000003</v>
      </c>
      <c r="AB653">
        <v>40</v>
      </c>
      <c r="AC653">
        <v>0.59820000000001905</v>
      </c>
      <c r="AD653">
        <v>-0.22520119999999999</v>
      </c>
      <c r="AE653">
        <v>-0.11869999999998899</v>
      </c>
      <c r="AF653">
        <v>0.109160909726256</v>
      </c>
      <c r="AG653">
        <v>-0.22520119999999999</v>
      </c>
      <c r="AH653">
        <v>0.52546382113852796</v>
      </c>
      <c r="AI653">
        <v>112.763750432078</v>
      </c>
      <c r="AJ653">
        <v>78.264185967397694</v>
      </c>
      <c r="AK653">
        <v>0.58201710629431402</v>
      </c>
      <c r="AL653">
        <v>89.496761670873099</v>
      </c>
      <c r="AM653">
        <v>88.777398483767399</v>
      </c>
      <c r="AN653">
        <v>1.0000000184625</v>
      </c>
    </row>
    <row r="654" spans="1:40" x14ac:dyDescent="0.25">
      <c r="A654" t="str">
        <f>"20190312154226324"</f>
        <v>20190312154226324</v>
      </c>
      <c r="B654" t="str">
        <f>"1552376546317652"</f>
        <v>1552376546317652</v>
      </c>
      <c r="C654" t="s">
        <v>40</v>
      </c>
      <c r="D654">
        <v>4.5254399999999997</v>
      </c>
      <c r="E654">
        <v>0.55183570000000004</v>
      </c>
      <c r="F654" t="s">
        <v>41</v>
      </c>
      <c r="G654">
        <v>-312.99919999999997</v>
      </c>
      <c r="H654">
        <v>0.81874349999999996</v>
      </c>
      <c r="I654">
        <v>367.67970000000003</v>
      </c>
      <c r="J654">
        <v>-313.69490000000002</v>
      </c>
      <c r="K654">
        <v>1.077124</v>
      </c>
      <c r="L654">
        <v>367.81610000000001</v>
      </c>
      <c r="M654">
        <v>0.99970789999999998</v>
      </c>
      <c r="N654">
        <v>0</v>
      </c>
      <c r="O654">
        <v>9.0465219999999995E-3</v>
      </c>
      <c r="P654">
        <v>0.99983730000000004</v>
      </c>
      <c r="Q654">
        <v>-1.3618959999999999E-2</v>
      </c>
      <c r="R654">
        <v>-1.1842429999999999E-2</v>
      </c>
      <c r="S654">
        <v>2.983765</v>
      </c>
      <c r="T654">
        <v>-0.82424019999999998</v>
      </c>
      <c r="U654">
        <v>-0.42401119999999998</v>
      </c>
      <c r="V654">
        <v>2.0883479999999999E-2</v>
      </c>
      <c r="W654">
        <v>8.8078469999999902E-3</v>
      </c>
      <c r="X654">
        <v>0.9997431</v>
      </c>
      <c r="Y654">
        <v>0.14402229999999999</v>
      </c>
      <c r="Z654">
        <v>-2.1876860000000001E-2</v>
      </c>
      <c r="AA654">
        <v>0.98933260000000001</v>
      </c>
      <c r="AB654">
        <v>40</v>
      </c>
      <c r="AC654">
        <v>0.69570000000004395</v>
      </c>
      <c r="AD654">
        <v>-0.25838049999999901</v>
      </c>
      <c r="AE654">
        <v>-0.13639999999998001</v>
      </c>
      <c r="AF654">
        <v>0.12595865727838301</v>
      </c>
      <c r="AG654">
        <v>-0.25838049999999901</v>
      </c>
      <c r="AH654">
        <v>0.61301136830112701</v>
      </c>
      <c r="AI654">
        <v>112.434176322906</v>
      </c>
      <c r="AJ654">
        <v>78.388745199446902</v>
      </c>
      <c r="AK654">
        <v>0.67705908441586005</v>
      </c>
      <c r="AL654">
        <v>89.495341005964406</v>
      </c>
      <c r="AM654">
        <v>88.803331298337795</v>
      </c>
      <c r="AN654">
        <v>0.99999998195164697</v>
      </c>
    </row>
    <row r="655" spans="1:40" x14ac:dyDescent="0.25">
      <c r="A655" t="str">
        <f>"20190312154226342"</f>
        <v>20190312154226342</v>
      </c>
      <c r="B655" t="str">
        <f>"1552376546328387"</f>
        <v>1552376546328387</v>
      </c>
      <c r="C655" t="s">
        <v>40</v>
      </c>
      <c r="D655">
        <v>4.5199559999999996</v>
      </c>
      <c r="E655">
        <v>0.55177589999999999</v>
      </c>
      <c r="F655" t="s">
        <v>41</v>
      </c>
      <c r="G655">
        <v>-312.97469999999998</v>
      </c>
      <c r="H655">
        <v>0.87844049999999996</v>
      </c>
      <c r="I655">
        <v>367.71370000000002</v>
      </c>
      <c r="J655">
        <v>-313.39440000000002</v>
      </c>
      <c r="K655">
        <v>1.0753919999999999</v>
      </c>
      <c r="L655">
        <v>367.81889999999999</v>
      </c>
      <c r="M655">
        <v>0.99971560000000004</v>
      </c>
      <c r="N655">
        <v>0</v>
      </c>
      <c r="O655">
        <v>9.1569230000000008E-3</v>
      </c>
      <c r="P655">
        <v>0.99985270000000004</v>
      </c>
      <c r="Q655">
        <v>-1.297045E-2</v>
      </c>
      <c r="R655">
        <v>-1.124735E-2</v>
      </c>
      <c r="S655">
        <v>2.9842529999999998</v>
      </c>
      <c r="T655">
        <v>-0.82335270000000005</v>
      </c>
      <c r="U655">
        <v>-0.42297360000000001</v>
      </c>
      <c r="V655">
        <v>2.0398909999999999E-2</v>
      </c>
      <c r="W655">
        <v>9.0615130000000002E-3</v>
      </c>
      <c r="X655">
        <v>0.9997509</v>
      </c>
      <c r="Y655">
        <v>0.14378949999999999</v>
      </c>
      <c r="Z655">
        <v>-2.18496E-2</v>
      </c>
      <c r="AA655">
        <v>0.98936710000000005</v>
      </c>
      <c r="AB655">
        <v>40</v>
      </c>
      <c r="AC655">
        <v>0.41970000000003399</v>
      </c>
      <c r="AD655">
        <v>-0.196951499999999</v>
      </c>
      <c r="AE655">
        <v>-0.105199999999968</v>
      </c>
      <c r="AF655">
        <v>9.0324885489958998E-2</v>
      </c>
      <c r="AG655">
        <v>-0.196951499999999</v>
      </c>
      <c r="AH655">
        <v>0.34685293013187202</v>
      </c>
      <c r="AI655">
        <v>118.78869836848899</v>
      </c>
      <c r="AJ655">
        <v>75.403640802085206</v>
      </c>
      <c r="AK655">
        <v>0.408968743832691</v>
      </c>
      <c r="AL655">
        <v>89.480806466680207</v>
      </c>
      <c r="AM655">
        <v>88.831099532168693</v>
      </c>
      <c r="AN655">
        <v>1.0000000442989201</v>
      </c>
    </row>
    <row r="656" spans="1:40" x14ac:dyDescent="0.25">
      <c r="A656" t="str">
        <f>"20190312154226364"</f>
        <v>20190312154226364</v>
      </c>
      <c r="B656" t="str">
        <f>"1552376546357669"</f>
        <v>1552376546357669</v>
      </c>
      <c r="C656" t="s">
        <v>40</v>
      </c>
      <c r="D656">
        <v>4.6679430000000002</v>
      </c>
      <c r="E656">
        <v>0.54972840000000001</v>
      </c>
      <c r="F656" t="s">
        <v>41</v>
      </c>
      <c r="G656">
        <v>-312.62459999999999</v>
      </c>
      <c r="H656">
        <v>0.86392969999999902</v>
      </c>
      <c r="I656">
        <v>367.71019999999999</v>
      </c>
      <c r="J656">
        <v>-313.00450000000001</v>
      </c>
      <c r="K656">
        <v>1.0733189999999999</v>
      </c>
      <c r="L656">
        <v>367.8227</v>
      </c>
      <c r="M656">
        <v>0.99972620000000001</v>
      </c>
      <c r="N656">
        <v>0</v>
      </c>
      <c r="O656">
        <v>9.2765769999999994E-3</v>
      </c>
      <c r="P656">
        <v>0.99986509999999995</v>
      </c>
      <c r="Q656">
        <v>-1.251992E-2</v>
      </c>
      <c r="R656">
        <v>-1.0638119999999999E-2</v>
      </c>
      <c r="S656">
        <v>2.985077</v>
      </c>
      <c r="T656">
        <v>-0.82005689999999998</v>
      </c>
      <c r="U656">
        <v>-0.42111209999999999</v>
      </c>
      <c r="V656">
        <v>1.9910089999999998E-2</v>
      </c>
      <c r="W656">
        <v>8.9699659999999994E-3</v>
      </c>
      <c r="X656">
        <v>0.99976149999999997</v>
      </c>
      <c r="Y656">
        <v>0.143323799999999</v>
      </c>
      <c r="Z656">
        <v>-2.1729979999999999E-2</v>
      </c>
      <c r="AA656">
        <v>0.98943729999999996</v>
      </c>
      <c r="AB656">
        <v>40</v>
      </c>
      <c r="AC656">
        <v>0.37990000000002</v>
      </c>
      <c r="AD656">
        <v>-0.2093893</v>
      </c>
      <c r="AE656">
        <v>-0.11250000000001099</v>
      </c>
      <c r="AF656">
        <v>9.0690651871484895E-2</v>
      </c>
      <c r="AG656">
        <v>-0.2093893</v>
      </c>
      <c r="AH656">
        <v>0.29613157596871398</v>
      </c>
      <c r="AI656">
        <v>124.06212965848501</v>
      </c>
      <c r="AJ656">
        <v>72.972729562661499</v>
      </c>
      <c r="AK656">
        <v>0.37384834301769898</v>
      </c>
      <c r="AL656">
        <v>89.486051895315697</v>
      </c>
      <c r="AM656">
        <v>88.859114545553894</v>
      </c>
      <c r="AN656">
        <v>0.99999996442804895</v>
      </c>
    </row>
    <row r="657" spans="1:40" x14ac:dyDescent="0.25">
      <c r="A657" t="str">
        <f>"20190312154226378"</f>
        <v>20190312154226378</v>
      </c>
      <c r="B657" t="str">
        <f>"1552376546368402"</f>
        <v>1552376546368402</v>
      </c>
      <c r="C657" t="s">
        <v>40</v>
      </c>
      <c r="D657">
        <v>4.5693549999999998</v>
      </c>
      <c r="E657">
        <v>0.54935519999999904</v>
      </c>
      <c r="F657" t="s">
        <v>41</v>
      </c>
      <c r="G657">
        <v>-312.26010000000002</v>
      </c>
      <c r="H657">
        <v>0.88389169999999995</v>
      </c>
      <c r="I657">
        <v>367.72149999999999</v>
      </c>
      <c r="J657">
        <v>-312.76010000000002</v>
      </c>
      <c r="K657">
        <v>1.07213799999999</v>
      </c>
      <c r="L657">
        <v>367.82510000000002</v>
      </c>
      <c r="M657">
        <v>0.99973299999999998</v>
      </c>
      <c r="N657">
        <v>0</v>
      </c>
      <c r="O657">
        <v>9.3442209999999998E-3</v>
      </c>
      <c r="P657">
        <v>0.99986889999999995</v>
      </c>
      <c r="Q657">
        <v>-1.2236459999999999E-2</v>
      </c>
      <c r="R657">
        <v>-1.061634E-2</v>
      </c>
      <c r="S657">
        <v>2.986542</v>
      </c>
      <c r="T657">
        <v>-0.76002040000000004</v>
      </c>
      <c r="U657">
        <v>-0.4043274</v>
      </c>
      <c r="V657">
        <v>1.9956169999999999E-2</v>
      </c>
      <c r="W657">
        <v>8.9060730000000005E-3</v>
      </c>
      <c r="X657">
        <v>0.99976120000000002</v>
      </c>
      <c r="Y657">
        <v>0.13877639999999999</v>
      </c>
      <c r="Z657">
        <v>-1.963707E-2</v>
      </c>
      <c r="AA657">
        <v>0.99012909999999998</v>
      </c>
      <c r="AB657">
        <v>40</v>
      </c>
      <c r="AC657">
        <v>0.5</v>
      </c>
      <c r="AD657">
        <v>-0.18824629999999901</v>
      </c>
      <c r="AE657">
        <v>-0.103600000000028</v>
      </c>
      <c r="AF657">
        <v>9.5314297438724702E-2</v>
      </c>
      <c r="AG657">
        <v>-0.18824629999999901</v>
      </c>
      <c r="AH657">
        <v>0.43930339602525897</v>
      </c>
      <c r="AI657">
        <v>112.72235588747699</v>
      </c>
      <c r="AJ657">
        <v>77.758447396211807</v>
      </c>
      <c r="AK657">
        <v>0.48734890840059603</v>
      </c>
      <c r="AL657">
        <v>89.489712865169096</v>
      </c>
      <c r="AM657">
        <v>88.856474432509998</v>
      </c>
      <c r="AN657">
        <v>1.0000000119413901</v>
      </c>
    </row>
    <row r="658" spans="1:40" x14ac:dyDescent="0.25">
      <c r="A658" t="str">
        <f>"20190312154226396"</f>
        <v>20190312154226396</v>
      </c>
      <c r="B658" t="str">
        <f>"1552376546387926"</f>
        <v>1552376546387926</v>
      </c>
      <c r="C658" t="s">
        <v>40</v>
      </c>
      <c r="D658">
        <v>4.5725369999999996</v>
      </c>
      <c r="E658">
        <v>0.55298849999999999</v>
      </c>
      <c r="F658" t="s">
        <v>41</v>
      </c>
      <c r="G658">
        <v>-311.9162</v>
      </c>
      <c r="H658">
        <v>0.85771359999999996</v>
      </c>
      <c r="I658">
        <v>367.71159999999998</v>
      </c>
      <c r="J658">
        <v>-312.42200000000003</v>
      </c>
      <c r="K658">
        <v>1.070627</v>
      </c>
      <c r="L658">
        <v>367.82830000000001</v>
      </c>
      <c r="M658">
        <v>0.99974220000000003</v>
      </c>
      <c r="N658">
        <v>0</v>
      </c>
      <c r="O658">
        <v>9.4362100000000004E-3</v>
      </c>
      <c r="P658">
        <v>0.99986600000000003</v>
      </c>
      <c r="Q658">
        <v>-1.211954E-2</v>
      </c>
      <c r="R658">
        <v>-1.102332E-2</v>
      </c>
      <c r="S658">
        <v>2.9868160000000001</v>
      </c>
      <c r="T658">
        <v>-0.75895919999999994</v>
      </c>
      <c r="U658">
        <v>-0.40127560000000001</v>
      </c>
      <c r="V658">
        <v>2.045568E-2</v>
      </c>
      <c r="W658">
        <v>8.5451199999999998E-3</v>
      </c>
      <c r="X658">
        <v>0.99975429999999998</v>
      </c>
      <c r="Y658">
        <v>0.13789889999999999</v>
      </c>
      <c r="Z658">
        <v>-1.952365E-2</v>
      </c>
      <c r="AA658">
        <v>0.99025390000000002</v>
      </c>
      <c r="AB658">
        <v>40</v>
      </c>
      <c r="AC658">
        <v>0.50580000000002201</v>
      </c>
      <c r="AD658">
        <v>-0.212913399999999</v>
      </c>
      <c r="AE658">
        <v>-0.116700000000037</v>
      </c>
      <c r="AF658">
        <v>0.103975962245902</v>
      </c>
      <c r="AG658">
        <v>-0.212913399999999</v>
      </c>
      <c r="AH658">
        <v>0.43199766898344999</v>
      </c>
      <c r="AI658">
        <v>115.60252372456701</v>
      </c>
      <c r="AJ658">
        <v>76.467086790677499</v>
      </c>
      <c r="AK658">
        <v>0.49271198750553602</v>
      </c>
      <c r="AL658">
        <v>89.510394758001993</v>
      </c>
      <c r="AM658">
        <v>88.827851383216498</v>
      </c>
      <c r="AN658">
        <v>1.00000005714428</v>
      </c>
    </row>
    <row r="659" spans="1:40" x14ac:dyDescent="0.25">
      <c r="A659" t="str">
        <f>"20190312154226419"</f>
        <v>20190312154226419</v>
      </c>
      <c r="B659" t="str">
        <f>"1552376546408419"</f>
        <v>1552376546408419</v>
      </c>
      <c r="C659" t="s">
        <v>40</v>
      </c>
      <c r="D659">
        <v>4.5844820000000004</v>
      </c>
      <c r="E659">
        <v>0.55342250000000004</v>
      </c>
      <c r="F659" t="s">
        <v>41</v>
      </c>
      <c r="G659">
        <v>-311.57150000000001</v>
      </c>
      <c r="H659">
        <v>0.83390640000000005</v>
      </c>
      <c r="I659">
        <v>367.70589999999999</v>
      </c>
      <c r="J659">
        <v>-312.03230000000002</v>
      </c>
      <c r="K659">
        <v>1.069078</v>
      </c>
      <c r="L659">
        <v>367.83210000000003</v>
      </c>
      <c r="M659">
        <v>0.99975199999999997</v>
      </c>
      <c r="N659">
        <v>0</v>
      </c>
      <c r="O659">
        <v>9.5433340000000005E-3</v>
      </c>
      <c r="P659">
        <v>0.99987289999999995</v>
      </c>
      <c r="Q659">
        <v>-1.0890469999999999E-2</v>
      </c>
      <c r="R659">
        <v>-1.1665180000000001E-2</v>
      </c>
      <c r="S659">
        <v>2.9855960000000001</v>
      </c>
      <c r="T659">
        <v>-0.83103349999999898</v>
      </c>
      <c r="U659">
        <v>-0.42880249999999998</v>
      </c>
      <c r="V659">
        <v>2.1205089999999999E-2</v>
      </c>
      <c r="W659">
        <v>9.2379360000000004E-3</v>
      </c>
      <c r="X659">
        <v>0.99973250000000002</v>
      </c>
      <c r="Y659">
        <v>0.1458158</v>
      </c>
      <c r="Z659">
        <v>-2.2414179999999999E-2</v>
      </c>
      <c r="AA659">
        <v>0.98905779999999999</v>
      </c>
      <c r="AB659">
        <v>40</v>
      </c>
      <c r="AC659">
        <v>0.46080000000000598</v>
      </c>
      <c r="AD659">
        <v>-0.23517159999999901</v>
      </c>
      <c r="AE659">
        <v>-0.126200000000039</v>
      </c>
      <c r="AF659">
        <v>0.105122630360414</v>
      </c>
      <c r="AG659">
        <v>-0.23517159999999901</v>
      </c>
      <c r="AH659">
        <v>0.36994154885050201</v>
      </c>
      <c r="AI659">
        <v>121.445391850888</v>
      </c>
      <c r="AJ659">
        <v>74.136965104253207</v>
      </c>
      <c r="AK659">
        <v>0.45079174618260298</v>
      </c>
      <c r="AL659">
        <v>89.470697744905806</v>
      </c>
      <c r="AM659">
        <v>88.784894951446603</v>
      </c>
      <c r="AN659">
        <v>1.00000003342984</v>
      </c>
    </row>
    <row r="660" spans="1:40" x14ac:dyDescent="0.25">
      <c r="A660" t="str">
        <f>"20190312154226440"</f>
        <v>20190312154226440</v>
      </c>
      <c r="B660" t="str">
        <f>"1552376546427938"</f>
        <v>1552376546427938</v>
      </c>
      <c r="C660" t="s">
        <v>40</v>
      </c>
      <c r="D660">
        <v>4.7326100000000002</v>
      </c>
      <c r="E660">
        <v>0.55374419999999902</v>
      </c>
      <c r="F660" t="s">
        <v>41</v>
      </c>
      <c r="G660">
        <v>-311.21390000000002</v>
      </c>
      <c r="H660">
        <v>0.84221259999999998</v>
      </c>
      <c r="I660">
        <v>367.71300000000002</v>
      </c>
      <c r="J660">
        <v>-311.64580000000001</v>
      </c>
      <c r="K660">
        <v>1.0677430000000001</v>
      </c>
      <c r="L660">
        <v>367.83600000000001</v>
      </c>
      <c r="M660">
        <v>0.99976109999999896</v>
      </c>
      <c r="N660">
        <v>0</v>
      </c>
      <c r="O660">
        <v>9.6449239999999992E-3</v>
      </c>
      <c r="P660">
        <v>0.99988030000000006</v>
      </c>
      <c r="Q660">
        <v>-9.7533169999999992E-3</v>
      </c>
      <c r="R660">
        <v>-1.201906E-2</v>
      </c>
      <c r="S660">
        <v>2.9862980000000001</v>
      </c>
      <c r="T660">
        <v>-0.82786269999999995</v>
      </c>
      <c r="U660">
        <v>-0.43435669999999998</v>
      </c>
      <c r="V660">
        <v>2.1660909999999998E-2</v>
      </c>
      <c r="W660">
        <v>9.8697170000000001E-3</v>
      </c>
      <c r="X660">
        <v>0.99971659999999996</v>
      </c>
      <c r="Y660">
        <v>0.14766089999999901</v>
      </c>
      <c r="Z660">
        <v>-2.260119E-2</v>
      </c>
      <c r="AA660">
        <v>0.98877979999999999</v>
      </c>
      <c r="AB660">
        <v>40</v>
      </c>
      <c r="AC660">
        <v>0.43189999999998402</v>
      </c>
      <c r="AD660">
        <v>-0.22553039999999999</v>
      </c>
      <c r="AE660">
        <v>-0.12299999999999001</v>
      </c>
      <c r="AF660">
        <v>0.101548384287712</v>
      </c>
      <c r="AG660">
        <v>-0.22553039999999999</v>
      </c>
      <c r="AH660">
        <v>0.34394436773778297</v>
      </c>
      <c r="AI660">
        <v>122.164982305191</v>
      </c>
      <c r="AJ660">
        <v>73.550946854957701</v>
      </c>
      <c r="AK660">
        <v>0.42364343943244098</v>
      </c>
      <c r="AL660">
        <v>89.434497657553706</v>
      </c>
      <c r="AM660">
        <v>88.758763668241102</v>
      </c>
      <c r="AN660">
        <v>0.99999994332562203</v>
      </c>
    </row>
    <row r="661" spans="1:40" x14ac:dyDescent="0.25">
      <c r="A661" t="str">
        <f>"20190312154226464"</f>
        <v>20190312154226464</v>
      </c>
      <c r="B661" t="str">
        <f>"1552376546458194"</f>
        <v>1552376546458194</v>
      </c>
      <c r="C661" t="s">
        <v>40</v>
      </c>
      <c r="D661">
        <v>4.6540350000000004</v>
      </c>
      <c r="E661">
        <v>0.5563593</v>
      </c>
      <c r="F661" t="s">
        <v>41</v>
      </c>
      <c r="G661">
        <v>-310.85700000000003</v>
      </c>
      <c r="H661">
        <v>0.84969269999999997</v>
      </c>
      <c r="I661">
        <v>367.72</v>
      </c>
      <c r="J661">
        <v>-311.2405</v>
      </c>
      <c r="K661">
        <v>1.06653</v>
      </c>
      <c r="L661">
        <v>367.84</v>
      </c>
      <c r="M661">
        <v>0.99976969999999998</v>
      </c>
      <c r="N661">
        <v>0</v>
      </c>
      <c r="O661">
        <v>9.7412880000000007E-3</v>
      </c>
      <c r="P661">
        <v>0.99988310000000002</v>
      </c>
      <c r="Q661">
        <v>-8.6024789999999997E-3</v>
      </c>
      <c r="R661">
        <v>-1.264703E-2</v>
      </c>
      <c r="S661">
        <v>2.9870000000000001</v>
      </c>
      <c r="T661">
        <v>-0.82579340000000001</v>
      </c>
      <c r="U661">
        <v>-0.43807980000000002</v>
      </c>
      <c r="V661">
        <v>2.2385390000000002E-2</v>
      </c>
      <c r="W661">
        <v>1.052486E-2</v>
      </c>
      <c r="X661">
        <v>0.99969399999999997</v>
      </c>
      <c r="Y661">
        <v>0.1489124</v>
      </c>
      <c r="Z661">
        <v>-2.2734710000000002E-2</v>
      </c>
      <c r="AA661">
        <v>0.98858900000000005</v>
      </c>
      <c r="AB661">
        <v>40</v>
      </c>
      <c r="AC661">
        <v>0.38349999999996898</v>
      </c>
      <c r="AD661">
        <v>-0.21683730000000001</v>
      </c>
      <c r="AE661">
        <v>-0.119999999999947</v>
      </c>
      <c r="AF661">
        <v>9.5827245200724803E-2</v>
      </c>
      <c r="AG661">
        <v>-0.21683730000000001</v>
      </c>
      <c r="AH661">
        <v>0.29609421836587801</v>
      </c>
      <c r="AI661">
        <v>124.866656146876</v>
      </c>
      <c r="AJ661">
        <v>72.066465008994797</v>
      </c>
      <c r="AK661">
        <v>0.379306026505974</v>
      </c>
      <c r="AL661">
        <v>89.396958799826805</v>
      </c>
      <c r="AM661">
        <v>88.717233407814106</v>
      </c>
      <c r="AN661">
        <v>0.99999998599973505</v>
      </c>
    </row>
    <row r="662" spans="1:40" x14ac:dyDescent="0.25">
      <c r="A662" t="str">
        <f>"20190312154226486"</f>
        <v>20190312154226486</v>
      </c>
      <c r="B662" t="str">
        <f>"1552376546477714"</f>
        <v>1552376546477714</v>
      </c>
      <c r="C662" t="s">
        <v>40</v>
      </c>
      <c r="D662">
        <v>4.6734609999999996</v>
      </c>
      <c r="E662">
        <v>0.55706880000000003</v>
      </c>
      <c r="F662" t="s">
        <v>41</v>
      </c>
      <c r="G662">
        <v>-310.49970000000002</v>
      </c>
      <c r="H662">
        <v>0.85917900000000003</v>
      </c>
      <c r="I662">
        <v>367.72559999999999</v>
      </c>
      <c r="J662">
        <v>-310.84350000000001</v>
      </c>
      <c r="K662">
        <v>1.0655209999999999</v>
      </c>
      <c r="L662">
        <v>367.84390000000002</v>
      </c>
      <c r="M662">
        <v>0.99977740000000004</v>
      </c>
      <c r="N662">
        <v>0</v>
      </c>
      <c r="O662">
        <v>9.8235709999999997E-3</v>
      </c>
      <c r="P662">
        <v>0.99988960000000005</v>
      </c>
      <c r="Q662">
        <v>-8.4264330000000005E-3</v>
      </c>
      <c r="R662">
        <v>-1.224518E-2</v>
      </c>
      <c r="S662">
        <v>2.9873349999999999</v>
      </c>
      <c r="T662">
        <v>-0.83620229999999995</v>
      </c>
      <c r="U662">
        <v>-0.46115109999999898</v>
      </c>
      <c r="V662">
        <v>2.2066180000000001E-2</v>
      </c>
      <c r="W662">
        <v>1.025307E-2</v>
      </c>
      <c r="X662">
        <v>0.99970389999999998</v>
      </c>
      <c r="Y662">
        <v>0.1560327</v>
      </c>
      <c r="Z662">
        <v>-2.399078E-2</v>
      </c>
      <c r="AA662">
        <v>0.98746049999999996</v>
      </c>
      <c r="AB662">
        <v>40</v>
      </c>
      <c r="AC662">
        <v>0.343799999999987</v>
      </c>
      <c r="AD662">
        <v>-0.206341999999999</v>
      </c>
      <c r="AE662">
        <v>-0.118300000000033</v>
      </c>
      <c r="AF662">
        <v>9.2030805876052196E-2</v>
      </c>
      <c r="AG662">
        <v>-0.206341999999999</v>
      </c>
      <c r="AH662">
        <v>0.25915277071919302</v>
      </c>
      <c r="AI662">
        <v>126.881285300561</v>
      </c>
      <c r="AJ662">
        <v>70.448938869731506</v>
      </c>
      <c r="AK662">
        <v>0.34381222893554902</v>
      </c>
      <c r="AL662">
        <v>89.412532047937304</v>
      </c>
      <c r="AM662">
        <v>88.735531871180299</v>
      </c>
      <c r="AN662">
        <v>0.99999996470971197</v>
      </c>
    </row>
    <row r="663" spans="1:40" x14ac:dyDescent="0.25">
      <c r="A663" t="str">
        <f>"20190312154226508"</f>
        <v>20190312154226508</v>
      </c>
      <c r="B663" t="str">
        <f>"1552376546498211"</f>
        <v>1552376546498211</v>
      </c>
      <c r="C663" t="s">
        <v>40</v>
      </c>
      <c r="D663">
        <v>4.6647829999999999</v>
      </c>
      <c r="E663">
        <v>0.55720999999999998</v>
      </c>
      <c r="F663" t="s">
        <v>41</v>
      </c>
      <c r="G663">
        <v>-310.1429</v>
      </c>
      <c r="H663">
        <v>0.86885889999999999</v>
      </c>
      <c r="I663">
        <v>367.73430000000002</v>
      </c>
      <c r="J663">
        <v>-310.45319999999998</v>
      </c>
      <c r="K663">
        <v>1.0646719999999901</v>
      </c>
      <c r="L663">
        <v>367.84780000000001</v>
      </c>
      <c r="M663">
        <v>0.99978409999999995</v>
      </c>
      <c r="N663">
        <v>0</v>
      </c>
      <c r="O663">
        <v>9.8946950000000002E-3</v>
      </c>
      <c r="P663">
        <v>0.99989079999999997</v>
      </c>
      <c r="Q663">
        <v>-8.3898319999999998E-3</v>
      </c>
      <c r="R663">
        <v>-1.2175180000000001E-2</v>
      </c>
      <c r="S663">
        <v>2.9875180000000001</v>
      </c>
      <c r="T663">
        <v>-0.83867569999999902</v>
      </c>
      <c r="U663">
        <v>-0.46575929999999999</v>
      </c>
      <c r="V663">
        <v>2.2067630000000001E-2</v>
      </c>
      <c r="W663">
        <v>9.8873580000000006E-3</v>
      </c>
      <c r="X663">
        <v>0.99970760000000003</v>
      </c>
      <c r="Y663">
        <v>0.1574894</v>
      </c>
      <c r="Z663">
        <v>-2.4273989999999999E-2</v>
      </c>
      <c r="AA663">
        <v>0.9872223</v>
      </c>
      <c r="AB663">
        <v>39</v>
      </c>
      <c r="AC663">
        <v>0.31029999999998298</v>
      </c>
      <c r="AD663">
        <v>-0.19581309999999899</v>
      </c>
      <c r="AE663">
        <v>-0.113499999999987</v>
      </c>
      <c r="AF663">
        <v>8.6266301792750993E-2</v>
      </c>
      <c r="AG663">
        <v>-0.19581309999999899</v>
      </c>
      <c r="AH663">
        <v>0.22880076810174199</v>
      </c>
      <c r="AI663">
        <v>128.68757593867099</v>
      </c>
      <c r="AJ663">
        <v>69.341712664966593</v>
      </c>
      <c r="AK663">
        <v>0.31326416399032098</v>
      </c>
      <c r="AL663">
        <v>89.433486892699605</v>
      </c>
      <c r="AM663">
        <v>88.735453486852606</v>
      </c>
      <c r="AN663">
        <v>1.00000001281989</v>
      </c>
    </row>
    <row r="664" spans="1:40" x14ac:dyDescent="0.25">
      <c r="A664" t="str">
        <f>"20190312154226531"</f>
        <v>20190312154226531</v>
      </c>
      <c r="B664" t="str">
        <f>"1552376546517730"</f>
        <v>1552376546517730</v>
      </c>
      <c r="C664" t="s">
        <v>40</v>
      </c>
      <c r="D664">
        <v>4.7717989999999997</v>
      </c>
      <c r="E664">
        <v>0.55751850000000003</v>
      </c>
      <c r="F664" t="s">
        <v>41</v>
      </c>
      <c r="G664">
        <v>-309.4708</v>
      </c>
      <c r="H664">
        <v>0.78827199999999997</v>
      </c>
      <c r="I664">
        <v>367.69409999999999</v>
      </c>
      <c r="J664">
        <v>-310.0616</v>
      </c>
      <c r="K664">
        <v>1.063963</v>
      </c>
      <c r="L664">
        <v>367.85180000000003</v>
      </c>
      <c r="M664">
        <v>0.99979010000000001</v>
      </c>
      <c r="N664">
        <v>0</v>
      </c>
      <c r="O664">
        <v>9.9617590000000006E-3</v>
      </c>
      <c r="P664">
        <v>0.99990029999999996</v>
      </c>
      <c r="Q664">
        <v>-7.7443059999999899E-3</v>
      </c>
      <c r="R664">
        <v>-1.18186E-2</v>
      </c>
      <c r="S664">
        <v>2.9875790000000002</v>
      </c>
      <c r="T664">
        <v>-0.84055939999999996</v>
      </c>
      <c r="U664">
        <v>-0.46655269999999999</v>
      </c>
      <c r="V664">
        <v>2.1778140000000001E-2</v>
      </c>
      <c r="W664">
        <v>1.0168200000000001E-2</v>
      </c>
      <c r="X664">
        <v>0.99971109999999996</v>
      </c>
      <c r="Y664">
        <v>0.15776789999999999</v>
      </c>
      <c r="Z664">
        <v>-2.438218E-2</v>
      </c>
      <c r="AA664">
        <v>0.98717520000000003</v>
      </c>
      <c r="AB664">
        <v>39</v>
      </c>
      <c r="AC664">
        <v>0.59080000000000099</v>
      </c>
      <c r="AD664">
        <v>-0.27569099999999902</v>
      </c>
      <c r="AE664">
        <v>-0.15770000000003301</v>
      </c>
      <c r="AF664">
        <v>0.13594497287962101</v>
      </c>
      <c r="AG664">
        <v>-0.27569099999999902</v>
      </c>
      <c r="AH664">
        <v>0.48966516071355298</v>
      </c>
      <c r="AI664">
        <v>118.47983966517801</v>
      </c>
      <c r="AJ664">
        <v>74.483833005935196</v>
      </c>
      <c r="AK664">
        <v>0.578150960172921</v>
      </c>
      <c r="AL664">
        <v>89.417395004244696</v>
      </c>
      <c r="AM664">
        <v>88.752041286152902</v>
      </c>
      <c r="AN664">
        <v>0.99999998156815395</v>
      </c>
    </row>
    <row r="665" spans="1:40" x14ac:dyDescent="0.25">
      <c r="A665" t="str">
        <f>"20190312154226553"</f>
        <v>20190312154226553</v>
      </c>
      <c r="B665" t="str">
        <f>"1552376546547987"</f>
        <v>1552376546547987</v>
      </c>
      <c r="C665" t="s">
        <v>40</v>
      </c>
      <c r="D665">
        <v>4.7356020000000001</v>
      </c>
      <c r="E665">
        <v>0.55778490000000003</v>
      </c>
      <c r="F665" t="s">
        <v>41</v>
      </c>
      <c r="G665">
        <v>-309.11520000000002</v>
      </c>
      <c r="H665">
        <v>0.79796730000000005</v>
      </c>
      <c r="I665">
        <v>367.70319999999998</v>
      </c>
      <c r="J665">
        <v>-309.66680000000002</v>
      </c>
      <c r="K665">
        <v>1.0633570000000001</v>
      </c>
      <c r="L665">
        <v>367.85579999999999</v>
      </c>
      <c r="M665">
        <v>0.99979530000000005</v>
      </c>
      <c r="N665">
        <v>0</v>
      </c>
      <c r="O665">
        <v>1.0029329999999999E-2</v>
      </c>
      <c r="P665">
        <v>0.99991640000000004</v>
      </c>
      <c r="Q665">
        <v>-6.6641219999999998E-3</v>
      </c>
      <c r="R665">
        <v>-1.109862E-2</v>
      </c>
      <c r="S665">
        <v>2.9882810000000002</v>
      </c>
      <c r="T665">
        <v>-0.83991559999999899</v>
      </c>
      <c r="U665">
        <v>-0.46899410000000002</v>
      </c>
      <c r="V665">
        <v>2.1125850000000002E-2</v>
      </c>
      <c r="W665">
        <v>1.0915370000000001E-2</v>
      </c>
      <c r="X665">
        <v>0.99971719999999997</v>
      </c>
      <c r="Y665">
        <v>0.15856689999999901</v>
      </c>
      <c r="Z665">
        <v>-2.4485340000000001E-2</v>
      </c>
      <c r="AA665">
        <v>0.98704460000000005</v>
      </c>
      <c r="AB665">
        <v>39</v>
      </c>
      <c r="AC665">
        <v>0.55160000000000697</v>
      </c>
      <c r="AD665">
        <v>-0.26538969999999901</v>
      </c>
      <c r="AE665">
        <v>-0.15260000000000601</v>
      </c>
      <c r="AF665">
        <v>0.13014151664884299</v>
      </c>
      <c r="AG665">
        <v>-0.26538969999999901</v>
      </c>
      <c r="AH665">
        <v>0.45269931344935299</v>
      </c>
      <c r="AI665">
        <v>119.397729684436</v>
      </c>
      <c r="AJ665">
        <v>73.961171474586706</v>
      </c>
      <c r="AK665">
        <v>0.54065254611373703</v>
      </c>
      <c r="AL665">
        <v>89.374582924620299</v>
      </c>
      <c r="AM665">
        <v>88.789415727847299</v>
      </c>
      <c r="AN665">
        <v>0.99999996340814801</v>
      </c>
    </row>
    <row r="666" spans="1:40" x14ac:dyDescent="0.25">
      <c r="A666" t="str">
        <f>"20190312154226576"</f>
        <v>20190312154226576</v>
      </c>
      <c r="B666" t="str">
        <f>"1552376546567506"</f>
        <v>1552376546567506</v>
      </c>
      <c r="C666" t="s">
        <v>40</v>
      </c>
      <c r="D666">
        <v>4.7430409999999998</v>
      </c>
      <c r="E666">
        <v>0.55805830000000001</v>
      </c>
      <c r="F666" t="s">
        <v>41</v>
      </c>
      <c r="G666">
        <v>-308.75979999999998</v>
      </c>
      <c r="H666">
        <v>0.808504</v>
      </c>
      <c r="I666">
        <v>367.7131</v>
      </c>
      <c r="J666">
        <v>-309.27330000000001</v>
      </c>
      <c r="K666">
        <v>1.0628569999999999</v>
      </c>
      <c r="L666">
        <v>367.85980000000001</v>
      </c>
      <c r="M666">
        <v>0.99979980000000002</v>
      </c>
      <c r="N666">
        <v>0</v>
      </c>
      <c r="O666">
        <v>1.009846E-2</v>
      </c>
      <c r="P666">
        <v>0.99993169999999998</v>
      </c>
      <c r="Q666">
        <v>-5.4606469999999999E-3</v>
      </c>
      <c r="R666">
        <v>-1.0354240000000001E-2</v>
      </c>
      <c r="S666">
        <v>2.9894409999999998</v>
      </c>
      <c r="T666">
        <v>-0.8399894</v>
      </c>
      <c r="U666">
        <v>-0.46887210000000001</v>
      </c>
      <c r="V666">
        <v>2.0450670000000001E-2</v>
      </c>
      <c r="W666">
        <v>1.182034E-2</v>
      </c>
      <c r="X666">
        <v>0.99972099999999997</v>
      </c>
      <c r="Y666">
        <v>0.15853909999999999</v>
      </c>
      <c r="Z666">
        <v>-2.4493569999999999E-2</v>
      </c>
      <c r="AA666">
        <v>0.98704890000000001</v>
      </c>
      <c r="AB666">
        <v>39</v>
      </c>
      <c r="AC666">
        <v>0.51350000000002105</v>
      </c>
      <c r="AD666">
        <v>-0.254352999999999</v>
      </c>
      <c r="AE666">
        <v>-0.14670000000000899</v>
      </c>
      <c r="AF666">
        <v>0.123796798433644</v>
      </c>
      <c r="AG666">
        <v>-0.254352999999999</v>
      </c>
      <c r="AH666">
        <v>0.417325967221927</v>
      </c>
      <c r="AI666">
        <v>120.298417193947</v>
      </c>
      <c r="AJ666">
        <v>73.477382476449705</v>
      </c>
      <c r="AK666">
        <v>0.50416471398654705</v>
      </c>
      <c r="AL666">
        <v>89.322728643067904</v>
      </c>
      <c r="AM666">
        <v>88.8280993624996</v>
      </c>
      <c r="AN666">
        <v>1.0000000140910801</v>
      </c>
    </row>
    <row r="667" spans="1:40" x14ac:dyDescent="0.25">
      <c r="A667" t="str">
        <f>"20190312154226597"</f>
        <v>20190312154226597</v>
      </c>
      <c r="B667" t="str">
        <f>"1552376546588006"</f>
        <v>1552376546588006</v>
      </c>
      <c r="C667" t="s">
        <v>40</v>
      </c>
      <c r="D667">
        <v>4.708723</v>
      </c>
      <c r="E667">
        <v>0.55851139999999999</v>
      </c>
      <c r="F667" t="s">
        <v>41</v>
      </c>
      <c r="G667">
        <v>-308.40449999999998</v>
      </c>
      <c r="H667">
        <v>0.81949249999999996</v>
      </c>
      <c r="I667">
        <v>367.7235</v>
      </c>
      <c r="J667">
        <v>-308.89280000000002</v>
      </c>
      <c r="K667">
        <v>1.062443</v>
      </c>
      <c r="L667">
        <v>367.86369999999999</v>
      </c>
      <c r="M667">
        <v>0.99980360000000001</v>
      </c>
      <c r="N667">
        <v>0</v>
      </c>
      <c r="O667">
        <v>1.0167000000000001E-2</v>
      </c>
      <c r="P667">
        <v>0.99993690000000002</v>
      </c>
      <c r="Q667">
        <v>-5.0776770000000001E-3</v>
      </c>
      <c r="R667">
        <v>-1.0037819999999999E-2</v>
      </c>
      <c r="S667">
        <v>2.9907840000000001</v>
      </c>
      <c r="T667">
        <v>-0.83781269999999997</v>
      </c>
      <c r="U667">
        <v>-0.46841430000000001</v>
      </c>
      <c r="V667">
        <v>2.0202979999999999E-2</v>
      </c>
      <c r="W667">
        <v>1.194336E-2</v>
      </c>
      <c r="X667">
        <v>0.99972459999999996</v>
      </c>
      <c r="Y667">
        <v>0.15843070000000001</v>
      </c>
      <c r="Z667">
        <v>-2.4426159999999999E-2</v>
      </c>
      <c r="AA667">
        <v>0.9870679</v>
      </c>
      <c r="AB667">
        <v>39</v>
      </c>
      <c r="AC667">
        <v>0.48830000000003698</v>
      </c>
      <c r="AD667">
        <v>-0.24295050000000001</v>
      </c>
      <c r="AE667">
        <v>-0.140199999999993</v>
      </c>
      <c r="AF667">
        <v>0.11813984837683</v>
      </c>
      <c r="AG667">
        <v>-0.24295050000000001</v>
      </c>
      <c r="AH667">
        <v>0.396232219835843</v>
      </c>
      <c r="AI667">
        <v>120.438066908735</v>
      </c>
      <c r="AJ667">
        <v>73.397623796210297</v>
      </c>
      <c r="AK667">
        <v>0.47956432442456598</v>
      </c>
      <c r="AL667">
        <v>89.315679636527705</v>
      </c>
      <c r="AM667">
        <v>88.842293216222004</v>
      </c>
      <c r="AN667">
        <v>1.0000000400470599</v>
      </c>
    </row>
    <row r="668" spans="1:40" x14ac:dyDescent="0.25">
      <c r="A668" t="str">
        <f>"20190312154226618"</f>
        <v>20190312154226618</v>
      </c>
      <c r="B668" t="str">
        <f>"1552376546607522"</f>
        <v>1552376546607522</v>
      </c>
      <c r="C668" t="s">
        <v>40</v>
      </c>
      <c r="D668">
        <v>4.8333979999999999</v>
      </c>
      <c r="E668">
        <v>0.55888199999999999</v>
      </c>
      <c r="F668" t="s">
        <v>41</v>
      </c>
      <c r="G668">
        <v>-308.05149999999998</v>
      </c>
      <c r="H668">
        <v>0.82606939999999995</v>
      </c>
      <c r="I668">
        <v>367.73099999999999</v>
      </c>
      <c r="J668">
        <v>-308.51940000000002</v>
      </c>
      <c r="K668">
        <v>1.062106</v>
      </c>
      <c r="L668">
        <v>367.86759999999998</v>
      </c>
      <c r="M668">
        <v>0.9998068</v>
      </c>
      <c r="N668">
        <v>0</v>
      </c>
      <c r="O668">
        <v>1.0235090000000001E-2</v>
      </c>
      <c r="P668">
        <v>0.99994340000000004</v>
      </c>
      <c r="Q668">
        <v>-4.9629840000000001E-3</v>
      </c>
      <c r="R668">
        <v>-9.4243039999999997E-3</v>
      </c>
      <c r="S668">
        <v>2.9911799999999999</v>
      </c>
      <c r="T668">
        <v>-0.84049339999999995</v>
      </c>
      <c r="U668">
        <v>-0.47109990000000002</v>
      </c>
      <c r="V668">
        <v>1.9657810000000001E-2</v>
      </c>
      <c r="W668">
        <v>1.1828450000000001E-2</v>
      </c>
      <c r="X668">
        <v>0.99973679999999998</v>
      </c>
      <c r="Y668">
        <v>0.159271</v>
      </c>
      <c r="Z668">
        <v>-2.4630570000000001E-2</v>
      </c>
      <c r="AA668">
        <v>0.98692760000000002</v>
      </c>
      <c r="AB668">
        <v>39</v>
      </c>
      <c r="AC668">
        <v>0.467900000000042</v>
      </c>
      <c r="AD668">
        <v>-0.23603660000000001</v>
      </c>
      <c r="AE668">
        <v>-0.13659999999998701</v>
      </c>
      <c r="AF668">
        <v>0.114526750449385</v>
      </c>
      <c r="AG668">
        <v>-0.23603660000000001</v>
      </c>
      <c r="AH668">
        <v>0.37786931841294202</v>
      </c>
      <c r="AI668">
        <v>120.870875053756</v>
      </c>
      <c r="AJ668">
        <v>73.138699271609497</v>
      </c>
      <c r="AK668">
        <v>0.46001616809185902</v>
      </c>
      <c r="AL668">
        <v>89.322263935991501</v>
      </c>
      <c r="AM668">
        <v>88.873539090497502</v>
      </c>
      <c r="AN668">
        <v>1.0000000054988101</v>
      </c>
    </row>
    <row r="669" spans="1:40" x14ac:dyDescent="0.25">
      <c r="A669" t="str">
        <f>"20190312154226641"</f>
        <v>20190312154226641</v>
      </c>
      <c r="B669" t="str">
        <f>"1552376546637780"</f>
        <v>1552376546637780</v>
      </c>
      <c r="C669" t="s">
        <v>40</v>
      </c>
      <c r="D669">
        <v>4.0323029999999997</v>
      </c>
      <c r="E669">
        <v>0.56962089999999999</v>
      </c>
      <c r="F669" t="s">
        <v>41</v>
      </c>
      <c r="G669">
        <v>-307.69929999999999</v>
      </c>
      <c r="H669">
        <v>0.83150279999999999</v>
      </c>
      <c r="I669">
        <v>367.73809999999997</v>
      </c>
      <c r="J669">
        <v>-308.11160000000001</v>
      </c>
      <c r="K669">
        <v>1.0617920000000001</v>
      </c>
      <c r="L669">
        <v>367.87189999999998</v>
      </c>
      <c r="M669">
        <v>0.99980970000000002</v>
      </c>
      <c r="N669">
        <v>0</v>
      </c>
      <c r="O669">
        <v>1.030974E-2</v>
      </c>
      <c r="P669">
        <v>0.99994519999999998</v>
      </c>
      <c r="Q669">
        <v>-4.7594079999999997E-3</v>
      </c>
      <c r="R669">
        <v>-9.3296230000000004E-3</v>
      </c>
      <c r="S669">
        <v>2.9915769999999999</v>
      </c>
      <c r="T669">
        <v>-0.84124270000000001</v>
      </c>
      <c r="U669">
        <v>-0.47204590000000002</v>
      </c>
      <c r="V669">
        <v>1.963786E-2</v>
      </c>
      <c r="W669">
        <v>1.180842E-2</v>
      </c>
      <c r="X669">
        <v>0.9997374</v>
      </c>
      <c r="Y669">
        <v>0.15960439999999901</v>
      </c>
      <c r="Z669">
        <v>-2.4714219999999999E-2</v>
      </c>
      <c r="AA669">
        <v>0.98687170000000002</v>
      </c>
      <c r="AB669">
        <v>39</v>
      </c>
      <c r="AC669">
        <v>0.41230000000001599</v>
      </c>
      <c r="AD669">
        <v>-0.2302892</v>
      </c>
      <c r="AE669">
        <v>-0.133800000000007</v>
      </c>
      <c r="AF669">
        <v>0.107657720908237</v>
      </c>
      <c r="AG669">
        <v>-0.2302892</v>
      </c>
      <c r="AH669">
        <v>0.32045097364497599</v>
      </c>
      <c r="AI669">
        <v>124.263654449397</v>
      </c>
      <c r="AJ669">
        <v>71.429869621720101</v>
      </c>
      <c r="AK669">
        <v>0.40903805081900302</v>
      </c>
      <c r="AL669">
        <v>89.323411631081299</v>
      </c>
      <c r="AM669">
        <v>88.8746826759849</v>
      </c>
      <c r="AN669">
        <v>0.99999997664351703</v>
      </c>
    </row>
    <row r="670" spans="1:40" x14ac:dyDescent="0.25">
      <c r="A670" t="str">
        <f>"20190312154226732"</f>
        <v>20190312154226732</v>
      </c>
      <c r="B670" t="str">
        <f>"1552376546728153"</f>
        <v>1552376546728153</v>
      </c>
      <c r="C670" t="s">
        <v>40</v>
      </c>
      <c r="D670">
        <v>4.6437439999999999</v>
      </c>
      <c r="E670">
        <v>0.55386299999999999</v>
      </c>
      <c r="F670" t="s">
        <v>42</v>
      </c>
      <c r="G670">
        <v>-304.38979999999998</v>
      </c>
      <c r="H670">
        <v>-0.05</v>
      </c>
      <c r="I670">
        <v>367.4427</v>
      </c>
      <c r="J670">
        <v>-306.5532</v>
      </c>
      <c r="K670">
        <v>1.0610389999999901</v>
      </c>
      <c r="L670">
        <v>367.88830000000002</v>
      </c>
      <c r="M670">
        <v>0.99981710000000001</v>
      </c>
      <c r="N670">
        <v>0</v>
      </c>
      <c r="O670">
        <v>1.0589869999999999E-2</v>
      </c>
      <c r="P670">
        <v>0.99993480000000001</v>
      </c>
      <c r="Q670">
        <v>-2.5723859999999999E-3</v>
      </c>
      <c r="R670">
        <v>-1.113344E-2</v>
      </c>
      <c r="S670">
        <v>2.9901430000000002</v>
      </c>
      <c r="T670">
        <v>-1.295884</v>
      </c>
      <c r="U670">
        <v>-0.51464840000000001</v>
      </c>
      <c r="V670">
        <v>2.1721219999999999E-2</v>
      </c>
      <c r="W670">
        <v>1.3352299999999999E-2</v>
      </c>
      <c r="X670">
        <v>0.99967490000000003</v>
      </c>
      <c r="Y670">
        <v>0.16472120000000001</v>
      </c>
      <c r="Z670">
        <v>-3.8304919999999999E-2</v>
      </c>
      <c r="AA670">
        <v>0.98559609999999997</v>
      </c>
      <c r="AB670">
        <v>39</v>
      </c>
      <c r="AC670">
        <v>2.1634000000000202</v>
      </c>
      <c r="AD670">
        <v>-1.1110390000000001</v>
      </c>
      <c r="AE670">
        <v>-0.44560000000001299</v>
      </c>
      <c r="AF670">
        <v>0.37388964003245401</v>
      </c>
      <c r="AG670">
        <v>-1.1110390000000001</v>
      </c>
      <c r="AH670">
        <v>1.7226969798729601</v>
      </c>
      <c r="AI670">
        <v>122.221918229366</v>
      </c>
      <c r="AJ670">
        <v>77.754590945145296</v>
      </c>
      <c r="AK670">
        <v>2.0837192725768099</v>
      </c>
      <c r="AL670">
        <v>89.234946829663798</v>
      </c>
      <c r="AM670">
        <v>88.755256902485698</v>
      </c>
      <c r="AN670">
        <v>1.0000000005017899</v>
      </c>
    </row>
    <row r="671" spans="1:40" x14ac:dyDescent="0.25">
      <c r="A671" t="str">
        <f>"20190312154226754"</f>
        <v>20190312154226754</v>
      </c>
      <c r="B671" t="str">
        <f>"1552376546747673"</f>
        <v>1552376546747673</v>
      </c>
      <c r="C671" t="s">
        <v>40</v>
      </c>
      <c r="D671">
        <v>4.8389179999999996</v>
      </c>
      <c r="E671">
        <v>0.52299700000000005</v>
      </c>
      <c r="F671" t="s">
        <v>41</v>
      </c>
      <c r="G671">
        <v>-305.65499999999997</v>
      </c>
      <c r="H671">
        <v>0.71820240000000002</v>
      </c>
      <c r="I671">
        <v>367.75990000000002</v>
      </c>
      <c r="J671">
        <v>-306.15469999999999</v>
      </c>
      <c r="K671">
        <v>1.0609219999999999</v>
      </c>
      <c r="L671">
        <v>367.89260000000002</v>
      </c>
      <c r="M671">
        <v>0.99981830000000005</v>
      </c>
      <c r="N671">
        <v>0</v>
      </c>
      <c r="O671">
        <v>1.0661199999999999E-2</v>
      </c>
      <c r="P671">
        <v>0.99993710000000002</v>
      </c>
      <c r="Q671">
        <v>-1.6493720000000001E-3</v>
      </c>
      <c r="R671">
        <v>-1.1103470000000001E-2</v>
      </c>
      <c r="S671">
        <v>2.9924620000000002</v>
      </c>
      <c r="T671">
        <v>-1.1421140000000001</v>
      </c>
      <c r="U671">
        <v>-0.4276123</v>
      </c>
      <c r="V671">
        <v>2.1762509999999999E-2</v>
      </c>
      <c r="W671">
        <v>1.415522E-2</v>
      </c>
      <c r="X671">
        <v>0.99966290000000002</v>
      </c>
      <c r="Y671">
        <v>0.14150380000000001</v>
      </c>
      <c r="Z671">
        <v>-2.988056E-2</v>
      </c>
      <c r="AA671">
        <v>0.98948659999999999</v>
      </c>
      <c r="AB671">
        <v>39</v>
      </c>
      <c r="AC671">
        <v>0.49970000000001802</v>
      </c>
      <c r="AD671">
        <v>-0.34271959999999901</v>
      </c>
      <c r="AE671">
        <v>-0.13269999999999901</v>
      </c>
      <c r="AF671">
        <v>9.5887293940925697E-2</v>
      </c>
      <c r="AG671">
        <v>-0.34271959999999901</v>
      </c>
      <c r="AH671">
        <v>0.34615492806009301</v>
      </c>
      <c r="AI671">
        <v>133.655776987385</v>
      </c>
      <c r="AJ671">
        <v>74.516902768342604</v>
      </c>
      <c r="AK671">
        <v>0.49646181281520702</v>
      </c>
      <c r="AL671">
        <v>89.188938504636695</v>
      </c>
      <c r="AM671">
        <v>88.752876543645698</v>
      </c>
      <c r="AN671">
        <v>0.99999994536557701</v>
      </c>
    </row>
    <row r="672" spans="1:40" x14ac:dyDescent="0.25">
      <c r="A672" t="str">
        <f>"20190312154226776"</f>
        <v>20190312154226776</v>
      </c>
      <c r="B672" t="str">
        <f>"1552376546768169"</f>
        <v>1552376546768169</v>
      </c>
      <c r="C672" t="s">
        <v>40</v>
      </c>
      <c r="D672">
        <v>4.8895929999999996</v>
      </c>
      <c r="E672">
        <v>0.52072569999999996</v>
      </c>
      <c r="F672" t="s">
        <v>41</v>
      </c>
      <c r="G672">
        <v>-305.22620000000001</v>
      </c>
      <c r="H672">
        <v>0.91101279999999996</v>
      </c>
      <c r="I672">
        <v>367.8297</v>
      </c>
      <c r="J672">
        <v>-305.76499999999999</v>
      </c>
      <c r="K672">
        <v>1.060827</v>
      </c>
      <c r="L672">
        <v>367.89690000000002</v>
      </c>
      <c r="M672">
        <v>0.99981909999999896</v>
      </c>
      <c r="N672">
        <v>0</v>
      </c>
      <c r="O672">
        <v>1.0731259999999999E-2</v>
      </c>
      <c r="P672">
        <v>0.99994099999999997</v>
      </c>
      <c r="Q672">
        <v>-1.598422E-3</v>
      </c>
      <c r="R672">
        <v>-1.0726380000000001E-2</v>
      </c>
      <c r="S672">
        <v>2.9971619999999999</v>
      </c>
      <c r="T672">
        <v>-0.48404409999999998</v>
      </c>
      <c r="U672">
        <v>-0.20205690000000001</v>
      </c>
      <c r="V672">
        <v>2.145582E-2</v>
      </c>
      <c r="W672">
        <v>1.4102770000000001E-2</v>
      </c>
      <c r="X672">
        <v>0.99967030000000001</v>
      </c>
      <c r="Y672">
        <v>7.6838020000000007E-2</v>
      </c>
      <c r="Z672">
        <v>-7.8782839999999993E-3</v>
      </c>
      <c r="AA672">
        <v>0.99701240000000002</v>
      </c>
      <c r="AB672">
        <v>39</v>
      </c>
      <c r="AC672">
        <v>0.53879999999997996</v>
      </c>
      <c r="AD672">
        <v>-0.14981419999999901</v>
      </c>
      <c r="AE672">
        <v>-6.7200000000013901E-2</v>
      </c>
      <c r="AF672">
        <v>6.7816108577792994E-2</v>
      </c>
      <c r="AG672">
        <v>-0.14981419999999901</v>
      </c>
      <c r="AH672">
        <v>0.49998466737532998</v>
      </c>
      <c r="AI672">
        <v>106.537143849815</v>
      </c>
      <c r="AJ672">
        <v>82.275746189635797</v>
      </c>
      <c r="AK672">
        <v>0.52633448178386899</v>
      </c>
      <c r="AL672">
        <v>89.191943991998002</v>
      </c>
      <c r="AM672">
        <v>88.770455400725893</v>
      </c>
      <c r="AN672">
        <v>0.99999997451781697</v>
      </c>
    </row>
    <row r="673" spans="1:40" x14ac:dyDescent="0.25">
      <c r="A673" t="str">
        <f>"20190312154226798"</f>
        <v>20190312154226798</v>
      </c>
      <c r="B673" t="str">
        <f>"1552376546787689"</f>
        <v>1552376546787689</v>
      </c>
      <c r="C673" t="s">
        <v>40</v>
      </c>
      <c r="D673">
        <v>4.8665919999999998</v>
      </c>
      <c r="E673">
        <v>0.52170709999999998</v>
      </c>
      <c r="F673" t="s">
        <v>41</v>
      </c>
      <c r="G673">
        <v>-304.85930000000002</v>
      </c>
      <c r="H673">
        <v>0.95149289999999997</v>
      </c>
      <c r="I673">
        <v>367.84050000000002</v>
      </c>
      <c r="J673">
        <v>-305.38909999999998</v>
      </c>
      <c r="K673">
        <v>1.0607519999999999</v>
      </c>
      <c r="L673">
        <v>367.90089999999998</v>
      </c>
      <c r="M673">
        <v>0.99981989999999998</v>
      </c>
      <c r="N673">
        <v>0</v>
      </c>
      <c r="O673">
        <v>1.07987E-2</v>
      </c>
      <c r="P673">
        <v>0.999946</v>
      </c>
      <c r="Q673">
        <v>-9.7703650000000009E-4</v>
      </c>
      <c r="R673">
        <v>-1.036101E-2</v>
      </c>
      <c r="S673">
        <v>2.99762</v>
      </c>
      <c r="T673">
        <v>-0.3618325</v>
      </c>
      <c r="U673">
        <v>-0.18643190000000001</v>
      </c>
      <c r="V673">
        <v>2.115763E-2</v>
      </c>
      <c r="W673">
        <v>1.4634869999999999E-2</v>
      </c>
      <c r="X673">
        <v>0.99966900000000003</v>
      </c>
      <c r="Y673">
        <v>7.2248359999999998E-2</v>
      </c>
      <c r="Z673">
        <v>-5.6382799999999999E-3</v>
      </c>
      <c r="AA673">
        <v>0.99737070000000005</v>
      </c>
      <c r="AB673">
        <v>39</v>
      </c>
      <c r="AC673">
        <v>0.52979999999996596</v>
      </c>
      <c r="AD673">
        <v>-0.1092591</v>
      </c>
      <c r="AE673">
        <v>-6.0399999999958702E-2</v>
      </c>
      <c r="AF673">
        <v>6.3454266033696097E-2</v>
      </c>
      <c r="AG673">
        <v>-0.1092591</v>
      </c>
      <c r="AH673">
        <v>0.50779744797200499</v>
      </c>
      <c r="AI673">
        <v>102.051834596012</v>
      </c>
      <c r="AJ673">
        <v>82.877251684663406</v>
      </c>
      <c r="AK673">
        <v>0.52328027191703497</v>
      </c>
      <c r="AL673">
        <v>89.161453752683698</v>
      </c>
      <c r="AM673">
        <v>88.787536727279402</v>
      </c>
      <c r="AN673">
        <v>0.99999996714406603</v>
      </c>
    </row>
    <row r="674" spans="1:40" x14ac:dyDescent="0.25">
      <c r="A674" t="str">
        <f>"20190312154226821"</f>
        <v>20190312154226821</v>
      </c>
      <c r="B674" t="str">
        <f>"1552376546808519"</f>
        <v>1552376546808519</v>
      </c>
      <c r="C674" t="s">
        <v>40</v>
      </c>
      <c r="D674">
        <v>4.8026140000000002</v>
      </c>
      <c r="E674">
        <v>0.5212483</v>
      </c>
      <c r="F674" t="s">
        <v>41</v>
      </c>
      <c r="G674">
        <v>-304.49680000000001</v>
      </c>
      <c r="H674">
        <v>0.9836395</v>
      </c>
      <c r="I674">
        <v>367.84230000000002</v>
      </c>
      <c r="J674">
        <v>-305.00729999999999</v>
      </c>
      <c r="K674">
        <v>1.060694</v>
      </c>
      <c r="L674">
        <v>367.9051</v>
      </c>
      <c r="M674">
        <v>0.99982040000000005</v>
      </c>
      <c r="N674">
        <v>0</v>
      </c>
      <c r="O674">
        <v>1.0867389999999999E-2</v>
      </c>
      <c r="P674">
        <v>0.99994859999999997</v>
      </c>
      <c r="Q674">
        <v>-2.0415240000000001E-4</v>
      </c>
      <c r="R674">
        <v>-1.014048E-2</v>
      </c>
      <c r="S674">
        <v>2.9978639999999999</v>
      </c>
      <c r="T674">
        <v>-0.25935799999999998</v>
      </c>
      <c r="U674">
        <v>-0.19622800000000001</v>
      </c>
      <c r="V674">
        <v>2.1005699999999999E-2</v>
      </c>
      <c r="W674">
        <v>1.5327159999999999E-2</v>
      </c>
      <c r="X674">
        <v>0.99966189999999999</v>
      </c>
      <c r="Y674">
        <v>7.5835269999999996E-2</v>
      </c>
      <c r="Z674">
        <v>-4.2084369999999998E-3</v>
      </c>
      <c r="AA674">
        <v>0.99711150000000004</v>
      </c>
      <c r="AB674">
        <v>39</v>
      </c>
      <c r="AC674">
        <v>0.51049999999997897</v>
      </c>
      <c r="AD674">
        <v>-7.7054499999999998E-2</v>
      </c>
      <c r="AE674">
        <v>-6.2799999999981496E-2</v>
      </c>
      <c r="AF674">
        <v>6.68445672861957E-2</v>
      </c>
      <c r="AG674">
        <v>-7.7054499999999998E-2</v>
      </c>
      <c r="AH674">
        <v>0.49859725806962502</v>
      </c>
      <c r="AI674">
        <v>98.708435300643103</v>
      </c>
      <c r="AJ674">
        <v>82.364157215580704</v>
      </c>
      <c r="AK674">
        <v>0.50892515942963201</v>
      </c>
      <c r="AL674">
        <v>89.121784065627693</v>
      </c>
      <c r="AM674">
        <v>88.796232139349698</v>
      </c>
      <c r="AN674">
        <v>1.00000003778888</v>
      </c>
    </row>
    <row r="675" spans="1:40" x14ac:dyDescent="0.25">
      <c r="A675" t="str">
        <f>"20190312154226842"</f>
        <v>20190312154226842</v>
      </c>
      <c r="B675" t="str">
        <f>"1552376546837799"</f>
        <v>1552376546837799</v>
      </c>
      <c r="C675" t="s">
        <v>40</v>
      </c>
      <c r="D675">
        <v>4.849583</v>
      </c>
      <c r="E675">
        <v>0.52038759999999995</v>
      </c>
      <c r="F675" t="s">
        <v>41</v>
      </c>
      <c r="G675">
        <v>-304.13909999999998</v>
      </c>
      <c r="H675">
        <v>1.000829</v>
      </c>
      <c r="I675">
        <v>367.84910000000002</v>
      </c>
      <c r="J675">
        <v>-304.62430000000001</v>
      </c>
      <c r="K675">
        <v>1.0606409999999999</v>
      </c>
      <c r="L675">
        <v>367.90940000000001</v>
      </c>
      <c r="M675">
        <v>0.99982070000000001</v>
      </c>
      <c r="N675">
        <v>0</v>
      </c>
      <c r="O675">
        <v>1.0935820000000001E-2</v>
      </c>
      <c r="P675">
        <v>0.99994930000000004</v>
      </c>
      <c r="Q675">
        <v>4.9434510000000002E-4</v>
      </c>
      <c r="R675">
        <v>-1.006494E-2</v>
      </c>
      <c r="S675">
        <v>2.9980769999999999</v>
      </c>
      <c r="T675">
        <v>-0.20673259999999999</v>
      </c>
      <c r="U675">
        <v>-0.19354250000000001</v>
      </c>
      <c r="V675">
        <v>2.0998639999999999E-2</v>
      </c>
      <c r="W675">
        <v>1.5954599999999999E-2</v>
      </c>
      <c r="X675">
        <v>0.99965219999999999</v>
      </c>
      <c r="Y675">
        <v>7.5128440000000005E-2</v>
      </c>
      <c r="Z675">
        <v>-3.3370409999999998E-3</v>
      </c>
      <c r="AA675">
        <v>0.99716830000000001</v>
      </c>
      <c r="AB675">
        <v>39</v>
      </c>
      <c r="AC675">
        <v>0.48520000000002</v>
      </c>
      <c r="AD675">
        <v>-5.9811999999999699E-2</v>
      </c>
      <c r="AE675">
        <v>-6.0299999999983797E-2</v>
      </c>
      <c r="AF675">
        <v>6.4635808299577602E-2</v>
      </c>
      <c r="AG675">
        <v>-5.9811999999999699E-2</v>
      </c>
      <c r="AH675">
        <v>0.47736763315559699</v>
      </c>
      <c r="AI675">
        <v>97.077763474910597</v>
      </c>
      <c r="AJ675">
        <v>82.289018123798996</v>
      </c>
      <c r="AK675">
        <v>0.48542262024252197</v>
      </c>
      <c r="AL675">
        <v>89.085829975823998</v>
      </c>
      <c r="AM675">
        <v>88.796624932583697</v>
      </c>
      <c r="AN675">
        <v>1.0000000065539201</v>
      </c>
    </row>
    <row r="676" spans="1:40" x14ac:dyDescent="0.25">
      <c r="A676" t="str">
        <f>"20190312154226866"</f>
        <v>20190312154226866</v>
      </c>
      <c r="B676" t="str">
        <f>"1552376546858299"</f>
        <v>1552376546858299</v>
      </c>
      <c r="C676" t="s">
        <v>40</v>
      </c>
      <c r="D676">
        <v>4.9305849999999998</v>
      </c>
      <c r="E676">
        <v>0.51833130000000005</v>
      </c>
      <c r="F676" t="s">
        <v>42</v>
      </c>
      <c r="G676">
        <v>-284.69139999999999</v>
      </c>
      <c r="H676">
        <v>-0.05</v>
      </c>
      <c r="I676">
        <v>366.66309999999999</v>
      </c>
      <c r="J676">
        <v>-304.22770000000003</v>
      </c>
      <c r="K676">
        <v>1.0605990000000001</v>
      </c>
      <c r="L676">
        <v>367.91370000000001</v>
      </c>
      <c r="M676">
        <v>0.99982099999999996</v>
      </c>
      <c r="N676">
        <v>0</v>
      </c>
      <c r="O676">
        <v>1.100689E-2</v>
      </c>
      <c r="P676">
        <v>0.99994870000000002</v>
      </c>
      <c r="Q676">
        <v>4.4318850000000002E-4</v>
      </c>
      <c r="R676">
        <v>-1.011871E-2</v>
      </c>
      <c r="S676">
        <v>2.9983520000000001</v>
      </c>
      <c r="T676">
        <v>-0.16706470000000001</v>
      </c>
      <c r="U676">
        <v>-0.18746950000000001</v>
      </c>
      <c r="V676">
        <v>2.1123389999999999E-2</v>
      </c>
      <c r="W676">
        <v>1.5837790000000001E-2</v>
      </c>
      <c r="X676">
        <v>0.99965139999999997</v>
      </c>
      <c r="Y676">
        <v>7.3255070000000005E-2</v>
      </c>
      <c r="Z676">
        <v>-2.649612E-3</v>
      </c>
      <c r="AA676">
        <v>0.99730969999999997</v>
      </c>
      <c r="AB676">
        <v>39</v>
      </c>
      <c r="AC676">
        <v>19.536300000000001</v>
      </c>
      <c r="AD676">
        <v>-1.1105989999999999</v>
      </c>
      <c r="AE676">
        <v>-1.2506000000000199</v>
      </c>
      <c r="AF676">
        <v>1.46088174293727</v>
      </c>
      <c r="AG676">
        <v>-1.1105989999999999</v>
      </c>
      <c r="AH676">
        <v>19.458721458475502</v>
      </c>
      <c r="AI676">
        <v>93.257443145997101</v>
      </c>
      <c r="AJ676">
        <v>85.7065201727264</v>
      </c>
      <c r="AK676">
        <v>19.5450619442401</v>
      </c>
      <c r="AL676">
        <v>89.092523515042103</v>
      </c>
      <c r="AM676">
        <v>88.789477001173196</v>
      </c>
      <c r="AN676">
        <v>0.99999997735956703</v>
      </c>
    </row>
    <row r="677" spans="1:40" x14ac:dyDescent="0.25">
      <c r="A677" t="str">
        <f>"20190312154226888"</f>
        <v>20190312154226888</v>
      </c>
      <c r="B677" t="str">
        <f>"1552376546877816"</f>
        <v>1552376546877816</v>
      </c>
      <c r="C677" t="s">
        <v>40</v>
      </c>
      <c r="D677">
        <v>4.9357989999999896</v>
      </c>
      <c r="E677">
        <v>0.51741800000000004</v>
      </c>
      <c r="F677" t="s">
        <v>42</v>
      </c>
      <c r="G677">
        <v>-283.6071</v>
      </c>
      <c r="H677">
        <v>-0.05</v>
      </c>
      <c r="I677">
        <v>366.73430000000002</v>
      </c>
      <c r="J677">
        <v>-303.83780000000002</v>
      </c>
      <c r="K677">
        <v>1.0605639999999901</v>
      </c>
      <c r="L677">
        <v>367.91809999999998</v>
      </c>
      <c r="M677">
        <v>0.99982110000000002</v>
      </c>
      <c r="N677">
        <v>0</v>
      </c>
      <c r="O677">
        <v>1.1076870000000001E-2</v>
      </c>
      <c r="P677">
        <v>0.99994749999999999</v>
      </c>
      <c r="Q677">
        <v>2.7944150000000002E-4</v>
      </c>
      <c r="R677">
        <v>-1.026526E-2</v>
      </c>
      <c r="S677">
        <v>2.9985050000000002</v>
      </c>
      <c r="T677">
        <v>-0.16149579999999999</v>
      </c>
      <c r="U677">
        <v>-0.17150879999999999</v>
      </c>
      <c r="V677">
        <v>2.1339759999999999E-2</v>
      </c>
      <c r="W677">
        <v>1.561704E-2</v>
      </c>
      <c r="X677">
        <v>0.99965029999999999</v>
      </c>
      <c r="Y677">
        <v>6.8047040000000003E-2</v>
      </c>
      <c r="Z677">
        <v>-2.4254229999999999E-3</v>
      </c>
      <c r="AA677">
        <v>0.99767919999999999</v>
      </c>
      <c r="AB677">
        <v>39</v>
      </c>
      <c r="AC677">
        <v>20.230699999999999</v>
      </c>
      <c r="AD677">
        <v>-1.1105640000000001</v>
      </c>
      <c r="AE677">
        <v>-1.18379999999996</v>
      </c>
      <c r="AF677">
        <v>1.4036311813731199</v>
      </c>
      <c r="AG677">
        <v>-1.1105640000000001</v>
      </c>
      <c r="AH677">
        <v>20.155812740681402</v>
      </c>
      <c r="AI677">
        <v>93.146143881266298</v>
      </c>
      <c r="AJ677">
        <v>86.016408974359706</v>
      </c>
      <c r="AK677">
        <v>20.235125898517001</v>
      </c>
      <c r="AL677">
        <v>89.105173143304199</v>
      </c>
      <c r="AM677">
        <v>88.777079836686198</v>
      </c>
      <c r="AN677">
        <v>0.99999999979265397</v>
      </c>
    </row>
    <row r="678" spans="1:40" x14ac:dyDescent="0.25">
      <c r="A678" t="str">
        <f>"20190312154226899"</f>
        <v>20190312154226899</v>
      </c>
      <c r="B678" t="str">
        <f>"1552376546888552"</f>
        <v>1552376546888552</v>
      </c>
      <c r="C678" t="s">
        <v>40</v>
      </c>
      <c r="D678">
        <v>4.9320300000000001</v>
      </c>
      <c r="E678">
        <v>0.51683230000000002</v>
      </c>
      <c r="F678" t="s">
        <v>42</v>
      </c>
      <c r="G678">
        <v>-282.42970000000003</v>
      </c>
      <c r="H678">
        <v>-0.05</v>
      </c>
      <c r="I678">
        <v>366.74279999999999</v>
      </c>
      <c r="J678">
        <v>-303.64069999999998</v>
      </c>
      <c r="K678">
        <v>1.060551</v>
      </c>
      <c r="L678">
        <v>367.9203</v>
      </c>
      <c r="M678">
        <v>0.99982099999999996</v>
      </c>
      <c r="N678">
        <v>0</v>
      </c>
      <c r="O678">
        <v>1.111229E-2</v>
      </c>
      <c r="P678">
        <v>0.99994830000000001</v>
      </c>
      <c r="Q678">
        <v>3.7581849999999999E-4</v>
      </c>
      <c r="R678">
        <v>-1.0169249999999999E-2</v>
      </c>
      <c r="S678">
        <v>2.9985050000000002</v>
      </c>
      <c r="T678">
        <v>-0.1555494</v>
      </c>
      <c r="U678">
        <v>-0.1646118</v>
      </c>
      <c r="V678">
        <v>2.1279320000000001E-2</v>
      </c>
      <c r="W678">
        <v>1.568808E-2</v>
      </c>
      <c r="X678">
        <v>0.9996505</v>
      </c>
      <c r="Y678">
        <v>6.5805790000000003E-2</v>
      </c>
      <c r="Z678">
        <v>-2.280172E-3</v>
      </c>
      <c r="AA678">
        <v>0.99782990000000005</v>
      </c>
      <c r="AB678">
        <v>39</v>
      </c>
      <c r="AC678">
        <v>21.210999999999899</v>
      </c>
      <c r="AD678">
        <v>-1.1105510000000001</v>
      </c>
      <c r="AE678">
        <v>-1.1775</v>
      </c>
      <c r="AF678">
        <v>1.4093062568922801</v>
      </c>
      <c r="AG678">
        <v>-1.1105510000000001</v>
      </c>
      <c r="AH678">
        <v>21.1388341893059</v>
      </c>
      <c r="AI678">
        <v>93.000680546527505</v>
      </c>
      <c r="AJ678">
        <v>86.185788504285597</v>
      </c>
      <c r="AK678">
        <v>21.214848067622</v>
      </c>
      <c r="AL678">
        <v>89.1011023739389</v>
      </c>
      <c r="AM678">
        <v>88.780542675469206</v>
      </c>
      <c r="AN678">
        <v>1.0000000237319899</v>
      </c>
    </row>
    <row r="679" spans="1:40" x14ac:dyDescent="0.25">
      <c r="A679" t="str">
        <f>"20190312154226912"</f>
        <v>20190312154226912</v>
      </c>
      <c r="B679" t="str">
        <f>"1552376546908579"</f>
        <v>1552376546908579</v>
      </c>
      <c r="C679" t="s">
        <v>40</v>
      </c>
      <c r="D679">
        <v>4.9237950000000001</v>
      </c>
      <c r="E679">
        <v>0.51586809999999905</v>
      </c>
      <c r="F679" t="s">
        <v>42</v>
      </c>
      <c r="G679">
        <v>-282.19060000000002</v>
      </c>
      <c r="H679">
        <v>-0.05</v>
      </c>
      <c r="I679">
        <v>366.77809999999999</v>
      </c>
      <c r="J679">
        <v>-303.42689999999999</v>
      </c>
      <c r="K679">
        <v>1.0605340000000001</v>
      </c>
      <c r="L679">
        <v>367.92270000000002</v>
      </c>
      <c r="M679">
        <v>0.99982099999999996</v>
      </c>
      <c r="N679">
        <v>0</v>
      </c>
      <c r="O679">
        <v>1.115057E-2</v>
      </c>
      <c r="P679">
        <v>0.99994859999999997</v>
      </c>
      <c r="Q679">
        <v>3.095269E-4</v>
      </c>
      <c r="R679">
        <v>-1.0147339999999999E-2</v>
      </c>
      <c r="S679">
        <v>2.998596</v>
      </c>
      <c r="T679">
        <v>-0.1552482</v>
      </c>
      <c r="U679">
        <v>-0.159668</v>
      </c>
      <c r="V679">
        <v>2.129561E-2</v>
      </c>
      <c r="W679">
        <v>1.559558E-2</v>
      </c>
      <c r="X679">
        <v>0.99965159999999997</v>
      </c>
      <c r="Y679">
        <v>6.420439E-2</v>
      </c>
      <c r="Z679">
        <v>-2.2363740000000002E-3</v>
      </c>
      <c r="AA679">
        <v>0.99793430000000005</v>
      </c>
      <c r="AB679">
        <v>39</v>
      </c>
      <c r="AC679">
        <v>21.2362999999999</v>
      </c>
      <c r="AD679">
        <v>-1.1105339999999999</v>
      </c>
      <c r="AE679">
        <v>-1.14460000000002</v>
      </c>
      <c r="AF679">
        <v>1.3775969702019399</v>
      </c>
      <c r="AG679">
        <v>-1.1105339999999999</v>
      </c>
      <c r="AH679">
        <v>21.1645045762845</v>
      </c>
      <c r="AI679">
        <v>92.997311751961902</v>
      </c>
      <c r="AJ679">
        <v>86.275872837182007</v>
      </c>
      <c r="AK679">
        <v>21.2383453483795</v>
      </c>
      <c r="AL679">
        <v>89.106402881459601</v>
      </c>
      <c r="AM679">
        <v>88.7796107665975</v>
      </c>
      <c r="AN679">
        <v>1.0000000232516799</v>
      </c>
    </row>
    <row r="680" spans="1:40" x14ac:dyDescent="0.25">
      <c r="A680" t="str">
        <f>"20190312154226923"</f>
        <v>20190312154226923</v>
      </c>
      <c r="B680" t="str">
        <f>"1552376546918339"</f>
        <v>1552376546918339</v>
      </c>
      <c r="C680" t="s">
        <v>40</v>
      </c>
      <c r="D680">
        <v>4.8716080000000002</v>
      </c>
      <c r="E680">
        <v>0.51559849999999996</v>
      </c>
      <c r="F680" t="s">
        <v>42</v>
      </c>
      <c r="G680">
        <v>-282.79730000000001</v>
      </c>
      <c r="H680">
        <v>-0.05</v>
      </c>
      <c r="I680">
        <v>366.87799999999999</v>
      </c>
      <c r="J680">
        <v>-303.23289999999997</v>
      </c>
      <c r="K680">
        <v>1.0605230000000001</v>
      </c>
      <c r="L680">
        <v>367.92489999999998</v>
      </c>
      <c r="M680">
        <v>0.99982090000000001</v>
      </c>
      <c r="N680">
        <v>0</v>
      </c>
      <c r="O680">
        <v>1.118543E-2</v>
      </c>
      <c r="P680">
        <v>0.99994649999999996</v>
      </c>
      <c r="Q680">
        <v>4.252158E-4</v>
      </c>
      <c r="R680">
        <v>-1.0331190000000001E-2</v>
      </c>
      <c r="S680">
        <v>2.9986570000000001</v>
      </c>
      <c r="T680">
        <v>-0.16142339999999999</v>
      </c>
      <c r="U680">
        <v>-0.1518555</v>
      </c>
      <c r="V680">
        <v>2.151434E-2</v>
      </c>
      <c r="W680">
        <v>1.5688560000000001E-2</v>
      </c>
      <c r="X680">
        <v>0.99964540000000002</v>
      </c>
      <c r="Y680">
        <v>6.164041E-2</v>
      </c>
      <c r="Z680">
        <v>-2.258267E-3</v>
      </c>
      <c r="AA680">
        <v>0.99809590000000004</v>
      </c>
      <c r="AB680">
        <v>39</v>
      </c>
      <c r="AC680">
        <v>20.435599999999901</v>
      </c>
      <c r="AD680">
        <v>-1.1105229999999999</v>
      </c>
      <c r="AE680">
        <v>-1.04689999999993</v>
      </c>
      <c r="AF680">
        <v>1.27169647018941</v>
      </c>
      <c r="AG680">
        <v>-1.1105229999999999</v>
      </c>
      <c r="AH680">
        <v>20.3626340889308</v>
      </c>
      <c r="AI680">
        <v>93.115606383509004</v>
      </c>
      <c r="AJ680">
        <v>86.426379214210897</v>
      </c>
      <c r="AK680">
        <v>20.432506950580201</v>
      </c>
      <c r="AL680">
        <v>89.1010748128503</v>
      </c>
      <c r="AM680">
        <v>88.767072193896297</v>
      </c>
      <c r="AN680">
        <v>0.99999996174083305</v>
      </c>
    </row>
    <row r="681" spans="1:40" x14ac:dyDescent="0.25">
      <c r="A681" t="str">
        <f>"20190312154226935"</f>
        <v>20190312154226935</v>
      </c>
      <c r="B681" t="str">
        <f>"1552376546928099"</f>
        <v>1552376546928099</v>
      </c>
      <c r="C681" t="s">
        <v>40</v>
      </c>
      <c r="D681">
        <v>4.9302190000000001</v>
      </c>
      <c r="E681">
        <v>0.51522500000000004</v>
      </c>
      <c r="F681" t="s">
        <v>42</v>
      </c>
      <c r="G681">
        <v>-282.29880000000003</v>
      </c>
      <c r="H681">
        <v>-0.05</v>
      </c>
      <c r="I681">
        <v>366.8759</v>
      </c>
      <c r="J681">
        <v>-303.02670000000001</v>
      </c>
      <c r="K681">
        <v>1.0605119999999999</v>
      </c>
      <c r="L681">
        <v>367.92720000000003</v>
      </c>
      <c r="M681">
        <v>0.99982099999999996</v>
      </c>
      <c r="N681">
        <v>0</v>
      </c>
      <c r="O681">
        <v>1.1222309999999999E-2</v>
      </c>
      <c r="P681">
        <v>0.99994709999999998</v>
      </c>
      <c r="Q681">
        <v>6.0216709999999995E-4</v>
      </c>
      <c r="R681">
        <v>-1.0289049999999999E-2</v>
      </c>
      <c r="S681">
        <v>2.998688</v>
      </c>
      <c r="T681">
        <v>-0.15907550000000001</v>
      </c>
      <c r="U681">
        <v>-0.1502686</v>
      </c>
      <c r="V681">
        <v>2.1509070000000002E-2</v>
      </c>
      <c r="W681">
        <v>1.5843030000000001E-2</v>
      </c>
      <c r="X681">
        <v>0.99964310000000001</v>
      </c>
      <c r="Y681">
        <v>6.1153520000000003E-2</v>
      </c>
      <c r="Z681">
        <v>-2.2145300000000001E-3</v>
      </c>
      <c r="AA681">
        <v>0.99812590000000001</v>
      </c>
      <c r="AB681">
        <v>39</v>
      </c>
      <c r="AC681">
        <v>20.727899999999899</v>
      </c>
      <c r="AD681">
        <v>-1.1105119999999999</v>
      </c>
      <c r="AE681">
        <v>-1.0513000000000201</v>
      </c>
      <c r="AF681">
        <v>1.28021046035441</v>
      </c>
      <c r="AG681">
        <v>-1.1105119999999999</v>
      </c>
      <c r="AH681">
        <v>20.655658048717701</v>
      </c>
      <c r="AI681">
        <v>93.071552854281606</v>
      </c>
      <c r="AJ681">
        <v>86.453419689882693</v>
      </c>
      <c r="AK681">
        <v>20.725066589772499</v>
      </c>
      <c r="AL681">
        <v>89.092223253990895</v>
      </c>
      <c r="AM681">
        <v>88.767371274774703</v>
      </c>
      <c r="AN681">
        <v>0.99999998453472705</v>
      </c>
    </row>
    <row r="682" spans="1:40" x14ac:dyDescent="0.25">
      <c r="A682" t="str">
        <f>"20190312154226948"</f>
        <v>20190312154226948</v>
      </c>
      <c r="B682" t="str">
        <f>"1552376546937860"</f>
        <v>1552376546937860</v>
      </c>
      <c r="C682" t="s">
        <v>40</v>
      </c>
      <c r="D682">
        <v>4.916811</v>
      </c>
      <c r="E682">
        <v>0.51487070000000001</v>
      </c>
      <c r="F682" t="s">
        <v>42</v>
      </c>
      <c r="G682">
        <v>-282.33819999999997</v>
      </c>
      <c r="H682">
        <v>-0.05</v>
      </c>
      <c r="I682">
        <v>366.91370000000001</v>
      </c>
      <c r="J682">
        <v>-302.80279999999999</v>
      </c>
      <c r="K682">
        <v>1.060495</v>
      </c>
      <c r="L682">
        <v>367.9298</v>
      </c>
      <c r="M682">
        <v>0.99982079999999995</v>
      </c>
      <c r="N682">
        <v>0</v>
      </c>
      <c r="O682">
        <v>1.126254E-2</v>
      </c>
      <c r="P682">
        <v>0.99994479999999997</v>
      </c>
      <c r="Q682">
        <v>8.6622130000000002E-4</v>
      </c>
      <c r="R682">
        <v>-1.047027E-2</v>
      </c>
      <c r="S682">
        <v>2.9987490000000001</v>
      </c>
      <c r="T682">
        <v>-0.1609662</v>
      </c>
      <c r="U682">
        <v>-0.1469116</v>
      </c>
      <c r="V682">
        <v>2.17304E-2</v>
      </c>
      <c r="W682">
        <v>1.6083799999999999E-2</v>
      </c>
      <c r="X682">
        <v>0.99963449999999998</v>
      </c>
      <c r="Y682">
        <v>6.0077070000000003E-2</v>
      </c>
      <c r="Z682">
        <v>-2.2141330000000001E-3</v>
      </c>
      <c r="AA682">
        <v>0.9981913</v>
      </c>
      <c r="AB682">
        <v>38</v>
      </c>
      <c r="AC682">
        <v>20.464600000000001</v>
      </c>
      <c r="AD682">
        <v>-1.110495</v>
      </c>
      <c r="AE682">
        <v>-1.01609999999999</v>
      </c>
      <c r="AF682">
        <v>1.24289477048085</v>
      </c>
      <c r="AG682">
        <v>-1.110495</v>
      </c>
      <c r="AH682">
        <v>20.391958006001499</v>
      </c>
      <c r="AI682">
        <v>93.111343332508</v>
      </c>
      <c r="AJ682">
        <v>86.512123191337594</v>
      </c>
      <c r="AK682">
        <v>20.459959381045699</v>
      </c>
      <c r="AL682">
        <v>89.078426420096207</v>
      </c>
      <c r="AM682">
        <v>88.7546806931567</v>
      </c>
      <c r="AN682">
        <v>1.0000000162484199</v>
      </c>
    </row>
    <row r="683" spans="1:40" x14ac:dyDescent="0.25">
      <c r="A683" t="str">
        <f>"20190312154226966"</f>
        <v>20190312154226966</v>
      </c>
      <c r="B683" t="str">
        <f>"1552376546958355"</f>
        <v>1552376546958355</v>
      </c>
      <c r="C683" t="s">
        <v>40</v>
      </c>
      <c r="D683">
        <v>4.9390710000000002</v>
      </c>
      <c r="E683">
        <v>0.51419099999999995</v>
      </c>
      <c r="F683" t="s">
        <v>41</v>
      </c>
      <c r="G683">
        <v>-301.72590000000002</v>
      </c>
      <c r="H683">
        <v>1.002203</v>
      </c>
      <c r="I683">
        <v>367.87759999999997</v>
      </c>
      <c r="J683">
        <v>-302.48939999999999</v>
      </c>
      <c r="K683">
        <v>1.060481</v>
      </c>
      <c r="L683">
        <v>367.93340000000001</v>
      </c>
      <c r="M683">
        <v>0.99982070000000001</v>
      </c>
      <c r="N683">
        <v>0</v>
      </c>
      <c r="O683">
        <v>1.131854E-2</v>
      </c>
      <c r="P683">
        <v>0.99994570000000005</v>
      </c>
      <c r="Q683">
        <v>1.0213780000000001E-3</v>
      </c>
      <c r="R683">
        <v>-1.040079E-2</v>
      </c>
      <c r="S683">
        <v>2.9987789999999999</v>
      </c>
      <c r="T683">
        <v>-0.1625904</v>
      </c>
      <c r="U683">
        <v>-0.14465329999999901</v>
      </c>
      <c r="V683">
        <v>2.1716869999999999E-2</v>
      </c>
      <c r="W683">
        <v>1.6209669999999999E-2</v>
      </c>
      <c r="X683">
        <v>0.99963270000000004</v>
      </c>
      <c r="Y683">
        <v>5.9381370000000003E-2</v>
      </c>
      <c r="Z683">
        <v>-2.2206560000000001E-3</v>
      </c>
      <c r="AA683">
        <v>0.99823289999999998</v>
      </c>
      <c r="AB683">
        <v>38</v>
      </c>
      <c r="AC683">
        <v>0.76349999999996498</v>
      </c>
      <c r="AD683">
        <v>-5.8278000000000003E-2</v>
      </c>
      <c r="AE683">
        <v>-5.5800000000033302E-2</v>
      </c>
      <c r="AF683">
        <v>6.4067832261896898E-2</v>
      </c>
      <c r="AG683">
        <v>-5.8278000000000003E-2</v>
      </c>
      <c r="AH683">
        <v>0.75842412126594005</v>
      </c>
      <c r="AI683">
        <v>94.378491473658798</v>
      </c>
      <c r="AJ683">
        <v>85.171406318732593</v>
      </c>
      <c r="AK683">
        <v>0.76335323417979395</v>
      </c>
      <c r="AL683">
        <v>89.071213603593506</v>
      </c>
      <c r="AM683">
        <v>88.755453582135601</v>
      </c>
      <c r="AN683">
        <v>0.99999995537669695</v>
      </c>
    </row>
    <row r="684" spans="1:40" x14ac:dyDescent="0.25">
      <c r="A684" t="str">
        <f>"20190312154226980"</f>
        <v>20190312154226980</v>
      </c>
      <c r="B684" t="str">
        <f>"1552376546968114"</f>
        <v>1552376546968114</v>
      </c>
      <c r="C684" t="s">
        <v>40</v>
      </c>
      <c r="D684">
        <v>4.9614690000000001</v>
      </c>
      <c r="E684">
        <v>0.51390139999999995</v>
      </c>
      <c r="F684" t="s">
        <v>42</v>
      </c>
      <c r="G684">
        <v>-282.48599999999999</v>
      </c>
      <c r="H684">
        <v>-0.05</v>
      </c>
      <c r="I684">
        <v>367.00900000000001</v>
      </c>
      <c r="J684">
        <v>-302.25670000000002</v>
      </c>
      <c r="K684">
        <v>1.0604739999999999</v>
      </c>
      <c r="L684">
        <v>367.93610000000001</v>
      </c>
      <c r="M684">
        <v>0.99982059999999995</v>
      </c>
      <c r="N684">
        <v>0</v>
      </c>
      <c r="O684">
        <v>1.136029E-2</v>
      </c>
      <c r="P684">
        <v>0.99994519999999998</v>
      </c>
      <c r="Q684">
        <v>1.306832E-3</v>
      </c>
      <c r="R684">
        <v>-1.040933E-2</v>
      </c>
      <c r="S684">
        <v>2.9988709999999998</v>
      </c>
      <c r="T684">
        <v>-0.1664813</v>
      </c>
      <c r="U684">
        <v>-0.13858029999999999</v>
      </c>
      <c r="V684">
        <v>2.1767180000000001E-2</v>
      </c>
      <c r="W684">
        <v>1.647523E-2</v>
      </c>
      <c r="X684">
        <v>0.9996273</v>
      </c>
      <c r="Y684">
        <v>5.7402410000000001E-2</v>
      </c>
      <c r="Z684">
        <v>-2.2212099999999999E-3</v>
      </c>
      <c r="AA684">
        <v>0.99834869999999998</v>
      </c>
      <c r="AB684">
        <v>38</v>
      </c>
      <c r="AC684">
        <v>19.770700000000001</v>
      </c>
      <c r="AD684">
        <v>-1.110474</v>
      </c>
      <c r="AE684">
        <v>-0.92709999999999504</v>
      </c>
      <c r="AF684">
        <v>1.14805290921562</v>
      </c>
      <c r="AG684">
        <v>-1.110474</v>
      </c>
      <c r="AH684">
        <v>19.696887043037499</v>
      </c>
      <c r="AI684">
        <v>93.221358277463693</v>
      </c>
      <c r="AJ684">
        <v>86.664231829036893</v>
      </c>
      <c r="AK684">
        <v>19.761541872364401</v>
      </c>
      <c r="AL684">
        <v>89.055996137156399</v>
      </c>
      <c r="AM684">
        <v>88.752564599306396</v>
      </c>
      <c r="AN684">
        <v>0.999999991116997</v>
      </c>
    </row>
    <row r="685" spans="1:40" x14ac:dyDescent="0.25">
      <c r="A685" t="str">
        <f>"20190312154227000"</f>
        <v>20190312154227000</v>
      </c>
      <c r="B685" t="str">
        <f>"1552376546988612"</f>
        <v>1552376546988612</v>
      </c>
      <c r="C685" t="s">
        <v>40</v>
      </c>
      <c r="D685">
        <v>4.94278</v>
      </c>
      <c r="E685">
        <v>0.51346480000000005</v>
      </c>
      <c r="F685" t="s">
        <v>42</v>
      </c>
      <c r="G685">
        <v>-282.36779999999999</v>
      </c>
      <c r="H685">
        <v>-0.05</v>
      </c>
      <c r="I685">
        <v>367.03179999999998</v>
      </c>
      <c r="J685">
        <v>-301.91430000000003</v>
      </c>
      <c r="K685">
        <v>1.060465</v>
      </c>
      <c r="L685">
        <v>367.94</v>
      </c>
      <c r="M685">
        <v>0.99982020000000005</v>
      </c>
      <c r="N685">
        <v>0</v>
      </c>
      <c r="O685">
        <v>1.1421819999999999E-2</v>
      </c>
      <c r="P685">
        <v>0.99994209999999994</v>
      </c>
      <c r="Q685">
        <v>1.5894699999999999E-3</v>
      </c>
      <c r="R685">
        <v>-1.0641039999999999E-2</v>
      </c>
      <c r="S685">
        <v>2.998993</v>
      </c>
      <c r="T685">
        <v>-0.1674455</v>
      </c>
      <c r="U685">
        <v>-0.13635249999999999</v>
      </c>
      <c r="V685">
        <v>2.2060550000000002E-2</v>
      </c>
      <c r="W685">
        <v>1.6730780000000001E-2</v>
      </c>
      <c r="X685">
        <v>0.99961659999999997</v>
      </c>
      <c r="Y685">
        <v>5.6721639999999997E-2</v>
      </c>
      <c r="Z685">
        <v>-2.218453E-3</v>
      </c>
      <c r="AA685">
        <v>0.99838760000000004</v>
      </c>
      <c r="AB685">
        <v>38</v>
      </c>
      <c r="AC685">
        <v>19.546500000000002</v>
      </c>
      <c r="AD685">
        <v>-1.110465</v>
      </c>
      <c r="AE685">
        <v>-0.90820000000002199</v>
      </c>
      <c r="AF685">
        <v>1.12779077823004</v>
      </c>
      <c r="AG685">
        <v>-1.110465</v>
      </c>
      <c r="AH685">
        <v>19.4721384469577</v>
      </c>
      <c r="AI685">
        <v>93.258502629878905</v>
      </c>
      <c r="AJ685">
        <v>86.685236016283596</v>
      </c>
      <c r="AK685">
        <v>19.5363563709607</v>
      </c>
      <c r="AL685">
        <v>89.041352158829696</v>
      </c>
      <c r="AM685">
        <v>88.735744018461503</v>
      </c>
      <c r="AN685">
        <v>0.99999996693063398</v>
      </c>
    </row>
    <row r="686" spans="1:40" x14ac:dyDescent="0.25">
      <c r="A686" t="str">
        <f>"20190312154227015"</f>
        <v>20190312154227015</v>
      </c>
      <c r="B686" t="str">
        <f>"1552376547008638"</f>
        <v>1552376547008638</v>
      </c>
      <c r="C686" t="s">
        <v>40</v>
      </c>
      <c r="D686">
        <v>4.9888130000000004</v>
      </c>
      <c r="E686">
        <v>0.51318299999999994</v>
      </c>
      <c r="F686" t="s">
        <v>42</v>
      </c>
      <c r="G686">
        <v>-282.29739999999998</v>
      </c>
      <c r="H686">
        <v>-0.05</v>
      </c>
      <c r="I686">
        <v>367.06670000000003</v>
      </c>
      <c r="J686">
        <v>-301.66219999999998</v>
      </c>
      <c r="K686">
        <v>1.0604579999999999</v>
      </c>
      <c r="L686">
        <v>367.94290000000001</v>
      </c>
      <c r="M686">
        <v>0.99981989999999998</v>
      </c>
      <c r="N686">
        <v>0</v>
      </c>
      <c r="O686">
        <v>1.1467079999999999E-2</v>
      </c>
      <c r="P686">
        <v>0.99993929999999998</v>
      </c>
      <c r="Q686">
        <v>1.78267799999999E-3</v>
      </c>
      <c r="R686">
        <v>-1.0885789999999999E-2</v>
      </c>
      <c r="S686">
        <v>2.9990540000000001</v>
      </c>
      <c r="T686">
        <v>-0.1697688</v>
      </c>
      <c r="U686">
        <v>-0.13351440000000001</v>
      </c>
      <c r="V686">
        <v>2.2350160000000001E-2</v>
      </c>
      <c r="W686">
        <v>1.6906239999999999E-2</v>
      </c>
      <c r="X686">
        <v>0.99960729999999998</v>
      </c>
      <c r="Y686">
        <v>5.5821379999999997E-2</v>
      </c>
      <c r="Z686">
        <v>-2.2262969999999999E-3</v>
      </c>
      <c r="AA686">
        <v>0.9984383</v>
      </c>
      <c r="AB686">
        <v>38</v>
      </c>
      <c r="AC686">
        <v>19.364799999999999</v>
      </c>
      <c r="AD686">
        <v>-1.1104579999999999</v>
      </c>
      <c r="AE686">
        <v>-0.87619999999998199</v>
      </c>
      <c r="AF686">
        <v>1.0946332971016</v>
      </c>
      <c r="AG686">
        <v>-1.1104579999999999</v>
      </c>
      <c r="AH686">
        <v>19.2901746103147</v>
      </c>
      <c r="AI686">
        <v>93.289372068683306</v>
      </c>
      <c r="AJ686">
        <v>86.752197402258403</v>
      </c>
      <c r="AK686">
        <v>19.353092143668299</v>
      </c>
      <c r="AL686">
        <v>89.031297701695394</v>
      </c>
      <c r="AM686">
        <v>88.719140498148803</v>
      </c>
      <c r="AN686">
        <v>1.0000000524081201</v>
      </c>
    </row>
    <row r="687" spans="1:40" x14ac:dyDescent="0.25">
      <c r="A687" t="str">
        <f>"20190312154227028"</f>
        <v>20190312154227028</v>
      </c>
      <c r="B687" t="str">
        <f>"1552376547018399"</f>
        <v>1552376547018399</v>
      </c>
      <c r="C687" t="s">
        <v>40</v>
      </c>
      <c r="D687">
        <v>4.977322</v>
      </c>
      <c r="E687">
        <v>0.51304700000000003</v>
      </c>
      <c r="F687" t="s">
        <v>42</v>
      </c>
      <c r="G687">
        <v>-282.22250000000003</v>
      </c>
      <c r="H687">
        <v>-0.05</v>
      </c>
      <c r="I687">
        <v>367.08839999999998</v>
      </c>
      <c r="J687">
        <v>-301.43509999999998</v>
      </c>
      <c r="K687">
        <v>1.0604530000000001</v>
      </c>
      <c r="L687">
        <v>367.94560000000001</v>
      </c>
      <c r="M687">
        <v>0.99981980000000004</v>
      </c>
      <c r="N687">
        <v>0</v>
      </c>
      <c r="O687">
        <v>1.1507720000000001E-2</v>
      </c>
      <c r="P687">
        <v>0.99993980000000005</v>
      </c>
      <c r="Q687">
        <v>1.9634269999999998E-3</v>
      </c>
      <c r="R687">
        <v>-1.082121E-2</v>
      </c>
      <c r="S687">
        <v>2.9990540000000001</v>
      </c>
      <c r="T687">
        <v>-0.17131589999999999</v>
      </c>
      <c r="U687">
        <v>-0.13183590000000001</v>
      </c>
      <c r="V687">
        <v>2.232632E-2</v>
      </c>
      <c r="W687">
        <v>1.7071200000000002E-2</v>
      </c>
      <c r="X687">
        <v>0.99960499999999997</v>
      </c>
      <c r="Y687">
        <v>5.5303060000000001E-2</v>
      </c>
      <c r="Z687">
        <v>-2.2341129999999998E-3</v>
      </c>
      <c r="AA687">
        <v>0.99846710000000005</v>
      </c>
      <c r="AB687">
        <v>38</v>
      </c>
      <c r="AC687">
        <v>19.212599999999899</v>
      </c>
      <c r="AD687">
        <v>-1.1104529999999999</v>
      </c>
      <c r="AE687">
        <v>-0.85720000000003405</v>
      </c>
      <c r="AF687">
        <v>1.07467868125581</v>
      </c>
      <c r="AG687">
        <v>-1.1104529999999999</v>
      </c>
      <c r="AH687">
        <v>19.137657210178801</v>
      </c>
      <c r="AI687">
        <v>93.315623460889199</v>
      </c>
      <c r="AJ687">
        <v>86.785920496251407</v>
      </c>
      <c r="AK687">
        <v>19.199946969391998</v>
      </c>
      <c r="AL687">
        <v>89.021844797620901</v>
      </c>
      <c r="AM687">
        <v>88.720503341065907</v>
      </c>
      <c r="AN687">
        <v>1.00000002322959</v>
      </c>
    </row>
    <row r="688" spans="1:40" x14ac:dyDescent="0.25">
      <c r="A688" t="str">
        <f>"20190312154227040"</f>
        <v>20190312154227040</v>
      </c>
      <c r="B688" t="str">
        <f>"1552376547037919"</f>
        <v>1552376547037919</v>
      </c>
      <c r="C688" t="s">
        <v>40</v>
      </c>
      <c r="D688">
        <v>4.9835669999999999</v>
      </c>
      <c r="E688">
        <v>0.51278789999999996</v>
      </c>
      <c r="F688" t="s">
        <v>41</v>
      </c>
      <c r="G688">
        <v>-300.35910000000001</v>
      </c>
      <c r="H688">
        <v>0.99877059999999995</v>
      </c>
      <c r="I688">
        <v>367.89879999999999</v>
      </c>
      <c r="J688">
        <v>-301.2176</v>
      </c>
      <c r="K688">
        <v>1.060449</v>
      </c>
      <c r="L688">
        <v>367.94810000000001</v>
      </c>
      <c r="M688">
        <v>0.99981949999999997</v>
      </c>
      <c r="N688">
        <v>0</v>
      </c>
      <c r="O688">
        <v>1.1546860000000001E-2</v>
      </c>
      <c r="P688">
        <v>0.99993790000000005</v>
      </c>
      <c r="Q688">
        <v>2.1352300000000001E-3</v>
      </c>
      <c r="R688">
        <v>-1.094648E-2</v>
      </c>
      <c r="S688">
        <v>2.9991150000000002</v>
      </c>
      <c r="T688">
        <v>-0.1719598</v>
      </c>
      <c r="U688">
        <v>-0.13031010000000001</v>
      </c>
      <c r="V688">
        <v>2.249081E-2</v>
      </c>
      <c r="W688">
        <v>1.7229959999999999E-2</v>
      </c>
      <c r="X688">
        <v>0.9995986</v>
      </c>
      <c r="Y688">
        <v>5.4834109999999998E-2</v>
      </c>
      <c r="Z688">
        <v>-2.2312899999999999E-3</v>
      </c>
      <c r="AA688">
        <v>0.99849299999999996</v>
      </c>
      <c r="AB688">
        <v>38</v>
      </c>
      <c r="AC688">
        <v>0.85849999999999205</v>
      </c>
      <c r="AD688">
        <v>-6.1678399999999897E-2</v>
      </c>
      <c r="AE688">
        <v>-4.9300000000016497E-2</v>
      </c>
      <c r="AF688">
        <v>5.8907760573860199E-2</v>
      </c>
      <c r="AG688">
        <v>-6.1678399999999897E-2</v>
      </c>
      <c r="AH688">
        <v>0.85348255970703801</v>
      </c>
      <c r="AI688">
        <v>94.1236170602116</v>
      </c>
      <c r="AJ688">
        <v>86.051680582673299</v>
      </c>
      <c r="AK688">
        <v>0.85773354196187601</v>
      </c>
      <c r="AL688">
        <v>89.012747192987305</v>
      </c>
      <c r="AM688">
        <v>88.711071520243905</v>
      </c>
      <c r="AN688">
        <v>1.0000000345890001</v>
      </c>
    </row>
    <row r="689" spans="1:40" x14ac:dyDescent="0.25">
      <c r="A689" t="str">
        <f>"20190312154227055"</f>
        <v>20190312154227055</v>
      </c>
      <c r="B689" t="str">
        <f>"1552376547047679"</f>
        <v>1552376547047679</v>
      </c>
      <c r="C689" t="s">
        <v>40</v>
      </c>
      <c r="D689">
        <v>4.9718809999999998</v>
      </c>
      <c r="E689">
        <v>0.51265260000000001</v>
      </c>
      <c r="F689" t="s">
        <v>42</v>
      </c>
      <c r="G689">
        <v>-281.97219999999999</v>
      </c>
      <c r="H689">
        <v>-0.05</v>
      </c>
      <c r="I689">
        <v>367.11989999999997</v>
      </c>
      <c r="J689">
        <v>-300.964</v>
      </c>
      <c r="K689">
        <v>1.0604389999999999</v>
      </c>
      <c r="L689">
        <v>367.95100000000002</v>
      </c>
      <c r="M689">
        <v>0.99981920000000002</v>
      </c>
      <c r="N689">
        <v>0</v>
      </c>
      <c r="O689">
        <v>1.1592379999999999E-2</v>
      </c>
      <c r="P689">
        <v>0.99993350000000003</v>
      </c>
      <c r="Q689">
        <v>2.4483629999999998E-3</v>
      </c>
      <c r="R689">
        <v>-1.1269019999999999E-2</v>
      </c>
      <c r="S689">
        <v>2.9991460000000001</v>
      </c>
      <c r="T689">
        <v>-0.17304929999999999</v>
      </c>
      <c r="U689">
        <v>-0.1290588</v>
      </c>
      <c r="V689">
        <v>2.2858779999999999E-2</v>
      </c>
      <c r="W689">
        <v>1.7527460000000002E-2</v>
      </c>
      <c r="X689">
        <v>0.99958499999999995</v>
      </c>
      <c r="Y689">
        <v>5.4462499999999997E-2</v>
      </c>
      <c r="Z689">
        <v>-2.2373179999999999E-3</v>
      </c>
      <c r="AA689">
        <v>0.99851330000000005</v>
      </c>
      <c r="AB689">
        <v>38</v>
      </c>
      <c r="AC689">
        <v>18.991800000000001</v>
      </c>
      <c r="AD689">
        <v>-1.110439</v>
      </c>
      <c r="AE689">
        <v>-0.83109999999999196</v>
      </c>
      <c r="AF689">
        <v>1.0476545782850899</v>
      </c>
      <c r="AG689">
        <v>-1.110439</v>
      </c>
      <c r="AH689">
        <v>18.916342930453599</v>
      </c>
      <c r="AI689">
        <v>93.354428352366398</v>
      </c>
      <c r="AJ689">
        <v>86.829993774067603</v>
      </c>
      <c r="AK689">
        <v>18.977847210646502</v>
      </c>
      <c r="AL689">
        <v>88.995699043496401</v>
      </c>
      <c r="AM689">
        <v>88.689972956311905</v>
      </c>
      <c r="AN689">
        <v>0.999999953951068</v>
      </c>
    </row>
    <row r="690" spans="1:40" x14ac:dyDescent="0.25">
      <c r="A690" t="str">
        <f>"20190312154227067"</f>
        <v>20190312154227067</v>
      </c>
      <c r="B690" t="str">
        <f>"1552376547058416"</f>
        <v>1552376547058416</v>
      </c>
      <c r="C690" t="s">
        <v>40</v>
      </c>
      <c r="D690">
        <v>4.9736129999999896</v>
      </c>
      <c r="E690">
        <v>0.51250359999999995</v>
      </c>
      <c r="F690" t="s">
        <v>42</v>
      </c>
      <c r="G690">
        <v>-281.7491</v>
      </c>
      <c r="H690">
        <v>-0.05</v>
      </c>
      <c r="I690">
        <v>367.12689999999998</v>
      </c>
      <c r="J690">
        <v>-300.75740000000002</v>
      </c>
      <c r="K690">
        <v>1.0604370000000001</v>
      </c>
      <c r="L690">
        <v>367.95350000000002</v>
      </c>
      <c r="M690">
        <v>0.99981880000000001</v>
      </c>
      <c r="N690">
        <v>0</v>
      </c>
      <c r="O690">
        <v>1.1629540000000001E-2</v>
      </c>
      <c r="P690">
        <v>0.99993120000000002</v>
      </c>
      <c r="Q690">
        <v>2.477253E-3</v>
      </c>
      <c r="R690">
        <v>-1.148182E-2</v>
      </c>
      <c r="S690">
        <v>2.9991460000000001</v>
      </c>
      <c r="T690">
        <v>-0.17332259999999999</v>
      </c>
      <c r="U690">
        <v>-0.12863160000000001</v>
      </c>
      <c r="V690">
        <v>2.3108480000000001E-2</v>
      </c>
      <c r="W690">
        <v>1.7545100000000001E-2</v>
      </c>
      <c r="X690">
        <v>0.999579</v>
      </c>
      <c r="Y690">
        <v>5.4357389999999998E-2</v>
      </c>
      <c r="Z690">
        <v>-2.2399640000000001E-3</v>
      </c>
      <c r="AA690">
        <v>0.99851900000000005</v>
      </c>
      <c r="AB690">
        <v>38</v>
      </c>
      <c r="AC690">
        <v>19.008299999999998</v>
      </c>
      <c r="AD690">
        <v>-1.1104369999999999</v>
      </c>
      <c r="AE690">
        <v>-0.82660000000004097</v>
      </c>
      <c r="AF690">
        <v>1.0440705806291899</v>
      </c>
      <c r="AG690">
        <v>-1.1104369999999999</v>
      </c>
      <c r="AH690">
        <v>18.932909337625301</v>
      </c>
      <c r="AI690">
        <v>93.351537682873499</v>
      </c>
      <c r="AJ690">
        <v>86.843574987055504</v>
      </c>
      <c r="AK690">
        <v>18.994162516284899</v>
      </c>
      <c r="AL690">
        <v>88.994688241593806</v>
      </c>
      <c r="AM690">
        <v>88.675659876887295</v>
      </c>
      <c r="AN690">
        <v>1.0000000048114599</v>
      </c>
    </row>
    <row r="691" spans="1:40" x14ac:dyDescent="0.25">
      <c r="A691" t="str">
        <f>"20190312154227079"</f>
        <v>20190312154227079</v>
      </c>
      <c r="B691" t="str">
        <f>"1552376547068175"</f>
        <v>1552376547068175</v>
      </c>
      <c r="C691" t="s">
        <v>40</v>
      </c>
      <c r="D691">
        <v>4.9920479999999996</v>
      </c>
      <c r="E691">
        <v>0.51242889999999996</v>
      </c>
      <c r="F691" t="s">
        <v>42</v>
      </c>
      <c r="G691">
        <v>-281.63830000000002</v>
      </c>
      <c r="H691">
        <v>-0.05</v>
      </c>
      <c r="I691">
        <v>367.13650000000001</v>
      </c>
      <c r="J691">
        <v>-300.55470000000003</v>
      </c>
      <c r="K691">
        <v>1.060432</v>
      </c>
      <c r="L691">
        <v>367.95589999999999</v>
      </c>
      <c r="M691">
        <v>0.9998186</v>
      </c>
      <c r="N691">
        <v>0</v>
      </c>
      <c r="O691">
        <v>1.1665790000000001E-2</v>
      </c>
      <c r="P691">
        <v>0.9999304</v>
      </c>
      <c r="Q691">
        <v>2.9930289999999999E-3</v>
      </c>
      <c r="R691">
        <v>-1.1416040000000001E-2</v>
      </c>
      <c r="S691">
        <v>2.9991460000000001</v>
      </c>
      <c r="T691">
        <v>-0.1741906</v>
      </c>
      <c r="U691">
        <v>-0.12814329999999999</v>
      </c>
      <c r="V691">
        <v>2.3078970000000001E-2</v>
      </c>
      <c r="W691">
        <v>1.8050469999999999E-2</v>
      </c>
      <c r="X691">
        <v>0.99957070000000003</v>
      </c>
      <c r="Y691">
        <v>5.4230380000000002E-2</v>
      </c>
      <c r="Z691">
        <v>-2.249591E-3</v>
      </c>
      <c r="AA691">
        <v>0.99852589999999997</v>
      </c>
      <c r="AB691">
        <v>38</v>
      </c>
      <c r="AC691">
        <v>18.916399999999999</v>
      </c>
      <c r="AD691">
        <v>-1.1104319999999901</v>
      </c>
      <c r="AE691">
        <v>-0.81939999999997304</v>
      </c>
      <c r="AF691">
        <v>1.0364790449033201</v>
      </c>
      <c r="AG691">
        <v>-1.1104319999999901</v>
      </c>
      <c r="AH691">
        <v>18.840750070167299</v>
      </c>
      <c r="AI691">
        <v>93.367903482644195</v>
      </c>
      <c r="AJ691">
        <v>86.851182945899893</v>
      </c>
      <c r="AK691">
        <v>18.9018838014536</v>
      </c>
      <c r="AL691">
        <v>88.965728103309601</v>
      </c>
      <c r="AM691">
        <v>88.677339506267103</v>
      </c>
      <c r="AN691">
        <v>1.0000000213109801</v>
      </c>
    </row>
    <row r="692" spans="1:40" x14ac:dyDescent="0.25">
      <c r="A692" t="str">
        <f>"20190312154227092"</f>
        <v>20190312154227092</v>
      </c>
      <c r="B692" t="str">
        <f>"1552376547087695"</f>
        <v>1552376547087695</v>
      </c>
      <c r="C692" t="s">
        <v>40</v>
      </c>
      <c r="D692">
        <v>4.9974629999999998</v>
      </c>
      <c r="E692">
        <v>0.51222460000000003</v>
      </c>
      <c r="F692" t="s">
        <v>42</v>
      </c>
      <c r="G692">
        <v>-281.3784</v>
      </c>
      <c r="H692">
        <v>-0.05</v>
      </c>
      <c r="I692">
        <v>367.14240000000001</v>
      </c>
      <c r="J692">
        <v>-300.33890000000002</v>
      </c>
      <c r="K692">
        <v>1.0604290000000001</v>
      </c>
      <c r="L692">
        <v>367.95839999999998</v>
      </c>
      <c r="M692">
        <v>0.99981819999999999</v>
      </c>
      <c r="N692">
        <v>0</v>
      </c>
      <c r="O692">
        <v>1.1704610000000001E-2</v>
      </c>
      <c r="P692">
        <v>0.9999285</v>
      </c>
      <c r="Q692">
        <v>3.2595660000000002E-3</v>
      </c>
      <c r="R692">
        <v>-1.148802E-2</v>
      </c>
      <c r="S692">
        <v>2.9992369999999999</v>
      </c>
      <c r="T692">
        <v>-0.17367479999999999</v>
      </c>
      <c r="U692">
        <v>-0.1272278</v>
      </c>
      <c r="V692">
        <v>2.318974E-2</v>
      </c>
      <c r="W692">
        <v>1.8306490000000002E-2</v>
      </c>
      <c r="X692">
        <v>0.99956350000000005</v>
      </c>
      <c r="Y692">
        <v>5.396463E-2</v>
      </c>
      <c r="Z692">
        <v>-2.237447E-3</v>
      </c>
      <c r="AA692">
        <v>0.99854030000000005</v>
      </c>
      <c r="AB692">
        <v>38</v>
      </c>
      <c r="AC692">
        <v>18.9605</v>
      </c>
      <c r="AD692">
        <v>-1.1104290000000001</v>
      </c>
      <c r="AE692">
        <v>-0.81599999999997397</v>
      </c>
      <c r="AF692">
        <v>1.0343533189766001</v>
      </c>
      <c r="AG692">
        <v>-1.1104290000000001</v>
      </c>
      <c r="AH692">
        <v>18.884994865536999</v>
      </c>
      <c r="AI692">
        <v>93.360066314355294</v>
      </c>
      <c r="AJ692">
        <v>86.864975350710097</v>
      </c>
      <c r="AK692">
        <v>18.945869481865302</v>
      </c>
      <c r="AL692">
        <v>88.951056834528202</v>
      </c>
      <c r="AM692">
        <v>88.670983956672799</v>
      </c>
      <c r="AN692">
        <v>1.00000004107481</v>
      </c>
    </row>
    <row r="693" spans="1:40" x14ac:dyDescent="0.25">
      <c r="A693" t="str">
        <f>"20190312154227112"</f>
        <v>20190312154227112</v>
      </c>
      <c r="B693" t="str">
        <f>"1552376547108191"</f>
        <v>1552376547108191</v>
      </c>
      <c r="C693" t="s">
        <v>40</v>
      </c>
      <c r="D693">
        <v>4.9792480000000001</v>
      </c>
      <c r="E693">
        <v>0.51205310000000004</v>
      </c>
      <c r="F693" t="s">
        <v>41</v>
      </c>
      <c r="G693">
        <v>-299.32889999999998</v>
      </c>
      <c r="H693">
        <v>1.0017149999999999</v>
      </c>
      <c r="I693">
        <v>367.916</v>
      </c>
      <c r="J693">
        <v>-300.01650000000001</v>
      </c>
      <c r="K693">
        <v>1.06043</v>
      </c>
      <c r="L693">
        <v>367.9622</v>
      </c>
      <c r="M693">
        <v>0.99981779999999998</v>
      </c>
      <c r="N693">
        <v>0</v>
      </c>
      <c r="O693">
        <v>1.176235E-2</v>
      </c>
      <c r="P693">
        <v>0.99992899999999996</v>
      </c>
      <c r="Q693">
        <v>3.5839449999999998E-3</v>
      </c>
      <c r="R693">
        <v>-1.1363659999999999E-2</v>
      </c>
      <c r="S693">
        <v>2.999298</v>
      </c>
      <c r="T693">
        <v>-0.174454</v>
      </c>
      <c r="U693">
        <v>-0.12551880000000001</v>
      </c>
      <c r="V693">
        <v>2.3123210000000002E-2</v>
      </c>
      <c r="W693">
        <v>1.8616379999999998E-2</v>
      </c>
      <c r="X693">
        <v>0.99955930000000004</v>
      </c>
      <c r="Y693">
        <v>5.3453250000000001E-2</v>
      </c>
      <c r="Z693">
        <v>-2.23595E-3</v>
      </c>
      <c r="AA693">
        <v>0.99856789999999995</v>
      </c>
      <c r="AB693">
        <v>38</v>
      </c>
      <c r="AC693">
        <v>0.68760000000003096</v>
      </c>
      <c r="AD693">
        <v>-5.8715000000000003E-2</v>
      </c>
      <c r="AE693">
        <v>-4.6199999999998902E-2</v>
      </c>
      <c r="AF693">
        <v>5.3894296475651499E-2</v>
      </c>
      <c r="AG693">
        <v>-5.8715000000000003E-2</v>
      </c>
      <c r="AH693">
        <v>0.68205795669328295</v>
      </c>
      <c r="AI693">
        <v>94.904966796495799</v>
      </c>
      <c r="AJ693">
        <v>85.482036418916607</v>
      </c>
      <c r="AK693">
        <v>0.686698698634432</v>
      </c>
      <c r="AL693">
        <v>88.933298400633404</v>
      </c>
      <c r="AM693">
        <v>88.674789897570093</v>
      </c>
      <c r="AN693">
        <v>1.00000002333074</v>
      </c>
    </row>
    <row r="694" spans="1:40" x14ac:dyDescent="0.25">
      <c r="A694" t="str">
        <f>"20190312154227123"</f>
        <v>20190312154227123</v>
      </c>
      <c r="B694" t="str">
        <f>"1552376547117951"</f>
        <v>1552376547117951</v>
      </c>
      <c r="C694" t="s">
        <v>40</v>
      </c>
      <c r="D694">
        <v>4.9923419999999998</v>
      </c>
      <c r="E694">
        <v>0.51196850000000005</v>
      </c>
      <c r="F694" t="s">
        <v>41</v>
      </c>
      <c r="G694">
        <v>-298.99349999999998</v>
      </c>
      <c r="H694">
        <v>1.0008140000000001</v>
      </c>
      <c r="I694">
        <v>367.91969999999998</v>
      </c>
      <c r="J694">
        <v>-299.80680000000001</v>
      </c>
      <c r="K694">
        <v>1.0604290000000001</v>
      </c>
      <c r="L694">
        <v>367.96469999999999</v>
      </c>
      <c r="M694">
        <v>0.99981739999999997</v>
      </c>
      <c r="N694">
        <v>0</v>
      </c>
      <c r="O694">
        <v>1.1800079999999999E-2</v>
      </c>
      <c r="P694">
        <v>0.99992650000000005</v>
      </c>
      <c r="Q694">
        <v>3.7651939999999999E-3</v>
      </c>
      <c r="R694">
        <v>-1.152721E-2</v>
      </c>
      <c r="S694">
        <v>2.9994200000000002</v>
      </c>
      <c r="T694">
        <v>-0.17508770000000001</v>
      </c>
      <c r="U694">
        <v>-0.1238098</v>
      </c>
      <c r="V694">
        <v>2.33242E-2</v>
      </c>
      <c r="W694">
        <v>1.8788490000000001E-2</v>
      </c>
      <c r="X694">
        <v>0.99955139999999998</v>
      </c>
      <c r="Y694">
        <v>5.2921309999999999E-2</v>
      </c>
      <c r="Z694">
        <v>-2.2306880000000002E-3</v>
      </c>
      <c r="AA694">
        <v>0.99859620000000004</v>
      </c>
      <c r="AB694">
        <v>38</v>
      </c>
      <c r="AC694">
        <v>0.813300000000026</v>
      </c>
      <c r="AD694">
        <v>-5.9615000000000203E-2</v>
      </c>
      <c r="AE694">
        <v>-4.5000000000015902E-2</v>
      </c>
      <c r="AF694">
        <v>5.4304075197644401E-2</v>
      </c>
      <c r="AG694">
        <v>-5.9615000000000203E-2</v>
      </c>
      <c r="AH694">
        <v>0.80838219060616601</v>
      </c>
      <c r="AI694">
        <v>94.208252672778599</v>
      </c>
      <c r="AJ694">
        <v>86.156858997515101</v>
      </c>
      <c r="AK694">
        <v>0.81239439122712798</v>
      </c>
      <c r="AL694">
        <v>88.923435488524106</v>
      </c>
      <c r="AM694">
        <v>88.663264596409604</v>
      </c>
      <c r="AN694">
        <v>1.0000000134520399</v>
      </c>
    </row>
    <row r="695" spans="1:40" x14ac:dyDescent="0.25">
      <c r="A695" t="str">
        <f>"20190312154227146"</f>
        <v>20190312154227146</v>
      </c>
      <c r="B695" t="str">
        <f>"1552376547138452"</f>
        <v>1552376547138452</v>
      </c>
      <c r="C695" t="s">
        <v>40</v>
      </c>
      <c r="D695">
        <v>5.0284740000000001</v>
      </c>
      <c r="E695">
        <v>0.51168970000000003</v>
      </c>
      <c r="F695" t="s">
        <v>42</v>
      </c>
      <c r="G695">
        <v>-280.82400000000001</v>
      </c>
      <c r="H695">
        <v>-0.05</v>
      </c>
      <c r="I695">
        <v>367.18209999999999</v>
      </c>
      <c r="J695">
        <v>-299.42959999999999</v>
      </c>
      <c r="K695">
        <v>1.0604290000000001</v>
      </c>
      <c r="L695">
        <v>367.96929999999998</v>
      </c>
      <c r="M695">
        <v>0.99981699999999996</v>
      </c>
      <c r="N695">
        <v>0</v>
      </c>
      <c r="O695">
        <v>1.186772E-2</v>
      </c>
      <c r="P695">
        <v>0.99992809999999999</v>
      </c>
      <c r="Q695">
        <v>3.9581099999999999E-3</v>
      </c>
      <c r="R695">
        <v>-1.132884E-2</v>
      </c>
      <c r="S695">
        <v>2.9994200000000002</v>
      </c>
      <c r="T695">
        <v>-0.17545620000000001</v>
      </c>
      <c r="U695">
        <v>-0.12365719999999999</v>
      </c>
      <c r="V695">
        <v>2.319353E-2</v>
      </c>
      <c r="W695">
        <v>1.8966790000000001E-2</v>
      </c>
      <c r="X695">
        <v>0.99955110000000003</v>
      </c>
      <c r="Y695">
        <v>5.2937529999999997E-2</v>
      </c>
      <c r="Z695">
        <v>-2.2398019999999999E-3</v>
      </c>
      <c r="AA695">
        <v>0.99859529999999996</v>
      </c>
      <c r="AB695">
        <v>38</v>
      </c>
      <c r="AC695">
        <v>18.6055999999999</v>
      </c>
      <c r="AD695">
        <v>-1.1104290000000001</v>
      </c>
      <c r="AE695">
        <v>-0.78719999999998402</v>
      </c>
      <c r="AF695">
        <v>1.0044041624499001</v>
      </c>
      <c r="AG695">
        <v>-1.1104290000000001</v>
      </c>
      <c r="AH695">
        <v>18.5290634716009</v>
      </c>
      <c r="AI695">
        <v>93.424563587443103</v>
      </c>
      <c r="AJ695">
        <v>86.897206794355597</v>
      </c>
      <c r="AK695">
        <v>18.589461353686499</v>
      </c>
      <c r="AL695">
        <v>88.9132178594989</v>
      </c>
      <c r="AM695">
        <v>88.670750343748395</v>
      </c>
      <c r="AN695">
        <v>1.0000000402339799</v>
      </c>
    </row>
    <row r="696" spans="1:40" x14ac:dyDescent="0.25">
      <c r="A696" t="str">
        <f>"20190312154227159"</f>
        <v>20190312154227159</v>
      </c>
      <c r="B696" t="str">
        <f>"1552376547148207"</f>
        <v>1552376547148207</v>
      </c>
      <c r="C696" t="s">
        <v>40</v>
      </c>
      <c r="D696">
        <v>5.029744</v>
      </c>
      <c r="E696">
        <v>0.49003780000000002</v>
      </c>
      <c r="F696" t="s">
        <v>42</v>
      </c>
      <c r="G696">
        <v>-280.39940000000001</v>
      </c>
      <c r="H696">
        <v>-0.05</v>
      </c>
      <c r="I696">
        <v>367.20499999999998</v>
      </c>
      <c r="J696">
        <v>-299.20269999999999</v>
      </c>
      <c r="K696">
        <v>1.06043</v>
      </c>
      <c r="L696">
        <v>367.97199999999998</v>
      </c>
      <c r="M696">
        <v>0.9998167</v>
      </c>
      <c r="N696">
        <v>0</v>
      </c>
      <c r="O696">
        <v>1.1906679999999999E-2</v>
      </c>
      <c r="P696">
        <v>0.99992749999999997</v>
      </c>
      <c r="Q696">
        <v>4.0388780000000001E-3</v>
      </c>
      <c r="R696">
        <v>-1.134339E-2</v>
      </c>
      <c r="S696">
        <v>2.9995419999999999</v>
      </c>
      <c r="T696">
        <v>-0.17502529999999999</v>
      </c>
      <c r="U696">
        <v>-0.1204529</v>
      </c>
      <c r="V696">
        <v>2.3247190000000001E-2</v>
      </c>
      <c r="W696">
        <v>1.9039739999999999E-2</v>
      </c>
      <c r="X696">
        <v>0.9995484</v>
      </c>
      <c r="Y696">
        <v>5.1911939999999997E-2</v>
      </c>
      <c r="Z696">
        <v>-2.2066540000000002E-3</v>
      </c>
      <c r="AA696">
        <v>0.99864920000000001</v>
      </c>
      <c r="AB696">
        <v>38</v>
      </c>
      <c r="AC696">
        <v>18.803299999999901</v>
      </c>
      <c r="AD696">
        <v>-1.11043</v>
      </c>
      <c r="AE696">
        <v>-0.76699999999999502</v>
      </c>
      <c r="AF696">
        <v>0.98741776283976401</v>
      </c>
      <c r="AG696">
        <v>-1.11043</v>
      </c>
      <c r="AH696">
        <v>18.727629224150601</v>
      </c>
      <c r="AI696">
        <v>93.388608698010401</v>
      </c>
      <c r="AJ696">
        <v>86.981863961344601</v>
      </c>
      <c r="AK696">
        <v>18.7864883621323</v>
      </c>
      <c r="AL696">
        <v>88.909037305097598</v>
      </c>
      <c r="AM696">
        <v>88.667672532918104</v>
      </c>
      <c r="AN696">
        <v>0.99999997374236105</v>
      </c>
    </row>
    <row r="697" spans="1:40" x14ac:dyDescent="0.25">
      <c r="A697" t="str">
        <f>"20190312154227179"</f>
        <v>20190312154227179</v>
      </c>
      <c r="B697" t="str">
        <f>"1552376547167727"</f>
        <v>1552376547167727</v>
      </c>
      <c r="C697" t="s">
        <v>40</v>
      </c>
      <c r="D697">
        <v>5.0195699999999999</v>
      </c>
      <c r="E697">
        <v>0.48911189999999999</v>
      </c>
      <c r="F697" t="s">
        <v>43</v>
      </c>
      <c r="G697">
        <v>-275.00639999999999</v>
      </c>
      <c r="H697" s="1">
        <v>-2.3438829999999999E-6</v>
      </c>
      <c r="I697">
        <v>368.37990000000002</v>
      </c>
      <c r="J697">
        <v>-298.86259999999999</v>
      </c>
      <c r="K697">
        <v>1.0604290000000001</v>
      </c>
      <c r="L697">
        <v>367.97609999999997</v>
      </c>
      <c r="M697">
        <v>0.99981609999999999</v>
      </c>
      <c r="N697">
        <v>0</v>
      </c>
      <c r="O697">
        <v>1.196029E-2</v>
      </c>
      <c r="P697">
        <v>0.99992409999999998</v>
      </c>
      <c r="Q697">
        <v>4.1220359999999999E-3</v>
      </c>
      <c r="R697">
        <v>-1.162562E-2</v>
      </c>
      <c r="S697">
        <v>3.001312</v>
      </c>
      <c r="T697">
        <v>-0.1315356</v>
      </c>
      <c r="U697">
        <v>5.059814E-2</v>
      </c>
      <c r="V697">
        <v>2.3582929999999998E-2</v>
      </c>
      <c r="W697">
        <v>1.911125E-2</v>
      </c>
      <c r="X697">
        <v>0.99953919999999996</v>
      </c>
      <c r="Y697">
        <v>-4.9019149999999997E-3</v>
      </c>
      <c r="Z697">
        <v>-4.1656320000000002E-4</v>
      </c>
      <c r="AA697">
        <v>0.99998790000000004</v>
      </c>
      <c r="AB697">
        <v>38</v>
      </c>
      <c r="AC697">
        <v>23.856200000000001</v>
      </c>
      <c r="AD697">
        <v>-1.060431343883</v>
      </c>
      <c r="AE697">
        <v>0.40380000000004601</v>
      </c>
      <c r="AF697">
        <v>-0.11817853545464101</v>
      </c>
      <c r="AG697">
        <v>-1.060431343883</v>
      </c>
      <c r="AH697">
        <v>23.812286403775602</v>
      </c>
      <c r="AI697">
        <v>92.549833959127895</v>
      </c>
      <c r="AJ697">
        <v>90.284352187112503</v>
      </c>
      <c r="AK697">
        <v>23.836179739563299</v>
      </c>
      <c r="AL697">
        <v>88.904939370636598</v>
      </c>
      <c r="AM697">
        <v>88.648425476675399</v>
      </c>
      <c r="AN697">
        <v>1.00000000340029</v>
      </c>
    </row>
    <row r="698" spans="1:40" x14ac:dyDescent="0.25">
      <c r="A698" t="str">
        <f>"20190312154227201"</f>
        <v>20190312154227201</v>
      </c>
      <c r="B698" t="str">
        <f>"1552376547188223"</f>
        <v>1552376547188223</v>
      </c>
      <c r="C698" t="s">
        <v>40</v>
      </c>
      <c r="D698">
        <v>4.9879759999999997</v>
      </c>
      <c r="E698">
        <v>0.48848940000000002</v>
      </c>
      <c r="F698" t="s">
        <v>43</v>
      </c>
      <c r="G698">
        <v>-272.13760000000002</v>
      </c>
      <c r="H698" s="1">
        <v>-3.5564240000000002E-6</v>
      </c>
      <c r="I698">
        <v>368.48230000000001</v>
      </c>
      <c r="J698">
        <v>-298.48360000000002</v>
      </c>
      <c r="K698">
        <v>1.0604209999999901</v>
      </c>
      <c r="L698">
        <v>367.98070000000001</v>
      </c>
      <c r="M698">
        <v>0.99981580000000003</v>
      </c>
      <c r="N698">
        <v>0</v>
      </c>
      <c r="O698">
        <v>1.2010369999999999E-2</v>
      </c>
      <c r="P698">
        <v>0.99992230000000004</v>
      </c>
      <c r="Q698">
        <v>4.4230800000000002E-3</v>
      </c>
      <c r="R698">
        <v>-1.1666070000000001E-2</v>
      </c>
      <c r="S698">
        <v>3.0013730000000001</v>
      </c>
      <c r="T698">
        <v>-0.11909210000000001</v>
      </c>
      <c r="U698">
        <v>5.6854250000000002E-2</v>
      </c>
      <c r="V698">
        <v>2.3673820000000002E-2</v>
      </c>
      <c r="W698">
        <v>1.940064E-2</v>
      </c>
      <c r="X698">
        <v>0.99953139999999996</v>
      </c>
      <c r="Y698">
        <v>-6.9324130000000001E-3</v>
      </c>
      <c r="Z698">
        <v>-3.3889320000000001E-4</v>
      </c>
      <c r="AA698">
        <v>0.99997590000000003</v>
      </c>
      <c r="AB698">
        <v>38</v>
      </c>
      <c r="AC698">
        <v>26.346</v>
      </c>
      <c r="AD698">
        <v>-1.06042455642399</v>
      </c>
      <c r="AE698">
        <v>0.50159999999999605</v>
      </c>
      <c r="AF698">
        <v>-0.184803856594774</v>
      </c>
      <c r="AG698">
        <v>-1.06042455642399</v>
      </c>
      <c r="AH698">
        <v>26.307520162940101</v>
      </c>
      <c r="AI698">
        <v>92.308217580988199</v>
      </c>
      <c r="AJ698">
        <v>90.402482133993502</v>
      </c>
      <c r="AK698">
        <v>26.329532275161601</v>
      </c>
      <c r="AL698">
        <v>88.888355385287497</v>
      </c>
      <c r="AM698">
        <v>88.643207788412099</v>
      </c>
      <c r="AN698">
        <v>0.99999992708587804</v>
      </c>
    </row>
    <row r="699" spans="1:40" x14ac:dyDescent="0.25">
      <c r="A699" t="str">
        <f>"20190312154227224"</f>
        <v>20190312154227224</v>
      </c>
      <c r="B699" t="str">
        <f>"1552376547218479"</f>
        <v>1552376547218479</v>
      </c>
      <c r="C699" t="s">
        <v>40</v>
      </c>
      <c r="D699">
        <v>4.962021</v>
      </c>
      <c r="E699">
        <v>0.48804160000000002</v>
      </c>
      <c r="F699" t="s">
        <v>43</v>
      </c>
      <c r="G699">
        <v>-270.90949999999998</v>
      </c>
      <c r="H699" s="1">
        <v>-4.072311E-6</v>
      </c>
      <c r="I699">
        <v>368.54419999999999</v>
      </c>
      <c r="J699">
        <v>-298.10890000000001</v>
      </c>
      <c r="K699">
        <v>1.060406</v>
      </c>
      <c r="L699">
        <v>367.98520000000002</v>
      </c>
      <c r="M699">
        <v>0.99981549999999997</v>
      </c>
      <c r="N699">
        <v>0</v>
      </c>
      <c r="O699">
        <v>1.204846E-2</v>
      </c>
      <c r="P699">
        <v>0.99992360000000002</v>
      </c>
      <c r="Q699">
        <v>4.3653440000000002E-3</v>
      </c>
      <c r="R699">
        <v>-1.158296E-2</v>
      </c>
      <c r="S699">
        <v>3.0014340000000002</v>
      </c>
      <c r="T699">
        <v>-0.1154263</v>
      </c>
      <c r="U699">
        <v>6.1340329999999998E-2</v>
      </c>
      <c r="V699">
        <v>2.3629150000000002E-2</v>
      </c>
      <c r="W699">
        <v>1.9331979999999999E-2</v>
      </c>
      <c r="X699">
        <v>0.99953380000000003</v>
      </c>
      <c r="Y699">
        <v>-8.3866689999999994E-3</v>
      </c>
      <c r="Z699">
        <v>-3.0197109999999998E-4</v>
      </c>
      <c r="AA699">
        <v>0.99996479999999999</v>
      </c>
      <c r="AB699">
        <v>38</v>
      </c>
      <c r="AC699">
        <v>27.199400000000001</v>
      </c>
      <c r="AD699">
        <v>-1.0604100723109999</v>
      </c>
      <c r="AE699">
        <v>0.55899999999996897</v>
      </c>
      <c r="AF699">
        <v>-0.23086110671809301</v>
      </c>
      <c r="AG699">
        <v>-1.0604100723109999</v>
      </c>
      <c r="AH699">
        <v>27.1628923413578</v>
      </c>
      <c r="AI699">
        <v>92.235549618806104</v>
      </c>
      <c r="AJ699">
        <v>90.486952877548404</v>
      </c>
      <c r="AK699">
        <v>27.184563390281799</v>
      </c>
      <c r="AL699">
        <v>88.892290065764499</v>
      </c>
      <c r="AM699">
        <v>88.645770208321693</v>
      </c>
      <c r="AN699">
        <v>0.99999993976143897</v>
      </c>
    </row>
    <row r="700" spans="1:40" x14ac:dyDescent="0.25">
      <c r="A700" t="str">
        <f>"20190312154227237"</f>
        <v>20190312154227237</v>
      </c>
      <c r="B700" t="str">
        <f>"1552376547228239"</f>
        <v>1552376547228239</v>
      </c>
      <c r="C700" t="s">
        <v>40</v>
      </c>
      <c r="D700">
        <v>4.9694789999999998</v>
      </c>
      <c r="E700">
        <v>0.4879597</v>
      </c>
      <c r="F700" t="s">
        <v>43</v>
      </c>
      <c r="G700">
        <v>-270.27269999999999</v>
      </c>
      <c r="H700" s="1">
        <v>-4.3375539999999998E-6</v>
      </c>
      <c r="I700">
        <v>368.58890000000002</v>
      </c>
      <c r="J700">
        <v>-297.89019999999999</v>
      </c>
      <c r="K700">
        <v>1.0604</v>
      </c>
      <c r="L700">
        <v>367.98790000000002</v>
      </c>
      <c r="M700">
        <v>0.99981520000000002</v>
      </c>
      <c r="N700">
        <v>0</v>
      </c>
      <c r="O700">
        <v>1.206496E-2</v>
      </c>
      <c r="P700">
        <v>0.99992570000000003</v>
      </c>
      <c r="Q700">
        <v>4.1677950000000002E-3</v>
      </c>
      <c r="R700">
        <v>-1.144801E-2</v>
      </c>
      <c r="S700">
        <v>3.0014949999999998</v>
      </c>
      <c r="T700">
        <v>-0.11434030000000001</v>
      </c>
      <c r="U700">
        <v>6.5093990000000004E-2</v>
      </c>
      <c r="V700">
        <v>2.351135E-2</v>
      </c>
      <c r="W700">
        <v>1.912794E-2</v>
      </c>
      <c r="X700">
        <v>0.9995406</v>
      </c>
      <c r="Y700">
        <v>-9.6188139999999998E-3</v>
      </c>
      <c r="Z700">
        <v>-2.762916E-4</v>
      </c>
      <c r="AA700">
        <v>0.99995369999999995</v>
      </c>
      <c r="AB700">
        <v>38</v>
      </c>
      <c r="AC700">
        <v>27.6175</v>
      </c>
      <c r="AD700">
        <v>-1.060404337554</v>
      </c>
      <c r="AE700">
        <v>0.60099999999999898</v>
      </c>
      <c r="AF700">
        <v>-0.26732097425176099</v>
      </c>
      <c r="AG700">
        <v>-1.060404337554</v>
      </c>
      <c r="AH700">
        <v>27.582097330615099</v>
      </c>
      <c r="AI700">
        <v>92.201570680967905</v>
      </c>
      <c r="AJ700">
        <v>90.555283518875498</v>
      </c>
      <c r="AK700">
        <v>27.6037680583268</v>
      </c>
      <c r="AL700">
        <v>88.903982965372407</v>
      </c>
      <c r="AM700">
        <v>88.652528210040003</v>
      </c>
      <c r="AN700">
        <v>1.00000003635791</v>
      </c>
    </row>
    <row r="701" spans="1:40" x14ac:dyDescent="0.25">
      <c r="A701" t="str">
        <f>"20190312154227250"</f>
        <v>20190312154227250</v>
      </c>
      <c r="B701" t="str">
        <f>"1552376547238000"</f>
        <v>1552376547238000</v>
      </c>
      <c r="C701" t="s">
        <v>40</v>
      </c>
      <c r="D701">
        <v>4.869758</v>
      </c>
      <c r="E701">
        <v>0.48827009999999998</v>
      </c>
      <c r="F701" t="s">
        <v>43</v>
      </c>
      <c r="G701">
        <v>-270.05250000000001</v>
      </c>
      <c r="H701" s="1">
        <v>-4.4293250000000002E-6</v>
      </c>
      <c r="I701">
        <v>368.60410000000002</v>
      </c>
      <c r="J701">
        <v>-297.66250000000002</v>
      </c>
      <c r="K701">
        <v>1.0603910000000001</v>
      </c>
      <c r="L701">
        <v>367.99059999999997</v>
      </c>
      <c r="M701">
        <v>0.99981520000000002</v>
      </c>
      <c r="N701">
        <v>0</v>
      </c>
      <c r="O701">
        <v>1.207912E-2</v>
      </c>
      <c r="P701">
        <v>0.99992539999999996</v>
      </c>
      <c r="Q701">
        <v>4.1300199999999999E-3</v>
      </c>
      <c r="R701">
        <v>-1.149847E-2</v>
      </c>
      <c r="S701">
        <v>3.001465</v>
      </c>
      <c r="T701">
        <v>-0.1143324</v>
      </c>
      <c r="U701">
        <v>6.6436770000000006E-2</v>
      </c>
      <c r="V701">
        <v>2.357617E-2</v>
      </c>
      <c r="W701">
        <v>1.908408E-2</v>
      </c>
      <c r="X701">
        <v>0.99953990000000004</v>
      </c>
      <c r="Y701">
        <v>-1.00517E-2</v>
      </c>
      <c r="Z701">
        <v>-2.685721E-4</v>
      </c>
      <c r="AA701">
        <v>0.99994950000000005</v>
      </c>
      <c r="AB701">
        <v>38</v>
      </c>
      <c r="AC701">
        <v>27.61</v>
      </c>
      <c r="AD701">
        <v>-1.060395429325</v>
      </c>
      <c r="AE701">
        <v>0.61350000000004401</v>
      </c>
      <c r="AF701">
        <v>-0.27950135521466801</v>
      </c>
      <c r="AG701">
        <v>-1.060395429325</v>
      </c>
      <c r="AH701">
        <v>27.574742933710599</v>
      </c>
      <c r="AI701">
        <v>92.202129107638797</v>
      </c>
      <c r="AJ701">
        <v>90.580737947510301</v>
      </c>
      <c r="AK701">
        <v>27.596539771035101</v>
      </c>
      <c r="AL701">
        <v>88.906496404323406</v>
      </c>
      <c r="AM701">
        <v>88.6488137050939</v>
      </c>
      <c r="AN701">
        <v>1.0000000247966601</v>
      </c>
    </row>
    <row r="702" spans="1:40" x14ac:dyDescent="0.25">
      <c r="A702" t="str">
        <f>"20190312154227269"</f>
        <v>20190312154227269</v>
      </c>
      <c r="B702" t="str">
        <f>"1552376547258495"</f>
        <v>1552376547258495</v>
      </c>
      <c r="C702" t="s">
        <v>40</v>
      </c>
      <c r="D702">
        <v>4.8712929999999997</v>
      </c>
      <c r="E702">
        <v>0.48863079999999998</v>
      </c>
      <c r="F702" t="s">
        <v>43</v>
      </c>
      <c r="G702">
        <v>-269.18</v>
      </c>
      <c r="H702" s="1">
        <v>-5.3770840000000003E-7</v>
      </c>
      <c r="I702">
        <v>368.59179999999998</v>
      </c>
      <c r="J702">
        <v>-297.3503</v>
      </c>
      <c r="K702">
        <v>1.0603830000000001</v>
      </c>
      <c r="L702">
        <v>367.99439999999998</v>
      </c>
      <c r="M702">
        <v>0.99981520000000002</v>
      </c>
      <c r="N702">
        <v>0</v>
      </c>
      <c r="O702">
        <v>1.2092800000000001E-2</v>
      </c>
      <c r="P702">
        <v>0.99993390000000004</v>
      </c>
      <c r="Q702">
        <v>3.7146169999999999E-3</v>
      </c>
      <c r="R702">
        <v>-1.0899229999999999E-2</v>
      </c>
      <c r="S702">
        <v>3.0013730000000001</v>
      </c>
      <c r="T702">
        <v>-0.11173950000000001</v>
      </c>
      <c r="U702">
        <v>6.3354489999999999E-2</v>
      </c>
      <c r="V702">
        <v>2.2990989999999999E-2</v>
      </c>
      <c r="W702">
        <v>1.8661199999999999E-2</v>
      </c>
      <c r="X702">
        <v>0.99956149999999999</v>
      </c>
      <c r="Y702">
        <v>-9.0129379999999999E-3</v>
      </c>
      <c r="Z702">
        <v>-2.8233339999999998E-4</v>
      </c>
      <c r="AA702">
        <v>0.9999593</v>
      </c>
      <c r="AB702">
        <v>38</v>
      </c>
      <c r="AC702">
        <v>28.170300000000001</v>
      </c>
      <c r="AD702">
        <v>-1.0603835377084001</v>
      </c>
      <c r="AE702">
        <v>0.59739999999999305</v>
      </c>
      <c r="AF702">
        <v>-0.25629747040907003</v>
      </c>
      <c r="AG702">
        <v>-1.0603835377084001</v>
      </c>
      <c r="AH702">
        <v>28.1356169719759</v>
      </c>
      <c r="AI702">
        <v>92.1582694644936</v>
      </c>
      <c r="AJ702">
        <v>90.521913459599602</v>
      </c>
      <c r="AK702">
        <v>28.156758407780501</v>
      </c>
      <c r="AL702">
        <v>88.9307299425015</v>
      </c>
      <c r="AM702">
        <v>88.682367754007601</v>
      </c>
      <c r="AN702">
        <v>1.0000000091444301</v>
      </c>
    </row>
    <row r="703" spans="1:40" x14ac:dyDescent="0.25">
      <c r="A703" t="str">
        <f>"20190312154227281"</f>
        <v>20190312154227281</v>
      </c>
      <c r="B703" t="str">
        <f>"1552376547268256"</f>
        <v>1552376547268256</v>
      </c>
      <c r="C703" t="s">
        <v>40</v>
      </c>
      <c r="D703">
        <v>4.8813510000000004</v>
      </c>
      <c r="E703">
        <v>0.48878060000000001</v>
      </c>
      <c r="F703" t="s">
        <v>43</v>
      </c>
      <c r="G703">
        <v>-268.13839999999999</v>
      </c>
      <c r="H703" s="1">
        <v>-9.6156779999999991E-7</v>
      </c>
      <c r="I703">
        <v>368.59800000000001</v>
      </c>
      <c r="J703">
        <v>-297.12740000000002</v>
      </c>
      <c r="K703">
        <v>1.0603720000000001</v>
      </c>
      <c r="L703">
        <v>367.99709999999999</v>
      </c>
      <c r="M703">
        <v>0.99981509999999996</v>
      </c>
      <c r="N703">
        <v>0</v>
      </c>
      <c r="O703">
        <v>1.2098299999999999E-2</v>
      </c>
      <c r="P703">
        <v>0.99993600000000005</v>
      </c>
      <c r="Q703">
        <v>3.1174829999999999E-3</v>
      </c>
      <c r="R703">
        <v>-1.088242E-2</v>
      </c>
      <c r="S703">
        <v>3.0012509999999999</v>
      </c>
      <c r="T703">
        <v>-0.10894429999999999</v>
      </c>
      <c r="U703">
        <v>6.2011719999999999E-2</v>
      </c>
      <c r="V703">
        <v>2.2979889999999999E-2</v>
      </c>
      <c r="W703">
        <v>1.805905E-2</v>
      </c>
      <c r="X703">
        <v>0.99957280000000004</v>
      </c>
      <c r="Y703">
        <v>-8.5612969999999903E-3</v>
      </c>
      <c r="Z703">
        <v>-2.8368129999999998E-4</v>
      </c>
      <c r="AA703">
        <v>0.9999633</v>
      </c>
      <c r="AB703">
        <v>38</v>
      </c>
      <c r="AC703">
        <v>28.989000000000001</v>
      </c>
      <c r="AD703">
        <v>-1.0603729615677999</v>
      </c>
      <c r="AE703">
        <v>0.60090000000002397</v>
      </c>
      <c r="AF703">
        <v>-0.24976517394716</v>
      </c>
      <c r="AG703">
        <v>-1.0603729615677999</v>
      </c>
      <c r="AH703">
        <v>28.955423340244899</v>
      </c>
      <c r="AI703">
        <v>92.097206461293297</v>
      </c>
      <c r="AJ703">
        <v>90.494212612909394</v>
      </c>
      <c r="AK703">
        <v>28.975909205278398</v>
      </c>
      <c r="AL703">
        <v>88.965236396674996</v>
      </c>
      <c r="AM703">
        <v>88.683018563062404</v>
      </c>
      <c r="AN703">
        <v>0.99999999356557701</v>
      </c>
    </row>
    <row r="704" spans="1:40" x14ac:dyDescent="0.25">
      <c r="A704" t="str">
        <f>"20190312154227301"</f>
        <v>20190312154227301</v>
      </c>
      <c r="B704" t="str">
        <f>"1552376547287775"</f>
        <v>1552376547287775</v>
      </c>
      <c r="C704" t="s">
        <v>40</v>
      </c>
      <c r="D704">
        <v>4.8383289999999999</v>
      </c>
      <c r="E704">
        <v>0.48908400000000002</v>
      </c>
      <c r="F704" t="s">
        <v>43</v>
      </c>
      <c r="G704">
        <v>-267.85980000000001</v>
      </c>
      <c r="H704" s="1">
        <v>-1.081841E-6</v>
      </c>
      <c r="I704">
        <v>368.59379999999999</v>
      </c>
      <c r="J704">
        <v>-296.80290000000002</v>
      </c>
      <c r="K704">
        <v>1.0603640000000001</v>
      </c>
      <c r="L704">
        <v>368.00110000000001</v>
      </c>
      <c r="M704">
        <v>0.99981520000000002</v>
      </c>
      <c r="N704">
        <v>0</v>
      </c>
      <c r="O704">
        <v>1.2101880000000001E-2</v>
      </c>
      <c r="P704">
        <v>0.99993350000000003</v>
      </c>
      <c r="Q704">
        <v>3.0413419999999998E-3</v>
      </c>
      <c r="R704">
        <v>-1.11246E-2</v>
      </c>
      <c r="S704">
        <v>3.0011899999999998</v>
      </c>
      <c r="T704">
        <v>-0.10873380000000001</v>
      </c>
      <c r="U704">
        <v>6.1187739999999997E-2</v>
      </c>
      <c r="V704">
        <v>2.3226199999999999E-2</v>
      </c>
      <c r="W704">
        <v>1.7975620000000001E-2</v>
      </c>
      <c r="X704">
        <v>0.99956860000000003</v>
      </c>
      <c r="Y704">
        <v>-8.2838900000000004E-3</v>
      </c>
      <c r="Z704">
        <v>-2.8829309999999999E-4</v>
      </c>
      <c r="AA704">
        <v>0.99996569999999996</v>
      </c>
      <c r="AB704">
        <v>38</v>
      </c>
      <c r="AC704">
        <v>28.943100000000001</v>
      </c>
      <c r="AD704">
        <v>-1.06036508184099</v>
      </c>
      <c r="AE704">
        <v>0.59269999999997902</v>
      </c>
      <c r="AF704">
        <v>-0.24202686817485999</v>
      </c>
      <c r="AG704">
        <v>-1.06036508184099</v>
      </c>
      <c r="AH704">
        <v>28.909367394376801</v>
      </c>
      <c r="AI704">
        <v>92.100533495235695</v>
      </c>
      <c r="AJ704">
        <v>90.479664391201396</v>
      </c>
      <c r="AK704">
        <v>28.929819810271201</v>
      </c>
      <c r="AL704">
        <v>88.970017348464097</v>
      </c>
      <c r="AM704">
        <v>88.668901955450394</v>
      </c>
      <c r="AN704">
        <v>0.99999998269339196</v>
      </c>
    </row>
    <row r="705" spans="1:40" x14ac:dyDescent="0.25">
      <c r="A705" t="str">
        <f>"20190312154227313"</f>
        <v>20190312154227313</v>
      </c>
      <c r="B705" t="str">
        <f>"1552376547308271"</f>
        <v>1552376547308271</v>
      </c>
      <c r="C705" t="s">
        <v>40</v>
      </c>
      <c r="D705">
        <v>4.8881889999999997</v>
      </c>
      <c r="E705">
        <v>0.4889367</v>
      </c>
      <c r="F705" t="s">
        <v>43</v>
      </c>
      <c r="G705">
        <v>-266.61599999999999</v>
      </c>
      <c r="H705" s="1">
        <v>-1.6172280000000001E-6</v>
      </c>
      <c r="I705">
        <v>368.58370000000002</v>
      </c>
      <c r="J705">
        <v>-296.60399999999998</v>
      </c>
      <c r="K705">
        <v>1.0603590000000001</v>
      </c>
      <c r="L705">
        <v>368.00349999999997</v>
      </c>
      <c r="M705">
        <v>0.99981549999999997</v>
      </c>
      <c r="N705">
        <v>0</v>
      </c>
      <c r="O705">
        <v>1.209903E-2</v>
      </c>
      <c r="P705">
        <v>0.99993370000000004</v>
      </c>
      <c r="Q705">
        <v>2.6466229999999999E-3</v>
      </c>
      <c r="R705">
        <v>-1.121926E-2</v>
      </c>
      <c r="S705">
        <v>3.0011290000000002</v>
      </c>
      <c r="T705">
        <v>-0.1054194</v>
      </c>
      <c r="U705">
        <v>5.7922359999999999E-2</v>
      </c>
      <c r="V705">
        <v>2.3318080000000001E-2</v>
      </c>
      <c r="W705">
        <v>1.757657E-2</v>
      </c>
      <c r="X705">
        <v>0.99957359999999995</v>
      </c>
      <c r="Y705">
        <v>-7.2000780000000004E-3</v>
      </c>
      <c r="Z705">
        <v>-2.9844780000000003E-4</v>
      </c>
      <c r="AA705">
        <v>0.99997400000000003</v>
      </c>
      <c r="AB705">
        <v>38</v>
      </c>
      <c r="AC705">
        <v>29.988</v>
      </c>
      <c r="AD705">
        <v>-1.060360617228</v>
      </c>
      <c r="AE705">
        <v>0.58020000000004701</v>
      </c>
      <c r="AF705">
        <v>-0.217020187585235</v>
      </c>
      <c r="AG705">
        <v>-1.060360617228</v>
      </c>
      <c r="AH705">
        <v>29.9553861228313</v>
      </c>
      <c r="AI705">
        <v>92.027256107983803</v>
      </c>
      <c r="AJ705">
        <v>90.415088065539095</v>
      </c>
      <c r="AK705">
        <v>29.9749331970615</v>
      </c>
      <c r="AL705">
        <v>88.9928848859129</v>
      </c>
      <c r="AM705">
        <v>88.663644882724398</v>
      </c>
      <c r="AN705">
        <v>1.0000000252423999</v>
      </c>
    </row>
    <row r="706" spans="1:40" x14ac:dyDescent="0.25">
      <c r="A706" t="str">
        <f>"20190312154227324"</f>
        <v>20190312154227324</v>
      </c>
      <c r="B706" t="str">
        <f>"1552376547318031"</f>
        <v>1552376547318031</v>
      </c>
      <c r="C706" t="s">
        <v>40</v>
      </c>
      <c r="D706">
        <v>4.8758059999999999</v>
      </c>
      <c r="E706">
        <v>0.4889483</v>
      </c>
      <c r="F706" t="s">
        <v>43</v>
      </c>
      <c r="G706">
        <v>-266.85270000000003</v>
      </c>
      <c r="H706" s="1">
        <v>-1.515632E-6</v>
      </c>
      <c r="I706">
        <v>368.584</v>
      </c>
      <c r="J706">
        <v>-296.39609999999999</v>
      </c>
      <c r="K706">
        <v>1.060354</v>
      </c>
      <c r="L706">
        <v>368.00599999999997</v>
      </c>
      <c r="M706">
        <v>0.99981549999999997</v>
      </c>
      <c r="N706">
        <v>0</v>
      </c>
      <c r="O706">
        <v>1.209121E-2</v>
      </c>
      <c r="P706">
        <v>0.99993370000000004</v>
      </c>
      <c r="Q706">
        <v>2.732974E-3</v>
      </c>
      <c r="R706">
        <v>-1.11772E-2</v>
      </c>
      <c r="S706">
        <v>3.0011290000000002</v>
      </c>
      <c r="T706">
        <v>-0.1069623</v>
      </c>
      <c r="U706">
        <v>5.8563230000000001E-2</v>
      </c>
      <c r="V706">
        <v>2.3268529999999999E-2</v>
      </c>
      <c r="W706">
        <v>1.7658569999999998E-2</v>
      </c>
      <c r="X706">
        <v>0.9995733</v>
      </c>
      <c r="Y706">
        <v>-7.4212999999999996E-3</v>
      </c>
      <c r="Z706">
        <v>-2.9859329999999999E-4</v>
      </c>
      <c r="AA706">
        <v>0.99997239999999998</v>
      </c>
      <c r="AB706">
        <v>38</v>
      </c>
      <c r="AC706">
        <v>29.543399999999899</v>
      </c>
      <c r="AD706">
        <v>-1.0603555156319999</v>
      </c>
      <c r="AE706">
        <v>0.57800000000003104</v>
      </c>
      <c r="AF706">
        <v>-0.220418655791153</v>
      </c>
      <c r="AG706">
        <v>-1.0603555156319999</v>
      </c>
      <c r="AH706">
        <v>29.510228931581398</v>
      </c>
      <c r="AI706">
        <v>92.057797566451995</v>
      </c>
      <c r="AJ706">
        <v>90.427947335960397</v>
      </c>
      <c r="AK706">
        <v>29.530095661844602</v>
      </c>
      <c r="AL706">
        <v>88.9881858932944</v>
      </c>
      <c r="AM706">
        <v>88.666483158068701</v>
      </c>
      <c r="AN706">
        <v>1.0000000158278399</v>
      </c>
    </row>
    <row r="707" spans="1:40" x14ac:dyDescent="0.25">
      <c r="A707" t="str">
        <f>"20190312154227347"</f>
        <v>20190312154227347</v>
      </c>
      <c r="B707" t="str">
        <f>"1552376547338532"</f>
        <v>1552376547338532</v>
      </c>
      <c r="C707" t="s">
        <v>40</v>
      </c>
      <c r="D707">
        <v>4.8429799999999998</v>
      </c>
      <c r="E707">
        <v>0.48894070000000001</v>
      </c>
      <c r="F707" t="s">
        <v>43</v>
      </c>
      <c r="G707">
        <v>-266.50360000000001</v>
      </c>
      <c r="H707" s="1">
        <v>-1.664335E-6</v>
      </c>
      <c r="I707">
        <v>368.5899</v>
      </c>
      <c r="J707">
        <v>-296.03800000000001</v>
      </c>
      <c r="K707">
        <v>1.0603389999999999</v>
      </c>
      <c r="L707">
        <v>368.01029999999997</v>
      </c>
      <c r="M707">
        <v>0.99981589999999998</v>
      </c>
      <c r="N707">
        <v>0</v>
      </c>
      <c r="O707">
        <v>1.2062710000000001E-2</v>
      </c>
      <c r="P707">
        <v>0.99992599999999998</v>
      </c>
      <c r="Q707">
        <v>2.8875469999999999E-3</v>
      </c>
      <c r="R707">
        <v>-1.182514E-2</v>
      </c>
      <c r="S707">
        <v>3.0011290000000002</v>
      </c>
      <c r="T707">
        <v>-0.1064565</v>
      </c>
      <c r="U707">
        <v>5.8624269999999999E-2</v>
      </c>
      <c r="V707">
        <v>2.388827E-2</v>
      </c>
      <c r="W707">
        <v>1.7804939999999998E-2</v>
      </c>
      <c r="X707">
        <v>0.99955609999999995</v>
      </c>
      <c r="Y707">
        <v>-7.4700629999999999E-3</v>
      </c>
      <c r="Z707">
        <v>-2.9530689999999999E-4</v>
      </c>
      <c r="AA707">
        <v>0.99997199999999997</v>
      </c>
      <c r="AB707">
        <v>38</v>
      </c>
      <c r="AC707">
        <v>29.534400000000002</v>
      </c>
      <c r="AD707">
        <v>-1.060340664335</v>
      </c>
      <c r="AE707">
        <v>0.57960000000002698</v>
      </c>
      <c r="AF707">
        <v>-0.22296596893714901</v>
      </c>
      <c r="AG707">
        <v>-1.060340664335</v>
      </c>
      <c r="AH707">
        <v>29.5012321690213</v>
      </c>
      <c r="AI707">
        <v>92.058394402496106</v>
      </c>
      <c r="AJ707">
        <v>90.433024820430205</v>
      </c>
      <c r="AK707">
        <v>29.521123549727001</v>
      </c>
      <c r="AL707">
        <v>88.979798207132305</v>
      </c>
      <c r="AM707">
        <v>88.630955721141305</v>
      </c>
      <c r="AN707">
        <v>1.0000000311896</v>
      </c>
    </row>
    <row r="708" spans="1:40" x14ac:dyDescent="0.25">
      <c r="A708" t="str">
        <f>"20190312154227369"</f>
        <v>20190312154227369</v>
      </c>
      <c r="B708" t="str">
        <f>"1552376547358047"</f>
        <v>1552376547358047</v>
      </c>
      <c r="C708" t="s">
        <v>40</v>
      </c>
      <c r="D708">
        <v>4.7261680000000004</v>
      </c>
      <c r="E708">
        <v>0.48893619999999999</v>
      </c>
      <c r="F708" t="s">
        <v>43</v>
      </c>
      <c r="G708">
        <v>-266.15289999999999</v>
      </c>
      <c r="H708" s="1">
        <v>-1.817078E-6</v>
      </c>
      <c r="I708">
        <v>368.577</v>
      </c>
      <c r="J708">
        <v>-295.66289999999998</v>
      </c>
      <c r="K708">
        <v>1.060324</v>
      </c>
      <c r="L708">
        <v>368.01479999999998</v>
      </c>
      <c r="M708">
        <v>0.9998167</v>
      </c>
      <c r="N708">
        <v>0</v>
      </c>
      <c r="O708">
        <v>1.2013670000000001E-2</v>
      </c>
      <c r="P708">
        <v>0.99991580000000002</v>
      </c>
      <c r="Q708">
        <v>2.6291050000000001E-3</v>
      </c>
      <c r="R708">
        <v>-1.272587E-2</v>
      </c>
      <c r="S708">
        <v>3.0011899999999998</v>
      </c>
      <c r="T708">
        <v>-0.1064836</v>
      </c>
      <c r="U708">
        <v>5.6915279999999999E-2</v>
      </c>
      <c r="V708">
        <v>2.4740479999999999E-2</v>
      </c>
      <c r="W708">
        <v>1.75389E-2</v>
      </c>
      <c r="X708">
        <v>0.99953999999999998</v>
      </c>
      <c r="Y708">
        <v>-6.9497980000000001E-3</v>
      </c>
      <c r="Z708">
        <v>-3.0286460000000001E-4</v>
      </c>
      <c r="AA708">
        <v>0.99997579999999997</v>
      </c>
      <c r="AB708">
        <v>38</v>
      </c>
      <c r="AC708">
        <v>29.509999999999899</v>
      </c>
      <c r="AD708">
        <v>-1.0603258170780001</v>
      </c>
      <c r="AE708">
        <v>0.56220000000001802</v>
      </c>
      <c r="AF708">
        <v>-0.207329042949674</v>
      </c>
      <c r="AG708">
        <v>-1.0603258170780001</v>
      </c>
      <c r="AH708">
        <v>29.476583032840001</v>
      </c>
      <c r="AI708">
        <v>92.060093255843498</v>
      </c>
      <c r="AJ708">
        <v>90.402993902895602</v>
      </c>
      <c r="AK708">
        <v>29.496376446308201</v>
      </c>
      <c r="AL708">
        <v>88.9950434830278</v>
      </c>
      <c r="AM708">
        <v>88.582112062601297</v>
      </c>
      <c r="AN708">
        <v>0.99999995798191899</v>
      </c>
    </row>
    <row r="709" spans="1:40" x14ac:dyDescent="0.25">
      <c r="A709" t="str">
        <f>"20190312154227391"</f>
        <v>20190312154227391</v>
      </c>
      <c r="B709" t="str">
        <f>"1552376547378543"</f>
        <v>1552376547378543</v>
      </c>
      <c r="C709" t="s">
        <v>40</v>
      </c>
      <c r="D709">
        <v>4.9043089999999996</v>
      </c>
      <c r="E709">
        <v>0.4891182</v>
      </c>
      <c r="F709" t="s">
        <v>43</v>
      </c>
      <c r="G709">
        <v>-266.26740000000001</v>
      </c>
      <c r="H709" s="1">
        <v>-1.7729959999999999E-6</v>
      </c>
      <c r="I709">
        <v>368.54860000000002</v>
      </c>
      <c r="J709">
        <v>-295.29480000000001</v>
      </c>
      <c r="K709">
        <v>1.060303</v>
      </c>
      <c r="L709">
        <v>368.01920000000001</v>
      </c>
      <c r="M709">
        <v>0.99981759999999997</v>
      </c>
      <c r="N709">
        <v>0</v>
      </c>
      <c r="O709">
        <v>1.195038E-2</v>
      </c>
      <c r="P709">
        <v>0.99990199999999996</v>
      </c>
      <c r="Q709">
        <v>2.5596970000000001E-3</v>
      </c>
      <c r="R709">
        <v>-1.3777660000000001E-2</v>
      </c>
      <c r="S709">
        <v>3.0012210000000001</v>
      </c>
      <c r="T709">
        <v>-0.1082567</v>
      </c>
      <c r="U709">
        <v>5.450439E-2</v>
      </c>
      <c r="V709">
        <v>2.5729510000000001E-2</v>
      </c>
      <c r="W709">
        <v>1.7461190000000001E-2</v>
      </c>
      <c r="X709">
        <v>0.99951639999999997</v>
      </c>
      <c r="Y709">
        <v>-6.2104409999999997E-3</v>
      </c>
      <c r="Z709">
        <v>-3.1895140000000002E-4</v>
      </c>
      <c r="AA709">
        <v>0.99998069999999895</v>
      </c>
      <c r="AB709">
        <v>38</v>
      </c>
      <c r="AC709">
        <v>29.0274</v>
      </c>
      <c r="AD709">
        <v>-1.060304772996</v>
      </c>
      <c r="AE709">
        <v>0.52940000000000897</v>
      </c>
      <c r="AF709">
        <v>-0.18219221079692399</v>
      </c>
      <c r="AG709">
        <v>-1.060304772996</v>
      </c>
      <c r="AH709">
        <v>28.992982243471701</v>
      </c>
      <c r="AI709">
        <v>92.0943940211029</v>
      </c>
      <c r="AJ709">
        <v>90.360042552664297</v>
      </c>
      <c r="AK709">
        <v>29.012936073130799</v>
      </c>
      <c r="AL709">
        <v>88.999496629563097</v>
      </c>
      <c r="AM709">
        <v>88.525420055547301</v>
      </c>
      <c r="AN709">
        <v>0.99999996735500696</v>
      </c>
    </row>
    <row r="710" spans="1:40" x14ac:dyDescent="0.25">
      <c r="A710" t="str">
        <f>"20190312154227412"</f>
        <v>20190312154227412</v>
      </c>
      <c r="B710" t="str">
        <f>"1552376547407824"</f>
        <v>1552376547407824</v>
      </c>
      <c r="C710" t="s">
        <v>40</v>
      </c>
      <c r="D710">
        <v>4.7874549999999996</v>
      </c>
      <c r="E710">
        <v>0.5445892</v>
      </c>
      <c r="F710" t="s">
        <v>43</v>
      </c>
      <c r="G710">
        <v>-266.26209999999998</v>
      </c>
      <c r="H710" s="1">
        <v>-1.7832459999999999E-6</v>
      </c>
      <c r="I710">
        <v>368.50360000000001</v>
      </c>
      <c r="J710">
        <v>-294.93290000000002</v>
      </c>
      <c r="K710">
        <v>1.060287</v>
      </c>
      <c r="L710">
        <v>368.02339999999998</v>
      </c>
      <c r="M710">
        <v>0.9998186</v>
      </c>
      <c r="N710">
        <v>0</v>
      </c>
      <c r="O710">
        <v>1.187559E-2</v>
      </c>
      <c r="P710">
        <v>0.99988589999999999</v>
      </c>
      <c r="Q710">
        <v>2.5769600000000001E-3</v>
      </c>
      <c r="R710">
        <v>-1.4892539999999999E-2</v>
      </c>
      <c r="S710">
        <v>3.0012509999999999</v>
      </c>
      <c r="T710">
        <v>-0.1096085</v>
      </c>
      <c r="U710">
        <v>5.0079350000000002E-2</v>
      </c>
      <c r="V710">
        <v>2.677001E-2</v>
      </c>
      <c r="W710">
        <v>1.7471210000000001E-2</v>
      </c>
      <c r="X710">
        <v>0.99948890000000001</v>
      </c>
      <c r="Y710">
        <v>-4.8121090000000002E-3</v>
      </c>
      <c r="Z710">
        <v>-3.4572690000000001E-4</v>
      </c>
      <c r="AA710">
        <v>0.9999884</v>
      </c>
      <c r="AB710">
        <v>38</v>
      </c>
      <c r="AC710">
        <v>28.6708</v>
      </c>
      <c r="AD710">
        <v>-1.060288783246</v>
      </c>
      <c r="AE710">
        <v>0.480200000000024</v>
      </c>
      <c r="AF710">
        <v>-0.139455039698508</v>
      </c>
      <c r="AG710">
        <v>-1.060288783246</v>
      </c>
      <c r="AH710">
        <v>28.635329493461501</v>
      </c>
      <c r="AI710">
        <v>92.120513841580603</v>
      </c>
      <c r="AJ710">
        <v>90.279030211295705</v>
      </c>
      <c r="AK710">
        <v>28.6552919233268</v>
      </c>
      <c r="AL710">
        <v>88.998922439808794</v>
      </c>
      <c r="AM710">
        <v>88.465773876375806</v>
      </c>
      <c r="AN710">
        <v>0.99999996891873599</v>
      </c>
    </row>
    <row r="711" spans="1:40" x14ac:dyDescent="0.25">
      <c r="A711" t="str">
        <f>"20190312154227436"</f>
        <v>20190312154227436</v>
      </c>
      <c r="B711" t="str">
        <f>"1552376547428319"</f>
        <v>1552376547428319</v>
      </c>
      <c r="C711" t="s">
        <v>40</v>
      </c>
      <c r="D711">
        <v>4.790972</v>
      </c>
      <c r="E711">
        <v>0.55157590000000001</v>
      </c>
      <c r="F711" t="s">
        <v>41</v>
      </c>
      <c r="G711">
        <v>-294.00380000000001</v>
      </c>
      <c r="H711">
        <v>0.86028979999999999</v>
      </c>
      <c r="I711">
        <v>367.90699999999998</v>
      </c>
      <c r="J711">
        <v>-294.54860000000002</v>
      </c>
      <c r="K711">
        <v>1.0602780000000001</v>
      </c>
      <c r="L711">
        <v>368.02789999999999</v>
      </c>
      <c r="M711">
        <v>0.99981960000000003</v>
      </c>
      <c r="N711">
        <v>0</v>
      </c>
      <c r="O711">
        <v>1.1784950000000001E-2</v>
      </c>
      <c r="P711">
        <v>0.99986640000000004</v>
      </c>
      <c r="Q711">
        <v>2.1267650000000001E-3</v>
      </c>
      <c r="R711">
        <v>-1.6203760000000001E-2</v>
      </c>
      <c r="S711">
        <v>2.996429</v>
      </c>
      <c r="T711">
        <v>-0.64504309999999998</v>
      </c>
      <c r="U711">
        <v>-0.37527470000000002</v>
      </c>
      <c r="V711">
        <v>2.7990689999999999E-2</v>
      </c>
      <c r="W711">
        <v>1.7013029999999998E-2</v>
      </c>
      <c r="X711">
        <v>0.9994634</v>
      </c>
      <c r="Y711">
        <v>0.1326956</v>
      </c>
      <c r="Z711">
        <v>-1.656734E-2</v>
      </c>
      <c r="AA711">
        <v>0.99101839999999997</v>
      </c>
      <c r="AB711">
        <v>37</v>
      </c>
      <c r="AC711">
        <v>0.54480000000000905</v>
      </c>
      <c r="AD711">
        <v>-0.19998819999999901</v>
      </c>
      <c r="AE711">
        <v>-0.120900000000006</v>
      </c>
      <c r="AF711">
        <v>0.11282319328898099</v>
      </c>
      <c r="AG711">
        <v>-0.19998819999999901</v>
      </c>
      <c r="AH711">
        <v>0.48149957697145301</v>
      </c>
      <c r="AI711">
        <v>112.017987095818</v>
      </c>
      <c r="AJ711">
        <v>76.812578143409596</v>
      </c>
      <c r="AK711">
        <v>0.53344746293037204</v>
      </c>
      <c r="AL711">
        <v>89.025178159293702</v>
      </c>
      <c r="AM711">
        <v>88.395809875826103</v>
      </c>
      <c r="AN711">
        <v>1.000000004928</v>
      </c>
    </row>
    <row r="712" spans="1:40" x14ac:dyDescent="0.25">
      <c r="A712" t="str">
        <f>"20190312154227458"</f>
        <v>20190312154227458</v>
      </c>
      <c r="B712" t="str">
        <f>"1552376547447842"</f>
        <v>1552376547447842</v>
      </c>
      <c r="C712" t="s">
        <v>40</v>
      </c>
      <c r="D712">
        <v>4.7766520000000003</v>
      </c>
      <c r="E712">
        <v>0.55312399999999995</v>
      </c>
      <c r="F712" t="s">
        <v>41</v>
      </c>
      <c r="G712">
        <v>-293.68150000000003</v>
      </c>
      <c r="H712">
        <v>0.83155299999999999</v>
      </c>
      <c r="I712">
        <v>367.90309999999999</v>
      </c>
      <c r="J712">
        <v>-294.17160000000001</v>
      </c>
      <c r="K712">
        <v>1.0602609999999999</v>
      </c>
      <c r="L712">
        <v>368.03219999999999</v>
      </c>
      <c r="M712">
        <v>0.99982079999999995</v>
      </c>
      <c r="N712">
        <v>0</v>
      </c>
      <c r="O712">
        <v>1.1687629999999999E-2</v>
      </c>
      <c r="P712">
        <v>0.99986019999999998</v>
      </c>
      <c r="Q712">
        <v>2.4157190000000002E-3</v>
      </c>
      <c r="R712">
        <v>-1.6550479999999999E-2</v>
      </c>
      <c r="S712">
        <v>2.9950869999999998</v>
      </c>
      <c r="T712">
        <v>-0.79019949999999906</v>
      </c>
      <c r="U712">
        <v>-0.43008420000000003</v>
      </c>
      <c r="V712">
        <v>2.8240540000000001E-2</v>
      </c>
      <c r="W712">
        <v>1.7295749999999999E-2</v>
      </c>
      <c r="X712">
        <v>0.99945150000000005</v>
      </c>
      <c r="Y712">
        <v>0.1483302</v>
      </c>
      <c r="Z712">
        <v>-2.216249E-2</v>
      </c>
      <c r="AA712">
        <v>0.9886895</v>
      </c>
      <c r="AB712">
        <v>37</v>
      </c>
      <c r="AC712">
        <v>0.49009999999998399</v>
      </c>
      <c r="AD712">
        <v>-0.22870799999999999</v>
      </c>
      <c r="AE712">
        <v>-0.129099999999994</v>
      </c>
      <c r="AF712">
        <v>0.11201038990003</v>
      </c>
      <c r="AG712">
        <v>-0.22870799999999999</v>
      </c>
      <c r="AH712">
        <v>0.405900792117245</v>
      </c>
      <c r="AI712">
        <v>118.508875199304</v>
      </c>
      <c r="AJ712">
        <v>74.572885957793801</v>
      </c>
      <c r="AK712">
        <v>0.47917546864479998</v>
      </c>
      <c r="AL712">
        <v>89.0089770937944</v>
      </c>
      <c r="AM712">
        <v>88.381478904540003</v>
      </c>
      <c r="AN712">
        <v>0.99999998595990203</v>
      </c>
    </row>
    <row r="713" spans="1:40" x14ac:dyDescent="0.25">
      <c r="A713" t="str">
        <f>"20190312154227479"</f>
        <v>20190312154227479</v>
      </c>
      <c r="B713" t="str">
        <f>"1552376547468336"</f>
        <v>1552376547468336</v>
      </c>
      <c r="C713" t="s">
        <v>40</v>
      </c>
      <c r="D713">
        <v>4.7935689999999997</v>
      </c>
      <c r="E713">
        <v>0.553784099999999</v>
      </c>
      <c r="F713" t="s">
        <v>41</v>
      </c>
      <c r="G713">
        <v>-293.34820000000002</v>
      </c>
      <c r="H713">
        <v>0.83082230000000001</v>
      </c>
      <c r="I713">
        <v>367.91059999999999</v>
      </c>
      <c r="J713">
        <v>-293.82</v>
      </c>
      <c r="K713">
        <v>1.0602579999999999</v>
      </c>
      <c r="L713">
        <v>368.03629999999998</v>
      </c>
      <c r="M713">
        <v>0.99982199999999999</v>
      </c>
      <c r="N713">
        <v>0</v>
      </c>
      <c r="O713">
        <v>1.159257E-2</v>
      </c>
      <c r="P713">
        <v>0.99986249999999999</v>
      </c>
      <c r="Q713">
        <v>2.138834E-3</v>
      </c>
      <c r="R713">
        <v>-1.6446789999999999E-2</v>
      </c>
      <c r="S713">
        <v>2.995117</v>
      </c>
      <c r="T713">
        <v>-0.83463240000000005</v>
      </c>
      <c r="U713">
        <v>-0.4421387</v>
      </c>
      <c r="V713">
        <v>2.8041699999999999E-2</v>
      </c>
      <c r="W713">
        <v>1.7013509999999999E-2</v>
      </c>
      <c r="X713">
        <v>0.99946190000000001</v>
      </c>
      <c r="Y713">
        <v>0.15141360000000001</v>
      </c>
      <c r="Z713">
        <v>-2.3751689999999999E-2</v>
      </c>
      <c r="AA713">
        <v>0.98818510000000004</v>
      </c>
      <c r="AB713">
        <v>37</v>
      </c>
      <c r="AC713">
        <v>0.47179999999997302</v>
      </c>
      <c r="AD713">
        <v>-0.22943569999999899</v>
      </c>
      <c r="AE713">
        <v>-0.12569999999999401</v>
      </c>
      <c r="AF713">
        <v>0.10743790687219799</v>
      </c>
      <c r="AG713">
        <v>-0.22943569999999899</v>
      </c>
      <c r="AH713">
        <v>0.38524422818202603</v>
      </c>
      <c r="AI713">
        <v>119.841518167565</v>
      </c>
      <c r="AJ713">
        <v>74.4171393204971</v>
      </c>
      <c r="AK713">
        <v>0.46108216145838299</v>
      </c>
      <c r="AL713">
        <v>89.0251505929686</v>
      </c>
      <c r="AM713">
        <v>88.392885534180493</v>
      </c>
      <c r="AN713">
        <v>0.99999994300650796</v>
      </c>
    </row>
    <row r="714" spans="1:40" x14ac:dyDescent="0.25">
      <c r="A714" t="str">
        <f>"20190312154227501"</f>
        <v>20190312154227501</v>
      </c>
      <c r="B714" t="str">
        <f>"1552376547487859"</f>
        <v>1552376547487859</v>
      </c>
      <c r="C714" t="s">
        <v>40</v>
      </c>
      <c r="D714">
        <v>4.7473039999999997</v>
      </c>
      <c r="E714">
        <v>0.55442170000000002</v>
      </c>
      <c r="F714" t="s">
        <v>41</v>
      </c>
      <c r="G714">
        <v>-293.01510000000002</v>
      </c>
      <c r="H714">
        <v>0.83024609999999999</v>
      </c>
      <c r="I714">
        <v>367.916</v>
      </c>
      <c r="J714">
        <v>-293.44279999999998</v>
      </c>
      <c r="K714">
        <v>1.060249</v>
      </c>
      <c r="L714">
        <v>368.04059999999998</v>
      </c>
      <c r="M714">
        <v>0.99982340000000003</v>
      </c>
      <c r="N714">
        <v>0</v>
      </c>
      <c r="O714">
        <v>1.148923E-2</v>
      </c>
      <c r="P714">
        <v>0.9998686</v>
      </c>
      <c r="Q714">
        <v>2.1071250000000001E-3</v>
      </c>
      <c r="R714">
        <v>-1.6081359999999999E-2</v>
      </c>
      <c r="S714">
        <v>2.9949340000000002</v>
      </c>
      <c r="T714">
        <v>-0.85591390000000001</v>
      </c>
      <c r="U714">
        <v>-0.44677729999999999</v>
      </c>
      <c r="V714">
        <v>2.7573480000000001E-2</v>
      </c>
      <c r="W714">
        <v>1.697632E-2</v>
      </c>
      <c r="X714">
        <v>0.99947560000000002</v>
      </c>
      <c r="Y714">
        <v>0.152473</v>
      </c>
      <c r="Z714">
        <v>-2.4452270000000002E-2</v>
      </c>
      <c r="AA714">
        <v>0.98800509999999997</v>
      </c>
      <c r="AB714">
        <v>37</v>
      </c>
      <c r="AC714">
        <v>0.427699999999958</v>
      </c>
      <c r="AD714">
        <v>-0.23000290000000001</v>
      </c>
      <c r="AE714">
        <v>-0.124599999999986</v>
      </c>
      <c r="AF714">
        <v>0.102249643667426</v>
      </c>
      <c r="AG714">
        <v>-0.23000290000000001</v>
      </c>
      <c r="AH714">
        <v>0.33653116499319102</v>
      </c>
      <c r="AI714">
        <v>123.18204487091801</v>
      </c>
      <c r="AJ714">
        <v>73.099429822842794</v>
      </c>
      <c r="AK714">
        <v>0.42024938863750899</v>
      </c>
      <c r="AL714">
        <v>89.027281770424807</v>
      </c>
      <c r="AM714">
        <v>88.419727895595699</v>
      </c>
      <c r="AN714">
        <v>0.99999998361770603</v>
      </c>
    </row>
    <row r="715" spans="1:40" x14ac:dyDescent="0.25">
      <c r="A715" t="str">
        <f>"20190312154227524"</f>
        <v>20190312154227524</v>
      </c>
      <c r="B715" t="str">
        <f>"1552376547518115"</f>
        <v>1552376547518115</v>
      </c>
      <c r="C715" t="s">
        <v>40</v>
      </c>
      <c r="D715">
        <v>4.7439809999999998</v>
      </c>
      <c r="E715">
        <v>0.55449950000000003</v>
      </c>
      <c r="F715" t="s">
        <v>41</v>
      </c>
      <c r="G715">
        <v>-292.67849999999999</v>
      </c>
      <c r="H715">
        <v>0.83882860000000004</v>
      </c>
      <c r="I715">
        <v>367.92540000000002</v>
      </c>
      <c r="J715">
        <v>-293.05650000000003</v>
      </c>
      <c r="K715">
        <v>1.0602510000000001</v>
      </c>
      <c r="L715">
        <v>368.04489999999998</v>
      </c>
      <c r="M715">
        <v>0.99982459999999995</v>
      </c>
      <c r="N715">
        <v>0</v>
      </c>
      <c r="O715">
        <v>1.1383290000000001E-2</v>
      </c>
      <c r="P715">
        <v>0.99988520000000003</v>
      </c>
      <c r="Q715">
        <v>1.8469339999999999E-3</v>
      </c>
      <c r="R715">
        <v>-1.505036E-2</v>
      </c>
      <c r="S715">
        <v>2.9949650000000001</v>
      </c>
      <c r="T715">
        <v>-0.8676722</v>
      </c>
      <c r="U715">
        <v>-0.4504089</v>
      </c>
      <c r="V715">
        <v>2.6436729999999999E-2</v>
      </c>
      <c r="W715">
        <v>1.6711719999999999E-2</v>
      </c>
      <c r="X715">
        <v>0.99951080000000003</v>
      </c>
      <c r="Y715">
        <v>0.15333540000000001</v>
      </c>
      <c r="Z715">
        <v>-2.4864710000000002E-2</v>
      </c>
      <c r="AA715">
        <v>0.98786130000000005</v>
      </c>
      <c r="AB715">
        <v>37</v>
      </c>
      <c r="AC715">
        <v>0.37800000000004202</v>
      </c>
      <c r="AD715">
        <v>-0.22142239999999999</v>
      </c>
      <c r="AE715">
        <v>-0.119499999999959</v>
      </c>
      <c r="AF715">
        <v>9.4359785203462401E-2</v>
      </c>
      <c r="AG715">
        <v>-0.22142239999999999</v>
      </c>
      <c r="AH715">
        <v>0.28706440951443002</v>
      </c>
      <c r="AI715">
        <v>126.23254795349099</v>
      </c>
      <c r="AJ715">
        <v>71.803997047006803</v>
      </c>
      <c r="AK715">
        <v>0.374616635369109</v>
      </c>
      <c r="AL715">
        <v>89.042444411134099</v>
      </c>
      <c r="AM715">
        <v>88.484898834701397</v>
      </c>
      <c r="AN715">
        <v>1.00000001079754</v>
      </c>
    </row>
    <row r="716" spans="1:40" x14ac:dyDescent="0.25">
      <c r="A716" t="str">
        <f>"20190312154227546"</f>
        <v>20190312154227546</v>
      </c>
      <c r="B716" t="str">
        <f>"1552376547537631"</f>
        <v>1552376547537631</v>
      </c>
      <c r="C716" t="s">
        <v>40</v>
      </c>
      <c r="D716">
        <v>4.758184</v>
      </c>
      <c r="E716">
        <v>0.55460889999999996</v>
      </c>
      <c r="F716" t="s">
        <v>41</v>
      </c>
      <c r="G716">
        <v>-292.34120000000001</v>
      </c>
      <c r="H716">
        <v>0.85063559999999905</v>
      </c>
      <c r="I716">
        <v>367.93790000000001</v>
      </c>
      <c r="J716">
        <v>-292.70670000000001</v>
      </c>
      <c r="K716">
        <v>1.0602469999999999</v>
      </c>
      <c r="L716">
        <v>368.04880000000003</v>
      </c>
      <c r="M716">
        <v>0.99982570000000004</v>
      </c>
      <c r="N716">
        <v>0</v>
      </c>
      <c r="O716">
        <v>1.128857E-2</v>
      </c>
      <c r="P716">
        <v>0.99989269999999997</v>
      </c>
      <c r="Q716">
        <v>1.6469919999999999E-3</v>
      </c>
      <c r="R716">
        <v>-1.45632E-2</v>
      </c>
      <c r="S716">
        <v>2.9952390000000002</v>
      </c>
      <c r="T716">
        <v>-0.87774159999999901</v>
      </c>
      <c r="U716">
        <v>-0.44680789999999998</v>
      </c>
      <c r="V716">
        <v>2.585527E-2</v>
      </c>
      <c r="W716">
        <v>1.6507170000000002E-2</v>
      </c>
      <c r="X716">
        <v>0.99952940000000001</v>
      </c>
      <c r="Y716">
        <v>0.15197479999999999</v>
      </c>
      <c r="Z716">
        <v>-2.4920459999999998E-2</v>
      </c>
      <c r="AA716">
        <v>0.98807020000000001</v>
      </c>
      <c r="AB716">
        <v>37</v>
      </c>
      <c r="AC716">
        <v>0.36549999999999699</v>
      </c>
      <c r="AD716">
        <v>-0.2096114</v>
      </c>
      <c r="AE716">
        <v>-0.110900000000015</v>
      </c>
      <c r="AF716">
        <v>8.8397092635470603E-2</v>
      </c>
      <c r="AG716">
        <v>-0.2096114</v>
      </c>
      <c r="AH716">
        <v>0.27992158237158499</v>
      </c>
      <c r="AI716">
        <v>125.52922567362</v>
      </c>
      <c r="AJ716">
        <v>72.474282081993607</v>
      </c>
      <c r="AK716">
        <v>0.36070358644429401</v>
      </c>
      <c r="AL716">
        <v>89.054165870919604</v>
      </c>
      <c r="AM716">
        <v>88.518235112940701</v>
      </c>
      <c r="AN716">
        <v>1.00000000155627</v>
      </c>
    </row>
    <row r="717" spans="1:40" x14ac:dyDescent="0.25">
      <c r="A717" t="str">
        <f>"20190312154227569"</f>
        <v>20190312154227569</v>
      </c>
      <c r="B717" t="str">
        <f>"1552376547558127"</f>
        <v>1552376547558127</v>
      </c>
      <c r="C717" t="s">
        <v>40</v>
      </c>
      <c r="D717">
        <v>4.7574189999999996</v>
      </c>
      <c r="E717">
        <v>0.554782199999999</v>
      </c>
      <c r="F717" t="s">
        <v>41</v>
      </c>
      <c r="G717">
        <v>-292.00749999999999</v>
      </c>
      <c r="H717">
        <v>0.85410319999999995</v>
      </c>
      <c r="I717">
        <v>367.94450000000001</v>
      </c>
      <c r="J717">
        <v>-292.3175</v>
      </c>
      <c r="K717">
        <v>1.060244</v>
      </c>
      <c r="L717">
        <v>368.05309999999997</v>
      </c>
      <c r="M717">
        <v>0.99982689999999996</v>
      </c>
      <c r="N717">
        <v>0</v>
      </c>
      <c r="O717">
        <v>1.11833E-2</v>
      </c>
      <c r="P717">
        <v>0.99989490000000003</v>
      </c>
      <c r="Q717">
        <v>1.512822E-3</v>
      </c>
      <c r="R717">
        <v>-1.4411820000000001E-2</v>
      </c>
      <c r="S717">
        <v>2.9952700000000001</v>
      </c>
      <c r="T717">
        <v>-0.88315379999999999</v>
      </c>
      <c r="U717">
        <v>-0.4459534</v>
      </c>
      <c r="V717">
        <v>2.5598630000000001E-2</v>
      </c>
      <c r="W717">
        <v>1.6367489999999998E-2</v>
      </c>
      <c r="X717">
        <v>0.99953829999999999</v>
      </c>
      <c r="Y717">
        <v>0.15153469999999999</v>
      </c>
      <c r="Z717">
        <v>-2.4974759999999999E-2</v>
      </c>
      <c r="AA717">
        <v>0.98813640000000003</v>
      </c>
      <c r="AB717">
        <v>37</v>
      </c>
      <c r="AC717">
        <v>0.310000000000002</v>
      </c>
      <c r="AD717">
        <v>-0.20614079999999901</v>
      </c>
      <c r="AE717">
        <v>-0.108599999999967</v>
      </c>
      <c r="AF717">
        <v>8.0396325664114004E-2</v>
      </c>
      <c r="AG717">
        <v>-0.20614079999999901</v>
      </c>
      <c r="AH717">
        <v>0.22152023745538599</v>
      </c>
      <c r="AI717">
        <v>131.17764538508601</v>
      </c>
      <c r="AJ717">
        <v>70.0526498490064</v>
      </c>
      <c r="AK717">
        <v>0.31309553527193701</v>
      </c>
      <c r="AL717">
        <v>89.062170024260695</v>
      </c>
      <c r="AM717">
        <v>88.532949742261707</v>
      </c>
      <c r="AN717">
        <v>0.999999998876833</v>
      </c>
    </row>
    <row r="718" spans="1:40" x14ac:dyDescent="0.25">
      <c r="A718" t="str">
        <f>"20190312154227592"</f>
        <v>20190312154227592</v>
      </c>
      <c r="B718" t="str">
        <f>"1552376547577647"</f>
        <v>1552376547577647</v>
      </c>
      <c r="C718" t="s">
        <v>40</v>
      </c>
      <c r="D718">
        <v>4.754753</v>
      </c>
      <c r="E718">
        <v>0.55481320000000001</v>
      </c>
      <c r="F718" t="s">
        <v>41</v>
      </c>
      <c r="G718">
        <v>-291.37310000000002</v>
      </c>
      <c r="H718">
        <v>0.78088809999999997</v>
      </c>
      <c r="I718">
        <v>367.9119</v>
      </c>
      <c r="J718">
        <v>-291.947</v>
      </c>
      <c r="K718">
        <v>1.0602400000000001</v>
      </c>
      <c r="L718">
        <v>368.05709999999999</v>
      </c>
      <c r="M718">
        <v>0.99982819999999994</v>
      </c>
      <c r="N718">
        <v>0</v>
      </c>
      <c r="O718">
        <v>1.1083890000000001E-2</v>
      </c>
      <c r="P718">
        <v>0.99989240000000001</v>
      </c>
      <c r="Q718">
        <v>1.427142E-3</v>
      </c>
      <c r="R718">
        <v>-1.461055E-2</v>
      </c>
      <c r="S718">
        <v>2.995209</v>
      </c>
      <c r="T718">
        <v>-0.88605419999999901</v>
      </c>
      <c r="U718">
        <v>-0.44680789999999998</v>
      </c>
      <c r="V718">
        <v>2.5697930000000001E-2</v>
      </c>
      <c r="W718">
        <v>1.62769E-2</v>
      </c>
      <c r="X718">
        <v>0.99953720000000001</v>
      </c>
      <c r="Y718">
        <v>0.15167</v>
      </c>
      <c r="Z718">
        <v>-2.5044299999999999E-2</v>
      </c>
      <c r="AA718">
        <v>0.98811389999999999</v>
      </c>
      <c r="AB718">
        <v>37</v>
      </c>
      <c r="AC718">
        <v>0.57389999999997998</v>
      </c>
      <c r="AD718">
        <v>-0.27935189999999999</v>
      </c>
      <c r="AE718">
        <v>-0.14519999999998801</v>
      </c>
      <c r="AF718">
        <v>0.12395117914922001</v>
      </c>
      <c r="AG718">
        <v>-0.27935189999999999</v>
      </c>
      <c r="AH718">
        <v>0.46803287391949799</v>
      </c>
      <c r="AI718">
        <v>119.983787923618</v>
      </c>
      <c r="AJ718">
        <v>75.166641896897005</v>
      </c>
      <c r="AK718">
        <v>0.55897777229102497</v>
      </c>
      <c r="AL718">
        <v>89.067361111330797</v>
      </c>
      <c r="AM718">
        <v>88.527259768721393</v>
      </c>
      <c r="AN718">
        <v>0.99999996763186705</v>
      </c>
    </row>
    <row r="719" spans="1:40" x14ac:dyDescent="0.25">
      <c r="A719" t="str">
        <f>"20190312154227614"</f>
        <v>20190312154227614</v>
      </c>
      <c r="B719" t="str">
        <f>"1552376547607906"</f>
        <v>1552376547607906</v>
      </c>
      <c r="C719" t="s">
        <v>40</v>
      </c>
      <c r="D719">
        <v>4.7613029999999998</v>
      </c>
      <c r="E719">
        <v>0.55480959999999901</v>
      </c>
      <c r="F719" t="s">
        <v>41</v>
      </c>
      <c r="G719">
        <v>-291.03730000000002</v>
      </c>
      <c r="H719">
        <v>0.79223669999999902</v>
      </c>
      <c r="I719">
        <v>367.92070000000001</v>
      </c>
      <c r="J719">
        <v>-291.57420000000002</v>
      </c>
      <c r="K719">
        <v>1.060235</v>
      </c>
      <c r="L719">
        <v>368.06119999999999</v>
      </c>
      <c r="M719">
        <v>0.99982939999999998</v>
      </c>
      <c r="N719">
        <v>0</v>
      </c>
      <c r="O719">
        <v>1.0984010000000001E-2</v>
      </c>
      <c r="P719">
        <v>0.99988500000000002</v>
      </c>
      <c r="Q719">
        <v>1.2473670000000001E-3</v>
      </c>
      <c r="R719">
        <v>-1.512087E-2</v>
      </c>
      <c r="S719">
        <v>2.9949650000000001</v>
      </c>
      <c r="T719">
        <v>-0.88234650000000003</v>
      </c>
      <c r="U719">
        <v>-0.4481812</v>
      </c>
      <c r="V719">
        <v>2.6108280000000001E-2</v>
      </c>
      <c r="W719">
        <v>1.6092390000000002E-2</v>
      </c>
      <c r="X719">
        <v>0.99952960000000002</v>
      </c>
      <c r="Y719">
        <v>0.15206929999999999</v>
      </c>
      <c r="Z719">
        <v>-2.4973470000000001E-2</v>
      </c>
      <c r="AA719">
        <v>0.98805430000000005</v>
      </c>
      <c r="AB719">
        <v>37</v>
      </c>
      <c r="AC719">
        <v>0.53690000000000204</v>
      </c>
      <c r="AD719">
        <v>-0.26799830000000002</v>
      </c>
      <c r="AE719">
        <v>-0.14049999999997401</v>
      </c>
      <c r="AF719">
        <v>0.118707932746318</v>
      </c>
      <c r="AG719">
        <v>-0.26799830000000002</v>
      </c>
      <c r="AH719">
        <v>0.43409692734677102</v>
      </c>
      <c r="AI719">
        <v>120.774016116312</v>
      </c>
      <c r="AJ719">
        <v>74.705839006306903</v>
      </c>
      <c r="AK719">
        <v>0.52378889300146703</v>
      </c>
      <c r="AL719">
        <v>89.077934183844903</v>
      </c>
      <c r="AM719">
        <v>88.503741974927394</v>
      </c>
      <c r="AN719">
        <v>1.0000000142883101</v>
      </c>
    </row>
    <row r="720" spans="1:40" x14ac:dyDescent="0.25">
      <c r="A720" t="str">
        <f>"20190312154227636"</f>
        <v>20190312154227636</v>
      </c>
      <c r="B720" t="str">
        <f>"1552376547628399"</f>
        <v>1552376547628399</v>
      </c>
      <c r="C720" t="s">
        <v>40</v>
      </c>
      <c r="D720">
        <v>4.7765709999999997</v>
      </c>
      <c r="E720">
        <v>0.55480940000000001</v>
      </c>
      <c r="F720" t="s">
        <v>41</v>
      </c>
      <c r="G720">
        <v>-290.70119999999997</v>
      </c>
      <c r="H720">
        <v>0.80498179999999997</v>
      </c>
      <c r="I720">
        <v>367.92989999999998</v>
      </c>
      <c r="J720">
        <v>-291.21120000000002</v>
      </c>
      <c r="K720">
        <v>1.0602339999999999</v>
      </c>
      <c r="L720">
        <v>368.06509999999997</v>
      </c>
      <c r="M720">
        <v>0.99983040000000001</v>
      </c>
      <c r="N720">
        <v>0</v>
      </c>
      <c r="O720">
        <v>1.0886760000000001E-2</v>
      </c>
      <c r="P720">
        <v>0.99987919999999997</v>
      </c>
      <c r="Q720">
        <v>1.1247060000000001E-3</v>
      </c>
      <c r="R720">
        <v>-1.550501E-2</v>
      </c>
      <c r="S720">
        <v>2.9946290000000002</v>
      </c>
      <c r="T720">
        <v>-0.87553950000000003</v>
      </c>
      <c r="U720">
        <v>-0.4499512</v>
      </c>
      <c r="V720">
        <v>2.639505E-2</v>
      </c>
      <c r="W720">
        <v>1.5965090000000001E-2</v>
      </c>
      <c r="X720">
        <v>0.99952410000000003</v>
      </c>
      <c r="Y720">
        <v>0.15264249999999999</v>
      </c>
      <c r="Z720">
        <v>-2.4844020000000001E-2</v>
      </c>
      <c r="AA720">
        <v>0.98796919999999999</v>
      </c>
      <c r="AB720">
        <v>37</v>
      </c>
      <c r="AC720">
        <v>0.51000000000004697</v>
      </c>
      <c r="AD720">
        <v>-0.25525219999999998</v>
      </c>
      <c r="AE720">
        <v>-0.13519999999999699</v>
      </c>
      <c r="AF720">
        <v>0.114051478205988</v>
      </c>
      <c r="AG720">
        <v>-0.25525219999999998</v>
      </c>
      <c r="AH720">
        <v>0.41205712227979102</v>
      </c>
      <c r="AI720">
        <v>120.837693814573</v>
      </c>
      <c r="AJ720">
        <v>74.528677867342196</v>
      </c>
      <c r="AK720">
        <v>0.497948287784298</v>
      </c>
      <c r="AL720">
        <v>89.085228864772205</v>
      </c>
      <c r="AM720">
        <v>88.487306543243804</v>
      </c>
      <c r="AN720">
        <v>1.0000000046220101</v>
      </c>
    </row>
    <row r="721" spans="1:40" x14ac:dyDescent="0.25">
      <c r="A721" t="str">
        <f>"20190312154227658"</f>
        <v>20190312154227658</v>
      </c>
      <c r="B721" t="str">
        <f>"1552376547647919"</f>
        <v>1552376547647919</v>
      </c>
      <c r="C721" t="s">
        <v>40</v>
      </c>
      <c r="D721">
        <v>4.7387940000000004</v>
      </c>
      <c r="E721">
        <v>0.55480189999999996</v>
      </c>
      <c r="F721" t="s">
        <v>41</v>
      </c>
      <c r="G721">
        <v>-290.36680000000001</v>
      </c>
      <c r="H721">
        <v>0.81465220000000005</v>
      </c>
      <c r="I721">
        <v>367.93729999999999</v>
      </c>
      <c r="J721">
        <v>-290.846</v>
      </c>
      <c r="K721">
        <v>1.0602320000000001</v>
      </c>
      <c r="L721">
        <v>368.06900000000002</v>
      </c>
      <c r="M721">
        <v>0.99983160000000004</v>
      </c>
      <c r="N721">
        <v>0</v>
      </c>
      <c r="O721">
        <v>1.078903E-2</v>
      </c>
      <c r="P721">
        <v>0.99987230000000005</v>
      </c>
      <c r="Q721">
        <v>8.5284E-4</v>
      </c>
      <c r="R721">
        <v>-1.5970120000000001E-2</v>
      </c>
      <c r="S721">
        <v>2.994354</v>
      </c>
      <c r="T721">
        <v>-0.87094179999999999</v>
      </c>
      <c r="U721">
        <v>-0.45156859999999999</v>
      </c>
      <c r="V721">
        <v>2.676226E-2</v>
      </c>
      <c r="W721">
        <v>1.568808E-2</v>
      </c>
      <c r="X721">
        <v>0.99951869999999998</v>
      </c>
      <c r="Y721">
        <v>0.15313360000000001</v>
      </c>
      <c r="Z721">
        <v>-2.4761780000000001E-2</v>
      </c>
      <c r="AA721">
        <v>0.98789519999999997</v>
      </c>
      <c r="AB721">
        <v>37</v>
      </c>
      <c r="AC721">
        <v>0.47919999999999102</v>
      </c>
      <c r="AD721">
        <v>-0.24557979999999999</v>
      </c>
      <c r="AE721">
        <v>-0.13170000000002299</v>
      </c>
      <c r="AF721">
        <v>0.110001694313104</v>
      </c>
      <c r="AG721">
        <v>-0.24557979999999999</v>
      </c>
      <c r="AH721">
        <v>0.38398559592447101</v>
      </c>
      <c r="AI721">
        <v>121.584187085209</v>
      </c>
      <c r="AJ721">
        <v>74.014395852130207</v>
      </c>
      <c r="AK721">
        <v>0.46888671211420002</v>
      </c>
      <c r="AL721">
        <v>89.101102337350795</v>
      </c>
      <c r="AM721">
        <v>88.466263534225405</v>
      </c>
      <c r="AN721">
        <v>0.99999998303204096</v>
      </c>
    </row>
    <row r="722" spans="1:40" x14ac:dyDescent="0.25">
      <c r="A722" t="str">
        <f>"20190312154227681"</f>
        <v>20190312154227681</v>
      </c>
      <c r="B722" t="str">
        <f>"1552376547668419"</f>
        <v>1552376547668419</v>
      </c>
      <c r="C722" t="s">
        <v>40</v>
      </c>
      <c r="D722">
        <v>4.7507519999999896</v>
      </c>
      <c r="E722">
        <v>0.55474019999999902</v>
      </c>
      <c r="F722" t="s">
        <v>41</v>
      </c>
      <c r="G722">
        <v>-290.03280000000001</v>
      </c>
      <c r="H722">
        <v>0.8242524</v>
      </c>
      <c r="I722">
        <v>367.94569999999999</v>
      </c>
      <c r="J722">
        <v>-290.48340000000002</v>
      </c>
      <c r="K722">
        <v>1.0602290000000001</v>
      </c>
      <c r="L722">
        <v>368.07279999999997</v>
      </c>
      <c r="M722">
        <v>0.99983270000000002</v>
      </c>
      <c r="N722">
        <v>0</v>
      </c>
      <c r="O722">
        <v>1.0691849999999999E-2</v>
      </c>
      <c r="P722">
        <v>0.99987110000000001</v>
      </c>
      <c r="Q722">
        <v>1.0063330000000001E-3</v>
      </c>
      <c r="R722">
        <v>-1.6027799999999998E-2</v>
      </c>
      <c r="S722">
        <v>2.9938349999999998</v>
      </c>
      <c r="T722">
        <v>-0.8686992</v>
      </c>
      <c r="U722">
        <v>-0.4536133</v>
      </c>
      <c r="V722">
        <v>2.672281E-2</v>
      </c>
      <c r="W722">
        <v>1.583731E-2</v>
      </c>
      <c r="X722">
        <v>0.9995174</v>
      </c>
      <c r="Y722">
        <v>0.15373429999999999</v>
      </c>
      <c r="Z722">
        <v>-2.4760830000000001E-2</v>
      </c>
      <c r="AA722">
        <v>0.98780199999999996</v>
      </c>
      <c r="AB722">
        <v>37</v>
      </c>
      <c r="AC722">
        <v>0.45060000000000799</v>
      </c>
      <c r="AD722">
        <v>-0.23597660000000001</v>
      </c>
      <c r="AE722">
        <v>-0.127099999999984</v>
      </c>
      <c r="AF722">
        <v>0.10518856489416099</v>
      </c>
      <c r="AG722">
        <v>-0.23597660000000001</v>
      </c>
      <c r="AH722">
        <v>0.35821344114631498</v>
      </c>
      <c r="AI722">
        <v>122.295823218697</v>
      </c>
      <c r="AJ722">
        <v>73.635243275634906</v>
      </c>
      <c r="AK722">
        <v>0.44166328730146598</v>
      </c>
      <c r="AL722">
        <v>89.092551023709206</v>
      </c>
      <c r="AM722">
        <v>88.468521332534806</v>
      </c>
      <c r="AN722">
        <v>0.99999998093254505</v>
      </c>
    </row>
    <row r="723" spans="1:40" x14ac:dyDescent="0.25">
      <c r="A723" t="str">
        <f>"20190312154227703"</f>
        <v>20190312154227703</v>
      </c>
      <c r="B723" t="str">
        <f>"1552376547697695"</f>
        <v>1552376547697695</v>
      </c>
      <c r="C723" t="s">
        <v>40</v>
      </c>
      <c r="D723">
        <v>4.738753</v>
      </c>
      <c r="E723">
        <v>0.55473490000000003</v>
      </c>
      <c r="F723" t="s">
        <v>41</v>
      </c>
      <c r="G723">
        <v>-289.69929999999999</v>
      </c>
      <c r="H723">
        <v>0.83339920000000001</v>
      </c>
      <c r="I723">
        <v>367.9538</v>
      </c>
      <c r="J723">
        <v>-290.10820000000001</v>
      </c>
      <c r="K723">
        <v>1.06023</v>
      </c>
      <c r="L723">
        <v>368.07670000000002</v>
      </c>
      <c r="M723">
        <v>0.99983390000000005</v>
      </c>
      <c r="N723">
        <v>0</v>
      </c>
      <c r="O723">
        <v>1.059074E-2</v>
      </c>
      <c r="P723">
        <v>0.99986980000000003</v>
      </c>
      <c r="Q723">
        <v>8.316021E-4</v>
      </c>
      <c r="R723">
        <v>-1.6136259999999999E-2</v>
      </c>
      <c r="S723">
        <v>2.9940190000000002</v>
      </c>
      <c r="T723">
        <v>-0.86621269999999995</v>
      </c>
      <c r="U723">
        <v>-0.45315549999999999</v>
      </c>
      <c r="V723">
        <v>2.6730139999999999E-2</v>
      </c>
      <c r="W723">
        <v>1.5658040000000002E-2</v>
      </c>
      <c r="X723">
        <v>0.99952010000000002</v>
      </c>
      <c r="Y723">
        <v>0.153528</v>
      </c>
      <c r="Z723">
        <v>-2.4633950000000002E-2</v>
      </c>
      <c r="AA723">
        <v>0.98783719999999997</v>
      </c>
      <c r="AB723">
        <v>37</v>
      </c>
      <c r="AC723">
        <v>0.40890000000001597</v>
      </c>
      <c r="AD723">
        <v>-0.2268308</v>
      </c>
      <c r="AE723">
        <v>-0.122900000000015</v>
      </c>
      <c r="AF723">
        <v>9.9220713935035496E-2</v>
      </c>
      <c r="AG723">
        <v>-0.2268308</v>
      </c>
      <c r="AH723">
        <v>0.31786353812303098</v>
      </c>
      <c r="AI723">
        <v>124.26250080933001</v>
      </c>
      <c r="AJ723">
        <v>72.664310558600107</v>
      </c>
      <c r="AK723">
        <v>0.40290717388811698</v>
      </c>
      <c r="AL723">
        <v>89.102823776320704</v>
      </c>
      <c r="AM723">
        <v>88.468105588044196</v>
      </c>
      <c r="AN723">
        <v>1.0000000524525301</v>
      </c>
    </row>
    <row r="724" spans="1:40" x14ac:dyDescent="0.25">
      <c r="A724" t="str">
        <f>"20190312154227726"</f>
        <v>20190312154227726</v>
      </c>
      <c r="B724" t="str">
        <f>"1552376547718195"</f>
        <v>1552376547718195</v>
      </c>
      <c r="C724" t="s">
        <v>40</v>
      </c>
      <c r="D724">
        <v>4.6931510000000003</v>
      </c>
      <c r="E724">
        <v>0.55464279999999999</v>
      </c>
      <c r="F724" t="s">
        <v>41</v>
      </c>
      <c r="G724">
        <v>-289.36500000000001</v>
      </c>
      <c r="H724">
        <v>0.84594999999999998</v>
      </c>
      <c r="I724">
        <v>367.96390000000002</v>
      </c>
      <c r="J724">
        <v>-289.73500000000001</v>
      </c>
      <c r="K724">
        <v>1.060233</v>
      </c>
      <c r="L724">
        <v>368.08049999999997</v>
      </c>
      <c r="M724">
        <v>0.99983509999999998</v>
      </c>
      <c r="N724">
        <v>0</v>
      </c>
      <c r="O724">
        <v>1.049016E-2</v>
      </c>
      <c r="P724">
        <v>0.99987219999999999</v>
      </c>
      <c r="Q724">
        <v>1.179315E-3</v>
      </c>
      <c r="R724">
        <v>-1.595825E-2</v>
      </c>
      <c r="S724">
        <v>2.9937740000000002</v>
      </c>
      <c r="T724">
        <v>-0.86319760000000001</v>
      </c>
      <c r="U724">
        <v>-0.4542542</v>
      </c>
      <c r="V724">
        <v>2.645171E-2</v>
      </c>
      <c r="W724">
        <v>1.60018E-2</v>
      </c>
      <c r="X724">
        <v>0.99952200000000002</v>
      </c>
      <c r="Y724">
        <v>0.1538312</v>
      </c>
      <c r="Z724">
        <v>-2.4567100000000001E-2</v>
      </c>
      <c r="AA724">
        <v>0.98779170000000005</v>
      </c>
      <c r="AB724">
        <v>37</v>
      </c>
      <c r="AC724">
        <v>0.37000000000000399</v>
      </c>
      <c r="AD724">
        <v>-0.214283</v>
      </c>
      <c r="AE724">
        <v>-0.116599999999948</v>
      </c>
      <c r="AF724">
        <v>9.2310742348670705E-2</v>
      </c>
      <c r="AG724">
        <v>-0.214283</v>
      </c>
      <c r="AH724">
        <v>0.28254881312889202</v>
      </c>
      <c r="AI724">
        <v>125.787637688979</v>
      </c>
      <c r="AJ724">
        <v>71.907410227174296</v>
      </c>
      <c r="AK724">
        <v>0.366431861391048</v>
      </c>
      <c r="AL724">
        <v>89.083125254151696</v>
      </c>
      <c r="AM724">
        <v>88.484057703441195</v>
      </c>
      <c r="AN724">
        <v>0.99999998952458202</v>
      </c>
    </row>
    <row r="725" spans="1:40" x14ac:dyDescent="0.25">
      <c r="A725" t="str">
        <f>"20190312154227747"</f>
        <v>20190312154227747</v>
      </c>
      <c r="B725" t="str">
        <f>"1552376547737711"</f>
        <v>1552376547737711</v>
      </c>
      <c r="C725" t="s">
        <v>40</v>
      </c>
      <c r="D725">
        <v>4.6618940000000002</v>
      </c>
      <c r="E725">
        <v>0.55460480000000001</v>
      </c>
      <c r="F725" t="s">
        <v>41</v>
      </c>
      <c r="G725">
        <v>-289.03109999999998</v>
      </c>
      <c r="H725">
        <v>0.85803949999999996</v>
      </c>
      <c r="I725">
        <v>367.97370000000001</v>
      </c>
      <c r="J725">
        <v>-289.3723</v>
      </c>
      <c r="K725">
        <v>1.060235</v>
      </c>
      <c r="L725">
        <v>368.08420000000001</v>
      </c>
      <c r="M725">
        <v>0.99983610000000001</v>
      </c>
      <c r="N725">
        <v>0</v>
      </c>
      <c r="O725">
        <v>1.03918E-2</v>
      </c>
      <c r="P725">
        <v>0.99987269999999995</v>
      </c>
      <c r="Q725">
        <v>1.1584480000000001E-3</v>
      </c>
      <c r="R725">
        <v>-1.5928100000000001E-2</v>
      </c>
      <c r="S725">
        <v>2.9941710000000001</v>
      </c>
      <c r="T725">
        <v>-0.86004780000000003</v>
      </c>
      <c r="U725">
        <v>-0.45288089999999998</v>
      </c>
      <c r="V725">
        <v>2.632342E-2</v>
      </c>
      <c r="W725">
        <v>1.5976529999999999E-2</v>
      </c>
      <c r="X725">
        <v>0.99952580000000002</v>
      </c>
      <c r="Y725">
        <v>0.15334300000000001</v>
      </c>
      <c r="Z725">
        <v>-2.4382669999999999E-2</v>
      </c>
      <c r="AA725">
        <v>0.98787219999999998</v>
      </c>
      <c r="AB725">
        <v>37</v>
      </c>
      <c r="AC725">
        <v>0.34120000000001399</v>
      </c>
      <c r="AD725">
        <v>-0.2021955</v>
      </c>
      <c r="AE725">
        <v>-0.110500000000001</v>
      </c>
      <c r="AF725">
        <v>8.65356243407992E-2</v>
      </c>
      <c r="AG725">
        <v>-0.2021955</v>
      </c>
      <c r="AH725">
        <v>0.25802309984577998</v>
      </c>
      <c r="AI725">
        <v>126.61096642976101</v>
      </c>
      <c r="AJ725">
        <v>71.459609744234697</v>
      </c>
      <c r="AK725">
        <v>0.33903886879578699</v>
      </c>
      <c r="AL725">
        <v>89.084573311759598</v>
      </c>
      <c r="AM725">
        <v>88.4914123049777</v>
      </c>
      <c r="AN725">
        <v>0.99999999840848797</v>
      </c>
    </row>
    <row r="726" spans="1:40" x14ac:dyDescent="0.25">
      <c r="A726" t="str">
        <f>"20190312154227770"</f>
        <v>20190312154227770</v>
      </c>
      <c r="B726" t="str">
        <f>"1552376547758207"</f>
        <v>1552376547758207</v>
      </c>
      <c r="C726" t="s">
        <v>40</v>
      </c>
      <c r="D726">
        <v>4.6704860000000004</v>
      </c>
      <c r="E726">
        <v>0.5546008</v>
      </c>
      <c r="F726" t="s">
        <v>41</v>
      </c>
      <c r="G726">
        <v>-288.6986</v>
      </c>
      <c r="H726">
        <v>0.86723939999999999</v>
      </c>
      <c r="I726">
        <v>367.9821</v>
      </c>
      <c r="J726">
        <v>-289.00189999999998</v>
      </c>
      <c r="K726">
        <v>1.060236</v>
      </c>
      <c r="L726">
        <v>368.08800000000002</v>
      </c>
      <c r="M726">
        <v>0.99983719999999998</v>
      </c>
      <c r="N726">
        <v>0</v>
      </c>
      <c r="O726">
        <v>1.029188E-2</v>
      </c>
      <c r="P726">
        <v>0.99987630000000005</v>
      </c>
      <c r="Q726">
        <v>1.462147E-3</v>
      </c>
      <c r="R726">
        <v>-1.5671500000000001E-2</v>
      </c>
      <c r="S726">
        <v>2.994202</v>
      </c>
      <c r="T726">
        <v>-0.8577456</v>
      </c>
      <c r="U726">
        <v>-0.45291140000000002</v>
      </c>
      <c r="V726">
        <v>2.5966929999999999E-2</v>
      </c>
      <c r="W726">
        <v>1.6275939999999999E-2</v>
      </c>
      <c r="X726">
        <v>0.99953029999999998</v>
      </c>
      <c r="Y726">
        <v>0.1532927</v>
      </c>
      <c r="Z726">
        <v>-2.4284699999999999E-2</v>
      </c>
      <c r="AA726">
        <v>0.98788240000000005</v>
      </c>
      <c r="AB726">
        <v>37</v>
      </c>
      <c r="AC726">
        <v>0.30329999999997798</v>
      </c>
      <c r="AD726">
        <v>-0.19299659999999999</v>
      </c>
      <c r="AE726">
        <v>-0.10590000000001901</v>
      </c>
      <c r="AF726">
        <v>8.0105575417997302E-2</v>
      </c>
      <c r="AG726">
        <v>-0.19299659999999999</v>
      </c>
      <c r="AH726">
        <v>0.22205326499814701</v>
      </c>
      <c r="AI726">
        <v>129.26849326955201</v>
      </c>
      <c r="AJ726">
        <v>70.163123051429807</v>
      </c>
      <c r="AK726">
        <v>0.30491350137530099</v>
      </c>
      <c r="AL726">
        <v>89.067416156624901</v>
      </c>
      <c r="AM726">
        <v>88.511840091894598</v>
      </c>
      <c r="AN726">
        <v>1.0000000041472901</v>
      </c>
    </row>
    <row r="727" spans="1:40" x14ac:dyDescent="0.25">
      <c r="A727" t="str">
        <f>"20190312154227793"</f>
        <v>20190312154227793</v>
      </c>
      <c r="B727" t="str">
        <f>"1552376547777727"</f>
        <v>1552376547777727</v>
      </c>
      <c r="C727" t="s">
        <v>40</v>
      </c>
      <c r="D727">
        <v>4.6470070000000003</v>
      </c>
      <c r="E727">
        <v>0.55454300000000001</v>
      </c>
      <c r="F727" t="s">
        <v>41</v>
      </c>
      <c r="G727">
        <v>-288.07150000000001</v>
      </c>
      <c r="H727">
        <v>0.7947111</v>
      </c>
      <c r="I727">
        <v>367.94720000000001</v>
      </c>
      <c r="J727">
        <v>-288.6377</v>
      </c>
      <c r="K727">
        <v>1.0602480000000001</v>
      </c>
      <c r="L727">
        <v>368.09160000000003</v>
      </c>
      <c r="M727">
        <v>0.99983820000000001</v>
      </c>
      <c r="N727">
        <v>0</v>
      </c>
      <c r="O727">
        <v>1.0193280000000001E-2</v>
      </c>
      <c r="P727">
        <v>0.99988069999999896</v>
      </c>
      <c r="Q727">
        <v>1.56456E-3</v>
      </c>
      <c r="R727">
        <v>-1.5368969999999999E-2</v>
      </c>
      <c r="S727">
        <v>2.9945369999999998</v>
      </c>
      <c r="T727">
        <v>-0.85458060000000002</v>
      </c>
      <c r="U727">
        <v>-0.45260620000000001</v>
      </c>
      <c r="V727">
        <v>2.5565979999999999E-2</v>
      </c>
      <c r="W727">
        <v>1.6374639999999999E-2</v>
      </c>
      <c r="X727">
        <v>0.99953899999999996</v>
      </c>
      <c r="Y727">
        <v>0.15313829999999901</v>
      </c>
      <c r="Z727">
        <v>-2.4147129999999999E-2</v>
      </c>
      <c r="AA727">
        <v>0.9879097</v>
      </c>
      <c r="AB727">
        <v>37</v>
      </c>
      <c r="AC727">
        <v>0.56619999999998005</v>
      </c>
      <c r="AD727">
        <v>-0.26553689999999902</v>
      </c>
      <c r="AE727">
        <v>-0.14440000000001799</v>
      </c>
      <c r="AF727">
        <v>0.124461825829305</v>
      </c>
      <c r="AG727">
        <v>-0.26553689999999902</v>
      </c>
      <c r="AH727">
        <v>0.46804255667693401</v>
      </c>
      <c r="AI727">
        <v>118.735106328236</v>
      </c>
      <c r="AJ727">
        <v>75.1085366806428</v>
      </c>
      <c r="AK727">
        <v>0.55232637653026695</v>
      </c>
      <c r="AL727">
        <v>89.061760287139094</v>
      </c>
      <c r="AM727">
        <v>88.534821114031601</v>
      </c>
      <c r="AN727">
        <v>0.99999998034474402</v>
      </c>
    </row>
    <row r="728" spans="1:40" x14ac:dyDescent="0.25">
      <c r="A728" t="str">
        <f>"20190312154227814"</f>
        <v>20190312154227814</v>
      </c>
      <c r="B728" t="str">
        <f>"1552376547807988"</f>
        <v>1552376547807988</v>
      </c>
      <c r="C728" t="s">
        <v>40</v>
      </c>
      <c r="D728">
        <v>4.578341</v>
      </c>
      <c r="E728">
        <v>0.55402769999999901</v>
      </c>
      <c r="F728" t="s">
        <v>41</v>
      </c>
      <c r="G728">
        <v>-287.73989999999998</v>
      </c>
      <c r="H728">
        <v>0.80489180000000005</v>
      </c>
      <c r="I728">
        <v>367.9556</v>
      </c>
      <c r="J728">
        <v>-288.26920000000001</v>
      </c>
      <c r="K728">
        <v>1.060254</v>
      </c>
      <c r="L728">
        <v>368.09530000000001</v>
      </c>
      <c r="M728">
        <v>0.99983940000000004</v>
      </c>
      <c r="N728">
        <v>0</v>
      </c>
      <c r="O728">
        <v>1.009354E-2</v>
      </c>
      <c r="P728">
        <v>0.99988489999999997</v>
      </c>
      <c r="Q728">
        <v>1.57977799999999E-3</v>
      </c>
      <c r="R728">
        <v>-1.5106329999999999E-2</v>
      </c>
      <c r="S728">
        <v>2.9947810000000001</v>
      </c>
      <c r="T728">
        <v>-0.85185659999999896</v>
      </c>
      <c r="U728">
        <v>-0.45205689999999998</v>
      </c>
      <c r="V728">
        <v>2.520352E-2</v>
      </c>
      <c r="W728">
        <v>1.63856E-2</v>
      </c>
      <c r="X728">
        <v>0.99954799999999999</v>
      </c>
      <c r="Y728">
        <v>0.15290429999999999</v>
      </c>
      <c r="Z728">
        <v>-2.4011359999999999E-2</v>
      </c>
      <c r="AA728">
        <v>0.98794930000000003</v>
      </c>
      <c r="AB728">
        <v>37</v>
      </c>
      <c r="AC728">
        <v>0.52930000000003397</v>
      </c>
      <c r="AD728">
        <v>-0.25536219999999998</v>
      </c>
      <c r="AE728">
        <v>-0.13970000000000399</v>
      </c>
      <c r="AF728">
        <v>0.11911605980690999</v>
      </c>
      <c r="AG728">
        <v>-0.25536219999999998</v>
      </c>
      <c r="AH728">
        <v>0.43352648438049401</v>
      </c>
      <c r="AI728">
        <v>119.59593784116601</v>
      </c>
      <c r="AJ728">
        <v>74.636494031871905</v>
      </c>
      <c r="AK728">
        <v>0.51705290014859595</v>
      </c>
      <c r="AL728">
        <v>89.061132217142898</v>
      </c>
      <c r="AM728">
        <v>88.555597728236094</v>
      </c>
      <c r="AN728">
        <v>0.999999954805874</v>
      </c>
    </row>
    <row r="729" spans="1:40" x14ac:dyDescent="0.25">
      <c r="A729" t="str">
        <f>"20190312154227837"</f>
        <v>20190312154227837</v>
      </c>
      <c r="B729" t="str">
        <f>"1552376547828480"</f>
        <v>1552376547828480</v>
      </c>
      <c r="C729" t="s">
        <v>40</v>
      </c>
      <c r="D729">
        <v>4.612018</v>
      </c>
      <c r="E729">
        <v>0.52304379999999995</v>
      </c>
      <c r="F729" t="s">
        <v>41</v>
      </c>
      <c r="G729">
        <v>-287.40730000000002</v>
      </c>
      <c r="H729">
        <v>0.81837979999999999</v>
      </c>
      <c r="I729">
        <v>367.96640000000002</v>
      </c>
      <c r="J729">
        <v>-287.90780000000001</v>
      </c>
      <c r="K729">
        <v>1.0602560000000001</v>
      </c>
      <c r="L729">
        <v>368.09879999999998</v>
      </c>
      <c r="M729">
        <v>0.99984039999999996</v>
      </c>
      <c r="N729">
        <v>0</v>
      </c>
      <c r="O729">
        <v>9.9961230000000009E-3</v>
      </c>
      <c r="P729">
        <v>0.99988129999999997</v>
      </c>
      <c r="Q729">
        <v>1.7747170000000001E-3</v>
      </c>
      <c r="R729">
        <v>-1.5315209999999999E-2</v>
      </c>
      <c r="S729">
        <v>2.9948730000000001</v>
      </c>
      <c r="T729">
        <v>-0.84053529999999999</v>
      </c>
      <c r="U729">
        <v>-0.44726559999999999</v>
      </c>
      <c r="V729">
        <v>2.531514E-2</v>
      </c>
      <c r="W729">
        <v>1.657631E-2</v>
      </c>
      <c r="X729">
        <v>0.99954209999999999</v>
      </c>
      <c r="Y729">
        <v>0.1514781</v>
      </c>
      <c r="Z729">
        <v>-2.3483939999999998E-2</v>
      </c>
      <c r="AA729">
        <v>0.98818159999999999</v>
      </c>
      <c r="AB729">
        <v>37</v>
      </c>
      <c r="AC729">
        <v>0.50049999999998795</v>
      </c>
      <c r="AD729">
        <v>-0.24187619999999899</v>
      </c>
      <c r="AE729">
        <v>-0.13239999999996099</v>
      </c>
      <c r="AF729">
        <v>0.11278000169209899</v>
      </c>
      <c r="AG729">
        <v>-0.24187619999999899</v>
      </c>
      <c r="AH729">
        <v>0.40971996665140398</v>
      </c>
      <c r="AI729">
        <v>119.64749186402</v>
      </c>
      <c r="AJ729">
        <v>74.6098372667159</v>
      </c>
      <c r="AK729">
        <v>0.48897226504264801</v>
      </c>
      <c r="AL729">
        <v>89.050203916174596</v>
      </c>
      <c r="AM729">
        <v>88.549195004748299</v>
      </c>
      <c r="AN729">
        <v>1.0000000200194199</v>
      </c>
    </row>
    <row r="730" spans="1:40" x14ac:dyDescent="0.25">
      <c r="A730" t="str">
        <f>"20190312154227848"</f>
        <v>20190312154227848</v>
      </c>
      <c r="B730" t="str">
        <f>"1552376547838240"</f>
        <v>1552376547838240</v>
      </c>
      <c r="C730" t="s">
        <v>40</v>
      </c>
      <c r="D730">
        <v>4.6308920000000002</v>
      </c>
      <c r="E730">
        <v>0.52100440000000003</v>
      </c>
      <c r="F730" t="s">
        <v>41</v>
      </c>
      <c r="G730">
        <v>-287.00170000000003</v>
      </c>
      <c r="H730">
        <v>0.99020540000000001</v>
      </c>
      <c r="I730">
        <v>368.03129999999999</v>
      </c>
      <c r="J730">
        <v>-287.72269999999997</v>
      </c>
      <c r="K730">
        <v>1.0602499999999999</v>
      </c>
      <c r="L730">
        <v>368.10070000000002</v>
      </c>
      <c r="M730">
        <v>0.99984090000000003</v>
      </c>
      <c r="N730">
        <v>0</v>
      </c>
      <c r="O730">
        <v>9.9461340000000006E-3</v>
      </c>
      <c r="P730">
        <v>0.99988339999999998</v>
      </c>
      <c r="Q730">
        <v>1.9506980000000001E-3</v>
      </c>
      <c r="R730">
        <v>-1.5146969999999999E-2</v>
      </c>
      <c r="S730">
        <v>2.9973749999999999</v>
      </c>
      <c r="T730">
        <v>-0.2320999</v>
      </c>
      <c r="U730">
        <v>-0.2218628</v>
      </c>
      <c r="V730">
        <v>2.5097060000000001E-2</v>
      </c>
      <c r="W730">
        <v>1.6750330000000001E-2</v>
      </c>
      <c r="X730">
        <v>0.99954469999999995</v>
      </c>
      <c r="Y730">
        <v>8.3455379999999996E-2</v>
      </c>
      <c r="Z730">
        <v>-3.9900619999999999E-3</v>
      </c>
      <c r="AA730">
        <v>0.99650349999999999</v>
      </c>
      <c r="AB730">
        <v>37</v>
      </c>
      <c r="AC730">
        <v>0.72099999999994602</v>
      </c>
      <c r="AD730">
        <v>-7.0044599999999901E-2</v>
      </c>
      <c r="AE730">
        <v>-6.9400000000030104E-2</v>
      </c>
      <c r="AF730">
        <v>7.5859131281625206E-2</v>
      </c>
      <c r="AG730">
        <v>-7.0044599999999901E-2</v>
      </c>
      <c r="AH730">
        <v>0.71360087145025697</v>
      </c>
      <c r="AI730">
        <v>95.574786605024897</v>
      </c>
      <c r="AJ730">
        <v>83.931978104156798</v>
      </c>
      <c r="AK730">
        <v>0.721031939322059</v>
      </c>
      <c r="AL730">
        <v>89.040231921824002</v>
      </c>
      <c r="AM730">
        <v>88.561691587578906</v>
      </c>
      <c r="AN730">
        <v>1.00000002163692</v>
      </c>
    </row>
    <row r="731" spans="1:40" x14ac:dyDescent="0.25">
      <c r="A731" t="str">
        <f>"20190312154227860"</f>
        <v>20190312154227860</v>
      </c>
      <c r="B731" t="str">
        <f>"1552376547847999"</f>
        <v>1552376547847999</v>
      </c>
      <c r="C731" t="s">
        <v>40</v>
      </c>
      <c r="D731">
        <v>4.606077</v>
      </c>
      <c r="E731">
        <v>0.51988610000000002</v>
      </c>
      <c r="F731" t="s">
        <v>41</v>
      </c>
      <c r="G731">
        <v>-286.6671</v>
      </c>
      <c r="H731">
        <v>1.0001580000000001</v>
      </c>
      <c r="I731">
        <v>368.02760000000001</v>
      </c>
      <c r="J731">
        <v>-287.524</v>
      </c>
      <c r="K731">
        <v>1.0602499999999999</v>
      </c>
      <c r="L731">
        <v>368.1026</v>
      </c>
      <c r="M731">
        <v>0.99984150000000005</v>
      </c>
      <c r="N731">
        <v>0</v>
      </c>
      <c r="O731">
        <v>9.8928060000000005E-3</v>
      </c>
      <c r="P731">
        <v>0.9998804</v>
      </c>
      <c r="Q731">
        <v>2.0259940000000001E-3</v>
      </c>
      <c r="R731">
        <v>-1.533793E-2</v>
      </c>
      <c r="S731">
        <v>2.9975589999999999</v>
      </c>
      <c r="T731">
        <v>-0.1707534</v>
      </c>
      <c r="U731">
        <v>-0.2067261</v>
      </c>
      <c r="V731">
        <v>2.523456E-2</v>
      </c>
      <c r="W731">
        <v>1.6822799999999999E-2</v>
      </c>
      <c r="X731">
        <v>0.99953999999999998</v>
      </c>
      <c r="Y731">
        <v>7.8525800000000007E-2</v>
      </c>
      <c r="Z731">
        <v>-2.794637E-3</v>
      </c>
      <c r="AA731">
        <v>0.99690820000000002</v>
      </c>
      <c r="AB731">
        <v>37</v>
      </c>
      <c r="AC731">
        <v>0.856899999999996</v>
      </c>
      <c r="AD731">
        <v>-6.0091999999999798E-2</v>
      </c>
      <c r="AE731">
        <v>-7.4999999999988604E-2</v>
      </c>
      <c r="AF731">
        <v>8.3068990368670506E-2</v>
      </c>
      <c r="AG731">
        <v>-6.0091999999999798E-2</v>
      </c>
      <c r="AH731">
        <v>0.85195808843249399</v>
      </c>
      <c r="AI731">
        <v>94.015637426368201</v>
      </c>
      <c r="AJ731">
        <v>84.431057953603002</v>
      </c>
      <c r="AK731">
        <v>0.85810494117585701</v>
      </c>
      <c r="AL731">
        <v>89.036079091351695</v>
      </c>
      <c r="AM731">
        <v>88.553808025075995</v>
      </c>
      <c r="AN731">
        <v>1.0000000006091101</v>
      </c>
    </row>
    <row r="732" spans="1:40" x14ac:dyDescent="0.25">
      <c r="A732" t="str">
        <f>"20190312154227873"</f>
        <v>20190312154227873</v>
      </c>
      <c r="B732" t="str">
        <f>"1552376547868496"</f>
        <v>1552376547868496</v>
      </c>
      <c r="C732" t="s">
        <v>40</v>
      </c>
      <c r="D732">
        <v>4.6357819999999998</v>
      </c>
      <c r="E732">
        <v>0.51871440000000002</v>
      </c>
      <c r="F732" t="s">
        <v>43</v>
      </c>
      <c r="G732">
        <v>-263.16460000000001</v>
      </c>
      <c r="H732" s="1">
        <v>-3.4713359999999998E-6</v>
      </c>
      <c r="I732">
        <v>366.47809999999998</v>
      </c>
      <c r="J732">
        <v>-287.32679999999999</v>
      </c>
      <c r="K732">
        <v>1.0602510000000001</v>
      </c>
      <c r="L732">
        <v>368.10449999999997</v>
      </c>
      <c r="M732">
        <v>0.99984200000000001</v>
      </c>
      <c r="N732">
        <v>0</v>
      </c>
      <c r="O732">
        <v>9.8398370000000006E-3</v>
      </c>
      <c r="P732">
        <v>0.99987939999999997</v>
      </c>
      <c r="Q732">
        <v>1.8631419999999999E-3</v>
      </c>
      <c r="R732">
        <v>-1.5428030000000001E-2</v>
      </c>
      <c r="S732">
        <v>2.9975589999999999</v>
      </c>
      <c r="T732">
        <v>-0.130469899999999</v>
      </c>
      <c r="U732">
        <v>-0.19989009999999999</v>
      </c>
      <c r="V732">
        <v>2.5271660000000001E-2</v>
      </c>
      <c r="W732">
        <v>1.665784E-2</v>
      </c>
      <c r="X732">
        <v>0.99954180000000004</v>
      </c>
      <c r="Y732">
        <v>7.6271240000000004E-2</v>
      </c>
      <c r="Z732">
        <v>-2.0849269999999999E-3</v>
      </c>
      <c r="AA732">
        <v>0.99708490000000005</v>
      </c>
      <c r="AB732">
        <v>37</v>
      </c>
      <c r="AC732">
        <v>24.162199999999899</v>
      </c>
      <c r="AD732">
        <v>-1.060254471336</v>
      </c>
      <c r="AE732">
        <v>-1.6263999999999801</v>
      </c>
      <c r="AF732">
        <v>1.86053308188489</v>
      </c>
      <c r="AG732">
        <v>-1.060254471336</v>
      </c>
      <c r="AH732">
        <v>24.098831325196699</v>
      </c>
      <c r="AI732">
        <v>92.511701217127893</v>
      </c>
      <c r="AJ732">
        <v>85.585277635816695</v>
      </c>
      <c r="AK732">
        <v>24.193788337775</v>
      </c>
      <c r="AL732">
        <v>89.045531903497405</v>
      </c>
      <c r="AM732">
        <v>88.551685337041803</v>
      </c>
      <c r="AN732">
        <v>0.99999997518993</v>
      </c>
    </row>
    <row r="733" spans="1:40" x14ac:dyDescent="0.25">
      <c r="A733" t="str">
        <f>"20190312154227893"</f>
        <v>20190312154227893</v>
      </c>
      <c r="B733" t="str">
        <f>"1552376547888016"</f>
        <v>1552376547888016</v>
      </c>
      <c r="C733" t="s">
        <v>40</v>
      </c>
      <c r="D733">
        <v>4.6773899999999999</v>
      </c>
      <c r="E733">
        <v>0.51798509999999998</v>
      </c>
      <c r="F733" t="s">
        <v>43</v>
      </c>
      <c r="G733">
        <v>-253.51849999999999</v>
      </c>
      <c r="H733" s="1">
        <v>-3.4154349999999999E-6</v>
      </c>
      <c r="I733">
        <v>365.93740000000003</v>
      </c>
      <c r="J733">
        <v>-286.99520000000001</v>
      </c>
      <c r="K733">
        <v>1.0602529999999999</v>
      </c>
      <c r="L733">
        <v>368.10770000000002</v>
      </c>
      <c r="M733">
        <v>0.99984300000000004</v>
      </c>
      <c r="N733">
        <v>0</v>
      </c>
      <c r="O733">
        <v>9.7508230000000005E-3</v>
      </c>
      <c r="P733">
        <v>0.99987170000000003</v>
      </c>
      <c r="Q733">
        <v>1.7577129999999999E-3</v>
      </c>
      <c r="R733">
        <v>-1.5922579999999999E-2</v>
      </c>
      <c r="S733">
        <v>2.997528</v>
      </c>
      <c r="T733">
        <v>-9.4004630000000006E-2</v>
      </c>
      <c r="U733">
        <v>-0.1921387</v>
      </c>
      <c r="V733">
        <v>2.567707E-2</v>
      </c>
      <c r="W733">
        <v>1.654866E-2</v>
      </c>
      <c r="X733">
        <v>0.99953329999999996</v>
      </c>
      <c r="Y733">
        <v>7.3655789999999999E-2</v>
      </c>
      <c r="Z733">
        <v>-1.4589410000000001E-3</v>
      </c>
      <c r="AA733">
        <v>0.99728269999999997</v>
      </c>
      <c r="AB733">
        <v>37</v>
      </c>
      <c r="AC733">
        <v>33.476700000000001</v>
      </c>
      <c r="AD733">
        <v>-1.060256415435</v>
      </c>
      <c r="AE733">
        <v>-2.1702999999999899</v>
      </c>
      <c r="AF733">
        <v>2.4941665264306598</v>
      </c>
      <c r="AG733">
        <v>-1.060256415435</v>
      </c>
      <c r="AH733">
        <v>33.420560365915598</v>
      </c>
      <c r="AI733">
        <v>91.812044748017001</v>
      </c>
      <c r="AJ733">
        <v>85.731944978205107</v>
      </c>
      <c r="AK733">
        <v>33.5302679008064</v>
      </c>
      <c r="AL733">
        <v>89.051788337049899</v>
      </c>
      <c r="AM733">
        <v>88.528448983672405</v>
      </c>
      <c r="AN733">
        <v>0.99999999394023498</v>
      </c>
    </row>
    <row r="734" spans="1:40" x14ac:dyDescent="0.25">
      <c r="A734" t="str">
        <f>"20190312154227904"</f>
        <v>20190312154227904</v>
      </c>
      <c r="B734" t="str">
        <f>"1552376547897776"</f>
        <v>1552376547897776</v>
      </c>
      <c r="C734" t="s">
        <v>40</v>
      </c>
      <c r="D734">
        <v>4.6897849999999996</v>
      </c>
      <c r="E734">
        <v>0.51782289999999997</v>
      </c>
      <c r="F734" t="s">
        <v>43</v>
      </c>
      <c r="G734">
        <v>-252.55719999999999</v>
      </c>
      <c r="H734" s="1">
        <v>-3.8257929999999999E-6</v>
      </c>
      <c r="I734">
        <v>365.94900000000001</v>
      </c>
      <c r="J734">
        <v>-286.80549999999999</v>
      </c>
      <c r="K734">
        <v>1.060252</v>
      </c>
      <c r="L734">
        <v>368.10950000000003</v>
      </c>
      <c r="M734">
        <v>0.99984340000000005</v>
      </c>
      <c r="N734">
        <v>0</v>
      </c>
      <c r="O734">
        <v>9.6999970000000001E-3</v>
      </c>
      <c r="P734">
        <v>0.9998648</v>
      </c>
      <c r="Q734">
        <v>1.8207729999999999E-3</v>
      </c>
      <c r="R734">
        <v>-1.6347759999999999E-2</v>
      </c>
      <c r="S734">
        <v>2.9975589999999999</v>
      </c>
      <c r="T734">
        <v>-9.2286709999999994E-2</v>
      </c>
      <c r="U734">
        <v>-0.1878967</v>
      </c>
      <c r="V734">
        <v>2.6051359999999999E-2</v>
      </c>
      <c r="W734">
        <v>1.6609209999999999E-2</v>
      </c>
      <c r="X734">
        <v>0.99952260000000004</v>
      </c>
      <c r="Y734">
        <v>7.2200920000000002E-2</v>
      </c>
      <c r="Z734">
        <v>-1.408409E-3</v>
      </c>
      <c r="AA734">
        <v>0.99738910000000003</v>
      </c>
      <c r="AB734">
        <v>36</v>
      </c>
      <c r="AC734">
        <v>34.2483</v>
      </c>
      <c r="AD734">
        <v>-1.0602558257929999</v>
      </c>
      <c r="AE734">
        <v>-2.1605000000000101</v>
      </c>
      <c r="AF734">
        <v>2.4902659474123001</v>
      </c>
      <c r="AG734">
        <v>-1.0602558257929999</v>
      </c>
      <c r="AH734">
        <v>34.193088761081597</v>
      </c>
      <c r="AI734">
        <v>91.771364077052695</v>
      </c>
      <c r="AJ734">
        <v>85.834530726101406</v>
      </c>
      <c r="AK734">
        <v>34.300042068898001</v>
      </c>
      <c r="AL734">
        <v>89.048318590821296</v>
      </c>
      <c r="AM734">
        <v>88.506992114479701</v>
      </c>
      <c r="AN734">
        <v>0.99999998356271602</v>
      </c>
    </row>
    <row r="735" spans="1:40" x14ac:dyDescent="0.25">
      <c r="A735" t="str">
        <f>"20190312154227916"</f>
        <v>20190312154227916</v>
      </c>
      <c r="B735" t="str">
        <f>"1552376547908513"</f>
        <v>1552376547908513</v>
      </c>
      <c r="C735" t="s">
        <v>40</v>
      </c>
      <c r="D735">
        <v>4.6879369999999998</v>
      </c>
      <c r="E735">
        <v>0.51780349999999997</v>
      </c>
      <c r="F735" t="s">
        <v>43</v>
      </c>
      <c r="G735">
        <v>-253.58080000000001</v>
      </c>
      <c r="H735" s="1">
        <v>-3.3722469999999999E-6</v>
      </c>
      <c r="I735">
        <v>366.03019999999998</v>
      </c>
      <c r="J735">
        <v>-286.62169999999998</v>
      </c>
      <c r="K735">
        <v>1.0602579999999999</v>
      </c>
      <c r="L735">
        <v>368.11130000000003</v>
      </c>
      <c r="M735">
        <v>0.99984399999999996</v>
      </c>
      <c r="N735">
        <v>0</v>
      </c>
      <c r="O735">
        <v>9.6504859999999998E-3</v>
      </c>
      <c r="P735">
        <v>0.9998553</v>
      </c>
      <c r="Q735">
        <v>1.757879E-3</v>
      </c>
      <c r="R735">
        <v>-1.6929799999999998E-2</v>
      </c>
      <c r="S735">
        <v>2.997528</v>
      </c>
      <c r="T735">
        <v>-9.5655799999999999E-2</v>
      </c>
      <c r="U735">
        <v>-0.1875916</v>
      </c>
      <c r="V735">
        <v>2.658363E-2</v>
      </c>
      <c r="W735">
        <v>1.6543889999999999E-2</v>
      </c>
      <c r="X735">
        <v>0.99950969999999995</v>
      </c>
      <c r="Y735">
        <v>7.2048249999999994E-2</v>
      </c>
      <c r="Z735">
        <v>-1.4558079999999901E-3</v>
      </c>
      <c r="AA735">
        <v>0.99740010000000001</v>
      </c>
      <c r="AB735">
        <v>36</v>
      </c>
      <c r="AC735">
        <v>33.040899999999901</v>
      </c>
      <c r="AD735">
        <v>-1.060261372247</v>
      </c>
      <c r="AE735">
        <v>-2.0811000000000401</v>
      </c>
      <c r="AF735">
        <v>2.39743975354062</v>
      </c>
      <c r="AG735">
        <v>-1.060261372247</v>
      </c>
      <c r="AH735">
        <v>32.985443434377402</v>
      </c>
      <c r="AI735">
        <v>91.836201916981906</v>
      </c>
      <c r="AJ735">
        <v>85.842952251451507</v>
      </c>
      <c r="AK735">
        <v>33.089444693313403</v>
      </c>
      <c r="AL735">
        <v>89.052061695340001</v>
      </c>
      <c r="AM735">
        <v>88.476482209047006</v>
      </c>
      <c r="AN735">
        <v>1.0000000150371899</v>
      </c>
    </row>
    <row r="736" spans="1:40" x14ac:dyDescent="0.25">
      <c r="A736" t="str">
        <f>"20190312154227929"</f>
        <v>20190312154227929</v>
      </c>
      <c r="B736" t="str">
        <f>"1552376547918272"</f>
        <v>1552376547918272</v>
      </c>
      <c r="C736" t="s">
        <v>40</v>
      </c>
      <c r="D736">
        <v>4.6946870000000001</v>
      </c>
      <c r="E736">
        <v>0.51779430000000004</v>
      </c>
      <c r="F736" t="s">
        <v>43</v>
      </c>
      <c r="G736">
        <v>-254.6739</v>
      </c>
      <c r="H736" s="1">
        <v>-2.8913819999999999E-6</v>
      </c>
      <c r="I736">
        <v>366.09750000000003</v>
      </c>
      <c r="J736">
        <v>-286.41860000000003</v>
      </c>
      <c r="K736">
        <v>1.0602579999999999</v>
      </c>
      <c r="L736">
        <v>368.11320000000001</v>
      </c>
      <c r="M736">
        <v>0.99984439999999997</v>
      </c>
      <c r="N736">
        <v>0</v>
      </c>
      <c r="O736">
        <v>9.5958499999999995E-3</v>
      </c>
      <c r="P736">
        <v>0.99984899999999999</v>
      </c>
      <c r="Q736">
        <v>1.8841789999999999E-3</v>
      </c>
      <c r="R736">
        <v>-1.7288129999999999E-2</v>
      </c>
      <c r="S736">
        <v>2.9974059999999998</v>
      </c>
      <c r="T736">
        <v>-9.9475380000000002E-2</v>
      </c>
      <c r="U736">
        <v>-0.1889343</v>
      </c>
      <c r="V736">
        <v>2.6887330000000001E-2</v>
      </c>
      <c r="W736">
        <v>1.6667850000000001E-2</v>
      </c>
      <c r="X736">
        <v>0.99949949999999999</v>
      </c>
      <c r="Y736">
        <v>7.2437769999999999E-2</v>
      </c>
      <c r="Z736">
        <v>-1.518592E-3</v>
      </c>
      <c r="AA736">
        <v>0.99737180000000003</v>
      </c>
      <c r="AB736">
        <v>36</v>
      </c>
      <c r="AC736">
        <v>31.744700000000002</v>
      </c>
      <c r="AD736">
        <v>-1.060260891382</v>
      </c>
      <c r="AE736">
        <v>-2.0156999999999798</v>
      </c>
      <c r="AF736">
        <v>2.3176828565738798</v>
      </c>
      <c r="AG736">
        <v>-1.060260891382</v>
      </c>
      <c r="AH736">
        <v>31.688685770875299</v>
      </c>
      <c r="AI736">
        <v>91.911223727071103</v>
      </c>
      <c r="AJ736">
        <v>85.816884973705797</v>
      </c>
      <c r="AK736">
        <v>31.7910146561372</v>
      </c>
      <c r="AL736">
        <v>89.044958314993593</v>
      </c>
      <c r="AM736">
        <v>88.459069674764194</v>
      </c>
      <c r="AN736">
        <v>0.99999999811920004</v>
      </c>
    </row>
    <row r="737" spans="1:40" x14ac:dyDescent="0.25">
      <c r="A737" t="str">
        <f>"20190312154227941"</f>
        <v>20190312154227941</v>
      </c>
      <c r="B737" t="str">
        <f>"1552376547937792"</f>
        <v>1552376547937792</v>
      </c>
      <c r="C737" t="s">
        <v>40</v>
      </c>
      <c r="D737">
        <v>4.7044449999999998</v>
      </c>
      <c r="E737">
        <v>0.51781929999999998</v>
      </c>
      <c r="F737" t="s">
        <v>43</v>
      </c>
      <c r="G737">
        <v>-255.34909999999999</v>
      </c>
      <c r="H737" s="1">
        <v>-2.5932410000000001E-6</v>
      </c>
      <c r="I737">
        <v>366.14530000000002</v>
      </c>
      <c r="J737">
        <v>-286.21550000000002</v>
      </c>
      <c r="K737">
        <v>1.0602579999999999</v>
      </c>
      <c r="L737">
        <v>368.11509999999998</v>
      </c>
      <c r="M737">
        <v>0.99984510000000004</v>
      </c>
      <c r="N737">
        <v>0</v>
      </c>
      <c r="O737">
        <v>9.5413310000000001E-3</v>
      </c>
      <c r="P737">
        <v>0.99984249999999997</v>
      </c>
      <c r="Q737">
        <v>2.0235800000000001E-3</v>
      </c>
      <c r="R737">
        <v>-1.7635689999999999E-2</v>
      </c>
      <c r="S737">
        <v>2.9974370000000001</v>
      </c>
      <c r="T737">
        <v>-0.10228859999999999</v>
      </c>
      <c r="U737">
        <v>-0.18984989999999999</v>
      </c>
      <c r="V737">
        <v>2.7180510000000001E-2</v>
      </c>
      <c r="W737">
        <v>1.6804679999999999E-2</v>
      </c>
      <c r="X737">
        <v>0.99948930000000002</v>
      </c>
      <c r="Y737">
        <v>7.2683479999999995E-2</v>
      </c>
      <c r="Z737">
        <v>-1.5638119999999999E-3</v>
      </c>
      <c r="AA737">
        <v>0.99735390000000002</v>
      </c>
      <c r="AB737">
        <v>36</v>
      </c>
      <c r="AC737">
        <v>30.866399999999999</v>
      </c>
      <c r="AD737">
        <v>-1.0602605932410001</v>
      </c>
      <c r="AE737">
        <v>-1.96979999999996</v>
      </c>
      <c r="AF737">
        <v>2.2615913928441702</v>
      </c>
      <c r="AG737">
        <v>-1.0602605932410001</v>
      </c>
      <c r="AH737">
        <v>30.809992165152899</v>
      </c>
      <c r="AI737">
        <v>91.965650665398201</v>
      </c>
      <c r="AJ737">
        <v>85.801762746203295</v>
      </c>
      <c r="AK737">
        <v>30.911075124792301</v>
      </c>
      <c r="AL737">
        <v>89.037117455467694</v>
      </c>
      <c r="AM737">
        <v>88.442259683550503</v>
      </c>
      <c r="AN737">
        <v>1.0000000191041201</v>
      </c>
    </row>
    <row r="738" spans="1:40" x14ac:dyDescent="0.25">
      <c r="A738" t="str">
        <f>"20190312154227953"</f>
        <v>20190312154227953</v>
      </c>
      <c r="B738" t="str">
        <f>"1552376547948123"</f>
        <v>1552376547948123</v>
      </c>
      <c r="C738" t="s">
        <v>40</v>
      </c>
      <c r="D738">
        <v>4.7236500000000001</v>
      </c>
      <c r="E738">
        <v>0.51775490000000002</v>
      </c>
      <c r="F738" t="s">
        <v>43</v>
      </c>
      <c r="G738">
        <v>-256.2226</v>
      </c>
      <c r="H738" s="1">
        <v>-2.2087539999999999E-6</v>
      </c>
      <c r="I738">
        <v>366.20030000000003</v>
      </c>
      <c r="J738">
        <v>-286.03269999999998</v>
      </c>
      <c r="K738">
        <v>1.0602579999999999</v>
      </c>
      <c r="L738">
        <v>368.11680000000001</v>
      </c>
      <c r="M738">
        <v>0.9998454</v>
      </c>
      <c r="N738">
        <v>0</v>
      </c>
      <c r="O738">
        <v>9.4921780000000004E-3</v>
      </c>
      <c r="P738">
        <v>0.99983940000000004</v>
      </c>
      <c r="Q738">
        <v>1.9409270000000001E-3</v>
      </c>
      <c r="R738">
        <v>-1.7809140000000001E-2</v>
      </c>
      <c r="S738">
        <v>2.9972840000000001</v>
      </c>
      <c r="T738">
        <v>-0.1059548</v>
      </c>
      <c r="U738">
        <v>-0.19134519999999999</v>
      </c>
      <c r="V738">
        <v>2.7304740000000001E-2</v>
      </c>
      <c r="W738">
        <v>1.67203E-2</v>
      </c>
      <c r="X738">
        <v>0.99948729999999997</v>
      </c>
      <c r="Y738">
        <v>7.3129509999999995E-2</v>
      </c>
      <c r="Z738">
        <v>-1.6260210000000001E-3</v>
      </c>
      <c r="AA738">
        <v>0.99732109999999996</v>
      </c>
      <c r="AB738">
        <v>36</v>
      </c>
      <c r="AC738">
        <v>29.810099999999899</v>
      </c>
      <c r="AD738">
        <v>-1.0602602087539901</v>
      </c>
      <c r="AE738">
        <v>-1.9164999999999801</v>
      </c>
      <c r="AF738">
        <v>2.1966400551944698</v>
      </c>
      <c r="AG738">
        <v>-1.0602602087539901</v>
      </c>
      <c r="AH738">
        <v>29.753079586000201</v>
      </c>
      <c r="AI738">
        <v>92.035354396402198</v>
      </c>
      <c r="AJ738">
        <v>85.777570647182699</v>
      </c>
      <c r="AK738">
        <v>29.8528913858141</v>
      </c>
      <c r="AL738">
        <v>89.041952724784906</v>
      </c>
      <c r="AM738">
        <v>88.435140348928897</v>
      </c>
      <c r="AN738">
        <v>0.99999999005992302</v>
      </c>
    </row>
    <row r="739" spans="1:40" x14ac:dyDescent="0.25">
      <c r="A739" t="str">
        <f>"20190312154227965"</f>
        <v>20190312154227965</v>
      </c>
      <c r="B739" t="str">
        <f>"1552376547957883"</f>
        <v>1552376547957883</v>
      </c>
      <c r="C739" t="s">
        <v>40</v>
      </c>
      <c r="D739">
        <v>4.7122699999999904</v>
      </c>
      <c r="E739">
        <v>0.51773690000000006</v>
      </c>
      <c r="F739" t="s">
        <v>43</v>
      </c>
      <c r="G739">
        <v>-255.82570000000001</v>
      </c>
      <c r="H739" s="1">
        <v>-2.380573E-6</v>
      </c>
      <c r="I739">
        <v>366.19170000000003</v>
      </c>
      <c r="J739">
        <v>-285.81130000000002</v>
      </c>
      <c r="K739">
        <v>1.06026</v>
      </c>
      <c r="L739">
        <v>368.11880000000002</v>
      </c>
      <c r="M739">
        <v>0.99984620000000002</v>
      </c>
      <c r="N739">
        <v>0</v>
      </c>
      <c r="O739">
        <v>9.4320059999999997E-3</v>
      </c>
      <c r="P739">
        <v>0.99983420000000001</v>
      </c>
      <c r="Q739">
        <v>1.9599940000000001E-3</v>
      </c>
      <c r="R739">
        <v>-1.812163E-2</v>
      </c>
      <c r="S739">
        <v>2.9972840000000001</v>
      </c>
      <c r="T739">
        <v>-0.10520350000000001</v>
      </c>
      <c r="U739">
        <v>-0.1910095</v>
      </c>
      <c r="V739">
        <v>2.7556750000000001E-2</v>
      </c>
      <c r="W739">
        <v>1.673651E-2</v>
      </c>
      <c r="X739">
        <v>0.99948009999999998</v>
      </c>
      <c r="Y739">
        <v>7.2959099999999999E-2</v>
      </c>
      <c r="Z739">
        <v>-1.6094080000000001E-3</v>
      </c>
      <c r="AA739">
        <v>0.99733360000000004</v>
      </c>
      <c r="AB739">
        <v>36</v>
      </c>
      <c r="AC739">
        <v>29.985600000000002</v>
      </c>
      <c r="AD739">
        <v>-1.060262380573</v>
      </c>
      <c r="AE739">
        <v>-1.92709999999999</v>
      </c>
      <c r="AF739">
        <v>2.2071214075441201</v>
      </c>
      <c r="AG739">
        <v>-1.060262380573</v>
      </c>
      <c r="AH739">
        <v>29.928822502706598</v>
      </c>
      <c r="AI739">
        <v>92.023429203169997</v>
      </c>
      <c r="AJ739">
        <v>85.782318493197295</v>
      </c>
      <c r="AK739">
        <v>30.028818784990801</v>
      </c>
      <c r="AL739">
        <v>89.041023818420101</v>
      </c>
      <c r="AM739">
        <v>88.420693334987007</v>
      </c>
      <c r="AN739">
        <v>0.99999997776677596</v>
      </c>
    </row>
    <row r="740" spans="1:40" x14ac:dyDescent="0.25">
      <c r="A740" t="str">
        <f>"20190312154227992"</f>
        <v>20190312154227992</v>
      </c>
      <c r="B740" t="str">
        <f>"1552376547988139"</f>
        <v>1552376547988139</v>
      </c>
      <c r="C740" t="s">
        <v>40</v>
      </c>
      <c r="D740">
        <v>4.7407719999999998</v>
      </c>
      <c r="E740">
        <v>0.51772249999999997</v>
      </c>
      <c r="F740" t="s">
        <v>43</v>
      </c>
      <c r="G740">
        <v>-255.45419999999999</v>
      </c>
      <c r="H740" s="1">
        <v>-2.543267E-6</v>
      </c>
      <c r="I740">
        <v>366.1728</v>
      </c>
      <c r="J740">
        <v>-285.39609999999999</v>
      </c>
      <c r="K740">
        <v>1.0602590000000001</v>
      </c>
      <c r="L740">
        <v>368.12259999999998</v>
      </c>
      <c r="M740">
        <v>0.99984740000000005</v>
      </c>
      <c r="N740">
        <v>0</v>
      </c>
      <c r="O740">
        <v>9.3196349999999997E-3</v>
      </c>
      <c r="P740">
        <v>0.99984110000000004</v>
      </c>
      <c r="Q740">
        <v>1.9176989999999999E-3</v>
      </c>
      <c r="R740">
        <v>-1.7740059999999998E-2</v>
      </c>
      <c r="S740">
        <v>2.997223</v>
      </c>
      <c r="T740">
        <v>-0.104682</v>
      </c>
      <c r="U740">
        <v>-0.1921387</v>
      </c>
      <c r="V740">
        <v>2.7062929999999999E-2</v>
      </c>
      <c r="W740">
        <v>1.6690259999999998E-2</v>
      </c>
      <c r="X740">
        <v>0.99949440000000001</v>
      </c>
      <c r="Y740">
        <v>7.3222910000000002E-2</v>
      </c>
      <c r="Z740">
        <v>-1.6021290000000001E-3</v>
      </c>
      <c r="AA740">
        <v>0.99731429999999999</v>
      </c>
      <c r="AB740">
        <v>36</v>
      </c>
      <c r="AC740">
        <v>29.9419</v>
      </c>
      <c r="AD740">
        <v>-1.060261543267</v>
      </c>
      <c r="AE740">
        <v>-1.94979999999998</v>
      </c>
      <c r="AF740">
        <v>2.2260139085178201</v>
      </c>
      <c r="AG740">
        <v>-1.060261543267</v>
      </c>
      <c r="AH740">
        <v>29.885110884314201</v>
      </c>
      <c r="AI740">
        <v>92.026274277019695</v>
      </c>
      <c r="AJ740">
        <v>85.740149223739095</v>
      </c>
      <c r="AK740">
        <v>29.986649446525401</v>
      </c>
      <c r="AL740">
        <v>89.043674150538394</v>
      </c>
      <c r="AM740">
        <v>88.449002914336901</v>
      </c>
      <c r="AN740">
        <v>1.0000000112952001</v>
      </c>
    </row>
    <row r="741" spans="1:40" x14ac:dyDescent="0.25">
      <c r="A741" t="str">
        <f>"20190312154228005"</f>
        <v>20190312154228005</v>
      </c>
      <c r="B741" t="str">
        <f>"1552376547997901"</f>
        <v>1552376547997901</v>
      </c>
      <c r="C741" t="s">
        <v>40</v>
      </c>
      <c r="D741">
        <v>4.7276040000000004</v>
      </c>
      <c r="E741">
        <v>0.51773119999999995</v>
      </c>
      <c r="F741" t="s">
        <v>43</v>
      </c>
      <c r="G741">
        <v>-254.90389999999999</v>
      </c>
      <c r="H741" s="1">
        <v>-2.777549E-6</v>
      </c>
      <c r="I741">
        <v>366.18310000000002</v>
      </c>
      <c r="J741">
        <v>-285.15789999999998</v>
      </c>
      <c r="K741">
        <v>1.0602579999999999</v>
      </c>
      <c r="L741">
        <v>368.12479999999999</v>
      </c>
      <c r="M741">
        <v>0.99984799999999996</v>
      </c>
      <c r="N741">
        <v>0</v>
      </c>
      <c r="O741">
        <v>9.2546959999999998E-3</v>
      </c>
      <c r="P741">
        <v>0.99984419999999996</v>
      </c>
      <c r="Q741">
        <v>1.713125E-3</v>
      </c>
      <c r="R741">
        <v>-1.7573310000000002E-2</v>
      </c>
      <c r="S741">
        <v>2.9972530000000002</v>
      </c>
      <c r="T741">
        <v>-0.10421900000000001</v>
      </c>
      <c r="U741">
        <v>-0.19064329999999999</v>
      </c>
      <c r="V741">
        <v>2.6831460000000001E-2</v>
      </c>
      <c r="W741">
        <v>1.6483339999999999E-2</v>
      </c>
      <c r="X741">
        <v>0.99950410000000001</v>
      </c>
      <c r="Y741">
        <v>7.2662749999999998E-2</v>
      </c>
      <c r="Z741">
        <v>-1.5830740000000001E-3</v>
      </c>
      <c r="AA741">
        <v>0.99735529999999994</v>
      </c>
      <c r="AB741">
        <v>36</v>
      </c>
      <c r="AC741">
        <v>30.253999999999898</v>
      </c>
      <c r="AD741">
        <v>-1.0602607775489901</v>
      </c>
      <c r="AE741">
        <v>-1.94169999999996</v>
      </c>
      <c r="AF741">
        <v>2.2189249242017302</v>
      </c>
      <c r="AG741">
        <v>-1.0602607775489901</v>
      </c>
      <c r="AH741">
        <v>30.197796268851199</v>
      </c>
      <c r="AI741">
        <v>92.005457160704196</v>
      </c>
      <c r="AJ741">
        <v>85.797476129153495</v>
      </c>
      <c r="AK741">
        <v>30.2977669182185</v>
      </c>
      <c r="AL741">
        <v>89.055531448451703</v>
      </c>
      <c r="AM741">
        <v>88.462277155421205</v>
      </c>
      <c r="AN741">
        <v>1.0000000368300399</v>
      </c>
    </row>
    <row r="742" spans="1:40" x14ac:dyDescent="0.25">
      <c r="A742" t="str">
        <f>"20190312154228018"</f>
        <v>20190312154228018</v>
      </c>
      <c r="B742" t="str">
        <f>"1552376548008636"</f>
        <v>1552376548008636</v>
      </c>
      <c r="C742" t="s">
        <v>40</v>
      </c>
      <c r="D742">
        <v>4.7336539999999996</v>
      </c>
      <c r="E742">
        <v>0.51774520000000002</v>
      </c>
      <c r="F742" t="s">
        <v>43</v>
      </c>
      <c r="G742">
        <v>-254.8475</v>
      </c>
      <c r="H742" s="1">
        <v>-2.7986720000000001E-6</v>
      </c>
      <c r="I742">
        <v>366.2002</v>
      </c>
      <c r="J742">
        <v>-284.96179999999998</v>
      </c>
      <c r="K742">
        <v>1.060263</v>
      </c>
      <c r="L742">
        <v>368.12650000000002</v>
      </c>
      <c r="M742">
        <v>0.99984839999999997</v>
      </c>
      <c r="N742">
        <v>0</v>
      </c>
      <c r="O742">
        <v>9.2013749999999995E-3</v>
      </c>
      <c r="P742">
        <v>0.99984759999999995</v>
      </c>
      <c r="Q742">
        <v>1.7549639999999999E-3</v>
      </c>
      <c r="R742">
        <v>-1.7377380000000001E-2</v>
      </c>
      <c r="S742">
        <v>2.9972840000000001</v>
      </c>
      <c r="T742">
        <v>-0.10484499999999999</v>
      </c>
      <c r="U742">
        <v>-0.19030759999999999</v>
      </c>
      <c r="V742">
        <v>2.6582109999999999E-2</v>
      </c>
      <c r="W742">
        <v>1.6522909999999998E-2</v>
      </c>
      <c r="X742">
        <v>0.99951000000000001</v>
      </c>
      <c r="Y742">
        <v>7.2497199999999998E-2</v>
      </c>
      <c r="Z742">
        <v>-1.587813E-3</v>
      </c>
      <c r="AA742">
        <v>0.99736740000000002</v>
      </c>
      <c r="AB742">
        <v>36</v>
      </c>
      <c r="AC742">
        <v>30.114299999999901</v>
      </c>
      <c r="AD742">
        <v>-1.0602657986720001</v>
      </c>
      <c r="AE742">
        <v>-1.9263000000000201</v>
      </c>
      <c r="AF742">
        <v>2.2006248878480701</v>
      </c>
      <c r="AG742">
        <v>-1.0602657986720001</v>
      </c>
      <c r="AH742">
        <v>30.058189829712699</v>
      </c>
      <c r="AI742">
        <v>92.014812752196804</v>
      </c>
      <c r="AJ742">
        <v>85.812723075066998</v>
      </c>
      <c r="AK742">
        <v>30.1572825251198</v>
      </c>
      <c r="AL742">
        <v>89.053263842329301</v>
      </c>
      <c r="AM742">
        <v>88.476569736801906</v>
      </c>
      <c r="AN742">
        <v>0.99999992761345702</v>
      </c>
    </row>
    <row r="743" spans="1:40" x14ac:dyDescent="0.25">
      <c r="A743" t="str">
        <f>"20190312154228032"</f>
        <v>20190312154228032</v>
      </c>
      <c r="B743" t="str">
        <f>"1552376548018397"</f>
        <v>1552376548018397</v>
      </c>
      <c r="C743" t="s">
        <v>40</v>
      </c>
      <c r="D743">
        <v>4.7438120000000001</v>
      </c>
      <c r="E743">
        <v>0.51776949999999999</v>
      </c>
      <c r="F743" t="s">
        <v>43</v>
      </c>
      <c r="G743">
        <v>-254.59479999999999</v>
      </c>
      <c r="H743" s="1">
        <v>-2.9065699999999999E-6</v>
      </c>
      <c r="I743">
        <v>366.20310000000001</v>
      </c>
      <c r="J743">
        <v>-284.75369999999998</v>
      </c>
      <c r="K743">
        <v>1.0602640000000001</v>
      </c>
      <c r="L743">
        <v>368.1284</v>
      </c>
      <c r="M743">
        <v>0.99984899999999999</v>
      </c>
      <c r="N743">
        <v>0</v>
      </c>
      <c r="O743">
        <v>9.1446559999999993E-3</v>
      </c>
      <c r="P743">
        <v>0.99984919999999999</v>
      </c>
      <c r="Q743">
        <v>1.868939E-3</v>
      </c>
      <c r="R743">
        <v>-1.7269969999999999E-2</v>
      </c>
      <c r="S743">
        <v>2.9973450000000001</v>
      </c>
      <c r="T743">
        <v>-0.1046523</v>
      </c>
      <c r="U743">
        <v>-0.18984989999999999</v>
      </c>
      <c r="V743">
        <v>2.6418029999999999E-2</v>
      </c>
      <c r="W743">
        <v>1.6634960000000001E-2</v>
      </c>
      <c r="X743">
        <v>0.99951259999999997</v>
      </c>
      <c r="Y743">
        <v>7.2287969999999993E-2</v>
      </c>
      <c r="Z743">
        <v>-1.579244E-3</v>
      </c>
      <c r="AA743">
        <v>0.99738260000000001</v>
      </c>
      <c r="AB743">
        <v>36</v>
      </c>
      <c r="AC743">
        <v>30.1588999999999</v>
      </c>
      <c r="AD743">
        <v>-1.0602669065699999</v>
      </c>
      <c r="AE743">
        <v>-1.92529999999999</v>
      </c>
      <c r="AF743">
        <v>2.1983363635318498</v>
      </c>
      <c r="AG743">
        <v>-1.0602669065699999</v>
      </c>
      <c r="AH743">
        <v>30.102975919498299</v>
      </c>
      <c r="AI743">
        <v>92.011846793530907</v>
      </c>
      <c r="AJ743">
        <v>85.823263319445402</v>
      </c>
      <c r="AK743">
        <v>30.201755046524902</v>
      </c>
      <c r="AL743">
        <v>89.046843070487199</v>
      </c>
      <c r="AM743">
        <v>88.485972766622595</v>
      </c>
      <c r="AN743">
        <v>1.0000000358810199</v>
      </c>
    </row>
    <row r="744" spans="1:40" x14ac:dyDescent="0.25">
      <c r="A744" t="str">
        <f>"20190312154228044"</f>
        <v>20190312154228044</v>
      </c>
      <c r="B744" t="str">
        <f>"1552376548037916"</f>
        <v>1552376548037916</v>
      </c>
      <c r="C744" t="s">
        <v>40</v>
      </c>
      <c r="D744">
        <v>4.7395170000000002</v>
      </c>
      <c r="E744">
        <v>0.5177969</v>
      </c>
      <c r="F744" t="s">
        <v>43</v>
      </c>
      <c r="G744">
        <v>-254.2962</v>
      </c>
      <c r="H744" s="1">
        <v>-3.035238E-6</v>
      </c>
      <c r="I744">
        <v>366.19990000000001</v>
      </c>
      <c r="J744">
        <v>-284.53149999999999</v>
      </c>
      <c r="K744">
        <v>1.0602659999999999</v>
      </c>
      <c r="L744">
        <v>368.13029999999998</v>
      </c>
      <c r="M744">
        <v>0.99984960000000001</v>
      </c>
      <c r="N744">
        <v>0</v>
      </c>
      <c r="O744">
        <v>9.0843009999999995E-3</v>
      </c>
      <c r="P744">
        <v>0.99985069999999998</v>
      </c>
      <c r="Q744">
        <v>1.8862880000000001E-3</v>
      </c>
      <c r="R744">
        <v>-1.7185780000000001E-2</v>
      </c>
      <c r="S744">
        <v>2.9973749999999999</v>
      </c>
      <c r="T744">
        <v>-0.1043425</v>
      </c>
      <c r="U744">
        <v>-0.18978880000000001</v>
      </c>
      <c r="V744">
        <v>2.6273330000000001E-2</v>
      </c>
      <c r="W744">
        <v>1.6650209999999999E-2</v>
      </c>
      <c r="X744">
        <v>0.99951610000000002</v>
      </c>
      <c r="Y744">
        <v>7.2207259999999995E-2</v>
      </c>
      <c r="Z744">
        <v>-1.5710559999999999E-3</v>
      </c>
      <c r="AA744">
        <v>0.99738839999999995</v>
      </c>
      <c r="AB744">
        <v>36</v>
      </c>
      <c r="AC744">
        <v>30.235299999999899</v>
      </c>
      <c r="AD744">
        <v>-1.060269035238</v>
      </c>
      <c r="AE744">
        <v>-1.9303999999999599</v>
      </c>
      <c r="AF744">
        <v>2.20231964728025</v>
      </c>
      <c r="AG744">
        <v>-1.060269035238</v>
      </c>
      <c r="AH744">
        <v>30.179552369364899</v>
      </c>
      <c r="AI744">
        <v>92.0067579763666</v>
      </c>
      <c r="AJ744">
        <v>85.826301583098299</v>
      </c>
      <c r="AK744">
        <v>30.2783712156238</v>
      </c>
      <c r="AL744">
        <v>89.045969131488704</v>
      </c>
      <c r="AM744">
        <v>88.494267020015897</v>
      </c>
      <c r="AN744">
        <v>0.99999997576077104</v>
      </c>
    </row>
    <row r="745" spans="1:40" x14ac:dyDescent="0.25">
      <c r="A745" t="str">
        <f>"20190312154228057"</f>
        <v>20190312154228057</v>
      </c>
      <c r="B745" t="str">
        <f>"1552376548048651"</f>
        <v>1552376548048651</v>
      </c>
      <c r="C745" t="s">
        <v>40</v>
      </c>
      <c r="D745">
        <v>4.7553299999999998</v>
      </c>
      <c r="E745">
        <v>0.5178043</v>
      </c>
      <c r="F745" t="s">
        <v>43</v>
      </c>
      <c r="G745">
        <v>-254.054</v>
      </c>
      <c r="H745" s="1">
        <v>-3.1385959999999998E-6</v>
      </c>
      <c r="I745">
        <v>366.20299999999997</v>
      </c>
      <c r="J745">
        <v>-284.33510000000001</v>
      </c>
      <c r="K745">
        <v>1.06027</v>
      </c>
      <c r="L745">
        <v>368.13209999999998</v>
      </c>
      <c r="M745">
        <v>0.99985009999999996</v>
      </c>
      <c r="N745">
        <v>0</v>
      </c>
      <c r="O745">
        <v>9.0307979999999996E-3</v>
      </c>
      <c r="P745">
        <v>0.99984580000000001</v>
      </c>
      <c r="Q745">
        <v>2.116045E-3</v>
      </c>
      <c r="R745">
        <v>-1.744271E-2</v>
      </c>
      <c r="S745">
        <v>2.9973749999999999</v>
      </c>
      <c r="T745">
        <v>-0.1042742</v>
      </c>
      <c r="U745">
        <v>-0.18954470000000001</v>
      </c>
      <c r="V745">
        <v>2.6476800000000002E-2</v>
      </c>
      <c r="W745">
        <v>1.6877630000000001E-2</v>
      </c>
      <c r="X745">
        <v>0.99950700000000003</v>
      </c>
      <c r="Y745">
        <v>7.2073150000000002E-2</v>
      </c>
      <c r="Z745">
        <v>-1.5658429999999999E-3</v>
      </c>
      <c r="AA745">
        <v>0.99739809999999995</v>
      </c>
      <c r="AB745">
        <v>36</v>
      </c>
      <c r="AC745">
        <v>30.281099999999999</v>
      </c>
      <c r="AD745">
        <v>-1.060273138596</v>
      </c>
      <c r="AE745">
        <v>-1.9290999999999401</v>
      </c>
      <c r="AF745">
        <v>2.1998275591185399</v>
      </c>
      <c r="AG745">
        <v>-1.060273138596</v>
      </c>
      <c r="AH745">
        <v>30.225534830893</v>
      </c>
      <c r="AI745">
        <v>92.003743389415504</v>
      </c>
      <c r="AJ745">
        <v>85.837327796620102</v>
      </c>
      <c r="AK745">
        <v>30.324023087839301</v>
      </c>
      <c r="AL745">
        <v>89.032937174338599</v>
      </c>
      <c r="AM745">
        <v>88.482597711119695</v>
      </c>
      <c r="AN745">
        <v>1.00000005919082</v>
      </c>
    </row>
    <row r="746" spans="1:40" x14ac:dyDescent="0.25">
      <c r="A746" t="str">
        <f>"20190312154228071"</f>
        <v>20190312154228071</v>
      </c>
      <c r="B746" t="str">
        <f>"1552376548068172"</f>
        <v>1552376548068172</v>
      </c>
      <c r="C746" t="s">
        <v>40</v>
      </c>
      <c r="D746">
        <v>4.750006</v>
      </c>
      <c r="E746">
        <v>0.51785040000000004</v>
      </c>
      <c r="F746" t="s">
        <v>43</v>
      </c>
      <c r="G746">
        <v>-253.7381</v>
      </c>
      <c r="H746" s="1">
        <v>-3.2771010000000002E-6</v>
      </c>
      <c r="I746">
        <v>366.18630000000002</v>
      </c>
      <c r="J746">
        <v>-284.10899999999998</v>
      </c>
      <c r="K746">
        <v>1.0602720000000001</v>
      </c>
      <c r="L746">
        <v>368.13400000000001</v>
      </c>
      <c r="M746">
        <v>0.99985069999999998</v>
      </c>
      <c r="N746">
        <v>0</v>
      </c>
      <c r="O746">
        <v>8.9690740000000005E-3</v>
      </c>
      <c r="P746">
        <v>0.99984470000000003</v>
      </c>
      <c r="Q746">
        <v>2.166243E-3</v>
      </c>
      <c r="R746">
        <v>-1.7496890000000001E-2</v>
      </c>
      <c r="S746">
        <v>2.9973450000000001</v>
      </c>
      <c r="T746">
        <v>-0.103866</v>
      </c>
      <c r="U746">
        <v>-0.1906128</v>
      </c>
      <c r="V746">
        <v>2.646942E-2</v>
      </c>
      <c r="W746">
        <v>1.692579E-2</v>
      </c>
      <c r="X746">
        <v>0.99950629999999996</v>
      </c>
      <c r="Y746">
        <v>7.2366449999999999E-2</v>
      </c>
      <c r="Z746">
        <v>-1.5626539999999999E-3</v>
      </c>
      <c r="AA746">
        <v>0.99737690000000001</v>
      </c>
      <c r="AB746">
        <v>36</v>
      </c>
      <c r="AC746">
        <v>30.370899999999999</v>
      </c>
      <c r="AD746">
        <v>-1.06027527710099</v>
      </c>
      <c r="AE746">
        <v>-1.94769999999999</v>
      </c>
      <c r="AF746">
        <v>2.2173588220128302</v>
      </c>
      <c r="AG746">
        <v>-1.06027527710099</v>
      </c>
      <c r="AH746">
        <v>30.315410957851199</v>
      </c>
      <c r="AI746">
        <v>91.997759217036702</v>
      </c>
      <c r="AJ746">
        <v>85.816666735674204</v>
      </c>
      <c r="AK746">
        <v>30.4148813141231</v>
      </c>
      <c r="AL746">
        <v>89.030177336943296</v>
      </c>
      <c r="AM746">
        <v>88.483019404053294</v>
      </c>
      <c r="AN746">
        <v>0.99999997815097497</v>
      </c>
    </row>
    <row r="747" spans="1:40" x14ac:dyDescent="0.25">
      <c r="A747" t="str">
        <f>"20190312154228094"</f>
        <v>20190312154228094</v>
      </c>
      <c r="B747" t="str">
        <f>"1552376548088667"</f>
        <v>1552376548088667</v>
      </c>
      <c r="C747" t="s">
        <v>40</v>
      </c>
      <c r="D747">
        <v>4.7241650000000002</v>
      </c>
      <c r="E747">
        <v>0.51794030000000002</v>
      </c>
      <c r="F747" t="s">
        <v>43</v>
      </c>
      <c r="G747">
        <v>-253.5821</v>
      </c>
      <c r="H747" s="1">
        <v>-3.343191E-6</v>
      </c>
      <c r="I747">
        <v>366.19080000000002</v>
      </c>
      <c r="J747">
        <v>-283.73739999999998</v>
      </c>
      <c r="K747">
        <v>1.0602659999999999</v>
      </c>
      <c r="L747">
        <v>368.13729999999998</v>
      </c>
      <c r="M747">
        <v>0.99985159999999995</v>
      </c>
      <c r="N747">
        <v>0</v>
      </c>
      <c r="O747">
        <v>8.8680249999999999E-3</v>
      </c>
      <c r="P747">
        <v>0.99984580000000001</v>
      </c>
      <c r="Q747">
        <v>2.0298999999999998E-3</v>
      </c>
      <c r="R747">
        <v>-1.7450380000000001E-2</v>
      </c>
      <c r="S747">
        <v>2.9973450000000001</v>
      </c>
      <c r="T747">
        <v>-0.104105</v>
      </c>
      <c r="U747">
        <v>-0.19079589999999999</v>
      </c>
      <c r="V747">
        <v>2.6321899999999999E-2</v>
      </c>
      <c r="W747">
        <v>1.6785129999999999E-2</v>
      </c>
      <c r="X747">
        <v>0.99951259999999997</v>
      </c>
      <c r="Y747">
        <v>7.2326210000000002E-2</v>
      </c>
      <c r="Z747">
        <v>-1.5620409999999999E-3</v>
      </c>
      <c r="AA747">
        <v>0.99737980000000004</v>
      </c>
      <c r="AB747">
        <v>36</v>
      </c>
      <c r="AC747">
        <v>30.155299999999901</v>
      </c>
      <c r="AD747">
        <v>-1.060269343191</v>
      </c>
      <c r="AE747">
        <v>-1.9464999999999499</v>
      </c>
      <c r="AF747">
        <v>2.2111483870231798</v>
      </c>
      <c r="AG747">
        <v>-1.060269343191</v>
      </c>
      <c r="AH747">
        <v>30.099794121286401</v>
      </c>
      <c r="AI747">
        <v>92.012000435311094</v>
      </c>
      <c r="AJ747">
        <v>85.798565479690197</v>
      </c>
      <c r="AK747">
        <v>30.199519108975402</v>
      </c>
      <c r="AL747">
        <v>89.038237737462495</v>
      </c>
      <c r="AM747">
        <v>88.491479462780205</v>
      </c>
      <c r="AN747">
        <v>1.0000000102837401</v>
      </c>
    </row>
    <row r="748" spans="1:40" x14ac:dyDescent="0.25">
      <c r="A748" t="str">
        <f>"20190312154228107"</f>
        <v>20190312154228107</v>
      </c>
      <c r="B748" t="str">
        <f>"1552376548098428"</f>
        <v>1552376548098428</v>
      </c>
      <c r="C748" t="s">
        <v>40</v>
      </c>
      <c r="D748">
        <v>4.7097499999999997</v>
      </c>
      <c r="E748">
        <v>0.51794390000000001</v>
      </c>
      <c r="F748" t="s">
        <v>43</v>
      </c>
      <c r="G748">
        <v>-253.2638</v>
      </c>
      <c r="H748" s="1">
        <v>-3.4796180000000002E-6</v>
      </c>
      <c r="I748">
        <v>366.19150000000002</v>
      </c>
      <c r="J748">
        <v>-283.53519999999997</v>
      </c>
      <c r="K748">
        <v>1.0602720000000001</v>
      </c>
      <c r="L748">
        <v>368.13900000000001</v>
      </c>
      <c r="M748">
        <v>0.99985210000000002</v>
      </c>
      <c r="N748">
        <v>0</v>
      </c>
      <c r="O748">
        <v>8.8130329999999996E-3</v>
      </c>
      <c r="P748">
        <v>0.9998456</v>
      </c>
      <c r="Q748">
        <v>2.2460610000000002E-3</v>
      </c>
      <c r="R748">
        <v>-1.7431849999999999E-2</v>
      </c>
      <c r="S748">
        <v>2.9973139999999998</v>
      </c>
      <c r="T748">
        <v>-0.10428560000000001</v>
      </c>
      <c r="U748">
        <v>-0.19137570000000001</v>
      </c>
      <c r="V748">
        <v>2.624835E-2</v>
      </c>
      <c r="W748">
        <v>1.6999210000000001E-2</v>
      </c>
      <c r="X748">
        <v>0.99951089999999998</v>
      </c>
      <c r="Y748">
        <v>7.2463929999999996E-2</v>
      </c>
      <c r="Z748">
        <v>-1.5652369999999999E-3</v>
      </c>
      <c r="AA748">
        <v>0.99736979999999997</v>
      </c>
      <c r="AB748">
        <v>36</v>
      </c>
      <c r="AC748">
        <v>30.2713999999999</v>
      </c>
      <c r="AD748">
        <v>-1.0602754796179901</v>
      </c>
      <c r="AE748">
        <v>-1.94749999999999</v>
      </c>
      <c r="AF748">
        <v>2.2115343781650201</v>
      </c>
      <c r="AG748">
        <v>-1.0602754796179901</v>
      </c>
      <c r="AH748">
        <v>30.216142629351399</v>
      </c>
      <c r="AI748">
        <v>92.004310514759098</v>
      </c>
      <c r="AJ748">
        <v>85.813957662669594</v>
      </c>
      <c r="AK748">
        <v>30.315513253049001</v>
      </c>
      <c r="AL748">
        <v>89.025970090959305</v>
      </c>
      <c r="AM748">
        <v>88.495690151115497</v>
      </c>
      <c r="AN748">
        <v>0.99999999411857798</v>
      </c>
    </row>
    <row r="749" spans="1:40" x14ac:dyDescent="0.25">
      <c r="A749" t="str">
        <f>"20190312154228118"</f>
        <v>20190312154228118</v>
      </c>
      <c r="B749" t="str">
        <f>"1552376548108187"</f>
        <v>1552376548108187</v>
      </c>
      <c r="C749" t="s">
        <v>40</v>
      </c>
      <c r="D749">
        <v>4.7194240000000001</v>
      </c>
      <c r="E749">
        <v>0.51795049999999998</v>
      </c>
      <c r="F749" t="s">
        <v>43</v>
      </c>
      <c r="G749">
        <v>-252.9306</v>
      </c>
      <c r="H749" s="1">
        <v>-3.6239460000000001E-6</v>
      </c>
      <c r="I749">
        <v>366.18369999999999</v>
      </c>
      <c r="J749">
        <v>-283.34789999999998</v>
      </c>
      <c r="K749">
        <v>1.0602739999999999</v>
      </c>
      <c r="L749">
        <v>368.14060000000001</v>
      </c>
      <c r="M749">
        <v>0.99985259999999998</v>
      </c>
      <c r="N749">
        <v>0</v>
      </c>
      <c r="O749">
        <v>8.7622099999999994E-3</v>
      </c>
      <c r="P749">
        <v>0.99984090000000003</v>
      </c>
      <c r="Q749">
        <v>2.1911650000000001E-3</v>
      </c>
      <c r="R749">
        <v>-1.7706079999999999E-2</v>
      </c>
      <c r="S749">
        <v>2.9973450000000001</v>
      </c>
      <c r="T749">
        <v>-0.1038409</v>
      </c>
      <c r="U749">
        <v>-0.1914978</v>
      </c>
      <c r="V749">
        <v>2.6471689999999999E-2</v>
      </c>
      <c r="W749">
        <v>1.6942470000000001E-2</v>
      </c>
      <c r="X749">
        <v>0.99950600000000001</v>
      </c>
      <c r="Y749">
        <v>7.2453509999999999E-2</v>
      </c>
      <c r="Z749">
        <v>-1.5566099999999999E-3</v>
      </c>
      <c r="AA749">
        <v>0.9973706</v>
      </c>
      <c r="AB749">
        <v>36</v>
      </c>
      <c r="AC749">
        <v>30.417299999999901</v>
      </c>
      <c r="AD749">
        <v>-1.0602776239459999</v>
      </c>
      <c r="AE749">
        <v>-1.9569000000000101</v>
      </c>
      <c r="AF749">
        <v>2.22068953679912</v>
      </c>
      <c r="AG749">
        <v>-1.0602776239459999</v>
      </c>
      <c r="AH749">
        <v>30.362243527237499</v>
      </c>
      <c r="AI749">
        <v>91.994685107011094</v>
      </c>
      <c r="AJ749">
        <v>85.816844599186197</v>
      </c>
      <c r="AK749">
        <v>30.4618036673136</v>
      </c>
      <c r="AL749">
        <v>89.029221547714897</v>
      </c>
      <c r="AM749">
        <v>88.482888914449305</v>
      </c>
      <c r="AN749">
        <v>1.00000002084857</v>
      </c>
    </row>
    <row r="750" spans="1:40" x14ac:dyDescent="0.25">
      <c r="A750" t="str">
        <f>"20190312154228130"</f>
        <v>20190312154228130</v>
      </c>
      <c r="B750" t="str">
        <f>"1552376548117948"</f>
        <v>1552376548117948</v>
      </c>
      <c r="C750" t="s">
        <v>40</v>
      </c>
      <c r="D750">
        <v>4.714683</v>
      </c>
      <c r="E750">
        <v>0.51795239999999998</v>
      </c>
      <c r="F750" t="s">
        <v>43</v>
      </c>
      <c r="G750">
        <v>-252.76259999999999</v>
      </c>
      <c r="H750" s="1">
        <v>-3.697124E-6</v>
      </c>
      <c r="I750">
        <v>366.17739999999998</v>
      </c>
      <c r="J750">
        <v>-283.15499999999997</v>
      </c>
      <c r="K750">
        <v>1.0602750000000001</v>
      </c>
      <c r="L750">
        <v>368.1422</v>
      </c>
      <c r="M750">
        <v>0.99985329999999994</v>
      </c>
      <c r="N750">
        <v>0</v>
      </c>
      <c r="O750">
        <v>8.7098369999999998E-3</v>
      </c>
      <c r="P750">
        <v>0.9998397</v>
      </c>
      <c r="Q750">
        <v>2.57048E-3</v>
      </c>
      <c r="R750">
        <v>-1.7726749999999999E-2</v>
      </c>
      <c r="S750">
        <v>2.9972840000000001</v>
      </c>
      <c r="T750">
        <v>-0.1039045</v>
      </c>
      <c r="U750">
        <v>-0.19238279999999999</v>
      </c>
      <c r="V750">
        <v>2.6440209999999999E-2</v>
      </c>
      <c r="W750">
        <v>1.731912E-2</v>
      </c>
      <c r="X750">
        <v>0.99950030000000001</v>
      </c>
      <c r="Y750">
        <v>7.2695670000000004E-2</v>
      </c>
      <c r="Z750">
        <v>-1.5599570000000001E-3</v>
      </c>
      <c r="AA750">
        <v>0.99735300000000005</v>
      </c>
      <c r="AB750">
        <v>36</v>
      </c>
      <c r="AC750">
        <v>30.392399999999899</v>
      </c>
      <c r="AD750">
        <v>-1.0602786971239999</v>
      </c>
      <c r="AE750">
        <v>-1.9648000000000201</v>
      </c>
      <c r="AF750">
        <v>2.2267682813821801</v>
      </c>
      <c r="AG750">
        <v>-1.0602786971239999</v>
      </c>
      <c r="AH750">
        <v>30.337363414059499</v>
      </c>
      <c r="AI750">
        <v>91.996283825335098</v>
      </c>
      <c r="AJ750">
        <v>85.802007035118507</v>
      </c>
      <c r="AK750">
        <v>30.4374490851527</v>
      </c>
      <c r="AL750">
        <v>89.007637848339996</v>
      </c>
      <c r="AM750">
        <v>88.484683576090404</v>
      </c>
      <c r="AN750">
        <v>0.99999994316125196</v>
      </c>
    </row>
    <row r="751" spans="1:40" x14ac:dyDescent="0.25">
      <c r="A751" t="str">
        <f>"20190312154228143"</f>
        <v>20190312154228143</v>
      </c>
      <c r="B751" t="str">
        <f>"1552376548138443"</f>
        <v>1552376548138443</v>
      </c>
      <c r="C751" t="s">
        <v>40</v>
      </c>
      <c r="D751">
        <v>4.8460470000000004</v>
      </c>
      <c r="E751">
        <v>0.51799859999999998</v>
      </c>
      <c r="F751" t="s">
        <v>43</v>
      </c>
      <c r="G751">
        <v>-252.3219</v>
      </c>
      <c r="H751" s="1">
        <v>-3.8887700000000004E-6</v>
      </c>
      <c r="I751">
        <v>366.16289999999998</v>
      </c>
      <c r="J751">
        <v>-282.96050000000002</v>
      </c>
      <c r="K751">
        <v>1.060279</v>
      </c>
      <c r="L751">
        <v>368.14389999999997</v>
      </c>
      <c r="M751">
        <v>0.99985360000000001</v>
      </c>
      <c r="N751">
        <v>0</v>
      </c>
      <c r="O751">
        <v>8.6568119999999998E-3</v>
      </c>
      <c r="P751">
        <v>0.99983739999999999</v>
      </c>
      <c r="Q751">
        <v>2.6532600000000002E-3</v>
      </c>
      <c r="R751">
        <v>-1.7844949999999998E-2</v>
      </c>
      <c r="S751">
        <v>2.9973450000000001</v>
      </c>
      <c r="T751">
        <v>-0.1030717</v>
      </c>
      <c r="U751">
        <v>-0.19241330000000001</v>
      </c>
      <c r="V751">
        <v>2.6505150000000002E-2</v>
      </c>
      <c r="W751">
        <v>1.7399689999999999E-2</v>
      </c>
      <c r="X751">
        <v>0.99949719999999997</v>
      </c>
      <c r="Y751">
        <v>7.2652430000000004E-2</v>
      </c>
      <c r="Z751">
        <v>-1.544866E-3</v>
      </c>
      <c r="AA751">
        <v>0.99735609999999997</v>
      </c>
      <c r="AB751">
        <v>36</v>
      </c>
      <c r="AC751">
        <v>30.6386</v>
      </c>
      <c r="AD751">
        <v>-1.06028288877</v>
      </c>
      <c r="AE751">
        <v>-1.9809999999999901</v>
      </c>
      <c r="AF751">
        <v>2.2435116414705298</v>
      </c>
      <c r="AG751">
        <v>-1.06028288877</v>
      </c>
      <c r="AH751">
        <v>30.583826487759499</v>
      </c>
      <c r="AI751">
        <v>91.9802235985522</v>
      </c>
      <c r="AJ751">
        <v>85.804517135046197</v>
      </c>
      <c r="AK751">
        <v>30.684328034405599</v>
      </c>
      <c r="AL751">
        <v>89.003020850682404</v>
      </c>
      <c r="AM751">
        <v>88.4809588284092</v>
      </c>
      <c r="AN751">
        <v>0.99999996249822798</v>
      </c>
    </row>
    <row r="752" spans="1:40" x14ac:dyDescent="0.25">
      <c r="A752" t="str">
        <f>"20190312154228156"</f>
        <v>20190312154228156</v>
      </c>
      <c r="B752" t="str">
        <f>"1552376548148204"</f>
        <v>1552376548148204</v>
      </c>
      <c r="C752" t="s">
        <v>40</v>
      </c>
      <c r="D752">
        <v>4.6743680000000003</v>
      </c>
      <c r="E752">
        <v>0.51805559999999995</v>
      </c>
      <c r="F752" t="s">
        <v>43</v>
      </c>
      <c r="G752">
        <v>-251.9633</v>
      </c>
      <c r="H752" s="1">
        <v>-4.0454789999999997E-6</v>
      </c>
      <c r="I752">
        <v>366.14679999999998</v>
      </c>
      <c r="J752">
        <v>-282.74889999999999</v>
      </c>
      <c r="K752">
        <v>1.0602799999999999</v>
      </c>
      <c r="L752">
        <v>368.14569999999998</v>
      </c>
      <c r="M752">
        <v>0.99985420000000003</v>
      </c>
      <c r="N752">
        <v>0</v>
      </c>
      <c r="O752">
        <v>8.5992569999999904E-3</v>
      </c>
      <c r="P752">
        <v>0.99983120000000003</v>
      </c>
      <c r="Q752">
        <v>2.6370769999999998E-3</v>
      </c>
      <c r="R752">
        <v>-1.819308E-2</v>
      </c>
      <c r="S752">
        <v>2.9973450000000001</v>
      </c>
      <c r="T752">
        <v>-0.1025263</v>
      </c>
      <c r="U752">
        <v>-0.19311519999999999</v>
      </c>
      <c r="V752">
        <v>2.6795940000000001E-2</v>
      </c>
      <c r="W752">
        <v>1.7381099999999899E-2</v>
      </c>
      <c r="X752">
        <v>0.99948979999999998</v>
      </c>
      <c r="Y752">
        <v>7.282806E-2</v>
      </c>
      <c r="Z752">
        <v>-1.537718E-3</v>
      </c>
      <c r="AA752">
        <v>0.99734330000000004</v>
      </c>
      <c r="AB752">
        <v>36</v>
      </c>
      <c r="AC752">
        <v>30.785599999999899</v>
      </c>
      <c r="AD752">
        <v>-1.0602840454789999</v>
      </c>
      <c r="AE752">
        <v>-1.9988999999999899</v>
      </c>
      <c r="AF752">
        <v>2.2609175863473001</v>
      </c>
      <c r="AG752">
        <v>-1.0602840454789999</v>
      </c>
      <c r="AH752">
        <v>30.7309712370086</v>
      </c>
      <c r="AI752">
        <v>91.970720659517596</v>
      </c>
      <c r="AJ752">
        <v>85.792255740225599</v>
      </c>
      <c r="AK752">
        <v>30.832264655052501</v>
      </c>
      <c r="AL752">
        <v>89.0040861704137</v>
      </c>
      <c r="AM752">
        <v>88.464289885866705</v>
      </c>
      <c r="AN752">
        <v>0.99999999267086603</v>
      </c>
    </row>
    <row r="753" spans="1:40" x14ac:dyDescent="0.25">
      <c r="A753" t="str">
        <f>"20190312154228168"</f>
        <v>20190312154228168</v>
      </c>
      <c r="B753" t="str">
        <f>"1552376548157963"</f>
        <v>1552376548157963</v>
      </c>
      <c r="C753" t="s">
        <v>40</v>
      </c>
      <c r="D753">
        <v>4.6553079999999998</v>
      </c>
      <c r="E753">
        <v>0.51808449999999995</v>
      </c>
      <c r="F753" t="s">
        <v>43</v>
      </c>
      <c r="G753">
        <v>-251.78729999999999</v>
      </c>
      <c r="H753" s="1">
        <v>-4.1234589999999999E-6</v>
      </c>
      <c r="I753">
        <v>366.13279999999997</v>
      </c>
      <c r="J753">
        <v>-282.54539999999997</v>
      </c>
      <c r="K753">
        <v>1.0602780000000001</v>
      </c>
      <c r="L753">
        <v>368.1474</v>
      </c>
      <c r="M753">
        <v>0.99985460000000004</v>
      </c>
      <c r="N753">
        <v>0</v>
      </c>
      <c r="O753">
        <v>8.5443829999999991E-3</v>
      </c>
      <c r="P753">
        <v>0.99983129999999998</v>
      </c>
      <c r="Q753">
        <v>2.6595540000000002E-3</v>
      </c>
      <c r="R753">
        <v>-1.8169879999999999E-2</v>
      </c>
      <c r="S753">
        <v>2.997223</v>
      </c>
      <c r="T753">
        <v>-0.10264</v>
      </c>
      <c r="U753">
        <v>-0.19485469999999999</v>
      </c>
      <c r="V753">
        <v>2.671782E-2</v>
      </c>
      <c r="W753">
        <v>1.740208E-2</v>
      </c>
      <c r="X753">
        <v>0.99949149999999998</v>
      </c>
      <c r="Y753">
        <v>7.3351959999999994E-2</v>
      </c>
      <c r="Z753">
        <v>-1.5465380000000001E-3</v>
      </c>
      <c r="AA753">
        <v>0.99730490000000005</v>
      </c>
      <c r="AB753">
        <v>36</v>
      </c>
      <c r="AC753">
        <v>30.758099999999899</v>
      </c>
      <c r="AD753">
        <v>-1.0602821234590001</v>
      </c>
      <c r="AE753">
        <v>-2.0146000000000299</v>
      </c>
      <c r="AF753">
        <v>2.2746726175863001</v>
      </c>
      <c r="AG753">
        <v>-1.0602821234590001</v>
      </c>
      <c r="AH753">
        <v>30.703432725317398</v>
      </c>
      <c r="AI753">
        <v>91.972408886153701</v>
      </c>
      <c r="AJ753">
        <v>85.762966268412697</v>
      </c>
      <c r="AK753">
        <v>30.805829234361099</v>
      </c>
      <c r="AL753">
        <v>89.002883896951801</v>
      </c>
      <c r="AM753">
        <v>88.468767513059205</v>
      </c>
      <c r="AN753">
        <v>0.99999996643306299</v>
      </c>
    </row>
    <row r="754" spans="1:40" x14ac:dyDescent="0.25">
      <c r="A754" t="str">
        <f>"20190312154228185"</f>
        <v>20190312154228185</v>
      </c>
      <c r="B754" t="str">
        <f>"1552376548178459"</f>
        <v>1552376548178459</v>
      </c>
      <c r="C754" t="s">
        <v>40</v>
      </c>
      <c r="D754">
        <v>4.6460499999999998</v>
      </c>
      <c r="E754">
        <v>0.5181808</v>
      </c>
      <c r="F754" t="s">
        <v>43</v>
      </c>
      <c r="G754">
        <v>-251.5009</v>
      </c>
      <c r="H754" s="1">
        <v>-4.2469160000000004E-6</v>
      </c>
      <c r="I754">
        <v>366.12939999999998</v>
      </c>
      <c r="J754">
        <v>-282.26729999999998</v>
      </c>
      <c r="K754">
        <v>1.0602739999999999</v>
      </c>
      <c r="L754">
        <v>368.14960000000002</v>
      </c>
      <c r="M754">
        <v>0.9998553</v>
      </c>
      <c r="N754">
        <v>0</v>
      </c>
      <c r="O754">
        <v>8.4684200000000008E-3</v>
      </c>
      <c r="P754">
        <v>0.99982579999999999</v>
      </c>
      <c r="Q754">
        <v>2.6167759999999999E-3</v>
      </c>
      <c r="R754">
        <v>-1.8482189999999999E-2</v>
      </c>
      <c r="S754">
        <v>2.9971920000000001</v>
      </c>
      <c r="T754">
        <v>-0.10236480000000001</v>
      </c>
      <c r="U754">
        <v>-0.1948242</v>
      </c>
      <c r="V754">
        <v>2.6954079999999998E-2</v>
      </c>
      <c r="W754">
        <v>1.7355349999999999E-2</v>
      </c>
      <c r="X754">
        <v>0.99948599999999999</v>
      </c>
      <c r="Y754">
        <v>7.3267059999999995E-2</v>
      </c>
      <c r="Z754">
        <v>-1.5383700000000001E-3</v>
      </c>
      <c r="AA754">
        <v>0.99731119999999995</v>
      </c>
      <c r="AB754">
        <v>36</v>
      </c>
      <c r="AC754">
        <v>30.766399999999901</v>
      </c>
      <c r="AD754">
        <v>-1.0602782469159999</v>
      </c>
      <c r="AE754">
        <v>-2.02020000000004</v>
      </c>
      <c r="AF754">
        <v>2.27800485723776</v>
      </c>
      <c r="AG754">
        <v>-1.0602782469159999</v>
      </c>
      <c r="AH754">
        <v>30.7118685997293</v>
      </c>
      <c r="AI754">
        <v>91.971847528240204</v>
      </c>
      <c r="AJ754">
        <v>85.757943221308295</v>
      </c>
      <c r="AK754">
        <v>30.814483104175601</v>
      </c>
      <c r="AL754">
        <v>89.005561764025799</v>
      </c>
      <c r="AM754">
        <v>88.455225185429597</v>
      </c>
      <c r="AN754">
        <v>0.99999999739913403</v>
      </c>
    </row>
    <row r="755" spans="1:40" x14ac:dyDescent="0.25">
      <c r="A755" t="str">
        <f>"20190312154228199"</f>
        <v>20190312154228199</v>
      </c>
      <c r="B755" t="str">
        <f>"1552376548188221"</f>
        <v>1552376548188221</v>
      </c>
      <c r="C755" t="s">
        <v>40</v>
      </c>
      <c r="D755">
        <v>4.6950529999999997</v>
      </c>
      <c r="E755">
        <v>0.51819970000000004</v>
      </c>
      <c r="F755" t="s">
        <v>43</v>
      </c>
      <c r="G755">
        <v>-251.09</v>
      </c>
      <c r="H755" s="1">
        <v>-4.4279000000000004E-6</v>
      </c>
      <c r="I755">
        <v>366.10300000000001</v>
      </c>
      <c r="J755">
        <v>-282.05079999999998</v>
      </c>
      <c r="K755">
        <v>1.0602739999999999</v>
      </c>
      <c r="L755">
        <v>368.15140000000002</v>
      </c>
      <c r="M755">
        <v>0.99985579999999996</v>
      </c>
      <c r="N755">
        <v>0</v>
      </c>
      <c r="O755">
        <v>8.4093190000000002E-3</v>
      </c>
      <c r="P755">
        <v>0.99982079999999995</v>
      </c>
      <c r="Q755">
        <v>2.4843460000000001E-3</v>
      </c>
      <c r="R755">
        <v>-1.8770800000000001E-2</v>
      </c>
      <c r="S755">
        <v>2.997131</v>
      </c>
      <c r="T755">
        <v>-0.10192610000000001</v>
      </c>
      <c r="U755">
        <v>-0.1967468</v>
      </c>
      <c r="V755">
        <v>2.7183550000000001E-2</v>
      </c>
      <c r="W755">
        <v>1.7220909999999999E-2</v>
      </c>
      <c r="X755">
        <v>0.99948210000000004</v>
      </c>
      <c r="Y755">
        <v>7.3846560000000006E-2</v>
      </c>
      <c r="Z755">
        <v>-1.53961299999999E-3</v>
      </c>
      <c r="AA755">
        <v>0.99726840000000005</v>
      </c>
      <c r="AB755">
        <v>36</v>
      </c>
      <c r="AC755">
        <v>30.9607999999999</v>
      </c>
      <c r="AD755">
        <v>-1.0602784278999999</v>
      </c>
      <c r="AE755">
        <v>-2.0484000000000102</v>
      </c>
      <c r="AF755">
        <v>2.30602247456937</v>
      </c>
      <c r="AG755">
        <v>-1.0602784278999999</v>
      </c>
      <c r="AH755">
        <v>30.906389157772601</v>
      </c>
      <c r="AI755">
        <v>91.959383339895993</v>
      </c>
      <c r="AJ755">
        <v>85.732889259510301</v>
      </c>
      <c r="AK755">
        <v>31.010430838180401</v>
      </c>
      <c r="AL755">
        <v>89.013265749436599</v>
      </c>
      <c r="AM755">
        <v>88.442074326913101</v>
      </c>
      <c r="AN755">
        <v>0.99999998667612</v>
      </c>
    </row>
    <row r="756" spans="1:40" x14ac:dyDescent="0.25">
      <c r="A756" t="str">
        <f>"20190312154228218"</f>
        <v>20190312154228218</v>
      </c>
      <c r="B756" t="str">
        <f>"1552376548207739"</f>
        <v>1552376548207739</v>
      </c>
      <c r="C756" t="s">
        <v>40</v>
      </c>
      <c r="D756">
        <v>4.6365350000000003</v>
      </c>
      <c r="E756">
        <v>0.51830399999999999</v>
      </c>
      <c r="F756" t="s">
        <v>43</v>
      </c>
      <c r="G756">
        <v>-251.00460000000001</v>
      </c>
      <c r="H756" s="1">
        <v>-4.4638719999999998E-6</v>
      </c>
      <c r="I756">
        <v>366.10669999999999</v>
      </c>
      <c r="J756">
        <v>-281.75220000000002</v>
      </c>
      <c r="K756">
        <v>1.0602659999999999</v>
      </c>
      <c r="L756">
        <v>368.15390000000002</v>
      </c>
      <c r="M756">
        <v>0.99985679999999999</v>
      </c>
      <c r="N756">
        <v>0</v>
      </c>
      <c r="O756">
        <v>8.3277539999999997E-3</v>
      </c>
      <c r="P756">
        <v>0.99982219999999999</v>
      </c>
      <c r="Q756">
        <v>2.3153649999999998E-3</v>
      </c>
      <c r="R756">
        <v>-1.8724339999999999E-2</v>
      </c>
      <c r="S756">
        <v>2.9970699999999999</v>
      </c>
      <c r="T756">
        <v>-0.1023545</v>
      </c>
      <c r="U756">
        <v>-0.1973877</v>
      </c>
      <c r="V756">
        <v>2.7055510000000001E-2</v>
      </c>
      <c r="W756">
        <v>1.7048790000000001E-2</v>
      </c>
      <c r="X756">
        <v>0.9994885</v>
      </c>
      <c r="Y756">
        <v>7.3978440000000006E-2</v>
      </c>
      <c r="Z756">
        <v>-1.545568E-3</v>
      </c>
      <c r="AA756">
        <v>0.99725870000000005</v>
      </c>
      <c r="AB756">
        <v>36</v>
      </c>
      <c r="AC756">
        <v>30.747599999999998</v>
      </c>
      <c r="AD756">
        <v>-1.060270463872</v>
      </c>
      <c r="AE756">
        <v>-2.0472000000000299</v>
      </c>
      <c r="AF756">
        <v>2.3004918397168099</v>
      </c>
      <c r="AG756">
        <v>-1.060270463872</v>
      </c>
      <c r="AH756">
        <v>30.6931476096156</v>
      </c>
      <c r="AI756">
        <v>91.9729211042918</v>
      </c>
      <c r="AJ756">
        <v>85.713620402964096</v>
      </c>
      <c r="AK756">
        <v>30.797495780449701</v>
      </c>
      <c r="AL756">
        <v>89.023128922834104</v>
      </c>
      <c r="AM756">
        <v>88.449418803960697</v>
      </c>
      <c r="AN756">
        <v>0.99999996174703598</v>
      </c>
    </row>
    <row r="757" spans="1:40" x14ac:dyDescent="0.25">
      <c r="A757" t="str">
        <f>"20190312154228239"</f>
        <v>20190312154228239</v>
      </c>
      <c r="B757" t="str">
        <f>"1552376548228236"</f>
        <v>1552376548228236</v>
      </c>
      <c r="C757" t="s">
        <v>40</v>
      </c>
      <c r="D757">
        <v>4.6411239999999996</v>
      </c>
      <c r="E757">
        <v>0.51835880000000001</v>
      </c>
      <c r="F757" t="s">
        <v>43</v>
      </c>
      <c r="G757">
        <v>-250.70269999999999</v>
      </c>
      <c r="H757" s="1">
        <v>-4.5947829999999998E-6</v>
      </c>
      <c r="I757">
        <v>366.09879999999998</v>
      </c>
      <c r="J757">
        <v>-281.40170000000001</v>
      </c>
      <c r="K757">
        <v>1.0602640000000001</v>
      </c>
      <c r="L757">
        <v>368.1567</v>
      </c>
      <c r="M757">
        <v>0.99985749999999995</v>
      </c>
      <c r="N757">
        <v>0</v>
      </c>
      <c r="O757">
        <v>8.2324849999999995E-3</v>
      </c>
      <c r="P757">
        <v>0.99981200000000003</v>
      </c>
      <c r="Q757">
        <v>2.197044E-3</v>
      </c>
      <c r="R757">
        <v>-1.9266149999999999E-2</v>
      </c>
      <c r="S757">
        <v>2.9970699999999999</v>
      </c>
      <c r="T757">
        <v>-0.102343</v>
      </c>
      <c r="U757">
        <v>-0.19836429999999999</v>
      </c>
      <c r="V757">
        <v>2.7501879999999999E-2</v>
      </c>
      <c r="W757">
        <v>1.6926259999999999E-2</v>
      </c>
      <c r="X757">
        <v>0.99947850000000005</v>
      </c>
      <c r="Y757">
        <v>7.4206869999999994E-2</v>
      </c>
      <c r="Z757">
        <v>-1.546022E-3</v>
      </c>
      <c r="AA757">
        <v>0.99724170000000001</v>
      </c>
      <c r="AB757">
        <v>36</v>
      </c>
      <c r="AC757">
        <v>30.699000000000002</v>
      </c>
      <c r="AD757">
        <v>-1.060268594783</v>
      </c>
      <c r="AE757">
        <v>-2.0579000000000098</v>
      </c>
      <c r="AF757">
        <v>2.3078461731788602</v>
      </c>
      <c r="AG757">
        <v>-1.060268594783</v>
      </c>
      <c r="AH757">
        <v>30.644625287481301</v>
      </c>
      <c r="AI757">
        <v>91.975986141769596</v>
      </c>
      <c r="AJ757">
        <v>85.693185775054999</v>
      </c>
      <c r="AK757">
        <v>30.7496891441569</v>
      </c>
      <c r="AL757">
        <v>89.0301504852238</v>
      </c>
      <c r="AM757">
        <v>88.423833883329195</v>
      </c>
      <c r="AN757">
        <v>1.00000006182168</v>
      </c>
    </row>
    <row r="758" spans="1:40" x14ac:dyDescent="0.25">
      <c r="A758" t="str">
        <f>"20190312154228255"</f>
        <v>20190312154228255</v>
      </c>
      <c r="B758" t="str">
        <f>"1552376548248732"</f>
        <v>1552376548248732</v>
      </c>
      <c r="C758" t="s">
        <v>40</v>
      </c>
      <c r="D758">
        <v>4.6291849999999997</v>
      </c>
      <c r="E758">
        <v>0.51844319999999999</v>
      </c>
      <c r="F758" t="s">
        <v>43</v>
      </c>
      <c r="G758">
        <v>-250.3544</v>
      </c>
      <c r="H758" s="1">
        <v>-4.7471340000000003E-6</v>
      </c>
      <c r="I758">
        <v>366.08229999999998</v>
      </c>
      <c r="J758">
        <v>-281.1746</v>
      </c>
      <c r="K758">
        <v>1.060346</v>
      </c>
      <c r="L758">
        <v>368.1585</v>
      </c>
      <c r="M758">
        <v>0.99985380000000001</v>
      </c>
      <c r="N758">
        <v>0</v>
      </c>
      <c r="O758">
        <v>8.1746049999999997E-3</v>
      </c>
      <c r="P758">
        <v>0.99981540000000002</v>
      </c>
      <c r="Q758">
        <v>1.8946360000000001E-3</v>
      </c>
      <c r="R758">
        <v>-1.9118820000000002E-2</v>
      </c>
      <c r="S758">
        <v>2.996918</v>
      </c>
      <c r="T758">
        <v>-0.10234459999999999</v>
      </c>
      <c r="U758">
        <v>-0.20022580000000001</v>
      </c>
      <c r="V758">
        <v>2.7296819999999999E-2</v>
      </c>
      <c r="W758">
        <v>1.6901949999999999E-2</v>
      </c>
      <c r="X758">
        <v>0.9994845</v>
      </c>
      <c r="Y758">
        <v>7.4768950000000001E-2</v>
      </c>
      <c r="Z758">
        <v>-1.553706E-3</v>
      </c>
      <c r="AA758">
        <v>0.99719970000000002</v>
      </c>
      <c r="AB758">
        <v>36</v>
      </c>
      <c r="AC758">
        <v>30.8202</v>
      </c>
      <c r="AD758">
        <v>-1.0603507471339999</v>
      </c>
      <c r="AE758">
        <v>-2.07620000000002</v>
      </c>
      <c r="AF758">
        <v>2.3253619808642001</v>
      </c>
      <c r="AG758">
        <v>-1.0603507471339999</v>
      </c>
      <c r="AH758">
        <v>30.765943947582102</v>
      </c>
      <c r="AI758">
        <v>91.968312616219194</v>
      </c>
      <c r="AJ758">
        <v>85.677669225271401</v>
      </c>
      <c r="AK758">
        <v>30.871912137649598</v>
      </c>
      <c r="AL758">
        <v>89.031543513048106</v>
      </c>
      <c r="AM758">
        <v>88.435589645371095</v>
      </c>
      <c r="AN758">
        <v>1.0000000290180799</v>
      </c>
    </row>
    <row r="759" spans="1:40" x14ac:dyDescent="0.25">
      <c r="A759" t="str">
        <f>"20190312154228273"</f>
        <v>20190312154228273</v>
      </c>
      <c r="B759" t="str">
        <f>"1552376548268252"</f>
        <v>1552376548268252</v>
      </c>
      <c r="C759" t="s">
        <v>40</v>
      </c>
      <c r="D759">
        <v>4.6235970000000002</v>
      </c>
      <c r="E759">
        <v>0.51850909999999995</v>
      </c>
      <c r="F759" t="s">
        <v>43</v>
      </c>
      <c r="G759">
        <v>-250.27520000000001</v>
      </c>
      <c r="H759" s="1">
        <v>-4.7794600000000003E-6</v>
      </c>
      <c r="I759">
        <v>366.09160000000003</v>
      </c>
      <c r="J759">
        <v>-280.87599999999998</v>
      </c>
      <c r="K759">
        <v>1.060676</v>
      </c>
      <c r="L759">
        <v>368.16090000000003</v>
      </c>
      <c r="M759">
        <v>0.99984030000000002</v>
      </c>
      <c r="N759">
        <v>0</v>
      </c>
      <c r="O759">
        <v>8.10624699999999E-3</v>
      </c>
      <c r="P759">
        <v>0.99981469999999995</v>
      </c>
      <c r="Q759">
        <v>7.9006889999999998E-4</v>
      </c>
      <c r="R759">
        <v>-1.9239329999999999E-2</v>
      </c>
      <c r="S759">
        <v>2.996918</v>
      </c>
      <c r="T759">
        <v>-0.1028428</v>
      </c>
      <c r="U759">
        <v>-0.20047000000000001</v>
      </c>
      <c r="V759">
        <v>2.7348520000000001E-2</v>
      </c>
      <c r="W759">
        <v>1.6702660000000001E-2</v>
      </c>
      <c r="X759">
        <v>0.9994864</v>
      </c>
      <c r="Y759">
        <v>7.4781329999999993E-2</v>
      </c>
      <c r="Z759">
        <v>-1.5591330000000001E-3</v>
      </c>
      <c r="AA759">
        <v>0.99719880000000005</v>
      </c>
      <c r="AB759">
        <v>36</v>
      </c>
      <c r="AC759">
        <v>30.6007999999999</v>
      </c>
      <c r="AD759">
        <v>-1.0606807794599999</v>
      </c>
      <c r="AE759">
        <v>-2.0692999999999899</v>
      </c>
      <c r="AF759">
        <v>2.3145529546961598</v>
      </c>
      <c r="AG759">
        <v>-1.0606807794599999</v>
      </c>
      <c r="AH759">
        <v>30.5464850754765</v>
      </c>
      <c r="AI759">
        <v>91.983030899364195</v>
      </c>
      <c r="AJ759">
        <v>85.666892843043001</v>
      </c>
      <c r="AK759">
        <v>30.652405281842402</v>
      </c>
      <c r="AL759">
        <v>89.042963565449796</v>
      </c>
      <c r="AM759">
        <v>88.432631116953601</v>
      </c>
      <c r="AN759">
        <v>0.99999999209111301</v>
      </c>
    </row>
    <row r="760" spans="1:40" x14ac:dyDescent="0.25">
      <c r="A760" t="str">
        <f>"20190312154228285"</f>
        <v>20190312154228285</v>
      </c>
      <c r="B760" t="str">
        <f>"1552376548278012"</f>
        <v>1552376548278012</v>
      </c>
      <c r="C760" t="s">
        <v>40</v>
      </c>
      <c r="D760">
        <v>4.6356799999999998</v>
      </c>
      <c r="E760">
        <v>0.51852529999999997</v>
      </c>
      <c r="F760" t="s">
        <v>43</v>
      </c>
      <c r="G760">
        <v>-250.83320000000001</v>
      </c>
      <c r="H760" s="1">
        <v>-4.5309429999999901E-6</v>
      </c>
      <c r="I760">
        <v>366.14319999999998</v>
      </c>
      <c r="J760">
        <v>-280.6712</v>
      </c>
      <c r="K760">
        <v>1.0610809999999999</v>
      </c>
      <c r="L760">
        <v>368.16250000000002</v>
      </c>
      <c r="M760">
        <v>0.99982879999999996</v>
      </c>
      <c r="N760">
        <v>0</v>
      </c>
      <c r="O760">
        <v>8.0596859999999999E-3</v>
      </c>
      <c r="P760">
        <v>0.99981779999999998</v>
      </c>
      <c r="Q760">
        <v>2.3273940000000001E-4</v>
      </c>
      <c r="R760">
        <v>-1.9097989999999999E-2</v>
      </c>
      <c r="S760">
        <v>2.9967649999999999</v>
      </c>
      <c r="T760">
        <v>-0.1058022</v>
      </c>
      <c r="U760">
        <v>-0.20126340000000001</v>
      </c>
      <c r="V760">
        <v>2.716087E-2</v>
      </c>
      <c r="W760">
        <v>1.6885259999999999E-2</v>
      </c>
      <c r="X760">
        <v>0.9994885</v>
      </c>
      <c r="Y760">
        <v>7.4998270000000006E-2</v>
      </c>
      <c r="Z760">
        <v>-1.6062229999999999E-3</v>
      </c>
      <c r="AA760">
        <v>0.99718240000000002</v>
      </c>
      <c r="AB760">
        <v>35</v>
      </c>
      <c r="AC760">
        <v>29.837999999999901</v>
      </c>
      <c r="AD760">
        <v>-1.0610855309429901</v>
      </c>
      <c r="AE760">
        <v>-2.0193000000000398</v>
      </c>
      <c r="AF760">
        <v>2.2569115380195801</v>
      </c>
      <c r="AG760">
        <v>-1.0610855309429901</v>
      </c>
      <c r="AH760">
        <v>29.783260511922101</v>
      </c>
      <c r="AI760">
        <v>92.034580287854197</v>
      </c>
      <c r="AJ760">
        <v>85.666530845853998</v>
      </c>
      <c r="AK760">
        <v>29.887491679889099</v>
      </c>
      <c r="AL760">
        <v>89.032499929834998</v>
      </c>
      <c r="AM760">
        <v>88.4433834709221</v>
      </c>
      <c r="AN760">
        <v>1.00000004324833</v>
      </c>
    </row>
    <row r="761" spans="1:40" x14ac:dyDescent="0.25">
      <c r="A761" t="str">
        <f>"20190312154228298"</f>
        <v>20190312154228298</v>
      </c>
      <c r="B761" t="str">
        <f>"1552376548287772"</f>
        <v>1552376548287772</v>
      </c>
      <c r="C761" t="s">
        <v>40</v>
      </c>
      <c r="D761">
        <v>4.654401</v>
      </c>
      <c r="E761">
        <v>0.51854909999999999</v>
      </c>
      <c r="F761" t="s">
        <v>43</v>
      </c>
      <c r="G761">
        <v>-251.06569999999999</v>
      </c>
      <c r="H761" s="1">
        <v>-4.425973E-6</v>
      </c>
      <c r="I761">
        <v>366.17259999999999</v>
      </c>
      <c r="J761">
        <v>-280.4853</v>
      </c>
      <c r="K761">
        <v>1.0614790000000001</v>
      </c>
      <c r="L761">
        <v>368.16390000000001</v>
      </c>
      <c r="M761">
        <v>0.99982669999999996</v>
      </c>
      <c r="N761">
        <v>0</v>
      </c>
      <c r="O761">
        <v>8.0144429999999996E-3</v>
      </c>
      <c r="P761">
        <v>0.99981810000000004</v>
      </c>
      <c r="Q761">
        <v>2.142619E-4</v>
      </c>
      <c r="R761">
        <v>-1.9084589999999998E-2</v>
      </c>
      <c r="S761">
        <v>2.9967350000000001</v>
      </c>
      <c r="T761">
        <v>-0.1074051</v>
      </c>
      <c r="U761">
        <v>-0.20141600000000001</v>
      </c>
      <c r="V761">
        <v>2.7102080000000001E-2</v>
      </c>
      <c r="W761">
        <v>1.7011599999999901E-2</v>
      </c>
      <c r="X761">
        <v>0.99948789999999998</v>
      </c>
      <c r="Y761">
        <v>7.5002840000000001E-2</v>
      </c>
      <c r="Z761">
        <v>-1.6290180000000001E-3</v>
      </c>
      <c r="AA761">
        <v>0.99718200000000001</v>
      </c>
      <c r="AB761">
        <v>35</v>
      </c>
      <c r="AC761">
        <v>29.419599999999999</v>
      </c>
      <c r="AD761">
        <v>-1.0614834259729999</v>
      </c>
      <c r="AE761">
        <v>-1.9913000000000201</v>
      </c>
      <c r="AF761">
        <v>2.2241687529187</v>
      </c>
      <c r="AG761">
        <v>-1.0614834259729999</v>
      </c>
      <c r="AH761">
        <v>29.364640163670501</v>
      </c>
      <c r="AI761">
        <v>92.064338771103195</v>
      </c>
      <c r="AJ761">
        <v>85.668510924111501</v>
      </c>
      <c r="AK761">
        <v>29.467876843215599</v>
      </c>
      <c r="AL761">
        <v>89.025260089331397</v>
      </c>
      <c r="AM761">
        <v>88.446750200126203</v>
      </c>
      <c r="AN761">
        <v>0.99999998976064797</v>
      </c>
    </row>
    <row r="762" spans="1:40" x14ac:dyDescent="0.25">
      <c r="A762" t="str">
        <f>"20190312154228311"</f>
        <v>20190312154228311</v>
      </c>
      <c r="B762" t="str">
        <f>"1552376548298508"</f>
        <v>1552376548298508</v>
      </c>
      <c r="C762" t="s">
        <v>40</v>
      </c>
      <c r="D762">
        <v>4.6461199999999998</v>
      </c>
      <c r="E762">
        <v>0.51858320000000002</v>
      </c>
      <c r="F762" t="s">
        <v>43</v>
      </c>
      <c r="G762">
        <v>-251.11070000000001</v>
      </c>
      <c r="H762" s="1">
        <v>-4.4040529999999997E-6</v>
      </c>
      <c r="I762">
        <v>366.18720000000002</v>
      </c>
      <c r="J762">
        <v>-280.29610000000002</v>
      </c>
      <c r="K762">
        <v>1.061882</v>
      </c>
      <c r="L762">
        <v>368.16539999999998</v>
      </c>
      <c r="M762">
        <v>0.99982919999999997</v>
      </c>
      <c r="N762">
        <v>0</v>
      </c>
      <c r="O762">
        <v>7.9678849999999992E-3</v>
      </c>
      <c r="P762">
        <v>0.99981969999999998</v>
      </c>
      <c r="Q762">
        <v>3.1860550000000002E-4</v>
      </c>
      <c r="R762">
        <v>-1.898478E-2</v>
      </c>
      <c r="S762">
        <v>2.9967350000000001</v>
      </c>
      <c r="T762">
        <v>-0.1082901</v>
      </c>
      <c r="U762">
        <v>-0.20166020000000001</v>
      </c>
      <c r="V762">
        <v>2.6956190000000001E-2</v>
      </c>
      <c r="W762">
        <v>1.6980140000000001E-2</v>
      </c>
      <c r="X762">
        <v>0.99949239999999995</v>
      </c>
      <c r="Y762">
        <v>7.5036389999999994E-2</v>
      </c>
      <c r="Z762">
        <v>-1.6413529999999999E-3</v>
      </c>
      <c r="AA762">
        <v>0.99717940000000005</v>
      </c>
      <c r="AB762">
        <v>35</v>
      </c>
      <c r="AC762">
        <v>29.185400000000001</v>
      </c>
      <c r="AD762">
        <v>-1.0618864040530001</v>
      </c>
      <c r="AE762">
        <v>-1.97819999999995</v>
      </c>
      <c r="AF762">
        <v>2.2078060935141299</v>
      </c>
      <c r="AG762">
        <v>-1.0618864040530001</v>
      </c>
      <c r="AH762">
        <v>29.130322433351601</v>
      </c>
      <c r="AI762">
        <v>92.081711156449103</v>
      </c>
      <c r="AJ762">
        <v>85.665801778624299</v>
      </c>
      <c r="AK762">
        <v>29.233160888838199</v>
      </c>
      <c r="AL762">
        <v>89.027062894170996</v>
      </c>
      <c r="AM762">
        <v>88.455114204633801</v>
      </c>
      <c r="AN762">
        <v>1.00000000949574</v>
      </c>
    </row>
    <row r="763" spans="1:40" x14ac:dyDescent="0.25">
      <c r="A763" t="str">
        <f>"20190312154228322"</f>
        <v>20190312154228322</v>
      </c>
      <c r="B763" t="str">
        <f>"1552376548318028"</f>
        <v>1552376548318028</v>
      </c>
      <c r="C763" t="s">
        <v>40</v>
      </c>
      <c r="D763">
        <v>4.7147119999999996</v>
      </c>
      <c r="E763">
        <v>0.51855519999999999</v>
      </c>
      <c r="F763" t="s">
        <v>43</v>
      </c>
      <c r="G763">
        <v>-250.9282</v>
      </c>
      <c r="H763" s="1">
        <v>-4.4816499999999997E-6</v>
      </c>
      <c r="I763">
        <v>366.19119999999998</v>
      </c>
      <c r="J763">
        <v>-280.09469999999999</v>
      </c>
      <c r="K763">
        <v>1.062273</v>
      </c>
      <c r="L763">
        <v>368.16699999999997</v>
      </c>
      <c r="M763">
        <v>0.9998454</v>
      </c>
      <c r="N763">
        <v>0</v>
      </c>
      <c r="O763">
        <v>7.9174350000000004E-3</v>
      </c>
      <c r="P763">
        <v>0.99981640000000005</v>
      </c>
      <c r="Q763">
        <v>1.2021099999999999E-3</v>
      </c>
      <c r="R763">
        <v>-1.912987E-2</v>
      </c>
      <c r="S763">
        <v>2.9967649999999999</v>
      </c>
      <c r="T763">
        <v>-0.1083568</v>
      </c>
      <c r="U763">
        <v>-0.2014465</v>
      </c>
      <c r="V763">
        <v>2.7050729999999999E-2</v>
      </c>
      <c r="W763">
        <v>1.6894320000000001E-2</v>
      </c>
      <c r="X763">
        <v>0.99949129999999997</v>
      </c>
      <c r="Y763">
        <v>7.4914549999999996E-2</v>
      </c>
      <c r="Z763">
        <v>-1.6383249999999999E-3</v>
      </c>
      <c r="AA763">
        <v>0.99718859999999998</v>
      </c>
      <c r="AB763">
        <v>35</v>
      </c>
      <c r="AC763">
        <v>29.1664999999999</v>
      </c>
      <c r="AD763">
        <v>-1.06227748165</v>
      </c>
      <c r="AE763">
        <v>-1.97579999999999</v>
      </c>
      <c r="AF763">
        <v>2.2037804285480198</v>
      </c>
      <c r="AG763">
        <v>-1.06227748165</v>
      </c>
      <c r="AH763">
        <v>29.111500391564299</v>
      </c>
      <c r="AI763">
        <v>92.083836384774898</v>
      </c>
      <c r="AJ763">
        <v>85.670888072485099</v>
      </c>
      <c r="AK763">
        <v>29.2141153669475</v>
      </c>
      <c r="AL763">
        <v>89.031980723278295</v>
      </c>
      <c r="AM763">
        <v>88.449696958294098</v>
      </c>
      <c r="AN763">
        <v>1.00000000940874</v>
      </c>
    </row>
    <row r="764" spans="1:40" x14ac:dyDescent="0.25">
      <c r="A764" t="str">
        <f>"20190312154228335"</f>
        <v>20190312154228335</v>
      </c>
      <c r="B764" t="str">
        <f>"1552376548327788"</f>
        <v>1552376548327788</v>
      </c>
      <c r="C764" t="s">
        <v>40</v>
      </c>
      <c r="D764">
        <v>4.7184410000000003</v>
      </c>
      <c r="E764">
        <v>0.47975649999999997</v>
      </c>
      <c r="F764" t="s">
        <v>43</v>
      </c>
      <c r="G764">
        <v>-249.81880000000001</v>
      </c>
      <c r="H764" s="1">
        <v>-9.8103319999999995E-7</v>
      </c>
      <c r="I764">
        <v>366.13150000000002</v>
      </c>
      <c r="J764">
        <v>-279.90469999999999</v>
      </c>
      <c r="K764">
        <v>1.06272099999999</v>
      </c>
      <c r="L764">
        <v>368.16840000000002</v>
      </c>
      <c r="M764">
        <v>0.99986229999999998</v>
      </c>
      <c r="N764">
        <v>0</v>
      </c>
      <c r="O764">
        <v>7.8721850000000003E-3</v>
      </c>
      <c r="P764">
        <v>0.99981980000000004</v>
      </c>
      <c r="Q764">
        <v>2.2405609999999999E-3</v>
      </c>
      <c r="R764">
        <v>-1.8858750000000001E-2</v>
      </c>
      <c r="S764">
        <v>2.9967959999999998</v>
      </c>
      <c r="T764">
        <v>-0.105147</v>
      </c>
      <c r="U764">
        <v>-0.20147709999999999</v>
      </c>
      <c r="V764">
        <v>2.673418E-2</v>
      </c>
      <c r="W764">
        <v>1.6838539999999999E-2</v>
      </c>
      <c r="X764">
        <v>0.99950079999999997</v>
      </c>
      <c r="Y764">
        <v>7.4881929999999999E-2</v>
      </c>
      <c r="Z764">
        <v>-1.5876449999999999E-3</v>
      </c>
      <c r="AA764">
        <v>0.9971911</v>
      </c>
      <c r="AB764">
        <v>35</v>
      </c>
      <c r="AC764">
        <v>30.085899999999899</v>
      </c>
      <c r="AD764">
        <v>-1.06272198103319</v>
      </c>
      <c r="AE764">
        <v>-2.0369000000000002</v>
      </c>
      <c r="AF764">
        <v>2.2708834441755101</v>
      </c>
      <c r="AG764">
        <v>-1.06272198103319</v>
      </c>
      <c r="AH764">
        <v>30.031631223492202</v>
      </c>
      <c r="AI764">
        <v>92.020901503742905</v>
      </c>
      <c r="AJ764">
        <v>85.675729468548099</v>
      </c>
      <c r="AK764">
        <v>30.1361106244624</v>
      </c>
      <c r="AL764">
        <v>89.035177176651302</v>
      </c>
      <c r="AM764">
        <v>88.467844596795103</v>
      </c>
      <c r="AN764">
        <v>1.0000000510051199</v>
      </c>
    </row>
    <row r="765" spans="1:40" x14ac:dyDescent="0.25">
      <c r="A765" t="str">
        <f>"20190312154228351"</f>
        <v>20190312154228351</v>
      </c>
      <c r="B765" t="str">
        <f>"1552376548338523"</f>
        <v>1552376548338523</v>
      </c>
      <c r="C765" t="s">
        <v>40</v>
      </c>
      <c r="D765">
        <v>4.5564629999999999</v>
      </c>
      <c r="E765">
        <v>0.47287859999999998</v>
      </c>
      <c r="F765" t="s">
        <v>46</v>
      </c>
      <c r="G765">
        <v>-158.19499999999999</v>
      </c>
      <c r="H765">
        <v>6.770611E-2</v>
      </c>
      <c r="I765">
        <v>372.46839999999997</v>
      </c>
      <c r="J765">
        <v>-279.66379999999998</v>
      </c>
      <c r="K765">
        <v>1.0633950000000001</v>
      </c>
      <c r="L765">
        <v>368.1703</v>
      </c>
      <c r="M765">
        <v>0.99988379999999999</v>
      </c>
      <c r="N765">
        <v>0</v>
      </c>
      <c r="O765">
        <v>7.8152169999999993E-3</v>
      </c>
      <c r="P765">
        <v>0.99981850000000005</v>
      </c>
      <c r="Q765">
        <v>4.047882E-3</v>
      </c>
      <c r="R765">
        <v>-1.862258E-2</v>
      </c>
      <c r="S765">
        <v>3.0025940000000002</v>
      </c>
      <c r="T765">
        <v>-2.4544949999999999E-2</v>
      </c>
      <c r="U765">
        <v>0.1060791</v>
      </c>
      <c r="V765">
        <v>2.644109E-2</v>
      </c>
      <c r="W765">
        <v>1.7130320000000001E-2</v>
      </c>
      <c r="X765">
        <v>0.99950360000000005</v>
      </c>
      <c r="Y765">
        <v>-2.7494379999999999E-2</v>
      </c>
      <c r="Z765" s="1">
        <v>4.847269E-5</v>
      </c>
      <c r="AA765">
        <v>0.99962189999999995</v>
      </c>
      <c r="AB765">
        <v>35</v>
      </c>
      <c r="AC765">
        <v>121.4688</v>
      </c>
      <c r="AD765">
        <v>-0.99568889000000005</v>
      </c>
      <c r="AE765">
        <v>4.2980999999999696</v>
      </c>
      <c r="AF765">
        <v>-3.3483576616335902</v>
      </c>
      <c r="AG765">
        <v>-0.99568889000000005</v>
      </c>
      <c r="AH765">
        <v>121.490530268258</v>
      </c>
      <c r="AI765">
        <v>90.469385068271606</v>
      </c>
      <c r="AJ765">
        <v>91.578709131483194</v>
      </c>
      <c r="AK765">
        <v>121.54074148308599</v>
      </c>
      <c r="AL765">
        <v>89.018456965538604</v>
      </c>
      <c r="AM765">
        <v>88.484638166735607</v>
      </c>
      <c r="AN765">
        <v>1.00000001275832</v>
      </c>
    </row>
    <row r="766" spans="1:40" x14ac:dyDescent="0.25">
      <c r="A766" t="str">
        <f>"20190312154228362"</f>
        <v>20190312154228362</v>
      </c>
      <c r="B766" t="str">
        <f>"1552376548358044"</f>
        <v>1552376548358044</v>
      </c>
      <c r="C766" t="s">
        <v>40</v>
      </c>
      <c r="D766">
        <v>4.6141540000000001</v>
      </c>
      <c r="E766">
        <v>0.46649740000000001</v>
      </c>
      <c r="F766" t="s">
        <v>47</v>
      </c>
      <c r="G766">
        <v>-178.31739999999999</v>
      </c>
      <c r="H766">
        <v>7.998864E-2</v>
      </c>
      <c r="I766">
        <v>373.63889999999998</v>
      </c>
      <c r="J766">
        <v>-279.47050000000002</v>
      </c>
      <c r="K766">
        <v>1.0640940000000001</v>
      </c>
      <c r="L766">
        <v>368.17169999999999</v>
      </c>
      <c r="M766">
        <v>0.99989839999999997</v>
      </c>
      <c r="N766">
        <v>0</v>
      </c>
      <c r="O766">
        <v>7.7673569999999999E-3</v>
      </c>
      <c r="P766">
        <v>0.99981149999999996</v>
      </c>
      <c r="Q766">
        <v>5.2857310000000001E-3</v>
      </c>
      <c r="R766">
        <v>-1.868177E-2</v>
      </c>
      <c r="S766">
        <v>3.0036930000000002</v>
      </c>
      <c r="T766">
        <v>-2.9146080000000001E-2</v>
      </c>
      <c r="U766">
        <v>0.1620789</v>
      </c>
      <c r="V766">
        <v>2.6452300000000002E-2</v>
      </c>
      <c r="W766">
        <v>1.7225669999999998E-2</v>
      </c>
      <c r="X766">
        <v>0.99950159999999999</v>
      </c>
      <c r="Y766">
        <v>-4.6121429999999998E-2</v>
      </c>
      <c r="Z766">
        <v>1.482856E-4</v>
      </c>
      <c r="AA766">
        <v>0.99893580000000004</v>
      </c>
      <c r="AB766">
        <v>35</v>
      </c>
      <c r="AC766">
        <v>101.15309999999999</v>
      </c>
      <c r="AD766">
        <v>-0.98410536000000004</v>
      </c>
      <c r="AE766">
        <v>5.4671999999999903</v>
      </c>
      <c r="AF766">
        <v>-4.6808449285729896</v>
      </c>
      <c r="AG766">
        <v>-0.98410536000000004</v>
      </c>
      <c r="AH766">
        <v>101.18296770528001</v>
      </c>
      <c r="AI766">
        <v>90.556645794661193</v>
      </c>
      <c r="AJ766">
        <v>92.648682785235195</v>
      </c>
      <c r="AK766">
        <v>101.29596105597</v>
      </c>
      <c r="AL766">
        <v>89.012992943025395</v>
      </c>
      <c r="AM766">
        <v>88.483992979541298</v>
      </c>
      <c r="AN766">
        <v>0.99999994814239801</v>
      </c>
    </row>
    <row r="767" spans="1:40" x14ac:dyDescent="0.25">
      <c r="A767" t="str">
        <f>"20190312154228375"</f>
        <v>20190312154228375</v>
      </c>
      <c r="B767" t="str">
        <f>"1552376548367804"</f>
        <v>1552376548367804</v>
      </c>
      <c r="C767" t="s">
        <v>40</v>
      </c>
      <c r="D767">
        <v>4.5959859999999999</v>
      </c>
      <c r="E767">
        <v>0.46485199999999999</v>
      </c>
      <c r="F767" t="s">
        <v>47</v>
      </c>
      <c r="G767">
        <v>-184.7902</v>
      </c>
      <c r="H767" s="1">
        <v>-7.7065889999999999E-6</v>
      </c>
      <c r="I767">
        <v>374.88580000000002</v>
      </c>
      <c r="J767">
        <v>-279.2704</v>
      </c>
      <c r="K767">
        <v>1.064902</v>
      </c>
      <c r="L767">
        <v>368.17320000000001</v>
      </c>
      <c r="M767">
        <v>0.99991160000000001</v>
      </c>
      <c r="N767">
        <v>0</v>
      </c>
      <c r="O767">
        <v>7.7114949999999996E-3</v>
      </c>
      <c r="P767">
        <v>0.99980380000000002</v>
      </c>
      <c r="Q767">
        <v>6.6493180000000004E-3</v>
      </c>
      <c r="R767">
        <v>-1.86635E-2</v>
      </c>
      <c r="S767">
        <v>3.0047299999999999</v>
      </c>
      <c r="T767">
        <v>-3.3769849999999997E-2</v>
      </c>
      <c r="U767">
        <v>0.2130737</v>
      </c>
      <c r="V767">
        <v>2.637815E-2</v>
      </c>
      <c r="W767">
        <v>1.7471210000000001E-2</v>
      </c>
      <c r="X767">
        <v>0.99949929999999998</v>
      </c>
      <c r="Y767">
        <v>-6.303694E-2</v>
      </c>
      <c r="Z767">
        <v>2.6722159999999998E-4</v>
      </c>
      <c r="AA767">
        <v>0.99801119999999999</v>
      </c>
      <c r="AB767">
        <v>35</v>
      </c>
      <c r="AC767">
        <v>94.480199999999996</v>
      </c>
      <c r="AD767">
        <v>-1.0649097065889901</v>
      </c>
      <c r="AE767">
        <v>6.7126000000000001</v>
      </c>
      <c r="AF767">
        <v>-5.9830177786135197</v>
      </c>
      <c r="AG767">
        <v>-1.0649097065889901</v>
      </c>
      <c r="AH767">
        <v>94.517210356935706</v>
      </c>
      <c r="AI767">
        <v>90.644225411109005</v>
      </c>
      <c r="AJ767">
        <v>93.622037676026693</v>
      </c>
      <c r="AK767">
        <v>94.712372940812898</v>
      </c>
      <c r="AL767">
        <v>88.998922421206501</v>
      </c>
      <c r="AM767">
        <v>88.488237136112602</v>
      </c>
      <c r="AN767">
        <v>0.99999995033838696</v>
      </c>
    </row>
    <row r="768" spans="1:40" x14ac:dyDescent="0.25">
      <c r="A768" t="str">
        <f>"20190312154228389"</f>
        <v>20190312154228389</v>
      </c>
      <c r="B768" t="str">
        <f>"1552376548378539"</f>
        <v>1552376548378539</v>
      </c>
      <c r="C768" t="s">
        <v>40</v>
      </c>
      <c r="D768">
        <v>4.5935560000000004</v>
      </c>
      <c r="E768">
        <v>0.46382689999999999</v>
      </c>
      <c r="F768" t="s">
        <v>47</v>
      </c>
      <c r="G768">
        <v>-180</v>
      </c>
      <c r="H768">
        <v>5.5753869999999898E-3</v>
      </c>
      <c r="I768">
        <v>375.64850000000001</v>
      </c>
      <c r="J768">
        <v>-279.05930000000001</v>
      </c>
      <c r="K768">
        <v>1.065814</v>
      </c>
      <c r="L768">
        <v>368.1748</v>
      </c>
      <c r="M768">
        <v>0.99992380000000003</v>
      </c>
      <c r="N768">
        <v>0</v>
      </c>
      <c r="O768">
        <v>7.648027E-3</v>
      </c>
      <c r="P768">
        <v>0.99979150000000006</v>
      </c>
      <c r="Q768">
        <v>7.8953630000000007E-3</v>
      </c>
      <c r="R768">
        <v>-1.8847360000000001E-2</v>
      </c>
      <c r="S768">
        <v>3.0050659999999998</v>
      </c>
      <c r="T768">
        <v>-3.2067419999999999E-2</v>
      </c>
      <c r="U768">
        <v>0.22628780000000001</v>
      </c>
      <c r="V768">
        <v>2.6497980000000001E-2</v>
      </c>
      <c r="W768">
        <v>1.7587060000000002E-2</v>
      </c>
      <c r="X768">
        <v>0.99949410000000005</v>
      </c>
      <c r="Y768">
        <v>-6.7457149999999994E-2</v>
      </c>
      <c r="Z768">
        <v>2.7790999999999997E-4</v>
      </c>
      <c r="AA768">
        <v>0.99772209999999995</v>
      </c>
      <c r="AB768">
        <v>35</v>
      </c>
      <c r="AC768">
        <v>99.059299999999993</v>
      </c>
      <c r="AD768">
        <v>-1.0602386129999899</v>
      </c>
      <c r="AE768">
        <v>7.4737</v>
      </c>
      <c r="AF768">
        <v>-6.7150727293928298</v>
      </c>
      <c r="AG768">
        <v>-1.0602386129999899</v>
      </c>
      <c r="AH768">
        <v>99.102275850049594</v>
      </c>
      <c r="AI768">
        <v>90.611549232561401</v>
      </c>
      <c r="AJ768">
        <v>93.876380385225204</v>
      </c>
      <c r="AK768">
        <v>99.335176983467704</v>
      </c>
      <c r="AL768">
        <v>88.992283686245997</v>
      </c>
      <c r="AM768">
        <v>88.481364849117696</v>
      </c>
      <c r="AN768">
        <v>0.99999995177916501</v>
      </c>
    </row>
    <row r="769" spans="1:40" x14ac:dyDescent="0.25">
      <c r="A769" t="str">
        <f>"20190312154228403"</f>
        <v>20190312154228403</v>
      </c>
      <c r="B769" t="str">
        <f>"1552376548398060"</f>
        <v>1552376548398060</v>
      </c>
      <c r="C769" t="s">
        <v>40</v>
      </c>
      <c r="D769">
        <v>4.566147</v>
      </c>
      <c r="E769">
        <v>0.46258529999999998</v>
      </c>
      <c r="F769" t="s">
        <v>47</v>
      </c>
      <c r="G769">
        <v>-180.00540000000001</v>
      </c>
      <c r="H769">
        <v>3.566859E-2</v>
      </c>
      <c r="I769">
        <v>375.88459999999998</v>
      </c>
      <c r="J769">
        <v>-278.83800000000002</v>
      </c>
      <c r="K769">
        <v>1.0668329999999999</v>
      </c>
      <c r="L769">
        <v>368.1764</v>
      </c>
      <c r="M769">
        <v>0.99993460000000001</v>
      </c>
      <c r="N769">
        <v>0</v>
      </c>
      <c r="O769">
        <v>7.5795089999999999E-3</v>
      </c>
      <c r="P769">
        <v>0.99978480000000003</v>
      </c>
      <c r="Q769">
        <v>8.7945209999999996E-3</v>
      </c>
      <c r="R769">
        <v>-1.8791169999999999E-2</v>
      </c>
      <c r="S769">
        <v>3.0053100000000001</v>
      </c>
      <c r="T769">
        <v>-3.1254770000000001E-2</v>
      </c>
      <c r="U769">
        <v>0.23391719999999999</v>
      </c>
      <c r="V769">
        <v>2.6373230000000001E-2</v>
      </c>
      <c r="W769">
        <v>1.7356779999999999E-2</v>
      </c>
      <c r="X769">
        <v>0.99950150000000004</v>
      </c>
      <c r="Y769">
        <v>-7.0037420000000003E-2</v>
      </c>
      <c r="Z769">
        <v>2.849285E-4</v>
      </c>
      <c r="AA769">
        <v>0.99754430000000005</v>
      </c>
      <c r="AB769">
        <v>35</v>
      </c>
      <c r="AC769">
        <v>98.8325999999999</v>
      </c>
      <c r="AD769">
        <v>-1.0311644099999999</v>
      </c>
      <c r="AE769">
        <v>7.7081999999999704</v>
      </c>
      <c r="AF769">
        <v>-6.9580956554948603</v>
      </c>
      <c r="AG769">
        <v>-1.0311644099999999</v>
      </c>
      <c r="AH769">
        <v>98.877488943950297</v>
      </c>
      <c r="AI769">
        <v>90.596025417238707</v>
      </c>
      <c r="AJ769">
        <v>94.025318489295202</v>
      </c>
      <c r="AK769">
        <v>99.127373691894405</v>
      </c>
      <c r="AL769">
        <v>89.005479847947797</v>
      </c>
      <c r="AM769">
        <v>88.488522301670599</v>
      </c>
      <c r="AN769">
        <v>1.0000000267874201</v>
      </c>
    </row>
    <row r="770" spans="1:40" x14ac:dyDescent="0.25">
      <c r="A770" t="str">
        <f>"20190312154228419"</f>
        <v>20190312154228419</v>
      </c>
      <c r="B770" t="str">
        <f>"1552376548408372"</f>
        <v>1552376548408372</v>
      </c>
      <c r="C770" t="s">
        <v>40</v>
      </c>
      <c r="D770">
        <v>4.5439809999999996</v>
      </c>
      <c r="E770">
        <v>0.46219519999999997</v>
      </c>
      <c r="F770" t="s">
        <v>47</v>
      </c>
      <c r="G770">
        <v>-180.02770000000001</v>
      </c>
      <c r="H770">
        <v>2.7060520000000001E-2</v>
      </c>
      <c r="I770">
        <v>376.20370000000003</v>
      </c>
      <c r="J770">
        <v>-278.59309999999999</v>
      </c>
      <c r="K770">
        <v>1.0680769999999999</v>
      </c>
      <c r="L770">
        <v>368.1782</v>
      </c>
      <c r="M770">
        <v>0.999942</v>
      </c>
      <c r="N770">
        <v>0</v>
      </c>
      <c r="O770">
        <v>7.5015009999999998E-3</v>
      </c>
      <c r="P770">
        <v>0.99977110000000002</v>
      </c>
      <c r="Q770">
        <v>9.7143190000000008E-3</v>
      </c>
      <c r="R770">
        <v>-1.9071330000000001E-2</v>
      </c>
      <c r="S770">
        <v>3.0055540000000001</v>
      </c>
      <c r="T770">
        <v>-3.1627179999999998E-2</v>
      </c>
      <c r="U770">
        <v>0.2441711</v>
      </c>
      <c r="V770">
        <v>2.657495E-2</v>
      </c>
      <c r="W770">
        <v>1.7440210000000001E-2</v>
      </c>
      <c r="X770">
        <v>0.99949469999999996</v>
      </c>
      <c r="Y770">
        <v>-7.3490199999999894E-2</v>
      </c>
      <c r="Z770">
        <v>3.0721740000000001E-4</v>
      </c>
      <c r="AA770">
        <v>0.99729590000000001</v>
      </c>
      <c r="AB770">
        <v>35</v>
      </c>
      <c r="AC770">
        <v>98.565399999999897</v>
      </c>
      <c r="AD770">
        <v>-1.0410164799999999</v>
      </c>
      <c r="AE770">
        <v>8.0255000000000205</v>
      </c>
      <c r="AF770">
        <v>-7.2850563587987898</v>
      </c>
      <c r="AG770">
        <v>-1.0410164799999999</v>
      </c>
      <c r="AH770">
        <v>98.611904001781895</v>
      </c>
      <c r="AI770">
        <v>90.603188360764605</v>
      </c>
      <c r="AJ770">
        <v>94.225109686138097</v>
      </c>
      <c r="AK770">
        <v>98.886113141932896</v>
      </c>
      <c r="AL770">
        <v>89.000698932851506</v>
      </c>
      <c r="AM770">
        <v>88.476956582670098</v>
      </c>
      <c r="AN770">
        <v>1.0000000221102101</v>
      </c>
    </row>
    <row r="771" spans="1:40" x14ac:dyDescent="0.25">
      <c r="A771" t="str">
        <f>"20190312154228433"</f>
        <v>20190312154228433</v>
      </c>
      <c r="B771" t="str">
        <f>"1552376548427891"</f>
        <v>1552376548427891</v>
      </c>
      <c r="C771" t="s">
        <v>40</v>
      </c>
      <c r="D771">
        <v>4.6006600000000004</v>
      </c>
      <c r="E771">
        <v>0.46162379999999997</v>
      </c>
      <c r="F771" t="s">
        <v>47</v>
      </c>
      <c r="G771">
        <v>-180.01130000000001</v>
      </c>
      <c r="H771">
        <v>7.0745329999999995E-2</v>
      </c>
      <c r="I771">
        <v>376.26670000000001</v>
      </c>
      <c r="J771">
        <v>-278.37270000000001</v>
      </c>
      <c r="K771">
        <v>1.0693709999999901</v>
      </c>
      <c r="L771">
        <v>368.1798</v>
      </c>
      <c r="M771">
        <v>0.99994539999999998</v>
      </c>
      <c r="N771">
        <v>0</v>
      </c>
      <c r="O771">
        <v>7.4294319999999997E-3</v>
      </c>
      <c r="P771">
        <v>0.99975700000000001</v>
      </c>
      <c r="Q771">
        <v>1.0410040000000001E-2</v>
      </c>
      <c r="R771">
        <v>-1.9433269999999999E-2</v>
      </c>
      <c r="S771">
        <v>3.0056759999999998</v>
      </c>
      <c r="T771">
        <v>-3.0407790000000001E-2</v>
      </c>
      <c r="U771">
        <v>0.24661250000000001</v>
      </c>
      <c r="V771">
        <v>2.6864659999999999E-2</v>
      </c>
      <c r="W771">
        <v>1.775297E-2</v>
      </c>
      <c r="X771">
        <v>0.99948139999999996</v>
      </c>
      <c r="Y771">
        <v>-7.4363750000000006E-2</v>
      </c>
      <c r="Z771">
        <v>3.0049070000000001E-4</v>
      </c>
      <c r="AA771">
        <v>0.99723110000000004</v>
      </c>
      <c r="AB771">
        <v>35</v>
      </c>
      <c r="AC771">
        <v>98.361400000000003</v>
      </c>
      <c r="AD771">
        <v>-0.99862566999999902</v>
      </c>
      <c r="AE771">
        <v>8.0869000000000106</v>
      </c>
      <c r="AF771">
        <v>-7.3551346912216298</v>
      </c>
      <c r="AG771">
        <v>-0.99862566999999902</v>
      </c>
      <c r="AH771">
        <v>98.408692477096096</v>
      </c>
      <c r="AI771">
        <v>90.579785601882193</v>
      </c>
      <c r="AJ771">
        <v>94.274379424755693</v>
      </c>
      <c r="AK771">
        <v>98.688226322122503</v>
      </c>
      <c r="AL771">
        <v>88.982776280651606</v>
      </c>
      <c r="AM771">
        <v>88.460340413187097</v>
      </c>
      <c r="AN771">
        <v>0.99999997342334701</v>
      </c>
    </row>
    <row r="772" spans="1:40" x14ac:dyDescent="0.25">
      <c r="A772" t="str">
        <f>"20190312154228451"</f>
        <v>20190312154228451</v>
      </c>
      <c r="B772" t="str">
        <f>"1552376548437652"</f>
        <v>1552376548437652</v>
      </c>
      <c r="C772" t="s">
        <v>40</v>
      </c>
      <c r="D772">
        <v>4.6501239999999999</v>
      </c>
      <c r="E772">
        <v>0.46122790000000002</v>
      </c>
      <c r="F772" t="s">
        <v>47</v>
      </c>
      <c r="G772">
        <v>-180.01400000000001</v>
      </c>
      <c r="H772">
        <v>7.4592179999999994E-2</v>
      </c>
      <c r="I772">
        <v>376.3612</v>
      </c>
      <c r="J772">
        <v>-278.09449999999998</v>
      </c>
      <c r="K772">
        <v>1.071334</v>
      </c>
      <c r="L772">
        <v>368.18180000000001</v>
      </c>
      <c r="M772">
        <v>0.99994609999999995</v>
      </c>
      <c r="N772">
        <v>0</v>
      </c>
      <c r="O772">
        <v>7.337611E-3</v>
      </c>
      <c r="P772">
        <v>0.9997509</v>
      </c>
      <c r="Q772">
        <v>1.0512779999999999E-2</v>
      </c>
      <c r="R772">
        <v>-1.970332E-2</v>
      </c>
      <c r="S772">
        <v>3.0059200000000001</v>
      </c>
      <c r="T772">
        <v>-3.0401230000000001E-2</v>
      </c>
      <c r="U772">
        <v>0.25003049999999999</v>
      </c>
      <c r="V772">
        <v>2.704252E-2</v>
      </c>
      <c r="W772">
        <v>1.7855949999999999E-2</v>
      </c>
      <c r="X772">
        <v>0.9994748</v>
      </c>
      <c r="Y772">
        <v>-7.5574840000000004E-2</v>
      </c>
      <c r="Z772">
        <v>3.0742820000000001E-4</v>
      </c>
      <c r="AA772">
        <v>0.99714009999999997</v>
      </c>
      <c r="AB772">
        <v>35</v>
      </c>
      <c r="AC772">
        <v>98.080499999999901</v>
      </c>
      <c r="AD772">
        <v>-0.99674182</v>
      </c>
      <c r="AE772">
        <v>8.1793999999999798</v>
      </c>
      <c r="AF772">
        <v>-7.4587188339319503</v>
      </c>
      <c r="AG772">
        <v>-0.99674182</v>
      </c>
      <c r="AH772">
        <v>98.127814074806906</v>
      </c>
      <c r="AI772">
        <v>90.580293048493402</v>
      </c>
      <c r="AJ772">
        <v>94.346707772186903</v>
      </c>
      <c r="AK772">
        <v>98.415922878359794</v>
      </c>
      <c r="AL772">
        <v>88.976875057329906</v>
      </c>
      <c r="AM772">
        <v>88.450141678479099</v>
      </c>
      <c r="AN772">
        <v>1.0000000043366899</v>
      </c>
    </row>
    <row r="773" spans="1:40" x14ac:dyDescent="0.25">
      <c r="A773" t="str">
        <f>"20190312154228464"</f>
        <v>20190312154228464</v>
      </c>
      <c r="B773" t="str">
        <f>"1552376548458148"</f>
        <v>1552376548458148</v>
      </c>
      <c r="C773" t="s">
        <v>40</v>
      </c>
      <c r="D773">
        <v>4.6028200000000004</v>
      </c>
      <c r="E773">
        <v>0.46076519999999999</v>
      </c>
      <c r="F773" t="s">
        <v>47</v>
      </c>
      <c r="G773">
        <v>-183.822</v>
      </c>
      <c r="H773" s="1">
        <v>-7.1803980000000003E-6</v>
      </c>
      <c r="I773">
        <v>376.0985</v>
      </c>
      <c r="J773">
        <v>-277.88470000000001</v>
      </c>
      <c r="K773">
        <v>1.0729709999999999</v>
      </c>
      <c r="L773">
        <v>368.18329999999997</v>
      </c>
      <c r="M773">
        <v>0.99994629999999995</v>
      </c>
      <c r="N773">
        <v>0</v>
      </c>
      <c r="O773">
        <v>7.2707369999999898E-3</v>
      </c>
      <c r="P773">
        <v>0.99974759999999996</v>
      </c>
      <c r="Q773">
        <v>1.064857E-2</v>
      </c>
      <c r="R773">
        <v>-1.9783370000000002E-2</v>
      </c>
      <c r="S773">
        <v>3.0060730000000002</v>
      </c>
      <c r="T773">
        <v>-3.416193E-2</v>
      </c>
      <c r="U773">
        <v>0.25244139999999998</v>
      </c>
      <c r="V773">
        <v>2.705608E-2</v>
      </c>
      <c r="W773">
        <v>1.803664E-2</v>
      </c>
      <c r="X773">
        <v>0.9994712</v>
      </c>
      <c r="Y773">
        <v>-7.6430509999999993E-2</v>
      </c>
      <c r="Z773">
        <v>3.5103830000000002E-4</v>
      </c>
      <c r="AA773">
        <v>0.99707480000000004</v>
      </c>
      <c r="AB773">
        <v>35</v>
      </c>
      <c r="AC773">
        <v>94.062700000000007</v>
      </c>
      <c r="AD773">
        <v>-1.0729781803980001</v>
      </c>
      <c r="AE773">
        <v>7.91520000000002</v>
      </c>
      <c r="AF773">
        <v>-7.2301327947060496</v>
      </c>
      <c r="AG773">
        <v>-1.0729781803980001</v>
      </c>
      <c r="AH773">
        <v>94.105605486232193</v>
      </c>
      <c r="AI773">
        <v>90.651330330552398</v>
      </c>
      <c r="AJ773">
        <v>94.393403243007597</v>
      </c>
      <c r="AK773">
        <v>94.3890411347369</v>
      </c>
      <c r="AL773">
        <v>88.966520627186</v>
      </c>
      <c r="AM773">
        <v>88.449359325870105</v>
      </c>
      <c r="AN773">
        <v>1.0000000157384401</v>
      </c>
    </row>
    <row r="774" spans="1:40" x14ac:dyDescent="0.25">
      <c r="A774" t="str">
        <f>"20190312154228475"</f>
        <v>20190312154228475</v>
      </c>
      <c r="B774" t="str">
        <f>"1552376548467908"</f>
        <v>1552376548467908</v>
      </c>
      <c r="C774" t="s">
        <v>40</v>
      </c>
      <c r="D774">
        <v>4.6000069999999997</v>
      </c>
      <c r="E774">
        <v>0.46053880000000003</v>
      </c>
      <c r="F774" t="s">
        <v>47</v>
      </c>
      <c r="G774">
        <v>-187.50880000000001</v>
      </c>
      <c r="H774" s="1">
        <v>-8.5517710000000007E-6</v>
      </c>
      <c r="I774">
        <v>375.88339999999999</v>
      </c>
      <c r="J774">
        <v>-277.7097</v>
      </c>
      <c r="K774">
        <v>1.074389</v>
      </c>
      <c r="L774">
        <v>368.18450000000001</v>
      </c>
      <c r="M774">
        <v>0.99994709999999998</v>
      </c>
      <c r="N774">
        <v>0</v>
      </c>
      <c r="O774">
        <v>7.2142339999999999E-3</v>
      </c>
      <c r="P774">
        <v>0.99974200000000002</v>
      </c>
      <c r="Q774">
        <v>1.0885809999999999E-2</v>
      </c>
      <c r="R774">
        <v>-1.9947329999999999E-2</v>
      </c>
      <c r="S774">
        <v>3.0062259999999998</v>
      </c>
      <c r="T774">
        <v>-3.5691140000000003E-2</v>
      </c>
      <c r="U774">
        <v>0.25613399999999997</v>
      </c>
      <c r="V774">
        <v>2.7163329999999999E-2</v>
      </c>
      <c r="W774">
        <v>1.8204939999999999E-2</v>
      </c>
      <c r="X774">
        <v>0.99946520000000005</v>
      </c>
      <c r="Y774">
        <v>-7.7698100000000006E-2</v>
      </c>
      <c r="Z774">
        <v>3.748941E-4</v>
      </c>
      <c r="AA774">
        <v>0.99697690000000005</v>
      </c>
      <c r="AB774">
        <v>35</v>
      </c>
      <c r="AC774">
        <v>90.200900000000004</v>
      </c>
      <c r="AD774">
        <v>-1.074397551771</v>
      </c>
      <c r="AE774">
        <v>7.6988999999999796</v>
      </c>
      <c r="AF774">
        <v>-7.0469591900254196</v>
      </c>
      <c r="AG774">
        <v>-1.074397551771</v>
      </c>
      <c r="AH774">
        <v>90.241385271199704</v>
      </c>
      <c r="AI774">
        <v>90.680050771585996</v>
      </c>
      <c r="AJ774">
        <v>94.465171810141399</v>
      </c>
      <c r="AK774">
        <v>90.522492119860701</v>
      </c>
      <c r="AL774">
        <v>88.956876122786696</v>
      </c>
      <c r="AM774">
        <v>88.443206281246006</v>
      </c>
      <c r="AN774">
        <v>0.999999976174066</v>
      </c>
    </row>
    <row r="775" spans="1:40" x14ac:dyDescent="0.25">
      <c r="A775" t="str">
        <f>"20190312154228489"</f>
        <v>20190312154228489</v>
      </c>
      <c r="B775" t="str">
        <f>"1552376548477667"</f>
        <v>1552376548477667</v>
      </c>
      <c r="C775" t="s">
        <v>40</v>
      </c>
      <c r="D775">
        <v>4.6368359999999997</v>
      </c>
      <c r="E775">
        <v>0.46024809999999999</v>
      </c>
      <c r="F775" t="s">
        <v>47</v>
      </c>
      <c r="G775">
        <v>-189.31280000000001</v>
      </c>
      <c r="H775" s="1">
        <v>-9.2259650000000004E-6</v>
      </c>
      <c r="I775">
        <v>375.7561</v>
      </c>
      <c r="J775">
        <v>-277.50069999999999</v>
      </c>
      <c r="K775">
        <v>1.0761080000000001</v>
      </c>
      <c r="L775">
        <v>368.1859</v>
      </c>
      <c r="M775">
        <v>0.99994879999999997</v>
      </c>
      <c r="N775">
        <v>0</v>
      </c>
      <c r="O775">
        <v>7.1463639999999997E-3</v>
      </c>
      <c r="P775">
        <v>0.99973670000000003</v>
      </c>
      <c r="Q775">
        <v>1.144009E-2</v>
      </c>
      <c r="R775">
        <v>-1.989821E-2</v>
      </c>
      <c r="S775">
        <v>3.006348</v>
      </c>
      <c r="T775">
        <v>-3.6539910000000002E-2</v>
      </c>
      <c r="U775">
        <v>0.25750729999999999</v>
      </c>
      <c r="V775">
        <v>2.7046790000000001E-2</v>
      </c>
      <c r="W775">
        <v>1.8618760000000002E-2</v>
      </c>
      <c r="X775">
        <v>0.99946080000000004</v>
      </c>
      <c r="Y775">
        <v>-7.8214179999999994E-2</v>
      </c>
      <c r="Z775">
        <v>3.877396E-4</v>
      </c>
      <c r="AA775">
        <v>0.9969365</v>
      </c>
      <c r="AB775">
        <v>35</v>
      </c>
      <c r="AC775">
        <v>88.1878999999999</v>
      </c>
      <c r="AD775">
        <v>-1.076117225965</v>
      </c>
      <c r="AE775">
        <v>7.5701999999999998</v>
      </c>
      <c r="AF775">
        <v>-6.93874203612567</v>
      </c>
      <c r="AG775">
        <v>-1.076117225965</v>
      </c>
      <c r="AH775">
        <v>88.226707692465894</v>
      </c>
      <c r="AI775">
        <v>90.696661408880203</v>
      </c>
      <c r="AJ775">
        <v>94.496869422457905</v>
      </c>
      <c r="AK775">
        <v>88.505684108873695</v>
      </c>
      <c r="AL775">
        <v>88.933162029659499</v>
      </c>
      <c r="AM775">
        <v>88.449875373479998</v>
      </c>
      <c r="AN775">
        <v>1.0000000389049399</v>
      </c>
    </row>
    <row r="776" spans="1:40" x14ac:dyDescent="0.25">
      <c r="A776" t="str">
        <f>"20190312154228506"</f>
        <v>20190312154228506</v>
      </c>
      <c r="B776" t="str">
        <f>"1552376548498167"</f>
        <v>1552376548498167</v>
      </c>
      <c r="C776" t="s">
        <v>40</v>
      </c>
      <c r="D776">
        <v>4.6789560000000003</v>
      </c>
      <c r="E776">
        <v>0.45966630000000003</v>
      </c>
      <c r="F776" t="s">
        <v>47</v>
      </c>
      <c r="G776">
        <v>-192.50649999999999</v>
      </c>
      <c r="H776" s="1">
        <v>-1.2282469999999999E-5</v>
      </c>
      <c r="I776">
        <v>375.53829999999999</v>
      </c>
      <c r="J776">
        <v>-277.21710000000002</v>
      </c>
      <c r="K776">
        <v>1.078541</v>
      </c>
      <c r="L776">
        <v>368.18790000000001</v>
      </c>
      <c r="M776">
        <v>0.99995069999999997</v>
      </c>
      <c r="N776">
        <v>0</v>
      </c>
      <c r="O776">
        <v>7.0602740000000001E-3</v>
      </c>
      <c r="P776">
        <v>0.99973239999999997</v>
      </c>
      <c r="Q776">
        <v>1.1916660000000001E-2</v>
      </c>
      <c r="R776">
        <v>-1.9830509999999999E-2</v>
      </c>
      <c r="S776">
        <v>3.0064389999999999</v>
      </c>
      <c r="T776">
        <v>-3.8064840000000003E-2</v>
      </c>
      <c r="U776">
        <v>0.26007079999999999</v>
      </c>
      <c r="V776">
        <v>2.6893150000000001E-2</v>
      </c>
      <c r="W776">
        <v>1.8883359999999998E-2</v>
      </c>
      <c r="X776">
        <v>0.99945989999999996</v>
      </c>
      <c r="Y776">
        <v>-7.914069E-2</v>
      </c>
      <c r="Z776">
        <v>4.1083500000000002E-4</v>
      </c>
      <c r="AA776">
        <v>0.99686339999999996</v>
      </c>
      <c r="AB776">
        <v>35</v>
      </c>
      <c r="AC776">
        <v>84.710599999999999</v>
      </c>
      <c r="AD776">
        <v>-1.0785532824699999</v>
      </c>
      <c r="AE776">
        <v>7.3503999999999703</v>
      </c>
      <c r="AF776">
        <v>-6.7510359371573996</v>
      </c>
      <c r="AG776">
        <v>-1.0785532824699999</v>
      </c>
      <c r="AH776">
        <v>84.746750104736705</v>
      </c>
      <c r="AI776">
        <v>90.726849072888896</v>
      </c>
      <c r="AJ776">
        <v>94.554637836935299</v>
      </c>
      <c r="AK776">
        <v>85.022064293468006</v>
      </c>
      <c r="AL776">
        <v>88.917998812660699</v>
      </c>
      <c r="AM776">
        <v>88.458675250086699</v>
      </c>
      <c r="AN776">
        <v>0.99999995725490998</v>
      </c>
    </row>
    <row r="777" spans="1:40" x14ac:dyDescent="0.25">
      <c r="A777" t="str">
        <f>"20190312154228518"</f>
        <v>20190312154228518</v>
      </c>
      <c r="B777" t="str">
        <f>"1552376548507926"</f>
        <v>1552376548507926</v>
      </c>
      <c r="C777" t="s">
        <v>40</v>
      </c>
      <c r="D777">
        <v>4.6178369999999997</v>
      </c>
      <c r="E777">
        <v>0.45952330000000002</v>
      </c>
      <c r="F777" t="s">
        <v>47</v>
      </c>
      <c r="G777">
        <v>-201.17349999999999</v>
      </c>
      <c r="H777" s="1">
        <v>-1.945943E-6</v>
      </c>
      <c r="I777">
        <v>374.8931</v>
      </c>
      <c r="J777">
        <v>-277.03629999999998</v>
      </c>
      <c r="K777">
        <v>1.080141</v>
      </c>
      <c r="L777">
        <v>368.18920000000003</v>
      </c>
      <c r="M777">
        <v>0.99995160000000005</v>
      </c>
      <c r="N777">
        <v>0</v>
      </c>
      <c r="O777">
        <v>7.0087229999999997E-3</v>
      </c>
      <c r="P777">
        <v>0.9997279</v>
      </c>
      <c r="Q777">
        <v>1.205412E-2</v>
      </c>
      <c r="R777">
        <v>-1.9968389999999999E-2</v>
      </c>
      <c r="S777">
        <v>3.006561</v>
      </c>
      <c r="T777">
        <v>-4.264271E-2</v>
      </c>
      <c r="U777">
        <v>0.26510620000000001</v>
      </c>
      <c r="V777">
        <v>2.6979610000000001E-2</v>
      </c>
      <c r="W777">
        <v>1.8965840000000001E-2</v>
      </c>
      <c r="X777">
        <v>0.99945600000000001</v>
      </c>
      <c r="Y777">
        <v>-8.0843769999999995E-2</v>
      </c>
      <c r="Z777">
        <v>4.7297080000000002E-4</v>
      </c>
      <c r="AA777">
        <v>0.99672669999999997</v>
      </c>
      <c r="AB777">
        <v>35</v>
      </c>
      <c r="AC777">
        <v>75.862799999999993</v>
      </c>
      <c r="AD777">
        <v>-1.0801429459430001</v>
      </c>
      <c r="AE777">
        <v>6.7038999999999698</v>
      </c>
      <c r="AF777">
        <v>-6.1707800379319604</v>
      </c>
      <c r="AG777">
        <v>-1.0801429459430001</v>
      </c>
      <c r="AH777">
        <v>75.892657478033996</v>
      </c>
      <c r="AI777">
        <v>90.812725893239801</v>
      </c>
      <c r="AJ777">
        <v>94.648454654265393</v>
      </c>
      <c r="AK777">
        <v>76.150776057361398</v>
      </c>
      <c r="AL777">
        <v>88.913272201327203</v>
      </c>
      <c r="AM777">
        <v>88.453716346701498</v>
      </c>
      <c r="AN777">
        <v>0.999999949189327</v>
      </c>
    </row>
    <row r="778" spans="1:40" x14ac:dyDescent="0.25">
      <c r="A778" t="str">
        <f>"20190312154228531"</f>
        <v>20190312154228531</v>
      </c>
      <c r="B778" t="str">
        <f>"1552376548517686"</f>
        <v>1552376548517686</v>
      </c>
      <c r="C778" t="s">
        <v>40</v>
      </c>
      <c r="D778">
        <v>4.6135640000000002</v>
      </c>
      <c r="E778">
        <v>0.45940799999999998</v>
      </c>
      <c r="F778" t="s">
        <v>47</v>
      </c>
      <c r="G778">
        <v>-201.49590000000001</v>
      </c>
      <c r="H778" s="1">
        <v>-2.143803E-6</v>
      </c>
      <c r="I778">
        <v>374.86669999999998</v>
      </c>
      <c r="J778">
        <v>-276.85489999999999</v>
      </c>
      <c r="K778">
        <v>1.08175</v>
      </c>
      <c r="L778">
        <v>368.19040000000001</v>
      </c>
      <c r="M778">
        <v>0.99995210000000001</v>
      </c>
      <c r="N778">
        <v>0</v>
      </c>
      <c r="O778">
        <v>6.9575440000000004E-3</v>
      </c>
      <c r="P778">
        <v>0.99972570000000005</v>
      </c>
      <c r="Q778">
        <v>1.224166E-2</v>
      </c>
      <c r="R778">
        <v>-1.9970020000000002E-2</v>
      </c>
      <c r="S778">
        <v>3.006653</v>
      </c>
      <c r="T778">
        <v>-4.2991759999999997E-2</v>
      </c>
      <c r="U778">
        <v>0.2657776</v>
      </c>
      <c r="V778">
        <v>2.6930220000000001E-2</v>
      </c>
      <c r="W778">
        <v>1.9128409999999998E-2</v>
      </c>
      <c r="X778">
        <v>0.99945430000000002</v>
      </c>
      <c r="Y778">
        <v>-8.1112820000000002E-2</v>
      </c>
      <c r="Z778">
        <v>4.7947270000000001E-4</v>
      </c>
      <c r="AA778">
        <v>0.99670479999999995</v>
      </c>
      <c r="AB778">
        <v>35</v>
      </c>
      <c r="AC778">
        <v>75.358999999999895</v>
      </c>
      <c r="AD778">
        <v>-1.081752143803</v>
      </c>
      <c r="AE778">
        <v>6.6762999999999604</v>
      </c>
      <c r="AF778">
        <v>-6.1505549277007798</v>
      </c>
      <c r="AG778">
        <v>-1.081752143803</v>
      </c>
      <c r="AH778">
        <v>75.388214456330701</v>
      </c>
      <c r="AI778">
        <v>90.819363779744094</v>
      </c>
      <c r="AJ778">
        <v>94.664151741376401</v>
      </c>
      <c r="AK778">
        <v>75.646430137403101</v>
      </c>
      <c r="AL778">
        <v>88.903956008349795</v>
      </c>
      <c r="AM778">
        <v>88.4565430435552</v>
      </c>
      <c r="AN778">
        <v>1.0000000153034301</v>
      </c>
    </row>
    <row r="779" spans="1:40" x14ac:dyDescent="0.25">
      <c r="A779" t="str">
        <f>"20190312154228543"</f>
        <v>20190312154228543</v>
      </c>
      <c r="B779" t="str">
        <f>"1552376548538183"</f>
        <v>1552376548538183</v>
      </c>
      <c r="C779" t="s">
        <v>40</v>
      </c>
      <c r="D779">
        <v>4.6421429999999999</v>
      </c>
      <c r="E779">
        <v>0.45918999999999999</v>
      </c>
      <c r="F779" t="s">
        <v>47</v>
      </c>
      <c r="G779">
        <v>-200.36699999999999</v>
      </c>
      <c r="H779" s="1">
        <v>-1.4467879999999999E-6</v>
      </c>
      <c r="I779">
        <v>374.97489999999999</v>
      </c>
      <c r="J779">
        <v>-276.65960000000001</v>
      </c>
      <c r="K779">
        <v>1.0834870000000001</v>
      </c>
      <c r="L779">
        <v>368.19170000000003</v>
      </c>
      <c r="M779">
        <v>0.9999519</v>
      </c>
      <c r="N779">
        <v>0</v>
      </c>
      <c r="O779">
        <v>6.9035379999999999E-3</v>
      </c>
      <c r="P779">
        <v>0.99973179999999995</v>
      </c>
      <c r="Q779">
        <v>1.2002499999999999E-2</v>
      </c>
      <c r="R779">
        <v>-1.9808010000000001E-2</v>
      </c>
      <c r="S779">
        <v>3.006653</v>
      </c>
      <c r="T779">
        <v>-4.252243E-2</v>
      </c>
      <c r="U779">
        <v>0.26669310000000002</v>
      </c>
      <c r="V779">
        <v>2.6714169999999999E-2</v>
      </c>
      <c r="W779">
        <v>1.8955349999999999E-2</v>
      </c>
      <c r="X779">
        <v>0.9994634</v>
      </c>
      <c r="Y779">
        <v>-8.1467899999999996E-2</v>
      </c>
      <c r="Z779">
        <v>4.7750059999999999E-4</v>
      </c>
      <c r="AA779">
        <v>0.9966758</v>
      </c>
      <c r="AB779">
        <v>35</v>
      </c>
      <c r="AC779">
        <v>76.292599999999993</v>
      </c>
      <c r="AD779">
        <v>-1.0834884467879999</v>
      </c>
      <c r="AE779">
        <v>6.7831999999999599</v>
      </c>
      <c r="AF779">
        <v>-6.2550850128031898</v>
      </c>
      <c r="AG779">
        <v>-1.0834884467879999</v>
      </c>
      <c r="AH779">
        <v>76.322338398493201</v>
      </c>
      <c r="AI779">
        <v>90.8106112209598</v>
      </c>
      <c r="AJ779">
        <v>94.685270198467606</v>
      </c>
      <c r="AK779">
        <v>76.585895400823105</v>
      </c>
      <c r="AL779">
        <v>88.913873419130297</v>
      </c>
      <c r="AM779">
        <v>88.468933575297399</v>
      </c>
      <c r="AN779">
        <v>1.00000002005598</v>
      </c>
    </row>
    <row r="780" spans="1:40" x14ac:dyDescent="0.25">
      <c r="A780" t="str">
        <f>"20190312154228555"</f>
        <v>20190312154228555</v>
      </c>
      <c r="B780" t="str">
        <f>"1552376548547944"</f>
        <v>1552376548547944</v>
      </c>
      <c r="C780" t="s">
        <v>40</v>
      </c>
      <c r="D780">
        <v>4.639335</v>
      </c>
      <c r="E780">
        <v>0.45911610000000003</v>
      </c>
      <c r="F780" t="s">
        <v>47</v>
      </c>
      <c r="G780">
        <v>-204.44110000000001</v>
      </c>
      <c r="H780" s="1">
        <v>-3.7749410000000001E-6</v>
      </c>
      <c r="I780">
        <v>374.64949999999999</v>
      </c>
      <c r="J780">
        <v>-276.4633</v>
      </c>
      <c r="K780">
        <v>1.085213</v>
      </c>
      <c r="L780">
        <v>368.19299999999998</v>
      </c>
      <c r="M780">
        <v>0.99995149999999999</v>
      </c>
      <c r="N780">
        <v>0</v>
      </c>
      <c r="O780">
        <v>6.849305E-3</v>
      </c>
      <c r="P780">
        <v>0.9997298</v>
      </c>
      <c r="Q780">
        <v>1.2082330000000001E-2</v>
      </c>
      <c r="R780">
        <v>-1.9861920000000002E-2</v>
      </c>
      <c r="S780">
        <v>3.0066830000000002</v>
      </c>
      <c r="T780">
        <v>-4.5109150000000001E-2</v>
      </c>
      <c r="U780">
        <v>0.26885989999999999</v>
      </c>
      <c r="V780">
        <v>2.6714109999999999E-2</v>
      </c>
      <c r="W780">
        <v>1.9163220000000002E-2</v>
      </c>
      <c r="X780">
        <v>0.9994594</v>
      </c>
      <c r="Y780">
        <v>-8.2232620000000006E-2</v>
      </c>
      <c r="Z780">
        <v>5.1305999999999997E-4</v>
      </c>
      <c r="AA780">
        <v>0.99661299999999997</v>
      </c>
      <c r="AB780">
        <v>35</v>
      </c>
      <c r="AC780">
        <v>72.022199999999998</v>
      </c>
      <c r="AD780">
        <v>-1.085216774941</v>
      </c>
      <c r="AE780">
        <v>6.4564999999999397</v>
      </c>
      <c r="AF780">
        <v>-5.9616914304516202</v>
      </c>
      <c r="AG780">
        <v>-1.085216774941</v>
      </c>
      <c r="AH780">
        <v>72.048506750625407</v>
      </c>
      <c r="AI780">
        <v>90.860002726400694</v>
      </c>
      <c r="AJ780">
        <v>94.730193331258803</v>
      </c>
      <c r="AK780">
        <v>72.302882274190395</v>
      </c>
      <c r="AL780">
        <v>88.901961140580298</v>
      </c>
      <c r="AM780">
        <v>88.468930887786499</v>
      </c>
      <c r="AN780">
        <v>0.99999998246110999</v>
      </c>
    </row>
    <row r="781" spans="1:40" x14ac:dyDescent="0.25">
      <c r="A781" t="str">
        <f>"20190312154228568"</f>
        <v>20190312154228568</v>
      </c>
      <c r="B781" t="str">
        <f>"1552376548557702"</f>
        <v>1552376548557702</v>
      </c>
      <c r="C781" t="s">
        <v>40</v>
      </c>
      <c r="D781">
        <v>4.6282639999999997</v>
      </c>
      <c r="E781">
        <v>0.45905509999999999</v>
      </c>
      <c r="F781" t="s">
        <v>47</v>
      </c>
      <c r="G781">
        <v>-205.0753</v>
      </c>
      <c r="H781" s="1">
        <v>-4.1037540000000004E-6</v>
      </c>
      <c r="I781">
        <v>374.59320000000002</v>
      </c>
      <c r="J781">
        <v>-276.26729999999998</v>
      </c>
      <c r="K781">
        <v>1.0869219999999999</v>
      </c>
      <c r="L781">
        <v>368.1943</v>
      </c>
      <c r="M781">
        <v>0.99995069999999997</v>
      </c>
      <c r="N781">
        <v>0</v>
      </c>
      <c r="O781">
        <v>6.7952730000000001E-3</v>
      </c>
      <c r="P781">
        <v>0.99973190000000001</v>
      </c>
      <c r="Q781">
        <v>1.2135709999999999E-2</v>
      </c>
      <c r="R781">
        <v>-1.972581E-2</v>
      </c>
      <c r="S781">
        <v>3.0066830000000002</v>
      </c>
      <c r="T781">
        <v>-4.5706629999999998E-2</v>
      </c>
      <c r="U781">
        <v>0.26956180000000002</v>
      </c>
      <c r="V781">
        <v>2.6523919999999999E-2</v>
      </c>
      <c r="W781">
        <v>1.938347E-2</v>
      </c>
      <c r="X781">
        <v>0.99946020000000002</v>
      </c>
      <c r="Y781">
        <v>-8.2517010000000002E-2</v>
      </c>
      <c r="Z781">
        <v>5.2282610000000003E-4</v>
      </c>
      <c r="AA781">
        <v>0.99658950000000002</v>
      </c>
      <c r="AB781">
        <v>35</v>
      </c>
      <c r="AC781">
        <v>71.191999999999894</v>
      </c>
      <c r="AD781">
        <v>-1.0869261037539999</v>
      </c>
      <c r="AE781">
        <v>6.3989000000000198</v>
      </c>
      <c r="AF781">
        <v>-5.9136030984199497</v>
      </c>
      <c r="AG781">
        <v>-1.0869261037539999</v>
      </c>
      <c r="AH781">
        <v>71.2173720813324</v>
      </c>
      <c r="AI781">
        <v>90.871387117816894</v>
      </c>
      <c r="AJ781">
        <v>94.746720733866695</v>
      </c>
      <c r="AK781">
        <v>71.470736641870502</v>
      </c>
      <c r="AL781">
        <v>88.889339380271295</v>
      </c>
      <c r="AM781">
        <v>88.479827354012002</v>
      </c>
      <c r="AN781">
        <v>0.99999996431272298</v>
      </c>
    </row>
    <row r="782" spans="1:40" x14ac:dyDescent="0.25">
      <c r="A782" t="str">
        <f>"20190312154228582"</f>
        <v>20190312154228582</v>
      </c>
      <c r="B782" t="str">
        <f>"1552376548578199"</f>
        <v>1552376548578199</v>
      </c>
      <c r="C782" t="s">
        <v>40</v>
      </c>
      <c r="D782">
        <v>4.63462</v>
      </c>
      <c r="E782">
        <v>0.45896480000000001</v>
      </c>
      <c r="F782" t="s">
        <v>47</v>
      </c>
      <c r="G782">
        <v>-205.62799999999999</v>
      </c>
      <c r="H782" s="1">
        <v>-4.3720109999999999E-6</v>
      </c>
      <c r="I782">
        <v>374.54450000000003</v>
      </c>
      <c r="J782">
        <v>-276.05380000000002</v>
      </c>
      <c r="K782">
        <v>1.088697</v>
      </c>
      <c r="L782">
        <v>368.19569999999999</v>
      </c>
      <c r="M782">
        <v>0.99994930000000004</v>
      </c>
      <c r="N782">
        <v>0</v>
      </c>
      <c r="O782">
        <v>6.7356550000000001E-3</v>
      </c>
      <c r="P782">
        <v>0.99973199999999995</v>
      </c>
      <c r="Q782">
        <v>1.202136E-2</v>
      </c>
      <c r="R782">
        <v>-1.978943E-2</v>
      </c>
      <c r="S782">
        <v>3.0067439999999999</v>
      </c>
      <c r="T782">
        <v>-4.6264769999999997E-2</v>
      </c>
      <c r="U782">
        <v>0.27029419999999998</v>
      </c>
      <c r="V782">
        <v>2.6528039999999999E-2</v>
      </c>
      <c r="W782">
        <v>1.952077E-2</v>
      </c>
      <c r="X782">
        <v>0.9994575</v>
      </c>
      <c r="Y782">
        <v>-8.2815159999999999E-2</v>
      </c>
      <c r="Z782">
        <v>5.3239759999999998E-4</v>
      </c>
      <c r="AA782">
        <v>0.99656480000000003</v>
      </c>
      <c r="AB782">
        <v>35</v>
      </c>
      <c r="AC782">
        <v>70.425799999999995</v>
      </c>
      <c r="AD782">
        <v>-1.0887013720109999</v>
      </c>
      <c r="AE782">
        <v>6.3488000000000397</v>
      </c>
      <c r="AF782">
        <v>-5.8728866253512901</v>
      </c>
      <c r="AG782">
        <v>-1.0887013720109999</v>
      </c>
      <c r="AH782">
        <v>70.450266649939607</v>
      </c>
      <c r="AI782">
        <v>90.882288545252806</v>
      </c>
      <c r="AJ782">
        <v>94.765282124078595</v>
      </c>
      <c r="AK782">
        <v>70.703013648919097</v>
      </c>
      <c r="AL782">
        <v>88.881471271910797</v>
      </c>
      <c r="AM782">
        <v>88.479587228753005</v>
      </c>
      <c r="AN782">
        <v>1.00000004583694</v>
      </c>
    </row>
    <row r="783" spans="1:40" x14ac:dyDescent="0.25">
      <c r="A783" t="str">
        <f>"20190312154228597"</f>
        <v>20190312154228597</v>
      </c>
      <c r="B783" t="str">
        <f>"1552376548587959"</f>
        <v>1552376548587959</v>
      </c>
      <c r="C783" t="s">
        <v>40</v>
      </c>
      <c r="D783">
        <v>4.6543349999999997</v>
      </c>
      <c r="E783">
        <v>0.45890500000000001</v>
      </c>
      <c r="F783" t="s">
        <v>47</v>
      </c>
      <c r="G783">
        <v>-209.3398</v>
      </c>
      <c r="H783" s="1">
        <v>-5.9082730000000001E-6</v>
      </c>
      <c r="I783">
        <v>374.21140000000003</v>
      </c>
      <c r="J783">
        <v>-275.81560000000002</v>
      </c>
      <c r="K783">
        <v>1.090606</v>
      </c>
      <c r="L783">
        <v>368.19729999999998</v>
      </c>
      <c r="M783">
        <v>0.99994720000000004</v>
      </c>
      <c r="N783">
        <v>0</v>
      </c>
      <c r="O783">
        <v>6.6695770000000003E-3</v>
      </c>
      <c r="P783">
        <v>0.99972450000000002</v>
      </c>
      <c r="Q783">
        <v>1.244203E-2</v>
      </c>
      <c r="R783">
        <v>-1.9905059999999999E-2</v>
      </c>
      <c r="S783">
        <v>3.0067439999999999</v>
      </c>
      <c r="T783">
        <v>-4.9066899999999997E-2</v>
      </c>
      <c r="U783">
        <v>0.27111819999999998</v>
      </c>
      <c r="V783">
        <v>2.6577630000000001E-2</v>
      </c>
      <c r="W783">
        <v>2.0249719999999999E-2</v>
      </c>
      <c r="X783">
        <v>0.99944160000000004</v>
      </c>
      <c r="Y783">
        <v>-8.3150719999999997E-2</v>
      </c>
      <c r="Z783">
        <v>5.6844019999999999E-4</v>
      </c>
      <c r="AA783">
        <v>0.9965368</v>
      </c>
      <c r="AB783">
        <v>35</v>
      </c>
      <c r="AC783">
        <v>66.475800000000007</v>
      </c>
      <c r="AD783">
        <v>-1.0906119082729999</v>
      </c>
      <c r="AE783">
        <v>6.01410000000004</v>
      </c>
      <c r="AF783">
        <v>-5.5691003924332696</v>
      </c>
      <c r="AG783">
        <v>-1.0906119082729999</v>
      </c>
      <c r="AH783">
        <v>66.496681036833095</v>
      </c>
      <c r="AI783">
        <v>90.936346224912498</v>
      </c>
      <c r="AJ783">
        <v>94.787352341440794</v>
      </c>
      <c r="AK783">
        <v>66.738391518149299</v>
      </c>
      <c r="AL783">
        <v>88.839697162561194</v>
      </c>
      <c r="AM783">
        <v>88.476722172074304</v>
      </c>
      <c r="AN783">
        <v>0.99999996669352698</v>
      </c>
    </row>
    <row r="784" spans="1:40" x14ac:dyDescent="0.25">
      <c r="A784" t="str">
        <f>"20190312154228611"</f>
        <v>20190312154228611</v>
      </c>
      <c r="B784" t="str">
        <f>"1552376548597719"</f>
        <v>1552376548597719</v>
      </c>
      <c r="C784" t="s">
        <v>40</v>
      </c>
      <c r="D784">
        <v>4.8971330000000002</v>
      </c>
      <c r="E784">
        <v>0.45875320000000003</v>
      </c>
      <c r="F784" t="s">
        <v>47</v>
      </c>
      <c r="G784">
        <v>-208.00829999999999</v>
      </c>
      <c r="H784" s="1">
        <v>-5.4461089999999999E-6</v>
      </c>
      <c r="I784">
        <v>374.3168</v>
      </c>
      <c r="J784">
        <v>-275.60770000000002</v>
      </c>
      <c r="K784">
        <v>1.092209</v>
      </c>
      <c r="L784">
        <v>368.1986</v>
      </c>
      <c r="M784">
        <v>0.99994539999999998</v>
      </c>
      <c r="N784">
        <v>0</v>
      </c>
      <c r="O784">
        <v>6.6117579999999997E-3</v>
      </c>
      <c r="P784">
        <v>0.99972169999999905</v>
      </c>
      <c r="Q784">
        <v>1.269235E-2</v>
      </c>
      <c r="R784">
        <v>-1.989289E-2</v>
      </c>
      <c r="S784">
        <v>3.0068359999999998</v>
      </c>
      <c r="T784">
        <v>-4.8361899999999999E-2</v>
      </c>
      <c r="U784">
        <v>0.2713623</v>
      </c>
      <c r="V784">
        <v>2.650779E-2</v>
      </c>
      <c r="W784">
        <v>2.0788899999999999E-2</v>
      </c>
      <c r="X784">
        <v>0.9994324</v>
      </c>
      <c r="Y784">
        <v>-8.3286139999999995E-2</v>
      </c>
      <c r="Z784">
        <v>5.622693E-4</v>
      </c>
      <c r="AA784">
        <v>0.99652549999999995</v>
      </c>
      <c r="AB784">
        <v>35</v>
      </c>
      <c r="AC784">
        <v>67.599400000000003</v>
      </c>
      <c r="AD784">
        <v>-1.092214446109</v>
      </c>
      <c r="AE784">
        <v>6.1181999999999999</v>
      </c>
      <c r="AF784">
        <v>-5.6696326980716503</v>
      </c>
      <c r="AG784">
        <v>-1.092214446109</v>
      </c>
      <c r="AH784">
        <v>67.620866440949101</v>
      </c>
      <c r="AI784">
        <v>90.922127848387106</v>
      </c>
      <c r="AJ784">
        <v>94.792721927251705</v>
      </c>
      <c r="AK784">
        <v>67.866923059410894</v>
      </c>
      <c r="AL784">
        <v>88.808797935049199</v>
      </c>
      <c r="AM784">
        <v>88.480709144407598</v>
      </c>
      <c r="AN784">
        <v>0.99999998173182603</v>
      </c>
    </row>
    <row r="785" spans="1:40" x14ac:dyDescent="0.25">
      <c r="A785" t="str">
        <f>"20190312154228630"</f>
        <v>20190312154228630</v>
      </c>
      <c r="B785" t="str">
        <f>"1552376548618109"</f>
        <v>1552376548618109</v>
      </c>
      <c r="C785" t="s">
        <v>40</v>
      </c>
      <c r="D785">
        <v>4.6481649999999997</v>
      </c>
      <c r="E785">
        <v>0.45847280000000001</v>
      </c>
      <c r="F785" t="s">
        <v>47</v>
      </c>
      <c r="G785">
        <v>-205.9348</v>
      </c>
      <c r="H785" s="1">
        <v>-4.5223230000000003E-6</v>
      </c>
      <c r="I785">
        <v>374.5111</v>
      </c>
      <c r="J785">
        <v>-275.29759999999999</v>
      </c>
      <c r="K785">
        <v>1.094419</v>
      </c>
      <c r="L785">
        <v>368.20060000000001</v>
      </c>
      <c r="M785">
        <v>0.99994209999999994</v>
      </c>
      <c r="N785">
        <v>0</v>
      </c>
      <c r="O785">
        <v>6.5259230000000003E-3</v>
      </c>
      <c r="P785">
        <v>0.99970840000000005</v>
      </c>
      <c r="Q785">
        <v>1.303147E-2</v>
      </c>
      <c r="R785">
        <v>-2.032931E-2</v>
      </c>
      <c r="S785">
        <v>3.006866</v>
      </c>
      <c r="T785">
        <v>-4.7136549999999999E-2</v>
      </c>
      <c r="U785">
        <v>0.27243040000000002</v>
      </c>
      <c r="V785">
        <v>2.6858659999999999E-2</v>
      </c>
      <c r="W785">
        <v>2.158361E-2</v>
      </c>
      <c r="X785">
        <v>0.99940620000000002</v>
      </c>
      <c r="Y785">
        <v>-8.3722290000000005E-2</v>
      </c>
      <c r="Z785">
        <v>5.5276399999999997E-4</v>
      </c>
      <c r="AA785">
        <v>0.99648899999999996</v>
      </c>
      <c r="AB785">
        <v>35</v>
      </c>
      <c r="AC785">
        <v>69.362799999999993</v>
      </c>
      <c r="AD785">
        <v>-1.0944235223229899</v>
      </c>
      <c r="AE785">
        <v>6.3104999999999896</v>
      </c>
      <c r="AF785">
        <v>-5.8562467892109398</v>
      </c>
      <c r="AG785">
        <v>-1.0944235223229899</v>
      </c>
      <c r="AH785">
        <v>69.385374315242899</v>
      </c>
      <c r="AI785">
        <v>90.900456960836905</v>
      </c>
      <c r="AJ785">
        <v>94.824429694598194</v>
      </c>
      <c r="AK785">
        <v>69.640674595876206</v>
      </c>
      <c r="AL785">
        <v>88.763254199525704</v>
      </c>
      <c r="AM785">
        <v>88.460568348382097</v>
      </c>
      <c r="AN785">
        <v>0.99999999621803304</v>
      </c>
    </row>
    <row r="786" spans="1:40" x14ac:dyDescent="0.25">
      <c r="A786" t="str">
        <f>"20190312154228652"</f>
        <v>20190312154228652</v>
      </c>
      <c r="B786" t="str">
        <f>"1552376548648366"</f>
        <v>1552376548648366</v>
      </c>
      <c r="C786" t="s">
        <v>40</v>
      </c>
      <c r="D786">
        <v>4.6312480000000003</v>
      </c>
      <c r="E786">
        <v>0.45824870000000001</v>
      </c>
      <c r="F786" t="s">
        <v>47</v>
      </c>
      <c r="G786">
        <v>-202.2938</v>
      </c>
      <c r="H786" s="1">
        <v>-2.6236600000000001E-6</v>
      </c>
      <c r="I786">
        <v>374.8383</v>
      </c>
      <c r="J786">
        <v>-274.96089999999998</v>
      </c>
      <c r="K786">
        <v>1.0965830000000001</v>
      </c>
      <c r="L786">
        <v>368.20269999999999</v>
      </c>
      <c r="M786">
        <v>0.99993840000000001</v>
      </c>
      <c r="N786">
        <v>0</v>
      </c>
      <c r="O786">
        <v>6.4335629999999998E-3</v>
      </c>
      <c r="P786">
        <v>0.9997045</v>
      </c>
      <c r="Q786">
        <v>1.274963E-2</v>
      </c>
      <c r="R786">
        <v>-2.070309E-2</v>
      </c>
      <c r="S786">
        <v>3.0070190000000001</v>
      </c>
      <c r="T786">
        <v>-4.5079109999999999E-2</v>
      </c>
      <c r="U786">
        <v>0.27340700000000001</v>
      </c>
      <c r="V786">
        <v>2.7140230000000001E-2</v>
      </c>
      <c r="W786">
        <v>2.1805290000000001E-2</v>
      </c>
      <c r="X786">
        <v>0.9993938</v>
      </c>
      <c r="Y786">
        <v>-8.4131490000000003E-2</v>
      </c>
      <c r="Z786">
        <v>5.330469E-4</v>
      </c>
      <c r="AA786">
        <v>0.99645450000000002</v>
      </c>
      <c r="AB786">
        <v>35</v>
      </c>
      <c r="AC786">
        <v>72.667099999999905</v>
      </c>
      <c r="AD786">
        <v>-1.09658562366</v>
      </c>
      <c r="AE786">
        <v>6.6356000000000099</v>
      </c>
      <c r="AF786">
        <v>-6.1665425125715601</v>
      </c>
      <c r="AG786">
        <v>-1.09658562366</v>
      </c>
      <c r="AH786">
        <v>72.691871468737006</v>
      </c>
      <c r="AI786">
        <v>90.861171314573596</v>
      </c>
      <c r="AJ786">
        <v>94.848863624127105</v>
      </c>
      <c r="AK786">
        <v>72.961201499267801</v>
      </c>
      <c r="AL786">
        <v>88.750549904676404</v>
      </c>
      <c r="AM786">
        <v>88.444418472020502</v>
      </c>
      <c r="AN786">
        <v>1.00000001511743</v>
      </c>
    </row>
    <row r="787" spans="1:40" x14ac:dyDescent="0.25">
      <c r="A787" t="str">
        <f>"20190312154228663"</f>
        <v>20190312154228663</v>
      </c>
      <c r="B787" t="str">
        <f>"1552376548658126"</f>
        <v>1552376548658126</v>
      </c>
      <c r="C787" t="s">
        <v>40</v>
      </c>
      <c r="D787">
        <v>4.663386</v>
      </c>
      <c r="E787">
        <v>0.45815539999999999</v>
      </c>
      <c r="F787" t="s">
        <v>47</v>
      </c>
      <c r="G787">
        <v>-206.28139999999999</v>
      </c>
      <c r="H787" s="1">
        <v>-4.6947829999999997E-6</v>
      </c>
      <c r="I787">
        <v>374.4615</v>
      </c>
      <c r="J787">
        <v>-274.7679</v>
      </c>
      <c r="K787">
        <v>1.0977209999999999</v>
      </c>
      <c r="L787">
        <v>368.2038</v>
      </c>
      <c r="M787">
        <v>0.99993600000000005</v>
      </c>
      <c r="N787">
        <v>0</v>
      </c>
      <c r="O787">
        <v>6.3811199999999997E-3</v>
      </c>
      <c r="P787">
        <v>0.99970400000000004</v>
      </c>
      <c r="Q787">
        <v>1.2572689999999999E-2</v>
      </c>
      <c r="R787">
        <v>-2.083581E-2</v>
      </c>
      <c r="S787">
        <v>3.0071720000000002</v>
      </c>
      <c r="T787">
        <v>-4.8014759999999997E-2</v>
      </c>
      <c r="U787">
        <v>0.27404790000000001</v>
      </c>
      <c r="V787">
        <v>2.7220279999999999E-2</v>
      </c>
      <c r="W787">
        <v>2.191398E-2</v>
      </c>
      <c r="X787">
        <v>0.99938919999999998</v>
      </c>
      <c r="Y787">
        <v>-8.4388580000000005E-2</v>
      </c>
      <c r="Z787">
        <v>5.706051E-4</v>
      </c>
      <c r="AA787">
        <v>0.99643280000000001</v>
      </c>
      <c r="AB787">
        <v>35</v>
      </c>
      <c r="AC787">
        <v>68.486500000000007</v>
      </c>
      <c r="AD787">
        <v>-1.0977256947830001</v>
      </c>
      <c r="AE787">
        <v>6.2576999999999998</v>
      </c>
      <c r="AF787">
        <v>-5.8190503545771497</v>
      </c>
      <c r="AG787">
        <v>-1.0977256947830001</v>
      </c>
      <c r="AH787">
        <v>68.507583973094498</v>
      </c>
      <c r="AI787">
        <v>90.914702474323093</v>
      </c>
      <c r="AJ787">
        <v>94.855063242900997</v>
      </c>
      <c r="AK787">
        <v>68.763038113223999</v>
      </c>
      <c r="AL787">
        <v>88.744320880938702</v>
      </c>
      <c r="AM787">
        <v>88.4398253772586</v>
      </c>
      <c r="AN787">
        <v>0.99999996961967796</v>
      </c>
    </row>
    <row r="788" spans="1:40" x14ac:dyDescent="0.25">
      <c r="A788" t="str">
        <f>"20190312154228675"</f>
        <v>20190312154228675</v>
      </c>
      <c r="B788" t="str">
        <f>"1552376548667886"</f>
        <v>1552376548667886</v>
      </c>
      <c r="C788" t="s">
        <v>40</v>
      </c>
      <c r="D788">
        <v>4.9590969999999999</v>
      </c>
      <c r="E788">
        <v>0.4579799</v>
      </c>
      <c r="F788" t="s">
        <v>47</v>
      </c>
      <c r="G788">
        <v>-209.14750000000001</v>
      </c>
      <c r="H788" s="1">
        <v>-5.8463379999999899E-6</v>
      </c>
      <c r="I788">
        <v>374.19569999999999</v>
      </c>
      <c r="J788">
        <v>-274.58839999999998</v>
      </c>
      <c r="K788">
        <v>1.0987020000000001</v>
      </c>
      <c r="L788">
        <v>368.20499999999998</v>
      </c>
      <c r="M788">
        <v>0.99993370000000004</v>
      </c>
      <c r="N788">
        <v>0</v>
      </c>
      <c r="O788">
        <v>6.3321059999999997E-3</v>
      </c>
      <c r="P788">
        <v>0.99970820000000005</v>
      </c>
      <c r="Q788">
        <v>1.2407799999999899E-2</v>
      </c>
      <c r="R788">
        <v>-2.0731670000000001E-2</v>
      </c>
      <c r="S788">
        <v>3.007263</v>
      </c>
      <c r="T788">
        <v>-5.0306799999999999E-2</v>
      </c>
      <c r="U788">
        <v>0.27459719999999999</v>
      </c>
      <c r="V788">
        <v>2.7067299999999999E-2</v>
      </c>
      <c r="W788">
        <v>2.2008380000000001E-2</v>
      </c>
      <c r="X788">
        <v>0.99939129999999998</v>
      </c>
      <c r="Y788">
        <v>-8.4614170000000002E-2</v>
      </c>
      <c r="Z788">
        <v>6.0051729999999995E-4</v>
      </c>
      <c r="AA788">
        <v>0.99641360000000001</v>
      </c>
      <c r="AB788">
        <v>35</v>
      </c>
      <c r="AC788">
        <v>65.4408999999999</v>
      </c>
      <c r="AD788">
        <v>-1.098707846338</v>
      </c>
      <c r="AE788">
        <v>5.9907000000000004</v>
      </c>
      <c r="AF788">
        <v>-5.5746236837197598</v>
      </c>
      <c r="AG788">
        <v>-1.098707846338</v>
      </c>
      <c r="AH788">
        <v>65.459225050306102</v>
      </c>
      <c r="AI788">
        <v>90.958129762402606</v>
      </c>
      <c r="AJ788">
        <v>94.867665232670703</v>
      </c>
      <c r="AK788">
        <v>65.7053554311467</v>
      </c>
      <c r="AL788">
        <v>88.738910878885207</v>
      </c>
      <c r="AM788">
        <v>88.448592635862894</v>
      </c>
      <c r="AN788">
        <v>0.99999998901760201</v>
      </c>
    </row>
    <row r="789" spans="1:40" x14ac:dyDescent="0.25">
      <c r="A789" t="str">
        <f>"20190312154228689"</f>
        <v>20190312154228689</v>
      </c>
      <c r="B789" t="str">
        <f>"1552376548677645"</f>
        <v>1552376548677645</v>
      </c>
      <c r="C789" t="s">
        <v>40</v>
      </c>
      <c r="D789">
        <v>4.6958260000000003</v>
      </c>
      <c r="E789">
        <v>0.45789560000000001</v>
      </c>
      <c r="F789" t="s">
        <v>47</v>
      </c>
      <c r="G789">
        <v>-209.39109999999999</v>
      </c>
      <c r="H789" s="1">
        <v>-5.9286969999999998E-6</v>
      </c>
      <c r="I789">
        <v>374.19069999999999</v>
      </c>
      <c r="J789">
        <v>-274.38490000000002</v>
      </c>
      <c r="K789">
        <v>1.0997669999999999</v>
      </c>
      <c r="L789">
        <v>368.20620000000002</v>
      </c>
      <c r="M789">
        <v>0.99993129999999997</v>
      </c>
      <c r="N789">
        <v>0</v>
      </c>
      <c r="O789">
        <v>6.2763469999999998E-3</v>
      </c>
      <c r="P789">
        <v>0.99970829999999999</v>
      </c>
      <c r="Q789">
        <v>1.2448860000000001E-2</v>
      </c>
      <c r="R789">
        <v>-2.0695680000000001E-2</v>
      </c>
      <c r="S789">
        <v>3.0072329999999998</v>
      </c>
      <c r="T789">
        <v>-5.0678010000000002E-2</v>
      </c>
      <c r="U789">
        <v>0.27609250000000002</v>
      </c>
      <c r="V789">
        <v>2.697592E-2</v>
      </c>
      <c r="W789">
        <v>2.2338739999999999E-2</v>
      </c>
      <c r="X789">
        <v>0.99938640000000001</v>
      </c>
      <c r="Y789">
        <v>-8.5161730000000005E-2</v>
      </c>
      <c r="Z789">
        <v>6.1048139999999999E-4</v>
      </c>
      <c r="AA789">
        <v>0.996367</v>
      </c>
      <c r="AB789">
        <v>35</v>
      </c>
      <c r="AC789">
        <v>64.993799999999993</v>
      </c>
      <c r="AD789">
        <v>-1.0997729286969999</v>
      </c>
      <c r="AE789">
        <v>5.9844999999999597</v>
      </c>
      <c r="AF789">
        <v>-5.5748556714055102</v>
      </c>
      <c r="AG789">
        <v>-1.0997729286969999</v>
      </c>
      <c r="AH789">
        <v>65.011624281792805</v>
      </c>
      <c r="AI789">
        <v>90.965611887008507</v>
      </c>
      <c r="AJ789">
        <v>94.901219066539795</v>
      </c>
      <c r="AK789">
        <v>65.259480598673903</v>
      </c>
      <c r="AL789">
        <v>88.719977937495102</v>
      </c>
      <c r="AM789">
        <v>88.453820108759004</v>
      </c>
      <c r="AN789">
        <v>0.99999994803479497</v>
      </c>
    </row>
    <row r="790" spans="1:40" x14ac:dyDescent="0.25">
      <c r="A790" t="str">
        <f>"20190312154228701"</f>
        <v>20190312154228701</v>
      </c>
      <c r="B790" t="str">
        <f>"1552376548698142"</f>
        <v>1552376548698142</v>
      </c>
      <c r="C790" t="s">
        <v>40</v>
      </c>
      <c r="D790">
        <v>4.6989460000000003</v>
      </c>
      <c r="E790">
        <v>0.45773770000000003</v>
      </c>
      <c r="F790" t="s">
        <v>43</v>
      </c>
      <c r="G790">
        <v>-210.54060000000001</v>
      </c>
      <c r="H790" s="1">
        <v>-4.8855619999999997E-6</v>
      </c>
      <c r="I790">
        <v>374.08969999999999</v>
      </c>
      <c r="J790">
        <v>-274.1893</v>
      </c>
      <c r="K790">
        <v>1.1006830000000001</v>
      </c>
      <c r="L790">
        <v>368.20740000000001</v>
      </c>
      <c r="M790">
        <v>0.99992899999999996</v>
      </c>
      <c r="N790">
        <v>0</v>
      </c>
      <c r="O790">
        <v>6.223236E-3</v>
      </c>
      <c r="P790">
        <v>0.99969920000000001</v>
      </c>
      <c r="Q790">
        <v>1.252462E-2</v>
      </c>
      <c r="R790">
        <v>-2.1095539999999999E-2</v>
      </c>
      <c r="S790">
        <v>3.0072329999999998</v>
      </c>
      <c r="T790">
        <v>-5.1802040000000001E-2</v>
      </c>
      <c r="U790">
        <v>0.27713009999999999</v>
      </c>
      <c r="V790">
        <v>2.7322470000000001E-2</v>
      </c>
      <c r="W790">
        <v>2.2679589999999999E-2</v>
      </c>
      <c r="X790">
        <v>0.99936939999999996</v>
      </c>
      <c r="Y790">
        <v>-8.5554959999999999E-2</v>
      </c>
      <c r="Z790">
        <v>6.2830199999999996E-4</v>
      </c>
      <c r="AA790">
        <v>0.99633320000000003</v>
      </c>
      <c r="AB790">
        <v>35</v>
      </c>
      <c r="AC790">
        <v>63.648699999999899</v>
      </c>
      <c r="AD790">
        <v>-1.1006878855619999</v>
      </c>
      <c r="AE790">
        <v>5.8822999999999803</v>
      </c>
      <c r="AF790">
        <v>-5.4844384935641202</v>
      </c>
      <c r="AG790">
        <v>-1.1006878855619999</v>
      </c>
      <c r="AH790">
        <v>63.665198099432303</v>
      </c>
      <c r="AI790">
        <v>90.986816237667696</v>
      </c>
      <c r="AJ790">
        <v>94.923589681957594</v>
      </c>
      <c r="AK790">
        <v>63.910468848625101</v>
      </c>
      <c r="AL790">
        <v>88.700443839454707</v>
      </c>
      <c r="AM790">
        <v>88.433940090925702</v>
      </c>
      <c r="AN790">
        <v>1.00000003941291</v>
      </c>
    </row>
    <row r="791" spans="1:40" x14ac:dyDescent="0.25">
      <c r="A791" t="str">
        <f>"20190312154228714"</f>
        <v>20190312154228714</v>
      </c>
      <c r="B791" t="str">
        <f>"1552376548707901"</f>
        <v>1552376548707901</v>
      </c>
      <c r="C791" t="s">
        <v>40</v>
      </c>
      <c r="D791">
        <v>4.6806900000000002</v>
      </c>
      <c r="E791">
        <v>0.45766050000000003</v>
      </c>
      <c r="F791" t="s">
        <v>43</v>
      </c>
      <c r="G791">
        <v>-213.155</v>
      </c>
      <c r="H791" s="1">
        <v>-3.9508259999999998E-6</v>
      </c>
      <c r="I791">
        <v>373.83589999999998</v>
      </c>
      <c r="J791">
        <v>-273.9982</v>
      </c>
      <c r="K791">
        <v>1.1015269999999999</v>
      </c>
      <c r="L791">
        <v>368.20850000000002</v>
      </c>
      <c r="M791">
        <v>0.9999268</v>
      </c>
      <c r="N791">
        <v>0</v>
      </c>
      <c r="O791">
        <v>6.1709989999999999E-3</v>
      </c>
      <c r="P791">
        <v>0.99969810000000003</v>
      </c>
      <c r="Q791">
        <v>1.27054E-2</v>
      </c>
      <c r="R791">
        <v>-2.1042669999999999E-2</v>
      </c>
      <c r="S791">
        <v>3.0074459999999998</v>
      </c>
      <c r="T791">
        <v>-5.4235940000000003E-2</v>
      </c>
      <c r="U791">
        <v>0.27734379999999997</v>
      </c>
      <c r="V791">
        <v>2.721757E-2</v>
      </c>
      <c r="W791">
        <v>2.31115E-2</v>
      </c>
      <c r="X791">
        <v>0.99936230000000004</v>
      </c>
      <c r="Y791">
        <v>-8.566957E-2</v>
      </c>
      <c r="Z791">
        <v>6.5973979999999995E-4</v>
      </c>
      <c r="AA791">
        <v>0.99632339999999997</v>
      </c>
      <c r="AB791">
        <v>35</v>
      </c>
      <c r="AC791">
        <v>60.843200000000003</v>
      </c>
      <c r="AD791">
        <v>-1.1015309508260001</v>
      </c>
      <c r="AE791">
        <v>5.6273999999999598</v>
      </c>
      <c r="AF791">
        <v>-5.2501029455088597</v>
      </c>
      <c r="AG791">
        <v>-1.1015309508260001</v>
      </c>
      <c r="AH791">
        <v>60.856992019632301</v>
      </c>
      <c r="AI791">
        <v>91.0331221301374</v>
      </c>
      <c r="AJ791">
        <v>94.930671010414002</v>
      </c>
      <c r="AK791">
        <v>61.092965462904601</v>
      </c>
      <c r="AL791">
        <v>88.675690642242003</v>
      </c>
      <c r="AM791">
        <v>88.439938658009197</v>
      </c>
      <c r="AN791">
        <v>0.99999997210512204</v>
      </c>
    </row>
    <row r="792" spans="1:40" x14ac:dyDescent="0.25">
      <c r="A792" t="str">
        <f>"20190312154228726"</f>
        <v>20190312154228726</v>
      </c>
      <c r="B792" t="str">
        <f>"1552376548717661"</f>
        <v>1552376548717661</v>
      </c>
      <c r="C792" t="s">
        <v>40</v>
      </c>
      <c r="D792">
        <v>4.6993179999999999</v>
      </c>
      <c r="E792">
        <v>0.45757429999999899</v>
      </c>
      <c r="F792" t="s">
        <v>43</v>
      </c>
      <c r="G792">
        <v>-213.79329999999999</v>
      </c>
      <c r="H792" s="1">
        <v>-3.7229509999999999E-6</v>
      </c>
      <c r="I792">
        <v>373.7758</v>
      </c>
      <c r="J792">
        <v>-273.8</v>
      </c>
      <c r="K792">
        <v>1.102347</v>
      </c>
      <c r="L792">
        <v>368.2097</v>
      </c>
      <c r="M792">
        <v>0.99992449999999999</v>
      </c>
      <c r="N792">
        <v>0</v>
      </c>
      <c r="O792">
        <v>6.1168200000000002E-3</v>
      </c>
      <c r="P792">
        <v>0.99970230000000004</v>
      </c>
      <c r="Q792">
        <v>1.2611829999999999E-2</v>
      </c>
      <c r="R792">
        <v>-2.0891710000000001E-2</v>
      </c>
      <c r="S792">
        <v>3.0074770000000002</v>
      </c>
      <c r="T792">
        <v>-5.5025820000000003E-2</v>
      </c>
      <c r="U792">
        <v>0.27810669999999998</v>
      </c>
      <c r="V792">
        <v>2.701257E-2</v>
      </c>
      <c r="W792">
        <v>2.3270720000000002E-2</v>
      </c>
      <c r="X792">
        <v>0.99936420000000004</v>
      </c>
      <c r="Y792">
        <v>-8.5972779999999999E-2</v>
      </c>
      <c r="Z792">
        <v>6.7308839999999999E-4</v>
      </c>
      <c r="AA792">
        <v>0.99629719999999999</v>
      </c>
      <c r="AB792">
        <v>35</v>
      </c>
      <c r="AC792">
        <v>60.006700000000002</v>
      </c>
      <c r="AD792">
        <v>-1.1023507229509999</v>
      </c>
      <c r="AE792">
        <v>5.5660999999999996</v>
      </c>
      <c r="AF792">
        <v>-5.1971858768121102</v>
      </c>
      <c r="AG792">
        <v>-1.1023507229509999</v>
      </c>
      <c r="AH792">
        <v>60.0195438008449</v>
      </c>
      <c r="AI792">
        <v>91.048284472892902</v>
      </c>
      <c r="AJ792">
        <v>94.948986188106105</v>
      </c>
      <c r="AK792">
        <v>60.2542243848185</v>
      </c>
      <c r="AL792">
        <v>88.666565597368503</v>
      </c>
      <c r="AM792">
        <v>88.451686084094504</v>
      </c>
      <c r="AN792">
        <v>1.0000000047944799</v>
      </c>
    </row>
    <row r="793" spans="1:40" x14ac:dyDescent="0.25">
      <c r="A793" t="str">
        <f>"20190312154228742"</f>
        <v>20190312154228742</v>
      </c>
      <c r="B793" t="str">
        <f>"1552376548738158"</f>
        <v>1552376548738158</v>
      </c>
      <c r="C793" t="s">
        <v>40</v>
      </c>
      <c r="D793">
        <v>4.6882769999999896</v>
      </c>
      <c r="E793">
        <v>0.45743519999999999</v>
      </c>
      <c r="F793" t="s">
        <v>43</v>
      </c>
      <c r="G793">
        <v>-215.05289999999999</v>
      </c>
      <c r="H793" s="1">
        <v>-3.1814569999999998E-6</v>
      </c>
      <c r="I793">
        <v>373.66370000000001</v>
      </c>
      <c r="J793">
        <v>-273.57420000000002</v>
      </c>
      <c r="K793">
        <v>1.103172</v>
      </c>
      <c r="L793">
        <v>368.21100000000001</v>
      </c>
      <c r="M793">
        <v>0.99992190000000003</v>
      </c>
      <c r="N793">
        <v>0</v>
      </c>
      <c r="O793">
        <v>6.0550059999999999E-3</v>
      </c>
      <c r="P793">
        <v>0.99970300000000001</v>
      </c>
      <c r="Q793">
        <v>1.272188E-2</v>
      </c>
      <c r="R793">
        <v>-2.0787610000000002E-2</v>
      </c>
      <c r="S793">
        <v>3.0074160000000001</v>
      </c>
      <c r="T793">
        <v>-5.6432129999999997E-2</v>
      </c>
      <c r="U793">
        <v>0.27920529999999999</v>
      </c>
      <c r="V793">
        <v>2.684696E-2</v>
      </c>
      <c r="W793">
        <v>2.3650649999999999E-2</v>
      </c>
      <c r="X793">
        <v>0.99935969999999996</v>
      </c>
      <c r="Y793">
        <v>-8.6396280000000006E-2</v>
      </c>
      <c r="Z793">
        <v>6.9541139999999997E-4</v>
      </c>
      <c r="AA793">
        <v>0.99626060000000005</v>
      </c>
      <c r="AB793">
        <v>35</v>
      </c>
      <c r="AC793">
        <v>58.521299999999997</v>
      </c>
      <c r="AD793">
        <v>-1.1031751814569899</v>
      </c>
      <c r="AE793">
        <v>5.4526999999999903</v>
      </c>
      <c r="AF793">
        <v>-5.0964365773163998</v>
      </c>
      <c r="AG793">
        <v>-1.1031751814569899</v>
      </c>
      <c r="AH793">
        <v>58.532624405994703</v>
      </c>
      <c r="AI793">
        <v>91.075667544370404</v>
      </c>
      <c r="AJ793">
        <v>94.976194638749504</v>
      </c>
      <c r="AK793">
        <v>58.764434661799001</v>
      </c>
      <c r="AL793">
        <v>88.644791159627601</v>
      </c>
      <c r="AM793">
        <v>88.4611670595839</v>
      </c>
      <c r="AN793">
        <v>0.99999996124537605</v>
      </c>
    </row>
    <row r="794" spans="1:40" x14ac:dyDescent="0.25">
      <c r="A794" t="str">
        <f>"20190312154228753"</f>
        <v>20190312154228753</v>
      </c>
      <c r="B794" t="str">
        <f>"1552376548747917"</f>
        <v>1552376548747917</v>
      </c>
      <c r="C794" t="s">
        <v>40</v>
      </c>
      <c r="D794">
        <v>4.6904469999999998</v>
      </c>
      <c r="E794">
        <v>0.45737460000000002</v>
      </c>
      <c r="F794" t="s">
        <v>43</v>
      </c>
      <c r="G794">
        <v>-217.1292</v>
      </c>
      <c r="H794" s="1">
        <v>-2.242595E-6</v>
      </c>
      <c r="I794">
        <v>373.48270000000002</v>
      </c>
      <c r="J794">
        <v>-273.3854</v>
      </c>
      <c r="K794">
        <v>1.103817</v>
      </c>
      <c r="L794">
        <v>368.21210000000002</v>
      </c>
      <c r="M794">
        <v>0.99991969999999997</v>
      </c>
      <c r="N794">
        <v>0</v>
      </c>
      <c r="O794">
        <v>6.0035330000000001E-3</v>
      </c>
      <c r="P794">
        <v>0.99970409999999998</v>
      </c>
      <c r="Q794">
        <v>1.247083E-2</v>
      </c>
      <c r="R794">
        <v>-2.0885609999999999E-2</v>
      </c>
      <c r="S794">
        <v>3.0074770000000002</v>
      </c>
      <c r="T794">
        <v>-5.8778759999999999E-2</v>
      </c>
      <c r="U794">
        <v>0.28088380000000002</v>
      </c>
      <c r="V794">
        <v>2.6893319999999998E-2</v>
      </c>
      <c r="W794">
        <v>2.3615379999999998E-2</v>
      </c>
      <c r="X794">
        <v>0.99935929999999995</v>
      </c>
      <c r="Y794">
        <v>-8.6995589999999998E-2</v>
      </c>
      <c r="Z794">
        <v>7.3113679999999904E-4</v>
      </c>
      <c r="AA794">
        <v>0.99620839999999999</v>
      </c>
      <c r="AB794">
        <v>35</v>
      </c>
      <c r="AC794">
        <v>56.2562</v>
      </c>
      <c r="AD794">
        <v>-1.103819242595</v>
      </c>
      <c r="AE794">
        <v>5.2706</v>
      </c>
      <c r="AF794">
        <v>-4.9308661760900803</v>
      </c>
      <c r="AG794">
        <v>-1.103819242595</v>
      </c>
      <c r="AH794">
        <v>56.2653568549228</v>
      </c>
      <c r="AI794">
        <v>91.119600032862706</v>
      </c>
      <c r="AJ794">
        <v>95.008372840085002</v>
      </c>
      <c r="AK794">
        <v>56.491789139472601</v>
      </c>
      <c r="AL794">
        <v>88.646812563229204</v>
      </c>
      <c r="AM794">
        <v>88.458510428789694</v>
      </c>
      <c r="AN794">
        <v>0.99999997366482796</v>
      </c>
    </row>
    <row r="795" spans="1:40" x14ac:dyDescent="0.25">
      <c r="A795" t="str">
        <f>"20190312154228764"</f>
        <v>20190312154228764</v>
      </c>
      <c r="B795" t="str">
        <f>"1552376548757678"</f>
        <v>1552376548757678</v>
      </c>
      <c r="C795" t="s">
        <v>40</v>
      </c>
      <c r="D795">
        <v>4.6843079999999997</v>
      </c>
      <c r="E795">
        <v>0.45729710000000001</v>
      </c>
      <c r="F795" t="s">
        <v>43</v>
      </c>
      <c r="G795">
        <v>-218.50749999999999</v>
      </c>
      <c r="H795" s="1">
        <v>-1.6132540000000001E-6</v>
      </c>
      <c r="I795">
        <v>373.33960000000002</v>
      </c>
      <c r="J795">
        <v>-273.20780000000002</v>
      </c>
      <c r="K795">
        <v>1.1043799999999999</v>
      </c>
      <c r="L795">
        <v>368.2131</v>
      </c>
      <c r="M795">
        <v>0.99991799999999997</v>
      </c>
      <c r="N795">
        <v>0</v>
      </c>
      <c r="O795">
        <v>5.9548419999999897E-3</v>
      </c>
      <c r="P795">
        <v>0.99969810000000003</v>
      </c>
      <c r="Q795">
        <v>1.243818E-2</v>
      </c>
      <c r="R795">
        <v>-2.1202539999999999E-2</v>
      </c>
      <c r="S795">
        <v>3.0075069999999999</v>
      </c>
      <c r="T795">
        <v>-6.0493110000000003E-2</v>
      </c>
      <c r="U795">
        <v>0.28100589999999998</v>
      </c>
      <c r="V795">
        <v>2.7161580000000001E-2</v>
      </c>
      <c r="W795">
        <v>2.3777929999999999E-2</v>
      </c>
      <c r="X795">
        <v>0.99934820000000002</v>
      </c>
      <c r="Y795">
        <v>-8.7082300000000001E-2</v>
      </c>
      <c r="Z795">
        <v>7.5429489999999995E-4</v>
      </c>
      <c r="AA795">
        <v>0.99620089999999994</v>
      </c>
      <c r="AB795">
        <v>35</v>
      </c>
      <c r="AC795">
        <v>54.700299999999999</v>
      </c>
      <c r="AD795">
        <v>-1.1043816132540001</v>
      </c>
      <c r="AE795">
        <v>5.1265000000000196</v>
      </c>
      <c r="AF795">
        <v>-4.7987174774223798</v>
      </c>
      <c r="AG795">
        <v>-1.1043816132540001</v>
      </c>
      <c r="AH795">
        <v>54.707753500923303</v>
      </c>
      <c r="AI795">
        <v>91.152046603286493</v>
      </c>
      <c r="AJ795">
        <v>95.012897299824402</v>
      </c>
      <c r="AK795">
        <v>54.928914437603801</v>
      </c>
      <c r="AL795">
        <v>88.637496530896001</v>
      </c>
      <c r="AM795">
        <v>88.443124366234599</v>
      </c>
      <c r="AN795">
        <v>0.99999998311321003</v>
      </c>
    </row>
    <row r="796" spans="1:40" x14ac:dyDescent="0.25">
      <c r="A796" t="str">
        <f>"20190312154228776"</f>
        <v>20190312154228776</v>
      </c>
      <c r="B796" t="str">
        <f>"1552376548768414"</f>
        <v>1552376548768414</v>
      </c>
      <c r="C796" t="s">
        <v>40</v>
      </c>
      <c r="D796">
        <v>4.6683450000000004</v>
      </c>
      <c r="E796">
        <v>0.45722930000000001</v>
      </c>
      <c r="F796" t="s">
        <v>43</v>
      </c>
      <c r="G796">
        <v>-219.53229999999999</v>
      </c>
      <c r="H796" s="1">
        <v>-1.1413040000000001E-6</v>
      </c>
      <c r="I796">
        <v>373.21820000000002</v>
      </c>
      <c r="J796">
        <v>-273.03969999999998</v>
      </c>
      <c r="K796">
        <v>1.1048639999999901</v>
      </c>
      <c r="L796">
        <v>368.21409999999997</v>
      </c>
      <c r="M796">
        <v>0.99991620000000003</v>
      </c>
      <c r="N796">
        <v>0</v>
      </c>
      <c r="O796">
        <v>5.908941E-3</v>
      </c>
      <c r="P796">
        <v>0.99970250000000005</v>
      </c>
      <c r="Q796">
        <v>1.227935E-2</v>
      </c>
      <c r="R796">
        <v>-2.1087399999999999E-2</v>
      </c>
      <c r="S796">
        <v>3.00766</v>
      </c>
      <c r="T796">
        <v>-6.1882970000000002E-2</v>
      </c>
      <c r="U796">
        <v>0.2804565</v>
      </c>
      <c r="V796">
        <v>2.7000570000000002E-2</v>
      </c>
      <c r="W796">
        <v>2.3792710000000002E-2</v>
      </c>
      <c r="X796">
        <v>0.99935220000000002</v>
      </c>
      <c r="Y796">
        <v>-8.6942220000000001E-2</v>
      </c>
      <c r="Z796">
        <v>7.7109309999999996E-4</v>
      </c>
      <c r="AA796">
        <v>0.99621309999999996</v>
      </c>
      <c r="AB796">
        <v>35</v>
      </c>
      <c r="AC796">
        <v>53.507399999999897</v>
      </c>
      <c r="AD796">
        <v>-1.1048651413039901</v>
      </c>
      <c r="AE796">
        <v>5.00410000000005</v>
      </c>
      <c r="AF796">
        <v>-4.6858389832909104</v>
      </c>
      <c r="AG796">
        <v>-1.1048651413039901</v>
      </c>
      <c r="AH796">
        <v>53.513417734998697</v>
      </c>
      <c r="AI796">
        <v>91.178282362915496</v>
      </c>
      <c r="AJ796">
        <v>95.004273097557302</v>
      </c>
      <c r="AK796">
        <v>53.729542075456699</v>
      </c>
      <c r="AL796">
        <v>88.636649444102503</v>
      </c>
      <c r="AM796">
        <v>88.452354994294495</v>
      </c>
      <c r="AN796">
        <v>0.99999997173715405</v>
      </c>
    </row>
    <row r="797" spans="1:40" x14ac:dyDescent="0.25">
      <c r="A797" t="str">
        <f>"20190312154228788"</f>
        <v>20190312154228788</v>
      </c>
      <c r="B797" t="str">
        <f>"1552376548778175"</f>
        <v>1552376548778175</v>
      </c>
      <c r="C797" t="s">
        <v>40</v>
      </c>
      <c r="D797">
        <v>4.6855180000000001</v>
      </c>
      <c r="E797">
        <v>0.45714700000000003</v>
      </c>
      <c r="F797" t="s">
        <v>43</v>
      </c>
      <c r="G797">
        <v>-220.6558</v>
      </c>
      <c r="H797" s="1">
        <v>-4.6745370000000003E-6</v>
      </c>
      <c r="I797">
        <v>373.12110000000001</v>
      </c>
      <c r="J797">
        <v>-272.84980000000002</v>
      </c>
      <c r="K797">
        <v>1.105386</v>
      </c>
      <c r="L797">
        <v>368.21510000000001</v>
      </c>
      <c r="M797">
        <v>0.99991419999999998</v>
      </c>
      <c r="N797">
        <v>0</v>
      </c>
      <c r="O797">
        <v>5.856839E-3</v>
      </c>
      <c r="P797">
        <v>0.99970170000000003</v>
      </c>
      <c r="Q797">
        <v>1.219016E-2</v>
      </c>
      <c r="R797">
        <v>-2.116051E-2</v>
      </c>
      <c r="S797">
        <v>3.0076290000000001</v>
      </c>
      <c r="T797">
        <v>-6.3436030000000004E-2</v>
      </c>
      <c r="U797">
        <v>0.2817383</v>
      </c>
      <c r="V797">
        <v>2.7021770000000001E-2</v>
      </c>
      <c r="W797">
        <v>2.3894720000000001E-2</v>
      </c>
      <c r="X797">
        <v>0.99934920000000005</v>
      </c>
      <c r="Y797">
        <v>-8.7414939999999997E-2</v>
      </c>
      <c r="Z797">
        <v>7.9650330000000005E-4</v>
      </c>
      <c r="AA797">
        <v>0.99617169999999999</v>
      </c>
      <c r="AB797">
        <v>35</v>
      </c>
      <c r="AC797">
        <v>52.194000000000003</v>
      </c>
      <c r="AD797">
        <v>-1.1053906745369999</v>
      </c>
      <c r="AE797">
        <v>4.9059999999999997</v>
      </c>
      <c r="AF797">
        <v>-4.5981586574346096</v>
      </c>
      <c r="AG797">
        <v>-1.1053906745369999</v>
      </c>
      <c r="AH797">
        <v>52.198632747099602</v>
      </c>
      <c r="AI797">
        <v>91.208471415120897</v>
      </c>
      <c r="AJ797">
        <v>95.034169948516094</v>
      </c>
      <c r="AK797">
        <v>52.412424216485903</v>
      </c>
      <c r="AL797">
        <v>88.630803048747893</v>
      </c>
      <c r="AM797">
        <v>88.451135776359394</v>
      </c>
      <c r="AN797">
        <v>0.99999997861922496</v>
      </c>
    </row>
    <row r="798" spans="1:40" x14ac:dyDescent="0.25">
      <c r="A798" t="str">
        <f>"20190312154228809"</f>
        <v>20190312154228809</v>
      </c>
      <c r="B798" t="str">
        <f>"1552376548797695"</f>
        <v>1552376548797695</v>
      </c>
      <c r="C798" t="s">
        <v>40</v>
      </c>
      <c r="D798">
        <v>4.6825020000000004</v>
      </c>
      <c r="E798">
        <v>0.45702799999999999</v>
      </c>
      <c r="F798" t="s">
        <v>43</v>
      </c>
      <c r="G798">
        <v>-221.6465</v>
      </c>
      <c r="H798" s="1">
        <v>-4.3185890000000004E-6</v>
      </c>
      <c r="I798">
        <v>373.01519999999999</v>
      </c>
      <c r="J798">
        <v>-272.52350000000001</v>
      </c>
      <c r="K798">
        <v>1.1061589999999999</v>
      </c>
      <c r="L798">
        <v>368.21690000000001</v>
      </c>
      <c r="M798">
        <v>0.9999112</v>
      </c>
      <c r="N798">
        <v>0</v>
      </c>
      <c r="O798">
        <v>5.7676289999999998E-3</v>
      </c>
      <c r="P798">
        <v>0.9997007</v>
      </c>
      <c r="Q798">
        <v>1.2013060000000001E-2</v>
      </c>
      <c r="R798">
        <v>-2.1311529999999999E-2</v>
      </c>
      <c r="S798">
        <v>3.0076290000000001</v>
      </c>
      <c r="T798">
        <v>-6.4929490000000006E-2</v>
      </c>
      <c r="U798">
        <v>0.28195189999999998</v>
      </c>
      <c r="V798">
        <v>2.7083699999999999E-2</v>
      </c>
      <c r="W798">
        <v>2.4017710000000001E-2</v>
      </c>
      <c r="X798">
        <v>0.99934460000000003</v>
      </c>
      <c r="Y798">
        <v>-8.7573029999999996E-2</v>
      </c>
      <c r="Z798">
        <v>8.1887140000000001E-4</v>
      </c>
      <c r="AA798">
        <v>0.99615779999999998</v>
      </c>
      <c r="AB798">
        <v>35</v>
      </c>
      <c r="AC798">
        <v>50.877000000000002</v>
      </c>
      <c r="AD798">
        <v>-1.1061633185889901</v>
      </c>
      <c r="AE798">
        <v>4.7982999999999798</v>
      </c>
      <c r="AF798">
        <v>-4.5026496542598098</v>
      </c>
      <c r="AG798">
        <v>-1.1061633185889901</v>
      </c>
      <c r="AH798">
        <v>50.879990981298803</v>
      </c>
      <c r="AI798">
        <v>91.2406035726559</v>
      </c>
      <c r="AJ798">
        <v>95.057243599608498</v>
      </c>
      <c r="AK798">
        <v>51.090810655669202</v>
      </c>
      <c r="AL798">
        <v>88.623754251792704</v>
      </c>
      <c r="AM798">
        <v>88.447580595713404</v>
      </c>
      <c r="AN798">
        <v>1.00000000337424</v>
      </c>
    </row>
    <row r="799" spans="1:40" x14ac:dyDescent="0.25">
      <c r="A799" t="str">
        <f>"20190312154228823"</f>
        <v>20190312154228823</v>
      </c>
      <c r="B799" t="str">
        <f>"1552376548818189"</f>
        <v>1552376548818189</v>
      </c>
      <c r="C799" t="s">
        <v>40</v>
      </c>
      <c r="D799">
        <v>4.6951609999999997</v>
      </c>
      <c r="E799">
        <v>0.45698290000000003</v>
      </c>
      <c r="F799" t="s">
        <v>43</v>
      </c>
      <c r="G799">
        <v>-223.25309999999999</v>
      </c>
      <c r="H799" s="1">
        <v>-3.7369639999999998E-6</v>
      </c>
      <c r="I799">
        <v>372.84949999999998</v>
      </c>
      <c r="J799">
        <v>-272.30439999999999</v>
      </c>
      <c r="K799">
        <v>1.106609</v>
      </c>
      <c r="L799">
        <v>368.21820000000002</v>
      </c>
      <c r="M799">
        <v>0.9999093</v>
      </c>
      <c r="N799">
        <v>0</v>
      </c>
      <c r="O799">
        <v>5.7083009999999998E-3</v>
      </c>
      <c r="P799">
        <v>0.99969949999999996</v>
      </c>
      <c r="Q799">
        <v>1.194945E-2</v>
      </c>
      <c r="R799">
        <v>-2.14086E-2</v>
      </c>
      <c r="S799">
        <v>3.0077820000000002</v>
      </c>
      <c r="T799">
        <v>-6.7527169999999997E-2</v>
      </c>
      <c r="U799">
        <v>0.28280640000000001</v>
      </c>
      <c r="V799">
        <v>2.712144E-2</v>
      </c>
      <c r="W799">
        <v>2.4139270000000001E-2</v>
      </c>
      <c r="X799">
        <v>0.99934069999999997</v>
      </c>
      <c r="Y799">
        <v>-8.7906299999999896E-2</v>
      </c>
      <c r="Z799">
        <v>8.5663109999999998E-4</v>
      </c>
      <c r="AA799">
        <v>0.99612840000000002</v>
      </c>
      <c r="AB799">
        <v>34</v>
      </c>
      <c r="AC799">
        <v>49.051299999999998</v>
      </c>
      <c r="AD799">
        <v>-1.106612736964</v>
      </c>
      <c r="AE799">
        <v>4.6312999999999498</v>
      </c>
      <c r="AF799">
        <v>-4.3490101655425404</v>
      </c>
      <c r="AG799">
        <v>-1.106612736964</v>
      </c>
      <c r="AH799">
        <v>49.052194145894703</v>
      </c>
      <c r="AI799">
        <v>91.287319965770493</v>
      </c>
      <c r="AJ799">
        <v>95.066645446555199</v>
      </c>
      <c r="AK799">
        <v>49.257042457867399</v>
      </c>
      <c r="AL799">
        <v>88.6167874294391</v>
      </c>
      <c r="AM799">
        <v>88.445412361279807</v>
      </c>
      <c r="AN799">
        <v>1.0000000557701401</v>
      </c>
    </row>
    <row r="800" spans="1:40" x14ac:dyDescent="0.25">
      <c r="A800" t="str">
        <f>"20190312154228842"</f>
        <v>20190312154228842</v>
      </c>
      <c r="B800" t="str">
        <f>"1552376548837710"</f>
        <v>1552376548837710</v>
      </c>
      <c r="C800" t="s">
        <v>40</v>
      </c>
      <c r="D800">
        <v>4.7063069999999998</v>
      </c>
      <c r="E800">
        <v>0.45692949999999999</v>
      </c>
      <c r="F800" t="s">
        <v>43</v>
      </c>
      <c r="G800">
        <v>-223.74700000000001</v>
      </c>
      <c r="H800" s="1">
        <v>-3.5079720000000002E-6</v>
      </c>
      <c r="I800">
        <v>372.78519999999997</v>
      </c>
      <c r="J800">
        <v>-272.01850000000002</v>
      </c>
      <c r="K800">
        <v>1.10714</v>
      </c>
      <c r="L800">
        <v>368.21969999999999</v>
      </c>
      <c r="M800">
        <v>0.99990699999999999</v>
      </c>
      <c r="N800">
        <v>0</v>
      </c>
      <c r="O800">
        <v>5.6307609999999998E-3</v>
      </c>
      <c r="P800">
        <v>0.99969609999999998</v>
      </c>
      <c r="Q800">
        <v>1.192559E-2</v>
      </c>
      <c r="R800">
        <v>-2.1582339999999998E-2</v>
      </c>
      <c r="S800">
        <v>3.0078130000000001</v>
      </c>
      <c r="T800">
        <v>-6.8547250000000004E-2</v>
      </c>
      <c r="U800">
        <v>0.28289789999999998</v>
      </c>
      <c r="V800">
        <v>2.7217580000000002E-2</v>
      </c>
      <c r="W800">
        <v>2.4340440000000001E-2</v>
      </c>
      <c r="X800">
        <v>0.99933309999999997</v>
      </c>
      <c r="Y800">
        <v>-8.8011969999999995E-2</v>
      </c>
      <c r="Z800">
        <v>8.7252199999999895E-4</v>
      </c>
      <c r="AA800">
        <v>0.99611899999999998</v>
      </c>
      <c r="AB800">
        <v>34</v>
      </c>
      <c r="AC800">
        <v>48.271500000000003</v>
      </c>
      <c r="AD800">
        <v>-1.107143507972</v>
      </c>
      <c r="AE800">
        <v>4.5654999999999797</v>
      </c>
      <c r="AF800">
        <v>-4.2913639094605598</v>
      </c>
      <c r="AG800">
        <v>-1.107143507972</v>
      </c>
      <c r="AH800">
        <v>48.271275938799</v>
      </c>
      <c r="AI800">
        <v>91.308738202930996</v>
      </c>
      <c r="AJ800">
        <v>95.080295401414403</v>
      </c>
      <c r="AK800">
        <v>48.474298877965701</v>
      </c>
      <c r="AL800">
        <v>88.605257701737699</v>
      </c>
      <c r="AM800">
        <v>88.439892523430302</v>
      </c>
      <c r="AN800">
        <v>0.99999994921802804</v>
      </c>
    </row>
    <row r="801" spans="1:40" x14ac:dyDescent="0.25">
      <c r="A801" t="str">
        <f>"20190312154228854"</f>
        <v>20190312154228854</v>
      </c>
      <c r="B801" t="str">
        <f>"1552376548848446"</f>
        <v>1552376548848446</v>
      </c>
      <c r="C801" t="s">
        <v>40</v>
      </c>
      <c r="D801">
        <v>4.7756270000000001</v>
      </c>
      <c r="E801">
        <v>0.45692949999999999</v>
      </c>
      <c r="F801" t="s">
        <v>43</v>
      </c>
      <c r="G801">
        <v>-223.9659</v>
      </c>
      <c r="H801" s="1">
        <v>-3.400796E-6</v>
      </c>
      <c r="I801">
        <v>372.7353</v>
      </c>
      <c r="J801">
        <v>-271.84460000000001</v>
      </c>
      <c r="K801">
        <v>1.1074269999999999</v>
      </c>
      <c r="L801">
        <v>368.22070000000002</v>
      </c>
      <c r="M801">
        <v>0.99990559999999995</v>
      </c>
      <c r="N801">
        <v>0</v>
      </c>
      <c r="O801">
        <v>5.5835069999999997E-3</v>
      </c>
      <c r="P801">
        <v>0.99969799999999998</v>
      </c>
      <c r="Q801">
        <v>1.191732E-2</v>
      </c>
      <c r="R801">
        <v>-2.1491860000000002E-2</v>
      </c>
      <c r="S801">
        <v>3.0078429999999998</v>
      </c>
      <c r="T801">
        <v>-6.9301249999999995E-2</v>
      </c>
      <c r="U801">
        <v>0.28265380000000001</v>
      </c>
      <c r="V801">
        <v>2.7080150000000001E-2</v>
      </c>
      <c r="W801">
        <v>2.4460559999999999E-2</v>
      </c>
      <c r="X801">
        <v>0.99933399999999994</v>
      </c>
      <c r="Y801">
        <v>-8.7977479999999997E-2</v>
      </c>
      <c r="Z801">
        <v>8.8280089999999997E-4</v>
      </c>
      <c r="AA801">
        <v>0.99612210000000001</v>
      </c>
      <c r="AB801">
        <v>34</v>
      </c>
      <c r="AC801">
        <v>47.878700000000002</v>
      </c>
      <c r="AD801">
        <v>-1.1074304007960001</v>
      </c>
      <c r="AE801">
        <v>4.5145999999999704</v>
      </c>
      <c r="AF801">
        <v>-4.2449264962604101</v>
      </c>
      <c r="AG801">
        <v>-1.1074304007960001</v>
      </c>
      <c r="AH801">
        <v>47.877774293831699</v>
      </c>
      <c r="AI801">
        <v>91.319860379761394</v>
      </c>
      <c r="AJ801">
        <v>95.066694622333998</v>
      </c>
      <c r="AK801">
        <v>48.078343091066998</v>
      </c>
      <c r="AL801">
        <v>88.598373421842695</v>
      </c>
      <c r="AM801">
        <v>88.447767523362401</v>
      </c>
      <c r="AN801">
        <v>1.00000004853776</v>
      </c>
    </row>
    <row r="802" spans="1:40" x14ac:dyDescent="0.25">
      <c r="A802" t="str">
        <f>"20190312154228866"</f>
        <v>20190312154228866</v>
      </c>
      <c r="B802" t="str">
        <f>"1552376548858207"</f>
        <v>1552376548858207</v>
      </c>
      <c r="C802" t="s">
        <v>40</v>
      </c>
      <c r="D802">
        <v>4.9752029999999996</v>
      </c>
      <c r="E802">
        <v>0.47418650000000001</v>
      </c>
      <c r="F802" t="s">
        <v>43</v>
      </c>
      <c r="G802">
        <v>-223.78819999999999</v>
      </c>
      <c r="H802" s="1">
        <v>-3.4785580000000001E-6</v>
      </c>
      <c r="I802">
        <v>372.74099999999999</v>
      </c>
      <c r="J802">
        <v>-271.63529999999997</v>
      </c>
      <c r="K802">
        <v>1.1077440000000001</v>
      </c>
      <c r="L802">
        <v>368.22179999999997</v>
      </c>
      <c r="M802">
        <v>0.99990409999999996</v>
      </c>
      <c r="N802">
        <v>0</v>
      </c>
      <c r="O802">
        <v>5.5270659999999997E-3</v>
      </c>
      <c r="P802">
        <v>0.9996912</v>
      </c>
      <c r="Q802">
        <v>1.2112049999999999E-2</v>
      </c>
      <c r="R802">
        <v>-2.1699409999999999E-2</v>
      </c>
      <c r="S802">
        <v>3.0078130000000001</v>
      </c>
      <c r="T802">
        <v>-6.9313050000000001E-2</v>
      </c>
      <c r="U802">
        <v>0.28292850000000003</v>
      </c>
      <c r="V802">
        <v>2.7231430000000001E-2</v>
      </c>
      <c r="W802">
        <v>2.4800920000000001E-2</v>
      </c>
      <c r="X802">
        <v>0.99932149999999997</v>
      </c>
      <c r="Y802">
        <v>-8.8124750000000002E-2</v>
      </c>
      <c r="Z802">
        <v>8.8594679999999895E-4</v>
      </c>
      <c r="AA802">
        <v>0.99610909999999997</v>
      </c>
      <c r="AB802">
        <v>34</v>
      </c>
      <c r="AC802">
        <v>47.847099999999898</v>
      </c>
      <c r="AD802">
        <v>-1.1077474785579999</v>
      </c>
      <c r="AE802">
        <v>4.5192000000000103</v>
      </c>
      <c r="AF802">
        <v>-4.2523963987570399</v>
      </c>
      <c r="AG802">
        <v>-1.1077474785579999</v>
      </c>
      <c r="AH802">
        <v>47.845929997677104</v>
      </c>
      <c r="AI802">
        <v>91.321091508317494</v>
      </c>
      <c r="AJ802">
        <v>95.078924505265604</v>
      </c>
      <c r="AK802">
        <v>48.047299580216098</v>
      </c>
      <c r="AL802">
        <v>88.578866312847495</v>
      </c>
      <c r="AM802">
        <v>88.439080926430705</v>
      </c>
      <c r="AN802">
        <v>1.00000004838746</v>
      </c>
    </row>
    <row r="803" spans="1:40" x14ac:dyDescent="0.25">
      <c r="A803" t="str">
        <f>"20190312154228879"</f>
        <v>20190312154228879</v>
      </c>
      <c r="B803" t="str">
        <f>"1552376548867966"</f>
        <v>1552376548867966</v>
      </c>
      <c r="C803" t="s">
        <v>40</v>
      </c>
      <c r="D803">
        <v>4.8456429999999999</v>
      </c>
      <c r="E803">
        <v>0.48388500000000001</v>
      </c>
      <c r="F803" t="s">
        <v>43</v>
      </c>
      <c r="G803">
        <v>-241.42760000000001</v>
      </c>
      <c r="H803" s="1">
        <v>-4.0527470000000004E-6</v>
      </c>
      <c r="I803">
        <v>369.69159999999999</v>
      </c>
      <c r="J803">
        <v>-271.43790000000001</v>
      </c>
      <c r="K803">
        <v>1.1080000000000001</v>
      </c>
      <c r="L803">
        <v>368.22280000000001</v>
      </c>
      <c r="M803">
        <v>0.99990279999999998</v>
      </c>
      <c r="N803">
        <v>0</v>
      </c>
      <c r="O803">
        <v>5.4731340000000002E-3</v>
      </c>
      <c r="P803">
        <v>0.9996891</v>
      </c>
      <c r="Q803">
        <v>1.196442E-2</v>
      </c>
      <c r="R803">
        <v>-2.1884819999999999E-2</v>
      </c>
      <c r="S803">
        <v>3.0054630000000002</v>
      </c>
      <c r="T803">
        <v>-0.1102133</v>
      </c>
      <c r="U803">
        <v>0.14624019999999999</v>
      </c>
      <c r="V803">
        <v>2.7362640000000001E-2</v>
      </c>
      <c r="W803">
        <v>2.4779949999999999E-2</v>
      </c>
      <c r="X803">
        <v>0.99931840000000005</v>
      </c>
      <c r="Y803">
        <v>-4.3107569999999998E-2</v>
      </c>
      <c r="Z803">
        <v>5.8913809999999896E-4</v>
      </c>
      <c r="AA803">
        <v>0.99907029999999997</v>
      </c>
      <c r="AB803">
        <v>34</v>
      </c>
      <c r="AC803">
        <v>30.010300000000001</v>
      </c>
      <c r="AD803">
        <v>-1.1080040527470001</v>
      </c>
      <c r="AE803">
        <v>1.4687999999999799</v>
      </c>
      <c r="AF803">
        <v>-1.30274251478527</v>
      </c>
      <c r="AG803">
        <v>-1.1080040527470001</v>
      </c>
      <c r="AH803">
        <v>29.977124527436601</v>
      </c>
      <c r="AI803">
        <v>92.114788846718696</v>
      </c>
      <c r="AJ803">
        <v>92.488387833467002</v>
      </c>
      <c r="AK803">
        <v>30.025868946196599</v>
      </c>
      <c r="AL803">
        <v>88.580068123379306</v>
      </c>
      <c r="AM803">
        <v>88.431558788837805</v>
      </c>
      <c r="AN803">
        <v>1.0000000122841599</v>
      </c>
    </row>
    <row r="804" spans="1:40" x14ac:dyDescent="0.25">
      <c r="A804" t="str">
        <f>"20190312154228892"</f>
        <v>20190312154228892</v>
      </c>
      <c r="B804" t="str">
        <f>"1552376548887787"</f>
        <v>1552376548887787</v>
      </c>
      <c r="C804" t="s">
        <v>40</v>
      </c>
      <c r="D804">
        <v>4.6513200000000001</v>
      </c>
      <c r="E804">
        <v>0.50033240000000001</v>
      </c>
      <c r="F804" t="s">
        <v>43</v>
      </c>
      <c r="G804">
        <v>-240.13390000000001</v>
      </c>
      <c r="H804" s="1">
        <v>-4.7658420000000001E-6</v>
      </c>
      <c r="I804">
        <v>368.93110000000001</v>
      </c>
      <c r="J804">
        <v>-271.25139999999999</v>
      </c>
      <c r="K804">
        <v>1.108231</v>
      </c>
      <c r="L804">
        <v>368.22379999999998</v>
      </c>
      <c r="M804">
        <v>0.9999017</v>
      </c>
      <c r="N804">
        <v>0</v>
      </c>
      <c r="O804">
        <v>5.422133E-3</v>
      </c>
      <c r="P804">
        <v>0.99968299999999999</v>
      </c>
      <c r="Q804">
        <v>1.1980579999999999E-2</v>
      </c>
      <c r="R804">
        <v>-2.2152390000000001E-2</v>
      </c>
      <c r="S804">
        <v>3.0036930000000002</v>
      </c>
      <c r="T804">
        <v>-0.10631549999999999</v>
      </c>
      <c r="U804">
        <v>6.7962649999999999E-2</v>
      </c>
      <c r="V804">
        <v>2.7579280000000001E-2</v>
      </c>
      <c r="W804">
        <v>2.4910080000000001E-2</v>
      </c>
      <c r="X804">
        <v>0.99930920000000001</v>
      </c>
      <c r="Y804">
        <v>-1.7191680000000001E-2</v>
      </c>
      <c r="Z804">
        <v>1.122712E-4</v>
      </c>
      <c r="AA804">
        <v>0.99985219999999997</v>
      </c>
      <c r="AB804">
        <v>34</v>
      </c>
      <c r="AC804">
        <v>31.1174999999999</v>
      </c>
      <c r="AD804">
        <v>-1.1082357658419999</v>
      </c>
      <c r="AE804">
        <v>0.70730000000003201</v>
      </c>
      <c r="AF804">
        <v>-0.53787039070253995</v>
      </c>
      <c r="AG804">
        <v>-1.1082357658419999</v>
      </c>
      <c r="AH804">
        <v>31.081474629467898</v>
      </c>
      <c r="AI804">
        <v>92.041758024870205</v>
      </c>
      <c r="AJ804">
        <v>90.991414593917497</v>
      </c>
      <c r="AK804">
        <v>31.105876554312701</v>
      </c>
      <c r="AL804">
        <v>88.572609908169994</v>
      </c>
      <c r="AM804">
        <v>88.419132597802104</v>
      </c>
      <c r="AN804">
        <v>1.00000000298778</v>
      </c>
    </row>
    <row r="805" spans="1:40" x14ac:dyDescent="0.25">
      <c r="A805" t="str">
        <f>"20190312154228905"</f>
        <v>20190312154228905</v>
      </c>
      <c r="B805" t="str">
        <f>"1552376548898522"</f>
        <v>1552376548898522</v>
      </c>
      <c r="C805" t="s">
        <v>40</v>
      </c>
      <c r="D805">
        <v>4.7527119999999998</v>
      </c>
      <c r="E805">
        <v>0.50600429999999996</v>
      </c>
      <c r="F805" t="s">
        <v>43</v>
      </c>
      <c r="G805">
        <v>-235.8272</v>
      </c>
      <c r="H805" s="1">
        <v>-2.1540640000000001E-6</v>
      </c>
      <c r="I805">
        <v>367.46499999999997</v>
      </c>
      <c r="J805">
        <v>-271.03559999999999</v>
      </c>
      <c r="K805">
        <v>1.108468</v>
      </c>
      <c r="L805">
        <v>368.22489999999999</v>
      </c>
      <c r="M805">
        <v>0.99990029999999996</v>
      </c>
      <c r="N805">
        <v>0</v>
      </c>
      <c r="O805">
        <v>5.3634349999999997E-3</v>
      </c>
      <c r="P805">
        <v>0.9996775</v>
      </c>
      <c r="Q805">
        <v>1.212004E-2</v>
      </c>
      <c r="R805">
        <v>-2.2315729999999999E-2</v>
      </c>
      <c r="S805">
        <v>3.0006409999999999</v>
      </c>
      <c r="T805">
        <v>-9.3873739999999997E-2</v>
      </c>
      <c r="U805">
        <v>-6.4270019999999997E-2</v>
      </c>
      <c r="V805">
        <v>2.768402E-2</v>
      </c>
      <c r="W805">
        <v>2.517322E-2</v>
      </c>
      <c r="X805">
        <v>0.99929970000000001</v>
      </c>
      <c r="Y805">
        <v>2.67605E-2</v>
      </c>
      <c r="Z805">
        <v>-5.861935E-4</v>
      </c>
      <c r="AA805">
        <v>0.99964169999999997</v>
      </c>
      <c r="AB805">
        <v>34</v>
      </c>
      <c r="AC805">
        <v>35.208399999999898</v>
      </c>
      <c r="AD805">
        <v>-1.1084701540639901</v>
      </c>
      <c r="AE805">
        <v>-0.75990000000001501</v>
      </c>
      <c r="AF805">
        <v>0.94780413191758806</v>
      </c>
      <c r="AG805">
        <v>-1.1084701540639901</v>
      </c>
      <c r="AH805">
        <v>35.168974691401303</v>
      </c>
      <c r="AI805">
        <v>91.804619422400293</v>
      </c>
      <c r="AJ805">
        <v>88.456251982580895</v>
      </c>
      <c r="AK805">
        <v>35.199201973899299</v>
      </c>
      <c r="AL805">
        <v>88.5575283531808</v>
      </c>
      <c r="AM805">
        <v>88.413116799231204</v>
      </c>
      <c r="AN805">
        <v>0.99999999319430899</v>
      </c>
    </row>
    <row r="806" spans="1:40" x14ac:dyDescent="0.25">
      <c r="A806" t="str">
        <f>"20190312154228920"</f>
        <v>20190312154228920</v>
      </c>
      <c r="B806" t="str">
        <f>"1552376548908283"</f>
        <v>1552376548908283</v>
      </c>
      <c r="C806" t="s">
        <v>40</v>
      </c>
      <c r="D806">
        <v>4.7401790000000004</v>
      </c>
      <c r="E806">
        <v>0.50997340000000002</v>
      </c>
      <c r="F806" t="s">
        <v>43</v>
      </c>
      <c r="G806">
        <v>-239.1574</v>
      </c>
      <c r="H806" s="1">
        <v>-9.538002999999999E-7</v>
      </c>
      <c r="I806">
        <v>367.05700000000002</v>
      </c>
      <c r="J806">
        <v>-270.82100000000003</v>
      </c>
      <c r="K806">
        <v>1.1086800000000001</v>
      </c>
      <c r="L806">
        <v>368.226</v>
      </c>
      <c r="M806">
        <v>0.99989910000000004</v>
      </c>
      <c r="N806">
        <v>0</v>
      </c>
      <c r="O806">
        <v>5.3050399999999996E-3</v>
      </c>
      <c r="P806">
        <v>0.99967150000000005</v>
      </c>
      <c r="Q806">
        <v>1.18954E-2</v>
      </c>
      <c r="R806">
        <v>-2.271068E-2</v>
      </c>
      <c r="S806">
        <v>2.9998170000000002</v>
      </c>
      <c r="T806">
        <v>-0.10430929999999999</v>
      </c>
      <c r="U806">
        <v>-0.1098938</v>
      </c>
      <c r="V806">
        <v>2.8020400000000001E-2</v>
      </c>
      <c r="W806">
        <v>2.5061190000000001E-2</v>
      </c>
      <c r="X806">
        <v>0.99929310000000005</v>
      </c>
      <c r="Y806">
        <v>4.1881889999999998E-2</v>
      </c>
      <c r="Z806">
        <v>-9.1206119999999999E-4</v>
      </c>
      <c r="AA806">
        <v>0.99912210000000001</v>
      </c>
      <c r="AB806">
        <v>34</v>
      </c>
      <c r="AC806">
        <v>31.663599999999899</v>
      </c>
      <c r="AD806">
        <v>-1.1086809538003</v>
      </c>
      <c r="AE806">
        <v>-1.16900000000003</v>
      </c>
      <c r="AF806">
        <v>1.33533989162818</v>
      </c>
      <c r="AG806">
        <v>-1.1086809538003</v>
      </c>
      <c r="AH806">
        <v>31.618240840195</v>
      </c>
      <c r="AI806">
        <v>92.006443647503602</v>
      </c>
      <c r="AJ806">
        <v>87.581652295907602</v>
      </c>
      <c r="AK806">
        <v>31.665840584327899</v>
      </c>
      <c r="AL806">
        <v>88.563949167206999</v>
      </c>
      <c r="AM806">
        <v>88.393834506976305</v>
      </c>
      <c r="AN806">
        <v>0.99999995288399202</v>
      </c>
    </row>
    <row r="807" spans="1:40" x14ac:dyDescent="0.25">
      <c r="A807" t="str">
        <f>"20190312154228932"</f>
        <v>20190312154228932</v>
      </c>
      <c r="B807" t="str">
        <f>"1552376548927803"</f>
        <v>1552376548927803</v>
      </c>
      <c r="C807" t="s">
        <v>40</v>
      </c>
      <c r="D807">
        <v>4.6602899999999998</v>
      </c>
      <c r="E807">
        <v>0.51535520000000001</v>
      </c>
      <c r="F807" t="s">
        <v>43</v>
      </c>
      <c r="G807">
        <v>-240.89</v>
      </c>
      <c r="H807" s="1">
        <v>-4.78574E-6</v>
      </c>
      <c r="I807">
        <v>366.80399999999997</v>
      </c>
      <c r="J807">
        <v>-270.62459999999999</v>
      </c>
      <c r="K807">
        <v>1.108857</v>
      </c>
      <c r="L807">
        <v>368.22699999999998</v>
      </c>
      <c r="M807">
        <v>0.99989810000000001</v>
      </c>
      <c r="N807">
        <v>0</v>
      </c>
      <c r="O807">
        <v>5.2515690000000002E-3</v>
      </c>
      <c r="P807">
        <v>0.99965700000000002</v>
      </c>
      <c r="Q807">
        <v>1.193318E-2</v>
      </c>
      <c r="R807">
        <v>-2.331747E-2</v>
      </c>
      <c r="S807">
        <v>2.9990839999999999</v>
      </c>
      <c r="T807">
        <v>-0.1110902</v>
      </c>
      <c r="U807">
        <v>-0.14248659999999999</v>
      </c>
      <c r="V807">
        <v>2.857374E-2</v>
      </c>
      <c r="W807">
        <v>2.5196099999999999E-2</v>
      </c>
      <c r="X807">
        <v>0.99927410000000005</v>
      </c>
      <c r="Y807">
        <v>5.2662319999999999E-2</v>
      </c>
      <c r="Z807">
        <v>-1.1688309999999999E-3</v>
      </c>
      <c r="AA807">
        <v>0.99861169999999999</v>
      </c>
      <c r="AB807">
        <v>34</v>
      </c>
      <c r="AC807">
        <v>29.7346</v>
      </c>
      <c r="AD807">
        <v>-1.10886178574</v>
      </c>
      <c r="AE807">
        <v>-1.4229999999999401</v>
      </c>
      <c r="AF807">
        <v>1.57695938535825</v>
      </c>
      <c r="AG807">
        <v>-1.10886178574</v>
      </c>
      <c r="AH807">
        <v>29.685527198236699</v>
      </c>
      <c r="AI807">
        <v>92.1362007578131</v>
      </c>
      <c r="AJ807">
        <v>86.959182527798902</v>
      </c>
      <c r="AK807">
        <v>29.748057086139099</v>
      </c>
      <c r="AL807">
        <v>88.556217040569507</v>
      </c>
      <c r="AM807">
        <v>88.362102328321797</v>
      </c>
      <c r="AN807">
        <v>1.0000000145018</v>
      </c>
    </row>
    <row r="808" spans="1:40" x14ac:dyDescent="0.25">
      <c r="A808" t="str">
        <f>"20190312154228945"</f>
        <v>20190312154228945</v>
      </c>
      <c r="B808" t="str">
        <f>"1552376548938538"</f>
        <v>1552376548938538</v>
      </c>
      <c r="C808" t="s">
        <v>40</v>
      </c>
      <c r="D808">
        <v>4.6170239999999998</v>
      </c>
      <c r="E808">
        <v>0.51720119999999903</v>
      </c>
      <c r="F808" t="s">
        <v>43</v>
      </c>
      <c r="G808">
        <v>-239.7775</v>
      </c>
      <c r="H808" s="1">
        <v>-9.4404400000000003E-7</v>
      </c>
      <c r="I808">
        <v>366.3005</v>
      </c>
      <c r="J808">
        <v>-270.44850000000002</v>
      </c>
      <c r="K808">
        <v>1.109002</v>
      </c>
      <c r="L808">
        <v>368.2278</v>
      </c>
      <c r="M808">
        <v>0.99989720000000004</v>
      </c>
      <c r="N808">
        <v>0</v>
      </c>
      <c r="O808">
        <v>5.2035670000000001E-3</v>
      </c>
      <c r="P808">
        <v>0.99965329999999997</v>
      </c>
      <c r="Q808">
        <v>1.19054E-2</v>
      </c>
      <c r="R808">
        <v>-2.3484979999999999E-2</v>
      </c>
      <c r="S808">
        <v>2.997986</v>
      </c>
      <c r="T808">
        <v>-0.10776819999999999</v>
      </c>
      <c r="U808">
        <v>-0.18722530000000001</v>
      </c>
      <c r="V808">
        <v>2.8693389999999999E-2</v>
      </c>
      <c r="W808">
        <v>2.5250439999999999E-2</v>
      </c>
      <c r="X808">
        <v>0.99926930000000003</v>
      </c>
      <c r="Y808">
        <v>6.7475259999999995E-2</v>
      </c>
      <c r="Z808">
        <v>-1.398025E-3</v>
      </c>
      <c r="AA808">
        <v>0.99771989999999999</v>
      </c>
      <c r="AB808">
        <v>34</v>
      </c>
      <c r="AC808">
        <v>30.670999999999999</v>
      </c>
      <c r="AD808">
        <v>-1.1090029440439999</v>
      </c>
      <c r="AE808">
        <v>-1.9273</v>
      </c>
      <c r="AF808">
        <v>2.0841726160246501</v>
      </c>
      <c r="AG808">
        <v>-1.1090029440439999</v>
      </c>
      <c r="AH808">
        <v>30.620678834918799</v>
      </c>
      <c r="AI808">
        <v>92.069416691849995</v>
      </c>
      <c r="AJ808">
        <v>86.106213021598705</v>
      </c>
      <c r="AK808">
        <v>30.7115554040255</v>
      </c>
      <c r="AL808">
        <v>88.553102597267198</v>
      </c>
      <c r="AM808">
        <v>88.355239640369206</v>
      </c>
      <c r="AN808">
        <v>1.00000001463618</v>
      </c>
    </row>
    <row r="809" spans="1:40" x14ac:dyDescent="0.25">
      <c r="A809" t="str">
        <f>"20190312154228957"</f>
        <v>20190312154228957</v>
      </c>
      <c r="B809" t="str">
        <f>"1552376548948299"</f>
        <v>1552376548948299</v>
      </c>
      <c r="C809" t="s">
        <v>40</v>
      </c>
      <c r="D809">
        <v>4.633788</v>
      </c>
      <c r="E809">
        <v>0.51879719999999996</v>
      </c>
      <c r="F809" t="s">
        <v>43</v>
      </c>
      <c r="G809">
        <v>-239.2483</v>
      </c>
      <c r="H809" s="1">
        <v>-1.1720449999999999E-6</v>
      </c>
      <c r="I809">
        <v>366.12049999999999</v>
      </c>
      <c r="J809">
        <v>-270.26420000000002</v>
      </c>
      <c r="K809">
        <v>1.109138</v>
      </c>
      <c r="L809">
        <v>368.22879999999998</v>
      </c>
      <c r="M809">
        <v>0.99989649999999997</v>
      </c>
      <c r="N809">
        <v>0</v>
      </c>
      <c r="O809">
        <v>5.1527780000000002E-3</v>
      </c>
      <c r="P809">
        <v>0.99963919999999995</v>
      </c>
      <c r="Q809">
        <v>1.196503E-2</v>
      </c>
      <c r="R809">
        <v>-2.4046080000000001E-2</v>
      </c>
      <c r="S809">
        <v>2.997528</v>
      </c>
      <c r="T809">
        <v>-0.106546</v>
      </c>
      <c r="U809">
        <v>-0.20245360000000001</v>
      </c>
      <c r="V809">
        <v>2.9203839999999998E-2</v>
      </c>
      <c r="W809">
        <v>2.538963E-2</v>
      </c>
      <c r="X809">
        <v>0.99925090000000005</v>
      </c>
      <c r="Y809">
        <v>7.2478500000000001E-2</v>
      </c>
      <c r="Z809">
        <v>-1.469152E-3</v>
      </c>
      <c r="AA809">
        <v>0.9973689</v>
      </c>
      <c r="AB809">
        <v>34</v>
      </c>
      <c r="AC809">
        <v>31.015899999999998</v>
      </c>
      <c r="AD809">
        <v>-1.1091391720449999</v>
      </c>
      <c r="AE809">
        <v>-2.1082999999999799</v>
      </c>
      <c r="AF809">
        <v>2.2652210276222302</v>
      </c>
      <c r="AG809">
        <v>-1.1091391720449999</v>
      </c>
      <c r="AH809">
        <v>30.965207343568501</v>
      </c>
      <c r="AI809">
        <v>92.045931474021501</v>
      </c>
      <c r="AJ809">
        <v>85.816051691409697</v>
      </c>
      <c r="AK809">
        <v>31.0677563051653</v>
      </c>
      <c r="AL809">
        <v>88.545124916111206</v>
      </c>
      <c r="AM809">
        <v>88.325965359525298</v>
      </c>
      <c r="AN809">
        <v>0.99999992936654303</v>
      </c>
    </row>
    <row r="810" spans="1:40" x14ac:dyDescent="0.25">
      <c r="A810" t="str">
        <f>"20190312154228967"</f>
        <v>20190312154228967</v>
      </c>
      <c r="B810" t="str">
        <f>"1552376548958059"</f>
        <v>1552376548958059</v>
      </c>
      <c r="C810" t="s">
        <v>40</v>
      </c>
      <c r="D810">
        <v>4.6672699999999896</v>
      </c>
      <c r="E810">
        <v>0.52010719999999999</v>
      </c>
      <c r="F810" t="s">
        <v>43</v>
      </c>
      <c r="G810">
        <v>-239.05940000000001</v>
      </c>
      <c r="H810" s="1">
        <v>-1.27716E-6</v>
      </c>
      <c r="I810">
        <v>365.96699999999998</v>
      </c>
      <c r="J810">
        <v>-270.08859999999999</v>
      </c>
      <c r="K810">
        <v>1.109262</v>
      </c>
      <c r="L810">
        <v>368.2296</v>
      </c>
      <c r="M810">
        <v>0.99989570000000005</v>
      </c>
      <c r="N810">
        <v>0</v>
      </c>
      <c r="O810">
        <v>5.1045329999999996E-3</v>
      </c>
      <c r="P810">
        <v>0.99963239999999998</v>
      </c>
      <c r="Q810">
        <v>1.220019E-2</v>
      </c>
      <c r="R810">
        <v>-2.4217559999999999E-2</v>
      </c>
      <c r="S810">
        <v>2.9971009999999998</v>
      </c>
      <c r="T810">
        <v>-0.106528399999999</v>
      </c>
      <c r="U810">
        <v>-0.2172241</v>
      </c>
      <c r="V810">
        <v>2.9326809999999998E-2</v>
      </c>
      <c r="W810">
        <v>2.5697560000000001E-2</v>
      </c>
      <c r="X810">
        <v>0.99923949999999995</v>
      </c>
      <c r="Y810">
        <v>7.7327380000000001E-2</v>
      </c>
      <c r="Z810">
        <v>-1.5531869999999999E-3</v>
      </c>
      <c r="AA810">
        <v>0.99700460000000002</v>
      </c>
      <c r="AB810">
        <v>34</v>
      </c>
      <c r="AC810">
        <v>31.0291999999999</v>
      </c>
      <c r="AD810">
        <v>-1.1092632771599999</v>
      </c>
      <c r="AE810">
        <v>-2.2626000000000199</v>
      </c>
      <c r="AF810">
        <v>2.4179008354357401</v>
      </c>
      <c r="AG810">
        <v>-1.1092632771599999</v>
      </c>
      <c r="AH810">
        <v>30.977865026412299</v>
      </c>
      <c r="AI810">
        <v>92.044572420112701</v>
      </c>
      <c r="AJ810">
        <v>85.536967820827499</v>
      </c>
      <c r="AK810">
        <v>31.091877252148599</v>
      </c>
      <c r="AL810">
        <v>88.527476174270006</v>
      </c>
      <c r="AM810">
        <v>88.3189012904988</v>
      </c>
      <c r="AN810">
        <v>1.00000000236748</v>
      </c>
    </row>
    <row r="811" spans="1:40" x14ac:dyDescent="0.25">
      <c r="A811" t="str">
        <f>"20190312154228979"</f>
        <v>20190312154228979</v>
      </c>
      <c r="B811" t="str">
        <f>"1552376548967820"</f>
        <v>1552376548967820</v>
      </c>
      <c r="C811" t="s">
        <v>40</v>
      </c>
      <c r="D811">
        <v>4.6943320000000002</v>
      </c>
      <c r="E811">
        <v>0.52113379999999998</v>
      </c>
      <c r="F811" t="s">
        <v>43</v>
      </c>
      <c r="G811">
        <v>-238.5324</v>
      </c>
      <c r="H811" s="1">
        <v>-1.493801E-6</v>
      </c>
      <c r="I811">
        <v>365.82690000000002</v>
      </c>
      <c r="J811">
        <v>-269.91160000000002</v>
      </c>
      <c r="K811">
        <v>1.1093660000000001</v>
      </c>
      <c r="L811">
        <v>368.23050000000001</v>
      </c>
      <c r="M811">
        <v>0.99989499999999998</v>
      </c>
      <c r="N811">
        <v>0</v>
      </c>
      <c r="O811">
        <v>5.0561529999999999E-3</v>
      </c>
      <c r="P811">
        <v>0.99962600000000001</v>
      </c>
      <c r="Q811">
        <v>1.2288479999999999E-2</v>
      </c>
      <c r="R811">
        <v>-2.4435999999999999E-2</v>
      </c>
      <c r="S811">
        <v>2.9968569999999999</v>
      </c>
      <c r="T811">
        <v>-0.1053452</v>
      </c>
      <c r="U811">
        <v>-0.22817989999999999</v>
      </c>
      <c r="V811">
        <v>2.949703E-2</v>
      </c>
      <c r="W811">
        <v>2.5852960000000001E-2</v>
      </c>
      <c r="X811">
        <v>0.99923050000000002</v>
      </c>
      <c r="Y811">
        <v>8.0908279999999999E-2</v>
      </c>
      <c r="Z811">
        <v>-1.5969949999999999E-3</v>
      </c>
      <c r="AA811">
        <v>0.9967203</v>
      </c>
      <c r="AB811">
        <v>34</v>
      </c>
      <c r="AC811">
        <v>31.379200000000001</v>
      </c>
      <c r="AD811">
        <v>-1.1093674938009901</v>
      </c>
      <c r="AE811">
        <v>-2.40359999999998</v>
      </c>
      <c r="AF811">
        <v>2.55906208437976</v>
      </c>
      <c r="AG811">
        <v>-1.1093674938009901</v>
      </c>
      <c r="AH811">
        <v>31.3277173525954</v>
      </c>
      <c r="AI811">
        <v>92.021365877063701</v>
      </c>
      <c r="AJ811">
        <v>85.330057785075596</v>
      </c>
      <c r="AK811">
        <v>31.451635402823101</v>
      </c>
      <c r="AL811">
        <v>88.518569478943107</v>
      </c>
      <c r="AM811">
        <v>88.309134208485304</v>
      </c>
      <c r="AN811">
        <v>1.0000000212249101</v>
      </c>
    </row>
    <row r="812" spans="1:40" x14ac:dyDescent="0.25">
      <c r="A812" t="str">
        <f>"20190312154228996"</f>
        <v>20190312154228996</v>
      </c>
      <c r="B812" t="str">
        <f>"1552376548988315"</f>
        <v>1552376548988315</v>
      </c>
      <c r="C812" t="s">
        <v>40</v>
      </c>
      <c r="D812">
        <v>4.6908459999999996</v>
      </c>
      <c r="E812">
        <v>0.522702</v>
      </c>
      <c r="F812" t="s">
        <v>43</v>
      </c>
      <c r="G812">
        <v>-238.00280000000001</v>
      </c>
      <c r="H812" s="1">
        <v>-1.7068530000000001E-6</v>
      </c>
      <c r="I812">
        <v>365.70350000000002</v>
      </c>
      <c r="J812">
        <v>-269.66120000000001</v>
      </c>
      <c r="K812">
        <v>1.1095029999999999</v>
      </c>
      <c r="L812">
        <v>368.23169999999999</v>
      </c>
      <c r="M812">
        <v>0.99989410000000001</v>
      </c>
      <c r="N812">
        <v>0</v>
      </c>
      <c r="O812">
        <v>4.9874070000000001E-3</v>
      </c>
      <c r="P812">
        <v>0.9996119</v>
      </c>
      <c r="Q812">
        <v>1.273181E-2</v>
      </c>
      <c r="R812">
        <v>-2.4777770000000001E-2</v>
      </c>
      <c r="S812">
        <v>2.996613</v>
      </c>
      <c r="T812">
        <v>-0.1041825</v>
      </c>
      <c r="U812">
        <v>-0.23730470000000001</v>
      </c>
      <c r="V812">
        <v>2.9770069999999999E-2</v>
      </c>
      <c r="W812">
        <v>2.6385410000000002E-2</v>
      </c>
      <c r="X812">
        <v>0.99920850000000005</v>
      </c>
      <c r="Y812">
        <v>8.3861809999999995E-2</v>
      </c>
      <c r="Z812">
        <v>-1.6281819999999999E-3</v>
      </c>
      <c r="AA812">
        <v>0.99647609999999998</v>
      </c>
      <c r="AB812">
        <v>34</v>
      </c>
      <c r="AC812">
        <v>31.6584</v>
      </c>
      <c r="AD812">
        <v>-1.109504706853</v>
      </c>
      <c r="AE812">
        <v>-2.5281999999999698</v>
      </c>
      <c r="AF812">
        <v>2.6828024121073102</v>
      </c>
      <c r="AG812">
        <v>-1.109504706853</v>
      </c>
      <c r="AH812">
        <v>31.606821343257799</v>
      </c>
      <c r="AI812">
        <v>92.003249637480707</v>
      </c>
      <c r="AJ812">
        <v>85.148335577901705</v>
      </c>
      <c r="AK812">
        <v>31.7398737379586</v>
      </c>
      <c r="AL812">
        <v>88.488051953339195</v>
      </c>
      <c r="AM812">
        <v>88.293454328318504</v>
      </c>
      <c r="AN812">
        <v>1.00000003670046</v>
      </c>
    </row>
    <row r="813" spans="1:40" x14ac:dyDescent="0.25">
      <c r="A813" t="str">
        <f>"20190312154229010"</f>
        <v>20190312154229010</v>
      </c>
      <c r="B813" t="str">
        <f>"1552376548998075"</f>
        <v>1552376548998075</v>
      </c>
      <c r="C813" t="s">
        <v>40</v>
      </c>
      <c r="D813">
        <v>4.7267270000000003</v>
      </c>
      <c r="E813">
        <v>0.52334729999999996</v>
      </c>
      <c r="F813" t="s">
        <v>43</v>
      </c>
      <c r="G813">
        <v>-237.136</v>
      </c>
      <c r="H813" s="1">
        <v>-2.0540799999999998E-6</v>
      </c>
      <c r="I813">
        <v>365.50720000000001</v>
      </c>
      <c r="J813">
        <v>-269.44400000000002</v>
      </c>
      <c r="K813">
        <v>1.10961</v>
      </c>
      <c r="L813">
        <v>368.23270000000002</v>
      </c>
      <c r="M813">
        <v>0.99989340000000004</v>
      </c>
      <c r="N813">
        <v>0</v>
      </c>
      <c r="O813">
        <v>4.9273620000000002E-3</v>
      </c>
      <c r="P813">
        <v>0.99958780000000003</v>
      </c>
      <c r="Q813">
        <v>1.3798650000000001E-2</v>
      </c>
      <c r="R813">
        <v>-2.5176670000000002E-2</v>
      </c>
      <c r="S813">
        <v>2.9962460000000002</v>
      </c>
      <c r="T813">
        <v>-0.1022079</v>
      </c>
      <c r="U813">
        <v>-0.25097659999999999</v>
      </c>
      <c r="V813">
        <v>3.0109179999999999E-2</v>
      </c>
      <c r="W813">
        <v>2.7523679999999998E-2</v>
      </c>
      <c r="X813">
        <v>0.99916760000000004</v>
      </c>
      <c r="Y813">
        <v>8.8327100000000006E-2</v>
      </c>
      <c r="Z813">
        <v>-1.6712020000000001E-3</v>
      </c>
      <c r="AA813">
        <v>0.99609009999999998</v>
      </c>
      <c r="AB813">
        <v>34</v>
      </c>
      <c r="AC813">
        <v>32.308</v>
      </c>
      <c r="AD813">
        <v>-1.1096120540799901</v>
      </c>
      <c r="AE813">
        <v>-2.72550000000001</v>
      </c>
      <c r="AF813">
        <v>2.8813004902166699</v>
      </c>
      <c r="AG813">
        <v>-1.1096120540799901</v>
      </c>
      <c r="AH813">
        <v>32.256397247091101</v>
      </c>
      <c r="AI813">
        <v>91.962376550069706</v>
      </c>
      <c r="AJ813">
        <v>84.8956055180101</v>
      </c>
      <c r="AK813">
        <v>32.403831483138397</v>
      </c>
      <c r="AL813">
        <v>88.4228101291895</v>
      </c>
      <c r="AM813">
        <v>88.273956199711407</v>
      </c>
      <c r="AN813">
        <v>1.0000000042853801</v>
      </c>
    </row>
    <row r="814" spans="1:40" x14ac:dyDescent="0.25">
      <c r="A814" t="str">
        <f>"20190312154229033"</f>
        <v>20190312154229033</v>
      </c>
      <c r="B814" t="str">
        <f>"1552376549028331"</f>
        <v>1552376549028331</v>
      </c>
      <c r="C814" t="s">
        <v>40</v>
      </c>
      <c r="D814">
        <v>4.7206440000000001</v>
      </c>
      <c r="E814">
        <v>0.52500789999999997</v>
      </c>
      <c r="F814" t="s">
        <v>43</v>
      </c>
      <c r="G814">
        <v>-235.82810000000001</v>
      </c>
      <c r="H814" s="1">
        <v>-2.5417090000000002E-6</v>
      </c>
      <c r="I814">
        <v>365.34730000000002</v>
      </c>
      <c r="J814">
        <v>-269.10430000000002</v>
      </c>
      <c r="K814">
        <v>1.1097429999999999</v>
      </c>
      <c r="L814">
        <v>368.23430000000002</v>
      </c>
      <c r="M814">
        <v>0.99989249999999996</v>
      </c>
      <c r="N814">
        <v>0</v>
      </c>
      <c r="O814">
        <v>4.8346839999999997E-3</v>
      </c>
      <c r="P814">
        <v>0.99957589999999996</v>
      </c>
      <c r="Q814">
        <v>1.4643990000000001E-2</v>
      </c>
      <c r="R814">
        <v>-2.5172759999999999E-2</v>
      </c>
      <c r="S814">
        <v>2.9961549999999999</v>
      </c>
      <c r="T814">
        <v>-9.8898410000000006E-2</v>
      </c>
      <c r="U814">
        <v>-0.2571716</v>
      </c>
      <c r="V814">
        <v>3.0012730000000001E-2</v>
      </c>
      <c r="W814">
        <v>2.8469359999999999E-2</v>
      </c>
      <c r="X814">
        <v>0.99914400000000003</v>
      </c>
      <c r="Y814">
        <v>9.0284450000000002E-2</v>
      </c>
      <c r="Z814">
        <v>-1.6462099999999999E-3</v>
      </c>
      <c r="AA814">
        <v>0.99591459999999998</v>
      </c>
      <c r="AB814">
        <v>34</v>
      </c>
      <c r="AC814">
        <v>33.276200000000003</v>
      </c>
      <c r="AD814">
        <v>-1.1097455417090001</v>
      </c>
      <c r="AE814">
        <v>-2.887</v>
      </c>
      <c r="AF814">
        <v>3.04450081053854</v>
      </c>
      <c r="AG814">
        <v>-1.1097455417090001</v>
      </c>
      <c r="AH814">
        <v>33.2251752792044</v>
      </c>
      <c r="AI814">
        <v>91.905035262892596</v>
      </c>
      <c r="AJ814">
        <v>84.764473891443004</v>
      </c>
      <c r="AK814">
        <v>33.382821820309999</v>
      </c>
      <c r="AL814">
        <v>88.368605401443702</v>
      </c>
      <c r="AM814">
        <v>88.279441365122807</v>
      </c>
      <c r="AN814">
        <v>1.00000000057843</v>
      </c>
    </row>
    <row r="815" spans="1:40" x14ac:dyDescent="0.25">
      <c r="A815" t="str">
        <f>"20190312154229046"</f>
        <v>20190312154229046</v>
      </c>
      <c r="B815" t="str">
        <f>"1552376549038091"</f>
        <v>1552376549038091</v>
      </c>
      <c r="C815" t="s">
        <v>40</v>
      </c>
      <c r="D815">
        <v>4.7530609999999998</v>
      </c>
      <c r="E815">
        <v>0.52535339999999997</v>
      </c>
      <c r="F815" t="s">
        <v>43</v>
      </c>
      <c r="G815">
        <v>-235.01249999999999</v>
      </c>
      <c r="H815" s="1">
        <v>-2.9133850000000001E-6</v>
      </c>
      <c r="I815">
        <v>365.15449999999998</v>
      </c>
      <c r="J815">
        <v>-268.88760000000002</v>
      </c>
      <c r="K815">
        <v>1.10982</v>
      </c>
      <c r="L815">
        <v>368.2353</v>
      </c>
      <c r="M815">
        <v>0.99989209999999995</v>
      </c>
      <c r="N815">
        <v>0</v>
      </c>
      <c r="O815">
        <v>4.7752619999999997E-3</v>
      </c>
      <c r="P815">
        <v>0.99958499999999995</v>
      </c>
      <c r="Q815">
        <v>1.39715E-2</v>
      </c>
      <c r="R815">
        <v>-2.5190400000000002E-2</v>
      </c>
      <c r="S815">
        <v>2.9958499999999999</v>
      </c>
      <c r="T815">
        <v>-9.7519759999999997E-2</v>
      </c>
      <c r="U815">
        <v>-0.27062989999999998</v>
      </c>
      <c r="V815">
        <v>2.997095E-2</v>
      </c>
      <c r="W815">
        <v>2.7855439999999999E-2</v>
      </c>
      <c r="X815">
        <v>0.99916260000000001</v>
      </c>
      <c r="Y815">
        <v>9.4671669999999999E-2</v>
      </c>
      <c r="Z815">
        <v>-1.692432E-3</v>
      </c>
      <c r="AA815">
        <v>0.99550709999999998</v>
      </c>
      <c r="AB815">
        <v>34</v>
      </c>
      <c r="AC815">
        <v>33.875100000000003</v>
      </c>
      <c r="AD815">
        <v>-1.1098229133849999</v>
      </c>
      <c r="AE815">
        <v>-3.0808</v>
      </c>
      <c r="AF815">
        <v>3.2390947554687202</v>
      </c>
      <c r="AG815">
        <v>-1.1098229133849999</v>
      </c>
      <c r="AH815">
        <v>33.8239930834158</v>
      </c>
      <c r="AI815">
        <v>91.870745810344502</v>
      </c>
      <c r="AJ815">
        <v>84.529852021621394</v>
      </c>
      <c r="AK815">
        <v>33.996852057814699</v>
      </c>
      <c r="AL815">
        <v>88.403794450890402</v>
      </c>
      <c r="AM815">
        <v>88.281867042274797</v>
      </c>
      <c r="AN815">
        <v>1.0000000423101201</v>
      </c>
    </row>
    <row r="816" spans="1:40" x14ac:dyDescent="0.25">
      <c r="A816" t="str">
        <f>"20190312154229061"</f>
        <v>20190312154229061</v>
      </c>
      <c r="B816" t="str">
        <f>"1552376549047853"</f>
        <v>1552376549047853</v>
      </c>
      <c r="C816" t="s">
        <v>40</v>
      </c>
      <c r="D816">
        <v>4.7629799999999998</v>
      </c>
      <c r="E816">
        <v>0.52573590000000003</v>
      </c>
      <c r="F816" t="s">
        <v>43</v>
      </c>
      <c r="G816">
        <v>-235.7593</v>
      </c>
      <c r="H816" s="1">
        <v>-2.601254E-6</v>
      </c>
      <c r="I816">
        <v>365.2115</v>
      </c>
      <c r="J816">
        <v>-268.67700000000002</v>
      </c>
      <c r="K816">
        <v>1.109877</v>
      </c>
      <c r="L816">
        <v>368.2362</v>
      </c>
      <c r="M816">
        <v>0.99989159999999999</v>
      </c>
      <c r="N816">
        <v>0</v>
      </c>
      <c r="O816">
        <v>4.7175610000000003E-3</v>
      </c>
      <c r="P816">
        <v>0.99958539999999996</v>
      </c>
      <c r="Q816">
        <v>1.364961E-2</v>
      </c>
      <c r="R816">
        <v>-2.5354000000000002E-2</v>
      </c>
      <c r="S816">
        <v>2.9957579999999999</v>
      </c>
      <c r="T816">
        <v>-0.1003597</v>
      </c>
      <c r="U816">
        <v>-0.2734375</v>
      </c>
      <c r="V816">
        <v>3.0076769999999999E-2</v>
      </c>
      <c r="W816">
        <v>2.7584689999999999E-2</v>
      </c>
      <c r="X816">
        <v>0.99916689999999997</v>
      </c>
      <c r="Y816">
        <v>9.5538739999999997E-2</v>
      </c>
      <c r="Z816">
        <v>-1.754231E-3</v>
      </c>
      <c r="AA816">
        <v>0.99542419999999998</v>
      </c>
      <c r="AB816">
        <v>34</v>
      </c>
      <c r="AC816">
        <v>32.917700000000004</v>
      </c>
      <c r="AD816">
        <v>-1.109879601254</v>
      </c>
      <c r="AE816">
        <v>-3.02469999999999</v>
      </c>
      <c r="AF816">
        <v>3.1763919381262502</v>
      </c>
      <c r="AG816">
        <v>-1.109879601254</v>
      </c>
      <c r="AH816">
        <v>32.866013020697402</v>
      </c>
      <c r="AI816">
        <v>91.925170190111203</v>
      </c>
      <c r="AJ816">
        <v>84.479696591882401</v>
      </c>
      <c r="AK816">
        <v>33.0377982067589</v>
      </c>
      <c r="AL816">
        <v>88.419313195986902</v>
      </c>
      <c r="AM816">
        <v>88.275811811421093</v>
      </c>
      <c r="AN816">
        <v>1.00000001063581</v>
      </c>
    </row>
    <row r="817" spans="1:40" x14ac:dyDescent="0.25">
      <c r="A817" t="str">
        <f>"20190312154229074"</f>
        <v>20190312154229074</v>
      </c>
      <c r="B817" t="str">
        <f>"1552376549068347"</f>
        <v>1552376549068347</v>
      </c>
      <c r="C817" t="s">
        <v>40</v>
      </c>
      <c r="D817">
        <v>4.7670859999999999</v>
      </c>
      <c r="E817">
        <v>0.52638339999999995</v>
      </c>
      <c r="F817" t="s">
        <v>43</v>
      </c>
      <c r="G817">
        <v>-236.05009999999999</v>
      </c>
      <c r="H817" s="1">
        <v>-2.500516E-6</v>
      </c>
      <c r="I817">
        <v>365.21809999999999</v>
      </c>
      <c r="J817">
        <v>-268.47239999999999</v>
      </c>
      <c r="K817">
        <v>1.1099270000000001</v>
      </c>
      <c r="L817">
        <v>368.23719999999997</v>
      </c>
      <c r="M817">
        <v>0.99989119999999998</v>
      </c>
      <c r="N817">
        <v>0</v>
      </c>
      <c r="O817">
        <v>4.6618559999999998E-3</v>
      </c>
      <c r="P817">
        <v>0.99959640000000005</v>
      </c>
      <c r="Q817">
        <v>1.281733E-2</v>
      </c>
      <c r="R817">
        <v>-2.5354229999999998E-2</v>
      </c>
      <c r="S817">
        <v>2.9956049999999999</v>
      </c>
      <c r="T817">
        <v>-0.1019021</v>
      </c>
      <c r="U817">
        <v>-0.277099599999999</v>
      </c>
      <c r="V817">
        <v>3.0021119999999998E-2</v>
      </c>
      <c r="W817">
        <v>2.6799630000000001E-2</v>
      </c>
      <c r="X817">
        <v>0.99918989999999996</v>
      </c>
      <c r="Y817">
        <v>9.6692169999999994E-2</v>
      </c>
      <c r="Z817">
        <v>-1.7988479999999901E-3</v>
      </c>
      <c r="AA817">
        <v>0.99531270000000005</v>
      </c>
      <c r="AB817">
        <v>34</v>
      </c>
      <c r="AC817">
        <v>32.4223</v>
      </c>
      <c r="AD817">
        <v>-1.1099295005159999</v>
      </c>
      <c r="AE817">
        <v>-3.0190999999999799</v>
      </c>
      <c r="AF817">
        <v>3.16655099653179</v>
      </c>
      <c r="AG817">
        <v>-1.1099295005159999</v>
      </c>
      <c r="AH817">
        <v>32.370261928004503</v>
      </c>
      <c r="AI817">
        <v>91.9544980493948</v>
      </c>
      <c r="AJ817">
        <v>84.412940233549193</v>
      </c>
      <c r="AK817">
        <v>32.543706703406897</v>
      </c>
      <c r="AL817">
        <v>88.464310400913007</v>
      </c>
      <c r="AM817">
        <v>88.27903968775</v>
      </c>
      <c r="AN817">
        <v>0.99999997203809998</v>
      </c>
    </row>
    <row r="818" spans="1:40" x14ac:dyDescent="0.25">
      <c r="A818" t="str">
        <f>"20190312154229087"</f>
        <v>20190312154229087</v>
      </c>
      <c r="B818" t="str">
        <f>"1552376549078107"</f>
        <v>1552376549078107</v>
      </c>
      <c r="C818" t="s">
        <v>40</v>
      </c>
      <c r="D818">
        <v>4.770823</v>
      </c>
      <c r="E818">
        <v>0.52663749999999998</v>
      </c>
      <c r="F818" t="s">
        <v>43</v>
      </c>
      <c r="G818">
        <v>-236.79040000000001</v>
      </c>
      <c r="H818" s="1">
        <v>-2.2388690000000001E-6</v>
      </c>
      <c r="I818">
        <v>365.25459999999998</v>
      </c>
      <c r="J818">
        <v>-268.2568</v>
      </c>
      <c r="K818">
        <v>1.1099760000000001</v>
      </c>
      <c r="L818">
        <v>368.23809999999997</v>
      </c>
      <c r="M818">
        <v>0.99989079999999997</v>
      </c>
      <c r="N818">
        <v>0</v>
      </c>
      <c r="O818">
        <v>4.6029929999999997E-3</v>
      </c>
      <c r="P818">
        <v>0.99961739999999999</v>
      </c>
      <c r="Q818">
        <v>1.207768E-2</v>
      </c>
      <c r="R818">
        <v>-2.4886729999999999E-2</v>
      </c>
      <c r="S818">
        <v>2.9953919999999998</v>
      </c>
      <c r="T818">
        <v>-0.1049385</v>
      </c>
      <c r="U818">
        <v>-0.28198240000000002</v>
      </c>
      <c r="V818">
        <v>2.949477E-2</v>
      </c>
      <c r="W818">
        <v>2.6106560000000001E-2</v>
      </c>
      <c r="X818">
        <v>0.99922390000000005</v>
      </c>
      <c r="Y818">
        <v>9.8244029999999996E-2</v>
      </c>
      <c r="Z818">
        <v>-1.8774659999999999E-3</v>
      </c>
      <c r="AA818">
        <v>0.99516059999999995</v>
      </c>
      <c r="AB818">
        <v>34</v>
      </c>
      <c r="AC818">
        <v>31.4664</v>
      </c>
      <c r="AD818">
        <v>-1.1099782388689901</v>
      </c>
      <c r="AE818">
        <v>-2.98349999999999</v>
      </c>
      <c r="AF818">
        <v>3.1244690659120602</v>
      </c>
      <c r="AG818">
        <v>-1.1099782388689901</v>
      </c>
      <c r="AH818">
        <v>31.4135916706609</v>
      </c>
      <c r="AI818">
        <v>92.013738158243996</v>
      </c>
      <c r="AJ818">
        <v>84.319909612407002</v>
      </c>
      <c r="AK818">
        <v>31.588100612186501</v>
      </c>
      <c r="AL818">
        <v>88.504034254107495</v>
      </c>
      <c r="AM818">
        <v>88.309252522801998</v>
      </c>
      <c r="AN818">
        <v>0.99999994813179705</v>
      </c>
    </row>
    <row r="819" spans="1:40" x14ac:dyDescent="0.25">
      <c r="A819" t="str">
        <f>"20190312154229100"</f>
        <v>20190312154229100</v>
      </c>
      <c r="B819" t="str">
        <f>"1552376549087867"</f>
        <v>1552376549087867</v>
      </c>
      <c r="C819" t="s">
        <v>40</v>
      </c>
      <c r="D819">
        <v>4.7801119999999999</v>
      </c>
      <c r="E819">
        <v>0.52692720000000004</v>
      </c>
      <c r="F819" t="s">
        <v>43</v>
      </c>
      <c r="G819">
        <v>-237.6748</v>
      </c>
      <c r="H819" s="1">
        <v>-1.9117650000000002E-6</v>
      </c>
      <c r="I819">
        <v>365.35289999999998</v>
      </c>
      <c r="J819">
        <v>-268.06900000000002</v>
      </c>
      <c r="K819">
        <v>1.110015</v>
      </c>
      <c r="L819">
        <v>368.2389</v>
      </c>
      <c r="M819">
        <v>0.99989059999999996</v>
      </c>
      <c r="N819">
        <v>0</v>
      </c>
      <c r="O819">
        <v>4.5515979999999996E-3</v>
      </c>
      <c r="P819">
        <v>0.99962620000000002</v>
      </c>
      <c r="Q819">
        <v>1.1877830000000001E-2</v>
      </c>
      <c r="R819">
        <v>-2.4625359999999999E-2</v>
      </c>
      <c r="S819">
        <v>2.995422</v>
      </c>
      <c r="T819">
        <v>-0.108719</v>
      </c>
      <c r="U819">
        <v>-0.28259279999999998</v>
      </c>
      <c r="V819">
        <v>2.9181990000000001E-2</v>
      </c>
      <c r="W819">
        <v>2.594258E-2</v>
      </c>
      <c r="X819">
        <v>0.99923740000000005</v>
      </c>
      <c r="Y819">
        <v>9.8388249999999997E-2</v>
      </c>
      <c r="Z819">
        <v>-1.9457700000000001E-3</v>
      </c>
      <c r="AA819">
        <v>0.99514619999999998</v>
      </c>
      <c r="AB819">
        <v>34</v>
      </c>
      <c r="AC819">
        <v>30.394200000000001</v>
      </c>
      <c r="AD819">
        <v>-1.1100169117649901</v>
      </c>
      <c r="AE819">
        <v>-2.8860000000000201</v>
      </c>
      <c r="AF819">
        <v>3.0203335765372801</v>
      </c>
      <c r="AG819">
        <v>-1.1100169117649901</v>
      </c>
      <c r="AH819">
        <v>30.340642331958801</v>
      </c>
      <c r="AI819">
        <v>92.084944189108697</v>
      </c>
      <c r="AJ819">
        <v>84.315080489431494</v>
      </c>
      <c r="AK819">
        <v>30.510803489482399</v>
      </c>
      <c r="AL819">
        <v>88.513432867656107</v>
      </c>
      <c r="AM819">
        <v>88.327194555453502</v>
      </c>
      <c r="AN819">
        <v>0.99999999377808801</v>
      </c>
    </row>
    <row r="820" spans="1:40" x14ac:dyDescent="0.25">
      <c r="A820" t="str">
        <f>"20190312154229114"</f>
        <v>20190312154229114</v>
      </c>
      <c r="B820" t="str">
        <f>"1552376549108363"</f>
        <v>1552376549108363</v>
      </c>
      <c r="C820" t="s">
        <v>40</v>
      </c>
      <c r="D820">
        <v>4.7982120000000004</v>
      </c>
      <c r="E820">
        <v>0.52739419999999904</v>
      </c>
      <c r="F820" t="s">
        <v>43</v>
      </c>
      <c r="G820">
        <v>-238.01840000000001</v>
      </c>
      <c r="H820" s="1">
        <v>-1.785849E-6</v>
      </c>
      <c r="I820">
        <v>365.38670000000002</v>
      </c>
      <c r="J820">
        <v>-267.87310000000002</v>
      </c>
      <c r="K820">
        <v>1.110053</v>
      </c>
      <c r="L820">
        <v>368.23970000000003</v>
      </c>
      <c r="M820">
        <v>0.99989030000000001</v>
      </c>
      <c r="N820">
        <v>0</v>
      </c>
      <c r="O820">
        <v>4.4977029999999996E-3</v>
      </c>
      <c r="P820">
        <v>0.99964209999999998</v>
      </c>
      <c r="Q820">
        <v>1.1670929999999999E-2</v>
      </c>
      <c r="R820">
        <v>-2.4075550000000001E-2</v>
      </c>
      <c r="S820">
        <v>2.9953919999999998</v>
      </c>
      <c r="T820">
        <v>-0.1106441</v>
      </c>
      <c r="U820">
        <v>-0.28430179999999999</v>
      </c>
      <c r="V820">
        <v>2.8578470000000002E-2</v>
      </c>
      <c r="W820">
        <v>2.5771929999999998E-2</v>
      </c>
      <c r="X820">
        <v>0.99925929999999996</v>
      </c>
      <c r="Y820">
        <v>9.8895590000000005E-2</v>
      </c>
      <c r="Z820">
        <v>-1.987529E-3</v>
      </c>
      <c r="AA820">
        <v>0.99509579999999997</v>
      </c>
      <c r="AB820">
        <v>34</v>
      </c>
      <c r="AC820">
        <v>29.854700000000001</v>
      </c>
      <c r="AD820">
        <v>-1.110054785849</v>
      </c>
      <c r="AE820">
        <v>-2.8530000000000002</v>
      </c>
      <c r="AF820">
        <v>2.98317518340244</v>
      </c>
      <c r="AG820">
        <v>-1.110054785849</v>
      </c>
      <c r="AH820">
        <v>29.8007382256651</v>
      </c>
      <c r="AI820">
        <v>92.122638848246694</v>
      </c>
      <c r="AJ820">
        <v>84.283503192713198</v>
      </c>
      <c r="AK820">
        <v>29.970244486775101</v>
      </c>
      <c r="AL820">
        <v>88.523213723617602</v>
      </c>
      <c r="AM820">
        <v>88.361807094375294</v>
      </c>
      <c r="AN820">
        <v>1.00000003497997</v>
      </c>
    </row>
    <row r="821" spans="1:40" x14ac:dyDescent="0.25">
      <c r="A821" t="str">
        <f>"20190312154229124"</f>
        <v>20190312154229124</v>
      </c>
      <c r="B821" t="str">
        <f>"1552376549118123"</f>
        <v>1552376549118123</v>
      </c>
      <c r="C821" t="s">
        <v>40</v>
      </c>
      <c r="D821">
        <v>4.7833819999999996</v>
      </c>
      <c r="E821">
        <v>0.52763409999999999</v>
      </c>
      <c r="F821" t="s">
        <v>43</v>
      </c>
      <c r="G821">
        <v>-238.6429</v>
      </c>
      <c r="H821" s="1">
        <v>-1.5576469999999999E-6</v>
      </c>
      <c r="I821">
        <v>365.44549999999998</v>
      </c>
      <c r="J821">
        <v>-267.69139999999999</v>
      </c>
      <c r="K821">
        <v>1.110085</v>
      </c>
      <c r="L821">
        <v>368.2405</v>
      </c>
      <c r="M821">
        <v>0.9998901</v>
      </c>
      <c r="N821">
        <v>0</v>
      </c>
      <c r="O821">
        <v>4.447894E-3</v>
      </c>
      <c r="P821">
        <v>0.99964629999999999</v>
      </c>
      <c r="Q821">
        <v>1.1719479999999999E-2</v>
      </c>
      <c r="R821">
        <v>-2.3875759999999999E-2</v>
      </c>
      <c r="S821">
        <v>2.995514</v>
      </c>
      <c r="T821">
        <v>-0.1137582</v>
      </c>
      <c r="U821">
        <v>-0.2863464</v>
      </c>
      <c r="V821">
        <v>2.8328820000000001E-2</v>
      </c>
      <c r="W821">
        <v>2.5851059999999999E-2</v>
      </c>
      <c r="X821">
        <v>0.99926440000000005</v>
      </c>
      <c r="Y821">
        <v>9.9510940000000006E-2</v>
      </c>
      <c r="Z821">
        <v>-2.0530470000000001E-3</v>
      </c>
      <c r="AA821">
        <v>0.99503430000000004</v>
      </c>
      <c r="AB821">
        <v>34</v>
      </c>
      <c r="AC821">
        <v>29.048499999999901</v>
      </c>
      <c r="AD821">
        <v>-1.110086557647</v>
      </c>
      <c r="AE821">
        <v>-2.7950000000000101</v>
      </c>
      <c r="AF821">
        <v>2.91996477240277</v>
      </c>
      <c r="AG821">
        <v>-1.110086557647</v>
      </c>
      <c r="AH821">
        <v>28.993825854317201</v>
      </c>
      <c r="AI821">
        <v>92.181587744529693</v>
      </c>
      <c r="AJ821">
        <v>84.2491391780529</v>
      </c>
      <c r="AK821">
        <v>29.1616258824507</v>
      </c>
      <c r="AL821">
        <v>88.518678449921197</v>
      </c>
      <c r="AM821">
        <v>88.376118274959794</v>
      </c>
      <c r="AN821">
        <v>1.0000000702265299</v>
      </c>
    </row>
    <row r="822" spans="1:40" x14ac:dyDescent="0.25">
      <c r="A822" t="str">
        <f>"20190312154229137"</f>
        <v>20190312154229137</v>
      </c>
      <c r="B822" t="str">
        <f>"1552376549127884"</f>
        <v>1552376549127884</v>
      </c>
      <c r="C822" t="s">
        <v>40</v>
      </c>
      <c r="D822">
        <v>4.8701689999999997</v>
      </c>
      <c r="E822">
        <v>0.5277539</v>
      </c>
      <c r="F822" t="s">
        <v>43</v>
      </c>
      <c r="G822">
        <v>-238.69110000000001</v>
      </c>
      <c r="H822" s="1">
        <v>-1.5381900000000001E-6</v>
      </c>
      <c r="I822">
        <v>365.45710000000003</v>
      </c>
      <c r="J822">
        <v>-267.52390000000003</v>
      </c>
      <c r="K822">
        <v>1.110115</v>
      </c>
      <c r="L822">
        <v>368.24119999999999</v>
      </c>
      <c r="M822">
        <v>0.9998899</v>
      </c>
      <c r="N822">
        <v>0</v>
      </c>
      <c r="O822">
        <v>4.4017570000000001E-3</v>
      </c>
      <c r="P822">
        <v>0.99965510000000002</v>
      </c>
      <c r="Q822">
        <v>1.1943509999999999E-2</v>
      </c>
      <c r="R822">
        <v>-2.3391430000000001E-2</v>
      </c>
      <c r="S822">
        <v>2.9955750000000001</v>
      </c>
      <c r="T822">
        <v>-0.1146653</v>
      </c>
      <c r="U822">
        <v>-0.28750609999999999</v>
      </c>
      <c r="V822">
        <v>2.779848E-2</v>
      </c>
      <c r="W822">
        <v>2.6101309999999999E-2</v>
      </c>
      <c r="X822">
        <v>0.99927270000000001</v>
      </c>
      <c r="Y822">
        <v>9.9843399999999999E-2</v>
      </c>
      <c r="Z822">
        <v>-2.0739090000000001E-3</v>
      </c>
      <c r="AA822">
        <v>0.99500100000000002</v>
      </c>
      <c r="AB822">
        <v>34</v>
      </c>
      <c r="AC822">
        <v>28.832799999999999</v>
      </c>
      <c r="AD822">
        <v>-1.11011653819</v>
      </c>
      <c r="AE822">
        <v>-2.7840999999999601</v>
      </c>
      <c r="AF822">
        <v>2.9067316315767902</v>
      </c>
      <c r="AG822">
        <v>-1.11011653819</v>
      </c>
      <c r="AH822">
        <v>28.7779982225263</v>
      </c>
      <c r="AI822">
        <v>92.197927634898406</v>
      </c>
      <c r="AJ822">
        <v>84.232380863664901</v>
      </c>
      <c r="AK822">
        <v>28.945718667915301</v>
      </c>
      <c r="AL822">
        <v>88.504335209302596</v>
      </c>
      <c r="AM822">
        <v>88.406516150125498</v>
      </c>
      <c r="AN822">
        <v>0.99999998141965796</v>
      </c>
    </row>
    <row r="823" spans="1:40" x14ac:dyDescent="0.25">
      <c r="A823" t="str">
        <f>"20190312154229149"</f>
        <v>20190312154229149</v>
      </c>
      <c r="B823" t="str">
        <f>"1552376549138619"</f>
        <v>1552376549138619</v>
      </c>
      <c r="C823" t="s">
        <v>40</v>
      </c>
      <c r="D823">
        <v>4.8877949999999997</v>
      </c>
      <c r="E823">
        <v>0.52783849999999999</v>
      </c>
      <c r="F823" t="s">
        <v>43</v>
      </c>
      <c r="G823">
        <v>-238.51249999999999</v>
      </c>
      <c r="H823" s="1">
        <v>-1.5977740000000001E-6</v>
      </c>
      <c r="I823">
        <v>365.46159999999998</v>
      </c>
      <c r="J823">
        <v>-267.33359999999999</v>
      </c>
      <c r="K823">
        <v>1.110139</v>
      </c>
      <c r="L823">
        <v>368.24200000000002</v>
      </c>
      <c r="M823">
        <v>0.9998899</v>
      </c>
      <c r="N823">
        <v>0</v>
      </c>
      <c r="O823">
        <v>4.3494040000000003E-3</v>
      </c>
      <c r="P823">
        <v>0.99966359999999999</v>
      </c>
      <c r="Q823">
        <v>1.2108860000000001E-2</v>
      </c>
      <c r="R823">
        <v>-2.294552E-2</v>
      </c>
      <c r="S823">
        <v>2.9956969999999998</v>
      </c>
      <c r="T823">
        <v>-0.1146293</v>
      </c>
      <c r="U823">
        <v>-0.28701779999999999</v>
      </c>
      <c r="V823">
        <v>2.7300290000000001E-2</v>
      </c>
      <c r="W823">
        <v>2.629532E-2</v>
      </c>
      <c r="X823">
        <v>0.99928130000000004</v>
      </c>
      <c r="Y823">
        <v>9.9626999999999993E-2</v>
      </c>
      <c r="Z823">
        <v>-2.0670630000000001E-3</v>
      </c>
      <c r="AA823">
        <v>0.99502270000000004</v>
      </c>
      <c r="AB823">
        <v>34</v>
      </c>
      <c r="AC823">
        <v>28.821100000000001</v>
      </c>
      <c r="AD823">
        <v>-1.110140597774</v>
      </c>
      <c r="AE823">
        <v>-2.7803999999999802</v>
      </c>
      <c r="AF823">
        <v>2.9014758059617698</v>
      </c>
      <c r="AG823">
        <v>-1.110140597774</v>
      </c>
      <c r="AH823">
        <v>28.766446903615499</v>
      </c>
      <c r="AI823">
        <v>92.198888165949995</v>
      </c>
      <c r="AJ823">
        <v>84.240443183053003</v>
      </c>
      <c r="AK823">
        <v>28.9337077032643</v>
      </c>
      <c r="AL823">
        <v>88.493215365392402</v>
      </c>
      <c r="AM823">
        <v>88.435072875710603</v>
      </c>
      <c r="AN823">
        <v>0.99999993310883595</v>
      </c>
    </row>
    <row r="824" spans="1:40" x14ac:dyDescent="0.25">
      <c r="A824" t="str">
        <f>"20190312154229162"</f>
        <v>20190312154229162</v>
      </c>
      <c r="B824" t="str">
        <f>"1552376549158139"</f>
        <v>1552376549158139</v>
      </c>
      <c r="C824" t="s">
        <v>40</v>
      </c>
      <c r="D824">
        <v>4.8667449999999999</v>
      </c>
      <c r="E824">
        <v>0.52817499999999995</v>
      </c>
      <c r="F824" t="s">
        <v>43</v>
      </c>
      <c r="G824">
        <v>-238.5539</v>
      </c>
      <c r="H824" s="1">
        <v>-1.5754800000000001E-6</v>
      </c>
      <c r="I824">
        <v>365.49239999999998</v>
      </c>
      <c r="J824">
        <v>-267.14370000000002</v>
      </c>
      <c r="K824">
        <v>1.1101639999999999</v>
      </c>
      <c r="L824">
        <v>368.24279999999999</v>
      </c>
      <c r="M824">
        <v>0.99988960000000005</v>
      </c>
      <c r="N824">
        <v>0</v>
      </c>
      <c r="O824">
        <v>4.2969549999999999E-3</v>
      </c>
      <c r="P824">
        <v>0.99966999999999995</v>
      </c>
      <c r="Q824">
        <v>1.214025E-2</v>
      </c>
      <c r="R824">
        <v>-2.264613E-2</v>
      </c>
      <c r="S824">
        <v>2.9958499999999999</v>
      </c>
      <c r="T824">
        <v>-0.11556080000000001</v>
      </c>
      <c r="U824">
        <v>-0.28622439999999999</v>
      </c>
      <c r="V824">
        <v>2.6948320000000001E-2</v>
      </c>
      <c r="W824">
        <v>2.6352049999999998E-2</v>
      </c>
      <c r="X824">
        <v>0.99928950000000005</v>
      </c>
      <c r="Y824">
        <v>9.9307880000000001E-2</v>
      </c>
      <c r="Z824">
        <v>-2.0756120000000001E-3</v>
      </c>
      <c r="AA824">
        <v>0.99505460000000001</v>
      </c>
      <c r="AB824">
        <v>34</v>
      </c>
      <c r="AC824">
        <v>28.5898</v>
      </c>
      <c r="AD824">
        <v>-1.1101655754799999</v>
      </c>
      <c r="AE824">
        <v>-2.7504000000000102</v>
      </c>
      <c r="AF824">
        <v>2.8689498876591499</v>
      </c>
      <c r="AG824">
        <v>-1.1101655754799999</v>
      </c>
      <c r="AH824">
        <v>28.535084869193099</v>
      </c>
      <c r="AI824">
        <v>92.216819931119502</v>
      </c>
      <c r="AJ824">
        <v>84.2587106018036</v>
      </c>
      <c r="AK824">
        <v>28.700425250419801</v>
      </c>
      <c r="AL824">
        <v>88.4899640611319</v>
      </c>
      <c r="AM824">
        <v>88.455251586866794</v>
      </c>
      <c r="AN824">
        <v>1.00000007365013</v>
      </c>
    </row>
    <row r="825" spans="1:40" x14ac:dyDescent="0.25">
      <c r="A825" t="str">
        <f>"20190312154229177"</f>
        <v>20190312154229177</v>
      </c>
      <c r="B825" t="str">
        <f>"1552376549167899"</f>
        <v>1552376549167899</v>
      </c>
      <c r="C825" t="s">
        <v>40</v>
      </c>
      <c r="D825">
        <v>4.8306950000000004</v>
      </c>
      <c r="E825">
        <v>0.52833209999999997</v>
      </c>
      <c r="F825" t="s">
        <v>43</v>
      </c>
      <c r="G825">
        <v>-239.0256</v>
      </c>
      <c r="H825" s="1">
        <v>-1.4020450000000001E-6</v>
      </c>
      <c r="I825">
        <v>365.54090000000002</v>
      </c>
      <c r="J825">
        <v>-266.90609999999998</v>
      </c>
      <c r="K825">
        <v>1.110188</v>
      </c>
      <c r="L825">
        <v>368.24380000000002</v>
      </c>
      <c r="M825">
        <v>0.99988960000000005</v>
      </c>
      <c r="N825">
        <v>0</v>
      </c>
      <c r="O825">
        <v>4.2311249999999996E-3</v>
      </c>
      <c r="P825">
        <v>0.99968509999999999</v>
      </c>
      <c r="Q825">
        <v>1.1444609999999999E-2</v>
      </c>
      <c r="R825">
        <v>-2.2338750000000001E-2</v>
      </c>
      <c r="S825">
        <v>2.995911</v>
      </c>
      <c r="T825">
        <v>-0.11828470000000001</v>
      </c>
      <c r="U825">
        <v>-0.28787230000000003</v>
      </c>
      <c r="V825">
        <v>2.6575209999999998E-2</v>
      </c>
      <c r="W825">
        <v>2.5686130000000001E-2</v>
      </c>
      <c r="X825">
        <v>0.99931680000000001</v>
      </c>
      <c r="Y825">
        <v>9.9778870000000006E-2</v>
      </c>
      <c r="Z825">
        <v>-2.1310809999999999E-3</v>
      </c>
      <c r="AA825">
        <v>0.99500730000000004</v>
      </c>
      <c r="AB825">
        <v>34</v>
      </c>
      <c r="AC825">
        <v>27.880499999999898</v>
      </c>
      <c r="AD825">
        <v>-1.1101894020450001</v>
      </c>
      <c r="AE825">
        <v>-2.7029000000000001</v>
      </c>
      <c r="AF825">
        <v>2.81642950579772</v>
      </c>
      <c r="AG825">
        <v>-1.1101894020450001</v>
      </c>
      <c r="AH825">
        <v>27.825104287268001</v>
      </c>
      <c r="AI825">
        <v>92.273220329141793</v>
      </c>
      <c r="AJ825">
        <v>84.220262645944004</v>
      </c>
      <c r="AK825">
        <v>27.989305533844199</v>
      </c>
      <c r="AL825">
        <v>88.528131340961195</v>
      </c>
      <c r="AM825">
        <v>88.476670679194797</v>
      </c>
      <c r="AN825">
        <v>1.0000000429115701</v>
      </c>
    </row>
    <row r="826" spans="1:40" x14ac:dyDescent="0.25">
      <c r="A826" t="str">
        <f>"20190312154229201"</f>
        <v>20190312154229201</v>
      </c>
      <c r="B826" t="str">
        <f>"1552376549188395"</f>
        <v>1552376549188395</v>
      </c>
      <c r="C826" t="s">
        <v>40</v>
      </c>
      <c r="D826">
        <v>4.8083819999999999</v>
      </c>
      <c r="E826">
        <v>0.52868169999999903</v>
      </c>
      <c r="F826" t="s">
        <v>43</v>
      </c>
      <c r="G826">
        <v>-239.49170000000001</v>
      </c>
      <c r="H826" s="1">
        <v>-1.2259429999999999E-6</v>
      </c>
      <c r="I826">
        <v>365.60669999999999</v>
      </c>
      <c r="J826">
        <v>-266.55810000000002</v>
      </c>
      <c r="K826">
        <v>1.110222</v>
      </c>
      <c r="L826">
        <v>368.24509999999998</v>
      </c>
      <c r="M826">
        <v>0.99988920000000003</v>
      </c>
      <c r="N826">
        <v>0</v>
      </c>
      <c r="O826">
        <v>4.1357829999999996E-3</v>
      </c>
      <c r="P826">
        <v>0.99968420000000002</v>
      </c>
      <c r="Q826">
        <v>1.175405E-2</v>
      </c>
      <c r="R826">
        <v>-2.2213819999999999E-2</v>
      </c>
      <c r="S826">
        <v>2.9958800000000001</v>
      </c>
      <c r="T826">
        <v>-0.12132220000000001</v>
      </c>
      <c r="U826">
        <v>-0.28817749999999998</v>
      </c>
      <c r="V826">
        <v>2.6355030000000002E-2</v>
      </c>
      <c r="W826">
        <v>2.6033629999999999E-2</v>
      </c>
      <c r="X826">
        <v>0.99931360000000002</v>
      </c>
      <c r="Y826">
        <v>9.9781309999999998E-2</v>
      </c>
      <c r="Z826">
        <v>-2.1819719999999999E-3</v>
      </c>
      <c r="AA826">
        <v>0.99500699999999997</v>
      </c>
      <c r="AB826">
        <v>34</v>
      </c>
      <c r="AC826">
        <v>27.066400000000002</v>
      </c>
      <c r="AD826">
        <v>-1.110223225943</v>
      </c>
      <c r="AE826">
        <v>-2.6383999999999901</v>
      </c>
      <c r="AF826">
        <v>2.74575334055266</v>
      </c>
      <c r="AG826">
        <v>-1.110223225943</v>
      </c>
      <c r="AH826">
        <v>27.0102380636026</v>
      </c>
      <c r="AI826">
        <v>92.341694036209205</v>
      </c>
      <c r="AJ826">
        <v>84.195478742281296</v>
      </c>
      <c r="AK826">
        <v>27.172131261111399</v>
      </c>
      <c r="AL826">
        <v>88.508214340076904</v>
      </c>
      <c r="AM826">
        <v>88.489281005459105</v>
      </c>
      <c r="AN826">
        <v>1.0000000043211099</v>
      </c>
    </row>
    <row r="827" spans="1:40" x14ac:dyDescent="0.25">
      <c r="A827" t="str">
        <f>"20190312154229223"</f>
        <v>20190312154229223</v>
      </c>
      <c r="B827" t="str">
        <f>"1552376549218652"</f>
        <v>1552376549218652</v>
      </c>
      <c r="C827" t="s">
        <v>40</v>
      </c>
      <c r="D827">
        <v>4.7982129999999996</v>
      </c>
      <c r="E827">
        <v>0.52949109999999999</v>
      </c>
      <c r="F827" t="s">
        <v>43</v>
      </c>
      <c r="G827">
        <v>-239.10659999999999</v>
      </c>
      <c r="H827" s="1">
        <v>-1.364621E-6</v>
      </c>
      <c r="I827">
        <v>365.57799999999997</v>
      </c>
      <c r="J827">
        <v>-266.2251</v>
      </c>
      <c r="K827">
        <v>1.110258</v>
      </c>
      <c r="L827">
        <v>368.24650000000003</v>
      </c>
      <c r="M827">
        <v>0.99988929999999998</v>
      </c>
      <c r="N827">
        <v>0</v>
      </c>
      <c r="O827">
        <v>4.0443620000000001E-3</v>
      </c>
      <c r="P827">
        <v>0.99967629999999996</v>
      </c>
      <c r="Q827">
        <v>1.1883879999999999E-2</v>
      </c>
      <c r="R827">
        <v>-2.2497690000000001E-2</v>
      </c>
      <c r="S827">
        <v>2.9959410000000002</v>
      </c>
      <c r="T827">
        <v>-0.1211648</v>
      </c>
      <c r="U827">
        <v>-0.29107670000000002</v>
      </c>
      <c r="V827">
        <v>2.6547640000000001E-2</v>
      </c>
      <c r="W827">
        <v>2.6194740000000001E-2</v>
      </c>
      <c r="X827">
        <v>0.99930430000000003</v>
      </c>
      <c r="Y827">
        <v>0.10064190000000001</v>
      </c>
      <c r="Z827">
        <v>-2.1926659999999998E-3</v>
      </c>
      <c r="AA827">
        <v>0.99492029999999998</v>
      </c>
      <c r="AB827">
        <v>34</v>
      </c>
      <c r="AC827">
        <v>27.118500000000001</v>
      </c>
      <c r="AD827">
        <v>-1.1102593646209999</v>
      </c>
      <c r="AE827">
        <v>-2.6684999999999901</v>
      </c>
      <c r="AF827">
        <v>2.7735620747645902</v>
      </c>
      <c r="AG827">
        <v>-1.1102593646209999</v>
      </c>
      <c r="AH827">
        <v>27.062558299531698</v>
      </c>
      <c r="AI827">
        <v>92.337051852009097</v>
      </c>
      <c r="AJ827">
        <v>84.148354630205702</v>
      </c>
      <c r="AK827">
        <v>27.226960611769599</v>
      </c>
      <c r="AL827">
        <v>88.498980280665407</v>
      </c>
      <c r="AM827">
        <v>88.478231261670501</v>
      </c>
      <c r="AN827">
        <v>1.0000000127958599</v>
      </c>
    </row>
    <row r="828" spans="1:40" x14ac:dyDescent="0.25">
      <c r="A828" t="str">
        <f>"20190312154229245"</f>
        <v>20190312154229245</v>
      </c>
      <c r="B828" t="str">
        <f>"1552376549238171"</f>
        <v>1552376549238171</v>
      </c>
      <c r="C828" t="s">
        <v>40</v>
      </c>
      <c r="D828">
        <v>5.7743440000000001</v>
      </c>
      <c r="E828">
        <v>0.53005829999999998</v>
      </c>
      <c r="F828" t="s">
        <v>43</v>
      </c>
      <c r="G828">
        <v>-239.04220000000001</v>
      </c>
      <c r="H828" s="1">
        <v>-1.396825E-6</v>
      </c>
      <c r="I828">
        <v>365.53919999999999</v>
      </c>
      <c r="J828">
        <v>-265.88889999999998</v>
      </c>
      <c r="K828">
        <v>1.1102799999999999</v>
      </c>
      <c r="L828">
        <v>368.24770000000001</v>
      </c>
      <c r="M828">
        <v>0.99988920000000003</v>
      </c>
      <c r="N828">
        <v>0</v>
      </c>
      <c r="O828">
        <v>3.9526700000000001E-3</v>
      </c>
      <c r="P828">
        <v>0.99966500000000003</v>
      </c>
      <c r="Q828">
        <v>1.173602E-2</v>
      </c>
      <c r="R828">
        <v>-2.307671E-2</v>
      </c>
      <c r="S828">
        <v>2.9956670000000001</v>
      </c>
      <c r="T828">
        <v>-0.12235500000000001</v>
      </c>
      <c r="U828">
        <v>-0.29833979999999999</v>
      </c>
      <c r="V828">
        <v>2.703465E-2</v>
      </c>
      <c r="W828">
        <v>2.607367E-2</v>
      </c>
      <c r="X828">
        <v>0.99929440000000003</v>
      </c>
      <c r="Y828">
        <v>0.1029448</v>
      </c>
      <c r="Z828">
        <v>-2.2572859999999998E-3</v>
      </c>
      <c r="AA828">
        <v>0.99468449999999997</v>
      </c>
      <c r="AB828">
        <v>34</v>
      </c>
      <c r="AC828">
        <v>26.846699999999899</v>
      </c>
      <c r="AD828">
        <v>-1.110281396825</v>
      </c>
      <c r="AE828">
        <v>-2.7085000000000101</v>
      </c>
      <c r="AF828">
        <v>2.80984851816301</v>
      </c>
      <c r="AG828">
        <v>-1.110281396825</v>
      </c>
      <c r="AH828">
        <v>26.790424076732101</v>
      </c>
      <c r="AI828">
        <v>92.360232033098995</v>
      </c>
      <c r="AJ828">
        <v>84.012562027420799</v>
      </c>
      <c r="AK828">
        <v>26.960244726009201</v>
      </c>
      <c r="AL828">
        <v>88.505919436415397</v>
      </c>
      <c r="AM828">
        <v>88.450312929178594</v>
      </c>
      <c r="AN828">
        <v>1.0000000032196199</v>
      </c>
    </row>
    <row r="829" spans="1:40" x14ac:dyDescent="0.25">
      <c r="A829" t="str">
        <f>"20190312154229325"</f>
        <v>20190312154229325</v>
      </c>
      <c r="B829" t="str">
        <f>"1552376549318203"</f>
        <v>1552376549318203</v>
      </c>
      <c r="C829" t="s">
        <v>40</v>
      </c>
      <c r="D829">
        <v>3.7187649999999999</v>
      </c>
      <c r="E829">
        <v>0.53005829999999998</v>
      </c>
      <c r="F829" t="s">
        <v>43</v>
      </c>
      <c r="G829">
        <v>-238.65289999999999</v>
      </c>
      <c r="H829" s="1">
        <v>-1.545368E-6</v>
      </c>
      <c r="I829">
        <v>365.47890000000001</v>
      </c>
      <c r="J829">
        <v>-264.69099999999997</v>
      </c>
      <c r="K829">
        <v>1.1103379999999901</v>
      </c>
      <c r="L829">
        <v>368.25189999999998</v>
      </c>
      <c r="M829">
        <v>0.99988949999999999</v>
      </c>
      <c r="N829">
        <v>0</v>
      </c>
      <c r="O829">
        <v>3.6213949999999999E-3</v>
      </c>
      <c r="P829">
        <v>0.9996254</v>
      </c>
      <c r="Q829">
        <v>1.433718E-2</v>
      </c>
      <c r="R829">
        <v>-2.3313850000000001E-2</v>
      </c>
      <c r="S829">
        <v>2.995422</v>
      </c>
      <c r="T829">
        <v>-0.1221087</v>
      </c>
      <c r="U829">
        <v>-0.30450440000000001</v>
      </c>
      <c r="V829">
        <v>2.6941440000000001E-2</v>
      </c>
      <c r="W829">
        <v>2.8743899999999999E-2</v>
      </c>
      <c r="X829">
        <v>0.99922359999999999</v>
      </c>
      <c r="Y829">
        <v>0.1046489</v>
      </c>
      <c r="Z829">
        <v>-2.2738599999999999E-3</v>
      </c>
      <c r="AA829">
        <v>0.99450669999999997</v>
      </c>
      <c r="AB829">
        <v>34</v>
      </c>
      <c r="AC829">
        <v>26.038099999999901</v>
      </c>
      <c r="AD829">
        <v>-1.1103395453679901</v>
      </c>
      <c r="AE829">
        <v>-2.7729999999999602</v>
      </c>
      <c r="AF829">
        <v>2.8621396691122101</v>
      </c>
      <c r="AG829">
        <v>-1.1103395453679901</v>
      </c>
      <c r="AH829">
        <v>25.981171326600499</v>
      </c>
      <c r="AI829">
        <v>92.432424237525893</v>
      </c>
      <c r="AJ829">
        <v>83.713526642232395</v>
      </c>
      <c r="AK829">
        <v>26.161918142477301</v>
      </c>
      <c r="AL829">
        <v>88.352868858145399</v>
      </c>
      <c r="AM829">
        <v>88.455543972814198</v>
      </c>
      <c r="AN829">
        <v>0.99999992788671899</v>
      </c>
    </row>
    <row r="830" spans="1:40" x14ac:dyDescent="0.25">
      <c r="A830" t="str">
        <f>"20190312154229335"</f>
        <v>20190312154229335</v>
      </c>
      <c r="B830" t="str">
        <f>"1552376549327964"</f>
        <v>1552376549327964</v>
      </c>
      <c r="C830" t="s">
        <v>40</v>
      </c>
      <c r="D830">
        <v>4.293863</v>
      </c>
      <c r="E830">
        <v>0.54723719999999998</v>
      </c>
      <c r="F830" t="s">
        <v>43</v>
      </c>
      <c r="G830">
        <v>-235.63419999999999</v>
      </c>
      <c r="H830" s="1">
        <v>-2.6223720000000002E-6</v>
      </c>
      <c r="I830">
        <v>365.29199999999997</v>
      </c>
      <c r="J830">
        <v>-264.53640000000001</v>
      </c>
      <c r="K830">
        <v>1.1103430000000001</v>
      </c>
      <c r="L830">
        <v>368.2525</v>
      </c>
      <c r="M830">
        <v>0.99988960000000005</v>
      </c>
      <c r="N830">
        <v>0</v>
      </c>
      <c r="O830">
        <v>3.5786170000000001E-3</v>
      </c>
      <c r="P830">
        <v>0.99962830000000003</v>
      </c>
      <c r="Q830">
        <v>1.4051660000000001E-2</v>
      </c>
      <c r="R830">
        <v>-2.3370680000000001E-2</v>
      </c>
      <c r="S830">
        <v>2.9956049999999999</v>
      </c>
      <c r="T830">
        <v>-0.1144699</v>
      </c>
      <c r="U830">
        <v>-0.30514530000000001</v>
      </c>
      <c r="V830">
        <v>2.6955159999999999E-2</v>
      </c>
      <c r="W830">
        <v>2.8464110000000001E-2</v>
      </c>
      <c r="X830">
        <v>0.99923130000000004</v>
      </c>
      <c r="Y830">
        <v>0.1048215</v>
      </c>
      <c r="Z830">
        <v>-2.1332259999999998E-3</v>
      </c>
      <c r="AA830">
        <v>0.99448879999999995</v>
      </c>
      <c r="AB830">
        <v>34</v>
      </c>
      <c r="AC830">
        <v>28.902200000000001</v>
      </c>
      <c r="AD830">
        <v>-1.1103456223720001</v>
      </c>
      <c r="AE830">
        <v>-2.9605000000000201</v>
      </c>
      <c r="AF830">
        <v>3.0594531635217899</v>
      </c>
      <c r="AG830">
        <v>-1.1103456223720001</v>
      </c>
      <c r="AH830">
        <v>28.849282975224799</v>
      </c>
      <c r="AI830">
        <v>92.191822366177306</v>
      </c>
      <c r="AJ830">
        <v>83.946435142059997</v>
      </c>
      <c r="AK830">
        <v>29.032296658127098</v>
      </c>
      <c r="AL830">
        <v>88.368906306620701</v>
      </c>
      <c r="AM830">
        <v>88.454769737452196</v>
      </c>
      <c r="AN830">
        <v>0.99999998855420302</v>
      </c>
    </row>
    <row r="831" spans="1:40" x14ac:dyDescent="0.25">
      <c r="A831" t="str">
        <f>"20190312154229346"</f>
        <v>20190312154229346</v>
      </c>
      <c r="B831" t="str">
        <f>"1552376549338699"</f>
        <v>1552376549338699</v>
      </c>
      <c r="C831" t="s">
        <v>40</v>
      </c>
      <c r="D831">
        <v>4.5286879999999998</v>
      </c>
      <c r="E831">
        <v>0.54307859999999997</v>
      </c>
      <c r="F831" t="s">
        <v>41</v>
      </c>
      <c r="G831">
        <v>-263.71230000000003</v>
      </c>
      <c r="H831">
        <v>0.83736049999999995</v>
      </c>
      <c r="I831">
        <v>368.13799999999998</v>
      </c>
      <c r="J831">
        <v>-264.36160000000001</v>
      </c>
      <c r="K831">
        <v>1.110347</v>
      </c>
      <c r="L831">
        <v>368.25310000000002</v>
      </c>
      <c r="M831">
        <v>0.99988969999999999</v>
      </c>
      <c r="N831">
        <v>0</v>
      </c>
      <c r="O831">
        <v>3.5302910000000001E-3</v>
      </c>
      <c r="P831">
        <v>0.99962070000000003</v>
      </c>
      <c r="Q831">
        <v>1.4184189999999999E-2</v>
      </c>
      <c r="R831">
        <v>-2.3612060000000001E-2</v>
      </c>
      <c r="S831">
        <v>3.0053709999999998</v>
      </c>
      <c r="T831">
        <v>-0.99544489999999997</v>
      </c>
      <c r="U831">
        <v>-0.41668699999999997</v>
      </c>
      <c r="V831">
        <v>2.714838E-2</v>
      </c>
      <c r="W831">
        <v>2.8603770000000001E-2</v>
      </c>
      <c r="X831">
        <v>0.9992221</v>
      </c>
      <c r="Y831">
        <v>0.13363559999999999</v>
      </c>
      <c r="Z831">
        <v>-2.259481E-2</v>
      </c>
      <c r="AA831">
        <v>0.99077289999999996</v>
      </c>
      <c r="AB831">
        <v>33</v>
      </c>
      <c r="AC831">
        <v>0.649299999999982</v>
      </c>
      <c r="AD831">
        <v>-0.27298649999999902</v>
      </c>
      <c r="AE831">
        <v>-0.11509999999998401</v>
      </c>
      <c r="AF831">
        <v>0.1002168109123</v>
      </c>
      <c r="AG831">
        <v>-0.27298649999999902</v>
      </c>
      <c r="AH831">
        <v>0.55395417303401895</v>
      </c>
      <c r="AI831">
        <v>115.869883441743</v>
      </c>
      <c r="AJ831">
        <v>79.745435142684897</v>
      </c>
      <c r="AK831">
        <v>0.62564387968994495</v>
      </c>
      <c r="AL831">
        <v>88.360901149764601</v>
      </c>
      <c r="AM831">
        <v>88.443684322587202</v>
      </c>
      <c r="AN831">
        <v>1.00000000766162</v>
      </c>
    </row>
    <row r="832" spans="1:40" x14ac:dyDescent="0.25">
      <c r="A832" t="str">
        <f>"20190312154229359"</f>
        <v>20190312154229359</v>
      </c>
      <c r="B832" t="str">
        <f>"1552376549348458"</f>
        <v>1552376549348458</v>
      </c>
      <c r="C832" t="s">
        <v>40</v>
      </c>
      <c r="D832">
        <v>4.6865019999999999</v>
      </c>
      <c r="E832">
        <v>0.53899949999999996</v>
      </c>
      <c r="F832" t="s">
        <v>41</v>
      </c>
      <c r="G832">
        <v>-263.68439999999998</v>
      </c>
      <c r="H832">
        <v>0.90660439999999998</v>
      </c>
      <c r="I832">
        <v>368.16559999999998</v>
      </c>
      <c r="J832">
        <v>-264.1902</v>
      </c>
      <c r="K832">
        <v>1.1103529999999999</v>
      </c>
      <c r="L832">
        <v>368.25360000000001</v>
      </c>
      <c r="M832">
        <v>0.99988980000000005</v>
      </c>
      <c r="N832">
        <v>0</v>
      </c>
      <c r="O832">
        <v>3.4832800000000001E-3</v>
      </c>
      <c r="P832">
        <v>0.99961699999999998</v>
      </c>
      <c r="Q832">
        <v>1.454809E-2</v>
      </c>
      <c r="R832">
        <v>-2.3541159999999998E-2</v>
      </c>
      <c r="S832">
        <v>3.0048219999999999</v>
      </c>
      <c r="T832">
        <v>-0.90399119999999999</v>
      </c>
      <c r="U832">
        <v>-0.38720700000000002</v>
      </c>
      <c r="V832">
        <v>2.7030680000000001E-2</v>
      </c>
      <c r="W832">
        <v>2.8973160000000001E-2</v>
      </c>
      <c r="X832">
        <v>0.99921459999999995</v>
      </c>
      <c r="Y832">
        <v>0.12563369999999999</v>
      </c>
      <c r="Z832">
        <v>-1.943903E-2</v>
      </c>
      <c r="AA832">
        <v>0.9918863</v>
      </c>
      <c r="AB832">
        <v>33</v>
      </c>
      <c r="AC832">
        <v>0.50580000000002201</v>
      </c>
      <c r="AD832">
        <v>-0.2037486</v>
      </c>
      <c r="AE832">
        <v>-8.8000000000022199E-2</v>
      </c>
      <c r="AF832">
        <v>7.7547722247956002E-2</v>
      </c>
      <c r="AG832">
        <v>-0.2037486</v>
      </c>
      <c r="AH832">
        <v>0.43670872362002899</v>
      </c>
      <c r="AI832">
        <v>114.672567782808</v>
      </c>
      <c r="AJ832">
        <v>79.930770254034996</v>
      </c>
      <c r="AK832">
        <v>0.48810004150137198</v>
      </c>
      <c r="AL832">
        <v>88.339727805663102</v>
      </c>
      <c r="AM832">
        <v>88.450416703846699</v>
      </c>
      <c r="AN832">
        <v>0.99999995925740304</v>
      </c>
    </row>
    <row r="833" spans="1:40" x14ac:dyDescent="0.25">
      <c r="A833" t="str">
        <f>"20190312154229371"</f>
        <v>20190312154229371</v>
      </c>
      <c r="B833" t="str">
        <f>"1552376549367979"</f>
        <v>1552376549367979</v>
      </c>
      <c r="C833" t="s">
        <v>40</v>
      </c>
      <c r="D833">
        <v>4.9204999999999997</v>
      </c>
      <c r="E833">
        <v>0.53414859999999997</v>
      </c>
      <c r="F833" t="s">
        <v>41</v>
      </c>
      <c r="G833">
        <v>-263.39120000000003</v>
      </c>
      <c r="H833">
        <v>0.89347339999999997</v>
      </c>
      <c r="I833">
        <v>368.15839999999997</v>
      </c>
      <c r="J833">
        <v>-264.00409999999999</v>
      </c>
      <c r="K833">
        <v>1.1103609999999999</v>
      </c>
      <c r="L833">
        <v>368.25420000000003</v>
      </c>
      <c r="M833">
        <v>0.9998899</v>
      </c>
      <c r="N833">
        <v>0</v>
      </c>
      <c r="O833">
        <v>3.4320370000000002E-3</v>
      </c>
      <c r="P833">
        <v>0.99960709999999997</v>
      </c>
      <c r="Q833">
        <v>1.530773E-2</v>
      </c>
      <c r="R833">
        <v>-2.3484720000000001E-2</v>
      </c>
      <c r="S833">
        <v>3.0046080000000002</v>
      </c>
      <c r="T833">
        <v>-0.81557109999999899</v>
      </c>
      <c r="U833">
        <v>-0.3572998</v>
      </c>
      <c r="V833">
        <v>2.6923099999999998E-2</v>
      </c>
      <c r="W833">
        <v>2.9739109999999999E-2</v>
      </c>
      <c r="X833">
        <v>0.99919500000000006</v>
      </c>
      <c r="Y833">
        <v>0.1171876</v>
      </c>
      <c r="Z833">
        <v>-1.6482190000000001E-2</v>
      </c>
      <c r="AA833">
        <v>0.99297299999999999</v>
      </c>
      <c r="AB833">
        <v>33</v>
      </c>
      <c r="AC833">
        <v>0.61289999999996703</v>
      </c>
      <c r="AD833">
        <v>-0.21688760000000001</v>
      </c>
      <c r="AE833">
        <v>-9.58000000000538E-2</v>
      </c>
      <c r="AF833">
        <v>8.7239182518069697E-2</v>
      </c>
      <c r="AG833">
        <v>-0.21688760000000001</v>
      </c>
      <c r="AH833">
        <v>0.54584447492397103</v>
      </c>
      <c r="AI833">
        <v>111.423234607353</v>
      </c>
      <c r="AJ833">
        <v>80.919541864339905</v>
      </c>
      <c r="AK833">
        <v>0.59379886898276102</v>
      </c>
      <c r="AL833">
        <v>88.295823176136494</v>
      </c>
      <c r="AM833">
        <v>88.456550674885705</v>
      </c>
      <c r="AN833">
        <v>0.99999995800109998</v>
      </c>
    </row>
    <row r="834" spans="1:40" x14ac:dyDescent="0.25">
      <c r="A834" t="str">
        <f>"20190312154229382"</f>
        <v>20190312154229382</v>
      </c>
      <c r="B834" t="str">
        <f>"1552376549377740"</f>
        <v>1552376549377740</v>
      </c>
      <c r="C834" t="s">
        <v>40</v>
      </c>
      <c r="D834">
        <v>4.8961480000000002</v>
      </c>
      <c r="E834">
        <v>0.53414859999999997</v>
      </c>
      <c r="F834" t="s">
        <v>41</v>
      </c>
      <c r="G834">
        <v>-263.08580000000001</v>
      </c>
      <c r="H834">
        <v>0.90951159999999998</v>
      </c>
      <c r="I834">
        <v>368.15550000000002</v>
      </c>
      <c r="J834">
        <v>-263.82369999999997</v>
      </c>
      <c r="K834">
        <v>1.110374</v>
      </c>
      <c r="L834">
        <v>368.25479999999999</v>
      </c>
      <c r="M834">
        <v>0.9998899</v>
      </c>
      <c r="N834">
        <v>0</v>
      </c>
      <c r="O834">
        <v>3.3825309999999998E-3</v>
      </c>
      <c r="P834">
        <v>0.99959799999999999</v>
      </c>
      <c r="Q834">
        <v>1.6268520000000002E-2</v>
      </c>
      <c r="R834">
        <v>-2.3228289999999999E-2</v>
      </c>
      <c r="S834">
        <v>3.0036619999999998</v>
      </c>
      <c r="T834">
        <v>-0.6570262</v>
      </c>
      <c r="U834">
        <v>-0.32247920000000002</v>
      </c>
      <c r="V834">
        <v>2.66173E-2</v>
      </c>
      <c r="W834">
        <v>3.0704740000000001E-2</v>
      </c>
      <c r="X834">
        <v>0.99917400000000001</v>
      </c>
      <c r="Y834">
        <v>0.10751860000000001</v>
      </c>
      <c r="Z834">
        <v>-1.2319190000000001E-2</v>
      </c>
      <c r="AA834">
        <v>0.99412670000000003</v>
      </c>
      <c r="AB834">
        <v>33</v>
      </c>
      <c r="AC834">
        <v>0.73789999999996703</v>
      </c>
      <c r="AD834">
        <v>-0.2008624</v>
      </c>
      <c r="AE834">
        <v>-9.9299999999970995E-2</v>
      </c>
      <c r="AF834">
        <v>9.4889659567592197E-2</v>
      </c>
      <c r="AG834">
        <v>-0.2008624</v>
      </c>
      <c r="AH834">
        <v>0.68752245833112702</v>
      </c>
      <c r="AI834">
        <v>106.140999057786</v>
      </c>
      <c r="AJ834">
        <v>82.141863682248498</v>
      </c>
      <c r="AK834">
        <v>0.72252119826084704</v>
      </c>
      <c r="AL834">
        <v>88.240471388744098</v>
      </c>
      <c r="AM834">
        <v>88.474041206451503</v>
      </c>
      <c r="AN834">
        <v>0.99999997199687796</v>
      </c>
    </row>
    <row r="835" spans="1:40" x14ac:dyDescent="0.25">
      <c r="A835" t="str">
        <f>"20190312154229396"</f>
        <v>20190312154229396</v>
      </c>
      <c r="B835" t="str">
        <f>"1552376549388474"</f>
        <v>1552376549388474</v>
      </c>
      <c r="C835" t="s">
        <v>40</v>
      </c>
      <c r="D835">
        <v>4.9645679999999999</v>
      </c>
      <c r="E835">
        <v>0.52455229999999997</v>
      </c>
      <c r="F835" t="s">
        <v>41</v>
      </c>
      <c r="G835">
        <v>-263.06880000000001</v>
      </c>
      <c r="H835">
        <v>0.94603490000000001</v>
      </c>
      <c r="I835">
        <v>368.1737</v>
      </c>
      <c r="J835">
        <v>-263.64269999999999</v>
      </c>
      <c r="K835">
        <v>1.1103809999999901</v>
      </c>
      <c r="L835">
        <v>368.25540000000001</v>
      </c>
      <c r="M835">
        <v>0.9998899</v>
      </c>
      <c r="N835">
        <v>0</v>
      </c>
      <c r="O835">
        <v>3.332851E-3</v>
      </c>
      <c r="P835">
        <v>0.99958849999999999</v>
      </c>
      <c r="Q835">
        <v>1.700838E-2</v>
      </c>
      <c r="R835">
        <v>-2.310166E-2</v>
      </c>
      <c r="S835">
        <v>3.0043639999999998</v>
      </c>
      <c r="T835">
        <v>-0.65411350000000001</v>
      </c>
      <c r="U835">
        <v>-0.32208249999999999</v>
      </c>
      <c r="V835">
        <v>2.6441079999999999E-2</v>
      </c>
      <c r="W835">
        <v>3.1448730000000001E-2</v>
      </c>
      <c r="X835">
        <v>0.99915560000000003</v>
      </c>
      <c r="Y835">
        <v>0.1073438</v>
      </c>
      <c r="Z835">
        <v>-1.223369E-2</v>
      </c>
      <c r="AA835">
        <v>0.99414669999999905</v>
      </c>
      <c r="AB835">
        <v>33</v>
      </c>
      <c r="AC835">
        <v>0.57389999999997998</v>
      </c>
      <c r="AD835">
        <v>-0.164346099999999</v>
      </c>
      <c r="AE835">
        <v>-8.1700000000012096E-2</v>
      </c>
      <c r="AF835">
        <v>7.7391923280135E-2</v>
      </c>
      <c r="AG835">
        <v>-0.164346099999999</v>
      </c>
      <c r="AH835">
        <v>0.53094834830205895</v>
      </c>
      <c r="AI835">
        <v>107.029636107835</v>
      </c>
      <c r="AJ835">
        <v>81.706875007301406</v>
      </c>
      <c r="AK835">
        <v>0.56116423526352199</v>
      </c>
      <c r="AL835">
        <v>88.197823410887693</v>
      </c>
      <c r="AM835">
        <v>88.484111194411796</v>
      </c>
      <c r="AN835">
        <v>1.0000000331707599</v>
      </c>
    </row>
    <row r="836" spans="1:40" x14ac:dyDescent="0.25">
      <c r="A836" t="str">
        <f>"20190312154229408"</f>
        <v>20190312154229408</v>
      </c>
      <c r="B836" t="str">
        <f>"1552376549398237"</f>
        <v>1552376549398237</v>
      </c>
      <c r="C836" t="s">
        <v>40</v>
      </c>
      <c r="D836">
        <v>4.8785040000000004</v>
      </c>
      <c r="E836">
        <v>0.52444329999999995</v>
      </c>
      <c r="F836" t="s">
        <v>42</v>
      </c>
      <c r="G836">
        <v>-155.54640000000001</v>
      </c>
      <c r="H836">
        <v>-0.05</v>
      </c>
      <c r="I836">
        <v>358.76310000000001</v>
      </c>
      <c r="J836">
        <v>-263.4393</v>
      </c>
      <c r="K836">
        <v>1.1103879999999999</v>
      </c>
      <c r="L836">
        <v>368.25599999999997</v>
      </c>
      <c r="M836">
        <v>0.99989019999999995</v>
      </c>
      <c r="N836">
        <v>0</v>
      </c>
      <c r="O836">
        <v>3.2766140000000002E-3</v>
      </c>
      <c r="P836">
        <v>0.99958000000000002</v>
      </c>
      <c r="Q836">
        <v>1.78368E-2</v>
      </c>
      <c r="R836">
        <v>-2.2846120000000001E-2</v>
      </c>
      <c r="S836">
        <v>2.9956969999999998</v>
      </c>
      <c r="T836">
        <v>-3.2157900000000003E-2</v>
      </c>
      <c r="U836">
        <v>-0.2630615</v>
      </c>
      <c r="V836">
        <v>2.6129659999999999E-2</v>
      </c>
      <c r="W836">
        <v>3.2281339999999999E-2</v>
      </c>
      <c r="X836">
        <v>0.99913719999999995</v>
      </c>
      <c r="Y836">
        <v>9.0735070000000001E-2</v>
      </c>
      <c r="Z836">
        <v>-5.2116739999999895E-4</v>
      </c>
      <c r="AA836">
        <v>0.99587490000000001</v>
      </c>
      <c r="AB836">
        <v>33</v>
      </c>
      <c r="AC836">
        <v>107.8929</v>
      </c>
      <c r="AD836">
        <v>-1.160388</v>
      </c>
      <c r="AE836">
        <v>-9.4928999999999597</v>
      </c>
      <c r="AF836">
        <v>9.8452792844309602</v>
      </c>
      <c r="AG836">
        <v>-1.160388</v>
      </c>
      <c r="AH836">
        <v>107.848833835138</v>
      </c>
      <c r="AI836">
        <v>90.613891612801694</v>
      </c>
      <c r="AJ836">
        <v>84.784053089742002</v>
      </c>
      <c r="AK836">
        <v>108.303494791711</v>
      </c>
      <c r="AL836">
        <v>88.150094062211593</v>
      </c>
      <c r="AM836">
        <v>88.501929399238705</v>
      </c>
      <c r="AN836">
        <v>0.99999999423387498</v>
      </c>
    </row>
    <row r="837" spans="1:40" x14ac:dyDescent="0.25">
      <c r="A837" t="str">
        <f>"20190312154229423"</f>
        <v>20190312154229423</v>
      </c>
      <c r="B837" t="str">
        <f>"1552376549418732"</f>
        <v>1552376549418732</v>
      </c>
      <c r="C837" t="s">
        <v>40</v>
      </c>
      <c r="D837">
        <v>4.8531769999999996</v>
      </c>
      <c r="E837">
        <v>0.52265850000000003</v>
      </c>
      <c r="F837" t="s">
        <v>42</v>
      </c>
      <c r="G837">
        <v>-151.62889999999999</v>
      </c>
      <c r="H837">
        <v>-0.05</v>
      </c>
      <c r="I837">
        <v>358.50749999999999</v>
      </c>
      <c r="J837">
        <v>-263.21949999999998</v>
      </c>
      <c r="K837">
        <v>1.1104039999999999</v>
      </c>
      <c r="L837">
        <v>368.25659999999999</v>
      </c>
      <c r="M837">
        <v>0.99989039999999996</v>
      </c>
      <c r="N837">
        <v>0</v>
      </c>
      <c r="O837">
        <v>3.2160299999999999E-3</v>
      </c>
      <c r="P837">
        <v>0.99955329999999998</v>
      </c>
      <c r="Q837">
        <v>1.9483299999999999E-2</v>
      </c>
      <c r="R837">
        <v>-2.267448E-2</v>
      </c>
      <c r="S837">
        <v>2.9958499999999999</v>
      </c>
      <c r="T837">
        <v>-3.109145E-2</v>
      </c>
      <c r="U837">
        <v>-0.26119999999999999</v>
      </c>
      <c r="V837">
        <v>2.5897509999999999E-2</v>
      </c>
      <c r="W837">
        <v>3.3931719999999999E-2</v>
      </c>
      <c r="X837">
        <v>0.99908859999999999</v>
      </c>
      <c r="Y837">
        <v>9.0056549999999999E-2</v>
      </c>
      <c r="Z837">
        <v>-4.9973110000000004E-4</v>
      </c>
      <c r="AA837">
        <v>0.9959365</v>
      </c>
      <c r="AB837">
        <v>33</v>
      </c>
      <c r="AC837">
        <v>111.59059999999999</v>
      </c>
      <c r="AD837">
        <v>-1.160404</v>
      </c>
      <c r="AE837">
        <v>-9.7491000000000003</v>
      </c>
      <c r="AF837">
        <v>10.106881149483099</v>
      </c>
      <c r="AG837">
        <v>-1.160404</v>
      </c>
      <c r="AH837">
        <v>111.546695473973</v>
      </c>
      <c r="AI837">
        <v>90.593586742740399</v>
      </c>
      <c r="AJ837">
        <v>84.822753650593697</v>
      </c>
      <c r="AK837">
        <v>112.00964625949101</v>
      </c>
      <c r="AL837">
        <v>88.055482461381402</v>
      </c>
      <c r="AM837">
        <v>88.515160889180706</v>
      </c>
      <c r="AN837">
        <v>1.0000000366481501</v>
      </c>
    </row>
    <row r="838" spans="1:40" x14ac:dyDescent="0.25">
      <c r="A838" t="str">
        <f>"20190312154229438"</f>
        <v>20190312154229438</v>
      </c>
      <c r="B838" t="str">
        <f>"1552376549428491"</f>
        <v>1552376549428491</v>
      </c>
      <c r="C838" t="s">
        <v>40</v>
      </c>
      <c r="D838">
        <v>4.9106189999999996</v>
      </c>
      <c r="E838">
        <v>0.52181889999999997</v>
      </c>
      <c r="F838" t="s">
        <v>46</v>
      </c>
      <c r="G838">
        <v>-158.19499999999999</v>
      </c>
      <c r="H838">
        <v>0.4446697</v>
      </c>
      <c r="I838">
        <v>359.61520000000002</v>
      </c>
      <c r="J838">
        <v>-263.01</v>
      </c>
      <c r="K838">
        <v>1.1104149999999999</v>
      </c>
      <c r="L838">
        <v>368.25720000000001</v>
      </c>
      <c r="M838">
        <v>0.99989030000000001</v>
      </c>
      <c r="N838">
        <v>0</v>
      </c>
      <c r="O838">
        <v>3.1579580000000002E-3</v>
      </c>
      <c r="P838">
        <v>0.99953689999999995</v>
      </c>
      <c r="Q838">
        <v>2.062756E-2</v>
      </c>
      <c r="R838">
        <v>-2.2372079999999999E-2</v>
      </c>
      <c r="S838">
        <v>2.996124</v>
      </c>
      <c r="T838">
        <v>-1.898944E-2</v>
      </c>
      <c r="U838">
        <v>-0.24652099999999999</v>
      </c>
      <c r="V838">
        <v>2.5537500000000001E-2</v>
      </c>
      <c r="W838">
        <v>3.5079260000000001E-2</v>
      </c>
      <c r="X838">
        <v>0.99905820000000001</v>
      </c>
      <c r="Y838">
        <v>8.5148349999999998E-2</v>
      </c>
      <c r="Z838">
        <v>-2.8936130000000002E-4</v>
      </c>
      <c r="AA838">
        <v>0.99636820000000004</v>
      </c>
      <c r="AB838">
        <v>33</v>
      </c>
      <c r="AC838">
        <v>104.815</v>
      </c>
      <c r="AD838">
        <v>-0.66574529999999998</v>
      </c>
      <c r="AE838">
        <v>-8.6419999999999906</v>
      </c>
      <c r="AF838">
        <v>8.9726333906657008</v>
      </c>
      <c r="AG838">
        <v>-0.66574529999999998</v>
      </c>
      <c r="AH838">
        <v>104.782984585785</v>
      </c>
      <c r="AI838">
        <v>90.362700145728297</v>
      </c>
      <c r="AJ838">
        <v>85.105665520416295</v>
      </c>
      <c r="AK838">
        <v>105.16855625838301</v>
      </c>
      <c r="AL838">
        <v>87.989694016614095</v>
      </c>
      <c r="AM838">
        <v>88.535748553892603</v>
      </c>
      <c r="AN838">
        <v>1.00000000268781</v>
      </c>
    </row>
    <row r="839" spans="1:40" x14ac:dyDescent="0.25">
      <c r="A839" t="str">
        <f>"20190312154229453"</f>
        <v>20190312154229453</v>
      </c>
      <c r="B839" t="str">
        <f>"1552376549448011"</f>
        <v>1552376549448011</v>
      </c>
      <c r="C839" t="s">
        <v>40</v>
      </c>
      <c r="D839">
        <v>4.8908189999999996</v>
      </c>
      <c r="E839">
        <v>0.52111169999999996</v>
      </c>
      <c r="F839" t="s">
        <v>46</v>
      </c>
      <c r="G839">
        <v>-158.19499999999999</v>
      </c>
      <c r="H839">
        <v>0.41355799999999998</v>
      </c>
      <c r="I839">
        <v>359.89870000000002</v>
      </c>
      <c r="J839">
        <v>-262.79610000000002</v>
      </c>
      <c r="K839">
        <v>1.11042</v>
      </c>
      <c r="L839">
        <v>368.25779999999997</v>
      </c>
      <c r="M839">
        <v>0.99989050000000002</v>
      </c>
      <c r="N839">
        <v>0</v>
      </c>
      <c r="O839">
        <v>3.0983389999999999E-3</v>
      </c>
      <c r="P839">
        <v>0.99951730000000005</v>
      </c>
      <c r="Q839">
        <v>2.189617E-2</v>
      </c>
      <c r="R839">
        <v>-2.2047629999999999E-2</v>
      </c>
      <c r="S839">
        <v>2.996429</v>
      </c>
      <c r="T839">
        <v>-1.9919039999999999E-2</v>
      </c>
      <c r="U839">
        <v>-0.23895259999999999</v>
      </c>
      <c r="V839">
        <v>2.5153660000000001E-2</v>
      </c>
      <c r="W839">
        <v>3.6351130000000002E-2</v>
      </c>
      <c r="X839">
        <v>0.99902250000000004</v>
      </c>
      <c r="Y839">
        <v>8.2580020000000004E-2</v>
      </c>
      <c r="Z839">
        <v>-2.9460750000000001E-4</v>
      </c>
      <c r="AA839">
        <v>0.99658440000000004</v>
      </c>
      <c r="AB839">
        <v>33</v>
      </c>
      <c r="AC839">
        <v>104.6011</v>
      </c>
      <c r="AD839">
        <v>-0.69686199999999998</v>
      </c>
      <c r="AE839">
        <v>-8.35909999999995</v>
      </c>
      <c r="AF839">
        <v>8.6828005450747305</v>
      </c>
      <c r="AG839">
        <v>-0.69686199999999998</v>
      </c>
      <c r="AH839">
        <v>104.57008405689599</v>
      </c>
      <c r="AI839">
        <v>90.380507816383201</v>
      </c>
      <c r="AJ839">
        <v>85.253430066808093</v>
      </c>
      <c r="AK839">
        <v>104.932259680323</v>
      </c>
      <c r="AL839">
        <v>87.916774770891195</v>
      </c>
      <c r="AM839">
        <v>88.557696021817307</v>
      </c>
      <c r="AN839">
        <v>1.0000000333849599</v>
      </c>
    </row>
    <row r="840" spans="1:40" x14ac:dyDescent="0.25">
      <c r="A840" t="str">
        <f>"20190312154229467"</f>
        <v>20190312154229467</v>
      </c>
      <c r="B840" t="str">
        <f>"1552376549457772"</f>
        <v>1552376549457772</v>
      </c>
      <c r="C840" t="s">
        <v>40</v>
      </c>
      <c r="D840">
        <v>4.8947890000000003</v>
      </c>
      <c r="E840">
        <v>0.52037639999999996</v>
      </c>
      <c r="F840" t="s">
        <v>46</v>
      </c>
      <c r="G840">
        <v>-158.19499999999999</v>
      </c>
      <c r="H840">
        <v>0.31045820000000002</v>
      </c>
      <c r="I840">
        <v>360.15170000000001</v>
      </c>
      <c r="J840">
        <v>-262.56659999999999</v>
      </c>
      <c r="K840">
        <v>1.1104320000000001</v>
      </c>
      <c r="L840">
        <v>368.25850000000003</v>
      </c>
      <c r="M840">
        <v>0.99989079999999997</v>
      </c>
      <c r="N840">
        <v>0</v>
      </c>
      <c r="O840">
        <v>3.0346660000000001E-3</v>
      </c>
      <c r="P840">
        <v>0.99948130000000002</v>
      </c>
      <c r="Q840">
        <v>2.414208E-2</v>
      </c>
      <c r="R840">
        <v>-2.1315359999999998E-2</v>
      </c>
      <c r="S840">
        <v>2.9967959999999998</v>
      </c>
      <c r="T840">
        <v>-2.2916200000000001E-2</v>
      </c>
      <c r="U840">
        <v>-0.2322388</v>
      </c>
      <c r="V840">
        <v>2.435828E-2</v>
      </c>
      <c r="W840">
        <v>3.8599260000000003E-2</v>
      </c>
      <c r="X840">
        <v>0.99895780000000001</v>
      </c>
      <c r="Y840">
        <v>8.028718E-2</v>
      </c>
      <c r="Z840">
        <v>-3.2968389999999998E-4</v>
      </c>
      <c r="AA840">
        <v>0.99677170000000004</v>
      </c>
      <c r="AB840">
        <v>33</v>
      </c>
      <c r="AC840">
        <v>104.3716</v>
      </c>
      <c r="AD840">
        <v>-0.79997379999999896</v>
      </c>
      <c r="AE840">
        <v>-8.1068000000000193</v>
      </c>
      <c r="AF840">
        <v>8.4230368794973405</v>
      </c>
      <c r="AG840">
        <v>-0.79997379999999896</v>
      </c>
      <c r="AH840">
        <v>104.340422360978</v>
      </c>
      <c r="AI840">
        <v>90.437851502437297</v>
      </c>
      <c r="AJ840">
        <v>85.384720583668596</v>
      </c>
      <c r="AK840">
        <v>104.682908093066</v>
      </c>
      <c r="AL840">
        <v>87.787875675015997</v>
      </c>
      <c r="AM840">
        <v>88.603194106740006</v>
      </c>
      <c r="AN840">
        <v>0.99999995742897196</v>
      </c>
    </row>
    <row r="841" spans="1:40" x14ac:dyDescent="0.25">
      <c r="A841" t="str">
        <f>"20190312154229481"</f>
        <v>20190312154229481</v>
      </c>
      <c r="B841" t="str">
        <f>"1552376549478267"</f>
        <v>1552376549478267</v>
      </c>
      <c r="C841" t="s">
        <v>40</v>
      </c>
      <c r="D841">
        <v>4.9329179999999999</v>
      </c>
      <c r="E841">
        <v>0.51902899999999996</v>
      </c>
      <c r="F841" t="s">
        <v>46</v>
      </c>
      <c r="G841">
        <v>-158.19499999999999</v>
      </c>
      <c r="H841">
        <v>0.28700350000000002</v>
      </c>
      <c r="I841">
        <v>360.46719999999999</v>
      </c>
      <c r="J841">
        <v>-262.37209999999999</v>
      </c>
      <c r="K841">
        <v>1.11043799999999</v>
      </c>
      <c r="L841">
        <v>368.25909999999999</v>
      </c>
      <c r="M841">
        <v>0.99989079999999997</v>
      </c>
      <c r="N841">
        <v>0</v>
      </c>
      <c r="O841">
        <v>2.981128E-3</v>
      </c>
      <c r="P841">
        <v>0.99948789999999998</v>
      </c>
      <c r="Q841">
        <v>2.416631E-2</v>
      </c>
      <c r="R841">
        <v>-2.097802E-2</v>
      </c>
      <c r="S841">
        <v>2.9973749999999999</v>
      </c>
      <c r="T841">
        <v>-2.364492E-2</v>
      </c>
      <c r="U841">
        <v>-0.22375490000000001</v>
      </c>
      <c r="V841">
        <v>2.3967329999999998E-2</v>
      </c>
      <c r="W841">
        <v>3.8625939999999997E-2</v>
      </c>
      <c r="X841">
        <v>0.99896629999999997</v>
      </c>
      <c r="Y841">
        <v>7.7413499999999996E-2</v>
      </c>
      <c r="Z841">
        <v>-3.2839780000000002E-4</v>
      </c>
      <c r="AA841">
        <v>0.99699899999999997</v>
      </c>
      <c r="AB841">
        <v>33</v>
      </c>
      <c r="AC841">
        <v>104.1771</v>
      </c>
      <c r="AD841">
        <v>-0.82343449999999896</v>
      </c>
      <c r="AE841">
        <v>-7.7918999999999903</v>
      </c>
      <c r="AF841">
        <v>8.1019598130780395</v>
      </c>
      <c r="AG841">
        <v>-0.82343449999999896</v>
      </c>
      <c r="AH841">
        <v>104.14693540773401</v>
      </c>
      <c r="AI841">
        <v>90.451633368998401</v>
      </c>
      <c r="AJ841">
        <v>85.551716910690004</v>
      </c>
      <c r="AK841">
        <v>104.46484553193601</v>
      </c>
      <c r="AL841">
        <v>87.786346048633106</v>
      </c>
      <c r="AM841">
        <v>88.625615839614596</v>
      </c>
      <c r="AN841">
        <v>1.00000003234195</v>
      </c>
    </row>
    <row r="842" spans="1:40" x14ac:dyDescent="0.25">
      <c r="A842" t="str">
        <f>"20190312154229494"</f>
        <v>20190312154229494</v>
      </c>
      <c r="B842" t="str">
        <f>"1552376549488027"</f>
        <v>1552376549488027</v>
      </c>
      <c r="C842" t="s">
        <v>40</v>
      </c>
      <c r="D842">
        <v>4.9567699999999997</v>
      </c>
      <c r="E842">
        <v>0.51807599999999998</v>
      </c>
      <c r="F842" t="s">
        <v>46</v>
      </c>
      <c r="G842">
        <v>-158.19499999999999</v>
      </c>
      <c r="H842">
        <v>9.7979070000000001E-2</v>
      </c>
      <c r="I842">
        <v>360.88529999999997</v>
      </c>
      <c r="J842">
        <v>-262.1703</v>
      </c>
      <c r="K842">
        <v>1.110439</v>
      </c>
      <c r="L842">
        <v>368.25959999999998</v>
      </c>
      <c r="M842">
        <v>0.99989099999999997</v>
      </c>
      <c r="N842">
        <v>0</v>
      </c>
      <c r="O842">
        <v>2.9253870000000002E-3</v>
      </c>
      <c r="P842">
        <v>0.99947660000000005</v>
      </c>
      <c r="Q842">
        <v>2.4695580000000002E-2</v>
      </c>
      <c r="R842">
        <v>-2.0914080000000002E-2</v>
      </c>
      <c r="S842">
        <v>2.9978030000000002</v>
      </c>
      <c r="T842">
        <v>-2.913201E-2</v>
      </c>
      <c r="U842">
        <v>-0.21218870000000001</v>
      </c>
      <c r="V842">
        <v>2.3847710000000001E-2</v>
      </c>
      <c r="W842">
        <v>3.915722E-2</v>
      </c>
      <c r="X842">
        <v>0.99894850000000002</v>
      </c>
      <c r="Y842">
        <v>7.3519269999999998E-2</v>
      </c>
      <c r="Z842">
        <v>-3.8516340000000003E-4</v>
      </c>
      <c r="AA842">
        <v>0.99729369999999995</v>
      </c>
      <c r="AB842">
        <v>33</v>
      </c>
      <c r="AC842">
        <v>103.9753</v>
      </c>
      <c r="AD842">
        <v>-1.0124599299999999</v>
      </c>
      <c r="AE842">
        <v>-7.3742999999999999</v>
      </c>
      <c r="AF842">
        <v>7.6777439337122697</v>
      </c>
      <c r="AG842">
        <v>-1.0124599299999999</v>
      </c>
      <c r="AH842">
        <v>103.943473573584</v>
      </c>
      <c r="AI842">
        <v>90.556554963315406</v>
      </c>
      <c r="AJ842">
        <v>85.775541412123701</v>
      </c>
      <c r="AK842">
        <v>104.231562041274</v>
      </c>
      <c r="AL842">
        <v>87.755882947491003</v>
      </c>
      <c r="AM842">
        <v>88.632448367117902</v>
      </c>
      <c r="AN842">
        <v>1.0000000534013</v>
      </c>
    </row>
    <row r="843" spans="1:40" x14ac:dyDescent="0.25">
      <c r="A843" t="str">
        <f>"20190312154229512"</f>
        <v>20190312154229512</v>
      </c>
      <c r="B843" t="str">
        <f>"1552376549497789"</f>
        <v>1552376549497789</v>
      </c>
      <c r="C843" t="s">
        <v>40</v>
      </c>
      <c r="D843">
        <v>4.9023099999999999</v>
      </c>
      <c r="E843">
        <v>0.51759200000000005</v>
      </c>
      <c r="F843" t="s">
        <v>46</v>
      </c>
      <c r="G843">
        <v>-158.19499999999999</v>
      </c>
      <c r="H843">
        <v>5.5764679999999997E-2</v>
      </c>
      <c r="I843">
        <v>361.18119999999999</v>
      </c>
      <c r="J843">
        <v>-261.90719999999999</v>
      </c>
      <c r="K843">
        <v>1.110436</v>
      </c>
      <c r="L843">
        <v>368.26029999999997</v>
      </c>
      <c r="M843">
        <v>0.99989119999999998</v>
      </c>
      <c r="N843">
        <v>0</v>
      </c>
      <c r="O843">
        <v>2.8530169999999998E-3</v>
      </c>
      <c r="P843">
        <v>0.99949540000000003</v>
      </c>
      <c r="Q843">
        <v>2.4386700000000001E-2</v>
      </c>
      <c r="R843">
        <v>-2.0362789999999999E-2</v>
      </c>
      <c r="S843">
        <v>2.9980470000000001</v>
      </c>
      <c r="T843">
        <v>-3.040814E-2</v>
      </c>
      <c r="U843">
        <v>-0.20410159999999999</v>
      </c>
      <c r="V843">
        <v>2.3224180000000001E-2</v>
      </c>
      <c r="W843">
        <v>3.8850370000000002E-2</v>
      </c>
      <c r="X843">
        <v>0.9989751</v>
      </c>
      <c r="Y843">
        <v>7.0763640000000003E-2</v>
      </c>
      <c r="Z843">
        <v>-3.8734810000000001E-4</v>
      </c>
      <c r="AA843">
        <v>0.99749299999999996</v>
      </c>
      <c r="AB843">
        <v>33</v>
      </c>
      <c r="AC843">
        <v>103.7122</v>
      </c>
      <c r="AD843">
        <v>-1.05467132</v>
      </c>
      <c r="AE843">
        <v>-7.07909999999998</v>
      </c>
      <c r="AF843">
        <v>7.37423579031576</v>
      </c>
      <c r="AG843">
        <v>-1.05467132</v>
      </c>
      <c r="AH843">
        <v>103.6809066917</v>
      </c>
      <c r="AI843">
        <v>90.581340220808301</v>
      </c>
      <c r="AJ843">
        <v>85.9317264359413</v>
      </c>
      <c r="AK843">
        <v>103.94817024602899</v>
      </c>
      <c r="AL843">
        <v>87.773477386125705</v>
      </c>
      <c r="AM843">
        <v>88.668227216653193</v>
      </c>
      <c r="AN843">
        <v>0.99999998210290897</v>
      </c>
    </row>
    <row r="844" spans="1:40" x14ac:dyDescent="0.25">
      <c r="A844" t="str">
        <f>"20190312154229524"</f>
        <v>20190312154229524</v>
      </c>
      <c r="B844" t="str">
        <f>"1552376549518284"</f>
        <v>1552376549518284</v>
      </c>
      <c r="C844" t="s">
        <v>40</v>
      </c>
      <c r="D844">
        <v>4.8856060000000001</v>
      </c>
      <c r="E844">
        <v>0.51685369999999997</v>
      </c>
      <c r="F844" t="s">
        <v>42</v>
      </c>
      <c r="G844">
        <v>-154.3152</v>
      </c>
      <c r="H844">
        <v>-0.05</v>
      </c>
      <c r="I844">
        <v>361.13979999999998</v>
      </c>
      <c r="J844">
        <v>-261.72640000000001</v>
      </c>
      <c r="K844">
        <v>1.110436</v>
      </c>
      <c r="L844">
        <v>368.26080000000002</v>
      </c>
      <c r="M844">
        <v>0.99989130000000004</v>
      </c>
      <c r="N844">
        <v>0</v>
      </c>
      <c r="O844">
        <v>2.803538E-3</v>
      </c>
      <c r="P844">
        <v>0.99949739999999998</v>
      </c>
      <c r="Q844">
        <v>2.425621E-2</v>
      </c>
      <c r="R844">
        <v>-2.0415450000000002E-2</v>
      </c>
      <c r="S844">
        <v>2.9982600000000001</v>
      </c>
      <c r="T844">
        <v>-3.2337780000000003E-2</v>
      </c>
      <c r="U844">
        <v>-0.1984253</v>
      </c>
      <c r="V844">
        <v>2.322743E-2</v>
      </c>
      <c r="W844">
        <v>3.8721239999999997E-2</v>
      </c>
      <c r="X844">
        <v>0.99897999999999998</v>
      </c>
      <c r="Y844">
        <v>6.8828990000000007E-2</v>
      </c>
      <c r="Z844">
        <v>-4.0096929999999998E-4</v>
      </c>
      <c r="AA844">
        <v>0.99762839999999997</v>
      </c>
      <c r="AB844">
        <v>33</v>
      </c>
      <c r="AC844">
        <v>107.41119999999999</v>
      </c>
      <c r="AD844">
        <v>-1.160436</v>
      </c>
      <c r="AE844">
        <v>-7.1210000000000298</v>
      </c>
      <c r="AF844">
        <v>7.4212725263852501</v>
      </c>
      <c r="AG844">
        <v>-1.160436</v>
      </c>
      <c r="AH844">
        <v>107.378333412752</v>
      </c>
      <c r="AI844">
        <v>90.617697116011101</v>
      </c>
      <c r="AJ844">
        <v>86.0463857840072</v>
      </c>
      <c r="AK844">
        <v>107.64073756771199</v>
      </c>
      <c r="AL844">
        <v>87.780881477332699</v>
      </c>
      <c r="AM844">
        <v>88.668047445940402</v>
      </c>
      <c r="AN844">
        <v>0.99999994416576898</v>
      </c>
    </row>
    <row r="845" spans="1:40" x14ac:dyDescent="0.25">
      <c r="A845" t="str">
        <f>"20190312154229536"</f>
        <v>20190312154229536</v>
      </c>
      <c r="B845" t="str">
        <f>"1552376549528043"</f>
        <v>1552376549528043</v>
      </c>
      <c r="C845" t="s">
        <v>40</v>
      </c>
      <c r="D845">
        <v>4.8738599999999996</v>
      </c>
      <c r="E845">
        <v>0.51659179999999905</v>
      </c>
      <c r="F845" t="s">
        <v>42</v>
      </c>
      <c r="G845">
        <v>-156.30510000000001</v>
      </c>
      <c r="H845">
        <v>-0.05</v>
      </c>
      <c r="I845">
        <v>361.48590000000002</v>
      </c>
      <c r="J845">
        <v>-261.55220000000003</v>
      </c>
      <c r="K845">
        <v>1.1104320000000001</v>
      </c>
      <c r="L845">
        <v>368.26119999999997</v>
      </c>
      <c r="M845">
        <v>0.99989139999999999</v>
      </c>
      <c r="N845">
        <v>0</v>
      </c>
      <c r="O845">
        <v>2.7553769999999998E-3</v>
      </c>
      <c r="P845">
        <v>0.99950539999999999</v>
      </c>
      <c r="Q845">
        <v>2.4194839999999999E-2</v>
      </c>
      <c r="R845">
        <v>-2.0096280000000001E-2</v>
      </c>
      <c r="S845">
        <v>2.9983520000000001</v>
      </c>
      <c r="T845">
        <v>-3.3004640000000002E-2</v>
      </c>
      <c r="U845">
        <v>-0.192688</v>
      </c>
      <c r="V845">
        <v>2.2859830000000001E-2</v>
      </c>
      <c r="W845">
        <v>3.8660729999999997E-2</v>
      </c>
      <c r="X845">
        <v>0.99899090000000001</v>
      </c>
      <c r="Y845">
        <v>6.6877900000000004E-2</v>
      </c>
      <c r="Z845">
        <v>-3.9799369999999999E-4</v>
      </c>
      <c r="AA845">
        <v>0.99776109999999896</v>
      </c>
      <c r="AB845">
        <v>33</v>
      </c>
      <c r="AC845">
        <v>105.2471</v>
      </c>
      <c r="AD845">
        <v>-1.1604319999999999</v>
      </c>
      <c r="AE845">
        <v>-6.7752999999999597</v>
      </c>
      <c r="AF845">
        <v>7.0644448438019696</v>
      </c>
      <c r="AG845">
        <v>-1.1604319999999999</v>
      </c>
      <c r="AH845">
        <v>105.215291909973</v>
      </c>
      <c r="AI845">
        <v>90.630476934031506</v>
      </c>
      <c r="AJ845">
        <v>86.158768722057403</v>
      </c>
      <c r="AK845">
        <v>105.458573075301</v>
      </c>
      <c r="AL845">
        <v>87.784351213568598</v>
      </c>
      <c r="AM845">
        <v>88.689133964994298</v>
      </c>
      <c r="AN845">
        <v>1.0000000210772799</v>
      </c>
    </row>
    <row r="846" spans="1:40" x14ac:dyDescent="0.25">
      <c r="A846" t="str">
        <f>"20190312154229548"</f>
        <v>20190312154229548</v>
      </c>
      <c r="B846" t="str">
        <f>"1552376549537803"</f>
        <v>1552376549537803</v>
      </c>
      <c r="C846" t="s">
        <v>40</v>
      </c>
      <c r="D846">
        <v>4.8993840000000004</v>
      </c>
      <c r="E846">
        <v>0.51636930000000003</v>
      </c>
      <c r="F846" t="s">
        <v>42</v>
      </c>
      <c r="G846">
        <v>-158.0977</v>
      </c>
      <c r="H846">
        <v>-0.05</v>
      </c>
      <c r="I846">
        <v>361.71409999999997</v>
      </c>
      <c r="J846">
        <v>-261.36799999999999</v>
      </c>
      <c r="K846">
        <v>1.110433</v>
      </c>
      <c r="L846">
        <v>368.26170000000002</v>
      </c>
      <c r="M846">
        <v>0.99989150000000004</v>
      </c>
      <c r="N846">
        <v>0</v>
      </c>
      <c r="O846">
        <v>2.7041809999999999E-3</v>
      </c>
      <c r="P846">
        <v>0.99951579999999995</v>
      </c>
      <c r="Q846">
        <v>2.3710269999999999E-2</v>
      </c>
      <c r="R846">
        <v>-2.0142549999999999E-2</v>
      </c>
      <c r="S846">
        <v>2.9985050000000002</v>
      </c>
      <c r="T846">
        <v>-3.3633709999999997E-2</v>
      </c>
      <c r="U846">
        <v>-0.18975829999999999</v>
      </c>
      <c r="V846">
        <v>2.2855199999999999E-2</v>
      </c>
      <c r="W846">
        <v>3.8176630000000003E-2</v>
      </c>
      <c r="X846">
        <v>0.99900960000000005</v>
      </c>
      <c r="Y846">
        <v>6.5852510000000003E-2</v>
      </c>
      <c r="Z846">
        <v>-3.9925239999999998E-4</v>
      </c>
      <c r="AA846">
        <v>0.99782930000000003</v>
      </c>
      <c r="AB846">
        <v>33</v>
      </c>
      <c r="AC846">
        <v>103.27030000000001</v>
      </c>
      <c r="AD846">
        <v>-1.160433</v>
      </c>
      <c r="AE846">
        <v>-6.5476000000000401</v>
      </c>
      <c r="AF846">
        <v>6.8260084723001997</v>
      </c>
      <c r="AG846">
        <v>-1.160433</v>
      </c>
      <c r="AH846">
        <v>103.239231083237</v>
      </c>
      <c r="AI846">
        <v>90.642587853876705</v>
      </c>
      <c r="AJ846">
        <v>86.217203047877405</v>
      </c>
      <c r="AK846">
        <v>103.47115458459599</v>
      </c>
      <c r="AL846">
        <v>87.8121085421934</v>
      </c>
      <c r="AM846">
        <v>88.689423897442595</v>
      </c>
      <c r="AN846">
        <v>0.99999999806867801</v>
      </c>
    </row>
    <row r="847" spans="1:40" x14ac:dyDescent="0.25">
      <c r="A847" t="str">
        <f>"20190312154229561"</f>
        <v>20190312154229561</v>
      </c>
      <c r="B847" t="str">
        <f>"1552376549548540"</f>
        <v>1552376549548540</v>
      </c>
      <c r="C847" t="s">
        <v>40</v>
      </c>
      <c r="D847">
        <v>4.940563</v>
      </c>
      <c r="E847">
        <v>0.51590100000000005</v>
      </c>
      <c r="F847" t="s">
        <v>47</v>
      </c>
      <c r="G847">
        <v>-176.30029999999999</v>
      </c>
      <c r="H847">
        <v>7.9988050000000005E-2</v>
      </c>
      <c r="I847">
        <v>362.92419999999998</v>
      </c>
      <c r="J847">
        <v>-261.1832</v>
      </c>
      <c r="K847">
        <v>1.11043</v>
      </c>
      <c r="L847">
        <v>368.26209999999998</v>
      </c>
      <c r="M847">
        <v>0.99989170000000005</v>
      </c>
      <c r="N847">
        <v>0</v>
      </c>
      <c r="O847">
        <v>2.6528680000000001E-3</v>
      </c>
      <c r="P847">
        <v>0.9995212</v>
      </c>
      <c r="Q847">
        <v>2.3245189999999999E-2</v>
      </c>
      <c r="R847">
        <v>-2.0428470000000001E-2</v>
      </c>
      <c r="S847">
        <v>2.9985659999999998</v>
      </c>
      <c r="T847">
        <v>-3.6322359999999998E-2</v>
      </c>
      <c r="U847">
        <v>-0.1881409</v>
      </c>
      <c r="V847">
        <v>2.3089559999999999E-2</v>
      </c>
      <c r="W847">
        <v>3.7712040000000002E-2</v>
      </c>
      <c r="X847">
        <v>0.99902190000000002</v>
      </c>
      <c r="Y847">
        <v>6.5263249999999995E-2</v>
      </c>
      <c r="Z847">
        <v>-4.269783E-4</v>
      </c>
      <c r="AA847">
        <v>0.99786799999999998</v>
      </c>
      <c r="AB847">
        <v>33</v>
      </c>
      <c r="AC847">
        <v>84.882900000000006</v>
      </c>
      <c r="AD847">
        <v>-1.0304419499999999</v>
      </c>
      <c r="AE847">
        <v>-5.3378999999999897</v>
      </c>
      <c r="AF847">
        <v>5.5622714607182999</v>
      </c>
      <c r="AG847">
        <v>-1.0304419499999999</v>
      </c>
      <c r="AH847">
        <v>84.855983120145893</v>
      </c>
      <c r="AI847">
        <v>90.694242843870001</v>
      </c>
      <c r="AJ847">
        <v>86.249652754042401</v>
      </c>
      <c r="AK847">
        <v>85.044332825306597</v>
      </c>
      <c r="AL847">
        <v>87.838746865378596</v>
      </c>
      <c r="AM847">
        <v>88.676006145585006</v>
      </c>
      <c r="AN847">
        <v>1.0000000412107799</v>
      </c>
    </row>
    <row r="848" spans="1:40" x14ac:dyDescent="0.25">
      <c r="A848" t="str">
        <f>"20190312154229573"</f>
        <v>20190312154229573</v>
      </c>
      <c r="B848" t="str">
        <f>"1552376549568060"</f>
        <v>1552376549568060</v>
      </c>
      <c r="C848" t="s">
        <v>40</v>
      </c>
      <c r="D848">
        <v>4.9088430000000001</v>
      </c>
      <c r="E848">
        <v>0.51539109999999999</v>
      </c>
      <c r="F848" t="s">
        <v>47</v>
      </c>
      <c r="G848">
        <v>-181.17349999999999</v>
      </c>
      <c r="H848" s="1">
        <v>-7.2286239999999902E-6</v>
      </c>
      <c r="I848">
        <v>363.32190000000003</v>
      </c>
      <c r="J848">
        <v>-260.99669999999998</v>
      </c>
      <c r="K848">
        <v>1.11043</v>
      </c>
      <c r="L848">
        <v>368.26260000000002</v>
      </c>
      <c r="M848">
        <v>0.9998918</v>
      </c>
      <c r="N848">
        <v>0</v>
      </c>
      <c r="O848">
        <v>2.6011950000000002E-3</v>
      </c>
      <c r="P848">
        <v>0.99953420000000004</v>
      </c>
      <c r="Q848">
        <v>2.2819430000000002E-2</v>
      </c>
      <c r="R848">
        <v>-2.026969E-2</v>
      </c>
      <c r="S848">
        <v>2.9986570000000001</v>
      </c>
      <c r="T848">
        <v>-4.1617750000000002E-2</v>
      </c>
      <c r="U848">
        <v>-0.18515010000000001</v>
      </c>
      <c r="V848">
        <v>2.2878949999999999E-2</v>
      </c>
      <c r="W848">
        <v>3.7287479999999998E-2</v>
      </c>
      <c r="X848">
        <v>0.9990426</v>
      </c>
      <c r="Y848">
        <v>6.4216889999999999E-2</v>
      </c>
      <c r="Z848">
        <v>-4.8125110000000001E-4</v>
      </c>
      <c r="AA848">
        <v>0.99793580000000004</v>
      </c>
      <c r="AB848">
        <v>33</v>
      </c>
      <c r="AC848">
        <v>79.8231999999999</v>
      </c>
      <c r="AD848">
        <v>-1.1104372286239901</v>
      </c>
      <c r="AE848">
        <v>-4.9406999999999899</v>
      </c>
      <c r="AF848">
        <v>5.1473484340282303</v>
      </c>
      <c r="AG848">
        <v>-1.1104372286239901</v>
      </c>
      <c r="AH848">
        <v>79.794693746601595</v>
      </c>
      <c r="AI848">
        <v>90.795633384556695</v>
      </c>
      <c r="AJ848">
        <v>86.309111929670095</v>
      </c>
      <c r="AK848">
        <v>79.968252555960902</v>
      </c>
      <c r="AL848">
        <v>87.863089307865494</v>
      </c>
      <c r="AM848">
        <v>88.688105807212196</v>
      </c>
      <c r="AN848">
        <v>0.99999995956630505</v>
      </c>
    </row>
    <row r="849" spans="1:40" x14ac:dyDescent="0.25">
      <c r="A849" t="str">
        <f>"20190312154229590"</f>
        <v>20190312154229590</v>
      </c>
      <c r="B849" t="str">
        <f>"1552376549577822"</f>
        <v>1552376549577822</v>
      </c>
      <c r="C849" t="s">
        <v>40</v>
      </c>
      <c r="D849">
        <v>4.9014810000000004</v>
      </c>
      <c r="E849">
        <v>0.51530529999999997</v>
      </c>
      <c r="F849" t="s">
        <v>47</v>
      </c>
      <c r="G849">
        <v>-195.6455</v>
      </c>
      <c r="H849" s="1">
        <v>-8.0963769999999997E-6</v>
      </c>
      <c r="I849">
        <v>364.33699999999999</v>
      </c>
      <c r="J849">
        <v>-260.75630000000001</v>
      </c>
      <c r="K849">
        <v>1.11043</v>
      </c>
      <c r="L849">
        <v>368.26310000000001</v>
      </c>
      <c r="M849">
        <v>0.99989189999999994</v>
      </c>
      <c r="N849">
        <v>0</v>
      </c>
      <c r="O849">
        <v>2.5344999999999999E-3</v>
      </c>
      <c r="P849">
        <v>0.99952240000000003</v>
      </c>
      <c r="Q849">
        <v>2.2874419999999999E-2</v>
      </c>
      <c r="R849">
        <v>-2.0785399999999999E-2</v>
      </c>
      <c r="S849">
        <v>2.9989620000000001</v>
      </c>
      <c r="T849">
        <v>-5.0957919999999997E-2</v>
      </c>
      <c r="U849">
        <v>-0.18014530000000001</v>
      </c>
      <c r="V849">
        <v>2.332799E-2</v>
      </c>
      <c r="W849">
        <v>3.7342269999999997E-2</v>
      </c>
      <c r="X849">
        <v>0.99903019999999998</v>
      </c>
      <c r="Y849">
        <v>6.2481769999999999E-2</v>
      </c>
      <c r="Z849">
        <v>-5.7335350000000003E-4</v>
      </c>
      <c r="AA849">
        <v>0.99804590000000004</v>
      </c>
      <c r="AB849">
        <v>33</v>
      </c>
      <c r="AC849">
        <v>65.110799999999998</v>
      </c>
      <c r="AD849">
        <v>-1.110438096377</v>
      </c>
      <c r="AE849">
        <v>-3.9261000000000199</v>
      </c>
      <c r="AF849">
        <v>4.08994273326637</v>
      </c>
      <c r="AG849">
        <v>-1.110438096377</v>
      </c>
      <c r="AH849">
        <v>65.0817780365294</v>
      </c>
      <c r="AI849">
        <v>90.975572886005494</v>
      </c>
      <c r="AJ849">
        <v>86.404082557213101</v>
      </c>
      <c r="AK849">
        <v>65.219617729049602</v>
      </c>
      <c r="AL849">
        <v>87.859947950129296</v>
      </c>
      <c r="AM849">
        <v>88.662350223458404</v>
      </c>
      <c r="AN849">
        <v>0.99999999037911602</v>
      </c>
    </row>
    <row r="850" spans="1:40" x14ac:dyDescent="0.25">
      <c r="A850" t="str">
        <f>"20190312154229603"</f>
        <v>20190312154229603</v>
      </c>
      <c r="B850" t="str">
        <f>"1552376549598317"</f>
        <v>1552376549598317</v>
      </c>
      <c r="C850" t="s">
        <v>40</v>
      </c>
      <c r="D850">
        <v>4.9292980000000002</v>
      </c>
      <c r="E850">
        <v>0.51523260000000004</v>
      </c>
      <c r="F850" t="s">
        <v>47</v>
      </c>
      <c r="G850">
        <v>-195.47489999999999</v>
      </c>
      <c r="H850" s="1">
        <v>-8.0368250000000008E-6</v>
      </c>
      <c r="I850">
        <v>364.31959999999998</v>
      </c>
      <c r="J850">
        <v>-260.55650000000003</v>
      </c>
      <c r="K850">
        <v>1.1104339999999999</v>
      </c>
      <c r="L850">
        <v>368.2636</v>
      </c>
      <c r="M850">
        <v>0.99989209999999995</v>
      </c>
      <c r="N850">
        <v>0</v>
      </c>
      <c r="O850">
        <v>2.4793129999999999E-3</v>
      </c>
      <c r="P850">
        <v>0.99950459999999997</v>
      </c>
      <c r="Q850">
        <v>2.3144959999999999E-2</v>
      </c>
      <c r="R850">
        <v>-2.1331349999999999E-2</v>
      </c>
      <c r="S850">
        <v>2.99884</v>
      </c>
      <c r="T850">
        <v>-5.1010369999999999E-2</v>
      </c>
      <c r="U850">
        <v>-0.18115229999999999</v>
      </c>
      <c r="V850">
        <v>2.3818780000000001E-2</v>
      </c>
      <c r="W850">
        <v>3.7611980000000003E-2</v>
      </c>
      <c r="X850">
        <v>0.99900849999999997</v>
      </c>
      <c r="Y850">
        <v>6.2763029999999997E-2</v>
      </c>
      <c r="Z850">
        <v>-5.7541299999999999E-4</v>
      </c>
      <c r="AA850">
        <v>0.99802829999999998</v>
      </c>
      <c r="AB850">
        <v>33</v>
      </c>
      <c r="AC850">
        <v>65.081599999999995</v>
      </c>
      <c r="AD850">
        <v>-1.1104420368250001</v>
      </c>
      <c r="AE850">
        <v>-3.9440000000000102</v>
      </c>
      <c r="AF850">
        <v>4.1041720050091204</v>
      </c>
      <c r="AG850">
        <v>-1.1104420368250001</v>
      </c>
      <c r="AH850">
        <v>65.052751488741293</v>
      </c>
      <c r="AI850">
        <v>90.975996462454503</v>
      </c>
      <c r="AJ850">
        <v>86.389999230249401</v>
      </c>
      <c r="AK850">
        <v>65.191546887765895</v>
      </c>
      <c r="AL850">
        <v>87.844483838933797</v>
      </c>
      <c r="AM850">
        <v>88.634188738668101</v>
      </c>
      <c r="AN850">
        <v>0.99999998919622901</v>
      </c>
    </row>
    <row r="851" spans="1:40" x14ac:dyDescent="0.25">
      <c r="A851" t="str">
        <f>"20190312154229628"</f>
        <v>20190312154229628</v>
      </c>
      <c r="B851" t="str">
        <f>"1552376549617835"</f>
        <v>1552376549617835</v>
      </c>
      <c r="C851" t="s">
        <v>40</v>
      </c>
      <c r="D851">
        <v>4.9164709999999996</v>
      </c>
      <c r="E851">
        <v>0.51497139999999997</v>
      </c>
      <c r="F851" t="s">
        <v>47</v>
      </c>
      <c r="G851">
        <v>-195.24969999999999</v>
      </c>
      <c r="H851" s="1">
        <v>-7.9595730000000003E-6</v>
      </c>
      <c r="I851">
        <v>364.29259999999999</v>
      </c>
      <c r="J851">
        <v>-260.20670000000001</v>
      </c>
      <c r="K851">
        <v>1.110444</v>
      </c>
      <c r="L851">
        <v>368.26429999999999</v>
      </c>
      <c r="M851">
        <v>0.99989240000000001</v>
      </c>
      <c r="N851">
        <v>0</v>
      </c>
      <c r="O851">
        <v>2.3822919999999998E-3</v>
      </c>
      <c r="P851">
        <v>0.99946500000000005</v>
      </c>
      <c r="Q851">
        <v>2.384083E-2</v>
      </c>
      <c r="R851">
        <v>-2.2394710000000002E-2</v>
      </c>
      <c r="S851">
        <v>2.9987789999999999</v>
      </c>
      <c r="T851">
        <v>-5.0989630000000001E-2</v>
      </c>
      <c r="U851">
        <v>-0.18234249999999999</v>
      </c>
      <c r="V851">
        <v>2.478528E-2</v>
      </c>
      <c r="W851">
        <v>3.8306229999999997E-2</v>
      </c>
      <c r="X851">
        <v>0.99895860000000003</v>
      </c>
      <c r="Y851">
        <v>6.3062030000000005E-2</v>
      </c>
      <c r="Z851">
        <v>-5.7607489999999997E-4</v>
      </c>
      <c r="AA851">
        <v>0.99800940000000005</v>
      </c>
      <c r="AB851">
        <v>33</v>
      </c>
      <c r="AC851">
        <v>64.956999999999994</v>
      </c>
      <c r="AD851">
        <v>-1.110451959573</v>
      </c>
      <c r="AE851">
        <v>-3.97169999999999</v>
      </c>
      <c r="AF851">
        <v>4.1252503870304</v>
      </c>
      <c r="AG851">
        <v>-1.110451959573</v>
      </c>
      <c r="AH851">
        <v>64.928448531340905</v>
      </c>
      <c r="AI851">
        <v>90.9778458820239</v>
      </c>
      <c r="AJ851">
        <v>86.364580247009897</v>
      </c>
      <c r="AK851">
        <v>65.068842182700607</v>
      </c>
      <c r="AL851">
        <v>87.804677535984496</v>
      </c>
      <c r="AM851">
        <v>88.578719231460596</v>
      </c>
      <c r="AN851">
        <v>0.99999998093772502</v>
      </c>
    </row>
    <row r="852" spans="1:40" x14ac:dyDescent="0.25">
      <c r="A852" t="str">
        <f>"20190312154229642"</f>
        <v>20190312154229642</v>
      </c>
      <c r="B852" t="str">
        <f>"1552376549628572"</f>
        <v>1552376549628572</v>
      </c>
      <c r="C852" t="s">
        <v>40</v>
      </c>
      <c r="D852">
        <v>4.9247909999999999</v>
      </c>
      <c r="E852">
        <v>0.51490309999999995</v>
      </c>
      <c r="F852" t="s">
        <v>47</v>
      </c>
      <c r="G852">
        <v>-195.5772</v>
      </c>
      <c r="H852" s="1">
        <v>-8.0743489999999905E-6</v>
      </c>
      <c r="I852">
        <v>364.31740000000002</v>
      </c>
      <c r="J852">
        <v>-259.99329999999998</v>
      </c>
      <c r="K852">
        <v>1.1104459999999901</v>
      </c>
      <c r="L852">
        <v>368.26479999999998</v>
      </c>
      <c r="M852">
        <v>0.99989260000000002</v>
      </c>
      <c r="N852">
        <v>0</v>
      </c>
      <c r="O852">
        <v>2.3232349999999999E-3</v>
      </c>
      <c r="P852">
        <v>0.99941789999999997</v>
      </c>
      <c r="Q852">
        <v>2.4956200000000001E-2</v>
      </c>
      <c r="R852">
        <v>-2.3268569999999999E-2</v>
      </c>
      <c r="S852">
        <v>2.9987490000000001</v>
      </c>
      <c r="T852">
        <v>-5.1523920000000001E-2</v>
      </c>
      <c r="U852">
        <v>-0.18313599999999999</v>
      </c>
      <c r="V852">
        <v>2.56002E-2</v>
      </c>
      <c r="W852">
        <v>3.9420230000000001E-2</v>
      </c>
      <c r="X852">
        <v>0.99889479999999997</v>
      </c>
      <c r="Y852">
        <v>6.3266580000000003E-2</v>
      </c>
      <c r="Z852">
        <v>-5.8285330000000003E-4</v>
      </c>
      <c r="AA852">
        <v>0.99799649999999995</v>
      </c>
      <c r="AB852">
        <v>33</v>
      </c>
      <c r="AC852">
        <v>64.416099999999901</v>
      </c>
      <c r="AD852">
        <v>-1.1104540743489999</v>
      </c>
      <c r="AE852">
        <v>-3.9473999999999498</v>
      </c>
      <c r="AF852">
        <v>4.0958461238666901</v>
      </c>
      <c r="AG852">
        <v>-1.1104540743489999</v>
      </c>
      <c r="AH852">
        <v>64.387691593961804</v>
      </c>
      <c r="AI852">
        <v>90.986053734753995</v>
      </c>
      <c r="AJ852">
        <v>86.360190613668493</v>
      </c>
      <c r="AK852">
        <v>64.527388700618999</v>
      </c>
      <c r="AL852">
        <v>87.740801985810194</v>
      </c>
      <c r="AM852">
        <v>88.531915069529504</v>
      </c>
      <c r="AN852">
        <v>1.0000000731201599</v>
      </c>
    </row>
    <row r="853" spans="1:40" x14ac:dyDescent="0.25">
      <c r="A853" t="str">
        <f>"20190312154229657"</f>
        <v>20190312154229657</v>
      </c>
      <c r="B853" t="str">
        <f>"1552376549648092"</f>
        <v>1552376549648092</v>
      </c>
      <c r="C853" t="s">
        <v>40</v>
      </c>
      <c r="D853">
        <v>5.0882959999999997</v>
      </c>
      <c r="E853">
        <v>0.51444109999999998</v>
      </c>
      <c r="F853" t="s">
        <v>47</v>
      </c>
      <c r="G853">
        <v>-191.27099999999999</v>
      </c>
      <c r="H853" s="1">
        <v>-6.6057869999999998E-6</v>
      </c>
      <c r="I853">
        <v>364.0188</v>
      </c>
      <c r="J853">
        <v>-259.75630000000001</v>
      </c>
      <c r="K853">
        <v>1.1104529999999999</v>
      </c>
      <c r="L853">
        <v>368.26530000000002</v>
      </c>
      <c r="M853">
        <v>0.99989260000000002</v>
      </c>
      <c r="N853">
        <v>0</v>
      </c>
      <c r="O853">
        <v>2.2575659999999999E-3</v>
      </c>
      <c r="P853">
        <v>0.99937109999999996</v>
      </c>
      <c r="Q853">
        <v>2.5651299999999998E-2</v>
      </c>
      <c r="R853">
        <v>-2.4491079999999998E-2</v>
      </c>
      <c r="S853">
        <v>2.9986570000000001</v>
      </c>
      <c r="T853">
        <v>-4.8453929999999999E-2</v>
      </c>
      <c r="U853">
        <v>-0.1852722</v>
      </c>
      <c r="V853">
        <v>2.6757070000000001E-2</v>
      </c>
      <c r="W853">
        <v>4.0113009999999998E-2</v>
      </c>
      <c r="X853">
        <v>0.99883679999999997</v>
      </c>
      <c r="Y853">
        <v>6.3912209999999997E-2</v>
      </c>
      <c r="Z853">
        <v>-5.5228479999999995E-4</v>
      </c>
      <c r="AA853">
        <v>0.99795540000000005</v>
      </c>
      <c r="AB853">
        <v>33</v>
      </c>
      <c r="AC853">
        <v>68.485299999999995</v>
      </c>
      <c r="AD853">
        <v>-1.110459605787</v>
      </c>
      <c r="AE853">
        <v>-4.2465000000000197</v>
      </c>
      <c r="AF853">
        <v>4.39996310034718</v>
      </c>
      <c r="AG853">
        <v>-1.110459605787</v>
      </c>
      <c r="AH853">
        <v>68.457608273496703</v>
      </c>
      <c r="AI853">
        <v>90.927407404652399</v>
      </c>
      <c r="AJ853">
        <v>86.322497387790307</v>
      </c>
      <c r="AK853">
        <v>68.607848868391301</v>
      </c>
      <c r="AL853">
        <v>87.701076966602699</v>
      </c>
      <c r="AM853">
        <v>88.465514459877397</v>
      </c>
      <c r="AN853">
        <v>0.99999997370024196</v>
      </c>
    </row>
    <row r="854" spans="1:40" x14ac:dyDescent="0.25">
      <c r="A854" t="str">
        <f>"20190312154229672"</f>
        <v>20190312154229672</v>
      </c>
      <c r="B854" t="str">
        <f>"1552376549657852"</f>
        <v>1552376549657852</v>
      </c>
      <c r="C854" t="s">
        <v>40</v>
      </c>
      <c r="D854">
        <v>5.0316720000000004</v>
      </c>
      <c r="E854">
        <v>0.489761</v>
      </c>
      <c r="F854" t="s">
        <v>47</v>
      </c>
      <c r="G854">
        <v>-187.8759</v>
      </c>
      <c r="H854" s="1">
        <v>-6.9464559999999898E-6</v>
      </c>
      <c r="I854">
        <v>363.82470000000001</v>
      </c>
      <c r="J854">
        <v>-259.54660000000001</v>
      </c>
      <c r="K854">
        <v>1.110457</v>
      </c>
      <c r="L854">
        <v>368.26569999999998</v>
      </c>
      <c r="M854">
        <v>0.99989280000000003</v>
      </c>
      <c r="N854">
        <v>0</v>
      </c>
      <c r="O854">
        <v>2.199169E-3</v>
      </c>
      <c r="P854">
        <v>0.99935790000000002</v>
      </c>
      <c r="Q854">
        <v>2.5803989999999999E-2</v>
      </c>
      <c r="R854">
        <v>-2.4860360000000001E-2</v>
      </c>
      <c r="S854">
        <v>2.998535</v>
      </c>
      <c r="T854">
        <v>-4.6323540000000003E-2</v>
      </c>
      <c r="U854">
        <v>-0.18524170000000001</v>
      </c>
      <c r="V854">
        <v>2.7067899999999999E-2</v>
      </c>
      <c r="W854">
        <v>4.0264029999999999E-2</v>
      </c>
      <c r="X854">
        <v>0.9988224</v>
      </c>
      <c r="Y854">
        <v>6.3847070000000006E-2</v>
      </c>
      <c r="Z854">
        <v>-5.2662300000000004E-4</v>
      </c>
      <c r="AA854">
        <v>0.99795959999999995</v>
      </c>
      <c r="AB854">
        <v>33</v>
      </c>
      <c r="AC854">
        <v>71.670699999999997</v>
      </c>
      <c r="AD854">
        <v>-1.110463946456</v>
      </c>
      <c r="AE854">
        <v>-4.4409999999999696</v>
      </c>
      <c r="AF854">
        <v>4.5975222827111901</v>
      </c>
      <c r="AG854">
        <v>-1.110463946456</v>
      </c>
      <c r="AH854">
        <v>71.643625902141693</v>
      </c>
      <c r="AI854">
        <v>90.886181166597297</v>
      </c>
      <c r="AJ854">
        <v>86.328243868620206</v>
      </c>
      <c r="AK854">
        <v>71.799578506579195</v>
      </c>
      <c r="AL854">
        <v>87.692417280135103</v>
      </c>
      <c r="AM854">
        <v>88.447675039113506</v>
      </c>
      <c r="AN854">
        <v>1.000000025032</v>
      </c>
    </row>
    <row r="855" spans="1:40" x14ac:dyDescent="0.25">
      <c r="A855" t="str">
        <f>"20190312154229684"</f>
        <v>20190312154229684</v>
      </c>
      <c r="B855" t="str">
        <f>"1552376549678347"</f>
        <v>1552376549678347</v>
      </c>
      <c r="C855" t="s">
        <v>40</v>
      </c>
      <c r="D855">
        <v>5.0688559999999896</v>
      </c>
      <c r="E855">
        <v>0.48921229999999899</v>
      </c>
      <c r="F855" t="s">
        <v>47</v>
      </c>
      <c r="G855">
        <v>-186.21</v>
      </c>
      <c r="H855" s="1">
        <v>-8.8330500000000001E-6</v>
      </c>
      <c r="I855">
        <v>368.52499999999998</v>
      </c>
      <c r="J855">
        <v>-259.36669999999998</v>
      </c>
      <c r="K855">
        <v>1.11046</v>
      </c>
      <c r="L855">
        <v>368.26600000000002</v>
      </c>
      <c r="M855">
        <v>0.99989300000000003</v>
      </c>
      <c r="N855">
        <v>0</v>
      </c>
      <c r="O855">
        <v>2.1492909999999998E-3</v>
      </c>
      <c r="P855">
        <v>0.99933309999999997</v>
      </c>
      <c r="Q855">
        <v>2.6229349999999998E-2</v>
      </c>
      <c r="R855">
        <v>-2.540253E-2</v>
      </c>
      <c r="S855">
        <v>3.003387</v>
      </c>
      <c r="T855">
        <v>-4.5477389999999999E-2</v>
      </c>
      <c r="U855">
        <v>1.062012E-2</v>
      </c>
      <c r="V855">
        <v>2.7560479999999998E-2</v>
      </c>
      <c r="W855">
        <v>4.068807E-2</v>
      </c>
      <c r="X855">
        <v>0.99879169999999995</v>
      </c>
      <c r="Y855">
        <v>-1.3866E-3</v>
      </c>
      <c r="Z855" s="1">
        <v>-2.204869E-5</v>
      </c>
      <c r="AA855">
        <v>0.99999899999999997</v>
      </c>
      <c r="AB855">
        <v>33</v>
      </c>
      <c r="AC855">
        <v>73.156699999999901</v>
      </c>
      <c r="AD855">
        <v>-1.1104688330500001</v>
      </c>
      <c r="AE855">
        <v>0.259000000000014</v>
      </c>
      <c r="AF855">
        <v>-0.101724463877991</v>
      </c>
      <c r="AG855">
        <v>-1.1104688330500001</v>
      </c>
      <c r="AH855">
        <v>73.140235562124005</v>
      </c>
      <c r="AI855">
        <v>90.869838977366001</v>
      </c>
      <c r="AJ855">
        <v>90.079687721137006</v>
      </c>
      <c r="AK855">
        <v>73.148735785239097</v>
      </c>
      <c r="AL855">
        <v>87.668101545642301</v>
      </c>
      <c r="AM855">
        <v>88.419391567846503</v>
      </c>
      <c r="AN855">
        <v>0.99999997954352204</v>
      </c>
    </row>
    <row r="856" spans="1:40" x14ac:dyDescent="0.25">
      <c r="A856" t="str">
        <f>"20190312154229702"</f>
        <v>20190312154229702</v>
      </c>
      <c r="B856" t="str">
        <f>"1552376549688108"</f>
        <v>1552376549688108</v>
      </c>
      <c r="C856" t="s">
        <v>40</v>
      </c>
      <c r="D856">
        <v>5.0680709999999998</v>
      </c>
      <c r="E856">
        <v>0.48918200000000001</v>
      </c>
      <c r="F856" t="s">
        <v>47</v>
      </c>
      <c r="G856">
        <v>-190.13550000000001</v>
      </c>
      <c r="H856" s="1">
        <v>-5.4952649999999998E-6</v>
      </c>
      <c r="I856">
        <v>368.57690000000002</v>
      </c>
      <c r="J856">
        <v>-259.10739999999998</v>
      </c>
      <c r="K856">
        <v>1.1104620000000001</v>
      </c>
      <c r="L856">
        <v>368.26650000000001</v>
      </c>
      <c r="M856">
        <v>0.99989309999999998</v>
      </c>
      <c r="N856">
        <v>0</v>
      </c>
      <c r="O856">
        <v>2.07778E-3</v>
      </c>
      <c r="P856">
        <v>0.99930039999999998</v>
      </c>
      <c r="Q856">
        <v>2.6624289999999998E-2</v>
      </c>
      <c r="R856">
        <v>-2.6270129999999999E-2</v>
      </c>
      <c r="S856">
        <v>3.0036010000000002</v>
      </c>
      <c r="T856">
        <v>-4.8177600000000001E-2</v>
      </c>
      <c r="U856">
        <v>1.3488770000000001E-2</v>
      </c>
      <c r="V856">
        <v>2.8356340000000001E-2</v>
      </c>
      <c r="W856">
        <v>4.1081140000000002E-2</v>
      </c>
      <c r="X856">
        <v>0.99875340000000001</v>
      </c>
      <c r="Y856">
        <v>-2.412792E-3</v>
      </c>
      <c r="Z856" s="1">
        <v>-1.397942E-5</v>
      </c>
      <c r="AA856">
        <v>0.99999709999999997</v>
      </c>
      <c r="AB856">
        <v>33</v>
      </c>
      <c r="AC856">
        <v>68.971899999999906</v>
      </c>
      <c r="AD856">
        <v>-1.110467495265</v>
      </c>
      <c r="AE856">
        <v>0.310400000000015</v>
      </c>
      <c r="AF856">
        <v>-0.16703258639229501</v>
      </c>
      <c r="AG856">
        <v>-1.110467495265</v>
      </c>
      <c r="AH856">
        <v>68.954522116955999</v>
      </c>
      <c r="AI856">
        <v>90.922628605889003</v>
      </c>
      <c r="AJ856">
        <v>90.138790658376294</v>
      </c>
      <c r="AK856">
        <v>68.963665493655</v>
      </c>
      <c r="AL856">
        <v>87.645561608018397</v>
      </c>
      <c r="AM856">
        <v>88.373710403307996</v>
      </c>
      <c r="AN856">
        <v>1.0000000480467199</v>
      </c>
    </row>
    <row r="857" spans="1:40" x14ac:dyDescent="0.25">
      <c r="A857" t="str">
        <f>"20190312154229715"</f>
        <v>20190312154229715</v>
      </c>
      <c r="B857" t="str">
        <f>"1552376549708603"</f>
        <v>1552376549708603</v>
      </c>
      <c r="C857" t="s">
        <v>40</v>
      </c>
      <c r="D857">
        <v>5.0417829999999997</v>
      </c>
      <c r="E857">
        <v>0.48884729999999998</v>
      </c>
      <c r="F857" t="s">
        <v>47</v>
      </c>
      <c r="G857">
        <v>-190.07839999999999</v>
      </c>
      <c r="H857" s="1">
        <v>-5.4842629999999998E-6</v>
      </c>
      <c r="I857">
        <v>368.51900000000001</v>
      </c>
      <c r="J857">
        <v>-258.92500000000001</v>
      </c>
      <c r="K857">
        <v>1.1104639999999999</v>
      </c>
      <c r="L857">
        <v>368.26679999999999</v>
      </c>
      <c r="M857">
        <v>0.99989320000000004</v>
      </c>
      <c r="N857">
        <v>0</v>
      </c>
      <c r="O857">
        <v>2.0272459999999999E-3</v>
      </c>
      <c r="P857">
        <v>0.99928779999999995</v>
      </c>
      <c r="Q857">
        <v>2.6683910000000002E-2</v>
      </c>
      <c r="R857">
        <v>-2.6689020000000001E-2</v>
      </c>
      <c r="S857">
        <v>3.0036320000000001</v>
      </c>
      <c r="T857">
        <v>-4.8319340000000002E-2</v>
      </c>
      <c r="U857">
        <v>1.0986330000000001E-2</v>
      </c>
      <c r="V857">
        <v>2.872483E-2</v>
      </c>
      <c r="W857">
        <v>4.1139259999999997E-2</v>
      </c>
      <c r="X857">
        <v>0.99874039999999997</v>
      </c>
      <c r="Y857">
        <v>-1.6302560000000001E-3</v>
      </c>
      <c r="Z857" s="1">
        <v>-1.950136E-5</v>
      </c>
      <c r="AA857">
        <v>0.99999870000000002</v>
      </c>
      <c r="AB857">
        <v>33</v>
      </c>
      <c r="AC857">
        <v>68.846599999999995</v>
      </c>
      <c r="AD857">
        <v>-1.1104694842630001</v>
      </c>
      <c r="AE857">
        <v>0.25220000000001602</v>
      </c>
      <c r="AF857">
        <v>-0.112586575863844</v>
      </c>
      <c r="AG857">
        <v>-1.1104694842630001</v>
      </c>
      <c r="AH857">
        <v>68.829063177014802</v>
      </c>
      <c r="AI857">
        <v>90.924313176232602</v>
      </c>
      <c r="AJ857">
        <v>90.093721018066702</v>
      </c>
      <c r="AK857">
        <v>68.838112670511507</v>
      </c>
      <c r="AL857">
        <v>87.642228577197201</v>
      </c>
      <c r="AM857">
        <v>88.3525669462297</v>
      </c>
      <c r="AN857">
        <v>0.99999997058201695</v>
      </c>
    </row>
    <row r="858" spans="1:40" x14ac:dyDescent="0.25">
      <c r="A858" t="str">
        <f>"20190312154229729"</f>
        <v>20190312154229729</v>
      </c>
      <c r="B858" t="str">
        <f>"1552376549718365"</f>
        <v>1552376549718365</v>
      </c>
      <c r="C858" t="s">
        <v>40</v>
      </c>
      <c r="D858">
        <v>5.0839319999999999</v>
      </c>
      <c r="E858">
        <v>0.48889379999999999</v>
      </c>
      <c r="F858" t="s">
        <v>47</v>
      </c>
      <c r="G858">
        <v>-191.26429999999999</v>
      </c>
      <c r="H858" s="1">
        <v>-5.897904E-6</v>
      </c>
      <c r="I858">
        <v>368.55340000000001</v>
      </c>
      <c r="J858">
        <v>-258.7242</v>
      </c>
      <c r="K858">
        <v>1.110465</v>
      </c>
      <c r="L858">
        <v>368.2672</v>
      </c>
      <c r="M858">
        <v>0.99989329999999998</v>
      </c>
      <c r="N858">
        <v>0</v>
      </c>
      <c r="O858">
        <v>1.971352E-3</v>
      </c>
      <c r="P858">
        <v>0.99928950000000005</v>
      </c>
      <c r="Q858">
        <v>2.654424E-2</v>
      </c>
      <c r="R858">
        <v>-2.6757110000000001E-2</v>
      </c>
      <c r="S858">
        <v>3.0037989999999999</v>
      </c>
      <c r="T858">
        <v>-4.929936E-2</v>
      </c>
      <c r="U858">
        <v>1.272583E-2</v>
      </c>
      <c r="V858">
        <v>2.8737220000000001E-2</v>
      </c>
      <c r="W858">
        <v>4.0998239999999998E-2</v>
      </c>
      <c r="X858">
        <v>0.99874589999999996</v>
      </c>
      <c r="Y858">
        <v>-2.2649520000000002E-3</v>
      </c>
      <c r="Z858" s="1">
        <v>-1.377026E-5</v>
      </c>
      <c r="AA858">
        <v>0.99999740000000004</v>
      </c>
      <c r="AB858">
        <v>33</v>
      </c>
      <c r="AC858">
        <v>67.459900000000005</v>
      </c>
      <c r="AD858">
        <v>-1.1104708979039899</v>
      </c>
      <c r="AE858">
        <v>0.286200000000008</v>
      </c>
      <c r="AF858">
        <v>-0.15315680190040101</v>
      </c>
      <c r="AG858">
        <v>-1.1104708979039899</v>
      </c>
      <c r="AH858">
        <v>67.442058630162194</v>
      </c>
      <c r="AI858">
        <v>90.943319110036796</v>
      </c>
      <c r="AJ858">
        <v>90.130114997166103</v>
      </c>
      <c r="AK858">
        <v>67.451374151275104</v>
      </c>
      <c r="AL858">
        <v>87.650315386108801</v>
      </c>
      <c r="AM858">
        <v>88.351865815106606</v>
      </c>
      <c r="AN858">
        <v>1.0000000281316099</v>
      </c>
    </row>
    <row r="859" spans="1:40" x14ac:dyDescent="0.25">
      <c r="A859" t="str">
        <f>"20190312154229746"</f>
        <v>20190312154229746</v>
      </c>
      <c r="B859" t="str">
        <f>"1552376549737883"</f>
        <v>1552376549737883</v>
      </c>
      <c r="C859" t="s">
        <v>40</v>
      </c>
      <c r="D859">
        <v>5.085432</v>
      </c>
      <c r="E859">
        <v>0.48893510000000001</v>
      </c>
      <c r="F859" t="s">
        <v>47</v>
      </c>
      <c r="G859">
        <v>-191.6199</v>
      </c>
      <c r="H859" s="1">
        <v>-6.0295219999999998E-6</v>
      </c>
      <c r="I859">
        <v>368.53719999999998</v>
      </c>
      <c r="J859">
        <v>-258.45659999999998</v>
      </c>
      <c r="K859">
        <v>1.11046</v>
      </c>
      <c r="L859">
        <v>368.26760000000002</v>
      </c>
      <c r="M859">
        <v>0.99989349999999999</v>
      </c>
      <c r="N859">
        <v>0</v>
      </c>
      <c r="O859">
        <v>1.897403E-3</v>
      </c>
      <c r="P859">
        <v>0.99928600000000001</v>
      </c>
      <c r="Q859">
        <v>2.6366110000000002E-2</v>
      </c>
      <c r="R859">
        <v>-2.7063759999999999E-2</v>
      </c>
      <c r="S859">
        <v>3.003784</v>
      </c>
      <c r="T859">
        <v>-4.9707889999999998E-2</v>
      </c>
      <c r="U859">
        <v>1.208496E-2</v>
      </c>
      <c r="V859">
        <v>2.8969959999999999E-2</v>
      </c>
      <c r="W859">
        <v>4.0818140000000003E-2</v>
      </c>
      <c r="X859">
        <v>0.99874649999999998</v>
      </c>
      <c r="Y859">
        <v>-2.1255890000000002E-3</v>
      </c>
      <c r="Z859" s="1">
        <v>-1.3813690000000001E-5</v>
      </c>
      <c r="AA859">
        <v>0.99999769999999999</v>
      </c>
      <c r="AB859">
        <v>33</v>
      </c>
      <c r="AC859">
        <v>66.836699999999894</v>
      </c>
      <c r="AD859">
        <v>-1.1104660295219999</v>
      </c>
      <c r="AE859">
        <v>0.26959999999996798</v>
      </c>
      <c r="AF859">
        <v>-0.142730680989548</v>
      </c>
      <c r="AG859">
        <v>-1.1104660295219999</v>
      </c>
      <c r="AH859">
        <v>66.818646575702104</v>
      </c>
      <c r="AI859">
        <v>90.952114690583201</v>
      </c>
      <c r="AJ859">
        <v>90.122388788289499</v>
      </c>
      <c r="AK859">
        <v>66.828025835412802</v>
      </c>
      <c r="AL859">
        <v>87.660642876971707</v>
      </c>
      <c r="AM859">
        <v>88.338526182951597</v>
      </c>
      <c r="AN859">
        <v>0.99999997519885497</v>
      </c>
    </row>
    <row r="860" spans="1:40" x14ac:dyDescent="0.25">
      <c r="A860" t="str">
        <f>"20190312154229759"</f>
        <v>20190312154229759</v>
      </c>
      <c r="B860" t="str">
        <f>"1552376549748620"</f>
        <v>1552376549748620</v>
      </c>
      <c r="C860" t="s">
        <v>40</v>
      </c>
      <c r="D860">
        <v>5.0450010000000001</v>
      </c>
      <c r="E860">
        <v>0.4888921</v>
      </c>
      <c r="F860" t="s">
        <v>47</v>
      </c>
      <c r="G860">
        <v>-192.66499999999999</v>
      </c>
      <c r="H860" s="1">
        <v>-6.414135E-6</v>
      </c>
      <c r="I860">
        <v>368.50490000000002</v>
      </c>
      <c r="J860">
        <v>-258.28379999999999</v>
      </c>
      <c r="K860">
        <v>1.1104590000000001</v>
      </c>
      <c r="L860">
        <v>368.2679</v>
      </c>
      <c r="M860">
        <v>0.99989360000000005</v>
      </c>
      <c r="N860">
        <v>0</v>
      </c>
      <c r="O860">
        <v>1.8496140000000001E-3</v>
      </c>
      <c r="P860">
        <v>0.99927949999999999</v>
      </c>
      <c r="Q860">
        <v>2.665259E-2</v>
      </c>
      <c r="R860">
        <v>-2.7021570000000002E-2</v>
      </c>
      <c r="S860">
        <v>3.0037989999999999</v>
      </c>
      <c r="T860">
        <v>-5.0699710000000002E-2</v>
      </c>
      <c r="U860">
        <v>1.083374E-2</v>
      </c>
      <c r="V860">
        <v>2.88799E-2</v>
      </c>
      <c r="W860">
        <v>4.1103529999999999E-2</v>
      </c>
      <c r="X860">
        <v>0.99873749999999994</v>
      </c>
      <c r="Y860">
        <v>-1.7568670000000001E-3</v>
      </c>
      <c r="Z860" s="1">
        <v>-1.6394099999999999E-5</v>
      </c>
      <c r="AA860">
        <v>0.99999850000000001</v>
      </c>
      <c r="AB860">
        <v>33</v>
      </c>
      <c r="AC860">
        <v>65.618799999999993</v>
      </c>
      <c r="AD860">
        <v>-1.1104654141349899</v>
      </c>
      <c r="AE860">
        <v>0.237000000000023</v>
      </c>
      <c r="AF860">
        <v>-0.11558433452867201</v>
      </c>
      <c r="AG860">
        <v>-1.1104654141349899</v>
      </c>
      <c r="AH860">
        <v>65.600339289306007</v>
      </c>
      <c r="AI860">
        <v>90.969793865641506</v>
      </c>
      <c r="AJ860">
        <v>90.100952034166198</v>
      </c>
      <c r="AK860">
        <v>65.609839262464604</v>
      </c>
      <c r="AL860">
        <v>87.644277726040997</v>
      </c>
      <c r="AM860">
        <v>88.343673469953103</v>
      </c>
      <c r="AN860">
        <v>1.00000007135435</v>
      </c>
    </row>
    <row r="861" spans="1:40" x14ac:dyDescent="0.25">
      <c r="A861" t="str">
        <f>"20190312154229771"</f>
        <v>20190312154229771</v>
      </c>
      <c r="B861" t="str">
        <f>"1552376549758379"</f>
        <v>1552376549758379</v>
      </c>
      <c r="C861" t="s">
        <v>40</v>
      </c>
      <c r="D861">
        <v>5.0404730000000004</v>
      </c>
      <c r="E861">
        <v>0.48871700000000001</v>
      </c>
      <c r="F861" t="s">
        <v>47</v>
      </c>
      <c r="G861">
        <v>-192.00110000000001</v>
      </c>
      <c r="H861" s="1">
        <v>-6.1703290000000002E-6</v>
      </c>
      <c r="I861">
        <v>368.52179999999998</v>
      </c>
      <c r="J861">
        <v>-258.11599999999999</v>
      </c>
      <c r="K861">
        <v>1.11046</v>
      </c>
      <c r="L861">
        <v>368.26819999999998</v>
      </c>
      <c r="M861">
        <v>0.9998937</v>
      </c>
      <c r="N861">
        <v>0</v>
      </c>
      <c r="O861">
        <v>1.802957E-3</v>
      </c>
      <c r="P861">
        <v>0.99927460000000001</v>
      </c>
      <c r="Q861">
        <v>2.686324E-2</v>
      </c>
      <c r="R861">
        <v>-2.699857E-2</v>
      </c>
      <c r="S861">
        <v>3.0038149999999999</v>
      </c>
      <c r="T861">
        <v>-5.0324319999999999E-2</v>
      </c>
      <c r="U861">
        <v>1.1505130000000001E-2</v>
      </c>
      <c r="V861">
        <v>2.8810269999999999E-2</v>
      </c>
      <c r="W861">
        <v>4.1312679999999997E-2</v>
      </c>
      <c r="X861">
        <v>0.99873080000000003</v>
      </c>
      <c r="Y861">
        <v>-2.026974E-3</v>
      </c>
      <c r="Z861" s="1">
        <v>-1.3228509999999999E-5</v>
      </c>
      <c r="AA861">
        <v>0.99999800000000005</v>
      </c>
      <c r="AB861">
        <v>33</v>
      </c>
      <c r="AC861">
        <v>66.114899999999906</v>
      </c>
      <c r="AD861">
        <v>-1.110466170329</v>
      </c>
      <c r="AE861">
        <v>0.25360000000000499</v>
      </c>
      <c r="AF861">
        <v>-0.134346887746257</v>
      </c>
      <c r="AG861">
        <v>-1.110466170329</v>
      </c>
      <c r="AH861">
        <v>66.096603837630795</v>
      </c>
      <c r="AI861">
        <v>90.962514024484705</v>
      </c>
      <c r="AJ861">
        <v>90.116458314212693</v>
      </c>
      <c r="AK861">
        <v>66.106067974660206</v>
      </c>
      <c r="AL861">
        <v>87.632283934382201</v>
      </c>
      <c r="AM861">
        <v>88.347653610375204</v>
      </c>
      <c r="AN861">
        <v>0.99999999002744699</v>
      </c>
    </row>
    <row r="862" spans="1:40" x14ac:dyDescent="0.25">
      <c r="A862" t="str">
        <f>"20190312154229791"</f>
        <v>20190312154229791</v>
      </c>
      <c r="B862" t="str">
        <f>"1552376549777899"</f>
        <v>1552376549777899</v>
      </c>
      <c r="C862" t="s">
        <v>40</v>
      </c>
      <c r="D862">
        <v>4.9809590000000004</v>
      </c>
      <c r="E862">
        <v>0.4887281</v>
      </c>
      <c r="F862" t="s">
        <v>47</v>
      </c>
      <c r="G862">
        <v>-192.49359999999999</v>
      </c>
      <c r="H862" s="1">
        <v>-6.3452249999999999E-6</v>
      </c>
      <c r="I862">
        <v>368.55090000000001</v>
      </c>
      <c r="J862">
        <v>-257.81229999999999</v>
      </c>
      <c r="K862">
        <v>1.1104609999999999</v>
      </c>
      <c r="L862">
        <v>368.26859999999999</v>
      </c>
      <c r="M862">
        <v>0.99989380000000005</v>
      </c>
      <c r="N862">
        <v>0</v>
      </c>
      <c r="O862">
        <v>1.7185830000000001E-3</v>
      </c>
      <c r="P862">
        <v>0.99928159999999999</v>
      </c>
      <c r="Q862">
        <v>2.6674380000000001E-2</v>
      </c>
      <c r="R862">
        <v>-2.6927980000000001E-2</v>
      </c>
      <c r="S862">
        <v>3.0038909999999999</v>
      </c>
      <c r="T862">
        <v>-5.083203E-2</v>
      </c>
      <c r="U862">
        <v>1.293945E-2</v>
      </c>
      <c r="V862">
        <v>2.865529E-2</v>
      </c>
      <c r="W862">
        <v>4.1121629999999999E-2</v>
      </c>
      <c r="X862">
        <v>0.99874320000000005</v>
      </c>
      <c r="Y862">
        <v>-2.5886469999999999E-3</v>
      </c>
      <c r="Z862" s="1">
        <v>-7.1818049999999999E-6</v>
      </c>
      <c r="AA862">
        <v>0.99999669999999896</v>
      </c>
      <c r="AB862">
        <v>33</v>
      </c>
      <c r="AC862">
        <v>65.318700000000007</v>
      </c>
      <c r="AD862">
        <v>-1.110467345225</v>
      </c>
      <c r="AE862">
        <v>0.28230000000001998</v>
      </c>
      <c r="AF862">
        <v>-0.16998309006523399</v>
      </c>
      <c r="AG862">
        <v>-1.110467345225</v>
      </c>
      <c r="AH862">
        <v>65.300215635733096</v>
      </c>
      <c r="AI862">
        <v>90.974250144145699</v>
      </c>
      <c r="AJ862">
        <v>90.149146393412195</v>
      </c>
      <c r="AK862">
        <v>65.309878227179098</v>
      </c>
      <c r="AL862">
        <v>87.643239737108203</v>
      </c>
      <c r="AM862">
        <v>88.356557635360801</v>
      </c>
      <c r="AN862">
        <v>1.0000000468225301</v>
      </c>
    </row>
    <row r="863" spans="1:40" x14ac:dyDescent="0.25">
      <c r="A863" t="str">
        <f>"20190312154229804"</f>
        <v>20190312154229804</v>
      </c>
      <c r="B863" t="str">
        <f>"1552376549798396"</f>
        <v>1552376549798396</v>
      </c>
      <c r="C863" t="s">
        <v>40</v>
      </c>
      <c r="D863">
        <v>4.9861449999999996</v>
      </c>
      <c r="E863">
        <v>0.48861110000000002</v>
      </c>
      <c r="F863" t="s">
        <v>47</v>
      </c>
      <c r="G863">
        <v>-192.71199999999999</v>
      </c>
      <c r="H863" s="1">
        <v>-6.4235460000000004E-6</v>
      </c>
      <c r="I863">
        <v>368.55829999999997</v>
      </c>
      <c r="J863">
        <v>-257.62700000000001</v>
      </c>
      <c r="K863">
        <v>1.1104609999999999</v>
      </c>
      <c r="L863">
        <v>368.26889999999997</v>
      </c>
      <c r="M863">
        <v>0.99989410000000001</v>
      </c>
      <c r="N863">
        <v>0</v>
      </c>
      <c r="O863">
        <v>1.6670999999999999E-3</v>
      </c>
      <c r="P863">
        <v>0.99928819999999996</v>
      </c>
      <c r="Q863">
        <v>2.659574E-2</v>
      </c>
      <c r="R863">
        <v>-2.6757159999999999E-2</v>
      </c>
      <c r="S863">
        <v>3.0038909999999999</v>
      </c>
      <c r="T863">
        <v>-5.1239729999999997E-2</v>
      </c>
      <c r="U863">
        <v>1.33667E-2</v>
      </c>
      <c r="V863">
        <v>2.8432929999999999E-2</v>
      </c>
      <c r="W863">
        <v>4.1041590000000003E-2</v>
      </c>
      <c r="X863">
        <v>0.9987528</v>
      </c>
      <c r="Y863">
        <v>-2.782325E-3</v>
      </c>
      <c r="Z863" s="1">
        <v>-4.709456E-6</v>
      </c>
      <c r="AA863">
        <v>0.99999610000000005</v>
      </c>
      <c r="AB863">
        <v>33</v>
      </c>
      <c r="AC863">
        <v>64.914999999999907</v>
      </c>
      <c r="AD863">
        <v>-1.1104674235459999</v>
      </c>
      <c r="AE863">
        <v>0.28939999999999999</v>
      </c>
      <c r="AF863">
        <v>-0.181115490903617</v>
      </c>
      <c r="AG863">
        <v>-1.1104674235459999</v>
      </c>
      <c r="AH863">
        <v>64.896401909996499</v>
      </c>
      <c r="AI863">
        <v>90.980310747084104</v>
      </c>
      <c r="AJ863">
        <v>90.159902952800294</v>
      </c>
      <c r="AK863">
        <v>64.906154728065601</v>
      </c>
      <c r="AL863">
        <v>87.647829454621004</v>
      </c>
      <c r="AM863">
        <v>88.369319211667701</v>
      </c>
      <c r="AN863">
        <v>0.99999999956297603</v>
      </c>
    </row>
    <row r="864" spans="1:40" x14ac:dyDescent="0.25">
      <c r="A864" t="str">
        <f>"20190312154229817"</f>
        <v>20190312154229817</v>
      </c>
      <c r="B864" t="str">
        <f>"1552376549808155"</f>
        <v>1552376549808155</v>
      </c>
      <c r="C864" t="s">
        <v>40</v>
      </c>
      <c r="D864">
        <v>5.0263249999999999</v>
      </c>
      <c r="E864">
        <v>0.48853479999999999</v>
      </c>
      <c r="F864" t="s">
        <v>47</v>
      </c>
      <c r="G864">
        <v>-193.5061</v>
      </c>
      <c r="H864" s="1">
        <v>-6.708559E-6</v>
      </c>
      <c r="I864">
        <v>368.58420000000001</v>
      </c>
      <c r="J864">
        <v>-257.43740000000003</v>
      </c>
      <c r="K864">
        <v>1.1104579999999999</v>
      </c>
      <c r="L864">
        <v>368.26920000000001</v>
      </c>
      <c r="M864">
        <v>0.99989419999999996</v>
      </c>
      <c r="N864">
        <v>0</v>
      </c>
      <c r="O864">
        <v>1.6147220000000001E-3</v>
      </c>
      <c r="P864">
        <v>0.99929319999999999</v>
      </c>
      <c r="Q864">
        <v>2.650305E-2</v>
      </c>
      <c r="R864">
        <v>-2.6664509999999999E-2</v>
      </c>
      <c r="S864">
        <v>3.0039220000000002</v>
      </c>
      <c r="T864">
        <v>-5.2022930000000002E-2</v>
      </c>
      <c r="U864">
        <v>1.4770510000000001E-2</v>
      </c>
      <c r="V864">
        <v>2.8288000000000001E-2</v>
      </c>
      <c r="W864">
        <v>4.0947249999999998E-2</v>
      </c>
      <c r="X864">
        <v>0.9987608</v>
      </c>
      <c r="Y864">
        <v>-3.301886E-3</v>
      </c>
      <c r="Z864" s="1">
        <v>6.2435359999999898E-7</v>
      </c>
      <c r="AA864">
        <v>0.99999459999999996</v>
      </c>
      <c r="AB864">
        <v>33</v>
      </c>
      <c r="AC864">
        <v>63.9313</v>
      </c>
      <c r="AD864">
        <v>-1.110464708559</v>
      </c>
      <c r="AE864">
        <v>0.314999999999997</v>
      </c>
      <c r="AF864">
        <v>-0.211693656782038</v>
      </c>
      <c r="AG864">
        <v>-1.110464708559</v>
      </c>
      <c r="AH864">
        <v>63.912443095205496</v>
      </c>
      <c r="AI864">
        <v>90.995396011199801</v>
      </c>
      <c r="AJ864">
        <v>90.189776953282006</v>
      </c>
      <c r="AK864">
        <v>63.922439944601301</v>
      </c>
      <c r="AL864">
        <v>87.653239315120899</v>
      </c>
      <c r="AM864">
        <v>88.377639748058797</v>
      </c>
      <c r="AN864">
        <v>1.0000000119215999</v>
      </c>
    </row>
    <row r="865" spans="1:40" x14ac:dyDescent="0.25">
      <c r="A865" t="str">
        <f>"20190312154229831"</f>
        <v>20190312154229831</v>
      </c>
      <c r="B865" t="str">
        <f>"1552376549817916"</f>
        <v>1552376549817916</v>
      </c>
      <c r="C865" t="s">
        <v>40</v>
      </c>
      <c r="D865">
        <v>4.9737539999999996</v>
      </c>
      <c r="E865">
        <v>0.48844959999999998</v>
      </c>
      <c r="F865" t="s">
        <v>47</v>
      </c>
      <c r="G865">
        <v>-193.8595</v>
      </c>
      <c r="H865" s="1">
        <v>-6.8354800000000003E-6</v>
      </c>
      <c r="I865">
        <v>368.59530000000001</v>
      </c>
      <c r="J865">
        <v>-257.23649999999998</v>
      </c>
      <c r="K865">
        <v>1.11046</v>
      </c>
      <c r="L865">
        <v>368.26940000000002</v>
      </c>
      <c r="M865">
        <v>0.99989430000000001</v>
      </c>
      <c r="N865">
        <v>0</v>
      </c>
      <c r="O865">
        <v>1.559125E-3</v>
      </c>
      <c r="P865">
        <v>0.99929979999999996</v>
      </c>
      <c r="Q865">
        <v>2.6333720000000001E-2</v>
      </c>
      <c r="R865">
        <v>-2.658456E-2</v>
      </c>
      <c r="S865">
        <v>3.0039220000000002</v>
      </c>
      <c r="T865">
        <v>-5.2467109999999997E-2</v>
      </c>
      <c r="U865">
        <v>1.5411380000000001E-2</v>
      </c>
      <c r="V865">
        <v>2.8152480000000001E-2</v>
      </c>
      <c r="W865">
        <v>4.0776689999999997E-2</v>
      </c>
      <c r="X865">
        <v>0.99877159999999998</v>
      </c>
      <c r="Y865">
        <v>-3.5707719999999998E-3</v>
      </c>
      <c r="Z865" s="1">
        <v>3.9487799999999997E-6</v>
      </c>
      <c r="AA865">
        <v>0.99999360000000004</v>
      </c>
      <c r="AB865">
        <v>33</v>
      </c>
      <c r="AC865">
        <v>63.376999999999903</v>
      </c>
      <c r="AD865">
        <v>-1.11046683548</v>
      </c>
      <c r="AE865">
        <v>0.32589999999998998</v>
      </c>
      <c r="AF865">
        <v>-0.22700692241748399</v>
      </c>
      <c r="AG865">
        <v>-1.11046683548</v>
      </c>
      <c r="AH865">
        <v>63.357980316062402</v>
      </c>
      <c r="AI865">
        <v>91.004106200509</v>
      </c>
      <c r="AJ865">
        <v>90.205285630220502</v>
      </c>
      <c r="AK865">
        <v>63.3681176812605</v>
      </c>
      <c r="AL865">
        <v>87.663019835147395</v>
      </c>
      <c r="AM865">
        <v>88.3854253540907</v>
      </c>
      <c r="AN865">
        <v>1.0000000047720301</v>
      </c>
    </row>
    <row r="866" spans="1:40" x14ac:dyDescent="0.25">
      <c r="A866" t="str">
        <f>"20190312154229846"</f>
        <v>20190312154229846</v>
      </c>
      <c r="B866" t="str">
        <f>"1552376549838411"</f>
        <v>1552376549838411</v>
      </c>
      <c r="C866" t="s">
        <v>40</v>
      </c>
      <c r="D866">
        <v>5.0046520000000001</v>
      </c>
      <c r="E866">
        <v>0.48800840000000001</v>
      </c>
      <c r="F866" t="s">
        <v>47</v>
      </c>
      <c r="G866">
        <v>-194.3167</v>
      </c>
      <c r="H866" s="1">
        <v>-6.9994649999999997E-6</v>
      </c>
      <c r="I866">
        <v>368.61070000000001</v>
      </c>
      <c r="J866">
        <v>-257.00979999999998</v>
      </c>
      <c r="K866">
        <v>1.1104609999999999</v>
      </c>
      <c r="L866">
        <v>368.2697</v>
      </c>
      <c r="M866">
        <v>0.99989439999999996</v>
      </c>
      <c r="N866">
        <v>0</v>
      </c>
      <c r="O866">
        <v>1.496322E-3</v>
      </c>
      <c r="P866">
        <v>0.99930160000000001</v>
      </c>
      <c r="Q866">
        <v>2.6200919999999999E-2</v>
      </c>
      <c r="R866">
        <v>-2.6652490000000001E-2</v>
      </c>
      <c r="S866">
        <v>3.0039370000000001</v>
      </c>
      <c r="T866">
        <v>-5.3016189999999998E-2</v>
      </c>
      <c r="U866">
        <v>1.6296390000000001E-2</v>
      </c>
      <c r="V866">
        <v>2.815759E-2</v>
      </c>
      <c r="W866">
        <v>4.0641860000000002E-2</v>
      </c>
      <c r="X866">
        <v>0.99877700000000003</v>
      </c>
      <c r="Y866">
        <v>-3.9280900000000004E-3</v>
      </c>
      <c r="Z866" s="1">
        <v>8.251367E-6</v>
      </c>
      <c r="AA866">
        <v>0.99999229999999995</v>
      </c>
      <c r="AB866">
        <v>33</v>
      </c>
      <c r="AC866">
        <v>62.693099999999902</v>
      </c>
      <c r="AD866">
        <v>-1.110467999465</v>
      </c>
      <c r="AE866">
        <v>0.34100000000000802</v>
      </c>
      <c r="AF866">
        <v>-0.24710322680650201</v>
      </c>
      <c r="AG866">
        <v>-1.110467999465</v>
      </c>
      <c r="AH866">
        <v>62.673877256736603</v>
      </c>
      <c r="AI866">
        <v>91.015063712263995</v>
      </c>
      <c r="AJ866">
        <v>90.225897922065002</v>
      </c>
      <c r="AK866">
        <v>62.684201275720298</v>
      </c>
      <c r="AL866">
        <v>87.670751547150701</v>
      </c>
      <c r="AM866">
        <v>88.385141171664102</v>
      </c>
      <c r="AN866">
        <v>1.0000000531939299</v>
      </c>
    </row>
    <row r="867" spans="1:40" x14ac:dyDescent="0.25">
      <c r="A867" t="str">
        <f>"20190312154229859"</f>
        <v>20190312154229859</v>
      </c>
      <c r="B867" t="str">
        <f>"1552376549848172"</f>
        <v>1552376549848172</v>
      </c>
      <c r="C867" t="s">
        <v>40</v>
      </c>
      <c r="D867">
        <v>4.9875759999999998</v>
      </c>
      <c r="E867">
        <v>0.48783140000000003</v>
      </c>
      <c r="F867" t="s">
        <v>47</v>
      </c>
      <c r="G867">
        <v>-192.68209999999999</v>
      </c>
      <c r="H867" s="1">
        <v>-6.3935900000000002E-6</v>
      </c>
      <c r="I867">
        <v>368.69119999999998</v>
      </c>
      <c r="J867">
        <v>-256.82560000000001</v>
      </c>
      <c r="K867">
        <v>1.110466</v>
      </c>
      <c r="L867">
        <v>368.26990000000001</v>
      </c>
      <c r="M867">
        <v>0.99989450000000002</v>
      </c>
      <c r="N867">
        <v>0</v>
      </c>
      <c r="O867">
        <v>1.4449619999999999E-3</v>
      </c>
      <c r="P867">
        <v>0.99929710000000005</v>
      </c>
      <c r="Q867">
        <v>2.658843E-2</v>
      </c>
      <c r="R867">
        <v>-2.6433740000000001E-2</v>
      </c>
      <c r="S867">
        <v>3.004013</v>
      </c>
      <c r="T867">
        <v>-5.1857229999999997E-2</v>
      </c>
      <c r="U867">
        <v>1.9683840000000001E-2</v>
      </c>
      <c r="V867">
        <v>2.788757E-2</v>
      </c>
      <c r="W867">
        <v>4.1027769999999998E-2</v>
      </c>
      <c r="X867">
        <v>0.99876869999999995</v>
      </c>
      <c r="Y867">
        <v>-5.1067389999999999E-3</v>
      </c>
      <c r="Z867" s="1">
        <v>1.9129850000000001E-5</v>
      </c>
      <c r="AA867">
        <v>0.99998690000000001</v>
      </c>
      <c r="AB867">
        <v>33</v>
      </c>
      <c r="AC867">
        <v>64.143500000000003</v>
      </c>
      <c r="AD867">
        <v>-1.1104723935900001</v>
      </c>
      <c r="AE867">
        <v>0.42129999999997297</v>
      </c>
      <c r="AF867">
        <v>-0.32850650306505003</v>
      </c>
      <c r="AG867">
        <v>-1.1104723935900001</v>
      </c>
      <c r="AH867">
        <v>64.124823429285399</v>
      </c>
      <c r="AI867">
        <v>90.992099226192593</v>
      </c>
      <c r="AJ867">
        <v>90.2935192723657</v>
      </c>
      <c r="AK867">
        <v>64.135279256400693</v>
      </c>
      <c r="AL867">
        <v>87.648621845623694</v>
      </c>
      <c r="AM867">
        <v>88.400605653907107</v>
      </c>
      <c r="AN867">
        <v>0.99999995528568197</v>
      </c>
    </row>
    <row r="868" spans="1:40" x14ac:dyDescent="0.25">
      <c r="A868" t="str">
        <f>"20190312154229873"</f>
        <v>20190312154229873</v>
      </c>
      <c r="B868" t="str">
        <f>"1552376549868667"</f>
        <v>1552376549868667</v>
      </c>
      <c r="C868" t="s">
        <v>40</v>
      </c>
      <c r="D868">
        <v>4.9693180000000003</v>
      </c>
      <c r="E868">
        <v>0.4875215</v>
      </c>
      <c r="F868" t="s">
        <v>47</v>
      </c>
      <c r="G868">
        <v>-192.869</v>
      </c>
      <c r="H868" s="1">
        <v>-6.4553620000000003E-6</v>
      </c>
      <c r="I868">
        <v>368.73450000000003</v>
      </c>
      <c r="J868">
        <v>-256.62630000000001</v>
      </c>
      <c r="K868">
        <v>1.1104670000000001</v>
      </c>
      <c r="L868">
        <v>368.27019999999999</v>
      </c>
      <c r="M868">
        <v>0.99989459999999997</v>
      </c>
      <c r="N868">
        <v>0</v>
      </c>
      <c r="O868">
        <v>1.3897289999999999E-3</v>
      </c>
      <c r="P868">
        <v>0.99928609999999896</v>
      </c>
      <c r="Q868">
        <v>2.6775980000000001E-2</v>
      </c>
      <c r="R868">
        <v>-2.6653380000000001E-2</v>
      </c>
      <c r="S868">
        <v>3.004105</v>
      </c>
      <c r="T868">
        <v>-5.2160020000000001E-2</v>
      </c>
      <c r="U868">
        <v>2.182007E-2</v>
      </c>
      <c r="V868">
        <v>2.80521E-2</v>
      </c>
      <c r="W868">
        <v>4.1213109999999997E-2</v>
      </c>
      <c r="X868">
        <v>0.99875650000000005</v>
      </c>
      <c r="Y868">
        <v>-5.8727079999999999E-3</v>
      </c>
      <c r="Z868" s="1">
        <v>2.6849070000000001E-5</v>
      </c>
      <c r="AA868">
        <v>0.99998279999999995</v>
      </c>
      <c r="AB868">
        <v>32</v>
      </c>
      <c r="AC868">
        <v>63.757300000000001</v>
      </c>
      <c r="AD868">
        <v>-1.1104734553619999</v>
      </c>
      <c r="AE868">
        <v>0.46430000000003702</v>
      </c>
      <c r="AF868">
        <v>-0.37557100166422902</v>
      </c>
      <c r="AG868">
        <v>-1.1104734553619999</v>
      </c>
      <c r="AH868">
        <v>63.738549115594601</v>
      </c>
      <c r="AI868">
        <v>90.998107151328995</v>
      </c>
      <c r="AJ868">
        <v>90.337603923595495</v>
      </c>
      <c r="AK868">
        <v>63.749328217899098</v>
      </c>
      <c r="AL868">
        <v>87.637993746367201</v>
      </c>
      <c r="AM868">
        <v>88.391154912187602</v>
      </c>
      <c r="AN868">
        <v>0.99999999352126601</v>
      </c>
    </row>
    <row r="869" spans="1:40" x14ac:dyDescent="0.25">
      <c r="A869" t="str">
        <f>"20190312154229892"</f>
        <v>20190312154229892</v>
      </c>
      <c r="B869" t="str">
        <f>"1552376549888188"</f>
        <v>1552376549888188</v>
      </c>
      <c r="C869" t="s">
        <v>40</v>
      </c>
      <c r="D869">
        <v>4.9243550000000003</v>
      </c>
      <c r="E869">
        <v>0.4873478</v>
      </c>
      <c r="F869" t="s">
        <v>47</v>
      </c>
      <c r="G869">
        <v>-195.2688</v>
      </c>
      <c r="H869" s="1">
        <v>-7.325484E-6</v>
      </c>
      <c r="I869">
        <v>368.75139999999999</v>
      </c>
      <c r="J869">
        <v>-256.3553</v>
      </c>
      <c r="K869">
        <v>1.1104670000000001</v>
      </c>
      <c r="L869">
        <v>368.27050000000003</v>
      </c>
      <c r="M869">
        <v>0.99989470000000003</v>
      </c>
      <c r="N869">
        <v>0</v>
      </c>
      <c r="O869">
        <v>1.31476799999999E-3</v>
      </c>
      <c r="P869">
        <v>0.99929369999999995</v>
      </c>
      <c r="Q869">
        <v>2.6493360000000001E-2</v>
      </c>
      <c r="R869">
        <v>-2.6658359999999999E-2</v>
      </c>
      <c r="S869">
        <v>3.004257</v>
      </c>
      <c r="T869">
        <v>-5.4372429999999999E-2</v>
      </c>
      <c r="U869">
        <v>2.3559569999999998E-2</v>
      </c>
      <c r="V869">
        <v>2.7981969999999998E-2</v>
      </c>
      <c r="W869">
        <v>4.0928199999999998E-2</v>
      </c>
      <c r="X869">
        <v>0.99877020000000005</v>
      </c>
      <c r="Y869">
        <v>-6.5260960000000003E-3</v>
      </c>
      <c r="Z869" s="1">
        <v>3.525499E-5</v>
      </c>
      <c r="AA869">
        <v>0.9999787</v>
      </c>
      <c r="AB869">
        <v>32</v>
      </c>
      <c r="AC869">
        <v>61.086500000000001</v>
      </c>
      <c r="AD869">
        <v>-1.1104743254839999</v>
      </c>
      <c r="AE869">
        <v>0.48089999999996202</v>
      </c>
      <c r="AF869">
        <v>-0.40044429530335202</v>
      </c>
      <c r="AG869">
        <v>-1.1104743254839999</v>
      </c>
      <c r="AH869">
        <v>61.066900256211603</v>
      </c>
      <c r="AI869">
        <v>91.041760963538806</v>
      </c>
      <c r="AJ869">
        <v>90.375709903392504</v>
      </c>
      <c r="AK869">
        <v>61.0783088810037</v>
      </c>
      <c r="AL869">
        <v>87.654331711670693</v>
      </c>
      <c r="AM869">
        <v>88.3951969062892</v>
      </c>
      <c r="AN869">
        <v>1.00000001030418</v>
      </c>
    </row>
    <row r="870" spans="1:40" x14ac:dyDescent="0.25">
      <c r="A870" t="str">
        <f>"20190312154229904"</f>
        <v>20190312154229904</v>
      </c>
      <c r="B870" t="str">
        <f>"1552376549897948"</f>
        <v>1552376549897948</v>
      </c>
      <c r="C870" t="s">
        <v>40</v>
      </c>
      <c r="D870">
        <v>4.8771789999999999</v>
      </c>
      <c r="E870">
        <v>0.487346</v>
      </c>
      <c r="F870" t="s">
        <v>47</v>
      </c>
      <c r="G870">
        <v>-197.13310000000001</v>
      </c>
      <c r="H870" s="1">
        <v>-8.0016029999999996E-6</v>
      </c>
      <c r="I870">
        <v>368.76319999999998</v>
      </c>
      <c r="J870">
        <v>-256.15980000000002</v>
      </c>
      <c r="K870">
        <v>1.1104670000000001</v>
      </c>
      <c r="L870">
        <v>368.27069999999998</v>
      </c>
      <c r="M870">
        <v>0.99989470000000003</v>
      </c>
      <c r="N870">
        <v>0</v>
      </c>
      <c r="O870">
        <v>1.260546E-3</v>
      </c>
      <c r="P870">
        <v>0.99930039999999998</v>
      </c>
      <c r="Q870">
        <v>2.617067E-2</v>
      </c>
      <c r="R870">
        <v>-2.6711039999999998E-2</v>
      </c>
      <c r="S870">
        <v>3.0042879999999998</v>
      </c>
      <c r="T870">
        <v>-5.6333300000000003E-2</v>
      </c>
      <c r="U870">
        <v>2.4993899999999999E-2</v>
      </c>
      <c r="V870">
        <v>2.7980660000000001E-2</v>
      </c>
      <c r="W870">
        <v>4.0604220000000003E-2</v>
      </c>
      <c r="X870">
        <v>0.99878350000000005</v>
      </c>
      <c r="Y870">
        <v>-7.0574619999999996E-3</v>
      </c>
      <c r="Z870" s="1">
        <v>4.2523759999999998E-5</v>
      </c>
      <c r="AA870">
        <v>0.99997510000000001</v>
      </c>
      <c r="AB870">
        <v>32</v>
      </c>
      <c r="AC870">
        <v>59.026699999999998</v>
      </c>
      <c r="AD870">
        <v>-1.1104750016030001</v>
      </c>
      <c r="AE870">
        <v>0.49250000000000599</v>
      </c>
      <c r="AF870">
        <v>-0.417938049821378</v>
      </c>
      <c r="AG870">
        <v>-1.1104750016030001</v>
      </c>
      <c r="AH870">
        <v>59.006391146387003</v>
      </c>
      <c r="AI870">
        <v>91.078127712974194</v>
      </c>
      <c r="AJ870">
        <v>90.405815123719506</v>
      </c>
      <c r="AK870">
        <v>59.018319385281501</v>
      </c>
      <c r="AL870">
        <v>87.672909934270507</v>
      </c>
      <c r="AM870">
        <v>88.395293354946702</v>
      </c>
      <c r="AN870">
        <v>1.00000004994404</v>
      </c>
    </row>
    <row r="871" spans="1:40" x14ac:dyDescent="0.25">
      <c r="A871" t="str">
        <f>"20190312154229916"</f>
        <v>20190312154229916</v>
      </c>
      <c r="B871" t="str">
        <f>"1552376549908684"</f>
        <v>1552376549908684</v>
      </c>
      <c r="C871" t="s">
        <v>40</v>
      </c>
      <c r="D871">
        <v>4.846292</v>
      </c>
      <c r="E871">
        <v>0.48761850000000001</v>
      </c>
      <c r="F871" t="s">
        <v>47</v>
      </c>
      <c r="G871">
        <v>-197.88079999999999</v>
      </c>
      <c r="H871" s="1">
        <v>-8.2748140000000008E-6</v>
      </c>
      <c r="I871">
        <v>368.75380000000001</v>
      </c>
      <c r="J871">
        <v>-255.9982</v>
      </c>
      <c r="K871">
        <v>1.110468</v>
      </c>
      <c r="L871">
        <v>368.27089999999998</v>
      </c>
      <c r="M871">
        <v>0.99989499999999998</v>
      </c>
      <c r="N871">
        <v>0</v>
      </c>
      <c r="O871">
        <v>1.2155600000000001E-3</v>
      </c>
      <c r="P871">
        <v>0.99930699999999995</v>
      </c>
      <c r="Q871">
        <v>2.572783E-2</v>
      </c>
      <c r="R871">
        <v>-2.6906530000000001E-2</v>
      </c>
      <c r="S871">
        <v>3.0042270000000002</v>
      </c>
      <c r="T871">
        <v>-5.724394E-2</v>
      </c>
      <c r="U871">
        <v>2.4902339999999999E-2</v>
      </c>
      <c r="V871">
        <v>2.81309E-2</v>
      </c>
      <c r="W871">
        <v>4.0159689999999998E-2</v>
      </c>
      <c r="X871">
        <v>0.99879720000000005</v>
      </c>
      <c r="Y871">
        <v>-7.0721050000000004E-3</v>
      </c>
      <c r="Z871" s="1">
        <v>4.4208590000000002E-5</v>
      </c>
      <c r="AA871">
        <v>0.99997499999999995</v>
      </c>
      <c r="AB871">
        <v>32</v>
      </c>
      <c r="AC871">
        <v>58.117400000000004</v>
      </c>
      <c r="AD871">
        <v>-1.110476274814</v>
      </c>
      <c r="AE871">
        <v>0.48290000000002897</v>
      </c>
      <c r="AF871">
        <v>-0.412096645950976</v>
      </c>
      <c r="AG871">
        <v>-1.110476274814</v>
      </c>
      <c r="AH871">
        <v>58.096734730277198</v>
      </c>
      <c r="AI871">
        <v>91.095005720002206</v>
      </c>
      <c r="AJ871">
        <v>90.406408427015293</v>
      </c>
      <c r="AK871">
        <v>58.108808002941501</v>
      </c>
      <c r="AL871">
        <v>87.698400297437502</v>
      </c>
      <c r="AM871">
        <v>88.3867036650106</v>
      </c>
      <c r="AN871">
        <v>0.99999999748177304</v>
      </c>
    </row>
    <row r="872" spans="1:40" x14ac:dyDescent="0.25">
      <c r="A872" t="str">
        <f>"20190312154229929"</f>
        <v>20190312154229929</v>
      </c>
      <c r="B872" t="str">
        <f>"1552376549918444"</f>
        <v>1552376549918444</v>
      </c>
      <c r="C872" t="s">
        <v>40</v>
      </c>
      <c r="D872">
        <v>4.8857369999999998</v>
      </c>
      <c r="E872">
        <v>0.4877397</v>
      </c>
      <c r="F872" t="s">
        <v>47</v>
      </c>
      <c r="G872">
        <v>-201.1122</v>
      </c>
      <c r="H872" s="1">
        <v>-9.0319759999999996E-7</v>
      </c>
      <c r="I872">
        <v>368.67570000000001</v>
      </c>
      <c r="J872">
        <v>-255.81809999999999</v>
      </c>
      <c r="K872">
        <v>1.110468</v>
      </c>
      <c r="L872">
        <v>368.27100000000002</v>
      </c>
      <c r="M872">
        <v>0.99989499999999998</v>
      </c>
      <c r="N872">
        <v>0</v>
      </c>
      <c r="O872">
        <v>1.1655680000000001E-3</v>
      </c>
      <c r="P872">
        <v>0.99931539999999996</v>
      </c>
      <c r="Q872">
        <v>2.5385040000000001E-2</v>
      </c>
      <c r="R872">
        <v>-2.6915870000000001E-2</v>
      </c>
      <c r="S872">
        <v>3.004257</v>
      </c>
      <c r="T872">
        <v>-6.0782910000000002E-2</v>
      </c>
      <c r="U872">
        <v>2.215576E-2</v>
      </c>
      <c r="V872">
        <v>2.8090210000000001E-2</v>
      </c>
      <c r="W872">
        <v>3.9815690000000001E-2</v>
      </c>
      <c r="X872">
        <v>0.99881209999999998</v>
      </c>
      <c r="Y872">
        <v>-6.2078940000000003E-3</v>
      </c>
      <c r="Z872" s="1">
        <v>3.9210800000000001E-5</v>
      </c>
      <c r="AA872">
        <v>0.99998069999999895</v>
      </c>
      <c r="AB872">
        <v>32</v>
      </c>
      <c r="AC872">
        <v>54.7058999999999</v>
      </c>
      <c r="AD872">
        <v>-1.1104689031976001</v>
      </c>
      <c r="AE872">
        <v>0.40470000000004702</v>
      </c>
      <c r="AF872">
        <v>-0.34078921330179401</v>
      </c>
      <c r="AG872">
        <v>-1.1104689031976001</v>
      </c>
      <c r="AH872">
        <v>54.683803641024703</v>
      </c>
      <c r="AI872">
        <v>91.163328051524303</v>
      </c>
      <c r="AJ872">
        <v>90.357062412493505</v>
      </c>
      <c r="AK872">
        <v>54.6961393438607</v>
      </c>
      <c r="AL872">
        <v>87.718125783042694</v>
      </c>
      <c r="AM872">
        <v>88.389060009616998</v>
      </c>
      <c r="AN872">
        <v>0.99999998008721402</v>
      </c>
    </row>
    <row r="873" spans="1:40" x14ac:dyDescent="0.25">
      <c r="A873" t="str">
        <f>"20190312154229947"</f>
        <v>20190312154229947</v>
      </c>
      <c r="B873" t="str">
        <f>"1552376549937964"</f>
        <v>1552376549937964</v>
      </c>
      <c r="C873" t="s">
        <v>40</v>
      </c>
      <c r="D873">
        <v>4.8654489999999999</v>
      </c>
      <c r="E873">
        <v>0.48795290000000002</v>
      </c>
      <c r="F873" t="s">
        <v>47</v>
      </c>
      <c r="G873">
        <v>-205.6978</v>
      </c>
      <c r="H873" s="1">
        <v>-3.5000329999999998E-6</v>
      </c>
      <c r="I873">
        <v>368.62380000000002</v>
      </c>
      <c r="J873">
        <v>-255.54</v>
      </c>
      <c r="K873">
        <v>1.110466</v>
      </c>
      <c r="L873">
        <v>368.2713</v>
      </c>
      <c r="M873">
        <v>0.99989519999999998</v>
      </c>
      <c r="N873">
        <v>0</v>
      </c>
      <c r="O873">
        <v>1.0882279999999999E-3</v>
      </c>
      <c r="P873">
        <v>0.99931760000000003</v>
      </c>
      <c r="Q873">
        <v>2.509275E-2</v>
      </c>
      <c r="R873">
        <v>-2.710717E-2</v>
      </c>
      <c r="S873">
        <v>3.0043489999999999</v>
      </c>
      <c r="T873">
        <v>-6.6564799999999993E-2</v>
      </c>
      <c r="U873">
        <v>2.114868E-2</v>
      </c>
      <c r="V873">
        <v>2.8204150000000001E-2</v>
      </c>
      <c r="W873">
        <v>3.9520760000000002E-2</v>
      </c>
      <c r="X873">
        <v>0.99882059999999995</v>
      </c>
      <c r="Y873">
        <v>-5.9496699999999998E-3</v>
      </c>
      <c r="Z873" s="1">
        <v>4.1791820000000003E-5</v>
      </c>
      <c r="AA873">
        <v>0.99998229999999999</v>
      </c>
      <c r="AB873">
        <v>32</v>
      </c>
      <c r="AC873">
        <v>49.842199999999899</v>
      </c>
      <c r="AD873">
        <v>-1.110469500033</v>
      </c>
      <c r="AE873">
        <v>0.35250000000002002</v>
      </c>
      <c r="AF873">
        <v>-0.298106492562075</v>
      </c>
      <c r="AG873">
        <v>-1.110469500033</v>
      </c>
      <c r="AH873">
        <v>49.817826524477901</v>
      </c>
      <c r="AI873">
        <v>91.276923278940401</v>
      </c>
      <c r="AJ873">
        <v>90.342849963528906</v>
      </c>
      <c r="AK873">
        <v>49.831093201076598</v>
      </c>
      <c r="AL873">
        <v>87.735037333414098</v>
      </c>
      <c r="AM873">
        <v>88.382542908239898</v>
      </c>
      <c r="AN873">
        <v>0.99999997776627902</v>
      </c>
    </row>
    <row r="874" spans="1:40" x14ac:dyDescent="0.25">
      <c r="A874" t="str">
        <f>"20190312154229959"</f>
        <v>20190312154229959</v>
      </c>
      <c r="B874" t="str">
        <f>"1552376549947724"</f>
        <v>1552376549947724</v>
      </c>
      <c r="C874" t="s">
        <v>40</v>
      </c>
      <c r="D874">
        <v>4.8197530000000004</v>
      </c>
      <c r="E874">
        <v>0.48815589999999998</v>
      </c>
      <c r="F874" t="s">
        <v>43</v>
      </c>
      <c r="G874">
        <v>-211.33449999999999</v>
      </c>
      <c r="H874" s="1">
        <v>-3.8881360000000002E-6</v>
      </c>
      <c r="I874">
        <v>368.55459999999999</v>
      </c>
      <c r="J874">
        <v>-255.36709999999999</v>
      </c>
      <c r="K874">
        <v>1.110465</v>
      </c>
      <c r="L874">
        <v>368.27140000000003</v>
      </c>
      <c r="M874">
        <v>0.99989519999999998</v>
      </c>
      <c r="N874">
        <v>0</v>
      </c>
      <c r="O874">
        <v>1.0402650000000001E-3</v>
      </c>
      <c r="P874">
        <v>0.99930529999999995</v>
      </c>
      <c r="Q874">
        <v>2.536325E-2</v>
      </c>
      <c r="R874">
        <v>-2.7311019999999998E-2</v>
      </c>
      <c r="S874">
        <v>3.0044710000000001</v>
      </c>
      <c r="T874">
        <v>-7.5474020000000003E-2</v>
      </c>
      <c r="U874">
        <v>1.9256590000000001E-2</v>
      </c>
      <c r="V874">
        <v>2.8359929999999998E-2</v>
      </c>
      <c r="W874">
        <v>3.978901E-2</v>
      </c>
      <c r="X874">
        <v>0.99880559999999996</v>
      </c>
      <c r="Y874">
        <v>-5.3674609999999996E-3</v>
      </c>
      <c r="Z874" s="1">
        <v>4.1275169999999999E-5</v>
      </c>
      <c r="AA874">
        <v>0.99998560000000003</v>
      </c>
      <c r="AB874">
        <v>32</v>
      </c>
      <c r="AC874">
        <v>44.032600000000002</v>
      </c>
      <c r="AD874">
        <v>-1.1104688881360001</v>
      </c>
      <c r="AE874">
        <v>0.28319999999996498</v>
      </c>
      <c r="AF874">
        <v>-0.23723861800416901</v>
      </c>
      <c r="AG874">
        <v>-1.1104688881360001</v>
      </c>
      <c r="AH874">
        <v>44.004884402933797</v>
      </c>
      <c r="AI874">
        <v>91.445538530951396</v>
      </c>
      <c r="AJ874">
        <v>90.308889343648502</v>
      </c>
      <c r="AK874">
        <v>44.019532876087602</v>
      </c>
      <c r="AL874">
        <v>87.719655780661796</v>
      </c>
      <c r="AM874">
        <v>88.373589579555798</v>
      </c>
      <c r="AN874">
        <v>1.0000000387688699</v>
      </c>
    </row>
    <row r="875" spans="1:40" x14ac:dyDescent="0.25">
      <c r="A875" t="str">
        <f>"20190312154229972"</f>
        <v>20190312154229972</v>
      </c>
      <c r="B875" t="str">
        <f>"1552376549968220"</f>
        <v>1552376549968220</v>
      </c>
      <c r="C875" t="s">
        <v>40</v>
      </c>
      <c r="D875">
        <v>4.8554639999999996</v>
      </c>
      <c r="E875">
        <v>0.48844789999999999</v>
      </c>
      <c r="F875" t="s">
        <v>43</v>
      </c>
      <c r="G875">
        <v>-212.07329999999999</v>
      </c>
      <c r="H875" s="1">
        <v>-3.5769789999999999E-6</v>
      </c>
      <c r="I875">
        <v>368.52199999999999</v>
      </c>
      <c r="J875">
        <v>-255.19560000000001</v>
      </c>
      <c r="K875">
        <v>1.110466</v>
      </c>
      <c r="L875">
        <v>368.2715</v>
      </c>
      <c r="M875">
        <v>0.99989519999999998</v>
      </c>
      <c r="N875">
        <v>0</v>
      </c>
      <c r="O875">
        <v>9.9259869999999994E-4</v>
      </c>
      <c r="P875">
        <v>0.99930359999999996</v>
      </c>
      <c r="Q875">
        <v>2.5383949999999999E-2</v>
      </c>
      <c r="R875">
        <v>-2.734781E-2</v>
      </c>
      <c r="S875">
        <v>3.004486</v>
      </c>
      <c r="T875">
        <v>-7.7063679999999996E-2</v>
      </c>
      <c r="U875">
        <v>1.7395020000000001E-2</v>
      </c>
      <c r="V875">
        <v>2.8349289999999999E-2</v>
      </c>
      <c r="W875">
        <v>3.9808080000000003E-2</v>
      </c>
      <c r="X875">
        <v>0.9988051</v>
      </c>
      <c r="Y875">
        <v>-4.7956470000000001E-3</v>
      </c>
      <c r="Z875" s="1">
        <v>3.6034510000000003E-5</v>
      </c>
      <c r="AA875">
        <v>0.99998849999999995</v>
      </c>
      <c r="AB875">
        <v>32</v>
      </c>
      <c r="AC875">
        <v>43.122300000000003</v>
      </c>
      <c r="AD875">
        <v>-1.1104695769790001</v>
      </c>
      <c r="AE875">
        <v>0.25049999999998801</v>
      </c>
      <c r="AF875">
        <v>-0.207554638011887</v>
      </c>
      <c r="AG875">
        <v>-1.1104695769790001</v>
      </c>
      <c r="AH875">
        <v>43.0939507850265</v>
      </c>
      <c r="AI875">
        <v>91.476086648846106</v>
      </c>
      <c r="AJ875">
        <v>90.275953181549994</v>
      </c>
      <c r="AK875">
        <v>43.108755675285302</v>
      </c>
      <c r="AL875">
        <v>87.718562187652793</v>
      </c>
      <c r="AM875">
        <v>88.3741986307285</v>
      </c>
      <c r="AN875">
        <v>0.99999999663140005</v>
      </c>
    </row>
    <row r="876" spans="1:40" x14ac:dyDescent="0.25">
      <c r="A876" t="str">
        <f>"20190312154229985"</f>
        <v>20190312154229985</v>
      </c>
      <c r="B876" t="str">
        <f>"1552376549977981"</f>
        <v>1552376549977981</v>
      </c>
      <c r="C876" t="s">
        <v>40</v>
      </c>
      <c r="D876">
        <v>4.8336300000000003</v>
      </c>
      <c r="E876">
        <v>0.48852040000000002</v>
      </c>
      <c r="F876" t="s">
        <v>43</v>
      </c>
      <c r="G876">
        <v>-214.83680000000001</v>
      </c>
      <c r="H876" s="1">
        <v>-2.4005600000000001E-6</v>
      </c>
      <c r="I876">
        <v>368.4708</v>
      </c>
      <c r="J876">
        <v>-254.999</v>
      </c>
      <c r="K876">
        <v>1.110466</v>
      </c>
      <c r="L876">
        <v>368.27170000000001</v>
      </c>
      <c r="M876">
        <v>0.99989530000000004</v>
      </c>
      <c r="N876">
        <v>0</v>
      </c>
      <c r="O876">
        <v>9.3784260000000003E-4</v>
      </c>
      <c r="P876">
        <v>0.99930479999999999</v>
      </c>
      <c r="Q876">
        <v>2.5328170000000001E-2</v>
      </c>
      <c r="R876">
        <v>-2.7357380000000001E-2</v>
      </c>
      <c r="S876">
        <v>3.004578</v>
      </c>
      <c r="T876">
        <v>-8.2670450000000006E-2</v>
      </c>
      <c r="U876">
        <v>1.4831540000000001E-2</v>
      </c>
      <c r="V876">
        <v>2.830415E-2</v>
      </c>
      <c r="W876">
        <v>3.9749939999999997E-2</v>
      </c>
      <c r="X876">
        <v>0.99880869999999999</v>
      </c>
      <c r="Y876">
        <v>-3.9971670000000003E-3</v>
      </c>
      <c r="Z876" s="1">
        <v>2.9177729999999999E-5</v>
      </c>
      <c r="AA876">
        <v>0.99999199999999999</v>
      </c>
      <c r="AB876">
        <v>32</v>
      </c>
      <c r="AC876">
        <v>40.162199999999999</v>
      </c>
      <c r="AD876">
        <v>-1.1104684005599901</v>
      </c>
      <c r="AE876">
        <v>0.19909999999998701</v>
      </c>
      <c r="AF876">
        <v>-0.16130684686386501</v>
      </c>
      <c r="AG876">
        <v>-1.1104684005599901</v>
      </c>
      <c r="AH876">
        <v>40.131689160446101</v>
      </c>
      <c r="AI876">
        <v>91.584992044695994</v>
      </c>
      <c r="AJ876">
        <v>90.230295608126895</v>
      </c>
      <c r="AK876">
        <v>40.1473739469739</v>
      </c>
      <c r="AL876">
        <v>87.721896012760695</v>
      </c>
      <c r="AM876">
        <v>88.376791822666604</v>
      </c>
      <c r="AN876">
        <v>1.00000000091645</v>
      </c>
    </row>
    <row r="877" spans="1:40" x14ac:dyDescent="0.25">
      <c r="A877" t="str">
        <f>"20190312154230004"</f>
        <v>20190312154230004</v>
      </c>
      <c r="B877" t="str">
        <f>"1552376549998476"</f>
        <v>1552376549998476</v>
      </c>
      <c r="C877" t="s">
        <v>40</v>
      </c>
      <c r="D877">
        <v>4.8531829999999996</v>
      </c>
      <c r="E877">
        <v>0.48863240000000002</v>
      </c>
      <c r="F877" t="s">
        <v>43</v>
      </c>
      <c r="G877">
        <v>-216.1362</v>
      </c>
      <c r="H877" s="1">
        <v>-1.845371E-6</v>
      </c>
      <c r="I877">
        <v>368.45800000000003</v>
      </c>
      <c r="J877">
        <v>-254.73349999999999</v>
      </c>
      <c r="K877">
        <v>1.110465</v>
      </c>
      <c r="L877">
        <v>368.27190000000002</v>
      </c>
      <c r="M877">
        <v>0.99989539999999999</v>
      </c>
      <c r="N877">
        <v>0</v>
      </c>
      <c r="O877">
        <v>8.6437359999999997E-4</v>
      </c>
      <c r="P877">
        <v>0.99931709999999996</v>
      </c>
      <c r="Q877">
        <v>2.4646149999999999E-2</v>
      </c>
      <c r="R877">
        <v>-2.7530900000000001E-2</v>
      </c>
      <c r="S877">
        <v>3.0046539999999999</v>
      </c>
      <c r="T877">
        <v>-8.5855009999999995E-2</v>
      </c>
      <c r="U877">
        <v>1.44043E-2</v>
      </c>
      <c r="V877">
        <v>2.8403999999999999E-2</v>
      </c>
      <c r="W877">
        <v>3.906573E-2</v>
      </c>
      <c r="X877">
        <v>0.99883290000000002</v>
      </c>
      <c r="Y877">
        <v>-3.9282350000000004E-3</v>
      </c>
      <c r="Z877" s="1">
        <v>3.1414939999999999E-5</v>
      </c>
      <c r="AA877">
        <v>0.99999229999999995</v>
      </c>
      <c r="AB877">
        <v>32</v>
      </c>
      <c r="AC877">
        <v>38.597299999999898</v>
      </c>
      <c r="AD877">
        <v>-1.110466845371</v>
      </c>
      <c r="AE877">
        <v>0.18610000000001001</v>
      </c>
      <c r="AF877">
        <v>-0.15260764819172301</v>
      </c>
      <c r="AG877">
        <v>-1.110466845371</v>
      </c>
      <c r="AH877">
        <v>38.565524719659997</v>
      </c>
      <c r="AI877">
        <v>91.649322573205197</v>
      </c>
      <c r="AJ877">
        <v>90.226723961057004</v>
      </c>
      <c r="AK877">
        <v>38.581810774141502</v>
      </c>
      <c r="AL877">
        <v>87.761128922693601</v>
      </c>
      <c r="AM877">
        <v>88.371108072653797</v>
      </c>
      <c r="AN877">
        <v>1.00000004029942</v>
      </c>
    </row>
    <row r="878" spans="1:40" x14ac:dyDescent="0.25">
      <c r="A878" t="str">
        <f>"20190312154230017"</f>
        <v>20190312154230017</v>
      </c>
      <c r="B878" t="str">
        <f>"1552376550008236"</f>
        <v>1552376550008236</v>
      </c>
      <c r="C878" t="s">
        <v>40</v>
      </c>
      <c r="D878">
        <v>4.830444</v>
      </c>
      <c r="E878">
        <v>0.48869289999999999</v>
      </c>
      <c r="F878" t="s">
        <v>43</v>
      </c>
      <c r="G878">
        <v>-219.1336</v>
      </c>
      <c r="H878" s="1">
        <v>-5.9751379999999998E-7</v>
      </c>
      <c r="I878">
        <v>368.42660000000001</v>
      </c>
      <c r="J878">
        <v>-254.5359</v>
      </c>
      <c r="K878">
        <v>1.110465</v>
      </c>
      <c r="L878">
        <v>368.27199999999999</v>
      </c>
      <c r="M878">
        <v>0.9998956</v>
      </c>
      <c r="N878">
        <v>0</v>
      </c>
      <c r="O878">
        <v>8.0931850000000001E-4</v>
      </c>
      <c r="P878">
        <v>0.99931590000000003</v>
      </c>
      <c r="Q878">
        <v>2.432873E-2</v>
      </c>
      <c r="R878">
        <v>-2.7861819999999999E-2</v>
      </c>
      <c r="S878">
        <v>3.0047299999999999</v>
      </c>
      <c r="T878">
        <v>-9.3726160000000003E-2</v>
      </c>
      <c r="U878">
        <v>1.306152E-2</v>
      </c>
      <c r="V878">
        <v>2.8679799999999998E-2</v>
      </c>
      <c r="W878">
        <v>3.8746500000000003E-2</v>
      </c>
      <c r="X878">
        <v>0.99883739999999999</v>
      </c>
      <c r="Y878">
        <v>-3.5362240000000001E-3</v>
      </c>
      <c r="Z878" s="1">
        <v>2.9897489999999999E-5</v>
      </c>
      <c r="AA878">
        <v>0.99999369999999999</v>
      </c>
      <c r="AB878">
        <v>32</v>
      </c>
      <c r="AC878">
        <v>35.402299999999997</v>
      </c>
      <c r="AD878">
        <v>-1.1104655975138</v>
      </c>
      <c r="AE878">
        <v>0.154600000000016</v>
      </c>
      <c r="AF878">
        <v>-0.12582143856029901</v>
      </c>
      <c r="AG878">
        <v>-1.1104655975138</v>
      </c>
      <c r="AH878">
        <v>35.367616299391202</v>
      </c>
      <c r="AI878">
        <v>91.798359662879406</v>
      </c>
      <c r="AJ878">
        <v>90.203830728323894</v>
      </c>
      <c r="AK878">
        <v>35.385268793364098</v>
      </c>
      <c r="AL878">
        <v>87.7794331939172</v>
      </c>
      <c r="AM878">
        <v>88.355307745911901</v>
      </c>
      <c r="AN878">
        <v>0.99999998691452396</v>
      </c>
    </row>
    <row r="879" spans="1:40" x14ac:dyDescent="0.25">
      <c r="A879" t="str">
        <f>"20190312154230038"</f>
        <v>20190312154230038</v>
      </c>
      <c r="B879" t="str">
        <f>"1552376550027756"</f>
        <v>1552376550027756</v>
      </c>
      <c r="C879" t="s">
        <v>40</v>
      </c>
      <c r="D879">
        <v>4.8292419999999998</v>
      </c>
      <c r="E879">
        <v>0.48880869999999998</v>
      </c>
      <c r="F879" t="s">
        <v>43</v>
      </c>
      <c r="G879">
        <v>-220.28569999999999</v>
      </c>
      <c r="H879" s="1">
        <v>-4.36481E-6</v>
      </c>
      <c r="I879">
        <v>368.40379999999999</v>
      </c>
      <c r="J879">
        <v>-254.24379999999999</v>
      </c>
      <c r="K879">
        <v>1.11046</v>
      </c>
      <c r="L879">
        <v>368.27210000000002</v>
      </c>
      <c r="M879">
        <v>0.9998956</v>
      </c>
      <c r="N879">
        <v>0</v>
      </c>
      <c r="O879">
        <v>7.2793169999999896E-4</v>
      </c>
      <c r="P879">
        <v>0.99932659999999995</v>
      </c>
      <c r="Q879">
        <v>2.3493E-2</v>
      </c>
      <c r="R879">
        <v>-2.81912E-2</v>
      </c>
      <c r="S879">
        <v>3.0047299999999999</v>
      </c>
      <c r="T879">
        <v>-9.7420099999999996E-2</v>
      </c>
      <c r="U879">
        <v>1.1566160000000001E-2</v>
      </c>
      <c r="V879">
        <v>2.8927609999999999E-2</v>
      </c>
      <c r="W879">
        <v>3.7907410000000002E-2</v>
      </c>
      <c r="X879">
        <v>0.99886240000000004</v>
      </c>
      <c r="Y879">
        <v>-3.1200300000000002E-3</v>
      </c>
      <c r="Z879" s="1">
        <v>2.6968369999999999E-5</v>
      </c>
      <c r="AA879">
        <v>0.99999510000000003</v>
      </c>
      <c r="AB879">
        <v>32</v>
      </c>
      <c r="AC879">
        <v>33.958100000000002</v>
      </c>
      <c r="AD879">
        <v>-1.1104643648100001</v>
      </c>
      <c r="AE879">
        <v>0.13169999999996601</v>
      </c>
      <c r="AF879">
        <v>-0.106863939315334</v>
      </c>
      <c r="AG879">
        <v>-1.1104643648100001</v>
      </c>
      <c r="AH879">
        <v>33.921912809646102</v>
      </c>
      <c r="AI879">
        <v>91.874950075254503</v>
      </c>
      <c r="AJ879">
        <v>90.180497853534803</v>
      </c>
      <c r="AK879">
        <v>33.9402522040169</v>
      </c>
      <c r="AL879">
        <v>87.827544751399699</v>
      </c>
      <c r="AM879">
        <v>88.341146060097898</v>
      </c>
      <c r="AN879">
        <v>0.99999993624348804</v>
      </c>
    </row>
    <row r="880" spans="1:40" x14ac:dyDescent="0.25">
      <c r="A880" t="str">
        <f>"20190312154230060"</f>
        <v>20190312154230060</v>
      </c>
      <c r="B880" t="str">
        <f>"1552376550048251"</f>
        <v>1552376550048251</v>
      </c>
      <c r="C880" t="s">
        <v>40</v>
      </c>
      <c r="D880">
        <v>4.8170270000000004</v>
      </c>
      <c r="E880">
        <v>0.48888579999999998</v>
      </c>
      <c r="F880" t="s">
        <v>43</v>
      </c>
      <c r="G880">
        <v>-222.4194</v>
      </c>
      <c r="H880" s="1">
        <v>-3.4540720000000002E-6</v>
      </c>
      <c r="I880">
        <v>368.3777</v>
      </c>
      <c r="J880">
        <v>-253.92760000000001</v>
      </c>
      <c r="K880">
        <v>1.1104579999999999</v>
      </c>
      <c r="L880">
        <v>368.2722</v>
      </c>
      <c r="M880">
        <v>0.9998958</v>
      </c>
      <c r="N880">
        <v>0</v>
      </c>
      <c r="O880">
        <v>6.3998810000000001E-4</v>
      </c>
      <c r="P880">
        <v>0.99931570000000003</v>
      </c>
      <c r="Q880">
        <v>2.343572E-2</v>
      </c>
      <c r="R880">
        <v>-2.8625390000000001E-2</v>
      </c>
      <c r="S880">
        <v>3.0047299999999999</v>
      </c>
      <c r="T880">
        <v>-0.1048453</v>
      </c>
      <c r="U880">
        <v>9.9792479999999996E-3</v>
      </c>
      <c r="V880">
        <v>2.9273649999999998E-2</v>
      </c>
      <c r="W880">
        <v>3.7846890000000001E-2</v>
      </c>
      <c r="X880">
        <v>0.99885469999999998</v>
      </c>
      <c r="Y880">
        <v>-2.6798680000000002E-3</v>
      </c>
      <c r="Z880" s="1">
        <v>2.4413679999999998E-5</v>
      </c>
      <c r="AA880">
        <v>0.99999640000000001</v>
      </c>
      <c r="AB880">
        <v>32</v>
      </c>
      <c r="AC880">
        <v>31.508199999999999</v>
      </c>
      <c r="AD880">
        <v>-1.1104614540719999</v>
      </c>
      <c r="AE880">
        <v>0.10550000000000601</v>
      </c>
      <c r="AF880">
        <v>-8.5227147829496502E-2</v>
      </c>
      <c r="AG880">
        <v>-1.1104614540719999</v>
      </c>
      <c r="AH880">
        <v>31.469173359308702</v>
      </c>
      <c r="AI880">
        <v>92.020966112714007</v>
      </c>
      <c r="AJ880">
        <v>90.155172297535699</v>
      </c>
      <c r="AK880">
        <v>31.488875181973899</v>
      </c>
      <c r="AL880">
        <v>87.831014969870395</v>
      </c>
      <c r="AM880">
        <v>88.321300748249001</v>
      </c>
      <c r="AN880">
        <v>1.00000002268954</v>
      </c>
    </row>
    <row r="881" spans="1:40" x14ac:dyDescent="0.25">
      <c r="A881" t="str">
        <f>"20190312154230082"</f>
        <v>20190312154230082</v>
      </c>
      <c r="B881" t="str">
        <f>"1552376550078508"</f>
        <v>1552376550078508</v>
      </c>
      <c r="C881" t="s">
        <v>40</v>
      </c>
      <c r="D881">
        <v>4.805072</v>
      </c>
      <c r="E881">
        <v>0.48893540000000002</v>
      </c>
      <c r="F881" t="s">
        <v>43</v>
      </c>
      <c r="G881">
        <v>-223.31540000000001</v>
      </c>
      <c r="H881" s="1">
        <v>-3.0739299999999999E-6</v>
      </c>
      <c r="I881">
        <v>368.35399999999998</v>
      </c>
      <c r="J881">
        <v>-253.6191</v>
      </c>
      <c r="K881">
        <v>1.1104560000000001</v>
      </c>
      <c r="L881">
        <v>368.27229999999997</v>
      </c>
      <c r="M881">
        <v>0.9998958</v>
      </c>
      <c r="N881">
        <v>0</v>
      </c>
      <c r="O881">
        <v>5.5442679999999995E-4</v>
      </c>
      <c r="P881">
        <v>0.99931060000000005</v>
      </c>
      <c r="Q881">
        <v>2.3428979999999999E-2</v>
      </c>
      <c r="R881">
        <v>-2.8802500000000002E-2</v>
      </c>
      <c r="S881">
        <v>3.0048219999999999</v>
      </c>
      <c r="T881">
        <v>-0.1089997</v>
      </c>
      <c r="U881">
        <v>8.0261229999999996E-3</v>
      </c>
      <c r="V881">
        <v>2.936542E-2</v>
      </c>
      <c r="W881">
        <v>3.783736E-2</v>
      </c>
      <c r="X881">
        <v>0.99885239999999997</v>
      </c>
      <c r="Y881">
        <v>-2.1155620000000001E-3</v>
      </c>
      <c r="Z881" s="1">
        <v>1.825102E-5</v>
      </c>
      <c r="AA881">
        <v>0.99999769999999999</v>
      </c>
      <c r="AB881">
        <v>32</v>
      </c>
      <c r="AC881">
        <v>30.3036999999999</v>
      </c>
      <c r="AD881">
        <v>-1.11045907393</v>
      </c>
      <c r="AE881">
        <v>8.1700000000068898E-2</v>
      </c>
      <c r="AF881">
        <v>-6.4810028970262307E-2</v>
      </c>
      <c r="AG881">
        <v>-1.11045907393</v>
      </c>
      <c r="AH881">
        <v>30.263103412267998</v>
      </c>
      <c r="AI881">
        <v>92.101434864027993</v>
      </c>
      <c r="AJ881">
        <v>90.122701740227299</v>
      </c>
      <c r="AK881">
        <v>30.283539222428399</v>
      </c>
      <c r="AL881">
        <v>87.831561460865402</v>
      </c>
      <c r="AM881">
        <v>88.316037341965199</v>
      </c>
      <c r="AN881">
        <v>1.00000005534465</v>
      </c>
    </row>
    <row r="882" spans="1:40" x14ac:dyDescent="0.25">
      <c r="A882" t="str">
        <f>"20190312154230095"</f>
        <v>20190312154230095</v>
      </c>
      <c r="B882" t="str">
        <f>"1552376550088268"</f>
        <v>1552376550088268</v>
      </c>
      <c r="C882" t="s">
        <v>40</v>
      </c>
      <c r="D882">
        <v>4.8362889999999998</v>
      </c>
      <c r="E882">
        <v>0.48894510000000002</v>
      </c>
      <c r="F882" t="s">
        <v>43</v>
      </c>
      <c r="G882">
        <v>-224.24879999999999</v>
      </c>
      <c r="H882" s="1">
        <v>-2.6749649999999999E-6</v>
      </c>
      <c r="I882">
        <v>368.34570000000002</v>
      </c>
      <c r="J882">
        <v>-253.4393</v>
      </c>
      <c r="K882">
        <v>1.110457</v>
      </c>
      <c r="L882">
        <v>368.2724</v>
      </c>
      <c r="M882">
        <v>0.99989589999999995</v>
      </c>
      <c r="N882">
        <v>0</v>
      </c>
      <c r="O882">
        <v>5.0408150000000004E-4</v>
      </c>
      <c r="P882">
        <v>0.99931429999999999</v>
      </c>
      <c r="Q882">
        <v>2.3307060000000001E-2</v>
      </c>
      <c r="R882">
        <v>-2.8774910000000001E-2</v>
      </c>
      <c r="S882">
        <v>3.0049440000000001</v>
      </c>
      <c r="T882">
        <v>-0.1136132</v>
      </c>
      <c r="U882">
        <v>7.5073240000000001E-3</v>
      </c>
      <c r="V882">
        <v>2.9287560000000001E-2</v>
      </c>
      <c r="W882">
        <v>3.7712990000000002E-2</v>
      </c>
      <c r="X882">
        <v>0.99885930000000001</v>
      </c>
      <c r="Y882">
        <v>-1.9931200000000001E-3</v>
      </c>
      <c r="Z882" s="1">
        <v>1.8611349999999999E-5</v>
      </c>
      <c r="AA882">
        <v>0.99999800000000005</v>
      </c>
      <c r="AB882">
        <v>32</v>
      </c>
      <c r="AC882">
        <v>29.1905</v>
      </c>
      <c r="AD882">
        <v>-1.110459674965</v>
      </c>
      <c r="AE882">
        <v>7.3300000000017407E-2</v>
      </c>
      <c r="AF882">
        <v>-5.8499410965255398E-2</v>
      </c>
      <c r="AG882">
        <v>-1.110459674965</v>
      </c>
      <c r="AH882">
        <v>29.148350603020599</v>
      </c>
      <c r="AI882">
        <v>92.181727928790593</v>
      </c>
      <c r="AJ882">
        <v>90.114989863330806</v>
      </c>
      <c r="AK882">
        <v>29.169554088937002</v>
      </c>
      <c r="AL882">
        <v>87.838692232991903</v>
      </c>
      <c r="AM882">
        <v>88.320511265261999</v>
      </c>
      <c r="AN882">
        <v>0.99999996599099095</v>
      </c>
    </row>
    <row r="883" spans="1:40" x14ac:dyDescent="0.25">
      <c r="A883" t="str">
        <f>"20190312154230105"</f>
        <v>20190312154230105</v>
      </c>
      <c r="B883" t="str">
        <f>"1552376550098028"</f>
        <v>1552376550098028</v>
      </c>
      <c r="C883" t="s">
        <v>40</v>
      </c>
      <c r="D883">
        <v>4.8244889999999998</v>
      </c>
      <c r="E883">
        <v>0.48898150000000001</v>
      </c>
      <c r="F883" t="s">
        <v>43</v>
      </c>
      <c r="G883">
        <v>-224.6216</v>
      </c>
      <c r="H883" s="1">
        <v>-2.5153599999999998E-6</v>
      </c>
      <c r="I883">
        <v>368.34379999999999</v>
      </c>
      <c r="J883">
        <v>-253.26580000000001</v>
      </c>
      <c r="K883">
        <v>1.1104560000000001</v>
      </c>
      <c r="L883">
        <v>368.2724</v>
      </c>
      <c r="M883">
        <v>0.99989600000000001</v>
      </c>
      <c r="N883">
        <v>0</v>
      </c>
      <c r="O883">
        <v>4.5534599999999997E-4</v>
      </c>
      <c r="P883">
        <v>0.99931680000000001</v>
      </c>
      <c r="Q883">
        <v>2.3270559999999999E-2</v>
      </c>
      <c r="R883">
        <v>-2.8721489999999999E-2</v>
      </c>
      <c r="S883">
        <v>3.0049739999999998</v>
      </c>
      <c r="T883">
        <v>-0.1157932</v>
      </c>
      <c r="U883">
        <v>7.446289E-3</v>
      </c>
      <c r="V883">
        <v>2.9185269999999999E-2</v>
      </c>
      <c r="W883">
        <v>3.7674869999999999E-2</v>
      </c>
      <c r="X883">
        <v>0.99886379999999997</v>
      </c>
      <c r="Y883">
        <v>-2.0214260000000002E-3</v>
      </c>
      <c r="Z883" s="1">
        <v>2.139063E-5</v>
      </c>
      <c r="AA883">
        <v>0.99999800000000005</v>
      </c>
      <c r="AB883">
        <v>32</v>
      </c>
      <c r="AC883">
        <v>28.644200000000001</v>
      </c>
      <c r="AD883">
        <v>-1.11045851536</v>
      </c>
      <c r="AE883">
        <v>7.1399999999982797E-2</v>
      </c>
      <c r="AF883">
        <v>-5.8268044698541098E-2</v>
      </c>
      <c r="AG883">
        <v>-1.11045851536</v>
      </c>
      <c r="AH883">
        <v>28.601244882464201</v>
      </c>
      <c r="AI883">
        <v>92.223417682265904</v>
      </c>
      <c r="AJ883">
        <v>90.116725982966898</v>
      </c>
      <c r="AK883">
        <v>28.622853144053501</v>
      </c>
      <c r="AL883">
        <v>87.840878047042906</v>
      </c>
      <c r="AM883">
        <v>88.326381256681501</v>
      </c>
      <c r="AN883">
        <v>1.0000000333824599</v>
      </c>
    </row>
    <row r="884" spans="1:40" x14ac:dyDescent="0.25">
      <c r="A884" t="str">
        <f>"20190312154230118"</f>
        <v>20190312154230118</v>
      </c>
      <c r="B884" t="str">
        <f>"1552376550108765"</f>
        <v>1552376550108765</v>
      </c>
      <c r="C884" t="s">
        <v>40</v>
      </c>
      <c r="D884">
        <v>4.829923</v>
      </c>
      <c r="E884">
        <v>0.48901319999999998</v>
      </c>
      <c r="F884" t="s">
        <v>43</v>
      </c>
      <c r="G884">
        <v>-224.93119999999999</v>
      </c>
      <c r="H884" s="1">
        <v>-2.3828170000000001E-6</v>
      </c>
      <c r="I884">
        <v>368.34230000000002</v>
      </c>
      <c r="J884">
        <v>-253.09530000000001</v>
      </c>
      <c r="K884">
        <v>1.1104480000000001</v>
      </c>
      <c r="L884">
        <v>368.27249999999998</v>
      </c>
      <c r="M884">
        <v>0.99989589999999995</v>
      </c>
      <c r="N884">
        <v>0</v>
      </c>
      <c r="O884">
        <v>4.0768279999999998E-4</v>
      </c>
      <c r="P884">
        <v>0.99932399999999999</v>
      </c>
      <c r="Q884">
        <v>2.2968260000000001E-2</v>
      </c>
      <c r="R884">
        <v>-2.8703860000000001E-2</v>
      </c>
      <c r="S884">
        <v>3.00502</v>
      </c>
      <c r="T884">
        <v>-0.1177692</v>
      </c>
      <c r="U884">
        <v>7.4157709999999998E-3</v>
      </c>
      <c r="V884">
        <v>2.9119880000000001E-2</v>
      </c>
      <c r="W884">
        <v>3.7370859999999999E-2</v>
      </c>
      <c r="X884">
        <v>0.99887709999999996</v>
      </c>
      <c r="Y884">
        <v>-2.058795E-3</v>
      </c>
      <c r="Z884" s="1">
        <v>2.4354459999999999E-5</v>
      </c>
      <c r="AA884">
        <v>0.9999979</v>
      </c>
      <c r="AB884">
        <v>32</v>
      </c>
      <c r="AC884">
        <v>28.164100000000001</v>
      </c>
      <c r="AD884">
        <v>-1.11045038281699</v>
      </c>
      <c r="AE884">
        <v>6.98000000000433E-2</v>
      </c>
      <c r="AF884">
        <v>-5.8226265129253801E-2</v>
      </c>
      <c r="AG884">
        <v>-1.11045038281699</v>
      </c>
      <c r="AH884">
        <v>28.120411613034701</v>
      </c>
      <c r="AI884">
        <v>92.261380248502405</v>
      </c>
      <c r="AJ884">
        <v>90.118636758482396</v>
      </c>
      <c r="AK884">
        <v>28.142388662605502</v>
      </c>
      <c r="AL884">
        <v>87.858308750378697</v>
      </c>
      <c r="AM884">
        <v>88.330151118795797</v>
      </c>
      <c r="AN884">
        <v>1.00000000474638</v>
      </c>
    </row>
    <row r="885" spans="1:40" x14ac:dyDescent="0.25">
      <c r="A885" t="str">
        <f>"20190312154230130"</f>
        <v>20190312154230130</v>
      </c>
      <c r="B885" t="str">
        <f>"1552376550118525"</f>
        <v>1552376550118525</v>
      </c>
      <c r="C885" t="s">
        <v>40</v>
      </c>
      <c r="D885">
        <v>4.8272089999999999</v>
      </c>
      <c r="E885">
        <v>0.48904429999999999</v>
      </c>
      <c r="F885" t="s">
        <v>43</v>
      </c>
      <c r="G885">
        <v>-225.334</v>
      </c>
      <c r="H885" s="1">
        <v>-2.21115E-6</v>
      </c>
      <c r="I885">
        <v>368.33589999999998</v>
      </c>
      <c r="J885">
        <v>-252.92769999999999</v>
      </c>
      <c r="K885">
        <v>1.1104480000000001</v>
      </c>
      <c r="L885">
        <v>368.27249999999998</v>
      </c>
      <c r="M885">
        <v>0.99989609999999995</v>
      </c>
      <c r="N885">
        <v>0</v>
      </c>
      <c r="O885">
        <v>3.6049500000000001E-4</v>
      </c>
      <c r="P885">
        <v>0.99932370000000004</v>
      </c>
      <c r="Q885">
        <v>2.296774E-2</v>
      </c>
      <c r="R885">
        <v>-2.872659E-2</v>
      </c>
      <c r="S885">
        <v>3.0049739999999998</v>
      </c>
      <c r="T885">
        <v>-0.12019870000000001</v>
      </c>
      <c r="U885">
        <v>6.8664549999999996E-3</v>
      </c>
      <c r="V885">
        <v>2.909542E-2</v>
      </c>
      <c r="W885">
        <v>3.736896E-2</v>
      </c>
      <c r="X885">
        <v>0.99887789999999999</v>
      </c>
      <c r="Y885">
        <v>-1.9232419999999999E-3</v>
      </c>
      <c r="Z885" s="1">
        <v>2.4033860000000001E-5</v>
      </c>
      <c r="AA885">
        <v>0.99999819999999995</v>
      </c>
      <c r="AB885">
        <v>32</v>
      </c>
      <c r="AC885">
        <v>27.593699999999899</v>
      </c>
      <c r="AD885">
        <v>-1.1104502111500001</v>
      </c>
      <c r="AE885">
        <v>6.34000000000014E-2</v>
      </c>
      <c r="AF885">
        <v>-5.3365148128862901E-2</v>
      </c>
      <c r="AG885">
        <v>-1.1104502111500001</v>
      </c>
      <c r="AH885">
        <v>27.549105795007598</v>
      </c>
      <c r="AI885">
        <v>92.308226184112797</v>
      </c>
      <c r="AJ885">
        <v>90.110987048337094</v>
      </c>
      <c r="AK885">
        <v>27.571528387360001</v>
      </c>
      <c r="AL885">
        <v>87.858417723003797</v>
      </c>
      <c r="AM885">
        <v>88.331554294138996</v>
      </c>
      <c r="AN885">
        <v>1.00000002087243</v>
      </c>
    </row>
    <row r="886" spans="1:40" x14ac:dyDescent="0.25">
      <c r="A886" t="str">
        <f>"20190312154230143"</f>
        <v>20190312154230143</v>
      </c>
      <c r="B886" t="str">
        <f>"1552376550138044"</f>
        <v>1552376550138044</v>
      </c>
      <c r="C886" t="s">
        <v>40</v>
      </c>
      <c r="D886">
        <v>4.8634490000000001</v>
      </c>
      <c r="E886">
        <v>0.4891838</v>
      </c>
      <c r="F886" t="s">
        <v>43</v>
      </c>
      <c r="G886">
        <v>-225.5384</v>
      </c>
      <c r="H886" s="1">
        <v>-2.123597E-6</v>
      </c>
      <c r="I886">
        <v>368.33530000000002</v>
      </c>
      <c r="J886">
        <v>-252.73490000000001</v>
      </c>
      <c r="K886">
        <v>1.110447</v>
      </c>
      <c r="L886">
        <v>368.27249999999998</v>
      </c>
      <c r="M886">
        <v>0.99989609999999995</v>
      </c>
      <c r="N886">
        <v>0</v>
      </c>
      <c r="O886">
        <v>3.0692650000000002E-4</v>
      </c>
      <c r="P886">
        <v>0.9993263</v>
      </c>
      <c r="Q886">
        <v>2.2943189999999999E-2</v>
      </c>
      <c r="R886">
        <v>-2.8652540000000001E-2</v>
      </c>
      <c r="S886">
        <v>3.0050659999999998</v>
      </c>
      <c r="T886">
        <v>-0.12183430000000001</v>
      </c>
      <c r="U886">
        <v>6.8969729999999998E-3</v>
      </c>
      <c r="V886">
        <v>2.8967909999999999E-2</v>
      </c>
      <c r="W886">
        <v>3.7342269999999997E-2</v>
      </c>
      <c r="X886">
        <v>0.99888259999999995</v>
      </c>
      <c r="Y886">
        <v>-1.9867719999999999E-3</v>
      </c>
      <c r="Z886" s="1">
        <v>2.781834E-5</v>
      </c>
      <c r="AA886">
        <v>0.99999800000000005</v>
      </c>
      <c r="AB886">
        <v>32</v>
      </c>
      <c r="AC886">
        <v>27.1965</v>
      </c>
      <c r="AD886">
        <v>-1.110449123597</v>
      </c>
      <c r="AE886">
        <v>6.2800000000038297E-2</v>
      </c>
      <c r="AF886">
        <v>-5.4361176453213103E-2</v>
      </c>
      <c r="AG886">
        <v>-1.110449123597</v>
      </c>
      <c r="AH886">
        <v>27.1512533772115</v>
      </c>
      <c r="AI886">
        <v>92.342009074312301</v>
      </c>
      <c r="AJ886">
        <v>90.114715213143398</v>
      </c>
      <c r="AK886">
        <v>27.174006188766899</v>
      </c>
      <c r="AL886">
        <v>87.859948006613394</v>
      </c>
      <c r="AM886">
        <v>88.3388699245575</v>
      </c>
      <c r="AN886">
        <v>1.00000001676064</v>
      </c>
    </row>
    <row r="887" spans="1:40" x14ac:dyDescent="0.25">
      <c r="A887" t="str">
        <f>"20190312154230155"</f>
        <v>20190312154230155</v>
      </c>
      <c r="B887" t="str">
        <f>"1552376550147804"</f>
        <v>1552376550147804</v>
      </c>
      <c r="C887" t="s">
        <v>40</v>
      </c>
      <c r="D887">
        <v>4.8152949999999999</v>
      </c>
      <c r="E887">
        <v>0.51463119999999996</v>
      </c>
      <c r="F887" t="s">
        <v>43</v>
      </c>
      <c r="G887">
        <v>-225.5102</v>
      </c>
      <c r="H887" s="1">
        <v>-2.1372390000000001E-6</v>
      </c>
      <c r="I887">
        <v>368.32639999999998</v>
      </c>
      <c r="J887">
        <v>-252.5669</v>
      </c>
      <c r="K887">
        <v>1.110449</v>
      </c>
      <c r="L887">
        <v>368.27249999999998</v>
      </c>
      <c r="M887">
        <v>0.99989600000000001</v>
      </c>
      <c r="N887">
        <v>0</v>
      </c>
      <c r="O887">
        <v>2.6027150000000002E-4</v>
      </c>
      <c r="P887">
        <v>0.99932739999999998</v>
      </c>
      <c r="Q887">
        <v>2.2954430000000001E-2</v>
      </c>
      <c r="R887">
        <v>-2.859635E-2</v>
      </c>
      <c r="S887">
        <v>3.0050050000000001</v>
      </c>
      <c r="T887">
        <v>-0.122569</v>
      </c>
      <c r="U887">
        <v>5.9509280000000003E-3</v>
      </c>
      <c r="V887">
        <v>2.886534E-2</v>
      </c>
      <c r="W887">
        <v>3.7351799999999998E-2</v>
      </c>
      <c r="X887">
        <v>0.99888520000000003</v>
      </c>
      <c r="Y887">
        <v>-1.7188240000000001E-3</v>
      </c>
      <c r="Z887" s="1">
        <v>2.442663E-5</v>
      </c>
      <c r="AA887">
        <v>0.99999850000000001</v>
      </c>
      <c r="AB887">
        <v>32</v>
      </c>
      <c r="AC887">
        <v>27.056699999999999</v>
      </c>
      <c r="AD887">
        <v>-1.110451137239</v>
      </c>
      <c r="AE887">
        <v>5.3899999999998699E-2</v>
      </c>
      <c r="AF887">
        <v>-4.6778384138128203E-2</v>
      </c>
      <c r="AG887">
        <v>-1.110451137239</v>
      </c>
      <c r="AH887">
        <v>27.011215181920601</v>
      </c>
      <c r="AI887">
        <v>92.354142920133995</v>
      </c>
      <c r="AJ887">
        <v>90.099225498965495</v>
      </c>
      <c r="AK887">
        <v>27.034071753057098</v>
      </c>
      <c r="AL887">
        <v>87.859401568883101</v>
      </c>
      <c r="AM887">
        <v>88.344752706415406</v>
      </c>
      <c r="AN887">
        <v>1.0000000037977901</v>
      </c>
    </row>
    <row r="888" spans="1:40" x14ac:dyDescent="0.25">
      <c r="A888" t="str">
        <f>"20190312154230173"</f>
        <v>20190312154230173</v>
      </c>
      <c r="B888" t="str">
        <f>"1552376550158540"</f>
        <v>1552376550158540</v>
      </c>
      <c r="C888" t="s">
        <v>40</v>
      </c>
      <c r="D888">
        <v>4.7777710000000004</v>
      </c>
      <c r="E888">
        <v>0.51975660000000001</v>
      </c>
      <c r="F888" t="s">
        <v>43</v>
      </c>
      <c r="G888">
        <v>-227.0385</v>
      </c>
      <c r="H888" s="1">
        <v>-1.7965399999999999E-6</v>
      </c>
      <c r="I888">
        <v>366.59969999999998</v>
      </c>
      <c r="J888">
        <v>-252.34399999999999</v>
      </c>
      <c r="K888">
        <v>1.110449</v>
      </c>
      <c r="L888">
        <v>368.27249999999998</v>
      </c>
      <c r="M888">
        <v>0.99989620000000001</v>
      </c>
      <c r="N888">
        <v>0</v>
      </c>
      <c r="O888">
        <v>1.98066E-4</v>
      </c>
      <c r="P888">
        <v>0.99932739999999998</v>
      </c>
      <c r="Q888">
        <v>2.290302E-2</v>
      </c>
      <c r="R888">
        <v>-2.8639379999999999E-2</v>
      </c>
      <c r="S888">
        <v>2.9994049999999999</v>
      </c>
      <c r="T888">
        <v>-0.13046959999999999</v>
      </c>
      <c r="U888">
        <v>-0.19653319999999999</v>
      </c>
      <c r="V888">
        <v>2.8846050000000002E-2</v>
      </c>
      <c r="W888">
        <v>3.7297959999999998E-2</v>
      </c>
      <c r="X888">
        <v>0.99888779999999999</v>
      </c>
      <c r="Y888">
        <v>6.5519649999999999E-2</v>
      </c>
      <c r="Z888">
        <v>-1.431409E-3</v>
      </c>
      <c r="AA888">
        <v>0.99785020000000002</v>
      </c>
      <c r="AB888">
        <v>32</v>
      </c>
      <c r="AC888">
        <v>25.305499999999999</v>
      </c>
      <c r="AD888">
        <v>-1.1104507965399999</v>
      </c>
      <c r="AE888">
        <v>-1.6727999999999901</v>
      </c>
      <c r="AF888">
        <v>1.6746020422843899</v>
      </c>
      <c r="AG888">
        <v>-1.1104507965399999</v>
      </c>
      <c r="AH888">
        <v>25.256745049388002</v>
      </c>
      <c r="AI888">
        <v>92.511965555187402</v>
      </c>
      <c r="AJ888">
        <v>86.206660829049099</v>
      </c>
      <c r="AK888">
        <v>25.336546004957899</v>
      </c>
      <c r="AL888">
        <v>87.862488590775996</v>
      </c>
      <c r="AM888">
        <v>88.345862556068695</v>
      </c>
      <c r="AN888">
        <v>1.0000000347047999</v>
      </c>
    </row>
    <row r="889" spans="1:40" x14ac:dyDescent="0.25">
      <c r="A889" t="str">
        <f>"20190312154230185"</f>
        <v>20190312154230185</v>
      </c>
      <c r="B889" t="str">
        <f>"1552376550178061"</f>
        <v>1552376550178061</v>
      </c>
      <c r="C889" t="s">
        <v>40</v>
      </c>
      <c r="D889">
        <v>4.7351159999999997</v>
      </c>
      <c r="E889">
        <v>0.52431669999999997</v>
      </c>
      <c r="F889" t="s">
        <v>43</v>
      </c>
      <c r="G889">
        <v>-228.84379999999999</v>
      </c>
      <c r="H889" s="1">
        <v>-1.231706E-6</v>
      </c>
      <c r="I889">
        <v>366.41359999999997</v>
      </c>
      <c r="J889">
        <v>-252.12970000000001</v>
      </c>
      <c r="K889">
        <v>1.110452</v>
      </c>
      <c r="L889">
        <v>368.27249999999998</v>
      </c>
      <c r="M889">
        <v>0.99989629999999996</v>
      </c>
      <c r="N889">
        <v>0</v>
      </c>
      <c r="O889">
        <v>1.3842269999999999E-4</v>
      </c>
      <c r="P889">
        <v>0.9993187</v>
      </c>
      <c r="Q889">
        <v>2.3159470000000001E-2</v>
      </c>
      <c r="R889">
        <v>-2.8740749999999999E-2</v>
      </c>
      <c r="S889">
        <v>2.9984739999999999</v>
      </c>
      <c r="T889">
        <v>-0.14168599999999901</v>
      </c>
      <c r="U889">
        <v>-0.23718259999999999</v>
      </c>
      <c r="V889">
        <v>2.888783E-2</v>
      </c>
      <c r="W889">
        <v>3.7551939999999999E-2</v>
      </c>
      <c r="X889">
        <v>0.99887700000000001</v>
      </c>
      <c r="Y889">
        <v>7.8905149999999993E-2</v>
      </c>
      <c r="Z889">
        <v>-1.8668280000000001E-3</v>
      </c>
      <c r="AA889">
        <v>0.9968804</v>
      </c>
      <c r="AB889">
        <v>32</v>
      </c>
      <c r="AC889">
        <v>23.285900000000002</v>
      </c>
      <c r="AD889">
        <v>-1.1104532317060001</v>
      </c>
      <c r="AE889">
        <v>-1.8589</v>
      </c>
      <c r="AF889">
        <v>1.85792521320516</v>
      </c>
      <c r="AG889">
        <v>-1.1104532317060001</v>
      </c>
      <c r="AH889">
        <v>23.233141920355099</v>
      </c>
      <c r="AI889">
        <v>92.727736644724601</v>
      </c>
      <c r="AJ889">
        <v>85.427858108000194</v>
      </c>
      <c r="AK889">
        <v>23.333749719430699</v>
      </c>
      <c r="AL889">
        <v>87.847926242396099</v>
      </c>
      <c r="AM889">
        <v>88.3434501721229</v>
      </c>
      <c r="AN889">
        <v>0.99999995802443498</v>
      </c>
    </row>
    <row r="890" spans="1:40" x14ac:dyDescent="0.25">
      <c r="A890" t="str">
        <f>"20190312154230198"</f>
        <v>20190312154230198</v>
      </c>
      <c r="B890" t="str">
        <f>"1552376550187820"</f>
        <v>1552376550187820</v>
      </c>
      <c r="C890" t="s">
        <v>40</v>
      </c>
      <c r="D890">
        <v>4.7686060000000001</v>
      </c>
      <c r="E890">
        <v>0.52531519999999898</v>
      </c>
      <c r="F890" t="s">
        <v>43</v>
      </c>
      <c r="G890">
        <v>-231.34129999999999</v>
      </c>
      <c r="H890" s="1">
        <v>-4.2716610000000001E-6</v>
      </c>
      <c r="I890">
        <v>366.37610000000001</v>
      </c>
      <c r="J890">
        <v>-251.9545</v>
      </c>
      <c r="K890">
        <v>1.1104529999999999</v>
      </c>
      <c r="L890">
        <v>368.27249999999998</v>
      </c>
      <c r="M890">
        <v>0.99989609999999995</v>
      </c>
      <c r="N890">
        <v>0</v>
      </c>
      <c r="O890" s="1">
        <v>8.9862269999999898E-5</v>
      </c>
      <c r="P890">
        <v>0.99931449999999999</v>
      </c>
      <c r="Q890">
        <v>2.3200430000000001E-2</v>
      </c>
      <c r="R890">
        <v>-2.8847749999999998E-2</v>
      </c>
      <c r="S890">
        <v>2.9979100000000001</v>
      </c>
      <c r="T890">
        <v>-0.16013869999999999</v>
      </c>
      <c r="U890">
        <v>-0.27346799999999999</v>
      </c>
      <c r="V890">
        <v>2.8946309999999999E-2</v>
      </c>
      <c r="W890">
        <v>3.7591489999999998E-2</v>
      </c>
      <c r="X890">
        <v>0.99887389999999998</v>
      </c>
      <c r="Y890">
        <v>9.0803389999999998E-2</v>
      </c>
      <c r="Z890">
        <v>-2.4232630000000002E-3</v>
      </c>
      <c r="AA890">
        <v>0.99586589999999997</v>
      </c>
      <c r="AB890">
        <v>32</v>
      </c>
      <c r="AC890">
        <v>20.613199999999999</v>
      </c>
      <c r="AD890">
        <v>-1.1104572716609999</v>
      </c>
      <c r="AE890">
        <v>-1.8963999999999701</v>
      </c>
      <c r="AF890">
        <v>1.8928055193965001</v>
      </c>
      <c r="AG890">
        <v>-1.1104572716609999</v>
      </c>
      <c r="AH890">
        <v>20.553880627267699</v>
      </c>
      <c r="AI890">
        <v>93.079487298730697</v>
      </c>
      <c r="AJ890">
        <v>84.738475484590595</v>
      </c>
      <c r="AK890">
        <v>20.670699962178599</v>
      </c>
      <c r="AL890">
        <v>87.845658766654907</v>
      </c>
      <c r="AM890">
        <v>88.340093408221605</v>
      </c>
      <c r="AN890">
        <v>1.0000000385421199</v>
      </c>
    </row>
    <row r="891" spans="1:40" x14ac:dyDescent="0.25">
      <c r="A891" t="str">
        <f>"20190312154230217"</f>
        <v>20190312154230217</v>
      </c>
      <c r="B891" t="str">
        <f>"1552376550208316"</f>
        <v>1552376550208316</v>
      </c>
      <c r="C891" t="s">
        <v>40</v>
      </c>
      <c r="D891">
        <v>4.7431999999999999</v>
      </c>
      <c r="E891">
        <v>0.52652449999999995</v>
      </c>
      <c r="F891" t="s">
        <v>43</v>
      </c>
      <c r="G891">
        <v>-231.2723</v>
      </c>
      <c r="H891" s="1">
        <v>-4.3091699999999998E-6</v>
      </c>
      <c r="I891">
        <v>366.33150000000001</v>
      </c>
      <c r="J891">
        <v>-251.69030000000001</v>
      </c>
      <c r="K891">
        <v>1.1104590000000001</v>
      </c>
      <c r="L891">
        <v>368.2724</v>
      </c>
      <c r="M891">
        <v>0.99989629999999996</v>
      </c>
      <c r="N891">
        <v>0</v>
      </c>
      <c r="O891" s="1">
        <v>1.6277409999999998E-5</v>
      </c>
      <c r="P891">
        <v>0.99929429999999997</v>
      </c>
      <c r="Q891">
        <v>2.3801909999999999E-2</v>
      </c>
      <c r="R891">
        <v>-2.9060989999999998E-2</v>
      </c>
      <c r="S891">
        <v>2.997681</v>
      </c>
      <c r="T891">
        <v>-0.16094910000000001</v>
      </c>
      <c r="U891">
        <v>-0.28131099999999998</v>
      </c>
      <c r="V891">
        <v>2.9086040000000001E-2</v>
      </c>
      <c r="W891">
        <v>3.818949E-2</v>
      </c>
      <c r="X891">
        <v>0.99884709999999999</v>
      </c>
      <c r="Y891">
        <v>9.3315330000000002E-2</v>
      </c>
      <c r="Z891">
        <v>-2.4987E-3</v>
      </c>
      <c r="AA891">
        <v>0.99563349999999995</v>
      </c>
      <c r="AB891">
        <v>32</v>
      </c>
      <c r="AC891">
        <v>20.417999999999999</v>
      </c>
      <c r="AD891">
        <v>-1.11046330917</v>
      </c>
      <c r="AE891">
        <v>-1.9408999999999901</v>
      </c>
      <c r="AF891">
        <v>1.93555848694754</v>
      </c>
      <c r="AG891">
        <v>-1.11046330917</v>
      </c>
      <c r="AH891">
        <v>20.358290075246401</v>
      </c>
      <c r="AI891">
        <v>93.108173244074493</v>
      </c>
      <c r="AJ891">
        <v>84.568945356308404</v>
      </c>
      <c r="AK891">
        <v>20.480221927637501</v>
      </c>
      <c r="AL891">
        <v>87.811371145621607</v>
      </c>
      <c r="AM891">
        <v>88.332040474508005</v>
      </c>
      <c r="AN891">
        <v>0.99999998202387497</v>
      </c>
    </row>
    <row r="892" spans="1:40" x14ac:dyDescent="0.25">
      <c r="A892" t="str">
        <f>"20190312154230232"</f>
        <v>20190312154230232</v>
      </c>
      <c r="B892" t="str">
        <f>"1552376550218076"</f>
        <v>1552376550218076</v>
      </c>
      <c r="C892" t="s">
        <v>40</v>
      </c>
      <c r="D892">
        <v>4.7557720000000003</v>
      </c>
      <c r="E892">
        <v>0.52696160000000003</v>
      </c>
      <c r="F892" t="s">
        <v>43</v>
      </c>
      <c r="G892">
        <v>-231.166</v>
      </c>
      <c r="H892" s="1">
        <v>-4.3647419999999998E-6</v>
      </c>
      <c r="I892">
        <v>366.27510000000001</v>
      </c>
      <c r="J892">
        <v>-251.47479999999999</v>
      </c>
      <c r="K892">
        <v>1.1104620000000001</v>
      </c>
      <c r="L892">
        <v>368.27229999999997</v>
      </c>
      <c r="M892">
        <v>0.99989629999999996</v>
      </c>
      <c r="N892">
        <v>0</v>
      </c>
      <c r="O892" s="1">
        <v>-4.4079370000000001E-5</v>
      </c>
      <c r="P892">
        <v>0.99928919999999999</v>
      </c>
      <c r="Q892">
        <v>2.3779729999999999E-2</v>
      </c>
      <c r="R892">
        <v>-2.9260439999999999E-2</v>
      </c>
      <c r="S892">
        <v>2.9974980000000002</v>
      </c>
      <c r="T892">
        <v>-0.16217909999999999</v>
      </c>
      <c r="U892">
        <v>-0.29168699999999997</v>
      </c>
      <c r="V892">
        <v>2.9225190000000002E-2</v>
      </c>
      <c r="W892">
        <v>3.8165190000000002E-2</v>
      </c>
      <c r="X892">
        <v>0.99884399999999995</v>
      </c>
      <c r="Y892">
        <v>9.6668820000000003E-2</v>
      </c>
      <c r="Z892">
        <v>-2.604692E-3</v>
      </c>
      <c r="AA892">
        <v>0.99531320000000001</v>
      </c>
      <c r="AB892">
        <v>32</v>
      </c>
      <c r="AC892">
        <v>20.308799999999898</v>
      </c>
      <c r="AD892">
        <v>-1.1104663647419999</v>
      </c>
      <c r="AE892">
        <v>-1.9971999999999599</v>
      </c>
      <c r="AF892">
        <v>1.9904107744952899</v>
      </c>
      <c r="AG892">
        <v>-1.1104663647419999</v>
      </c>
      <c r="AH892">
        <v>20.248927640509699</v>
      </c>
      <c r="AI892">
        <v>93.123973053374002</v>
      </c>
      <c r="AJ892">
        <v>84.386026268822107</v>
      </c>
      <c r="AK892">
        <v>20.376799090854501</v>
      </c>
      <c r="AL892">
        <v>87.812764520771793</v>
      </c>
      <c r="AM892">
        <v>88.324060160917995</v>
      </c>
      <c r="AN892">
        <v>1.00000001489713</v>
      </c>
    </row>
    <row r="893" spans="1:40" x14ac:dyDescent="0.25">
      <c r="A893" t="str">
        <f>"20190312154230251"</f>
        <v>20190312154230251</v>
      </c>
      <c r="B893" t="str">
        <f>"1552376550238573"</f>
        <v>1552376550238573</v>
      </c>
      <c r="C893" t="s">
        <v>40</v>
      </c>
      <c r="D893">
        <v>4.7665110000000004</v>
      </c>
      <c r="E893">
        <v>0.52777369999999901</v>
      </c>
      <c r="F893" t="s">
        <v>43</v>
      </c>
      <c r="G893">
        <v>-231.13220000000001</v>
      </c>
      <c r="H893" s="1">
        <v>-4.3812020000000001E-6</v>
      </c>
      <c r="I893">
        <v>366.26409999999998</v>
      </c>
      <c r="J893">
        <v>-251.2183</v>
      </c>
      <c r="K893">
        <v>1.1104700000000001</v>
      </c>
      <c r="L893">
        <v>368.2722</v>
      </c>
      <c r="M893">
        <v>0.99989629999999996</v>
      </c>
      <c r="N893">
        <v>0</v>
      </c>
      <c r="O893">
        <v>-1.1551809999999999E-4</v>
      </c>
      <c r="P893">
        <v>0.99926559999999998</v>
      </c>
      <c r="Q893">
        <v>2.460441E-2</v>
      </c>
      <c r="R893">
        <v>-2.938083E-2</v>
      </c>
      <c r="S893">
        <v>2.9973749999999999</v>
      </c>
      <c r="T893">
        <v>-0.1636213</v>
      </c>
      <c r="U893">
        <v>-0.29589840000000001</v>
      </c>
      <c r="V893">
        <v>2.9274229999999998E-2</v>
      </c>
      <c r="W893">
        <v>3.8986640000000003E-2</v>
      </c>
      <c r="X893">
        <v>0.9988108</v>
      </c>
      <c r="Y893">
        <v>9.7982360000000004E-2</v>
      </c>
      <c r="Z893">
        <v>-2.6595989999999999E-3</v>
      </c>
      <c r="AA893">
        <v>0.99518459999999997</v>
      </c>
      <c r="AB893">
        <v>32</v>
      </c>
      <c r="AC893">
        <v>20.086099999999899</v>
      </c>
      <c r="AD893">
        <v>-1.1104743812019999</v>
      </c>
      <c r="AE893">
        <v>-2.00810000000001</v>
      </c>
      <c r="AF893">
        <v>1.99972773597562</v>
      </c>
      <c r="AG893">
        <v>-1.1104743812019999</v>
      </c>
      <c r="AH893">
        <v>20.025728741651399</v>
      </c>
      <c r="AI893">
        <v>93.158261552364394</v>
      </c>
      <c r="AJ893">
        <v>84.297466627902907</v>
      </c>
      <c r="AK893">
        <v>20.1559389759827</v>
      </c>
      <c r="AL893">
        <v>87.765663757709305</v>
      </c>
      <c r="AM893">
        <v>88.321193765266798</v>
      </c>
      <c r="AN893">
        <v>0.99999997641861005</v>
      </c>
    </row>
    <row r="894" spans="1:40" x14ac:dyDescent="0.25">
      <c r="A894" t="str">
        <f>"20190312154230272"</f>
        <v>20190312154230272</v>
      </c>
      <c r="B894" t="str">
        <f>"1552376550258092"</f>
        <v>1552376550258092</v>
      </c>
      <c r="C894" t="s">
        <v>40</v>
      </c>
      <c r="D894">
        <v>4.7636320000000003</v>
      </c>
      <c r="E894">
        <v>0.52832109999999999</v>
      </c>
      <c r="F894" t="s">
        <v>43</v>
      </c>
      <c r="G894">
        <v>-230.74950000000001</v>
      </c>
      <c r="H894" s="1">
        <v>-4.5556040000000002E-6</v>
      </c>
      <c r="I894">
        <v>366.20659999999998</v>
      </c>
      <c r="J894">
        <v>-250.90170000000001</v>
      </c>
      <c r="K894">
        <v>1.110471</v>
      </c>
      <c r="L894">
        <v>368.27210000000002</v>
      </c>
      <c r="M894">
        <v>0.99989640000000002</v>
      </c>
      <c r="N894">
        <v>0</v>
      </c>
      <c r="O894">
        <v>-2.040586E-4</v>
      </c>
      <c r="P894">
        <v>0.99925969999999997</v>
      </c>
      <c r="Q894">
        <v>2.4478630000000001E-2</v>
      </c>
      <c r="R894">
        <v>-2.9684329999999998E-2</v>
      </c>
      <c r="S894">
        <v>2.9972840000000001</v>
      </c>
      <c r="T894">
        <v>-0.1626079</v>
      </c>
      <c r="U894">
        <v>-0.3024597</v>
      </c>
      <c r="V894">
        <v>2.9489339999999999E-2</v>
      </c>
      <c r="W894">
        <v>3.8857990000000002E-2</v>
      </c>
      <c r="X894">
        <v>0.99880950000000002</v>
      </c>
      <c r="Y894">
        <v>0.100053</v>
      </c>
      <c r="Z894">
        <v>-2.6941410000000002E-3</v>
      </c>
      <c r="AA894">
        <v>0.99497849999999999</v>
      </c>
      <c r="AB894">
        <v>32</v>
      </c>
      <c r="AC894">
        <v>20.152200000000001</v>
      </c>
      <c r="AD894">
        <v>-1.110475555604</v>
      </c>
      <c r="AE894">
        <v>-2.0655000000000401</v>
      </c>
      <c r="AF894">
        <v>2.0552115323224101</v>
      </c>
      <c r="AG894">
        <v>-1.110475555604</v>
      </c>
      <c r="AH894">
        <v>20.0922452951671</v>
      </c>
      <c r="AI894">
        <v>93.147066371610805</v>
      </c>
      <c r="AJ894">
        <v>84.159596685027694</v>
      </c>
      <c r="AK894">
        <v>20.227589362139799</v>
      </c>
      <c r="AL894">
        <v>87.773040482010202</v>
      </c>
      <c r="AM894">
        <v>88.308862664916802</v>
      </c>
      <c r="AN894">
        <v>0.99999999092536196</v>
      </c>
    </row>
    <row r="895" spans="1:40" x14ac:dyDescent="0.25">
      <c r="A895" t="str">
        <f>"20190312154230289"</f>
        <v>20190312154230289</v>
      </c>
      <c r="B895" t="str">
        <f>"1552376550278589"</f>
        <v>1552376550278589</v>
      </c>
      <c r="C895" t="s">
        <v>40</v>
      </c>
      <c r="D895">
        <v>4.7564859999999998</v>
      </c>
      <c r="E895">
        <v>0.52874359999999998</v>
      </c>
      <c r="F895" t="s">
        <v>43</v>
      </c>
      <c r="G895">
        <v>-230.74969999999999</v>
      </c>
      <c r="H895" s="1">
        <v>-4.5564059999999999E-6</v>
      </c>
      <c r="I895">
        <v>366.20139999999998</v>
      </c>
      <c r="J895">
        <v>-250.67609999999999</v>
      </c>
      <c r="K895">
        <v>1.110471</v>
      </c>
      <c r="L895">
        <v>368.27199999999999</v>
      </c>
      <c r="M895">
        <v>0.99989629999999996</v>
      </c>
      <c r="N895">
        <v>0</v>
      </c>
      <c r="O895">
        <v>-2.6709759999999998E-4</v>
      </c>
      <c r="P895">
        <v>0.99925850000000005</v>
      </c>
      <c r="Q895">
        <v>2.449424E-2</v>
      </c>
      <c r="R895">
        <v>-2.970687E-2</v>
      </c>
      <c r="S895">
        <v>2.997131</v>
      </c>
      <c r="T895">
        <v>-0.16515639999999901</v>
      </c>
      <c r="U895">
        <v>-0.30795289999999997</v>
      </c>
      <c r="V895">
        <v>2.9448829999999999E-2</v>
      </c>
      <c r="W895">
        <v>3.8871339999999997E-2</v>
      </c>
      <c r="X895">
        <v>0.99881019999999998</v>
      </c>
      <c r="Y895">
        <v>0.10179290000000001</v>
      </c>
      <c r="Z895">
        <v>-2.7805030000000001E-3</v>
      </c>
      <c r="AA895">
        <v>0.99480170000000001</v>
      </c>
      <c r="AB895">
        <v>32</v>
      </c>
      <c r="AC895">
        <v>19.926400000000001</v>
      </c>
      <c r="AD895">
        <v>-1.110475556406</v>
      </c>
      <c r="AE895">
        <v>-2.07060000000001</v>
      </c>
      <c r="AF895">
        <v>2.05895089372091</v>
      </c>
      <c r="AG895">
        <v>-1.110475556406</v>
      </c>
      <c r="AH895">
        <v>19.865913796000399</v>
      </c>
      <c r="AI895">
        <v>93.182409440855494</v>
      </c>
      <c r="AJ895">
        <v>84.082854636430895</v>
      </c>
      <c r="AK895">
        <v>20.003173890516699</v>
      </c>
      <c r="AL895">
        <v>87.772275058993401</v>
      </c>
      <c r="AM895">
        <v>88.311185645223304</v>
      </c>
      <c r="AN895">
        <v>1.0000000151429</v>
      </c>
    </row>
    <row r="896" spans="1:40" x14ac:dyDescent="0.25">
      <c r="A896" t="str">
        <f>"20190312154230305"</f>
        <v>20190312154230305</v>
      </c>
      <c r="B896" t="str">
        <f>"1552376550298112"</f>
        <v>1552376550298112</v>
      </c>
      <c r="C896" t="s">
        <v>40</v>
      </c>
      <c r="D896">
        <v>4.7497369999999997</v>
      </c>
      <c r="E896">
        <v>0.52905139999999995</v>
      </c>
      <c r="F896" t="s">
        <v>43</v>
      </c>
      <c r="G896">
        <v>-230.58449999999999</v>
      </c>
      <c r="H896" s="1">
        <v>-4.630295E-6</v>
      </c>
      <c r="I896">
        <v>366.18439999999998</v>
      </c>
      <c r="J896">
        <v>-250.42429999999999</v>
      </c>
      <c r="K896">
        <v>1.1104700000000001</v>
      </c>
      <c r="L896">
        <v>368.27190000000002</v>
      </c>
      <c r="M896">
        <v>0.99989649999999997</v>
      </c>
      <c r="N896">
        <v>0</v>
      </c>
      <c r="O896">
        <v>-3.3728559999999998E-4</v>
      </c>
      <c r="P896">
        <v>0.99925870000000006</v>
      </c>
      <c r="Q896">
        <v>2.4565549999999998E-2</v>
      </c>
      <c r="R896">
        <v>-2.9648210000000001E-2</v>
      </c>
      <c r="S896">
        <v>2.9970249999999998</v>
      </c>
      <c r="T896">
        <v>-0.16564670000000001</v>
      </c>
      <c r="U896">
        <v>-0.31140139999999999</v>
      </c>
      <c r="V896">
        <v>2.9320010000000001E-2</v>
      </c>
      <c r="W896">
        <v>3.8939939999999999E-2</v>
      </c>
      <c r="X896">
        <v>0.99881129999999996</v>
      </c>
      <c r="Y896">
        <v>0.1028568</v>
      </c>
      <c r="Z896">
        <v>-2.814113E-3</v>
      </c>
      <c r="AA896">
        <v>0.99469220000000003</v>
      </c>
      <c r="AB896">
        <v>32</v>
      </c>
      <c r="AC896">
        <v>19.8398</v>
      </c>
      <c r="AD896">
        <v>-1.1104746302949999</v>
      </c>
      <c r="AE896">
        <v>-2.0875000000000301</v>
      </c>
      <c r="AF896">
        <v>2.07437990130046</v>
      </c>
      <c r="AG896">
        <v>-1.1104746302949999</v>
      </c>
      <c r="AH896">
        <v>19.779215767231001</v>
      </c>
      <c r="AI896">
        <v>93.195921288325806</v>
      </c>
      <c r="AJ896">
        <v>84.012891741126097</v>
      </c>
      <c r="AK896">
        <v>19.918674209046401</v>
      </c>
      <c r="AL896">
        <v>87.768341551024605</v>
      </c>
      <c r="AM896">
        <v>88.318570740213403</v>
      </c>
      <c r="AN896">
        <v>0.99999999746064605</v>
      </c>
    </row>
    <row r="897" spans="1:40" x14ac:dyDescent="0.25">
      <c r="A897" t="str">
        <f>"20190312154230318"</f>
        <v>20190312154230318</v>
      </c>
      <c r="B897" t="str">
        <f>"1552376550307868"</f>
        <v>1552376550307868</v>
      </c>
      <c r="C897" t="s">
        <v>40</v>
      </c>
      <c r="D897">
        <v>4.7970829999999998</v>
      </c>
      <c r="E897">
        <v>0.52919419999999995</v>
      </c>
      <c r="F897" t="s">
        <v>43</v>
      </c>
      <c r="G897">
        <v>-230.56809999999999</v>
      </c>
      <c r="H897" s="1">
        <v>-4.6352320000000001E-6</v>
      </c>
      <c r="I897">
        <v>366.19639999999998</v>
      </c>
      <c r="J897">
        <v>-250.25739999999999</v>
      </c>
      <c r="K897">
        <v>1.110468</v>
      </c>
      <c r="L897">
        <v>368.27179999999998</v>
      </c>
      <c r="M897">
        <v>0.99989629999999996</v>
      </c>
      <c r="N897">
        <v>0</v>
      </c>
      <c r="O897">
        <v>-3.83524E-4</v>
      </c>
      <c r="P897">
        <v>0.99925540000000002</v>
      </c>
      <c r="Q897">
        <v>2.4496569999999999E-2</v>
      </c>
      <c r="R897">
        <v>-2.9810150000000001E-2</v>
      </c>
      <c r="S897">
        <v>2.997055</v>
      </c>
      <c r="T897">
        <v>-0.1676117</v>
      </c>
      <c r="U897">
        <v>-0.31326290000000001</v>
      </c>
      <c r="V897">
        <v>2.9435840000000001E-2</v>
      </c>
      <c r="W897">
        <v>3.8868479999999997E-2</v>
      </c>
      <c r="X897">
        <v>0.99881070000000005</v>
      </c>
      <c r="Y897">
        <v>0.10341649999999999</v>
      </c>
      <c r="Z897">
        <v>-2.860343E-3</v>
      </c>
      <c r="AA897">
        <v>0.99463400000000002</v>
      </c>
      <c r="AB897">
        <v>32</v>
      </c>
      <c r="AC897">
        <v>19.689299999999999</v>
      </c>
      <c r="AD897">
        <v>-1.110472635232</v>
      </c>
      <c r="AE897">
        <v>-2.0754000000000001</v>
      </c>
      <c r="AF897">
        <v>2.0613627324318</v>
      </c>
      <c r="AG897">
        <v>-1.110472635232</v>
      </c>
      <c r="AH897">
        <v>19.628344152379199</v>
      </c>
      <c r="AI897">
        <v>93.220381500764404</v>
      </c>
      <c r="AJ897">
        <v>84.004790871430501</v>
      </c>
      <c r="AK897">
        <v>19.767505152459101</v>
      </c>
      <c r="AL897">
        <v>87.772439061735696</v>
      </c>
      <c r="AM897">
        <v>88.311931001620593</v>
      </c>
      <c r="AN897">
        <v>1.0000000209242501</v>
      </c>
    </row>
    <row r="898" spans="1:40" x14ac:dyDescent="0.25">
      <c r="A898" t="str">
        <f>"20190312154230331"</f>
        <v>20190312154230331</v>
      </c>
      <c r="B898" t="str">
        <f>"1552376550318604"</f>
        <v>1552376550318604</v>
      </c>
      <c r="C898" t="s">
        <v>40</v>
      </c>
      <c r="D898">
        <v>4.8244809999999996</v>
      </c>
      <c r="E898">
        <v>0.52925250000000001</v>
      </c>
      <c r="F898" t="s">
        <v>43</v>
      </c>
      <c r="G898">
        <v>-230.48769999999999</v>
      </c>
      <c r="H898" s="1">
        <v>-4.6701630000000002E-6</v>
      </c>
      <c r="I898">
        <v>366.19380000000001</v>
      </c>
      <c r="J898">
        <v>-250.08330000000001</v>
      </c>
      <c r="K898">
        <v>1.1104689999999999</v>
      </c>
      <c r="L898">
        <v>368.27170000000001</v>
      </c>
      <c r="M898">
        <v>0.99989640000000002</v>
      </c>
      <c r="N898">
        <v>0</v>
      </c>
      <c r="O898">
        <v>-4.3202589999999998E-4</v>
      </c>
      <c r="P898">
        <v>0.99924599999999997</v>
      </c>
      <c r="Q898">
        <v>2.458596E-2</v>
      </c>
      <c r="R898">
        <v>-3.005215E-2</v>
      </c>
      <c r="S898">
        <v>2.9969939999999999</v>
      </c>
      <c r="T898">
        <v>-0.1683424</v>
      </c>
      <c r="U898">
        <v>-0.31500240000000002</v>
      </c>
      <c r="V898">
        <v>2.9629300000000001E-2</v>
      </c>
      <c r="W898">
        <v>3.895614E-2</v>
      </c>
      <c r="X898">
        <v>0.99880150000000001</v>
      </c>
      <c r="Y898">
        <v>0.1039393</v>
      </c>
      <c r="Z898">
        <v>-2.8846789999999998E-3</v>
      </c>
      <c r="AA898">
        <v>0.99457949999999995</v>
      </c>
      <c r="AB898">
        <v>32</v>
      </c>
      <c r="AC898">
        <v>19.595600000000001</v>
      </c>
      <c r="AD898">
        <v>-1.110473670163</v>
      </c>
      <c r="AE898">
        <v>-2.0779000000000001</v>
      </c>
      <c r="AF898">
        <v>2.0628819706521599</v>
      </c>
      <c r="AG898">
        <v>-1.110473670163</v>
      </c>
      <c r="AH898">
        <v>19.534459836795701</v>
      </c>
      <c r="AI898">
        <v>93.235633233926194</v>
      </c>
      <c r="AJ898">
        <v>83.971781819197304</v>
      </c>
      <c r="AK898">
        <v>19.674444208473901</v>
      </c>
      <c r="AL898">
        <v>87.767412562712806</v>
      </c>
      <c r="AM898">
        <v>88.300827413548205</v>
      </c>
      <c r="AN898">
        <v>0.99999995633221805</v>
      </c>
    </row>
    <row r="899" spans="1:40" x14ac:dyDescent="0.25">
      <c r="A899" t="str">
        <f>"20190312154230343"</f>
        <v>20190312154230343</v>
      </c>
      <c r="B899" t="str">
        <f>"1552376550338124"</f>
        <v>1552376550338124</v>
      </c>
      <c r="C899" t="s">
        <v>40</v>
      </c>
      <c r="D899">
        <v>4.777164</v>
      </c>
      <c r="E899">
        <v>0.52931859999999997</v>
      </c>
      <c r="F899" t="s">
        <v>43</v>
      </c>
      <c r="G899">
        <v>-230.74170000000001</v>
      </c>
      <c r="H899" s="1">
        <v>-4.5547069999999998E-6</v>
      </c>
      <c r="I899">
        <v>366.23059999999998</v>
      </c>
      <c r="J899">
        <v>-249.90729999999999</v>
      </c>
      <c r="K899">
        <v>1.1104689999999999</v>
      </c>
      <c r="L899">
        <v>368.2715</v>
      </c>
      <c r="M899">
        <v>0.99989649999999997</v>
      </c>
      <c r="N899">
        <v>0</v>
      </c>
      <c r="O899">
        <v>-4.814765E-4</v>
      </c>
      <c r="P899">
        <v>0.99925189999999997</v>
      </c>
      <c r="Q899">
        <v>2.4289580000000002E-2</v>
      </c>
      <c r="R899">
        <v>-3.0101670000000001E-2</v>
      </c>
      <c r="S899">
        <v>2.9969790000000001</v>
      </c>
      <c r="T899">
        <v>-0.1720661</v>
      </c>
      <c r="U899">
        <v>-0.31625370000000003</v>
      </c>
      <c r="V899">
        <v>2.9629349999999999E-2</v>
      </c>
      <c r="W899">
        <v>3.8657869999999997E-2</v>
      </c>
      <c r="X899">
        <v>0.99881319999999996</v>
      </c>
      <c r="Y899">
        <v>0.1042935</v>
      </c>
      <c r="Z899">
        <v>-2.9556410000000002E-3</v>
      </c>
      <c r="AA899">
        <v>0.99454219999999904</v>
      </c>
      <c r="AB899">
        <v>32</v>
      </c>
      <c r="AC899">
        <v>19.165599999999898</v>
      </c>
      <c r="AD899">
        <v>-1.1104735547069999</v>
      </c>
      <c r="AE899">
        <v>-2.0409000000000201</v>
      </c>
      <c r="AF899">
        <v>2.02494917499516</v>
      </c>
      <c r="AG899">
        <v>-1.1104735547069999</v>
      </c>
      <c r="AH899">
        <v>19.103167282990299</v>
      </c>
      <c r="AI899">
        <v>93.308385704183905</v>
      </c>
      <c r="AJ899">
        <v>83.949202101041905</v>
      </c>
      <c r="AK899">
        <v>19.242260026278899</v>
      </c>
      <c r="AL899">
        <v>87.784515308074901</v>
      </c>
      <c r="AM899">
        <v>88.300844440150399</v>
      </c>
      <c r="AN899">
        <v>1.0000000688942901</v>
      </c>
    </row>
    <row r="900" spans="1:40" x14ac:dyDescent="0.25">
      <c r="A900" t="str">
        <f>"20190312154230355"</f>
        <v>20190312154230355</v>
      </c>
      <c r="B900" t="str">
        <f>"1552376550347885"</f>
        <v>1552376550347885</v>
      </c>
      <c r="C900" t="s">
        <v>40</v>
      </c>
      <c r="D900">
        <v>4.7496809999999998</v>
      </c>
      <c r="E900">
        <v>0.52943530000000005</v>
      </c>
      <c r="F900" t="s">
        <v>43</v>
      </c>
      <c r="G900">
        <v>-231.09649999999999</v>
      </c>
      <c r="H900" s="1">
        <v>-4.3929870000000004E-6</v>
      </c>
      <c r="I900">
        <v>366.28399999999999</v>
      </c>
      <c r="J900">
        <v>-249.74299999999999</v>
      </c>
      <c r="K900">
        <v>1.110474</v>
      </c>
      <c r="L900">
        <v>368.27140000000003</v>
      </c>
      <c r="M900">
        <v>0.99989640000000002</v>
      </c>
      <c r="N900">
        <v>0</v>
      </c>
      <c r="O900">
        <v>-5.2735360000000003E-4</v>
      </c>
      <c r="P900">
        <v>0.99924179999999996</v>
      </c>
      <c r="Q900">
        <v>2.4384670000000001E-2</v>
      </c>
      <c r="R900">
        <v>-3.035419E-2</v>
      </c>
      <c r="S900">
        <v>2.9970089999999998</v>
      </c>
      <c r="T900">
        <v>-0.17692479999999999</v>
      </c>
      <c r="U900">
        <v>-0.3166504</v>
      </c>
      <c r="V900">
        <v>2.9836100000000001E-2</v>
      </c>
      <c r="W900">
        <v>3.8751260000000003E-2</v>
      </c>
      <c r="X900">
        <v>0.99880340000000001</v>
      </c>
      <c r="Y900">
        <v>0.1043673</v>
      </c>
      <c r="Z900">
        <v>-3.0383789999999999E-3</v>
      </c>
      <c r="AA900">
        <v>0.99453420000000003</v>
      </c>
      <c r="AB900">
        <v>32</v>
      </c>
      <c r="AC900">
        <v>18.6465</v>
      </c>
      <c r="AD900">
        <v>-1.1104783929869999</v>
      </c>
      <c r="AE900">
        <v>-1.98740000000003</v>
      </c>
      <c r="AF900">
        <v>1.97065457523976</v>
      </c>
      <c r="AG900">
        <v>-1.1104783929869999</v>
      </c>
      <c r="AH900">
        <v>18.582379563955602</v>
      </c>
      <c r="AI900">
        <v>93.400888858662</v>
      </c>
      <c r="AJ900">
        <v>83.946429694347799</v>
      </c>
      <c r="AK900">
        <v>18.7195478571231</v>
      </c>
      <c r="AL900">
        <v>87.779160384384895</v>
      </c>
      <c r="AM900">
        <v>88.288978184658504</v>
      </c>
      <c r="AN900">
        <v>1.0000000424331701</v>
      </c>
    </row>
    <row r="901" spans="1:40" x14ac:dyDescent="0.25">
      <c r="A901" t="str">
        <f>"20190312154230367"</f>
        <v>20190312154230367</v>
      </c>
      <c r="B901" t="str">
        <f>"1552376550358620"</f>
        <v>1552376550358620</v>
      </c>
      <c r="C901" t="s">
        <v>40</v>
      </c>
      <c r="D901">
        <v>4.7810079999999999</v>
      </c>
      <c r="E901">
        <v>0.52956719999999902</v>
      </c>
      <c r="F901" t="s">
        <v>43</v>
      </c>
      <c r="G901">
        <v>-230.92939999999999</v>
      </c>
      <c r="H901" s="1">
        <v>-4.4667260000000002E-6</v>
      </c>
      <c r="I901">
        <v>366.2724</v>
      </c>
      <c r="J901">
        <v>-249.56219999999999</v>
      </c>
      <c r="K901">
        <v>1.110476</v>
      </c>
      <c r="L901">
        <v>368.2713</v>
      </c>
      <c r="M901">
        <v>0.99989649999999997</v>
      </c>
      <c r="N901">
        <v>0</v>
      </c>
      <c r="O901">
        <v>-5.7787910000000004E-4</v>
      </c>
      <c r="P901">
        <v>0.99924959999999996</v>
      </c>
      <c r="Q901">
        <v>2.402344E-2</v>
      </c>
      <c r="R901">
        <v>-3.0390110000000001E-2</v>
      </c>
      <c r="S901">
        <v>2.996902</v>
      </c>
      <c r="T901">
        <v>-0.17689279999999999</v>
      </c>
      <c r="U901">
        <v>-0.31842039999999999</v>
      </c>
      <c r="V901">
        <v>2.9821179999999999E-2</v>
      </c>
      <c r="W901">
        <v>3.8388180000000001E-2</v>
      </c>
      <c r="X901">
        <v>0.99881779999999998</v>
      </c>
      <c r="Y901">
        <v>0.10490090000000001</v>
      </c>
      <c r="Z901">
        <v>-3.0505599999999999E-3</v>
      </c>
      <c r="AA901">
        <v>0.99447799999999997</v>
      </c>
      <c r="AB901">
        <v>32</v>
      </c>
      <c r="AC901">
        <v>18.6328</v>
      </c>
      <c r="AD901">
        <v>-1.110480466726</v>
      </c>
      <c r="AE901">
        <v>-1.9988999999999899</v>
      </c>
      <c r="AF901">
        <v>1.98117410181251</v>
      </c>
      <c r="AG901">
        <v>-1.110480466726</v>
      </c>
      <c r="AH901">
        <v>18.568747476116801</v>
      </c>
      <c r="AI901">
        <v>93.403155947377698</v>
      </c>
      <c r="AJ901">
        <v>83.909922899881806</v>
      </c>
      <c r="AK901">
        <v>18.7071269980312</v>
      </c>
      <c r="AL901">
        <v>87.799978680589106</v>
      </c>
      <c r="AM901">
        <v>88.289857940078505</v>
      </c>
      <c r="AN901">
        <v>0.99999997636857196</v>
      </c>
    </row>
    <row r="902" spans="1:40" x14ac:dyDescent="0.25">
      <c r="A902" t="str">
        <f>"20190312154230379"</f>
        <v>20190312154230379</v>
      </c>
      <c r="B902" t="str">
        <f>"1552376550368381"</f>
        <v>1552376550368381</v>
      </c>
      <c r="C902" t="s">
        <v>40</v>
      </c>
      <c r="D902">
        <v>4.7569330000000001</v>
      </c>
      <c r="E902">
        <v>0.52969060000000001</v>
      </c>
      <c r="F902" t="s">
        <v>43</v>
      </c>
      <c r="G902">
        <v>-230.90549999999999</v>
      </c>
      <c r="H902" s="1">
        <v>-4.4752489999999998E-6</v>
      </c>
      <c r="I902">
        <v>366.28219999999999</v>
      </c>
      <c r="J902">
        <v>-249.3931</v>
      </c>
      <c r="K902">
        <v>1.110471</v>
      </c>
      <c r="L902">
        <v>368.27109999999999</v>
      </c>
      <c r="M902">
        <v>0.99989649999999997</v>
      </c>
      <c r="N902">
        <v>0</v>
      </c>
      <c r="O902">
        <v>-6.2518649999999997E-4</v>
      </c>
      <c r="P902">
        <v>0.99924800000000003</v>
      </c>
      <c r="Q902">
        <v>2.3905300000000001E-2</v>
      </c>
      <c r="R902">
        <v>-3.0533029999999999E-2</v>
      </c>
      <c r="S902">
        <v>2.9968110000000001</v>
      </c>
      <c r="T902">
        <v>-0.17837459999999999</v>
      </c>
      <c r="U902">
        <v>-0.31948850000000001</v>
      </c>
      <c r="V902">
        <v>2.9916789999999999E-2</v>
      </c>
      <c r="W902">
        <v>3.8267629999999997E-2</v>
      </c>
      <c r="X902">
        <v>0.99881960000000003</v>
      </c>
      <c r="Y902">
        <v>0.10520400000000001</v>
      </c>
      <c r="Z902">
        <v>-3.0822890000000002E-3</v>
      </c>
      <c r="AA902">
        <v>0.99444589999999999</v>
      </c>
      <c r="AB902">
        <v>32</v>
      </c>
      <c r="AC902">
        <v>18.4876</v>
      </c>
      <c r="AD902">
        <v>-1.110475475249</v>
      </c>
      <c r="AE902">
        <v>-1.9888999999999999</v>
      </c>
      <c r="AF902">
        <v>1.9703128202078299</v>
      </c>
      <c r="AG902">
        <v>-1.110475475249</v>
      </c>
      <c r="AH902">
        <v>18.423131248570002</v>
      </c>
      <c r="AI902">
        <v>93.429883398470906</v>
      </c>
      <c r="AJ902">
        <v>83.895547421547207</v>
      </c>
      <c r="AK902">
        <v>18.5614399601066</v>
      </c>
      <c r="AL902">
        <v>87.806890838754498</v>
      </c>
      <c r="AM902">
        <v>88.284381396977295</v>
      </c>
      <c r="AN902">
        <v>1.0000000095869399</v>
      </c>
    </row>
    <row r="903" spans="1:40" x14ac:dyDescent="0.25">
      <c r="A903" t="str">
        <f>"20190312154230394"</f>
        <v>20190312154230394</v>
      </c>
      <c r="B903" t="str">
        <f>"1552376550387903"</f>
        <v>1552376550387903</v>
      </c>
      <c r="C903" t="s">
        <v>40</v>
      </c>
      <c r="D903">
        <v>4.801634</v>
      </c>
      <c r="E903">
        <v>0.52985159999999998</v>
      </c>
      <c r="F903" t="s">
        <v>43</v>
      </c>
      <c r="G903">
        <v>-230.77850000000001</v>
      </c>
      <c r="H903" s="1">
        <v>-4.5307139999999996E-6</v>
      </c>
      <c r="I903">
        <v>366.27659999999997</v>
      </c>
      <c r="J903">
        <v>-249.1789</v>
      </c>
      <c r="K903">
        <v>1.1104700000000001</v>
      </c>
      <c r="L903">
        <v>368.27089999999998</v>
      </c>
      <c r="M903">
        <v>0.99989649999999997</v>
      </c>
      <c r="N903">
        <v>0</v>
      </c>
      <c r="O903">
        <v>-6.8512679999999896E-4</v>
      </c>
      <c r="P903">
        <v>0.99924869999999999</v>
      </c>
      <c r="Q903">
        <v>2.3850489999999998E-2</v>
      </c>
      <c r="R903">
        <v>-3.054695E-2</v>
      </c>
      <c r="S903">
        <v>2.9966889999999999</v>
      </c>
      <c r="T903">
        <v>-0.1787707</v>
      </c>
      <c r="U903">
        <v>-0.32107540000000001</v>
      </c>
      <c r="V903">
        <v>2.987107E-2</v>
      </c>
      <c r="W903">
        <v>3.8210929999999997E-2</v>
      </c>
      <c r="X903">
        <v>0.99882309999999996</v>
      </c>
      <c r="Y903">
        <v>0.10566780000000001</v>
      </c>
      <c r="Z903">
        <v>-3.0993779999999999E-3</v>
      </c>
      <c r="AA903">
        <v>0.99439659999999996</v>
      </c>
      <c r="AB903">
        <v>31</v>
      </c>
      <c r="AC903">
        <v>18.400399999999902</v>
      </c>
      <c r="AD903">
        <v>-1.110474530714</v>
      </c>
      <c r="AE903">
        <v>-1.9943</v>
      </c>
      <c r="AF903">
        <v>1.9745833149968299</v>
      </c>
      <c r="AG903">
        <v>-1.110474530714</v>
      </c>
      <c r="AH903">
        <v>18.3357552361018</v>
      </c>
      <c r="AI903">
        <v>93.445914886010698</v>
      </c>
      <c r="AJ903">
        <v>83.853487025559104</v>
      </c>
      <c r="AK903">
        <v>18.475173964795701</v>
      </c>
      <c r="AL903">
        <v>87.810141801662297</v>
      </c>
      <c r="AM903">
        <v>88.2870077076131</v>
      </c>
      <c r="AN903">
        <v>0.99999997054400902</v>
      </c>
    </row>
    <row r="904" spans="1:40" x14ac:dyDescent="0.25">
      <c r="A904" t="str">
        <f>"20190312154230416"</f>
        <v>20190312154230416</v>
      </c>
      <c r="B904" t="str">
        <f>"1552376550408396"</f>
        <v>1552376550408396</v>
      </c>
      <c r="C904" t="s">
        <v>40</v>
      </c>
      <c r="D904">
        <v>4.7762149999999997</v>
      </c>
      <c r="E904">
        <v>0.52993769999999996</v>
      </c>
      <c r="F904" t="s">
        <v>43</v>
      </c>
      <c r="G904">
        <v>-230.7998</v>
      </c>
      <c r="H904" s="1">
        <v>-4.518383E-6</v>
      </c>
      <c r="I904">
        <v>366.29469999999998</v>
      </c>
      <c r="J904">
        <v>-248.86590000000001</v>
      </c>
      <c r="K904">
        <v>1.1104750000000001</v>
      </c>
      <c r="L904">
        <v>368.2706</v>
      </c>
      <c r="M904">
        <v>0.99989640000000002</v>
      </c>
      <c r="N904">
        <v>0</v>
      </c>
      <c r="O904">
        <v>-7.7259349999999997E-4</v>
      </c>
      <c r="P904">
        <v>0.99924710000000005</v>
      </c>
      <c r="Q904">
        <v>2.348741E-2</v>
      </c>
      <c r="R904">
        <v>-3.0879670000000001E-2</v>
      </c>
      <c r="S904">
        <v>2.9967039999999998</v>
      </c>
      <c r="T904">
        <v>-0.18106140000000001</v>
      </c>
      <c r="U904">
        <v>-0.32220460000000001</v>
      </c>
      <c r="V904">
        <v>3.0116219999999999E-2</v>
      </c>
      <c r="W904">
        <v>3.7844030000000001E-2</v>
      </c>
      <c r="X904">
        <v>0.99882969999999904</v>
      </c>
      <c r="Y904">
        <v>0.1059456</v>
      </c>
      <c r="Z904">
        <v>-3.1420390000000001E-3</v>
      </c>
      <c r="AA904">
        <v>0.99436690000000005</v>
      </c>
      <c r="AB904">
        <v>31</v>
      </c>
      <c r="AC904">
        <v>18.066099999999999</v>
      </c>
      <c r="AD904">
        <v>-1.1104795183830001</v>
      </c>
      <c r="AE904">
        <v>-1.97590000000002</v>
      </c>
      <c r="AF904">
        <v>1.9546423585566399</v>
      </c>
      <c r="AG904">
        <v>-1.1104795183830001</v>
      </c>
      <c r="AH904">
        <v>18.000414932719799</v>
      </c>
      <c r="AI904">
        <v>93.509631346290405</v>
      </c>
      <c r="AJ904">
        <v>83.802606314736394</v>
      </c>
      <c r="AK904">
        <v>18.140251631680702</v>
      </c>
      <c r="AL904">
        <v>87.831178824748903</v>
      </c>
      <c r="AM904">
        <v>88.272969171366299</v>
      </c>
      <c r="AN904">
        <v>0.99999996345790798</v>
      </c>
    </row>
    <row r="905" spans="1:40" x14ac:dyDescent="0.25">
      <c r="A905" t="str">
        <f>"20190312154230440"</f>
        <v>20190312154230440</v>
      </c>
      <c r="B905" t="str">
        <f>"1552376550428423"</f>
        <v>1552376550428423</v>
      </c>
      <c r="C905" t="s">
        <v>40</v>
      </c>
      <c r="D905">
        <v>4.790089</v>
      </c>
      <c r="E905">
        <v>0.53011759999999997</v>
      </c>
      <c r="F905" t="s">
        <v>43</v>
      </c>
      <c r="G905">
        <v>-231.0095</v>
      </c>
      <c r="H905" s="1">
        <v>-4.4202389999999996E-6</v>
      </c>
      <c r="I905">
        <v>366.3408</v>
      </c>
      <c r="J905">
        <v>-248.54990000000001</v>
      </c>
      <c r="K905">
        <v>1.110476</v>
      </c>
      <c r="L905">
        <v>368.27030000000002</v>
      </c>
      <c r="M905">
        <v>0.99989640000000002</v>
      </c>
      <c r="N905">
        <v>0</v>
      </c>
      <c r="O905">
        <v>-8.6125000000000004E-4</v>
      </c>
      <c r="P905">
        <v>0.99925200000000003</v>
      </c>
      <c r="Q905">
        <v>2.360655E-2</v>
      </c>
      <c r="R905">
        <v>-3.0626759999999999E-2</v>
      </c>
      <c r="S905">
        <v>2.9966279999999998</v>
      </c>
      <c r="T905">
        <v>-0.18635850000000001</v>
      </c>
      <c r="U905">
        <v>-0.32385249999999999</v>
      </c>
      <c r="V905">
        <v>2.9774740000000001E-2</v>
      </c>
      <c r="W905">
        <v>3.7960290000000001E-2</v>
      </c>
      <c r="X905">
        <v>0.99883560000000005</v>
      </c>
      <c r="Y905">
        <v>0.10638880000000001</v>
      </c>
      <c r="Z905">
        <v>-3.2420090000000001E-3</v>
      </c>
      <c r="AA905">
        <v>0.99431930000000002</v>
      </c>
      <c r="AB905">
        <v>31</v>
      </c>
      <c r="AC905">
        <v>17.540400000000002</v>
      </c>
      <c r="AD905">
        <v>-1.110480420239</v>
      </c>
      <c r="AE905">
        <v>-1.92950000000001</v>
      </c>
      <c r="AF905">
        <v>1.9068395547161501</v>
      </c>
      <c r="AG905">
        <v>-1.110480420239</v>
      </c>
      <c r="AH905">
        <v>17.472859114736799</v>
      </c>
      <c r="AI905">
        <v>93.6151126353422</v>
      </c>
      <c r="AJ905">
        <v>83.771871863860596</v>
      </c>
      <c r="AK905">
        <v>17.611644145127599</v>
      </c>
      <c r="AL905">
        <v>87.824512988060803</v>
      </c>
      <c r="AM905">
        <v>88.292549947111297</v>
      </c>
      <c r="AN905">
        <v>1.0000000372931499</v>
      </c>
    </row>
    <row r="906" spans="1:40" x14ac:dyDescent="0.25">
      <c r="A906" t="str">
        <f>"20190312154230462"</f>
        <v>20190312154230462</v>
      </c>
      <c r="B906" t="str">
        <f>"1552376550458680"</f>
        <v>1552376550458680</v>
      </c>
      <c r="C906" t="s">
        <v>40</v>
      </c>
      <c r="D906">
        <v>4.7954699999999999</v>
      </c>
      <c r="E906">
        <v>0.53024369999999998</v>
      </c>
      <c r="F906" t="s">
        <v>43</v>
      </c>
      <c r="G906">
        <v>-230.82749999999999</v>
      </c>
      <c r="H906" s="1">
        <v>-4.4961629999999999E-6</v>
      </c>
      <c r="I906">
        <v>366.35300000000001</v>
      </c>
      <c r="J906">
        <v>-248.2338</v>
      </c>
      <c r="K906">
        <v>1.110473</v>
      </c>
      <c r="L906">
        <v>368.26990000000001</v>
      </c>
      <c r="M906">
        <v>0.99989629999999996</v>
      </c>
      <c r="N906">
        <v>0</v>
      </c>
      <c r="O906">
        <v>-9.4931710000000001E-4</v>
      </c>
      <c r="P906">
        <v>0.99923439999999997</v>
      </c>
      <c r="Q906">
        <v>2.3861210000000001E-2</v>
      </c>
      <c r="R906">
        <v>-3.100325E-2</v>
      </c>
      <c r="S906">
        <v>2.9967800000000002</v>
      </c>
      <c r="T906">
        <v>-0.1877769</v>
      </c>
      <c r="U906">
        <v>-0.32418819999999998</v>
      </c>
      <c r="V906">
        <v>3.0063369999999999E-2</v>
      </c>
      <c r="W906">
        <v>3.82114E-2</v>
      </c>
      <c r="X906">
        <v>0.99881730000000002</v>
      </c>
      <c r="Y906">
        <v>0.106403</v>
      </c>
      <c r="Z906">
        <v>-3.2613999999999998E-3</v>
      </c>
      <c r="AA906">
        <v>0.99431769999999997</v>
      </c>
      <c r="AB906">
        <v>31</v>
      </c>
      <c r="AC906">
        <v>17.406300000000002</v>
      </c>
      <c r="AD906">
        <v>-1.110477496163</v>
      </c>
      <c r="AE906">
        <v>-1.9168999999999901</v>
      </c>
      <c r="AF906">
        <v>1.89276188545179</v>
      </c>
      <c r="AG906">
        <v>-1.110477496163</v>
      </c>
      <c r="AH906">
        <v>17.338388469582799</v>
      </c>
      <c r="AI906">
        <v>93.643051933656494</v>
      </c>
      <c r="AJ906">
        <v>83.769921235743794</v>
      </c>
      <c r="AK906">
        <v>17.476710861791599</v>
      </c>
      <c r="AL906">
        <v>87.810114825573905</v>
      </c>
      <c r="AM906">
        <v>88.275976662442204</v>
      </c>
      <c r="AN906">
        <v>0.99999995804250197</v>
      </c>
    </row>
    <row r="907" spans="1:40" x14ac:dyDescent="0.25">
      <c r="A907" t="str">
        <f>"20190312154230485"</f>
        <v>20190312154230485</v>
      </c>
      <c r="B907" t="str">
        <f>"1552376550478199"</f>
        <v>1552376550478199</v>
      </c>
      <c r="C907" t="s">
        <v>40</v>
      </c>
      <c r="D907">
        <v>4.780653</v>
      </c>
      <c r="E907">
        <v>0.53035790000000005</v>
      </c>
      <c r="F907" t="s">
        <v>43</v>
      </c>
      <c r="G907">
        <v>-230.86959999999999</v>
      </c>
      <c r="H907" s="1">
        <v>-4.4733640000000001E-6</v>
      </c>
      <c r="I907">
        <v>366.37970000000001</v>
      </c>
      <c r="J907">
        <v>-247.92179999999999</v>
      </c>
      <c r="K907">
        <v>1.110468</v>
      </c>
      <c r="L907">
        <v>368.26949999999999</v>
      </c>
      <c r="M907">
        <v>0.99989629999999996</v>
      </c>
      <c r="N907">
        <v>0</v>
      </c>
      <c r="O907">
        <v>-1.036782E-3</v>
      </c>
      <c r="P907">
        <v>0.99922599999999995</v>
      </c>
      <c r="Q907">
        <v>2.3957220000000001E-2</v>
      </c>
      <c r="R907">
        <v>-3.120382E-2</v>
      </c>
      <c r="S907">
        <v>2.9967350000000001</v>
      </c>
      <c r="T907">
        <v>-0.1916465</v>
      </c>
      <c r="U907">
        <v>-0.3262024</v>
      </c>
      <c r="V907">
        <v>3.0176439999999999E-2</v>
      </c>
      <c r="W907">
        <v>3.8303839999999999E-2</v>
      </c>
      <c r="X907">
        <v>0.99881039999999999</v>
      </c>
      <c r="Y907">
        <v>0.1069687</v>
      </c>
      <c r="Z907">
        <v>-3.3408489999999999E-3</v>
      </c>
      <c r="AA907">
        <v>0.99425680000000005</v>
      </c>
      <c r="AB907">
        <v>31</v>
      </c>
      <c r="AC907">
        <v>17.052199999999999</v>
      </c>
      <c r="AD907">
        <v>-1.1104724733639999</v>
      </c>
      <c r="AE907">
        <v>-1.8897999999999799</v>
      </c>
      <c r="AF907">
        <v>1.86430739155493</v>
      </c>
      <c r="AG907">
        <v>-1.1104724733639999</v>
      </c>
      <c r="AH907">
        <v>16.9830015307741</v>
      </c>
      <c r="AI907">
        <v>93.718813747126006</v>
      </c>
      <c r="AJ907">
        <v>83.735444587820894</v>
      </c>
      <c r="AK907">
        <v>17.121072751395602</v>
      </c>
      <c r="AL907">
        <v>87.804814633828897</v>
      </c>
      <c r="AM907">
        <v>88.269484502951798</v>
      </c>
      <c r="AN907">
        <v>1.00000000841898</v>
      </c>
    </row>
    <row r="908" spans="1:40" x14ac:dyDescent="0.25">
      <c r="A908" t="str">
        <f>"20190312154230518"</f>
        <v>20190312154230518</v>
      </c>
      <c r="B908" t="str">
        <f>"1552376550508459"</f>
        <v>1552376550508459</v>
      </c>
      <c r="C908" t="s">
        <v>40</v>
      </c>
      <c r="D908">
        <v>4.7513329999999998</v>
      </c>
      <c r="E908">
        <v>0.53052339999999998</v>
      </c>
      <c r="F908" t="s">
        <v>43</v>
      </c>
      <c r="G908">
        <v>-230.73920000000001</v>
      </c>
      <c r="H908" s="1">
        <v>-4.527329E-6</v>
      </c>
      <c r="I908">
        <v>366.39089999999999</v>
      </c>
      <c r="J908">
        <v>-247.46080000000001</v>
      </c>
      <c r="K908">
        <v>1.110476</v>
      </c>
      <c r="L908">
        <v>368.26889999999997</v>
      </c>
      <c r="M908">
        <v>0.99989629999999996</v>
      </c>
      <c r="N908">
        <v>0</v>
      </c>
      <c r="O908">
        <v>-1.1660749999999999E-3</v>
      </c>
      <c r="P908">
        <v>0.99921499999999996</v>
      </c>
      <c r="Q908">
        <v>2.4117130000000001E-2</v>
      </c>
      <c r="R908">
        <v>-3.1436390000000002E-2</v>
      </c>
      <c r="S908">
        <v>2.9967190000000001</v>
      </c>
      <c r="T908">
        <v>-0.19367000000000001</v>
      </c>
      <c r="U908">
        <v>-0.3276367</v>
      </c>
      <c r="V908">
        <v>3.0279650000000002E-2</v>
      </c>
      <c r="W908">
        <v>3.8458220000000001E-2</v>
      </c>
      <c r="X908">
        <v>0.99880139999999995</v>
      </c>
      <c r="Y908">
        <v>0.107306</v>
      </c>
      <c r="Z908">
        <v>-3.378514E-3</v>
      </c>
      <c r="AA908">
        <v>0.99422029999999995</v>
      </c>
      <c r="AB908">
        <v>31</v>
      </c>
      <c r="AC908">
        <v>16.721599999999899</v>
      </c>
      <c r="AD908">
        <v>-1.1104805273289999</v>
      </c>
      <c r="AE908">
        <v>-1.8779999999999799</v>
      </c>
      <c r="AF908">
        <v>1.85043877574759</v>
      </c>
      <c r="AG908">
        <v>-1.1104805273289999</v>
      </c>
      <c r="AH908">
        <v>16.651256782435599</v>
      </c>
      <c r="AI908">
        <v>93.792158588774399</v>
      </c>
      <c r="AJ908">
        <v>83.658791512425296</v>
      </c>
      <c r="AK908">
        <v>16.790522418881899</v>
      </c>
      <c r="AL908">
        <v>87.795962912358306</v>
      </c>
      <c r="AM908">
        <v>88.263553743163101</v>
      </c>
      <c r="AN908">
        <v>1.00000006426582</v>
      </c>
    </row>
    <row r="909" spans="1:40" x14ac:dyDescent="0.25">
      <c r="A909" t="str">
        <f>"20190312154230539"</f>
        <v>20190312154230539</v>
      </c>
      <c r="B909" t="str">
        <f>"1552376550527975"</f>
        <v>1552376550527975</v>
      </c>
      <c r="C909" t="s">
        <v>40</v>
      </c>
      <c r="D909">
        <v>4.7774109999999999</v>
      </c>
      <c r="E909">
        <v>0.53066530000000001</v>
      </c>
      <c r="F909" t="s">
        <v>43</v>
      </c>
      <c r="G909">
        <v>-230.477</v>
      </c>
      <c r="H909" s="1">
        <v>-4.6377569999999998E-6</v>
      </c>
      <c r="I909">
        <v>366.40249999999997</v>
      </c>
      <c r="J909">
        <v>-247.15530000000001</v>
      </c>
      <c r="K909">
        <v>1.110473</v>
      </c>
      <c r="L909">
        <v>368.26839999999999</v>
      </c>
      <c r="M909">
        <v>0.99989629999999996</v>
      </c>
      <c r="N909">
        <v>0</v>
      </c>
      <c r="O909">
        <v>-1.25128E-3</v>
      </c>
      <c r="P909">
        <v>0.99922040000000001</v>
      </c>
      <c r="Q909">
        <v>2.38126E-2</v>
      </c>
      <c r="R909">
        <v>-3.1496860000000002E-2</v>
      </c>
      <c r="S909">
        <v>2.9967350000000001</v>
      </c>
      <c r="T909">
        <v>-0.19593920000000001</v>
      </c>
      <c r="U909">
        <v>-0.32931519999999997</v>
      </c>
      <c r="V909">
        <v>3.0254840000000002E-2</v>
      </c>
      <c r="W909">
        <v>3.815089E-2</v>
      </c>
      <c r="X909">
        <v>0.99881390000000003</v>
      </c>
      <c r="Y909">
        <v>0.107765</v>
      </c>
      <c r="Z909">
        <v>-3.4272920000000002E-3</v>
      </c>
      <c r="AA909">
        <v>0.99417049999999996</v>
      </c>
      <c r="AB909">
        <v>31</v>
      </c>
      <c r="AC909">
        <v>16.6783</v>
      </c>
      <c r="AD909">
        <v>-1.110477637757</v>
      </c>
      <c r="AE909">
        <v>-1.8659000000000101</v>
      </c>
      <c r="AF909">
        <v>1.83698414140872</v>
      </c>
      <c r="AG909">
        <v>-1.110477637757</v>
      </c>
      <c r="AH909">
        <v>16.6079061146045</v>
      </c>
      <c r="AI909">
        <v>93.802234112873606</v>
      </c>
      <c r="AJ909">
        <v>83.688226960252095</v>
      </c>
      <c r="AK909">
        <v>16.746050783132802</v>
      </c>
      <c r="AL909">
        <v>87.813584472472002</v>
      </c>
      <c r="AM909">
        <v>88.264997351857403</v>
      </c>
      <c r="AN909">
        <v>1.00000002629221</v>
      </c>
    </row>
    <row r="910" spans="1:40" x14ac:dyDescent="0.25">
      <c r="A910" t="str">
        <f>"20190312154230562"</f>
        <v>20190312154230562</v>
      </c>
      <c r="B910" t="str">
        <f>"1552376550558231"</f>
        <v>1552376550558231</v>
      </c>
      <c r="C910" t="s">
        <v>40</v>
      </c>
      <c r="D910">
        <v>4.7394780000000001</v>
      </c>
      <c r="E910">
        <v>0.53084279999999995</v>
      </c>
      <c r="F910" t="s">
        <v>43</v>
      </c>
      <c r="G910">
        <v>-230.4177</v>
      </c>
      <c r="H910" s="1">
        <v>-4.6599519999999998E-6</v>
      </c>
      <c r="I910">
        <v>366.42079999999999</v>
      </c>
      <c r="J910">
        <v>-246.84280000000001</v>
      </c>
      <c r="K910">
        <v>1.1104700000000001</v>
      </c>
      <c r="L910">
        <v>368.26799999999997</v>
      </c>
      <c r="M910">
        <v>0.99989629999999996</v>
      </c>
      <c r="N910">
        <v>0</v>
      </c>
      <c r="O910">
        <v>-1.338746E-3</v>
      </c>
      <c r="P910">
        <v>0.99923099999999998</v>
      </c>
      <c r="Q910">
        <v>2.3427819999999999E-2</v>
      </c>
      <c r="R910">
        <v>-3.1450369999999998E-2</v>
      </c>
      <c r="S910">
        <v>2.9966430000000002</v>
      </c>
      <c r="T910">
        <v>-0.19881460000000001</v>
      </c>
      <c r="U910">
        <v>-0.33078000000000002</v>
      </c>
      <c r="V910">
        <v>3.0120919999999999E-2</v>
      </c>
      <c r="W910">
        <v>3.7763020000000001E-2</v>
      </c>
      <c r="X910">
        <v>0.99883259999999996</v>
      </c>
      <c r="Y910">
        <v>0.10815420000000001</v>
      </c>
      <c r="Z910">
        <v>-3.4845710000000001E-3</v>
      </c>
      <c r="AA910">
        <v>0.99412800000000001</v>
      </c>
      <c r="AB910">
        <v>31</v>
      </c>
      <c r="AC910">
        <v>16.4251</v>
      </c>
      <c r="AD910">
        <v>-1.1104746599519999</v>
      </c>
      <c r="AE910">
        <v>-1.8472000000000399</v>
      </c>
      <c r="AF910">
        <v>1.8170054368200199</v>
      </c>
      <c r="AG910">
        <v>-1.1104746599519999</v>
      </c>
      <c r="AH910">
        <v>16.353740852458198</v>
      </c>
      <c r="AI910">
        <v>93.860929985229404</v>
      </c>
      <c r="AJ910">
        <v>83.660074321059398</v>
      </c>
      <c r="AK910">
        <v>16.491801071962701</v>
      </c>
      <c r="AL910">
        <v>87.835823623593001</v>
      </c>
      <c r="AM910">
        <v>88.272704822587897</v>
      </c>
      <c r="AN910">
        <v>0.99999993916196095</v>
      </c>
    </row>
    <row r="911" spans="1:40" x14ac:dyDescent="0.25">
      <c r="A911" t="str">
        <f>"20190312154230584"</f>
        <v>20190312154230584</v>
      </c>
      <c r="B911" t="str">
        <f>"1552376550577754"</f>
        <v>1552376550577754</v>
      </c>
      <c r="C911" t="s">
        <v>40</v>
      </c>
      <c r="D911">
        <v>4.8653040000000001</v>
      </c>
      <c r="E911">
        <v>0.53103020000000001</v>
      </c>
      <c r="F911" t="s">
        <v>43</v>
      </c>
      <c r="G911">
        <v>-230.40129999999999</v>
      </c>
      <c r="H911" s="1">
        <v>-4.6624849999999996E-6</v>
      </c>
      <c r="I911">
        <v>366.4461</v>
      </c>
      <c r="J911">
        <v>-246.52940000000001</v>
      </c>
      <c r="K911">
        <v>1.110466</v>
      </c>
      <c r="L911">
        <v>368.26749999999998</v>
      </c>
      <c r="M911">
        <v>0.99989609999999995</v>
      </c>
      <c r="N911">
        <v>0</v>
      </c>
      <c r="O911">
        <v>-1.4265700000000001E-3</v>
      </c>
      <c r="P911">
        <v>0.99923530000000005</v>
      </c>
      <c r="Q911">
        <v>2.338935E-2</v>
      </c>
      <c r="R911">
        <v>-3.1341649999999999E-2</v>
      </c>
      <c r="S911">
        <v>2.996597</v>
      </c>
      <c r="T911">
        <v>-0.2023914</v>
      </c>
      <c r="U911">
        <v>-0.33203129999999997</v>
      </c>
      <c r="V911">
        <v>2.9924280000000001E-2</v>
      </c>
      <c r="W911">
        <v>3.7721089999999999E-2</v>
      </c>
      <c r="X911">
        <v>0.99884019999999996</v>
      </c>
      <c r="Y911">
        <v>0.1084697</v>
      </c>
      <c r="Z911">
        <v>-3.5517970000000002E-3</v>
      </c>
      <c r="AA911">
        <v>0.99409340000000002</v>
      </c>
      <c r="AB911">
        <v>31</v>
      </c>
      <c r="AC911">
        <v>16.1281</v>
      </c>
      <c r="AD911">
        <v>-1.110470662485</v>
      </c>
      <c r="AE911">
        <v>-1.8213999999999799</v>
      </c>
      <c r="AF911">
        <v>1.7900087841759</v>
      </c>
      <c r="AG911">
        <v>-1.110470662485</v>
      </c>
      <c r="AH911">
        <v>16.055525396139402</v>
      </c>
      <c r="AI911">
        <v>93.932241141752399</v>
      </c>
      <c r="AJ911">
        <v>83.638441790047906</v>
      </c>
      <c r="AK911">
        <v>16.193121140958102</v>
      </c>
      <c r="AL911">
        <v>87.838227975746406</v>
      </c>
      <c r="AM911">
        <v>88.283987500104999</v>
      </c>
      <c r="AN911">
        <v>1.00000004415017</v>
      </c>
    </row>
    <row r="912" spans="1:40" x14ac:dyDescent="0.25">
      <c r="A912" t="str">
        <f>"20190312154230607"</f>
        <v>20190312154230607</v>
      </c>
      <c r="B912" t="str">
        <f>"1552376550598251"</f>
        <v>1552376550598251</v>
      </c>
      <c r="C912" t="s">
        <v>40</v>
      </c>
      <c r="D912">
        <v>4.6976310000000003</v>
      </c>
      <c r="E912">
        <v>0.53116600000000003</v>
      </c>
      <c r="F912" t="s">
        <v>43</v>
      </c>
      <c r="G912">
        <v>-230.08359999999999</v>
      </c>
      <c r="H912" s="1">
        <v>-4.7998509999999997E-6</v>
      </c>
      <c r="I912">
        <v>366.44009999999997</v>
      </c>
      <c r="J912">
        <v>-246.21680000000001</v>
      </c>
      <c r="K912">
        <v>1.110473</v>
      </c>
      <c r="L912">
        <v>368.26690000000002</v>
      </c>
      <c r="M912">
        <v>0.99989609999999995</v>
      </c>
      <c r="N912">
        <v>0</v>
      </c>
      <c r="O912">
        <v>-1.513803E-3</v>
      </c>
      <c r="P912">
        <v>0.99924729999999995</v>
      </c>
      <c r="Q912">
        <v>2.33698E-2</v>
      </c>
      <c r="R912">
        <v>-3.096813E-2</v>
      </c>
      <c r="S912">
        <v>2.996597</v>
      </c>
      <c r="T912">
        <v>-0.2023375</v>
      </c>
      <c r="U912">
        <v>-0.33294679999999999</v>
      </c>
      <c r="V912">
        <v>2.946373E-2</v>
      </c>
      <c r="W912">
        <v>3.7698700000000002E-2</v>
      </c>
      <c r="X912">
        <v>0.99885469999999998</v>
      </c>
      <c r="Y912">
        <v>0.1086829</v>
      </c>
      <c r="Z912">
        <v>-3.5520930000000001E-3</v>
      </c>
      <c r="AA912">
        <v>0.99407009999999996</v>
      </c>
      <c r="AB912">
        <v>31</v>
      </c>
      <c r="AC912">
        <v>16.133199999999999</v>
      </c>
      <c r="AD912">
        <v>-1.110477799851</v>
      </c>
      <c r="AE912">
        <v>-1.8268000000000399</v>
      </c>
      <c r="AF912">
        <v>1.7939809460718501</v>
      </c>
      <c r="AG912">
        <v>-1.110477799851</v>
      </c>
      <c r="AH912">
        <v>16.060817203780299</v>
      </c>
      <c r="AI912">
        <v>93.930883818776906</v>
      </c>
      <c r="AJ912">
        <v>83.626524501760898</v>
      </c>
      <c r="AK912">
        <v>16.19880791392</v>
      </c>
      <c r="AL912">
        <v>87.839511662164099</v>
      </c>
      <c r="AM912">
        <v>88.310406896721702</v>
      </c>
      <c r="AN912">
        <v>1.00000000753964</v>
      </c>
    </row>
    <row r="913" spans="1:40" x14ac:dyDescent="0.25">
      <c r="A913" t="str">
        <f>"20190312154230629"</f>
        <v>20190312154230629</v>
      </c>
      <c r="B913" t="str">
        <f>"1552376550618275"</f>
        <v>1552376550618275</v>
      </c>
      <c r="C913" t="s">
        <v>40</v>
      </c>
      <c r="D913">
        <v>4.7266649999999997</v>
      </c>
      <c r="E913">
        <v>0.53128149999999996</v>
      </c>
      <c r="F913" t="s">
        <v>43</v>
      </c>
      <c r="G913">
        <v>-229.6816</v>
      </c>
      <c r="H913" s="1">
        <v>-9.4293159999999997E-7</v>
      </c>
      <c r="I913">
        <v>366.42750000000001</v>
      </c>
      <c r="J913">
        <v>-245.91849999999999</v>
      </c>
      <c r="K913">
        <v>1.110473</v>
      </c>
      <c r="L913">
        <v>368.2663</v>
      </c>
      <c r="M913">
        <v>0.99989589999999995</v>
      </c>
      <c r="N913">
        <v>0</v>
      </c>
      <c r="O913">
        <v>-1.597453E-3</v>
      </c>
      <c r="P913">
        <v>0.99923770000000001</v>
      </c>
      <c r="Q913">
        <v>2.3431170000000001E-2</v>
      </c>
      <c r="R913">
        <v>-3.1224180000000001E-2</v>
      </c>
      <c r="S913">
        <v>2.996613</v>
      </c>
      <c r="T913">
        <v>-0.20124600000000001</v>
      </c>
      <c r="U913">
        <v>-0.33334350000000001</v>
      </c>
      <c r="V913">
        <v>2.963621E-2</v>
      </c>
      <c r="W913">
        <v>3.7756829999999998E-2</v>
      </c>
      <c r="X913">
        <v>0.99884740000000005</v>
      </c>
      <c r="Y913">
        <v>0.1087318</v>
      </c>
      <c r="Z913">
        <v>-3.5289739999999998E-3</v>
      </c>
      <c r="AA913">
        <v>0.99406490000000003</v>
      </c>
      <c r="AB913">
        <v>31</v>
      </c>
      <c r="AC913">
        <v>16.236899999999899</v>
      </c>
      <c r="AD913">
        <v>-1.1104739429316</v>
      </c>
      <c r="AE913">
        <v>-1.83879999999999</v>
      </c>
      <c r="AF913">
        <v>1.8045235873752801</v>
      </c>
      <c r="AG913">
        <v>-1.1104739429316</v>
      </c>
      <c r="AH913">
        <v>16.165162457584799</v>
      </c>
      <c r="AI913">
        <v>93.905604988914206</v>
      </c>
      <c r="AJ913">
        <v>83.630419585581905</v>
      </c>
      <c r="AK913">
        <v>16.303433228477701</v>
      </c>
      <c r="AL913">
        <v>87.836178681906802</v>
      </c>
      <c r="AM913">
        <v>88.300509427653907</v>
      </c>
      <c r="AN913">
        <v>1.0000000058207801</v>
      </c>
    </row>
    <row r="914" spans="1:40" x14ac:dyDescent="0.25">
      <c r="A914" t="str">
        <f>"20190312154230652"</f>
        <v>20190312154230652</v>
      </c>
      <c r="B914" t="str">
        <f>"1552376550648531"</f>
        <v>1552376550648531</v>
      </c>
      <c r="C914" t="s">
        <v>40</v>
      </c>
      <c r="D914">
        <v>4.6861699999999997</v>
      </c>
      <c r="E914">
        <v>0.53149899999999906</v>
      </c>
      <c r="F914" t="s">
        <v>41</v>
      </c>
      <c r="G914">
        <v>-244.91470000000001</v>
      </c>
      <c r="H914">
        <v>1.0435239999999999</v>
      </c>
      <c r="I914">
        <v>368.15370000000001</v>
      </c>
      <c r="J914">
        <v>-245.59880000000001</v>
      </c>
      <c r="K914">
        <v>1.110479</v>
      </c>
      <c r="L914">
        <v>368.26569999999998</v>
      </c>
      <c r="M914">
        <v>0.9998958</v>
      </c>
      <c r="N914">
        <v>0</v>
      </c>
      <c r="O914">
        <v>-1.6870660000000001E-3</v>
      </c>
      <c r="P914">
        <v>0.99923470000000003</v>
      </c>
      <c r="Q914">
        <v>2.324911E-2</v>
      </c>
      <c r="R914">
        <v>-3.145684E-2</v>
      </c>
      <c r="S914">
        <v>2.9965359999999999</v>
      </c>
      <c r="T914">
        <v>-0.2001889</v>
      </c>
      <c r="U914">
        <v>-0.33505249999999998</v>
      </c>
      <c r="V914">
        <v>2.9779159999999999E-2</v>
      </c>
      <c r="W914">
        <v>3.7571470000000003E-2</v>
      </c>
      <c r="X914">
        <v>0.99885009999999996</v>
      </c>
      <c r="Y914">
        <v>0.1092071</v>
      </c>
      <c r="Z914">
        <v>-3.5203040000000001E-3</v>
      </c>
      <c r="AA914">
        <v>0.99401280000000003</v>
      </c>
      <c r="AB914">
        <v>31</v>
      </c>
      <c r="AC914">
        <v>0.68410000000000004</v>
      </c>
      <c r="AD914">
        <v>-6.6955000000000098E-2</v>
      </c>
      <c r="AE914">
        <v>-0.111999999999966</v>
      </c>
      <c r="AF914">
        <v>0.109821069261377</v>
      </c>
      <c r="AG914">
        <v>-6.6955000000000098E-2</v>
      </c>
      <c r="AH914">
        <v>0.67796321597837195</v>
      </c>
      <c r="AI914">
        <v>95.5680727451264</v>
      </c>
      <c r="AJ914">
        <v>80.798765659170499</v>
      </c>
      <c r="AK914">
        <v>0.69005634661123705</v>
      </c>
      <c r="AL914">
        <v>87.846806487047601</v>
      </c>
      <c r="AM914">
        <v>88.292321405199601</v>
      </c>
      <c r="AN914">
        <v>0.99999996799913704</v>
      </c>
    </row>
    <row r="915" spans="1:40" x14ac:dyDescent="0.25">
      <c r="A915" t="str">
        <f>"20190312154230674"</f>
        <v>20190312154230674</v>
      </c>
      <c r="B915" t="str">
        <f>"1552376550668050"</f>
        <v>1552376550668050</v>
      </c>
      <c r="C915" t="s">
        <v>40</v>
      </c>
      <c r="D915">
        <v>4.6965810000000001</v>
      </c>
      <c r="E915">
        <v>0.53159630000000002</v>
      </c>
      <c r="F915" t="s">
        <v>41</v>
      </c>
      <c r="G915">
        <v>-244.6361</v>
      </c>
      <c r="H915">
        <v>1.046273</v>
      </c>
      <c r="I915">
        <v>368.15719999999999</v>
      </c>
      <c r="J915">
        <v>-245.2773</v>
      </c>
      <c r="K915">
        <v>1.1104810000000001</v>
      </c>
      <c r="L915">
        <v>368.26510000000002</v>
      </c>
      <c r="M915">
        <v>0.9998956</v>
      </c>
      <c r="N915">
        <v>0</v>
      </c>
      <c r="O915">
        <v>-1.7770349999999999E-3</v>
      </c>
      <c r="P915">
        <v>0.99924429999999997</v>
      </c>
      <c r="Q915">
        <v>2.2662390000000001E-2</v>
      </c>
      <c r="R915">
        <v>-3.1579210000000003E-2</v>
      </c>
      <c r="S915">
        <v>2.9963380000000002</v>
      </c>
      <c r="T915">
        <v>-0.1998905</v>
      </c>
      <c r="U915">
        <v>-0.33761600000000003</v>
      </c>
      <c r="V915">
        <v>2.9811480000000001E-2</v>
      </c>
      <c r="W915">
        <v>3.6982040000000001E-2</v>
      </c>
      <c r="X915">
        <v>0.99887110000000001</v>
      </c>
      <c r="Y915">
        <v>0.10996400000000001</v>
      </c>
      <c r="Z915">
        <v>-3.5342939999999999E-3</v>
      </c>
      <c r="AA915">
        <v>0.99392930000000002</v>
      </c>
      <c r="AB915">
        <v>31</v>
      </c>
      <c r="AC915">
        <v>0.64119999999999699</v>
      </c>
      <c r="AD915">
        <v>-6.4208000000000001E-2</v>
      </c>
      <c r="AE915">
        <v>-0.107900000000029</v>
      </c>
      <c r="AF915">
        <v>0.105729276166884</v>
      </c>
      <c r="AG915">
        <v>-6.4208000000000001E-2</v>
      </c>
      <c r="AH915">
        <v>0.63519673406062904</v>
      </c>
      <c r="AI915">
        <v>95.694241973584795</v>
      </c>
      <c r="AJ915">
        <v>80.5496883445023</v>
      </c>
      <c r="AK915">
        <v>0.64712922825666197</v>
      </c>
      <c r="AL915">
        <v>87.880601758439397</v>
      </c>
      <c r="AM915">
        <v>88.290505041339202</v>
      </c>
      <c r="AN915">
        <v>0.99999993501877804</v>
      </c>
    </row>
    <row r="916" spans="1:40" x14ac:dyDescent="0.25">
      <c r="A916" t="str">
        <f>"20190312154230696"</f>
        <v>20190312154230696</v>
      </c>
      <c r="B916" t="str">
        <f>"1552376550688546"</f>
        <v>1552376550688546</v>
      </c>
      <c r="C916" t="s">
        <v>40</v>
      </c>
      <c r="D916">
        <v>4.7281129999999996</v>
      </c>
      <c r="E916">
        <v>0.53168400000000005</v>
      </c>
      <c r="F916" t="s">
        <v>41</v>
      </c>
      <c r="G916">
        <v>-244.35749999999999</v>
      </c>
      <c r="H916">
        <v>1.0488879999999901</v>
      </c>
      <c r="I916">
        <v>368.16090000000003</v>
      </c>
      <c r="J916">
        <v>-244.97620000000001</v>
      </c>
      <c r="K916">
        <v>1.1104860000000001</v>
      </c>
      <c r="L916">
        <v>368.2645</v>
      </c>
      <c r="M916">
        <v>0.99989550000000005</v>
      </c>
      <c r="N916">
        <v>0</v>
      </c>
      <c r="O916">
        <v>-1.8616430000000001E-3</v>
      </c>
      <c r="P916">
        <v>0.99923890000000004</v>
      </c>
      <c r="Q916">
        <v>2.270631E-2</v>
      </c>
      <c r="R916">
        <v>-3.1715029999999998E-2</v>
      </c>
      <c r="S916">
        <v>2.9961549999999999</v>
      </c>
      <c r="T916">
        <v>-0.20091709999999999</v>
      </c>
      <c r="U916">
        <v>-0.33853149999999999</v>
      </c>
      <c r="V916">
        <v>2.9862820000000002E-2</v>
      </c>
      <c r="W916">
        <v>3.702254E-2</v>
      </c>
      <c r="X916">
        <v>0.99886810000000004</v>
      </c>
      <c r="Y916">
        <v>0.1101838</v>
      </c>
      <c r="Z916">
        <v>-3.5542490000000002E-3</v>
      </c>
      <c r="AA916">
        <v>0.99390489999999998</v>
      </c>
      <c r="AB916">
        <v>31</v>
      </c>
      <c r="AC916">
        <v>0.61870000000001801</v>
      </c>
      <c r="AD916">
        <v>-6.1598000000000201E-2</v>
      </c>
      <c r="AE916">
        <v>-0.10359999999997099</v>
      </c>
      <c r="AF916">
        <v>0.10146954240426199</v>
      </c>
      <c r="AG916">
        <v>-6.1598000000000201E-2</v>
      </c>
      <c r="AH916">
        <v>0.61298149563048299</v>
      </c>
      <c r="AI916">
        <v>95.661805125783104</v>
      </c>
      <c r="AJ916">
        <v>80.600808439236104</v>
      </c>
      <c r="AK916">
        <v>0.62436903800966403</v>
      </c>
      <c r="AL916">
        <v>87.878279760816397</v>
      </c>
      <c r="AM916">
        <v>88.287557636753903</v>
      </c>
      <c r="AN916">
        <v>0.99999996884200604</v>
      </c>
    </row>
    <row r="917" spans="1:40" x14ac:dyDescent="0.25">
      <c r="A917" t="str">
        <f>"20190312154230718"</f>
        <v>20190312154230718</v>
      </c>
      <c r="B917" t="str">
        <f>"1552376550708066"</f>
        <v>1552376550708066</v>
      </c>
      <c r="C917" t="s">
        <v>40</v>
      </c>
      <c r="D917">
        <v>4.6613009999999999</v>
      </c>
      <c r="E917">
        <v>0.53181679999999998</v>
      </c>
      <c r="F917" t="s">
        <v>41</v>
      </c>
      <c r="G917">
        <v>-244.07749999999999</v>
      </c>
      <c r="H917">
        <v>1.050451</v>
      </c>
      <c r="I917">
        <v>368.16239999999999</v>
      </c>
      <c r="J917">
        <v>-244.6695</v>
      </c>
      <c r="K917">
        <v>1.1104830000000001</v>
      </c>
      <c r="L917">
        <v>368.2638</v>
      </c>
      <c r="M917">
        <v>0.9998956</v>
      </c>
      <c r="N917">
        <v>0</v>
      </c>
      <c r="O917">
        <v>-1.947919E-3</v>
      </c>
      <c r="P917">
        <v>0.99923620000000002</v>
      </c>
      <c r="Q917">
        <v>2.3329659999999999E-2</v>
      </c>
      <c r="R917">
        <v>-3.1357000000000003E-2</v>
      </c>
      <c r="S917">
        <v>2.9960779999999998</v>
      </c>
      <c r="T917">
        <v>-0.20017119999999999</v>
      </c>
      <c r="U917">
        <v>-0.34002690000000002</v>
      </c>
      <c r="V917">
        <v>2.9418440000000001E-2</v>
      </c>
      <c r="W917">
        <v>3.7642469999999997E-2</v>
      </c>
      <c r="X917">
        <v>0.99885820000000003</v>
      </c>
      <c r="Y917">
        <v>0.1105917</v>
      </c>
      <c r="Z917">
        <v>-3.548902E-3</v>
      </c>
      <c r="AA917">
        <v>0.99385959999999995</v>
      </c>
      <c r="AB917">
        <v>31</v>
      </c>
      <c r="AC917">
        <v>0.59200000000001296</v>
      </c>
      <c r="AD917">
        <v>-6.0031999999999801E-2</v>
      </c>
      <c r="AE917">
        <v>-0.10140000000001199</v>
      </c>
      <c r="AF917">
        <v>9.9254967257682097E-2</v>
      </c>
      <c r="AG917">
        <v>-6.0031999999999801E-2</v>
      </c>
      <c r="AH917">
        <v>0.586338908239318</v>
      </c>
      <c r="AI917">
        <v>95.764385352925601</v>
      </c>
      <c r="AJ917">
        <v>80.392099580573301</v>
      </c>
      <c r="AK917">
        <v>0.59770285666424505</v>
      </c>
      <c r="AL917">
        <v>87.842735788015801</v>
      </c>
      <c r="AM917">
        <v>88.313008450766404</v>
      </c>
      <c r="AN917">
        <v>1.00000005193348</v>
      </c>
    </row>
    <row r="918" spans="1:40" x14ac:dyDescent="0.25">
      <c r="A918" t="str">
        <f>"20190312154230741"</f>
        <v>20190312154230741</v>
      </c>
      <c r="B918" t="str">
        <f>"1552376550728562"</f>
        <v>1552376550728562</v>
      </c>
      <c r="C918" t="s">
        <v>40</v>
      </c>
      <c r="D918">
        <v>4.7523749999999998</v>
      </c>
      <c r="E918">
        <v>0.53487410000000002</v>
      </c>
      <c r="F918" t="s">
        <v>43</v>
      </c>
      <c r="G918">
        <v>-227.6362</v>
      </c>
      <c r="H918" s="1">
        <v>-1.664242E-6</v>
      </c>
      <c r="I918">
        <v>366.33249999999998</v>
      </c>
      <c r="J918">
        <v>-244.369</v>
      </c>
      <c r="K918">
        <v>1.1104889999999901</v>
      </c>
      <c r="L918">
        <v>368.26310000000001</v>
      </c>
      <c r="M918">
        <v>0.99989530000000004</v>
      </c>
      <c r="N918">
        <v>0</v>
      </c>
      <c r="O918">
        <v>-2.0321699999999998E-3</v>
      </c>
      <c r="P918">
        <v>0.9992299</v>
      </c>
      <c r="Q918">
        <v>2.3534429999999999E-2</v>
      </c>
      <c r="R918">
        <v>-3.1401869999999998E-2</v>
      </c>
      <c r="S918">
        <v>2.9961850000000001</v>
      </c>
      <c r="T918">
        <v>-0.1953355</v>
      </c>
      <c r="U918">
        <v>-0.33972170000000002</v>
      </c>
      <c r="V918">
        <v>2.9379369999999998E-2</v>
      </c>
      <c r="W918">
        <v>3.7844030000000001E-2</v>
      </c>
      <c r="X918">
        <v>0.99885170000000001</v>
      </c>
      <c r="Y918">
        <v>0.110416</v>
      </c>
      <c r="Z918">
        <v>-3.4520750000000002E-3</v>
      </c>
      <c r="AA918">
        <v>0.99387939999999997</v>
      </c>
      <c r="AB918">
        <v>31</v>
      </c>
      <c r="AC918">
        <v>16.732800000000001</v>
      </c>
      <c r="AD918">
        <v>-1.1104906642419901</v>
      </c>
      <c r="AE918">
        <v>-1.9306000000000201</v>
      </c>
      <c r="AF918">
        <v>1.8883805993903999</v>
      </c>
      <c r="AG918">
        <v>-1.1104906642419901</v>
      </c>
      <c r="AH918">
        <v>16.664256350737201</v>
      </c>
      <c r="AI918">
        <v>93.788326511458905</v>
      </c>
      <c r="AJ918">
        <v>83.534866051702906</v>
      </c>
      <c r="AK918">
        <v>16.807635482916901</v>
      </c>
      <c r="AL918">
        <v>87.831178943728005</v>
      </c>
      <c r="AM918">
        <v>88.315236658876302</v>
      </c>
      <c r="AN918">
        <v>1.00000001829056</v>
      </c>
    </row>
    <row r="919" spans="1:40" x14ac:dyDescent="0.25">
      <c r="A919" t="str">
        <f>"20190312154230763"</f>
        <v>20190312154230763</v>
      </c>
      <c r="B919" t="str">
        <f>"1552376550757846"</f>
        <v>1552376550757846</v>
      </c>
      <c r="C919" t="s">
        <v>40</v>
      </c>
      <c r="D919">
        <v>4.6757030000000004</v>
      </c>
      <c r="E919">
        <v>0.5367054</v>
      </c>
      <c r="F919" t="s">
        <v>47</v>
      </c>
      <c r="G919">
        <v>-197.7054</v>
      </c>
      <c r="H919" s="1">
        <v>-9.1052709999999997E-6</v>
      </c>
      <c r="I919">
        <v>362.52679999999998</v>
      </c>
      <c r="J919">
        <v>-244.0592</v>
      </c>
      <c r="K919">
        <v>1.1104909999999999</v>
      </c>
      <c r="L919">
        <v>368.26240000000001</v>
      </c>
      <c r="M919">
        <v>0.99989510000000004</v>
      </c>
      <c r="N919">
        <v>0</v>
      </c>
      <c r="O919">
        <v>-2.119162E-3</v>
      </c>
      <c r="P919">
        <v>0.99921260000000001</v>
      </c>
      <c r="Q919">
        <v>2.4111420000000001E-2</v>
      </c>
      <c r="R919">
        <v>-3.1510150000000001E-2</v>
      </c>
      <c r="S919">
        <v>2.992432</v>
      </c>
      <c r="T919">
        <v>-7.1213719999999994E-2</v>
      </c>
      <c r="U919">
        <v>-0.36785889999999999</v>
      </c>
      <c r="V919">
        <v>2.9400889999999999E-2</v>
      </c>
      <c r="W919">
        <v>3.841725E-2</v>
      </c>
      <c r="X919">
        <v>0.99882919999999997</v>
      </c>
      <c r="Y919">
        <v>0.1198747</v>
      </c>
      <c r="Z919">
        <v>-1.3705989999999999E-3</v>
      </c>
      <c r="AA919">
        <v>0.99278809999999995</v>
      </c>
      <c r="AB919">
        <v>31</v>
      </c>
      <c r="AC919">
        <v>46.3538</v>
      </c>
      <c r="AD919">
        <v>-1.110500105271</v>
      </c>
      <c r="AE919">
        <v>-5.73560000000003</v>
      </c>
      <c r="AF919">
        <v>5.6341609138168502</v>
      </c>
      <c r="AG919">
        <v>-1.110500105271</v>
      </c>
      <c r="AH919">
        <v>46.339656681957202</v>
      </c>
      <c r="AI919">
        <v>91.362761946188897</v>
      </c>
      <c r="AJ919">
        <v>83.067775131824902</v>
      </c>
      <c r="AK919">
        <v>46.694119127447401</v>
      </c>
      <c r="AL919">
        <v>87.7983119898729</v>
      </c>
      <c r="AM919">
        <v>88.313965346540797</v>
      </c>
      <c r="AN919">
        <v>1.0000000341014901</v>
      </c>
    </row>
    <row r="920" spans="1:40" x14ac:dyDescent="0.25">
      <c r="A920" t="str">
        <f>"20190312154230786"</f>
        <v>20190312154230786</v>
      </c>
      <c r="B920" t="str">
        <f>"1552376550778341"</f>
        <v>1552376550778341</v>
      </c>
      <c r="C920" t="s">
        <v>40</v>
      </c>
      <c r="D920">
        <v>4.6982200000000001</v>
      </c>
      <c r="E920">
        <v>0.53666619999999998</v>
      </c>
      <c r="F920" t="s">
        <v>46</v>
      </c>
      <c r="G920">
        <v>-158.19499999999999</v>
      </c>
      <c r="H920">
        <v>0.41211609999999999</v>
      </c>
      <c r="I920">
        <v>357.22750000000002</v>
      </c>
      <c r="J920">
        <v>-243.7424</v>
      </c>
      <c r="K920">
        <v>1.1105</v>
      </c>
      <c r="L920">
        <v>368.26159999999999</v>
      </c>
      <c r="M920">
        <v>0.99989499999999998</v>
      </c>
      <c r="N920">
        <v>0</v>
      </c>
      <c r="O920">
        <v>-2.2080590000000001E-3</v>
      </c>
      <c r="P920">
        <v>0.99917500000000004</v>
      </c>
      <c r="Q920">
        <v>2.5048069999999999E-2</v>
      </c>
      <c r="R920">
        <v>-3.1971289999999999E-2</v>
      </c>
      <c r="S920">
        <v>2.9908290000000002</v>
      </c>
      <c r="T920">
        <v>-2.4322750000000001E-2</v>
      </c>
      <c r="U920">
        <v>-0.38436890000000001</v>
      </c>
      <c r="V920">
        <v>2.9773210000000001E-2</v>
      </c>
      <c r="W920">
        <v>3.9349710000000003E-2</v>
      </c>
      <c r="X920">
        <v>0.9987819</v>
      </c>
      <c r="Y920">
        <v>0.12527289999999999</v>
      </c>
      <c r="Z920">
        <v>-4.8940870000000001E-4</v>
      </c>
      <c r="AA920">
        <v>0.99212219999999995</v>
      </c>
      <c r="AB920">
        <v>31</v>
      </c>
      <c r="AC920">
        <v>85.547399999999996</v>
      </c>
      <c r="AD920">
        <v>-0.69838389999999995</v>
      </c>
      <c r="AE920">
        <v>-11.034099999999899</v>
      </c>
      <c r="AF920">
        <v>10.8444491008476</v>
      </c>
      <c r="AG920">
        <v>-0.69838389999999995</v>
      </c>
      <c r="AH920">
        <v>85.565948537016197</v>
      </c>
      <c r="AI920">
        <v>90.463923295023406</v>
      </c>
      <c r="AJ920">
        <v>82.776961979799395</v>
      </c>
      <c r="AK920">
        <v>86.253239738643799</v>
      </c>
      <c r="AL920">
        <v>87.744845600131896</v>
      </c>
      <c r="AM920">
        <v>88.292545891092999</v>
      </c>
      <c r="AN920">
        <v>1.0000000637391899</v>
      </c>
    </row>
    <row r="921" spans="1:40" x14ac:dyDescent="0.25">
      <c r="A921" t="str">
        <f>"20190312154230807"</f>
        <v>20190312154230807</v>
      </c>
      <c r="B921" t="str">
        <f>"1552376550797858"</f>
        <v>1552376550797858</v>
      </c>
      <c r="C921" t="s">
        <v>40</v>
      </c>
      <c r="D921">
        <v>4.7018550000000001</v>
      </c>
      <c r="E921">
        <v>0.53666239999999998</v>
      </c>
      <c r="F921" t="s">
        <v>46</v>
      </c>
      <c r="G921">
        <v>-158.19499999999999</v>
      </c>
      <c r="H921">
        <v>0.69366549999999905</v>
      </c>
      <c r="I921">
        <v>357.23050000000001</v>
      </c>
      <c r="J921">
        <v>-243.44730000000001</v>
      </c>
      <c r="K921">
        <v>1.110498</v>
      </c>
      <c r="L921">
        <v>368.26089999999999</v>
      </c>
      <c r="M921">
        <v>0.99989499999999998</v>
      </c>
      <c r="N921">
        <v>0</v>
      </c>
      <c r="O921">
        <v>-2.2915890000000001E-3</v>
      </c>
      <c r="P921">
        <v>0.99913180000000001</v>
      </c>
      <c r="Q921">
        <v>2.5710879999999998E-2</v>
      </c>
      <c r="R921">
        <v>-3.2784250000000001E-2</v>
      </c>
      <c r="S921">
        <v>2.9905089999999999</v>
      </c>
      <c r="T921">
        <v>-1.4568330000000001E-2</v>
      </c>
      <c r="U921">
        <v>-0.38562010000000002</v>
      </c>
      <c r="V921">
        <v>3.0503140000000002E-2</v>
      </c>
      <c r="W921">
        <v>4.0009129999999997E-2</v>
      </c>
      <c r="X921">
        <v>0.9987336</v>
      </c>
      <c r="Y921">
        <v>0.12561430000000001</v>
      </c>
      <c r="Z921">
        <v>-2.9358519999999998E-4</v>
      </c>
      <c r="AA921">
        <v>0.99207909999999999</v>
      </c>
      <c r="AB921">
        <v>31</v>
      </c>
      <c r="AC921">
        <v>85.252300000000005</v>
      </c>
      <c r="AD921">
        <v>-0.41683249999999999</v>
      </c>
      <c r="AE921">
        <v>-11.030399999999901</v>
      </c>
      <c r="AF921">
        <v>10.8347330437251</v>
      </c>
      <c r="AG921">
        <v>-0.41683249999999999</v>
      </c>
      <c r="AH921">
        <v>85.275350793242794</v>
      </c>
      <c r="AI921">
        <v>90.277830442841605</v>
      </c>
      <c r="AJ921">
        <v>82.759033225279794</v>
      </c>
      <c r="AK921">
        <v>85.961913905941302</v>
      </c>
      <c r="AL921">
        <v>87.707033666732897</v>
      </c>
      <c r="AM921">
        <v>88.250626525697996</v>
      </c>
      <c r="AN921">
        <v>0.99999998790108802</v>
      </c>
    </row>
    <row r="922" spans="1:40" x14ac:dyDescent="0.25">
      <c r="A922" t="str">
        <f>"20190312154230830"</f>
        <v>20190312154230830</v>
      </c>
      <c r="B922" t="str">
        <f>"1552376550818359"</f>
        <v>1552376550818359</v>
      </c>
      <c r="C922" t="s">
        <v>40</v>
      </c>
      <c r="D922">
        <v>4.7053529999999997</v>
      </c>
      <c r="E922">
        <v>0.53669489999999997</v>
      </c>
      <c r="F922" t="s">
        <v>46</v>
      </c>
      <c r="G922">
        <v>-158.19499999999999</v>
      </c>
      <c r="H922">
        <v>0.95192909999999997</v>
      </c>
      <c r="I922">
        <v>357.18770000000001</v>
      </c>
      <c r="J922">
        <v>-243.14580000000001</v>
      </c>
      <c r="K922">
        <v>1.1104969999999901</v>
      </c>
      <c r="L922">
        <v>368.26010000000002</v>
      </c>
      <c r="M922">
        <v>0.99989490000000003</v>
      </c>
      <c r="N922">
        <v>0</v>
      </c>
      <c r="O922">
        <v>-2.3760830000000002E-3</v>
      </c>
      <c r="P922">
        <v>0.99909539999999997</v>
      </c>
      <c r="Q922">
        <v>2.6492430000000001E-2</v>
      </c>
      <c r="R922">
        <v>-3.3267329999999998E-2</v>
      </c>
      <c r="S922">
        <v>2.990021</v>
      </c>
      <c r="T922">
        <v>-5.5583719999999998E-3</v>
      </c>
      <c r="U922">
        <v>-0.38836670000000001</v>
      </c>
      <c r="V922">
        <v>3.0901910000000001E-2</v>
      </c>
      <c r="W922">
        <v>4.0786700000000002E-2</v>
      </c>
      <c r="X922">
        <v>0.99868990000000002</v>
      </c>
      <c r="Y922">
        <v>0.12644849999999999</v>
      </c>
      <c r="Z922">
        <v>-1.126418E-4</v>
      </c>
      <c r="AA922">
        <v>0.9919732</v>
      </c>
      <c r="AB922">
        <v>31</v>
      </c>
      <c r="AC922">
        <v>84.950800000000001</v>
      </c>
      <c r="AD922">
        <v>-0.15856789999999901</v>
      </c>
      <c r="AE922">
        <v>-11.0724</v>
      </c>
      <c r="AF922">
        <v>10.870460697487999</v>
      </c>
      <c r="AG922">
        <v>-0.15856789999999901</v>
      </c>
      <c r="AH922">
        <v>84.976580652112403</v>
      </c>
      <c r="AI922">
        <v>90.106050680284099</v>
      </c>
      <c r="AJ922">
        <v>82.7101433492128</v>
      </c>
      <c r="AK922">
        <v>85.669197024832201</v>
      </c>
      <c r="AL922">
        <v>87.662445814889594</v>
      </c>
      <c r="AM922">
        <v>88.2276938173014</v>
      </c>
      <c r="AN922">
        <v>0.99999999965027397</v>
      </c>
    </row>
    <row r="923" spans="1:40" x14ac:dyDescent="0.25">
      <c r="A923" t="str">
        <f>"20190312154230852"</f>
        <v>20190312154230852</v>
      </c>
      <c r="B923" t="str">
        <f>"1552376550848611"</f>
        <v>1552376550848611</v>
      </c>
      <c r="C923" t="s">
        <v>40</v>
      </c>
      <c r="D923">
        <v>4.7268460000000001</v>
      </c>
      <c r="E923">
        <v>0.53655109999999995</v>
      </c>
      <c r="F923" t="s">
        <v>46</v>
      </c>
      <c r="G923">
        <v>-158.19499999999999</v>
      </c>
      <c r="H923">
        <v>1.098317</v>
      </c>
      <c r="I923">
        <v>357.1773</v>
      </c>
      <c r="J923">
        <v>-242.83260000000001</v>
      </c>
      <c r="K923">
        <v>1.110503</v>
      </c>
      <c r="L923">
        <v>368.25920000000002</v>
      </c>
      <c r="M923">
        <v>0.99989470000000003</v>
      </c>
      <c r="N923">
        <v>0</v>
      </c>
      <c r="O923">
        <v>-2.4641469999999999E-3</v>
      </c>
      <c r="P923">
        <v>0.99905999999999995</v>
      </c>
      <c r="Q923">
        <v>2.6797660000000001E-2</v>
      </c>
      <c r="R923">
        <v>-3.4074170000000001E-2</v>
      </c>
      <c r="S923">
        <v>2.9897459999999998</v>
      </c>
      <c r="T923">
        <v>-4.2557720000000002E-4</v>
      </c>
      <c r="U923">
        <v>-0.39004519999999998</v>
      </c>
      <c r="V923">
        <v>3.1621120000000003E-2</v>
      </c>
      <c r="W923">
        <v>4.1087810000000002E-2</v>
      </c>
      <c r="X923">
        <v>0.99865499999999996</v>
      </c>
      <c r="Y923">
        <v>0.12692059999999999</v>
      </c>
      <c r="Z923" s="1">
        <v>-8.64588E-6</v>
      </c>
      <c r="AA923">
        <v>0.99191289999999999</v>
      </c>
      <c r="AB923">
        <v>31</v>
      </c>
      <c r="AC923">
        <v>84.637600000000006</v>
      </c>
      <c r="AD923">
        <v>-1.2186000000000001E-2</v>
      </c>
      <c r="AE923">
        <v>-11.081899999999999</v>
      </c>
      <c r="AF923">
        <v>10.8732853083345</v>
      </c>
      <c r="AG923">
        <v>-1.2186000000000001E-2</v>
      </c>
      <c r="AH923">
        <v>84.664651484408594</v>
      </c>
      <c r="AI923">
        <v>90.0081795486321</v>
      </c>
      <c r="AJ923">
        <v>82.681695378738198</v>
      </c>
      <c r="AK923">
        <v>85.360012259086503</v>
      </c>
      <c r="AL923">
        <v>87.645178905824395</v>
      </c>
      <c r="AM923">
        <v>88.186409120107996</v>
      </c>
      <c r="AN923">
        <v>0.999999956192824</v>
      </c>
    </row>
    <row r="924" spans="1:40" x14ac:dyDescent="0.25">
      <c r="A924" t="str">
        <f>"20190312154230875"</f>
        <v>20190312154230875</v>
      </c>
      <c r="B924" t="str">
        <f>"1552376550868130"</f>
        <v>1552376550868130</v>
      </c>
      <c r="C924" t="s">
        <v>40</v>
      </c>
      <c r="D924">
        <v>4.7404510000000002</v>
      </c>
      <c r="E924">
        <v>0.53649840000000004</v>
      </c>
      <c r="F924" t="s">
        <v>46</v>
      </c>
      <c r="G924">
        <v>-158.19499999999999</v>
      </c>
      <c r="H924">
        <v>1.1650640000000001</v>
      </c>
      <c r="I924">
        <v>357.17559999999997</v>
      </c>
      <c r="J924">
        <v>-242.5181</v>
      </c>
      <c r="K924">
        <v>1.1105080000000001</v>
      </c>
      <c r="L924">
        <v>368.25839999999999</v>
      </c>
      <c r="M924">
        <v>0.99989439999999996</v>
      </c>
      <c r="N924">
        <v>0</v>
      </c>
      <c r="O924">
        <v>-2.552084E-3</v>
      </c>
      <c r="P924">
        <v>0.99905960000000005</v>
      </c>
      <c r="Q924">
        <v>2.656354E-2</v>
      </c>
      <c r="R924">
        <v>-3.4264679999999999E-2</v>
      </c>
      <c r="S924">
        <v>2.9894409999999998</v>
      </c>
      <c r="T924">
        <v>1.930237E-3</v>
      </c>
      <c r="U924">
        <v>-0.39147949999999998</v>
      </c>
      <c r="V924">
        <v>3.172353E-2</v>
      </c>
      <c r="W924">
        <v>4.0850539999999998E-2</v>
      </c>
      <c r="X924">
        <v>0.99866149999999998</v>
      </c>
      <c r="Y924">
        <v>0.12731429999999999</v>
      </c>
      <c r="Z924" s="1">
        <v>3.9286780000000003E-5</v>
      </c>
      <c r="AA924">
        <v>0.99186240000000003</v>
      </c>
      <c r="AB924">
        <v>31</v>
      </c>
      <c r="AC924">
        <v>84.323099999999997</v>
      </c>
      <c r="AD924">
        <v>5.4555999999999799E-2</v>
      </c>
      <c r="AE924">
        <v>-11.082800000000001</v>
      </c>
      <c r="AF924">
        <v>10.8675377680614</v>
      </c>
      <c r="AG924">
        <v>5.4555999999999799E-2</v>
      </c>
      <c r="AH924">
        <v>84.35107776193</v>
      </c>
      <c r="AI924">
        <v>89.963246421901403</v>
      </c>
      <c r="AJ924">
        <v>82.658626523801303</v>
      </c>
      <c r="AK924">
        <v>85.048284363040196</v>
      </c>
      <c r="AL924">
        <v>87.658784932497198</v>
      </c>
      <c r="AM924">
        <v>88.180551295023903</v>
      </c>
      <c r="AN924">
        <v>0.99999997027809995</v>
      </c>
    </row>
    <row r="925" spans="1:40" x14ac:dyDescent="0.25">
      <c r="A925" t="str">
        <f>"20190312154230897"</f>
        <v>20190312154230897</v>
      </c>
      <c r="B925" t="str">
        <f>"1552376550888626"</f>
        <v>1552376550888626</v>
      </c>
      <c r="C925" t="s">
        <v>40</v>
      </c>
      <c r="D925">
        <v>4.7485030000000004</v>
      </c>
      <c r="E925">
        <v>0.53644320000000001</v>
      </c>
      <c r="F925" t="s">
        <v>46</v>
      </c>
      <c r="G925">
        <v>-158.19499999999999</v>
      </c>
      <c r="H925">
        <v>1.1334839999999999</v>
      </c>
      <c r="I925">
        <v>357.21839999999997</v>
      </c>
      <c r="J925">
        <v>-242.22190000000001</v>
      </c>
      <c r="K925">
        <v>1.1105080000000001</v>
      </c>
      <c r="L925">
        <v>368.25749999999999</v>
      </c>
      <c r="M925">
        <v>0.99989430000000001</v>
      </c>
      <c r="N925">
        <v>0</v>
      </c>
      <c r="O925">
        <v>-2.6328620000000001E-3</v>
      </c>
      <c r="P925">
        <v>0.99906079999999997</v>
      </c>
      <c r="Q925">
        <v>2.6468410000000001E-2</v>
      </c>
      <c r="R925">
        <v>-3.4304809999999998E-2</v>
      </c>
      <c r="S925">
        <v>2.9893800000000001</v>
      </c>
      <c r="T925">
        <v>8.1765649999999902E-4</v>
      </c>
      <c r="U925">
        <v>-0.39138790000000001</v>
      </c>
      <c r="V925">
        <v>3.1682719999999998E-2</v>
      </c>
      <c r="W925">
        <v>4.0752389999999999E-2</v>
      </c>
      <c r="X925">
        <v>0.99866679999999997</v>
      </c>
      <c r="Y925">
        <v>0.12720689999999901</v>
      </c>
      <c r="Z925" s="1">
        <v>1.660581E-5</v>
      </c>
      <c r="AA925">
        <v>0.99187619999999999</v>
      </c>
      <c r="AB925">
        <v>31</v>
      </c>
      <c r="AC925">
        <v>84.026899999999998</v>
      </c>
      <c r="AD925">
        <v>2.2975999999999799E-2</v>
      </c>
      <c r="AE925">
        <v>-11.039099999999999</v>
      </c>
      <c r="AF925">
        <v>10.8178070841221</v>
      </c>
      <c r="AG925">
        <v>2.2975999999999799E-2</v>
      </c>
      <c r="AH925">
        <v>84.055669924863906</v>
      </c>
      <c r="AI925">
        <v>89.984466731942405</v>
      </c>
      <c r="AJ925">
        <v>82.666452351476806</v>
      </c>
      <c r="AK925">
        <v>84.748929931436507</v>
      </c>
      <c r="AL925">
        <v>87.664413187267897</v>
      </c>
      <c r="AM925">
        <v>88.182899949563804</v>
      </c>
      <c r="AN925">
        <v>0.99999996472977404</v>
      </c>
    </row>
    <row r="926" spans="1:40" x14ac:dyDescent="0.25">
      <c r="A926" t="str">
        <f>"20190312154230918"</f>
        <v>20190312154230918</v>
      </c>
      <c r="B926" t="str">
        <f>"1552376550908146"</f>
        <v>1552376550908146</v>
      </c>
      <c r="C926" t="s">
        <v>40</v>
      </c>
      <c r="D926">
        <v>4.8083289999999996</v>
      </c>
      <c r="E926">
        <v>0.53625419999999901</v>
      </c>
      <c r="F926" t="s">
        <v>46</v>
      </c>
      <c r="G926">
        <v>-158.19499999999999</v>
      </c>
      <c r="H926">
        <v>1.122662</v>
      </c>
      <c r="I926">
        <v>357.26659999999998</v>
      </c>
      <c r="J926">
        <v>-241.92400000000001</v>
      </c>
      <c r="K926">
        <v>1.110506</v>
      </c>
      <c r="L926">
        <v>368.25670000000002</v>
      </c>
      <c r="M926">
        <v>0.99989399999999995</v>
      </c>
      <c r="N926">
        <v>0</v>
      </c>
      <c r="O926">
        <v>-2.7130349999999999E-3</v>
      </c>
      <c r="P926">
        <v>0.9990774</v>
      </c>
      <c r="Q926">
        <v>2.649114E-2</v>
      </c>
      <c r="R926">
        <v>-3.3800200000000002E-2</v>
      </c>
      <c r="S926">
        <v>2.989395</v>
      </c>
      <c r="T926">
        <v>4.354715E-4</v>
      </c>
      <c r="U926">
        <v>-0.39102170000000003</v>
      </c>
      <c r="V926">
        <v>3.1097779999999998E-2</v>
      </c>
      <c r="W926">
        <v>4.07724E-2</v>
      </c>
      <c r="X926">
        <v>0.99868440000000003</v>
      </c>
      <c r="Y926">
        <v>0.12700729999999999</v>
      </c>
      <c r="Z926" s="1">
        <v>8.8179159999999995E-6</v>
      </c>
      <c r="AA926">
        <v>0.99190179999999994</v>
      </c>
      <c r="AB926">
        <v>31</v>
      </c>
      <c r="AC926">
        <v>83.728999999999999</v>
      </c>
      <c r="AD926">
        <v>1.2156E-2</v>
      </c>
      <c r="AE926">
        <v>-10.9901</v>
      </c>
      <c r="AF926">
        <v>10.7628763692662</v>
      </c>
      <c r="AG926">
        <v>1.2156E-2</v>
      </c>
      <c r="AH926">
        <v>83.758509631757505</v>
      </c>
      <c r="AI926">
        <v>89.9917523897102</v>
      </c>
      <c r="AJ926">
        <v>82.677681370424907</v>
      </c>
      <c r="AK926">
        <v>84.447188178421101</v>
      </c>
      <c r="AL926">
        <v>87.663265817326504</v>
      </c>
      <c r="AM926">
        <v>88.216457571894395</v>
      </c>
      <c r="AN926">
        <v>0.999999995663024</v>
      </c>
    </row>
    <row r="927" spans="1:40" x14ac:dyDescent="0.25">
      <c r="A927" t="str">
        <f>"20190312154230931"</f>
        <v>20190312154230931</v>
      </c>
      <c r="B927" t="str">
        <f>"1552376550917906"</f>
        <v>1552376550917906</v>
      </c>
      <c r="C927" t="s">
        <v>40</v>
      </c>
      <c r="D927">
        <v>4.7559509999999996</v>
      </c>
      <c r="E927">
        <v>0.53626070000000003</v>
      </c>
      <c r="F927" t="s">
        <v>46</v>
      </c>
      <c r="G927">
        <v>-158.19499999999999</v>
      </c>
      <c r="H927">
        <v>1.060616</v>
      </c>
      <c r="I927">
        <v>357.3852</v>
      </c>
      <c r="J927">
        <v>-241.75460000000001</v>
      </c>
      <c r="K927">
        <v>1.110506</v>
      </c>
      <c r="L927">
        <v>368.25619999999998</v>
      </c>
      <c r="M927">
        <v>0.99989399999999995</v>
      </c>
      <c r="N927">
        <v>0</v>
      </c>
      <c r="O927">
        <v>-2.7583E-3</v>
      </c>
      <c r="P927">
        <v>0.99906260000000002</v>
      </c>
      <c r="Q927">
        <v>2.6849520000000002E-2</v>
      </c>
      <c r="R927">
        <v>-3.395836E-2</v>
      </c>
      <c r="S927">
        <v>2.9896850000000001</v>
      </c>
      <c r="T927">
        <v>-1.7782449999999999E-3</v>
      </c>
      <c r="U927">
        <v>-0.38818360000000002</v>
      </c>
      <c r="V927">
        <v>3.1210910000000001E-2</v>
      </c>
      <c r="W927">
        <v>4.1128779999999997E-2</v>
      </c>
      <c r="X927">
        <v>0.99866630000000001</v>
      </c>
      <c r="Y927">
        <v>0.126024</v>
      </c>
      <c r="Z927" s="1">
        <v>-3.5688619999999997E-5</v>
      </c>
      <c r="AA927">
        <v>0.9920272</v>
      </c>
      <c r="AB927">
        <v>31</v>
      </c>
      <c r="AC927">
        <v>83.559600000000003</v>
      </c>
      <c r="AD927">
        <v>-4.98899999999999E-2</v>
      </c>
      <c r="AE927">
        <v>-10.870999999999899</v>
      </c>
      <c r="AF927">
        <v>10.6404489056715</v>
      </c>
      <c r="AG927">
        <v>-4.98899999999999E-2</v>
      </c>
      <c r="AH927">
        <v>83.589241306667006</v>
      </c>
      <c r="AI927">
        <v>90.033923080026497</v>
      </c>
      <c r="AJ927">
        <v>82.745578985468697</v>
      </c>
      <c r="AK927">
        <v>84.263769819243805</v>
      </c>
      <c r="AL927">
        <v>87.642829704865804</v>
      </c>
      <c r="AM927">
        <v>88.209941049954907</v>
      </c>
      <c r="AN927">
        <v>1.0000000381015</v>
      </c>
    </row>
    <row r="928" spans="1:40" x14ac:dyDescent="0.25">
      <c r="A928" t="str">
        <f>"20190312154230945"</f>
        <v>20190312154230945</v>
      </c>
      <c r="B928" t="str">
        <f>"1552376550938403"</f>
        <v>1552376550938403</v>
      </c>
      <c r="C928" t="s">
        <v>40</v>
      </c>
      <c r="D928">
        <v>4.7446149999999996</v>
      </c>
      <c r="E928">
        <v>0.53617340000000002</v>
      </c>
      <c r="F928" t="s">
        <v>46</v>
      </c>
      <c r="G928">
        <v>-158.19499999999999</v>
      </c>
      <c r="H928">
        <v>1.0883069999999999</v>
      </c>
      <c r="I928">
        <v>357.392</v>
      </c>
      <c r="J928">
        <v>-241.57230000000001</v>
      </c>
      <c r="K928">
        <v>1.1105100000000001</v>
      </c>
      <c r="L928">
        <v>368.25560000000002</v>
      </c>
      <c r="M928">
        <v>0.99989399999999995</v>
      </c>
      <c r="N928">
        <v>0</v>
      </c>
      <c r="O928">
        <v>-2.8061890000000002E-3</v>
      </c>
      <c r="P928">
        <v>0.9990618</v>
      </c>
      <c r="Q928">
        <v>2.715443E-2</v>
      </c>
      <c r="R928">
        <v>-3.3743229999999999E-2</v>
      </c>
      <c r="S928">
        <v>2.9896240000000001</v>
      </c>
      <c r="T928">
        <v>-7.9107280000000003E-4</v>
      </c>
      <c r="U928">
        <v>-0.3887024</v>
      </c>
      <c r="V928">
        <v>3.0947820000000001E-2</v>
      </c>
      <c r="W928">
        <v>4.1431790000000003E-2</v>
      </c>
      <c r="X928">
        <v>0.99866189999999999</v>
      </c>
      <c r="Y928">
        <v>0.12614839999999999</v>
      </c>
      <c r="Z928" s="1">
        <v>-1.5880409999999999E-5</v>
      </c>
      <c r="AA928">
        <v>0.99201139999999999</v>
      </c>
      <c r="AB928">
        <v>30</v>
      </c>
      <c r="AC928">
        <v>83.377300000000005</v>
      </c>
      <c r="AD928">
        <v>-2.2203000000000198E-2</v>
      </c>
      <c r="AE928">
        <v>-10.8636</v>
      </c>
      <c r="AF928">
        <v>10.629560131910299</v>
      </c>
      <c r="AG928">
        <v>-2.2203000000000198E-2</v>
      </c>
      <c r="AH928">
        <v>83.407454257433002</v>
      </c>
      <c r="AI928">
        <v>90.015129723611196</v>
      </c>
      <c r="AJ928">
        <v>82.737297165808599</v>
      </c>
      <c r="AK928">
        <v>84.082051992544095</v>
      </c>
      <c r="AL928">
        <v>87.625453551722103</v>
      </c>
      <c r="AM928">
        <v>88.225012707500596</v>
      </c>
      <c r="AN928">
        <v>0.99999997564848297</v>
      </c>
    </row>
    <row r="929" spans="1:40" x14ac:dyDescent="0.25">
      <c r="A929" t="str">
        <f>"20190312154230956"</f>
        <v>20190312154230956</v>
      </c>
      <c r="B929" t="str">
        <f>"1552376550948162"</f>
        <v>1552376550948162</v>
      </c>
      <c r="C929" t="s">
        <v>40</v>
      </c>
      <c r="D929">
        <v>4.7637070000000001</v>
      </c>
      <c r="E929">
        <v>0.53602019999999995</v>
      </c>
      <c r="F929" t="s">
        <v>46</v>
      </c>
      <c r="G929">
        <v>-158.19499999999999</v>
      </c>
      <c r="H929">
        <v>1.1095090000000001</v>
      </c>
      <c r="I929">
        <v>357.459</v>
      </c>
      <c r="J929">
        <v>-241.41059999999999</v>
      </c>
      <c r="K929">
        <v>1.1105130000000001</v>
      </c>
      <c r="L929">
        <v>368.25510000000003</v>
      </c>
      <c r="M929">
        <v>0.9998937</v>
      </c>
      <c r="N929">
        <v>0</v>
      </c>
      <c r="O929">
        <v>-2.8483610000000002E-3</v>
      </c>
      <c r="P929">
        <v>0.99906759999999994</v>
      </c>
      <c r="Q929">
        <v>2.7131849999999999E-2</v>
      </c>
      <c r="R929">
        <v>-3.3584669999999997E-2</v>
      </c>
      <c r="S929">
        <v>2.9897459999999998</v>
      </c>
      <c r="T929" s="1">
        <v>-3.2782549999999997E-5</v>
      </c>
      <c r="U929">
        <v>-0.38714599999999999</v>
      </c>
      <c r="V929">
        <v>3.074696E-2</v>
      </c>
      <c r="W929">
        <v>4.1407970000000002E-2</v>
      </c>
      <c r="X929">
        <v>0.99866909999999998</v>
      </c>
      <c r="Y929">
        <v>0.1255935</v>
      </c>
      <c r="Z929" s="1">
        <v>-6.5459939999999999E-7</v>
      </c>
      <c r="AA929">
        <v>0.99208180000000001</v>
      </c>
      <c r="AB929">
        <v>30</v>
      </c>
      <c r="AC929">
        <v>83.215599999999995</v>
      </c>
      <c r="AD929">
        <v>-1.00399999999978E-3</v>
      </c>
      <c r="AE929">
        <v>-10.796099999999999</v>
      </c>
      <c r="AF929">
        <v>10.5590038876274</v>
      </c>
      <c r="AG929">
        <v>-1.00399999999978E-3</v>
      </c>
      <c r="AH929">
        <v>83.246016682211504</v>
      </c>
      <c r="AI929">
        <v>90.000685530983901</v>
      </c>
      <c r="AJ929">
        <v>82.771151341876703</v>
      </c>
      <c r="AK929">
        <v>83.913001719411596</v>
      </c>
      <c r="AL929">
        <v>87.626819527883697</v>
      </c>
      <c r="AM929">
        <v>88.236538279131494</v>
      </c>
      <c r="AN929">
        <v>0.99999998341178598</v>
      </c>
    </row>
    <row r="930" spans="1:40" x14ac:dyDescent="0.25">
      <c r="A930" t="str">
        <f>"20190312154230975"</f>
        <v>20190312154230975</v>
      </c>
      <c r="B930" t="str">
        <f>"1552376550968658"</f>
        <v>1552376550968658</v>
      </c>
      <c r="C930" t="s">
        <v>40</v>
      </c>
      <c r="D930">
        <v>4.8233309999999996</v>
      </c>
      <c r="E930">
        <v>0.5099108</v>
      </c>
      <c r="F930" t="s">
        <v>46</v>
      </c>
      <c r="G930">
        <v>-158.19499999999999</v>
      </c>
      <c r="H930">
        <v>1.11574</v>
      </c>
      <c r="I930">
        <v>357.53149999999999</v>
      </c>
      <c r="J930">
        <v>-241.15860000000001</v>
      </c>
      <c r="K930">
        <v>1.110511</v>
      </c>
      <c r="L930">
        <v>368.2543</v>
      </c>
      <c r="M930">
        <v>0.9998937</v>
      </c>
      <c r="N930">
        <v>0</v>
      </c>
      <c r="O930">
        <v>-2.9136499999999998E-3</v>
      </c>
      <c r="P930">
        <v>0.99905469999999996</v>
      </c>
      <c r="Q930">
        <v>2.7284989999999999E-2</v>
      </c>
      <c r="R930">
        <v>-3.384355E-2</v>
      </c>
      <c r="S930">
        <v>2.9898220000000002</v>
      </c>
      <c r="T930">
        <v>1.9097330000000001E-4</v>
      </c>
      <c r="U930">
        <v>-0.38528440000000003</v>
      </c>
      <c r="V930">
        <v>3.0940599999999999E-2</v>
      </c>
      <c r="W930">
        <v>4.1558039999999997E-2</v>
      </c>
      <c r="X930">
        <v>0.99865689999999996</v>
      </c>
      <c r="Y930">
        <v>0.124917899999999</v>
      </c>
      <c r="Z930" s="1">
        <v>3.7877530000000002E-6</v>
      </c>
      <c r="AA930">
        <v>0.99216709999999997</v>
      </c>
      <c r="AB930">
        <v>30</v>
      </c>
      <c r="AC930">
        <v>82.9636</v>
      </c>
      <c r="AD930">
        <v>5.2289999999999203E-3</v>
      </c>
      <c r="AE930">
        <v>-10.722799999999999</v>
      </c>
      <c r="AF930">
        <v>10.4810028697585</v>
      </c>
      <c r="AG930">
        <v>5.2289999999999203E-3</v>
      </c>
      <c r="AH930">
        <v>82.994493124298501</v>
      </c>
      <c r="AI930">
        <v>89.996418571792006</v>
      </c>
      <c r="AJ930">
        <v>82.802473342743397</v>
      </c>
      <c r="AK930">
        <v>83.653674978793106</v>
      </c>
      <c r="AL930">
        <v>87.618213776297296</v>
      </c>
      <c r="AM930">
        <v>88.225417660864593</v>
      </c>
      <c r="AN930">
        <v>0.99999999766730496</v>
      </c>
    </row>
    <row r="931" spans="1:40" x14ac:dyDescent="0.25">
      <c r="A931" t="str">
        <f>"20190312154230989"</f>
        <v>20190312154230989</v>
      </c>
      <c r="B931" t="str">
        <f>"1552376550978419"</f>
        <v>1552376550978419</v>
      </c>
      <c r="C931" t="s">
        <v>40</v>
      </c>
      <c r="D931">
        <v>4.8780789999999996</v>
      </c>
      <c r="E931">
        <v>0.50570389999999998</v>
      </c>
      <c r="F931" t="s">
        <v>42</v>
      </c>
      <c r="G931">
        <v>-166.45419999999999</v>
      </c>
      <c r="H931">
        <v>-0.05</v>
      </c>
      <c r="I931">
        <v>363.85770000000002</v>
      </c>
      <c r="J931">
        <v>-240.9699</v>
      </c>
      <c r="K931">
        <v>1.110511</v>
      </c>
      <c r="L931">
        <v>368.25369999999998</v>
      </c>
      <c r="M931">
        <v>0.99989349999999999</v>
      </c>
      <c r="N931">
        <v>0</v>
      </c>
      <c r="O931">
        <v>-2.9619099999999999E-3</v>
      </c>
      <c r="P931">
        <v>0.99905180000000005</v>
      </c>
      <c r="Q931">
        <v>2.7395240000000001E-2</v>
      </c>
      <c r="R931">
        <v>-3.3838630000000001E-2</v>
      </c>
      <c r="S931">
        <v>2.998138</v>
      </c>
      <c r="T931">
        <v>-4.6575190000000002E-2</v>
      </c>
      <c r="U931">
        <v>-0.17645259999999999</v>
      </c>
      <c r="V931">
        <v>3.0887499999999998E-2</v>
      </c>
      <c r="W931">
        <v>4.1666670000000003E-2</v>
      </c>
      <c r="X931">
        <v>0.99865400000000004</v>
      </c>
      <c r="Y931">
        <v>5.5788690000000002E-2</v>
      </c>
      <c r="Z931">
        <v>-3.869562E-4</v>
      </c>
      <c r="AA931">
        <v>0.99844250000000001</v>
      </c>
      <c r="AB931">
        <v>30</v>
      </c>
      <c r="AC931">
        <v>74.515699999999995</v>
      </c>
      <c r="AD931">
        <v>-1.1605110000000001</v>
      </c>
      <c r="AE931">
        <v>-4.3959999999999502</v>
      </c>
      <c r="AF931">
        <v>4.1742404221915104</v>
      </c>
      <c r="AG931">
        <v>-1.1605110000000001</v>
      </c>
      <c r="AH931">
        <v>74.510385075534501</v>
      </c>
      <c r="AI931">
        <v>90.890921897686198</v>
      </c>
      <c r="AJ931">
        <v>86.793512456833795</v>
      </c>
      <c r="AK931">
        <v>74.636241551861502</v>
      </c>
      <c r="AL931">
        <v>87.611984298700605</v>
      </c>
      <c r="AM931">
        <v>88.228456100884202</v>
      </c>
      <c r="AN931">
        <v>0.99999998038056903</v>
      </c>
    </row>
    <row r="932" spans="1:40" x14ac:dyDescent="0.25">
      <c r="A932" t="str">
        <f>"20190312154231008"</f>
        <v>20190312154231008</v>
      </c>
      <c r="B932" t="str">
        <f>"1552376550997938"</f>
        <v>1552376550997938</v>
      </c>
      <c r="C932" t="s">
        <v>40</v>
      </c>
      <c r="D932">
        <v>4.9112999999999998</v>
      </c>
      <c r="E932">
        <v>0.49962669999999998</v>
      </c>
      <c r="F932" t="s">
        <v>42</v>
      </c>
      <c r="G932">
        <v>-154.0754</v>
      </c>
      <c r="H932">
        <v>-0.05</v>
      </c>
      <c r="I932">
        <v>364.1103</v>
      </c>
      <c r="J932">
        <v>-240.703</v>
      </c>
      <c r="K932">
        <v>1.1105130000000001</v>
      </c>
      <c r="L932">
        <v>368.25290000000001</v>
      </c>
      <c r="M932">
        <v>0.99989340000000004</v>
      </c>
      <c r="N932">
        <v>0</v>
      </c>
      <c r="O932">
        <v>-3.0299480000000002E-3</v>
      </c>
      <c r="P932">
        <v>0.99904099999999996</v>
      </c>
      <c r="Q932">
        <v>2.7038420000000001E-2</v>
      </c>
      <c r="R932">
        <v>-3.4441359999999997E-2</v>
      </c>
      <c r="S932">
        <v>2.9990839999999999</v>
      </c>
      <c r="T932">
        <v>-4.005396E-2</v>
      </c>
      <c r="U932">
        <v>-0.14300539999999901</v>
      </c>
      <c r="V932">
        <v>3.1422239999999997E-2</v>
      </c>
      <c r="W932">
        <v>4.130648E-2</v>
      </c>
      <c r="X932">
        <v>0.99865230000000005</v>
      </c>
      <c r="Y932">
        <v>4.4598169999999999E-2</v>
      </c>
      <c r="Z932">
        <v>-2.5718600000000001E-4</v>
      </c>
      <c r="AA932">
        <v>0.99900500000000003</v>
      </c>
      <c r="AB932">
        <v>30</v>
      </c>
      <c r="AC932">
        <v>86.627600000000001</v>
      </c>
      <c r="AD932">
        <v>-1.1605129999999999</v>
      </c>
      <c r="AE932">
        <v>-4.1426000000000096</v>
      </c>
      <c r="AF932">
        <v>3.8793824419612299</v>
      </c>
      <c r="AG932">
        <v>-1.1605129999999999</v>
      </c>
      <c r="AH932">
        <v>86.624244590262407</v>
      </c>
      <c r="AI932">
        <v>90.766782472203502</v>
      </c>
      <c r="AJ932">
        <v>87.435777667285095</v>
      </c>
      <c r="AK932">
        <v>86.718833879312399</v>
      </c>
      <c r="AL932">
        <v>87.632639493851102</v>
      </c>
      <c r="AM932">
        <v>88.197803225588004</v>
      </c>
      <c r="AN932">
        <v>0.99999999937594897</v>
      </c>
    </row>
    <row r="933" spans="1:40" x14ac:dyDescent="0.25">
      <c r="A933" t="str">
        <f>"20190312154231032"</f>
        <v>20190312154231032</v>
      </c>
      <c r="B933" t="str">
        <f>"1552376551028195"</f>
        <v>1552376551028195</v>
      </c>
      <c r="C933" t="s">
        <v>40</v>
      </c>
      <c r="D933">
        <v>4.9166980000000002</v>
      </c>
      <c r="E933">
        <v>0.49674299999999999</v>
      </c>
      <c r="F933" t="s">
        <v>47</v>
      </c>
      <c r="G933">
        <v>-190.49879999999999</v>
      </c>
      <c r="H933" s="1">
        <v>-5.9226369999999901E-6</v>
      </c>
      <c r="I933">
        <v>366.65710000000001</v>
      </c>
      <c r="J933">
        <v>-240.4025</v>
      </c>
      <c r="K933">
        <v>1.1105149999999999</v>
      </c>
      <c r="L933">
        <v>368.25189999999998</v>
      </c>
      <c r="M933">
        <v>0.99989320000000004</v>
      </c>
      <c r="N933">
        <v>0</v>
      </c>
      <c r="O933">
        <v>-3.1063269999999999E-3</v>
      </c>
      <c r="P933">
        <v>0.99902809999999997</v>
      </c>
      <c r="Q933">
        <v>2.6852899999999999E-2</v>
      </c>
      <c r="R933">
        <v>-3.4959539999999997E-2</v>
      </c>
      <c r="S933">
        <v>3.0013730000000001</v>
      </c>
      <c r="T933">
        <v>-6.639051E-2</v>
      </c>
      <c r="U933">
        <v>-9.5397949999999995E-2</v>
      </c>
      <c r="V933">
        <v>3.1863839999999997E-2</v>
      </c>
      <c r="W933">
        <v>4.1117340000000002E-2</v>
      </c>
      <c r="X933">
        <v>0.99864609999999998</v>
      </c>
      <c r="Y933">
        <v>2.8657249999999999E-2</v>
      </c>
      <c r="Z933">
        <v>-2.4813869999999998E-4</v>
      </c>
      <c r="AA933">
        <v>0.99958930000000001</v>
      </c>
      <c r="AB933">
        <v>30</v>
      </c>
      <c r="AC933">
        <v>49.903700000000001</v>
      </c>
      <c r="AD933">
        <v>-1.1105209226370001</v>
      </c>
      <c r="AE933">
        <v>-1.59479999999996</v>
      </c>
      <c r="AF933">
        <v>1.4390473826166501</v>
      </c>
      <c r="AG933">
        <v>-1.1105209226370001</v>
      </c>
      <c r="AH933">
        <v>49.883736016890602</v>
      </c>
      <c r="AI933">
        <v>91.274788384268305</v>
      </c>
      <c r="AJ933">
        <v>88.347588065808395</v>
      </c>
      <c r="AK933">
        <v>49.916843180351997</v>
      </c>
      <c r="AL933">
        <v>87.643485601815598</v>
      </c>
      <c r="AM933">
        <v>88.172481337722701</v>
      </c>
      <c r="AN933">
        <v>0.99999998649671495</v>
      </c>
    </row>
    <row r="934" spans="1:40" x14ac:dyDescent="0.25">
      <c r="A934" t="str">
        <f>"20190312154231042"</f>
        <v>20190312154231042</v>
      </c>
      <c r="B934" t="str">
        <f>"1552376551037955"</f>
        <v>1552376551037955</v>
      </c>
      <c r="C934" t="s">
        <v>40</v>
      </c>
      <c r="D934">
        <v>4.8639700000000001</v>
      </c>
      <c r="E934">
        <v>0.49598900000000001</v>
      </c>
      <c r="F934" t="s">
        <v>47</v>
      </c>
      <c r="G934">
        <v>-206.65389999999999</v>
      </c>
      <c r="H934" s="1">
        <v>-4.2092320000000003E-6</v>
      </c>
      <c r="I934">
        <v>367.43389999999999</v>
      </c>
      <c r="J934">
        <v>-240.2354</v>
      </c>
      <c r="K934">
        <v>1.1105100000000001</v>
      </c>
      <c r="L934">
        <v>368.25130000000001</v>
      </c>
      <c r="M934">
        <v>0.99989309999999998</v>
      </c>
      <c r="N934">
        <v>0</v>
      </c>
      <c r="O934">
        <v>-3.1488660000000002E-3</v>
      </c>
      <c r="P934">
        <v>0.99901930000000005</v>
      </c>
      <c r="Q934">
        <v>2.667566E-2</v>
      </c>
      <c r="R934">
        <v>-3.5345130000000002E-2</v>
      </c>
      <c r="S934">
        <v>3.0030359999999998</v>
      </c>
      <c r="T934">
        <v>-9.8816749999999995E-2</v>
      </c>
      <c r="U934">
        <v>-7.2784420000000002E-2</v>
      </c>
      <c r="V934">
        <v>3.2206800000000001E-2</v>
      </c>
      <c r="W934">
        <v>4.0937729999999999E-2</v>
      </c>
      <c r="X934">
        <v>0.99864249999999999</v>
      </c>
      <c r="Y934">
        <v>2.107175E-2</v>
      </c>
      <c r="Z934">
        <v>-2.429632E-4</v>
      </c>
      <c r="AA934">
        <v>0.9997779</v>
      </c>
      <c r="AB934">
        <v>30</v>
      </c>
      <c r="AC934">
        <v>33.581499999999998</v>
      </c>
      <c r="AD934">
        <v>-1.1105142092319999</v>
      </c>
      <c r="AE934">
        <v>-0.81740000000002</v>
      </c>
      <c r="AF934">
        <v>0.71086459985622497</v>
      </c>
      <c r="AG934">
        <v>-1.1105142092319999</v>
      </c>
      <c r="AH934">
        <v>33.547242965037697</v>
      </c>
      <c r="AI934">
        <v>91.895544348596104</v>
      </c>
      <c r="AJ934">
        <v>88.786086623769805</v>
      </c>
      <c r="AK934">
        <v>33.573145233110097</v>
      </c>
      <c r="AL934">
        <v>87.653785222421405</v>
      </c>
      <c r="AM934">
        <v>88.152818110219201</v>
      </c>
      <c r="AN934">
        <v>1.0000000092550201</v>
      </c>
    </row>
    <row r="935" spans="1:40" x14ac:dyDescent="0.25">
      <c r="A935" t="str">
        <f>"20190312154231056"</f>
        <v>20190312154231056</v>
      </c>
      <c r="B935" t="str">
        <f>"1552376551048690"</f>
        <v>1552376551048690</v>
      </c>
      <c r="C935" t="s">
        <v>40</v>
      </c>
      <c r="D935">
        <v>4.8608379999999904</v>
      </c>
      <c r="E935">
        <v>0.49555129999999997</v>
      </c>
      <c r="F935" t="s">
        <v>43</v>
      </c>
      <c r="G935">
        <v>-210.51949999999999</v>
      </c>
      <c r="H935" s="1">
        <v>-4.4104789999999996E-6</v>
      </c>
      <c r="I935">
        <v>367.58100000000002</v>
      </c>
      <c r="J935">
        <v>-240.06630000000001</v>
      </c>
      <c r="K935">
        <v>1.1105100000000001</v>
      </c>
      <c r="L935">
        <v>368.25069999999999</v>
      </c>
      <c r="M935">
        <v>0.99989309999999998</v>
      </c>
      <c r="N935">
        <v>0</v>
      </c>
      <c r="O935">
        <v>-3.1924750000000002E-3</v>
      </c>
      <c r="P935">
        <v>0.99901930000000005</v>
      </c>
      <c r="Q935">
        <v>2.675686E-2</v>
      </c>
      <c r="R935">
        <v>-3.5281260000000002E-2</v>
      </c>
      <c r="S935">
        <v>3.0035249999999998</v>
      </c>
      <c r="T935">
        <v>-0.1122446</v>
      </c>
      <c r="U935">
        <v>-6.7749019999999993E-2</v>
      </c>
      <c r="V935">
        <v>3.209948E-2</v>
      </c>
      <c r="W935">
        <v>4.10173E-2</v>
      </c>
      <c r="X935">
        <v>0.99864269999999999</v>
      </c>
      <c r="Y935">
        <v>1.9347400000000001E-2</v>
      </c>
      <c r="Z935">
        <v>-2.420833E-4</v>
      </c>
      <c r="AA935">
        <v>0.99981279999999995</v>
      </c>
      <c r="AB935">
        <v>30</v>
      </c>
      <c r="AC935">
        <v>29.546800000000001</v>
      </c>
      <c r="AD935">
        <v>-1.1105144104789999</v>
      </c>
      <c r="AE935">
        <v>-0.66970000000003405</v>
      </c>
      <c r="AF935">
        <v>0.57454835661271197</v>
      </c>
      <c r="AG935">
        <v>-1.1105144104789999</v>
      </c>
      <c r="AH935">
        <v>29.5071264585013</v>
      </c>
      <c r="AI935">
        <v>92.154927948488293</v>
      </c>
      <c r="AJ935">
        <v>88.884505523534699</v>
      </c>
      <c r="AK935">
        <v>29.533605602905201</v>
      </c>
      <c r="AL935">
        <v>87.649222387461606</v>
      </c>
      <c r="AM935">
        <v>88.158969443996796</v>
      </c>
      <c r="AN935">
        <v>1.00000001888942</v>
      </c>
    </row>
    <row r="936" spans="1:40" x14ac:dyDescent="0.25">
      <c r="A936" t="str">
        <f>"20190312154231076"</f>
        <v>20190312154231076</v>
      </c>
      <c r="B936" t="str">
        <f>"1552376551068210"</f>
        <v>1552376551068210</v>
      </c>
      <c r="C936" t="s">
        <v>40</v>
      </c>
      <c r="D936">
        <v>4.8874089999999999</v>
      </c>
      <c r="E936">
        <v>0.4951509</v>
      </c>
      <c r="F936" t="s">
        <v>43</v>
      </c>
      <c r="G936">
        <v>-211.52789999999999</v>
      </c>
      <c r="H936" s="1">
        <v>-3.9667550000000001E-6</v>
      </c>
      <c r="I936">
        <v>367.6438</v>
      </c>
      <c r="J936">
        <v>-239.78880000000001</v>
      </c>
      <c r="K936">
        <v>1.110514</v>
      </c>
      <c r="L936">
        <v>368.24970000000002</v>
      </c>
      <c r="M936">
        <v>0.99989280000000003</v>
      </c>
      <c r="N936">
        <v>0</v>
      </c>
      <c r="O936">
        <v>-3.2638490000000001E-3</v>
      </c>
      <c r="P936">
        <v>0.99902400000000002</v>
      </c>
      <c r="Q936">
        <v>2.6640219999999999E-2</v>
      </c>
      <c r="R936">
        <v>-3.5235540000000003E-2</v>
      </c>
      <c r="S936">
        <v>3.0037989999999999</v>
      </c>
      <c r="T936">
        <v>-0.1168864</v>
      </c>
      <c r="U936">
        <v>-6.3873289999999999E-2</v>
      </c>
      <c r="V936">
        <v>3.198235E-2</v>
      </c>
      <c r="W936">
        <v>4.0898179999999999E-2</v>
      </c>
      <c r="X936">
        <v>0.99865130000000002</v>
      </c>
      <c r="Y936">
        <v>1.7984670000000001E-2</v>
      </c>
      <c r="Z936">
        <v>-2.2279050000000001E-4</v>
      </c>
      <c r="AA936">
        <v>0.99983820000000001</v>
      </c>
      <c r="AB936">
        <v>30</v>
      </c>
      <c r="AC936">
        <v>28.260899999999999</v>
      </c>
      <c r="AD936">
        <v>-1.110517966755</v>
      </c>
      <c r="AE936">
        <v>-0.60590000000001898</v>
      </c>
      <c r="AF936">
        <v>0.51285651942394395</v>
      </c>
      <c r="AG936">
        <v>-1.110517966755</v>
      </c>
      <c r="AH936">
        <v>28.219173623317602</v>
      </c>
      <c r="AI936">
        <v>92.253244130446902</v>
      </c>
      <c r="AJ936">
        <v>88.958818571473898</v>
      </c>
      <c r="AK936">
        <v>28.245672800394502</v>
      </c>
      <c r="AL936">
        <v>87.656053090501203</v>
      </c>
      <c r="AM936">
        <v>88.1656984948592</v>
      </c>
      <c r="AN936">
        <v>0.99999997541526198</v>
      </c>
    </row>
    <row r="937" spans="1:40" x14ac:dyDescent="0.25">
      <c r="A937" t="str">
        <f>"20190312154231090"</f>
        <v>20190312154231090</v>
      </c>
      <c r="B937" t="str">
        <f>"1552376551077971"</f>
        <v>1552376551077971</v>
      </c>
      <c r="C937" t="s">
        <v>40</v>
      </c>
      <c r="D937">
        <v>4.8631390000000003</v>
      </c>
      <c r="E937">
        <v>0.49497540000000001</v>
      </c>
      <c r="F937" t="s">
        <v>43</v>
      </c>
      <c r="G937">
        <v>-212.6405</v>
      </c>
      <c r="H937" s="1">
        <v>-3.4787549999999999E-6</v>
      </c>
      <c r="I937">
        <v>367.70389999999998</v>
      </c>
      <c r="J937">
        <v>-239.6001</v>
      </c>
      <c r="K937">
        <v>1.1105130000000001</v>
      </c>
      <c r="L937">
        <v>368.2491</v>
      </c>
      <c r="M937">
        <v>0.99989269999999997</v>
      </c>
      <c r="N937">
        <v>0</v>
      </c>
      <c r="O937">
        <v>-3.3124679999999998E-3</v>
      </c>
      <c r="P937">
        <v>0.99903940000000002</v>
      </c>
      <c r="Q937">
        <v>2.6172109999999998E-2</v>
      </c>
      <c r="R937">
        <v>-3.5145530000000001E-2</v>
      </c>
      <c r="S937">
        <v>3.0040740000000001</v>
      </c>
      <c r="T937">
        <v>-0.1228836</v>
      </c>
      <c r="U937">
        <v>-6.0394290000000003E-2</v>
      </c>
      <c r="V937">
        <v>3.1843839999999998E-2</v>
      </c>
      <c r="W937">
        <v>4.0427930000000001E-2</v>
      </c>
      <c r="X937">
        <v>0.99867490000000003</v>
      </c>
      <c r="Y937">
        <v>1.6776570000000001E-2</v>
      </c>
      <c r="Z937">
        <v>-2.075092E-4</v>
      </c>
      <c r="AA937">
        <v>0.99985919999999895</v>
      </c>
      <c r="AB937">
        <v>30</v>
      </c>
      <c r="AC937">
        <v>26.959599999999899</v>
      </c>
      <c r="AD937">
        <v>-1.1105164787549999</v>
      </c>
      <c r="AE937">
        <v>-0.545200000000022</v>
      </c>
      <c r="AF937">
        <v>0.45511319586965199</v>
      </c>
      <c r="AG937">
        <v>-1.1105164787549999</v>
      </c>
      <c r="AH937">
        <v>26.9156072635162</v>
      </c>
      <c r="AI937">
        <v>92.362300798809898</v>
      </c>
      <c r="AJ937">
        <v>89.031283955345899</v>
      </c>
      <c r="AK937">
        <v>26.942351219492402</v>
      </c>
      <c r="AL937">
        <v>87.683018795704797</v>
      </c>
      <c r="AM937">
        <v>88.173680274246607</v>
      </c>
      <c r="AN937">
        <v>1.0000000017800199</v>
      </c>
    </row>
    <row r="938" spans="1:40" x14ac:dyDescent="0.25">
      <c r="A938" t="str">
        <f>"20190312154231104"</f>
        <v>20190312154231104</v>
      </c>
      <c r="B938" t="str">
        <f>"1552376551098466"</f>
        <v>1552376551098466</v>
      </c>
      <c r="C938" t="s">
        <v>40</v>
      </c>
      <c r="D938">
        <v>4.8103949999999998</v>
      </c>
      <c r="E938">
        <v>0.49497469999999999</v>
      </c>
      <c r="F938" t="s">
        <v>43</v>
      </c>
      <c r="G938">
        <v>-213.32740000000001</v>
      </c>
      <c r="H938" s="1">
        <v>-3.1787300000000001E-6</v>
      </c>
      <c r="I938">
        <v>367.73419999999999</v>
      </c>
      <c r="J938">
        <v>-239.41220000000001</v>
      </c>
      <c r="K938">
        <v>1.1105119999999999</v>
      </c>
      <c r="L938">
        <v>368.2484</v>
      </c>
      <c r="M938">
        <v>0.99989260000000002</v>
      </c>
      <c r="N938">
        <v>0</v>
      </c>
      <c r="O938">
        <v>-3.360731E-3</v>
      </c>
      <c r="P938">
        <v>0.99904389999999998</v>
      </c>
      <c r="Q938">
        <v>2.6338150000000001E-2</v>
      </c>
      <c r="R938">
        <v>-3.4897049999999999E-2</v>
      </c>
      <c r="S938">
        <v>3.0041350000000002</v>
      </c>
      <c r="T938">
        <v>-0.12698090000000001</v>
      </c>
      <c r="U938">
        <v>-5.8868410000000003E-2</v>
      </c>
      <c r="V938">
        <v>3.1546860000000003E-2</v>
      </c>
      <c r="W938">
        <v>4.0591839999999997E-2</v>
      </c>
      <c r="X938">
        <v>0.9986777</v>
      </c>
      <c r="Y938">
        <v>1.622001E-2</v>
      </c>
      <c r="Z938">
        <v>-2.0062389999999999E-4</v>
      </c>
      <c r="AA938">
        <v>0.99986850000000005</v>
      </c>
      <c r="AB938">
        <v>30</v>
      </c>
      <c r="AC938">
        <v>26.084800000000001</v>
      </c>
      <c r="AD938">
        <v>-1.1105151787300001</v>
      </c>
      <c r="AE938">
        <v>-0.51420000000001598</v>
      </c>
      <c r="AF938">
        <v>0.42575280864200798</v>
      </c>
      <c r="AG938">
        <v>-1.1105151787300001</v>
      </c>
      <c r="AH938">
        <v>26.039203640709999</v>
      </c>
      <c r="AI938">
        <v>92.441734072865003</v>
      </c>
      <c r="AJ938">
        <v>89.063271444803107</v>
      </c>
      <c r="AK938">
        <v>26.0663506394474</v>
      </c>
      <c r="AL938">
        <v>87.673619783581202</v>
      </c>
      <c r="AM938">
        <v>88.190706476759999</v>
      </c>
      <c r="AN938">
        <v>1.0000000251638601</v>
      </c>
    </row>
    <row r="939" spans="1:40" x14ac:dyDescent="0.25">
      <c r="A939" t="str">
        <f>"20190312154231120"</f>
        <v>20190312154231120</v>
      </c>
      <c r="B939" t="str">
        <f>"1552376551108227"</f>
        <v>1552376551108227</v>
      </c>
      <c r="C939" t="s">
        <v>40</v>
      </c>
      <c r="D939">
        <v>4.769158</v>
      </c>
      <c r="E939">
        <v>0.49477009999999999</v>
      </c>
      <c r="F939" t="s">
        <v>43</v>
      </c>
      <c r="G939">
        <v>-212.64400000000001</v>
      </c>
      <c r="H939" s="1">
        <v>-3.4726220000000002E-6</v>
      </c>
      <c r="I939">
        <v>367.73009999999999</v>
      </c>
      <c r="J939">
        <v>-239.1935</v>
      </c>
      <c r="K939">
        <v>1.110509</v>
      </c>
      <c r="L939">
        <v>368.24759999999998</v>
      </c>
      <c r="M939">
        <v>0.99989240000000001</v>
      </c>
      <c r="N939">
        <v>0</v>
      </c>
      <c r="O939">
        <v>-3.4163850000000001E-3</v>
      </c>
      <c r="P939">
        <v>0.9990829</v>
      </c>
      <c r="Q939">
        <v>2.5392310000000001E-2</v>
      </c>
      <c r="R939">
        <v>-3.4480499999999997E-2</v>
      </c>
      <c r="S939">
        <v>3.0041199999999999</v>
      </c>
      <c r="T939">
        <v>-0.1246297</v>
      </c>
      <c r="U939">
        <v>-5.8166500000000003E-2</v>
      </c>
      <c r="V939">
        <v>3.107441E-2</v>
      </c>
      <c r="W939">
        <v>3.9644169999999999E-2</v>
      </c>
      <c r="X939">
        <v>0.99873049999999997</v>
      </c>
      <c r="Y939">
        <v>1.5931649999999999E-2</v>
      </c>
      <c r="Z939">
        <v>-1.886275E-4</v>
      </c>
      <c r="AA939">
        <v>0.99987300000000001</v>
      </c>
      <c r="AB939">
        <v>30</v>
      </c>
      <c r="AC939">
        <v>26.549499999999899</v>
      </c>
      <c r="AD939">
        <v>-1.1105124726219999</v>
      </c>
      <c r="AE939">
        <v>-0.51749999999998397</v>
      </c>
      <c r="AF939">
        <v>0.42603932708861803</v>
      </c>
      <c r="AG939">
        <v>-1.1105124726219999</v>
      </c>
      <c r="AH939">
        <v>26.504758563798099</v>
      </c>
      <c r="AI939">
        <v>92.398900567544203</v>
      </c>
      <c r="AJ939">
        <v>89.079102974022703</v>
      </c>
      <c r="AK939">
        <v>26.531433696377999</v>
      </c>
      <c r="AL939">
        <v>87.727960841790505</v>
      </c>
      <c r="AM939">
        <v>88.217879251314102</v>
      </c>
      <c r="AN939">
        <v>0.99999994540104198</v>
      </c>
    </row>
    <row r="940" spans="1:40" x14ac:dyDescent="0.25">
      <c r="A940" t="str">
        <f>"20190312154231133"</f>
        <v>20190312154231133</v>
      </c>
      <c r="B940" t="str">
        <f>"1552376551127747"</f>
        <v>1552376551127747</v>
      </c>
      <c r="C940" t="s">
        <v>40</v>
      </c>
      <c r="D940">
        <v>4.8014559999999999</v>
      </c>
      <c r="E940">
        <v>0.49486350000000001</v>
      </c>
      <c r="F940" t="s">
        <v>43</v>
      </c>
      <c r="G940">
        <v>-213.5565</v>
      </c>
      <c r="H940" s="1">
        <v>-3.0729860000000001E-6</v>
      </c>
      <c r="I940">
        <v>367.77620000000002</v>
      </c>
      <c r="J940">
        <v>-239.02520000000001</v>
      </c>
      <c r="K940">
        <v>1.110506</v>
      </c>
      <c r="L940">
        <v>368.24689999999998</v>
      </c>
      <c r="M940">
        <v>0.99989229999999996</v>
      </c>
      <c r="N940">
        <v>0</v>
      </c>
      <c r="O940">
        <v>-3.4596449999999999E-3</v>
      </c>
      <c r="P940">
        <v>0.99909130000000002</v>
      </c>
      <c r="Q940">
        <v>2.5212890000000002E-2</v>
      </c>
      <c r="R940">
        <v>-3.436794E-2</v>
      </c>
      <c r="S940">
        <v>3.0041350000000002</v>
      </c>
      <c r="T940">
        <v>-0.1301291</v>
      </c>
      <c r="U940">
        <v>-5.5236819999999999E-2</v>
      </c>
      <c r="V940">
        <v>3.0918629999999999E-2</v>
      </c>
      <c r="W940">
        <v>3.9463110000000003E-2</v>
      </c>
      <c r="X940">
        <v>0.99874260000000004</v>
      </c>
      <c r="Y940">
        <v>1.4913569999999999E-2</v>
      </c>
      <c r="Z940">
        <v>-1.730332E-4</v>
      </c>
      <c r="AA940">
        <v>0.99988880000000002</v>
      </c>
      <c r="AB940">
        <v>30</v>
      </c>
      <c r="AC940">
        <v>25.468699999999998</v>
      </c>
      <c r="AD940">
        <v>-1.1105090729860001</v>
      </c>
      <c r="AE940">
        <v>-0.47069999999996498</v>
      </c>
      <c r="AF940">
        <v>0.38184982880317597</v>
      </c>
      <c r="AG940">
        <v>-1.1105090729860001</v>
      </c>
      <c r="AH940">
        <v>25.421860313659799</v>
      </c>
      <c r="AI940">
        <v>92.500992996365497</v>
      </c>
      <c r="AJ940">
        <v>89.139451708985703</v>
      </c>
      <c r="AK940">
        <v>25.448968967330899</v>
      </c>
      <c r="AL940">
        <v>87.7383431545571</v>
      </c>
      <c r="AM940">
        <v>88.226829002152996</v>
      </c>
      <c r="AN940">
        <v>1.00000003989335</v>
      </c>
    </row>
    <row r="941" spans="1:40" x14ac:dyDescent="0.25">
      <c r="A941" t="str">
        <f>"20190312154231145"</f>
        <v>20190312154231145</v>
      </c>
      <c r="B941" t="str">
        <f>"1552376551138483"</f>
        <v>1552376551138483</v>
      </c>
      <c r="C941" t="s">
        <v>40</v>
      </c>
      <c r="D941">
        <v>4.7783470000000001</v>
      </c>
      <c r="E941">
        <v>0.49489030000000001</v>
      </c>
      <c r="F941" t="s">
        <v>43</v>
      </c>
      <c r="G941">
        <v>-212.9836</v>
      </c>
      <c r="H941" s="1">
        <v>-3.3210489999999999E-6</v>
      </c>
      <c r="I941">
        <v>367.76330000000002</v>
      </c>
      <c r="J941">
        <v>-238.86439999999999</v>
      </c>
      <c r="K941">
        <v>1.110509</v>
      </c>
      <c r="L941">
        <v>368.24639999999999</v>
      </c>
      <c r="M941">
        <v>0.99989209999999995</v>
      </c>
      <c r="N941">
        <v>0</v>
      </c>
      <c r="O941">
        <v>-3.5006389999999998E-3</v>
      </c>
      <c r="P941">
        <v>0.99910549999999998</v>
      </c>
      <c r="Q941">
        <v>2.4751849999999999E-2</v>
      </c>
      <c r="R941">
        <v>-3.4290660000000001E-2</v>
      </c>
      <c r="S941">
        <v>3.0040589999999998</v>
      </c>
      <c r="T941">
        <v>-0.12810389999999999</v>
      </c>
      <c r="U941">
        <v>-5.5786130000000003E-2</v>
      </c>
      <c r="V941">
        <v>3.080014E-2</v>
      </c>
      <c r="W941">
        <v>3.9000460000000001E-2</v>
      </c>
      <c r="X941">
        <v>0.9987644</v>
      </c>
      <c r="Y941">
        <v>1.505605E-2</v>
      </c>
      <c r="Z941">
        <v>-1.7163559999999999E-4</v>
      </c>
      <c r="AA941">
        <v>0.99988659999999996</v>
      </c>
      <c r="AB941">
        <v>30</v>
      </c>
      <c r="AC941">
        <v>25.880799999999901</v>
      </c>
      <c r="AD941">
        <v>-1.110512321049</v>
      </c>
      <c r="AE941">
        <v>-0.48309999999997899</v>
      </c>
      <c r="AF941">
        <v>0.39176742505898698</v>
      </c>
      <c r="AG941">
        <v>-1.110512321049</v>
      </c>
      <c r="AH941">
        <v>25.834783336044602</v>
      </c>
      <c r="AI941">
        <v>92.461070479809194</v>
      </c>
      <c r="AJ941">
        <v>89.131213938791007</v>
      </c>
      <c r="AK941">
        <v>25.861607632761501</v>
      </c>
      <c r="AL941">
        <v>87.764871392614793</v>
      </c>
      <c r="AM941">
        <v>88.233658573150393</v>
      </c>
      <c r="AN941">
        <v>1.0000000056057901</v>
      </c>
    </row>
    <row r="942" spans="1:40" x14ac:dyDescent="0.25">
      <c r="A942" t="str">
        <f>"20190312154231157"</f>
        <v>20190312154231157</v>
      </c>
      <c r="B942" t="str">
        <f>"1552376551148244"</f>
        <v>1552376551148244</v>
      </c>
      <c r="C942" t="s">
        <v>40</v>
      </c>
      <c r="D942">
        <v>4.8174710000000003</v>
      </c>
      <c r="E942">
        <v>0.49494159999999998</v>
      </c>
      <c r="F942" t="s">
        <v>43</v>
      </c>
      <c r="G942">
        <v>-212.84710000000001</v>
      </c>
      <c r="H942" s="1">
        <v>-3.3795450000000002E-6</v>
      </c>
      <c r="I942">
        <v>367.76369999999997</v>
      </c>
      <c r="J942">
        <v>-238.71340000000001</v>
      </c>
      <c r="K942">
        <v>1.1105080000000001</v>
      </c>
      <c r="L942">
        <v>368.24579999999997</v>
      </c>
      <c r="M942">
        <v>0.999892</v>
      </c>
      <c r="N942">
        <v>0</v>
      </c>
      <c r="O942">
        <v>-3.539487E-3</v>
      </c>
      <c r="P942">
        <v>0.99911090000000002</v>
      </c>
      <c r="Q942">
        <v>2.4743069999999999E-2</v>
      </c>
      <c r="R942">
        <v>-3.4136729999999997E-2</v>
      </c>
      <c r="S942">
        <v>3.0039370000000001</v>
      </c>
      <c r="T942">
        <v>-0.12821850000000001</v>
      </c>
      <c r="U942">
        <v>-5.57251E-2</v>
      </c>
      <c r="V942">
        <v>3.060763E-2</v>
      </c>
      <c r="W942">
        <v>3.898998E-2</v>
      </c>
      <c r="X942">
        <v>0.99877070000000001</v>
      </c>
      <c r="Y942">
        <v>1.4997720000000001E-2</v>
      </c>
      <c r="Z942">
        <v>-1.6889450000000001E-4</v>
      </c>
      <c r="AA942">
        <v>0.99988750000000004</v>
      </c>
      <c r="AB942">
        <v>30</v>
      </c>
      <c r="AC942">
        <v>25.866299999999899</v>
      </c>
      <c r="AD942">
        <v>-1.1105113795449999</v>
      </c>
      <c r="AE942">
        <v>-0.48210000000000203</v>
      </c>
      <c r="AF942">
        <v>0.389815964299286</v>
      </c>
      <c r="AG942">
        <v>-1.1105113795449999</v>
      </c>
      <c r="AH942">
        <v>25.8202685668663</v>
      </c>
      <c r="AI942">
        <v>92.462452668621694</v>
      </c>
      <c r="AJ942">
        <v>89.135054974131194</v>
      </c>
      <c r="AK942">
        <v>25.847078381806</v>
      </c>
      <c r="AL942">
        <v>87.765472248542096</v>
      </c>
      <c r="AM942">
        <v>88.244702867206499</v>
      </c>
      <c r="AN942">
        <v>0.99999997836655297</v>
      </c>
    </row>
    <row r="943" spans="1:40" x14ac:dyDescent="0.25">
      <c r="A943" t="str">
        <f>"20190312154231169"</f>
        <v>20190312154231169</v>
      </c>
      <c r="B943" t="str">
        <f>"1552376551158002"</f>
        <v>1552376551158002</v>
      </c>
      <c r="C943" t="s">
        <v>40</v>
      </c>
      <c r="D943">
        <v>4.8068900000000001</v>
      </c>
      <c r="E943">
        <v>0.49494120000000003</v>
      </c>
      <c r="F943" t="s">
        <v>43</v>
      </c>
      <c r="G943">
        <v>-212.47970000000001</v>
      </c>
      <c r="H943" s="1">
        <v>-3.537677E-6</v>
      </c>
      <c r="I943">
        <v>367.76069999999999</v>
      </c>
      <c r="J943">
        <v>-238.5395</v>
      </c>
      <c r="K943">
        <v>1.110506</v>
      </c>
      <c r="L943">
        <v>368.24520000000001</v>
      </c>
      <c r="M943">
        <v>0.999892</v>
      </c>
      <c r="N943">
        <v>0</v>
      </c>
      <c r="O943">
        <v>-3.5840550000000001E-3</v>
      </c>
      <c r="P943">
        <v>0.999108</v>
      </c>
      <c r="Q943">
        <v>2.4691669999999999E-2</v>
      </c>
      <c r="R943">
        <v>-3.426564E-2</v>
      </c>
      <c r="S943">
        <v>3.0039370000000001</v>
      </c>
      <c r="T943">
        <v>-0.12716050000000001</v>
      </c>
      <c r="U943">
        <v>-5.5541989999999999E-2</v>
      </c>
      <c r="V943">
        <v>3.0691840000000001E-2</v>
      </c>
      <c r="W943">
        <v>3.8936610000000003E-2</v>
      </c>
      <c r="X943">
        <v>0.99877020000000005</v>
      </c>
      <c r="Y943">
        <v>1.4892529999999999E-2</v>
      </c>
      <c r="Z943">
        <v>-1.633913E-4</v>
      </c>
      <c r="AA943">
        <v>0.99988909999999998</v>
      </c>
      <c r="AB943">
        <v>30</v>
      </c>
      <c r="AC943">
        <v>26.059799999999999</v>
      </c>
      <c r="AD943">
        <v>-1.110509537677</v>
      </c>
      <c r="AE943">
        <v>-0.48450000000002502</v>
      </c>
      <c r="AF943">
        <v>0.39037898148625899</v>
      </c>
      <c r="AG943">
        <v>-1.110509537677</v>
      </c>
      <c r="AH943">
        <v>26.0141453361644</v>
      </c>
      <c r="AI943">
        <v>92.444122267162797</v>
      </c>
      <c r="AJ943">
        <v>89.140260461260297</v>
      </c>
      <c r="AK943">
        <v>26.040763904953799</v>
      </c>
      <c r="AL943">
        <v>87.768532452964493</v>
      </c>
      <c r="AM943">
        <v>88.239875715500006</v>
      </c>
      <c r="AN943">
        <v>0.99999998052445804</v>
      </c>
    </row>
    <row r="944" spans="1:40" x14ac:dyDescent="0.25">
      <c r="A944" t="str">
        <f>"20190312154231187"</f>
        <v>20190312154231187</v>
      </c>
      <c r="B944" t="str">
        <f>"1552376551178503"</f>
        <v>1552376551178503</v>
      </c>
      <c r="C944" t="s">
        <v>40</v>
      </c>
      <c r="D944">
        <v>4.8132429999999999</v>
      </c>
      <c r="E944">
        <v>0.49512889999999998</v>
      </c>
      <c r="F944" t="s">
        <v>43</v>
      </c>
      <c r="G944">
        <v>-212.14779999999999</v>
      </c>
      <c r="H944" s="1">
        <v>-3.6813249999999999E-6</v>
      </c>
      <c r="I944">
        <v>367.75369999999998</v>
      </c>
      <c r="J944">
        <v>-238.29159999999999</v>
      </c>
      <c r="K944">
        <v>1.110509</v>
      </c>
      <c r="L944">
        <v>368.24419999999998</v>
      </c>
      <c r="M944">
        <v>0.99989170000000005</v>
      </c>
      <c r="N944">
        <v>0</v>
      </c>
      <c r="O944">
        <v>-3.6476899999999999E-3</v>
      </c>
      <c r="P944">
        <v>0.99911479999999997</v>
      </c>
      <c r="Q944">
        <v>2.4334910000000001E-2</v>
      </c>
      <c r="R944">
        <v>-3.4310609999999998E-2</v>
      </c>
      <c r="S944">
        <v>3.0039060000000002</v>
      </c>
      <c r="T944">
        <v>-0.12639810000000001</v>
      </c>
      <c r="U944">
        <v>-5.5938719999999997E-2</v>
      </c>
      <c r="V944">
        <v>3.0673329999999999E-2</v>
      </c>
      <c r="W944">
        <v>3.8577340000000002E-2</v>
      </c>
      <c r="X944">
        <v>0.99878469999999997</v>
      </c>
      <c r="Y944">
        <v>1.4961199999999999E-2</v>
      </c>
      <c r="Z944">
        <v>-1.611816E-4</v>
      </c>
      <c r="AA944">
        <v>0.99988809999999995</v>
      </c>
      <c r="AB944">
        <v>30</v>
      </c>
      <c r="AC944">
        <v>26.143799999999999</v>
      </c>
      <c r="AD944">
        <v>-1.1105126813249999</v>
      </c>
      <c r="AE944">
        <v>-0.49049999999999699</v>
      </c>
      <c r="AF944">
        <v>0.39441117674058401</v>
      </c>
      <c r="AG944">
        <v>-1.1105126813249999</v>
      </c>
      <c r="AH944">
        <v>26.0983426433883</v>
      </c>
      <c r="AI944">
        <v>92.436249666802397</v>
      </c>
      <c r="AJ944">
        <v>89.134183500104001</v>
      </c>
      <c r="AK944">
        <v>26.124936120944302</v>
      </c>
      <c r="AL944">
        <v>87.789132563905</v>
      </c>
      <c r="AM944">
        <v>88.240962086487201</v>
      </c>
      <c r="AN944">
        <v>0.99999997064442603</v>
      </c>
    </row>
    <row r="945" spans="1:40" x14ac:dyDescent="0.25">
      <c r="A945" t="str">
        <f>"20190312154231202"</f>
        <v>20190312154231202</v>
      </c>
      <c r="B945" t="str">
        <f>"1552376551198019"</f>
        <v>1552376551198019</v>
      </c>
      <c r="C945" t="s">
        <v>40</v>
      </c>
      <c r="D945">
        <v>4.8589149999999997</v>
      </c>
      <c r="E945">
        <v>0.4953708</v>
      </c>
      <c r="F945" t="s">
        <v>43</v>
      </c>
      <c r="G945">
        <v>-211.6713</v>
      </c>
      <c r="H945" s="1">
        <v>-3.8894950000000003E-6</v>
      </c>
      <c r="I945">
        <v>367.73250000000002</v>
      </c>
      <c r="J945">
        <v>-238.09970000000001</v>
      </c>
      <c r="K945">
        <v>1.1105080000000001</v>
      </c>
      <c r="L945">
        <v>368.24349999999998</v>
      </c>
      <c r="M945">
        <v>0.99989150000000004</v>
      </c>
      <c r="N945">
        <v>0</v>
      </c>
      <c r="O945">
        <v>-3.697498E-3</v>
      </c>
      <c r="P945">
        <v>0.99911399999999995</v>
      </c>
      <c r="Q945">
        <v>2.4170049999999998E-2</v>
      </c>
      <c r="R945">
        <v>-3.445322E-2</v>
      </c>
      <c r="S945">
        <v>3.0037229999999999</v>
      </c>
      <c r="T945">
        <v>-0.12530539999999901</v>
      </c>
      <c r="U945">
        <v>-5.7739260000000001E-2</v>
      </c>
      <c r="V945">
        <v>3.0766020000000002E-2</v>
      </c>
      <c r="W945">
        <v>3.8411050000000002E-2</v>
      </c>
      <c r="X945">
        <v>0.99878829999999996</v>
      </c>
      <c r="Y945">
        <v>1.551142E-2</v>
      </c>
      <c r="Z945">
        <v>-1.69192E-4</v>
      </c>
      <c r="AA945">
        <v>0.99987969999999904</v>
      </c>
      <c r="AB945">
        <v>30</v>
      </c>
      <c r="AC945">
        <v>26.4284</v>
      </c>
      <c r="AD945">
        <v>-1.1105118894949999</v>
      </c>
      <c r="AE945">
        <v>-0.51099999999996704</v>
      </c>
      <c r="AF945">
        <v>0.41253948636507298</v>
      </c>
      <c r="AG945">
        <v>-1.1105118894949999</v>
      </c>
      <c r="AH945">
        <v>26.3835422193109</v>
      </c>
      <c r="AI945">
        <v>92.409924534643196</v>
      </c>
      <c r="AJ945">
        <v>89.104182251093903</v>
      </c>
      <c r="AK945">
        <v>26.410125435572599</v>
      </c>
      <c r="AL945">
        <v>87.798667438470702</v>
      </c>
      <c r="AM945">
        <v>88.235656259337205</v>
      </c>
      <c r="AN945">
        <v>1.0000000124828099</v>
      </c>
    </row>
    <row r="946" spans="1:40" x14ac:dyDescent="0.25">
      <c r="A946" t="str">
        <f>"20190312154231216"</f>
        <v>20190312154231216</v>
      </c>
      <c r="B946" t="str">
        <f>"1552376551207779"</f>
        <v>1552376551207779</v>
      </c>
      <c r="C946" t="s">
        <v>40</v>
      </c>
      <c r="D946">
        <v>4.7994459999999997</v>
      </c>
      <c r="E946">
        <v>0.49573610000000001</v>
      </c>
      <c r="F946" t="s">
        <v>43</v>
      </c>
      <c r="G946">
        <v>-212.07689999999999</v>
      </c>
      <c r="H946" s="1">
        <v>-3.717162E-6</v>
      </c>
      <c r="I946">
        <v>367.72309999999999</v>
      </c>
      <c r="J946">
        <v>-237.91130000000001</v>
      </c>
      <c r="K946">
        <v>1.110503</v>
      </c>
      <c r="L946">
        <v>368.24270000000001</v>
      </c>
      <c r="M946">
        <v>0.99989139999999999</v>
      </c>
      <c r="N946">
        <v>0</v>
      </c>
      <c r="O946">
        <v>-3.7463539999999999E-3</v>
      </c>
      <c r="P946">
        <v>0.99911919999999999</v>
      </c>
      <c r="Q946">
        <v>2.371705E-2</v>
      </c>
      <c r="R946">
        <v>-3.461881E-2</v>
      </c>
      <c r="S946">
        <v>3.0036930000000002</v>
      </c>
      <c r="T946">
        <v>-0.12818089999999999</v>
      </c>
      <c r="U946">
        <v>-6.0058590000000002E-2</v>
      </c>
      <c r="V946">
        <v>3.0882730000000001E-2</v>
      </c>
      <c r="W946">
        <v>3.7956009999999998E-2</v>
      </c>
      <c r="X946">
        <v>0.99880210000000003</v>
      </c>
      <c r="Y946">
        <v>1.6233439999999998E-2</v>
      </c>
      <c r="Z946">
        <v>-1.8638500000000001E-4</v>
      </c>
      <c r="AA946">
        <v>0.99986819999999998</v>
      </c>
      <c r="AB946">
        <v>30</v>
      </c>
      <c r="AC946">
        <v>25.834399999999999</v>
      </c>
      <c r="AD946">
        <v>-1.110506717162</v>
      </c>
      <c r="AE946">
        <v>-0.51960000000002504</v>
      </c>
      <c r="AF946">
        <v>0.42202223198098199</v>
      </c>
      <c r="AG946">
        <v>-1.110506717162</v>
      </c>
      <c r="AH946">
        <v>25.788533711273399</v>
      </c>
      <c r="AI946">
        <v>92.465419755128295</v>
      </c>
      <c r="AJ946">
        <v>89.062454078985397</v>
      </c>
      <c r="AK946">
        <v>25.815882687032602</v>
      </c>
      <c r="AL946">
        <v>87.824758349586006</v>
      </c>
      <c r="AM946">
        <v>88.228991981114206</v>
      </c>
      <c r="AN946">
        <v>1.0000000183358899</v>
      </c>
    </row>
    <row r="947" spans="1:40" x14ac:dyDescent="0.25">
      <c r="A947" t="str">
        <f>"20190312154231234"</f>
        <v>20190312154231234</v>
      </c>
      <c r="B947" t="str">
        <f>"1552376551228275"</f>
        <v>1552376551228275</v>
      </c>
      <c r="C947" t="s">
        <v>40</v>
      </c>
      <c r="D947">
        <v>4.8151840000000004</v>
      </c>
      <c r="E947">
        <v>0.49634260000000002</v>
      </c>
      <c r="F947" t="s">
        <v>43</v>
      </c>
      <c r="G947">
        <v>-212.48</v>
      </c>
      <c r="H947" s="1">
        <v>-3.547412E-6</v>
      </c>
      <c r="I947">
        <v>367.70519999999999</v>
      </c>
      <c r="J947">
        <v>-237.67240000000001</v>
      </c>
      <c r="K947">
        <v>1.1105</v>
      </c>
      <c r="L947">
        <v>368.24169999999998</v>
      </c>
      <c r="M947">
        <v>0.99989130000000004</v>
      </c>
      <c r="N947">
        <v>0</v>
      </c>
      <c r="O947">
        <v>-3.8080810000000001E-3</v>
      </c>
      <c r="P947">
        <v>0.99910829999999995</v>
      </c>
      <c r="Q947">
        <v>2.3798940000000001E-2</v>
      </c>
      <c r="R947">
        <v>-3.4877900000000003E-2</v>
      </c>
      <c r="S947">
        <v>3.003555</v>
      </c>
      <c r="T947">
        <v>-0.131155299999999</v>
      </c>
      <c r="U947">
        <v>-6.3476560000000001E-2</v>
      </c>
      <c r="V947">
        <v>3.1079889999999999E-2</v>
      </c>
      <c r="W947">
        <v>3.8035100000000002E-2</v>
      </c>
      <c r="X947">
        <v>0.99879289999999998</v>
      </c>
      <c r="Y947">
        <v>1.7308460000000001E-2</v>
      </c>
      <c r="Z947">
        <v>-2.1147599999999999E-4</v>
      </c>
      <c r="AA947">
        <v>0.99985020000000002</v>
      </c>
      <c r="AB947">
        <v>30</v>
      </c>
      <c r="AC947">
        <v>25.192399999999999</v>
      </c>
      <c r="AD947">
        <v>-1.110503547412</v>
      </c>
      <c r="AE947">
        <v>-0.53649999999998899</v>
      </c>
      <c r="AF947">
        <v>0.43969767558879702</v>
      </c>
      <c r="AG947">
        <v>-1.110503547412</v>
      </c>
      <c r="AH947">
        <v>25.145421984458402</v>
      </c>
      <c r="AI947">
        <v>92.528338653983198</v>
      </c>
      <c r="AJ947">
        <v>88.998217096967096</v>
      </c>
      <c r="AK947">
        <v>25.173772044555001</v>
      </c>
      <c r="AL947">
        <v>87.820223387069703</v>
      </c>
      <c r="AM947">
        <v>88.217676461966306</v>
      </c>
      <c r="AN947">
        <v>0.99999994274241399</v>
      </c>
    </row>
    <row r="948" spans="1:40" x14ac:dyDescent="0.25">
      <c r="A948" t="str">
        <f>"20190312154231257"</f>
        <v>20190312154231257</v>
      </c>
      <c r="B948" t="str">
        <f>"1552376551247794"</f>
        <v>1552376551247794</v>
      </c>
      <c r="C948" t="s">
        <v>40</v>
      </c>
      <c r="D948">
        <v>4.7935030000000003</v>
      </c>
      <c r="E948">
        <v>0.4968417</v>
      </c>
      <c r="F948" t="s">
        <v>43</v>
      </c>
      <c r="G948">
        <v>-212.6224</v>
      </c>
      <c r="H948" s="1">
        <v>-3.4934049999999998E-6</v>
      </c>
      <c r="I948">
        <v>367.66520000000003</v>
      </c>
      <c r="J948">
        <v>-237.36840000000001</v>
      </c>
      <c r="K948">
        <v>1.1105</v>
      </c>
      <c r="L948">
        <v>368.2405</v>
      </c>
      <c r="M948">
        <v>0.99989090000000003</v>
      </c>
      <c r="N948">
        <v>0</v>
      </c>
      <c r="O948">
        <v>-3.886254E-3</v>
      </c>
      <c r="P948">
        <v>0.99910969999999999</v>
      </c>
      <c r="Q948">
        <v>2.3686949999999998E-2</v>
      </c>
      <c r="R948">
        <v>-3.4907859999999999E-2</v>
      </c>
      <c r="S948">
        <v>3.0034179999999999</v>
      </c>
      <c r="T948">
        <v>-0.13314579999999901</v>
      </c>
      <c r="U948">
        <v>-6.9122310000000006E-2</v>
      </c>
      <c r="V948">
        <v>3.1031969999999999E-2</v>
      </c>
      <c r="W948">
        <v>3.7920269999999999E-2</v>
      </c>
      <c r="X948">
        <v>0.99879879999999999</v>
      </c>
      <c r="Y948">
        <v>1.9107720000000002E-2</v>
      </c>
      <c r="Z948">
        <v>-2.5108139999999998E-4</v>
      </c>
      <c r="AA948">
        <v>0.99981739999999997</v>
      </c>
      <c r="AB948">
        <v>30</v>
      </c>
      <c r="AC948">
        <v>24.745999999999999</v>
      </c>
      <c r="AD948">
        <v>-1.110503493405</v>
      </c>
      <c r="AE948">
        <v>-0.57529999999996995</v>
      </c>
      <c r="AF948">
        <v>0.47815422972467297</v>
      </c>
      <c r="AG948">
        <v>-1.110503493405</v>
      </c>
      <c r="AH948">
        <v>24.698336892206001</v>
      </c>
      <c r="AI948">
        <v>92.573956377038101</v>
      </c>
      <c r="AJ948">
        <v>88.890905185247405</v>
      </c>
      <c r="AK948">
        <v>24.727913270576899</v>
      </c>
      <c r="AL948">
        <v>87.826807506662405</v>
      </c>
      <c r="AM948">
        <v>88.220433244219706</v>
      </c>
      <c r="AN948">
        <v>0.99999998646019606</v>
      </c>
    </row>
    <row r="949" spans="1:40" x14ac:dyDescent="0.25">
      <c r="A949" t="str">
        <f>"20190312154231278"</f>
        <v>20190312154231278</v>
      </c>
      <c r="B949" t="str">
        <f>"1552376551268290"</f>
        <v>1552376551268290</v>
      </c>
      <c r="C949" t="s">
        <v>40</v>
      </c>
      <c r="D949">
        <v>4.7919429999999998</v>
      </c>
      <c r="E949">
        <v>0.49732340000000003</v>
      </c>
      <c r="F949" t="s">
        <v>43</v>
      </c>
      <c r="G949">
        <v>-212.77260000000001</v>
      </c>
      <c r="H949" s="1">
        <v>-3.4330960000000001E-6</v>
      </c>
      <c r="I949">
        <v>367.64190000000002</v>
      </c>
      <c r="J949">
        <v>-237.08779999999999</v>
      </c>
      <c r="K949">
        <v>1.1105119999999999</v>
      </c>
      <c r="L949">
        <v>368.23930000000001</v>
      </c>
      <c r="M949">
        <v>0.99989059999999996</v>
      </c>
      <c r="N949">
        <v>0</v>
      </c>
      <c r="O949">
        <v>-3.9582330000000002E-3</v>
      </c>
      <c r="P949">
        <v>0.99911019999999995</v>
      </c>
      <c r="Q949">
        <v>2.373863E-2</v>
      </c>
      <c r="R949">
        <v>-3.4861290000000003E-2</v>
      </c>
      <c r="S949">
        <v>3.0033259999999999</v>
      </c>
      <c r="T949">
        <v>-0.13560039999999901</v>
      </c>
      <c r="U949">
        <v>-7.3089600000000005E-2</v>
      </c>
      <c r="V949">
        <v>3.0913369999999999E-2</v>
      </c>
      <c r="W949">
        <v>3.7968870000000002E-2</v>
      </c>
      <c r="X949">
        <v>0.99880060000000004</v>
      </c>
      <c r="Y949">
        <v>2.0354669999999998E-2</v>
      </c>
      <c r="Z949">
        <v>-2.8059279999999997E-4</v>
      </c>
      <c r="AA949">
        <v>0.99979280000000004</v>
      </c>
      <c r="AB949">
        <v>30</v>
      </c>
      <c r="AC949">
        <v>24.315199999999901</v>
      </c>
      <c r="AD949">
        <v>-1.1105154330959901</v>
      </c>
      <c r="AE949">
        <v>-0.59739999999999305</v>
      </c>
      <c r="AF949">
        <v>0.50009779117275099</v>
      </c>
      <c r="AG949">
        <v>-1.1105154330959901</v>
      </c>
      <c r="AH949">
        <v>24.266786812067402</v>
      </c>
      <c r="AI949">
        <v>92.619630177397994</v>
      </c>
      <c r="AJ949">
        <v>88.819397161017903</v>
      </c>
      <c r="AK949">
        <v>24.297330810403999</v>
      </c>
      <c r="AL949">
        <v>87.824020856583502</v>
      </c>
      <c r="AM949">
        <v>88.227233352730494</v>
      </c>
      <c r="AN949">
        <v>0.99999995504709505</v>
      </c>
    </row>
    <row r="950" spans="1:40" x14ac:dyDescent="0.25">
      <c r="A950" t="str">
        <f>"20190312154231299"</f>
        <v>20190312154231299</v>
      </c>
      <c r="B950" t="str">
        <f>"1552376551287811"</f>
        <v>1552376551287811</v>
      </c>
      <c r="C950" t="s">
        <v>40</v>
      </c>
      <c r="D950">
        <v>4.8161500000000004</v>
      </c>
      <c r="E950">
        <v>0.4977106</v>
      </c>
      <c r="F950" t="s">
        <v>43</v>
      </c>
      <c r="G950">
        <v>-212.9967</v>
      </c>
      <c r="H950" s="1">
        <v>-3.340231E-6</v>
      </c>
      <c r="I950">
        <v>367.6234</v>
      </c>
      <c r="J950">
        <v>-236.7979</v>
      </c>
      <c r="K950">
        <v>1.1105119999999999</v>
      </c>
      <c r="L950">
        <v>368.23809999999997</v>
      </c>
      <c r="M950">
        <v>0.99989039999999996</v>
      </c>
      <c r="N950">
        <v>0</v>
      </c>
      <c r="O950">
        <v>-4.0324769999999996E-3</v>
      </c>
      <c r="P950">
        <v>0.99910500000000002</v>
      </c>
      <c r="Q950">
        <v>2.4081559999999998E-2</v>
      </c>
      <c r="R950">
        <v>-3.4778770000000001E-2</v>
      </c>
      <c r="S950">
        <v>3.0032649999999999</v>
      </c>
      <c r="T950">
        <v>-0.13843989999999901</v>
      </c>
      <c r="U950">
        <v>-7.6782230000000007E-2</v>
      </c>
      <c r="V950">
        <v>3.075667E-2</v>
      </c>
      <c r="W950">
        <v>3.830861E-2</v>
      </c>
      <c r="X950">
        <v>0.99879249999999997</v>
      </c>
      <c r="Y950">
        <v>2.1507579999999998E-2</v>
      </c>
      <c r="Z950">
        <v>-3.0959759999999998E-4</v>
      </c>
      <c r="AA950">
        <v>0.99976860000000001</v>
      </c>
      <c r="AB950">
        <v>30</v>
      </c>
      <c r="AC950">
        <v>23.801199999999898</v>
      </c>
      <c r="AD950">
        <v>-1.110515340231</v>
      </c>
      <c r="AE950">
        <v>-0.61469999999997005</v>
      </c>
      <c r="AF950">
        <v>0.517581464279668</v>
      </c>
      <c r="AG950">
        <v>-1.110515340231</v>
      </c>
      <c r="AH950">
        <v>23.751813064528399</v>
      </c>
      <c r="AI950">
        <v>92.676278638936907</v>
      </c>
      <c r="AJ950">
        <v>88.751651475866595</v>
      </c>
      <c r="AK950">
        <v>23.783392498660799</v>
      </c>
      <c r="AL950">
        <v>87.804541092213498</v>
      </c>
      <c r="AM950">
        <v>88.236199528762398</v>
      </c>
      <c r="AN950">
        <v>0.99999999020293495</v>
      </c>
    </row>
    <row r="951" spans="1:40" x14ac:dyDescent="0.25">
      <c r="A951" t="str">
        <f>"20190312154231320"</f>
        <v>20190312154231320</v>
      </c>
      <c r="B951" t="str">
        <f>"1552376551308307"</f>
        <v>1552376551308307</v>
      </c>
      <c r="C951" t="s">
        <v>40</v>
      </c>
      <c r="D951">
        <v>4.8123769999999997</v>
      </c>
      <c r="E951">
        <v>0.49807889999999999</v>
      </c>
      <c r="F951" t="s">
        <v>43</v>
      </c>
      <c r="G951">
        <v>-212.99209999999999</v>
      </c>
      <c r="H951" s="1">
        <v>-3.3451669999999999E-6</v>
      </c>
      <c r="I951">
        <v>367.60680000000002</v>
      </c>
      <c r="J951">
        <v>-236.5127</v>
      </c>
      <c r="K951">
        <v>1.110514</v>
      </c>
      <c r="L951">
        <v>368.23689999999999</v>
      </c>
      <c r="M951">
        <v>0.9998901</v>
      </c>
      <c r="N951">
        <v>0</v>
      </c>
      <c r="O951">
        <v>-4.1056449999999998E-3</v>
      </c>
      <c r="P951">
        <v>0.99912889999999999</v>
      </c>
      <c r="Q951">
        <v>2.3454139999999998E-2</v>
      </c>
      <c r="R951">
        <v>-3.4515490000000003E-2</v>
      </c>
      <c r="S951">
        <v>3.0032809999999999</v>
      </c>
      <c r="T951">
        <v>-0.14009929999999901</v>
      </c>
      <c r="U951">
        <v>-7.9650879999999993E-2</v>
      </c>
      <c r="V951">
        <v>3.042015E-2</v>
      </c>
      <c r="W951">
        <v>3.7679160000000003E-2</v>
      </c>
      <c r="X951">
        <v>0.99882669999999996</v>
      </c>
      <c r="Y951">
        <v>2.2387259999999999E-2</v>
      </c>
      <c r="Z951">
        <v>-3.303917E-4</v>
      </c>
      <c r="AA951">
        <v>0.99974929999999995</v>
      </c>
      <c r="AB951">
        <v>30</v>
      </c>
      <c r="AC951">
        <v>23.520600000000002</v>
      </c>
      <c r="AD951">
        <v>-1.1105173451670001</v>
      </c>
      <c r="AE951">
        <v>-0.63009999999997002</v>
      </c>
      <c r="AF951">
        <v>0.53233181841513499</v>
      </c>
      <c r="AG951">
        <v>-1.1105173451670001</v>
      </c>
      <c r="AH951">
        <v>23.4707049936363</v>
      </c>
      <c r="AI951">
        <v>92.708236346761694</v>
      </c>
      <c r="AJ951">
        <v>88.700714862145205</v>
      </c>
      <c r="AK951">
        <v>23.502991699720202</v>
      </c>
      <c r="AL951">
        <v>87.840631873123698</v>
      </c>
      <c r="AM951">
        <v>88.255545621034997</v>
      </c>
      <c r="AN951">
        <v>0.99999994062860698</v>
      </c>
    </row>
    <row r="952" spans="1:40" x14ac:dyDescent="0.25">
      <c r="A952" t="str">
        <f>"20190312154231344"</f>
        <v>20190312154231344</v>
      </c>
      <c r="B952" t="str">
        <f>"1552376551338562"</f>
        <v>1552376551338562</v>
      </c>
      <c r="C952" t="s">
        <v>40</v>
      </c>
      <c r="D952">
        <v>4.8035569999999996</v>
      </c>
      <c r="E952">
        <v>0.49852220000000003</v>
      </c>
      <c r="F952" t="s">
        <v>43</v>
      </c>
      <c r="G952">
        <v>-213.4462</v>
      </c>
      <c r="H952" s="1">
        <v>-3.1499679999999999E-6</v>
      </c>
      <c r="I952">
        <v>367.60890000000001</v>
      </c>
      <c r="J952">
        <v>-236.20320000000001</v>
      </c>
      <c r="K952">
        <v>1.1105149999999999</v>
      </c>
      <c r="L952">
        <v>368.23559999999998</v>
      </c>
      <c r="M952">
        <v>0.99988999999999995</v>
      </c>
      <c r="N952">
        <v>0</v>
      </c>
      <c r="O952">
        <v>-4.185958E-3</v>
      </c>
      <c r="P952">
        <v>0.99914510000000001</v>
      </c>
      <c r="Q952">
        <v>2.28796E-2</v>
      </c>
      <c r="R952">
        <v>-3.4440169999999999E-2</v>
      </c>
      <c r="S952">
        <v>3.0032040000000002</v>
      </c>
      <c r="T952">
        <v>-0.14458679999999999</v>
      </c>
      <c r="U952">
        <v>-8.1756590000000004E-2</v>
      </c>
      <c r="V952">
        <v>3.026423E-2</v>
      </c>
      <c r="W952">
        <v>3.7101639999999998E-2</v>
      </c>
      <c r="X952">
        <v>0.99885310000000005</v>
      </c>
      <c r="Y952">
        <v>2.3006189999999999E-2</v>
      </c>
      <c r="Z952">
        <v>-3.5199139999999999E-4</v>
      </c>
      <c r="AA952">
        <v>0.99973520000000005</v>
      </c>
      <c r="AB952">
        <v>30</v>
      </c>
      <c r="AC952">
        <v>22.757000000000001</v>
      </c>
      <c r="AD952">
        <v>-1.1105181499679999</v>
      </c>
      <c r="AE952">
        <v>-0.62669999999997095</v>
      </c>
      <c r="AF952">
        <v>0.53016347472255698</v>
      </c>
      <c r="AG952">
        <v>-1.1105181499679999</v>
      </c>
      <c r="AH952">
        <v>22.7053959070636</v>
      </c>
      <c r="AI952">
        <v>92.799336457156897</v>
      </c>
      <c r="AJ952">
        <v>88.662405577221804</v>
      </c>
      <c r="AK952">
        <v>22.738718679112999</v>
      </c>
      <c r="AL952">
        <v>87.873744583767007</v>
      </c>
      <c r="AM952">
        <v>88.264527269187099</v>
      </c>
      <c r="AN952">
        <v>0.999999985343896</v>
      </c>
    </row>
    <row r="953" spans="1:40" x14ac:dyDescent="0.25">
      <c r="A953" t="str">
        <f>"20190312154231357"</f>
        <v>20190312154231357</v>
      </c>
      <c r="B953" t="str">
        <f>"1552376551348323"</f>
        <v>1552376551348323</v>
      </c>
      <c r="C953" t="s">
        <v>40</v>
      </c>
      <c r="D953">
        <v>4.823976</v>
      </c>
      <c r="E953">
        <v>0.49866250000000001</v>
      </c>
      <c r="F953" t="s">
        <v>43</v>
      </c>
      <c r="G953">
        <v>-213.90119999999999</v>
      </c>
      <c r="H953" s="1">
        <v>-2.9556979999999999E-6</v>
      </c>
      <c r="I953">
        <v>367.60390000000001</v>
      </c>
      <c r="J953">
        <v>-236.03129999999999</v>
      </c>
      <c r="K953">
        <v>1.1105149999999999</v>
      </c>
      <c r="L953">
        <v>368.23480000000001</v>
      </c>
      <c r="M953">
        <v>0.99988980000000005</v>
      </c>
      <c r="N953">
        <v>0</v>
      </c>
      <c r="O953">
        <v>-4.2304049999999996E-3</v>
      </c>
      <c r="P953">
        <v>0.99915639999999994</v>
      </c>
      <c r="Q953">
        <v>2.269355E-2</v>
      </c>
      <c r="R953">
        <v>-3.4229009999999997E-2</v>
      </c>
      <c r="S953">
        <v>3.0030519999999998</v>
      </c>
      <c r="T953">
        <v>-0.1495351</v>
      </c>
      <c r="U953">
        <v>-8.5052489999999994E-2</v>
      </c>
      <c r="V953">
        <v>3.0008670000000001E-2</v>
      </c>
      <c r="W953">
        <v>3.6914370000000002E-2</v>
      </c>
      <c r="X953">
        <v>0.99886779999999997</v>
      </c>
      <c r="Y953">
        <v>2.4056729999999998E-2</v>
      </c>
      <c r="Z953">
        <v>-3.8795890000000002E-4</v>
      </c>
      <c r="AA953">
        <v>0.99971049999999995</v>
      </c>
      <c r="AB953">
        <v>30</v>
      </c>
      <c r="AC953">
        <v>22.130099999999999</v>
      </c>
      <c r="AD953">
        <v>-1.1105179556979901</v>
      </c>
      <c r="AE953">
        <v>-0.63089999999999602</v>
      </c>
      <c r="AF953">
        <v>0.53591715513136595</v>
      </c>
      <c r="AG953">
        <v>-1.1105179556979901</v>
      </c>
      <c r="AH953">
        <v>22.077022698992501</v>
      </c>
      <c r="AI953">
        <v>92.878817353131296</v>
      </c>
      <c r="AJ953">
        <v>88.609424722968598</v>
      </c>
      <c r="AK953">
        <v>22.111431174370502</v>
      </c>
      <c r="AL953">
        <v>87.884481827966596</v>
      </c>
      <c r="AM953">
        <v>88.279198568761899</v>
      </c>
      <c r="AN953">
        <v>1.0000000364322501</v>
      </c>
    </row>
    <row r="954" spans="1:40" x14ac:dyDescent="0.25">
      <c r="A954" t="str">
        <f>"20190312154231369"</f>
        <v>20190312154231369</v>
      </c>
      <c r="B954" t="str">
        <f>"1552376551358083"</f>
        <v>1552376551358083</v>
      </c>
      <c r="C954" t="s">
        <v>40</v>
      </c>
      <c r="D954">
        <v>4.8442850000000002</v>
      </c>
      <c r="E954">
        <v>0.49880570000000002</v>
      </c>
      <c r="F954" t="s">
        <v>43</v>
      </c>
      <c r="G954">
        <v>-213.9742</v>
      </c>
      <c r="H954" s="1">
        <v>-2.9241399999999999E-6</v>
      </c>
      <c r="I954">
        <v>367.60509999999999</v>
      </c>
      <c r="J954">
        <v>-235.86959999999999</v>
      </c>
      <c r="K954">
        <v>1.1105119999999999</v>
      </c>
      <c r="L954">
        <v>368.23399999999998</v>
      </c>
      <c r="M954">
        <v>0.99988960000000005</v>
      </c>
      <c r="N954">
        <v>0</v>
      </c>
      <c r="O954">
        <v>-4.2721119999999998E-3</v>
      </c>
      <c r="P954">
        <v>0.9991565</v>
      </c>
      <c r="Q954">
        <v>2.2648160000000001E-2</v>
      </c>
      <c r="R954">
        <v>-3.4254989999999999E-2</v>
      </c>
      <c r="S954">
        <v>3.0030519999999998</v>
      </c>
      <c r="T954">
        <v>-0.15119579999999999</v>
      </c>
      <c r="U954">
        <v>-8.5723880000000002E-2</v>
      </c>
      <c r="V954">
        <v>2.9993010000000001E-2</v>
      </c>
      <c r="W954">
        <v>3.6866719999999999E-2</v>
      </c>
      <c r="X954">
        <v>0.99887000000000004</v>
      </c>
      <c r="Y954">
        <v>2.423763E-2</v>
      </c>
      <c r="Z954">
        <v>-3.9471260000000001E-4</v>
      </c>
      <c r="AA954">
        <v>0.99970610000000004</v>
      </c>
      <c r="AB954">
        <v>30</v>
      </c>
      <c r="AC954">
        <v>21.895399999999899</v>
      </c>
      <c r="AD954">
        <v>-1.1105149241399901</v>
      </c>
      <c r="AE954">
        <v>-0.62890000000004398</v>
      </c>
      <c r="AF954">
        <v>0.53397271123736501</v>
      </c>
      <c r="AG954">
        <v>-1.1105149241399901</v>
      </c>
      <c r="AH954">
        <v>21.841747175417801</v>
      </c>
      <c r="AI954">
        <v>92.909754340832393</v>
      </c>
      <c r="AJ954">
        <v>88.599549315978095</v>
      </c>
      <c r="AK954">
        <v>21.876478005564699</v>
      </c>
      <c r="AL954">
        <v>87.887213767702605</v>
      </c>
      <c r="AM954">
        <v>88.280099813892406</v>
      </c>
      <c r="AN954">
        <v>1.0000000062962</v>
      </c>
    </row>
    <row r="955" spans="1:40" x14ac:dyDescent="0.25">
      <c r="A955" t="str">
        <f>"20190312154231381"</f>
        <v>20190312154231381</v>
      </c>
      <c r="B955" t="str">
        <f>"1552376551378579"</f>
        <v>1552376551378579</v>
      </c>
      <c r="C955" t="s">
        <v>40</v>
      </c>
      <c r="D955">
        <v>4.8344060000000004</v>
      </c>
      <c r="E955">
        <v>0.49905620000000001</v>
      </c>
      <c r="F955" t="s">
        <v>43</v>
      </c>
      <c r="G955">
        <v>-213.95849999999999</v>
      </c>
      <c r="H955" s="1">
        <v>-2.9318850000000001E-6</v>
      </c>
      <c r="I955">
        <v>367.5994</v>
      </c>
      <c r="J955">
        <v>-235.7039</v>
      </c>
      <c r="K955">
        <v>1.1105100000000001</v>
      </c>
      <c r="L955">
        <v>368.23329999999999</v>
      </c>
      <c r="M955">
        <v>0.99988940000000004</v>
      </c>
      <c r="N955">
        <v>0</v>
      </c>
      <c r="O955">
        <v>-4.3153660000000002E-3</v>
      </c>
      <c r="P955">
        <v>0.99917610000000001</v>
      </c>
      <c r="Q955">
        <v>2.236811E-2</v>
      </c>
      <c r="R955">
        <v>-3.3866300000000002E-2</v>
      </c>
      <c r="S955">
        <v>3.0030060000000001</v>
      </c>
      <c r="T955">
        <v>-0.15220029999999901</v>
      </c>
      <c r="U955">
        <v>-8.69751E-2</v>
      </c>
      <c r="V955">
        <v>2.9560929999999999E-2</v>
      </c>
      <c r="W955">
        <v>3.6586050000000002E-2</v>
      </c>
      <c r="X955">
        <v>0.99889320000000004</v>
      </c>
      <c r="Y955">
        <v>2.461025E-2</v>
      </c>
      <c r="Z955">
        <v>-4.0457980000000002E-4</v>
      </c>
      <c r="AA955">
        <v>0.99969699999999995</v>
      </c>
      <c r="AB955">
        <v>30</v>
      </c>
      <c r="AC955">
        <v>21.7454</v>
      </c>
      <c r="AD955">
        <v>-1.110512931885</v>
      </c>
      <c r="AE955">
        <v>-0.63389999999998203</v>
      </c>
      <c r="AF955">
        <v>0.53864163053408198</v>
      </c>
      <c r="AG955">
        <v>-1.110512931885</v>
      </c>
      <c r="AH955">
        <v>21.691409474944599</v>
      </c>
      <c r="AI955">
        <v>92.929853146405904</v>
      </c>
      <c r="AJ955">
        <v>88.577522081710697</v>
      </c>
      <c r="AK955">
        <v>21.7264957779147</v>
      </c>
      <c r="AL955">
        <v>87.903305830512906</v>
      </c>
      <c r="AM955">
        <v>88.304901522361305</v>
      </c>
      <c r="AN955">
        <v>1.0000000063216501</v>
      </c>
    </row>
    <row r="956" spans="1:40" x14ac:dyDescent="0.25">
      <c r="A956" t="str">
        <f>"20190312154231394"</f>
        <v>20190312154231394</v>
      </c>
      <c r="B956" t="str">
        <f>"1552376551388339"</f>
        <v>1552376551388339</v>
      </c>
      <c r="C956" t="s">
        <v>40</v>
      </c>
      <c r="D956">
        <v>4.9009769999999904</v>
      </c>
      <c r="E956">
        <v>0.49911640000000002</v>
      </c>
      <c r="F956" t="s">
        <v>43</v>
      </c>
      <c r="G956">
        <v>-214.1671</v>
      </c>
      <c r="H956" s="1">
        <v>-2.8415319999999999E-6</v>
      </c>
      <c r="I956">
        <v>367.60449999999997</v>
      </c>
      <c r="J956">
        <v>-235.54480000000001</v>
      </c>
      <c r="K956">
        <v>1.1105100000000001</v>
      </c>
      <c r="L956">
        <v>368.23259999999999</v>
      </c>
      <c r="M956">
        <v>0.99988940000000004</v>
      </c>
      <c r="N956">
        <v>0</v>
      </c>
      <c r="O956">
        <v>-4.3567149999999997E-3</v>
      </c>
      <c r="P956">
        <v>0.99917940000000005</v>
      </c>
      <c r="Q956">
        <v>2.22142E-2</v>
      </c>
      <c r="R956">
        <v>-3.3873649999999998E-2</v>
      </c>
      <c r="S956">
        <v>3.0029750000000002</v>
      </c>
      <c r="T956">
        <v>-0.15484339999999999</v>
      </c>
      <c r="U956">
        <v>-8.7677000000000005E-2</v>
      </c>
      <c r="V956">
        <v>2.952687E-2</v>
      </c>
      <c r="W956">
        <v>3.6430240000000003E-2</v>
      </c>
      <c r="X956">
        <v>0.99889989999999995</v>
      </c>
      <c r="Y956">
        <v>2.480156E-2</v>
      </c>
      <c r="Z956">
        <v>-4.143967E-4</v>
      </c>
      <c r="AA956">
        <v>0.99969229999999998</v>
      </c>
      <c r="AB956">
        <v>30</v>
      </c>
      <c r="AC956">
        <v>21.377700000000001</v>
      </c>
      <c r="AD956">
        <v>-1.110512841532</v>
      </c>
      <c r="AE956">
        <v>-0.62810000000001698</v>
      </c>
      <c r="AF956">
        <v>0.53350963043182298</v>
      </c>
      <c r="AG956">
        <v>-1.110512841532</v>
      </c>
      <c r="AH956">
        <v>21.322743637489101</v>
      </c>
      <c r="AI956">
        <v>92.980404921828296</v>
      </c>
      <c r="AJ956">
        <v>88.566719451134603</v>
      </c>
      <c r="AK956">
        <v>21.358306757022</v>
      </c>
      <c r="AL956">
        <v>87.912239036985895</v>
      </c>
      <c r="AM956">
        <v>88.306864821362396</v>
      </c>
      <c r="AN956">
        <v>1.0000000043292301</v>
      </c>
    </row>
    <row r="957" spans="1:40" x14ac:dyDescent="0.25">
      <c r="A957" t="str">
        <f>"20190312154231406"</f>
        <v>20190312154231406</v>
      </c>
      <c r="B957" t="str">
        <f>"1552376551398099"</f>
        <v>1552376551398099</v>
      </c>
      <c r="C957" t="s">
        <v>40</v>
      </c>
      <c r="D957">
        <v>4.8318139999999996</v>
      </c>
      <c r="E957">
        <v>0.49923289999999998</v>
      </c>
      <c r="F957" t="s">
        <v>43</v>
      </c>
      <c r="G957">
        <v>-214.34309999999999</v>
      </c>
      <c r="H957" s="1">
        <v>-2.764824E-6</v>
      </c>
      <c r="I957">
        <v>367.6112</v>
      </c>
      <c r="J957">
        <v>-235.37350000000001</v>
      </c>
      <c r="K957">
        <v>1.1105080000000001</v>
      </c>
      <c r="L957">
        <v>368.23180000000002</v>
      </c>
      <c r="M957">
        <v>0.99988920000000003</v>
      </c>
      <c r="N957">
        <v>0</v>
      </c>
      <c r="O957">
        <v>-4.4008069999999996E-3</v>
      </c>
      <c r="P957">
        <v>0.99919369999999996</v>
      </c>
      <c r="Q957">
        <v>2.2046079999999999E-2</v>
      </c>
      <c r="R957">
        <v>-3.3563999999999997E-2</v>
      </c>
      <c r="S957">
        <v>3.002945</v>
      </c>
      <c r="T957">
        <v>-0.15728929999999999</v>
      </c>
      <c r="U957">
        <v>-8.8012699999999999E-2</v>
      </c>
      <c r="V957">
        <v>2.9172790000000001E-2</v>
      </c>
      <c r="W957">
        <v>3.6260580000000001E-2</v>
      </c>
      <c r="X957">
        <v>0.99891640000000004</v>
      </c>
      <c r="Y957">
        <v>2.486853E-2</v>
      </c>
      <c r="Z957">
        <v>-4.203818E-4</v>
      </c>
      <c r="AA957">
        <v>0.99969070000000004</v>
      </c>
      <c r="AB957">
        <v>30</v>
      </c>
      <c r="AC957">
        <v>21.0304</v>
      </c>
      <c r="AD957">
        <v>-1.110510764824</v>
      </c>
      <c r="AE957">
        <v>-0.62060000000002402</v>
      </c>
      <c r="AF957">
        <v>0.52656691219503304</v>
      </c>
      <c r="AG957">
        <v>-1.110510764824</v>
      </c>
      <c r="AH957">
        <v>20.974493951009201</v>
      </c>
      <c r="AI957">
        <v>93.029786531375706</v>
      </c>
      <c r="AJ957">
        <v>88.561885413095297</v>
      </c>
      <c r="AK957">
        <v>21.0104712791677</v>
      </c>
      <c r="AL957">
        <v>87.921966106635494</v>
      </c>
      <c r="AM957">
        <v>88.327184551136</v>
      </c>
      <c r="AN957">
        <v>0.999999927763637</v>
      </c>
    </row>
    <row r="958" spans="1:40" x14ac:dyDescent="0.25">
      <c r="A958" t="str">
        <f>"20190312154231418"</f>
        <v>20190312154231418</v>
      </c>
      <c r="B958" t="str">
        <f>"1552376551407859"</f>
        <v>1552376551407859</v>
      </c>
      <c r="C958" t="s">
        <v>40</v>
      </c>
      <c r="D958">
        <v>4.8423920000000003</v>
      </c>
      <c r="E958">
        <v>0.49933290000000002</v>
      </c>
      <c r="F958" t="s">
        <v>43</v>
      </c>
      <c r="G958">
        <v>-214.32810000000001</v>
      </c>
      <c r="H958" s="1">
        <v>-2.7710619999999998E-6</v>
      </c>
      <c r="I958">
        <v>367.61219999999997</v>
      </c>
      <c r="J958">
        <v>-235.21539999999999</v>
      </c>
      <c r="K958">
        <v>1.1105119999999999</v>
      </c>
      <c r="L958">
        <v>368.23099999999999</v>
      </c>
      <c r="M958">
        <v>0.99988900000000003</v>
      </c>
      <c r="N958">
        <v>0</v>
      </c>
      <c r="O958">
        <v>-4.4412080000000003E-3</v>
      </c>
      <c r="P958">
        <v>0.99919829999999998</v>
      </c>
      <c r="Q958">
        <v>2.214203E-2</v>
      </c>
      <c r="R958">
        <v>-3.335548E-2</v>
      </c>
      <c r="S958">
        <v>3.0029750000000002</v>
      </c>
      <c r="T958">
        <v>-0.15845860000000001</v>
      </c>
      <c r="U958">
        <v>-8.8409420000000002E-2</v>
      </c>
      <c r="V958">
        <v>2.892407E-2</v>
      </c>
      <c r="W958">
        <v>3.6354940000000002E-2</v>
      </c>
      <c r="X958">
        <v>0.99892029999999998</v>
      </c>
      <c r="Y958">
        <v>2.495932E-2</v>
      </c>
      <c r="Z958">
        <v>-4.237609E-4</v>
      </c>
      <c r="AA958">
        <v>0.99968840000000003</v>
      </c>
      <c r="AB958">
        <v>30</v>
      </c>
      <c r="AC958">
        <v>20.8872999999999</v>
      </c>
      <c r="AD958">
        <v>-1.110514771062</v>
      </c>
      <c r="AE958">
        <v>-0.618800000000021</v>
      </c>
      <c r="AF958">
        <v>0.52453824239523905</v>
      </c>
      <c r="AG958">
        <v>-1.110514771062</v>
      </c>
      <c r="AH958">
        <v>20.831010489131501</v>
      </c>
      <c r="AI958">
        <v>93.050621544351898</v>
      </c>
      <c r="AJ958">
        <v>88.557560235064898</v>
      </c>
      <c r="AK958">
        <v>20.867184319471299</v>
      </c>
      <c r="AL958">
        <v>87.9165563113215</v>
      </c>
      <c r="AM958">
        <v>88.341445034011102</v>
      </c>
      <c r="AN958">
        <v>1.0000000246199201</v>
      </c>
    </row>
    <row r="959" spans="1:40" x14ac:dyDescent="0.25">
      <c r="A959" t="str">
        <f>"20190312154231434"</f>
        <v>20190312154231434</v>
      </c>
      <c r="B959" t="str">
        <f>"1552376551428358"</f>
        <v>1552376551428358</v>
      </c>
      <c r="C959" t="s">
        <v>40</v>
      </c>
      <c r="D959">
        <v>4.8628519999999904</v>
      </c>
      <c r="E959">
        <v>0.49954110000000002</v>
      </c>
      <c r="F959" t="s">
        <v>43</v>
      </c>
      <c r="G959">
        <v>-214.261</v>
      </c>
      <c r="H959" s="1">
        <v>-2.7995859999999999E-6</v>
      </c>
      <c r="I959">
        <v>367.61369999999999</v>
      </c>
      <c r="J959">
        <v>-235.01929999999999</v>
      </c>
      <c r="K959">
        <v>1.110509</v>
      </c>
      <c r="L959">
        <v>368.23009999999999</v>
      </c>
      <c r="M959">
        <v>0.99988880000000002</v>
      </c>
      <c r="N959">
        <v>0</v>
      </c>
      <c r="O959">
        <v>-4.491498E-3</v>
      </c>
      <c r="P959">
        <v>0.99920509999999996</v>
      </c>
      <c r="Q959">
        <v>2.1983450000000002E-2</v>
      </c>
      <c r="R959">
        <v>-3.3258099999999999E-2</v>
      </c>
      <c r="S959">
        <v>3.0029910000000002</v>
      </c>
      <c r="T959">
        <v>-0.15914809999999999</v>
      </c>
      <c r="U959">
        <v>-8.8470460000000001E-2</v>
      </c>
      <c r="V959">
        <v>2.8776280000000001E-2</v>
      </c>
      <c r="W959">
        <v>3.6194829999999997E-2</v>
      </c>
      <c r="X959">
        <v>0.99893030000000005</v>
      </c>
      <c r="Y959">
        <v>2.4929059999999999E-2</v>
      </c>
      <c r="Z959">
        <v>-4.2213580000000002E-4</v>
      </c>
      <c r="AA959">
        <v>0.99968919999999994</v>
      </c>
      <c r="AB959">
        <v>30</v>
      </c>
      <c r="AC959">
        <v>20.758299999999899</v>
      </c>
      <c r="AD959">
        <v>-1.1105117995860001</v>
      </c>
      <c r="AE959">
        <v>-0.61639999999999795</v>
      </c>
      <c r="AF959">
        <v>0.52165684692846803</v>
      </c>
      <c r="AG959">
        <v>-1.1105117995860001</v>
      </c>
      <c r="AH959">
        <v>20.7016643764096</v>
      </c>
      <c r="AI959">
        <v>93.069636202213303</v>
      </c>
      <c r="AJ959">
        <v>88.556521286887502</v>
      </c>
      <c r="AK959">
        <v>20.737990989400998</v>
      </c>
      <c r="AL959">
        <v>87.925735808791003</v>
      </c>
      <c r="AM959">
        <v>88.349931374179405</v>
      </c>
      <c r="AN959">
        <v>0.99999994213372601</v>
      </c>
    </row>
    <row r="960" spans="1:40" x14ac:dyDescent="0.25">
      <c r="A960" t="str">
        <f>"20190312154231446"</f>
        <v>20190312154231446</v>
      </c>
      <c r="B960" t="str">
        <f>"1552376551438115"</f>
        <v>1552376551438115</v>
      </c>
      <c r="C960" t="s">
        <v>40</v>
      </c>
      <c r="D960">
        <v>4.838552</v>
      </c>
      <c r="E960">
        <v>0.49962309999999999</v>
      </c>
      <c r="F960" t="s">
        <v>43</v>
      </c>
      <c r="G960">
        <v>-214.3322</v>
      </c>
      <c r="H960" s="1">
        <v>-2.7693089999999999E-6</v>
      </c>
      <c r="I960">
        <v>367.61219999999997</v>
      </c>
      <c r="J960">
        <v>-234.84209999999999</v>
      </c>
      <c r="K960">
        <v>1.1105119999999999</v>
      </c>
      <c r="L960">
        <v>368.22930000000002</v>
      </c>
      <c r="M960">
        <v>0.99988849999999996</v>
      </c>
      <c r="N960">
        <v>0</v>
      </c>
      <c r="O960">
        <v>-4.5370200000000001E-3</v>
      </c>
      <c r="P960">
        <v>0.99920509999999996</v>
      </c>
      <c r="Q960">
        <v>2.1819740000000001E-2</v>
      </c>
      <c r="R960">
        <v>-3.3363700000000003E-2</v>
      </c>
      <c r="S960">
        <v>3.0029599999999999</v>
      </c>
      <c r="T960">
        <v>-0.16120279999999901</v>
      </c>
      <c r="U960">
        <v>-8.9691160000000006E-2</v>
      </c>
      <c r="V960">
        <v>2.8836460000000001E-2</v>
      </c>
      <c r="W960">
        <v>3.6028999999999999E-2</v>
      </c>
      <c r="X960">
        <v>0.99893460000000001</v>
      </c>
      <c r="Y960">
        <v>2.5288660000000001E-2</v>
      </c>
      <c r="Z960">
        <v>-4.347811E-4</v>
      </c>
      <c r="AA960">
        <v>0.99968009999999996</v>
      </c>
      <c r="AB960">
        <v>30</v>
      </c>
      <c r="AC960">
        <v>20.509899999999899</v>
      </c>
      <c r="AD960">
        <v>-1.1105147693089901</v>
      </c>
      <c r="AE960">
        <v>-0.61710000000005005</v>
      </c>
      <c r="AF960">
        <v>0.52249996724165504</v>
      </c>
      <c r="AG960">
        <v>-1.1105147693089901</v>
      </c>
      <c r="AH960">
        <v>20.4525820538191</v>
      </c>
      <c r="AI960">
        <v>93.106927968989694</v>
      </c>
      <c r="AJ960">
        <v>88.536589040604198</v>
      </c>
      <c r="AK960">
        <v>20.4893719263628</v>
      </c>
      <c r="AL960">
        <v>87.935243453493399</v>
      </c>
      <c r="AM960">
        <v>88.346489603627802</v>
      </c>
      <c r="AN960">
        <v>0.99999998267174495</v>
      </c>
    </row>
    <row r="961" spans="1:40" x14ac:dyDescent="0.25">
      <c r="A961" t="str">
        <f>"20190312154231459"</f>
        <v>20190312154231459</v>
      </c>
      <c r="B961" t="str">
        <f>"1552376551447874"</f>
        <v>1552376551447874</v>
      </c>
      <c r="C961" t="s">
        <v>40</v>
      </c>
      <c r="D961">
        <v>4.863461</v>
      </c>
      <c r="E961">
        <v>0.49970229999999999</v>
      </c>
      <c r="F961" t="s">
        <v>43</v>
      </c>
      <c r="G961">
        <v>-214.3047</v>
      </c>
      <c r="H961" s="1">
        <v>-2.7818440000000001E-6</v>
      </c>
      <c r="I961">
        <v>367.60809999999998</v>
      </c>
      <c r="J961">
        <v>-234.6841</v>
      </c>
      <c r="K961">
        <v>1.1105119999999999</v>
      </c>
      <c r="L961">
        <v>368.2285</v>
      </c>
      <c r="M961">
        <v>0.99988840000000001</v>
      </c>
      <c r="N961">
        <v>0</v>
      </c>
      <c r="O961">
        <v>-4.5776559999999899E-3</v>
      </c>
      <c r="P961">
        <v>0.99921649999999995</v>
      </c>
      <c r="Q961">
        <v>2.169196E-2</v>
      </c>
      <c r="R961">
        <v>-3.3110559999999997E-2</v>
      </c>
      <c r="S961">
        <v>3.0029140000000001</v>
      </c>
      <c r="T961">
        <v>-0.16237560000000001</v>
      </c>
      <c r="U961">
        <v>-9.0820310000000001E-2</v>
      </c>
      <c r="V961">
        <v>2.854255E-2</v>
      </c>
      <c r="W961">
        <v>3.5899859999999999E-2</v>
      </c>
      <c r="X961">
        <v>0.99894769999999999</v>
      </c>
      <c r="Y961">
        <v>2.5623179999999999E-2</v>
      </c>
      <c r="Z961">
        <v>-4.4478399999999999E-4</v>
      </c>
      <c r="AA961">
        <v>0.99967159999999999</v>
      </c>
      <c r="AB961">
        <v>30</v>
      </c>
      <c r="AC961">
        <v>20.3794</v>
      </c>
      <c r="AD961">
        <v>-1.110514781844</v>
      </c>
      <c r="AE961">
        <v>-0.62040000000001705</v>
      </c>
      <c r="AF961">
        <v>0.52553511215897297</v>
      </c>
      <c r="AG961">
        <v>-1.110514781844</v>
      </c>
      <c r="AH961">
        <v>20.321739583108499</v>
      </c>
      <c r="AI961">
        <v>93.126867378089401</v>
      </c>
      <c r="AJ961">
        <v>88.518619236626606</v>
      </c>
      <c r="AK961">
        <v>20.358844022156202</v>
      </c>
      <c r="AL961">
        <v>87.942647440093396</v>
      </c>
      <c r="AM961">
        <v>88.363354923997406</v>
      </c>
      <c r="AN961">
        <v>0.99999999222190505</v>
      </c>
    </row>
    <row r="962" spans="1:40" x14ac:dyDescent="0.25">
      <c r="A962" t="str">
        <f>"20190312154231479"</f>
        <v>20190312154231479</v>
      </c>
      <c r="B962" t="str">
        <f>"1552376551468371"</f>
        <v>1552376551468371</v>
      </c>
      <c r="C962" t="s">
        <v>40</v>
      </c>
      <c r="D962">
        <v>4.8410359999999999</v>
      </c>
      <c r="E962">
        <v>0.49989790000000001</v>
      </c>
      <c r="F962" t="s">
        <v>43</v>
      </c>
      <c r="G962">
        <v>-214.30789999999999</v>
      </c>
      <c r="H962" s="1">
        <v>-2.7797700000000001E-6</v>
      </c>
      <c r="I962">
        <v>367.61200000000002</v>
      </c>
      <c r="J962">
        <v>-234.42660000000001</v>
      </c>
      <c r="K962">
        <v>1.1105130000000001</v>
      </c>
      <c r="L962">
        <v>368.22730000000001</v>
      </c>
      <c r="M962">
        <v>0.99988809999999995</v>
      </c>
      <c r="N962">
        <v>0</v>
      </c>
      <c r="O962">
        <v>-4.6440300000000004E-3</v>
      </c>
      <c r="P962">
        <v>0.99922940000000005</v>
      </c>
      <c r="Q962">
        <v>2.1242690000000002E-2</v>
      </c>
      <c r="R962">
        <v>-3.3006069999999998E-2</v>
      </c>
      <c r="S962">
        <v>3.0028839999999999</v>
      </c>
      <c r="T962">
        <v>-0.16365850000000001</v>
      </c>
      <c r="U962">
        <v>-9.0850829999999994E-2</v>
      </c>
      <c r="V962">
        <v>2.837168E-2</v>
      </c>
      <c r="W962">
        <v>3.544858E-2</v>
      </c>
      <c r="X962">
        <v>0.99896870000000004</v>
      </c>
      <c r="Y962">
        <v>2.5566970000000001E-2</v>
      </c>
      <c r="Z962">
        <v>-4.431533E-4</v>
      </c>
      <c r="AA962">
        <v>0.99967300000000003</v>
      </c>
      <c r="AB962">
        <v>30</v>
      </c>
      <c r="AC962">
        <v>20.1187</v>
      </c>
      <c r="AD962">
        <v>-1.1105157797699901</v>
      </c>
      <c r="AE962">
        <v>-0.61530000000004703</v>
      </c>
      <c r="AF962">
        <v>0.52026837566597595</v>
      </c>
      <c r="AG962">
        <v>-1.1105157797699901</v>
      </c>
      <c r="AH962">
        <v>20.060277426721399</v>
      </c>
      <c r="AI962">
        <v>93.167536708731006</v>
      </c>
      <c r="AJ962">
        <v>88.5143524881518</v>
      </c>
      <c r="AK962">
        <v>20.097727605798202</v>
      </c>
      <c r="AL962">
        <v>87.968520382435997</v>
      </c>
      <c r="AM962">
        <v>88.373181600869401</v>
      </c>
      <c r="AN962">
        <v>1.00000000881486</v>
      </c>
    </row>
    <row r="963" spans="1:40" x14ac:dyDescent="0.25">
      <c r="A963" t="str">
        <f>"20190312154231501"</f>
        <v>20190312154231501</v>
      </c>
      <c r="B963" t="str">
        <f>"1552376551487890"</f>
        <v>1552376551487890</v>
      </c>
      <c r="C963" t="s">
        <v>40</v>
      </c>
      <c r="D963">
        <v>4.8162609999999999</v>
      </c>
      <c r="E963">
        <v>0.50012619999999997</v>
      </c>
      <c r="F963" t="s">
        <v>43</v>
      </c>
      <c r="G963">
        <v>-214.39269999999999</v>
      </c>
      <c r="H963" s="1">
        <v>-2.7427309999999998E-6</v>
      </c>
      <c r="I963">
        <v>367.61590000000001</v>
      </c>
      <c r="J963">
        <v>-234.13200000000001</v>
      </c>
      <c r="K963">
        <v>1.1105160000000001</v>
      </c>
      <c r="L963">
        <v>368.22590000000002</v>
      </c>
      <c r="M963">
        <v>0.99988770000000005</v>
      </c>
      <c r="N963">
        <v>0</v>
      </c>
      <c r="O963">
        <v>-4.7200559999999898E-3</v>
      </c>
      <c r="P963">
        <v>0.99923410000000001</v>
      </c>
      <c r="Q963">
        <v>2.0998039999999999E-2</v>
      </c>
      <c r="R963">
        <v>-3.3016719999999999E-2</v>
      </c>
      <c r="S963">
        <v>3.0028229999999998</v>
      </c>
      <c r="T963">
        <v>-0.1664506</v>
      </c>
      <c r="U963">
        <v>-9.1644290000000003E-2</v>
      </c>
      <c r="V963">
        <v>2.8306290000000001E-2</v>
      </c>
      <c r="W963">
        <v>3.5200780000000001E-2</v>
      </c>
      <c r="X963">
        <v>0.99897930000000001</v>
      </c>
      <c r="Y963">
        <v>2.5754240000000001E-2</v>
      </c>
      <c r="Z963">
        <v>-4.5168470000000002E-4</v>
      </c>
      <c r="AA963">
        <v>0.99966820000000001</v>
      </c>
      <c r="AB963">
        <v>30</v>
      </c>
      <c r="AC963">
        <v>19.7393</v>
      </c>
      <c r="AD963">
        <v>-1.1105187427309999</v>
      </c>
      <c r="AE963">
        <v>-0.61000000000001298</v>
      </c>
      <c r="AF963">
        <v>0.51518411934158703</v>
      </c>
      <c r="AG963">
        <v>-1.1105187427309999</v>
      </c>
      <c r="AH963">
        <v>19.6797305844023</v>
      </c>
      <c r="AI963">
        <v>93.228647188871093</v>
      </c>
      <c r="AJ963">
        <v>88.500429901888694</v>
      </c>
      <c r="AK963">
        <v>19.717770219511099</v>
      </c>
      <c r="AL963">
        <v>87.982727107959505</v>
      </c>
      <c r="AM963">
        <v>88.376946236871802</v>
      </c>
      <c r="AN963">
        <v>0.99999999139733098</v>
      </c>
    </row>
    <row r="964" spans="1:40" x14ac:dyDescent="0.25">
      <c r="A964" t="str">
        <f>"20190312154231523"</f>
        <v>20190312154231523</v>
      </c>
      <c r="B964" t="str">
        <f>"1552376551518147"</f>
        <v>1552376551518147</v>
      </c>
      <c r="C964" t="s">
        <v>40</v>
      </c>
      <c r="D964">
        <v>4.8486830000000003</v>
      </c>
      <c r="E964">
        <v>0.51468019999999903</v>
      </c>
      <c r="F964" t="s">
        <v>43</v>
      </c>
      <c r="G964">
        <v>-214.24539999999999</v>
      </c>
      <c r="H964" s="1">
        <v>-2.807391E-6</v>
      </c>
      <c r="I964">
        <v>367.60739999999998</v>
      </c>
      <c r="J964">
        <v>-233.8417</v>
      </c>
      <c r="K964">
        <v>1.1105160000000001</v>
      </c>
      <c r="L964">
        <v>368.2244</v>
      </c>
      <c r="M964">
        <v>0.99988750000000004</v>
      </c>
      <c r="N964">
        <v>0</v>
      </c>
      <c r="O964">
        <v>-4.795367E-3</v>
      </c>
      <c r="P964">
        <v>0.99922979999999995</v>
      </c>
      <c r="Q964">
        <v>2.072941E-2</v>
      </c>
      <c r="R964">
        <v>-3.3326889999999998E-2</v>
      </c>
      <c r="S964">
        <v>3.0027309999999998</v>
      </c>
      <c r="T964">
        <v>-0.16767979999999999</v>
      </c>
      <c r="U964">
        <v>-9.3383789999999994E-2</v>
      </c>
      <c r="V964">
        <v>2.8541E-2</v>
      </c>
      <c r="W964">
        <v>3.4928679999999997E-2</v>
      </c>
      <c r="X964">
        <v>0.99898220000000004</v>
      </c>
      <c r="Y964">
        <v>2.6257300000000001E-2</v>
      </c>
      <c r="Z964">
        <v>-4.6485489999999999E-4</v>
      </c>
      <c r="AA964">
        <v>0.99965510000000002</v>
      </c>
      <c r="AB964">
        <v>29</v>
      </c>
      <c r="AC964">
        <v>19.596299999999999</v>
      </c>
      <c r="AD964">
        <v>-1.110518807391</v>
      </c>
      <c r="AE964">
        <v>-0.61700000000001798</v>
      </c>
      <c r="AF964">
        <v>0.52133935505212203</v>
      </c>
      <c r="AG964">
        <v>-1.110518807391</v>
      </c>
      <c r="AH964">
        <v>19.536355423513601</v>
      </c>
      <c r="AI964">
        <v>93.252247908494795</v>
      </c>
      <c r="AJ964">
        <v>88.471390562041094</v>
      </c>
      <c r="AK964">
        <v>19.574836652665699</v>
      </c>
      <c r="AL964">
        <v>87.998326937491797</v>
      </c>
      <c r="AM964">
        <v>88.363500241472195</v>
      </c>
      <c r="AN964">
        <v>1.00000001864219</v>
      </c>
    </row>
    <row r="965" spans="1:40" x14ac:dyDescent="0.25">
      <c r="A965" t="str">
        <f>"20190312154231535"</f>
        <v>20190312154231535</v>
      </c>
      <c r="B965" t="str">
        <f>"1552376551527907"</f>
        <v>1552376551527907</v>
      </c>
      <c r="C965" t="s">
        <v>40</v>
      </c>
      <c r="D965">
        <v>4.8342890000000001</v>
      </c>
      <c r="E965">
        <v>0.51792109999999902</v>
      </c>
      <c r="F965" t="s">
        <v>41</v>
      </c>
      <c r="G965">
        <v>-233.0685</v>
      </c>
      <c r="H965">
        <v>0.9948264</v>
      </c>
      <c r="I965">
        <v>368.17200000000003</v>
      </c>
      <c r="J965">
        <v>-233.67740000000001</v>
      </c>
      <c r="K965">
        <v>1.110517</v>
      </c>
      <c r="L965">
        <v>368.22359999999998</v>
      </c>
      <c r="M965">
        <v>0.99988730000000003</v>
      </c>
      <c r="N965">
        <v>0</v>
      </c>
      <c r="O965">
        <v>-4.8379089999999996E-3</v>
      </c>
      <c r="P965">
        <v>0.99922900000000003</v>
      </c>
      <c r="Q965">
        <v>2.1032510000000001E-2</v>
      </c>
      <c r="R965">
        <v>-3.3154980000000001E-2</v>
      </c>
      <c r="S965">
        <v>3.0048680000000001</v>
      </c>
      <c r="T965">
        <v>-0.44975019999999999</v>
      </c>
      <c r="U965">
        <v>-0.20285030000000001</v>
      </c>
      <c r="V965">
        <v>2.8326540000000001E-2</v>
      </c>
      <c r="W965">
        <v>3.5230320000000002E-2</v>
      </c>
      <c r="X965">
        <v>0.99897769999999997</v>
      </c>
      <c r="Y965">
        <v>6.1893139999999999E-2</v>
      </c>
      <c r="Z965">
        <v>-3.8817550000000002E-3</v>
      </c>
      <c r="AA965">
        <v>0.99807520000000005</v>
      </c>
      <c r="AB965">
        <v>29</v>
      </c>
      <c r="AC965">
        <v>0.60890000000000499</v>
      </c>
      <c r="AD965">
        <v>-0.11569059999999901</v>
      </c>
      <c r="AE965">
        <v>-5.1600000000007598E-2</v>
      </c>
      <c r="AF965">
        <v>4.6969787957359399E-2</v>
      </c>
      <c r="AG965">
        <v>-0.11569059999999901</v>
      </c>
      <c r="AH965">
        <v>0.58806490414624502</v>
      </c>
      <c r="AI965">
        <v>101.095269992813</v>
      </c>
      <c r="AJ965">
        <v>85.433378821587596</v>
      </c>
      <c r="AK965">
        <v>0.601174523244001</v>
      </c>
      <c r="AL965">
        <v>87.981033571087394</v>
      </c>
      <c r="AM965">
        <v>88.375783144269207</v>
      </c>
      <c r="AN965">
        <v>1.00000000670648</v>
      </c>
    </row>
    <row r="966" spans="1:40" x14ac:dyDescent="0.25">
      <c r="A966" t="str">
        <f>"20190312154231546"</f>
        <v>20190312154231546</v>
      </c>
      <c r="B966" t="str">
        <f>"1552376551538643"</f>
        <v>1552376551538643</v>
      </c>
      <c r="C966" t="s">
        <v>40</v>
      </c>
      <c r="D966">
        <v>4.8207820000000003</v>
      </c>
      <c r="E966">
        <v>0.51792109999999902</v>
      </c>
      <c r="F966" t="s">
        <v>41</v>
      </c>
      <c r="G966">
        <v>-232.82300000000001</v>
      </c>
      <c r="H966">
        <v>0.96035170000000003</v>
      </c>
      <c r="I966">
        <v>368.15929999999997</v>
      </c>
      <c r="J966">
        <v>-233.52529999999999</v>
      </c>
      <c r="K966">
        <v>1.1105130000000001</v>
      </c>
      <c r="L966">
        <v>368.22280000000001</v>
      </c>
      <c r="M966">
        <v>0.99988719999999998</v>
      </c>
      <c r="N966">
        <v>0</v>
      </c>
      <c r="O966">
        <v>-4.8773519999999997E-3</v>
      </c>
      <c r="P966">
        <v>0.99922259999999996</v>
      </c>
      <c r="Q966">
        <v>2.0939159999999998E-2</v>
      </c>
      <c r="R966">
        <v>-3.3410460000000003E-2</v>
      </c>
      <c r="S966">
        <v>3.0059360000000002</v>
      </c>
      <c r="T966">
        <v>-0.52830819999999901</v>
      </c>
      <c r="U966">
        <v>-0.22604369999999999</v>
      </c>
      <c r="V966">
        <v>2.854278E-2</v>
      </c>
      <c r="W966">
        <v>3.51355E-2</v>
      </c>
      <c r="X966">
        <v>0.9989749</v>
      </c>
      <c r="Y966">
        <v>6.914294E-2</v>
      </c>
      <c r="Z966">
        <v>-5.1720150000000003E-3</v>
      </c>
      <c r="AA966">
        <v>0.99759330000000002</v>
      </c>
      <c r="AB966">
        <v>29</v>
      </c>
      <c r="AC966">
        <v>0.70230000000000803</v>
      </c>
      <c r="AD966">
        <v>-0.150161299999999</v>
      </c>
      <c r="AE966">
        <v>-6.3500000000033197E-2</v>
      </c>
      <c r="AF966">
        <v>5.7467633214222401E-2</v>
      </c>
      <c r="AG966">
        <v>-0.150161299999999</v>
      </c>
      <c r="AH966">
        <v>0.67212357565604297</v>
      </c>
      <c r="AI966">
        <v>102.549489765069</v>
      </c>
      <c r="AJ966">
        <v>85.113005550706106</v>
      </c>
      <c r="AK966">
        <v>0.69108685838872597</v>
      </c>
      <c r="AL966">
        <v>87.9864697537338</v>
      </c>
      <c r="AM966">
        <v>88.363386281397197</v>
      </c>
      <c r="AN966">
        <v>1.0000000222401899</v>
      </c>
    </row>
    <row r="967" spans="1:40" x14ac:dyDescent="0.25">
      <c r="A967" t="str">
        <f>"20190312154231560"</f>
        <v>20190312154231560</v>
      </c>
      <c r="B967" t="str">
        <f>"1552376551548403"</f>
        <v>1552376551548403</v>
      </c>
      <c r="C967" t="s">
        <v>40</v>
      </c>
      <c r="D967">
        <v>4.8202280000000002</v>
      </c>
      <c r="E967">
        <v>0.53654829999999998</v>
      </c>
      <c r="F967" t="s">
        <v>41</v>
      </c>
      <c r="G967">
        <v>-232.8107</v>
      </c>
      <c r="H967">
        <v>0.98486099999999999</v>
      </c>
      <c r="I967">
        <v>368.16879999999998</v>
      </c>
      <c r="J967">
        <v>-233.36320000000001</v>
      </c>
      <c r="K967">
        <v>1.1105149999999999</v>
      </c>
      <c r="L967">
        <v>368.22190000000001</v>
      </c>
      <c r="M967">
        <v>0.99988699999999997</v>
      </c>
      <c r="N967">
        <v>0</v>
      </c>
      <c r="O967">
        <v>-4.9195339999999997E-3</v>
      </c>
      <c r="P967">
        <v>0.99922650000000002</v>
      </c>
      <c r="Q967">
        <v>2.110364E-2</v>
      </c>
      <c r="R967">
        <v>-3.31901E-2</v>
      </c>
      <c r="S967">
        <v>3.0057830000000001</v>
      </c>
      <c r="T967">
        <v>-0.52856179999999997</v>
      </c>
      <c r="U967">
        <v>-0.2271118</v>
      </c>
      <c r="V967">
        <v>2.8280159999999999E-2</v>
      </c>
      <c r="W967">
        <v>3.5298469999999998E-2</v>
      </c>
      <c r="X967">
        <v>0.99897659999999999</v>
      </c>
      <c r="Y967">
        <v>6.9452079999999999E-2</v>
      </c>
      <c r="Z967">
        <v>-5.194237E-3</v>
      </c>
      <c r="AA967">
        <v>0.99757180000000001</v>
      </c>
      <c r="AB967">
        <v>29</v>
      </c>
      <c r="AC967">
        <v>0.55250000000000898</v>
      </c>
      <c r="AD967">
        <v>-0.12565399999999899</v>
      </c>
      <c r="AE967">
        <v>-5.3100000000028999E-2</v>
      </c>
      <c r="AF967">
        <v>4.7924883991029003E-2</v>
      </c>
      <c r="AG967">
        <v>-0.12565399999999899</v>
      </c>
      <c r="AH967">
        <v>0.52580689502059896</v>
      </c>
      <c r="AI967">
        <v>103.38663797921301</v>
      </c>
      <c r="AJ967">
        <v>84.792142388442102</v>
      </c>
      <c r="AK967">
        <v>0.54273254285398898</v>
      </c>
      <c r="AL967">
        <v>87.977126416740404</v>
      </c>
      <c r="AM967">
        <v>88.378439323750598</v>
      </c>
      <c r="AN967">
        <v>0.99999999839076303</v>
      </c>
    </row>
    <row r="968" spans="1:40" x14ac:dyDescent="0.25">
      <c r="A968" t="str">
        <f>"20190312154231578"</f>
        <v>20190312154231578</v>
      </c>
      <c r="B968" t="str">
        <f>"1552376551567923"</f>
        <v>1552376551567923</v>
      </c>
      <c r="C968" t="s">
        <v>40</v>
      </c>
      <c r="D968">
        <v>4.80504</v>
      </c>
      <c r="E968">
        <v>0.53663830000000001</v>
      </c>
      <c r="F968" t="s">
        <v>41</v>
      </c>
      <c r="G968">
        <v>-232.59880000000001</v>
      </c>
      <c r="H968">
        <v>0.87725540000000002</v>
      </c>
      <c r="I968">
        <v>368.12920000000003</v>
      </c>
      <c r="J968">
        <v>-233.1155</v>
      </c>
      <c r="K968">
        <v>1.1105179999999999</v>
      </c>
      <c r="L968">
        <v>368.22059999999999</v>
      </c>
      <c r="M968">
        <v>0.99988679999999996</v>
      </c>
      <c r="N968">
        <v>0</v>
      </c>
      <c r="O968">
        <v>-4.9838809999999999E-3</v>
      </c>
      <c r="P968">
        <v>0.99922500000000003</v>
      </c>
      <c r="Q968">
        <v>2.1643320000000001E-2</v>
      </c>
      <c r="R968">
        <v>-3.2890759999999998E-2</v>
      </c>
      <c r="S968">
        <v>3.0096129999999999</v>
      </c>
      <c r="T968">
        <v>-0.91844930000000002</v>
      </c>
      <c r="U968">
        <v>-0.36450199999999999</v>
      </c>
      <c r="V968">
        <v>2.7916489999999999E-2</v>
      </c>
      <c r="W968">
        <v>3.5835529999999997E-2</v>
      </c>
      <c r="X968">
        <v>0.99896770000000001</v>
      </c>
      <c r="Y968">
        <v>0.1105469</v>
      </c>
      <c r="Z968">
        <v>-1.4954220000000001E-2</v>
      </c>
      <c r="AA968">
        <v>0.99375840000000004</v>
      </c>
      <c r="AB968">
        <v>29</v>
      </c>
      <c r="AC968">
        <v>0.51669999999998595</v>
      </c>
      <c r="AD968">
        <v>-0.23326259999999999</v>
      </c>
      <c r="AE968">
        <v>-9.1399999999964607E-2</v>
      </c>
      <c r="AF968">
        <v>7.4166588666135305E-2</v>
      </c>
      <c r="AG968">
        <v>-0.23326259999999999</v>
      </c>
      <c r="AH968">
        <v>0.43181384654146499</v>
      </c>
      <c r="AI968">
        <v>118.030689676629</v>
      </c>
      <c r="AJ968">
        <v>80.254201663461799</v>
      </c>
      <c r="AK968">
        <v>0.49636208708771001</v>
      </c>
      <c r="AL968">
        <v>87.946335647545496</v>
      </c>
      <c r="AM968">
        <v>88.399266683620894</v>
      </c>
      <c r="AN968">
        <v>0.99999999063379497</v>
      </c>
    </row>
    <row r="969" spans="1:40" x14ac:dyDescent="0.25">
      <c r="A969" t="str">
        <f>"20190312154231601"</f>
        <v>20190312154231601</v>
      </c>
      <c r="B969" t="str">
        <f>"1552376551588419"</f>
        <v>1552376551588419</v>
      </c>
      <c r="C969" t="s">
        <v>40</v>
      </c>
      <c r="D969">
        <v>4.9507750000000001</v>
      </c>
      <c r="E969">
        <v>0.53775360000000005</v>
      </c>
      <c r="F969" t="s">
        <v>41</v>
      </c>
      <c r="G969">
        <v>-232.3373</v>
      </c>
      <c r="H969">
        <v>0.87588980000000005</v>
      </c>
      <c r="I969">
        <v>368.12630000000001</v>
      </c>
      <c r="J969">
        <v>-232.8252</v>
      </c>
      <c r="K969">
        <v>1.110522</v>
      </c>
      <c r="L969">
        <v>368.21910000000003</v>
      </c>
      <c r="M969">
        <v>0.99988639999999995</v>
      </c>
      <c r="N969">
        <v>0</v>
      </c>
      <c r="O969">
        <v>-5.0589550000000004E-3</v>
      </c>
      <c r="P969">
        <v>0.99922789999999995</v>
      </c>
      <c r="Q969">
        <v>2.1948260000000001E-2</v>
      </c>
      <c r="R969">
        <v>-3.2590929999999997E-2</v>
      </c>
      <c r="S969">
        <v>3.009995</v>
      </c>
      <c r="T969">
        <v>-0.90760730000000001</v>
      </c>
      <c r="U969">
        <v>-0.3644714</v>
      </c>
      <c r="V969">
        <v>2.7541840000000001E-2</v>
      </c>
      <c r="W969">
        <v>3.6137170000000003E-2</v>
      </c>
      <c r="X969">
        <v>0.99896719999999894</v>
      </c>
      <c r="Y969">
        <v>0.11056000000000001</v>
      </c>
      <c r="Z969">
        <v>-1.476327E-2</v>
      </c>
      <c r="AA969">
        <v>0.99375979999999997</v>
      </c>
      <c r="AB969">
        <v>29</v>
      </c>
      <c r="AC969">
        <v>0.487899999999996</v>
      </c>
      <c r="AD969">
        <v>-0.23463220000000001</v>
      </c>
      <c r="AE969">
        <v>-9.2800000000011096E-2</v>
      </c>
      <c r="AF969">
        <v>7.3847983792660804E-2</v>
      </c>
      <c r="AG969">
        <v>-0.23463220000000001</v>
      </c>
      <c r="AH969">
        <v>0.39925300161159799</v>
      </c>
      <c r="AI969">
        <v>120.022582941346</v>
      </c>
      <c r="AJ969">
        <v>79.520699718294196</v>
      </c>
      <c r="AK969">
        <v>0.46894429656724801</v>
      </c>
      <c r="AL969">
        <v>87.929041677828394</v>
      </c>
      <c r="AM969">
        <v>88.420737395509406</v>
      </c>
      <c r="AN969">
        <v>0.99999995734101599</v>
      </c>
    </row>
    <row r="970" spans="1:40" x14ac:dyDescent="0.25">
      <c r="A970" t="str">
        <f>"20190312154231623"</f>
        <v>20190312154231623</v>
      </c>
      <c r="B970" t="str">
        <f>"1552376551618675"</f>
        <v>1552376551618675</v>
      </c>
      <c r="C970" t="s">
        <v>40</v>
      </c>
      <c r="D970">
        <v>4.9438599999999999</v>
      </c>
      <c r="E970">
        <v>0.53880050000000002</v>
      </c>
      <c r="F970" t="s">
        <v>41</v>
      </c>
      <c r="G970">
        <v>-232.07249999999999</v>
      </c>
      <c r="H970">
        <v>0.88350149999999905</v>
      </c>
      <c r="I970">
        <v>368.12580000000003</v>
      </c>
      <c r="J970">
        <v>-232.5256</v>
      </c>
      <c r="K970">
        <v>1.1105240000000001</v>
      </c>
      <c r="L970">
        <v>368.21749999999997</v>
      </c>
      <c r="M970">
        <v>0.99988600000000005</v>
      </c>
      <c r="N970">
        <v>0</v>
      </c>
      <c r="O970">
        <v>-5.1362939999999996E-3</v>
      </c>
      <c r="P970">
        <v>0.99923360000000006</v>
      </c>
      <c r="Q970">
        <v>2.2188260000000001E-2</v>
      </c>
      <c r="R970">
        <v>-3.225252E-2</v>
      </c>
      <c r="S970">
        <v>3.0101170000000002</v>
      </c>
      <c r="T970">
        <v>-0.90794109999999995</v>
      </c>
      <c r="U970">
        <v>-0.37265009999999998</v>
      </c>
      <c r="V970">
        <v>2.7125980000000001E-2</v>
      </c>
      <c r="W970">
        <v>3.6373999999999997E-2</v>
      </c>
      <c r="X970">
        <v>0.99897000000000002</v>
      </c>
      <c r="Y970">
        <v>0.1130322</v>
      </c>
      <c r="Z970">
        <v>-1.510631E-2</v>
      </c>
      <c r="AA970">
        <v>0.99347649999999998</v>
      </c>
      <c r="AB970">
        <v>29</v>
      </c>
      <c r="AC970">
        <v>0.453100000000006</v>
      </c>
      <c r="AD970">
        <v>-0.22702249999999999</v>
      </c>
      <c r="AE970">
        <v>-9.1699999999946102E-2</v>
      </c>
      <c r="AF970">
        <v>7.2005923151487405E-2</v>
      </c>
      <c r="AG970">
        <v>-0.22702249999999999</v>
      </c>
      <c r="AH970">
        <v>0.36543466577529099</v>
      </c>
      <c r="AI970">
        <v>121.36313716971399</v>
      </c>
      <c r="AJ970">
        <v>78.853130447835895</v>
      </c>
      <c r="AK970">
        <v>0.43619555640268298</v>
      </c>
      <c r="AL970">
        <v>87.915463425002102</v>
      </c>
      <c r="AM970">
        <v>88.444575565478004</v>
      </c>
      <c r="AN970">
        <v>0.99999997378347905</v>
      </c>
    </row>
    <row r="971" spans="1:40" x14ac:dyDescent="0.25">
      <c r="A971" t="str">
        <f>"20190312154231646"</f>
        <v>20190312154231646</v>
      </c>
      <c r="B971" t="str">
        <f>"1552376551638195"</f>
        <v>1552376551638195</v>
      </c>
      <c r="C971" t="s">
        <v>40</v>
      </c>
      <c r="D971">
        <v>4.9229580000000004</v>
      </c>
      <c r="E971">
        <v>0.53859979999999996</v>
      </c>
      <c r="F971" t="s">
        <v>41</v>
      </c>
      <c r="G971">
        <v>-231.80709999999999</v>
      </c>
      <c r="H971">
        <v>0.8933643</v>
      </c>
      <c r="I971">
        <v>368.12700000000001</v>
      </c>
      <c r="J971">
        <v>-232.23390000000001</v>
      </c>
      <c r="K971">
        <v>1.110517</v>
      </c>
      <c r="L971">
        <v>368.21589999999998</v>
      </c>
      <c r="M971">
        <v>0.99988560000000004</v>
      </c>
      <c r="N971">
        <v>0</v>
      </c>
      <c r="O971">
        <v>-5.2117250000000004E-3</v>
      </c>
      <c r="P971">
        <v>0.99924789999999997</v>
      </c>
      <c r="Q971">
        <v>2.2320130000000001E-2</v>
      </c>
      <c r="R971">
        <v>-3.1706280000000003E-2</v>
      </c>
      <c r="S971">
        <v>3.0102540000000002</v>
      </c>
      <c r="T971">
        <v>-0.90986060000000002</v>
      </c>
      <c r="U971">
        <v>-0.37933349999999999</v>
      </c>
      <c r="V971">
        <v>2.650462E-2</v>
      </c>
      <c r="W971">
        <v>3.6503140000000003E-2</v>
      </c>
      <c r="X971">
        <v>0.99898200000000004</v>
      </c>
      <c r="Y971">
        <v>0.1150215</v>
      </c>
      <c r="Z971">
        <v>-1.540508E-2</v>
      </c>
      <c r="AA971">
        <v>0.99324349999999995</v>
      </c>
      <c r="AB971">
        <v>29</v>
      </c>
      <c r="AC971">
        <v>0.426800000000014</v>
      </c>
      <c r="AD971">
        <v>-0.2171527</v>
      </c>
      <c r="AE971">
        <v>-8.8900000000023696E-2</v>
      </c>
      <c r="AF971">
        <v>6.9444612184217894E-2</v>
      </c>
      <c r="AG971">
        <v>-0.2171527</v>
      </c>
      <c r="AH971">
        <v>0.342324878951559</v>
      </c>
      <c r="AI971">
        <v>121.86854536919201</v>
      </c>
      <c r="AJ971">
        <v>78.532496738143394</v>
      </c>
      <c r="AK971">
        <v>0.41129572332800401</v>
      </c>
      <c r="AL971">
        <v>87.908059396526397</v>
      </c>
      <c r="AM971">
        <v>88.480206164550793</v>
      </c>
      <c r="AN971">
        <v>1.0000000052175999</v>
      </c>
    </row>
    <row r="972" spans="1:40" x14ac:dyDescent="0.25">
      <c r="A972" t="str">
        <f>"20190312154231668"</f>
        <v>20190312154231668</v>
      </c>
      <c r="B972" t="str">
        <f>"1552376551658691"</f>
        <v>1552376551658691</v>
      </c>
      <c r="C972" t="s">
        <v>40</v>
      </c>
      <c r="D972">
        <v>4.9279890000000002</v>
      </c>
      <c r="E972">
        <v>0.53870869999999904</v>
      </c>
      <c r="F972" t="s">
        <v>41</v>
      </c>
      <c r="G972">
        <v>-231.54259999999999</v>
      </c>
      <c r="H972">
        <v>0.90162050000000005</v>
      </c>
      <c r="I972">
        <v>368.12939999999998</v>
      </c>
      <c r="J972">
        <v>-231.9452</v>
      </c>
      <c r="K972">
        <v>1.110519</v>
      </c>
      <c r="L972">
        <v>368.21429999999998</v>
      </c>
      <c r="M972">
        <v>0.99988520000000003</v>
      </c>
      <c r="N972">
        <v>0</v>
      </c>
      <c r="O972">
        <v>-5.2863220000000004E-3</v>
      </c>
      <c r="P972">
        <v>0.99924590000000002</v>
      </c>
      <c r="Q972">
        <v>2.2766209999999999E-2</v>
      </c>
      <c r="R972">
        <v>-3.1453670000000003E-2</v>
      </c>
      <c r="S972">
        <v>3.0106510000000002</v>
      </c>
      <c r="T972">
        <v>-0.90973139999999997</v>
      </c>
      <c r="U972">
        <v>-0.37606810000000002</v>
      </c>
      <c r="V972">
        <v>2.6177269999999999E-2</v>
      </c>
      <c r="W972">
        <v>3.6946300000000001E-2</v>
      </c>
      <c r="X972">
        <v>0.99897429999999998</v>
      </c>
      <c r="Y972">
        <v>0.11392389999999999</v>
      </c>
      <c r="Z972">
        <v>-1.521843E-2</v>
      </c>
      <c r="AA972">
        <v>0.9933729</v>
      </c>
      <c r="AB972">
        <v>29</v>
      </c>
      <c r="AC972">
        <v>0.40260000000000601</v>
      </c>
      <c r="AD972">
        <v>-0.20889849999999999</v>
      </c>
      <c r="AE972">
        <v>-8.4900000000004597E-2</v>
      </c>
      <c r="AF972">
        <v>6.5807366595510397E-2</v>
      </c>
      <c r="AG972">
        <v>-0.20889849999999999</v>
      </c>
      <c r="AH972">
        <v>0.32044350700926399</v>
      </c>
      <c r="AI972">
        <v>122.561390993488</v>
      </c>
      <c r="AJ972">
        <v>78.394893902597403</v>
      </c>
      <c r="AK972">
        <v>0.38814073991901699</v>
      </c>
      <c r="AL972">
        <v>87.882650974294606</v>
      </c>
      <c r="AM972">
        <v>88.498956441758807</v>
      </c>
      <c r="AN972">
        <v>0.99999996530441504</v>
      </c>
    </row>
    <row r="973" spans="1:40" x14ac:dyDescent="0.25">
      <c r="A973" t="str">
        <f>"20190312154231692"</f>
        <v>20190312154231692</v>
      </c>
      <c r="B973" t="str">
        <f>"1552376551687971"</f>
        <v>1552376551687971</v>
      </c>
      <c r="C973" t="s">
        <v>40</v>
      </c>
      <c r="D973">
        <v>4.943689</v>
      </c>
      <c r="E973">
        <v>0.53932290000000005</v>
      </c>
      <c r="F973" t="s">
        <v>41</v>
      </c>
      <c r="G973">
        <v>-231.27940000000001</v>
      </c>
      <c r="H973">
        <v>0.90714289999999997</v>
      </c>
      <c r="I973">
        <v>368.13130000000001</v>
      </c>
      <c r="J973">
        <v>-231.648</v>
      </c>
      <c r="K973">
        <v>1.110522</v>
      </c>
      <c r="L973">
        <v>368.21269999999998</v>
      </c>
      <c r="M973">
        <v>0.99988500000000002</v>
      </c>
      <c r="N973">
        <v>0</v>
      </c>
      <c r="O973">
        <v>-5.3634199999999998E-3</v>
      </c>
      <c r="P973">
        <v>0.99922469999999997</v>
      </c>
      <c r="Q973">
        <v>2.321457E-2</v>
      </c>
      <c r="R973">
        <v>-3.1800710000000003E-2</v>
      </c>
      <c r="S973">
        <v>3.0113829999999999</v>
      </c>
      <c r="T973">
        <v>-0.91987399999999997</v>
      </c>
      <c r="U973">
        <v>-0.37561040000000001</v>
      </c>
      <c r="V973">
        <v>2.6447620000000002E-2</v>
      </c>
      <c r="W973">
        <v>3.7391349999999997E-2</v>
      </c>
      <c r="X973">
        <v>0.99895069999999997</v>
      </c>
      <c r="Y973">
        <v>0.11358500000000001</v>
      </c>
      <c r="Z973">
        <v>-1.530403E-2</v>
      </c>
      <c r="AA973">
        <v>0.99341040000000003</v>
      </c>
      <c r="AB973">
        <v>29</v>
      </c>
      <c r="AC973">
        <v>0.36859999999998599</v>
      </c>
      <c r="AD973">
        <v>-0.20337910000000001</v>
      </c>
      <c r="AE973">
        <v>-8.1399999999973702E-2</v>
      </c>
      <c r="AF973">
        <v>6.15536595172319E-2</v>
      </c>
      <c r="AG973">
        <v>-0.20337910000000001</v>
      </c>
      <c r="AH973">
        <v>0.28600793038000799</v>
      </c>
      <c r="AI973">
        <v>124.80619774456</v>
      </c>
      <c r="AJ973">
        <v>77.854257420742698</v>
      </c>
      <c r="AK973">
        <v>0.35630386969134797</v>
      </c>
      <c r="AL973">
        <v>87.857134025802296</v>
      </c>
      <c r="AM973">
        <v>88.4834255623405</v>
      </c>
      <c r="AN973">
        <v>1.0000000453444799</v>
      </c>
    </row>
    <row r="974" spans="1:40" x14ac:dyDescent="0.25">
      <c r="A974" t="str">
        <f>"20190312154231713"</f>
        <v>20190312154231713</v>
      </c>
      <c r="B974" t="str">
        <f>"1552376551708466"</f>
        <v>1552376551708466</v>
      </c>
      <c r="C974" t="s">
        <v>40</v>
      </c>
      <c r="D974">
        <v>4.9254470000000001</v>
      </c>
      <c r="E974">
        <v>0.55676649999999905</v>
      </c>
      <c r="F974" t="s">
        <v>41</v>
      </c>
      <c r="G974">
        <v>-230.78319999999999</v>
      </c>
      <c r="H974">
        <v>0.84687570000000001</v>
      </c>
      <c r="I974">
        <v>368.10309999999998</v>
      </c>
      <c r="J974">
        <v>-231.36269999999999</v>
      </c>
      <c r="K974">
        <v>1.1105179999999999</v>
      </c>
      <c r="L974">
        <v>368.21109999999999</v>
      </c>
      <c r="M974">
        <v>0.99988449999999995</v>
      </c>
      <c r="N974">
        <v>0</v>
      </c>
      <c r="O974">
        <v>-5.4371829999999999E-3</v>
      </c>
      <c r="P974">
        <v>0.99921950000000004</v>
      </c>
      <c r="Q974">
        <v>2.2972329999999999E-2</v>
      </c>
      <c r="R974">
        <v>-3.2137260000000001E-2</v>
      </c>
      <c r="S974">
        <v>3.01152</v>
      </c>
      <c r="T974">
        <v>-0.91809379999999996</v>
      </c>
      <c r="U974">
        <v>-0.38146970000000002</v>
      </c>
      <c r="V974">
        <v>2.6710279999999999E-2</v>
      </c>
      <c r="W974">
        <v>3.7145959999999999E-2</v>
      </c>
      <c r="X974">
        <v>0.99895279999999997</v>
      </c>
      <c r="Y974">
        <v>0.1153532</v>
      </c>
      <c r="Z974">
        <v>-1.551395E-2</v>
      </c>
      <c r="AA974">
        <v>0.99320339999999996</v>
      </c>
      <c r="AB974">
        <v>29</v>
      </c>
      <c r="AC974">
        <v>0.57949999999999502</v>
      </c>
      <c r="AD974">
        <v>-0.2636423</v>
      </c>
      <c r="AE974">
        <v>-0.108000000000004</v>
      </c>
      <c r="AF974">
        <v>8.73705169076789E-2</v>
      </c>
      <c r="AG974">
        <v>-0.2636423</v>
      </c>
      <c r="AH974">
        <v>0.48338685215974803</v>
      </c>
      <c r="AI974">
        <v>118.222896467038</v>
      </c>
      <c r="AJ974">
        <v>79.754598632944706</v>
      </c>
      <c r="AK974">
        <v>0.55749772951548004</v>
      </c>
      <c r="AL974">
        <v>87.871203469655896</v>
      </c>
      <c r="AM974">
        <v>88.468374320846607</v>
      </c>
      <c r="AN974">
        <v>0.99999997901491899</v>
      </c>
    </row>
    <row r="975" spans="1:40" x14ac:dyDescent="0.25">
      <c r="A975" t="str">
        <f>"20190312154231735"</f>
        <v>20190312154231735</v>
      </c>
      <c r="B975" t="str">
        <f>"1552376551727991"</f>
        <v>1552376551727991</v>
      </c>
      <c r="C975" t="s">
        <v>40</v>
      </c>
      <c r="D975">
        <v>4.9362510000000004</v>
      </c>
      <c r="E975">
        <v>0.55702700000000005</v>
      </c>
      <c r="F975" t="s">
        <v>41</v>
      </c>
      <c r="G975">
        <v>-230.52520000000001</v>
      </c>
      <c r="H975">
        <v>0.83995259999999905</v>
      </c>
      <c r="I975">
        <v>368.06619999999998</v>
      </c>
      <c r="J975">
        <v>-231.0658</v>
      </c>
      <c r="K975">
        <v>1.1105210000000001</v>
      </c>
      <c r="L975">
        <v>368.20940000000002</v>
      </c>
      <c r="M975">
        <v>0.99988429999999995</v>
      </c>
      <c r="N975">
        <v>0</v>
      </c>
      <c r="O975">
        <v>-5.5141629999999999E-3</v>
      </c>
      <c r="P975">
        <v>0.99919970000000002</v>
      </c>
      <c r="Q975">
        <v>2.2628280000000001E-2</v>
      </c>
      <c r="R975">
        <v>-3.2987780000000001E-2</v>
      </c>
      <c r="S975">
        <v>3.0079799999999999</v>
      </c>
      <c r="T975">
        <v>-0.97174249999999995</v>
      </c>
      <c r="U975">
        <v>-0.51953130000000003</v>
      </c>
      <c r="V975">
        <v>2.7483939999999998E-2</v>
      </c>
      <c r="W975">
        <v>3.67981E-2</v>
      </c>
      <c r="X975">
        <v>0.99894470000000002</v>
      </c>
      <c r="Y975">
        <v>0.15725919999999999</v>
      </c>
      <c r="Z975">
        <v>-2.2876980000000002E-2</v>
      </c>
      <c r="AA975">
        <v>0.98729230000000001</v>
      </c>
      <c r="AB975">
        <v>29</v>
      </c>
      <c r="AC975">
        <v>0.54059999999998298</v>
      </c>
      <c r="AD975">
        <v>-0.27056839999999899</v>
      </c>
      <c r="AE975">
        <v>-0.14320000000003499</v>
      </c>
      <c r="AF975">
        <v>0.11362100967410101</v>
      </c>
      <c r="AG975">
        <v>-0.27056839999999899</v>
      </c>
      <c r="AH975">
        <v>0.438695032803468</v>
      </c>
      <c r="AI975">
        <v>120.83961551769799</v>
      </c>
      <c r="AJ975">
        <v>75.479587556011694</v>
      </c>
      <c r="AK975">
        <v>0.52779761720223595</v>
      </c>
      <c r="AL975">
        <v>87.891148040106899</v>
      </c>
      <c r="AM975">
        <v>88.424020255574604</v>
      </c>
      <c r="AN975">
        <v>0.99999999038981102</v>
      </c>
    </row>
    <row r="976" spans="1:40" x14ac:dyDescent="0.25">
      <c r="A976" t="str">
        <f>"20190312154231757"</f>
        <v>20190312154231757</v>
      </c>
      <c r="B976" t="str">
        <f>"1552376551748484"</f>
        <v>1552376551748484</v>
      </c>
      <c r="C976" t="s">
        <v>40</v>
      </c>
      <c r="D976">
        <v>4.9383309999999998</v>
      </c>
      <c r="E976">
        <v>0.55660549999999998</v>
      </c>
      <c r="F976" t="s">
        <v>41</v>
      </c>
      <c r="G976">
        <v>-230.26070000000001</v>
      </c>
      <c r="H976">
        <v>0.85204059999999904</v>
      </c>
      <c r="I976">
        <v>368.06869999999998</v>
      </c>
      <c r="J976">
        <v>-230.78139999999999</v>
      </c>
      <c r="K976">
        <v>1.11052</v>
      </c>
      <c r="L976">
        <v>368.20769999999999</v>
      </c>
      <c r="M976">
        <v>0.99988379999999999</v>
      </c>
      <c r="N976">
        <v>0</v>
      </c>
      <c r="O976">
        <v>-5.5874499999999999E-3</v>
      </c>
      <c r="P976">
        <v>0.99917540000000005</v>
      </c>
      <c r="Q976">
        <v>2.2515819999999999E-2</v>
      </c>
      <c r="R976">
        <v>-3.3791799999999997E-2</v>
      </c>
      <c r="S976">
        <v>3.0069270000000001</v>
      </c>
      <c r="T976">
        <v>-0.96541759999999999</v>
      </c>
      <c r="U976">
        <v>-0.52511600000000003</v>
      </c>
      <c r="V976">
        <v>2.8214679999999999E-2</v>
      </c>
      <c r="W976">
        <v>3.6682779999999998E-2</v>
      </c>
      <c r="X976">
        <v>0.99892860000000006</v>
      </c>
      <c r="Y976">
        <v>0.15903439999999999</v>
      </c>
      <c r="Z976">
        <v>-2.2992490000000001E-2</v>
      </c>
      <c r="AA976">
        <v>0.98700529999999997</v>
      </c>
      <c r="AB976">
        <v>29</v>
      </c>
      <c r="AC976">
        <v>0.52069999999997596</v>
      </c>
      <c r="AD976">
        <v>-0.25847940000000003</v>
      </c>
      <c r="AE976">
        <v>-0.13900000000001</v>
      </c>
      <c r="AF976">
        <v>0.110638228995127</v>
      </c>
      <c r="AG976">
        <v>-0.25847940000000003</v>
      </c>
      <c r="AH976">
        <v>0.42394846294593902</v>
      </c>
      <c r="AI976">
        <v>120.53793259628</v>
      </c>
      <c r="AJ976">
        <v>75.373687874484304</v>
      </c>
      <c r="AK976">
        <v>0.50870887270988496</v>
      </c>
      <c r="AL976">
        <v>87.897759918299698</v>
      </c>
      <c r="AM976">
        <v>88.382114197704198</v>
      </c>
      <c r="AN976">
        <v>1.0000000212069899</v>
      </c>
    </row>
    <row r="977" spans="1:40" x14ac:dyDescent="0.25">
      <c r="A977" t="str">
        <f>"20190312154231779"</f>
        <v>20190312154231779</v>
      </c>
      <c r="B977" t="str">
        <f>"1552376551768003"</f>
        <v>1552376551768003</v>
      </c>
      <c r="C977" t="s">
        <v>40</v>
      </c>
      <c r="D977">
        <v>4.922536</v>
      </c>
      <c r="E977">
        <v>0.55598380000000003</v>
      </c>
      <c r="F977" t="s">
        <v>41</v>
      </c>
      <c r="G977">
        <v>-229.99789999999999</v>
      </c>
      <c r="H977">
        <v>0.86058889999999999</v>
      </c>
      <c r="I977">
        <v>368.07119999999998</v>
      </c>
      <c r="J977">
        <v>-230.4983</v>
      </c>
      <c r="K977">
        <v>1.1105160000000001</v>
      </c>
      <c r="L977">
        <v>368.20600000000002</v>
      </c>
      <c r="M977">
        <v>0.99988350000000004</v>
      </c>
      <c r="N977">
        <v>0</v>
      </c>
      <c r="O977">
        <v>-5.6606190000000004E-3</v>
      </c>
      <c r="P977">
        <v>0.99917520000000004</v>
      </c>
      <c r="Q977">
        <v>2.201939E-2</v>
      </c>
      <c r="R977">
        <v>-3.4121230000000002E-2</v>
      </c>
      <c r="S977">
        <v>3.0063780000000002</v>
      </c>
      <c r="T977">
        <v>-0.95899239999999997</v>
      </c>
      <c r="U977">
        <v>-0.52377320000000005</v>
      </c>
      <c r="V977">
        <v>2.8470909999999999E-2</v>
      </c>
      <c r="W977">
        <v>3.6183390000000003E-2</v>
      </c>
      <c r="X977">
        <v>0.99893949999999998</v>
      </c>
      <c r="Y977">
        <v>0.1586795</v>
      </c>
      <c r="Z977">
        <v>-2.2773850000000002E-2</v>
      </c>
      <c r="AA977">
        <v>0.98706749999999999</v>
      </c>
      <c r="AB977">
        <v>29</v>
      </c>
      <c r="AC977">
        <v>0.50040000000001295</v>
      </c>
      <c r="AD977">
        <v>-0.24992710000000001</v>
      </c>
      <c r="AE977">
        <v>-0.13479999999998399</v>
      </c>
      <c r="AF977">
        <v>0.10706426702446301</v>
      </c>
      <c r="AG977">
        <v>-0.24992710000000001</v>
      </c>
      <c r="AH977">
        <v>0.40659123234669797</v>
      </c>
      <c r="AI977">
        <v>120.72834972087399</v>
      </c>
      <c r="AJ977">
        <v>75.247663648276301</v>
      </c>
      <c r="AK977">
        <v>0.48912446555974098</v>
      </c>
      <c r="AL977">
        <v>87.926391775642799</v>
      </c>
      <c r="AM977">
        <v>88.367447180328597</v>
      </c>
      <c r="AN977">
        <v>0.99999997754418402</v>
      </c>
    </row>
    <row r="978" spans="1:40" x14ac:dyDescent="0.25">
      <c r="A978" t="str">
        <f>"20190312154231802"</f>
        <v>20190312154231802</v>
      </c>
      <c r="B978" t="str">
        <f>"1552376551798259"</f>
        <v>1552376551798259</v>
      </c>
      <c r="C978" t="s">
        <v>40</v>
      </c>
      <c r="D978">
        <v>4.9400399999999998</v>
      </c>
      <c r="E978">
        <v>0.55507640000000003</v>
      </c>
      <c r="F978" t="s">
        <v>41</v>
      </c>
      <c r="G978">
        <v>-229.73570000000001</v>
      </c>
      <c r="H978">
        <v>0.86876249999999999</v>
      </c>
      <c r="I978">
        <v>368.07409999999999</v>
      </c>
      <c r="J978">
        <v>-230.2089</v>
      </c>
      <c r="K978">
        <v>1.1105149999999999</v>
      </c>
      <c r="L978">
        <v>368.20429999999999</v>
      </c>
      <c r="M978">
        <v>0.99988299999999997</v>
      </c>
      <c r="N978">
        <v>0</v>
      </c>
      <c r="O978">
        <v>-5.7352159999999996E-3</v>
      </c>
      <c r="P978">
        <v>0.99915399999999999</v>
      </c>
      <c r="Q978">
        <v>2.2265210000000001E-2</v>
      </c>
      <c r="R978">
        <v>-3.4575090000000003E-2</v>
      </c>
      <c r="S978">
        <v>3.005722</v>
      </c>
      <c r="T978">
        <v>-0.95283879999999999</v>
      </c>
      <c r="U978">
        <v>-0.51986690000000002</v>
      </c>
      <c r="V978">
        <v>2.8850509999999999E-2</v>
      </c>
      <c r="W978">
        <v>3.642546E-2</v>
      </c>
      <c r="X978">
        <v>0.99891980000000002</v>
      </c>
      <c r="Y978">
        <v>0.15754189999999901</v>
      </c>
      <c r="Z978">
        <v>-2.2443680000000001E-2</v>
      </c>
      <c r="AA978">
        <v>0.98725719999999995</v>
      </c>
      <c r="AB978">
        <v>29</v>
      </c>
      <c r="AC978">
        <v>0.47319999999999102</v>
      </c>
      <c r="AD978">
        <v>-0.24175249999999901</v>
      </c>
      <c r="AE978">
        <v>-0.13020000000000201</v>
      </c>
      <c r="AF978">
        <v>0.10259116984295</v>
      </c>
      <c r="AG978">
        <v>-0.24175249999999901</v>
      </c>
      <c r="AH978">
        <v>0.38139750656719901</v>
      </c>
      <c r="AI978">
        <v>121.470894348995</v>
      </c>
      <c r="AJ978">
        <v>74.944507770317301</v>
      </c>
      <c r="AK978">
        <v>0.46306940883810399</v>
      </c>
      <c r="AL978">
        <v>87.912513013593397</v>
      </c>
      <c r="AM978">
        <v>88.345659913938604</v>
      </c>
      <c r="AN978">
        <v>0.99999996644775502</v>
      </c>
    </row>
    <row r="979" spans="1:40" x14ac:dyDescent="0.25">
      <c r="A979" t="str">
        <f>"20190312154231824"</f>
        <v>20190312154231824</v>
      </c>
      <c r="B979" t="str">
        <f>"1552376551818755"</f>
        <v>1552376551818755</v>
      </c>
      <c r="C979" t="s">
        <v>40</v>
      </c>
      <c r="D979">
        <v>4.9561510000000002</v>
      </c>
      <c r="E979">
        <v>0.55477119999999902</v>
      </c>
      <c r="F979" t="s">
        <v>41</v>
      </c>
      <c r="G979">
        <v>-229.47300000000001</v>
      </c>
      <c r="H979">
        <v>0.87864469999999995</v>
      </c>
      <c r="I979">
        <v>368.07810000000001</v>
      </c>
      <c r="J979">
        <v>-229.91589999999999</v>
      </c>
      <c r="K979">
        <v>1.1105229999999999</v>
      </c>
      <c r="L979">
        <v>368.20249999999999</v>
      </c>
      <c r="M979">
        <v>0.99988270000000001</v>
      </c>
      <c r="N979">
        <v>0</v>
      </c>
      <c r="O979">
        <v>-5.811241E-3</v>
      </c>
      <c r="P979">
        <v>0.99911530000000004</v>
      </c>
      <c r="Q979">
        <v>2.311465E-2</v>
      </c>
      <c r="R979">
        <v>-3.512999E-2</v>
      </c>
      <c r="S979">
        <v>3.0058289999999999</v>
      </c>
      <c r="T979">
        <v>-0.94707269999999999</v>
      </c>
      <c r="U979">
        <v>-0.51443479999999997</v>
      </c>
      <c r="V979">
        <v>2.932997E-2</v>
      </c>
      <c r="W979">
        <v>3.72708E-2</v>
      </c>
      <c r="X979">
        <v>0.9988747</v>
      </c>
      <c r="Y979">
        <v>0.15589239999999999</v>
      </c>
      <c r="Z979">
        <v>-2.2041209999999999E-2</v>
      </c>
      <c r="AA979">
        <v>0.98752810000000002</v>
      </c>
      <c r="AB979">
        <v>29</v>
      </c>
      <c r="AC979">
        <v>0.44290000000000801</v>
      </c>
      <c r="AD979">
        <v>-0.23187829999999901</v>
      </c>
      <c r="AE979">
        <v>-0.12439999999998</v>
      </c>
      <c r="AF979">
        <v>9.7143784704634695E-2</v>
      </c>
      <c r="AG979">
        <v>-0.23187829999999901</v>
      </c>
      <c r="AH979">
        <v>0.35374429999927198</v>
      </c>
      <c r="AI979">
        <v>122.296804968309</v>
      </c>
      <c r="AJ979">
        <v>74.644214486076194</v>
      </c>
      <c r="AK979">
        <v>0.43398097965187998</v>
      </c>
      <c r="AL979">
        <v>87.864045780435504</v>
      </c>
      <c r="AM979">
        <v>88.318106584791394</v>
      </c>
      <c r="AN979">
        <v>1.0000000129864599</v>
      </c>
    </row>
    <row r="980" spans="1:40" x14ac:dyDescent="0.25">
      <c r="A980" t="str">
        <f>"20190312154231847"</f>
        <v>20190312154231847</v>
      </c>
      <c r="B980" t="str">
        <f>"1552376551838278"</f>
        <v>1552376551838278</v>
      </c>
      <c r="C980" t="s">
        <v>40</v>
      </c>
      <c r="D980">
        <v>4.9235540000000002</v>
      </c>
      <c r="E980">
        <v>0.55449190000000004</v>
      </c>
      <c r="F980" t="s">
        <v>41</v>
      </c>
      <c r="G980">
        <v>-229.21039999999999</v>
      </c>
      <c r="H980">
        <v>0.88903029999999905</v>
      </c>
      <c r="I980">
        <v>368.08190000000002</v>
      </c>
      <c r="J980">
        <v>-229.62649999999999</v>
      </c>
      <c r="K980">
        <v>1.110525</v>
      </c>
      <c r="L980">
        <v>368.20080000000002</v>
      </c>
      <c r="M980">
        <v>0.9998823</v>
      </c>
      <c r="N980">
        <v>0</v>
      </c>
      <c r="O980">
        <v>-5.8863120000000003E-3</v>
      </c>
      <c r="P980">
        <v>0.99908569999999997</v>
      </c>
      <c r="Q980">
        <v>2.3405840000000001E-2</v>
      </c>
      <c r="R980">
        <v>-3.5780590000000001E-2</v>
      </c>
      <c r="S980">
        <v>3.0064540000000002</v>
      </c>
      <c r="T980">
        <v>-0.94394639999999996</v>
      </c>
      <c r="U980">
        <v>-0.5129089</v>
      </c>
      <c r="V980">
        <v>2.990541E-2</v>
      </c>
      <c r="W980">
        <v>3.7558130000000002E-2</v>
      </c>
      <c r="X980">
        <v>0.99884689999999998</v>
      </c>
      <c r="Y980">
        <v>0.1553726</v>
      </c>
      <c r="Z980">
        <v>-2.1866300000000002E-2</v>
      </c>
      <c r="AA980">
        <v>0.98761390000000004</v>
      </c>
      <c r="AB980">
        <v>29</v>
      </c>
      <c r="AC980">
        <v>0.41610000000000003</v>
      </c>
      <c r="AD980">
        <v>-0.22149469999999999</v>
      </c>
      <c r="AE980">
        <v>-0.118899999999996</v>
      </c>
      <c r="AF980">
        <v>9.2275445265088393E-2</v>
      </c>
      <c r="AG980">
        <v>-0.22149469999999999</v>
      </c>
      <c r="AH980">
        <v>0.33027277403266297</v>
      </c>
      <c r="AI980">
        <v>122.858650541294</v>
      </c>
      <c r="AJ980">
        <v>74.390082112375893</v>
      </c>
      <c r="AK980">
        <v>0.40823371393625901</v>
      </c>
      <c r="AL980">
        <v>87.847571503700607</v>
      </c>
      <c r="AM980">
        <v>88.285080453254096</v>
      </c>
      <c r="AN980">
        <v>1.0000000381579801</v>
      </c>
    </row>
    <row r="981" spans="1:40" x14ac:dyDescent="0.25">
      <c r="A981" t="str">
        <f>"20190312154231870"</f>
        <v>20190312154231870</v>
      </c>
      <c r="B981" t="str">
        <f>"1552376551858771"</f>
        <v>1552376551858771</v>
      </c>
      <c r="C981" t="s">
        <v>40</v>
      </c>
      <c r="D981">
        <v>4.9570990000000004</v>
      </c>
      <c r="E981">
        <v>0.55392330000000001</v>
      </c>
      <c r="F981" t="s">
        <v>41</v>
      </c>
      <c r="G981">
        <v>-228.9487</v>
      </c>
      <c r="H981">
        <v>0.89821669999999998</v>
      </c>
      <c r="I981">
        <v>368.08499999999998</v>
      </c>
      <c r="J981">
        <v>-229.33449999999999</v>
      </c>
      <c r="K981">
        <v>1.1105240000000001</v>
      </c>
      <c r="L981">
        <v>368.19889999999998</v>
      </c>
      <c r="M981">
        <v>0.99988200000000005</v>
      </c>
      <c r="N981">
        <v>0</v>
      </c>
      <c r="O981">
        <v>-5.9620979999999999E-3</v>
      </c>
      <c r="P981">
        <v>0.99907880000000004</v>
      </c>
      <c r="Q981">
        <v>2.2966810000000001E-2</v>
      </c>
      <c r="R981">
        <v>-3.6254380000000003E-2</v>
      </c>
      <c r="S981">
        <v>3.006424</v>
      </c>
      <c r="T981">
        <v>-0.94156459999999997</v>
      </c>
      <c r="U981">
        <v>-0.51284790000000002</v>
      </c>
      <c r="V981">
        <v>3.0303409999999999E-2</v>
      </c>
      <c r="W981">
        <v>3.711594E-2</v>
      </c>
      <c r="X981">
        <v>0.99885139999999994</v>
      </c>
      <c r="Y981">
        <v>0.15532029999999999</v>
      </c>
      <c r="Z981">
        <v>-2.1782869999999999E-2</v>
      </c>
      <c r="AA981">
        <v>0.98762399999999995</v>
      </c>
      <c r="AB981">
        <v>29</v>
      </c>
      <c r="AC981">
        <v>0.38579999999998799</v>
      </c>
      <c r="AD981">
        <v>-0.2123073</v>
      </c>
      <c r="AE981">
        <v>-0.1139</v>
      </c>
      <c r="AF981">
        <v>8.7284112183656601E-2</v>
      </c>
      <c r="AG981">
        <v>-0.2123073</v>
      </c>
      <c r="AH981">
        <v>0.30227263716374803</v>
      </c>
      <c r="AI981">
        <v>124.01148882073601</v>
      </c>
      <c r="AJ981">
        <v>73.893421489474704</v>
      </c>
      <c r="AK981">
        <v>0.37955454555426699</v>
      </c>
      <c r="AL981">
        <v>87.8729247300938</v>
      </c>
      <c r="AM981">
        <v>88.262278951243701</v>
      </c>
      <c r="AN981">
        <v>1.0000000044708299</v>
      </c>
    </row>
    <row r="982" spans="1:40" x14ac:dyDescent="0.25">
      <c r="A982" t="str">
        <f>"20190312154231891"</f>
        <v>20190312154231891</v>
      </c>
      <c r="B982" t="str">
        <f>"1552376551878291"</f>
        <v>1552376551878291</v>
      </c>
      <c r="C982" t="s">
        <v>40</v>
      </c>
      <c r="D982">
        <v>4.9516609999999996</v>
      </c>
      <c r="E982">
        <v>0.54368169999999905</v>
      </c>
      <c r="F982" t="s">
        <v>41</v>
      </c>
      <c r="G982">
        <v>-228.45859999999999</v>
      </c>
      <c r="H982">
        <v>0.83684780000000003</v>
      </c>
      <c r="I982">
        <v>368.05020000000002</v>
      </c>
      <c r="J982">
        <v>-229.0515</v>
      </c>
      <c r="K982">
        <v>1.11052</v>
      </c>
      <c r="L982">
        <v>368.19720000000001</v>
      </c>
      <c r="M982">
        <v>0.99988160000000004</v>
      </c>
      <c r="N982">
        <v>0</v>
      </c>
      <c r="O982">
        <v>-6.0355010000000004E-3</v>
      </c>
      <c r="P982">
        <v>0.99908699999999995</v>
      </c>
      <c r="Q982">
        <v>2.211136E-2</v>
      </c>
      <c r="R982">
        <v>-3.6560519999999999E-2</v>
      </c>
      <c r="S982">
        <v>3.0058289999999999</v>
      </c>
      <c r="T982">
        <v>-0.93916189999999999</v>
      </c>
      <c r="U982">
        <v>-0.50967410000000002</v>
      </c>
      <c r="V982">
        <v>3.0536110000000002E-2</v>
      </c>
      <c r="W982">
        <v>3.6257249999999998E-2</v>
      </c>
      <c r="X982">
        <v>0.99887590000000004</v>
      </c>
      <c r="Y982">
        <v>0.15434589999999901</v>
      </c>
      <c r="Z982">
        <v>-2.1565649999999999E-2</v>
      </c>
      <c r="AA982">
        <v>0.98778149999999998</v>
      </c>
      <c r="AB982">
        <v>29</v>
      </c>
      <c r="AC982">
        <v>0.59290000000001397</v>
      </c>
      <c r="AD982">
        <v>-0.27367219999999998</v>
      </c>
      <c r="AE982">
        <v>-0.146999999999991</v>
      </c>
      <c r="AF982">
        <v>0.119443781349126</v>
      </c>
      <c r="AG982">
        <v>-0.27367219999999998</v>
      </c>
      <c r="AH982">
        <v>0.49451712163210698</v>
      </c>
      <c r="AI982">
        <v>118.277748385697</v>
      </c>
      <c r="AJ982">
        <v>76.421072262384797</v>
      </c>
      <c r="AK982">
        <v>0.57767678986014503</v>
      </c>
      <c r="AL982">
        <v>87.9221572872585</v>
      </c>
      <c r="AM982">
        <v>88.248986182997598</v>
      </c>
      <c r="AN982">
        <v>1.0000000528961499</v>
      </c>
    </row>
    <row r="983" spans="1:40" x14ac:dyDescent="0.25">
      <c r="A983" t="str">
        <f>"20190312154231914"</f>
        <v>20190312154231914</v>
      </c>
      <c r="B983" t="str">
        <f>"1552376551908547"</f>
        <v>1552376551908547</v>
      </c>
      <c r="C983" t="s">
        <v>40</v>
      </c>
      <c r="D983">
        <v>4.8775309999999896</v>
      </c>
      <c r="E983">
        <v>0.54006339999999997</v>
      </c>
      <c r="F983" t="s">
        <v>41</v>
      </c>
      <c r="G983">
        <v>-228.19909999999999</v>
      </c>
      <c r="H983">
        <v>0.84436089999999997</v>
      </c>
      <c r="I983">
        <v>368.07580000000002</v>
      </c>
      <c r="J983">
        <v>-228.76400000000001</v>
      </c>
      <c r="K983">
        <v>1.11052</v>
      </c>
      <c r="L983">
        <v>368.19529999999997</v>
      </c>
      <c r="M983">
        <v>0.99988109999999997</v>
      </c>
      <c r="N983">
        <v>0</v>
      </c>
      <c r="O983">
        <v>-6.1103390000000002E-3</v>
      </c>
      <c r="P983">
        <v>0.9990715</v>
      </c>
      <c r="Q983">
        <v>2.2109319999999998E-2</v>
      </c>
      <c r="R983">
        <v>-3.6977360000000001E-2</v>
      </c>
      <c r="S983">
        <v>3.0078429999999998</v>
      </c>
      <c r="T983">
        <v>-0.93914569999999997</v>
      </c>
      <c r="U983">
        <v>-0.42852780000000001</v>
      </c>
      <c r="V983">
        <v>3.0878099999999999E-2</v>
      </c>
      <c r="W983">
        <v>3.6252E-2</v>
      </c>
      <c r="X983">
        <v>0.99886549999999996</v>
      </c>
      <c r="Y983">
        <v>0.1292461</v>
      </c>
      <c r="Z983">
        <v>-1.7761119999999998E-2</v>
      </c>
      <c r="AA983">
        <v>0.99145349999999999</v>
      </c>
      <c r="AB983">
        <v>29</v>
      </c>
      <c r="AC983">
        <v>0.56490000000002205</v>
      </c>
      <c r="AD983">
        <v>-0.26615909999999998</v>
      </c>
      <c r="AE983">
        <v>-0.119499999999959</v>
      </c>
      <c r="AF983">
        <v>9.5709015878499601E-2</v>
      </c>
      <c r="AG983">
        <v>-0.26615909999999998</v>
      </c>
      <c r="AH983">
        <v>0.46649647106722503</v>
      </c>
      <c r="AI983">
        <v>119.201140816875</v>
      </c>
      <c r="AJ983">
        <v>78.405770024264001</v>
      </c>
      <c r="AK983">
        <v>0.54554545159080503</v>
      </c>
      <c r="AL983">
        <v>87.922458127782704</v>
      </c>
      <c r="AM983">
        <v>88.229369646142004</v>
      </c>
      <c r="AN983">
        <v>0.99999997582692901</v>
      </c>
    </row>
    <row r="984" spans="1:40" x14ac:dyDescent="0.25">
      <c r="A984" t="str">
        <f>"20190312154231936"</f>
        <v>20190312154231936</v>
      </c>
      <c r="B984" t="str">
        <f>"1552376551928689"</f>
        <v>1552376551928689</v>
      </c>
      <c r="C984" t="s">
        <v>40</v>
      </c>
      <c r="D984">
        <v>4.8850860000000003</v>
      </c>
      <c r="E984">
        <v>0.54005559999999997</v>
      </c>
      <c r="F984" t="s">
        <v>41</v>
      </c>
      <c r="G984">
        <v>-227.8843</v>
      </c>
      <c r="H984">
        <v>0.97350000000000003</v>
      </c>
      <c r="I984">
        <v>368.07330000000002</v>
      </c>
      <c r="J984">
        <v>-228.47030000000001</v>
      </c>
      <c r="K984">
        <v>1.1105179999999999</v>
      </c>
      <c r="L984">
        <v>368.19349999999997</v>
      </c>
      <c r="M984">
        <v>0.99988069999999896</v>
      </c>
      <c r="N984">
        <v>0</v>
      </c>
      <c r="O984">
        <v>-6.1898459999999997E-3</v>
      </c>
      <c r="P984">
        <v>0.99906159999999999</v>
      </c>
      <c r="Q984">
        <v>2.1666089999999999E-2</v>
      </c>
      <c r="R984">
        <v>-3.7509519999999998E-2</v>
      </c>
      <c r="S984">
        <v>2.9977719999999999</v>
      </c>
      <c r="T984">
        <v>-0.4670243</v>
      </c>
      <c r="U984">
        <v>-0.41516110000000001</v>
      </c>
      <c r="V984">
        <v>3.1331030000000003E-2</v>
      </c>
      <c r="W984">
        <v>3.5805509999999999E-2</v>
      </c>
      <c r="X984">
        <v>0.99886750000000002</v>
      </c>
      <c r="Y984">
        <v>0.1295857</v>
      </c>
      <c r="Z984">
        <v>-9.0327270000000008E-3</v>
      </c>
      <c r="AA984">
        <v>0.99152709999999999</v>
      </c>
      <c r="AB984">
        <v>29</v>
      </c>
      <c r="AC984">
        <v>0.58600000000001196</v>
      </c>
      <c r="AD984">
        <v>-0.137018</v>
      </c>
      <c r="AE984">
        <v>-0.120199999999954</v>
      </c>
      <c r="AF984">
        <v>0.110759211714473</v>
      </c>
      <c r="AG984">
        <v>-0.137018</v>
      </c>
      <c r="AH984">
        <v>0.55748497005423003</v>
      </c>
      <c r="AI984">
        <v>103.553530881136</v>
      </c>
      <c r="AJ984">
        <v>78.762995587223003</v>
      </c>
      <c r="AK984">
        <v>0.58466317409255197</v>
      </c>
      <c r="AL984">
        <v>87.948056739876804</v>
      </c>
      <c r="AM984">
        <v>88.203417957889897</v>
      </c>
      <c r="AN984">
        <v>0.99999997527173501</v>
      </c>
    </row>
    <row r="985" spans="1:40" x14ac:dyDescent="0.25">
      <c r="A985" t="str">
        <f>"20190312154231957"</f>
        <v>20190312154231957</v>
      </c>
      <c r="B985" t="str">
        <f>"1552376551948209"</f>
        <v>1552376551948209</v>
      </c>
      <c r="C985" t="s">
        <v>40</v>
      </c>
      <c r="D985">
        <v>4.9182449999999998</v>
      </c>
      <c r="E985">
        <v>0.54023390000000004</v>
      </c>
      <c r="F985" t="s">
        <v>41</v>
      </c>
      <c r="G985">
        <v>-227.6165</v>
      </c>
      <c r="H985">
        <v>0.99670840000000005</v>
      </c>
      <c r="I985">
        <v>368.07409999999999</v>
      </c>
      <c r="J985">
        <v>-228.1936</v>
      </c>
      <c r="K985">
        <v>1.110522</v>
      </c>
      <c r="L985">
        <v>368.19159999999999</v>
      </c>
      <c r="M985">
        <v>0.99988010000000005</v>
      </c>
      <c r="N985">
        <v>0</v>
      </c>
      <c r="O985">
        <v>-6.2693879999999999E-3</v>
      </c>
      <c r="P985">
        <v>0.99905820000000001</v>
      </c>
      <c r="Q985">
        <v>2.1046499999999999E-2</v>
      </c>
      <c r="R985">
        <v>-3.7944100000000001E-2</v>
      </c>
      <c r="S985">
        <v>2.9957889999999998</v>
      </c>
      <c r="T985">
        <v>-0.39946530000000002</v>
      </c>
      <c r="U985">
        <v>-0.41824339999999999</v>
      </c>
      <c r="V985">
        <v>3.1686289999999999E-2</v>
      </c>
      <c r="W985">
        <v>3.5182669999999999E-2</v>
      </c>
      <c r="X985">
        <v>0.9988785</v>
      </c>
      <c r="Y985">
        <v>0.13097449999999999</v>
      </c>
      <c r="Z985">
        <v>-7.8240180000000003E-3</v>
      </c>
      <c r="AA985">
        <v>0.99135490000000004</v>
      </c>
      <c r="AB985">
        <v>29</v>
      </c>
      <c r="AC985">
        <v>0.57710000000000095</v>
      </c>
      <c r="AD985">
        <v>-0.113813599999999</v>
      </c>
      <c r="AE985">
        <v>-0.117500000000006</v>
      </c>
      <c r="AF985">
        <v>0.109779425293171</v>
      </c>
      <c r="AG985">
        <v>-0.113813599999999</v>
      </c>
      <c r="AH985">
        <v>0.55702273056263896</v>
      </c>
      <c r="AI985">
        <v>101.335752366072</v>
      </c>
      <c r="AJ985">
        <v>78.850889216291307</v>
      </c>
      <c r="AK985">
        <v>0.57903314251095905</v>
      </c>
      <c r="AL985">
        <v>87.983765494862695</v>
      </c>
      <c r="AM985">
        <v>88.183080233692607</v>
      </c>
      <c r="AN985">
        <v>1.0000000495022701</v>
      </c>
    </row>
    <row r="986" spans="1:40" x14ac:dyDescent="0.25">
      <c r="A986" t="str">
        <f>"20190312154231980"</f>
        <v>20190312154231980</v>
      </c>
      <c r="B986" t="str">
        <f>"1552376551968705"</f>
        <v>1552376551968705</v>
      </c>
      <c r="C986" t="s">
        <v>40</v>
      </c>
      <c r="D986">
        <v>4.9093530000000003</v>
      </c>
      <c r="E986">
        <v>0.54033690000000001</v>
      </c>
      <c r="F986" t="s">
        <v>41</v>
      </c>
      <c r="G986">
        <v>-227.35570000000001</v>
      </c>
      <c r="H986">
        <v>1.0061450000000001</v>
      </c>
      <c r="I986">
        <v>368.07350000000002</v>
      </c>
      <c r="J986">
        <v>-227.91380000000001</v>
      </c>
      <c r="K986">
        <v>1.110514</v>
      </c>
      <c r="L986">
        <v>368.18979999999999</v>
      </c>
      <c r="M986">
        <v>0.99987979999999999</v>
      </c>
      <c r="N986">
        <v>0</v>
      </c>
      <c r="O986">
        <v>-6.3588689999999996E-3</v>
      </c>
      <c r="P986">
        <v>0.99905120000000003</v>
      </c>
      <c r="Q986">
        <v>2.0568699999999999E-2</v>
      </c>
      <c r="R986">
        <v>-3.8394879999999999E-2</v>
      </c>
      <c r="S986">
        <v>2.994675</v>
      </c>
      <c r="T986">
        <v>-0.37329030000000002</v>
      </c>
      <c r="U986">
        <v>-0.4212341</v>
      </c>
      <c r="V986">
        <v>3.2047909999999999E-2</v>
      </c>
      <c r="W986">
        <v>3.4701349999999999E-2</v>
      </c>
      <c r="X986">
        <v>0.99888370000000004</v>
      </c>
      <c r="Y986">
        <v>0.13203589999999901</v>
      </c>
      <c r="Z986">
        <v>-7.3720649999999997E-3</v>
      </c>
      <c r="AA986">
        <v>0.99121749999999997</v>
      </c>
      <c r="AB986">
        <v>29</v>
      </c>
      <c r="AC986">
        <v>0.55809999999999504</v>
      </c>
      <c r="AD986">
        <v>-0.104368999999999</v>
      </c>
      <c r="AE986">
        <v>-0.116299999999967</v>
      </c>
      <c r="AF986">
        <v>0.10909203149409399</v>
      </c>
      <c r="AG986">
        <v>-0.104368999999999</v>
      </c>
      <c r="AH986">
        <v>0.54070578882032305</v>
      </c>
      <c r="AI986">
        <v>100.714329106763</v>
      </c>
      <c r="AJ986">
        <v>78.593216581321897</v>
      </c>
      <c r="AK986">
        <v>0.56138819862935896</v>
      </c>
      <c r="AL986">
        <v>88.011359749554003</v>
      </c>
      <c r="AM986">
        <v>88.162368321384605</v>
      </c>
      <c r="AN986">
        <v>0.99999994917643897</v>
      </c>
    </row>
    <row r="987" spans="1:40" x14ac:dyDescent="0.25">
      <c r="A987" t="str">
        <f>"20190312154232003"</f>
        <v>20190312154232003</v>
      </c>
      <c r="B987" t="str">
        <f>"1552376551997988"</f>
        <v>1552376551997988</v>
      </c>
      <c r="C987" t="s">
        <v>40</v>
      </c>
      <c r="D987">
        <v>4.9237909999999996</v>
      </c>
      <c r="E987">
        <v>0.54032269999999905</v>
      </c>
      <c r="F987" t="s">
        <v>41</v>
      </c>
      <c r="G987">
        <v>-227.09690000000001</v>
      </c>
      <c r="H987">
        <v>1.0122119999999999</v>
      </c>
      <c r="I987">
        <v>368.07389999999998</v>
      </c>
      <c r="J987">
        <v>-227.61959999999999</v>
      </c>
      <c r="K987">
        <v>1.1105</v>
      </c>
      <c r="L987">
        <v>368.18779999999998</v>
      </c>
      <c r="M987">
        <v>0.99987899999999996</v>
      </c>
      <c r="N987">
        <v>0</v>
      </c>
      <c r="O987">
        <v>-6.4677279999999998E-3</v>
      </c>
      <c r="P987">
        <v>0.99908010000000003</v>
      </c>
      <c r="Q987">
        <v>1.973364E-2</v>
      </c>
      <c r="R987">
        <v>-3.8075440000000002E-2</v>
      </c>
      <c r="S987">
        <v>2.9940030000000002</v>
      </c>
      <c r="T987">
        <v>-0.3605196</v>
      </c>
      <c r="U987">
        <v>-0.42382809999999999</v>
      </c>
      <c r="V987">
        <v>3.1620160000000001E-2</v>
      </c>
      <c r="W987">
        <v>3.38631E-2</v>
      </c>
      <c r="X987">
        <v>0.99892619999999999</v>
      </c>
      <c r="Y987">
        <v>0.13285920000000001</v>
      </c>
      <c r="Z987">
        <v>-7.1589699999999997E-3</v>
      </c>
      <c r="AA987">
        <v>0.99110909999999997</v>
      </c>
      <c r="AB987">
        <v>29</v>
      </c>
      <c r="AC987">
        <v>0.52269999999998595</v>
      </c>
      <c r="AD987">
        <v>-9.8287999999999903E-2</v>
      </c>
      <c r="AE987">
        <v>-0.1139</v>
      </c>
      <c r="AF987">
        <v>0.106907834482439</v>
      </c>
      <c r="AG987">
        <v>-9.8287999999999903E-2</v>
      </c>
      <c r="AH987">
        <v>0.50633408465848995</v>
      </c>
      <c r="AI987">
        <v>100.75406737433001</v>
      </c>
      <c r="AJ987">
        <v>78.077627498357899</v>
      </c>
      <c r="AK987">
        <v>0.52674853706932601</v>
      </c>
      <c r="AL987">
        <v>88.059416381480901</v>
      </c>
      <c r="AM987">
        <v>88.186956173942207</v>
      </c>
      <c r="AN987">
        <v>1.0000000485532301</v>
      </c>
    </row>
    <row r="988" spans="1:40" x14ac:dyDescent="0.25">
      <c r="A988" t="str">
        <f>"20190312154232025"</f>
        <v>20190312154232025</v>
      </c>
      <c r="B988" t="str">
        <f>"1552376552018481"</f>
        <v>1552376552018481</v>
      </c>
      <c r="C988" t="s">
        <v>40</v>
      </c>
      <c r="D988">
        <v>4.9364600000000003</v>
      </c>
      <c r="E988">
        <v>0.54009719999999894</v>
      </c>
      <c r="F988" t="s">
        <v>41</v>
      </c>
      <c r="G988">
        <v>-226.83799999999999</v>
      </c>
      <c r="H988">
        <v>1.019118</v>
      </c>
      <c r="I988">
        <v>368.07709999999997</v>
      </c>
      <c r="J988">
        <v>-227.33349999999999</v>
      </c>
      <c r="K988">
        <v>1.1104799999999999</v>
      </c>
      <c r="L988">
        <v>368.1859</v>
      </c>
      <c r="M988">
        <v>0.9998783</v>
      </c>
      <c r="N988">
        <v>0</v>
      </c>
      <c r="O988">
        <v>-6.5941899999999998E-3</v>
      </c>
      <c r="P988">
        <v>0.99912310000000004</v>
      </c>
      <c r="Q988">
        <v>1.8706359999999998E-2</v>
      </c>
      <c r="R988">
        <v>-3.7463709999999997E-2</v>
      </c>
      <c r="S988">
        <v>2.9935610000000001</v>
      </c>
      <c r="T988">
        <v>-0.35027419999999998</v>
      </c>
      <c r="U988">
        <v>-0.4230042</v>
      </c>
      <c r="V988">
        <v>3.088256E-2</v>
      </c>
      <c r="W988">
        <v>3.2832750000000001E-2</v>
      </c>
      <c r="X988">
        <v>0.99898359999999997</v>
      </c>
      <c r="Y988">
        <v>0.1325395</v>
      </c>
      <c r="Z988">
        <v>-6.9248169999999998E-3</v>
      </c>
      <c r="AA988">
        <v>0.99115350000000002</v>
      </c>
      <c r="AB988">
        <v>29</v>
      </c>
      <c r="AC988">
        <v>0.495499999999992</v>
      </c>
      <c r="AD988">
        <v>-9.1361999999999902E-2</v>
      </c>
      <c r="AE988">
        <v>-0.10880000000003</v>
      </c>
      <c r="AF988">
        <v>0.10221470388372</v>
      </c>
      <c r="AG988">
        <v>-9.1361999999999902E-2</v>
      </c>
      <c r="AH988">
        <v>0.48061859296134801</v>
      </c>
      <c r="AI988">
        <v>100.53296008381</v>
      </c>
      <c r="AJ988">
        <v>77.993605039708996</v>
      </c>
      <c r="AK988">
        <v>0.49978904813349201</v>
      </c>
      <c r="AL988">
        <v>88.118483807153495</v>
      </c>
      <c r="AM988">
        <v>88.229323282142204</v>
      </c>
      <c r="AN988">
        <v>0.999999977526837</v>
      </c>
    </row>
    <row r="989" spans="1:40" x14ac:dyDescent="0.25">
      <c r="A989" t="str">
        <f>"20190312154232047"</f>
        <v>20190312154232047</v>
      </c>
      <c r="B989" t="str">
        <f>"1552376552038001"</f>
        <v>1552376552038001</v>
      </c>
      <c r="C989" t="s">
        <v>40</v>
      </c>
      <c r="D989">
        <v>4.9135220000000004</v>
      </c>
      <c r="E989">
        <v>0.53994489999999995</v>
      </c>
      <c r="F989" t="s">
        <v>41</v>
      </c>
      <c r="G989">
        <v>-226.58150000000001</v>
      </c>
      <c r="H989">
        <v>1.0215669999999999</v>
      </c>
      <c r="I989">
        <v>368.0806</v>
      </c>
      <c r="J989">
        <v>-227.0514</v>
      </c>
      <c r="K989">
        <v>1.110463</v>
      </c>
      <c r="L989">
        <v>368.18380000000002</v>
      </c>
      <c r="M989">
        <v>0.99987729999999997</v>
      </c>
      <c r="N989">
        <v>0</v>
      </c>
      <c r="O989">
        <v>-6.7453919999999898E-3</v>
      </c>
      <c r="P989">
        <v>0.99914190000000003</v>
      </c>
      <c r="Q989">
        <v>1.8263669999999999E-2</v>
      </c>
      <c r="R989">
        <v>-3.7179839999999999E-2</v>
      </c>
      <c r="S989">
        <v>2.993576</v>
      </c>
      <c r="T989">
        <v>-0.35393150000000001</v>
      </c>
      <c r="U989">
        <v>-0.41928100000000001</v>
      </c>
      <c r="V989">
        <v>3.0448800000000002E-2</v>
      </c>
      <c r="W989">
        <v>3.2385709999999998E-2</v>
      </c>
      <c r="X989">
        <v>0.99901150000000005</v>
      </c>
      <c r="Y989">
        <v>0.1311726</v>
      </c>
      <c r="Z989">
        <v>-6.8993309999999999E-3</v>
      </c>
      <c r="AA989">
        <v>0.99133559999999998</v>
      </c>
      <c r="AB989">
        <v>29</v>
      </c>
      <c r="AC989">
        <v>0.46989999999999499</v>
      </c>
      <c r="AD989">
        <v>-8.8895999999999795E-2</v>
      </c>
      <c r="AE989">
        <v>-0.103200000000015</v>
      </c>
      <c r="AF989">
        <v>9.6725232323541993E-2</v>
      </c>
      <c r="AG989">
        <v>-8.8895999999999795E-2</v>
      </c>
      <c r="AH989">
        <v>0.45504898406938998</v>
      </c>
      <c r="AI989">
        <v>100.817993003838</v>
      </c>
      <c r="AJ989">
        <v>77.9998090723236</v>
      </c>
      <c r="AK989">
        <v>0.47363260792161099</v>
      </c>
      <c r="AL989">
        <v>88.144110929038007</v>
      </c>
      <c r="AM989">
        <v>88.254226491099701</v>
      </c>
      <c r="AN989">
        <v>0.99999997038294597</v>
      </c>
    </row>
    <row r="990" spans="1:40" x14ac:dyDescent="0.25">
      <c r="A990" t="str">
        <f>"20190312154232070"</f>
        <v>20190312154232070</v>
      </c>
      <c r="B990" t="str">
        <f>"1552376552058497"</f>
        <v>1552376552058497</v>
      </c>
      <c r="C990" t="s">
        <v>40</v>
      </c>
      <c r="D990">
        <v>4.8967029999999996</v>
      </c>
      <c r="E990">
        <v>0.53979540000000004</v>
      </c>
      <c r="F990" t="s">
        <v>41</v>
      </c>
      <c r="G990">
        <v>-226.32509999999999</v>
      </c>
      <c r="H990">
        <v>1.0244219999999999</v>
      </c>
      <c r="I990">
        <v>368.08249999999998</v>
      </c>
      <c r="J990">
        <v>-226.77430000000001</v>
      </c>
      <c r="K990">
        <v>1.1104419999999999</v>
      </c>
      <c r="L990">
        <v>368.18180000000001</v>
      </c>
      <c r="M990">
        <v>0.99987610000000005</v>
      </c>
      <c r="N990">
        <v>0</v>
      </c>
      <c r="O990">
        <v>-6.9258740000000003E-3</v>
      </c>
      <c r="P990">
        <v>0.99915019999999999</v>
      </c>
      <c r="Q990">
        <v>1.810434E-2</v>
      </c>
      <c r="R990">
        <v>-3.703128E-2</v>
      </c>
      <c r="S990">
        <v>2.9935459999999998</v>
      </c>
      <c r="T990">
        <v>-0.35476649999999998</v>
      </c>
      <c r="U990">
        <v>-0.4169312</v>
      </c>
      <c r="V990">
        <v>3.0121419999999999E-2</v>
      </c>
      <c r="W990">
        <v>3.2222239999999999E-2</v>
      </c>
      <c r="X990">
        <v>0.99902670000000005</v>
      </c>
      <c r="Y990">
        <v>0.1302352</v>
      </c>
      <c r="Z990">
        <v>-6.8396359999999996E-3</v>
      </c>
      <c r="AA990">
        <v>0.99145950000000005</v>
      </c>
      <c r="AB990">
        <v>29</v>
      </c>
      <c r="AC990">
        <v>0.44920000000001797</v>
      </c>
      <c r="AD990">
        <v>-8.6019999999999902E-2</v>
      </c>
      <c r="AE990">
        <v>-9.9300000000027894E-2</v>
      </c>
      <c r="AF990">
        <v>9.2936924687968395E-2</v>
      </c>
      <c r="AG990">
        <v>-8.6019999999999902E-2</v>
      </c>
      <c r="AH990">
        <v>0.43467967270465901</v>
      </c>
      <c r="AI990">
        <v>100.952446597801</v>
      </c>
      <c r="AJ990">
        <v>77.931549307019793</v>
      </c>
      <c r="AK990">
        <v>0.45275062698254398</v>
      </c>
      <c r="AL990">
        <v>88.153481942061703</v>
      </c>
      <c r="AM990">
        <v>88.273011564221704</v>
      </c>
      <c r="AN990">
        <v>0.99999996000316105</v>
      </c>
    </row>
    <row r="991" spans="1:40" x14ac:dyDescent="0.25">
      <c r="A991" t="str">
        <f>"20190312154232082"</f>
        <v>20190312154232082</v>
      </c>
      <c r="B991" t="str">
        <f>"1552376552078018"</f>
        <v>1552376552078018</v>
      </c>
      <c r="C991" t="s">
        <v>40</v>
      </c>
      <c r="D991">
        <v>4.901262</v>
      </c>
      <c r="E991">
        <v>0.5398425</v>
      </c>
      <c r="F991" t="s">
        <v>41</v>
      </c>
      <c r="G991">
        <v>-225.82859999999999</v>
      </c>
      <c r="H991">
        <v>0.99840249999999997</v>
      </c>
      <c r="I991">
        <v>368.05029999999999</v>
      </c>
      <c r="J991">
        <v>-226.59970000000001</v>
      </c>
      <c r="K991">
        <v>1.1104229999999999</v>
      </c>
      <c r="L991">
        <v>368.18040000000002</v>
      </c>
      <c r="M991">
        <v>0.99987519999999996</v>
      </c>
      <c r="N991">
        <v>0</v>
      </c>
      <c r="O991">
        <v>-7.0582190000000001E-3</v>
      </c>
      <c r="P991">
        <v>0.99914510000000001</v>
      </c>
      <c r="Q991">
        <v>1.8203529999999999E-2</v>
      </c>
      <c r="R991">
        <v>-3.7121439999999999E-2</v>
      </c>
      <c r="S991">
        <v>2.9935610000000001</v>
      </c>
      <c r="T991">
        <v>-0.35488029999999998</v>
      </c>
      <c r="U991">
        <v>-0.41513060000000002</v>
      </c>
      <c r="V991">
        <v>3.0080599999999999E-2</v>
      </c>
      <c r="W991">
        <v>3.2318989999999999E-2</v>
      </c>
      <c r="X991">
        <v>0.99902489999999999</v>
      </c>
      <c r="Y991">
        <v>0.12952350000000001</v>
      </c>
      <c r="Z991">
        <v>-6.7846599999999996E-3</v>
      </c>
      <c r="AA991">
        <v>0.99155309999999997</v>
      </c>
      <c r="AB991">
        <v>28</v>
      </c>
      <c r="AC991">
        <v>0.77110000000001799</v>
      </c>
      <c r="AD991">
        <v>-0.112020499999999</v>
      </c>
      <c r="AE991">
        <v>-0.130100000000027</v>
      </c>
      <c r="AF991">
        <v>0.122147127832039</v>
      </c>
      <c r="AG991">
        <v>-0.112020499999999</v>
      </c>
      <c r="AH991">
        <v>0.75647604701967197</v>
      </c>
      <c r="AI991">
        <v>98.317073035561194</v>
      </c>
      <c r="AJ991">
        <v>80.827697709654203</v>
      </c>
      <c r="AK991">
        <v>0.77441882916957505</v>
      </c>
      <c r="AL991">
        <v>88.147935862903495</v>
      </c>
      <c r="AM991">
        <v>88.275347427601005</v>
      </c>
      <c r="AN991">
        <v>1.00000005521549</v>
      </c>
    </row>
    <row r="992" spans="1:40" x14ac:dyDescent="0.25">
      <c r="A992" t="str">
        <f>"20190312154232104"</f>
        <v>20190312154232104</v>
      </c>
      <c r="B992" t="str">
        <f>"1552376552098513"</f>
        <v>1552376552098513</v>
      </c>
      <c r="C992" t="s">
        <v>40</v>
      </c>
      <c r="D992">
        <v>4.9107770000000004</v>
      </c>
      <c r="E992">
        <v>0.53993069999999999</v>
      </c>
      <c r="F992" t="s">
        <v>41</v>
      </c>
      <c r="G992">
        <v>-225.8192</v>
      </c>
      <c r="H992">
        <v>1.0179530000000001</v>
      </c>
      <c r="I992">
        <v>368.07170000000002</v>
      </c>
      <c r="J992">
        <v>-226.33609999999999</v>
      </c>
      <c r="K992">
        <v>1.110401</v>
      </c>
      <c r="L992">
        <v>368.17829999999998</v>
      </c>
      <c r="M992">
        <v>0.99987360000000003</v>
      </c>
      <c r="N992">
        <v>0</v>
      </c>
      <c r="O992">
        <v>-7.2775849999999996E-3</v>
      </c>
      <c r="P992">
        <v>0.99913350000000001</v>
      </c>
      <c r="Q992">
        <v>1.8464330000000001E-2</v>
      </c>
      <c r="R992">
        <v>-3.7305100000000001E-2</v>
      </c>
      <c r="S992">
        <v>2.9935610000000001</v>
      </c>
      <c r="T992">
        <v>-0.35493590000000003</v>
      </c>
      <c r="U992">
        <v>-0.41595460000000001</v>
      </c>
      <c r="V992">
        <v>3.004706E-2</v>
      </c>
      <c r="W992">
        <v>3.2575390000000003E-2</v>
      </c>
      <c r="X992">
        <v>0.9990175</v>
      </c>
      <c r="Y992">
        <v>0.12957460000000001</v>
      </c>
      <c r="Z992">
        <v>-6.7628030000000004E-3</v>
      </c>
      <c r="AA992">
        <v>0.99154659999999994</v>
      </c>
      <c r="AB992">
        <v>28</v>
      </c>
      <c r="AC992">
        <v>0.51689999999999203</v>
      </c>
      <c r="AD992">
        <v>-9.2447999999999794E-2</v>
      </c>
      <c r="AE992">
        <v>-0.10659999999995701</v>
      </c>
      <c r="AF992">
        <v>9.9773693405577707E-2</v>
      </c>
      <c r="AG992">
        <v>-9.2447999999999794E-2</v>
      </c>
      <c r="AH992">
        <v>0.50225175127628396</v>
      </c>
      <c r="AI992">
        <v>100.233896317171</v>
      </c>
      <c r="AJ992">
        <v>78.764309345475894</v>
      </c>
      <c r="AK992">
        <v>0.52034435161716197</v>
      </c>
      <c r="AL992">
        <v>88.133237333943796</v>
      </c>
      <c r="AM992">
        <v>88.277256510256706</v>
      </c>
      <c r="AN992">
        <v>0.99999997357727199</v>
      </c>
    </row>
    <row r="993" spans="1:40" x14ac:dyDescent="0.25">
      <c r="A993" t="str">
        <f>"20190312154232126"</f>
        <v>20190312154232126</v>
      </c>
      <c r="B993" t="str">
        <f>"1552376552118033"</f>
        <v>1552376552118033</v>
      </c>
      <c r="C993" t="s">
        <v>40</v>
      </c>
      <c r="D993">
        <v>4.8640589999999904</v>
      </c>
      <c r="E993">
        <v>0.54014180000000001</v>
      </c>
      <c r="F993" t="s">
        <v>41</v>
      </c>
      <c r="G993">
        <v>-225.56460000000001</v>
      </c>
      <c r="H993">
        <v>1.0191239999999999</v>
      </c>
      <c r="I993">
        <v>368.07080000000002</v>
      </c>
      <c r="J993">
        <v>-226.05340000000001</v>
      </c>
      <c r="K993">
        <v>1.110376</v>
      </c>
      <c r="L993">
        <v>368.17599999999999</v>
      </c>
      <c r="M993">
        <v>0.99987170000000003</v>
      </c>
      <c r="N993">
        <v>0</v>
      </c>
      <c r="O993">
        <v>-7.5411749999999998E-3</v>
      </c>
      <c r="P993">
        <v>0.99911570000000005</v>
      </c>
      <c r="Q993">
        <v>1.8722920000000001E-2</v>
      </c>
      <c r="R993">
        <v>-3.7649130000000003E-2</v>
      </c>
      <c r="S993">
        <v>2.993576</v>
      </c>
      <c r="T993">
        <v>-0.35422979999999998</v>
      </c>
      <c r="U993">
        <v>-0.41690060000000001</v>
      </c>
      <c r="V993">
        <v>3.0129699999999999E-2</v>
      </c>
      <c r="W993">
        <v>3.2829410000000003E-2</v>
      </c>
      <c r="X993">
        <v>0.99900670000000003</v>
      </c>
      <c r="Y993">
        <v>0.12962480000000001</v>
      </c>
      <c r="Z993">
        <v>-6.721281E-3</v>
      </c>
      <c r="AA993">
        <v>0.99154030000000004</v>
      </c>
      <c r="AB993">
        <v>28</v>
      </c>
      <c r="AC993">
        <v>0.48879999999999701</v>
      </c>
      <c r="AD993">
        <v>-9.1252000000000097E-2</v>
      </c>
      <c r="AE993">
        <v>-0.105199999999968</v>
      </c>
      <c r="AF993">
        <v>9.8238321596835099E-2</v>
      </c>
      <c r="AG993">
        <v>-9.1252000000000097E-2</v>
      </c>
      <c r="AH993">
        <v>0.473797910873682</v>
      </c>
      <c r="AI993">
        <v>100.679742868375</v>
      </c>
      <c r="AJ993">
        <v>78.286144996437997</v>
      </c>
      <c r="AK993">
        <v>0.49240446350782402</v>
      </c>
      <c r="AL993">
        <v>88.118675278821001</v>
      </c>
      <c r="AM993">
        <v>88.272502561737596</v>
      </c>
      <c r="AN993">
        <v>0.99999997781396299</v>
      </c>
    </row>
    <row r="994" spans="1:40" x14ac:dyDescent="0.25">
      <c r="A994" t="str">
        <f>"20190312154232139"</f>
        <v>20190312154232139</v>
      </c>
      <c r="B994" t="str">
        <f>"1552376552128339"</f>
        <v>1552376552128339</v>
      </c>
      <c r="C994" t="s">
        <v>40</v>
      </c>
      <c r="D994">
        <v>4.8478680000000001</v>
      </c>
      <c r="E994">
        <v>0.53998669999999904</v>
      </c>
      <c r="F994" t="s">
        <v>41</v>
      </c>
      <c r="G994">
        <v>-225.309</v>
      </c>
      <c r="H994">
        <v>1.022761</v>
      </c>
      <c r="I994">
        <v>368.07139999999998</v>
      </c>
      <c r="J994">
        <v>-225.8938</v>
      </c>
      <c r="K994">
        <v>1.110368</v>
      </c>
      <c r="L994">
        <v>368.1746</v>
      </c>
      <c r="M994">
        <v>0.99987060000000005</v>
      </c>
      <c r="N994">
        <v>0</v>
      </c>
      <c r="O994">
        <v>-7.7039589999999998E-3</v>
      </c>
      <c r="P994">
        <v>0.99909460000000005</v>
      </c>
      <c r="Q994">
        <v>1.8680200000000001E-2</v>
      </c>
      <c r="R994">
        <v>-3.8226570000000001E-2</v>
      </c>
      <c r="S994">
        <v>2.9934539999999998</v>
      </c>
      <c r="T994">
        <v>-0.35251120000000002</v>
      </c>
      <c r="U994">
        <v>-0.41958620000000002</v>
      </c>
      <c r="V994">
        <v>3.0545570000000001E-2</v>
      </c>
      <c r="W994">
        <v>3.2783659999999999E-2</v>
      </c>
      <c r="X994">
        <v>0.99899559999999998</v>
      </c>
      <c r="Y994">
        <v>0.13034569999999901</v>
      </c>
      <c r="Z994">
        <v>-6.7118419999999896E-3</v>
      </c>
      <c r="AA994">
        <v>0.99144589999999999</v>
      </c>
      <c r="AB994">
        <v>28</v>
      </c>
      <c r="AC994">
        <v>0.58479999999997201</v>
      </c>
      <c r="AD994">
        <v>-8.7606999999999893E-2</v>
      </c>
      <c r="AE994">
        <v>-0.103200000000015</v>
      </c>
      <c r="AF994">
        <v>9.6589021003793699E-2</v>
      </c>
      <c r="AG994">
        <v>-8.7606999999999893E-2</v>
      </c>
      <c r="AH994">
        <v>0.57310455716212205</v>
      </c>
      <c r="AI994">
        <v>98.572118934076101</v>
      </c>
      <c r="AJ994">
        <v>80.433472924238004</v>
      </c>
      <c r="AK994">
        <v>0.58775271914935701</v>
      </c>
      <c r="AL994">
        <v>88.1212980227141</v>
      </c>
      <c r="AM994">
        <v>88.248653803085503</v>
      </c>
      <c r="AN994">
        <v>1.0000000045144899</v>
      </c>
    </row>
    <row r="995" spans="1:40" x14ac:dyDescent="0.25">
      <c r="A995" t="str">
        <f>"20190312154232150"</f>
        <v>20190312154232150</v>
      </c>
      <c r="B995" t="str">
        <f>"1552376552138099"</f>
        <v>1552376552138099</v>
      </c>
      <c r="C995" t="s">
        <v>40</v>
      </c>
      <c r="D995">
        <v>4.8788629999999999</v>
      </c>
      <c r="E995">
        <v>0.53998669999999904</v>
      </c>
      <c r="F995" t="s">
        <v>41</v>
      </c>
      <c r="G995">
        <v>-225.06039999999999</v>
      </c>
      <c r="H995">
        <v>1.012778</v>
      </c>
      <c r="I995">
        <v>368.0575</v>
      </c>
      <c r="J995">
        <v>-225.74469999999999</v>
      </c>
      <c r="K995">
        <v>1.110357</v>
      </c>
      <c r="L995">
        <v>368.17329999999998</v>
      </c>
      <c r="M995">
        <v>0.99986920000000001</v>
      </c>
      <c r="N995">
        <v>0</v>
      </c>
      <c r="O995">
        <v>-7.8595660000000001E-3</v>
      </c>
      <c r="P995">
        <v>0.99907170000000001</v>
      </c>
      <c r="Q995">
        <v>1.8719070000000001E-2</v>
      </c>
      <c r="R995">
        <v>-3.879842E-2</v>
      </c>
      <c r="S995">
        <v>2.9931950000000001</v>
      </c>
      <c r="T995">
        <v>-0.35062130000000002</v>
      </c>
      <c r="U995">
        <v>-0.42019649999999997</v>
      </c>
      <c r="V995">
        <v>3.0962839999999998E-2</v>
      </c>
      <c r="W995">
        <v>3.2819880000000003E-2</v>
      </c>
      <c r="X995">
        <v>0.99898149999999997</v>
      </c>
      <c r="Y995">
        <v>0.1304109</v>
      </c>
      <c r="Z995">
        <v>-6.6622869999999898E-3</v>
      </c>
      <c r="AA995">
        <v>0.99143769999999998</v>
      </c>
      <c r="AB995">
        <v>28</v>
      </c>
      <c r="AC995">
        <v>0.68430000000000701</v>
      </c>
      <c r="AD995">
        <v>-9.7578999999999999E-2</v>
      </c>
      <c r="AE995">
        <v>-0.115799999999978</v>
      </c>
      <c r="AF995">
        <v>0.108277186046965</v>
      </c>
      <c r="AG995">
        <v>-9.7578999999999999E-2</v>
      </c>
      <c r="AH995">
        <v>0.67190698816125305</v>
      </c>
      <c r="AI995">
        <v>98.159301107243493</v>
      </c>
      <c r="AJ995">
        <v>80.845541122280196</v>
      </c>
      <c r="AK995">
        <v>0.68753517073614101</v>
      </c>
      <c r="AL995">
        <v>88.119221530232196</v>
      </c>
      <c r="AM995">
        <v>88.224719575089495</v>
      </c>
      <c r="AN995">
        <v>0.99999993966316303</v>
      </c>
    </row>
    <row r="996" spans="1:40" x14ac:dyDescent="0.25">
      <c r="A996" t="str">
        <f>"20190312154232161"</f>
        <v>20190312154232161</v>
      </c>
      <c r="B996" t="str">
        <f>"1552376552158594"</f>
        <v>1552376552158594</v>
      </c>
      <c r="C996" t="s">
        <v>40</v>
      </c>
      <c r="D996">
        <v>4.8540330000000003</v>
      </c>
      <c r="E996">
        <v>0.52889509999999995</v>
      </c>
      <c r="F996" t="s">
        <v>41</v>
      </c>
      <c r="G996">
        <v>-224.81280000000001</v>
      </c>
      <c r="H996">
        <v>1.0012669999999999</v>
      </c>
      <c r="I996">
        <v>368.0419</v>
      </c>
      <c r="J996">
        <v>-225.59729999999999</v>
      </c>
      <c r="K996">
        <v>1.110349</v>
      </c>
      <c r="L996">
        <v>368.17200000000003</v>
      </c>
      <c r="M996">
        <v>0.99986819999999998</v>
      </c>
      <c r="N996">
        <v>0</v>
      </c>
      <c r="O996">
        <v>-8.0210960000000001E-3</v>
      </c>
      <c r="P996">
        <v>0.99904300000000001</v>
      </c>
      <c r="Q996">
        <v>1.9032670000000002E-2</v>
      </c>
      <c r="R996">
        <v>-3.9381880000000001E-2</v>
      </c>
      <c r="S996">
        <v>2.9929960000000002</v>
      </c>
      <c r="T996">
        <v>-0.35050550000000003</v>
      </c>
      <c r="U996">
        <v>-0.42144779999999998</v>
      </c>
      <c r="V996">
        <v>3.1385879999999998E-2</v>
      </c>
      <c r="W996">
        <v>3.3130600000000003E-2</v>
      </c>
      <c r="X996">
        <v>0.99895809999999996</v>
      </c>
      <c r="Y996">
        <v>0.13066610000000001</v>
      </c>
      <c r="Z996">
        <v>-6.6564069999999996E-3</v>
      </c>
      <c r="AA996">
        <v>0.99140410000000001</v>
      </c>
      <c r="AB996">
        <v>28</v>
      </c>
      <c r="AC996">
        <v>0.78449999999997999</v>
      </c>
      <c r="AD996">
        <v>-0.109082</v>
      </c>
      <c r="AE996">
        <v>-0.13009999999996999</v>
      </c>
      <c r="AF996">
        <v>0.12151613586955699</v>
      </c>
      <c r="AG996">
        <v>-0.109082</v>
      </c>
      <c r="AH996">
        <v>0.77101072830885098</v>
      </c>
      <c r="AI996">
        <v>97.955794159577707</v>
      </c>
      <c r="AJ996">
        <v>81.043499216318196</v>
      </c>
      <c r="AK996">
        <v>0.78811331492876902</v>
      </c>
      <c r="AL996">
        <v>88.101409007900898</v>
      </c>
      <c r="AM996">
        <v>88.200437936934406</v>
      </c>
      <c r="AN996">
        <v>0.99999999783767202</v>
      </c>
    </row>
    <row r="997" spans="1:40" x14ac:dyDescent="0.25">
      <c r="A997" t="str">
        <f>"20190312154232182"</f>
        <v>20190312154232182</v>
      </c>
      <c r="B997" t="str">
        <f>"1552376552168356"</f>
        <v>1552376552168356</v>
      </c>
      <c r="C997" t="s">
        <v>40</v>
      </c>
      <c r="D997">
        <v>4.8486180000000001</v>
      </c>
      <c r="E997">
        <v>0.528821599999999</v>
      </c>
      <c r="F997" t="s">
        <v>47</v>
      </c>
      <c r="G997">
        <v>-208.38120000000001</v>
      </c>
      <c r="H997" s="1">
        <v>-5.2743280000000004E-6</v>
      </c>
      <c r="I997">
        <v>366.21589999999998</v>
      </c>
      <c r="J997">
        <v>-225.3485</v>
      </c>
      <c r="K997">
        <v>1.110341</v>
      </c>
      <c r="L997">
        <v>368.16969999999998</v>
      </c>
      <c r="M997">
        <v>0.99986589999999997</v>
      </c>
      <c r="N997">
        <v>0</v>
      </c>
      <c r="O997">
        <v>-8.3009079999999992E-3</v>
      </c>
      <c r="P997">
        <v>0.99898679999999995</v>
      </c>
      <c r="Q997">
        <v>1.9480230000000001E-2</v>
      </c>
      <c r="R997">
        <v>-4.0575159999999999E-2</v>
      </c>
      <c r="S997">
        <v>2.9931489999999998</v>
      </c>
      <c r="T997">
        <v>-0.19304360000000001</v>
      </c>
      <c r="U997">
        <v>-0.3400879</v>
      </c>
      <c r="V997">
        <v>3.230102E-2</v>
      </c>
      <c r="W997">
        <v>3.3573350000000002E-2</v>
      </c>
      <c r="X997">
        <v>0.99891410000000003</v>
      </c>
      <c r="Y997">
        <v>0.104446</v>
      </c>
      <c r="Z997">
        <v>-2.8207900000000001E-3</v>
      </c>
      <c r="AA997">
        <v>0.99452660000000004</v>
      </c>
      <c r="AB997">
        <v>28</v>
      </c>
      <c r="AC997">
        <v>16.967299999999899</v>
      </c>
      <c r="AD997">
        <v>-1.1103462743279999</v>
      </c>
      <c r="AE997">
        <v>-1.9538</v>
      </c>
      <c r="AF997">
        <v>1.80524495253815</v>
      </c>
      <c r="AG997">
        <v>-1.1103462743279999</v>
      </c>
      <c r="AH997">
        <v>16.911460636494599</v>
      </c>
      <c r="AI997">
        <v>93.735284587978398</v>
      </c>
      <c r="AJ997">
        <v>83.906930068645906</v>
      </c>
      <c r="AK997">
        <v>17.043746039157199</v>
      </c>
      <c r="AL997">
        <v>88.076027093183498</v>
      </c>
      <c r="AM997">
        <v>88.147921354069695</v>
      </c>
      <c r="AN997">
        <v>0.99999995245103501</v>
      </c>
    </row>
    <row r="998" spans="1:40" x14ac:dyDescent="0.25">
      <c r="A998" t="str">
        <f>"20190312154232204"</f>
        <v>20190312154232204</v>
      </c>
      <c r="B998" t="str">
        <f>"1552376552198610"</f>
        <v>1552376552198610</v>
      </c>
      <c r="C998" t="s">
        <v>40</v>
      </c>
      <c r="D998">
        <v>4.7646319999999998</v>
      </c>
      <c r="E998">
        <v>0.52986889999999998</v>
      </c>
      <c r="F998" t="s">
        <v>47</v>
      </c>
      <c r="G998">
        <v>-207.6866</v>
      </c>
      <c r="H998" s="1">
        <v>-4.9759509999999996E-6</v>
      </c>
      <c r="I998">
        <v>366.1456</v>
      </c>
      <c r="J998">
        <v>-225.0651</v>
      </c>
      <c r="K998">
        <v>1.1103400000000001</v>
      </c>
      <c r="L998">
        <v>368.16699999999997</v>
      </c>
      <c r="M998">
        <v>0.9998631</v>
      </c>
      <c r="N998">
        <v>0</v>
      </c>
      <c r="O998">
        <v>-8.6266820000000001E-3</v>
      </c>
      <c r="P998">
        <v>0.99892809999999999</v>
      </c>
      <c r="Q998">
        <v>1.9860240000000001E-2</v>
      </c>
      <c r="R998">
        <v>-4.181352E-2</v>
      </c>
      <c r="S998">
        <v>2.9927830000000002</v>
      </c>
      <c r="T998">
        <v>-0.18814610000000001</v>
      </c>
      <c r="U998">
        <v>-0.34298709999999999</v>
      </c>
      <c r="V998">
        <v>3.3214899999999999E-2</v>
      </c>
      <c r="W998">
        <v>3.3949350000000003E-2</v>
      </c>
      <c r="X998">
        <v>0.99887139999999996</v>
      </c>
      <c r="Y998">
        <v>0.1050958</v>
      </c>
      <c r="Z998">
        <v>-2.749502E-3</v>
      </c>
      <c r="AA998">
        <v>0.99445830000000002</v>
      </c>
      <c r="AB998">
        <v>28</v>
      </c>
      <c r="AC998">
        <v>17.378499999999999</v>
      </c>
      <c r="AD998">
        <v>-1.11034497595099</v>
      </c>
      <c r="AE998">
        <v>-2.0213999999999701</v>
      </c>
      <c r="AF998">
        <v>1.8638839010711299</v>
      </c>
      <c r="AG998">
        <v>-1.11034497595099</v>
      </c>
      <c r="AH998">
        <v>17.325511312832099</v>
      </c>
      <c r="AI998">
        <v>93.645935958254697</v>
      </c>
      <c r="AJ998">
        <v>83.859717766703696</v>
      </c>
      <c r="AK998">
        <v>17.460821040643101</v>
      </c>
      <c r="AL998">
        <v>88.054471548584303</v>
      </c>
      <c r="AM998">
        <v>88.095477929181399</v>
      </c>
      <c r="AN998">
        <v>0.99999993084269301</v>
      </c>
    </row>
    <row r="999" spans="1:40" x14ac:dyDescent="0.25">
      <c r="A999" t="str">
        <f>"20190312154232219"</f>
        <v>20190312154232219</v>
      </c>
      <c r="B999" t="str">
        <f>"1552376552208371"</f>
        <v>1552376552208371</v>
      </c>
      <c r="C999" t="s">
        <v>40</v>
      </c>
      <c r="D999">
        <v>4.733619</v>
      </c>
      <c r="E999">
        <v>0.53023739999999997</v>
      </c>
      <c r="F999" t="s">
        <v>47</v>
      </c>
      <c r="G999">
        <v>-206.81700000000001</v>
      </c>
      <c r="H999" s="1">
        <v>-4.6034200000000004E-6</v>
      </c>
      <c r="I999">
        <v>365.99880000000002</v>
      </c>
      <c r="J999">
        <v>-224.88570000000001</v>
      </c>
      <c r="K999">
        <v>1.1103339999999999</v>
      </c>
      <c r="L999">
        <v>368.16520000000003</v>
      </c>
      <c r="M999">
        <v>0.99986129999999995</v>
      </c>
      <c r="N999">
        <v>0</v>
      </c>
      <c r="O999">
        <v>-8.8351980000000007E-3</v>
      </c>
      <c r="P999">
        <v>0.9989055</v>
      </c>
      <c r="Q999">
        <v>1.9954039999999999E-2</v>
      </c>
      <c r="R999">
        <v>-4.2304120000000001E-2</v>
      </c>
      <c r="S999">
        <v>2.991959</v>
      </c>
      <c r="T999">
        <v>-0.1820524</v>
      </c>
      <c r="U999">
        <v>-0.35549930000000002</v>
      </c>
      <c r="V999">
        <v>3.3497899999999997E-2</v>
      </c>
      <c r="W999">
        <v>3.4040380000000002E-2</v>
      </c>
      <c r="X999">
        <v>0.99885889999999999</v>
      </c>
      <c r="Y999">
        <v>0.1090266</v>
      </c>
      <c r="Z999">
        <v>-2.7671359999999999E-3</v>
      </c>
      <c r="AA999">
        <v>0.99403490000000005</v>
      </c>
      <c r="AB999">
        <v>28</v>
      </c>
      <c r="AC999">
        <v>18.0687</v>
      </c>
      <c r="AD999">
        <v>-1.11033860342</v>
      </c>
      <c r="AE999">
        <v>-2.1664000000000101</v>
      </c>
      <c r="AF999">
        <v>1.99921648408751</v>
      </c>
      <c r="AG999">
        <v>-1.11033860342</v>
      </c>
      <c r="AH999">
        <v>18.020053803101899</v>
      </c>
      <c r="AI999">
        <v>93.504479117315896</v>
      </c>
      <c r="AJ999">
        <v>83.669267570039494</v>
      </c>
      <c r="AK999">
        <v>18.164582500877401</v>
      </c>
      <c r="AL999">
        <v>88.049252991912795</v>
      </c>
      <c r="AM999">
        <v>88.079238966797703</v>
      </c>
      <c r="AN999">
        <v>0.99999997944208197</v>
      </c>
    </row>
    <row r="1000" spans="1:40" x14ac:dyDescent="0.25">
      <c r="A1000" t="str">
        <f>"20190312154232231"</f>
        <v>20190312154232231</v>
      </c>
      <c r="B1000" t="str">
        <f>"1552376552227891"</f>
        <v>1552376552227891</v>
      </c>
      <c r="C1000" t="s">
        <v>40</v>
      </c>
      <c r="D1000">
        <v>4.756564</v>
      </c>
      <c r="E1000">
        <v>0.53066630000000004</v>
      </c>
      <c r="F1000" t="s">
        <v>47</v>
      </c>
      <c r="G1000">
        <v>-206.64080000000001</v>
      </c>
      <c r="H1000" s="1">
        <v>-4.5275810000000002E-6</v>
      </c>
      <c r="I1000">
        <v>365.97059999999999</v>
      </c>
      <c r="J1000">
        <v>-224.72489999999999</v>
      </c>
      <c r="K1000">
        <v>1.1103320000000001</v>
      </c>
      <c r="L1000">
        <v>368.16359999999997</v>
      </c>
      <c r="M1000">
        <v>0.99985959999999996</v>
      </c>
      <c r="N1000">
        <v>0</v>
      </c>
      <c r="O1000">
        <v>-9.0222410000000003E-3</v>
      </c>
      <c r="P1000">
        <v>0.99887539999999997</v>
      </c>
      <c r="Q1000">
        <v>2.0187210000000001E-2</v>
      </c>
      <c r="R1000">
        <v>-4.2903320000000002E-2</v>
      </c>
      <c r="S1000">
        <v>2.9916839999999998</v>
      </c>
      <c r="T1000">
        <v>-0.1820667</v>
      </c>
      <c r="U1000">
        <v>-0.3598633</v>
      </c>
      <c r="V1000">
        <v>3.3910320000000001E-2</v>
      </c>
      <c r="W1000">
        <v>3.4271509999999998E-2</v>
      </c>
      <c r="X1000">
        <v>0.99883710000000003</v>
      </c>
      <c r="Y1000">
        <v>0.1102789</v>
      </c>
      <c r="Z1000">
        <v>-2.7939729999999999E-3</v>
      </c>
      <c r="AA1000">
        <v>0.99389669999999997</v>
      </c>
      <c r="AB1000">
        <v>28</v>
      </c>
      <c r="AC1000">
        <v>18.0840999999999</v>
      </c>
      <c r="AD1000">
        <v>-1.11033652758099</v>
      </c>
      <c r="AE1000">
        <v>-2.1929999999999801</v>
      </c>
      <c r="AF1000">
        <v>2.0222225049505802</v>
      </c>
      <c r="AG1000">
        <v>-1.11033652758099</v>
      </c>
      <c r="AH1000">
        <v>18.036144721034699</v>
      </c>
      <c r="AI1000">
        <v>93.500901189341903</v>
      </c>
      <c r="AJ1000">
        <v>83.602683216049996</v>
      </c>
      <c r="AK1000">
        <v>18.183089601663401</v>
      </c>
      <c r="AL1000">
        <v>88.036002525580997</v>
      </c>
      <c r="AM1000">
        <v>88.055566546618607</v>
      </c>
      <c r="AN1000">
        <v>0.99999999926829597</v>
      </c>
    </row>
    <row r="1001" spans="1:40" x14ac:dyDescent="0.25">
      <c r="A1001" t="str">
        <f>"20190312154232249"</f>
        <v>20190312154232249</v>
      </c>
      <c r="B1001" t="str">
        <f>"1552376552238627"</f>
        <v>1552376552238627</v>
      </c>
      <c r="C1001" t="s">
        <v>40</v>
      </c>
      <c r="D1001">
        <v>4.7356480000000003</v>
      </c>
      <c r="E1001">
        <v>0.5307868</v>
      </c>
      <c r="F1001" t="s">
        <v>47</v>
      </c>
      <c r="G1001">
        <v>-206.55250000000001</v>
      </c>
      <c r="H1001" s="1">
        <v>-4.4918050000000003E-6</v>
      </c>
      <c r="I1001">
        <v>365.94650000000001</v>
      </c>
      <c r="J1001">
        <v>-224.49780000000001</v>
      </c>
      <c r="K1001">
        <v>1.1103369999999999</v>
      </c>
      <c r="L1001">
        <v>368.16129999999998</v>
      </c>
      <c r="M1001">
        <v>0.99985740000000001</v>
      </c>
      <c r="N1001">
        <v>0</v>
      </c>
      <c r="O1001">
        <v>-9.2862699999999992E-3</v>
      </c>
      <c r="P1001">
        <v>0.99883529999999998</v>
      </c>
      <c r="Q1001">
        <v>2.0482529999999999E-2</v>
      </c>
      <c r="R1001">
        <v>-4.3687719999999999E-2</v>
      </c>
      <c r="S1001">
        <v>2.9913940000000001</v>
      </c>
      <c r="T1001">
        <v>-0.1827744</v>
      </c>
      <c r="U1001">
        <v>-0.3649597</v>
      </c>
      <c r="V1001">
        <v>3.44316E-2</v>
      </c>
      <c r="W1001">
        <v>3.4563629999999998E-2</v>
      </c>
      <c r="X1001">
        <v>0.99880919999999895</v>
      </c>
      <c r="Y1001">
        <v>0.1116931</v>
      </c>
      <c r="Z1001">
        <v>-2.831746E-3</v>
      </c>
      <c r="AA1001">
        <v>0.99373869999999997</v>
      </c>
      <c r="AB1001">
        <v>28</v>
      </c>
      <c r="AC1001">
        <v>17.9453</v>
      </c>
      <c r="AD1001">
        <v>-1.1103414918050001</v>
      </c>
      <c r="AE1001">
        <v>-2.2147999999999599</v>
      </c>
      <c r="AF1001">
        <v>2.0403490286930901</v>
      </c>
      <c r="AG1001">
        <v>-1.1103414918050001</v>
      </c>
      <c r="AH1001">
        <v>17.897605083191898</v>
      </c>
      <c r="AI1001">
        <v>93.527209361320004</v>
      </c>
      <c r="AJ1001">
        <v>83.496288252251205</v>
      </c>
      <c r="AK1001">
        <v>18.047718695203798</v>
      </c>
      <c r="AL1001">
        <v>88.019255359444998</v>
      </c>
      <c r="AM1001">
        <v>88.025644480946099</v>
      </c>
      <c r="AN1001">
        <v>0.999999998800988</v>
      </c>
    </row>
    <row r="1002" spans="1:40" x14ac:dyDescent="0.25">
      <c r="A1002" t="str">
        <f>"20190312154232270"</f>
        <v>20190312154232270</v>
      </c>
      <c r="B1002" t="str">
        <f>"1552376552258147"</f>
        <v>1552376552258147</v>
      </c>
      <c r="C1002" t="s">
        <v>40</v>
      </c>
      <c r="D1002">
        <v>4.7244089999999996</v>
      </c>
      <c r="E1002">
        <v>0.53107819999999994</v>
      </c>
      <c r="F1002" t="s">
        <v>47</v>
      </c>
      <c r="G1002">
        <v>-206.30019999999999</v>
      </c>
      <c r="H1002" s="1">
        <v>-4.3798139999999999E-6</v>
      </c>
      <c r="I1002">
        <v>365.92140000000001</v>
      </c>
      <c r="J1002">
        <v>-224.2242</v>
      </c>
      <c r="K1002">
        <v>1.1103400000000001</v>
      </c>
      <c r="L1002">
        <v>368.15839999999997</v>
      </c>
      <c r="M1002">
        <v>0.99985440000000003</v>
      </c>
      <c r="N1002">
        <v>0</v>
      </c>
      <c r="O1002">
        <v>-9.6017749999999999E-3</v>
      </c>
      <c r="P1002">
        <v>0.99877740000000004</v>
      </c>
      <c r="Q1002">
        <v>2.0760020000000001E-2</v>
      </c>
      <c r="R1002">
        <v>-4.4866169999999997E-2</v>
      </c>
      <c r="S1002">
        <v>2.9911349999999999</v>
      </c>
      <c r="T1002">
        <v>-0.18250669999999999</v>
      </c>
      <c r="U1002">
        <v>-0.36816409999999999</v>
      </c>
      <c r="V1002">
        <v>3.5295239999999999E-2</v>
      </c>
      <c r="W1002">
        <v>3.4837180000000002E-2</v>
      </c>
      <c r="X1002">
        <v>0.99876960000000004</v>
      </c>
      <c r="Y1002">
        <v>0.11243839999999999</v>
      </c>
      <c r="Z1002">
        <v>-2.831142E-3</v>
      </c>
      <c r="AA1002">
        <v>0.9936547</v>
      </c>
      <c r="AB1002">
        <v>28</v>
      </c>
      <c r="AC1002">
        <v>17.923999999999999</v>
      </c>
      <c r="AD1002">
        <v>-1.11034437981399</v>
      </c>
      <c r="AE1002">
        <v>-2.2369999999999601</v>
      </c>
      <c r="AF1002">
        <v>2.05700488158026</v>
      </c>
      <c r="AG1002">
        <v>-1.11034437981399</v>
      </c>
      <c r="AH1002">
        <v>17.877104131473502</v>
      </c>
      <c r="AI1002">
        <v>93.530830170140604</v>
      </c>
      <c r="AJ1002">
        <v>83.436204258450402</v>
      </c>
      <c r="AK1002">
        <v>18.029281345971</v>
      </c>
      <c r="AL1002">
        <v>88.003572753354405</v>
      </c>
      <c r="AM1002">
        <v>87.976082672866696</v>
      </c>
      <c r="AN1002">
        <v>1.00000004848058</v>
      </c>
    </row>
    <row r="1003" spans="1:40" x14ac:dyDescent="0.25">
      <c r="A1003" t="str">
        <f>"20190312154232284"</f>
        <v>20190312154232284</v>
      </c>
      <c r="B1003" t="str">
        <f>"1552376552278642"</f>
        <v>1552376552278642</v>
      </c>
      <c r="C1003" t="s">
        <v>40</v>
      </c>
      <c r="D1003">
        <v>4.7076840000000004</v>
      </c>
      <c r="E1003">
        <v>0.53143530000000005</v>
      </c>
      <c r="F1003" t="s">
        <v>47</v>
      </c>
      <c r="G1003">
        <v>-206.00239999999999</v>
      </c>
      <c r="H1003" s="1">
        <v>-4.2506389999999996E-6</v>
      </c>
      <c r="I1003">
        <v>365.8784</v>
      </c>
      <c r="J1003">
        <v>-224.0523</v>
      </c>
      <c r="K1003">
        <v>1.1103379999999901</v>
      </c>
      <c r="L1003">
        <v>368.15660000000003</v>
      </c>
      <c r="M1003">
        <v>0.99985250000000003</v>
      </c>
      <c r="N1003">
        <v>0</v>
      </c>
      <c r="O1003">
        <v>-9.7989129999999994E-3</v>
      </c>
      <c r="P1003">
        <v>0.9987665</v>
      </c>
      <c r="Q1003">
        <v>2.08618E-2</v>
      </c>
      <c r="R1003">
        <v>-4.5060169999999997E-2</v>
      </c>
      <c r="S1003">
        <v>2.990631</v>
      </c>
      <c r="T1003">
        <v>-0.18223400000000001</v>
      </c>
      <c r="U1003">
        <v>-0.3742065</v>
      </c>
      <c r="V1003">
        <v>3.5292509999999999E-2</v>
      </c>
      <c r="W1003">
        <v>3.4937250000000003E-2</v>
      </c>
      <c r="X1003">
        <v>0.99876609999999999</v>
      </c>
      <c r="Y1003">
        <v>0.1142374</v>
      </c>
      <c r="Z1003">
        <v>-2.8696400000000001E-3</v>
      </c>
      <c r="AA1003">
        <v>0.99344929999999998</v>
      </c>
      <c r="AB1003">
        <v>28</v>
      </c>
      <c r="AC1003">
        <v>18.049900000000001</v>
      </c>
      <c r="AD1003">
        <v>-1.1103422506389899</v>
      </c>
      <c r="AE1003">
        <v>-2.27820000000002</v>
      </c>
      <c r="AF1003">
        <v>2.0934061362820402</v>
      </c>
      <c r="AG1003">
        <v>-1.1103422506389899</v>
      </c>
      <c r="AH1003">
        <v>18.004297388343101</v>
      </c>
      <c r="AI1003">
        <v>93.505459440469195</v>
      </c>
      <c r="AJ1003">
        <v>83.367852173503806</v>
      </c>
      <c r="AK1003">
        <v>18.159568651619299</v>
      </c>
      <c r="AL1003">
        <v>87.997835470507098</v>
      </c>
      <c r="AM1003">
        <v>87.976232001701405</v>
      </c>
      <c r="AN1003">
        <v>0.999999947604435</v>
      </c>
    </row>
    <row r="1004" spans="1:40" x14ac:dyDescent="0.25">
      <c r="A1004" t="str">
        <f>"20190312154232305"</f>
        <v>20190312154232305</v>
      </c>
      <c r="B1004" t="str">
        <f>"1552376552298163"</f>
        <v>1552376552298163</v>
      </c>
      <c r="C1004" t="s">
        <v>40</v>
      </c>
      <c r="D1004">
        <v>4.7428710000000001</v>
      </c>
      <c r="E1004">
        <v>0.53165699999999905</v>
      </c>
      <c r="F1004" t="s">
        <v>47</v>
      </c>
      <c r="G1004">
        <v>-205.7458</v>
      </c>
      <c r="H1004" s="1">
        <v>-4.1390770000000003E-6</v>
      </c>
      <c r="I1004">
        <v>365.8426</v>
      </c>
      <c r="J1004">
        <v>-223.79490000000001</v>
      </c>
      <c r="K1004">
        <v>1.1103379999999901</v>
      </c>
      <c r="L1004">
        <v>368.15370000000001</v>
      </c>
      <c r="M1004">
        <v>0.99984960000000001</v>
      </c>
      <c r="N1004">
        <v>0</v>
      </c>
      <c r="O1004">
        <v>-1.009235E-2</v>
      </c>
      <c r="P1004">
        <v>0.99870899999999996</v>
      </c>
      <c r="Q1004">
        <v>2.1409959999999999E-2</v>
      </c>
      <c r="R1004">
        <v>-4.6067410000000003E-2</v>
      </c>
      <c r="S1004">
        <v>2.9904329999999999</v>
      </c>
      <c r="T1004">
        <v>-0.18137929999999999</v>
      </c>
      <c r="U1004">
        <v>-0.37799070000000001</v>
      </c>
      <c r="V1004">
        <v>3.600739E-2</v>
      </c>
      <c r="W1004">
        <v>3.5481939999999997E-2</v>
      </c>
      <c r="X1004">
        <v>0.99872139999999998</v>
      </c>
      <c r="Y1004">
        <v>0.11519210000000001</v>
      </c>
      <c r="Z1004">
        <v>-2.867274E-3</v>
      </c>
      <c r="AA1004">
        <v>0.99333910000000003</v>
      </c>
      <c r="AB1004">
        <v>28</v>
      </c>
      <c r="AC1004">
        <v>18.049099999999999</v>
      </c>
      <c r="AD1004">
        <v>-1.1103421390770001</v>
      </c>
      <c r="AE1004">
        <v>-2.3111000000000099</v>
      </c>
      <c r="AF1004">
        <v>2.1209093243985699</v>
      </c>
      <c r="AG1004">
        <v>-1.1103421390770001</v>
      </c>
      <c r="AH1004">
        <v>18.004469488618099</v>
      </c>
      <c r="AI1004">
        <v>93.504809473928503</v>
      </c>
      <c r="AJ1004">
        <v>83.281574019638896</v>
      </c>
      <c r="AK1004">
        <v>18.162930314096101</v>
      </c>
      <c r="AL1004">
        <v>87.966607708030807</v>
      </c>
      <c r="AM1004">
        <v>87.935181645690804</v>
      </c>
      <c r="AN1004">
        <v>0.99999996750936704</v>
      </c>
    </row>
    <row r="1005" spans="1:40" x14ac:dyDescent="0.25">
      <c r="A1005" t="str">
        <f>"20190312154232326"</f>
        <v>20190312154232326</v>
      </c>
      <c r="B1005" t="str">
        <f>"1552376552318659"</f>
        <v>1552376552318659</v>
      </c>
      <c r="C1005" t="s">
        <v>40</v>
      </c>
      <c r="D1005">
        <v>4.6830439999999998</v>
      </c>
      <c r="E1005">
        <v>0.53189010000000003</v>
      </c>
      <c r="F1005" t="s">
        <v>47</v>
      </c>
      <c r="G1005">
        <v>-205.33269999999999</v>
      </c>
      <c r="H1005" s="1">
        <v>-3.9576739999999999E-6</v>
      </c>
      <c r="I1005">
        <v>365.79270000000002</v>
      </c>
      <c r="J1005">
        <v>-223.51939999999999</v>
      </c>
      <c r="K1005">
        <v>1.110341</v>
      </c>
      <c r="L1005">
        <v>368.1506</v>
      </c>
      <c r="M1005">
        <v>0.99984629999999997</v>
      </c>
      <c r="N1005">
        <v>0</v>
      </c>
      <c r="O1005">
        <v>-1.0406179999999999E-2</v>
      </c>
      <c r="P1005">
        <v>0.99864269999999999</v>
      </c>
      <c r="Q1005">
        <v>2.2080369999999998E-2</v>
      </c>
      <c r="R1005">
        <v>-4.7172459999999999E-2</v>
      </c>
      <c r="S1005">
        <v>2.990097</v>
      </c>
      <c r="T1005">
        <v>-0.17982819999999999</v>
      </c>
      <c r="U1005">
        <v>-0.38238529999999998</v>
      </c>
      <c r="V1005">
        <v>3.6799659999999998E-2</v>
      </c>
      <c r="W1005">
        <v>3.6148130000000001E-2</v>
      </c>
      <c r="X1005">
        <v>0.99866869999999996</v>
      </c>
      <c r="Y1005">
        <v>0.11633259999999999</v>
      </c>
      <c r="Z1005">
        <v>-2.8582030000000001E-3</v>
      </c>
      <c r="AA1005">
        <v>0.99320620000000004</v>
      </c>
      <c r="AB1005">
        <v>28</v>
      </c>
      <c r="AC1005">
        <v>18.186699999999998</v>
      </c>
      <c r="AD1005">
        <v>-1.1103449576739901</v>
      </c>
      <c r="AE1005">
        <v>-2.3578999999999701</v>
      </c>
      <c r="AF1005">
        <v>2.1605791398184899</v>
      </c>
      <c r="AG1005">
        <v>-1.1103449576739901</v>
      </c>
      <c r="AH1005">
        <v>18.143742931912399</v>
      </c>
      <c r="AI1005">
        <v>93.477461709351303</v>
      </c>
      <c r="AJ1005">
        <v>83.209126844195396</v>
      </c>
      <c r="AK1005">
        <v>18.305637812536698</v>
      </c>
      <c r="AL1005">
        <v>87.928413471259205</v>
      </c>
      <c r="AM1005">
        <v>87.889678858202998</v>
      </c>
      <c r="AN1005">
        <v>1.00000003731915</v>
      </c>
    </row>
    <row r="1006" spans="1:40" x14ac:dyDescent="0.25">
      <c r="A1006" t="str">
        <f>"20190312154232340"</f>
        <v>20190312154232340</v>
      </c>
      <c r="B1006" t="str">
        <f>"1552376552327948"</f>
        <v>1552376552327948</v>
      </c>
      <c r="C1006" t="s">
        <v>40</v>
      </c>
      <c r="D1006">
        <v>4.7212319999999997</v>
      </c>
      <c r="E1006">
        <v>0.53197629999999996</v>
      </c>
      <c r="F1006" t="s">
        <v>47</v>
      </c>
      <c r="G1006">
        <v>-204.8305</v>
      </c>
      <c r="H1006" s="1">
        <v>-3.731738E-6</v>
      </c>
      <c r="I1006">
        <v>365.72800000000001</v>
      </c>
      <c r="J1006">
        <v>-223.35239999999999</v>
      </c>
      <c r="K1006">
        <v>1.1103419999999999</v>
      </c>
      <c r="L1006">
        <v>368.14859999999999</v>
      </c>
      <c r="M1006">
        <v>0.99984439999999997</v>
      </c>
      <c r="N1006">
        <v>0</v>
      </c>
      <c r="O1006">
        <v>-1.0598450000000001E-2</v>
      </c>
      <c r="P1006">
        <v>0.99860919999999997</v>
      </c>
      <c r="Q1006">
        <v>2.228337E-2</v>
      </c>
      <c r="R1006">
        <v>-4.778338E-2</v>
      </c>
      <c r="S1006">
        <v>2.9897</v>
      </c>
      <c r="T1006">
        <v>-0.17762329999999901</v>
      </c>
      <c r="U1006">
        <v>-0.38754270000000002</v>
      </c>
      <c r="V1006">
        <v>3.721903E-2</v>
      </c>
      <c r="W1006">
        <v>3.6349220000000002E-2</v>
      </c>
      <c r="X1006">
        <v>0.99864580000000003</v>
      </c>
      <c r="Y1006">
        <v>0.117845699999999</v>
      </c>
      <c r="Z1006">
        <v>-2.8566429999999999E-3</v>
      </c>
      <c r="AA1006">
        <v>0.99302780000000002</v>
      </c>
      <c r="AB1006">
        <v>28</v>
      </c>
      <c r="AC1006">
        <v>18.521899999999899</v>
      </c>
      <c r="AD1006">
        <v>-1.1103457317380001</v>
      </c>
      <c r="AE1006">
        <v>-2.4205999999999701</v>
      </c>
      <c r="AF1006">
        <v>2.2163100003442202</v>
      </c>
      <c r="AG1006">
        <v>-1.1103457317380001</v>
      </c>
      <c r="AH1006">
        <v>18.481215488724899</v>
      </c>
      <c r="AI1006">
        <v>93.413778674922895</v>
      </c>
      <c r="AJ1006">
        <v>83.161614908847199</v>
      </c>
      <c r="AK1006">
        <v>18.646721524233101</v>
      </c>
      <c r="AL1006">
        <v>87.916884162613997</v>
      </c>
      <c r="AM1006">
        <v>87.865602796224195</v>
      </c>
      <c r="AN1006">
        <v>0.99999997792319395</v>
      </c>
    </row>
    <row r="1007" spans="1:40" x14ac:dyDescent="0.25">
      <c r="A1007" t="str">
        <f>"20190312154232352"</f>
        <v>20190312154232352</v>
      </c>
      <c r="B1007" t="str">
        <f>"1552376552348444"</f>
        <v>1552376552348444</v>
      </c>
      <c r="C1007" t="s">
        <v>40</v>
      </c>
      <c r="D1007">
        <v>4.7315069999999997</v>
      </c>
      <c r="E1007">
        <v>0.53201809999999905</v>
      </c>
      <c r="F1007" t="s">
        <v>47</v>
      </c>
      <c r="G1007">
        <v>-204.5977</v>
      </c>
      <c r="H1007" s="1">
        <v>-3.6206219999999999E-6</v>
      </c>
      <c r="I1007">
        <v>365.70080000000002</v>
      </c>
      <c r="J1007">
        <v>-223.2047</v>
      </c>
      <c r="K1007">
        <v>1.110344</v>
      </c>
      <c r="L1007">
        <v>368.14690000000002</v>
      </c>
      <c r="M1007">
        <v>0.99984260000000003</v>
      </c>
      <c r="N1007">
        <v>0</v>
      </c>
      <c r="O1007">
        <v>-1.076939E-2</v>
      </c>
      <c r="P1007">
        <v>0.99858769999999997</v>
      </c>
      <c r="Q1007">
        <v>2.1983510000000001E-2</v>
      </c>
      <c r="R1007">
        <v>-4.836816E-2</v>
      </c>
      <c r="S1007">
        <v>2.9894409999999998</v>
      </c>
      <c r="T1007">
        <v>-0.17698559999999999</v>
      </c>
      <c r="U1007">
        <v>-0.39016719999999999</v>
      </c>
      <c r="V1007">
        <v>3.7632930000000002E-2</v>
      </c>
      <c r="W1007">
        <v>3.604711E-2</v>
      </c>
      <c r="X1007">
        <v>0.99864129999999995</v>
      </c>
      <c r="Y1007">
        <v>0.1185446</v>
      </c>
      <c r="Z1007">
        <v>-2.8570090000000002E-3</v>
      </c>
      <c r="AA1007">
        <v>0.99294459999999996</v>
      </c>
      <c r="AB1007">
        <v>28</v>
      </c>
      <c r="AC1007">
        <v>18.606999999999999</v>
      </c>
      <c r="AD1007">
        <v>-1.110347620622</v>
      </c>
      <c r="AE1007">
        <v>-2.4460999999999999</v>
      </c>
      <c r="AF1007">
        <v>2.2377191349774699</v>
      </c>
      <c r="AG1007">
        <v>-1.110347620622</v>
      </c>
      <c r="AH1007">
        <v>18.5672725584547</v>
      </c>
      <c r="AI1007">
        <v>93.397759222263005</v>
      </c>
      <c r="AJ1007">
        <v>83.127883549380797</v>
      </c>
      <c r="AK1007">
        <v>18.734563486390901</v>
      </c>
      <c r="AL1007">
        <v>87.934205268472994</v>
      </c>
      <c r="AM1007">
        <v>87.841879505722005</v>
      </c>
      <c r="AN1007">
        <v>1.0000000388127099</v>
      </c>
    </row>
    <row r="1008" spans="1:40" x14ac:dyDescent="0.25">
      <c r="A1008" t="str">
        <f>"20190312154232364"</f>
        <v>20190312154232364</v>
      </c>
      <c r="B1008" t="str">
        <f>"1552376552358205"</f>
        <v>1552376552358205</v>
      </c>
      <c r="C1008" t="s">
        <v>40</v>
      </c>
      <c r="D1008">
        <v>4.7183719999999996</v>
      </c>
      <c r="E1008">
        <v>0.53203840000000002</v>
      </c>
      <c r="F1008" t="s">
        <v>47</v>
      </c>
      <c r="G1008">
        <v>-204.58850000000001</v>
      </c>
      <c r="H1008" s="1">
        <v>-3.6151910000000001E-6</v>
      </c>
      <c r="I1008">
        <v>365.70440000000002</v>
      </c>
      <c r="J1008">
        <v>-223.0488</v>
      </c>
      <c r="K1008">
        <v>1.1103419999999999</v>
      </c>
      <c r="L1008">
        <v>368.14499999999998</v>
      </c>
      <c r="M1008">
        <v>0.99984070000000003</v>
      </c>
      <c r="N1008">
        <v>0</v>
      </c>
      <c r="O1008">
        <v>-1.095227E-2</v>
      </c>
      <c r="P1008">
        <v>0.99854889999999996</v>
      </c>
      <c r="Q1008">
        <v>2.2143329999999999E-2</v>
      </c>
      <c r="R1008">
        <v>-4.9095600000000003E-2</v>
      </c>
      <c r="S1008">
        <v>2.989166</v>
      </c>
      <c r="T1008">
        <v>-0.17828620000000001</v>
      </c>
      <c r="U1008">
        <v>-0.39218140000000001</v>
      </c>
      <c r="V1008">
        <v>3.8178249999999997E-2</v>
      </c>
      <c r="W1008">
        <v>3.6204359999999998E-2</v>
      </c>
      <c r="X1008">
        <v>0.99861480000000002</v>
      </c>
      <c r="Y1008">
        <v>0.1190292</v>
      </c>
      <c r="Z1008">
        <v>-2.8816330000000002E-3</v>
      </c>
      <c r="AA1008">
        <v>0.99288650000000001</v>
      </c>
      <c r="AB1008">
        <v>28</v>
      </c>
      <c r="AC1008">
        <v>18.460299999999901</v>
      </c>
      <c r="AD1008">
        <v>-1.1103456151909901</v>
      </c>
      <c r="AE1008">
        <v>-2.4405999999999599</v>
      </c>
      <c r="AF1008">
        <v>2.23032117757452</v>
      </c>
      <c r="AG1008">
        <v>-1.1103456151909901</v>
      </c>
      <c r="AH1008">
        <v>18.420429577529099</v>
      </c>
      <c r="AI1008">
        <v>93.424547464821401</v>
      </c>
      <c r="AJ1008">
        <v>83.096308283550798</v>
      </c>
      <c r="AK1008">
        <v>18.588152833485601</v>
      </c>
      <c r="AL1008">
        <v>87.925189389660403</v>
      </c>
      <c r="AM1008">
        <v>87.810579432095196</v>
      </c>
      <c r="AN1008">
        <v>0.99999992661755299</v>
      </c>
    </row>
    <row r="1009" spans="1:40" x14ac:dyDescent="0.25">
      <c r="A1009" t="str">
        <f>"20190312154232383"</f>
        <v>20190312154232383</v>
      </c>
      <c r="B1009" t="str">
        <f>"1552376552378701"</f>
        <v>1552376552378701</v>
      </c>
      <c r="C1009" t="s">
        <v>40</v>
      </c>
      <c r="D1009">
        <v>4.6966359999999998</v>
      </c>
      <c r="E1009">
        <v>0.53212519999999996</v>
      </c>
      <c r="F1009" t="s">
        <v>47</v>
      </c>
      <c r="G1009">
        <v>-204.3698</v>
      </c>
      <c r="H1009" s="1">
        <v>-3.5103469999999999E-6</v>
      </c>
      <c r="I1009">
        <v>365.68090000000001</v>
      </c>
      <c r="J1009">
        <v>-222.81970000000001</v>
      </c>
      <c r="K1009">
        <v>1.110336</v>
      </c>
      <c r="L1009">
        <v>368.1422</v>
      </c>
      <c r="M1009">
        <v>0.99983759999999999</v>
      </c>
      <c r="N1009">
        <v>0</v>
      </c>
      <c r="O1009">
        <v>-1.122626E-2</v>
      </c>
      <c r="P1009">
        <v>0.99845030000000001</v>
      </c>
      <c r="Q1009">
        <v>2.1810670000000001E-2</v>
      </c>
      <c r="R1009">
        <v>-5.1199649999999999E-2</v>
      </c>
      <c r="S1009">
        <v>2.9889070000000002</v>
      </c>
      <c r="T1009">
        <v>-0.17767060000000001</v>
      </c>
      <c r="U1009">
        <v>-0.3942871</v>
      </c>
      <c r="V1009">
        <v>4.0009820000000001E-2</v>
      </c>
      <c r="W1009">
        <v>3.5866500000000003E-2</v>
      </c>
      <c r="X1009">
        <v>0.99855539999999998</v>
      </c>
      <c r="Y1009">
        <v>0.1194569</v>
      </c>
      <c r="Z1009">
        <v>-2.8682640000000001E-3</v>
      </c>
      <c r="AA1009">
        <v>0.99283520000000003</v>
      </c>
      <c r="AB1009">
        <v>28</v>
      </c>
      <c r="AC1009">
        <v>18.4499</v>
      </c>
      <c r="AD1009">
        <v>-1.110339510347</v>
      </c>
      <c r="AE1009">
        <v>-2.4612999999999898</v>
      </c>
      <c r="AF1009">
        <v>2.2460085680020101</v>
      </c>
      <c r="AG1009">
        <v>-1.110339510347</v>
      </c>
      <c r="AH1009">
        <v>18.410856704210001</v>
      </c>
      <c r="AI1009">
        <v>93.425930476418401</v>
      </c>
      <c r="AJ1009">
        <v>83.044644140929506</v>
      </c>
      <c r="AK1009">
        <v>18.580555774753599</v>
      </c>
      <c r="AL1009">
        <v>87.944560155645803</v>
      </c>
      <c r="AM1009">
        <v>87.705517136846694</v>
      </c>
      <c r="AN1009">
        <v>1.0000000391939201</v>
      </c>
    </row>
    <row r="1010" spans="1:40" x14ac:dyDescent="0.25">
      <c r="A1010" t="str">
        <f>"20190312154232397"</f>
        <v>20190312154232397</v>
      </c>
      <c r="B1010" t="str">
        <f>"1552376552388460"</f>
        <v>1552376552388460</v>
      </c>
      <c r="C1010" t="s">
        <v>40</v>
      </c>
      <c r="D1010">
        <v>4.7379680000000004</v>
      </c>
      <c r="E1010">
        <v>0.53215590000000002</v>
      </c>
      <c r="F1010" t="s">
        <v>47</v>
      </c>
      <c r="G1010">
        <v>-204.19540000000001</v>
      </c>
      <c r="H1010" s="1">
        <v>-3.4317859999999999E-6</v>
      </c>
      <c r="I1010">
        <v>365.6395</v>
      </c>
      <c r="J1010">
        <v>-222.6438</v>
      </c>
      <c r="K1010">
        <v>1.1103320000000001</v>
      </c>
      <c r="L1010">
        <v>368.14</v>
      </c>
      <c r="M1010">
        <v>0.99983529999999998</v>
      </c>
      <c r="N1010">
        <v>0</v>
      </c>
      <c r="O1010">
        <v>-1.144305E-2</v>
      </c>
      <c r="P1010">
        <v>0.99837920000000002</v>
      </c>
      <c r="Q1010">
        <v>2.1933660000000001E-2</v>
      </c>
      <c r="R1010">
        <v>-5.2523390000000003E-2</v>
      </c>
      <c r="S1010">
        <v>2.9879760000000002</v>
      </c>
      <c r="T1010">
        <v>-0.17813679999999901</v>
      </c>
      <c r="U1010">
        <v>-0.40151979999999998</v>
      </c>
      <c r="V1010">
        <v>4.111795E-2</v>
      </c>
      <c r="W1010">
        <v>3.5986110000000002E-2</v>
      </c>
      <c r="X1010">
        <v>0.99850609999999995</v>
      </c>
      <c r="Y1010">
        <v>0.12163839999999999</v>
      </c>
      <c r="Z1010">
        <v>-2.9280389999999999E-3</v>
      </c>
      <c r="AA1010">
        <v>0.99257019999999996</v>
      </c>
      <c r="AB1010">
        <v>28</v>
      </c>
      <c r="AC1010">
        <v>18.4483999999999</v>
      </c>
      <c r="AD1010">
        <v>-1.1103354317859999</v>
      </c>
      <c r="AE1010">
        <v>-2.5004999999999802</v>
      </c>
      <c r="AF1010">
        <v>2.2810954627545499</v>
      </c>
      <c r="AG1010">
        <v>-1.1103354317859999</v>
      </c>
      <c r="AH1010">
        <v>18.4103223860523</v>
      </c>
      <c r="AI1010">
        <v>93.425226799787794</v>
      </c>
      <c r="AJ1010">
        <v>82.936874529115599</v>
      </c>
      <c r="AK1010">
        <v>18.584300138548599</v>
      </c>
      <c r="AL1010">
        <v>87.937702621275605</v>
      </c>
      <c r="AM1010">
        <v>87.641922580536502</v>
      </c>
      <c r="AN1010">
        <v>1.0000000588311699</v>
      </c>
    </row>
    <row r="1011" spans="1:40" x14ac:dyDescent="0.25">
      <c r="A1011" t="str">
        <f>"20190312154232410"</f>
        <v>20190312154232410</v>
      </c>
      <c r="B1011" t="str">
        <f>"1552376552398220"</f>
        <v>1552376552398220</v>
      </c>
      <c r="C1011" t="s">
        <v>40</v>
      </c>
      <c r="D1011">
        <v>4.7221520000000003</v>
      </c>
      <c r="E1011">
        <v>0.5322479</v>
      </c>
      <c r="F1011" t="s">
        <v>47</v>
      </c>
      <c r="G1011">
        <v>-203.98910000000001</v>
      </c>
      <c r="H1011" s="1">
        <v>-3.3351859999999999E-6</v>
      </c>
      <c r="I1011">
        <v>365.60700000000003</v>
      </c>
      <c r="J1011">
        <v>-222.4735</v>
      </c>
      <c r="K1011">
        <v>1.110325</v>
      </c>
      <c r="L1011">
        <v>368.13780000000003</v>
      </c>
      <c r="M1011">
        <v>0.99983279999999997</v>
      </c>
      <c r="N1011">
        <v>0</v>
      </c>
      <c r="O1011">
        <v>-1.165794E-2</v>
      </c>
      <c r="P1011">
        <v>0.99830240000000003</v>
      </c>
      <c r="Q1011">
        <v>2.16785E-2</v>
      </c>
      <c r="R1011">
        <v>-5.4061459999999999E-2</v>
      </c>
      <c r="S1011">
        <v>2.9874269999999998</v>
      </c>
      <c r="T1011">
        <v>-0.17781279999999999</v>
      </c>
      <c r="U1011">
        <v>-0.40563959999999999</v>
      </c>
      <c r="V1011">
        <v>4.244266E-2</v>
      </c>
      <c r="W1011">
        <v>3.5727349999999998E-2</v>
      </c>
      <c r="X1011">
        <v>0.99845989999999996</v>
      </c>
      <c r="Y1011">
        <v>0.1227924</v>
      </c>
      <c r="Z1011">
        <v>-2.9444290000000001E-3</v>
      </c>
      <c r="AA1011">
        <v>0.99242799999999998</v>
      </c>
      <c r="AB1011">
        <v>28</v>
      </c>
      <c r="AC1011">
        <v>18.484399999999901</v>
      </c>
      <c r="AD1011">
        <v>-1.110328335186</v>
      </c>
      <c r="AE1011">
        <v>-2.5308000000000499</v>
      </c>
      <c r="AF1011">
        <v>2.3069457868344001</v>
      </c>
      <c r="AG1011">
        <v>-1.110328335186</v>
      </c>
      <c r="AH1011">
        <v>18.4473134329603</v>
      </c>
      <c r="AI1011">
        <v>93.417871059509693</v>
      </c>
      <c r="AJ1011">
        <v>82.871828881009193</v>
      </c>
      <c r="AK1011">
        <v>18.6241295305093</v>
      </c>
      <c r="AL1011">
        <v>87.952537890592694</v>
      </c>
      <c r="AM1011">
        <v>87.565929109571996</v>
      </c>
      <c r="AN1011">
        <v>0.999999997416954</v>
      </c>
    </row>
    <row r="1012" spans="1:40" x14ac:dyDescent="0.25">
      <c r="A1012" t="str">
        <f>"20190312154232427"</f>
        <v>20190312154232427</v>
      </c>
      <c r="B1012" t="str">
        <f>"1552376552418716"</f>
        <v>1552376552418716</v>
      </c>
      <c r="C1012" t="s">
        <v>40</v>
      </c>
      <c r="D1012">
        <v>4.7257930000000004</v>
      </c>
      <c r="E1012">
        <v>0.53230239999999995</v>
      </c>
      <c r="F1012" t="s">
        <v>47</v>
      </c>
      <c r="G1012">
        <v>-203.91210000000001</v>
      </c>
      <c r="H1012" s="1">
        <v>-3.3015329999999999E-6</v>
      </c>
      <c r="I1012">
        <v>365.58409999999998</v>
      </c>
      <c r="J1012">
        <v>-222.2621</v>
      </c>
      <c r="K1012">
        <v>1.110312</v>
      </c>
      <c r="L1012">
        <v>368.13510000000002</v>
      </c>
      <c r="M1012">
        <v>0.99982959999999999</v>
      </c>
      <c r="N1012">
        <v>0</v>
      </c>
      <c r="O1012">
        <v>-1.1934999999999999E-2</v>
      </c>
      <c r="P1012">
        <v>0.99814809999999998</v>
      </c>
      <c r="Q1012">
        <v>2.1916970000000001E-2</v>
      </c>
      <c r="R1012">
        <v>-5.674717E-2</v>
      </c>
      <c r="S1012">
        <v>2.9867249999999999</v>
      </c>
      <c r="T1012">
        <v>-0.1786642</v>
      </c>
      <c r="U1012">
        <v>-0.41091919999999998</v>
      </c>
      <c r="V1012">
        <v>4.4854270000000002E-2</v>
      </c>
      <c r="W1012">
        <v>3.5959419999999999E-2</v>
      </c>
      <c r="X1012">
        <v>0.99834610000000001</v>
      </c>
      <c r="Y1012">
        <v>0.1242665</v>
      </c>
      <c r="Z1012">
        <v>-2.9862090000000001E-3</v>
      </c>
      <c r="AA1012">
        <v>0.99224440000000003</v>
      </c>
      <c r="AB1012">
        <v>28</v>
      </c>
      <c r="AC1012">
        <v>18.349999999999898</v>
      </c>
      <c r="AD1012">
        <v>-1.1103153015330001</v>
      </c>
      <c r="AE1012">
        <v>-2.5510000000000401</v>
      </c>
      <c r="AF1012">
        <v>2.3234440462949002</v>
      </c>
      <c r="AG1012">
        <v>-1.1103153015330001</v>
      </c>
      <c r="AH1012">
        <v>18.3133647661876</v>
      </c>
      <c r="AI1012">
        <v>93.441996916448701</v>
      </c>
      <c r="AJ1012">
        <v>82.769428746096494</v>
      </c>
      <c r="AK1012">
        <v>18.493526471836699</v>
      </c>
      <c r="AL1012">
        <v>87.939232633018804</v>
      </c>
      <c r="AM1012">
        <v>87.4275121278596</v>
      </c>
      <c r="AN1012">
        <v>0.99999996040458805</v>
      </c>
    </row>
    <row r="1013" spans="1:40" x14ac:dyDescent="0.25">
      <c r="A1013" t="str">
        <f>"20190312154232442"</f>
        <v>20190312154232442</v>
      </c>
      <c r="B1013" t="str">
        <f>"1552376552438236"</f>
        <v>1552376552438236</v>
      </c>
      <c r="C1013" t="s">
        <v>40</v>
      </c>
      <c r="D1013">
        <v>4.7993209999999999</v>
      </c>
      <c r="E1013">
        <v>0.53218779999999999</v>
      </c>
      <c r="F1013" t="s">
        <v>47</v>
      </c>
      <c r="G1013">
        <v>-203.61330000000001</v>
      </c>
      <c r="H1013" s="1">
        <v>-3.1667530000000001E-6</v>
      </c>
      <c r="I1013">
        <v>365.51369999999997</v>
      </c>
      <c r="J1013">
        <v>-222.08260000000001</v>
      </c>
      <c r="K1013">
        <v>1.110301</v>
      </c>
      <c r="L1013">
        <v>368.13260000000002</v>
      </c>
      <c r="M1013">
        <v>0.99982660000000001</v>
      </c>
      <c r="N1013">
        <v>0</v>
      </c>
      <c r="O1013">
        <v>-1.2183100000000001E-2</v>
      </c>
      <c r="P1013">
        <v>0.99807820000000003</v>
      </c>
      <c r="Q1013">
        <v>2.1881330000000001E-2</v>
      </c>
      <c r="R1013">
        <v>-5.7977239999999999E-2</v>
      </c>
      <c r="S1013">
        <v>2.9855960000000001</v>
      </c>
      <c r="T1013">
        <v>-0.1777569</v>
      </c>
      <c r="U1013">
        <v>-0.41967769999999999</v>
      </c>
      <c r="V1013">
        <v>4.58381E-2</v>
      </c>
      <c r="W1013">
        <v>3.5919390000000002E-2</v>
      </c>
      <c r="X1013">
        <v>0.99830289999999999</v>
      </c>
      <c r="Y1013">
        <v>0.1269238</v>
      </c>
      <c r="Z1013">
        <v>-3.0355590000000002E-3</v>
      </c>
      <c r="AA1013">
        <v>0.99190780000000001</v>
      </c>
      <c r="AB1013">
        <v>28</v>
      </c>
      <c r="AC1013">
        <v>18.4693</v>
      </c>
      <c r="AD1013">
        <v>-1.110304166753</v>
      </c>
      <c r="AE1013">
        <v>-2.6189000000000502</v>
      </c>
      <c r="AF1013">
        <v>2.38521976865154</v>
      </c>
      <c r="AG1013">
        <v>-1.110304166753</v>
      </c>
      <c r="AH1013">
        <v>18.434529996939901</v>
      </c>
      <c r="AI1013">
        <v>93.418310947834001</v>
      </c>
      <c r="AJ1013">
        <v>82.627533699603006</v>
      </c>
      <c r="AK1013">
        <v>18.6213303739436</v>
      </c>
      <c r="AL1013">
        <v>87.941527761920497</v>
      </c>
      <c r="AM1013">
        <v>87.371052090936104</v>
      </c>
      <c r="AN1013">
        <v>1.0000000070689901</v>
      </c>
    </row>
    <row r="1014" spans="1:40" x14ac:dyDescent="0.25">
      <c r="A1014" t="str">
        <f>"20190312154232459"</f>
        <v>20190312154232459</v>
      </c>
      <c r="B1014" t="str">
        <f>"1552376552447996"</f>
        <v>1552376552447996</v>
      </c>
      <c r="C1014" t="s">
        <v>40</v>
      </c>
      <c r="D1014">
        <v>4.802778</v>
      </c>
      <c r="E1014">
        <v>0.53224399999999905</v>
      </c>
      <c r="F1014" t="s">
        <v>47</v>
      </c>
      <c r="G1014">
        <v>-203.62729999999999</v>
      </c>
      <c r="H1014" s="1">
        <v>-3.1718490000000001E-6</v>
      </c>
      <c r="I1014">
        <v>365.52260000000001</v>
      </c>
      <c r="J1014">
        <v>-221.85980000000001</v>
      </c>
      <c r="K1014">
        <v>1.110284</v>
      </c>
      <c r="L1014">
        <v>368.12959999999998</v>
      </c>
      <c r="M1014">
        <v>0.99982249999999995</v>
      </c>
      <c r="N1014">
        <v>0</v>
      </c>
      <c r="O1014">
        <v>-1.2508429999999999E-2</v>
      </c>
      <c r="P1014">
        <v>0.99791660000000004</v>
      </c>
      <c r="Q1014">
        <v>2.154973E-2</v>
      </c>
      <c r="R1014">
        <v>-6.0814840000000002E-2</v>
      </c>
      <c r="S1014">
        <v>2.9851839999999998</v>
      </c>
      <c r="T1014">
        <v>-0.1795948</v>
      </c>
      <c r="U1014">
        <v>-0.42218020000000001</v>
      </c>
      <c r="V1014">
        <v>4.8353350000000003E-2</v>
      </c>
      <c r="W1014">
        <v>3.5580580000000001E-2</v>
      </c>
      <c r="X1014">
        <v>0.99819639999999998</v>
      </c>
      <c r="Y1014">
        <v>0.12743080000000001</v>
      </c>
      <c r="Z1014">
        <v>-3.062838E-3</v>
      </c>
      <c r="AA1014">
        <v>0.99184269999999997</v>
      </c>
      <c r="AB1014">
        <v>28</v>
      </c>
      <c r="AC1014">
        <v>18.232500000000002</v>
      </c>
      <c r="AD1014">
        <v>-1.1102871718489999</v>
      </c>
      <c r="AE1014">
        <v>-2.60699999999997</v>
      </c>
      <c r="AF1014">
        <v>2.3701003989446598</v>
      </c>
      <c r="AG1014">
        <v>-1.1102871718489999</v>
      </c>
      <c r="AH1014">
        <v>18.1975555702961</v>
      </c>
      <c r="AI1014">
        <v>93.462288179619904</v>
      </c>
      <c r="AJ1014">
        <v>82.579408670287904</v>
      </c>
      <c r="AK1014">
        <v>18.384807375631201</v>
      </c>
      <c r="AL1014">
        <v>87.960952626166502</v>
      </c>
      <c r="AM1014">
        <v>87.226719135526395</v>
      </c>
      <c r="AN1014">
        <v>1.0000000385511501</v>
      </c>
    </row>
    <row r="1015" spans="1:40" x14ac:dyDescent="0.25">
      <c r="A1015" t="str">
        <f>"20190312154232483"</f>
        <v>20190312154232483</v>
      </c>
      <c r="B1015" t="str">
        <f>"1552376552468492"</f>
        <v>1552376552468492</v>
      </c>
      <c r="C1015" t="s">
        <v>40</v>
      </c>
      <c r="D1015">
        <v>4.9060220000000001</v>
      </c>
      <c r="E1015">
        <v>0.55358169999999995</v>
      </c>
      <c r="F1015" t="s">
        <v>47</v>
      </c>
      <c r="G1015">
        <v>-203.55889999999999</v>
      </c>
      <c r="H1015" s="1">
        <v>-3.145368E-6</v>
      </c>
      <c r="I1015">
        <v>365.48660000000001</v>
      </c>
      <c r="J1015">
        <v>-221.57249999999999</v>
      </c>
      <c r="K1015">
        <v>1.1102590000000001</v>
      </c>
      <c r="L1015">
        <v>368.12549999999999</v>
      </c>
      <c r="M1015">
        <v>0.99981679999999995</v>
      </c>
      <c r="N1015">
        <v>0</v>
      </c>
      <c r="O1015">
        <v>-1.2966760000000001E-2</v>
      </c>
      <c r="P1015">
        <v>0.99780970000000002</v>
      </c>
      <c r="Q1015">
        <v>2.217769E-2</v>
      </c>
      <c r="R1015">
        <v>-6.2323789999999997E-2</v>
      </c>
      <c r="S1015">
        <v>2.9839479999999998</v>
      </c>
      <c r="T1015">
        <v>-0.18103060000000001</v>
      </c>
      <c r="U1015">
        <v>-0.43093870000000001</v>
      </c>
      <c r="V1015">
        <v>4.9408889999999997E-2</v>
      </c>
      <c r="W1015">
        <v>3.6200540000000003E-2</v>
      </c>
      <c r="X1015">
        <v>0.99812239999999997</v>
      </c>
      <c r="Y1015">
        <v>0.12987870000000001</v>
      </c>
      <c r="Z1015">
        <v>-3.1340959999999998E-3</v>
      </c>
      <c r="AA1015">
        <v>0.99152490000000004</v>
      </c>
      <c r="AB1015">
        <v>28</v>
      </c>
      <c r="AC1015">
        <v>18.013599999999901</v>
      </c>
      <c r="AD1015">
        <v>-1.1102621453679999</v>
      </c>
      <c r="AE1015">
        <v>-2.6388999999999698</v>
      </c>
      <c r="AF1015">
        <v>2.3961655318354702</v>
      </c>
      <c r="AG1015">
        <v>-1.1102621453679999</v>
      </c>
      <c r="AH1015">
        <v>17.979440760816601</v>
      </c>
      <c r="AI1015">
        <v>93.502736324003607</v>
      </c>
      <c r="AJ1015">
        <v>82.408779663581399</v>
      </c>
      <c r="AK1015">
        <v>18.172357616971599</v>
      </c>
      <c r="AL1015">
        <v>87.925408599936006</v>
      </c>
      <c r="AM1015">
        <v>87.166067072344902</v>
      </c>
      <c r="AN1015">
        <v>1.0000000214445399</v>
      </c>
    </row>
    <row r="1016" spans="1:40" x14ac:dyDescent="0.25">
      <c r="A1016" t="str">
        <f>"20190312154232506"</f>
        <v>20190312154232506</v>
      </c>
      <c r="B1016" t="str">
        <f>"1552376552498748"</f>
        <v>1552376552498748</v>
      </c>
      <c r="C1016" t="s">
        <v>40</v>
      </c>
      <c r="D1016">
        <v>4.9802730000000004</v>
      </c>
      <c r="E1016">
        <v>0.5693608</v>
      </c>
      <c r="F1016" t="s">
        <v>47</v>
      </c>
      <c r="G1016">
        <v>-198.97919999999999</v>
      </c>
      <c r="H1016" s="1">
        <v>-9.4263210000000006E-6</v>
      </c>
      <c r="I1016">
        <v>363.51639999999998</v>
      </c>
      <c r="J1016">
        <v>-221.28489999999999</v>
      </c>
      <c r="K1016">
        <v>1.1102259999999999</v>
      </c>
      <c r="L1016">
        <v>368.12119999999999</v>
      </c>
      <c r="M1016">
        <v>0.99980990000000003</v>
      </c>
      <c r="N1016">
        <v>0</v>
      </c>
      <c r="O1016">
        <v>-1.347891E-2</v>
      </c>
      <c r="P1016">
        <v>0.99771710000000002</v>
      </c>
      <c r="Q1016">
        <v>2.2585350000000001E-2</v>
      </c>
      <c r="R1016">
        <v>-6.3643329999999998E-2</v>
      </c>
      <c r="S1016">
        <v>2.9719540000000002</v>
      </c>
      <c r="T1016">
        <v>-0.14604629999999999</v>
      </c>
      <c r="U1016">
        <v>-0.60629270000000002</v>
      </c>
      <c r="V1016">
        <v>5.0221719999999997E-2</v>
      </c>
      <c r="W1016">
        <v>3.659987E-2</v>
      </c>
      <c r="X1016">
        <v>0.99806729999999999</v>
      </c>
      <c r="Y1016">
        <v>0.18646099999999999</v>
      </c>
      <c r="Z1016">
        <v>-3.8770670000000001E-3</v>
      </c>
      <c r="AA1016">
        <v>0.98245470000000001</v>
      </c>
      <c r="AB1016">
        <v>28</v>
      </c>
      <c r="AC1016">
        <v>22.305700000000002</v>
      </c>
      <c r="AD1016">
        <v>-1.1102354263209999</v>
      </c>
      <c r="AE1016">
        <v>-4.6048000000000098</v>
      </c>
      <c r="AF1016">
        <v>4.2934932582953396</v>
      </c>
      <c r="AG1016">
        <v>-1.1102354263209999</v>
      </c>
      <c r="AH1016">
        <v>22.312728759413201</v>
      </c>
      <c r="AI1016">
        <v>92.797336904469603</v>
      </c>
      <c r="AJ1016">
        <v>79.108074685315103</v>
      </c>
      <c r="AK1016">
        <v>22.749166396860101</v>
      </c>
      <c r="AL1016">
        <v>87.902513571137604</v>
      </c>
      <c r="AM1016">
        <v>87.119364920508801</v>
      </c>
      <c r="AN1016">
        <v>1.0000000534865301</v>
      </c>
    </row>
    <row r="1017" spans="1:40" x14ac:dyDescent="0.25">
      <c r="A1017" t="str">
        <f>"20190312154232529"</f>
        <v>20190312154232529</v>
      </c>
      <c r="B1017" t="str">
        <f>"1552376552518268"</f>
        <v>1552376552518268</v>
      </c>
      <c r="C1017" t="s">
        <v>40</v>
      </c>
      <c r="D1017">
        <v>5.0276009999999998</v>
      </c>
      <c r="E1017">
        <v>0.57326499999999903</v>
      </c>
      <c r="F1017" t="s">
        <v>47</v>
      </c>
      <c r="G1017">
        <v>-208.1987</v>
      </c>
      <c r="H1017" s="1">
        <v>-5.4198880000000001E-6</v>
      </c>
      <c r="I1017">
        <v>364.89269999999999</v>
      </c>
      <c r="J1017">
        <v>-221.01159999999999</v>
      </c>
      <c r="K1017">
        <v>1.110182</v>
      </c>
      <c r="L1017">
        <v>368.11700000000002</v>
      </c>
      <c r="M1017">
        <v>0.99980239999999998</v>
      </c>
      <c r="N1017">
        <v>0</v>
      </c>
      <c r="O1017">
        <v>-1.4039329999999999E-2</v>
      </c>
      <c r="P1017">
        <v>0.99759359999999997</v>
      </c>
      <c r="Q1017">
        <v>2.2459719999999999E-2</v>
      </c>
      <c r="R1017">
        <v>-6.5595310000000004E-2</v>
      </c>
      <c r="S1017">
        <v>2.9658660000000001</v>
      </c>
      <c r="T1017">
        <v>-0.25162329999999999</v>
      </c>
      <c r="U1017">
        <v>-0.73172000000000004</v>
      </c>
      <c r="V1017">
        <v>5.1619539999999998E-2</v>
      </c>
      <c r="W1017">
        <v>3.6463580000000002E-2</v>
      </c>
      <c r="X1017">
        <v>0.99800089999999997</v>
      </c>
      <c r="Y1017">
        <v>0.22516159999999999</v>
      </c>
      <c r="Z1017">
        <v>-8.2230289999999998E-3</v>
      </c>
      <c r="AA1017">
        <v>0.97428669999999995</v>
      </c>
      <c r="AB1017">
        <v>28</v>
      </c>
      <c r="AC1017">
        <v>12.8128999999999</v>
      </c>
      <c r="AD1017">
        <v>-1.110187419888</v>
      </c>
      <c r="AE1017">
        <v>-3.2242999999999702</v>
      </c>
      <c r="AF1017">
        <v>3.0227379597155801</v>
      </c>
      <c r="AG1017">
        <v>-1.110187419888</v>
      </c>
      <c r="AH1017">
        <v>12.7667694665454</v>
      </c>
      <c r="AI1017">
        <v>94.8368276389279</v>
      </c>
      <c r="AJ1017">
        <v>76.679593376017806</v>
      </c>
      <c r="AK1017">
        <v>13.1666192886518</v>
      </c>
      <c r="AL1017">
        <v>87.9103274810643</v>
      </c>
      <c r="AM1017">
        <v>87.039132357493401</v>
      </c>
      <c r="AN1017">
        <v>0.999999982988518</v>
      </c>
    </row>
    <row r="1018" spans="1:40" x14ac:dyDescent="0.25">
      <c r="A1018" t="str">
        <f>"20190312154232550"</f>
        <v>20190312154232550</v>
      </c>
      <c r="B1018" t="str">
        <f>"1552376552538764"</f>
        <v>1552376552538764</v>
      </c>
      <c r="C1018" t="s">
        <v>40</v>
      </c>
      <c r="D1018">
        <v>5.0070300000000003</v>
      </c>
      <c r="E1018">
        <v>0.5751676</v>
      </c>
      <c r="F1018" t="s">
        <v>47</v>
      </c>
      <c r="G1018">
        <v>-208.89400000000001</v>
      </c>
      <c r="H1018" s="1">
        <v>-5.6395860000000002E-6</v>
      </c>
      <c r="I1018">
        <v>364.97620000000001</v>
      </c>
      <c r="J1018">
        <v>-220.74629999999999</v>
      </c>
      <c r="K1018">
        <v>1.110117</v>
      </c>
      <c r="L1018">
        <v>368.11250000000001</v>
      </c>
      <c r="M1018">
        <v>0.99979309999999999</v>
      </c>
      <c r="N1018">
        <v>0</v>
      </c>
      <c r="O1018">
        <v>-1.468676E-2</v>
      </c>
      <c r="P1018">
        <v>0.99744310000000003</v>
      </c>
      <c r="Q1018">
        <v>2.2674690000000001E-2</v>
      </c>
      <c r="R1018">
        <v>-6.7774630000000002E-2</v>
      </c>
      <c r="S1018">
        <v>2.9628299999999999</v>
      </c>
      <c r="T1018">
        <v>-0.27144770000000001</v>
      </c>
      <c r="U1018">
        <v>-0.76794430000000002</v>
      </c>
      <c r="V1018">
        <v>5.3160520000000003E-2</v>
      </c>
      <c r="W1018">
        <v>3.6665150000000001E-2</v>
      </c>
      <c r="X1018">
        <v>0.99791260000000004</v>
      </c>
      <c r="Y1018">
        <v>0.23578959999999999</v>
      </c>
      <c r="Z1018">
        <v>-9.2839989999999994E-3</v>
      </c>
      <c r="AA1018">
        <v>0.97175979999999995</v>
      </c>
      <c r="AB1018">
        <v>28</v>
      </c>
      <c r="AC1018">
        <v>11.8522999999999</v>
      </c>
      <c r="AD1018">
        <v>-1.110122639586</v>
      </c>
      <c r="AE1018">
        <v>-3.1362999999999999</v>
      </c>
      <c r="AF1018">
        <v>2.93778654847647</v>
      </c>
      <c r="AG1018">
        <v>-1.110122639586</v>
      </c>
      <c r="AH1018">
        <v>11.800340763509301</v>
      </c>
      <c r="AI1018">
        <v>95.216014520335406</v>
      </c>
      <c r="AJ1018">
        <v>76.019972888575396</v>
      </c>
      <c r="AK1018">
        <v>12.211101678975099</v>
      </c>
      <c r="AL1018">
        <v>87.898770606117793</v>
      </c>
      <c r="AM1018">
        <v>86.950637702788697</v>
      </c>
      <c r="AN1018">
        <v>0.99999996567497595</v>
      </c>
    </row>
    <row r="1019" spans="1:40" x14ac:dyDescent="0.25">
      <c r="A1019" t="str">
        <f>"20190312154232572"</f>
        <v>20190312154232572</v>
      </c>
      <c r="B1019" t="str">
        <f>"1552376552558284"</f>
        <v>1552376552558284</v>
      </c>
      <c r="C1019" t="s">
        <v>40</v>
      </c>
      <c r="D1019">
        <v>4.9929430000000004</v>
      </c>
      <c r="E1019">
        <v>0.57633590000000001</v>
      </c>
      <c r="F1019" t="s">
        <v>47</v>
      </c>
      <c r="G1019">
        <v>-209.10730000000001</v>
      </c>
      <c r="H1019" s="1">
        <v>-5.7061819999999996E-6</v>
      </c>
      <c r="I1019">
        <v>365.00709999999998</v>
      </c>
      <c r="J1019">
        <v>-220.4659</v>
      </c>
      <c r="K1019">
        <v>1.110036</v>
      </c>
      <c r="L1019">
        <v>368.10759999999999</v>
      </c>
      <c r="M1019">
        <v>0.99978120000000004</v>
      </c>
      <c r="N1019">
        <v>0</v>
      </c>
      <c r="O1019">
        <v>-1.547392E-2</v>
      </c>
      <c r="P1019">
        <v>0.99728410000000001</v>
      </c>
      <c r="Q1019">
        <v>2.339331E-2</v>
      </c>
      <c r="R1019">
        <v>-6.9838479999999994E-2</v>
      </c>
      <c r="S1019">
        <v>2.9604339999999998</v>
      </c>
      <c r="T1019">
        <v>-0.28236519999999998</v>
      </c>
      <c r="U1019">
        <v>-0.78988649999999905</v>
      </c>
      <c r="V1019">
        <v>5.4448780000000002E-2</v>
      </c>
      <c r="W1019">
        <v>3.7368480000000003E-2</v>
      </c>
      <c r="X1019">
        <v>0.99781710000000001</v>
      </c>
      <c r="Y1019">
        <v>0.2418544</v>
      </c>
      <c r="Z1019">
        <v>-9.864566E-3</v>
      </c>
      <c r="AA1019">
        <v>0.97026239999999997</v>
      </c>
      <c r="AB1019">
        <v>28</v>
      </c>
      <c r="AC1019">
        <v>11.3585999999999</v>
      </c>
      <c r="AD1019">
        <v>-1.110041706182</v>
      </c>
      <c r="AE1019">
        <v>-3.10050000000001</v>
      </c>
      <c r="AF1019">
        <v>2.8985857370378199</v>
      </c>
      <c r="AG1019">
        <v>-1.110041706182</v>
      </c>
      <c r="AH1019">
        <v>11.3047415245375</v>
      </c>
      <c r="AI1019">
        <v>95.433384245129702</v>
      </c>
      <c r="AJ1019">
        <v>75.618918976289706</v>
      </c>
      <c r="AK1019">
        <v>11.723104230579199</v>
      </c>
      <c r="AL1019">
        <v>87.858445240180899</v>
      </c>
      <c r="AM1019">
        <v>86.8765875380967</v>
      </c>
      <c r="AN1019">
        <v>1.0000000189967</v>
      </c>
    </row>
    <row r="1020" spans="1:40" x14ac:dyDescent="0.25">
      <c r="A1020" t="str">
        <f>"20190312154232595"</f>
        <v>20190312154232595</v>
      </c>
      <c r="B1020" t="str">
        <f>"1552376552588540"</f>
        <v>1552376552588540</v>
      </c>
      <c r="C1020" t="s">
        <v>40</v>
      </c>
      <c r="D1020">
        <v>4.9900520000000004</v>
      </c>
      <c r="E1020">
        <v>0.57724399999999998</v>
      </c>
      <c r="F1020" t="s">
        <v>47</v>
      </c>
      <c r="G1020">
        <v>-208.93620000000001</v>
      </c>
      <c r="H1020" s="1">
        <v>-5.6555229999999897E-6</v>
      </c>
      <c r="I1020">
        <v>364.96460000000002</v>
      </c>
      <c r="J1020">
        <v>-220.18559999999999</v>
      </c>
      <c r="K1020">
        <v>1.1099460000000001</v>
      </c>
      <c r="L1020">
        <v>368.10230000000001</v>
      </c>
      <c r="M1020">
        <v>0.99976640000000006</v>
      </c>
      <c r="N1020">
        <v>0</v>
      </c>
      <c r="O1020">
        <v>-1.6398820000000001E-2</v>
      </c>
      <c r="P1020">
        <v>0.99712129999999999</v>
      </c>
      <c r="Q1020">
        <v>2.281673E-2</v>
      </c>
      <c r="R1020">
        <v>-7.2309899999999996E-2</v>
      </c>
      <c r="S1020">
        <v>2.9583740000000001</v>
      </c>
      <c r="T1020">
        <v>-0.2848214</v>
      </c>
      <c r="U1020">
        <v>-0.80645749999999905</v>
      </c>
      <c r="V1020">
        <v>5.600666E-2</v>
      </c>
      <c r="W1020">
        <v>3.6773800000000002E-2</v>
      </c>
      <c r="X1020">
        <v>0.997753</v>
      </c>
      <c r="Y1020">
        <v>0.24615819999999999</v>
      </c>
      <c r="Z1020">
        <v>-1.006545E-2</v>
      </c>
      <c r="AA1020">
        <v>0.96917739999999997</v>
      </c>
      <c r="AB1020">
        <v>28</v>
      </c>
      <c r="AC1020">
        <v>11.2493999999999</v>
      </c>
      <c r="AD1020">
        <v>-1.10995165552299</v>
      </c>
      <c r="AE1020">
        <v>-3.1376999999999899</v>
      </c>
      <c r="AF1020">
        <v>2.9263502931501599</v>
      </c>
      <c r="AG1020">
        <v>-1.10995165552299</v>
      </c>
      <c r="AH1020">
        <v>11.198197932864</v>
      </c>
      <c r="AI1020">
        <v>95.477822364618305</v>
      </c>
      <c r="AJ1020">
        <v>75.354786850965397</v>
      </c>
      <c r="AK1020">
        <v>11.627345168154999</v>
      </c>
      <c r="AL1020">
        <v>87.892541403965893</v>
      </c>
      <c r="AM1020">
        <v>86.787199582049098</v>
      </c>
      <c r="AN1020">
        <v>1.0000000536698901</v>
      </c>
    </row>
    <row r="1021" spans="1:40" x14ac:dyDescent="0.25">
      <c r="A1021" t="str">
        <f>"20190312154232616"</f>
        <v>20190312154232616</v>
      </c>
      <c r="B1021" t="str">
        <f>"1552376552608064"</f>
        <v>1552376552608064</v>
      </c>
      <c r="C1021" t="s">
        <v>40</v>
      </c>
      <c r="D1021">
        <v>5.0394430000000003</v>
      </c>
      <c r="E1021">
        <v>0.57765549999999999</v>
      </c>
      <c r="F1021" t="s">
        <v>47</v>
      </c>
      <c r="G1021">
        <v>-208.9897</v>
      </c>
      <c r="H1021" s="1">
        <v>-5.669222E-6</v>
      </c>
      <c r="I1021">
        <v>364.99169999999998</v>
      </c>
      <c r="J1021">
        <v>-219.91560000000001</v>
      </c>
      <c r="K1021">
        <v>1.109823</v>
      </c>
      <c r="L1021">
        <v>368.0967</v>
      </c>
      <c r="M1021">
        <v>0.99974850000000004</v>
      </c>
      <c r="N1021">
        <v>0</v>
      </c>
      <c r="O1021">
        <v>-1.7467710000000001E-2</v>
      </c>
      <c r="P1021">
        <v>0.99699190000000004</v>
      </c>
      <c r="Q1021">
        <v>2.16995E-2</v>
      </c>
      <c r="R1021">
        <v>-7.4409500000000003E-2</v>
      </c>
      <c r="S1021">
        <v>2.9558110000000002</v>
      </c>
      <c r="T1021">
        <v>-0.29303849999999998</v>
      </c>
      <c r="U1021">
        <v>-0.82122799999999996</v>
      </c>
      <c r="V1021">
        <v>5.7049490000000001E-2</v>
      </c>
      <c r="W1021">
        <v>3.5636809999999998E-2</v>
      </c>
      <c r="X1021">
        <v>0.99773509999999999</v>
      </c>
      <c r="Y1021">
        <v>0.2497664</v>
      </c>
      <c r="Z1021">
        <v>-1.042794E-2</v>
      </c>
      <c r="AA1021">
        <v>0.96825000000000006</v>
      </c>
      <c r="AB1021">
        <v>28</v>
      </c>
      <c r="AC1021">
        <v>10.9259</v>
      </c>
      <c r="AD1021">
        <v>-1.1098286692219901</v>
      </c>
      <c r="AE1021">
        <v>-3.1050000000000102</v>
      </c>
      <c r="AF1021">
        <v>2.8861031903535999</v>
      </c>
      <c r="AG1021">
        <v>-1.1098286692219901</v>
      </c>
      <c r="AH1021">
        <v>10.8746548809616</v>
      </c>
      <c r="AI1021">
        <v>95.633523590487499</v>
      </c>
      <c r="AJ1021">
        <v>75.136509304003795</v>
      </c>
      <c r="AK1021">
        <v>11.305725544184201</v>
      </c>
      <c r="AL1021">
        <v>87.957728716714001</v>
      </c>
      <c r="AM1021">
        <v>86.727448290175303</v>
      </c>
      <c r="AN1021">
        <v>0.999999978154122</v>
      </c>
    </row>
    <row r="1022" spans="1:40" x14ac:dyDescent="0.25">
      <c r="A1022" t="str">
        <f>"20190312154232639"</f>
        <v>20190312154232639</v>
      </c>
      <c r="B1022" t="str">
        <f>"1552376552628556"</f>
        <v>1552376552628556</v>
      </c>
      <c r="C1022" t="s">
        <v>40</v>
      </c>
      <c r="D1022">
        <v>5.0578699999999897</v>
      </c>
      <c r="E1022">
        <v>0.57801250000000004</v>
      </c>
      <c r="F1022" t="s">
        <v>47</v>
      </c>
      <c r="G1022">
        <v>-209.00120000000001</v>
      </c>
      <c r="H1022" s="1">
        <v>-5.66793E-6</v>
      </c>
      <c r="I1022">
        <v>365.02440000000001</v>
      </c>
      <c r="J1022">
        <v>-219.64250000000001</v>
      </c>
      <c r="K1022">
        <v>1.1096729999999999</v>
      </c>
      <c r="L1022">
        <v>368.09059999999999</v>
      </c>
      <c r="M1022">
        <v>0.99972479999999997</v>
      </c>
      <c r="N1022">
        <v>0</v>
      </c>
      <c r="O1022">
        <v>-1.8775690000000001E-2</v>
      </c>
      <c r="P1022">
        <v>0.99683869999999997</v>
      </c>
      <c r="Q1022">
        <v>2.1499460000000001E-2</v>
      </c>
      <c r="R1022">
        <v>-7.6490100000000005E-2</v>
      </c>
      <c r="S1022">
        <v>2.9535369999999999</v>
      </c>
      <c r="T1022">
        <v>-0.30033029999999999</v>
      </c>
      <c r="U1022">
        <v>-0.83139039999999997</v>
      </c>
      <c r="V1022">
        <v>5.7839540000000002E-2</v>
      </c>
      <c r="W1022">
        <v>3.5412840000000001E-2</v>
      </c>
      <c r="X1022">
        <v>0.99769759999999996</v>
      </c>
      <c r="Y1022">
        <v>0.25172480000000003</v>
      </c>
      <c r="Z1022">
        <v>-1.065671E-2</v>
      </c>
      <c r="AA1022">
        <v>0.96774020000000005</v>
      </c>
      <c r="AB1022">
        <v>28</v>
      </c>
      <c r="AC1022">
        <v>10.641299999999999</v>
      </c>
      <c r="AD1022">
        <v>-1.1096786679299999</v>
      </c>
      <c r="AE1022">
        <v>-3.0661999999999798</v>
      </c>
      <c r="AF1022">
        <v>2.8373527081555001</v>
      </c>
      <c r="AG1022">
        <v>-1.1096786679299999</v>
      </c>
      <c r="AH1022">
        <v>10.590661263082801</v>
      </c>
      <c r="AI1022">
        <v>95.779208906256699</v>
      </c>
      <c r="AJ1022">
        <v>75.002051498782095</v>
      </c>
      <c r="AK1022">
        <v>11.0201662022811</v>
      </c>
      <c r="AL1022">
        <v>87.970569384607302</v>
      </c>
      <c r="AM1022">
        <v>86.682104476501905</v>
      </c>
      <c r="AN1022">
        <v>0.99999999133501805</v>
      </c>
    </row>
    <row r="1023" spans="1:40" x14ac:dyDescent="0.25">
      <c r="A1023" t="str">
        <f>"20190312154232661"</f>
        <v>20190312154232661</v>
      </c>
      <c r="B1023" t="str">
        <f>"1552376552648077"</f>
        <v>1552376552648077</v>
      </c>
      <c r="C1023" t="s">
        <v>40</v>
      </c>
      <c r="D1023">
        <v>5.0651449999999896</v>
      </c>
      <c r="E1023">
        <v>0.57821669999999903</v>
      </c>
      <c r="F1023" t="s">
        <v>47</v>
      </c>
      <c r="G1023">
        <v>-208.8115</v>
      </c>
      <c r="H1023" s="1">
        <v>-5.6080320000000004E-6</v>
      </c>
      <c r="I1023">
        <v>365.00150000000002</v>
      </c>
      <c r="J1023">
        <v>-219.36510000000001</v>
      </c>
      <c r="K1023">
        <v>1.1094790000000001</v>
      </c>
      <c r="L1023">
        <v>368.0838</v>
      </c>
      <c r="M1023">
        <v>0.99969319999999895</v>
      </c>
      <c r="N1023">
        <v>0</v>
      </c>
      <c r="O1023">
        <v>-2.0383510000000001E-2</v>
      </c>
      <c r="P1023">
        <v>0.99672059999999996</v>
      </c>
      <c r="Q1023">
        <v>2.1895899999999999E-2</v>
      </c>
      <c r="R1023">
        <v>-7.7903459999999994E-2</v>
      </c>
      <c r="S1023">
        <v>2.9514469999999999</v>
      </c>
      <c r="T1023">
        <v>-0.3023882</v>
      </c>
      <c r="U1023">
        <v>-0.84179689999999996</v>
      </c>
      <c r="V1023">
        <v>5.766777E-2</v>
      </c>
      <c r="W1023">
        <v>3.5783099999999998E-2</v>
      </c>
      <c r="X1023">
        <v>0.99769430000000003</v>
      </c>
      <c r="Y1023">
        <v>0.25348939999999998</v>
      </c>
      <c r="Z1023">
        <v>-1.0659170000000001E-2</v>
      </c>
      <c r="AA1023">
        <v>0.96727940000000001</v>
      </c>
      <c r="AB1023">
        <v>28</v>
      </c>
      <c r="AC1023">
        <v>10.553599999999999</v>
      </c>
      <c r="AD1023">
        <v>-1.109484608032</v>
      </c>
      <c r="AE1023">
        <v>-3.0822999999999698</v>
      </c>
      <c r="AF1023">
        <v>2.83762220714882</v>
      </c>
      <c r="AG1023">
        <v>-1.109484608032</v>
      </c>
      <c r="AH1023">
        <v>10.5072420705642</v>
      </c>
      <c r="AI1023">
        <v>95.820643180845394</v>
      </c>
      <c r="AJ1023">
        <v>74.8870356977108</v>
      </c>
      <c r="AK1023">
        <v>10.940072751833</v>
      </c>
      <c r="AL1023">
        <v>87.949341528486798</v>
      </c>
      <c r="AM1023">
        <v>86.691925022574907</v>
      </c>
      <c r="AN1023">
        <v>0.999999959097435</v>
      </c>
    </row>
    <row r="1024" spans="1:40" x14ac:dyDescent="0.25">
      <c r="A1024" t="str">
        <f>"20190312154232685"</f>
        <v>20190312154232685</v>
      </c>
      <c r="B1024" t="str">
        <f>"1552376552678332"</f>
        <v>1552376552678332</v>
      </c>
      <c r="C1024" t="s">
        <v>40</v>
      </c>
      <c r="D1024">
        <v>5.1137420000000002</v>
      </c>
      <c r="E1024">
        <v>0.57880410000000004</v>
      </c>
      <c r="F1024" t="s">
        <v>47</v>
      </c>
      <c r="G1024">
        <v>-208.58600000000001</v>
      </c>
      <c r="H1024" s="1">
        <v>-5.5350910000000001E-6</v>
      </c>
      <c r="I1024">
        <v>364.98520000000002</v>
      </c>
      <c r="J1024">
        <v>-219.08410000000001</v>
      </c>
      <c r="K1024">
        <v>1.1092470000000001</v>
      </c>
      <c r="L1024">
        <v>368.07600000000002</v>
      </c>
      <c r="M1024">
        <v>0.99965139999999997</v>
      </c>
      <c r="N1024">
        <v>0</v>
      </c>
      <c r="O1024">
        <v>-2.2339169999999998E-2</v>
      </c>
      <c r="P1024">
        <v>0.99661580000000005</v>
      </c>
      <c r="Q1024">
        <v>2.2207640000000001E-2</v>
      </c>
      <c r="R1024">
        <v>-7.9147129999999996E-2</v>
      </c>
      <c r="S1024">
        <v>2.950256</v>
      </c>
      <c r="T1024">
        <v>-0.30366890000000002</v>
      </c>
      <c r="U1024">
        <v>-0.84808349999999899</v>
      </c>
      <c r="V1024">
        <v>5.6982739999999997E-2</v>
      </c>
      <c r="W1024">
        <v>3.6068070000000001E-2</v>
      </c>
      <c r="X1024">
        <v>0.99772349999999999</v>
      </c>
      <c r="Y1024">
        <v>0.25360490000000002</v>
      </c>
      <c r="Z1024">
        <v>-1.051449E-2</v>
      </c>
      <c r="AA1024">
        <v>0.96725070000000002</v>
      </c>
      <c r="AB1024">
        <v>27</v>
      </c>
      <c r="AC1024">
        <v>10.498100000000001</v>
      </c>
      <c r="AD1024">
        <v>-1.1092525350910001</v>
      </c>
      <c r="AE1024">
        <v>-3.0907999999999398</v>
      </c>
      <c r="AF1024">
        <v>2.8264476747552099</v>
      </c>
      <c r="AG1024">
        <v>-1.1092525350910001</v>
      </c>
      <c r="AH1024">
        <v>10.457096680645099</v>
      </c>
      <c r="AI1024">
        <v>95.846816257038</v>
      </c>
      <c r="AJ1024">
        <v>74.874944259048505</v>
      </c>
      <c r="AK1024">
        <v>10.8889907077329</v>
      </c>
      <c r="AL1024">
        <v>87.933003612154707</v>
      </c>
      <c r="AM1024">
        <v>86.731231066905806</v>
      </c>
      <c r="AN1024">
        <v>1.00000006039183</v>
      </c>
    </row>
    <row r="1025" spans="1:40" x14ac:dyDescent="0.25">
      <c r="A1025" t="str">
        <f>"20190312154232707"</f>
        <v>20190312154232707</v>
      </c>
      <c r="B1025" t="str">
        <f>"1552376552697853"</f>
        <v>1552376552697853</v>
      </c>
      <c r="C1025" t="s">
        <v>40</v>
      </c>
      <c r="D1025">
        <v>5.0593949999999897</v>
      </c>
      <c r="E1025">
        <v>0.57905689999999999</v>
      </c>
      <c r="F1025" t="s">
        <v>47</v>
      </c>
      <c r="G1025">
        <v>-208.45429999999999</v>
      </c>
      <c r="H1025" s="1">
        <v>-5.4907639999999999E-6</v>
      </c>
      <c r="I1025">
        <v>364.98669999999998</v>
      </c>
      <c r="J1025">
        <v>-218.80959999999999</v>
      </c>
      <c r="K1025">
        <v>1.108992</v>
      </c>
      <c r="L1025">
        <v>368.0675</v>
      </c>
      <c r="M1025">
        <v>0.99959810000000004</v>
      </c>
      <c r="N1025">
        <v>0</v>
      </c>
      <c r="O1025">
        <v>-2.4604150000000002E-2</v>
      </c>
      <c r="P1025">
        <v>0.99655890000000003</v>
      </c>
      <c r="Q1025">
        <v>2.164015E-2</v>
      </c>
      <c r="R1025">
        <v>-8.0014859999999993E-2</v>
      </c>
      <c r="S1025">
        <v>2.9489899999999998</v>
      </c>
      <c r="T1025">
        <v>-0.307735799999999</v>
      </c>
      <c r="U1025">
        <v>-0.85705569999999898</v>
      </c>
      <c r="V1025">
        <v>5.5610109999999997E-2</v>
      </c>
      <c r="W1025">
        <v>3.5477649999999999E-2</v>
      </c>
      <c r="X1025">
        <v>0.99782199999999999</v>
      </c>
      <c r="Y1025">
        <v>0.25421830000000001</v>
      </c>
      <c r="Z1025">
        <v>-1.0455320000000001E-2</v>
      </c>
      <c r="AA1025">
        <v>0.96709029999999996</v>
      </c>
      <c r="AB1025">
        <v>27</v>
      </c>
      <c r="AC1025">
        <v>10.3553</v>
      </c>
      <c r="AD1025">
        <v>-1.1089974907639999</v>
      </c>
      <c r="AE1025">
        <v>-3.0808</v>
      </c>
      <c r="AF1025">
        <v>2.7956022698762499</v>
      </c>
      <c r="AG1025">
        <v>-1.1089974907639999</v>
      </c>
      <c r="AH1025">
        <v>10.319242271032801</v>
      </c>
      <c r="AI1025">
        <v>95.922097535725101</v>
      </c>
      <c r="AJ1025">
        <v>74.841754985442094</v>
      </c>
      <c r="AK1025">
        <v>10.7485826290786</v>
      </c>
      <c r="AL1025">
        <v>87.966853617698902</v>
      </c>
      <c r="AM1025">
        <v>86.810120511000505</v>
      </c>
      <c r="AN1025">
        <v>0.99999994583386498</v>
      </c>
    </row>
    <row r="1026" spans="1:40" x14ac:dyDescent="0.25">
      <c r="A1026" t="str">
        <f>"20190312154232730"</f>
        <v>20190312154232730</v>
      </c>
      <c r="B1026" t="str">
        <f>"1552376552718349"</f>
        <v>1552376552718349</v>
      </c>
      <c r="C1026" t="s">
        <v>40</v>
      </c>
      <c r="D1026">
        <v>5.0746349999999998</v>
      </c>
      <c r="E1026">
        <v>0.57927010000000001</v>
      </c>
      <c r="F1026" t="s">
        <v>47</v>
      </c>
      <c r="G1026">
        <v>-208.4444</v>
      </c>
      <c r="H1026" s="1">
        <v>-5.4791840000000004E-6</v>
      </c>
      <c r="I1026">
        <v>365.03960000000001</v>
      </c>
      <c r="J1026">
        <v>-218.5394</v>
      </c>
      <c r="K1026">
        <v>1.1087340000000001</v>
      </c>
      <c r="L1026">
        <v>368.0582</v>
      </c>
      <c r="M1026">
        <v>0.99953060000000005</v>
      </c>
      <c r="N1026">
        <v>0</v>
      </c>
      <c r="O1026">
        <v>-2.720475E-2</v>
      </c>
      <c r="P1026">
        <v>0.99641250000000003</v>
      </c>
      <c r="Q1026">
        <v>2.217206E-2</v>
      </c>
      <c r="R1026">
        <v>-8.1674590000000005E-2</v>
      </c>
      <c r="S1026">
        <v>2.948029</v>
      </c>
      <c r="T1026">
        <v>-0.31541619999999998</v>
      </c>
      <c r="U1026">
        <v>-0.86117549999999898</v>
      </c>
      <c r="V1026">
        <v>5.4700720000000001E-2</v>
      </c>
      <c r="W1026">
        <v>3.5986579999999997E-2</v>
      </c>
      <c r="X1026">
        <v>0.99785409999999997</v>
      </c>
      <c r="Y1026">
        <v>0.25299519999999998</v>
      </c>
      <c r="Z1026">
        <v>-1.038099E-2</v>
      </c>
      <c r="AA1026">
        <v>0.96741180000000004</v>
      </c>
      <c r="AB1026">
        <v>27</v>
      </c>
      <c r="AC1026">
        <v>10.095000000000001</v>
      </c>
      <c r="AD1026">
        <v>-1.108739479184</v>
      </c>
      <c r="AE1026">
        <v>-3.01859999999999</v>
      </c>
      <c r="AF1026">
        <v>2.7127854391368098</v>
      </c>
      <c r="AG1026">
        <v>-1.108739479184</v>
      </c>
      <c r="AH1026">
        <v>10.0619779456046</v>
      </c>
      <c r="AI1026">
        <v>96.072973298058599</v>
      </c>
      <c r="AJ1026">
        <v>74.911383692389094</v>
      </c>
      <c r="AK1026">
        <v>10.4800719582132</v>
      </c>
      <c r="AL1026">
        <v>87.937675561261202</v>
      </c>
      <c r="AM1026">
        <v>86.862280124545407</v>
      </c>
      <c r="AN1026">
        <v>1.0000000037977099</v>
      </c>
    </row>
    <row r="1027" spans="1:40" x14ac:dyDescent="0.25">
      <c r="A1027" t="str">
        <f>"20190312154232751"</f>
        <v>20190312154232751</v>
      </c>
      <c r="B1027" t="str">
        <f>"1552376552737869"</f>
        <v>1552376552737869</v>
      </c>
      <c r="C1027" t="s">
        <v>40</v>
      </c>
      <c r="D1027">
        <v>5.1347990000000001</v>
      </c>
      <c r="E1027">
        <v>0.57952579999999998</v>
      </c>
      <c r="F1027" t="s">
        <v>47</v>
      </c>
      <c r="G1027">
        <v>-208.23990000000001</v>
      </c>
      <c r="H1027" s="1">
        <v>-5.412874E-6</v>
      </c>
      <c r="I1027">
        <v>365.02589999999998</v>
      </c>
      <c r="J1027">
        <v>-218.26849999999999</v>
      </c>
      <c r="K1027">
        <v>1.1084889999999901</v>
      </c>
      <c r="L1027">
        <v>368.04759999999999</v>
      </c>
      <c r="M1027">
        <v>0.99944540000000004</v>
      </c>
      <c r="N1027">
        <v>0</v>
      </c>
      <c r="O1027">
        <v>-3.016462E-2</v>
      </c>
      <c r="P1027">
        <v>0.99614829999999999</v>
      </c>
      <c r="Q1027">
        <v>2.342141E-2</v>
      </c>
      <c r="R1027">
        <v>-8.4497849999999999E-2</v>
      </c>
      <c r="S1027">
        <v>2.9467620000000001</v>
      </c>
      <c r="T1027">
        <v>-0.31721909999999998</v>
      </c>
      <c r="U1027">
        <v>-0.86755369999999998</v>
      </c>
      <c r="V1027">
        <v>5.4602539999999998E-2</v>
      </c>
      <c r="W1027">
        <v>3.7212179999999997E-2</v>
      </c>
      <c r="X1027">
        <v>0.99781450000000005</v>
      </c>
      <c r="Y1027">
        <v>0.2521776</v>
      </c>
      <c r="Z1027">
        <v>-1.0087789999999999E-2</v>
      </c>
      <c r="AA1027">
        <v>0.96762840000000006</v>
      </c>
      <c r="AB1027">
        <v>27</v>
      </c>
      <c r="AC1027">
        <v>10.0285999999999</v>
      </c>
      <c r="AD1027">
        <v>-1.10849441287399</v>
      </c>
      <c r="AE1027">
        <v>-3.0217000000000001</v>
      </c>
      <c r="AF1027">
        <v>2.6876816601644</v>
      </c>
      <c r="AG1027">
        <v>-1.10849441287399</v>
      </c>
      <c r="AH1027">
        <v>10.0031503716614</v>
      </c>
      <c r="AI1027">
        <v>96.108484416086199</v>
      </c>
      <c r="AJ1027">
        <v>74.960751717279706</v>
      </c>
      <c r="AK1027">
        <v>10.4170730019438</v>
      </c>
      <c r="AL1027">
        <v>87.867406720290703</v>
      </c>
      <c r="AM1027">
        <v>86.867776606464602</v>
      </c>
      <c r="AN1027">
        <v>0.99999998006252599</v>
      </c>
    </row>
    <row r="1028" spans="1:40" x14ac:dyDescent="0.25">
      <c r="A1028" t="str">
        <f>"20190312154232773"</f>
        <v>20190312154232773</v>
      </c>
      <c r="B1028" t="str">
        <f>"1552376552768128"</f>
        <v>1552376552768128</v>
      </c>
      <c r="C1028" t="s">
        <v>40</v>
      </c>
      <c r="D1028">
        <v>5.1672919999999998</v>
      </c>
      <c r="E1028">
        <v>0.58402129999999997</v>
      </c>
      <c r="F1028" t="s">
        <v>47</v>
      </c>
      <c r="G1028">
        <v>-208.0163</v>
      </c>
      <c r="H1028" s="1">
        <v>-5.3430840000000001E-6</v>
      </c>
      <c r="I1028">
        <v>364.99360000000001</v>
      </c>
      <c r="J1028">
        <v>-217.9924</v>
      </c>
      <c r="K1028">
        <v>1.108276</v>
      </c>
      <c r="L1028">
        <v>368.03579999999999</v>
      </c>
      <c r="M1028">
        <v>0.99934040000000002</v>
      </c>
      <c r="N1028">
        <v>0</v>
      </c>
      <c r="O1028">
        <v>-3.3461560000000001E-2</v>
      </c>
      <c r="P1028">
        <v>0.9958515</v>
      </c>
      <c r="Q1028">
        <v>2.436665E-2</v>
      </c>
      <c r="R1028">
        <v>-8.7669339999999998E-2</v>
      </c>
      <c r="S1028">
        <v>2.9446870000000001</v>
      </c>
      <c r="T1028">
        <v>-0.31838889999999997</v>
      </c>
      <c r="U1028">
        <v>-0.87719729999999996</v>
      </c>
      <c r="V1028">
        <v>5.4513720000000002E-2</v>
      </c>
      <c r="W1028">
        <v>3.8138020000000002E-2</v>
      </c>
      <c r="X1028">
        <v>0.99778440000000002</v>
      </c>
      <c r="Y1028">
        <v>0.25209369999999998</v>
      </c>
      <c r="Z1028">
        <v>-9.7755840000000004E-3</v>
      </c>
      <c r="AA1028">
        <v>0.96765350000000006</v>
      </c>
      <c r="AB1028">
        <v>27</v>
      </c>
      <c r="AC1028">
        <v>9.9761000000000006</v>
      </c>
      <c r="AD1028">
        <v>-1.1082813430839999</v>
      </c>
      <c r="AE1028">
        <v>-3.0421999999999798</v>
      </c>
      <c r="AF1028">
        <v>2.67642544839015</v>
      </c>
      <c r="AG1028">
        <v>-1.1082813430839999</v>
      </c>
      <c r="AH1028">
        <v>9.9598551485176205</v>
      </c>
      <c r="AI1028">
        <v>96.133607896684197</v>
      </c>
      <c r="AJ1028">
        <v>74.958731678148794</v>
      </c>
      <c r="AK1028">
        <v>10.372572260325301</v>
      </c>
      <c r="AL1028">
        <v>87.814322308360502</v>
      </c>
      <c r="AM1028">
        <v>86.872767413151905</v>
      </c>
      <c r="AN1028">
        <v>0.99999998156055903</v>
      </c>
    </row>
    <row r="1029" spans="1:40" x14ac:dyDescent="0.25">
      <c r="A1029" t="str">
        <f>"20190312154232796"</f>
        <v>20190312154232796</v>
      </c>
      <c r="B1029" t="str">
        <f>"1552376552788620"</f>
        <v>1552376552788620</v>
      </c>
      <c r="C1029" t="s">
        <v>40</v>
      </c>
      <c r="D1029">
        <v>5.171907</v>
      </c>
      <c r="E1029">
        <v>0.58370630000000001</v>
      </c>
      <c r="F1029" t="s">
        <v>47</v>
      </c>
      <c r="G1029">
        <v>-209.9134</v>
      </c>
      <c r="H1029" s="1">
        <v>-5.8971790000000001E-6</v>
      </c>
      <c r="I1029">
        <v>365.51170000000002</v>
      </c>
      <c r="J1029">
        <v>-217.72020000000001</v>
      </c>
      <c r="K1029">
        <v>1.108101</v>
      </c>
      <c r="L1029">
        <v>368.02289999999999</v>
      </c>
      <c r="M1029">
        <v>0.99921720000000003</v>
      </c>
      <c r="N1029">
        <v>0</v>
      </c>
      <c r="O1029">
        <v>-3.6954109999999998E-2</v>
      </c>
      <c r="P1029">
        <v>0.99550930000000004</v>
      </c>
      <c r="Q1029">
        <v>2.380958E-2</v>
      </c>
      <c r="R1029">
        <v>-9.1621279999999999E-2</v>
      </c>
      <c r="S1029">
        <v>2.9414669999999998</v>
      </c>
      <c r="T1029">
        <v>-0.40351340000000002</v>
      </c>
      <c r="U1029">
        <v>-0.91897580000000001</v>
      </c>
      <c r="V1029">
        <v>5.4999239999999998E-2</v>
      </c>
      <c r="W1029">
        <v>3.7561940000000002E-2</v>
      </c>
      <c r="X1029">
        <v>0.99777959999999999</v>
      </c>
      <c r="Y1029">
        <v>0.26082070000000002</v>
      </c>
      <c r="Z1029">
        <v>-1.247478E-2</v>
      </c>
      <c r="AA1029">
        <v>0.96530660000000001</v>
      </c>
      <c r="AB1029">
        <v>27</v>
      </c>
      <c r="AC1029">
        <v>7.8068000000000097</v>
      </c>
      <c r="AD1029">
        <v>-1.108106897179</v>
      </c>
      <c r="AE1029">
        <v>-2.5111999999999699</v>
      </c>
      <c r="AF1029">
        <v>2.1811387737040202</v>
      </c>
      <c r="AG1029">
        <v>-1.108106897179</v>
      </c>
      <c r="AH1029">
        <v>7.7527247034361997</v>
      </c>
      <c r="AI1029">
        <v>97.834124243940494</v>
      </c>
      <c r="AJ1029">
        <v>74.286671279741299</v>
      </c>
      <c r="AK1029">
        <v>8.1295761004495599</v>
      </c>
      <c r="AL1029">
        <v>87.847352912222505</v>
      </c>
      <c r="AM1029">
        <v>86.844955960100407</v>
      </c>
      <c r="AN1029">
        <v>0.99999997295665</v>
      </c>
    </row>
    <row r="1030" spans="1:40" x14ac:dyDescent="0.25">
      <c r="A1030" t="str">
        <f>"20190312154232817"</f>
        <v>20190312154232817</v>
      </c>
      <c r="B1030" t="str">
        <f>"1552376552808141"</f>
        <v>1552376552808141</v>
      </c>
      <c r="C1030" t="s">
        <v>40</v>
      </c>
      <c r="D1030">
        <v>5.1180709999999996</v>
      </c>
      <c r="E1030">
        <v>0.58384840000000005</v>
      </c>
      <c r="F1030" t="s">
        <v>47</v>
      </c>
      <c r="G1030">
        <v>-209.4693</v>
      </c>
      <c r="H1030" s="1">
        <v>-5.7630440000000001E-6</v>
      </c>
      <c r="I1030">
        <v>365.4187</v>
      </c>
      <c r="J1030">
        <v>-217.4478</v>
      </c>
      <c r="K1030">
        <v>1.1079460000000001</v>
      </c>
      <c r="L1030">
        <v>368.00889999999998</v>
      </c>
      <c r="M1030">
        <v>0.99907310000000005</v>
      </c>
      <c r="N1030">
        <v>0</v>
      </c>
      <c r="O1030">
        <v>-4.0664699999999998E-2</v>
      </c>
      <c r="P1030">
        <v>0.99503730000000001</v>
      </c>
      <c r="Q1030">
        <v>2.29064E-2</v>
      </c>
      <c r="R1030">
        <v>-9.6831260000000002E-2</v>
      </c>
      <c r="S1030">
        <v>2.9376370000000001</v>
      </c>
      <c r="T1030">
        <v>-0.39452710000000002</v>
      </c>
      <c r="U1030">
        <v>-0.92718509999999998</v>
      </c>
      <c r="V1030">
        <v>5.6524310000000001E-2</v>
      </c>
      <c r="W1030">
        <v>3.6634180000000002E-2</v>
      </c>
      <c r="X1030">
        <v>0.99772890000000003</v>
      </c>
      <c r="Y1030">
        <v>0.2601676</v>
      </c>
      <c r="Z1030">
        <v>-1.168403E-2</v>
      </c>
      <c r="AA1030">
        <v>0.96549280000000004</v>
      </c>
      <c r="AB1030">
        <v>27</v>
      </c>
      <c r="AC1030">
        <v>7.9784999999999897</v>
      </c>
      <c r="AD1030">
        <v>-1.1079517630439999</v>
      </c>
      <c r="AE1030">
        <v>-2.5901999999999799</v>
      </c>
      <c r="AF1030">
        <v>2.2247694107843201</v>
      </c>
      <c r="AG1030">
        <v>-1.1079517630439999</v>
      </c>
      <c r="AH1030">
        <v>7.9387447622584997</v>
      </c>
      <c r="AI1030">
        <v>97.653855885991405</v>
      </c>
      <c r="AJ1030">
        <v>74.344898803902893</v>
      </c>
      <c r="AK1030">
        <v>8.3187032908188705</v>
      </c>
      <c r="AL1030">
        <v>87.900546341084507</v>
      </c>
      <c r="AM1030">
        <v>86.757489706097601</v>
      </c>
      <c r="AN1030">
        <v>1.0000000093302199</v>
      </c>
    </row>
    <row r="1031" spans="1:40" x14ac:dyDescent="0.25">
      <c r="A1031" t="str">
        <f>"20190312154232840"</f>
        <v>20190312154232840</v>
      </c>
      <c r="B1031" t="str">
        <f>"1552376552828636"</f>
        <v>1552376552828636</v>
      </c>
      <c r="C1031" t="s">
        <v>40</v>
      </c>
      <c r="D1031">
        <v>5.1653039999999999</v>
      </c>
      <c r="E1031">
        <v>0.5841092</v>
      </c>
      <c r="F1031" t="s">
        <v>47</v>
      </c>
      <c r="G1031">
        <v>-209.36760000000001</v>
      </c>
      <c r="H1031" s="1">
        <v>-5.7301859999999998E-6</v>
      </c>
      <c r="I1031">
        <v>365.41120000000001</v>
      </c>
      <c r="J1031">
        <v>-217.18</v>
      </c>
      <c r="K1031">
        <v>1.107815</v>
      </c>
      <c r="L1031">
        <v>367.9939</v>
      </c>
      <c r="M1031">
        <v>0.99890979999999996</v>
      </c>
      <c r="N1031">
        <v>0</v>
      </c>
      <c r="O1031">
        <v>-4.4491940000000001E-2</v>
      </c>
      <c r="P1031">
        <v>0.99437739999999997</v>
      </c>
      <c r="Q1031">
        <v>2.240843E-2</v>
      </c>
      <c r="R1031">
        <v>-0.103497699999999</v>
      </c>
      <c r="S1031">
        <v>2.93248</v>
      </c>
      <c r="T1031">
        <v>-0.40209709999999899</v>
      </c>
      <c r="U1031">
        <v>-0.94274899999999995</v>
      </c>
      <c r="V1031">
        <v>5.9397150000000003E-2</v>
      </c>
      <c r="W1031">
        <v>3.6102860000000001E-2</v>
      </c>
      <c r="X1031">
        <v>0.99758139999999995</v>
      </c>
      <c r="Y1031">
        <v>0.26155859999999997</v>
      </c>
      <c r="Z1031">
        <v>-1.1501920000000001E-2</v>
      </c>
      <c r="AA1031">
        <v>0.96511910000000001</v>
      </c>
      <c r="AB1031">
        <v>27</v>
      </c>
      <c r="AC1031">
        <v>7.8123999999999896</v>
      </c>
      <c r="AD1031">
        <v>-1.1078207301859999</v>
      </c>
      <c r="AE1031">
        <v>-2.58269999999998</v>
      </c>
      <c r="AF1031">
        <v>2.1927701468241398</v>
      </c>
      <c r="AG1031">
        <v>-1.1078207301859999</v>
      </c>
      <c r="AH1031">
        <v>7.7785809227331502</v>
      </c>
      <c r="AI1031">
        <v>97.805286742024094</v>
      </c>
      <c r="AJ1031">
        <v>74.256936362349506</v>
      </c>
      <c r="AK1031">
        <v>8.1573175038453201</v>
      </c>
      <c r="AL1031">
        <v>87.931008958634806</v>
      </c>
      <c r="AM1031">
        <v>86.592565861386404</v>
      </c>
      <c r="AN1031">
        <v>1.0000000437771299</v>
      </c>
    </row>
    <row r="1032" spans="1:40" x14ac:dyDescent="0.25">
      <c r="A1032" t="str">
        <f>"20190312154232862"</f>
        <v>20190312154232862</v>
      </c>
      <c r="B1032" t="str">
        <f>"1552376552857920"</f>
        <v>1552376552857920</v>
      </c>
      <c r="C1032" t="s">
        <v>40</v>
      </c>
      <c r="D1032">
        <v>5.1597119999999999</v>
      </c>
      <c r="E1032">
        <v>0.58467219999999998</v>
      </c>
      <c r="F1032" t="s">
        <v>47</v>
      </c>
      <c r="G1032">
        <v>-209.108</v>
      </c>
      <c r="H1032" s="1">
        <v>-5.6548620000000001E-6</v>
      </c>
      <c r="I1032">
        <v>365.33710000000002</v>
      </c>
      <c r="J1032">
        <v>-216.90170000000001</v>
      </c>
      <c r="K1032">
        <v>1.1076889999999999</v>
      </c>
      <c r="L1032">
        <v>367.97699999999998</v>
      </c>
      <c r="M1032">
        <v>0.99871730000000003</v>
      </c>
      <c r="N1032">
        <v>0</v>
      </c>
      <c r="O1032">
        <v>-4.8620980000000001E-2</v>
      </c>
      <c r="P1032">
        <v>0.99354569999999998</v>
      </c>
      <c r="Q1032">
        <v>2.126217E-2</v>
      </c>
      <c r="R1032">
        <v>-0.11142349999999999</v>
      </c>
      <c r="S1032">
        <v>2.9258120000000001</v>
      </c>
      <c r="T1032">
        <v>-0.40154600000000001</v>
      </c>
      <c r="U1032">
        <v>-0.96301270000000005</v>
      </c>
      <c r="V1032">
        <v>6.3230369999999994E-2</v>
      </c>
      <c r="W1032">
        <v>3.4915330000000001E-2</v>
      </c>
      <c r="X1032">
        <v>0.99738800000000005</v>
      </c>
      <c r="Y1032">
        <v>0.26426820000000001</v>
      </c>
      <c r="Z1032">
        <v>-1.113244E-2</v>
      </c>
      <c r="AA1032">
        <v>0.96438500000000005</v>
      </c>
      <c r="AB1032">
        <v>27</v>
      </c>
      <c r="AC1032">
        <v>7.7937000000000003</v>
      </c>
      <c r="AD1032">
        <v>-1.1076946548619999</v>
      </c>
      <c r="AE1032">
        <v>-2.6398999999999502</v>
      </c>
      <c r="AF1032">
        <v>2.2176165708764599</v>
      </c>
      <c r="AG1032">
        <v>-1.1076946548619999</v>
      </c>
      <c r="AH1032">
        <v>7.7720113445724301</v>
      </c>
      <c r="AI1032">
        <v>97.803971514780997</v>
      </c>
      <c r="AJ1032">
        <v>74.074767592099903</v>
      </c>
      <c r="AK1032">
        <v>8.1577552699255609</v>
      </c>
      <c r="AL1032">
        <v>87.999092248147505</v>
      </c>
      <c r="AM1032">
        <v>86.372533495950407</v>
      </c>
      <c r="AN1032">
        <v>0.99999999125167205</v>
      </c>
    </row>
    <row r="1033" spans="1:40" x14ac:dyDescent="0.25">
      <c r="A1033" t="str">
        <f>"20190312154232885"</f>
        <v>20190312154232885</v>
      </c>
      <c r="B1033" t="str">
        <f>"1552376552878429"</f>
        <v>1552376552878429</v>
      </c>
      <c r="C1033" t="s">
        <v>40</v>
      </c>
      <c r="D1033">
        <v>5.1309800000000001</v>
      </c>
      <c r="E1033">
        <v>0.58472089999999999</v>
      </c>
      <c r="F1033" t="s">
        <v>47</v>
      </c>
      <c r="G1033">
        <v>-208.8372</v>
      </c>
      <c r="H1033" s="1">
        <v>-5.5794399999999997E-6</v>
      </c>
      <c r="I1033">
        <v>365.2396</v>
      </c>
      <c r="J1033">
        <v>-216.6302</v>
      </c>
      <c r="K1033">
        <v>1.107575</v>
      </c>
      <c r="L1033">
        <v>367.95940000000002</v>
      </c>
      <c r="M1033">
        <v>0.99850620000000001</v>
      </c>
      <c r="N1033">
        <v>0</v>
      </c>
      <c r="O1033">
        <v>-5.277826E-2</v>
      </c>
      <c r="P1033">
        <v>0.99272289999999996</v>
      </c>
      <c r="Q1033">
        <v>1.9438299999999999E-2</v>
      </c>
      <c r="R1033">
        <v>-0.1188432</v>
      </c>
      <c r="S1033">
        <v>2.9170229999999999</v>
      </c>
      <c r="T1033">
        <v>-0.40066560000000001</v>
      </c>
      <c r="U1033">
        <v>-0.99014279999999999</v>
      </c>
      <c r="V1033">
        <v>6.6524280000000005E-2</v>
      </c>
      <c r="W1033">
        <v>3.305483E-2</v>
      </c>
      <c r="X1033">
        <v>0.99723709999999999</v>
      </c>
      <c r="Y1033">
        <v>0.26917849999999999</v>
      </c>
      <c r="Z1033">
        <v>-1.090066E-2</v>
      </c>
      <c r="AA1033">
        <v>0.96302860000000001</v>
      </c>
      <c r="AB1033">
        <v>27</v>
      </c>
      <c r="AC1033">
        <v>7.7930000000000001</v>
      </c>
      <c r="AD1033">
        <v>-1.10758057944</v>
      </c>
      <c r="AE1033">
        <v>-2.7198000000000202</v>
      </c>
      <c r="AF1033">
        <v>2.2639020044621598</v>
      </c>
      <c r="AG1033">
        <v>-1.10758057944</v>
      </c>
      <c r="AH1033">
        <v>7.78550898497868</v>
      </c>
      <c r="AI1033">
        <v>97.778669002181203</v>
      </c>
      <c r="AJ1033">
        <v>73.786410689604196</v>
      </c>
      <c r="AK1033">
        <v>8.1832840095492401</v>
      </c>
      <c r="AL1033">
        <v>88.105752630951201</v>
      </c>
      <c r="AM1033">
        <v>86.183533818612204</v>
      </c>
      <c r="AN1033">
        <v>0.99999996761612797</v>
      </c>
    </row>
    <row r="1034" spans="1:40" x14ac:dyDescent="0.25">
      <c r="A1034" t="str">
        <f>"20190312154232908"</f>
        <v>20190312154232908</v>
      </c>
      <c r="B1034" t="str">
        <f>"1552376552897932"</f>
        <v>1552376552897932</v>
      </c>
      <c r="C1034" t="s">
        <v>40</v>
      </c>
      <c r="D1034">
        <v>5.1817690000000001</v>
      </c>
      <c r="E1034">
        <v>0.58487979999999995</v>
      </c>
      <c r="F1034" t="s">
        <v>47</v>
      </c>
      <c r="G1034">
        <v>-208.62909999999999</v>
      </c>
      <c r="H1034" s="1">
        <v>-5.5200279999999996E-6</v>
      </c>
      <c r="I1034">
        <v>365.17399999999998</v>
      </c>
      <c r="J1034">
        <v>-216.35319999999999</v>
      </c>
      <c r="K1034">
        <v>1.1074679999999999</v>
      </c>
      <c r="L1034">
        <v>367.93990000000002</v>
      </c>
      <c r="M1034">
        <v>0.99826599999999999</v>
      </c>
      <c r="N1034">
        <v>0</v>
      </c>
      <c r="O1034">
        <v>-5.7140690000000001E-2</v>
      </c>
      <c r="P1034">
        <v>0.99178560000000004</v>
      </c>
      <c r="Q1034">
        <v>1.7865450000000001E-2</v>
      </c>
      <c r="R1034">
        <v>-0.12665779999999999</v>
      </c>
      <c r="S1034">
        <v>2.9086609999999999</v>
      </c>
      <c r="T1034">
        <v>-0.40264109999999997</v>
      </c>
      <c r="U1034">
        <v>-1.0125729999999999</v>
      </c>
      <c r="V1034">
        <v>7.0015770000000005E-2</v>
      </c>
      <c r="W1034">
        <v>3.144301E-2</v>
      </c>
      <c r="X1034">
        <v>0.9970502</v>
      </c>
      <c r="Y1034">
        <v>0.27244089999999999</v>
      </c>
      <c r="Z1034">
        <v>-1.060827E-2</v>
      </c>
      <c r="AA1034">
        <v>0.96211400000000002</v>
      </c>
      <c r="AB1034">
        <v>27</v>
      </c>
      <c r="AC1034">
        <v>7.7240999999999902</v>
      </c>
      <c r="AD1034">
        <v>-1.1074735200279999</v>
      </c>
      <c r="AE1034">
        <v>-2.7658999999999798</v>
      </c>
      <c r="AF1034">
        <v>2.27845941211296</v>
      </c>
      <c r="AG1034">
        <v>-1.1074735200279999</v>
      </c>
      <c r="AH1034">
        <v>7.7287128959760603</v>
      </c>
      <c r="AI1034">
        <v>97.825992568249006</v>
      </c>
      <c r="AJ1034">
        <v>73.574245406280596</v>
      </c>
      <c r="AK1034">
        <v>8.1333189977177192</v>
      </c>
      <c r="AL1034">
        <v>88.198151220093195</v>
      </c>
      <c r="AM1034">
        <v>85.983117528884193</v>
      </c>
      <c r="AN1034">
        <v>0.99999998612329599</v>
      </c>
    </row>
    <row r="1035" spans="1:40" x14ac:dyDescent="0.25">
      <c r="A1035" t="str">
        <f>"20190312154232931"</f>
        <v>20190312154232931</v>
      </c>
      <c r="B1035" t="str">
        <f>"1552376552918430"</f>
        <v>1552376552918430</v>
      </c>
      <c r="C1035" t="s">
        <v>40</v>
      </c>
      <c r="D1035">
        <v>5.1589390000000002</v>
      </c>
      <c r="E1035">
        <v>0.58480669999999901</v>
      </c>
      <c r="F1035" t="s">
        <v>47</v>
      </c>
      <c r="G1035">
        <v>-208.42519999999999</v>
      </c>
      <c r="H1035" s="1">
        <v>-5.462752E-6</v>
      </c>
      <c r="I1035">
        <v>365.1037</v>
      </c>
      <c r="J1035">
        <v>-216.0848</v>
      </c>
      <c r="K1035">
        <v>1.1073770000000001</v>
      </c>
      <c r="L1035">
        <v>367.91980000000001</v>
      </c>
      <c r="M1035">
        <v>0.99800710000000004</v>
      </c>
      <c r="N1035">
        <v>0</v>
      </c>
      <c r="O1035">
        <v>-6.1495080000000001E-2</v>
      </c>
      <c r="P1035">
        <v>0.99078480000000002</v>
      </c>
      <c r="Q1035">
        <v>1.727074E-2</v>
      </c>
      <c r="R1035">
        <v>-0.13434009999999999</v>
      </c>
      <c r="S1035">
        <v>2.8996580000000001</v>
      </c>
      <c r="T1035">
        <v>-0.40505809999999998</v>
      </c>
      <c r="U1035">
        <v>-1.0373540000000001</v>
      </c>
      <c r="V1035">
        <v>7.3394849999999998E-2</v>
      </c>
      <c r="W1035">
        <v>3.0810069999999998E-2</v>
      </c>
      <c r="X1035">
        <v>0.99682689999999996</v>
      </c>
      <c r="Y1035">
        <v>0.27645700000000001</v>
      </c>
      <c r="Z1035">
        <v>-1.0375509999999999E-2</v>
      </c>
      <c r="AA1035">
        <v>0.96097030000000006</v>
      </c>
      <c r="AB1035">
        <v>27</v>
      </c>
      <c r="AC1035">
        <v>7.65960000000001</v>
      </c>
      <c r="AD1035">
        <v>-1.1073824627519999</v>
      </c>
      <c r="AE1035">
        <v>-2.8161</v>
      </c>
      <c r="AF1035">
        <v>2.2973926562195999</v>
      </c>
      <c r="AG1035">
        <v>-1.1073824627519999</v>
      </c>
      <c r="AH1035">
        <v>7.6769394854842696</v>
      </c>
      <c r="AI1035">
        <v>97.868019176078704</v>
      </c>
      <c r="AJ1035">
        <v>73.339718276714095</v>
      </c>
      <c r="AK1035">
        <v>8.0894813677670303</v>
      </c>
      <c r="AL1035">
        <v>88.234433557773897</v>
      </c>
      <c r="AM1035">
        <v>85.788997340879007</v>
      </c>
      <c r="AN1035">
        <v>0.99999996649176803</v>
      </c>
    </row>
    <row r="1036" spans="1:40" x14ac:dyDescent="0.25">
      <c r="A1036" t="str">
        <f>"20190312154232952"</f>
        <v>20190312154232952</v>
      </c>
      <c r="B1036" t="str">
        <f>"1552376552948685"</f>
        <v>1552376552948685</v>
      </c>
      <c r="C1036" t="s">
        <v>40</v>
      </c>
      <c r="D1036">
        <v>5.2106409999999999</v>
      </c>
      <c r="E1036">
        <v>0.58465210000000001</v>
      </c>
      <c r="F1036" t="s">
        <v>47</v>
      </c>
      <c r="G1036">
        <v>-208.12440000000001</v>
      </c>
      <c r="H1036" s="1">
        <v>-5.3778869999999899E-6</v>
      </c>
      <c r="I1036">
        <v>365.00229999999999</v>
      </c>
      <c r="J1036">
        <v>-215.82149999999999</v>
      </c>
      <c r="K1036">
        <v>1.1073059999999999</v>
      </c>
      <c r="L1036">
        <v>367.89879999999999</v>
      </c>
      <c r="M1036">
        <v>0.99772850000000002</v>
      </c>
      <c r="N1036">
        <v>0</v>
      </c>
      <c r="O1036">
        <v>-6.5857689999999997E-2</v>
      </c>
      <c r="P1036">
        <v>0.98973330000000004</v>
      </c>
      <c r="Q1036">
        <v>1.761832E-2</v>
      </c>
      <c r="R1036">
        <v>-0.14183809999999999</v>
      </c>
      <c r="S1036">
        <v>2.891251</v>
      </c>
      <c r="T1036">
        <v>-0.40220549999999999</v>
      </c>
      <c r="U1036">
        <v>-1.0596620000000001</v>
      </c>
      <c r="V1036">
        <v>7.6593469999999997E-2</v>
      </c>
      <c r="W1036">
        <v>3.1121300000000001E-2</v>
      </c>
      <c r="X1036">
        <v>0.99657660000000003</v>
      </c>
      <c r="Y1036">
        <v>0.2797268</v>
      </c>
      <c r="Z1036">
        <v>-9.9567470000000002E-3</v>
      </c>
      <c r="AA1036">
        <v>0.96002799999999999</v>
      </c>
      <c r="AB1036">
        <v>27</v>
      </c>
      <c r="AC1036">
        <v>7.6970999999999696</v>
      </c>
      <c r="AD1036">
        <v>-1.1073113778869901</v>
      </c>
      <c r="AE1036">
        <v>-2.8965000000000001</v>
      </c>
      <c r="AF1036">
        <v>2.34081048537668</v>
      </c>
      <c r="AG1036">
        <v>-1.1073113778869901</v>
      </c>
      <c r="AH1036">
        <v>7.73100891591743</v>
      </c>
      <c r="AI1036">
        <v>97.805677977331499</v>
      </c>
      <c r="AJ1036">
        <v>73.154631341730294</v>
      </c>
      <c r="AK1036">
        <v>8.1531608026606595</v>
      </c>
      <c r="AL1036">
        <v>88.216592908921399</v>
      </c>
      <c r="AM1036">
        <v>85.605082198941403</v>
      </c>
      <c r="AN1036">
        <v>1.0000000073139399</v>
      </c>
    </row>
    <row r="1037" spans="1:40" x14ac:dyDescent="0.25">
      <c r="A1037" t="str">
        <f>"20190312154232976"</f>
        <v>20190312154232976</v>
      </c>
      <c r="B1037" t="str">
        <f>"1552376552968205"</f>
        <v>1552376552968205</v>
      </c>
      <c r="C1037" t="s">
        <v>40</v>
      </c>
      <c r="D1037">
        <v>5.1874669999999998</v>
      </c>
      <c r="E1037">
        <v>0.58434779999999997</v>
      </c>
      <c r="F1037" t="s">
        <v>47</v>
      </c>
      <c r="G1037">
        <v>-207.8261</v>
      </c>
      <c r="H1037" s="1">
        <v>-5.2936259999999999E-6</v>
      </c>
      <c r="I1037">
        <v>364.90260000000001</v>
      </c>
      <c r="J1037">
        <v>-215.5403</v>
      </c>
      <c r="K1037">
        <v>1.10724</v>
      </c>
      <c r="L1037">
        <v>367.87490000000003</v>
      </c>
      <c r="M1037">
        <v>0.99740229999999996</v>
      </c>
      <c r="N1037">
        <v>0</v>
      </c>
      <c r="O1037">
        <v>-7.0625930000000003E-2</v>
      </c>
      <c r="P1037">
        <v>0.9887785</v>
      </c>
      <c r="Q1037">
        <v>1.7739230000000002E-2</v>
      </c>
      <c r="R1037">
        <v>-0.14833180000000001</v>
      </c>
      <c r="S1037">
        <v>2.8833470000000001</v>
      </c>
      <c r="T1037">
        <v>-0.39932630000000002</v>
      </c>
      <c r="U1037">
        <v>-1.0805049999999901</v>
      </c>
      <c r="V1037">
        <v>7.8378699999999996E-2</v>
      </c>
      <c r="W1037">
        <v>3.1218530000000001E-2</v>
      </c>
      <c r="X1037">
        <v>0.99643470000000001</v>
      </c>
      <c r="Y1037">
        <v>0.28213189999999999</v>
      </c>
      <c r="Z1037">
        <v>-9.4293199999999997E-3</v>
      </c>
      <c r="AA1037">
        <v>0.95932930000000005</v>
      </c>
      <c r="AB1037">
        <v>27</v>
      </c>
      <c r="AC1037">
        <v>7.7141999999999999</v>
      </c>
      <c r="AD1037">
        <v>-1.107245293626</v>
      </c>
      <c r="AE1037">
        <v>-2.9723000000000099</v>
      </c>
      <c r="AF1037">
        <v>2.37735248534258</v>
      </c>
      <c r="AG1037">
        <v>-1.107245293626</v>
      </c>
      <c r="AH1037">
        <v>7.7655710967188396</v>
      </c>
      <c r="AI1037">
        <v>97.763725756319701</v>
      </c>
      <c r="AJ1037">
        <v>72.978551246141294</v>
      </c>
      <c r="AK1037">
        <v>8.1964560291638602</v>
      </c>
      <c r="AL1037">
        <v>88.211019255135596</v>
      </c>
      <c r="AM1037">
        <v>85.5024236978972</v>
      </c>
      <c r="AN1037">
        <v>0.99999996429656901</v>
      </c>
    </row>
    <row r="1038" spans="1:40" x14ac:dyDescent="0.25">
      <c r="A1038" t="str">
        <f>"20190312154232997"</f>
        <v>20190312154232997</v>
      </c>
      <c r="B1038" t="str">
        <f>"1552376552988700"</f>
        <v>1552376552988700</v>
      </c>
      <c r="C1038" t="s">
        <v>40</v>
      </c>
      <c r="D1038">
        <v>5.1933379999999998</v>
      </c>
      <c r="E1038">
        <v>0.58408059999999995</v>
      </c>
      <c r="F1038" t="s">
        <v>47</v>
      </c>
      <c r="G1038">
        <v>-207.5428</v>
      </c>
      <c r="H1038" s="1">
        <v>-5.2020070000000003E-6</v>
      </c>
      <c r="I1038">
        <v>364.82400000000001</v>
      </c>
      <c r="J1038">
        <v>-215.273</v>
      </c>
      <c r="K1038">
        <v>1.107172</v>
      </c>
      <c r="L1038">
        <v>367.85079999999999</v>
      </c>
      <c r="M1038">
        <v>0.99706269999999997</v>
      </c>
      <c r="N1038">
        <v>0</v>
      </c>
      <c r="O1038">
        <v>-7.5269130000000004E-2</v>
      </c>
      <c r="P1038">
        <v>0.98758469999999998</v>
      </c>
      <c r="Q1038">
        <v>1.6774440000000002E-2</v>
      </c>
      <c r="R1038">
        <v>-0.15619079999999999</v>
      </c>
      <c r="S1038">
        <v>2.8765869999999998</v>
      </c>
      <c r="T1038">
        <v>-0.3982636</v>
      </c>
      <c r="U1038">
        <v>-1.097351</v>
      </c>
      <c r="V1038">
        <v>8.1660170000000004E-2</v>
      </c>
      <c r="W1038">
        <v>3.021478E-2</v>
      </c>
      <c r="X1038">
        <v>0.99620209999999998</v>
      </c>
      <c r="Y1038">
        <v>0.28335670000000002</v>
      </c>
      <c r="Z1038">
        <v>-8.8846120000000001E-3</v>
      </c>
      <c r="AA1038">
        <v>0.95897339999999998</v>
      </c>
      <c r="AB1038">
        <v>27</v>
      </c>
      <c r="AC1038">
        <v>7.7301999999999902</v>
      </c>
      <c r="AD1038">
        <v>-1.1071772020070001</v>
      </c>
      <c r="AE1038">
        <v>-3.02679999999997</v>
      </c>
      <c r="AF1038">
        <v>2.3937307572088802</v>
      </c>
      <c r="AG1038">
        <v>-1.1071772020070001</v>
      </c>
      <c r="AH1038">
        <v>7.7974210794950496</v>
      </c>
      <c r="AI1038">
        <v>97.730108880975195</v>
      </c>
      <c r="AJ1038">
        <v>72.934034308592402</v>
      </c>
      <c r="AK1038">
        <v>8.2313767855447892</v>
      </c>
      <c r="AL1038">
        <v>88.268557058703095</v>
      </c>
      <c r="AM1038">
        <v>85.313856775817897</v>
      </c>
      <c r="AN1038">
        <v>0.99999997016964304</v>
      </c>
    </row>
    <row r="1039" spans="1:40" x14ac:dyDescent="0.25">
      <c r="A1039" t="str">
        <f>"20190312154233010"</f>
        <v>20190312154233010</v>
      </c>
      <c r="B1039" t="str">
        <f>"1552376552998460"</f>
        <v>1552376552998460</v>
      </c>
      <c r="C1039" t="s">
        <v>40</v>
      </c>
      <c r="D1039">
        <v>5.1716419999999896</v>
      </c>
      <c r="E1039">
        <v>0.58392559999999905</v>
      </c>
      <c r="F1039" t="s">
        <v>47</v>
      </c>
      <c r="G1039">
        <v>-207.32980000000001</v>
      </c>
      <c r="H1039" s="1">
        <v>-5.11861999999999E-6</v>
      </c>
      <c r="I1039">
        <v>364.75259999999997</v>
      </c>
      <c r="J1039">
        <v>-215.12049999999999</v>
      </c>
      <c r="K1039">
        <v>1.1071299999999999</v>
      </c>
      <c r="L1039">
        <v>367.8365</v>
      </c>
      <c r="M1039">
        <v>0.99685550000000001</v>
      </c>
      <c r="N1039">
        <v>0</v>
      </c>
      <c r="O1039">
        <v>-7.7962569999999995E-2</v>
      </c>
      <c r="P1039">
        <v>0.98691589999999996</v>
      </c>
      <c r="Q1039">
        <v>1.631575E-2</v>
      </c>
      <c r="R1039">
        <v>-0.16040779999999999</v>
      </c>
      <c r="S1039">
        <v>2.8675989999999998</v>
      </c>
      <c r="T1039">
        <v>-0.39970509999999998</v>
      </c>
      <c r="U1039">
        <v>-1.1185</v>
      </c>
      <c r="V1039">
        <v>8.3223030000000003E-2</v>
      </c>
      <c r="W1039">
        <v>2.9736729999999999E-2</v>
      </c>
      <c r="X1039">
        <v>0.99608719999999995</v>
      </c>
      <c r="Y1039">
        <v>0.2878868</v>
      </c>
      <c r="Z1039">
        <v>-8.8777530000000004E-3</v>
      </c>
      <c r="AA1039">
        <v>0.95762329999999996</v>
      </c>
      <c r="AB1039">
        <v>27</v>
      </c>
      <c r="AC1039">
        <v>7.7906999999999798</v>
      </c>
      <c r="AD1039">
        <v>-1.10713511862</v>
      </c>
      <c r="AE1039">
        <v>-3.0839000000000198</v>
      </c>
      <c r="AF1039">
        <v>2.42473307753444</v>
      </c>
      <c r="AG1039">
        <v>-1.10713511862</v>
      </c>
      <c r="AH1039">
        <v>7.8700291530855297</v>
      </c>
      <c r="AI1039">
        <v>97.657000828119607</v>
      </c>
      <c r="AJ1039">
        <v>72.876086964660203</v>
      </c>
      <c r="AK1039">
        <v>8.30917790991308</v>
      </c>
      <c r="AL1039">
        <v>88.295959719611304</v>
      </c>
      <c r="AM1039">
        <v>85.224033233048203</v>
      </c>
      <c r="AN1039">
        <v>1.0000000279186501</v>
      </c>
    </row>
    <row r="1040" spans="1:40" x14ac:dyDescent="0.25">
      <c r="A1040" t="str">
        <f>"20190312154233022"</f>
        <v>20190312154233022</v>
      </c>
      <c r="B1040" t="str">
        <f>"1552376553017981"</f>
        <v>1552376553017981</v>
      </c>
      <c r="C1040" t="s">
        <v>40</v>
      </c>
      <c r="D1040">
        <v>5.159802</v>
      </c>
      <c r="E1040">
        <v>0.58361459999999998</v>
      </c>
      <c r="F1040" t="s">
        <v>47</v>
      </c>
      <c r="G1040">
        <v>-207.2089</v>
      </c>
      <c r="H1040" s="1">
        <v>-5.0706859999999996E-6</v>
      </c>
      <c r="I1040">
        <v>364.71480000000003</v>
      </c>
      <c r="J1040">
        <v>-214.9684</v>
      </c>
      <c r="K1040">
        <v>1.1070850000000001</v>
      </c>
      <c r="L1040">
        <v>367.82170000000002</v>
      </c>
      <c r="M1040">
        <v>0.99663769999999996</v>
      </c>
      <c r="N1040">
        <v>0</v>
      </c>
      <c r="O1040">
        <v>-8.0700229999999998E-2</v>
      </c>
      <c r="P1040">
        <v>0.98622799999999999</v>
      </c>
      <c r="Q1040">
        <v>1.6079199999999998E-2</v>
      </c>
      <c r="R1040">
        <v>-0.16460900000000001</v>
      </c>
      <c r="S1040">
        <v>2.862778</v>
      </c>
      <c r="T1040">
        <v>-0.40061210000000003</v>
      </c>
      <c r="U1040">
        <v>-1.1296079999999999</v>
      </c>
      <c r="V1040">
        <v>8.4730040000000006E-2</v>
      </c>
      <c r="W1040">
        <v>2.9480300000000001E-2</v>
      </c>
      <c r="X1040">
        <v>0.99596770000000001</v>
      </c>
      <c r="Y1040">
        <v>0.28902670000000003</v>
      </c>
      <c r="Z1040">
        <v>-8.6184290000000004E-3</v>
      </c>
      <c r="AA1040">
        <v>0.95728219999999997</v>
      </c>
      <c r="AB1040">
        <v>27</v>
      </c>
      <c r="AC1040">
        <v>7.7595000000000001</v>
      </c>
      <c r="AD1040">
        <v>-1.1070900706860001</v>
      </c>
      <c r="AE1040">
        <v>-3.1068999999999898</v>
      </c>
      <c r="AF1040">
        <v>2.4279137014051901</v>
      </c>
      <c r="AG1040">
        <v>-1.1070900706860001</v>
      </c>
      <c r="AH1040">
        <v>7.8472693792856596</v>
      </c>
      <c r="AI1040">
        <v>97.675858083588594</v>
      </c>
      <c r="AJ1040">
        <v>72.808142100178003</v>
      </c>
      <c r="AK1040">
        <v>8.28854933490517</v>
      </c>
      <c r="AL1040">
        <v>88.310658411670801</v>
      </c>
      <c r="AM1040">
        <v>85.137379956074</v>
      </c>
      <c r="AN1040">
        <v>0.99999996360488996</v>
      </c>
    </row>
    <row r="1041" spans="1:40" x14ac:dyDescent="0.25">
      <c r="A1041" t="str">
        <f>"20190312154233034"</f>
        <v>20190312154233034</v>
      </c>
      <c r="B1041" t="str">
        <f>"1552376553028717"</f>
        <v>1552376553028717</v>
      </c>
      <c r="C1041" t="s">
        <v>40</v>
      </c>
      <c r="D1041">
        <v>5.1026809999999996</v>
      </c>
      <c r="E1041">
        <v>0.58361459999999998</v>
      </c>
      <c r="F1041" t="s">
        <v>47</v>
      </c>
      <c r="G1041">
        <v>-207.0652</v>
      </c>
      <c r="H1041" s="1">
        <v>-5.0132879999999996E-6</v>
      </c>
      <c r="I1041">
        <v>364.67169999999999</v>
      </c>
      <c r="J1041">
        <v>-214.8237</v>
      </c>
      <c r="K1041">
        <v>1.1070420000000001</v>
      </c>
      <c r="L1041">
        <v>367.80720000000002</v>
      </c>
      <c r="M1041">
        <v>0.99642030000000004</v>
      </c>
      <c r="N1041">
        <v>0</v>
      </c>
      <c r="O1041">
        <v>-8.3338809999999999E-2</v>
      </c>
      <c r="P1041">
        <v>0.98543570000000003</v>
      </c>
      <c r="Q1041">
        <v>1.6087239999999999E-2</v>
      </c>
      <c r="R1041">
        <v>-0.16928509999999999</v>
      </c>
      <c r="S1041">
        <v>2.8582610000000002</v>
      </c>
      <c r="T1041">
        <v>-0.40038899999999999</v>
      </c>
      <c r="U1041">
        <v>-1.13922099999999</v>
      </c>
      <c r="V1041">
        <v>8.6821049999999997E-2</v>
      </c>
      <c r="W1041">
        <v>2.9462189999999999E-2</v>
      </c>
      <c r="X1041">
        <v>0.99578820000000001</v>
      </c>
      <c r="Y1041">
        <v>0.28980650000000002</v>
      </c>
      <c r="Z1041">
        <v>-8.323057E-3</v>
      </c>
      <c r="AA1041">
        <v>0.95704909999999999</v>
      </c>
      <c r="AB1041">
        <v>27</v>
      </c>
      <c r="AC1041">
        <v>7.75849999999999</v>
      </c>
      <c r="AD1041">
        <v>-1.1070470132879999</v>
      </c>
      <c r="AE1041">
        <v>-3.1355000000000302</v>
      </c>
      <c r="AF1041">
        <v>2.4353193291739701</v>
      </c>
      <c r="AG1041">
        <v>-1.1070470132879999</v>
      </c>
      <c r="AH1041">
        <v>7.8553595513833496</v>
      </c>
      <c r="AI1041">
        <v>97.666416025965006</v>
      </c>
      <c r="AJ1041">
        <v>72.775513302476199</v>
      </c>
      <c r="AK1041">
        <v>8.2983737567181102</v>
      </c>
      <c r="AL1041">
        <v>88.311696596773203</v>
      </c>
      <c r="AM1041">
        <v>85.017081012578501</v>
      </c>
      <c r="AN1041">
        <v>1.0000000273109599</v>
      </c>
    </row>
    <row r="1042" spans="1:40" x14ac:dyDescent="0.25">
      <c r="A1042" t="str">
        <f>"20190312154233048"</f>
        <v>20190312154233048</v>
      </c>
      <c r="B1042" t="str">
        <f>"1552376553038477"</f>
        <v>1552376553038477</v>
      </c>
      <c r="C1042" t="s">
        <v>40</v>
      </c>
      <c r="D1042">
        <v>5.1927750000000001</v>
      </c>
      <c r="E1042">
        <v>0.58340729999999996</v>
      </c>
      <c r="F1042" t="s">
        <v>47</v>
      </c>
      <c r="G1042">
        <v>-206.94290000000001</v>
      </c>
      <c r="H1042" s="1">
        <v>-4.9671019999999999E-6</v>
      </c>
      <c r="I1042">
        <v>364.62310000000002</v>
      </c>
      <c r="J1042">
        <v>-214.65790000000001</v>
      </c>
      <c r="K1042">
        <v>1.106992</v>
      </c>
      <c r="L1042">
        <v>367.7903</v>
      </c>
      <c r="M1042">
        <v>0.9961603</v>
      </c>
      <c r="N1042">
        <v>0</v>
      </c>
      <c r="O1042">
        <v>-8.6392720000000006E-2</v>
      </c>
      <c r="P1042">
        <v>0.98457790000000001</v>
      </c>
      <c r="Q1042">
        <v>1.6323609999999999E-2</v>
      </c>
      <c r="R1042">
        <v>-0.17418499999999901</v>
      </c>
      <c r="S1042">
        <v>2.8528899999999999</v>
      </c>
      <c r="T1042">
        <v>-0.4007599</v>
      </c>
      <c r="U1042">
        <v>-1.152679</v>
      </c>
      <c r="V1042">
        <v>8.8728580000000001E-2</v>
      </c>
      <c r="W1042">
        <v>2.9672380000000002E-2</v>
      </c>
      <c r="X1042">
        <v>0.99561379999999999</v>
      </c>
      <c r="Y1042">
        <v>0.2913886</v>
      </c>
      <c r="Z1042">
        <v>-8.0386229999999999E-3</v>
      </c>
      <c r="AA1042">
        <v>0.95657099999999995</v>
      </c>
      <c r="AB1042">
        <v>27</v>
      </c>
      <c r="AC1042">
        <v>7.7149999999999999</v>
      </c>
      <c r="AD1042">
        <v>-1.1069969671019999</v>
      </c>
      <c r="AE1042">
        <v>-3.1671999999999798</v>
      </c>
      <c r="AF1042">
        <v>2.4456787696601201</v>
      </c>
      <c r="AG1042">
        <v>-1.1069969671019999</v>
      </c>
      <c r="AH1042">
        <v>7.8219841433066497</v>
      </c>
      <c r="AI1042">
        <v>97.692679454042505</v>
      </c>
      <c r="AJ1042">
        <v>72.637242292268297</v>
      </c>
      <c r="AK1042">
        <v>8.2698381403555796</v>
      </c>
      <c r="AL1042">
        <v>88.299648325482906</v>
      </c>
      <c r="AM1042">
        <v>84.907284317469205</v>
      </c>
      <c r="AN1042">
        <v>1.00000002489706</v>
      </c>
    </row>
    <row r="1043" spans="1:40" x14ac:dyDescent="0.25">
      <c r="A1043" t="str">
        <f>"20190312154233060"</f>
        <v>20190312154233060</v>
      </c>
      <c r="B1043" t="str">
        <f>"1552376553048238"</f>
        <v>1552376553048238</v>
      </c>
      <c r="C1043" t="s">
        <v>40</v>
      </c>
      <c r="D1043">
        <v>5.1119770000000004</v>
      </c>
      <c r="E1043">
        <v>0.58340729999999996</v>
      </c>
      <c r="F1043" t="s">
        <v>47</v>
      </c>
      <c r="G1043">
        <v>-206.78049999999999</v>
      </c>
      <c r="H1043" s="1">
        <v>-4.9036120000000003E-6</v>
      </c>
      <c r="I1043">
        <v>364.56819999999999</v>
      </c>
      <c r="J1043">
        <v>-214.51150000000001</v>
      </c>
      <c r="K1043">
        <v>1.1069469999999999</v>
      </c>
      <c r="L1043">
        <v>367.77449999999999</v>
      </c>
      <c r="M1043">
        <v>0.9959171</v>
      </c>
      <c r="N1043">
        <v>0</v>
      </c>
      <c r="O1043">
        <v>-8.9150709999999994E-2</v>
      </c>
      <c r="P1043">
        <v>0.98369620000000002</v>
      </c>
      <c r="Q1043">
        <v>1.6258680000000001E-2</v>
      </c>
      <c r="R1043">
        <v>-0.17910279999999901</v>
      </c>
      <c r="S1043">
        <v>2.8475799999999998</v>
      </c>
      <c r="T1043">
        <v>-0.40016279999999999</v>
      </c>
      <c r="U1043">
        <v>-1.1647339999999999</v>
      </c>
      <c r="V1043">
        <v>9.0950050000000005E-2</v>
      </c>
      <c r="W1043">
        <v>2.9578960000000001E-2</v>
      </c>
      <c r="X1043">
        <v>0.99541610000000003</v>
      </c>
      <c r="Y1043">
        <v>0.29284829999999901</v>
      </c>
      <c r="Z1043">
        <v>-7.7663589999999996E-3</v>
      </c>
      <c r="AA1043">
        <v>0.95612730000000001</v>
      </c>
      <c r="AB1043">
        <v>27</v>
      </c>
      <c r="AC1043">
        <v>7.7310000000000203</v>
      </c>
      <c r="AD1043">
        <v>-1.1069519036119999</v>
      </c>
      <c r="AE1043">
        <v>-3.2062999999999899</v>
      </c>
      <c r="AF1043">
        <v>2.4611840994645799</v>
      </c>
      <c r="AG1043">
        <v>-1.1069519036119999</v>
      </c>
      <c r="AH1043">
        <v>7.8487861814508202</v>
      </c>
      <c r="AI1043">
        <v>97.664454290306793</v>
      </c>
      <c r="AJ1043">
        <v>72.589872923419307</v>
      </c>
      <c r="AK1043">
        <v>8.2997719372583294</v>
      </c>
      <c r="AL1043">
        <v>88.305003238062099</v>
      </c>
      <c r="AM1043">
        <v>84.779444376279798</v>
      </c>
      <c r="AN1043">
        <v>1.00000001930444</v>
      </c>
    </row>
    <row r="1044" spans="1:40" x14ac:dyDescent="0.25">
      <c r="A1044" t="str">
        <f>"20190312154233075"</f>
        <v>20190312154233075</v>
      </c>
      <c r="B1044" t="str">
        <f>"1552376553068733"</f>
        <v>1552376553068733</v>
      </c>
      <c r="C1044" t="s">
        <v>40</v>
      </c>
      <c r="D1044">
        <v>5.3251580000000001</v>
      </c>
      <c r="E1044">
        <v>0.58410969999999995</v>
      </c>
      <c r="F1044" t="s">
        <v>47</v>
      </c>
      <c r="G1044">
        <v>-206.66210000000001</v>
      </c>
      <c r="H1044" s="1">
        <v>-4.8596029999999999E-6</v>
      </c>
      <c r="I1044">
        <v>364.5179</v>
      </c>
      <c r="J1044">
        <v>-214.33240000000001</v>
      </c>
      <c r="K1044">
        <v>1.1068899999999999</v>
      </c>
      <c r="L1044">
        <v>367.75490000000002</v>
      </c>
      <c r="M1044">
        <v>0.9956062</v>
      </c>
      <c r="N1044">
        <v>0</v>
      </c>
      <c r="O1044">
        <v>-9.255708E-2</v>
      </c>
      <c r="P1044">
        <v>0.98230110000000004</v>
      </c>
      <c r="Q1044">
        <v>1.6594970000000001E-2</v>
      </c>
      <c r="R1044">
        <v>-0.1865725</v>
      </c>
      <c r="S1044">
        <v>2.8416899999999998</v>
      </c>
      <c r="T1044">
        <v>-0.40074599999999999</v>
      </c>
      <c r="U1044">
        <v>-1.1789860000000001</v>
      </c>
      <c r="V1044">
        <v>9.5116880000000001E-2</v>
      </c>
      <c r="W1044">
        <v>2.9864459999999999E-2</v>
      </c>
      <c r="X1044">
        <v>0.99501810000000002</v>
      </c>
      <c r="Y1044">
        <v>0.29438019999999998</v>
      </c>
      <c r="Z1044">
        <v>-7.4354440000000003E-3</v>
      </c>
      <c r="AA1044">
        <v>0.95565940000000005</v>
      </c>
      <c r="AB1044">
        <v>27</v>
      </c>
      <c r="AC1044">
        <v>7.6702999999999903</v>
      </c>
      <c r="AD1044">
        <v>-1.1068948596029999</v>
      </c>
      <c r="AE1044">
        <v>-3.2370000000000201</v>
      </c>
      <c r="AF1044">
        <v>2.4694378492504199</v>
      </c>
      <c r="AG1044">
        <v>-1.1068948596029999</v>
      </c>
      <c r="AH1044">
        <v>7.7991404140541603</v>
      </c>
      <c r="AI1044">
        <v>97.705596556043503</v>
      </c>
      <c r="AJ1044">
        <v>72.430677193867794</v>
      </c>
      <c r="AK1044">
        <v>8.2552971309129095</v>
      </c>
      <c r="AL1044">
        <v>88.288638138277705</v>
      </c>
      <c r="AM1044">
        <v>84.539510333531098</v>
      </c>
      <c r="AN1044">
        <v>1.00000006307981</v>
      </c>
    </row>
    <row r="1045" spans="1:40" x14ac:dyDescent="0.25">
      <c r="A1045" t="str">
        <f>"20190312154233089"</f>
        <v>20190312154233089</v>
      </c>
      <c r="B1045" t="str">
        <f>"1552376553078492"</f>
        <v>1552376553078492</v>
      </c>
      <c r="C1045" t="s">
        <v>40</v>
      </c>
      <c r="D1045">
        <v>5.2883659999999999</v>
      </c>
      <c r="E1045">
        <v>0.584563099999999</v>
      </c>
      <c r="F1045" t="s">
        <v>47</v>
      </c>
      <c r="G1045">
        <v>-206.6095</v>
      </c>
      <c r="H1045" s="1">
        <v>-4.8458350000000002E-6</v>
      </c>
      <c r="I1045">
        <v>364.46949999999998</v>
      </c>
      <c r="J1045">
        <v>-214.17779999999999</v>
      </c>
      <c r="K1045">
        <v>1.1068450000000001</v>
      </c>
      <c r="L1045">
        <v>367.73739999999998</v>
      </c>
      <c r="M1045">
        <v>0.99532549999999997</v>
      </c>
      <c r="N1045">
        <v>0</v>
      </c>
      <c r="O1045">
        <v>-9.5528189999999999E-2</v>
      </c>
      <c r="P1045">
        <v>0.98147700000000004</v>
      </c>
      <c r="Q1045">
        <v>1.671038E-2</v>
      </c>
      <c r="R1045">
        <v>-0.19085060000000001</v>
      </c>
      <c r="S1045">
        <v>2.832077</v>
      </c>
      <c r="T1045">
        <v>-0.40590860000000001</v>
      </c>
      <c r="U1045">
        <v>-1.2047730000000001</v>
      </c>
      <c r="V1045">
        <v>9.6486950000000002E-2</v>
      </c>
      <c r="W1045">
        <v>2.9959309999999999E-2</v>
      </c>
      <c r="X1045">
        <v>0.99488319999999997</v>
      </c>
      <c r="Y1045">
        <v>0.29999540000000002</v>
      </c>
      <c r="Z1045">
        <v>-7.5252699999999997E-3</v>
      </c>
      <c r="AA1045">
        <v>0.95391090000000001</v>
      </c>
      <c r="AB1045">
        <v>27</v>
      </c>
      <c r="AC1045">
        <v>7.56829999999999</v>
      </c>
      <c r="AD1045">
        <v>-1.106849845835</v>
      </c>
      <c r="AE1045">
        <v>-3.2678999999999898</v>
      </c>
      <c r="AF1045">
        <v>2.4850931853274099</v>
      </c>
      <c r="AG1045">
        <v>-1.106849845835</v>
      </c>
      <c r="AH1045">
        <v>7.7069523008780401</v>
      </c>
      <c r="AI1045">
        <v>97.783347762397099</v>
      </c>
      <c r="AJ1045">
        <v>72.128175050509</v>
      </c>
      <c r="AK1045">
        <v>8.1729993569677397</v>
      </c>
      <c r="AL1045">
        <v>88.283200984099096</v>
      </c>
      <c r="AM1045">
        <v>84.460596371659506</v>
      </c>
      <c r="AN1045">
        <v>0.99999993670910703</v>
      </c>
    </row>
    <row r="1046" spans="1:40" x14ac:dyDescent="0.25">
      <c r="A1046" t="str">
        <f>"20190312154233100"</f>
        <v>20190312154233100</v>
      </c>
      <c r="B1046" t="str">
        <f>"1552376553088253"</f>
        <v>1552376553088253</v>
      </c>
      <c r="C1046" t="s">
        <v>40</v>
      </c>
      <c r="D1046">
        <v>5.2504540000000004</v>
      </c>
      <c r="E1046">
        <v>0.58493989999999996</v>
      </c>
      <c r="F1046" t="s">
        <v>47</v>
      </c>
      <c r="G1046">
        <v>-206.51820000000001</v>
      </c>
      <c r="H1046" s="1">
        <v>-4.8119069999999996E-6</v>
      </c>
      <c r="I1046">
        <v>364.43079999999998</v>
      </c>
      <c r="J1046">
        <v>-214.02430000000001</v>
      </c>
      <c r="K1046">
        <v>1.106806</v>
      </c>
      <c r="L1046">
        <v>367.71940000000001</v>
      </c>
      <c r="M1046">
        <v>0.9950331</v>
      </c>
      <c r="N1046">
        <v>0</v>
      </c>
      <c r="O1046">
        <v>-9.8526740000000002E-2</v>
      </c>
      <c r="P1046">
        <v>0.98053710000000005</v>
      </c>
      <c r="Q1046">
        <v>1.6598769999999999E-2</v>
      </c>
      <c r="R1046">
        <v>-0.195632</v>
      </c>
      <c r="S1046">
        <v>2.8263240000000001</v>
      </c>
      <c r="T1046">
        <v>-0.4084179</v>
      </c>
      <c r="U1046">
        <v>-1.2201229999999901</v>
      </c>
      <c r="V1046">
        <v>9.8340140000000006E-2</v>
      </c>
      <c r="W1046">
        <v>2.982301E-2</v>
      </c>
      <c r="X1046">
        <v>0.99470590000000003</v>
      </c>
      <c r="Y1046">
        <v>0.30218089999999997</v>
      </c>
      <c r="Z1046">
        <v>-7.3216569999999996E-3</v>
      </c>
      <c r="AA1046">
        <v>0.95322249999999997</v>
      </c>
      <c r="AB1046">
        <v>27</v>
      </c>
      <c r="AC1046">
        <v>7.5061</v>
      </c>
      <c r="AD1046">
        <v>-1.1068108119069999</v>
      </c>
      <c r="AE1046">
        <v>-3.2886000000000299</v>
      </c>
      <c r="AF1046">
        <v>2.4875923645825502</v>
      </c>
      <c r="AG1046">
        <v>-1.1068108119069999</v>
      </c>
      <c r="AH1046">
        <v>7.6539986851664201</v>
      </c>
      <c r="AI1046">
        <v>97.830459477651999</v>
      </c>
      <c r="AJ1046">
        <v>71.995548668206794</v>
      </c>
      <c r="AK1046">
        <v>8.12384402965818</v>
      </c>
      <c r="AL1046">
        <v>88.2910140179455</v>
      </c>
      <c r="AM1046">
        <v>84.353884127869705</v>
      </c>
      <c r="AN1046">
        <v>1.0000000112777401</v>
      </c>
    </row>
    <row r="1047" spans="1:40" x14ac:dyDescent="0.25">
      <c r="A1047" t="str">
        <f>"20190312154233115"</f>
        <v>20190312154233115</v>
      </c>
      <c r="B1047" t="str">
        <f>"1552376553108749"</f>
        <v>1552376553108749</v>
      </c>
      <c r="C1047" t="s">
        <v>40</v>
      </c>
      <c r="D1047">
        <v>5.258667</v>
      </c>
      <c r="E1047">
        <v>0.58565829999999997</v>
      </c>
      <c r="F1047" t="s">
        <v>47</v>
      </c>
      <c r="G1047">
        <v>-206.48390000000001</v>
      </c>
      <c r="H1047" s="1">
        <v>-4.8000050000000001E-6</v>
      </c>
      <c r="I1047">
        <v>364.41239999999999</v>
      </c>
      <c r="J1047">
        <v>-213.85820000000001</v>
      </c>
      <c r="K1047">
        <v>1.1067670000000001</v>
      </c>
      <c r="L1047">
        <v>367.6995</v>
      </c>
      <c r="M1047">
        <v>0.99470380000000003</v>
      </c>
      <c r="N1047">
        <v>0</v>
      </c>
      <c r="O1047">
        <v>-0.101797</v>
      </c>
      <c r="P1047">
        <v>0.97957369999999999</v>
      </c>
      <c r="Q1047">
        <v>1.616797E-2</v>
      </c>
      <c r="R1047">
        <v>-0.200435</v>
      </c>
      <c r="S1047">
        <v>2.8198240000000001</v>
      </c>
      <c r="T1047">
        <v>-0.41390559999999998</v>
      </c>
      <c r="U1047">
        <v>-1.236694</v>
      </c>
      <c r="V1047">
        <v>9.9943539999999997E-2</v>
      </c>
      <c r="W1047">
        <v>2.936973E-2</v>
      </c>
      <c r="X1047">
        <v>0.99455950000000004</v>
      </c>
      <c r="Y1047">
        <v>0.30451489999999998</v>
      </c>
      <c r="Z1047">
        <v>-7.1400539999999998E-3</v>
      </c>
      <c r="AA1047">
        <v>0.95248080000000002</v>
      </c>
      <c r="AB1047">
        <v>27</v>
      </c>
      <c r="AC1047">
        <v>7.3742999999999999</v>
      </c>
      <c r="AD1047">
        <v>-1.106771800005</v>
      </c>
      <c r="AE1047">
        <v>-3.2871000000000001</v>
      </c>
      <c r="AF1047">
        <v>2.4727952966267899</v>
      </c>
      <c r="AG1047">
        <v>-1.106771800005</v>
      </c>
      <c r="AH1047">
        <v>7.5291492582453197</v>
      </c>
      <c r="AI1047">
        <v>97.950440636425398</v>
      </c>
      <c r="AJ1047">
        <v>71.818290229419404</v>
      </c>
      <c r="AK1047">
        <v>8.0017341213790605</v>
      </c>
      <c r="AL1047">
        <v>88.3169963203799</v>
      </c>
      <c r="AM1047">
        <v>84.261596659167097</v>
      </c>
      <c r="AN1047">
        <v>0.99999994563412498</v>
      </c>
    </row>
    <row r="1048" spans="1:40" x14ac:dyDescent="0.25">
      <c r="A1048" t="str">
        <f>"20190312154233132"</f>
        <v>20190312154233132</v>
      </c>
      <c r="B1048" t="str">
        <f>"1552376553118508"</f>
        <v>1552376553118508</v>
      </c>
      <c r="C1048" t="s">
        <v>40</v>
      </c>
      <c r="D1048">
        <v>5.3003580000000001</v>
      </c>
      <c r="E1048">
        <v>0.58599190000000001</v>
      </c>
      <c r="F1048" t="s">
        <v>47</v>
      </c>
      <c r="G1048">
        <v>-206.47829999999999</v>
      </c>
      <c r="H1048" s="1">
        <v>-4.7989090000000004E-6</v>
      </c>
      <c r="I1048">
        <v>364.40550000000002</v>
      </c>
      <c r="J1048">
        <v>-213.66399999999999</v>
      </c>
      <c r="K1048">
        <v>1.1067279999999999</v>
      </c>
      <c r="L1048">
        <v>367.6755</v>
      </c>
      <c r="M1048">
        <v>0.9943014</v>
      </c>
      <c r="N1048">
        <v>0</v>
      </c>
      <c r="O1048">
        <v>-0.10565529999999999</v>
      </c>
      <c r="P1048">
        <v>0.97818439999999995</v>
      </c>
      <c r="Q1048">
        <v>1.5745209999999999E-2</v>
      </c>
      <c r="R1048">
        <v>-0.20714189999999999</v>
      </c>
      <c r="S1048">
        <v>2.8126069999999999</v>
      </c>
      <c r="T1048">
        <v>-0.42180780000000001</v>
      </c>
      <c r="U1048">
        <v>-1.2554019999999999</v>
      </c>
      <c r="V1048">
        <v>0.1028974</v>
      </c>
      <c r="W1048">
        <v>2.8911200000000001E-2</v>
      </c>
      <c r="X1048">
        <v>0.99427169999999998</v>
      </c>
      <c r="Y1048">
        <v>0.30695749999999999</v>
      </c>
      <c r="Z1048">
        <v>-6.9164209999999999E-3</v>
      </c>
      <c r="AA1048">
        <v>0.95169809999999999</v>
      </c>
      <c r="AB1048">
        <v>27</v>
      </c>
      <c r="AC1048">
        <v>7.1857000000000202</v>
      </c>
      <c r="AD1048">
        <v>-1.1067327989089999</v>
      </c>
      <c r="AE1048">
        <v>-3.26999999999998</v>
      </c>
      <c r="AF1048">
        <v>2.4443726849747098</v>
      </c>
      <c r="AG1048">
        <v>-1.1067327989089999</v>
      </c>
      <c r="AH1048">
        <v>7.3466235671691198</v>
      </c>
      <c r="AI1048">
        <v>98.134796279635495</v>
      </c>
      <c r="AJ1048">
        <v>71.596655534260094</v>
      </c>
      <c r="AK1048">
        <v>7.8212974082895101</v>
      </c>
      <c r="AL1048">
        <v>88.343279362725397</v>
      </c>
      <c r="AM1048">
        <v>84.091480947642907</v>
      </c>
      <c r="AN1048">
        <v>0.99999997291654397</v>
      </c>
    </row>
    <row r="1049" spans="1:40" x14ac:dyDescent="0.25">
      <c r="A1049" t="str">
        <f>"20190312154233146"</f>
        <v>20190312154233146</v>
      </c>
      <c r="B1049" t="str">
        <f>"1552376553138029"</f>
        <v>1552376553138029</v>
      </c>
      <c r="C1049" t="s">
        <v>40</v>
      </c>
      <c r="D1049">
        <v>5.2428509999999999</v>
      </c>
      <c r="E1049">
        <v>0.58645009999999997</v>
      </c>
      <c r="F1049" t="s">
        <v>47</v>
      </c>
      <c r="G1049">
        <v>-206.39250000000001</v>
      </c>
      <c r="H1049" s="1">
        <v>-4.7676319999999999E-6</v>
      </c>
      <c r="I1049">
        <v>364.36649999999997</v>
      </c>
      <c r="J1049">
        <v>-213.47970000000001</v>
      </c>
      <c r="K1049">
        <v>1.1067049999999901</v>
      </c>
      <c r="L1049">
        <v>367.65199999999999</v>
      </c>
      <c r="M1049">
        <v>0.99390210000000001</v>
      </c>
      <c r="N1049">
        <v>0</v>
      </c>
      <c r="O1049">
        <v>-0.1093461</v>
      </c>
      <c r="P1049">
        <v>0.97708819999999996</v>
      </c>
      <c r="Q1049">
        <v>1.56974E-2</v>
      </c>
      <c r="R1049">
        <v>-0.212256</v>
      </c>
      <c r="S1049">
        <v>2.8035890000000001</v>
      </c>
      <c r="T1049">
        <v>-0.4267147</v>
      </c>
      <c r="U1049">
        <v>-1.2758480000000001</v>
      </c>
      <c r="V1049">
        <v>0.1044085</v>
      </c>
      <c r="W1049">
        <v>2.8843520000000001E-2</v>
      </c>
      <c r="X1049">
        <v>0.99411609999999995</v>
      </c>
      <c r="Y1049">
        <v>0.3102857</v>
      </c>
      <c r="Z1049">
        <v>-6.7238829999999999E-3</v>
      </c>
      <c r="AA1049">
        <v>0.95061960000000001</v>
      </c>
      <c r="AB1049">
        <v>27</v>
      </c>
      <c r="AC1049">
        <v>7.0871999999999904</v>
      </c>
      <c r="AD1049">
        <v>-1.1067097676319999</v>
      </c>
      <c r="AE1049">
        <v>-3.2855000000000101</v>
      </c>
      <c r="AF1049">
        <v>2.4417503115963699</v>
      </c>
      <c r="AG1049">
        <v>-1.1067097676319999</v>
      </c>
      <c r="AH1049">
        <v>7.2583043042620004</v>
      </c>
      <c r="AI1049">
        <v>98.223259777252494</v>
      </c>
      <c r="AJ1049">
        <v>71.406658190609093</v>
      </c>
      <c r="AK1049">
        <v>7.7375663142373998</v>
      </c>
      <c r="AL1049">
        <v>88.347158724295298</v>
      </c>
      <c r="AM1049">
        <v>84.0044072450832</v>
      </c>
      <c r="AN1049">
        <v>0.99999995189872404</v>
      </c>
    </row>
    <row r="1050" spans="1:40" x14ac:dyDescent="0.25">
      <c r="A1050" t="str">
        <f>"20190312154233162"</f>
        <v>20190312154233162</v>
      </c>
      <c r="B1050" t="str">
        <f>"1552376553148766"</f>
        <v>1552376553148766</v>
      </c>
      <c r="C1050" t="s">
        <v>40</v>
      </c>
      <c r="D1050">
        <v>5.2585959999999998</v>
      </c>
      <c r="E1050">
        <v>0.58663609999999999</v>
      </c>
      <c r="F1050" t="s">
        <v>47</v>
      </c>
      <c r="G1050">
        <v>-206.28870000000001</v>
      </c>
      <c r="H1050" s="1">
        <v>-4.728087E-6</v>
      </c>
      <c r="I1050">
        <v>364.32659999999998</v>
      </c>
      <c r="J1050">
        <v>-213.30009999999999</v>
      </c>
      <c r="K1050">
        <v>1.10669</v>
      </c>
      <c r="L1050">
        <v>367.62819999999999</v>
      </c>
      <c r="M1050">
        <v>0.99349659999999995</v>
      </c>
      <c r="N1050">
        <v>0</v>
      </c>
      <c r="O1050">
        <v>-0.1129708</v>
      </c>
      <c r="P1050">
        <v>0.97594329999999996</v>
      </c>
      <c r="Q1050">
        <v>1.585116E-2</v>
      </c>
      <c r="R1050">
        <v>-0.2174471</v>
      </c>
      <c r="S1050">
        <v>2.796341</v>
      </c>
      <c r="T1050">
        <v>-0.43035950000000001</v>
      </c>
      <c r="U1050">
        <v>-1.293121</v>
      </c>
      <c r="V1050">
        <v>0.10607030000000001</v>
      </c>
      <c r="W1050">
        <v>2.8977449999999998E-2</v>
      </c>
      <c r="X1050">
        <v>0.99393629999999999</v>
      </c>
      <c r="Y1050">
        <v>0.3125752</v>
      </c>
      <c r="Z1050">
        <v>-6.4370909999999998E-3</v>
      </c>
      <c r="AA1050">
        <v>0.94987120000000003</v>
      </c>
      <c r="AB1050">
        <v>27</v>
      </c>
      <c r="AC1050">
        <v>7.0113999999999796</v>
      </c>
      <c r="AD1050">
        <v>-1.1066947280870001</v>
      </c>
      <c r="AE1050">
        <v>-3.3016000000000001</v>
      </c>
      <c r="AF1050">
        <v>2.4385681227468798</v>
      </c>
      <c r="AG1050">
        <v>-1.1066947280870001</v>
      </c>
      <c r="AH1050">
        <v>7.1928487520961504</v>
      </c>
      <c r="AI1050">
        <v>98.290450933276205</v>
      </c>
      <c r="AJ1050">
        <v>71.271966554680304</v>
      </c>
      <c r="AK1050">
        <v>7.6751847457233202</v>
      </c>
      <c r="AL1050">
        <v>88.3394819459442</v>
      </c>
      <c r="AM1050">
        <v>83.908597625233398</v>
      </c>
      <c r="AN1050">
        <v>0.99999998480414098</v>
      </c>
    </row>
    <row r="1051" spans="1:40" x14ac:dyDescent="0.25">
      <c r="A1051" t="str">
        <f>"20190312154233176"</f>
        <v>20190312154233176</v>
      </c>
      <c r="B1051" t="str">
        <f>"1552376553168284"</f>
        <v>1552376553168284</v>
      </c>
      <c r="C1051" t="s">
        <v>40</v>
      </c>
      <c r="D1051">
        <v>5.2311880000000004</v>
      </c>
      <c r="E1051">
        <v>0.5869143</v>
      </c>
      <c r="F1051" t="s">
        <v>47</v>
      </c>
      <c r="G1051">
        <v>-206.1439</v>
      </c>
      <c r="H1051" s="1">
        <v>-4.6731659999999999E-6</v>
      </c>
      <c r="I1051">
        <v>364.27010000000001</v>
      </c>
      <c r="J1051">
        <v>-213.13419999999999</v>
      </c>
      <c r="K1051">
        <v>1.1066769999999999</v>
      </c>
      <c r="L1051">
        <v>367.60570000000001</v>
      </c>
      <c r="M1051">
        <v>0.99310869999999996</v>
      </c>
      <c r="N1051">
        <v>0</v>
      </c>
      <c r="O1051">
        <v>-0.1163315</v>
      </c>
      <c r="P1051">
        <v>0.97442450000000003</v>
      </c>
      <c r="Q1051">
        <v>1.6166170000000001E-2</v>
      </c>
      <c r="R1051">
        <v>-0.22413449999999999</v>
      </c>
      <c r="S1051">
        <v>2.7893219999999999</v>
      </c>
      <c r="T1051">
        <v>-0.43136449999999998</v>
      </c>
      <c r="U1051">
        <v>-1.308929</v>
      </c>
      <c r="V1051">
        <v>0.10952770000000001</v>
      </c>
      <c r="W1051">
        <v>2.925343E-2</v>
      </c>
      <c r="X1051">
        <v>0.99355320000000003</v>
      </c>
      <c r="Y1051">
        <v>0.314695</v>
      </c>
      <c r="Z1051">
        <v>-6.1327819999999998E-3</v>
      </c>
      <c r="AA1051">
        <v>0.94917300000000004</v>
      </c>
      <c r="AB1051">
        <v>27</v>
      </c>
      <c r="AC1051">
        <v>6.9902999999999897</v>
      </c>
      <c r="AD1051">
        <v>-1.1066816731659901</v>
      </c>
      <c r="AE1051">
        <v>-3.3355999999999901</v>
      </c>
      <c r="AF1051">
        <v>2.4496624857790001</v>
      </c>
      <c r="AG1051">
        <v>-1.1066816731659901</v>
      </c>
      <c r="AH1051">
        <v>7.1842332412580703</v>
      </c>
      <c r="AI1051">
        <v>98.295293294421995</v>
      </c>
      <c r="AJ1051">
        <v>71.171774344270801</v>
      </c>
      <c r="AK1051">
        <v>7.6706452065489197</v>
      </c>
      <c r="AL1051">
        <v>88.323662810210195</v>
      </c>
      <c r="AM1051">
        <v>83.709206707590994</v>
      </c>
      <c r="AN1051">
        <v>1.00000002073214</v>
      </c>
    </row>
    <row r="1052" spans="1:40" x14ac:dyDescent="0.25">
      <c r="A1052" t="str">
        <f>"20190312154233188"</f>
        <v>20190312154233188</v>
      </c>
      <c r="B1052" t="str">
        <f>"1552376553178045"</f>
        <v>1552376553178045</v>
      </c>
      <c r="C1052" t="s">
        <v>40</v>
      </c>
      <c r="D1052">
        <v>5.2781229999999999</v>
      </c>
      <c r="E1052">
        <v>0.58705039999999997</v>
      </c>
      <c r="F1052" t="s">
        <v>47</v>
      </c>
      <c r="G1052">
        <v>-206.12549999999999</v>
      </c>
      <c r="H1052" s="1">
        <v>-4.6681329999999997E-6</v>
      </c>
      <c r="I1052">
        <v>364.2543</v>
      </c>
      <c r="J1052">
        <v>-212.9812</v>
      </c>
      <c r="K1052">
        <v>1.10667</v>
      </c>
      <c r="L1052">
        <v>367.58460000000002</v>
      </c>
      <c r="M1052">
        <v>0.99274019999999996</v>
      </c>
      <c r="N1052">
        <v>0</v>
      </c>
      <c r="O1052">
        <v>-0.1194363</v>
      </c>
      <c r="P1052">
        <v>0.97341580000000005</v>
      </c>
      <c r="Q1052">
        <v>1.644087E-2</v>
      </c>
      <c r="R1052">
        <v>-0.22845470000000001</v>
      </c>
      <c r="S1052">
        <v>2.7802280000000001</v>
      </c>
      <c r="T1052">
        <v>-0.43900679999999997</v>
      </c>
      <c r="U1052">
        <v>-1.3294680000000001</v>
      </c>
      <c r="V1052">
        <v>0.1108325</v>
      </c>
      <c r="W1052">
        <v>2.9513190000000002E-2</v>
      </c>
      <c r="X1052">
        <v>0.99340079999999997</v>
      </c>
      <c r="Y1052">
        <v>0.31856430000000002</v>
      </c>
      <c r="Z1052">
        <v>-6.0852819999999896E-3</v>
      </c>
      <c r="AA1052">
        <v>0.9478818</v>
      </c>
      <c r="AB1052">
        <v>27</v>
      </c>
      <c r="AC1052">
        <v>6.8557000000000103</v>
      </c>
      <c r="AD1052">
        <v>-1.106674668133</v>
      </c>
      <c r="AE1052">
        <v>-3.3303000000000198</v>
      </c>
      <c r="AF1052">
        <v>2.43619270065386</v>
      </c>
      <c r="AG1052">
        <v>-1.106674668133</v>
      </c>
      <c r="AH1052">
        <v>7.0556621583359904</v>
      </c>
      <c r="AI1052">
        <v>98.433250239102307</v>
      </c>
      <c r="AJ1052">
        <v>70.951131269932404</v>
      </c>
      <c r="AK1052">
        <v>7.5460010726464199</v>
      </c>
      <c r="AL1052">
        <v>88.308773212317206</v>
      </c>
      <c r="AM1052">
        <v>83.633907719718195</v>
      </c>
      <c r="AN1052">
        <v>1.0000000104404301</v>
      </c>
    </row>
    <row r="1053" spans="1:40" x14ac:dyDescent="0.25">
      <c r="A1053" t="str">
        <f>"20190312154233202"</f>
        <v>20190312154233202</v>
      </c>
      <c r="B1053" t="str">
        <f>"1552376553188781"</f>
        <v>1552376553188781</v>
      </c>
      <c r="C1053" t="s">
        <v>40</v>
      </c>
      <c r="D1053">
        <v>5.2350349999999999</v>
      </c>
      <c r="E1053">
        <v>0.58713190000000004</v>
      </c>
      <c r="F1053" t="s">
        <v>47</v>
      </c>
      <c r="G1053">
        <v>-205.9785</v>
      </c>
      <c r="H1053" s="1">
        <v>-4.6127169999999997E-6</v>
      </c>
      <c r="I1053">
        <v>364.1952</v>
      </c>
      <c r="J1053">
        <v>-212.8252</v>
      </c>
      <c r="K1053">
        <v>1.1066670000000001</v>
      </c>
      <c r="L1053">
        <v>367.56229999999999</v>
      </c>
      <c r="M1053">
        <v>0.99235269999999998</v>
      </c>
      <c r="N1053">
        <v>0</v>
      </c>
      <c r="O1053">
        <v>-0.122613</v>
      </c>
      <c r="P1053">
        <v>0.97232629999999998</v>
      </c>
      <c r="Q1053">
        <v>1.670833E-2</v>
      </c>
      <c r="R1053">
        <v>-0.2330286</v>
      </c>
      <c r="S1053">
        <v>2.7742</v>
      </c>
      <c r="T1053">
        <v>-0.4384189</v>
      </c>
      <c r="U1053">
        <v>-1.342743</v>
      </c>
      <c r="V1053">
        <v>0.112327</v>
      </c>
      <c r="W1053">
        <v>2.9763899999999999E-2</v>
      </c>
      <c r="X1053">
        <v>0.99322549999999998</v>
      </c>
      <c r="Y1053">
        <v>0.32003540000000003</v>
      </c>
      <c r="Z1053">
        <v>-5.7298059999999996E-3</v>
      </c>
      <c r="AA1053">
        <v>0.94738820000000001</v>
      </c>
      <c r="AB1053">
        <v>27</v>
      </c>
      <c r="AC1053">
        <v>6.8466999999999896</v>
      </c>
      <c r="AD1053">
        <v>-1.106671612717</v>
      </c>
      <c r="AE1053">
        <v>-3.36709999999999</v>
      </c>
      <c r="AF1053">
        <v>2.45055444151803</v>
      </c>
      <c r="AG1053">
        <v>-1.106671612717</v>
      </c>
      <c r="AH1053">
        <v>7.0594041332734898</v>
      </c>
      <c r="AI1053">
        <v>98.424067598857903</v>
      </c>
      <c r="AJ1053">
        <v>70.856408003183503</v>
      </c>
      <c r="AK1053">
        <v>7.5541462685148097</v>
      </c>
      <c r="AL1053">
        <v>88.294402374487703</v>
      </c>
      <c r="AM1053">
        <v>83.547655266082202</v>
      </c>
      <c r="AN1053">
        <v>1.0000000692612201</v>
      </c>
    </row>
    <row r="1054" spans="1:40" x14ac:dyDescent="0.25">
      <c r="A1054" t="str">
        <f>"20190312154233220"</f>
        <v>20190312154233220</v>
      </c>
      <c r="B1054" t="str">
        <f>"1552376553208302"</f>
        <v>1552376553208302</v>
      </c>
      <c r="C1054" t="s">
        <v>40</v>
      </c>
      <c r="D1054">
        <v>5.2452880000000004</v>
      </c>
      <c r="E1054">
        <v>0.58724659999999995</v>
      </c>
      <c r="F1054" t="s">
        <v>47</v>
      </c>
      <c r="G1054">
        <v>-205.82859999999999</v>
      </c>
      <c r="H1054" s="1">
        <v>-4.5566230000000001E-6</v>
      </c>
      <c r="I1054">
        <v>364.13319999999999</v>
      </c>
      <c r="J1054">
        <v>-212.607</v>
      </c>
      <c r="K1054">
        <v>1.1066609999999999</v>
      </c>
      <c r="L1054">
        <v>367.53039999999999</v>
      </c>
      <c r="M1054">
        <v>0.99179349999999999</v>
      </c>
      <c r="N1054">
        <v>0</v>
      </c>
      <c r="O1054">
        <v>-0.1270577</v>
      </c>
      <c r="P1054">
        <v>0.97050409999999998</v>
      </c>
      <c r="Q1054">
        <v>1.7574650000000001E-2</v>
      </c>
      <c r="R1054">
        <v>-0.2404435</v>
      </c>
      <c r="S1054">
        <v>2.767776</v>
      </c>
      <c r="T1054">
        <v>-0.43778630000000002</v>
      </c>
      <c r="U1054">
        <v>-1.356506</v>
      </c>
      <c r="V1054">
        <v>0.11546919999999999</v>
      </c>
      <c r="W1054">
        <v>3.059512E-2</v>
      </c>
      <c r="X1054">
        <v>0.99283980000000005</v>
      </c>
      <c r="Y1054">
        <v>0.32050469999999998</v>
      </c>
      <c r="Z1054">
        <v>-5.115451E-3</v>
      </c>
      <c r="AA1054">
        <v>0.94723310000000005</v>
      </c>
      <c r="AB1054">
        <v>27</v>
      </c>
      <c r="AC1054">
        <v>6.7784000000000004</v>
      </c>
      <c r="AD1054">
        <v>-1.1066655566229999</v>
      </c>
      <c r="AE1054">
        <v>-3.39719999999999</v>
      </c>
      <c r="AF1054">
        <v>2.4560039766138901</v>
      </c>
      <c r="AG1054">
        <v>-1.1066655566229999</v>
      </c>
      <c r="AH1054">
        <v>7.0058838809475903</v>
      </c>
      <c r="AI1054">
        <v>98.4785255332974</v>
      </c>
      <c r="AJ1054">
        <v>70.681219385846802</v>
      </c>
      <c r="AK1054">
        <v>7.5059358604160904</v>
      </c>
      <c r="AL1054">
        <v>88.246755211455294</v>
      </c>
      <c r="AM1054">
        <v>83.366192208065996</v>
      </c>
      <c r="AN1054">
        <v>1.0000000329902401</v>
      </c>
    </row>
    <row r="1055" spans="1:40" x14ac:dyDescent="0.25">
      <c r="A1055" t="str">
        <f>"20190312154233236"</f>
        <v>20190312154233236</v>
      </c>
      <c r="B1055" t="str">
        <f>"1552376553228797"</f>
        <v>1552376553228797</v>
      </c>
      <c r="C1055" t="s">
        <v>40</v>
      </c>
      <c r="D1055">
        <v>5.0769260000000003</v>
      </c>
      <c r="E1055">
        <v>0.58744219999999903</v>
      </c>
      <c r="F1055" t="s">
        <v>47</v>
      </c>
      <c r="G1055">
        <v>-205.60329999999999</v>
      </c>
      <c r="H1055" s="1">
        <v>-4.4746999999999997E-6</v>
      </c>
      <c r="I1055">
        <v>364.02940000000001</v>
      </c>
      <c r="J1055">
        <v>-212.43369999999999</v>
      </c>
      <c r="K1055">
        <v>1.106662</v>
      </c>
      <c r="L1055">
        <v>367.50439999999998</v>
      </c>
      <c r="M1055">
        <v>0.9913343</v>
      </c>
      <c r="N1055">
        <v>0</v>
      </c>
      <c r="O1055">
        <v>-0.13059299999999999</v>
      </c>
      <c r="P1055">
        <v>0.96924100000000002</v>
      </c>
      <c r="Q1055">
        <v>1.7618060000000001E-2</v>
      </c>
      <c r="R1055">
        <v>-0.2454828</v>
      </c>
      <c r="S1055">
        <v>2.7575530000000001</v>
      </c>
      <c r="T1055">
        <v>-0.435722</v>
      </c>
      <c r="U1055">
        <v>-1.3784479999999999</v>
      </c>
      <c r="V1055">
        <v>0.117089</v>
      </c>
      <c r="W1055">
        <v>3.0620379999999999E-2</v>
      </c>
      <c r="X1055">
        <v>0.99264929999999996</v>
      </c>
      <c r="Y1055">
        <v>0.32457249999999999</v>
      </c>
      <c r="Z1055">
        <v>-4.8905420000000003E-3</v>
      </c>
      <c r="AA1055">
        <v>0.94584820000000003</v>
      </c>
      <c r="AB1055">
        <v>27</v>
      </c>
      <c r="AC1055">
        <v>6.8303999999999903</v>
      </c>
      <c r="AD1055">
        <v>-1.1066664746999999</v>
      </c>
      <c r="AE1055">
        <v>-3.4749999999999601</v>
      </c>
      <c r="AF1055">
        <v>2.5009881456599898</v>
      </c>
      <c r="AG1055">
        <v>-1.1066664746999999</v>
      </c>
      <c r="AH1055">
        <v>7.07814718142156</v>
      </c>
      <c r="AI1055">
        <v>98.386020956261405</v>
      </c>
      <c r="AJ1055">
        <v>70.539679503540796</v>
      </c>
      <c r="AK1055">
        <v>7.5881367879620303</v>
      </c>
      <c r="AL1055">
        <v>88.245307249073704</v>
      </c>
      <c r="AM1055">
        <v>83.272701076989094</v>
      </c>
      <c r="AN1055">
        <v>1.00000003719141</v>
      </c>
    </row>
    <row r="1056" spans="1:40" x14ac:dyDescent="0.25">
      <c r="A1056" t="str">
        <f>"20190312154233253"</f>
        <v>20190312154233253</v>
      </c>
      <c r="B1056" t="str">
        <f>"1552376553248317"</f>
        <v>1552376553248317</v>
      </c>
      <c r="C1056" t="s">
        <v>40</v>
      </c>
      <c r="D1056">
        <v>5.0874620000000004</v>
      </c>
      <c r="E1056">
        <v>0.58764709999999998</v>
      </c>
      <c r="F1056" t="s">
        <v>47</v>
      </c>
      <c r="G1056">
        <v>-205.44210000000001</v>
      </c>
      <c r="H1056" s="1">
        <v>-4.4150470000000003E-6</v>
      </c>
      <c r="I1056">
        <v>363.9599</v>
      </c>
      <c r="J1056">
        <v>-212.2337</v>
      </c>
      <c r="K1056">
        <v>1.1066590000000001</v>
      </c>
      <c r="L1056">
        <v>367.47359999999998</v>
      </c>
      <c r="M1056">
        <v>0.99078730000000004</v>
      </c>
      <c r="N1056">
        <v>0</v>
      </c>
      <c r="O1056">
        <v>-0.13467870000000001</v>
      </c>
      <c r="P1056">
        <v>0.96777970000000002</v>
      </c>
      <c r="Q1056">
        <v>1.7737610000000001E-2</v>
      </c>
      <c r="R1056">
        <v>-0.25117279999999997</v>
      </c>
      <c r="S1056">
        <v>2.7500149999999999</v>
      </c>
      <c r="T1056">
        <v>-0.43528559999999999</v>
      </c>
      <c r="U1056">
        <v>-1.3941650000000001</v>
      </c>
      <c r="V1056">
        <v>0.1188303</v>
      </c>
      <c r="W1056">
        <v>3.072095E-2</v>
      </c>
      <c r="X1056">
        <v>0.99243919999999997</v>
      </c>
      <c r="Y1056">
        <v>0.32604880000000003</v>
      </c>
      <c r="Z1056">
        <v>-4.4098829999999999E-3</v>
      </c>
      <c r="AA1056">
        <v>0.94534269999999998</v>
      </c>
      <c r="AB1056">
        <v>27</v>
      </c>
      <c r="AC1056">
        <v>6.7915999999999803</v>
      </c>
      <c r="AD1056">
        <v>-1.1066634150470001</v>
      </c>
      <c r="AE1056">
        <v>-3.5136999999999698</v>
      </c>
      <c r="AF1056">
        <v>2.51424372382766</v>
      </c>
      <c r="AG1056">
        <v>-1.1066634150470001</v>
      </c>
      <c r="AH1056">
        <v>7.0552072661299601</v>
      </c>
      <c r="AI1056">
        <v>98.404966103347704</v>
      </c>
      <c r="AJ1056">
        <v>70.385605436684301</v>
      </c>
      <c r="AK1056">
        <v>7.5711343261801503</v>
      </c>
      <c r="AL1056">
        <v>88.239542219829104</v>
      </c>
      <c r="AM1056">
        <v>83.172161184339998</v>
      </c>
      <c r="AN1056">
        <v>0.99999999133181605</v>
      </c>
    </row>
    <row r="1057" spans="1:40" x14ac:dyDescent="0.25">
      <c r="A1057" t="str">
        <f>"20190312154233265"</f>
        <v>20190312154233265</v>
      </c>
      <c r="B1057" t="str">
        <f>"1552376553258077"</f>
        <v>1552376553258077</v>
      </c>
      <c r="C1057" t="s">
        <v>40</v>
      </c>
      <c r="D1057">
        <v>5.0980489999999996</v>
      </c>
      <c r="E1057">
        <v>0.58768730000000002</v>
      </c>
      <c r="F1057" t="s">
        <v>47</v>
      </c>
      <c r="G1057">
        <v>-205.23310000000001</v>
      </c>
      <c r="H1057" s="1">
        <v>-4.3381269999999997E-6</v>
      </c>
      <c r="I1057">
        <v>363.86759999999998</v>
      </c>
      <c r="J1057">
        <v>-212.07050000000001</v>
      </c>
      <c r="K1057">
        <v>1.106654</v>
      </c>
      <c r="L1057">
        <v>367.4479</v>
      </c>
      <c r="M1057">
        <v>0.99032739999999997</v>
      </c>
      <c r="N1057">
        <v>0</v>
      </c>
      <c r="O1057">
        <v>-0.13801959999999999</v>
      </c>
      <c r="P1057">
        <v>0.96622129999999995</v>
      </c>
      <c r="Q1057">
        <v>1.7241099999999999E-2</v>
      </c>
      <c r="R1057">
        <v>-0.25713639999999999</v>
      </c>
      <c r="S1057">
        <v>2.7413479999999999</v>
      </c>
      <c r="T1057">
        <v>-0.4333515</v>
      </c>
      <c r="U1057">
        <v>-1.412048</v>
      </c>
      <c r="V1057">
        <v>0.1215977</v>
      </c>
      <c r="W1057">
        <v>3.0192859999999998E-2</v>
      </c>
      <c r="X1057">
        <v>0.99212009999999995</v>
      </c>
      <c r="Y1057">
        <v>0.32897019999999999</v>
      </c>
      <c r="Z1057">
        <v>-4.1319929999999996E-3</v>
      </c>
      <c r="AA1057">
        <v>0.94433129999999998</v>
      </c>
      <c r="AB1057">
        <v>26</v>
      </c>
      <c r="AC1057">
        <v>6.8373999999999997</v>
      </c>
      <c r="AD1057">
        <v>-1.1066583381270001</v>
      </c>
      <c r="AE1057">
        <v>-3.5803000000000198</v>
      </c>
      <c r="AF1057">
        <v>2.5498145337680498</v>
      </c>
      <c r="AG1057">
        <v>-1.1066583381270001</v>
      </c>
      <c r="AH1057">
        <v>7.1197728442522203</v>
      </c>
      <c r="AI1057">
        <v>98.325192787607307</v>
      </c>
      <c r="AJ1057">
        <v>70.295957245380194</v>
      </c>
      <c r="AK1057">
        <v>7.6431284293613801</v>
      </c>
      <c r="AL1057">
        <v>88.269813522542506</v>
      </c>
      <c r="AM1057">
        <v>83.012478750895795</v>
      </c>
      <c r="AN1057">
        <v>0.99999995113213802</v>
      </c>
    </row>
    <row r="1058" spans="1:40" x14ac:dyDescent="0.25">
      <c r="A1058" t="str">
        <f>"20190312154233279"</f>
        <v>20190312154233279</v>
      </c>
      <c r="B1058" t="str">
        <f>"1552376553268814"</f>
        <v>1552376553268814</v>
      </c>
      <c r="C1058" t="s">
        <v>40</v>
      </c>
      <c r="D1058">
        <v>5.1225930000000002</v>
      </c>
      <c r="E1058">
        <v>0.58773640000000005</v>
      </c>
      <c r="F1058" t="s">
        <v>47</v>
      </c>
      <c r="G1058">
        <v>-205.1139</v>
      </c>
      <c r="H1058" s="1">
        <v>-4.2954959999999997E-6</v>
      </c>
      <c r="I1058">
        <v>363.80950000000001</v>
      </c>
      <c r="J1058">
        <v>-211.91650000000001</v>
      </c>
      <c r="K1058">
        <v>1.10666</v>
      </c>
      <c r="L1058">
        <v>367.42290000000003</v>
      </c>
      <c r="M1058">
        <v>0.98988180000000003</v>
      </c>
      <c r="N1058">
        <v>0</v>
      </c>
      <c r="O1058">
        <v>-0.14118069999999999</v>
      </c>
      <c r="P1058">
        <v>0.96503720000000004</v>
      </c>
      <c r="Q1058">
        <v>1.6785029999999999E-2</v>
      </c>
      <c r="R1058">
        <v>-0.26157649999999999</v>
      </c>
      <c r="S1058">
        <v>2.7323460000000002</v>
      </c>
      <c r="T1058">
        <v>-0.43466189999999999</v>
      </c>
      <c r="U1058">
        <v>-1.429047</v>
      </c>
      <c r="V1058">
        <v>0.1229869</v>
      </c>
      <c r="W1058">
        <v>2.9721000000000001E-2</v>
      </c>
      <c r="X1058">
        <v>0.99196309999999999</v>
      </c>
      <c r="Y1058">
        <v>0.33183449999999998</v>
      </c>
      <c r="Z1058">
        <v>-3.9072859999999899E-3</v>
      </c>
      <c r="AA1058">
        <v>0.94332950000000004</v>
      </c>
      <c r="AB1058">
        <v>26</v>
      </c>
      <c r="AC1058">
        <v>6.8026000000000098</v>
      </c>
      <c r="AD1058">
        <v>-1.106664295496</v>
      </c>
      <c r="AE1058">
        <v>-3.6134000000000102</v>
      </c>
      <c r="AF1058">
        <v>2.5637868369413899</v>
      </c>
      <c r="AG1058">
        <v>-1.106664295496</v>
      </c>
      <c r="AH1058">
        <v>7.0981276739402599</v>
      </c>
      <c r="AI1058">
        <v>98.342246378800596</v>
      </c>
      <c r="AJ1058">
        <v>70.140686453849796</v>
      </c>
      <c r="AK1058">
        <v>7.6276552939783597</v>
      </c>
      <c r="AL1058">
        <v>88.296861254098204</v>
      </c>
      <c r="AM1058">
        <v>82.932344880724997</v>
      </c>
      <c r="AN1058">
        <v>0.99999995358710903</v>
      </c>
    </row>
    <row r="1059" spans="1:40" x14ac:dyDescent="0.25">
      <c r="A1059" t="str">
        <f>"20190312154233299"</f>
        <v>20190312154233299</v>
      </c>
      <c r="B1059" t="str">
        <f>"1552376553288333"</f>
        <v>1552376553288333</v>
      </c>
      <c r="C1059" t="s">
        <v>40</v>
      </c>
      <c r="D1059">
        <v>5.0852890000000004</v>
      </c>
      <c r="E1059">
        <v>0.58780129999999997</v>
      </c>
      <c r="F1059" t="s">
        <v>47</v>
      </c>
      <c r="G1059">
        <v>-204.98699999999999</v>
      </c>
      <c r="H1059" s="1">
        <v>-4.2475590000000001E-6</v>
      </c>
      <c r="I1059">
        <v>363.75689999999997</v>
      </c>
      <c r="J1059">
        <v>-211.68360000000001</v>
      </c>
      <c r="K1059">
        <v>1.106649</v>
      </c>
      <c r="L1059">
        <v>367.3843</v>
      </c>
      <c r="M1059">
        <v>0.9891858</v>
      </c>
      <c r="N1059">
        <v>0</v>
      </c>
      <c r="O1059">
        <v>-0.14597789999999999</v>
      </c>
      <c r="P1059">
        <v>0.96312050000000005</v>
      </c>
      <c r="Q1059">
        <v>1.5979030000000002E-2</v>
      </c>
      <c r="R1059">
        <v>-0.26859650000000002</v>
      </c>
      <c r="S1059">
        <v>2.7254179999999999</v>
      </c>
      <c r="T1059">
        <v>-0.43525839999999999</v>
      </c>
      <c r="U1059">
        <v>-1.441864</v>
      </c>
      <c r="V1059">
        <v>0.12539230000000001</v>
      </c>
      <c r="W1059">
        <v>2.8885939999999999E-2</v>
      </c>
      <c r="X1059">
        <v>0.99168659999999997</v>
      </c>
      <c r="Y1059">
        <v>0.33176139999999998</v>
      </c>
      <c r="Z1059">
        <v>-3.2164509999999999E-3</v>
      </c>
      <c r="AA1059">
        <v>0.94335789999999997</v>
      </c>
      <c r="AB1059">
        <v>26</v>
      </c>
      <c r="AC1059">
        <v>6.6966000000000099</v>
      </c>
      <c r="AD1059">
        <v>-1.1066532475589901</v>
      </c>
      <c r="AE1059">
        <v>-3.6274000000000202</v>
      </c>
      <c r="AF1059">
        <v>2.5568935551705501</v>
      </c>
      <c r="AG1059">
        <v>-1.1066532475589901</v>
      </c>
      <c r="AH1059">
        <v>7.0064871362644903</v>
      </c>
      <c r="AI1059">
        <v>98.439723426291295</v>
      </c>
      <c r="AJ1059">
        <v>69.951340189276706</v>
      </c>
      <c r="AK1059">
        <v>7.5401092865717398</v>
      </c>
      <c r="AL1059">
        <v>88.344727253253595</v>
      </c>
      <c r="AM1059">
        <v>82.793565519676505</v>
      </c>
      <c r="AN1059">
        <v>0.99999996952426595</v>
      </c>
    </row>
    <row r="1060" spans="1:40" x14ac:dyDescent="0.25">
      <c r="A1060" t="str">
        <f>"20190312154233311"</f>
        <v>20190312154233311</v>
      </c>
      <c r="B1060" t="str">
        <f>"1552376553307853"</f>
        <v>1552376553307853</v>
      </c>
      <c r="C1060" t="s">
        <v>40</v>
      </c>
      <c r="D1060">
        <v>5.0704849999999997</v>
      </c>
      <c r="E1060">
        <v>0.58781139999999998</v>
      </c>
      <c r="F1060" t="s">
        <v>47</v>
      </c>
      <c r="G1060">
        <v>-204.7962</v>
      </c>
      <c r="H1060" s="1">
        <v>-4.1697559999999999E-6</v>
      </c>
      <c r="I1060">
        <v>363.67469999999997</v>
      </c>
      <c r="J1060">
        <v>-211.5359</v>
      </c>
      <c r="K1060">
        <v>1.106643</v>
      </c>
      <c r="L1060">
        <v>367.35930000000002</v>
      </c>
      <c r="M1060">
        <v>0.98872969999999905</v>
      </c>
      <c r="N1060">
        <v>0</v>
      </c>
      <c r="O1060">
        <v>-0.14903459999999999</v>
      </c>
      <c r="P1060">
        <v>0.96201840000000005</v>
      </c>
      <c r="Q1060">
        <v>1.5553930000000001E-2</v>
      </c>
      <c r="R1060">
        <v>-0.27254099999999998</v>
      </c>
      <c r="S1060">
        <v>2.7143860000000002</v>
      </c>
      <c r="T1060">
        <v>-0.43613790000000002</v>
      </c>
      <c r="U1060">
        <v>-1.461975</v>
      </c>
      <c r="V1060">
        <v>0.1263869</v>
      </c>
      <c r="W1060">
        <v>2.8447429999999999E-2</v>
      </c>
      <c r="X1060">
        <v>0.99157300000000004</v>
      </c>
      <c r="Y1060">
        <v>0.3358409</v>
      </c>
      <c r="Z1060">
        <v>-3.0919570000000002E-3</v>
      </c>
      <c r="AA1060">
        <v>0.94191369999999996</v>
      </c>
      <c r="AB1060">
        <v>26</v>
      </c>
      <c r="AC1060">
        <v>6.7396999999999903</v>
      </c>
      <c r="AD1060">
        <v>-1.1066471697560001</v>
      </c>
      <c r="AE1060">
        <v>-3.6846000000000401</v>
      </c>
      <c r="AF1060">
        <v>2.5852298693132698</v>
      </c>
      <c r="AG1060">
        <v>-1.1066471697560001</v>
      </c>
      <c r="AH1060">
        <v>7.0669150606073803</v>
      </c>
      <c r="AI1060">
        <v>98.366173376279207</v>
      </c>
      <c r="AJ1060">
        <v>69.906390992954201</v>
      </c>
      <c r="AK1060">
        <v>7.6058773267360698</v>
      </c>
      <c r="AL1060">
        <v>88.369862340098095</v>
      </c>
      <c r="AM1060">
        <v>82.736189567735394</v>
      </c>
      <c r="AN1060">
        <v>0.99999995954710597</v>
      </c>
    </row>
    <row r="1061" spans="1:40" x14ac:dyDescent="0.25">
      <c r="A1061" t="str">
        <f>"20190312154233333"</f>
        <v>20190312154233333</v>
      </c>
      <c r="B1061" t="str">
        <f>"1552376553328348"</f>
        <v>1552376553328348</v>
      </c>
      <c r="C1061" t="s">
        <v>40</v>
      </c>
      <c r="D1061">
        <v>5.0556549999999998</v>
      </c>
      <c r="E1061">
        <v>0.58777170000000001</v>
      </c>
      <c r="F1061" t="s">
        <v>47</v>
      </c>
      <c r="G1061">
        <v>-204.6591</v>
      </c>
      <c r="H1061" s="1">
        <v>-4.1132769999999996E-6</v>
      </c>
      <c r="I1061">
        <v>363.61840000000001</v>
      </c>
      <c r="J1061">
        <v>-211.291</v>
      </c>
      <c r="K1061">
        <v>1.1066180000000001</v>
      </c>
      <c r="L1061">
        <v>367.31650000000002</v>
      </c>
      <c r="M1061">
        <v>0.98794599999999999</v>
      </c>
      <c r="N1061">
        <v>0</v>
      </c>
      <c r="O1061">
        <v>-0.15414439999999999</v>
      </c>
      <c r="P1061">
        <v>0.95995459999999999</v>
      </c>
      <c r="Q1061">
        <v>1.5253869999999999E-2</v>
      </c>
      <c r="R1061">
        <v>-0.2797405</v>
      </c>
      <c r="S1061">
        <v>2.7081599999999999</v>
      </c>
      <c r="T1061">
        <v>-0.43580849999999999</v>
      </c>
      <c r="U1061">
        <v>-1.4731749999999999</v>
      </c>
      <c r="V1061">
        <v>0.128687</v>
      </c>
      <c r="W1061">
        <v>2.8115210000000002E-2</v>
      </c>
      <c r="X1061">
        <v>0.99128660000000002</v>
      </c>
      <c r="Y1061">
        <v>0.33494790000000002</v>
      </c>
      <c r="Z1061">
        <v>-2.2838509999999999E-3</v>
      </c>
      <c r="AA1061">
        <v>0.94223389999999996</v>
      </c>
      <c r="AB1061">
        <v>26</v>
      </c>
      <c r="AC1061">
        <v>6.6318999999999999</v>
      </c>
      <c r="AD1061">
        <v>-1.106622113277</v>
      </c>
      <c r="AE1061">
        <v>-3.6981000000000099</v>
      </c>
      <c r="AF1061">
        <v>2.5767898852480799</v>
      </c>
      <c r="AG1061">
        <v>-1.106622113277</v>
      </c>
      <c r="AH1061">
        <v>6.9745858000335996</v>
      </c>
      <c r="AI1061">
        <v>98.4653165892598</v>
      </c>
      <c r="AJ1061">
        <v>69.723038536718093</v>
      </c>
      <c r="AK1061">
        <v>7.5172671694134197</v>
      </c>
      <c r="AL1061">
        <v>88.388904772403393</v>
      </c>
      <c r="AM1061">
        <v>82.603333763867099</v>
      </c>
      <c r="AN1061">
        <v>0.99999996617095099</v>
      </c>
    </row>
    <row r="1062" spans="1:40" x14ac:dyDescent="0.25">
      <c r="A1062" t="str">
        <f>"20190312154233346"</f>
        <v>20190312154233346</v>
      </c>
      <c r="B1062" t="str">
        <f>"1552376553338109"</f>
        <v>1552376553338109</v>
      </c>
      <c r="C1062" t="s">
        <v>40</v>
      </c>
      <c r="D1062">
        <v>5.0361129999999896</v>
      </c>
      <c r="E1062">
        <v>0.58772639999999998</v>
      </c>
      <c r="F1062" t="s">
        <v>47</v>
      </c>
      <c r="G1062">
        <v>-204.4384</v>
      </c>
      <c r="H1062" s="1">
        <v>-4.0231459999999996E-6</v>
      </c>
      <c r="I1062">
        <v>363.524</v>
      </c>
      <c r="J1062">
        <v>-211.12270000000001</v>
      </c>
      <c r="K1062">
        <v>1.1065990000000001</v>
      </c>
      <c r="L1062">
        <v>367.28649999999999</v>
      </c>
      <c r="M1062">
        <v>0.98738709999999996</v>
      </c>
      <c r="N1062">
        <v>0</v>
      </c>
      <c r="O1062">
        <v>-0.15768460000000001</v>
      </c>
      <c r="P1062">
        <v>0.95867630000000004</v>
      </c>
      <c r="Q1062">
        <v>1.4734570000000001E-2</v>
      </c>
      <c r="R1062">
        <v>-0.28411730000000002</v>
      </c>
      <c r="S1062">
        <v>2.697098</v>
      </c>
      <c r="T1062">
        <v>-0.43555300000000002</v>
      </c>
      <c r="U1062">
        <v>-1.4926759999999999</v>
      </c>
      <c r="V1062">
        <v>0.12965199999999999</v>
      </c>
      <c r="W1062">
        <v>2.7579449999999998E-2</v>
      </c>
      <c r="X1062">
        <v>0.9911759</v>
      </c>
      <c r="Y1062">
        <v>0.33842100000000003</v>
      </c>
      <c r="Z1062">
        <v>-2.0351150000000001E-3</v>
      </c>
      <c r="AA1062">
        <v>0.94099259999999996</v>
      </c>
      <c r="AB1062">
        <v>26</v>
      </c>
      <c r="AC1062">
        <v>6.6843000000000004</v>
      </c>
      <c r="AD1062">
        <v>-1.10660302314599</v>
      </c>
      <c r="AE1062">
        <v>-3.7624999999999802</v>
      </c>
      <c r="AF1062">
        <v>2.6070411413610799</v>
      </c>
      <c r="AG1062">
        <v>-1.10660302314599</v>
      </c>
      <c r="AH1062">
        <v>7.0473301559056702</v>
      </c>
      <c r="AI1062">
        <v>98.377753121539001</v>
      </c>
      <c r="AJ1062">
        <v>69.698894670604602</v>
      </c>
      <c r="AK1062">
        <v>7.5951363443932003</v>
      </c>
      <c r="AL1062">
        <v>88.419613469503403</v>
      </c>
      <c r="AM1062">
        <v>82.547665702919502</v>
      </c>
      <c r="AN1062">
        <v>0.999999965953555</v>
      </c>
    </row>
    <row r="1063" spans="1:40" x14ac:dyDescent="0.25">
      <c r="A1063" t="str">
        <f>"20190312154233360"</f>
        <v>20190312154233360</v>
      </c>
      <c r="B1063" t="str">
        <f>"1552376553348845"</f>
        <v>1552376553348845</v>
      </c>
      <c r="C1063" t="s">
        <v>40</v>
      </c>
      <c r="D1063">
        <v>5.0528680000000001</v>
      </c>
      <c r="E1063">
        <v>0.58766030000000002</v>
      </c>
      <c r="F1063" t="s">
        <v>47</v>
      </c>
      <c r="G1063">
        <v>-204.29750000000001</v>
      </c>
      <c r="H1063" s="1">
        <v>-3.9645459999999999E-6</v>
      </c>
      <c r="I1063">
        <v>363.46850000000001</v>
      </c>
      <c r="J1063">
        <v>-210.9675</v>
      </c>
      <c r="K1063">
        <v>1.1065750000000001</v>
      </c>
      <c r="L1063">
        <v>367.25799999999998</v>
      </c>
      <c r="M1063">
        <v>0.98685469999999997</v>
      </c>
      <c r="N1063">
        <v>0</v>
      </c>
      <c r="O1063">
        <v>-0.1609833</v>
      </c>
      <c r="P1063">
        <v>0.95750199999999996</v>
      </c>
      <c r="Q1063">
        <v>1.4805530000000001E-2</v>
      </c>
      <c r="R1063">
        <v>-0.288047</v>
      </c>
      <c r="S1063">
        <v>2.690048</v>
      </c>
      <c r="T1063">
        <v>-0.43615480000000001</v>
      </c>
      <c r="U1063">
        <v>-1.504791</v>
      </c>
      <c r="V1063">
        <v>0.13040760000000001</v>
      </c>
      <c r="W1063">
        <v>2.7635699999999999E-2</v>
      </c>
      <c r="X1063">
        <v>0.99107520000000005</v>
      </c>
      <c r="Y1063">
        <v>0.33956989999999998</v>
      </c>
      <c r="Z1063">
        <v>-1.647847E-3</v>
      </c>
      <c r="AA1063">
        <v>0.94057939999999995</v>
      </c>
      <c r="AB1063">
        <v>26</v>
      </c>
      <c r="AC1063">
        <v>6.6699999999999804</v>
      </c>
      <c r="AD1063">
        <v>-1.106578964546</v>
      </c>
      <c r="AE1063">
        <v>-3.7895000000000301</v>
      </c>
      <c r="AF1063">
        <v>2.61185020325942</v>
      </c>
      <c r="AG1063">
        <v>-1.106578964546</v>
      </c>
      <c r="AH1063">
        <v>7.0464733068927803</v>
      </c>
      <c r="AI1063">
        <v>98.376621379823206</v>
      </c>
      <c r="AJ1063">
        <v>69.662240239725605</v>
      </c>
      <c r="AK1063">
        <v>7.5959900311805599</v>
      </c>
      <c r="AL1063">
        <v>88.4163893482921</v>
      </c>
      <c r="AM1063">
        <v>82.503973671273201</v>
      </c>
      <c r="AN1063">
        <v>0.99999996305364403</v>
      </c>
    </row>
    <row r="1064" spans="1:40" x14ac:dyDescent="0.25">
      <c r="A1064" t="str">
        <f>"20190312154233374"</f>
        <v>20190312154233374</v>
      </c>
      <c r="B1064" t="str">
        <f>"1552376553368364"</f>
        <v>1552376553368364</v>
      </c>
      <c r="C1064" t="s">
        <v>40</v>
      </c>
      <c r="D1064">
        <v>5.0456079999999996</v>
      </c>
      <c r="E1064">
        <v>0.58750729999999995</v>
      </c>
      <c r="F1064" t="s">
        <v>47</v>
      </c>
      <c r="G1064">
        <v>-204.136</v>
      </c>
      <c r="H1064" s="1">
        <v>-3.8983539999999998E-6</v>
      </c>
      <c r="I1064">
        <v>363.40039999999999</v>
      </c>
      <c r="J1064">
        <v>-210.80930000000001</v>
      </c>
      <c r="K1064">
        <v>1.106549</v>
      </c>
      <c r="L1064">
        <v>367.2285</v>
      </c>
      <c r="M1064">
        <v>0.9862957</v>
      </c>
      <c r="N1064">
        <v>0</v>
      </c>
      <c r="O1064">
        <v>-0.16437270000000001</v>
      </c>
      <c r="P1064">
        <v>0.95620090000000002</v>
      </c>
      <c r="Q1064">
        <v>1.4436610000000001E-2</v>
      </c>
      <c r="R1064">
        <v>-0.29235549999999999</v>
      </c>
      <c r="S1064">
        <v>2.683929</v>
      </c>
      <c r="T1064">
        <v>-0.43474479999999999</v>
      </c>
      <c r="U1064">
        <v>-1.5155639999999999</v>
      </c>
      <c r="V1064">
        <v>0.13146269999999999</v>
      </c>
      <c r="W1064">
        <v>2.72477E-2</v>
      </c>
      <c r="X1064">
        <v>0.99094660000000001</v>
      </c>
      <c r="Y1064">
        <v>0.3401575</v>
      </c>
      <c r="Z1064">
        <v>-1.1975989999999999E-3</v>
      </c>
      <c r="AA1064">
        <v>0.94036770000000003</v>
      </c>
      <c r="AB1064">
        <v>26</v>
      </c>
      <c r="AC1064">
        <v>6.67330000000001</v>
      </c>
      <c r="AD1064">
        <v>-1.1065528983540001</v>
      </c>
      <c r="AE1064">
        <v>-3.8281000000000001</v>
      </c>
      <c r="AF1064">
        <v>2.6247018557409199</v>
      </c>
      <c r="AG1064">
        <v>-1.1065528983540001</v>
      </c>
      <c r="AH1064">
        <v>7.0656390446062396</v>
      </c>
      <c r="AI1064">
        <v>98.351841735749801</v>
      </c>
      <c r="AJ1064">
        <v>69.621272826428694</v>
      </c>
      <c r="AK1064">
        <v>7.6181870715446198</v>
      </c>
      <c r="AL1064">
        <v>88.438628577882596</v>
      </c>
      <c r="AM1064">
        <v>82.443053658774602</v>
      </c>
      <c r="AN1064">
        <v>1.0000000213490601</v>
      </c>
    </row>
    <row r="1065" spans="1:40" x14ac:dyDescent="0.25">
      <c r="A1065" t="str">
        <f>"20190312154233388"</f>
        <v>20190312154233388</v>
      </c>
      <c r="B1065" t="str">
        <f>"1552376553378125"</f>
        <v>1552376553378125</v>
      </c>
      <c r="C1065" t="s">
        <v>40</v>
      </c>
      <c r="D1065">
        <v>5.039091</v>
      </c>
      <c r="E1065">
        <v>0.58742249999999996</v>
      </c>
      <c r="F1065" t="s">
        <v>47</v>
      </c>
      <c r="G1065">
        <v>-203.9932</v>
      </c>
      <c r="H1065" s="1">
        <v>-3.8395640000000003E-6</v>
      </c>
      <c r="I1065">
        <v>363.34160000000003</v>
      </c>
      <c r="J1065">
        <v>-210.63890000000001</v>
      </c>
      <c r="K1065">
        <v>1.106511</v>
      </c>
      <c r="L1065">
        <v>367.19619999999998</v>
      </c>
      <c r="M1065">
        <v>0.98567419999999994</v>
      </c>
      <c r="N1065">
        <v>0</v>
      </c>
      <c r="O1065">
        <v>-0.16805980000000001</v>
      </c>
      <c r="P1065">
        <v>0.95459249999999995</v>
      </c>
      <c r="Q1065">
        <v>1.3989069999999999E-2</v>
      </c>
      <c r="R1065">
        <v>-0.29758709999999899</v>
      </c>
      <c r="S1065">
        <v>2.6772</v>
      </c>
      <c r="T1065">
        <v>-0.43462679999999998</v>
      </c>
      <c r="U1065">
        <v>-1.5267029999999999</v>
      </c>
      <c r="V1065">
        <v>0.1331802</v>
      </c>
      <c r="W1065">
        <v>2.6770080000000002E-2</v>
      </c>
      <c r="X1065">
        <v>0.99073020000000001</v>
      </c>
      <c r="Y1065">
        <v>0.34064169999999999</v>
      </c>
      <c r="Z1065">
        <v>-7.0128219999999997E-4</v>
      </c>
      <c r="AA1065">
        <v>0.9401929</v>
      </c>
      <c r="AB1065">
        <v>26</v>
      </c>
      <c r="AC1065">
        <v>6.6456999999999997</v>
      </c>
      <c r="AD1065">
        <v>-1.1065148395640001</v>
      </c>
      <c r="AE1065">
        <v>-3.8545999999999401</v>
      </c>
      <c r="AF1065">
        <v>2.62825572577237</v>
      </c>
      <c r="AG1065">
        <v>-1.1065148395640001</v>
      </c>
      <c r="AH1065">
        <v>7.0527251658348904</v>
      </c>
      <c r="AI1065">
        <v>98.363443016652397</v>
      </c>
      <c r="AJ1065">
        <v>69.561679348590104</v>
      </c>
      <c r="AK1065">
        <v>7.6074329122925102</v>
      </c>
      <c r="AL1065">
        <v>88.466004089679203</v>
      </c>
      <c r="AM1065">
        <v>82.343836647914202</v>
      </c>
      <c r="AN1065">
        <v>0.99999996602364205</v>
      </c>
    </row>
    <row r="1066" spans="1:40" x14ac:dyDescent="0.25">
      <c r="A1066" t="str">
        <f>"20190312154233401"</f>
        <v>20190312154233401</v>
      </c>
      <c r="B1066" t="str">
        <f>"1552376553387886"</f>
        <v>1552376553387886</v>
      </c>
      <c r="C1066" t="s">
        <v>40</v>
      </c>
      <c r="D1066">
        <v>5.0386300000000004</v>
      </c>
      <c r="E1066">
        <v>0.58732850000000003</v>
      </c>
      <c r="F1066" t="s">
        <v>47</v>
      </c>
      <c r="G1066">
        <v>-203.83179999999999</v>
      </c>
      <c r="H1066" s="1">
        <v>-3.775611E-6</v>
      </c>
      <c r="I1066">
        <v>363.2636</v>
      </c>
      <c r="J1066">
        <v>-210.4881</v>
      </c>
      <c r="K1066">
        <v>1.1064719999999999</v>
      </c>
      <c r="L1066">
        <v>367.16669999999999</v>
      </c>
      <c r="M1066">
        <v>0.98510209999999998</v>
      </c>
      <c r="N1066">
        <v>0</v>
      </c>
      <c r="O1066">
        <v>-0.1713808</v>
      </c>
      <c r="P1066">
        <v>0.95327470000000003</v>
      </c>
      <c r="Q1066">
        <v>1.393032E-2</v>
      </c>
      <c r="R1066">
        <v>-0.30178369999999999</v>
      </c>
      <c r="S1066">
        <v>2.6685029999999998</v>
      </c>
      <c r="T1066">
        <v>-0.43377199999999999</v>
      </c>
      <c r="U1066">
        <v>-1.5416559999999999</v>
      </c>
      <c r="V1066">
        <v>0.13420190000000001</v>
      </c>
      <c r="W1066">
        <v>2.6689520000000001E-2</v>
      </c>
      <c r="X1066">
        <v>0.99059450000000004</v>
      </c>
      <c r="Y1066">
        <v>0.34276649999999997</v>
      </c>
      <c r="Z1066">
        <v>-3.8144740000000001E-4</v>
      </c>
      <c r="AA1066">
        <v>0.93942049999999999</v>
      </c>
      <c r="AB1066">
        <v>26</v>
      </c>
      <c r="AC1066">
        <v>6.6563000000000097</v>
      </c>
      <c r="AD1066">
        <v>-1.106475775611</v>
      </c>
      <c r="AE1066">
        <v>-3.90309999999999</v>
      </c>
      <c r="AF1066">
        <v>2.64997428811242</v>
      </c>
      <c r="AG1066">
        <v>-1.106475775611</v>
      </c>
      <c r="AH1066">
        <v>7.08117802054766</v>
      </c>
      <c r="AI1066">
        <v>98.325796233093001</v>
      </c>
      <c r="AJ1066">
        <v>69.482749337801806</v>
      </c>
      <c r="AK1066">
        <v>7.6413175911198801</v>
      </c>
      <c r="AL1066">
        <v>88.4706214966982</v>
      </c>
      <c r="AM1066">
        <v>82.284762493043303</v>
      </c>
      <c r="AN1066">
        <v>0.999999971935844</v>
      </c>
    </row>
    <row r="1067" spans="1:40" x14ac:dyDescent="0.25">
      <c r="A1067" t="str">
        <f>"20190312154233415"</f>
        <v>20190312154233415</v>
      </c>
      <c r="B1067" t="str">
        <f>"1552376553408381"</f>
        <v>1552376553408381</v>
      </c>
      <c r="C1067" t="s">
        <v>40</v>
      </c>
      <c r="D1067">
        <v>5.0406610000000001</v>
      </c>
      <c r="E1067">
        <v>0.58716800000000002</v>
      </c>
      <c r="F1067" t="s">
        <v>47</v>
      </c>
      <c r="G1067">
        <v>-203.68129999999999</v>
      </c>
      <c r="H1067" s="1">
        <v>-3.7151459999999998E-6</v>
      </c>
      <c r="I1067">
        <v>363.19479999999999</v>
      </c>
      <c r="J1067">
        <v>-210.333</v>
      </c>
      <c r="K1067">
        <v>1.1064369999999999</v>
      </c>
      <c r="L1067">
        <v>367.13600000000002</v>
      </c>
      <c r="M1067">
        <v>0.98449609999999999</v>
      </c>
      <c r="N1067">
        <v>0</v>
      </c>
      <c r="O1067">
        <v>-0.17482819999999999</v>
      </c>
      <c r="P1067">
        <v>0.95194120000000004</v>
      </c>
      <c r="Q1067">
        <v>1.318655E-2</v>
      </c>
      <c r="R1067">
        <v>-0.30599749999999998</v>
      </c>
      <c r="S1067">
        <v>2.661667</v>
      </c>
      <c r="T1067">
        <v>-0.4326663</v>
      </c>
      <c r="U1067">
        <v>-1.5531619999999999</v>
      </c>
      <c r="V1067">
        <v>0.1351096</v>
      </c>
      <c r="W1067">
        <v>2.592446E-2</v>
      </c>
      <c r="X1067">
        <v>0.99049140000000002</v>
      </c>
      <c r="Y1067">
        <v>0.34359050000000002</v>
      </c>
      <c r="Z1067" s="1">
        <v>5.3998079999999999E-5</v>
      </c>
      <c r="AA1067">
        <v>0.93911960000000005</v>
      </c>
      <c r="AB1067">
        <v>26</v>
      </c>
      <c r="AC1067">
        <v>6.6516999999999999</v>
      </c>
      <c r="AD1067">
        <v>-1.1064407151459901</v>
      </c>
      <c r="AE1067">
        <v>-3.9411999999999798</v>
      </c>
      <c r="AF1067">
        <v>2.6629316913989598</v>
      </c>
      <c r="AG1067">
        <v>-1.1064407151459901</v>
      </c>
      <c r="AH1067">
        <v>7.0930778449119902</v>
      </c>
      <c r="AI1067">
        <v>98.308535177855703</v>
      </c>
      <c r="AJ1067">
        <v>69.422517575979796</v>
      </c>
      <c r="AK1067">
        <v>7.6568380917432899</v>
      </c>
      <c r="AL1067">
        <v>88.514471347803493</v>
      </c>
      <c r="AM1067">
        <v>82.232415266143093</v>
      </c>
      <c r="AN1067">
        <v>0.99999994755620403</v>
      </c>
    </row>
    <row r="1068" spans="1:40" x14ac:dyDescent="0.25">
      <c r="A1068" t="str">
        <f>"20190312154233426"</f>
        <v>20190312154233426</v>
      </c>
      <c r="B1068" t="str">
        <f>"1552376553418141"</f>
        <v>1552376553418141</v>
      </c>
      <c r="C1068" t="s">
        <v>40</v>
      </c>
      <c r="D1068">
        <v>5.0027140000000001</v>
      </c>
      <c r="E1068">
        <v>0.58706899999999995</v>
      </c>
      <c r="F1068" t="s">
        <v>47</v>
      </c>
      <c r="G1068">
        <v>-203.54839999999999</v>
      </c>
      <c r="H1068" s="1">
        <v>-3.6606390000000002E-6</v>
      </c>
      <c r="I1068">
        <v>363.13909999999998</v>
      </c>
      <c r="J1068">
        <v>-210.19309999999999</v>
      </c>
      <c r="K1068">
        <v>1.1063970000000001</v>
      </c>
      <c r="L1068">
        <v>367.10789999999997</v>
      </c>
      <c r="M1068">
        <v>0.98393390000000003</v>
      </c>
      <c r="N1068">
        <v>0</v>
      </c>
      <c r="O1068">
        <v>-0.1779645</v>
      </c>
      <c r="P1068">
        <v>0.9507139</v>
      </c>
      <c r="Q1068">
        <v>1.282004E-2</v>
      </c>
      <c r="R1068">
        <v>-0.30980459999999999</v>
      </c>
      <c r="S1068">
        <v>2.6547390000000002</v>
      </c>
      <c r="T1068">
        <v>-0.43294050000000001</v>
      </c>
      <c r="U1068">
        <v>-1.563965</v>
      </c>
      <c r="V1068">
        <v>0.13591510000000001</v>
      </c>
      <c r="W1068">
        <v>2.553836E-2</v>
      </c>
      <c r="X1068">
        <v>0.99039129999999997</v>
      </c>
      <c r="Y1068">
        <v>0.344524</v>
      </c>
      <c r="Z1068">
        <v>4.3605640000000002E-4</v>
      </c>
      <c r="AA1068">
        <v>0.93877739999999998</v>
      </c>
      <c r="AB1068">
        <v>26</v>
      </c>
      <c r="AC1068">
        <v>6.6447000000000003</v>
      </c>
      <c r="AD1068">
        <v>-1.10640066063899</v>
      </c>
      <c r="AE1068">
        <v>-3.9687999999999799</v>
      </c>
      <c r="AF1068">
        <v>2.6682662888445798</v>
      </c>
      <c r="AG1068">
        <v>-1.10640066063899</v>
      </c>
      <c r="AH1068">
        <v>7.0998994753745199</v>
      </c>
      <c r="AI1068">
        <v>98.299314823302595</v>
      </c>
      <c r="AJ1068">
        <v>69.402902518397198</v>
      </c>
      <c r="AK1068">
        <v>7.6650074997008399</v>
      </c>
      <c r="AL1068">
        <v>88.536600689610793</v>
      </c>
      <c r="AM1068">
        <v>82.185896650808701</v>
      </c>
      <c r="AN1068">
        <v>1.00000002467759</v>
      </c>
    </row>
    <row r="1069" spans="1:40" x14ac:dyDescent="0.25">
      <c r="A1069" t="str">
        <f>"20190312154233438"</f>
        <v>20190312154233438</v>
      </c>
      <c r="B1069" t="str">
        <f>"1552376553427901"</f>
        <v>1552376553427901</v>
      </c>
      <c r="C1069" t="s">
        <v>40</v>
      </c>
      <c r="D1069">
        <v>5.0038939999999998</v>
      </c>
      <c r="E1069">
        <v>0.58695699999999995</v>
      </c>
      <c r="F1069" t="s">
        <v>47</v>
      </c>
      <c r="G1069">
        <v>-203.4265</v>
      </c>
      <c r="H1069" s="1">
        <v>-3.6110269999999999E-6</v>
      </c>
      <c r="I1069">
        <v>363.08609999999999</v>
      </c>
      <c r="J1069">
        <v>-210.05670000000001</v>
      </c>
      <c r="K1069">
        <v>1.106352</v>
      </c>
      <c r="L1069">
        <v>367.0797</v>
      </c>
      <c r="M1069">
        <v>0.9833636</v>
      </c>
      <c r="N1069">
        <v>0</v>
      </c>
      <c r="O1069">
        <v>-0.18108920000000001</v>
      </c>
      <c r="P1069">
        <v>0.94952060000000005</v>
      </c>
      <c r="Q1069">
        <v>1.2391289999999999E-2</v>
      </c>
      <c r="R1069">
        <v>-0.31346039999999997</v>
      </c>
      <c r="S1069">
        <v>2.6483759999999998</v>
      </c>
      <c r="T1069">
        <v>-0.43303180000000002</v>
      </c>
      <c r="U1069">
        <v>-1.5740970000000001</v>
      </c>
      <c r="V1069">
        <v>0.13657729999999901</v>
      </c>
      <c r="W1069">
        <v>2.5090270000000001E-2</v>
      </c>
      <c r="X1069">
        <v>0.99031159999999996</v>
      </c>
      <c r="Y1069">
        <v>0.34520820000000002</v>
      </c>
      <c r="Z1069">
        <v>8.3578380000000005E-4</v>
      </c>
      <c r="AA1069">
        <v>0.93852570000000002</v>
      </c>
      <c r="AB1069">
        <v>26</v>
      </c>
      <c r="AC1069">
        <v>6.6302000000000003</v>
      </c>
      <c r="AD1069">
        <v>-1.1063556110269901</v>
      </c>
      <c r="AE1069">
        <v>-3.99360000000001</v>
      </c>
      <c r="AF1069">
        <v>2.6721827767079298</v>
      </c>
      <c r="AG1069">
        <v>-1.1063556110269901</v>
      </c>
      <c r="AH1069">
        <v>7.0987900337774397</v>
      </c>
      <c r="AI1069">
        <v>98.298614397125803</v>
      </c>
      <c r="AJ1069">
        <v>69.372261247557802</v>
      </c>
      <c r="AK1069">
        <v>7.6653377925466097</v>
      </c>
      <c r="AL1069">
        <v>88.562282510431302</v>
      </c>
      <c r="AM1069">
        <v>82.147674801163006</v>
      </c>
      <c r="AN1069">
        <v>0.99999997280926101</v>
      </c>
    </row>
    <row r="1070" spans="1:40" x14ac:dyDescent="0.25">
      <c r="A1070" t="str">
        <f>"20190312154233451"</f>
        <v>20190312154233451</v>
      </c>
      <c r="B1070" t="str">
        <f>"1552376553438638"</f>
        <v>1552376553438638</v>
      </c>
      <c r="C1070" t="s">
        <v>40</v>
      </c>
      <c r="D1070">
        <v>4.8957090000000001</v>
      </c>
      <c r="E1070">
        <v>0.58683160000000001</v>
      </c>
      <c r="F1070" t="s">
        <v>47</v>
      </c>
      <c r="G1070">
        <v>-203.3038</v>
      </c>
      <c r="H1070" s="1">
        <v>-3.5612720000000002E-6</v>
      </c>
      <c r="I1070">
        <v>363.03199999999998</v>
      </c>
      <c r="J1070">
        <v>-209.91569999999999</v>
      </c>
      <c r="K1070">
        <v>1.106309</v>
      </c>
      <c r="L1070">
        <v>367.05029999999999</v>
      </c>
      <c r="M1070">
        <v>0.9827591</v>
      </c>
      <c r="N1070">
        <v>0</v>
      </c>
      <c r="O1070">
        <v>-0.18434120000000001</v>
      </c>
      <c r="P1070">
        <v>0.94824960000000003</v>
      </c>
      <c r="Q1070">
        <v>1.175871E-2</v>
      </c>
      <c r="R1070">
        <v>-0.31730829999999999</v>
      </c>
      <c r="S1070">
        <v>2.6423030000000001</v>
      </c>
      <c r="T1070">
        <v>-0.43290279999999998</v>
      </c>
      <c r="U1070">
        <v>-1.583801</v>
      </c>
      <c r="V1070">
        <v>0.13731209999999999</v>
      </c>
      <c r="W1070">
        <v>2.443625E-2</v>
      </c>
      <c r="X1070">
        <v>0.99022639999999995</v>
      </c>
      <c r="Y1070">
        <v>0.34561819999999999</v>
      </c>
      <c r="Z1070">
        <v>1.274545E-3</v>
      </c>
      <c r="AA1070">
        <v>0.93837429999999999</v>
      </c>
      <c r="AB1070">
        <v>26</v>
      </c>
      <c r="AC1070">
        <v>6.6118999999999897</v>
      </c>
      <c r="AD1070">
        <v>-1.106312561272</v>
      </c>
      <c r="AE1070">
        <v>-4.0183000000000098</v>
      </c>
      <c r="AF1070">
        <v>2.6757462634707201</v>
      </c>
      <c r="AG1070">
        <v>-1.106312561272</v>
      </c>
      <c r="AH1070">
        <v>7.0943328244466102</v>
      </c>
      <c r="AI1070">
        <v>98.301441279481594</v>
      </c>
      <c r="AJ1070">
        <v>69.335193736992096</v>
      </c>
      <c r="AK1070">
        <v>7.6624476359533</v>
      </c>
      <c r="AL1070">
        <v>88.599766677138604</v>
      </c>
      <c r="AM1070">
        <v>82.105289037402699</v>
      </c>
      <c r="AN1070">
        <v>1.00000003318871</v>
      </c>
    </row>
    <row r="1071" spans="1:40" x14ac:dyDescent="0.25">
      <c r="A1071" t="str">
        <f>"20190312154233463"</f>
        <v>20190312154233463</v>
      </c>
      <c r="B1071" t="str">
        <f>"1552376553458157"</f>
        <v>1552376553458157</v>
      </c>
      <c r="C1071" t="s">
        <v>40</v>
      </c>
      <c r="D1071">
        <v>4.9467679999999996</v>
      </c>
      <c r="E1071">
        <v>0.58668480000000001</v>
      </c>
      <c r="F1071" t="s">
        <v>47</v>
      </c>
      <c r="G1071">
        <v>-203.172</v>
      </c>
      <c r="H1071" s="1">
        <v>-3.5086210000000001E-6</v>
      </c>
      <c r="I1071">
        <v>362.97019999999998</v>
      </c>
      <c r="J1071">
        <v>-209.7784</v>
      </c>
      <c r="K1071">
        <v>1.1062540000000001</v>
      </c>
      <c r="L1071">
        <v>367.02100000000002</v>
      </c>
      <c r="M1071">
        <v>0.98214840000000003</v>
      </c>
      <c r="N1071">
        <v>0</v>
      </c>
      <c r="O1071">
        <v>-0.1875674</v>
      </c>
      <c r="P1071">
        <v>0.94702109999999995</v>
      </c>
      <c r="Q1071">
        <v>1.1285740000000001E-2</v>
      </c>
      <c r="R1071">
        <v>-0.32097389999999998</v>
      </c>
      <c r="S1071">
        <v>2.6354829999999998</v>
      </c>
      <c r="T1071">
        <v>-0.4323514</v>
      </c>
      <c r="U1071">
        <v>-1.5945129999999901</v>
      </c>
      <c r="V1071">
        <v>0.1378878</v>
      </c>
      <c r="W1071">
        <v>2.3943349999999999E-2</v>
      </c>
      <c r="X1071">
        <v>0.99015839999999999</v>
      </c>
      <c r="Y1071">
        <v>0.34643010000000002</v>
      </c>
      <c r="Z1071">
        <v>1.677731E-3</v>
      </c>
      <c r="AA1071">
        <v>0.93807430000000003</v>
      </c>
      <c r="AB1071">
        <v>26</v>
      </c>
      <c r="AC1071">
        <v>6.6063999999999998</v>
      </c>
      <c r="AD1071">
        <v>-1.106257508621</v>
      </c>
      <c r="AE1071">
        <v>-4.0507999999999802</v>
      </c>
      <c r="AF1071">
        <v>2.6849049633900899</v>
      </c>
      <c r="AG1071">
        <v>-1.106257508621</v>
      </c>
      <c r="AH1071">
        <v>7.1042249059671203</v>
      </c>
      <c r="AI1071">
        <v>98.287572613690003</v>
      </c>
      <c r="AJ1071">
        <v>69.296880216257406</v>
      </c>
      <c r="AK1071">
        <v>7.6747984893663901</v>
      </c>
      <c r="AL1071">
        <v>88.628015977609806</v>
      </c>
      <c r="AM1071">
        <v>82.072071817697093</v>
      </c>
      <c r="AN1071">
        <v>0.99999999324431099</v>
      </c>
    </row>
    <row r="1072" spans="1:40" x14ac:dyDescent="0.25">
      <c r="A1072" t="str">
        <f>"20190312154233477"</f>
        <v>20190312154233477</v>
      </c>
      <c r="B1072" t="str">
        <f>"1552376553467917"</f>
        <v>1552376553467917</v>
      </c>
      <c r="C1072" t="s">
        <v>40</v>
      </c>
      <c r="D1072">
        <v>4.9529019999999999</v>
      </c>
      <c r="E1072">
        <v>0.58656900000000001</v>
      </c>
      <c r="F1072" t="s">
        <v>47</v>
      </c>
      <c r="G1072">
        <v>-203.06549999999999</v>
      </c>
      <c r="H1072" s="1">
        <v>-3.465089E-6</v>
      </c>
      <c r="I1072">
        <v>362.92500000000001</v>
      </c>
      <c r="J1072">
        <v>-209.61009999999999</v>
      </c>
      <c r="K1072">
        <v>1.106182</v>
      </c>
      <c r="L1072">
        <v>366.98439999999999</v>
      </c>
      <c r="M1072">
        <v>0.98137249999999998</v>
      </c>
      <c r="N1072">
        <v>0</v>
      </c>
      <c r="O1072">
        <v>-0.19158539999999999</v>
      </c>
      <c r="P1072">
        <v>0.94536889999999996</v>
      </c>
      <c r="Q1072">
        <v>9.7799659999999993E-3</v>
      </c>
      <c r="R1072">
        <v>-0.32585609999999998</v>
      </c>
      <c r="S1072">
        <v>2.6292270000000002</v>
      </c>
      <c r="T1072">
        <v>-0.433284</v>
      </c>
      <c r="U1072">
        <v>-1.604279</v>
      </c>
      <c r="V1072">
        <v>0.13892939999999901</v>
      </c>
      <c r="W1072">
        <v>2.2408339999999999E-2</v>
      </c>
      <c r="X1072">
        <v>0.9900487</v>
      </c>
      <c r="Y1072">
        <v>0.34615649999999998</v>
      </c>
      <c r="Z1072">
        <v>2.2841210000000001E-3</v>
      </c>
      <c r="AA1072">
        <v>0.93817399999999995</v>
      </c>
      <c r="AB1072">
        <v>26</v>
      </c>
      <c r="AC1072">
        <v>6.5446</v>
      </c>
      <c r="AD1072">
        <v>-1.106185465089</v>
      </c>
      <c r="AE1072">
        <v>-4.0593999999999797</v>
      </c>
      <c r="AF1072">
        <v>2.67502204172597</v>
      </c>
      <c r="AG1072">
        <v>-1.106185465089</v>
      </c>
      <c r="AH1072">
        <v>7.0555784255520697</v>
      </c>
      <c r="AI1072">
        <v>98.340094606625996</v>
      </c>
      <c r="AJ1072">
        <v>69.236490960549702</v>
      </c>
      <c r="AK1072">
        <v>7.6263081583430496</v>
      </c>
      <c r="AL1072">
        <v>88.715989180937996</v>
      </c>
      <c r="AM1072">
        <v>82.012080929903206</v>
      </c>
      <c r="AN1072">
        <v>0.99999997012880204</v>
      </c>
    </row>
    <row r="1073" spans="1:40" x14ac:dyDescent="0.25">
      <c r="A1073" t="str">
        <f>"20190312154233490"</f>
        <v>20190312154233490</v>
      </c>
      <c r="B1073" t="str">
        <f>"1552376553478654"</f>
        <v>1552376553478654</v>
      </c>
      <c r="C1073" t="s">
        <v>40</v>
      </c>
      <c r="D1073">
        <v>5.0073869999999996</v>
      </c>
      <c r="E1073">
        <v>0.58657250000000005</v>
      </c>
      <c r="F1073" t="s">
        <v>47</v>
      </c>
      <c r="G1073">
        <v>-202.94730000000001</v>
      </c>
      <c r="H1073" s="1">
        <v>-3.4179949999999998E-6</v>
      </c>
      <c r="I1073">
        <v>362.8691</v>
      </c>
      <c r="J1073">
        <v>-209.4717</v>
      </c>
      <c r="K1073">
        <v>1.1061219999999901</v>
      </c>
      <c r="L1073">
        <v>366.95389999999998</v>
      </c>
      <c r="M1073">
        <v>0.98071430000000004</v>
      </c>
      <c r="N1073">
        <v>0</v>
      </c>
      <c r="O1073">
        <v>-0.1949256</v>
      </c>
      <c r="P1073">
        <v>0.94426829999999995</v>
      </c>
      <c r="Q1073">
        <v>9.3783310000000002E-3</v>
      </c>
      <c r="R1073">
        <v>-0.32904349999999999</v>
      </c>
      <c r="S1073">
        <v>2.6200559999999999</v>
      </c>
      <c r="T1073">
        <v>-0.43499409999999999</v>
      </c>
      <c r="U1073">
        <v>-1.6182859999999999</v>
      </c>
      <c r="V1073">
        <v>0.1388964</v>
      </c>
      <c r="W1073">
        <v>2.1993120000000001E-2</v>
      </c>
      <c r="X1073">
        <v>0.99006269999999996</v>
      </c>
      <c r="Y1073">
        <v>0.34806029999999999</v>
      </c>
      <c r="Z1073">
        <v>2.635077E-3</v>
      </c>
      <c r="AA1073">
        <v>0.93746850000000004</v>
      </c>
      <c r="AB1073">
        <v>26</v>
      </c>
      <c r="AC1073">
        <v>6.5243999999999804</v>
      </c>
      <c r="AD1073">
        <v>-1.10612541799499</v>
      </c>
      <c r="AE1073">
        <v>-4.0847999999999702</v>
      </c>
      <c r="AF1073">
        <v>2.67920493975824</v>
      </c>
      <c r="AG1073">
        <v>-1.10612541799499</v>
      </c>
      <c r="AH1073">
        <v>7.0499630248342102</v>
      </c>
      <c r="AI1073">
        <v>98.343753441477702</v>
      </c>
      <c r="AJ1073">
        <v>69.191653815443701</v>
      </c>
      <c r="AK1073">
        <v>7.6225737911212796</v>
      </c>
      <c r="AL1073">
        <v>88.739785474055296</v>
      </c>
      <c r="AM1073">
        <v>82.0140652941827</v>
      </c>
      <c r="AN1073">
        <v>1.00000002859579</v>
      </c>
    </row>
    <row r="1074" spans="1:40" x14ac:dyDescent="0.25">
      <c r="A1074" t="str">
        <f>"20190312154233502"</f>
        <v>20190312154233502</v>
      </c>
      <c r="B1074" t="str">
        <f>"1552376553488413"</f>
        <v>1552376553488413</v>
      </c>
      <c r="C1074" t="s">
        <v>40</v>
      </c>
      <c r="D1074">
        <v>5.1227150000000004</v>
      </c>
      <c r="E1074">
        <v>0.58660440000000003</v>
      </c>
      <c r="F1074" t="s">
        <v>47</v>
      </c>
      <c r="G1074">
        <v>-202.8203</v>
      </c>
      <c r="H1074" s="1">
        <v>-3.366437E-6</v>
      </c>
      <c r="I1074">
        <v>362.81349999999998</v>
      </c>
      <c r="J1074">
        <v>-209.32320000000001</v>
      </c>
      <c r="K1074">
        <v>1.10606</v>
      </c>
      <c r="L1074">
        <v>366.9203</v>
      </c>
      <c r="M1074">
        <v>0.97998019999999997</v>
      </c>
      <c r="N1074">
        <v>0</v>
      </c>
      <c r="O1074">
        <v>-0.19858329999999999</v>
      </c>
      <c r="P1074">
        <v>0.94311610000000001</v>
      </c>
      <c r="Q1074">
        <v>8.862043E-3</v>
      </c>
      <c r="R1074">
        <v>-0.33234550000000002</v>
      </c>
      <c r="S1074">
        <v>2.6142880000000002</v>
      </c>
      <c r="T1074">
        <v>-0.43475940000000002</v>
      </c>
      <c r="U1074">
        <v>-1.6273799999999901</v>
      </c>
      <c r="V1074">
        <v>0.1386637</v>
      </c>
      <c r="W1074">
        <v>2.1465379999999999E-2</v>
      </c>
      <c r="X1074">
        <v>0.99010690000000001</v>
      </c>
      <c r="Y1074">
        <v>0.34787940000000001</v>
      </c>
      <c r="Z1074">
        <v>3.179912E-3</v>
      </c>
      <c r="AA1074">
        <v>0.93753390000000003</v>
      </c>
      <c r="AB1074">
        <v>26</v>
      </c>
      <c r="AC1074">
        <v>6.5029000000000101</v>
      </c>
      <c r="AD1074">
        <v>-1.1060633664370001</v>
      </c>
      <c r="AE1074">
        <v>-4.1068000000000202</v>
      </c>
      <c r="AF1074">
        <v>2.6781065320029902</v>
      </c>
      <c r="AG1074">
        <v>-1.1060633664370001</v>
      </c>
      <c r="AH1074">
        <v>7.0433210047837802</v>
      </c>
      <c r="AI1074">
        <v>98.350495438848597</v>
      </c>
      <c r="AJ1074">
        <v>69.181519895846193</v>
      </c>
      <c r="AK1074">
        <v>7.6160358155512498</v>
      </c>
      <c r="AL1074">
        <v>88.770029889461597</v>
      </c>
      <c r="AM1074">
        <v>82.027623684230804</v>
      </c>
      <c r="AN1074">
        <v>1.00000002883192</v>
      </c>
    </row>
    <row r="1075" spans="1:40" x14ac:dyDescent="0.25">
      <c r="A1075" t="str">
        <f>"20190312154233515"</f>
        <v>20190312154233515</v>
      </c>
      <c r="B1075" t="str">
        <f>"1552376553507933"</f>
        <v>1552376553507933</v>
      </c>
      <c r="C1075" t="s">
        <v>40</v>
      </c>
      <c r="D1075">
        <v>5.0309269999999904</v>
      </c>
      <c r="E1075">
        <v>0.58670500000000003</v>
      </c>
      <c r="F1075" t="s">
        <v>47</v>
      </c>
      <c r="G1075">
        <v>-202.6986</v>
      </c>
      <c r="H1075" s="1">
        <v>-3.3166300000000001E-6</v>
      </c>
      <c r="I1075">
        <v>362.76170000000002</v>
      </c>
      <c r="J1075">
        <v>-209.17529999999999</v>
      </c>
      <c r="K1075">
        <v>1.1059920000000001</v>
      </c>
      <c r="L1075">
        <v>366.88630000000001</v>
      </c>
      <c r="M1075">
        <v>0.97922489999999995</v>
      </c>
      <c r="N1075">
        <v>0</v>
      </c>
      <c r="O1075">
        <v>-0.2022747</v>
      </c>
      <c r="P1075">
        <v>0.94202940000000002</v>
      </c>
      <c r="Q1075">
        <v>9.0397610000000003E-3</v>
      </c>
      <c r="R1075">
        <v>-0.3354085</v>
      </c>
      <c r="S1075">
        <v>2.6081240000000001</v>
      </c>
      <c r="T1075">
        <v>-0.43545909999999899</v>
      </c>
      <c r="U1075">
        <v>-1.637238</v>
      </c>
      <c r="V1075">
        <v>0.13815559999999999</v>
      </c>
      <c r="W1075">
        <v>2.1635580000000001E-2</v>
      </c>
      <c r="X1075">
        <v>0.9901742</v>
      </c>
      <c r="Y1075">
        <v>0.34791660000000002</v>
      </c>
      <c r="Z1075">
        <v>3.7207189999999999E-3</v>
      </c>
      <c r="AA1075">
        <v>0.93751810000000002</v>
      </c>
      <c r="AB1075">
        <v>26</v>
      </c>
      <c r="AC1075">
        <v>6.4766999999999904</v>
      </c>
      <c r="AD1075">
        <v>-1.1059953166299901</v>
      </c>
      <c r="AE1075">
        <v>-4.1245999999999796</v>
      </c>
      <c r="AF1075">
        <v>2.6736468422028898</v>
      </c>
      <c r="AG1075">
        <v>-1.1059953166299901</v>
      </c>
      <c r="AH1075">
        <v>7.0313021787180503</v>
      </c>
      <c r="AI1075">
        <v>98.364017120795395</v>
      </c>
      <c r="AJ1075">
        <v>69.180734844056303</v>
      </c>
      <c r="AK1075">
        <v>7.6033429099097098</v>
      </c>
      <c r="AL1075">
        <v>88.760275856028699</v>
      </c>
      <c r="AM1075">
        <v>82.056995991690698</v>
      </c>
      <c r="AN1075">
        <v>1.0000000072394599</v>
      </c>
    </row>
    <row r="1076" spans="1:40" x14ac:dyDescent="0.25">
      <c r="A1076" t="str">
        <f>"20190312154233530"</f>
        <v>20190312154233530</v>
      </c>
      <c r="B1076" t="str">
        <f>"1552376553518670"</f>
        <v>1552376553518670</v>
      </c>
      <c r="C1076" t="s">
        <v>40</v>
      </c>
      <c r="D1076">
        <v>5.0033799999999999</v>
      </c>
      <c r="E1076">
        <v>0.60183560000000003</v>
      </c>
      <c r="F1076" t="s">
        <v>47</v>
      </c>
      <c r="G1076">
        <v>-202.57210000000001</v>
      </c>
      <c r="H1076" s="1">
        <v>-3.2650410000000002E-6</v>
      </c>
      <c r="I1076">
        <v>362.70729999999998</v>
      </c>
      <c r="J1076">
        <v>-209.0188</v>
      </c>
      <c r="K1076">
        <v>1.1059270000000001</v>
      </c>
      <c r="L1076">
        <v>366.84969999999998</v>
      </c>
      <c r="M1076">
        <v>0.97839989999999999</v>
      </c>
      <c r="N1076">
        <v>0</v>
      </c>
      <c r="O1076">
        <v>-0.20622750000000001</v>
      </c>
      <c r="P1076">
        <v>0.94087430000000005</v>
      </c>
      <c r="Q1076">
        <v>8.7223279999999997E-3</v>
      </c>
      <c r="R1076">
        <v>-0.33864429999999901</v>
      </c>
      <c r="S1076">
        <v>2.6024020000000001</v>
      </c>
      <c r="T1076">
        <v>-0.43588189999999999</v>
      </c>
      <c r="U1076">
        <v>-1.646973</v>
      </c>
      <c r="V1076">
        <v>0.13755899999999999</v>
      </c>
      <c r="W1076">
        <v>2.1310450000000002E-2</v>
      </c>
      <c r="X1076">
        <v>0.99026429999999999</v>
      </c>
      <c r="Y1076">
        <v>0.34760530000000001</v>
      </c>
      <c r="Z1076">
        <v>4.3250750000000003E-3</v>
      </c>
      <c r="AA1076">
        <v>0.93763099999999999</v>
      </c>
      <c r="AB1076">
        <v>26</v>
      </c>
      <c r="AC1076">
        <v>6.4466999999999901</v>
      </c>
      <c r="AD1076">
        <v>-1.1059302650409999</v>
      </c>
      <c r="AE1076">
        <v>-4.1424000000000003</v>
      </c>
      <c r="AF1076">
        <v>2.6681392034642699</v>
      </c>
      <c r="AG1076">
        <v>-1.1059302650409999</v>
      </c>
      <c r="AH1076">
        <v>7.0163129438159997</v>
      </c>
      <c r="AI1076">
        <v>98.381070846693902</v>
      </c>
      <c r="AJ1076">
        <v>69.179364992384606</v>
      </c>
      <c r="AK1076">
        <v>7.5875355607573001</v>
      </c>
      <c r="AL1076">
        <v>88.778908718685599</v>
      </c>
      <c r="AM1076">
        <v>82.091571934709904</v>
      </c>
      <c r="AN1076">
        <v>0.99999999880734602</v>
      </c>
    </row>
    <row r="1077" spans="1:40" x14ac:dyDescent="0.25">
      <c r="A1077" t="str">
        <f>"20190312154233545"</f>
        <v>20190312154233545</v>
      </c>
      <c r="B1077" t="str">
        <f>"1552376553537850"</f>
        <v>1552376553537850</v>
      </c>
      <c r="C1077" t="s">
        <v>40</v>
      </c>
      <c r="D1077">
        <v>5.0195169999999996</v>
      </c>
      <c r="E1077">
        <v>0.60236840000000003</v>
      </c>
      <c r="F1077" t="s">
        <v>47</v>
      </c>
      <c r="G1077">
        <v>-203.20750000000001</v>
      </c>
      <c r="H1077" s="1">
        <v>-3.5576419999999999E-6</v>
      </c>
      <c r="I1077">
        <v>362.82979999999998</v>
      </c>
      <c r="J1077">
        <v>-208.83510000000001</v>
      </c>
      <c r="K1077">
        <v>1.10585</v>
      </c>
      <c r="L1077">
        <v>366.8057</v>
      </c>
      <c r="M1077">
        <v>0.9773889</v>
      </c>
      <c r="N1077">
        <v>0</v>
      </c>
      <c r="O1077">
        <v>-0.21096619999999999</v>
      </c>
      <c r="P1077">
        <v>0.93983260000000002</v>
      </c>
      <c r="Q1077">
        <v>8.7303150000000006E-3</v>
      </c>
      <c r="R1077">
        <v>-0.34152329999999997</v>
      </c>
      <c r="S1077">
        <v>2.5565190000000002</v>
      </c>
      <c r="T1077">
        <v>-0.48652630000000002</v>
      </c>
      <c r="U1077">
        <v>-1.7684629999999999</v>
      </c>
      <c r="V1077">
        <v>0.135795899999999</v>
      </c>
      <c r="W1077">
        <v>2.1325230000000001E-2</v>
      </c>
      <c r="X1077">
        <v>0.99050729999999998</v>
      </c>
      <c r="Y1077">
        <v>0.38055</v>
      </c>
      <c r="Z1077">
        <v>2.7579499999999999E-3</v>
      </c>
      <c r="AA1077">
        <v>0.92475620000000003</v>
      </c>
      <c r="AB1077">
        <v>26</v>
      </c>
      <c r="AC1077">
        <v>5.6276000000000002</v>
      </c>
      <c r="AD1077">
        <v>-1.1058535576420001</v>
      </c>
      <c r="AE1077">
        <v>-3.9759000000000202</v>
      </c>
      <c r="AF1077">
        <v>2.6312675111703401</v>
      </c>
      <c r="AG1077">
        <v>-1.1058535576420001</v>
      </c>
      <c r="AH1077">
        <v>6.1805844053402401</v>
      </c>
      <c r="AI1077">
        <v>99.348508034995305</v>
      </c>
      <c r="AJ1077">
        <v>66.939032987386099</v>
      </c>
      <c r="AK1077">
        <v>6.8077973234978897</v>
      </c>
      <c r="AL1077">
        <v>88.778061698016501</v>
      </c>
      <c r="AM1077">
        <v>82.193568263541707</v>
      </c>
      <c r="AN1077">
        <v>1.0000000016223201</v>
      </c>
    </row>
    <row r="1078" spans="1:40" x14ac:dyDescent="0.25">
      <c r="A1078" t="str">
        <f>"20190312154233558"</f>
        <v>20190312154233558</v>
      </c>
      <c r="B1078" t="str">
        <f>"1552376553548585"</f>
        <v>1552376553548585</v>
      </c>
      <c r="C1078" t="s">
        <v>40</v>
      </c>
      <c r="D1078">
        <v>5.0488150000000003</v>
      </c>
      <c r="E1078">
        <v>0.60227589999999998</v>
      </c>
      <c r="F1078" t="s">
        <v>47</v>
      </c>
      <c r="G1078">
        <v>-202.82910000000001</v>
      </c>
      <c r="H1078" s="1">
        <v>-3.4159199999999999E-6</v>
      </c>
      <c r="I1078">
        <v>362.61009999999999</v>
      </c>
      <c r="J1078">
        <v>-208.6942</v>
      </c>
      <c r="K1078">
        <v>1.1057920000000001</v>
      </c>
      <c r="L1078">
        <v>366.77109999999999</v>
      </c>
      <c r="M1078">
        <v>0.97658310000000004</v>
      </c>
      <c r="N1078">
        <v>0</v>
      </c>
      <c r="O1078">
        <v>-0.21466550000000001</v>
      </c>
      <c r="P1078">
        <v>0.93890640000000003</v>
      </c>
      <c r="Q1078">
        <v>8.8887229999999994E-3</v>
      </c>
      <c r="R1078">
        <v>-0.34405829999999998</v>
      </c>
      <c r="S1078">
        <v>2.5492859999999999</v>
      </c>
      <c r="T1078">
        <v>-0.46938279999999899</v>
      </c>
      <c r="U1078">
        <v>-1.780823</v>
      </c>
      <c r="V1078">
        <v>0.13472329999999999</v>
      </c>
      <c r="W1078">
        <v>2.1485890000000001E-2</v>
      </c>
      <c r="X1078">
        <v>0.99065029999999998</v>
      </c>
      <c r="Y1078">
        <v>0.38146530000000001</v>
      </c>
      <c r="Z1078">
        <v>3.1647289999999998E-3</v>
      </c>
      <c r="AA1078">
        <v>0.92437769999999997</v>
      </c>
      <c r="AB1078">
        <v>26</v>
      </c>
      <c r="AC1078">
        <v>5.8650999999999804</v>
      </c>
      <c r="AD1078">
        <v>-1.1057954159200001</v>
      </c>
      <c r="AE1078">
        <v>-4.1609999999999996</v>
      </c>
      <c r="AF1078">
        <v>2.7400249424285699</v>
      </c>
      <c r="AG1078">
        <v>-1.1057954159200001</v>
      </c>
      <c r="AH1078">
        <v>6.4687014900424398</v>
      </c>
      <c r="AI1078">
        <v>98.945340572298406</v>
      </c>
      <c r="AJ1078">
        <v>67.043362997793906</v>
      </c>
      <c r="AK1078">
        <v>7.11158344915376</v>
      </c>
      <c r="AL1078">
        <v>88.768854463664695</v>
      </c>
      <c r="AM1078">
        <v>82.255581380358095</v>
      </c>
      <c r="AN1078">
        <v>1.0000000139610301</v>
      </c>
    </row>
    <row r="1079" spans="1:40" x14ac:dyDescent="0.25">
      <c r="A1079" t="str">
        <f>"20190312154233572"</f>
        <v>20190312154233572</v>
      </c>
      <c r="B1079" t="str">
        <f>"1552376553558345"</f>
        <v>1552376553558345</v>
      </c>
      <c r="C1079" t="s">
        <v>40</v>
      </c>
      <c r="D1079">
        <v>5.0198070000000001</v>
      </c>
      <c r="E1079">
        <v>0.60247969999999995</v>
      </c>
      <c r="F1079" t="s">
        <v>47</v>
      </c>
      <c r="G1079">
        <v>-202.6157</v>
      </c>
      <c r="H1079" s="1">
        <v>-3.3324250000000001E-6</v>
      </c>
      <c r="I1079">
        <v>362.50229999999999</v>
      </c>
      <c r="J1079">
        <v>-208.52780000000001</v>
      </c>
      <c r="K1079">
        <v>1.105721</v>
      </c>
      <c r="L1079">
        <v>366.72969999999998</v>
      </c>
      <c r="M1079">
        <v>0.9756013</v>
      </c>
      <c r="N1079">
        <v>0</v>
      </c>
      <c r="O1079">
        <v>-0.2190838</v>
      </c>
      <c r="P1079">
        <v>0.93761249999999996</v>
      </c>
      <c r="Q1079">
        <v>9.2308660000000008E-3</v>
      </c>
      <c r="R1079">
        <v>-0.34755940000000002</v>
      </c>
      <c r="S1079">
        <v>2.544724</v>
      </c>
      <c r="T1079">
        <v>-0.46293119999999999</v>
      </c>
      <c r="U1079">
        <v>-1.7870790000000001</v>
      </c>
      <c r="V1079">
        <v>0.13394420000000001</v>
      </c>
      <c r="W1079">
        <v>2.182388E-2</v>
      </c>
      <c r="X1079">
        <v>0.99074850000000003</v>
      </c>
      <c r="Y1079">
        <v>0.3796987</v>
      </c>
      <c r="Z1079">
        <v>3.9483089999999997E-3</v>
      </c>
      <c r="AA1079">
        <v>0.92510179999999997</v>
      </c>
      <c r="AB1079">
        <v>26</v>
      </c>
      <c r="AC1079">
        <v>5.9120999999999997</v>
      </c>
      <c r="AD1079">
        <v>-1.1057243324249999</v>
      </c>
      <c r="AE1079">
        <v>-4.2273999999999798</v>
      </c>
      <c r="AF1079">
        <v>2.7652969878044602</v>
      </c>
      <c r="AG1079">
        <v>-1.1057243324249999</v>
      </c>
      <c r="AH1079">
        <v>6.5432457814651803</v>
      </c>
      <c r="AI1079">
        <v>98.847500990112906</v>
      </c>
      <c r="AJ1079">
        <v>67.090179282557102</v>
      </c>
      <c r="AK1079">
        <v>7.18912783908723</v>
      </c>
      <c r="AL1079">
        <v>88.749484454130496</v>
      </c>
      <c r="AM1079">
        <v>82.300582282425793</v>
      </c>
      <c r="AN1079">
        <v>0.99999996035207095</v>
      </c>
    </row>
    <row r="1080" spans="1:40" x14ac:dyDescent="0.25">
      <c r="A1080" t="str">
        <f>"20190312154233588"</f>
        <v>20190312154233588</v>
      </c>
      <c r="B1080" t="str">
        <f>"1552376553577866"</f>
        <v>1552376553577866</v>
      </c>
      <c r="C1080" t="s">
        <v>40</v>
      </c>
      <c r="D1080">
        <v>4.9948560000000004</v>
      </c>
      <c r="E1080">
        <v>0.6026878</v>
      </c>
      <c r="F1080" t="s">
        <v>47</v>
      </c>
      <c r="G1080">
        <v>-202.3553</v>
      </c>
      <c r="H1080" s="1">
        <v>-3.233799E-6</v>
      </c>
      <c r="I1080">
        <v>362.35629999999998</v>
      </c>
      <c r="J1080">
        <v>-208.33779999999999</v>
      </c>
      <c r="K1080">
        <v>1.1056429999999999</v>
      </c>
      <c r="L1080">
        <v>366.68130000000002</v>
      </c>
      <c r="M1080">
        <v>0.9744332</v>
      </c>
      <c r="N1080">
        <v>0</v>
      </c>
      <c r="O1080">
        <v>-0.22422159999999999</v>
      </c>
      <c r="P1080">
        <v>0.93610139999999997</v>
      </c>
      <c r="Q1080">
        <v>9.8385409999999993E-3</v>
      </c>
      <c r="R1080">
        <v>-0.3515933</v>
      </c>
      <c r="S1080">
        <v>2.537598</v>
      </c>
      <c r="T1080">
        <v>-0.45457740000000002</v>
      </c>
      <c r="U1080">
        <v>-1.797974</v>
      </c>
      <c r="V1080">
        <v>0.13300190000000001</v>
      </c>
      <c r="W1080">
        <v>2.2427889999999999E-2</v>
      </c>
      <c r="X1080">
        <v>0.99086200000000002</v>
      </c>
      <c r="Y1080">
        <v>0.3788184</v>
      </c>
      <c r="Z1080">
        <v>4.7278349999999997E-3</v>
      </c>
      <c r="AA1080">
        <v>0.92545900000000003</v>
      </c>
      <c r="AB1080">
        <v>26</v>
      </c>
      <c r="AC1080">
        <v>5.9824999999999804</v>
      </c>
      <c r="AD1080">
        <v>-1.1056462337989901</v>
      </c>
      <c r="AE1080">
        <v>-4.3250000000000401</v>
      </c>
      <c r="AF1080">
        <v>2.8102717801205501</v>
      </c>
      <c r="AG1080">
        <v>-1.1056462337989901</v>
      </c>
      <c r="AH1080">
        <v>6.6508096898243299</v>
      </c>
      <c r="AI1080">
        <v>98.706238116886695</v>
      </c>
      <c r="AJ1080">
        <v>67.093714982968194</v>
      </c>
      <c r="AK1080">
        <v>7.3043377935797196</v>
      </c>
      <c r="AL1080">
        <v>88.714868817246497</v>
      </c>
      <c r="AM1080">
        <v>82.354970298035596</v>
      </c>
      <c r="AN1080">
        <v>1.00000000934873</v>
      </c>
    </row>
    <row r="1081" spans="1:40" x14ac:dyDescent="0.25">
      <c r="A1081" t="str">
        <f>"20190312154233601"</f>
        <v>20190312154233601</v>
      </c>
      <c r="B1081" t="str">
        <f>"1552376553588602"</f>
        <v>1552376553588602</v>
      </c>
      <c r="C1081" t="s">
        <v>40</v>
      </c>
      <c r="D1081">
        <v>5.0318719999999999</v>
      </c>
      <c r="E1081">
        <v>0.60269859999999997</v>
      </c>
      <c r="F1081" t="s">
        <v>47</v>
      </c>
      <c r="G1081">
        <v>-202.06909999999999</v>
      </c>
      <c r="H1081" s="1">
        <v>-3.1256799999999999E-6</v>
      </c>
      <c r="I1081">
        <v>362.19420000000002</v>
      </c>
      <c r="J1081">
        <v>-208.19739999999999</v>
      </c>
      <c r="K1081">
        <v>1.1055820000000001</v>
      </c>
      <c r="L1081">
        <v>366.64460000000003</v>
      </c>
      <c r="M1081">
        <v>0.9735317</v>
      </c>
      <c r="N1081">
        <v>0</v>
      </c>
      <c r="O1081">
        <v>-0.22810269999999999</v>
      </c>
      <c r="P1081">
        <v>0.93469669999999905</v>
      </c>
      <c r="Q1081">
        <v>1.025857E-2</v>
      </c>
      <c r="R1081">
        <v>-0.35529870000000002</v>
      </c>
      <c r="S1081">
        <v>2.5294340000000002</v>
      </c>
      <c r="T1081">
        <v>-0.4461272</v>
      </c>
      <c r="U1081">
        <v>-1.8105469999999999</v>
      </c>
      <c r="V1081">
        <v>0.132988299999999</v>
      </c>
      <c r="W1081">
        <v>2.2835959999999999E-2</v>
      </c>
      <c r="X1081">
        <v>0.99085449999999997</v>
      </c>
      <c r="Y1081">
        <v>0.3796757</v>
      </c>
      <c r="Z1081">
        <v>5.1521580000000004E-3</v>
      </c>
      <c r="AA1081">
        <v>0.92510530000000002</v>
      </c>
      <c r="AB1081">
        <v>26</v>
      </c>
      <c r="AC1081">
        <v>6.1282999999999896</v>
      </c>
      <c r="AD1081">
        <v>-1.10558512567999</v>
      </c>
      <c r="AE1081">
        <v>-4.4504000000000001</v>
      </c>
      <c r="AF1081">
        <v>2.8737878361506</v>
      </c>
      <c r="AG1081">
        <v>-1.10558512567999</v>
      </c>
      <c r="AH1081">
        <v>6.8362858075423096</v>
      </c>
      <c r="AI1081">
        <v>98.479538950280201</v>
      </c>
      <c r="AJ1081">
        <v>67.199445197348098</v>
      </c>
      <c r="AK1081">
        <v>7.4977182288837998</v>
      </c>
      <c r="AL1081">
        <v>88.691482132183594</v>
      </c>
      <c r="AM1081">
        <v>82.355685613151394</v>
      </c>
      <c r="AN1081">
        <v>1.0000000045881301</v>
      </c>
    </row>
    <row r="1082" spans="1:40" x14ac:dyDescent="0.25">
      <c r="A1082" t="str">
        <f>"20190312154233613"</f>
        <v>20190312154233613</v>
      </c>
      <c r="B1082" t="str">
        <f>"1552376553608122"</f>
        <v>1552376553608122</v>
      </c>
      <c r="C1082" t="s">
        <v>40</v>
      </c>
      <c r="D1082">
        <v>5.034808</v>
      </c>
      <c r="E1082">
        <v>0.60272000000000003</v>
      </c>
      <c r="F1082" t="s">
        <v>47</v>
      </c>
      <c r="G1082">
        <v>-201.9342</v>
      </c>
      <c r="H1082" s="1">
        <v>-3.073336E-6</v>
      </c>
      <c r="I1082">
        <v>362.12430000000001</v>
      </c>
      <c r="J1082">
        <v>-208.06120000000001</v>
      </c>
      <c r="K1082">
        <v>1.1055269999999999</v>
      </c>
      <c r="L1082">
        <v>366.60860000000002</v>
      </c>
      <c r="M1082">
        <v>0.972634</v>
      </c>
      <c r="N1082">
        <v>0</v>
      </c>
      <c r="O1082">
        <v>-0.231901</v>
      </c>
      <c r="P1082">
        <v>0.93345359999999999</v>
      </c>
      <c r="Q1082">
        <v>1.066422E-2</v>
      </c>
      <c r="R1082">
        <v>-0.35854029999999998</v>
      </c>
      <c r="S1082">
        <v>2.5224299999999999</v>
      </c>
      <c r="T1082">
        <v>-0.44526789999999999</v>
      </c>
      <c r="U1082">
        <v>-1.8205260000000001</v>
      </c>
      <c r="V1082">
        <v>0.13256870000000001</v>
      </c>
      <c r="W1082">
        <v>2.323544E-2</v>
      </c>
      <c r="X1082">
        <v>0.99090140000000004</v>
      </c>
      <c r="Y1082">
        <v>0.37973249999999997</v>
      </c>
      <c r="Z1082">
        <v>5.703863E-3</v>
      </c>
      <c r="AA1082">
        <v>0.92507870000000003</v>
      </c>
      <c r="AB1082">
        <v>26</v>
      </c>
      <c r="AC1082">
        <v>6.1269999999999998</v>
      </c>
      <c r="AD1082">
        <v>-1.1055300733360001</v>
      </c>
      <c r="AE1082">
        <v>-4.4843000000000099</v>
      </c>
      <c r="AF1082">
        <v>2.87996956116341</v>
      </c>
      <c r="AG1082">
        <v>-1.1055300733360001</v>
      </c>
      <c r="AH1082">
        <v>6.8546371744718604</v>
      </c>
      <c r="AI1082">
        <v>98.457416718198402</v>
      </c>
      <c r="AJ1082">
        <v>67.210333397602994</v>
      </c>
      <c r="AK1082">
        <v>7.5168126363459198</v>
      </c>
      <c r="AL1082">
        <v>88.668587486454797</v>
      </c>
      <c r="AM1082">
        <v>82.379877254438696</v>
      </c>
      <c r="AN1082">
        <v>0.999999965206821</v>
      </c>
    </row>
    <row r="1083" spans="1:40" x14ac:dyDescent="0.25">
      <c r="A1083" t="str">
        <f>"20190312154233624"</f>
        <v>20190312154233624</v>
      </c>
      <c r="B1083" t="str">
        <f>"1552376553618858"</f>
        <v>1552376553618858</v>
      </c>
      <c r="C1083" t="s">
        <v>40</v>
      </c>
      <c r="D1083">
        <v>4.9947629999999998</v>
      </c>
      <c r="E1083">
        <v>0.60263599999999995</v>
      </c>
      <c r="F1083" t="s">
        <v>47</v>
      </c>
      <c r="G1083">
        <v>-201.93729999999999</v>
      </c>
      <c r="H1083" s="1">
        <v>-3.067453E-6</v>
      </c>
      <c r="I1083">
        <v>362.15769999999998</v>
      </c>
      <c r="J1083">
        <v>-207.92789999999999</v>
      </c>
      <c r="K1083">
        <v>1.10547</v>
      </c>
      <c r="L1083">
        <v>366.5727</v>
      </c>
      <c r="M1083">
        <v>0.9717287</v>
      </c>
      <c r="N1083">
        <v>0</v>
      </c>
      <c r="O1083">
        <v>-0.2356644</v>
      </c>
      <c r="P1083">
        <v>0.93214509999999995</v>
      </c>
      <c r="Q1083">
        <v>1.107554E-2</v>
      </c>
      <c r="R1083">
        <v>-0.36191600000000002</v>
      </c>
      <c r="S1083">
        <v>2.5165250000000001</v>
      </c>
      <c r="T1083">
        <v>-0.45429520000000001</v>
      </c>
      <c r="U1083">
        <v>-1.82901</v>
      </c>
      <c r="V1083">
        <v>0.13232839999999901</v>
      </c>
      <c r="W1083">
        <v>2.3638739999999998E-2</v>
      </c>
      <c r="X1083">
        <v>0.99092400000000003</v>
      </c>
      <c r="Y1083">
        <v>0.37920789999999999</v>
      </c>
      <c r="Z1083">
        <v>6.4321369999999897E-3</v>
      </c>
      <c r="AA1083">
        <v>0.92528920000000003</v>
      </c>
      <c r="AB1083">
        <v>26</v>
      </c>
      <c r="AC1083">
        <v>5.9905999999999997</v>
      </c>
      <c r="AD1083">
        <v>-1.105473067453</v>
      </c>
      <c r="AE1083">
        <v>-4.4150000000000196</v>
      </c>
      <c r="AF1083">
        <v>2.81655359035671</v>
      </c>
      <c r="AG1083">
        <v>-1.105473067453</v>
      </c>
      <c r="AH1083">
        <v>6.7142374413060901</v>
      </c>
      <c r="AI1083">
        <v>98.633193071292197</v>
      </c>
      <c r="AJ1083">
        <v>67.242451600292895</v>
      </c>
      <c r="AK1083">
        <v>7.3645114738488804</v>
      </c>
      <c r="AL1083">
        <v>88.645473774896502</v>
      </c>
      <c r="AM1083">
        <v>82.393699414165098</v>
      </c>
      <c r="AN1083">
        <v>0.99999998462567297</v>
      </c>
    </row>
    <row r="1084" spans="1:40" x14ac:dyDescent="0.25">
      <c r="A1084" t="str">
        <f>"20190312154233638"</f>
        <v>20190312154233638</v>
      </c>
      <c r="B1084" t="str">
        <f>"1552376553628617"</f>
        <v>1552376553628617</v>
      </c>
      <c r="C1084" t="s">
        <v>40</v>
      </c>
      <c r="D1084">
        <v>5.020143</v>
      </c>
      <c r="E1084">
        <v>0.60238719999999901</v>
      </c>
      <c r="F1084" t="s">
        <v>47</v>
      </c>
      <c r="G1084">
        <v>-201.91579999999999</v>
      </c>
      <c r="H1084" s="1">
        <v>-3.0531750000000002E-6</v>
      </c>
      <c r="I1084">
        <v>362.17329999999998</v>
      </c>
      <c r="J1084">
        <v>-207.78389999999999</v>
      </c>
      <c r="K1084">
        <v>1.1054029999999999</v>
      </c>
      <c r="L1084">
        <v>366.53309999999999</v>
      </c>
      <c r="M1084">
        <v>0.9707131</v>
      </c>
      <c r="N1084">
        <v>0</v>
      </c>
      <c r="O1084">
        <v>-0.239813</v>
      </c>
      <c r="P1084">
        <v>0.93058169999999996</v>
      </c>
      <c r="Q1084">
        <v>1.133845E-2</v>
      </c>
      <c r="R1084">
        <v>-0.36590899999999998</v>
      </c>
      <c r="S1084">
        <v>2.5105740000000001</v>
      </c>
      <c r="T1084">
        <v>-0.46162550000000002</v>
      </c>
      <c r="U1084">
        <v>-1.8371280000000001</v>
      </c>
      <c r="V1084">
        <v>0.13235250000000001</v>
      </c>
      <c r="W1084">
        <v>2.3888050000000001E-2</v>
      </c>
      <c r="X1084">
        <v>0.99091479999999998</v>
      </c>
      <c r="Y1084">
        <v>0.37825429999999999</v>
      </c>
      <c r="Z1084">
        <v>7.2532669999999999E-3</v>
      </c>
      <c r="AA1084">
        <v>0.92567330000000003</v>
      </c>
      <c r="AB1084">
        <v>26</v>
      </c>
      <c r="AC1084">
        <v>5.8680999999999903</v>
      </c>
      <c r="AD1084">
        <v>-1.1054060531749901</v>
      </c>
      <c r="AE1084">
        <v>-4.3597999999999999</v>
      </c>
      <c r="AF1084">
        <v>2.7620077520903701</v>
      </c>
      <c r="AG1084">
        <v>-1.1054060531749901</v>
      </c>
      <c r="AH1084">
        <v>6.5917564236107902</v>
      </c>
      <c r="AI1084">
        <v>98.792080040377499</v>
      </c>
      <c r="AJ1084">
        <v>67.265858964590507</v>
      </c>
      <c r="AK1084">
        <v>7.2320026350394304</v>
      </c>
      <c r="AL1084">
        <v>88.631185325382503</v>
      </c>
      <c r="AM1084">
        <v>82.392260552581007</v>
      </c>
      <c r="AN1084">
        <v>0.99999998202404605</v>
      </c>
    </row>
    <row r="1085" spans="1:40" x14ac:dyDescent="0.25">
      <c r="A1085" t="str">
        <f>"20190312154233649"</f>
        <v>20190312154233649</v>
      </c>
      <c r="B1085" t="str">
        <f>"1552376553638379"</f>
        <v>1552376553638379</v>
      </c>
      <c r="C1085" t="s">
        <v>40</v>
      </c>
      <c r="D1085">
        <v>5.0266769999999896</v>
      </c>
      <c r="E1085">
        <v>0.60237399999999997</v>
      </c>
      <c r="F1085" t="s">
        <v>47</v>
      </c>
      <c r="G1085">
        <v>-201.78479999999999</v>
      </c>
      <c r="H1085" s="1">
        <v>-3.0017119999999999E-6</v>
      </c>
      <c r="I1085">
        <v>362.10820000000001</v>
      </c>
      <c r="J1085">
        <v>-207.66229999999999</v>
      </c>
      <c r="K1085">
        <v>1.105335</v>
      </c>
      <c r="L1085">
        <v>366.49939999999998</v>
      </c>
      <c r="M1085">
        <v>0.96983430000000004</v>
      </c>
      <c r="N1085">
        <v>0</v>
      </c>
      <c r="O1085">
        <v>-0.2433427</v>
      </c>
      <c r="P1085">
        <v>0.92927300000000002</v>
      </c>
      <c r="Q1085">
        <v>1.1587409999999999E-2</v>
      </c>
      <c r="R1085">
        <v>-0.36921209999999999</v>
      </c>
      <c r="S1085">
        <v>2.503387</v>
      </c>
      <c r="T1085">
        <v>-0.46127950000000001</v>
      </c>
      <c r="U1085">
        <v>-1.8464659999999999</v>
      </c>
      <c r="V1085">
        <v>0.13227510000000001</v>
      </c>
      <c r="W1085">
        <v>2.4125919999999999E-2</v>
      </c>
      <c r="X1085">
        <v>0.99091940000000001</v>
      </c>
      <c r="Y1085">
        <v>0.37842880000000001</v>
      </c>
      <c r="Z1085">
        <v>7.7804889999999998E-3</v>
      </c>
      <c r="AA1085">
        <v>0.92559769999999997</v>
      </c>
      <c r="AB1085">
        <v>26</v>
      </c>
      <c r="AC1085">
        <v>5.8774999999999897</v>
      </c>
      <c r="AD1085">
        <v>-1.105338001712</v>
      </c>
      <c r="AE1085">
        <v>-4.3911999999999596</v>
      </c>
      <c r="AF1085">
        <v>2.7659984656182099</v>
      </c>
      <c r="AG1085">
        <v>-1.105338001712</v>
      </c>
      <c r="AH1085">
        <v>6.61922189921982</v>
      </c>
      <c r="AI1085">
        <v>98.759121199075494</v>
      </c>
      <c r="AJ1085">
        <v>67.321234926673995</v>
      </c>
      <c r="AK1085">
        <v>7.2585548259238397</v>
      </c>
      <c r="AL1085">
        <v>88.617552487174706</v>
      </c>
      <c r="AM1085">
        <v>82.396692393072001</v>
      </c>
      <c r="AN1085">
        <v>1.0000000096960999</v>
      </c>
    </row>
    <row r="1086" spans="1:40" x14ac:dyDescent="0.25">
      <c r="A1086" t="str">
        <f>"20190312154233660"</f>
        <v>20190312154233660</v>
      </c>
      <c r="B1086" t="str">
        <f>"1552376553648137"</f>
        <v>1552376553648137</v>
      </c>
      <c r="C1086" t="s">
        <v>40</v>
      </c>
      <c r="D1086">
        <v>4.989344</v>
      </c>
      <c r="E1086">
        <v>0.60239319999999996</v>
      </c>
      <c r="F1086" t="s">
        <v>47</v>
      </c>
      <c r="G1086">
        <v>-201.6515</v>
      </c>
      <c r="H1086" s="1">
        <v>-2.9511520000000002E-6</v>
      </c>
      <c r="I1086">
        <v>362.03370000000001</v>
      </c>
      <c r="J1086">
        <v>-207.5284</v>
      </c>
      <c r="K1086">
        <v>1.105261</v>
      </c>
      <c r="L1086">
        <v>366.46120000000002</v>
      </c>
      <c r="M1086">
        <v>0.96882500000000005</v>
      </c>
      <c r="N1086">
        <v>0</v>
      </c>
      <c r="O1086">
        <v>-0.24732999999999999</v>
      </c>
      <c r="P1086">
        <v>0.92776499999999995</v>
      </c>
      <c r="Q1086">
        <v>1.1814389999999999E-2</v>
      </c>
      <c r="R1086">
        <v>-0.3729789</v>
      </c>
      <c r="S1086">
        <v>2.4969939999999999</v>
      </c>
      <c r="T1086">
        <v>-0.45917629999999998</v>
      </c>
      <c r="U1086">
        <v>-1.8551329999999999</v>
      </c>
      <c r="V1086">
        <v>0.13222690000000001</v>
      </c>
      <c r="W1086">
        <v>2.4339010000000001E-2</v>
      </c>
      <c r="X1086">
        <v>0.99092060000000004</v>
      </c>
      <c r="Y1086">
        <v>0.3778859</v>
      </c>
      <c r="Z1086">
        <v>8.4031000000000002E-3</v>
      </c>
      <c r="AA1086">
        <v>0.92581400000000003</v>
      </c>
      <c r="AB1086">
        <v>26</v>
      </c>
      <c r="AC1086">
        <v>5.8769</v>
      </c>
      <c r="AD1086">
        <v>-1.1052639511519999</v>
      </c>
      <c r="AE1086">
        <v>-4.4275000000000002</v>
      </c>
      <c r="AF1086">
        <v>2.77364771339436</v>
      </c>
      <c r="AG1086">
        <v>-1.1052639511519999</v>
      </c>
      <c r="AH1086">
        <v>6.6396267638439399</v>
      </c>
      <c r="AI1086">
        <v>98.732446412327405</v>
      </c>
      <c r="AJ1086">
        <v>67.3276811299164</v>
      </c>
      <c r="AK1086">
        <v>7.28006686802303</v>
      </c>
      <c r="AL1086">
        <v>88.605339713082202</v>
      </c>
      <c r="AM1086">
        <v>82.399439679991303</v>
      </c>
      <c r="AN1086">
        <v>0.99999998799787404</v>
      </c>
    </row>
    <row r="1087" spans="1:40" x14ac:dyDescent="0.25">
      <c r="A1087" t="str">
        <f>"20190312154233672"</f>
        <v>20190312154233672</v>
      </c>
      <c r="B1087" t="str">
        <f>"1552376553657898"</f>
        <v>1552376553657898</v>
      </c>
      <c r="C1087" t="s">
        <v>40</v>
      </c>
      <c r="D1087">
        <v>5.0206540000000004</v>
      </c>
      <c r="E1087">
        <v>0.60238519999999995</v>
      </c>
      <c r="F1087" t="s">
        <v>47</v>
      </c>
      <c r="G1087">
        <v>-201.59960000000001</v>
      </c>
      <c r="H1087" s="1">
        <v>-2.9283349999999999E-6</v>
      </c>
      <c r="I1087">
        <v>362.0188</v>
      </c>
      <c r="J1087">
        <v>-207.40180000000001</v>
      </c>
      <c r="K1087">
        <v>1.1051899999999999</v>
      </c>
      <c r="L1087">
        <v>366.4248</v>
      </c>
      <c r="M1087">
        <v>0.96784510000000001</v>
      </c>
      <c r="N1087">
        <v>0</v>
      </c>
      <c r="O1087">
        <v>-0.25113649999999998</v>
      </c>
      <c r="P1087">
        <v>0.92614510000000005</v>
      </c>
      <c r="Q1087">
        <v>1.1961370000000001E-2</v>
      </c>
      <c r="R1087">
        <v>-0.37697789999999998</v>
      </c>
      <c r="S1087">
        <v>2.489563</v>
      </c>
      <c r="T1087">
        <v>-0.4641111</v>
      </c>
      <c r="U1087">
        <v>-1.8654170000000001</v>
      </c>
      <c r="V1087">
        <v>0.1326135</v>
      </c>
      <c r="W1087">
        <v>2.446628E-2</v>
      </c>
      <c r="X1087">
        <v>0.99086580000000002</v>
      </c>
      <c r="Y1087">
        <v>0.37803029999999999</v>
      </c>
      <c r="Z1087">
        <v>9.0734869999999999E-3</v>
      </c>
      <c r="AA1087">
        <v>0.92574880000000004</v>
      </c>
      <c r="AB1087">
        <v>26</v>
      </c>
      <c r="AC1087">
        <v>5.8021999999999903</v>
      </c>
      <c r="AD1087">
        <v>-1.1051929283349999</v>
      </c>
      <c r="AE1087">
        <v>-4.4059999999999997</v>
      </c>
      <c r="AF1087">
        <v>2.7443180684523298</v>
      </c>
      <c r="AG1087">
        <v>-1.1051929283349999</v>
      </c>
      <c r="AH1087">
        <v>6.5716045532863401</v>
      </c>
      <c r="AI1087">
        <v>98.821292267523603</v>
      </c>
      <c r="AJ1087">
        <v>67.334465918027306</v>
      </c>
      <c r="AK1087">
        <v>7.2068522584030603</v>
      </c>
      <c r="AL1087">
        <v>88.598045504791401</v>
      </c>
      <c r="AM1087">
        <v>82.3770617511029</v>
      </c>
      <c r="AN1087">
        <v>0.99999998642446397</v>
      </c>
    </row>
    <row r="1088" spans="1:40" x14ac:dyDescent="0.25">
      <c r="A1088" t="str">
        <f>"20190312154233684"</f>
        <v>20190312154233684</v>
      </c>
      <c r="B1088" t="str">
        <f>"1552376553678393"</f>
        <v>1552376553678393</v>
      </c>
      <c r="C1088" t="s">
        <v>40</v>
      </c>
      <c r="D1088">
        <v>4.9879360000000004</v>
      </c>
      <c r="E1088">
        <v>0.60225869999999904</v>
      </c>
      <c r="F1088" t="s">
        <v>47</v>
      </c>
      <c r="G1088">
        <v>-201.5523</v>
      </c>
      <c r="H1088" s="1">
        <v>-2.9080400000000002E-6</v>
      </c>
      <c r="I1088">
        <v>362.00299999999999</v>
      </c>
      <c r="J1088">
        <v>-207.2654</v>
      </c>
      <c r="K1088">
        <v>1.105105</v>
      </c>
      <c r="L1088">
        <v>366.38470000000001</v>
      </c>
      <c r="M1088">
        <v>0.96675290000000003</v>
      </c>
      <c r="N1088">
        <v>0</v>
      </c>
      <c r="O1088">
        <v>-0.25530730000000001</v>
      </c>
      <c r="P1088">
        <v>0.92432119999999995</v>
      </c>
      <c r="Q1088">
        <v>1.223723E-2</v>
      </c>
      <c r="R1088">
        <v>-0.38141969999999997</v>
      </c>
      <c r="S1088">
        <v>2.4817049999999998</v>
      </c>
      <c r="T1088">
        <v>-0.46888960000000002</v>
      </c>
      <c r="U1088">
        <v>-1.875977</v>
      </c>
      <c r="V1088">
        <v>0.1331077</v>
      </c>
      <c r="W1088">
        <v>2.471893E-2</v>
      </c>
      <c r="X1088">
        <v>0.99079329999999999</v>
      </c>
      <c r="Y1088">
        <v>0.37797160000000002</v>
      </c>
      <c r="Z1088">
        <v>9.8275489999999997E-3</v>
      </c>
      <c r="AA1088">
        <v>0.92576499999999995</v>
      </c>
      <c r="AB1088">
        <v>26</v>
      </c>
      <c r="AC1088">
        <v>5.7130999999999901</v>
      </c>
      <c r="AD1088">
        <v>-1.1051079080399999</v>
      </c>
      <c r="AE1088">
        <v>-4.3816999999999604</v>
      </c>
      <c r="AF1088">
        <v>2.71377901654937</v>
      </c>
      <c r="AG1088">
        <v>-1.1051079080399999</v>
      </c>
      <c r="AH1088">
        <v>6.4896351256743996</v>
      </c>
      <c r="AI1088">
        <v>98.928473446881299</v>
      </c>
      <c r="AJ1088">
        <v>67.306719058038695</v>
      </c>
      <c r="AK1088">
        <v>7.1204792046226197</v>
      </c>
      <c r="AL1088">
        <v>88.583565400103893</v>
      </c>
      <c r="AM1088">
        <v>82.348436634228605</v>
      </c>
      <c r="AN1088">
        <v>1.00000002431226</v>
      </c>
    </row>
    <row r="1089" spans="1:40" x14ac:dyDescent="0.25">
      <c r="A1089" t="str">
        <f>"20190312154233695"</f>
        <v>20190312154233695</v>
      </c>
      <c r="B1089" t="str">
        <f>"1552376553688154"</f>
        <v>1552376553688154</v>
      </c>
      <c r="C1089" t="s">
        <v>40</v>
      </c>
      <c r="D1089">
        <v>4.9964259999999996</v>
      </c>
      <c r="E1089">
        <v>0.60218640000000001</v>
      </c>
      <c r="F1089" t="s">
        <v>47</v>
      </c>
      <c r="G1089">
        <v>-201.52549999999999</v>
      </c>
      <c r="H1089" s="1">
        <v>-2.8941080000000002E-6</v>
      </c>
      <c r="I1089">
        <v>362.00510000000003</v>
      </c>
      <c r="J1089">
        <v>-207.14070000000001</v>
      </c>
      <c r="K1089">
        <v>1.1050249999999999</v>
      </c>
      <c r="L1089">
        <v>366.34739999999999</v>
      </c>
      <c r="M1089">
        <v>0.96571799999999997</v>
      </c>
      <c r="N1089">
        <v>0</v>
      </c>
      <c r="O1089">
        <v>-0.25919399999999998</v>
      </c>
      <c r="P1089">
        <v>0.92267010000000005</v>
      </c>
      <c r="Q1089">
        <v>1.273671E-2</v>
      </c>
      <c r="R1089">
        <v>-0.38538050000000001</v>
      </c>
      <c r="S1089">
        <v>2.4732059999999998</v>
      </c>
      <c r="T1089">
        <v>-0.47617019999999999</v>
      </c>
      <c r="U1089">
        <v>-1.8871150000000001</v>
      </c>
      <c r="V1089">
        <v>0.133385</v>
      </c>
      <c r="W1089">
        <v>2.5199909999999999E-2</v>
      </c>
      <c r="X1089">
        <v>0.99074390000000001</v>
      </c>
      <c r="Y1089">
        <v>0.37841140000000001</v>
      </c>
      <c r="Z1089">
        <v>1.0564479999999999E-2</v>
      </c>
      <c r="AA1089">
        <v>0.92557719999999999</v>
      </c>
      <c r="AB1089">
        <v>26</v>
      </c>
      <c r="AC1089">
        <v>5.6152000000000104</v>
      </c>
      <c r="AD1089">
        <v>-1.1050278941079901</v>
      </c>
      <c r="AE1089">
        <v>-4.3422999999999599</v>
      </c>
      <c r="AF1089">
        <v>2.6735034979928498</v>
      </c>
      <c r="AG1089">
        <v>-1.1050278941079901</v>
      </c>
      <c r="AH1089">
        <v>6.3939220817191398</v>
      </c>
      <c r="AI1089">
        <v>99.059405716953407</v>
      </c>
      <c r="AJ1089">
        <v>67.308634071870301</v>
      </c>
      <c r="AK1089">
        <v>7.0179019078092297</v>
      </c>
      <c r="AL1089">
        <v>88.555998703255696</v>
      </c>
      <c r="AM1089">
        <v>82.3323079942558</v>
      </c>
      <c r="AN1089">
        <v>1.0000000345380999</v>
      </c>
    </row>
    <row r="1090" spans="1:40" x14ac:dyDescent="0.25">
      <c r="A1090" t="str">
        <f>"20190312154233707"</f>
        <v>20190312154233707</v>
      </c>
      <c r="B1090" t="str">
        <f>"1552376553697913"</f>
        <v>1552376553697913</v>
      </c>
      <c r="C1090" t="s">
        <v>40</v>
      </c>
      <c r="D1090">
        <v>5.018332</v>
      </c>
      <c r="E1090">
        <v>0.60214899999999905</v>
      </c>
      <c r="F1090" t="s">
        <v>47</v>
      </c>
      <c r="G1090">
        <v>-201.435</v>
      </c>
      <c r="H1090" s="1">
        <v>-2.859297E-6</v>
      </c>
      <c r="I1090">
        <v>361.95650000000001</v>
      </c>
      <c r="J1090">
        <v>-207.00139999999999</v>
      </c>
      <c r="K1090">
        <v>1.104935</v>
      </c>
      <c r="L1090">
        <v>366.30540000000002</v>
      </c>
      <c r="M1090">
        <v>0.96453169999999999</v>
      </c>
      <c r="N1090">
        <v>0</v>
      </c>
      <c r="O1090">
        <v>-0.26357390000000003</v>
      </c>
      <c r="P1090">
        <v>0.92053940000000001</v>
      </c>
      <c r="Q1090">
        <v>1.282525E-2</v>
      </c>
      <c r="R1090">
        <v>-0.3904396</v>
      </c>
      <c r="S1090">
        <v>2.4655459999999998</v>
      </c>
      <c r="T1090">
        <v>-0.47749849999999999</v>
      </c>
      <c r="U1090">
        <v>-1.8974</v>
      </c>
      <c r="V1090">
        <v>0.13433490000000001</v>
      </c>
      <c r="W1090">
        <v>2.525759E-2</v>
      </c>
      <c r="X1090">
        <v>0.99061410000000005</v>
      </c>
      <c r="Y1090">
        <v>0.37806980000000001</v>
      </c>
      <c r="Z1090">
        <v>1.1324910000000001E-2</v>
      </c>
      <c r="AA1090">
        <v>0.92570779999999997</v>
      </c>
      <c r="AB1090">
        <v>26</v>
      </c>
      <c r="AC1090">
        <v>5.5663999999999803</v>
      </c>
      <c r="AD1090">
        <v>-1.1049378592970001</v>
      </c>
      <c r="AE1090">
        <v>-4.3489000000000102</v>
      </c>
      <c r="AF1090">
        <v>2.6626283914614302</v>
      </c>
      <c r="AG1090">
        <v>-1.1049378592970001</v>
      </c>
      <c r="AH1090">
        <v>6.3602795046578704</v>
      </c>
      <c r="AI1090">
        <v>99.104195127307506</v>
      </c>
      <c r="AJ1090">
        <v>67.284163404870199</v>
      </c>
      <c r="AK1090">
        <v>6.9830962331400901</v>
      </c>
      <c r="AL1090">
        <v>88.552692857526594</v>
      </c>
      <c r="AM1090">
        <v>82.277359537974505</v>
      </c>
      <c r="AN1090">
        <v>1.00000005316471</v>
      </c>
    </row>
    <row r="1091" spans="1:40" x14ac:dyDescent="0.25">
      <c r="A1091" t="str">
        <f>"20190312154233723"</f>
        <v>20190312154233723</v>
      </c>
      <c r="B1091" t="str">
        <f>"1552376553718423"</f>
        <v>1552376553718423</v>
      </c>
      <c r="C1091" t="s">
        <v>40</v>
      </c>
      <c r="D1091">
        <v>4.9805349999999997</v>
      </c>
      <c r="E1091">
        <v>0.60202219999999995</v>
      </c>
      <c r="F1091" t="s">
        <v>47</v>
      </c>
      <c r="G1091">
        <v>-201.35730000000001</v>
      </c>
      <c r="H1091" s="1">
        <v>-2.829777E-6</v>
      </c>
      <c r="I1091">
        <v>361.91329999999999</v>
      </c>
      <c r="J1091">
        <v>-206.8313</v>
      </c>
      <c r="K1091">
        <v>1.1048230000000001</v>
      </c>
      <c r="L1091">
        <v>366.2525</v>
      </c>
      <c r="M1091">
        <v>0.96300920000000001</v>
      </c>
      <c r="N1091">
        <v>0</v>
      </c>
      <c r="O1091">
        <v>-0.26908189999999998</v>
      </c>
      <c r="P1091">
        <v>0.91781420000000002</v>
      </c>
      <c r="Q1091">
        <v>1.2814269999999999E-2</v>
      </c>
      <c r="R1091">
        <v>-0.39680359999999998</v>
      </c>
      <c r="S1091">
        <v>2.455276</v>
      </c>
      <c r="T1091">
        <v>-0.4806608</v>
      </c>
      <c r="U1091">
        <v>-1.910614</v>
      </c>
      <c r="V1091">
        <v>0.1355391</v>
      </c>
      <c r="W1091">
        <v>2.520706E-2</v>
      </c>
      <c r="X1091">
        <v>0.99045130000000003</v>
      </c>
      <c r="Y1091">
        <v>0.3778048</v>
      </c>
      <c r="Z1091">
        <v>1.2312719999999999E-2</v>
      </c>
      <c r="AA1091">
        <v>0.92580340000000005</v>
      </c>
      <c r="AB1091">
        <v>26</v>
      </c>
      <c r="AC1091">
        <v>5.4739999999999798</v>
      </c>
      <c r="AD1091">
        <v>-1.1048258297769999</v>
      </c>
      <c r="AE1091">
        <v>-4.3391999999999999</v>
      </c>
      <c r="AF1091">
        <v>2.6399739268817002</v>
      </c>
      <c r="AG1091">
        <v>-1.1048258297769999</v>
      </c>
      <c r="AH1091">
        <v>6.2826137683335901</v>
      </c>
      <c r="AI1091">
        <v>99.208836397229007</v>
      </c>
      <c r="AJ1091">
        <v>67.207702009992801</v>
      </c>
      <c r="AK1091">
        <v>6.90371915787515</v>
      </c>
      <c r="AL1091">
        <v>88.555588873669194</v>
      </c>
      <c r="AM1091">
        <v>82.207714149234306</v>
      </c>
      <c r="AN1091">
        <v>1.00000001058717</v>
      </c>
    </row>
    <row r="1092" spans="1:40" x14ac:dyDescent="0.25">
      <c r="A1092" t="str">
        <f>"20190312154233736"</f>
        <v>20190312154233736</v>
      </c>
      <c r="B1092" t="str">
        <f>"1552376553728169"</f>
        <v>1552376553728169</v>
      </c>
      <c r="C1092" t="s">
        <v>40</v>
      </c>
      <c r="D1092">
        <v>4.978904</v>
      </c>
      <c r="E1092">
        <v>0.60197109999999998</v>
      </c>
      <c r="F1092" t="s">
        <v>47</v>
      </c>
      <c r="G1092">
        <v>-201.27279999999999</v>
      </c>
      <c r="H1092" s="1">
        <v>-2.7978819999999999E-6</v>
      </c>
      <c r="I1092">
        <v>361.86540000000002</v>
      </c>
      <c r="J1092">
        <v>-206.68879999999999</v>
      </c>
      <c r="K1092">
        <v>1.104725</v>
      </c>
      <c r="L1092">
        <v>366.20729999999998</v>
      </c>
      <c r="M1092">
        <v>0.96168319999999996</v>
      </c>
      <c r="N1092">
        <v>0</v>
      </c>
      <c r="O1092">
        <v>-0.27378249999999998</v>
      </c>
      <c r="P1092">
        <v>0.91555620000000004</v>
      </c>
      <c r="Q1092">
        <v>1.2815409999999999E-2</v>
      </c>
      <c r="R1092">
        <v>-0.40198610000000001</v>
      </c>
      <c r="S1092">
        <v>2.4421080000000002</v>
      </c>
      <c r="T1092">
        <v>-0.4853961</v>
      </c>
      <c r="U1092">
        <v>-1.9274290000000001</v>
      </c>
      <c r="V1092">
        <v>0.13630699999999901</v>
      </c>
      <c r="W1092">
        <v>2.517846E-2</v>
      </c>
      <c r="X1092">
        <v>0.99034659999999997</v>
      </c>
      <c r="Y1092">
        <v>0.3796427</v>
      </c>
      <c r="Z1092">
        <v>1.304782E-2</v>
      </c>
      <c r="AA1092">
        <v>0.92504120000000001</v>
      </c>
      <c r="AB1092">
        <v>26</v>
      </c>
      <c r="AC1092">
        <v>5.4159999999999897</v>
      </c>
      <c r="AD1092">
        <v>-1.104727797882</v>
      </c>
      <c r="AE1092">
        <v>-4.3418999999999501</v>
      </c>
      <c r="AF1092">
        <v>2.6264840721420102</v>
      </c>
      <c r="AG1092">
        <v>-1.104727797882</v>
      </c>
      <c r="AH1092">
        <v>6.2398383423910699</v>
      </c>
      <c r="AI1092">
        <v>99.267724926042106</v>
      </c>
      <c r="AJ1092">
        <v>67.172712727461104</v>
      </c>
      <c r="AK1092">
        <v>6.8596227759114097</v>
      </c>
      <c r="AL1092">
        <v>88.557227995517806</v>
      </c>
      <c r="AM1092">
        <v>82.163295560546601</v>
      </c>
      <c r="AN1092">
        <v>0.99999997061426504</v>
      </c>
    </row>
    <row r="1093" spans="1:40" x14ac:dyDescent="0.25">
      <c r="A1093" t="str">
        <f>"20190312154233755"</f>
        <v>20190312154233755</v>
      </c>
      <c r="B1093" t="str">
        <f>"1552376553737929"</f>
        <v>1552376553737929</v>
      </c>
      <c r="C1093" t="s">
        <v>40</v>
      </c>
      <c r="D1093">
        <v>4.9709570000000003</v>
      </c>
      <c r="E1093">
        <v>0.6018133</v>
      </c>
      <c r="F1093" t="s">
        <v>47</v>
      </c>
      <c r="G1093">
        <v>-201.17769999999999</v>
      </c>
      <c r="H1093" s="1">
        <v>-2.7630309999999999E-6</v>
      </c>
      <c r="I1093">
        <v>361.80689999999998</v>
      </c>
      <c r="J1093">
        <v>-206.48490000000001</v>
      </c>
      <c r="K1093">
        <v>1.1045879999999999</v>
      </c>
      <c r="L1093">
        <v>366.14120000000003</v>
      </c>
      <c r="M1093">
        <v>0.95970509999999998</v>
      </c>
      <c r="N1093">
        <v>0</v>
      </c>
      <c r="O1093">
        <v>-0.28063709999999997</v>
      </c>
      <c r="P1093">
        <v>0.91221989999999997</v>
      </c>
      <c r="Q1093">
        <v>1.258045E-2</v>
      </c>
      <c r="R1093">
        <v>-0.40950789999999998</v>
      </c>
      <c r="S1093">
        <v>2.4311980000000002</v>
      </c>
      <c r="T1093">
        <v>-0.4873536</v>
      </c>
      <c r="U1093">
        <v>-1.941254</v>
      </c>
      <c r="V1093">
        <v>0.1373965</v>
      </c>
      <c r="W1093">
        <v>2.490293E-2</v>
      </c>
      <c r="X1093">
        <v>0.99020300000000006</v>
      </c>
      <c r="Y1093">
        <v>0.37835990000000003</v>
      </c>
      <c r="Z1093">
        <v>1.433458E-2</v>
      </c>
      <c r="AA1093">
        <v>0.92554760000000003</v>
      </c>
      <c r="AB1093">
        <v>26</v>
      </c>
      <c r="AC1093">
        <v>5.3072000000000203</v>
      </c>
      <c r="AD1093">
        <v>-1.1045907630309999</v>
      </c>
      <c r="AE1093">
        <v>-4.3343000000000398</v>
      </c>
      <c r="AF1093">
        <v>2.6028921611823299</v>
      </c>
      <c r="AG1093">
        <v>-1.1045907630309999</v>
      </c>
      <c r="AH1093">
        <v>6.1505419638854502</v>
      </c>
      <c r="AI1093">
        <v>99.391226365339506</v>
      </c>
      <c r="AJ1093">
        <v>67.062054509926696</v>
      </c>
      <c r="AK1093">
        <v>6.7693673859551904</v>
      </c>
      <c r="AL1093">
        <v>88.573019649710503</v>
      </c>
      <c r="AM1093">
        <v>82.100313410800496</v>
      </c>
      <c r="AN1093">
        <v>0.99999996767191701</v>
      </c>
    </row>
    <row r="1094" spans="1:40" x14ac:dyDescent="0.25">
      <c r="A1094" t="str">
        <f>"20190312154233769"</f>
        <v>20190312154233769</v>
      </c>
      <c r="B1094" t="str">
        <f>"1552376553758425"</f>
        <v>1552376553758425</v>
      </c>
      <c r="C1094" t="s">
        <v>40</v>
      </c>
      <c r="D1094">
        <v>5.0062470000000001</v>
      </c>
      <c r="E1094">
        <v>0.60165139999999995</v>
      </c>
      <c r="F1094" t="s">
        <v>47</v>
      </c>
      <c r="G1094">
        <v>-201.03200000000001</v>
      </c>
      <c r="H1094" s="1">
        <v>-2.7079229999999999E-6</v>
      </c>
      <c r="I1094">
        <v>361.71460000000002</v>
      </c>
      <c r="J1094">
        <v>-206.3329</v>
      </c>
      <c r="K1094">
        <v>1.1044780000000001</v>
      </c>
      <c r="L1094">
        <v>366.09109999999998</v>
      </c>
      <c r="M1094">
        <v>0.95816679999999999</v>
      </c>
      <c r="N1094">
        <v>0</v>
      </c>
      <c r="O1094">
        <v>-0.28584399999999999</v>
      </c>
      <c r="P1094">
        <v>0.90931759999999995</v>
      </c>
      <c r="Q1094">
        <v>1.257173E-2</v>
      </c>
      <c r="R1094">
        <v>-0.41591299999999998</v>
      </c>
      <c r="S1094">
        <v>2.4152680000000002</v>
      </c>
      <c r="T1094">
        <v>-0.48925809999999997</v>
      </c>
      <c r="U1094">
        <v>-1.960693</v>
      </c>
      <c r="V1094">
        <v>0.13898959999999999</v>
      </c>
      <c r="W1094">
        <v>2.485002E-2</v>
      </c>
      <c r="X1094">
        <v>0.98998200000000003</v>
      </c>
      <c r="Y1094">
        <v>0.38082890000000003</v>
      </c>
      <c r="Z1094">
        <v>1.504409E-2</v>
      </c>
      <c r="AA1094">
        <v>0.92452310000000004</v>
      </c>
      <c r="AB1094">
        <v>26</v>
      </c>
      <c r="AC1094">
        <v>5.30089999999998</v>
      </c>
      <c r="AD1094">
        <v>-1.1044807079229999</v>
      </c>
      <c r="AE1094">
        <v>-4.3764999999999601</v>
      </c>
      <c r="AF1094">
        <v>2.6110608393554902</v>
      </c>
      <c r="AG1094">
        <v>-1.1044807079229999</v>
      </c>
      <c r="AH1094">
        <v>6.1714848261562496</v>
      </c>
      <c r="AI1094">
        <v>99.359377365879695</v>
      </c>
      <c r="AJ1094">
        <v>67.067521366134898</v>
      </c>
      <c r="AK1094">
        <v>6.7915198078535299</v>
      </c>
      <c r="AL1094">
        <v>88.576052148813005</v>
      </c>
      <c r="AM1094">
        <v>82.008132901144407</v>
      </c>
      <c r="AN1094">
        <v>0.99999999636308001</v>
      </c>
    </row>
    <row r="1095" spans="1:40" x14ac:dyDescent="0.25">
      <c r="A1095" t="str">
        <f>"20190312154233789"</f>
        <v>20190312154233789</v>
      </c>
      <c r="B1095" t="str">
        <f>"1552376553778922"</f>
        <v>1552376553778922</v>
      </c>
      <c r="C1095" t="s">
        <v>40</v>
      </c>
      <c r="D1095">
        <v>5.0561999999999996</v>
      </c>
      <c r="E1095">
        <v>0.60171889999999995</v>
      </c>
      <c r="F1095" t="s">
        <v>47</v>
      </c>
      <c r="G1095">
        <v>-200.91560000000001</v>
      </c>
      <c r="H1095" s="1">
        <v>-2.6610029999999999E-6</v>
      </c>
      <c r="I1095">
        <v>361.63200000000001</v>
      </c>
      <c r="J1095">
        <v>-206.09729999999999</v>
      </c>
      <c r="K1095">
        <v>1.1043229999999999</v>
      </c>
      <c r="L1095">
        <v>366.01080000000002</v>
      </c>
      <c r="M1095">
        <v>0.9556521</v>
      </c>
      <c r="N1095">
        <v>0</v>
      </c>
      <c r="O1095">
        <v>-0.29414050000000003</v>
      </c>
      <c r="P1095">
        <v>0.90486619999999995</v>
      </c>
      <c r="Q1095">
        <v>1.166271E-2</v>
      </c>
      <c r="R1095">
        <v>-0.42553639999999998</v>
      </c>
      <c r="S1095">
        <v>2.4017179999999998</v>
      </c>
      <c r="T1095">
        <v>-0.48966549999999998</v>
      </c>
      <c r="U1095">
        <v>-1.976898</v>
      </c>
      <c r="V1095">
        <v>0.14090139999999901</v>
      </c>
      <c r="W1095">
        <v>2.388471E-2</v>
      </c>
      <c r="X1095">
        <v>0.98973549999999999</v>
      </c>
      <c r="Y1095">
        <v>0.37919940000000002</v>
      </c>
      <c r="Z1095">
        <v>1.656937E-2</v>
      </c>
      <c r="AA1095">
        <v>0.92516659999999995</v>
      </c>
      <c r="AB1095">
        <v>26</v>
      </c>
      <c r="AC1095">
        <v>5.18169999999997</v>
      </c>
      <c r="AD1095">
        <v>-1.1043256610029999</v>
      </c>
      <c r="AE1095">
        <v>-4.3788000000000604</v>
      </c>
      <c r="AF1095">
        <v>2.5920575621112101</v>
      </c>
      <c r="AG1095">
        <v>-1.1043256610029999</v>
      </c>
      <c r="AH1095">
        <v>6.0794491240501403</v>
      </c>
      <c r="AI1095">
        <v>99.486199599037604</v>
      </c>
      <c r="AJ1095">
        <v>66.908350988114805</v>
      </c>
      <c r="AK1095">
        <v>6.70059693033103</v>
      </c>
      <c r="AL1095">
        <v>88.631376802528806</v>
      </c>
      <c r="AM1095">
        <v>81.897663489810299</v>
      </c>
      <c r="AN1095">
        <v>1.00000002192699</v>
      </c>
    </row>
    <row r="1096" spans="1:40" x14ac:dyDescent="0.25">
      <c r="A1096" t="str">
        <f>"20190312154233803"</f>
        <v>20190312154233803</v>
      </c>
      <c r="B1096" t="str">
        <f>"1552376553798442"</f>
        <v>1552376553798442</v>
      </c>
      <c r="C1096" t="s">
        <v>40</v>
      </c>
      <c r="D1096">
        <v>4.9859609999999996</v>
      </c>
      <c r="E1096">
        <v>0.63391830000000005</v>
      </c>
      <c r="F1096" t="s">
        <v>47</v>
      </c>
      <c r="G1096">
        <v>-200.77709999999999</v>
      </c>
      <c r="H1096" s="1">
        <v>-2.605398E-6</v>
      </c>
      <c r="I1096">
        <v>361.53289999999998</v>
      </c>
      <c r="J1096">
        <v>-205.94929999999999</v>
      </c>
      <c r="K1096">
        <v>1.104231</v>
      </c>
      <c r="L1096">
        <v>365.959</v>
      </c>
      <c r="M1096">
        <v>0.9539955</v>
      </c>
      <c r="N1096">
        <v>0</v>
      </c>
      <c r="O1096">
        <v>-0.29946899999999999</v>
      </c>
      <c r="P1096">
        <v>0.90196259999999995</v>
      </c>
      <c r="Q1096">
        <v>1.085669E-2</v>
      </c>
      <c r="R1096">
        <v>-0.43167850000000002</v>
      </c>
      <c r="S1096">
        <v>2.379807</v>
      </c>
      <c r="T1096">
        <v>-0.49398589999999998</v>
      </c>
      <c r="U1096">
        <v>-2.0030519999999998</v>
      </c>
      <c r="V1096">
        <v>0.1420968</v>
      </c>
      <c r="W1096">
        <v>2.304428E-2</v>
      </c>
      <c r="X1096">
        <v>0.98958449999999998</v>
      </c>
      <c r="Y1096">
        <v>0.38415969999999999</v>
      </c>
      <c r="Z1096">
        <v>1.7186529999999998E-2</v>
      </c>
      <c r="AA1096">
        <v>0.92310669999999995</v>
      </c>
      <c r="AB1096">
        <v>26</v>
      </c>
      <c r="AC1096">
        <v>5.1722000000000001</v>
      </c>
      <c r="AD1096">
        <v>-1.104233605398</v>
      </c>
      <c r="AE1096">
        <v>-4.4261000000000204</v>
      </c>
      <c r="AF1096">
        <v>2.6052983680298598</v>
      </c>
      <c r="AG1096">
        <v>-1.104233605398</v>
      </c>
      <c r="AH1096">
        <v>6.0998974987808596</v>
      </c>
      <c r="AI1096">
        <v>99.451716390395703</v>
      </c>
      <c r="AJ1096">
        <v>66.872416631906503</v>
      </c>
      <c r="AK1096">
        <v>6.7242591366917299</v>
      </c>
      <c r="AL1096">
        <v>88.679543142073499</v>
      </c>
      <c r="AM1096">
        <v>81.828618071476498</v>
      </c>
      <c r="AN1096">
        <v>1.0000000110256</v>
      </c>
    </row>
    <row r="1097" spans="1:40" x14ac:dyDescent="0.25">
      <c r="A1097" t="str">
        <f>"20190312154233815"</f>
        <v>20190312154233815</v>
      </c>
      <c r="B1097" t="str">
        <f>"1552376553808202"</f>
        <v>1552376553808202</v>
      </c>
      <c r="C1097" t="s">
        <v>40</v>
      </c>
      <c r="D1097">
        <v>4.996245</v>
      </c>
      <c r="E1097">
        <v>0.64070649999999996</v>
      </c>
      <c r="F1097" t="s">
        <v>47</v>
      </c>
      <c r="G1097">
        <v>-201.4254</v>
      </c>
      <c r="H1097" s="1">
        <v>-2.9676390000000002E-6</v>
      </c>
      <c r="I1097">
        <v>361.44619999999998</v>
      </c>
      <c r="J1097">
        <v>-205.82730000000001</v>
      </c>
      <c r="K1097">
        <v>1.1041570000000001</v>
      </c>
      <c r="L1097">
        <v>365.91559999999998</v>
      </c>
      <c r="M1097">
        <v>0.95258739999999997</v>
      </c>
      <c r="N1097">
        <v>0</v>
      </c>
      <c r="O1097">
        <v>-0.30391770000000001</v>
      </c>
      <c r="P1097">
        <v>0.8994856</v>
      </c>
      <c r="Q1097">
        <v>1.039881E-2</v>
      </c>
      <c r="R1097">
        <v>-0.43682720000000003</v>
      </c>
      <c r="S1097">
        <v>2.255722</v>
      </c>
      <c r="T1097">
        <v>-0.55060540000000002</v>
      </c>
      <c r="U1097">
        <v>-2.2502140000000002</v>
      </c>
      <c r="V1097">
        <v>0.14313090000000001</v>
      </c>
      <c r="W1097">
        <v>2.255851E-2</v>
      </c>
      <c r="X1097">
        <v>0.98944659999999995</v>
      </c>
      <c r="Y1097">
        <v>0.45543210000000001</v>
      </c>
      <c r="Z1097">
        <v>1.276455E-2</v>
      </c>
      <c r="AA1097">
        <v>0.89017900000000005</v>
      </c>
      <c r="AB1097">
        <v>26</v>
      </c>
      <c r="AC1097">
        <v>4.4019000000000101</v>
      </c>
      <c r="AD1097">
        <v>-1.1041599676389999</v>
      </c>
      <c r="AE1097">
        <v>-4.4694000000000003</v>
      </c>
      <c r="AF1097">
        <v>2.8322418227859498</v>
      </c>
      <c r="AG1097">
        <v>-1.1041599676389999</v>
      </c>
      <c r="AH1097">
        <v>5.3852701656496</v>
      </c>
      <c r="AI1097">
        <v>100.285370844897</v>
      </c>
      <c r="AJ1097">
        <v>62.259049097568798</v>
      </c>
      <c r="AK1097">
        <v>6.1840033743449796</v>
      </c>
      <c r="AL1097">
        <v>88.707382881707701</v>
      </c>
      <c r="AM1097">
        <v>81.768831801062404</v>
      </c>
      <c r="AN1097">
        <v>0.99999995757989402</v>
      </c>
    </row>
    <row r="1098" spans="1:40" x14ac:dyDescent="0.25">
      <c r="A1098" t="str">
        <f>"20190312154233825"</f>
        <v>20190312154233825</v>
      </c>
      <c r="B1098" t="str">
        <f>"1552376553818937"</f>
        <v>1552376553818937</v>
      </c>
      <c r="C1098" t="s">
        <v>40</v>
      </c>
      <c r="D1098">
        <v>4.9528019999999904</v>
      </c>
      <c r="E1098">
        <v>0.64716479999999998</v>
      </c>
      <c r="F1098" t="s">
        <v>47</v>
      </c>
      <c r="G1098">
        <v>-201.55449999999999</v>
      </c>
      <c r="H1098" s="1">
        <v>-3.0283240000000001E-6</v>
      </c>
      <c r="I1098">
        <v>361.46550000000002</v>
      </c>
      <c r="J1098">
        <v>-205.70179999999999</v>
      </c>
      <c r="K1098">
        <v>1.1040840000000001</v>
      </c>
      <c r="L1098">
        <v>365.87040000000002</v>
      </c>
      <c r="M1098">
        <v>0.95110320000000004</v>
      </c>
      <c r="N1098">
        <v>0</v>
      </c>
      <c r="O1098">
        <v>-0.30853049999999999</v>
      </c>
      <c r="P1098">
        <v>0.89657969999999898</v>
      </c>
      <c r="Q1098">
        <v>9.8098669999999999E-3</v>
      </c>
      <c r="R1098">
        <v>-0.442774</v>
      </c>
      <c r="S1098">
        <v>2.2193450000000001</v>
      </c>
      <c r="T1098">
        <v>-0.57352590000000003</v>
      </c>
      <c r="U1098">
        <v>-2.3114620000000001</v>
      </c>
      <c r="V1098">
        <v>0.14488090000000001</v>
      </c>
      <c r="W1098">
        <v>2.1928280000000001E-2</v>
      </c>
      <c r="X1098">
        <v>0.98920609999999998</v>
      </c>
      <c r="Y1098">
        <v>0.46991729999999998</v>
      </c>
      <c r="Z1098">
        <v>1.2633439999999999E-2</v>
      </c>
      <c r="AA1098">
        <v>0.88261999999999996</v>
      </c>
      <c r="AB1098">
        <v>25</v>
      </c>
      <c r="AC1098">
        <v>4.1473000000000004</v>
      </c>
      <c r="AD1098">
        <v>-1.1040870283239901</v>
      </c>
      <c r="AE1098">
        <v>-4.4048999999999898</v>
      </c>
      <c r="AF1098">
        <v>2.8164566551214101</v>
      </c>
      <c r="AG1098">
        <v>-1.1040870283239901</v>
      </c>
      <c r="AH1098">
        <v>5.1331662964412104</v>
      </c>
      <c r="AI1098">
        <v>100.678837980727</v>
      </c>
      <c r="AJ1098">
        <v>61.247381664759601</v>
      </c>
      <c r="AK1098">
        <v>5.9582575039361103</v>
      </c>
      <c r="AL1098">
        <v>88.743501413204996</v>
      </c>
      <c r="AM1098">
        <v>81.667599907901405</v>
      </c>
      <c r="AN1098">
        <v>1.0000000164628799</v>
      </c>
    </row>
    <row r="1099" spans="1:40" x14ac:dyDescent="0.25">
      <c r="A1099" t="str">
        <f>"20190312154233836"</f>
        <v>20190312154233836</v>
      </c>
      <c r="B1099" t="str">
        <f>"1552376553828697"</f>
        <v>1552376553828697</v>
      </c>
      <c r="C1099" t="s">
        <v>40</v>
      </c>
      <c r="D1099">
        <v>5.1159470000000002</v>
      </c>
      <c r="E1099">
        <v>0.65145730000000002</v>
      </c>
      <c r="F1099" t="s">
        <v>47</v>
      </c>
      <c r="G1099">
        <v>-201.5762</v>
      </c>
      <c r="H1099" s="1">
        <v>-3.0572429999999998E-6</v>
      </c>
      <c r="I1099">
        <v>361.38420000000002</v>
      </c>
      <c r="J1099">
        <v>-205.5925</v>
      </c>
      <c r="K1099">
        <v>1.1040179999999999</v>
      </c>
      <c r="L1099">
        <v>365.83010000000002</v>
      </c>
      <c r="M1099">
        <v>0.94976369999999999</v>
      </c>
      <c r="N1099">
        <v>0</v>
      </c>
      <c r="O1099">
        <v>-0.31262909999999999</v>
      </c>
      <c r="P1099">
        <v>0.89388529999999999</v>
      </c>
      <c r="Q1099">
        <v>9.6794749999999999E-3</v>
      </c>
      <c r="R1099">
        <v>-0.44819170000000003</v>
      </c>
      <c r="S1099">
        <v>2.1811370000000001</v>
      </c>
      <c r="T1099">
        <v>-0.58371399999999996</v>
      </c>
      <c r="U1099">
        <v>-2.3717959999999998</v>
      </c>
      <c r="V1099">
        <v>0.14660229999999999</v>
      </c>
      <c r="W1099">
        <v>2.1758099999999999E-2</v>
      </c>
      <c r="X1099">
        <v>0.98895619999999995</v>
      </c>
      <c r="Y1099">
        <v>0.48479509999999998</v>
      </c>
      <c r="Z1099">
        <v>1.204335E-2</v>
      </c>
      <c r="AA1099">
        <v>0.87454489999999996</v>
      </c>
      <c r="AB1099">
        <v>25</v>
      </c>
      <c r="AC1099">
        <v>4.0163000000000002</v>
      </c>
      <c r="AD1099">
        <v>-1.104021057243</v>
      </c>
      <c r="AE1099">
        <v>-4.4458999999999902</v>
      </c>
      <c r="AF1099">
        <v>2.8698129429433501</v>
      </c>
      <c r="AG1099">
        <v>-1.104021057243</v>
      </c>
      <c r="AH1099">
        <v>5.03407467428746</v>
      </c>
      <c r="AI1099">
        <v>100.786989075645</v>
      </c>
      <c r="AJ1099">
        <v>60.313506374307003</v>
      </c>
      <c r="AK1099">
        <v>5.8988640134032204</v>
      </c>
      <c r="AL1099">
        <v>88.7532543244713</v>
      </c>
      <c r="AM1099">
        <v>81.567913496717196</v>
      </c>
      <c r="AN1099">
        <v>1.00000000739967</v>
      </c>
    </row>
    <row r="1100" spans="1:40" x14ac:dyDescent="0.25">
      <c r="A1100" t="str">
        <f>"20190312154233847"</f>
        <v>20190312154233847</v>
      </c>
      <c r="B1100" t="str">
        <f>"1552376553838742"</f>
        <v>1552376553838742</v>
      </c>
      <c r="C1100" t="s">
        <v>40</v>
      </c>
      <c r="D1100">
        <v>4.9716820000000004</v>
      </c>
      <c r="E1100">
        <v>0.65442309999999904</v>
      </c>
      <c r="F1100" t="s">
        <v>47</v>
      </c>
      <c r="G1100">
        <v>-201.4641</v>
      </c>
      <c r="H1100" s="1">
        <v>-3.0428330000000002E-6</v>
      </c>
      <c r="I1100">
        <v>361.19490000000002</v>
      </c>
      <c r="J1100">
        <v>-205.46629999999999</v>
      </c>
      <c r="K1100">
        <v>1.1039350000000001</v>
      </c>
      <c r="L1100">
        <v>365.78339999999997</v>
      </c>
      <c r="M1100">
        <v>0.948187</v>
      </c>
      <c r="N1100">
        <v>0</v>
      </c>
      <c r="O1100">
        <v>-0.31737789999999999</v>
      </c>
      <c r="P1100">
        <v>0.8910401</v>
      </c>
      <c r="Q1100">
        <v>9.6847200000000008E-3</v>
      </c>
      <c r="R1100">
        <v>-0.45382159999999999</v>
      </c>
      <c r="S1100">
        <v>2.1512760000000002</v>
      </c>
      <c r="T1100">
        <v>-0.57530009999999998</v>
      </c>
      <c r="U1100">
        <v>-2.415375</v>
      </c>
      <c r="V1100">
        <v>0.147896</v>
      </c>
      <c r="W1100">
        <v>2.172806E-2</v>
      </c>
      <c r="X1100">
        <v>0.98876419999999998</v>
      </c>
      <c r="Y1100">
        <v>0.49432290000000001</v>
      </c>
      <c r="Z1100">
        <v>1.1761539999999999E-2</v>
      </c>
      <c r="AA1100">
        <v>0.86919880000000005</v>
      </c>
      <c r="AB1100">
        <v>25</v>
      </c>
      <c r="AC1100">
        <v>4.0021999999999798</v>
      </c>
      <c r="AD1100">
        <v>-1.1039380428329999</v>
      </c>
      <c r="AE1100">
        <v>-4.5884999999999501</v>
      </c>
      <c r="AF1100">
        <v>2.9828185835397001</v>
      </c>
      <c r="AG1100">
        <v>-1.1039380428329999</v>
      </c>
      <c r="AH1100">
        <v>5.0845352365974801</v>
      </c>
      <c r="AI1100">
        <v>100.606946389155</v>
      </c>
      <c r="AJ1100">
        <v>59.602184021620403</v>
      </c>
      <c r="AK1100">
        <v>5.9973647943847004</v>
      </c>
      <c r="AL1100">
        <v>88.754975874137401</v>
      </c>
      <c r="AM1100">
        <v>81.492960354761195</v>
      </c>
      <c r="AN1100">
        <v>0.99999998930450096</v>
      </c>
    </row>
    <row r="1101" spans="1:40" x14ac:dyDescent="0.25">
      <c r="A1101" t="str">
        <f>"20190312154233858"</f>
        <v>20190312154233858</v>
      </c>
      <c r="B1101" t="str">
        <f>"1552376553848502"</f>
        <v>1552376553848502</v>
      </c>
      <c r="C1101" t="s">
        <v>40</v>
      </c>
      <c r="D1101">
        <v>4.9556100000000001</v>
      </c>
      <c r="E1101">
        <v>0.65562189999999998</v>
      </c>
      <c r="F1101" t="s">
        <v>47</v>
      </c>
      <c r="G1101">
        <v>-201.3734</v>
      </c>
      <c r="H1101" s="1">
        <v>-3.0257830000000001E-6</v>
      </c>
      <c r="I1101">
        <v>361.06580000000002</v>
      </c>
      <c r="J1101">
        <v>-205.3536</v>
      </c>
      <c r="K1101">
        <v>1.1038650000000001</v>
      </c>
      <c r="L1101">
        <v>365.74040000000002</v>
      </c>
      <c r="M1101">
        <v>0.94672080000000003</v>
      </c>
      <c r="N1101">
        <v>0</v>
      </c>
      <c r="O1101">
        <v>-0.32172469999999997</v>
      </c>
      <c r="P1101">
        <v>0.88833019999999996</v>
      </c>
      <c r="Q1101">
        <v>9.4638429999999996E-3</v>
      </c>
      <c r="R1101">
        <v>-0.45910780000000001</v>
      </c>
      <c r="S1101">
        <v>2.1254119999999999</v>
      </c>
      <c r="T1101">
        <v>-0.57326089999999996</v>
      </c>
      <c r="U1101">
        <v>-2.4497680000000002</v>
      </c>
      <c r="V1101">
        <v>0.14923410000000001</v>
      </c>
      <c r="W1101">
        <v>2.1472539999999998E-2</v>
      </c>
      <c r="X1101">
        <v>0.98856869999999997</v>
      </c>
      <c r="Y1101">
        <v>0.50160439999999995</v>
      </c>
      <c r="Z1101">
        <v>1.177308E-2</v>
      </c>
      <c r="AA1101">
        <v>0.86501700000000004</v>
      </c>
      <c r="AB1101">
        <v>25</v>
      </c>
      <c r="AC1101">
        <v>3.9801999999999902</v>
      </c>
      <c r="AD1101">
        <v>-1.10386802578299</v>
      </c>
      <c r="AE1101">
        <v>-4.6745999999999901</v>
      </c>
      <c r="AF1101">
        <v>3.0468521532749699</v>
      </c>
      <c r="AG1101">
        <v>-1.10386802578299</v>
      </c>
      <c r="AH1101">
        <v>5.1075236374988604</v>
      </c>
      <c r="AI1101">
        <v>100.514951568255</v>
      </c>
      <c r="AJ1101">
        <v>59.182150447601501</v>
      </c>
      <c r="AK1101">
        <v>6.0488536409696696</v>
      </c>
      <c r="AL1101">
        <v>88.769619497761994</v>
      </c>
      <c r="AM1101">
        <v>81.415461475448097</v>
      </c>
      <c r="AN1101">
        <v>0.999999980598275</v>
      </c>
    </row>
    <row r="1102" spans="1:40" x14ac:dyDescent="0.25">
      <c r="A1102" t="str">
        <f>"20190312154233868"</f>
        <v>20190312154233868</v>
      </c>
      <c r="B1102" t="str">
        <f>"1552376553858263"</f>
        <v>1552376553858263</v>
      </c>
      <c r="C1102" t="s">
        <v>40</v>
      </c>
      <c r="D1102">
        <v>4.9827719999999998</v>
      </c>
      <c r="E1102">
        <v>0.65655479999999999</v>
      </c>
      <c r="F1102" t="s">
        <v>47</v>
      </c>
      <c r="G1102">
        <v>-201.35429999999999</v>
      </c>
      <c r="H1102" s="1">
        <v>-3.019714E-6</v>
      </c>
      <c r="I1102">
        <v>361.05</v>
      </c>
      <c r="J1102">
        <v>-205.2415</v>
      </c>
      <c r="K1102">
        <v>1.1037939999999999</v>
      </c>
      <c r="L1102">
        <v>365.69749999999999</v>
      </c>
      <c r="M1102">
        <v>0.94523809999999997</v>
      </c>
      <c r="N1102">
        <v>0</v>
      </c>
      <c r="O1102">
        <v>-0.32605479999999998</v>
      </c>
      <c r="P1102">
        <v>0.88565569999999905</v>
      </c>
      <c r="Q1102">
        <v>8.945705E-3</v>
      </c>
      <c r="R1102">
        <v>-0.46425699999999998</v>
      </c>
      <c r="S1102">
        <v>2.106506</v>
      </c>
      <c r="T1102">
        <v>-0.58142819999999995</v>
      </c>
      <c r="U1102">
        <v>-2.47052</v>
      </c>
      <c r="V1102">
        <v>0.150441299999999</v>
      </c>
      <c r="W1102">
        <v>2.0921439999999999E-2</v>
      </c>
      <c r="X1102">
        <v>0.98839750000000004</v>
      </c>
      <c r="Y1102">
        <v>0.50500489999999998</v>
      </c>
      <c r="Z1102">
        <v>1.2411439999999999E-2</v>
      </c>
      <c r="AA1102">
        <v>0.86302730000000005</v>
      </c>
      <c r="AB1102">
        <v>25</v>
      </c>
      <c r="AC1102">
        <v>3.8872</v>
      </c>
      <c r="AD1102">
        <v>-1.1037970197139999</v>
      </c>
      <c r="AE1102">
        <v>-4.6474999999999804</v>
      </c>
      <c r="AF1102">
        <v>3.0254735287843899</v>
      </c>
      <c r="AG1102">
        <v>-1.1037970197139999</v>
      </c>
      <c r="AH1102">
        <v>5.0234958704598203</v>
      </c>
      <c r="AI1102">
        <v>100.659829809708</v>
      </c>
      <c r="AJ1102">
        <v>58.940934573558103</v>
      </c>
      <c r="AK1102">
        <v>5.9671910221335702</v>
      </c>
      <c r="AL1102">
        <v>88.801202267884705</v>
      </c>
      <c r="AM1102">
        <v>81.345589420065394</v>
      </c>
      <c r="AN1102">
        <v>0.99999995470180503</v>
      </c>
    </row>
    <row r="1103" spans="1:40" x14ac:dyDescent="0.25">
      <c r="A1103" t="str">
        <f>"20190312154233879"</f>
        <v>20190312154233879</v>
      </c>
      <c r="B1103" t="str">
        <f>"1552376553868022"</f>
        <v>1552376553868022</v>
      </c>
      <c r="C1103" t="s">
        <v>40</v>
      </c>
      <c r="D1103">
        <v>4.9870679999999998</v>
      </c>
      <c r="E1103">
        <v>0.657103199999999</v>
      </c>
      <c r="F1103" t="s">
        <v>47</v>
      </c>
      <c r="G1103">
        <v>-201.2808</v>
      </c>
      <c r="H1103" s="1">
        <v>-2.9991659999999999E-6</v>
      </c>
      <c r="I1103">
        <v>360.97579999999999</v>
      </c>
      <c r="J1103">
        <v>-205.12389999999999</v>
      </c>
      <c r="K1103">
        <v>1.1037220000000001</v>
      </c>
      <c r="L1103">
        <v>365.65140000000002</v>
      </c>
      <c r="M1103">
        <v>0.94362639999999998</v>
      </c>
      <c r="N1103">
        <v>0</v>
      </c>
      <c r="O1103">
        <v>-0.3306888</v>
      </c>
      <c r="P1103">
        <v>0.88301499999999999</v>
      </c>
      <c r="Q1103">
        <v>8.4560109999999994E-3</v>
      </c>
      <c r="R1103">
        <v>-0.46926859999999998</v>
      </c>
      <c r="S1103">
        <v>2.0882260000000001</v>
      </c>
      <c r="T1103">
        <v>-0.58196879999999995</v>
      </c>
      <c r="U1103">
        <v>-2.489471</v>
      </c>
      <c r="V1103">
        <v>0.15118709999999999</v>
      </c>
      <c r="W1103">
        <v>2.0407519999999998E-2</v>
      </c>
      <c r="X1103">
        <v>0.98829449999999996</v>
      </c>
      <c r="Y1103">
        <v>0.50774929999999996</v>
      </c>
      <c r="Z1103">
        <v>1.302707E-2</v>
      </c>
      <c r="AA1103">
        <v>0.86140640000000002</v>
      </c>
      <c r="AB1103">
        <v>25</v>
      </c>
      <c r="AC1103">
        <v>3.84309999999999</v>
      </c>
      <c r="AD1103">
        <v>-1.1037249991660001</v>
      </c>
      <c r="AE1103">
        <v>-4.6756000000000304</v>
      </c>
      <c r="AF1103">
        <v>3.0403735253535902</v>
      </c>
      <c r="AG1103">
        <v>-1.1037249991660001</v>
      </c>
      <c r="AH1103">
        <v>5.0066685912336197</v>
      </c>
      <c r="AI1103">
        <v>100.671041923019</v>
      </c>
      <c r="AJ1103">
        <v>58.731164216694197</v>
      </c>
      <c r="AK1103">
        <v>5.9606048711435502</v>
      </c>
      <c r="AL1103">
        <v>88.830654072957699</v>
      </c>
      <c r="AM1103">
        <v>81.302447761526196</v>
      </c>
      <c r="AN1103">
        <v>1.0000000124046</v>
      </c>
    </row>
    <row r="1104" spans="1:40" x14ac:dyDescent="0.25">
      <c r="A1104" t="str">
        <f>"20190312154233890"</f>
        <v>20190312154233890</v>
      </c>
      <c r="B1104" t="str">
        <f>"1552376553878758"</f>
        <v>1552376553878758</v>
      </c>
      <c r="C1104" t="s">
        <v>40</v>
      </c>
      <c r="D1104">
        <v>4.9625380000000003</v>
      </c>
      <c r="E1104">
        <v>0.65735059999999901</v>
      </c>
      <c r="F1104" t="s">
        <v>47</v>
      </c>
      <c r="G1104">
        <v>-201.2139</v>
      </c>
      <c r="H1104" s="1">
        <v>-2.977589E-6</v>
      </c>
      <c r="I1104">
        <v>360.92129999999997</v>
      </c>
      <c r="J1104">
        <v>-205.01</v>
      </c>
      <c r="K1104">
        <v>1.10365</v>
      </c>
      <c r="L1104">
        <v>365.60640000000001</v>
      </c>
      <c r="M1104">
        <v>0.94203599999999998</v>
      </c>
      <c r="N1104">
        <v>0</v>
      </c>
      <c r="O1104">
        <v>-0.33519189999999999</v>
      </c>
      <c r="P1104">
        <v>0.88057319999999994</v>
      </c>
      <c r="Q1104">
        <v>7.5808179999999996E-3</v>
      </c>
      <c r="R1104">
        <v>-0.47384969999999998</v>
      </c>
      <c r="S1104">
        <v>2.0713349999999999</v>
      </c>
      <c r="T1104">
        <v>-0.58470749999999905</v>
      </c>
      <c r="U1104">
        <v>-2.5058289999999999</v>
      </c>
      <c r="V1104">
        <v>0.15158729999999901</v>
      </c>
      <c r="W1104">
        <v>1.9515049999999999E-2</v>
      </c>
      <c r="X1104">
        <v>0.9882512</v>
      </c>
      <c r="Y1104">
        <v>0.50985519999999995</v>
      </c>
      <c r="Z1104">
        <v>1.374006E-2</v>
      </c>
      <c r="AA1104">
        <v>0.86015049999999904</v>
      </c>
      <c r="AB1104">
        <v>25</v>
      </c>
      <c r="AC1104">
        <v>3.7960999999999898</v>
      </c>
      <c r="AD1104">
        <v>-1.1036529775890001</v>
      </c>
      <c r="AE1104">
        <v>-4.6851000000000296</v>
      </c>
      <c r="AF1104">
        <v>3.0396229139013999</v>
      </c>
      <c r="AG1104">
        <v>-1.1036529775890001</v>
      </c>
      <c r="AH1104">
        <v>4.9801901249067804</v>
      </c>
      <c r="AI1104">
        <v>100.711466093973</v>
      </c>
      <c r="AJ1104">
        <v>58.602498851243602</v>
      </c>
      <c r="AK1104">
        <v>5.9379837515670699</v>
      </c>
      <c r="AL1104">
        <v>88.881799004310807</v>
      </c>
      <c r="AM1104">
        <v>81.279402126079006</v>
      </c>
      <c r="AN1104">
        <v>0.99999999049961596</v>
      </c>
    </row>
    <row r="1105" spans="1:40" x14ac:dyDescent="0.25">
      <c r="A1105" t="str">
        <f>"20190312154233913"</f>
        <v>20190312154233913</v>
      </c>
      <c r="B1105" t="str">
        <f>"1552376553908042"</f>
        <v>1552376553908042</v>
      </c>
      <c r="C1105" t="s">
        <v>40</v>
      </c>
      <c r="D1105">
        <v>5.0301030000000004</v>
      </c>
      <c r="E1105">
        <v>0.65745730000000002</v>
      </c>
      <c r="F1105" t="s">
        <v>47</v>
      </c>
      <c r="G1105">
        <v>-201.15039999999999</v>
      </c>
      <c r="H1105" s="1">
        <v>-2.955228E-6</v>
      </c>
      <c r="I1105">
        <v>360.87810000000002</v>
      </c>
      <c r="J1105">
        <v>-204.7655</v>
      </c>
      <c r="K1105">
        <v>1.103486</v>
      </c>
      <c r="L1105">
        <v>365.50700000000001</v>
      </c>
      <c r="M1105">
        <v>0.93845959999999995</v>
      </c>
      <c r="N1105">
        <v>0</v>
      </c>
      <c r="O1105">
        <v>-0.34507710000000003</v>
      </c>
      <c r="P1105">
        <v>0.87484530000000005</v>
      </c>
      <c r="Q1105">
        <v>6.0739610000000001E-3</v>
      </c>
      <c r="R1105">
        <v>-0.48436499999999999</v>
      </c>
      <c r="S1105">
        <v>2.0563199999999999</v>
      </c>
      <c r="T1105">
        <v>-0.58800259999999904</v>
      </c>
      <c r="U1105">
        <v>-2.5191650000000001</v>
      </c>
      <c r="V1105">
        <v>0.1530147</v>
      </c>
      <c r="W1105">
        <v>1.7959409999999999E-2</v>
      </c>
      <c r="X1105">
        <v>0.98806070000000001</v>
      </c>
      <c r="Y1105">
        <v>0.50628530000000005</v>
      </c>
      <c r="Z1105">
        <v>1.6135190000000001E-2</v>
      </c>
      <c r="AA1105">
        <v>0.86221510000000001</v>
      </c>
      <c r="AB1105">
        <v>25</v>
      </c>
      <c r="AC1105">
        <v>3.6151000000000102</v>
      </c>
      <c r="AD1105">
        <v>-1.1034889552280001</v>
      </c>
      <c r="AE1105">
        <v>-4.6288999999999296</v>
      </c>
      <c r="AF1105">
        <v>2.9912892050852999</v>
      </c>
      <c r="AG1105">
        <v>-1.1034889552280001</v>
      </c>
      <c r="AH1105">
        <v>4.8203336148108296</v>
      </c>
      <c r="AI1105">
        <v>101.007405095941</v>
      </c>
      <c r="AJ1105">
        <v>58.1780625065051</v>
      </c>
      <c r="AK1105">
        <v>5.7793697875153596</v>
      </c>
      <c r="AL1105">
        <v>88.970946273476699</v>
      </c>
      <c r="AM1105">
        <v>81.196895395569996</v>
      </c>
      <c r="AN1105">
        <v>0.99999999285406405</v>
      </c>
    </row>
    <row r="1106" spans="1:40" x14ac:dyDescent="0.25">
      <c r="A1106" t="str">
        <f>"20190312154233925"</f>
        <v>20190312154233925</v>
      </c>
      <c r="B1106" t="str">
        <f>"1552376553918774"</f>
        <v>1552376553918774</v>
      </c>
      <c r="C1106" t="s">
        <v>40</v>
      </c>
      <c r="D1106">
        <v>5.0004049999999998</v>
      </c>
      <c r="E1106">
        <v>0.65722919999999996</v>
      </c>
      <c r="F1106" t="s">
        <v>47</v>
      </c>
      <c r="G1106">
        <v>-200.99539999999999</v>
      </c>
      <c r="H1106" s="1">
        <v>-2.9019149999999999E-6</v>
      </c>
      <c r="I1106">
        <v>360.76659999999998</v>
      </c>
      <c r="J1106">
        <v>-204.63820000000001</v>
      </c>
      <c r="K1106">
        <v>1.1034040000000001</v>
      </c>
      <c r="L1106">
        <v>365.45409999999998</v>
      </c>
      <c r="M1106">
        <v>0.93652150000000001</v>
      </c>
      <c r="N1106">
        <v>0</v>
      </c>
      <c r="O1106">
        <v>-0.35030240000000001</v>
      </c>
      <c r="P1106">
        <v>0.87168709999999905</v>
      </c>
      <c r="Q1106">
        <v>5.7809869999999996E-3</v>
      </c>
      <c r="R1106">
        <v>-0.4900293</v>
      </c>
      <c r="S1106">
        <v>2.0241699999999998</v>
      </c>
      <c r="T1106">
        <v>-0.59246290000000001</v>
      </c>
      <c r="U1106">
        <v>-2.545105</v>
      </c>
      <c r="V1106">
        <v>0.1539142</v>
      </c>
      <c r="W1106">
        <v>1.7637119999999999E-2</v>
      </c>
      <c r="X1106">
        <v>0.98792679999999999</v>
      </c>
      <c r="Y1106">
        <v>0.51235730000000002</v>
      </c>
      <c r="Z1106">
        <v>1.665293E-2</v>
      </c>
      <c r="AA1106">
        <v>0.85861089999999995</v>
      </c>
      <c r="AB1106">
        <v>25</v>
      </c>
      <c r="AC1106">
        <v>3.6428000000000198</v>
      </c>
      <c r="AD1106">
        <v>-1.1034069019149999</v>
      </c>
      <c r="AE1106">
        <v>-4.6875</v>
      </c>
      <c r="AF1106">
        <v>3.0102070159192502</v>
      </c>
      <c r="AG1106">
        <v>-1.1034069019149999</v>
      </c>
      <c r="AH1106">
        <v>4.8853759842765001</v>
      </c>
      <c r="AI1106">
        <v>100.884419995819</v>
      </c>
      <c r="AJ1106">
        <v>58.359998669418601</v>
      </c>
      <c r="AK1106">
        <v>5.8434366239079498</v>
      </c>
      <c r="AL1106">
        <v>88.989415068796504</v>
      </c>
      <c r="AM1106">
        <v>81.144782733212594</v>
      </c>
      <c r="AN1106">
        <v>1.00000000556088</v>
      </c>
    </row>
    <row r="1107" spans="1:40" x14ac:dyDescent="0.25">
      <c r="A1107" t="str">
        <f>"20190312154233936"</f>
        <v>20190312154233936</v>
      </c>
      <c r="B1107" t="str">
        <f>"1552376553928535"</f>
        <v>1552376553928535</v>
      </c>
      <c r="C1107" t="s">
        <v>40</v>
      </c>
      <c r="D1107">
        <v>5.0109879999999896</v>
      </c>
      <c r="E1107">
        <v>0.65694940000000002</v>
      </c>
      <c r="F1107" t="s">
        <v>47</v>
      </c>
      <c r="G1107">
        <v>-200.89949999999999</v>
      </c>
      <c r="H1107" s="1">
        <v>-2.8694410000000001E-6</v>
      </c>
      <c r="I1107">
        <v>360.69549999999998</v>
      </c>
      <c r="J1107">
        <v>-204.52289999999999</v>
      </c>
      <c r="K1107">
        <v>1.103332</v>
      </c>
      <c r="L1107">
        <v>365.4051</v>
      </c>
      <c r="M1107">
        <v>0.93470710000000001</v>
      </c>
      <c r="N1107">
        <v>0</v>
      </c>
      <c r="O1107">
        <v>-0.3551145</v>
      </c>
      <c r="P1107">
        <v>0.86854979999999904</v>
      </c>
      <c r="Q1107">
        <v>5.4169200000000004E-3</v>
      </c>
      <c r="R1107">
        <v>-0.49557230000000002</v>
      </c>
      <c r="S1107">
        <v>2.0084689999999998</v>
      </c>
      <c r="T1107">
        <v>-0.59275529999999998</v>
      </c>
      <c r="U1107">
        <v>-2.5563349999999998</v>
      </c>
      <c r="V1107">
        <v>0.1551227</v>
      </c>
      <c r="W1107">
        <v>1.723997E-2</v>
      </c>
      <c r="X1107">
        <v>0.98774470000000003</v>
      </c>
      <c r="Y1107">
        <v>0.51308549999999997</v>
      </c>
      <c r="Z1107">
        <v>1.7548480000000002E-2</v>
      </c>
      <c r="AA1107">
        <v>0.85815810000000003</v>
      </c>
      <c r="AB1107">
        <v>25</v>
      </c>
      <c r="AC1107">
        <v>3.6234000000000002</v>
      </c>
      <c r="AD1107">
        <v>-1.1033348694409999</v>
      </c>
      <c r="AE1107">
        <v>-4.7096000000000204</v>
      </c>
      <c r="AF1107">
        <v>3.01187248455442</v>
      </c>
      <c r="AG1107">
        <v>-1.1033348694409999</v>
      </c>
      <c r="AH1107">
        <v>4.89118083113999</v>
      </c>
      <c r="AI1107">
        <v>100.87296944860999</v>
      </c>
      <c r="AJ1107">
        <v>58.376229388556297</v>
      </c>
      <c r="AK1107">
        <v>5.8491344334227504</v>
      </c>
      <c r="AL1107">
        <v>89.012173474220702</v>
      </c>
      <c r="AM1107">
        <v>81.074749560350497</v>
      </c>
      <c r="AN1107">
        <v>0.99999993049948799</v>
      </c>
    </row>
    <row r="1108" spans="1:40" x14ac:dyDescent="0.25">
      <c r="A1108" t="str">
        <f>"20190312154233949"</f>
        <v>20190312154233949</v>
      </c>
      <c r="B1108" t="str">
        <f>"1552376553938294"</f>
        <v>1552376553938294</v>
      </c>
      <c r="C1108" t="s">
        <v>40</v>
      </c>
      <c r="D1108">
        <v>5.0114599999999996</v>
      </c>
      <c r="E1108">
        <v>0.65672459999999999</v>
      </c>
      <c r="F1108" t="s">
        <v>47</v>
      </c>
      <c r="G1108">
        <v>-200.81649999999999</v>
      </c>
      <c r="H1108" s="1">
        <v>-2.8416660000000002E-6</v>
      </c>
      <c r="I1108">
        <v>360.63229999999999</v>
      </c>
      <c r="J1108">
        <v>-204.3905</v>
      </c>
      <c r="K1108">
        <v>1.1032550000000001</v>
      </c>
      <c r="L1108">
        <v>365.34840000000003</v>
      </c>
      <c r="M1108">
        <v>0.93257699999999999</v>
      </c>
      <c r="N1108">
        <v>0</v>
      </c>
      <c r="O1108">
        <v>-0.3606704</v>
      </c>
      <c r="P1108">
        <v>0.86507219999999996</v>
      </c>
      <c r="Q1108">
        <v>5.1962509999999998E-3</v>
      </c>
      <c r="R1108">
        <v>-0.50162099999999998</v>
      </c>
      <c r="S1108">
        <v>1.9932559999999999</v>
      </c>
      <c r="T1108">
        <v>-0.59335230000000005</v>
      </c>
      <c r="U1108">
        <v>-2.5667110000000002</v>
      </c>
      <c r="V1108">
        <v>0.1561362</v>
      </c>
      <c r="W1108">
        <v>1.6987760000000001E-2</v>
      </c>
      <c r="X1108">
        <v>0.98758939999999995</v>
      </c>
      <c r="Y1108">
        <v>0.5129049</v>
      </c>
      <c r="Z1108">
        <v>1.870283E-2</v>
      </c>
      <c r="AA1108">
        <v>0.8582417</v>
      </c>
      <c r="AB1108">
        <v>25</v>
      </c>
      <c r="AC1108">
        <v>3.5740000000000101</v>
      </c>
      <c r="AD1108">
        <v>-1.1032578416659999</v>
      </c>
      <c r="AE1108">
        <v>-4.7161000000000399</v>
      </c>
      <c r="AF1108">
        <v>3.0049703819357401</v>
      </c>
      <c r="AG1108">
        <v>-1.1032578416659999</v>
      </c>
      <c r="AH1108">
        <v>4.8654051852343798</v>
      </c>
      <c r="AI1108">
        <v>100.91966180810699</v>
      </c>
      <c r="AJ1108">
        <v>58.299702542176199</v>
      </c>
      <c r="AK1108">
        <v>5.8240185849647004</v>
      </c>
      <c r="AL1108">
        <v>89.026626189137602</v>
      </c>
      <c r="AM1108">
        <v>81.015994430899596</v>
      </c>
      <c r="AN1108">
        <v>0.99999995996630797</v>
      </c>
    </row>
    <row r="1109" spans="1:40" x14ac:dyDescent="0.25">
      <c r="A1109" t="str">
        <f>"20190312154233961"</f>
        <v>20190312154233961</v>
      </c>
      <c r="B1109" t="str">
        <f>"1552376553948054"</f>
        <v>1552376553948054</v>
      </c>
      <c r="C1109" t="s">
        <v>40</v>
      </c>
      <c r="D1109">
        <v>5.0228330000000003</v>
      </c>
      <c r="E1109">
        <v>0.65647690000000003</v>
      </c>
      <c r="F1109" t="s">
        <v>47</v>
      </c>
      <c r="G1109">
        <v>-200.72470000000001</v>
      </c>
      <c r="H1109" s="1">
        <v>-2.8103649999999999E-6</v>
      </c>
      <c r="I1109">
        <v>360.5652</v>
      </c>
      <c r="J1109">
        <v>-204.25550000000001</v>
      </c>
      <c r="K1109">
        <v>1.103165</v>
      </c>
      <c r="L1109">
        <v>365.28899999999999</v>
      </c>
      <c r="M1109">
        <v>0.930315</v>
      </c>
      <c r="N1109">
        <v>0</v>
      </c>
      <c r="O1109">
        <v>-0.36646440000000002</v>
      </c>
      <c r="P1109">
        <v>0.86152649999999997</v>
      </c>
      <c r="Q1109">
        <v>5.2691789999999997E-3</v>
      </c>
      <c r="R1109">
        <v>-0.50768519999999995</v>
      </c>
      <c r="S1109">
        <v>1.9762569999999999</v>
      </c>
      <c r="T1109">
        <v>-0.59477460000000004</v>
      </c>
      <c r="U1109">
        <v>-2.5786129999999998</v>
      </c>
      <c r="V1109">
        <v>0.15693570000000001</v>
      </c>
      <c r="W1109">
        <v>1.7031629999999999E-2</v>
      </c>
      <c r="X1109">
        <v>0.9874619</v>
      </c>
      <c r="Y1109">
        <v>0.51310649999999902</v>
      </c>
      <c r="Z1109">
        <v>1.989513E-2</v>
      </c>
      <c r="AA1109">
        <v>0.85809439999999904</v>
      </c>
      <c r="AB1109">
        <v>25</v>
      </c>
      <c r="AC1109">
        <v>3.5308000000000002</v>
      </c>
      <c r="AD1109">
        <v>-1.103167810365</v>
      </c>
      <c r="AE1109">
        <v>-4.7237999999999802</v>
      </c>
      <c r="AF1109">
        <v>2.9962100834661398</v>
      </c>
      <c r="AG1109">
        <v>-1.103167810365</v>
      </c>
      <c r="AH1109">
        <v>4.8468173307532503</v>
      </c>
      <c r="AI1109">
        <v>100.956970954784</v>
      </c>
      <c r="AJ1109">
        <v>58.276433532700104</v>
      </c>
      <c r="AK1109">
        <v>5.8039548860910104</v>
      </c>
      <c r="AL1109">
        <v>89.024112246980593</v>
      </c>
      <c r="AM1109">
        <v>80.969600919196594</v>
      </c>
      <c r="AN1109">
        <v>0.999999947153277</v>
      </c>
    </row>
    <row r="1110" spans="1:40" x14ac:dyDescent="0.25">
      <c r="A1110" t="str">
        <f>"20190312154233974"</f>
        <v>20190312154233974</v>
      </c>
      <c r="B1110" t="str">
        <f>"1552376553968550"</f>
        <v>1552376553968550</v>
      </c>
      <c r="C1110" t="s">
        <v>40</v>
      </c>
      <c r="D1110">
        <v>5.0077249999999998</v>
      </c>
      <c r="E1110">
        <v>0.65579589999999999</v>
      </c>
      <c r="F1110" t="s">
        <v>47</v>
      </c>
      <c r="G1110">
        <v>-200.61439999999999</v>
      </c>
      <c r="H1110" s="1">
        <v>-2.7754070000000001E-6</v>
      </c>
      <c r="I1110">
        <v>360.47250000000003</v>
      </c>
      <c r="J1110">
        <v>-204.1242</v>
      </c>
      <c r="K1110">
        <v>1.103075</v>
      </c>
      <c r="L1110">
        <v>365.2303</v>
      </c>
      <c r="M1110">
        <v>0.92805300000000002</v>
      </c>
      <c r="N1110">
        <v>0</v>
      </c>
      <c r="O1110">
        <v>-0.37215520000000002</v>
      </c>
      <c r="P1110">
        <v>0.85784550000000004</v>
      </c>
      <c r="Q1110">
        <v>5.3300049999999996E-3</v>
      </c>
      <c r="R1110">
        <v>-0.51388100000000003</v>
      </c>
      <c r="S1110">
        <v>1.9588620000000001</v>
      </c>
      <c r="T1110">
        <v>-0.59349350000000001</v>
      </c>
      <c r="U1110">
        <v>-2.5912169999999999</v>
      </c>
      <c r="V1110">
        <v>0.15800910000000001</v>
      </c>
      <c r="W1110">
        <v>1.7058799999999999E-2</v>
      </c>
      <c r="X1110">
        <v>0.98729029999999995</v>
      </c>
      <c r="Y1110">
        <v>0.51360450000000002</v>
      </c>
      <c r="Z1110">
        <v>2.0946650000000001E-2</v>
      </c>
      <c r="AA1110">
        <v>0.85777130000000001</v>
      </c>
      <c r="AB1110">
        <v>25</v>
      </c>
      <c r="AC1110">
        <v>3.50980000000001</v>
      </c>
      <c r="AD1110">
        <v>-1.103077775407</v>
      </c>
      <c r="AE1110">
        <v>-4.7577999999999703</v>
      </c>
      <c r="AF1110">
        <v>3.0050354625348201</v>
      </c>
      <c r="AG1110">
        <v>-1.103077775407</v>
      </c>
      <c r="AH1110">
        <v>4.8593181798926297</v>
      </c>
      <c r="AI1110">
        <v>100.92751520050599</v>
      </c>
      <c r="AJ1110">
        <v>58.267071070589097</v>
      </c>
      <c r="AK1110">
        <v>5.8189339129366102</v>
      </c>
      <c r="AL1110">
        <v>89.022555353275095</v>
      </c>
      <c r="AM1110">
        <v>80.907309640750299</v>
      </c>
      <c r="AN1110">
        <v>1.00000000740717</v>
      </c>
    </row>
    <row r="1111" spans="1:40" x14ac:dyDescent="0.25">
      <c r="A1111" t="str">
        <f>"20190312154233989"</f>
        <v>20190312154233989</v>
      </c>
      <c r="B1111" t="str">
        <f>"1552376553978310"</f>
        <v>1552376553978310</v>
      </c>
      <c r="C1111" t="s">
        <v>40</v>
      </c>
      <c r="D1111">
        <v>5.0446949999999999</v>
      </c>
      <c r="E1111">
        <v>0.65542529999999999</v>
      </c>
      <c r="F1111" t="s">
        <v>47</v>
      </c>
      <c r="G1111">
        <v>-200.49010000000001</v>
      </c>
      <c r="H1111" s="1">
        <v>-2.7370959999999999E-6</v>
      </c>
      <c r="I1111">
        <v>360.36320000000001</v>
      </c>
      <c r="J1111">
        <v>-203.97200000000001</v>
      </c>
      <c r="K1111">
        <v>1.102975</v>
      </c>
      <c r="L1111">
        <v>365.16129999999998</v>
      </c>
      <c r="M1111">
        <v>0.92534510000000003</v>
      </c>
      <c r="N1111">
        <v>0</v>
      </c>
      <c r="O1111">
        <v>-0.37883660000000002</v>
      </c>
      <c r="P1111">
        <v>0.85358899999999904</v>
      </c>
      <c r="Q1111">
        <v>5.3442269999999896E-3</v>
      </c>
      <c r="R1111">
        <v>-0.52091960000000004</v>
      </c>
      <c r="S1111">
        <v>1.9424440000000001</v>
      </c>
      <c r="T1111">
        <v>-0.58959419999999996</v>
      </c>
      <c r="U1111">
        <v>-2.6014710000000001</v>
      </c>
      <c r="V1111">
        <v>0.15901670000000001</v>
      </c>
      <c r="W1111">
        <v>1.703783E-2</v>
      </c>
      <c r="X1111">
        <v>0.98712889999999998</v>
      </c>
      <c r="Y1111">
        <v>0.51264770000000004</v>
      </c>
      <c r="Z1111">
        <v>2.2258259999999998E-2</v>
      </c>
      <c r="AA1111">
        <v>0.85831049999999998</v>
      </c>
      <c r="AB1111">
        <v>25</v>
      </c>
      <c r="AC1111">
        <v>3.4818999999999898</v>
      </c>
      <c r="AD1111">
        <v>-1.1029777370960001</v>
      </c>
      <c r="AE1111">
        <v>-4.7980999999999696</v>
      </c>
      <c r="AF1111">
        <v>3.0167445847446501</v>
      </c>
      <c r="AG1111">
        <v>-1.1029777370960001</v>
      </c>
      <c r="AH1111">
        <v>4.8715776619948503</v>
      </c>
      <c r="AI1111">
        <v>100.895677515679</v>
      </c>
      <c r="AJ1111">
        <v>58.231966620267997</v>
      </c>
      <c r="AK1111">
        <v>5.83520151279824</v>
      </c>
      <c r="AL1111">
        <v>89.023757044291102</v>
      </c>
      <c r="AM1111">
        <v>80.848833961084594</v>
      </c>
      <c r="AN1111">
        <v>1.0000000318725999</v>
      </c>
    </row>
    <row r="1112" spans="1:40" x14ac:dyDescent="0.25">
      <c r="A1112" t="str">
        <f>"20190312154234002"</f>
        <v>20190312154234002</v>
      </c>
      <c r="B1112" t="str">
        <f>"1552376553998807"</f>
        <v>1552376553998807</v>
      </c>
      <c r="C1112" t="s">
        <v>40</v>
      </c>
      <c r="D1112">
        <v>5.0506880000000001</v>
      </c>
      <c r="E1112">
        <v>0.65485209999999905</v>
      </c>
      <c r="F1112" t="s">
        <v>47</v>
      </c>
      <c r="G1112">
        <v>-200.3647</v>
      </c>
      <c r="H1112" s="1">
        <v>-2.6984529999999998E-6</v>
      </c>
      <c r="I1112">
        <v>360.25299999999999</v>
      </c>
      <c r="J1112">
        <v>-203.82859999999999</v>
      </c>
      <c r="K1112">
        <v>1.1028690000000001</v>
      </c>
      <c r="L1112">
        <v>365.09449999999998</v>
      </c>
      <c r="M1112">
        <v>0.92268349999999999</v>
      </c>
      <c r="N1112">
        <v>0</v>
      </c>
      <c r="O1112">
        <v>-0.38527299999999998</v>
      </c>
      <c r="P1112">
        <v>0.84889409999999899</v>
      </c>
      <c r="Q1112">
        <v>4.4914000000000004E-3</v>
      </c>
      <c r="R1112">
        <v>-0.52854409999999996</v>
      </c>
      <c r="S1112">
        <v>1.922134</v>
      </c>
      <c r="T1112">
        <v>-0.58772429999999998</v>
      </c>
      <c r="U1112">
        <v>-2.6153870000000001</v>
      </c>
      <c r="V1112">
        <v>0.16096849999999999</v>
      </c>
      <c r="W1112">
        <v>1.6130530000000001E-2</v>
      </c>
      <c r="X1112">
        <v>0.98682769999999997</v>
      </c>
      <c r="Y1112">
        <v>0.51326340000000004</v>
      </c>
      <c r="Z1112">
        <v>2.3417199999999999E-2</v>
      </c>
      <c r="AA1112">
        <v>0.8579116</v>
      </c>
      <c r="AB1112">
        <v>25</v>
      </c>
      <c r="AC1112">
        <v>3.46389999999999</v>
      </c>
      <c r="AD1112">
        <v>-1.102871698453</v>
      </c>
      <c r="AE1112">
        <v>-4.8414999999999404</v>
      </c>
      <c r="AF1112">
        <v>3.0290080227020399</v>
      </c>
      <c r="AG1112">
        <v>-1.102871698453</v>
      </c>
      <c r="AH1112">
        <v>4.8939686098377599</v>
      </c>
      <c r="AI1112">
        <v>100.847546233746</v>
      </c>
      <c r="AJ1112">
        <v>58.245527365676999</v>
      </c>
      <c r="AK1112">
        <v>5.8602170897432799</v>
      </c>
      <c r="AL1112">
        <v>89.075748608155195</v>
      </c>
      <c r="AM1112">
        <v>80.735667983530107</v>
      </c>
      <c r="AN1112">
        <v>0.99999998073881002</v>
      </c>
    </row>
    <row r="1113" spans="1:40" x14ac:dyDescent="0.25">
      <c r="A1113" t="str">
        <f>"20190312154234017"</f>
        <v>20190312154234017</v>
      </c>
      <c r="B1113" t="str">
        <f>"1552376554008566"</f>
        <v>1552376554008566</v>
      </c>
      <c r="C1113" t="s">
        <v>40</v>
      </c>
      <c r="D1113">
        <v>5.0523069999999999</v>
      </c>
      <c r="E1113">
        <v>0.6544468</v>
      </c>
      <c r="F1113" t="s">
        <v>47</v>
      </c>
      <c r="G1113">
        <v>-200.2604</v>
      </c>
      <c r="H1113" s="1">
        <v>-2.665441E-6</v>
      </c>
      <c r="I1113">
        <v>360.1576</v>
      </c>
      <c r="J1113">
        <v>-203.68469999999999</v>
      </c>
      <c r="K1113">
        <v>1.1027629999999999</v>
      </c>
      <c r="L1113">
        <v>365.02620000000002</v>
      </c>
      <c r="M1113">
        <v>0.91992390000000002</v>
      </c>
      <c r="N1113">
        <v>0</v>
      </c>
      <c r="O1113">
        <v>-0.39181559999999999</v>
      </c>
      <c r="P1113">
        <v>0.84455079999999905</v>
      </c>
      <c r="Q1113">
        <v>4.081538E-3</v>
      </c>
      <c r="R1113">
        <v>-0.53546019999999905</v>
      </c>
      <c r="S1113">
        <v>1.9001920000000001</v>
      </c>
      <c r="T1113">
        <v>-0.58731469999999997</v>
      </c>
      <c r="U1113">
        <v>-2.6290279999999999</v>
      </c>
      <c r="V1113">
        <v>0.16201679999999999</v>
      </c>
      <c r="W1113">
        <v>1.5684739999999999E-2</v>
      </c>
      <c r="X1113">
        <v>0.98666330000000002</v>
      </c>
      <c r="Y1113">
        <v>0.51405829999999997</v>
      </c>
      <c r="Z1113">
        <v>2.4642259999999999E-2</v>
      </c>
      <c r="AA1113">
        <v>0.85740119999999898</v>
      </c>
      <c r="AB1113">
        <v>25</v>
      </c>
      <c r="AC1113">
        <v>3.4242999999999801</v>
      </c>
      <c r="AD1113">
        <v>-1.1027656654410001</v>
      </c>
      <c r="AE1113">
        <v>-4.8686000000000096</v>
      </c>
      <c r="AF1113">
        <v>3.0332771001839598</v>
      </c>
      <c r="AG1113">
        <v>-1.1027656654410001</v>
      </c>
      <c r="AH1113">
        <v>4.8903857915001199</v>
      </c>
      <c r="AI1113">
        <v>100.84799486463</v>
      </c>
      <c r="AJ1113">
        <v>58.190612090482901</v>
      </c>
      <c r="AK1113">
        <v>5.8594142428302698</v>
      </c>
      <c r="AL1113">
        <v>89.101293709057302</v>
      </c>
      <c r="AM1113">
        <v>80.6748643525017</v>
      </c>
      <c r="AN1113">
        <v>0.99999996105899802</v>
      </c>
    </row>
    <row r="1114" spans="1:40" x14ac:dyDescent="0.25">
      <c r="A1114" t="str">
        <f>"20190312154234028"</f>
        <v>20190312154234028</v>
      </c>
      <c r="B1114" t="str">
        <f>"1552376554018327"</f>
        <v>1552376554018327</v>
      </c>
      <c r="C1114" t="s">
        <v>40</v>
      </c>
      <c r="D1114">
        <v>5.0762710000000002</v>
      </c>
      <c r="E1114">
        <v>0.65403869999999997</v>
      </c>
      <c r="F1114" t="s">
        <v>47</v>
      </c>
      <c r="G1114">
        <v>-200.15819999999999</v>
      </c>
      <c r="H1114" s="1">
        <v>-2.6285470000000001E-6</v>
      </c>
      <c r="I1114">
        <v>360.06889999999999</v>
      </c>
      <c r="J1114">
        <v>-203.56039999999999</v>
      </c>
      <c r="K1114">
        <v>1.1026720000000001</v>
      </c>
      <c r="L1114">
        <v>364.9665</v>
      </c>
      <c r="M1114">
        <v>0.91747630000000002</v>
      </c>
      <c r="N1114">
        <v>0</v>
      </c>
      <c r="O1114">
        <v>-0.39751239999999999</v>
      </c>
      <c r="P1114">
        <v>0.84082219999999996</v>
      </c>
      <c r="Q1114">
        <v>3.8232499999999998E-3</v>
      </c>
      <c r="R1114">
        <v>-0.54129819999999995</v>
      </c>
      <c r="S1114">
        <v>1.879715</v>
      </c>
      <c r="T1114">
        <v>-0.58780379999999999</v>
      </c>
      <c r="U1114">
        <v>-2.642334</v>
      </c>
      <c r="V1114">
        <v>0.16273219999999999</v>
      </c>
      <c r="W1114">
        <v>1.5399629999999999E-2</v>
      </c>
      <c r="X1114">
        <v>0.98655009999999999</v>
      </c>
      <c r="Y1114">
        <v>0.51524209999999904</v>
      </c>
      <c r="Z1114">
        <v>2.569254E-2</v>
      </c>
      <c r="AA1114">
        <v>0.85665949999999902</v>
      </c>
      <c r="AB1114">
        <v>25</v>
      </c>
      <c r="AC1114">
        <v>3.4021999999999899</v>
      </c>
      <c r="AD1114">
        <v>-1.1026746285469999</v>
      </c>
      <c r="AE1114">
        <v>-4.8976000000000104</v>
      </c>
      <c r="AF1114">
        <v>3.0375063692408202</v>
      </c>
      <c r="AG1114">
        <v>-1.1026746285469999</v>
      </c>
      <c r="AH1114">
        <v>4.9012742532500502</v>
      </c>
      <c r="AI1114">
        <v>100.826030726356</v>
      </c>
      <c r="AJ1114">
        <v>58.211927832961301</v>
      </c>
      <c r="AK1114">
        <v>5.8706750536196104</v>
      </c>
      <c r="AL1114">
        <v>89.117631324823094</v>
      </c>
      <c r="AM1114">
        <v>80.633360761975695</v>
      </c>
      <c r="AN1114">
        <v>1.0000000086654901</v>
      </c>
    </row>
    <row r="1115" spans="1:40" x14ac:dyDescent="0.25">
      <c r="A1115" t="str">
        <f>"20190312154234039"</f>
        <v>20190312154234039</v>
      </c>
      <c r="B1115" t="str">
        <f>"1552376554028086"</f>
        <v>1552376554028086</v>
      </c>
      <c r="C1115" t="s">
        <v>40</v>
      </c>
      <c r="D1115">
        <v>5.1044700000000001</v>
      </c>
      <c r="E1115">
        <v>0.65368249999999894</v>
      </c>
      <c r="F1115" t="s">
        <v>47</v>
      </c>
      <c r="G1115">
        <v>-200.0634</v>
      </c>
      <c r="H1115" s="1">
        <v>-2.594104E-6</v>
      </c>
      <c r="I1115">
        <v>359.98759999999999</v>
      </c>
      <c r="J1115">
        <v>-203.44309999999999</v>
      </c>
      <c r="K1115">
        <v>1.1025849999999999</v>
      </c>
      <c r="L1115">
        <v>364.90859999999998</v>
      </c>
      <c r="M1115">
        <v>0.91507179999999999</v>
      </c>
      <c r="N1115">
        <v>0</v>
      </c>
      <c r="O1115">
        <v>-0.40301569999999998</v>
      </c>
      <c r="P1115">
        <v>0.83707529999999997</v>
      </c>
      <c r="Q1115">
        <v>3.5515410000000001E-3</v>
      </c>
      <c r="R1115">
        <v>-0.54707589999999995</v>
      </c>
      <c r="S1115">
        <v>1.8630370000000001</v>
      </c>
      <c r="T1115">
        <v>-0.58745499999999995</v>
      </c>
      <c r="U1115">
        <v>-2.6524960000000002</v>
      </c>
      <c r="V1115">
        <v>0.16359889999999999</v>
      </c>
      <c r="W1115">
        <v>1.5097350000000001E-2</v>
      </c>
      <c r="X1115">
        <v>0.98641140000000005</v>
      </c>
      <c r="Y1115">
        <v>0.51531649999999996</v>
      </c>
      <c r="Z1115">
        <v>2.6787490000000001E-2</v>
      </c>
      <c r="AA1115">
        <v>0.85658120000000004</v>
      </c>
      <c r="AB1115">
        <v>25</v>
      </c>
      <c r="AC1115">
        <v>3.3796999999999802</v>
      </c>
      <c r="AD1115">
        <v>-1.102587594104</v>
      </c>
      <c r="AE1115">
        <v>-4.9209999999999896</v>
      </c>
      <c r="AF1115">
        <v>3.0377224268860901</v>
      </c>
      <c r="AG1115">
        <v>-1.102587594104</v>
      </c>
      <c r="AH1115">
        <v>4.9090161316394898</v>
      </c>
      <c r="AI1115">
        <v>100.812936863315</v>
      </c>
      <c r="AJ1115">
        <v>58.250581755622797</v>
      </c>
      <c r="AK1115">
        <v>5.8772354322568603</v>
      </c>
      <c r="AL1115">
        <v>89.134952690739496</v>
      </c>
      <c r="AM1115">
        <v>80.5830654857197</v>
      </c>
      <c r="AN1115">
        <v>0.99999999005409601</v>
      </c>
    </row>
    <row r="1116" spans="1:40" x14ac:dyDescent="0.25">
      <c r="A1116" t="str">
        <f>"20190312154234051"</f>
        <v>20190312154234051</v>
      </c>
      <c r="B1116" t="str">
        <f>"1552376554048583"</f>
        <v>1552376554048583</v>
      </c>
      <c r="C1116" t="s">
        <v>40</v>
      </c>
      <c r="D1116">
        <v>5.1006539999999996</v>
      </c>
      <c r="E1116">
        <v>0.65295519999999996</v>
      </c>
      <c r="F1116" t="s">
        <v>47</v>
      </c>
      <c r="G1116">
        <v>-199.98410000000001</v>
      </c>
      <c r="H1116" s="1">
        <v>-1.0308179999999999E-5</v>
      </c>
      <c r="I1116">
        <v>359.91980000000001</v>
      </c>
      <c r="J1116">
        <v>-203.33189999999999</v>
      </c>
      <c r="K1116">
        <v>1.1024969999999901</v>
      </c>
      <c r="L1116">
        <v>364.85320000000002</v>
      </c>
      <c r="M1116">
        <v>0.91274469999999996</v>
      </c>
      <c r="N1116">
        <v>0</v>
      </c>
      <c r="O1116">
        <v>-0.40825830000000002</v>
      </c>
      <c r="P1116">
        <v>0.83353259999999996</v>
      </c>
      <c r="Q1116">
        <v>3.0780270000000001E-3</v>
      </c>
      <c r="R1116">
        <v>-0.55246229999999996</v>
      </c>
      <c r="S1116">
        <v>1.8461909999999999</v>
      </c>
      <c r="T1116">
        <v>-0.58848809999999996</v>
      </c>
      <c r="U1116">
        <v>-2.6626590000000001</v>
      </c>
      <c r="V1116">
        <v>0.1642941</v>
      </c>
      <c r="W1116">
        <v>1.459767E-2</v>
      </c>
      <c r="X1116">
        <v>0.98630340000000005</v>
      </c>
      <c r="Y1116">
        <v>0.51564569999999998</v>
      </c>
      <c r="Z1116">
        <v>2.7869229999999998E-2</v>
      </c>
      <c r="AA1116">
        <v>0.85634859999999902</v>
      </c>
      <c r="AB1116">
        <v>25</v>
      </c>
      <c r="AC1116">
        <v>3.3477999999999701</v>
      </c>
      <c r="AD1116">
        <v>-1.1025073081800001</v>
      </c>
      <c r="AE1116">
        <v>-4.9333999999999998</v>
      </c>
      <c r="AF1116">
        <v>3.03280760129724</v>
      </c>
      <c r="AG1116">
        <v>-1.1025073081800001</v>
      </c>
      <c r="AH1116">
        <v>4.9027011079412404</v>
      </c>
      <c r="AI1116">
        <v>100.826737486331</v>
      </c>
      <c r="AJ1116">
        <v>58.259092846305798</v>
      </c>
      <c r="AK1116">
        <v>5.8694056313126701</v>
      </c>
      <c r="AL1116">
        <v>89.163585427720804</v>
      </c>
      <c r="AM1116">
        <v>80.542753488250895</v>
      </c>
      <c r="AN1116">
        <v>1.00000002005789</v>
      </c>
    </row>
    <row r="1117" spans="1:40" x14ac:dyDescent="0.25">
      <c r="A1117" t="str">
        <f>"20190312154234063"</f>
        <v>20190312154234063</v>
      </c>
      <c r="B1117" t="str">
        <f>"1552376554058342"</f>
        <v>1552376554058342</v>
      </c>
      <c r="C1117" t="s">
        <v>40</v>
      </c>
      <c r="D1117">
        <v>5.0941929999999997</v>
      </c>
      <c r="E1117">
        <v>0.65263850000000001</v>
      </c>
      <c r="F1117" t="s">
        <v>47</v>
      </c>
      <c r="G1117">
        <v>-199.9016</v>
      </c>
      <c r="H1117" s="1">
        <v>-1.028751E-5</v>
      </c>
      <c r="I1117">
        <v>359.85469999999998</v>
      </c>
      <c r="J1117">
        <v>-203.2097</v>
      </c>
      <c r="K1117">
        <v>1.102409</v>
      </c>
      <c r="L1117">
        <v>364.79109999999997</v>
      </c>
      <c r="M1117">
        <v>0.91010210000000002</v>
      </c>
      <c r="N1117">
        <v>0</v>
      </c>
      <c r="O1117">
        <v>-0.41411480000000001</v>
      </c>
      <c r="P1117">
        <v>0.82938239999999996</v>
      </c>
      <c r="Q1117">
        <v>2.431978E-3</v>
      </c>
      <c r="R1117">
        <v>-0.55867639999999996</v>
      </c>
      <c r="S1117">
        <v>1.8320160000000001</v>
      </c>
      <c r="T1117">
        <v>-0.58880350000000004</v>
      </c>
      <c r="U1117">
        <v>-2.669495</v>
      </c>
      <c r="V1117">
        <v>0.16531750000000001</v>
      </c>
      <c r="W1117">
        <v>1.3917300000000001E-2</v>
      </c>
      <c r="X1117">
        <v>0.98614219999999997</v>
      </c>
      <c r="Y1117">
        <v>0.51434340000000001</v>
      </c>
      <c r="Z1117">
        <v>2.9224759999999999E-2</v>
      </c>
      <c r="AA1117">
        <v>0.85708619999999902</v>
      </c>
      <c r="AB1117">
        <v>25</v>
      </c>
      <c r="AC1117">
        <v>3.3080999999999898</v>
      </c>
      <c r="AD1117">
        <v>-1.1024192875100001</v>
      </c>
      <c r="AE1117">
        <v>-4.9363999999999901</v>
      </c>
      <c r="AF1117">
        <v>3.0191328833361801</v>
      </c>
      <c r="AG1117">
        <v>-1.1024192875100001</v>
      </c>
      <c r="AH1117">
        <v>4.8873013983090399</v>
      </c>
      <c r="AI1117">
        <v>100.863221050519</v>
      </c>
      <c r="AJ1117">
        <v>58.294280405763303</v>
      </c>
      <c r="AK1117">
        <v>5.8494620787410296</v>
      </c>
      <c r="AL1117">
        <v>89.202571706149897</v>
      </c>
      <c r="AM1117">
        <v>80.483390591621401</v>
      </c>
      <c r="AN1117">
        <v>1.0000000028331899</v>
      </c>
    </row>
    <row r="1118" spans="1:40" x14ac:dyDescent="0.25">
      <c r="A1118" t="str">
        <f>"20190312154234073"</f>
        <v>20190312154234073</v>
      </c>
      <c r="B1118" t="str">
        <f>"1552376554068102"</f>
        <v>1552376554068102</v>
      </c>
      <c r="C1118" t="s">
        <v>40</v>
      </c>
      <c r="D1118">
        <v>5.0884330000000002</v>
      </c>
      <c r="E1118">
        <v>0.65224040000000005</v>
      </c>
      <c r="F1118" t="s">
        <v>47</v>
      </c>
      <c r="G1118">
        <v>-199.82470000000001</v>
      </c>
      <c r="H1118" s="1">
        <v>-1.0269749999999999E-5</v>
      </c>
      <c r="I1118">
        <v>359.78379999999999</v>
      </c>
      <c r="J1118">
        <v>-203.1001</v>
      </c>
      <c r="K1118">
        <v>1.1023270000000001</v>
      </c>
      <c r="L1118">
        <v>364.7346</v>
      </c>
      <c r="M1118">
        <v>0.90766329999999995</v>
      </c>
      <c r="N1118">
        <v>0</v>
      </c>
      <c r="O1118">
        <v>-0.41943209999999997</v>
      </c>
      <c r="P1118">
        <v>0.82574699999999901</v>
      </c>
      <c r="Q1118">
        <v>2.4957669999999999E-3</v>
      </c>
      <c r="R1118">
        <v>-0.56403519999999996</v>
      </c>
      <c r="S1118">
        <v>1.8126979999999999</v>
      </c>
      <c r="T1118">
        <v>-0.59034140000000002</v>
      </c>
      <c r="U1118">
        <v>-2.6814269999999998</v>
      </c>
      <c r="V1118">
        <v>0.16593820000000001</v>
      </c>
      <c r="W1118">
        <v>1.395687E-2</v>
      </c>
      <c r="X1118">
        <v>0.98603739999999995</v>
      </c>
      <c r="Y1118">
        <v>0.51537630000000001</v>
      </c>
      <c r="Z1118">
        <v>3.0284129999999999E-2</v>
      </c>
      <c r="AA1118">
        <v>0.85642870000000004</v>
      </c>
      <c r="AB1118">
        <v>25</v>
      </c>
      <c r="AC1118">
        <v>3.2753999999999901</v>
      </c>
      <c r="AD1118">
        <v>-1.10233726975</v>
      </c>
      <c r="AE1118">
        <v>-4.9508000000000099</v>
      </c>
      <c r="AF1118">
        <v>3.0161926755635999</v>
      </c>
      <c r="AG1118">
        <v>-1.10233726975</v>
      </c>
      <c r="AH1118">
        <v>4.88171273250423</v>
      </c>
      <c r="AI1118">
        <v>100.874073238078</v>
      </c>
      <c r="AJ1118">
        <v>58.289929529839704</v>
      </c>
      <c r="AK1118">
        <v>5.8432597850084802</v>
      </c>
      <c r="AL1118">
        <v>89.200304303521307</v>
      </c>
      <c r="AM1118">
        <v>80.447320259880101</v>
      </c>
      <c r="AN1118">
        <v>1.0000000173190899</v>
      </c>
    </row>
    <row r="1119" spans="1:40" x14ac:dyDescent="0.25">
      <c r="A1119" t="str">
        <f>"20190312154234085"</f>
        <v>20190312154234085</v>
      </c>
      <c r="B1119" t="str">
        <f>"1552376554078839"</f>
        <v>1552376554078839</v>
      </c>
      <c r="C1119" t="s">
        <v>40</v>
      </c>
      <c r="D1119">
        <v>5.1049769999999999</v>
      </c>
      <c r="E1119">
        <v>0.65185709999999997</v>
      </c>
      <c r="F1119" t="s">
        <v>47</v>
      </c>
      <c r="G1119">
        <v>-199.74080000000001</v>
      </c>
      <c r="H1119" s="1">
        <v>-1.025249E-5</v>
      </c>
      <c r="I1119">
        <v>359.70510000000002</v>
      </c>
      <c r="J1119">
        <v>-202.97970000000001</v>
      </c>
      <c r="K1119">
        <v>1.102244</v>
      </c>
      <c r="L1119">
        <v>364.67149999999998</v>
      </c>
      <c r="M1119">
        <v>0.90491160000000004</v>
      </c>
      <c r="N1119">
        <v>0</v>
      </c>
      <c r="O1119">
        <v>-0.42533549999999998</v>
      </c>
      <c r="P1119">
        <v>0.82144399999999995</v>
      </c>
      <c r="Q1119">
        <v>2.6789140000000001E-3</v>
      </c>
      <c r="R1119">
        <v>-0.57028299999999998</v>
      </c>
      <c r="S1119">
        <v>1.7970889999999999</v>
      </c>
      <c r="T1119">
        <v>-0.58970059999999902</v>
      </c>
      <c r="U1119">
        <v>-2.6905209999999999</v>
      </c>
      <c r="V1119">
        <v>0.1670025</v>
      </c>
      <c r="W1119">
        <v>1.4104200000000001E-2</v>
      </c>
      <c r="X1119">
        <v>0.98585560000000005</v>
      </c>
      <c r="Y1119">
        <v>0.514656</v>
      </c>
      <c r="Z1119">
        <v>3.1538749999999997E-2</v>
      </c>
      <c r="AA1119">
        <v>0.85681649999999998</v>
      </c>
      <c r="AB1119">
        <v>25</v>
      </c>
      <c r="AC1119">
        <v>3.2389000000000001</v>
      </c>
      <c r="AD1119">
        <v>-1.1022542524900001</v>
      </c>
      <c r="AE1119">
        <v>-4.9663999999999602</v>
      </c>
      <c r="AF1119">
        <v>3.01276403814345</v>
      </c>
      <c r="AG1119">
        <v>-1.1022542524900001</v>
      </c>
      <c r="AH1119">
        <v>4.8753798406140803</v>
      </c>
      <c r="AI1119">
        <v>100.88658848095</v>
      </c>
      <c r="AJ1119">
        <v>58.285811699031598</v>
      </c>
      <c r="AK1119">
        <v>5.8361836997244101</v>
      </c>
      <c r="AL1119">
        <v>89.191862082594696</v>
      </c>
      <c r="AM1119">
        <v>80.385451135794</v>
      </c>
      <c r="AN1119">
        <v>1.0000000137576199</v>
      </c>
    </row>
    <row r="1120" spans="1:40" x14ac:dyDescent="0.25">
      <c r="A1120" t="str">
        <f>"20190312154234096"</f>
        <v>20190312154234096</v>
      </c>
      <c r="B1120" t="str">
        <f>"1552376554088598"</f>
        <v>1552376554088598</v>
      </c>
      <c r="C1120" t="s">
        <v>40</v>
      </c>
      <c r="D1120">
        <v>5.0975669999999997</v>
      </c>
      <c r="E1120">
        <v>0.65149040000000003</v>
      </c>
      <c r="F1120" t="s">
        <v>47</v>
      </c>
      <c r="G1120">
        <v>-199.6489</v>
      </c>
      <c r="H1120" s="1">
        <v>-1.02351E-5</v>
      </c>
      <c r="I1120">
        <v>359.60989999999998</v>
      </c>
      <c r="J1120">
        <v>-202.8698</v>
      </c>
      <c r="K1120">
        <v>1.1021620000000001</v>
      </c>
      <c r="L1120">
        <v>364.61270000000002</v>
      </c>
      <c r="M1120">
        <v>0.90231110000000003</v>
      </c>
      <c r="N1120">
        <v>0</v>
      </c>
      <c r="O1120">
        <v>-0.43082389999999998</v>
      </c>
      <c r="P1120">
        <v>0.81759459999999995</v>
      </c>
      <c r="Q1120">
        <v>2.524377E-3</v>
      </c>
      <c r="R1120">
        <v>-0.575789</v>
      </c>
      <c r="S1120">
        <v>1.7780910000000001</v>
      </c>
      <c r="T1120">
        <v>-0.58842150000000004</v>
      </c>
      <c r="U1120">
        <v>-2.7020870000000001</v>
      </c>
      <c r="V1120">
        <v>0.1676378</v>
      </c>
      <c r="W1120">
        <v>1.3925409999999999E-2</v>
      </c>
      <c r="X1120">
        <v>0.98575029999999997</v>
      </c>
      <c r="Y1120">
        <v>0.51540109999999995</v>
      </c>
      <c r="Z1120">
        <v>3.2521300000000003E-2</v>
      </c>
      <c r="AA1120">
        <v>0.85633179999999998</v>
      </c>
      <c r="AB1120">
        <v>25</v>
      </c>
      <c r="AC1120">
        <v>3.2208999999999999</v>
      </c>
      <c r="AD1120">
        <v>-1.1021722351000001</v>
      </c>
      <c r="AE1120">
        <v>-5.0028000000000299</v>
      </c>
      <c r="AF1120">
        <v>3.0230610851617401</v>
      </c>
      <c r="AG1120">
        <v>-1.1021722351000001</v>
      </c>
      <c r="AH1120">
        <v>4.8942113657299497</v>
      </c>
      <c r="AI1120">
        <v>100.846203711873</v>
      </c>
      <c r="AJ1120">
        <v>58.297165095427502</v>
      </c>
      <c r="AK1120">
        <v>5.8572166472553198</v>
      </c>
      <c r="AL1120">
        <v>89.202106991274704</v>
      </c>
      <c r="AM1120">
        <v>80.348551166276096</v>
      </c>
      <c r="AN1120">
        <v>1.00000000149129</v>
      </c>
    </row>
    <row r="1121" spans="1:40" x14ac:dyDescent="0.25">
      <c r="A1121" t="str">
        <f>"20190312154234107"</f>
        <v>20190312154234107</v>
      </c>
      <c r="B1121" t="str">
        <f>"1552376554098358"</f>
        <v>1552376554098358</v>
      </c>
      <c r="C1121" t="s">
        <v>40</v>
      </c>
      <c r="D1121">
        <v>5.1095110000000004</v>
      </c>
      <c r="E1121">
        <v>0.65111660000000005</v>
      </c>
      <c r="F1121" t="s">
        <v>47</v>
      </c>
      <c r="G1121">
        <v>-199.56880000000001</v>
      </c>
      <c r="H1121" s="1">
        <v>-6.7577889999999998E-6</v>
      </c>
      <c r="I1121">
        <v>359.52859999999998</v>
      </c>
      <c r="J1121">
        <v>-202.75630000000001</v>
      </c>
      <c r="K1121">
        <v>1.102077</v>
      </c>
      <c r="L1121">
        <v>364.55149999999998</v>
      </c>
      <c r="M1121">
        <v>0.89957430000000005</v>
      </c>
      <c r="N1121">
        <v>0</v>
      </c>
      <c r="O1121">
        <v>-0.43650899999999998</v>
      </c>
      <c r="P1121">
        <v>0.81343209999999999</v>
      </c>
      <c r="Q1121">
        <v>2.0612159999999998E-3</v>
      </c>
      <c r="R1121">
        <v>-0.58165649999999902</v>
      </c>
      <c r="S1121">
        <v>1.761002</v>
      </c>
      <c r="T1121">
        <v>-0.58799559999999995</v>
      </c>
      <c r="U1121">
        <v>-2.7122799999999998</v>
      </c>
      <c r="V1121">
        <v>0.16850300000000001</v>
      </c>
      <c r="W1121">
        <v>1.343097E-2</v>
      </c>
      <c r="X1121">
        <v>0.98560970000000003</v>
      </c>
      <c r="Y1121">
        <v>0.51533339999999905</v>
      </c>
      <c r="Z1121">
        <v>3.3672439999999998E-2</v>
      </c>
      <c r="AA1121">
        <v>0.85632809999999904</v>
      </c>
      <c r="AB1121">
        <v>25</v>
      </c>
      <c r="AC1121">
        <v>3.1875</v>
      </c>
      <c r="AD1121">
        <v>-1.1020837577889999</v>
      </c>
      <c r="AE1121">
        <v>-5.0228999999999902</v>
      </c>
      <c r="AF1121">
        <v>3.0236787744429798</v>
      </c>
      <c r="AG1121">
        <v>-1.1020837577889999</v>
      </c>
      <c r="AH1121">
        <v>4.8925901978345303</v>
      </c>
      <c r="AI1121">
        <v>100.84729491734799</v>
      </c>
      <c r="AJ1121">
        <v>58.283442995715298</v>
      </c>
      <c r="AK1121">
        <v>5.8561643406026302</v>
      </c>
      <c r="AL1121">
        <v>89.230439017138295</v>
      </c>
      <c r="AM1121">
        <v>80.298325391042098</v>
      </c>
      <c r="AN1121">
        <v>1.00000006634911</v>
      </c>
    </row>
    <row r="1122" spans="1:40" x14ac:dyDescent="0.25">
      <c r="A1122" t="str">
        <f>"20190312154234118"</f>
        <v>20190312154234118</v>
      </c>
      <c r="B1122" t="str">
        <f>"1552376554108119"</f>
        <v>1552376554108119</v>
      </c>
      <c r="C1122" t="s">
        <v>40</v>
      </c>
      <c r="D1122">
        <v>5.1030160000000002</v>
      </c>
      <c r="E1122">
        <v>0.65070309999999998</v>
      </c>
      <c r="F1122" t="s">
        <v>47</v>
      </c>
      <c r="G1122">
        <v>-199.48910000000001</v>
      </c>
      <c r="H1122" s="1">
        <v>-6.7177729999999998E-6</v>
      </c>
      <c r="I1122">
        <v>359.44630000000001</v>
      </c>
      <c r="J1122">
        <v>-202.6454</v>
      </c>
      <c r="K1122">
        <v>1.101985</v>
      </c>
      <c r="L1122">
        <v>364.49009999999998</v>
      </c>
      <c r="M1122">
        <v>0.89678939999999996</v>
      </c>
      <c r="N1122">
        <v>0</v>
      </c>
      <c r="O1122">
        <v>-0.44220100000000001</v>
      </c>
      <c r="P1122">
        <v>0.80940749999999995</v>
      </c>
      <c r="Q1122">
        <v>2.027577E-3</v>
      </c>
      <c r="R1122">
        <v>-0.58724399999999999</v>
      </c>
      <c r="S1122">
        <v>1.7425379999999999</v>
      </c>
      <c r="T1122">
        <v>-0.58779479999999995</v>
      </c>
      <c r="U1122">
        <v>-2.7228699999999999</v>
      </c>
      <c r="V1122">
        <v>0.16904640000000001</v>
      </c>
      <c r="W1122">
        <v>1.337471E-2</v>
      </c>
      <c r="X1122">
        <v>0.98551730000000004</v>
      </c>
      <c r="Y1122">
        <v>0.51560070000000002</v>
      </c>
      <c r="Z1122">
        <v>3.4808099999999897E-2</v>
      </c>
      <c r="AA1122">
        <v>0.85612169999999899</v>
      </c>
      <c r="AB1122">
        <v>25</v>
      </c>
      <c r="AC1122">
        <v>3.1562999999999799</v>
      </c>
      <c r="AD1122">
        <v>-1.1019917177730001</v>
      </c>
      <c r="AE1122">
        <v>-5.0437999999999699</v>
      </c>
      <c r="AF1122">
        <v>3.02412704445464</v>
      </c>
      <c r="AG1122">
        <v>-1.1019917177730001</v>
      </c>
      <c r="AH1122">
        <v>4.8936205091170999</v>
      </c>
      <c r="AI1122">
        <v>100.84436337872199</v>
      </c>
      <c r="AJ1122">
        <v>58.285039844700101</v>
      </c>
      <c r="AK1122">
        <v>5.8572392655835497</v>
      </c>
      <c r="AL1122">
        <v>89.233662684321402</v>
      </c>
      <c r="AM1122">
        <v>80.266741148327597</v>
      </c>
      <c r="AN1122">
        <v>0.99999995840991596</v>
      </c>
    </row>
    <row r="1123" spans="1:40" x14ac:dyDescent="0.25">
      <c r="A1123" t="str">
        <f>"20190312154234130"</f>
        <v>20190312154234130</v>
      </c>
      <c r="B1123" t="str">
        <f>"1552376554118855"</f>
        <v>1552376554118855</v>
      </c>
      <c r="C1123" t="s">
        <v>40</v>
      </c>
      <c r="D1123">
        <v>5.1278819999999996</v>
      </c>
      <c r="E1123">
        <v>0.65030650000000001</v>
      </c>
      <c r="F1123" t="s">
        <v>47</v>
      </c>
      <c r="G1123">
        <v>-199.4032</v>
      </c>
      <c r="H1123" s="1">
        <v>-6.6740799999999996E-6</v>
      </c>
      <c r="I1123">
        <v>359.35590000000002</v>
      </c>
      <c r="J1123">
        <v>-202.53200000000001</v>
      </c>
      <c r="K1123">
        <v>1.101898</v>
      </c>
      <c r="L1123">
        <v>364.42680000000001</v>
      </c>
      <c r="M1123">
        <v>0.89388319999999999</v>
      </c>
      <c r="N1123">
        <v>0</v>
      </c>
      <c r="O1123">
        <v>-0.44804579999999999</v>
      </c>
      <c r="P1123">
        <v>0.8052108</v>
      </c>
      <c r="Q1123">
        <v>2.2904570000000001E-3</v>
      </c>
      <c r="R1123">
        <v>-0.59298469999999903</v>
      </c>
      <c r="S1123">
        <v>1.7254940000000001</v>
      </c>
      <c r="T1123">
        <v>-0.58647159999999998</v>
      </c>
      <c r="U1123">
        <v>-2.7323909999999998</v>
      </c>
      <c r="V1123">
        <v>0.16962940000000001</v>
      </c>
      <c r="W1123">
        <v>1.3613109999999999E-2</v>
      </c>
      <c r="X1123">
        <v>0.98541389999999995</v>
      </c>
      <c r="Y1123">
        <v>0.51525399999999999</v>
      </c>
      <c r="Z1123">
        <v>3.5971839999999998E-2</v>
      </c>
      <c r="AA1123">
        <v>0.85628230000000005</v>
      </c>
      <c r="AB1123">
        <v>25</v>
      </c>
      <c r="AC1123">
        <v>3.1288000000000098</v>
      </c>
      <c r="AD1123">
        <v>-1.10190467407999</v>
      </c>
      <c r="AE1123">
        <v>-5.0708999999999902</v>
      </c>
      <c r="AF1123">
        <v>3.0277559741975799</v>
      </c>
      <c r="AG1123">
        <v>-1.10190467407999</v>
      </c>
      <c r="AH1123">
        <v>4.9017189760311703</v>
      </c>
      <c r="AI1123">
        <v>100.82736208547099</v>
      </c>
      <c r="AJ1123">
        <v>58.296677911805801</v>
      </c>
      <c r="AK1123">
        <v>5.8658630285775102</v>
      </c>
      <c r="AL1123">
        <v>89.220002160299401</v>
      </c>
      <c r="AM1123">
        <v>80.232813803662296</v>
      </c>
      <c r="AN1123">
        <v>1.0000000022107201</v>
      </c>
    </row>
    <row r="1124" spans="1:40" x14ac:dyDescent="0.25">
      <c r="A1124" t="str">
        <f>"20190312154234142"</f>
        <v>20190312154234142</v>
      </c>
      <c r="B1124" t="str">
        <f>"1552376554138374"</f>
        <v>1552376554138374</v>
      </c>
      <c r="C1124" t="s">
        <v>40</v>
      </c>
      <c r="D1124">
        <v>5.1105589999999896</v>
      </c>
      <c r="E1124">
        <v>0.64989710000000001</v>
      </c>
      <c r="F1124" t="s">
        <v>47</v>
      </c>
      <c r="G1124">
        <v>-199.31440000000001</v>
      </c>
      <c r="H1124" s="1">
        <v>-6.6277040000000002E-6</v>
      </c>
      <c r="I1124">
        <v>359.25880000000001</v>
      </c>
      <c r="J1124">
        <v>-202.41810000000001</v>
      </c>
      <c r="K1124">
        <v>1.101807</v>
      </c>
      <c r="L1124">
        <v>364.36169999999998</v>
      </c>
      <c r="M1124">
        <v>0.890856599999999</v>
      </c>
      <c r="N1124">
        <v>0</v>
      </c>
      <c r="O1124">
        <v>-0.45403280000000001</v>
      </c>
      <c r="P1124">
        <v>0.80064550000000001</v>
      </c>
      <c r="Q1124">
        <v>2.8673850000000001E-3</v>
      </c>
      <c r="R1124">
        <v>-0.59913159999999999</v>
      </c>
      <c r="S1124">
        <v>1.707611</v>
      </c>
      <c r="T1124">
        <v>-0.58477939999999995</v>
      </c>
      <c r="U1124">
        <v>-2.742645</v>
      </c>
      <c r="V1124">
        <v>0.170578799999999</v>
      </c>
      <c r="W1124">
        <v>1.415712E-2</v>
      </c>
      <c r="X1124">
        <v>0.98524230000000002</v>
      </c>
      <c r="Y1124">
        <v>0.51504719999999904</v>
      </c>
      <c r="Z1124">
        <v>3.7121609999999999E-2</v>
      </c>
      <c r="AA1124">
        <v>0.85635759999999905</v>
      </c>
      <c r="AB1124">
        <v>25</v>
      </c>
      <c r="AC1124">
        <v>3.1036999999999999</v>
      </c>
      <c r="AD1124">
        <v>-1.101813627704</v>
      </c>
      <c r="AE1124">
        <v>-5.1028999999999698</v>
      </c>
      <c r="AF1124">
        <v>3.0338815406944</v>
      </c>
      <c r="AG1124">
        <v>-1.101813627704</v>
      </c>
      <c r="AH1124">
        <v>4.9151466526440499</v>
      </c>
      <c r="AI1124">
        <v>100.79968777315599</v>
      </c>
      <c r="AJ1124">
        <v>58.3149794969504</v>
      </c>
      <c r="AK1124">
        <v>5.8802293399287198</v>
      </c>
      <c r="AL1124">
        <v>89.188829652034798</v>
      </c>
      <c r="AM1124">
        <v>80.177532163988801</v>
      </c>
      <c r="AN1124">
        <v>0.99999997038271105</v>
      </c>
    </row>
    <row r="1125" spans="1:40" x14ac:dyDescent="0.25">
      <c r="A1125" t="str">
        <f>"20190312154234155"</f>
        <v>20190312154234155</v>
      </c>
      <c r="B1125" t="str">
        <f>"1552376554148135"</f>
        <v>1552376554148135</v>
      </c>
      <c r="C1125" t="s">
        <v>40</v>
      </c>
      <c r="D1125">
        <v>5.1418650000000001</v>
      </c>
      <c r="E1125">
        <v>0.63551859999999905</v>
      </c>
      <c r="F1125" t="s">
        <v>47</v>
      </c>
      <c r="G1125">
        <v>-199.22630000000001</v>
      </c>
      <c r="H1125" s="1">
        <v>-6.5802250000000002E-6</v>
      </c>
      <c r="I1125">
        <v>359.15800000000002</v>
      </c>
      <c r="J1125">
        <v>-202.28630000000001</v>
      </c>
      <c r="K1125">
        <v>1.1016999999999999</v>
      </c>
      <c r="L1125">
        <v>364.28519999999997</v>
      </c>
      <c r="M1125">
        <v>0.88725239999999905</v>
      </c>
      <c r="N1125">
        <v>0</v>
      </c>
      <c r="O1125">
        <v>-0.46103539999999998</v>
      </c>
      <c r="P1125">
        <v>0.79549890000000001</v>
      </c>
      <c r="Q1125">
        <v>3.464946E-3</v>
      </c>
      <c r="R1125">
        <v>-0.60594550000000003</v>
      </c>
      <c r="S1125">
        <v>1.6887509999999999</v>
      </c>
      <c r="T1125">
        <v>-0.58297069999999995</v>
      </c>
      <c r="U1125">
        <v>-2.7532960000000002</v>
      </c>
      <c r="V1125">
        <v>0.1712485</v>
      </c>
      <c r="W1125">
        <v>1.4726889999999999E-2</v>
      </c>
      <c r="X1125">
        <v>0.98511780000000004</v>
      </c>
      <c r="Y1125">
        <v>0.51413829999999905</v>
      </c>
      <c r="Z1125">
        <v>3.8537189999999999E-2</v>
      </c>
      <c r="AA1125">
        <v>0.85684110000000002</v>
      </c>
      <c r="AB1125">
        <v>25</v>
      </c>
      <c r="AC1125">
        <v>3.06</v>
      </c>
      <c r="AD1125">
        <v>-1.1017065802249999</v>
      </c>
      <c r="AE1125">
        <v>-5.1271999999999496</v>
      </c>
      <c r="AF1125">
        <v>3.03537376480207</v>
      </c>
      <c r="AG1125">
        <v>-1.1017065802249999</v>
      </c>
      <c r="AH1125">
        <v>4.9121624943146402</v>
      </c>
      <c r="AI1125">
        <v>100.801867820729</v>
      </c>
      <c r="AJ1125">
        <v>58.286827038273699</v>
      </c>
      <c r="AK1125">
        <v>5.8784854896062404</v>
      </c>
      <c r="AL1125">
        <v>89.156180858526199</v>
      </c>
      <c r="AM1125">
        <v>80.138502506347294</v>
      </c>
      <c r="AN1125">
        <v>1.00000000495908</v>
      </c>
    </row>
    <row r="1126" spans="1:40" x14ac:dyDescent="0.25">
      <c r="A1126" t="str">
        <f>"20190312154234171"</f>
        <v>20190312154234171</v>
      </c>
      <c r="B1126" t="str">
        <f>"1552376554168630"</f>
        <v>1552376554168630</v>
      </c>
      <c r="C1126" t="s">
        <v>40</v>
      </c>
      <c r="D1126">
        <v>5.1199190000000003</v>
      </c>
      <c r="E1126">
        <v>0.63338249999999996</v>
      </c>
      <c r="F1126" t="s">
        <v>47</v>
      </c>
      <c r="G1126">
        <v>-199.0128</v>
      </c>
      <c r="H1126" s="1">
        <v>-6.5728029999999999E-6</v>
      </c>
      <c r="I1126">
        <v>359.2355</v>
      </c>
      <c r="J1126">
        <v>-202.1337</v>
      </c>
      <c r="K1126">
        <v>1.1015809999999999</v>
      </c>
      <c r="L1126">
        <v>364.19499999999999</v>
      </c>
      <c r="M1126">
        <v>0.88293459999999901</v>
      </c>
      <c r="N1126">
        <v>0</v>
      </c>
      <c r="O1126">
        <v>-0.46925020000000001</v>
      </c>
      <c r="P1126">
        <v>0.78854639999999998</v>
      </c>
      <c r="Q1126">
        <v>5.3467890000000002E-3</v>
      </c>
      <c r="R1126">
        <v>-0.61495239999999995</v>
      </c>
      <c r="S1126">
        <v>1.7350159999999999</v>
      </c>
      <c r="T1126">
        <v>-0.58392599999999995</v>
      </c>
      <c r="U1126">
        <v>-2.6764830000000002</v>
      </c>
      <c r="V1126">
        <v>0.17335819999999999</v>
      </c>
      <c r="W1126">
        <v>1.6544840000000002E-2</v>
      </c>
      <c r="X1126">
        <v>0.98471989999999998</v>
      </c>
      <c r="Y1126">
        <v>0.48497659999999998</v>
      </c>
      <c r="Z1126">
        <v>4.366358E-2</v>
      </c>
      <c r="AA1126">
        <v>0.87343649999999995</v>
      </c>
      <c r="AB1126">
        <v>25</v>
      </c>
      <c r="AC1126">
        <v>3.1208999999999998</v>
      </c>
      <c r="AD1126">
        <v>-1.101587572803</v>
      </c>
      <c r="AE1126">
        <v>-4.9594999999999896</v>
      </c>
      <c r="AF1126">
        <v>2.81527266962628</v>
      </c>
      <c r="AG1126">
        <v>-1.101587572803</v>
      </c>
      <c r="AH1126">
        <v>4.9098634989966197</v>
      </c>
      <c r="AI1126">
        <v>101.014123514651</v>
      </c>
      <c r="AJ1126">
        <v>60.170418837595001</v>
      </c>
      <c r="AK1126">
        <v>5.76593574050891</v>
      </c>
      <c r="AL1126">
        <v>89.052007279947006</v>
      </c>
      <c r="AM1126">
        <v>80.015490128077303</v>
      </c>
      <c r="AN1126">
        <v>1.0000000393469299</v>
      </c>
    </row>
    <row r="1127" spans="1:40" x14ac:dyDescent="0.25">
      <c r="A1127" t="str">
        <f>"20190312154234184"</f>
        <v>20190312154234184</v>
      </c>
      <c r="B1127" t="str">
        <f>"1552376554178391"</f>
        <v>1552376554178391</v>
      </c>
      <c r="C1127" t="s">
        <v>40</v>
      </c>
      <c r="D1127">
        <v>5.1586650000000001</v>
      </c>
      <c r="E1127">
        <v>0.63311830000000002</v>
      </c>
      <c r="F1127" t="s">
        <v>47</v>
      </c>
      <c r="G1127">
        <v>-198.8244</v>
      </c>
      <c r="H1127" s="1">
        <v>-6.4721710000000003E-6</v>
      </c>
      <c r="I1127">
        <v>359.02269999999999</v>
      </c>
      <c r="J1127">
        <v>-202.00299999999999</v>
      </c>
      <c r="K1127">
        <v>1.1014820000000001</v>
      </c>
      <c r="L1127">
        <v>364.11579999999998</v>
      </c>
      <c r="M1127">
        <v>0.87909159999999997</v>
      </c>
      <c r="N1127">
        <v>0</v>
      </c>
      <c r="O1127">
        <v>-0.47640979999999999</v>
      </c>
      <c r="P1127">
        <v>0.78293219999999997</v>
      </c>
      <c r="Q1127">
        <v>5.8401109999999899E-3</v>
      </c>
      <c r="R1127">
        <v>-0.62208009999999903</v>
      </c>
      <c r="S1127">
        <v>1.7163389999999901</v>
      </c>
      <c r="T1127">
        <v>-0.57132899999999998</v>
      </c>
      <c r="U1127">
        <v>-2.6825559999999999</v>
      </c>
      <c r="V1127">
        <v>0.1743055</v>
      </c>
      <c r="W1127">
        <v>1.7004930000000001E-2</v>
      </c>
      <c r="X1127">
        <v>0.9845448</v>
      </c>
      <c r="Y1127">
        <v>0.4832091</v>
      </c>
      <c r="Z1127">
        <v>4.4419170000000001E-2</v>
      </c>
      <c r="AA1127">
        <v>0.87437749999999903</v>
      </c>
      <c r="AB1127">
        <v>25</v>
      </c>
      <c r="AC1127">
        <v>3.1785999999999799</v>
      </c>
      <c r="AD1127">
        <v>-1.1014884721709901</v>
      </c>
      <c r="AE1127">
        <v>-5.09309999999999</v>
      </c>
      <c r="AF1127">
        <v>2.8668260541840098</v>
      </c>
      <c r="AG1127">
        <v>-1.1014884721709901</v>
      </c>
      <c r="AH1127">
        <v>5.0512539683139099</v>
      </c>
      <c r="AI1127">
        <v>100.738468569955</v>
      </c>
      <c r="AJ1127">
        <v>60.423035324857402</v>
      </c>
      <c r="AK1127">
        <v>5.9116101978801696</v>
      </c>
      <c r="AL1127">
        <v>89.025642336053707</v>
      </c>
      <c r="AM1127">
        <v>79.960288426917899</v>
      </c>
      <c r="AN1127">
        <v>1.0000000190907901</v>
      </c>
    </row>
    <row r="1128" spans="1:40" x14ac:dyDescent="0.25">
      <c r="A1128" t="str">
        <f>"20190312154234204"</f>
        <v>20190312154234204</v>
      </c>
      <c r="B1128" t="str">
        <f>"1552376554198885"</f>
        <v>1552376554198885</v>
      </c>
      <c r="C1128" t="s">
        <v>40</v>
      </c>
      <c r="D1128">
        <v>5.1261239999999999</v>
      </c>
      <c r="E1128">
        <v>0.63243939999999998</v>
      </c>
      <c r="F1128" t="s">
        <v>47</v>
      </c>
      <c r="G1128">
        <v>-198.7286</v>
      </c>
      <c r="H1128" s="1">
        <v>-6.4164559999999898E-6</v>
      </c>
      <c r="I1128">
        <v>358.90100000000001</v>
      </c>
      <c r="J1128">
        <v>-201.8099</v>
      </c>
      <c r="K1128">
        <v>1.101334</v>
      </c>
      <c r="L1128">
        <v>363.99599999999998</v>
      </c>
      <c r="M1128">
        <v>0.87317500000000003</v>
      </c>
      <c r="N1128">
        <v>0</v>
      </c>
      <c r="O1128">
        <v>-0.48716739999999997</v>
      </c>
      <c r="P1128">
        <v>0.7737195</v>
      </c>
      <c r="Q1128">
        <v>5.4201680000000004E-3</v>
      </c>
      <c r="R1128">
        <v>-0.63350519999999999</v>
      </c>
      <c r="S1128">
        <v>1.693298</v>
      </c>
      <c r="T1128">
        <v>-0.56961240000000002</v>
      </c>
      <c r="U1128">
        <v>-2.6967469999999998</v>
      </c>
      <c r="V1128">
        <v>0.1766644</v>
      </c>
      <c r="W1128">
        <v>1.6513369999999999E-2</v>
      </c>
      <c r="X1128">
        <v>0.98413260000000002</v>
      </c>
      <c r="Y1128">
        <v>0.48005360000000002</v>
      </c>
      <c r="Z1128">
        <v>4.6760790000000003E-2</v>
      </c>
      <c r="AA1128">
        <v>0.87599199999999999</v>
      </c>
      <c r="AB1128">
        <v>25</v>
      </c>
      <c r="AC1128">
        <v>3.0812999999999899</v>
      </c>
      <c r="AD1128">
        <v>-1.1013404164559999</v>
      </c>
      <c r="AE1128">
        <v>-5.0949999999999598</v>
      </c>
      <c r="AF1128">
        <v>2.8505376651482202</v>
      </c>
      <c r="AG1128">
        <v>-1.1013404164559999</v>
      </c>
      <c r="AH1128">
        <v>5.0021012371571798</v>
      </c>
      <c r="AI1128">
        <v>100.829528387127</v>
      </c>
      <c r="AJ1128">
        <v>60.322566480703301</v>
      </c>
      <c r="AK1128">
        <v>5.8617004768341401</v>
      </c>
      <c r="AL1128">
        <v>89.053810575832401</v>
      </c>
      <c r="AM1128">
        <v>79.823066951837106</v>
      </c>
      <c r="AN1128">
        <v>0.99999998799943801</v>
      </c>
    </row>
    <row r="1129" spans="1:40" x14ac:dyDescent="0.25">
      <c r="A1129" t="str">
        <f>"20190312154234217"</f>
        <v>20190312154234217</v>
      </c>
      <c r="B1129" t="str">
        <f>"1552376554208647"</f>
        <v>1552376554208647</v>
      </c>
      <c r="C1129" t="s">
        <v>40</v>
      </c>
      <c r="D1129">
        <v>5.1889500000000002</v>
      </c>
      <c r="E1129">
        <v>0.63214619999999999</v>
      </c>
      <c r="F1129" t="s">
        <v>47</v>
      </c>
      <c r="G1129">
        <v>-198.7105</v>
      </c>
      <c r="H1129" s="1">
        <v>-6.4175300000000004E-6</v>
      </c>
      <c r="I1129">
        <v>358.91269999999997</v>
      </c>
      <c r="J1129">
        <v>-201.69120000000001</v>
      </c>
      <c r="K1129">
        <v>1.1012390000000001</v>
      </c>
      <c r="L1129">
        <v>363.92020000000002</v>
      </c>
      <c r="M1129">
        <v>0.86937880000000001</v>
      </c>
      <c r="N1129">
        <v>0</v>
      </c>
      <c r="O1129">
        <v>-0.49390899999999999</v>
      </c>
      <c r="P1129">
        <v>0.76844780000000001</v>
      </c>
      <c r="Q1129">
        <v>5.2672999999999999E-3</v>
      </c>
      <c r="R1129">
        <v>-0.63989130000000005</v>
      </c>
      <c r="S1129">
        <v>1.6567080000000001</v>
      </c>
      <c r="T1129">
        <v>-0.58870069999999997</v>
      </c>
      <c r="U1129">
        <v>-2.7171940000000001</v>
      </c>
      <c r="V1129">
        <v>0.17719989999999999</v>
      </c>
      <c r="W1129">
        <v>1.633983E-2</v>
      </c>
      <c r="X1129">
        <v>0.9840392</v>
      </c>
      <c r="Y1129">
        <v>0.48477019999999998</v>
      </c>
      <c r="Z1129">
        <v>4.927699E-2</v>
      </c>
      <c r="AA1129">
        <v>0.87325229999999998</v>
      </c>
      <c r="AB1129">
        <v>25</v>
      </c>
      <c r="AC1129">
        <v>2.9807000000000099</v>
      </c>
      <c r="AD1129">
        <v>-1.1012454175299999</v>
      </c>
      <c r="AE1129">
        <v>-5.00750000000005</v>
      </c>
      <c r="AF1129">
        <v>2.7822015741760899</v>
      </c>
      <c r="AG1129">
        <v>-1.1012454175299999</v>
      </c>
      <c r="AH1129">
        <v>4.89055254537596</v>
      </c>
      <c r="AI1129">
        <v>101.07409815242001</v>
      </c>
      <c r="AJ1129">
        <v>60.364751119819999</v>
      </c>
      <c r="AK1129">
        <v>5.7333141609423501</v>
      </c>
      <c r="AL1129">
        <v>89.063755011264703</v>
      </c>
      <c r="AM1129">
        <v>79.791918089252206</v>
      </c>
      <c r="AN1129">
        <v>0.99999997087053905</v>
      </c>
    </row>
    <row r="1130" spans="1:40" x14ac:dyDescent="0.25">
      <c r="A1130" t="str">
        <f>"20190312154234233"</f>
        <v>20190312154234233</v>
      </c>
      <c r="B1130" t="str">
        <f>"1552376554228166"</f>
        <v>1552376554228166</v>
      </c>
      <c r="C1130" t="s">
        <v>40</v>
      </c>
      <c r="D1130">
        <v>5.1653079999999996</v>
      </c>
      <c r="E1130">
        <v>0.63112060000000003</v>
      </c>
      <c r="F1130" t="s">
        <v>47</v>
      </c>
      <c r="G1130">
        <v>-198.64510000000001</v>
      </c>
      <c r="H1130" s="1">
        <v>-6.382219E-6</v>
      </c>
      <c r="I1130">
        <v>358.83769999999998</v>
      </c>
      <c r="J1130">
        <v>-201.56010000000001</v>
      </c>
      <c r="K1130">
        <v>1.101137</v>
      </c>
      <c r="L1130">
        <v>363.83539999999999</v>
      </c>
      <c r="M1130">
        <v>0.86507179999999995</v>
      </c>
      <c r="N1130">
        <v>0</v>
      </c>
      <c r="O1130">
        <v>-0.5014132</v>
      </c>
      <c r="P1130">
        <v>0.76242290000000001</v>
      </c>
      <c r="Q1130">
        <v>5.6387470000000004E-3</v>
      </c>
      <c r="R1130">
        <v>-0.64705500000000005</v>
      </c>
      <c r="S1130">
        <v>1.635559</v>
      </c>
      <c r="T1130">
        <v>-0.59130669999999996</v>
      </c>
      <c r="U1130">
        <v>-2.729034</v>
      </c>
      <c r="V1130">
        <v>0.1779085</v>
      </c>
      <c r="W1130">
        <v>1.668501E-2</v>
      </c>
      <c r="X1130">
        <v>0.98390560000000005</v>
      </c>
      <c r="Y1130">
        <v>0.48394759999999998</v>
      </c>
      <c r="Z1130">
        <v>5.1163529999999999E-2</v>
      </c>
      <c r="AA1130">
        <v>0.87360009999999999</v>
      </c>
      <c r="AB1130">
        <v>25</v>
      </c>
      <c r="AC1130">
        <v>2.9149999999999898</v>
      </c>
      <c r="AD1130">
        <v>-1.101143382219</v>
      </c>
      <c r="AE1130">
        <v>-4.9977</v>
      </c>
      <c r="AF1130">
        <v>2.7620393312003801</v>
      </c>
      <c r="AG1130">
        <v>-1.101143382219</v>
      </c>
      <c r="AH1130">
        <v>4.8524229855236598</v>
      </c>
      <c r="AI1130">
        <v>101.15645927976701</v>
      </c>
      <c r="AJ1130">
        <v>60.351109791615997</v>
      </c>
      <c r="AK1130">
        <v>5.6909917277870701</v>
      </c>
      <c r="AL1130">
        <v>89.043975010114096</v>
      </c>
      <c r="AM1130">
        <v>79.7505986189976</v>
      </c>
      <c r="AN1130">
        <v>1.00000002682115</v>
      </c>
    </row>
    <row r="1131" spans="1:40" x14ac:dyDescent="0.25">
      <c r="A1131" t="str">
        <f>"20190312154234245"</f>
        <v>20190312154234245</v>
      </c>
      <c r="B1131" t="str">
        <f>"1552376554238902"</f>
        <v>1552376554238902</v>
      </c>
      <c r="C1131" t="s">
        <v>40</v>
      </c>
      <c r="D1131">
        <v>5.1497409999999997</v>
      </c>
      <c r="E1131">
        <v>0.63066990000000001</v>
      </c>
      <c r="F1131" t="s">
        <v>47</v>
      </c>
      <c r="G1131">
        <v>-198.5607</v>
      </c>
      <c r="H1131" s="1">
        <v>-6.33991099999999E-6</v>
      </c>
      <c r="I1131">
        <v>358.75069999999999</v>
      </c>
      <c r="J1131">
        <v>-201.41909999999999</v>
      </c>
      <c r="K1131">
        <v>1.10103</v>
      </c>
      <c r="L1131">
        <v>363.74209999999999</v>
      </c>
      <c r="M1131">
        <v>0.86026329999999995</v>
      </c>
      <c r="N1131">
        <v>0</v>
      </c>
      <c r="O1131">
        <v>-0.50961789999999996</v>
      </c>
      <c r="P1131">
        <v>0.75570950000000003</v>
      </c>
      <c r="Q1131">
        <v>6.0416389999999997E-3</v>
      </c>
      <c r="R1131">
        <v>-0.65487919999999999</v>
      </c>
      <c r="S1131">
        <v>1.615265</v>
      </c>
      <c r="T1131">
        <v>-0.59300600000000003</v>
      </c>
      <c r="U1131">
        <v>-2.7383419999999998</v>
      </c>
      <c r="V1131">
        <v>0.17870849999999999</v>
      </c>
      <c r="W1131">
        <v>1.7059749999999999E-2</v>
      </c>
      <c r="X1131">
        <v>0.98375420000000002</v>
      </c>
      <c r="Y1131">
        <v>0.48184589999999999</v>
      </c>
      <c r="Z1131">
        <v>5.3286269999999997E-2</v>
      </c>
      <c r="AA1131">
        <v>0.87463429999999998</v>
      </c>
      <c r="AB1131">
        <v>25</v>
      </c>
      <c r="AC1131">
        <v>2.8583999999999801</v>
      </c>
      <c r="AD1131">
        <v>-1.1010363399109999</v>
      </c>
      <c r="AE1131">
        <v>-4.9913999999999898</v>
      </c>
      <c r="AF1131">
        <v>2.73726356977257</v>
      </c>
      <c r="AG1131">
        <v>-1.1010363399109999</v>
      </c>
      <c r="AH1131">
        <v>4.82642586558757</v>
      </c>
      <c r="AI1131">
        <v>101.223679959639</v>
      </c>
      <c r="AJ1131">
        <v>60.440654170860199</v>
      </c>
      <c r="AK1131">
        <v>5.6567905660561104</v>
      </c>
      <c r="AL1131">
        <v>89.022500950654006</v>
      </c>
      <c r="AM1131">
        <v>79.703943141429505</v>
      </c>
      <c r="AN1131">
        <v>1.0000000445299699</v>
      </c>
    </row>
    <row r="1132" spans="1:40" x14ac:dyDescent="0.25">
      <c r="A1132" t="str">
        <f>"20190312154234261"</f>
        <v>20190312154234261</v>
      </c>
      <c r="B1132" t="str">
        <f>"1552376554248662"</f>
        <v>1552376554248662</v>
      </c>
      <c r="C1132" t="s">
        <v>40</v>
      </c>
      <c r="D1132">
        <v>5.1598750000000004</v>
      </c>
      <c r="E1132">
        <v>0.63005599999999995</v>
      </c>
      <c r="F1132" t="s">
        <v>47</v>
      </c>
      <c r="G1132">
        <v>-198.45869999999999</v>
      </c>
      <c r="H1132" s="1">
        <v>-6.2782320000000003E-6</v>
      </c>
      <c r="I1132">
        <v>358.61399999999998</v>
      </c>
      <c r="J1132">
        <v>-201.27850000000001</v>
      </c>
      <c r="K1132">
        <v>1.1009370000000001</v>
      </c>
      <c r="L1132">
        <v>363.64659999999998</v>
      </c>
      <c r="M1132">
        <v>0.85527549999999997</v>
      </c>
      <c r="N1132">
        <v>0</v>
      </c>
      <c r="O1132">
        <v>-0.51794379999999995</v>
      </c>
      <c r="P1132">
        <v>0.74837010000000004</v>
      </c>
      <c r="Q1132">
        <v>7.3220630000000002E-3</v>
      </c>
      <c r="R1132">
        <v>-0.66324130000000003</v>
      </c>
      <c r="S1132">
        <v>1.589127</v>
      </c>
      <c r="T1132">
        <v>-0.59101680000000001</v>
      </c>
      <c r="U1132">
        <v>-2.7526549999999999</v>
      </c>
      <c r="V1132">
        <v>0.180138299999999</v>
      </c>
      <c r="W1132">
        <v>1.8297910000000001E-2</v>
      </c>
      <c r="X1132">
        <v>0.98347110000000004</v>
      </c>
      <c r="Y1132">
        <v>0.48163990000000001</v>
      </c>
      <c r="Z1132">
        <v>5.4906610000000002E-2</v>
      </c>
      <c r="AA1132">
        <v>0.87464759999999997</v>
      </c>
      <c r="AB1132">
        <v>25</v>
      </c>
      <c r="AC1132">
        <v>2.8198000000000101</v>
      </c>
      <c r="AD1132">
        <v>-1.1009432782320001</v>
      </c>
      <c r="AE1132">
        <v>-5.03259999999994</v>
      </c>
      <c r="AF1132">
        <v>2.7441515516357802</v>
      </c>
      <c r="AG1132">
        <v>-1.1009432782320001</v>
      </c>
      <c r="AH1132">
        <v>4.8425307203096501</v>
      </c>
      <c r="AI1132">
        <v>101.188544273688</v>
      </c>
      <c r="AJ1132">
        <v>60.460762690326902</v>
      </c>
      <c r="AK1132">
        <v>5.6738476907097199</v>
      </c>
      <c r="AL1132">
        <v>88.951548484780105</v>
      </c>
      <c r="AM1132">
        <v>79.620427627788899</v>
      </c>
      <c r="AN1132">
        <v>1.0000000125862301</v>
      </c>
    </row>
    <row r="1133" spans="1:40" x14ac:dyDescent="0.25">
      <c r="A1133" t="str">
        <f>"20190312154234275"</f>
        <v>20190312154234275</v>
      </c>
      <c r="B1133" t="str">
        <f>"1552376554268184"</f>
        <v>1552376554268184</v>
      </c>
      <c r="C1133" t="s">
        <v>40</v>
      </c>
      <c r="D1133">
        <v>5.1777119999999996</v>
      </c>
      <c r="E1133">
        <v>0.62861449999999996</v>
      </c>
      <c r="F1133" t="s">
        <v>47</v>
      </c>
      <c r="G1133">
        <v>-198.3417</v>
      </c>
      <c r="H1133" s="1">
        <v>-6.2041769999999901E-6</v>
      </c>
      <c r="I1133">
        <v>358.44740000000002</v>
      </c>
      <c r="J1133">
        <v>-201.15639999999999</v>
      </c>
      <c r="K1133">
        <v>1.100851</v>
      </c>
      <c r="L1133">
        <v>363.56220000000002</v>
      </c>
      <c r="M1133">
        <v>0.85080990000000001</v>
      </c>
      <c r="N1133">
        <v>0</v>
      </c>
      <c r="O1133">
        <v>-0.52524579999999998</v>
      </c>
      <c r="P1133">
        <v>0.74190540000000005</v>
      </c>
      <c r="Q1133">
        <v>8.0096769999999998E-3</v>
      </c>
      <c r="R1133">
        <v>-0.67045690000000002</v>
      </c>
      <c r="S1133">
        <v>1.5626530000000001</v>
      </c>
      <c r="T1133">
        <v>-0.58580949999999998</v>
      </c>
      <c r="U1133">
        <v>-2.7664789999999999</v>
      </c>
      <c r="V1133">
        <v>0.1812675</v>
      </c>
      <c r="W1133">
        <v>1.8951539999999999E-2</v>
      </c>
      <c r="X1133">
        <v>0.98325119999999999</v>
      </c>
      <c r="Y1133">
        <v>0.48242940000000001</v>
      </c>
      <c r="Z1133">
        <v>5.5914039999999998E-2</v>
      </c>
      <c r="AA1133">
        <v>0.87414849999999999</v>
      </c>
      <c r="AB1133">
        <v>25</v>
      </c>
      <c r="AC1133">
        <v>2.8146999999999802</v>
      </c>
      <c r="AD1133">
        <v>-1.1008572041769999</v>
      </c>
      <c r="AE1133">
        <v>-5.1147999999999998</v>
      </c>
      <c r="AF1133">
        <v>2.7749890678415401</v>
      </c>
      <c r="AG1133">
        <v>-1.1008572041769999</v>
      </c>
      <c r="AH1133">
        <v>4.9074209669695099</v>
      </c>
      <c r="AI1133">
        <v>101.049003776018</v>
      </c>
      <c r="AJ1133">
        <v>60.513233901316902</v>
      </c>
      <c r="AK1133">
        <v>5.7441475832085302</v>
      </c>
      <c r="AL1133">
        <v>88.9140917279056</v>
      </c>
      <c r="AM1133">
        <v>79.554506114844102</v>
      </c>
      <c r="AN1133">
        <v>0.99999999486303004</v>
      </c>
    </row>
    <row r="1134" spans="1:40" x14ac:dyDescent="0.25">
      <c r="A1134" t="str">
        <f>"20190312154234286"</f>
        <v>20190312154234286</v>
      </c>
      <c r="B1134" t="str">
        <f>"1552376554278919"</f>
        <v>1552376554278919</v>
      </c>
      <c r="C1134" t="s">
        <v>40</v>
      </c>
      <c r="D1134">
        <v>5.2014839999999998</v>
      </c>
      <c r="E1134">
        <v>0.62792429999999999</v>
      </c>
      <c r="F1134" t="s">
        <v>47</v>
      </c>
      <c r="G1134">
        <v>-198.24469999999999</v>
      </c>
      <c r="H1134" s="1">
        <v>-6.15074899999999E-6</v>
      </c>
      <c r="I1134">
        <v>358.33300000000003</v>
      </c>
      <c r="J1134">
        <v>-201.0369</v>
      </c>
      <c r="K1134">
        <v>1.1007670000000001</v>
      </c>
      <c r="L1134">
        <v>363.47820000000002</v>
      </c>
      <c r="M1134">
        <v>0.84631499999999904</v>
      </c>
      <c r="N1134">
        <v>0</v>
      </c>
      <c r="O1134">
        <v>-0.53245739999999997</v>
      </c>
      <c r="P1134">
        <v>0.73556849999999996</v>
      </c>
      <c r="Q1134">
        <v>9.0621899999999995E-3</v>
      </c>
      <c r="R1134">
        <v>-0.67739019999999905</v>
      </c>
      <c r="S1134">
        <v>1.5440370000000001</v>
      </c>
      <c r="T1134">
        <v>-0.58377119999999905</v>
      </c>
      <c r="U1134">
        <v>-2.7729490000000001</v>
      </c>
      <c r="V1134">
        <v>0.18217520000000001</v>
      </c>
      <c r="W1134">
        <v>1.9975590000000001E-2</v>
      </c>
      <c r="X1134">
        <v>0.98306320000000003</v>
      </c>
      <c r="Y1134">
        <v>0.48043130000000001</v>
      </c>
      <c r="Z1134">
        <v>5.7488089999999999E-2</v>
      </c>
      <c r="AA1134">
        <v>0.87514619999999999</v>
      </c>
      <c r="AB1134">
        <v>25</v>
      </c>
      <c r="AC1134">
        <v>2.7921999999999998</v>
      </c>
      <c r="AD1134">
        <v>-1.100773150749</v>
      </c>
      <c r="AE1134">
        <v>-5.1451999999999796</v>
      </c>
      <c r="AF1134">
        <v>2.7701302181910199</v>
      </c>
      <c r="AG1134">
        <v>-1.100773150749</v>
      </c>
      <c r="AH1134">
        <v>4.9290127894909403</v>
      </c>
      <c r="AI1134">
        <v>101.01687655912301</v>
      </c>
      <c r="AJ1134">
        <v>60.663792182446798</v>
      </c>
      <c r="AK1134">
        <v>5.7602508655535303</v>
      </c>
      <c r="AL1134">
        <v>88.8554069184909</v>
      </c>
      <c r="AM1134">
        <v>79.501397115871001</v>
      </c>
      <c r="AN1134">
        <v>1.0000000414425601</v>
      </c>
    </row>
    <row r="1135" spans="1:40" x14ac:dyDescent="0.25">
      <c r="A1135" t="str">
        <f>"20190312154234306"</f>
        <v>20190312154234306</v>
      </c>
      <c r="B1135" t="str">
        <f>"1552376554298438"</f>
        <v>1552376554298438</v>
      </c>
      <c r="C1135" t="s">
        <v>40</v>
      </c>
      <c r="D1135">
        <v>5.2222689999999998</v>
      </c>
      <c r="E1135">
        <v>0.62663259999999998</v>
      </c>
      <c r="F1135" t="s">
        <v>47</v>
      </c>
      <c r="G1135">
        <v>-198.14580000000001</v>
      </c>
      <c r="H1135" s="1">
        <v>-6.0893829999999998E-6</v>
      </c>
      <c r="I1135">
        <v>358.19589999999999</v>
      </c>
      <c r="J1135">
        <v>-200.8674</v>
      </c>
      <c r="K1135">
        <v>1.1006560000000001</v>
      </c>
      <c r="L1135">
        <v>363.35570000000001</v>
      </c>
      <c r="M1135">
        <v>0.83967190000000003</v>
      </c>
      <c r="N1135">
        <v>0</v>
      </c>
      <c r="O1135">
        <v>-0.54287149999999995</v>
      </c>
      <c r="P1135">
        <v>0.72560480000000005</v>
      </c>
      <c r="Q1135">
        <v>1.009318E-2</v>
      </c>
      <c r="R1135">
        <v>-0.68803760000000003</v>
      </c>
      <c r="S1135">
        <v>1.523026</v>
      </c>
      <c r="T1135">
        <v>-0.57988149999999905</v>
      </c>
      <c r="U1135">
        <v>-2.782715</v>
      </c>
      <c r="V1135">
        <v>0.1843958</v>
      </c>
      <c r="W1135">
        <v>2.0943369999999999E-2</v>
      </c>
      <c r="X1135">
        <v>0.98262890000000003</v>
      </c>
      <c r="Y1135">
        <v>0.4761321</v>
      </c>
      <c r="Z1135">
        <v>5.9720910000000002E-2</v>
      </c>
      <c r="AA1135">
        <v>0.87734349999999905</v>
      </c>
      <c r="AB1135">
        <v>25</v>
      </c>
      <c r="AC1135">
        <v>2.7215999999999898</v>
      </c>
      <c r="AD1135">
        <v>-1.1006620893829999</v>
      </c>
      <c r="AE1135">
        <v>-5.1598000000000104</v>
      </c>
      <c r="AF1135">
        <v>2.7572496530070798</v>
      </c>
      <c r="AG1135">
        <v>-1.1006620893829999</v>
      </c>
      <c r="AH1135">
        <v>4.9121078850523201</v>
      </c>
      <c r="AI1135">
        <v>101.055938447378</v>
      </c>
      <c r="AJ1135">
        <v>60.693761915165702</v>
      </c>
      <c r="AK1135">
        <v>5.7395719839031401</v>
      </c>
      <c r="AL1135">
        <v>88.7999455449349</v>
      </c>
      <c r="AM1135">
        <v>79.371733414836697</v>
      </c>
      <c r="AN1135">
        <v>0.99999999545990303</v>
      </c>
    </row>
    <row r="1136" spans="1:40" x14ac:dyDescent="0.25">
      <c r="A1136" t="str">
        <f>"20190312154234317"</f>
        <v>20190312154234317</v>
      </c>
      <c r="B1136" t="str">
        <f>"1552376554308200"</f>
        <v>1552376554308200</v>
      </c>
      <c r="C1136" t="s">
        <v>40</v>
      </c>
      <c r="D1136">
        <v>5.2095070000000003</v>
      </c>
      <c r="E1136">
        <v>0.62663259999999998</v>
      </c>
      <c r="F1136" t="s">
        <v>47</v>
      </c>
      <c r="G1136">
        <v>-198.00470000000001</v>
      </c>
      <c r="H1136" s="1">
        <v>-5.9956410000000003E-6</v>
      </c>
      <c r="I1136">
        <v>357.98160000000001</v>
      </c>
      <c r="J1136">
        <v>-200.75380000000001</v>
      </c>
      <c r="K1136">
        <v>1.1005799999999999</v>
      </c>
      <c r="L1136">
        <v>363.27140000000003</v>
      </c>
      <c r="M1136">
        <v>0.83504519999999904</v>
      </c>
      <c r="N1136">
        <v>0</v>
      </c>
      <c r="O1136">
        <v>-0.54996069999999997</v>
      </c>
      <c r="P1136">
        <v>0.71920859999999998</v>
      </c>
      <c r="Q1136">
        <v>1.0123740000000001E-2</v>
      </c>
      <c r="R1136">
        <v>-0.69472060000000002</v>
      </c>
      <c r="S1136">
        <v>1.490051</v>
      </c>
      <c r="T1136">
        <v>-0.57290419999999997</v>
      </c>
      <c r="U1136">
        <v>-2.7972410000000001</v>
      </c>
      <c r="V1136">
        <v>0.18517230000000001</v>
      </c>
      <c r="W1136">
        <v>2.0951000000000001E-2</v>
      </c>
      <c r="X1136">
        <v>0.98248270000000004</v>
      </c>
      <c r="Y1136">
        <v>0.47866649999999999</v>
      </c>
      <c r="Z1136">
        <v>6.0313829999999999E-2</v>
      </c>
      <c r="AA1136">
        <v>0.87592269999999905</v>
      </c>
      <c r="AB1136">
        <v>25</v>
      </c>
      <c r="AC1136">
        <v>2.7490999999999901</v>
      </c>
      <c r="AD1136">
        <v>-1.10058599564099</v>
      </c>
      <c r="AE1136">
        <v>-5.2898000000000103</v>
      </c>
      <c r="AF1136">
        <v>2.8099080790117901</v>
      </c>
      <c r="AG1136">
        <v>-1.10058599564099</v>
      </c>
      <c r="AH1136">
        <v>5.0338680033231702</v>
      </c>
      <c r="AI1136">
        <v>100.80815437494</v>
      </c>
      <c r="AJ1136">
        <v>60.829719492491698</v>
      </c>
      <c r="AK1136">
        <v>5.8691311129653201</v>
      </c>
      <c r="AL1136">
        <v>88.799508276169902</v>
      </c>
      <c r="AM1136">
        <v>79.326451593189702</v>
      </c>
      <c r="AN1136">
        <v>0.99999999044378995</v>
      </c>
    </row>
    <row r="1137" spans="1:40" x14ac:dyDescent="0.25">
      <c r="A1137" t="str">
        <f>"20190312154234330"</f>
        <v>20190312154234330</v>
      </c>
      <c r="B1137" t="str">
        <f>"1552376554318935"</f>
        <v>1552376554318935</v>
      </c>
      <c r="C1137" t="s">
        <v>40</v>
      </c>
      <c r="D1137">
        <v>5.1957389999999997</v>
      </c>
      <c r="E1137">
        <v>0.61233139999999997</v>
      </c>
      <c r="F1137" t="s">
        <v>47</v>
      </c>
      <c r="G1137">
        <v>-197.94069999999999</v>
      </c>
      <c r="H1137" s="1">
        <v>-5.9474330000000003E-6</v>
      </c>
      <c r="I1137">
        <v>357.86750000000001</v>
      </c>
      <c r="J1137">
        <v>-200.64590000000001</v>
      </c>
      <c r="K1137">
        <v>1.1005100000000001</v>
      </c>
      <c r="L1137">
        <v>363.19040000000001</v>
      </c>
      <c r="M1137">
        <v>0.83055469999999898</v>
      </c>
      <c r="N1137">
        <v>0</v>
      </c>
      <c r="O1137">
        <v>-0.55671789999999999</v>
      </c>
      <c r="P1137">
        <v>0.71323419999999904</v>
      </c>
      <c r="Q1137">
        <v>1.017011E-2</v>
      </c>
      <c r="R1137">
        <v>-0.70085220000000004</v>
      </c>
      <c r="S1137">
        <v>1.4635769999999999</v>
      </c>
      <c r="T1137">
        <v>-0.57259349999999998</v>
      </c>
      <c r="U1137">
        <v>-2.8114319999999999</v>
      </c>
      <c r="V1137">
        <v>0.1856168</v>
      </c>
      <c r="W1137">
        <v>2.0984369999999999E-2</v>
      </c>
      <c r="X1137">
        <v>0.98239810000000005</v>
      </c>
      <c r="Y1137">
        <v>0.47989929999999997</v>
      </c>
      <c r="Z1137">
        <v>6.1574700000000003E-2</v>
      </c>
      <c r="AA1137">
        <v>0.87516019999999894</v>
      </c>
      <c r="AB1137">
        <v>24</v>
      </c>
      <c r="AC1137">
        <v>2.7052000000000098</v>
      </c>
      <c r="AD1137">
        <v>-1.100515947433</v>
      </c>
      <c r="AE1137">
        <v>-5.3228999999999997</v>
      </c>
      <c r="AF1137">
        <v>2.8194991442724699</v>
      </c>
      <c r="AG1137">
        <v>-1.100515947433</v>
      </c>
      <c r="AH1137">
        <v>5.0396026851610101</v>
      </c>
      <c r="AI1137">
        <v>100.78978314590501</v>
      </c>
      <c r="AJ1137">
        <v>60.774359909188902</v>
      </c>
      <c r="AK1137">
        <v>5.8786313032362898</v>
      </c>
      <c r="AL1137">
        <v>88.797595887275605</v>
      </c>
      <c r="AM1137">
        <v>79.300520776025607</v>
      </c>
      <c r="AN1137">
        <v>0.99999998355507302</v>
      </c>
    </row>
    <row r="1138" spans="1:40" x14ac:dyDescent="0.25">
      <c r="A1138" t="str">
        <f>"20190312154234342"</f>
        <v>20190312154234342</v>
      </c>
      <c r="B1138" t="str">
        <f>"1552376554338455"</f>
        <v>1552376554338455</v>
      </c>
      <c r="C1138" t="s">
        <v>40</v>
      </c>
      <c r="D1138">
        <v>5.4020630000000001</v>
      </c>
      <c r="E1138">
        <v>0.63137080000000001</v>
      </c>
      <c r="F1138" t="s">
        <v>47</v>
      </c>
      <c r="G1138">
        <v>-197.51650000000001</v>
      </c>
      <c r="H1138" s="1">
        <v>-5.7715970000000001E-6</v>
      </c>
      <c r="I1138">
        <v>357.54020000000003</v>
      </c>
      <c r="J1138">
        <v>-200.5395</v>
      </c>
      <c r="K1138">
        <v>1.1004430000000001</v>
      </c>
      <c r="L1138">
        <v>363.10860000000002</v>
      </c>
      <c r="M1138">
        <v>0.82597909999999997</v>
      </c>
      <c r="N1138">
        <v>0</v>
      </c>
      <c r="O1138">
        <v>-0.56348369999999903</v>
      </c>
      <c r="P1138">
        <v>0.70713749999999997</v>
      </c>
      <c r="Q1138">
        <v>1.011184E-2</v>
      </c>
      <c r="R1138">
        <v>-0.70700410000000002</v>
      </c>
      <c r="S1138">
        <v>1.5189360000000001</v>
      </c>
      <c r="T1138">
        <v>-0.53415760000000001</v>
      </c>
      <c r="U1138">
        <v>-2.7424620000000002</v>
      </c>
      <c r="V1138">
        <v>0.18610389999999999</v>
      </c>
      <c r="W1138">
        <v>2.0912859999999998E-2</v>
      </c>
      <c r="X1138">
        <v>0.9823075</v>
      </c>
      <c r="Y1138">
        <v>0.4501947</v>
      </c>
      <c r="Z1138">
        <v>6.1955290000000003E-2</v>
      </c>
      <c r="AA1138">
        <v>0.89077839999999997</v>
      </c>
      <c r="AB1138">
        <v>24</v>
      </c>
      <c r="AC1138">
        <v>3.0229999999999899</v>
      </c>
      <c r="AD1138">
        <v>-1.1004487715969999</v>
      </c>
      <c r="AE1138">
        <v>-5.5683999999999898</v>
      </c>
      <c r="AF1138">
        <v>2.8115160555343599</v>
      </c>
      <c r="AG1138">
        <v>-1.1004487715969999</v>
      </c>
      <c r="AH1138">
        <v>5.4703154104993903</v>
      </c>
      <c r="AI1138">
        <v>100.14399442273501</v>
      </c>
      <c r="AJ1138">
        <v>62.798709054258801</v>
      </c>
      <c r="AK1138">
        <v>6.2481965974018401</v>
      </c>
      <c r="AL1138">
        <v>88.801694047856401</v>
      </c>
      <c r="AM1138">
        <v>79.272127251384305</v>
      </c>
      <c r="AN1138">
        <v>1.0000000169324099</v>
      </c>
    </row>
    <row r="1139" spans="1:40" x14ac:dyDescent="0.25">
      <c r="A1139" t="str">
        <f>"20190312154234356"</f>
        <v>20190312154234356</v>
      </c>
      <c r="B1139" t="str">
        <f>"1552376554348214"</f>
        <v>1552376554348214</v>
      </c>
      <c r="C1139" t="s">
        <v>40</v>
      </c>
      <c r="D1139">
        <v>5.1854129999999996</v>
      </c>
      <c r="E1139">
        <v>0.63137080000000001</v>
      </c>
      <c r="F1139" t="s">
        <v>47</v>
      </c>
      <c r="G1139">
        <v>-197.42949999999999</v>
      </c>
      <c r="H1139" s="1">
        <v>-5.4728980000000001E-6</v>
      </c>
      <c r="I1139">
        <v>356.6884</v>
      </c>
      <c r="J1139">
        <v>-200.42089999999999</v>
      </c>
      <c r="K1139">
        <v>1.100363</v>
      </c>
      <c r="L1139">
        <v>363.01580000000001</v>
      </c>
      <c r="M1139">
        <v>0.82075030000000004</v>
      </c>
      <c r="N1139">
        <v>0</v>
      </c>
      <c r="O1139">
        <v>-0.57107200000000002</v>
      </c>
      <c r="P1139">
        <v>0.70049709999999998</v>
      </c>
      <c r="Q1139">
        <v>1.0062420000000001E-2</v>
      </c>
      <c r="R1139">
        <v>-0.71358480000000002</v>
      </c>
      <c r="S1139">
        <v>1.3869320000000001</v>
      </c>
      <c r="T1139">
        <v>-0.49075370000000001</v>
      </c>
      <c r="U1139">
        <v>-2.8630979999999999</v>
      </c>
      <c r="V1139">
        <v>0.18623770000000001</v>
      </c>
      <c r="W1139">
        <v>2.0861850000000001E-2</v>
      </c>
      <c r="X1139">
        <v>0.98228320000000002</v>
      </c>
      <c r="Y1139">
        <v>0.48987239999999999</v>
      </c>
      <c r="Z1139">
        <v>5.4538080000000003E-2</v>
      </c>
      <c r="AA1139">
        <v>0.87008660000000004</v>
      </c>
      <c r="AB1139">
        <v>24</v>
      </c>
      <c r="AC1139">
        <v>2.9913999999999898</v>
      </c>
      <c r="AD1139">
        <v>-1.1003684728980001</v>
      </c>
      <c r="AE1139">
        <v>-6.3274000000000097</v>
      </c>
      <c r="AF1139">
        <v>3.4012655267762502</v>
      </c>
      <c r="AG1139">
        <v>-1.1003684728980001</v>
      </c>
      <c r="AH1139">
        <v>5.9229344927503202</v>
      </c>
      <c r="AI1139">
        <v>99.152089163673097</v>
      </c>
      <c r="AJ1139">
        <v>60.133254740934902</v>
      </c>
      <c r="AK1139">
        <v>6.9181334885354602</v>
      </c>
      <c r="AL1139">
        <v>88.804617312687895</v>
      </c>
      <c r="AM1139">
        <v>79.264334199839396</v>
      </c>
      <c r="AN1139">
        <v>0.99999999134447604</v>
      </c>
    </row>
    <row r="1140" spans="1:40" x14ac:dyDescent="0.25">
      <c r="A1140" t="str">
        <f>"20190312154234373"</f>
        <v>20190312154234373</v>
      </c>
      <c r="B1140" t="str">
        <f>"1552376554368710"</f>
        <v>1552376554368710</v>
      </c>
      <c r="C1140" t="s">
        <v>40</v>
      </c>
      <c r="D1140">
        <v>5.19801</v>
      </c>
      <c r="E1140">
        <v>0.67588479999999995</v>
      </c>
      <c r="F1140" t="s">
        <v>47</v>
      </c>
      <c r="G1140">
        <v>-197.37119999999999</v>
      </c>
      <c r="H1140" s="1">
        <v>-5.4233989999999901E-6</v>
      </c>
      <c r="I1140">
        <v>356.5677</v>
      </c>
      <c r="J1140">
        <v>-200.26779999999999</v>
      </c>
      <c r="K1140">
        <v>1.100274</v>
      </c>
      <c r="L1140">
        <v>362.89339999999999</v>
      </c>
      <c r="M1140">
        <v>0.81377630000000001</v>
      </c>
      <c r="N1140">
        <v>0</v>
      </c>
      <c r="O1140">
        <v>-0.58096559999999997</v>
      </c>
      <c r="P1140">
        <v>0.69199489999999997</v>
      </c>
      <c r="Q1140">
        <v>1.012392E-2</v>
      </c>
      <c r="R1140">
        <v>-0.72183169999999997</v>
      </c>
      <c r="S1140">
        <v>1.3601379999999901</v>
      </c>
      <c r="T1140">
        <v>-0.49074980000000001</v>
      </c>
      <c r="U1140">
        <v>-2.8757630000000001</v>
      </c>
      <c r="V1140">
        <v>0.18598819999999999</v>
      </c>
      <c r="W1140">
        <v>2.0935740000000001E-2</v>
      </c>
      <c r="X1140">
        <v>0.98232889999999995</v>
      </c>
      <c r="Y1140">
        <v>0.48751290000000003</v>
      </c>
      <c r="Z1140">
        <v>5.6508799999999998E-2</v>
      </c>
      <c r="AA1140">
        <v>0.87128519999999898</v>
      </c>
      <c r="AB1140">
        <v>24</v>
      </c>
      <c r="AC1140">
        <v>2.8965999999999998</v>
      </c>
      <c r="AD1140">
        <v>-1.1002794233990001</v>
      </c>
      <c r="AE1140">
        <v>-6.3256999999999799</v>
      </c>
      <c r="AF1140">
        <v>3.3807544879766098</v>
      </c>
      <c r="AG1140">
        <v>-1.1002794233990001</v>
      </c>
      <c r="AH1140">
        <v>5.88574020238653</v>
      </c>
      <c r="AI1140">
        <v>99.207641351768899</v>
      </c>
      <c r="AJ1140">
        <v>60.127047923269998</v>
      </c>
      <c r="AK1140">
        <v>6.8761946923802499</v>
      </c>
      <c r="AL1140">
        <v>88.800382803170393</v>
      </c>
      <c r="AM1140">
        <v>79.278870227064203</v>
      </c>
      <c r="AN1140">
        <v>0.99999999176189802</v>
      </c>
    </row>
    <row r="1141" spans="1:40" x14ac:dyDescent="0.25">
      <c r="A1141" t="str">
        <f>"20190312154234388"</f>
        <v>20190312154234388</v>
      </c>
      <c r="B1141" t="str">
        <f>"1552376554378470"</f>
        <v>1552376554378470</v>
      </c>
      <c r="C1141" t="s">
        <v>40</v>
      </c>
      <c r="D1141">
        <v>5.1847760000000003</v>
      </c>
      <c r="E1141">
        <v>0.67745679999999997</v>
      </c>
      <c r="F1141" t="s">
        <v>47</v>
      </c>
      <c r="G1141">
        <v>-198.666</v>
      </c>
      <c r="H1141" s="1">
        <v>-6.1746920000000001E-6</v>
      </c>
      <c r="I1141">
        <v>358.20800000000003</v>
      </c>
      <c r="J1141">
        <v>-200.14259999999999</v>
      </c>
      <c r="K1141">
        <v>1.100214</v>
      </c>
      <c r="L1141">
        <v>362.79129999999998</v>
      </c>
      <c r="M1141">
        <v>0.80789200000000005</v>
      </c>
      <c r="N1141">
        <v>0</v>
      </c>
      <c r="O1141">
        <v>-0.58911979999999997</v>
      </c>
      <c r="P1141">
        <v>0.68448959999999903</v>
      </c>
      <c r="Q1141">
        <v>1.0285229999999999E-2</v>
      </c>
      <c r="R1141">
        <v>-0.72894999999999999</v>
      </c>
      <c r="S1141">
        <v>1.072784</v>
      </c>
      <c r="T1141">
        <v>-0.73689380000000004</v>
      </c>
      <c r="U1141">
        <v>-3.1379999999999999</v>
      </c>
      <c r="V1141">
        <v>0.18627850000000001</v>
      </c>
      <c r="W1141">
        <v>2.1094970000000001E-2</v>
      </c>
      <c r="X1141">
        <v>0.98227050000000005</v>
      </c>
      <c r="Y1141">
        <v>0.57273509999999905</v>
      </c>
      <c r="Z1141">
        <v>7.3230489999999995E-2</v>
      </c>
      <c r="AA1141">
        <v>0.81646289999999999</v>
      </c>
      <c r="AB1141">
        <v>24</v>
      </c>
      <c r="AC1141">
        <v>1.4765999999999899</v>
      </c>
      <c r="AD1141">
        <v>-1.100220174692</v>
      </c>
      <c r="AE1141">
        <v>-4.5832999999999497</v>
      </c>
      <c r="AF1141">
        <v>2.6926958934923202</v>
      </c>
      <c r="AG1141">
        <v>-1.100220174692</v>
      </c>
      <c r="AH1141">
        <v>3.70035156999481</v>
      </c>
      <c r="AI1141">
        <v>103.518105650283</v>
      </c>
      <c r="AJ1141">
        <v>53.9571236163954</v>
      </c>
      <c r="AK1141">
        <v>4.7067714358350496</v>
      </c>
      <c r="AL1141">
        <v>88.791257598346107</v>
      </c>
      <c r="AM1141">
        <v>79.2619013602569</v>
      </c>
      <c r="AN1141">
        <v>1.0000000062459</v>
      </c>
    </row>
    <row r="1142" spans="1:40" x14ac:dyDescent="0.25">
      <c r="A1142" t="str">
        <f>"20190312154234406"</f>
        <v>20190312154234406</v>
      </c>
      <c r="B1142" t="str">
        <f>"1552376554398981"</f>
        <v>1552376554398981</v>
      </c>
      <c r="C1142" t="s">
        <v>40</v>
      </c>
      <c r="D1142">
        <v>5.1990869999999996</v>
      </c>
      <c r="E1142">
        <v>0.67828180000000005</v>
      </c>
      <c r="F1142" t="s">
        <v>47</v>
      </c>
      <c r="G1142">
        <v>-198.631</v>
      </c>
      <c r="H1142" s="1">
        <v>-6.1539490000000004E-6</v>
      </c>
      <c r="I1142">
        <v>358.16230000000002</v>
      </c>
      <c r="J1142">
        <v>-199.9854</v>
      </c>
      <c r="K1142">
        <v>1.1001559999999999</v>
      </c>
      <c r="L1142">
        <v>362.6592</v>
      </c>
      <c r="M1142">
        <v>0.80023239999999995</v>
      </c>
      <c r="N1142">
        <v>0</v>
      </c>
      <c r="O1142">
        <v>-0.59948210000000002</v>
      </c>
      <c r="P1142">
        <v>0.67555589999999999</v>
      </c>
      <c r="Q1142">
        <v>1.149652E-2</v>
      </c>
      <c r="R1142">
        <v>-0.73721949999999903</v>
      </c>
      <c r="S1142">
        <v>1.031158</v>
      </c>
      <c r="T1142">
        <v>-0.75056619999999996</v>
      </c>
      <c r="U1142">
        <v>-3.1578369999999998</v>
      </c>
      <c r="V1142">
        <v>0.1856101</v>
      </c>
      <c r="W1142">
        <v>2.2336350000000001E-2</v>
      </c>
      <c r="X1142">
        <v>0.98236959999999995</v>
      </c>
      <c r="Y1142">
        <v>0.57352040000000004</v>
      </c>
      <c r="Z1142">
        <v>7.7151719999999993E-2</v>
      </c>
      <c r="AA1142">
        <v>0.81555009999999994</v>
      </c>
      <c r="AB1142">
        <v>24</v>
      </c>
      <c r="AC1142">
        <v>1.35440000000002</v>
      </c>
      <c r="AD1142">
        <v>-1.1001621539490001</v>
      </c>
      <c r="AE1142">
        <v>-4.4968999999999797</v>
      </c>
      <c r="AF1142">
        <v>2.6419938543242298</v>
      </c>
      <c r="AG1142">
        <v>-1.1001621539490001</v>
      </c>
      <c r="AH1142">
        <v>3.5834730414154601</v>
      </c>
      <c r="AI1142">
        <v>103.880265684148</v>
      </c>
      <c r="AJ1142">
        <v>53.599692634651902</v>
      </c>
      <c r="AK1142">
        <v>4.5860404849739496</v>
      </c>
      <c r="AL1142">
        <v>88.720115008879404</v>
      </c>
      <c r="AM1142">
        <v>79.300594836292206</v>
      </c>
      <c r="AN1142">
        <v>1.0000000263787401</v>
      </c>
    </row>
    <row r="1143" spans="1:40" x14ac:dyDescent="0.25">
      <c r="A1143" t="str">
        <f>"20190312154234416"</f>
        <v>20190312154234416</v>
      </c>
      <c r="B1143" t="str">
        <f>"1552376554408727"</f>
        <v>1552376554408727</v>
      </c>
      <c r="C1143" t="s">
        <v>40</v>
      </c>
      <c r="D1143">
        <v>5.1944249999999998</v>
      </c>
      <c r="E1143">
        <v>0.67826509999999995</v>
      </c>
      <c r="F1143" t="s">
        <v>47</v>
      </c>
      <c r="G1143">
        <v>-198.5566</v>
      </c>
      <c r="H1143" s="1">
        <v>-6.112849E-6</v>
      </c>
      <c r="I1143">
        <v>358.07420000000002</v>
      </c>
      <c r="J1143">
        <v>-199.89510000000001</v>
      </c>
      <c r="K1143">
        <v>1.100128</v>
      </c>
      <c r="L1143">
        <v>362.58139999999997</v>
      </c>
      <c r="M1143">
        <v>0.7956896</v>
      </c>
      <c r="N1143">
        <v>0</v>
      </c>
      <c r="O1143">
        <v>-0.60549779999999997</v>
      </c>
      <c r="P1143">
        <v>0.67021330000000001</v>
      </c>
      <c r="Q1143">
        <v>1.2176029999999999E-2</v>
      </c>
      <c r="R1143">
        <v>-0.74206890000000003</v>
      </c>
      <c r="S1143">
        <v>0.98928830000000001</v>
      </c>
      <c r="T1143">
        <v>-0.76175819999999905</v>
      </c>
      <c r="U1143">
        <v>-3.1746219999999998</v>
      </c>
      <c r="V1143">
        <v>0.18531010000000001</v>
      </c>
      <c r="W1143">
        <v>2.3032839999999999E-2</v>
      </c>
      <c r="X1143">
        <v>0.98241009999999995</v>
      </c>
      <c r="Y1143">
        <v>0.578345199999999</v>
      </c>
      <c r="Z1143">
        <v>7.9275910000000005E-2</v>
      </c>
      <c r="AA1143">
        <v>0.81193110000000002</v>
      </c>
      <c r="AB1143">
        <v>24</v>
      </c>
      <c r="AC1143">
        <v>1.33850000000001</v>
      </c>
      <c r="AD1143">
        <v>-1.1001341128489901</v>
      </c>
      <c r="AE1143">
        <v>-4.5071999999999504</v>
      </c>
      <c r="AF1143">
        <v>2.6321165224217302</v>
      </c>
      <c r="AG1143">
        <v>-1.1001341128489901</v>
      </c>
      <c r="AH1143">
        <v>3.5976399242164501</v>
      </c>
      <c r="AI1143">
        <v>103.86324760471599</v>
      </c>
      <c r="AJ1143">
        <v>53.809935015491398</v>
      </c>
      <c r="AK1143">
        <v>4.5914426358363301</v>
      </c>
      <c r="AL1143">
        <v>88.680198731895302</v>
      </c>
      <c r="AM1143">
        <v>79.317920148040002</v>
      </c>
      <c r="AN1143">
        <v>0.99999997473124203</v>
      </c>
    </row>
    <row r="1144" spans="1:40" x14ac:dyDescent="0.25">
      <c r="A1144" t="str">
        <f>"20190312154234429"</f>
        <v>20190312154234429</v>
      </c>
      <c r="B1144" t="str">
        <f>"1552376554418487"</f>
        <v>1552376554418487</v>
      </c>
      <c r="C1144" t="s">
        <v>40</v>
      </c>
      <c r="D1144">
        <v>5.2207670000000004</v>
      </c>
      <c r="E1144">
        <v>0.67822530000000003</v>
      </c>
      <c r="F1144" t="s">
        <v>47</v>
      </c>
      <c r="G1144">
        <v>-198.50190000000001</v>
      </c>
      <c r="H1144" s="1">
        <v>-6.0787069999999999E-6</v>
      </c>
      <c r="I1144">
        <v>357.99779999999998</v>
      </c>
      <c r="J1144">
        <v>-199.79320000000001</v>
      </c>
      <c r="K1144">
        <v>1.100098</v>
      </c>
      <c r="L1144">
        <v>362.49290000000002</v>
      </c>
      <c r="M1144">
        <v>0.79048790000000002</v>
      </c>
      <c r="N1144">
        <v>0</v>
      </c>
      <c r="O1144">
        <v>-0.61227259999999994</v>
      </c>
      <c r="P1144">
        <v>0.66382540000000001</v>
      </c>
      <c r="Q1144">
        <v>1.2184489999999999E-2</v>
      </c>
      <c r="R1144">
        <v>-0.74778840000000002</v>
      </c>
      <c r="S1144">
        <v>0.96708680000000002</v>
      </c>
      <c r="T1144">
        <v>-0.7636868</v>
      </c>
      <c r="U1144">
        <v>-3.1817929999999999</v>
      </c>
      <c r="V1144">
        <v>0.1853445</v>
      </c>
      <c r="W1144">
        <v>2.3050000000000001E-2</v>
      </c>
      <c r="X1144">
        <v>0.98240320000000003</v>
      </c>
      <c r="Y1144">
        <v>0.57718100000000006</v>
      </c>
      <c r="Z1144">
        <v>8.1492469999999997E-2</v>
      </c>
      <c r="AA1144">
        <v>0.81253989999999998</v>
      </c>
      <c r="AB1144">
        <v>24</v>
      </c>
      <c r="AC1144">
        <v>1.2912999999999999</v>
      </c>
      <c r="AD1144">
        <v>-1.100104078707</v>
      </c>
      <c r="AE1144">
        <v>-4.4951000000000301</v>
      </c>
      <c r="AF1144">
        <v>2.6181806055669998</v>
      </c>
      <c r="AG1144">
        <v>-1.100104078707</v>
      </c>
      <c r="AH1144">
        <v>3.57562237778916</v>
      </c>
      <c r="AI1144">
        <v>103.94104490462099</v>
      </c>
      <c r="AJ1144">
        <v>53.787265336753997</v>
      </c>
      <c r="AK1144">
        <v>4.5661990819391098</v>
      </c>
      <c r="AL1144">
        <v>88.679215264687301</v>
      </c>
      <c r="AM1144">
        <v>79.315909514239095</v>
      </c>
      <c r="AN1144">
        <v>0.99999996677524405</v>
      </c>
    </row>
    <row r="1145" spans="1:40" x14ac:dyDescent="0.25">
      <c r="A1145" t="str">
        <f>"20190312154234440"</f>
        <v>20190312154234440</v>
      </c>
      <c r="B1145" t="str">
        <f>"1552376554438006"</f>
        <v>1552376554438006</v>
      </c>
      <c r="C1145" t="s">
        <v>40</v>
      </c>
      <c r="D1145">
        <v>5.2509180000000004</v>
      </c>
      <c r="E1145">
        <v>0.67769760000000001</v>
      </c>
      <c r="F1145" t="s">
        <v>47</v>
      </c>
      <c r="G1145">
        <v>-198.44800000000001</v>
      </c>
      <c r="H1145" s="1">
        <v>-6.0472710000000004E-6</v>
      </c>
      <c r="I1145">
        <v>357.92910000000001</v>
      </c>
      <c r="J1145">
        <v>-199.69200000000001</v>
      </c>
      <c r="K1145">
        <v>1.1000779999999999</v>
      </c>
      <c r="L1145">
        <v>362.40269999999998</v>
      </c>
      <c r="M1145">
        <v>0.78517409999999999</v>
      </c>
      <c r="N1145">
        <v>0</v>
      </c>
      <c r="O1145">
        <v>-0.61907199999999996</v>
      </c>
      <c r="P1145">
        <v>0.65726609999999996</v>
      </c>
      <c r="Q1145">
        <v>1.2267129999999999E-2</v>
      </c>
      <c r="R1145">
        <v>-0.75355890000000003</v>
      </c>
      <c r="S1145">
        <v>0.94017030000000001</v>
      </c>
      <c r="T1145">
        <v>-0.76888639999999997</v>
      </c>
      <c r="U1145">
        <v>-3.1897579999999999</v>
      </c>
      <c r="V1145">
        <v>0.18545249999999999</v>
      </c>
      <c r="W1145">
        <v>2.314105E-2</v>
      </c>
      <c r="X1145">
        <v>0.9823807</v>
      </c>
      <c r="Y1145">
        <v>0.57707269999999999</v>
      </c>
      <c r="Z1145">
        <v>8.3957989999999996E-2</v>
      </c>
      <c r="AA1145">
        <v>0.81236580000000003</v>
      </c>
      <c r="AB1145">
        <v>24</v>
      </c>
      <c r="AC1145">
        <v>1.24400000000002</v>
      </c>
      <c r="AD1145">
        <v>-1.1000840472710001</v>
      </c>
      <c r="AE1145">
        <v>-4.47359999999997</v>
      </c>
      <c r="AF1145">
        <v>2.5970058759300301</v>
      </c>
      <c r="AG1145">
        <v>-1.1000840472710001</v>
      </c>
      <c r="AH1145">
        <v>3.54758452984218</v>
      </c>
      <c r="AI1145">
        <v>104.04780254053399</v>
      </c>
      <c r="AJ1145">
        <v>53.79404254608</v>
      </c>
      <c r="AK1145">
        <v>4.5321055180843697</v>
      </c>
      <c r="AL1145">
        <v>88.673997121172206</v>
      </c>
      <c r="AM1145">
        <v>79.309588148127901</v>
      </c>
      <c r="AN1145">
        <v>0.99999998884192098</v>
      </c>
    </row>
    <row r="1146" spans="1:40" x14ac:dyDescent="0.25">
      <c r="A1146" t="str">
        <f>"20190312154234453"</f>
        <v>20190312154234453</v>
      </c>
      <c r="B1146" t="str">
        <f>"1552376554448743"</f>
        <v>1552376554448743</v>
      </c>
      <c r="C1146" t="s">
        <v>40</v>
      </c>
      <c r="D1146">
        <v>5.2918240000000001</v>
      </c>
      <c r="E1146">
        <v>0.67733750000000004</v>
      </c>
      <c r="F1146" t="s">
        <v>47</v>
      </c>
      <c r="G1146">
        <v>-198.39580000000001</v>
      </c>
      <c r="H1146" s="1">
        <v>-6.0217899999999998E-6</v>
      </c>
      <c r="I1146">
        <v>357.87729999999999</v>
      </c>
      <c r="J1146">
        <v>-199.5958</v>
      </c>
      <c r="K1146">
        <v>1.100061</v>
      </c>
      <c r="L1146">
        <v>362.3159</v>
      </c>
      <c r="M1146">
        <v>0.78002729999999998</v>
      </c>
      <c r="N1146">
        <v>0</v>
      </c>
      <c r="O1146">
        <v>-0.625544199999999</v>
      </c>
      <c r="P1146">
        <v>0.65065629999999997</v>
      </c>
      <c r="Q1146">
        <v>1.151343E-2</v>
      </c>
      <c r="R1146">
        <v>-0.75928580000000001</v>
      </c>
      <c r="S1146">
        <v>0.91528319999999996</v>
      </c>
      <c r="T1146">
        <v>-0.77677200000000002</v>
      </c>
      <c r="U1146">
        <v>-3.1954349999999998</v>
      </c>
      <c r="V1146">
        <v>0.18590390000000001</v>
      </c>
      <c r="W1146">
        <v>2.238594E-2</v>
      </c>
      <c r="X1146">
        <v>0.98231290000000004</v>
      </c>
      <c r="Y1146">
        <v>0.57661909999999905</v>
      </c>
      <c r="Z1146">
        <v>8.6726579999999998E-2</v>
      </c>
      <c r="AA1146">
        <v>0.81239689999999998</v>
      </c>
      <c r="AB1146">
        <v>24</v>
      </c>
      <c r="AC1146">
        <v>1.19999999999998</v>
      </c>
      <c r="AD1146">
        <v>-1.1000670217899999</v>
      </c>
      <c r="AE1146">
        <v>-4.4386000000000001</v>
      </c>
      <c r="AF1146">
        <v>2.5650887330516801</v>
      </c>
      <c r="AG1146">
        <v>-1.1000670217899999</v>
      </c>
      <c r="AH1146">
        <v>3.51200900672336</v>
      </c>
      <c r="AI1146">
        <v>104.195026498546</v>
      </c>
      <c r="AJ1146">
        <v>53.856487002571498</v>
      </c>
      <c r="AK1146">
        <v>4.4859820467947298</v>
      </c>
      <c r="AL1146">
        <v>88.717272982085106</v>
      </c>
      <c r="AM1146">
        <v>79.283446557411096</v>
      </c>
      <c r="AN1146">
        <v>1.00000001192565</v>
      </c>
    </row>
    <row r="1147" spans="1:40" x14ac:dyDescent="0.25">
      <c r="A1147" t="str">
        <f>"20190312154234465"</f>
        <v>20190312154234465</v>
      </c>
      <c r="B1147" t="str">
        <f>"1552376554458503"</f>
        <v>1552376554458503</v>
      </c>
      <c r="C1147" t="s">
        <v>40</v>
      </c>
      <c r="D1147">
        <v>5.2978940000000003</v>
      </c>
      <c r="E1147">
        <v>0.67684979999999995</v>
      </c>
      <c r="F1147" t="s">
        <v>47</v>
      </c>
      <c r="G1147">
        <v>-198.32769999999999</v>
      </c>
      <c r="H1147" s="1">
        <v>-5.9674349999999997E-6</v>
      </c>
      <c r="I1147">
        <v>357.74669999999998</v>
      </c>
      <c r="J1147">
        <v>-199.48910000000001</v>
      </c>
      <c r="K1147">
        <v>1.1000479999999999</v>
      </c>
      <c r="L1147">
        <v>362.21780000000001</v>
      </c>
      <c r="M1147">
        <v>0.77419039999999995</v>
      </c>
      <c r="N1147">
        <v>0</v>
      </c>
      <c r="O1147">
        <v>-0.63275319999999902</v>
      </c>
      <c r="P1147">
        <v>0.6429494</v>
      </c>
      <c r="Q1147">
        <v>1.1214500000000001E-2</v>
      </c>
      <c r="R1147">
        <v>-0.76582709999999998</v>
      </c>
      <c r="S1147">
        <v>0.88853449999999901</v>
      </c>
      <c r="T1147">
        <v>-0.77075729999999998</v>
      </c>
      <c r="U1147">
        <v>-3.2013850000000001</v>
      </c>
      <c r="V1147">
        <v>0.18671560000000001</v>
      </c>
      <c r="W1147">
        <v>2.20775E-2</v>
      </c>
      <c r="X1147">
        <v>0.98216590000000004</v>
      </c>
      <c r="Y1147">
        <v>0.57585450000000005</v>
      </c>
      <c r="Z1147">
        <v>8.8257279999999994E-2</v>
      </c>
      <c r="AA1147">
        <v>0.81277440000000001</v>
      </c>
      <c r="AB1147">
        <v>24</v>
      </c>
      <c r="AC1147">
        <v>1.16140000000001</v>
      </c>
      <c r="AD1147">
        <v>-1.1000539674349901</v>
      </c>
      <c r="AE1147">
        <v>-4.4711000000000301</v>
      </c>
      <c r="AF1147">
        <v>2.5806072868893399</v>
      </c>
      <c r="AG1147">
        <v>-1.1000539674349901</v>
      </c>
      <c r="AH1147">
        <v>3.5286187121864701</v>
      </c>
      <c r="AI1147">
        <v>104.124528353409</v>
      </c>
      <c r="AJ1147">
        <v>53.820636715612899</v>
      </c>
      <c r="AK1147">
        <v>4.5078601039083299</v>
      </c>
      <c r="AL1147">
        <v>88.734949637376204</v>
      </c>
      <c r="AM1147">
        <v>79.236173003889903</v>
      </c>
      <c r="AN1147">
        <v>0.99999999320621002</v>
      </c>
    </row>
    <row r="1148" spans="1:40" x14ac:dyDescent="0.25">
      <c r="A1148" t="str">
        <f>"20190312154234477"</f>
        <v>20190312154234477</v>
      </c>
      <c r="B1148" t="str">
        <f>"1552376554468263"</f>
        <v>1552376554468263</v>
      </c>
      <c r="C1148" t="s">
        <v>40</v>
      </c>
      <c r="D1148">
        <v>5.2340970000000002</v>
      </c>
      <c r="E1148">
        <v>0.67629640000000002</v>
      </c>
      <c r="F1148" t="s">
        <v>47</v>
      </c>
      <c r="G1148">
        <v>-198.25229999999999</v>
      </c>
      <c r="H1148" s="1">
        <v>-5.9064059999999996E-6</v>
      </c>
      <c r="I1148">
        <v>357.59949999999998</v>
      </c>
      <c r="J1148">
        <v>-199.39789999999999</v>
      </c>
      <c r="K1148">
        <v>1.100044</v>
      </c>
      <c r="L1148">
        <v>362.13209999999998</v>
      </c>
      <c r="M1148">
        <v>0.76908769999999904</v>
      </c>
      <c r="N1148">
        <v>0</v>
      </c>
      <c r="O1148">
        <v>-0.63894499999999999</v>
      </c>
      <c r="P1148">
        <v>0.63630330000000002</v>
      </c>
      <c r="Q1148">
        <v>1.111957E-2</v>
      </c>
      <c r="R1148">
        <v>-0.77135880000000001</v>
      </c>
      <c r="S1148">
        <v>0.85894780000000004</v>
      </c>
      <c r="T1148">
        <v>-0.76398750000000004</v>
      </c>
      <c r="U1148">
        <v>-3.2073969999999998</v>
      </c>
      <c r="V1148">
        <v>0.18732579999999999</v>
      </c>
      <c r="W1148">
        <v>2.1978339999999999E-2</v>
      </c>
      <c r="X1148">
        <v>0.98205189999999998</v>
      </c>
      <c r="Y1148">
        <v>0.57674999999999998</v>
      </c>
      <c r="Z1148">
        <v>8.9207359999999999E-2</v>
      </c>
      <c r="AA1148">
        <v>0.81203539999999996</v>
      </c>
      <c r="AB1148">
        <v>24</v>
      </c>
      <c r="AC1148">
        <v>1.1456</v>
      </c>
      <c r="AD1148">
        <v>-1.1000499064059901</v>
      </c>
      <c r="AE1148">
        <v>-4.5326000000000004</v>
      </c>
      <c r="AF1148">
        <v>2.6098458421629802</v>
      </c>
      <c r="AG1148">
        <v>-1.1000499064059901</v>
      </c>
      <c r="AH1148">
        <v>3.5794505864069301</v>
      </c>
      <c r="AI1148">
        <v>103.945907883205</v>
      </c>
      <c r="AJ1148">
        <v>53.903494857241903</v>
      </c>
      <c r="AK1148">
        <v>4.5644136115133298</v>
      </c>
      <c r="AL1148">
        <v>88.740632434742196</v>
      </c>
      <c r="AM1148">
        <v>79.200597793304894</v>
      </c>
      <c r="AN1148">
        <v>0.99999996853420203</v>
      </c>
    </row>
    <row r="1149" spans="1:40" x14ac:dyDescent="0.25">
      <c r="A1149" t="str">
        <f>"20190312154234488"</f>
        <v>20190312154234488</v>
      </c>
      <c r="B1149" t="str">
        <f>"1552376554478023"</f>
        <v>1552376554478023</v>
      </c>
      <c r="C1149" t="s">
        <v>40</v>
      </c>
      <c r="D1149">
        <v>5.3115550000000002</v>
      </c>
      <c r="E1149">
        <v>0.67567369999999904</v>
      </c>
      <c r="F1149" t="s">
        <v>47</v>
      </c>
      <c r="G1149">
        <v>-198.2022</v>
      </c>
      <c r="H1149" s="1">
        <v>-5.8739249999999998E-6</v>
      </c>
      <c r="I1149">
        <v>357.52589999999998</v>
      </c>
      <c r="J1149">
        <v>-199.30629999999999</v>
      </c>
      <c r="K1149">
        <v>1.100042</v>
      </c>
      <c r="L1149">
        <v>362.04539999999997</v>
      </c>
      <c r="M1149">
        <v>0.76388519999999904</v>
      </c>
      <c r="N1149">
        <v>0</v>
      </c>
      <c r="O1149">
        <v>-0.64515540000000005</v>
      </c>
      <c r="P1149">
        <v>0.62937180000000004</v>
      </c>
      <c r="Q1149">
        <v>1.125987E-2</v>
      </c>
      <c r="R1149">
        <v>-0.77702289999999996</v>
      </c>
      <c r="S1149">
        <v>0.83392330000000003</v>
      </c>
      <c r="T1149">
        <v>-0.76718310000000001</v>
      </c>
      <c r="U1149">
        <v>-3.2124329999999999</v>
      </c>
      <c r="V1149">
        <v>0.18816340000000001</v>
      </c>
      <c r="W1149">
        <v>2.2108010000000001E-2</v>
      </c>
      <c r="X1149">
        <v>0.98188889999999995</v>
      </c>
      <c r="Y1149">
        <v>0.57644019999999996</v>
      </c>
      <c r="Z1149">
        <v>9.1413439999999999E-2</v>
      </c>
      <c r="AA1149">
        <v>0.81201000000000001</v>
      </c>
      <c r="AB1149">
        <v>24</v>
      </c>
      <c r="AC1149">
        <v>1.1040999999999801</v>
      </c>
      <c r="AD1149">
        <v>-1.1000478739249999</v>
      </c>
      <c r="AE1149">
        <v>-4.5194999999999901</v>
      </c>
      <c r="AF1149">
        <v>2.5953144200736902</v>
      </c>
      <c r="AG1149">
        <v>-1.1000478739249999</v>
      </c>
      <c r="AH1149">
        <v>3.5605998778032601</v>
      </c>
      <c r="AI1149">
        <v>104.018229240699</v>
      </c>
      <c r="AJ1149">
        <v>53.911764294454798</v>
      </c>
      <c r="AK1149">
        <v>4.5413251098971097</v>
      </c>
      <c r="AL1149">
        <v>88.733201151037306</v>
      </c>
      <c r="AM1149">
        <v>79.151694950651901</v>
      </c>
      <c r="AN1149">
        <v>1.0000000205744599</v>
      </c>
    </row>
    <row r="1150" spans="1:40" x14ac:dyDescent="0.25">
      <c r="A1150" t="str">
        <f>"20190312154234500"</f>
        <v>20190312154234500</v>
      </c>
      <c r="B1150" t="str">
        <f>"1552376554488759"</f>
        <v>1552376554488759</v>
      </c>
      <c r="C1150" t="s">
        <v>40</v>
      </c>
      <c r="D1150">
        <v>5.3102519999999904</v>
      </c>
      <c r="E1150">
        <v>0.67500539999999998</v>
      </c>
      <c r="F1150" t="s">
        <v>47</v>
      </c>
      <c r="G1150">
        <v>-198.1335</v>
      </c>
      <c r="H1150" s="1">
        <v>-5.8148459999999998E-6</v>
      </c>
      <c r="I1150">
        <v>357.38139999999999</v>
      </c>
      <c r="J1150">
        <v>-199.21010000000001</v>
      </c>
      <c r="K1150">
        <v>1.1000490000000001</v>
      </c>
      <c r="L1150">
        <v>361.95170000000002</v>
      </c>
      <c r="M1150">
        <v>0.75828219999999902</v>
      </c>
      <c r="N1150">
        <v>0</v>
      </c>
      <c r="O1150">
        <v>-0.65173159999999997</v>
      </c>
      <c r="P1150">
        <v>0.62198310000000001</v>
      </c>
      <c r="Q1150">
        <v>1.1109829999999999E-2</v>
      </c>
      <c r="R1150">
        <v>-0.78295179999999998</v>
      </c>
      <c r="S1150">
        <v>0.8088379</v>
      </c>
      <c r="T1150">
        <v>-0.75869919999999902</v>
      </c>
      <c r="U1150">
        <v>-3.2167050000000001</v>
      </c>
      <c r="V1150">
        <v>0.18897810000000001</v>
      </c>
      <c r="W1150">
        <v>2.1948780000000001E-2</v>
      </c>
      <c r="X1150">
        <v>0.98173589999999999</v>
      </c>
      <c r="Y1150">
        <v>0.57569910000000002</v>
      </c>
      <c r="Z1150">
        <v>9.2440339999999996E-2</v>
      </c>
      <c r="AA1150">
        <v>0.81241940000000001</v>
      </c>
      <c r="AB1150">
        <v>24</v>
      </c>
      <c r="AC1150">
        <v>1.07660000000001</v>
      </c>
      <c r="AD1150">
        <v>-1.1000548148459901</v>
      </c>
      <c r="AE1150">
        <v>-4.5703000000000298</v>
      </c>
      <c r="AF1150">
        <v>2.6204407940058898</v>
      </c>
      <c r="AG1150">
        <v>-1.1000548148459901</v>
      </c>
      <c r="AH1150">
        <v>3.5979689393905399</v>
      </c>
      <c r="AI1150">
        <v>103.88210168299899</v>
      </c>
      <c r="AJ1150">
        <v>53.933732482818101</v>
      </c>
      <c r="AK1150">
        <v>4.5849984775761001</v>
      </c>
      <c r="AL1150">
        <v>88.742326451036902</v>
      </c>
      <c r="AM1150">
        <v>79.104188935921698</v>
      </c>
      <c r="AN1150">
        <v>0.99999992428595097</v>
      </c>
    </row>
    <row r="1151" spans="1:40" x14ac:dyDescent="0.25">
      <c r="A1151" t="str">
        <f>"20190312154234518"</f>
        <v>20190312154234518</v>
      </c>
      <c r="B1151" t="str">
        <f>"1552376554508278"</f>
        <v>1552376554508278</v>
      </c>
      <c r="C1151" t="s">
        <v>40</v>
      </c>
      <c r="D1151">
        <v>5.2916230000000004</v>
      </c>
      <c r="E1151">
        <v>0.67355369999999903</v>
      </c>
      <c r="F1151" t="s">
        <v>47</v>
      </c>
      <c r="G1151">
        <v>-198.06639999999999</v>
      </c>
      <c r="H1151" s="1">
        <v>-5.7580760000000002E-6</v>
      </c>
      <c r="I1151">
        <v>357.2432</v>
      </c>
      <c r="J1151">
        <v>-199.07089999999999</v>
      </c>
      <c r="K1151">
        <v>1.100061</v>
      </c>
      <c r="L1151">
        <v>361.81400000000002</v>
      </c>
      <c r="M1151">
        <v>0.75000469999999997</v>
      </c>
      <c r="N1151">
        <v>0</v>
      </c>
      <c r="O1151">
        <v>-0.66124019999999994</v>
      </c>
      <c r="P1151">
        <v>0.61139270000000001</v>
      </c>
      <c r="Q1151">
        <v>1.073518E-2</v>
      </c>
      <c r="R1151">
        <v>-0.79125469999999998</v>
      </c>
      <c r="S1151">
        <v>0.78228759999999997</v>
      </c>
      <c r="T1151">
        <v>-0.75249480000000002</v>
      </c>
      <c r="U1151">
        <v>-3.2208860000000001</v>
      </c>
      <c r="V1151">
        <v>0.18980279999999999</v>
      </c>
      <c r="W1151">
        <v>2.1571699999999999E-2</v>
      </c>
      <c r="X1151">
        <v>0.98158520000000005</v>
      </c>
      <c r="Y1151">
        <v>0.57212249999999998</v>
      </c>
      <c r="Z1151">
        <v>9.4857720000000006E-2</v>
      </c>
      <c r="AA1151">
        <v>0.81466430000000001</v>
      </c>
      <c r="AB1151">
        <v>24</v>
      </c>
      <c r="AC1151">
        <v>1.0044999999999999</v>
      </c>
      <c r="AD1151">
        <v>-1.100066758076</v>
      </c>
      <c r="AE1151">
        <v>-4.5708000000000197</v>
      </c>
      <c r="AF1151">
        <v>2.6195165657339499</v>
      </c>
      <c r="AG1151">
        <v>-1.100066758076</v>
      </c>
      <c r="AH1151">
        <v>3.5785261751839998</v>
      </c>
      <c r="AI1151">
        <v>103.93112822470999</v>
      </c>
      <c r="AJ1151">
        <v>53.795503177786699</v>
      </c>
      <c r="AK1151">
        <v>4.5692300770321701</v>
      </c>
      <c r="AL1151">
        <v>88.763936722466198</v>
      </c>
      <c r="AM1151">
        <v>79.056145631045098</v>
      </c>
      <c r="AN1151">
        <v>0.99999997299388399</v>
      </c>
    </row>
    <row r="1152" spans="1:40" x14ac:dyDescent="0.25">
      <c r="A1152" t="str">
        <f>"20190312154234530"</f>
        <v>20190312154234530</v>
      </c>
      <c r="B1152" t="str">
        <f>"1552376554519015"</f>
        <v>1552376554519015</v>
      </c>
      <c r="C1152" t="s">
        <v>40</v>
      </c>
      <c r="D1152">
        <v>5.2785169999999999</v>
      </c>
      <c r="E1152">
        <v>0.67276139999999995</v>
      </c>
      <c r="F1152" t="s">
        <v>47</v>
      </c>
      <c r="G1152">
        <v>-197.9674</v>
      </c>
      <c r="H1152" s="1">
        <v>-5.6798640000000003E-6</v>
      </c>
      <c r="I1152">
        <v>357.0557</v>
      </c>
      <c r="J1152">
        <v>-198.977</v>
      </c>
      <c r="K1152">
        <v>1.1000719999999999</v>
      </c>
      <c r="L1152">
        <v>361.71940000000001</v>
      </c>
      <c r="M1152">
        <v>0.74429889999999999</v>
      </c>
      <c r="N1152">
        <v>0</v>
      </c>
      <c r="O1152">
        <v>-0.66765589999999997</v>
      </c>
      <c r="P1152">
        <v>0.60429250000000001</v>
      </c>
      <c r="Q1152">
        <v>1.043495E-2</v>
      </c>
      <c r="R1152">
        <v>-0.79669449999999997</v>
      </c>
      <c r="S1152">
        <v>0.74765009999999998</v>
      </c>
      <c r="T1152">
        <v>-0.74533329999999998</v>
      </c>
      <c r="U1152">
        <v>-3.2238769999999999</v>
      </c>
      <c r="V1152">
        <v>0.1901467</v>
      </c>
      <c r="W1152">
        <v>2.1276119999999999E-2</v>
      </c>
      <c r="X1152">
        <v>0.98152510000000004</v>
      </c>
      <c r="Y1152">
        <v>0.57360390000000006</v>
      </c>
      <c r="Z1152">
        <v>9.5765230000000007E-2</v>
      </c>
      <c r="AA1152">
        <v>0.81351549999999995</v>
      </c>
      <c r="AB1152">
        <v>24</v>
      </c>
      <c r="AC1152">
        <v>1.0096000000000001</v>
      </c>
      <c r="AD1152">
        <v>-1.100077679864</v>
      </c>
      <c r="AE1152">
        <v>-4.6637000000000004</v>
      </c>
      <c r="AF1152">
        <v>2.6562980736490198</v>
      </c>
      <c r="AG1152">
        <v>-1.100077679864</v>
      </c>
      <c r="AH1152">
        <v>3.6705948633746899</v>
      </c>
      <c r="AI1152">
        <v>103.646988756977</v>
      </c>
      <c r="AJ1152">
        <v>54.1078821002572</v>
      </c>
      <c r="AK1152">
        <v>4.6625483384989304</v>
      </c>
      <c r="AL1152">
        <v>88.780876107599397</v>
      </c>
      <c r="AM1152">
        <v>79.036141693336802</v>
      </c>
      <c r="AN1152">
        <v>0.99999998136657697</v>
      </c>
    </row>
    <row r="1153" spans="1:40" x14ac:dyDescent="0.25">
      <c r="A1153" t="str">
        <f>"20190312154234542"</f>
        <v>20190312154234542</v>
      </c>
      <c r="B1153" t="str">
        <f>"1552376554538534"</f>
        <v>1552376554538534</v>
      </c>
      <c r="C1153" t="s">
        <v>40</v>
      </c>
      <c r="D1153">
        <v>5.2938289999999997</v>
      </c>
      <c r="E1153">
        <v>0.67125489999999999</v>
      </c>
      <c r="F1153" t="s">
        <v>47</v>
      </c>
      <c r="G1153">
        <v>-197.90309999999999</v>
      </c>
      <c r="H1153" s="1">
        <v>-5.6273679999999997E-6</v>
      </c>
      <c r="I1153">
        <v>356.9289</v>
      </c>
      <c r="J1153">
        <v>-198.88470000000001</v>
      </c>
      <c r="K1153">
        <v>1.1000829999999999</v>
      </c>
      <c r="L1153">
        <v>361.62430000000001</v>
      </c>
      <c r="M1153">
        <v>0.73856929999999998</v>
      </c>
      <c r="N1153">
        <v>0</v>
      </c>
      <c r="O1153">
        <v>-0.67398859999999905</v>
      </c>
      <c r="P1153">
        <v>0.59766519999999901</v>
      </c>
      <c r="Q1153">
        <v>1.011068E-2</v>
      </c>
      <c r="R1153">
        <v>-0.80168249999999996</v>
      </c>
      <c r="S1153">
        <v>0.72329709999999903</v>
      </c>
      <c r="T1153">
        <v>-0.74095669999999902</v>
      </c>
      <c r="U1153">
        <v>-3.2266240000000002</v>
      </c>
      <c r="V1153">
        <v>0.18989700000000001</v>
      </c>
      <c r="W1153">
        <v>2.0972930000000001E-2</v>
      </c>
      <c r="X1153">
        <v>0.98158000000000001</v>
      </c>
      <c r="Y1153">
        <v>0.57268660000000005</v>
      </c>
      <c r="Z1153">
        <v>9.7176189999999996E-2</v>
      </c>
      <c r="AA1153">
        <v>0.81399440000000001</v>
      </c>
      <c r="AB1153">
        <v>24</v>
      </c>
      <c r="AC1153">
        <v>0.98160000000001402</v>
      </c>
      <c r="AD1153">
        <v>-1.1000886273679999</v>
      </c>
      <c r="AE1153">
        <v>-4.6954000000000002</v>
      </c>
      <c r="AF1153">
        <v>2.6664124454228002</v>
      </c>
      <c r="AG1153">
        <v>-1.1000886273679999</v>
      </c>
      <c r="AH1153">
        <v>3.6957486113573998</v>
      </c>
      <c r="AI1153">
        <v>103.571247521099</v>
      </c>
      <c r="AJ1153">
        <v>54.1902670415773</v>
      </c>
      <c r="AK1153">
        <v>4.6881241574344097</v>
      </c>
      <c r="AL1153">
        <v>88.798251533563899</v>
      </c>
      <c r="AM1153">
        <v>79.050788784061595</v>
      </c>
      <c r="AN1153">
        <v>1.0000000154008899</v>
      </c>
    </row>
    <row r="1154" spans="1:40" x14ac:dyDescent="0.25">
      <c r="A1154" t="str">
        <f>"20190312154234556"</f>
        <v>20190312154234556</v>
      </c>
      <c r="B1154" t="str">
        <f>"1552376554548294"</f>
        <v>1552376554548294</v>
      </c>
      <c r="C1154" t="s">
        <v>40</v>
      </c>
      <c r="D1154">
        <v>5.3246729999999998</v>
      </c>
      <c r="E1154">
        <v>0.670516</v>
      </c>
      <c r="F1154" t="s">
        <v>47</v>
      </c>
      <c r="G1154">
        <v>-197.82650000000001</v>
      </c>
      <c r="H1154" s="1">
        <v>-5.5709950000000002E-6</v>
      </c>
      <c r="I1154">
        <v>356.7962</v>
      </c>
      <c r="J1154">
        <v>-198.78030000000001</v>
      </c>
      <c r="K1154">
        <v>1.100101</v>
      </c>
      <c r="L1154">
        <v>361.51479999999998</v>
      </c>
      <c r="M1154">
        <v>0.73196130000000004</v>
      </c>
      <c r="N1154">
        <v>0</v>
      </c>
      <c r="O1154">
        <v>-0.68115909999999902</v>
      </c>
      <c r="P1154">
        <v>0.5901788</v>
      </c>
      <c r="Q1154">
        <v>9.7119700000000003E-3</v>
      </c>
      <c r="R1154">
        <v>-0.8072146</v>
      </c>
      <c r="S1154">
        <v>0.70674130000000002</v>
      </c>
      <c r="T1154">
        <v>-0.73471889999999995</v>
      </c>
      <c r="U1154">
        <v>-3.2245180000000002</v>
      </c>
      <c r="V1154">
        <v>0.18945149999999999</v>
      </c>
      <c r="W1154">
        <v>2.0602499999999999E-2</v>
      </c>
      <c r="X1154">
        <v>0.98167389999999999</v>
      </c>
      <c r="Y1154">
        <v>0.56869139999999996</v>
      </c>
      <c r="Z1154">
        <v>9.8979059999999994E-2</v>
      </c>
      <c r="AA1154">
        <v>0.81657409999999997</v>
      </c>
      <c r="AB1154">
        <v>24</v>
      </c>
      <c r="AC1154">
        <v>0.95380000000000098</v>
      </c>
      <c r="AD1154">
        <v>-1.100106570995</v>
      </c>
      <c r="AE1154">
        <v>-4.7185999999999799</v>
      </c>
      <c r="AF1154">
        <v>2.66531327339889</v>
      </c>
      <c r="AG1154">
        <v>-1.100106570995</v>
      </c>
      <c r="AH1154">
        <v>3.7185706051665401</v>
      </c>
      <c r="AI1154">
        <v>103.52035313750299</v>
      </c>
      <c r="AJ1154">
        <v>54.368655467489901</v>
      </c>
      <c r="AK1154">
        <v>4.7055176823078</v>
      </c>
      <c r="AL1154">
        <v>88.819480166111802</v>
      </c>
      <c r="AM1154">
        <v>79.076876813275007</v>
      </c>
      <c r="AN1154">
        <v>0.99999998989985495</v>
      </c>
    </row>
    <row r="1155" spans="1:40" x14ac:dyDescent="0.25">
      <c r="A1155" t="str">
        <f>"20190312154234575"</f>
        <v>20190312154234575</v>
      </c>
      <c r="B1155" t="str">
        <f>"1552376554568791"</f>
        <v>1552376554568791</v>
      </c>
      <c r="C1155" t="s">
        <v>40</v>
      </c>
      <c r="D1155">
        <v>5.350797</v>
      </c>
      <c r="E1155">
        <v>0.66973039999999995</v>
      </c>
      <c r="F1155" t="s">
        <v>47</v>
      </c>
      <c r="G1155">
        <v>-197.7568</v>
      </c>
      <c r="H1155" s="1">
        <v>-5.516006E-6</v>
      </c>
      <c r="I1155">
        <v>356.66449999999998</v>
      </c>
      <c r="J1155">
        <v>-198.6386</v>
      </c>
      <c r="K1155">
        <v>1.1001259999999999</v>
      </c>
      <c r="L1155">
        <v>361.36290000000002</v>
      </c>
      <c r="M1155">
        <v>0.72277659999999999</v>
      </c>
      <c r="N1155">
        <v>0</v>
      </c>
      <c r="O1155">
        <v>-0.69089690000000004</v>
      </c>
      <c r="P1155">
        <v>0.58108409999999999</v>
      </c>
      <c r="Q1155">
        <v>8.3428259999999994E-3</v>
      </c>
      <c r="R1155">
        <v>-0.81380069999999904</v>
      </c>
      <c r="S1155">
        <v>0.68104549999999997</v>
      </c>
      <c r="T1155">
        <v>-0.7320063</v>
      </c>
      <c r="U1155">
        <v>-3.2273559999999999</v>
      </c>
      <c r="V1155">
        <v>0.18729899999999999</v>
      </c>
      <c r="W1155">
        <v>1.931482E-2</v>
      </c>
      <c r="X1155">
        <v>0.98211309999999996</v>
      </c>
      <c r="Y1155">
        <v>0.56419410000000003</v>
      </c>
      <c r="Z1155">
        <v>0.1018985</v>
      </c>
      <c r="AA1155">
        <v>0.819329999999999</v>
      </c>
      <c r="AB1155">
        <v>24</v>
      </c>
      <c r="AC1155">
        <v>0.88179999999999803</v>
      </c>
      <c r="AD1155">
        <v>-1.1001315160059999</v>
      </c>
      <c r="AE1155">
        <v>-4.6984000000000403</v>
      </c>
      <c r="AF1155">
        <v>2.6468379426037498</v>
      </c>
      <c r="AG1155">
        <v>-1.1001315160059999</v>
      </c>
      <c r="AH1155">
        <v>3.68859922187097</v>
      </c>
      <c r="AI1155">
        <v>103.62136523518301</v>
      </c>
      <c r="AJ1155">
        <v>54.337812349307598</v>
      </c>
      <c r="AK1155">
        <v>4.6713814516161802</v>
      </c>
      <c r="AL1155">
        <v>88.893273577470396</v>
      </c>
      <c r="AM1155">
        <v>79.202763545647002</v>
      </c>
      <c r="AN1155">
        <v>1.0000000594321099</v>
      </c>
    </row>
    <row r="1156" spans="1:40" x14ac:dyDescent="0.25">
      <c r="A1156" t="str">
        <f>"20190312154234597"</f>
        <v>20190312154234597</v>
      </c>
      <c r="B1156" t="str">
        <f>"1552376554588311"</f>
        <v>1552376554588311</v>
      </c>
      <c r="C1156" t="s">
        <v>40</v>
      </c>
      <c r="D1156">
        <v>5.3660800000000002</v>
      </c>
      <c r="E1156">
        <v>0.64775590000000005</v>
      </c>
      <c r="F1156" t="s">
        <v>47</v>
      </c>
      <c r="G1156">
        <v>-197.66319999999999</v>
      </c>
      <c r="H1156" s="1">
        <v>-5.4486569999999897E-6</v>
      </c>
      <c r="I1156">
        <v>356.50699999999898</v>
      </c>
      <c r="J1156">
        <v>-198.47040000000001</v>
      </c>
      <c r="K1156">
        <v>1.1001620000000001</v>
      </c>
      <c r="L1156">
        <v>361.17700000000002</v>
      </c>
      <c r="M1156">
        <v>0.71152260000000001</v>
      </c>
      <c r="N1156">
        <v>0</v>
      </c>
      <c r="O1156">
        <v>-0.70248140000000003</v>
      </c>
      <c r="P1156">
        <v>0.56988609999999995</v>
      </c>
      <c r="Q1156">
        <v>7.3452259999999998E-3</v>
      </c>
      <c r="R1156">
        <v>-0.82169099999999995</v>
      </c>
      <c r="S1156">
        <v>0.64894099999999999</v>
      </c>
      <c r="T1156">
        <v>-0.7318983</v>
      </c>
      <c r="U1156">
        <v>-3.2305600000000001</v>
      </c>
      <c r="V1156">
        <v>0.18486320000000001</v>
      </c>
      <c r="W1156">
        <v>1.840899E-2</v>
      </c>
      <c r="X1156">
        <v>0.98259180000000002</v>
      </c>
      <c r="Y1156">
        <v>0.55899690000000002</v>
      </c>
      <c r="Z1156">
        <v>0.10577449999999999</v>
      </c>
      <c r="AA1156">
        <v>0.8223954</v>
      </c>
      <c r="AB1156">
        <v>24</v>
      </c>
      <c r="AC1156">
        <v>0.80720000000002201</v>
      </c>
      <c r="AD1156">
        <v>-1.1001674486569999</v>
      </c>
      <c r="AE1156">
        <v>-4.6700000000000097</v>
      </c>
      <c r="AF1156">
        <v>2.6151901146318499</v>
      </c>
      <c r="AG1156">
        <v>-1.1001674486569999</v>
      </c>
      <c r="AH1156">
        <v>3.6582812161961402</v>
      </c>
      <c r="AI1156">
        <v>103.747348668415</v>
      </c>
      <c r="AJ1156">
        <v>54.440216807983099</v>
      </c>
      <c r="AK1156">
        <v>4.6295366082931197</v>
      </c>
      <c r="AL1156">
        <v>88.945182952049294</v>
      </c>
      <c r="AM1156">
        <v>79.345016212663893</v>
      </c>
      <c r="AN1156">
        <v>0.99999996952714898</v>
      </c>
    </row>
    <row r="1157" spans="1:40" x14ac:dyDescent="0.25">
      <c r="A1157" t="str">
        <f>"20190312154234609"</f>
        <v>20190312154234609</v>
      </c>
      <c r="B1157" t="str">
        <f>"1552376554598071"</f>
        <v>1552376554598071</v>
      </c>
      <c r="C1157" t="s">
        <v>40</v>
      </c>
      <c r="D1157">
        <v>5.3693609999999996</v>
      </c>
      <c r="E1157">
        <v>0.64678469999999999</v>
      </c>
      <c r="F1157" t="s">
        <v>47</v>
      </c>
      <c r="G1157">
        <v>-197.20869999999999</v>
      </c>
      <c r="H1157" s="1">
        <v>-5.1505290000000002E-6</v>
      </c>
      <c r="I1157">
        <v>355.87549999999999</v>
      </c>
      <c r="J1157">
        <v>-198.38319999999999</v>
      </c>
      <c r="K1157">
        <v>1.1001780000000001</v>
      </c>
      <c r="L1157">
        <v>361.07859999999999</v>
      </c>
      <c r="M1157">
        <v>0.70555080000000003</v>
      </c>
      <c r="N1157">
        <v>0</v>
      </c>
      <c r="O1157">
        <v>-0.70847890000000002</v>
      </c>
      <c r="P1157">
        <v>0.56360189999999999</v>
      </c>
      <c r="Q1157">
        <v>7.225553E-3</v>
      </c>
      <c r="R1157">
        <v>-0.8260151</v>
      </c>
      <c r="S1157">
        <v>0.74699399999999905</v>
      </c>
      <c r="T1157">
        <v>-0.65135529999999997</v>
      </c>
      <c r="U1157">
        <v>-3.138763</v>
      </c>
      <c r="V1157">
        <v>0.1840379</v>
      </c>
      <c r="W1157">
        <v>1.832317E-2</v>
      </c>
      <c r="X1157">
        <v>0.98274830000000002</v>
      </c>
      <c r="Y1157">
        <v>0.5227522</v>
      </c>
      <c r="Z1157">
        <v>0.1012672</v>
      </c>
      <c r="AA1157">
        <v>0.84644850000000005</v>
      </c>
      <c r="AB1157">
        <v>24</v>
      </c>
      <c r="AC1157">
        <v>1.1744999999999901</v>
      </c>
      <c r="AD1157">
        <v>-1.1001831505290001</v>
      </c>
      <c r="AE1157">
        <v>-5.2031000000000001</v>
      </c>
      <c r="AF1157">
        <v>2.7234441614103502</v>
      </c>
      <c r="AG1157">
        <v>-1.1001831505290001</v>
      </c>
      <c r="AH1157">
        <v>4.3312708061224399</v>
      </c>
      <c r="AI1157">
        <v>102.13567337647</v>
      </c>
      <c r="AJ1157">
        <v>57.838877154334703</v>
      </c>
      <c r="AK1157">
        <v>5.2333027679465101</v>
      </c>
      <c r="AL1157">
        <v>88.950100889392104</v>
      </c>
      <c r="AM1157">
        <v>79.393153127774497</v>
      </c>
      <c r="AN1157">
        <v>0.99999995417407295</v>
      </c>
    </row>
    <row r="1158" spans="1:40" x14ac:dyDescent="0.25">
      <c r="A1158" t="str">
        <f>"20190312154234621"</f>
        <v>20190312154234621</v>
      </c>
      <c r="B1158" t="str">
        <f>"1552376554618567"</f>
        <v>1552376554618567</v>
      </c>
      <c r="C1158" t="s">
        <v>40</v>
      </c>
      <c r="D1158">
        <v>5.3997010000000003</v>
      </c>
      <c r="E1158">
        <v>0.64532769999999995</v>
      </c>
      <c r="F1158" t="s">
        <v>47</v>
      </c>
      <c r="G1158">
        <v>-197.1414</v>
      </c>
      <c r="H1158" s="1">
        <v>-5.0689400000000001E-6</v>
      </c>
      <c r="I1158">
        <v>355.73230000000001</v>
      </c>
      <c r="J1158">
        <v>-198.2936</v>
      </c>
      <c r="K1158">
        <v>1.1001989999999999</v>
      </c>
      <c r="L1158">
        <v>360.9751</v>
      </c>
      <c r="M1158">
        <v>0.69927469999999903</v>
      </c>
      <c r="N1158">
        <v>0</v>
      </c>
      <c r="O1158">
        <v>-0.71467429999999998</v>
      </c>
      <c r="P1158">
        <v>0.55705850000000001</v>
      </c>
      <c r="Q1158">
        <v>7.1923919999999997E-3</v>
      </c>
      <c r="R1158">
        <v>-0.83044219999999902</v>
      </c>
      <c r="S1158">
        <v>0.72932430000000004</v>
      </c>
      <c r="T1158">
        <v>-0.6461576</v>
      </c>
      <c r="U1158">
        <v>-3.1399840000000001</v>
      </c>
      <c r="V1158">
        <v>0.18313260000000001</v>
      </c>
      <c r="W1158">
        <v>1.832603E-2</v>
      </c>
      <c r="X1158">
        <v>0.98291740000000005</v>
      </c>
      <c r="Y1158">
        <v>0.51988979999999996</v>
      </c>
      <c r="Z1158">
        <v>0.10238120000000001</v>
      </c>
      <c r="AA1158">
        <v>0.84807589999999999</v>
      </c>
      <c r="AB1158">
        <v>24</v>
      </c>
      <c r="AC1158">
        <v>1.1521999999999899</v>
      </c>
      <c r="AD1158">
        <v>-1.1002040689399999</v>
      </c>
      <c r="AE1158">
        <v>-5.2427999999999804</v>
      </c>
      <c r="AF1158">
        <v>2.7284551737206901</v>
      </c>
      <c r="AG1158">
        <v>-1.1002040689399999</v>
      </c>
      <c r="AH1158">
        <v>4.3696201880270102</v>
      </c>
      <c r="AI1158">
        <v>102.05550409102</v>
      </c>
      <c r="AJ1158">
        <v>58.018737454729802</v>
      </c>
      <c r="AK1158">
        <v>5.2676842365434604</v>
      </c>
      <c r="AL1158">
        <v>88.949937048147106</v>
      </c>
      <c r="AM1158">
        <v>79.445928975876399</v>
      </c>
      <c r="AN1158">
        <v>1.0000000038905399</v>
      </c>
    </row>
    <row r="1159" spans="1:40" x14ac:dyDescent="0.25">
      <c r="A1159" t="str">
        <f>"20190312154234635"</f>
        <v>20190312154234635</v>
      </c>
      <c r="B1159" t="str">
        <f>"1552376554628327"</f>
        <v>1552376554628327</v>
      </c>
      <c r="C1159" t="s">
        <v>40</v>
      </c>
      <c r="D1159">
        <v>5.4078619999999997</v>
      </c>
      <c r="E1159">
        <v>0.64482240000000002</v>
      </c>
      <c r="F1159" t="s">
        <v>47</v>
      </c>
      <c r="G1159">
        <v>-197.0711</v>
      </c>
      <c r="H1159" s="1">
        <v>-4.9917830000000004E-6</v>
      </c>
      <c r="I1159">
        <v>355.60019999999997</v>
      </c>
      <c r="J1159">
        <v>-198.2028</v>
      </c>
      <c r="K1159">
        <v>1.1002190000000001</v>
      </c>
      <c r="L1159">
        <v>360.86840000000001</v>
      </c>
      <c r="M1159">
        <v>0.69279869999999899</v>
      </c>
      <c r="N1159">
        <v>0</v>
      </c>
      <c r="O1159">
        <v>-0.72095379999999998</v>
      </c>
      <c r="P1159">
        <v>0.54981709999999995</v>
      </c>
      <c r="Q1159">
        <v>7.5002300000000001E-3</v>
      </c>
      <c r="R1159">
        <v>-0.83525149999999904</v>
      </c>
      <c r="S1159">
        <v>0.713974</v>
      </c>
      <c r="T1159">
        <v>-0.64255830000000003</v>
      </c>
      <c r="U1159">
        <v>-3.1391300000000002</v>
      </c>
      <c r="V1159">
        <v>0.1828157</v>
      </c>
      <c r="W1159">
        <v>1.8652140000000001E-2</v>
      </c>
      <c r="X1159">
        <v>0.98297020000000002</v>
      </c>
      <c r="Y1159">
        <v>0.51614519999999997</v>
      </c>
      <c r="Z1159">
        <v>0.10386040000000001</v>
      </c>
      <c r="AA1159">
        <v>0.85018069999999901</v>
      </c>
      <c r="AB1159">
        <v>24</v>
      </c>
      <c r="AC1159">
        <v>1.1316999999999899</v>
      </c>
      <c r="AD1159">
        <v>-1.1002239917829999</v>
      </c>
      <c r="AE1159">
        <v>-5.2682000000000304</v>
      </c>
      <c r="AF1159">
        <v>2.7208261805935798</v>
      </c>
      <c r="AG1159">
        <v>-1.1002239917829999</v>
      </c>
      <c r="AH1159">
        <v>4.3993406199503404</v>
      </c>
      <c r="AI1159">
        <v>102.007706061823</v>
      </c>
      <c r="AJ1159">
        <v>58.264772667343401</v>
      </c>
      <c r="AK1159">
        <v>5.2884388837768999</v>
      </c>
      <c r="AL1159">
        <v>88.9312490675795</v>
      </c>
      <c r="AM1159">
        <v>79.464336149073901</v>
      </c>
      <c r="AN1159">
        <v>0.99999994829055305</v>
      </c>
    </row>
    <row r="1160" spans="1:40" x14ac:dyDescent="0.25">
      <c r="A1160" t="str">
        <f>"20190312154234651"</f>
        <v>20190312154234651</v>
      </c>
      <c r="B1160" t="str">
        <f>"1552376554648822"</f>
        <v>1552376554648822</v>
      </c>
      <c r="C1160" t="s">
        <v>40</v>
      </c>
      <c r="D1160">
        <v>5.4076820000000003</v>
      </c>
      <c r="E1160">
        <v>0.64319459999999995</v>
      </c>
      <c r="F1160" t="s">
        <v>47</v>
      </c>
      <c r="G1160">
        <v>-197.02109999999999</v>
      </c>
      <c r="H1160" s="1">
        <v>-4.9285990000000003E-6</v>
      </c>
      <c r="I1160">
        <v>355.48829999999998</v>
      </c>
      <c r="J1160">
        <v>-198.08260000000001</v>
      </c>
      <c r="K1160">
        <v>1.100247</v>
      </c>
      <c r="L1160">
        <v>360.72449999999998</v>
      </c>
      <c r="M1160">
        <v>0.68405050000000001</v>
      </c>
      <c r="N1160">
        <v>0</v>
      </c>
      <c r="O1160">
        <v>-0.7292594</v>
      </c>
      <c r="P1160">
        <v>0.53976389999999996</v>
      </c>
      <c r="Q1160">
        <v>8.2992829999999993E-3</v>
      </c>
      <c r="R1160">
        <v>-0.84177590000000002</v>
      </c>
      <c r="S1160">
        <v>0.69032289999999996</v>
      </c>
      <c r="T1160">
        <v>-0.64276560000000005</v>
      </c>
      <c r="U1160">
        <v>-3.143097</v>
      </c>
      <c r="V1160">
        <v>0.1827551</v>
      </c>
      <c r="W1160">
        <v>1.9465469999999999E-2</v>
      </c>
      <c r="X1160">
        <v>0.9829658</v>
      </c>
      <c r="Y1160">
        <v>0.51222889999999999</v>
      </c>
      <c r="Z1160">
        <v>0.1063607</v>
      </c>
      <c r="AA1160">
        <v>0.85223760000000004</v>
      </c>
      <c r="AB1160">
        <v>24</v>
      </c>
      <c r="AC1160">
        <v>1.0615000000000201</v>
      </c>
      <c r="AD1160">
        <v>-1.100251928599</v>
      </c>
      <c r="AE1160">
        <v>-5.2361999999999904</v>
      </c>
      <c r="AF1160">
        <v>2.6938319004316398</v>
      </c>
      <c r="AG1160">
        <v>-1.100251928599</v>
      </c>
      <c r="AH1160">
        <v>4.36033029246064</v>
      </c>
      <c r="AI1160">
        <v>102.11573285282699</v>
      </c>
      <c r="AJ1160">
        <v>58.292038947558297</v>
      </c>
      <c r="AK1160">
        <v>5.2421145421975401</v>
      </c>
      <c r="AL1160">
        <v>88.884640332415401</v>
      </c>
      <c r="AM1160">
        <v>79.467704279638198</v>
      </c>
      <c r="AN1160">
        <v>1.0000000475339801</v>
      </c>
    </row>
    <row r="1161" spans="1:40" x14ac:dyDescent="0.25">
      <c r="A1161" t="str">
        <f>"20190312154234664"</f>
        <v>20190312154234664</v>
      </c>
      <c r="B1161" t="str">
        <f>"1552376554658583"</f>
        <v>1552376554658583</v>
      </c>
      <c r="C1161" t="s">
        <v>40</v>
      </c>
      <c r="D1161">
        <v>5.3634209999999998</v>
      </c>
      <c r="E1161">
        <v>0.64268890000000001</v>
      </c>
      <c r="F1161" t="s">
        <v>47</v>
      </c>
      <c r="G1161">
        <v>-196.94390000000001</v>
      </c>
      <c r="H1161" s="1">
        <v>-4.8375989999999998E-6</v>
      </c>
      <c r="I1161">
        <v>355.3297</v>
      </c>
      <c r="J1161">
        <v>-197.99209999999999</v>
      </c>
      <c r="K1161">
        <v>1.100271</v>
      </c>
      <c r="L1161">
        <v>360.61369999999999</v>
      </c>
      <c r="M1161">
        <v>0.67731180000000002</v>
      </c>
      <c r="N1161">
        <v>0</v>
      </c>
      <c r="O1161">
        <v>-0.73552220000000001</v>
      </c>
      <c r="P1161">
        <v>0.531752</v>
      </c>
      <c r="Q1161">
        <v>8.5830760000000002E-3</v>
      </c>
      <c r="R1161">
        <v>-0.84685679999999997</v>
      </c>
      <c r="S1161">
        <v>0.66375729999999999</v>
      </c>
      <c r="T1161">
        <v>-0.64133450000000003</v>
      </c>
      <c r="U1161">
        <v>-3.1445620000000001</v>
      </c>
      <c r="V1161">
        <v>0.1830425</v>
      </c>
      <c r="W1161">
        <v>1.9749619999999999E-2</v>
      </c>
      <c r="X1161">
        <v>0.98290659999999996</v>
      </c>
      <c r="Y1161">
        <v>0.51134360000000001</v>
      </c>
      <c r="Z1161">
        <v>0.1079219</v>
      </c>
      <c r="AA1161">
        <v>0.85257289999999997</v>
      </c>
      <c r="AB1161">
        <v>24</v>
      </c>
      <c r="AC1161">
        <v>1.04819999999998</v>
      </c>
      <c r="AD1161">
        <v>-1.1002758375990001</v>
      </c>
      <c r="AE1161">
        <v>-5.28399999999999</v>
      </c>
      <c r="AF1161">
        <v>2.6958376446385799</v>
      </c>
      <c r="AG1161">
        <v>-1.1002758375990001</v>
      </c>
      <c r="AH1161">
        <v>4.4129497206328798</v>
      </c>
      <c r="AI1161">
        <v>102.01161816112899</v>
      </c>
      <c r="AJ1161">
        <v>58.579557251311599</v>
      </c>
      <c r="AK1161">
        <v>5.2869908986008802</v>
      </c>
      <c r="AL1161">
        <v>88.868356546660195</v>
      </c>
      <c r="AM1161">
        <v>79.450891619009795</v>
      </c>
      <c r="AN1161">
        <v>0.99999999430997699</v>
      </c>
    </row>
    <row r="1162" spans="1:40" x14ac:dyDescent="0.25">
      <c r="A1162" t="str">
        <f>"20190312154234678"</f>
        <v>20190312154234678</v>
      </c>
      <c r="B1162" t="str">
        <f>"1552376554668342"</f>
        <v>1552376554668342</v>
      </c>
      <c r="C1162" t="s">
        <v>40</v>
      </c>
      <c r="D1162">
        <v>5.3874979999999999</v>
      </c>
      <c r="E1162">
        <v>0.64191560000000003</v>
      </c>
      <c r="F1162" t="s">
        <v>47</v>
      </c>
      <c r="G1162">
        <v>-196.89879999999999</v>
      </c>
      <c r="H1162" s="1">
        <v>-4.7724929999999996E-6</v>
      </c>
      <c r="I1162">
        <v>355.21140000000003</v>
      </c>
      <c r="J1162">
        <v>-197.905</v>
      </c>
      <c r="K1162">
        <v>1.1003019999999999</v>
      </c>
      <c r="L1162">
        <v>360.50459999999998</v>
      </c>
      <c r="M1162">
        <v>0.67068000000000005</v>
      </c>
      <c r="N1162">
        <v>0</v>
      </c>
      <c r="O1162">
        <v>-0.74157459999999997</v>
      </c>
      <c r="P1162">
        <v>0.52388769999999996</v>
      </c>
      <c r="Q1162">
        <v>8.4677680000000005E-3</v>
      </c>
      <c r="R1162">
        <v>-0.85174539999999999</v>
      </c>
      <c r="S1162">
        <v>0.63725279999999995</v>
      </c>
      <c r="T1162">
        <v>-0.64132259999999996</v>
      </c>
      <c r="U1162">
        <v>-3.1488339999999999</v>
      </c>
      <c r="V1162">
        <v>0.18331449999999999</v>
      </c>
      <c r="W1162">
        <v>1.9635199999999998E-2</v>
      </c>
      <c r="X1162">
        <v>0.98285820000000002</v>
      </c>
      <c r="Y1162">
        <v>0.51079160000000001</v>
      </c>
      <c r="Z1162">
        <v>0.1095404</v>
      </c>
      <c r="AA1162">
        <v>0.85269740000000005</v>
      </c>
      <c r="AB1162">
        <v>24</v>
      </c>
      <c r="AC1162">
        <v>1.0062</v>
      </c>
      <c r="AD1162">
        <v>-1.100306772493</v>
      </c>
      <c r="AE1162">
        <v>-5.2931999999999499</v>
      </c>
      <c r="AF1162">
        <v>2.6919643600470602</v>
      </c>
      <c r="AG1162">
        <v>-1.100306772493</v>
      </c>
      <c r="AH1162">
        <v>4.4165424386837104</v>
      </c>
      <c r="AI1162">
        <v>102.00957997806</v>
      </c>
      <c r="AJ1162">
        <v>58.636919238127298</v>
      </c>
      <c r="AK1162">
        <v>5.2880236593695198</v>
      </c>
      <c r="AL1162">
        <v>88.874913601117697</v>
      </c>
      <c r="AM1162">
        <v>79.435059820353601</v>
      </c>
      <c r="AN1162">
        <v>0.99999999414826501</v>
      </c>
    </row>
    <row r="1163" spans="1:40" x14ac:dyDescent="0.25">
      <c r="A1163" t="str">
        <f>"20190312154234690"</f>
        <v>20190312154234690</v>
      </c>
      <c r="B1163" t="str">
        <f>"1552376554678103"</f>
        <v>1552376554678103</v>
      </c>
      <c r="C1163" t="s">
        <v>40</v>
      </c>
      <c r="D1163">
        <v>5.33779</v>
      </c>
      <c r="E1163">
        <v>0.64105590000000001</v>
      </c>
      <c r="F1163" t="s">
        <v>47</v>
      </c>
      <c r="G1163">
        <v>-196.8526</v>
      </c>
      <c r="H1163" s="1">
        <v>-4.7082430000000002E-6</v>
      </c>
      <c r="I1163">
        <v>355.09550000000002</v>
      </c>
      <c r="J1163">
        <v>-197.81870000000001</v>
      </c>
      <c r="K1163">
        <v>1.1003259999999999</v>
      </c>
      <c r="L1163">
        <v>360.39519999999999</v>
      </c>
      <c r="M1163">
        <v>0.66401519999999903</v>
      </c>
      <c r="N1163">
        <v>0</v>
      </c>
      <c r="O1163">
        <v>-0.74754830000000005</v>
      </c>
      <c r="P1163">
        <v>0.51598920000000004</v>
      </c>
      <c r="Q1163">
        <v>8.6096769999999996E-3</v>
      </c>
      <c r="R1163">
        <v>-0.85655190000000003</v>
      </c>
      <c r="S1163">
        <v>0.61314389999999996</v>
      </c>
      <c r="T1163">
        <v>-0.64106090000000004</v>
      </c>
      <c r="U1163">
        <v>-3.1514280000000001</v>
      </c>
      <c r="V1163">
        <v>0.18360679999999999</v>
      </c>
      <c r="W1163">
        <v>1.9776789999999999E-2</v>
      </c>
      <c r="X1163">
        <v>0.98280080000000003</v>
      </c>
      <c r="Y1163">
        <v>0.50956029999999997</v>
      </c>
      <c r="Z1163">
        <v>0.1111912</v>
      </c>
      <c r="AA1163">
        <v>0.85322019999999998</v>
      </c>
      <c r="AB1163">
        <v>24</v>
      </c>
      <c r="AC1163">
        <v>0.96610000000001095</v>
      </c>
      <c r="AD1163">
        <v>-1.1003307082429901</v>
      </c>
      <c r="AE1163">
        <v>-5.2996999999999703</v>
      </c>
      <c r="AF1163">
        <v>2.6852047890119799</v>
      </c>
      <c r="AG1163">
        <v>-1.1003307082429901</v>
      </c>
      <c r="AH1163">
        <v>4.4194924838529204</v>
      </c>
      <c r="AI1163">
        <v>102.01207488512701</v>
      </c>
      <c r="AJ1163">
        <v>58.7178809929257</v>
      </c>
      <c r="AK1163">
        <v>5.2870564817550303</v>
      </c>
      <c r="AL1163">
        <v>88.866799517513897</v>
      </c>
      <c r="AM1163">
        <v>79.417989837377803</v>
      </c>
      <c r="AN1163">
        <v>0.99999999545479201</v>
      </c>
    </row>
    <row r="1164" spans="1:40" x14ac:dyDescent="0.25">
      <c r="A1164" t="str">
        <f>"20190312154234709"</f>
        <v>20190312154234709</v>
      </c>
      <c r="B1164" t="str">
        <f>"1552376554698599"</f>
        <v>1552376554698599</v>
      </c>
      <c r="C1164" t="s">
        <v>40</v>
      </c>
      <c r="D1164">
        <v>5.3982599999999996</v>
      </c>
      <c r="E1164">
        <v>0.63946380000000003</v>
      </c>
      <c r="F1164" t="s">
        <v>47</v>
      </c>
      <c r="G1164">
        <v>-196.80199999999999</v>
      </c>
      <c r="H1164" s="1">
        <v>-4.6323009999999999E-6</v>
      </c>
      <c r="I1164">
        <v>354.95659999999998</v>
      </c>
      <c r="J1164">
        <v>-197.6942</v>
      </c>
      <c r="K1164">
        <v>1.1003639999999999</v>
      </c>
      <c r="L1164">
        <v>360.23329999999999</v>
      </c>
      <c r="M1164">
        <v>0.65414669999999997</v>
      </c>
      <c r="N1164">
        <v>0</v>
      </c>
      <c r="O1164">
        <v>-0.75619899999999995</v>
      </c>
      <c r="P1164">
        <v>0.50443019999999905</v>
      </c>
      <c r="Q1164">
        <v>8.9852370000000001E-3</v>
      </c>
      <c r="R1164">
        <v>-0.86340589999999995</v>
      </c>
      <c r="S1164">
        <v>0.5895996</v>
      </c>
      <c r="T1164">
        <v>-0.6380439</v>
      </c>
      <c r="U1164">
        <v>-3.1536870000000001</v>
      </c>
      <c r="V1164">
        <v>0.18392169999999999</v>
      </c>
      <c r="W1164">
        <v>2.0155320000000001E-2</v>
      </c>
      <c r="X1164">
        <v>0.9827342</v>
      </c>
      <c r="Y1164">
        <v>0.50461160000000005</v>
      </c>
      <c r="Z1164">
        <v>0.1133583</v>
      </c>
      <c r="AA1164">
        <v>0.85587209999999903</v>
      </c>
      <c r="AB1164">
        <v>24</v>
      </c>
      <c r="AC1164">
        <v>0.89219999999997401</v>
      </c>
      <c r="AD1164">
        <v>-1.10036863230099</v>
      </c>
      <c r="AE1164">
        <v>-5.2766999999999999</v>
      </c>
      <c r="AF1164">
        <v>2.66475042775199</v>
      </c>
      <c r="AG1164">
        <v>-1.10036863230099</v>
      </c>
      <c r="AH1164">
        <v>4.3888968518944997</v>
      </c>
      <c r="AI1164">
        <v>102.095973746086</v>
      </c>
      <c r="AJ1164">
        <v>58.735666869851599</v>
      </c>
      <c r="AK1164">
        <v>5.2511066972330598</v>
      </c>
      <c r="AL1164">
        <v>88.845106990230803</v>
      </c>
      <c r="AM1164">
        <v>79.399549734297807</v>
      </c>
      <c r="AN1164">
        <v>0.99999996825241499</v>
      </c>
    </row>
    <row r="1165" spans="1:40" x14ac:dyDescent="0.25">
      <c r="A1165" t="str">
        <f>"20190312154234721"</f>
        <v>20190312154234721</v>
      </c>
      <c r="B1165" t="str">
        <f>"1552376554708358"</f>
        <v>1552376554708358</v>
      </c>
      <c r="C1165" t="s">
        <v>40</v>
      </c>
      <c r="D1165">
        <v>5.4145529999999997</v>
      </c>
      <c r="E1165">
        <v>0.63867869999999904</v>
      </c>
      <c r="F1165" t="s">
        <v>47</v>
      </c>
      <c r="G1165">
        <v>-196.7397</v>
      </c>
      <c r="H1165" s="1">
        <v>-4.559004E-6</v>
      </c>
      <c r="I1165">
        <v>354.82889999999998</v>
      </c>
      <c r="J1165">
        <v>-197.6113</v>
      </c>
      <c r="K1165">
        <v>1.100392</v>
      </c>
      <c r="L1165">
        <v>360.1225</v>
      </c>
      <c r="M1165">
        <v>0.64740339999999996</v>
      </c>
      <c r="N1165">
        <v>0</v>
      </c>
      <c r="O1165">
        <v>-0.7619802</v>
      </c>
      <c r="P1165">
        <v>0.49677749999999998</v>
      </c>
      <c r="Q1165">
        <v>9.2118719999999994E-3</v>
      </c>
      <c r="R1165">
        <v>-0.86782950000000003</v>
      </c>
      <c r="S1165">
        <v>0.55732729999999997</v>
      </c>
      <c r="T1165">
        <v>-0.64251819999999904</v>
      </c>
      <c r="U1165">
        <v>-3.1557010000000001</v>
      </c>
      <c r="V1165">
        <v>0.18388260000000001</v>
      </c>
      <c r="W1165">
        <v>2.0390350000000002E-2</v>
      </c>
      <c r="X1165">
        <v>0.98273670000000002</v>
      </c>
      <c r="Y1165">
        <v>0.50555229999999995</v>
      </c>
      <c r="Z1165">
        <v>0.1156734</v>
      </c>
      <c r="AA1165">
        <v>0.85500679999999996</v>
      </c>
      <c r="AB1165">
        <v>24</v>
      </c>
      <c r="AC1165">
        <v>0.87160000000000004</v>
      </c>
      <c r="AD1165">
        <v>-1.1003965590039999</v>
      </c>
      <c r="AE1165">
        <v>-5.2936000000000201</v>
      </c>
      <c r="AF1165">
        <v>2.6517444560165102</v>
      </c>
      <c r="AG1165">
        <v>-1.1003965590039999</v>
      </c>
      <c r="AH1165">
        <v>4.41283091739359</v>
      </c>
      <c r="AI1165">
        <v>102.06488479943501</v>
      </c>
      <c r="AJ1165">
        <v>58.997632874112803</v>
      </c>
      <c r="AK1165">
        <v>5.26457006341324</v>
      </c>
      <c r="AL1165">
        <v>88.831638030843294</v>
      </c>
      <c r="AM1165">
        <v>79.401778580285097</v>
      </c>
      <c r="AN1165">
        <v>0.99999999924138605</v>
      </c>
    </row>
    <row r="1166" spans="1:40" x14ac:dyDescent="0.25">
      <c r="A1166" t="str">
        <f>"20190312154234735"</f>
        <v>20190312154234735</v>
      </c>
      <c r="B1166" t="str">
        <f>"1552376554728855"</f>
        <v>1552376554728855</v>
      </c>
      <c r="C1166" t="s">
        <v>40</v>
      </c>
      <c r="D1166">
        <v>5.4135530000000003</v>
      </c>
      <c r="E1166">
        <v>0.63707480000000005</v>
      </c>
      <c r="F1166" t="s">
        <v>47</v>
      </c>
      <c r="G1166">
        <v>-196.69300000000001</v>
      </c>
      <c r="H1166" s="1">
        <v>-4.4876129999999998E-6</v>
      </c>
      <c r="I1166">
        <v>354.69779999999997</v>
      </c>
      <c r="J1166">
        <v>-197.52330000000001</v>
      </c>
      <c r="K1166">
        <v>1.1004229999999999</v>
      </c>
      <c r="L1166">
        <v>360.00299999999999</v>
      </c>
      <c r="M1166">
        <v>0.64011929999999995</v>
      </c>
      <c r="N1166">
        <v>0</v>
      </c>
      <c r="O1166">
        <v>-0.76810970000000001</v>
      </c>
      <c r="P1166">
        <v>0.48837150000000001</v>
      </c>
      <c r="Q1166">
        <v>9.2230339999999997E-3</v>
      </c>
      <c r="R1166">
        <v>-0.87258740000000001</v>
      </c>
      <c r="S1166">
        <v>0.53454590000000002</v>
      </c>
      <c r="T1166">
        <v>-0.64054659999999997</v>
      </c>
      <c r="U1166">
        <v>-3.157715</v>
      </c>
      <c r="V1166">
        <v>0.18401719999999999</v>
      </c>
      <c r="W1166">
        <v>2.0406090000000002E-2</v>
      </c>
      <c r="X1166">
        <v>0.98271120000000001</v>
      </c>
      <c r="Y1166">
        <v>0.50347129999999995</v>
      </c>
      <c r="Z1166">
        <v>0.1171418</v>
      </c>
      <c r="AA1166">
        <v>0.85603419999999897</v>
      </c>
      <c r="AB1166">
        <v>24</v>
      </c>
      <c r="AC1166">
        <v>0.83030000000002202</v>
      </c>
      <c r="AD1166">
        <v>-1.100427487613</v>
      </c>
      <c r="AE1166">
        <v>-5.3052000000000703</v>
      </c>
      <c r="AF1166">
        <v>2.6473713713776701</v>
      </c>
      <c r="AG1166">
        <v>-1.100427487613</v>
      </c>
      <c r="AH1166">
        <v>4.4213727899328399</v>
      </c>
      <c r="AI1166">
        <v>102.053678467593</v>
      </c>
      <c r="AJ1166">
        <v>59.0882242441457</v>
      </c>
      <c r="AK1166">
        <v>5.2695401299395099</v>
      </c>
      <c r="AL1166">
        <v>88.830736032459797</v>
      </c>
      <c r="AM1166">
        <v>79.393927776376501</v>
      </c>
      <c r="AN1166">
        <v>1.00000002050518</v>
      </c>
    </row>
    <row r="1167" spans="1:40" x14ac:dyDescent="0.25">
      <c r="A1167" t="str">
        <f>"20190312154234754"</f>
        <v>20190312154234754</v>
      </c>
      <c r="B1167" t="str">
        <f>"1552376554738616"</f>
        <v>1552376554738616</v>
      </c>
      <c r="C1167" t="s">
        <v>40</v>
      </c>
      <c r="D1167">
        <v>5.4134039999999999</v>
      </c>
      <c r="E1167">
        <v>0.63629080000000005</v>
      </c>
      <c r="F1167" t="s">
        <v>47</v>
      </c>
      <c r="G1167">
        <v>-196.642</v>
      </c>
      <c r="H1167" s="1">
        <v>-4.4321009999999997E-6</v>
      </c>
      <c r="I1167">
        <v>354.60289999999998</v>
      </c>
      <c r="J1167">
        <v>-197.4083</v>
      </c>
      <c r="K1167">
        <v>1.1004640000000001</v>
      </c>
      <c r="L1167">
        <v>359.84339999999997</v>
      </c>
      <c r="M1167">
        <v>0.63038280000000002</v>
      </c>
      <c r="N1167">
        <v>0</v>
      </c>
      <c r="O1167">
        <v>-0.77612040000000004</v>
      </c>
      <c r="P1167">
        <v>0.47766750000000002</v>
      </c>
      <c r="Q1167">
        <v>8.7408680000000006E-3</v>
      </c>
      <c r="R1167">
        <v>-0.87849719999999998</v>
      </c>
      <c r="S1167">
        <v>0.5151367</v>
      </c>
      <c r="T1167">
        <v>-0.64325449999999995</v>
      </c>
      <c r="U1167">
        <v>-3.1566160000000001</v>
      </c>
      <c r="V1167">
        <v>0.18362829999999999</v>
      </c>
      <c r="W1167">
        <v>1.994508E-2</v>
      </c>
      <c r="X1167">
        <v>0.98279340000000004</v>
      </c>
      <c r="Y1167">
        <v>0.49773240000000002</v>
      </c>
      <c r="Z1167">
        <v>0.1203047</v>
      </c>
      <c r="AA1167">
        <v>0.8589466</v>
      </c>
      <c r="AB1167">
        <v>24</v>
      </c>
      <c r="AC1167">
        <v>0.76630000000000098</v>
      </c>
      <c r="AD1167">
        <v>-1.1004684321010001</v>
      </c>
      <c r="AE1167">
        <v>-5.2404999999999902</v>
      </c>
      <c r="AF1167">
        <v>2.5970022062726201</v>
      </c>
      <c r="AG1167">
        <v>-1.1004684321010001</v>
      </c>
      <c r="AH1167">
        <v>4.3625523079418604</v>
      </c>
      <c r="AI1167">
        <v>102.229910839537</v>
      </c>
      <c r="AJ1167">
        <v>59.234905774110601</v>
      </c>
      <c r="AK1167">
        <v>5.1949315557536098</v>
      </c>
      <c r="AL1167">
        <v>88.8571553283996</v>
      </c>
      <c r="AM1167">
        <v>79.416700809426899</v>
      </c>
      <c r="AN1167">
        <v>1.0000000129303199</v>
      </c>
    </row>
    <row r="1168" spans="1:40" x14ac:dyDescent="0.25">
      <c r="A1168" t="str">
        <f>"20190312154234778"</f>
        <v>20190312154234778</v>
      </c>
      <c r="B1168" t="str">
        <f>"1552376554768870"</f>
        <v>1552376554768870</v>
      </c>
      <c r="C1168" t="s">
        <v>40</v>
      </c>
      <c r="D1168">
        <v>5.4711509999999999</v>
      </c>
      <c r="E1168">
        <v>0.6344689</v>
      </c>
      <c r="F1168" t="s">
        <v>47</v>
      </c>
      <c r="G1168">
        <v>-196.58340000000001</v>
      </c>
      <c r="H1168" s="1">
        <v>-4.3302200000000002E-6</v>
      </c>
      <c r="I1168">
        <v>354.42610000000002</v>
      </c>
      <c r="J1168">
        <v>-197.2567</v>
      </c>
      <c r="K1168">
        <v>1.100527</v>
      </c>
      <c r="L1168">
        <v>359.62599999999998</v>
      </c>
      <c r="M1168">
        <v>0.61713339999999905</v>
      </c>
      <c r="N1168">
        <v>0</v>
      </c>
      <c r="O1168">
        <v>-0.78669709999999904</v>
      </c>
      <c r="P1168">
        <v>0.46333580000000002</v>
      </c>
      <c r="Q1168">
        <v>8.1693040000000005E-3</v>
      </c>
      <c r="R1168">
        <v>-0.88614550000000003</v>
      </c>
      <c r="S1168">
        <v>0.48110960000000003</v>
      </c>
      <c r="T1168">
        <v>-0.64186929999999998</v>
      </c>
      <c r="U1168">
        <v>-3.159729</v>
      </c>
      <c r="V1168">
        <v>0.1829143</v>
      </c>
      <c r="W1168">
        <v>1.9407790000000001E-2</v>
      </c>
      <c r="X1168">
        <v>0.98293730000000001</v>
      </c>
      <c r="Y1168">
        <v>0.4922742</v>
      </c>
      <c r="Z1168">
        <v>0.12330919999999999</v>
      </c>
      <c r="AA1168">
        <v>0.86166169999999997</v>
      </c>
      <c r="AB1168">
        <v>24</v>
      </c>
      <c r="AC1168">
        <v>0.67329999999998302</v>
      </c>
      <c r="AD1168">
        <v>-1.1005313302199999</v>
      </c>
      <c r="AE1168">
        <v>-5.1998999999999498</v>
      </c>
      <c r="AF1168">
        <v>2.5666172326111099</v>
      </c>
      <c r="AG1168">
        <v>-1.1005313302199999</v>
      </c>
      <c r="AH1168">
        <v>4.3166645927243197</v>
      </c>
      <c r="AI1168">
        <v>102.360371651384</v>
      </c>
      <c r="AJ1168">
        <v>59.264984969822201</v>
      </c>
      <c r="AK1168">
        <v>5.1412339407589602</v>
      </c>
      <c r="AL1168">
        <v>88.887945746175305</v>
      </c>
      <c r="AM1168">
        <v>79.458436241829503</v>
      </c>
      <c r="AN1168">
        <v>1.00000001959423</v>
      </c>
    </row>
    <row r="1169" spans="1:40" x14ac:dyDescent="0.25">
      <c r="A1169" t="str">
        <f>"20190312154234800"</f>
        <v>20190312154234800</v>
      </c>
      <c r="B1169" t="str">
        <f>"1552376554788391"</f>
        <v>1552376554788391</v>
      </c>
      <c r="C1169" t="s">
        <v>40</v>
      </c>
      <c r="D1169">
        <v>5.4242509999999999</v>
      </c>
      <c r="E1169">
        <v>0.63244209999999901</v>
      </c>
      <c r="F1169" t="s">
        <v>47</v>
      </c>
      <c r="G1169">
        <v>-196.49260000000001</v>
      </c>
      <c r="H1169" s="1">
        <v>-4.1734339999999901E-6</v>
      </c>
      <c r="I1169">
        <v>354.15449999999998</v>
      </c>
      <c r="J1169">
        <v>-197.12530000000001</v>
      </c>
      <c r="K1169">
        <v>1.10059</v>
      </c>
      <c r="L1169">
        <v>359.43119999999999</v>
      </c>
      <c r="M1169">
        <v>0.60526899999999995</v>
      </c>
      <c r="N1169">
        <v>0</v>
      </c>
      <c r="O1169">
        <v>-0.79586169999999901</v>
      </c>
      <c r="P1169">
        <v>0.45098929999999998</v>
      </c>
      <c r="Q1169">
        <v>7.9587949999999994E-3</v>
      </c>
      <c r="R1169">
        <v>-0.89249400000000001</v>
      </c>
      <c r="S1169">
        <v>0.44136049999999899</v>
      </c>
      <c r="T1169">
        <v>-0.63571099999999903</v>
      </c>
      <c r="U1169">
        <v>-3.1605219999999998</v>
      </c>
      <c r="V1169">
        <v>0.18181510000000001</v>
      </c>
      <c r="W1169">
        <v>1.9241399999999999E-2</v>
      </c>
      <c r="X1169">
        <v>0.98314449999999998</v>
      </c>
      <c r="Y1169">
        <v>0.4899232</v>
      </c>
      <c r="Z1169">
        <v>0.1249073</v>
      </c>
      <c r="AA1169">
        <v>0.86277079999999995</v>
      </c>
      <c r="AB1169">
        <v>24</v>
      </c>
      <c r="AC1169">
        <v>0.63269999999999904</v>
      </c>
      <c r="AD1169">
        <v>-1.1005941734339999</v>
      </c>
      <c r="AE1169">
        <v>-5.2766999999999999</v>
      </c>
      <c r="AF1169">
        <v>2.5799739250245799</v>
      </c>
      <c r="AG1169">
        <v>-1.1005941734339999</v>
      </c>
      <c r="AH1169">
        <v>4.3945857226767497</v>
      </c>
      <c r="AI1169">
        <v>102.18723871793701</v>
      </c>
      <c r="AJ1169">
        <v>59.583651843100903</v>
      </c>
      <c r="AK1169">
        <v>5.2134400027580599</v>
      </c>
      <c r="AL1169">
        <v>88.897480988291406</v>
      </c>
      <c r="AM1169">
        <v>79.522536610998898</v>
      </c>
      <c r="AN1169">
        <v>1.0000000349711</v>
      </c>
    </row>
    <row r="1170" spans="1:40" x14ac:dyDescent="0.25">
      <c r="A1170" t="str">
        <f>"20190312154234821"</f>
        <v>20190312154234821</v>
      </c>
      <c r="B1170" t="str">
        <f>"1552376554808224"</f>
        <v>1552376554808224</v>
      </c>
      <c r="C1170" t="s">
        <v>40</v>
      </c>
      <c r="D1170">
        <v>5.392544</v>
      </c>
      <c r="E1170">
        <v>0.63151539999999995</v>
      </c>
      <c r="F1170" t="s">
        <v>47</v>
      </c>
      <c r="G1170">
        <v>-196.41980000000001</v>
      </c>
      <c r="H1170" s="1">
        <v>-4.0839949999999999E-6</v>
      </c>
      <c r="I1170">
        <v>354.00889999999998</v>
      </c>
      <c r="J1170">
        <v>-196.99629999999999</v>
      </c>
      <c r="K1170">
        <v>1.1006629999999999</v>
      </c>
      <c r="L1170">
        <v>359.23360000000002</v>
      </c>
      <c r="M1170">
        <v>0.59325569999999905</v>
      </c>
      <c r="N1170">
        <v>0</v>
      </c>
      <c r="O1170">
        <v>-0.80485669999999898</v>
      </c>
      <c r="P1170">
        <v>0.43841059999999998</v>
      </c>
      <c r="Q1170">
        <v>8.0089849999999997E-3</v>
      </c>
      <c r="R1170">
        <v>-0.89873950000000002</v>
      </c>
      <c r="S1170">
        <v>0.41108699999999998</v>
      </c>
      <c r="T1170">
        <v>-0.64127429999999996</v>
      </c>
      <c r="U1170">
        <v>-3.1593629999999999</v>
      </c>
      <c r="V1170">
        <v>0.18086360000000001</v>
      </c>
      <c r="W1170">
        <v>1.933056E-2</v>
      </c>
      <c r="X1170">
        <v>0.98331820000000003</v>
      </c>
      <c r="Y1170">
        <v>0.4849927</v>
      </c>
      <c r="Z1170">
        <v>0.1288995</v>
      </c>
      <c r="AA1170">
        <v>0.86496649999999997</v>
      </c>
      <c r="AB1170">
        <v>24</v>
      </c>
      <c r="AC1170">
        <v>0.57649999999998103</v>
      </c>
      <c r="AD1170">
        <v>-1.1006670839949999</v>
      </c>
      <c r="AE1170">
        <v>-5.2247000000000403</v>
      </c>
      <c r="AF1170">
        <v>2.52519644270338</v>
      </c>
      <c r="AG1170">
        <v>-1.1006670839949999</v>
      </c>
      <c r="AH1170">
        <v>4.3566975380628401</v>
      </c>
      <c r="AI1170">
        <v>102.329597033927</v>
      </c>
      <c r="AJ1170">
        <v>59.902882123093796</v>
      </c>
      <c r="AK1170">
        <v>5.1545027444162503</v>
      </c>
      <c r="AL1170">
        <v>88.892371504836106</v>
      </c>
      <c r="AM1170">
        <v>79.577964732635095</v>
      </c>
      <c r="AN1170">
        <v>0.99999999740305601</v>
      </c>
    </row>
    <row r="1171" spans="1:40" x14ac:dyDescent="0.25">
      <c r="A1171" t="str">
        <f>"20190312154234842"</f>
        <v>20190312154234842</v>
      </c>
      <c r="B1171" t="str">
        <f>"1552376554828707"</f>
        <v>1552376554828707</v>
      </c>
      <c r="C1171" t="s">
        <v>40</v>
      </c>
      <c r="D1171">
        <v>5.3620710000000003</v>
      </c>
      <c r="E1171">
        <v>0.60669770000000001</v>
      </c>
      <c r="F1171" t="s">
        <v>47</v>
      </c>
      <c r="G1171">
        <v>-196.35210000000001</v>
      </c>
      <c r="H1171" s="1">
        <v>-3.947504E-6</v>
      </c>
      <c r="I1171">
        <v>353.76749999999998</v>
      </c>
      <c r="J1171">
        <v>-196.8759</v>
      </c>
      <c r="K1171">
        <v>1.1007340000000001</v>
      </c>
      <c r="L1171">
        <v>359.04329999999999</v>
      </c>
      <c r="M1171">
        <v>0.58170659999999996</v>
      </c>
      <c r="N1171">
        <v>0</v>
      </c>
      <c r="O1171">
        <v>-0.8132433</v>
      </c>
      <c r="P1171">
        <v>0.42644860000000001</v>
      </c>
      <c r="Q1171">
        <v>8.3649620000000001E-3</v>
      </c>
      <c r="R1171">
        <v>-0.90447339999999998</v>
      </c>
      <c r="S1171">
        <v>0.37266539999999998</v>
      </c>
      <c r="T1171">
        <v>-0.63669399999999998</v>
      </c>
      <c r="U1171">
        <v>-3.1619570000000001</v>
      </c>
      <c r="V1171">
        <v>0.179875799999999</v>
      </c>
      <c r="W1171">
        <v>1.9727680000000001E-2</v>
      </c>
      <c r="X1171">
        <v>0.98349149999999996</v>
      </c>
      <c r="Y1171">
        <v>0.48299910000000001</v>
      </c>
      <c r="Z1171">
        <v>0.13044990000000001</v>
      </c>
      <c r="AA1171">
        <v>0.86584910000000004</v>
      </c>
      <c r="AB1171">
        <v>24</v>
      </c>
      <c r="AC1171">
        <v>0.52379999999999405</v>
      </c>
      <c r="AD1171">
        <v>-1.100737947504</v>
      </c>
      <c r="AE1171">
        <v>-5.2758000000000003</v>
      </c>
      <c r="AF1171">
        <v>2.53409199030015</v>
      </c>
      <c r="AG1171">
        <v>-1.100737947504</v>
      </c>
      <c r="AH1171">
        <v>4.4058711338222896</v>
      </c>
      <c r="AI1171">
        <v>102.21970973529299</v>
      </c>
      <c r="AJ1171">
        <v>60.0941002043851</v>
      </c>
      <c r="AK1171">
        <v>5.2004756217318402</v>
      </c>
      <c r="AL1171">
        <v>88.869613876140605</v>
      </c>
      <c r="AM1171">
        <v>79.635435157218197</v>
      </c>
      <c r="AN1171">
        <v>1.00000000767803</v>
      </c>
    </row>
    <row r="1172" spans="1:40" x14ac:dyDescent="0.25">
      <c r="A1172" t="str">
        <f>"20190312154234866"</f>
        <v>20190312154234866</v>
      </c>
      <c r="B1172" t="str">
        <f>"1552376554857988"</f>
        <v>1552376554857988</v>
      </c>
      <c r="C1172" t="s">
        <v>40</v>
      </c>
      <c r="D1172">
        <v>5.6413169999999999</v>
      </c>
      <c r="E1172">
        <v>0.60588960000000003</v>
      </c>
      <c r="F1172" t="s">
        <v>47</v>
      </c>
      <c r="G1172">
        <v>-195.86750000000001</v>
      </c>
      <c r="H1172" s="1">
        <v>-3.4217319999999998E-6</v>
      </c>
      <c r="I1172">
        <v>352.93619999999999</v>
      </c>
      <c r="J1172">
        <v>-196.7424</v>
      </c>
      <c r="K1172">
        <v>1.1008260000000001</v>
      </c>
      <c r="L1172">
        <v>358.82549999999998</v>
      </c>
      <c r="M1172">
        <v>0.56852950000000002</v>
      </c>
      <c r="N1172">
        <v>0</v>
      </c>
      <c r="O1172">
        <v>-0.82250959999999995</v>
      </c>
      <c r="P1172">
        <v>0.41244160000000002</v>
      </c>
      <c r="Q1172">
        <v>9.1170169999999998E-3</v>
      </c>
      <c r="R1172">
        <v>-0.91093869999999999</v>
      </c>
      <c r="S1172">
        <v>0.50891109999999995</v>
      </c>
      <c r="T1172">
        <v>-0.55551359999999905</v>
      </c>
      <c r="U1172">
        <v>-3.0820919999999998</v>
      </c>
      <c r="V1172">
        <v>0.1792155</v>
      </c>
      <c r="W1172">
        <v>2.051383E-2</v>
      </c>
      <c r="X1172">
        <v>0.98359600000000003</v>
      </c>
      <c r="Y1172">
        <v>0.42798049999999999</v>
      </c>
      <c r="Z1172">
        <v>0.1218863</v>
      </c>
      <c r="AA1172">
        <v>0.89553139999999998</v>
      </c>
      <c r="AB1172">
        <v>24</v>
      </c>
      <c r="AC1172">
        <v>0.87489999999999601</v>
      </c>
      <c r="AD1172">
        <v>-1.100829421732</v>
      </c>
      <c r="AE1172">
        <v>-5.8892999999999898</v>
      </c>
      <c r="AF1172">
        <v>2.5420589857511802</v>
      </c>
      <c r="AG1172">
        <v>-1.100829421732</v>
      </c>
      <c r="AH1172">
        <v>5.1655043867810901</v>
      </c>
      <c r="AI1172">
        <v>100.824954482203</v>
      </c>
      <c r="AJ1172">
        <v>63.797180737259303</v>
      </c>
      <c r="AK1172">
        <v>5.8614268632001103</v>
      </c>
      <c r="AL1172">
        <v>88.824561729796798</v>
      </c>
      <c r="AM1172">
        <v>79.673735506365603</v>
      </c>
      <c r="AN1172">
        <v>1.00000005193875</v>
      </c>
    </row>
    <row r="1173" spans="1:40" x14ac:dyDescent="0.25">
      <c r="A1173" t="str">
        <f>"20190312154234880"</f>
        <v>20190312154234880</v>
      </c>
      <c r="B1173" t="str">
        <f>"1552376554868724"</f>
        <v>1552376554868724</v>
      </c>
      <c r="C1173" t="s">
        <v>40</v>
      </c>
      <c r="D1173">
        <v>5.3892689999999996</v>
      </c>
      <c r="E1173">
        <v>0.60538319999999901</v>
      </c>
      <c r="F1173" t="s">
        <v>47</v>
      </c>
      <c r="G1173">
        <v>-195.7953</v>
      </c>
      <c r="H1173" s="1">
        <v>-3.2150460000000001E-6</v>
      </c>
      <c r="I1173">
        <v>352.5573</v>
      </c>
      <c r="J1173">
        <v>-196.66499999999999</v>
      </c>
      <c r="K1173">
        <v>1.1008910000000001</v>
      </c>
      <c r="L1173">
        <v>358.69490000000002</v>
      </c>
      <c r="M1173">
        <v>0.5606759</v>
      </c>
      <c r="N1173">
        <v>0</v>
      </c>
      <c r="O1173">
        <v>-0.82788340000000005</v>
      </c>
      <c r="P1173">
        <v>0.40462029999999999</v>
      </c>
      <c r="Q1173">
        <v>9.1826770000000002E-3</v>
      </c>
      <c r="R1173">
        <v>-0.9144388</v>
      </c>
      <c r="S1173">
        <v>0.46650700000000001</v>
      </c>
      <c r="T1173">
        <v>-0.54222910000000002</v>
      </c>
      <c r="U1173">
        <v>-3.087494</v>
      </c>
      <c r="V1173">
        <v>0.17828089999999999</v>
      </c>
      <c r="W1173">
        <v>2.0615379999999999E-2</v>
      </c>
      <c r="X1173">
        <v>0.98376359999999996</v>
      </c>
      <c r="Y1173">
        <v>0.43159459999999999</v>
      </c>
      <c r="Z1173">
        <v>0.1201077</v>
      </c>
      <c r="AA1173">
        <v>0.89403589999999999</v>
      </c>
      <c r="AB1173">
        <v>23</v>
      </c>
      <c r="AC1173">
        <v>0.86969999999999403</v>
      </c>
      <c r="AD1173">
        <v>-1.1008942150459999</v>
      </c>
      <c r="AE1173">
        <v>-6.1376000000000097</v>
      </c>
      <c r="AF1173">
        <v>2.6383241552979202</v>
      </c>
      <c r="AG1173">
        <v>-1.1008942150459999</v>
      </c>
      <c r="AH1173">
        <v>5.3992460658004902</v>
      </c>
      <c r="AI1173">
        <v>100.381248374565</v>
      </c>
      <c r="AJ1173">
        <v>63.957702047410898</v>
      </c>
      <c r="AK1173">
        <v>6.1093846253294899</v>
      </c>
      <c r="AL1173">
        <v>88.818741988943401</v>
      </c>
      <c r="AM1173">
        <v>79.728149716091494</v>
      </c>
      <c r="AN1173">
        <v>0.99999994694115502</v>
      </c>
    </row>
    <row r="1174" spans="1:40" x14ac:dyDescent="0.25">
      <c r="A1174" t="str">
        <f>"20190312154234899"</f>
        <v>20190312154234899</v>
      </c>
      <c r="B1174" t="str">
        <f>"1552376554888247"</f>
        <v>1552376554888247</v>
      </c>
      <c r="C1174" t="s">
        <v>40</v>
      </c>
      <c r="D1174">
        <v>5.4221459999999997</v>
      </c>
      <c r="E1174">
        <v>0.60409069999999898</v>
      </c>
      <c r="F1174" t="s">
        <v>47</v>
      </c>
      <c r="G1174">
        <v>-195.79089999999999</v>
      </c>
      <c r="H1174" s="1">
        <v>-3.2386269999999999E-6</v>
      </c>
      <c r="I1174">
        <v>352.60610000000003</v>
      </c>
      <c r="J1174">
        <v>-196.55869999999999</v>
      </c>
      <c r="K1174">
        <v>1.100983</v>
      </c>
      <c r="L1174">
        <v>358.51150000000001</v>
      </c>
      <c r="M1174">
        <v>0.54968490000000003</v>
      </c>
      <c r="N1174">
        <v>0</v>
      </c>
      <c r="O1174">
        <v>-0.83522199999999902</v>
      </c>
      <c r="P1174">
        <v>0.39402769999999998</v>
      </c>
      <c r="Q1174">
        <v>9.3601670000000008E-3</v>
      </c>
      <c r="R1174">
        <v>-0.91905139999999996</v>
      </c>
      <c r="S1174">
        <v>0.44358829999999999</v>
      </c>
      <c r="T1174">
        <v>-0.55869219999999997</v>
      </c>
      <c r="U1174">
        <v>-3.0899960000000002</v>
      </c>
      <c r="V1174">
        <v>0.17664270000000001</v>
      </c>
      <c r="W1174">
        <v>2.0851829999999998E-2</v>
      </c>
      <c r="X1174">
        <v>0.98405410000000004</v>
      </c>
      <c r="Y1174">
        <v>0.42635889999999999</v>
      </c>
      <c r="Z1174">
        <v>0.12570889999999901</v>
      </c>
      <c r="AA1174">
        <v>0.89577640000000003</v>
      </c>
      <c r="AB1174">
        <v>23</v>
      </c>
      <c r="AC1174">
        <v>0.76779999999999404</v>
      </c>
      <c r="AD1174">
        <v>-1.100986238627</v>
      </c>
      <c r="AE1174">
        <v>-5.9053999999999798</v>
      </c>
      <c r="AF1174">
        <v>2.5190487004589301</v>
      </c>
      <c r="AG1174">
        <v>-1.100986238627</v>
      </c>
      <c r="AH1174">
        <v>5.1780484281706798</v>
      </c>
      <c r="AI1174">
        <v>100.82434107511899</v>
      </c>
      <c r="AJ1174">
        <v>64.057721387123294</v>
      </c>
      <c r="AK1174">
        <v>5.8625900911978102</v>
      </c>
      <c r="AL1174">
        <v>88.805191500275797</v>
      </c>
      <c r="AM1174">
        <v>79.823496107084495</v>
      </c>
      <c r="AN1174">
        <v>0.99999995700222299</v>
      </c>
    </row>
    <row r="1175" spans="1:40" x14ac:dyDescent="0.25">
      <c r="A1175" t="str">
        <f>"20190312154234922"</f>
        <v>20190312154234922</v>
      </c>
      <c r="B1175" t="str">
        <f>"1552376554908739"</f>
        <v>1552376554908739</v>
      </c>
      <c r="C1175" t="s">
        <v>40</v>
      </c>
      <c r="D1175">
        <v>5.4295070000000001</v>
      </c>
      <c r="E1175">
        <v>0.60266109999999995</v>
      </c>
      <c r="F1175" t="s">
        <v>47</v>
      </c>
      <c r="G1175">
        <v>-195.75020000000001</v>
      </c>
      <c r="H1175" s="1">
        <v>-3.1846399999999998E-6</v>
      </c>
      <c r="I1175">
        <v>352.51670000000001</v>
      </c>
      <c r="J1175">
        <v>-196.44290000000001</v>
      </c>
      <c r="K1175">
        <v>1.101102</v>
      </c>
      <c r="L1175">
        <v>358.30540000000002</v>
      </c>
      <c r="M1175">
        <v>0.53741479999999997</v>
      </c>
      <c r="N1175">
        <v>0</v>
      </c>
      <c r="O1175">
        <v>-0.84316990000000003</v>
      </c>
      <c r="P1175">
        <v>0.3820056</v>
      </c>
      <c r="Q1175">
        <v>9.3252500000000002E-3</v>
      </c>
      <c r="R1175">
        <v>-0.92411319999999997</v>
      </c>
      <c r="S1175">
        <v>0.41691590000000001</v>
      </c>
      <c r="T1175">
        <v>-0.56774440000000004</v>
      </c>
      <c r="U1175">
        <v>-3.0913089999999999</v>
      </c>
      <c r="V1175">
        <v>0.17508399999999999</v>
      </c>
      <c r="W1175">
        <v>2.087615E-2</v>
      </c>
      <c r="X1175">
        <v>0.98433210000000004</v>
      </c>
      <c r="Y1175">
        <v>0.42083999999999999</v>
      </c>
      <c r="Z1175">
        <v>0.12999620000000001</v>
      </c>
      <c r="AA1175">
        <v>0.89777209999999996</v>
      </c>
      <c r="AB1175">
        <v>23</v>
      </c>
      <c r="AC1175">
        <v>0.69270000000000198</v>
      </c>
      <c r="AD1175">
        <v>-1.10110518464</v>
      </c>
      <c r="AE1175">
        <v>-5.7887000000000004</v>
      </c>
      <c r="AF1175">
        <v>2.4401416080303999</v>
      </c>
      <c r="AG1175">
        <v>-1.10110518464</v>
      </c>
      <c r="AH1175">
        <v>5.0728261499330198</v>
      </c>
      <c r="AI1175">
        <v>101.067659643773</v>
      </c>
      <c r="AJ1175">
        <v>64.311416135574802</v>
      </c>
      <c r="AK1175">
        <v>5.7358773385007602</v>
      </c>
      <c r="AL1175">
        <v>88.803797757360996</v>
      </c>
      <c r="AM1175">
        <v>79.914232108306194</v>
      </c>
      <c r="AN1175">
        <v>0.99999995189261504</v>
      </c>
    </row>
    <row r="1176" spans="1:40" x14ac:dyDescent="0.25">
      <c r="A1176" t="str">
        <f>"20190312154234943"</f>
        <v>20190312154234943</v>
      </c>
      <c r="B1176" t="str">
        <f>"1552376554938020"</f>
        <v>1552376554938020</v>
      </c>
      <c r="C1176" t="s">
        <v>40</v>
      </c>
      <c r="D1176">
        <v>5.3174609999999998</v>
      </c>
      <c r="E1176">
        <v>0.6010548</v>
      </c>
      <c r="F1176" t="s">
        <v>47</v>
      </c>
      <c r="G1176">
        <v>-195.6891</v>
      </c>
      <c r="H1176" s="1">
        <v>-3.0551749999999999E-6</v>
      </c>
      <c r="I1176">
        <v>352.28640000000001</v>
      </c>
      <c r="J1176">
        <v>-196.3313</v>
      </c>
      <c r="K1176">
        <v>1.101226</v>
      </c>
      <c r="L1176">
        <v>358.10019999999997</v>
      </c>
      <c r="M1176">
        <v>0.52530350000000003</v>
      </c>
      <c r="N1176">
        <v>0</v>
      </c>
      <c r="O1176">
        <v>-0.85076870000000004</v>
      </c>
      <c r="P1176">
        <v>0.3693651</v>
      </c>
      <c r="Q1176">
        <v>9.0754459999999992E-3</v>
      </c>
      <c r="R1176">
        <v>-0.92924019999999996</v>
      </c>
      <c r="S1176">
        <v>0.38723750000000001</v>
      </c>
      <c r="T1176">
        <v>-0.56564349999999997</v>
      </c>
      <c r="U1176">
        <v>-3.09198</v>
      </c>
      <c r="V1176">
        <v>0.17442349999999901</v>
      </c>
      <c r="W1176">
        <v>2.0663999999999998E-2</v>
      </c>
      <c r="X1176">
        <v>0.98445389999999999</v>
      </c>
      <c r="Y1176">
        <v>0.41640300000000002</v>
      </c>
      <c r="Z1176">
        <v>0.1317217</v>
      </c>
      <c r="AA1176">
        <v>0.89958760000000004</v>
      </c>
      <c r="AB1176">
        <v>23</v>
      </c>
      <c r="AC1176">
        <v>0.64220000000000199</v>
      </c>
      <c r="AD1176">
        <v>-1.1012290551749999</v>
      </c>
      <c r="AE1176">
        <v>-5.8137999999999499</v>
      </c>
      <c r="AF1176">
        <v>2.4221038426544199</v>
      </c>
      <c r="AG1176">
        <v>-1.1012290551749999</v>
      </c>
      <c r="AH1176">
        <v>5.1033140837627498</v>
      </c>
      <c r="AI1176">
        <v>101.03115890153001</v>
      </c>
      <c r="AJ1176">
        <v>64.610333688214496</v>
      </c>
      <c r="AK1176">
        <v>5.7552677691046004</v>
      </c>
      <c r="AL1176">
        <v>88.815955760657104</v>
      </c>
      <c r="AM1176">
        <v>79.952721491153696</v>
      </c>
      <c r="AN1176">
        <v>1.00000001973672</v>
      </c>
    </row>
    <row r="1177" spans="1:40" x14ac:dyDescent="0.25">
      <c r="A1177" t="str">
        <f>"20190312154234967"</f>
        <v>20190312154234967</v>
      </c>
      <c r="B1177" t="str">
        <f>"1552376554958515"</f>
        <v>1552376554958515</v>
      </c>
      <c r="C1177" t="s">
        <v>40</v>
      </c>
      <c r="D1177">
        <v>5.304983</v>
      </c>
      <c r="E1177">
        <v>0.6001592</v>
      </c>
      <c r="F1177" t="s">
        <v>47</v>
      </c>
      <c r="G1177">
        <v>-195.6292</v>
      </c>
      <c r="H1177" s="1">
        <v>-2.912795E-6</v>
      </c>
      <c r="I1177">
        <v>352.02980000000002</v>
      </c>
      <c r="J1177">
        <v>-196.21340000000001</v>
      </c>
      <c r="K1177">
        <v>1.1013820000000001</v>
      </c>
      <c r="L1177">
        <v>357.87599999999998</v>
      </c>
      <c r="M1177">
        <v>0.51221320000000004</v>
      </c>
      <c r="N1177">
        <v>0</v>
      </c>
      <c r="O1177">
        <v>-0.85871419999999998</v>
      </c>
      <c r="P1177">
        <v>0.35593219999999998</v>
      </c>
      <c r="Q1177">
        <v>7.68982E-3</v>
      </c>
      <c r="R1177">
        <v>-0.93448050000000005</v>
      </c>
      <c r="S1177">
        <v>0.3576202</v>
      </c>
      <c r="T1177">
        <v>-0.56088110000000002</v>
      </c>
      <c r="U1177">
        <v>-3.0917659999999998</v>
      </c>
      <c r="V1177">
        <v>0.17350389999999999</v>
      </c>
      <c r="W1177">
        <v>1.9328169999999999E-2</v>
      </c>
      <c r="X1177">
        <v>0.9846435</v>
      </c>
      <c r="Y1177">
        <v>0.4109931</v>
      </c>
      <c r="Z1177">
        <v>0.1329852</v>
      </c>
      <c r="AA1177">
        <v>0.90188670000000004</v>
      </c>
      <c r="AB1177">
        <v>23</v>
      </c>
      <c r="AC1177">
        <v>0.58420000000000905</v>
      </c>
      <c r="AD1177">
        <v>-1.1013849127949999</v>
      </c>
      <c r="AE1177">
        <v>-5.8461999999999499</v>
      </c>
      <c r="AF1177">
        <v>2.4085108066618401</v>
      </c>
      <c r="AG1177">
        <v>-1.1013849127949999</v>
      </c>
      <c r="AH1177">
        <v>5.1395006178740399</v>
      </c>
      <c r="AI1177">
        <v>100.981608962923</v>
      </c>
      <c r="AJ1177">
        <v>64.890924479614299</v>
      </c>
      <c r="AK1177">
        <v>5.7817332723904604</v>
      </c>
      <c r="AL1177">
        <v>88.892508472187799</v>
      </c>
      <c r="AM1177">
        <v>80.006507926628501</v>
      </c>
      <c r="AN1177">
        <v>1.0000000017815001</v>
      </c>
    </row>
    <row r="1178" spans="1:40" x14ac:dyDescent="0.25">
      <c r="A1178" t="str">
        <f>"20190312154235002"</f>
        <v>20190312154235002</v>
      </c>
      <c r="B1178" t="str">
        <f>"1552376554998531"</f>
        <v>1552376554998531</v>
      </c>
      <c r="C1178" t="s">
        <v>40</v>
      </c>
      <c r="D1178">
        <v>5.3258890000000001</v>
      </c>
      <c r="E1178">
        <v>0.59819750000000005</v>
      </c>
      <c r="F1178" t="s">
        <v>47</v>
      </c>
      <c r="G1178">
        <v>-195.5873</v>
      </c>
      <c r="H1178" s="1">
        <v>-2.7983029999999998E-6</v>
      </c>
      <c r="I1178">
        <v>351.82080000000002</v>
      </c>
      <c r="J1178">
        <v>-196.04810000000001</v>
      </c>
      <c r="K1178">
        <v>1.1016629999999901</v>
      </c>
      <c r="L1178">
        <v>357.5471</v>
      </c>
      <c r="M1178">
        <v>0.4934151</v>
      </c>
      <c r="N1178">
        <v>0</v>
      </c>
      <c r="O1178">
        <v>-0.86965309999999996</v>
      </c>
      <c r="P1178">
        <v>0.33449259999999997</v>
      </c>
      <c r="Q1178">
        <v>7.3474959999999898E-3</v>
      </c>
      <c r="R1178">
        <v>-0.94236989999999998</v>
      </c>
      <c r="S1178">
        <v>0.31979370000000001</v>
      </c>
      <c r="T1178">
        <v>-0.56261539999999999</v>
      </c>
      <c r="U1178">
        <v>-3.0931700000000002</v>
      </c>
      <c r="V1178">
        <v>0.17455879999999999</v>
      </c>
      <c r="W1178">
        <v>1.9005890000000001E-2</v>
      </c>
      <c r="X1178">
        <v>0.98446330000000004</v>
      </c>
      <c r="Y1178">
        <v>0.40215649999999997</v>
      </c>
      <c r="Z1178">
        <v>0.13659479999999999</v>
      </c>
      <c r="AA1178">
        <v>0.90532420000000002</v>
      </c>
      <c r="AB1178">
        <v>23</v>
      </c>
      <c r="AC1178">
        <v>0.46080000000000598</v>
      </c>
      <c r="AD1178">
        <v>-1.1016657983029901</v>
      </c>
      <c r="AE1178">
        <v>-5.7262999999999797</v>
      </c>
      <c r="AF1178">
        <v>2.3389884166036898</v>
      </c>
      <c r="AG1178">
        <v>-1.1016657983029901</v>
      </c>
      <c r="AH1178">
        <v>5.0231729691093401</v>
      </c>
      <c r="AI1178">
        <v>101.24486988516701</v>
      </c>
      <c r="AJ1178">
        <v>65.031446920568897</v>
      </c>
      <c r="AK1178">
        <v>5.6494956431302397</v>
      </c>
      <c r="AL1178">
        <v>88.910977140118106</v>
      </c>
      <c r="AM1178">
        <v>79.945180856686704</v>
      </c>
      <c r="AN1178">
        <v>0.99999999377951099</v>
      </c>
    </row>
    <row r="1179" spans="1:40" x14ac:dyDescent="0.25">
      <c r="A1179" t="str">
        <f>"20190312154235021"</f>
        <v>20190312154235021</v>
      </c>
      <c r="B1179" t="str">
        <f>"1552376555008292"</f>
        <v>1552376555008292</v>
      </c>
      <c r="C1179" t="s">
        <v>40</v>
      </c>
      <c r="D1179">
        <v>5.3626849999999999</v>
      </c>
      <c r="E1179">
        <v>0.59759499999999999</v>
      </c>
      <c r="F1179" t="s">
        <v>47</v>
      </c>
      <c r="G1179">
        <v>-195.5224</v>
      </c>
      <c r="H1179" s="1">
        <v>-2.52675E-6</v>
      </c>
      <c r="I1179">
        <v>351.38900000000001</v>
      </c>
      <c r="J1179">
        <v>-195.9546</v>
      </c>
      <c r="K1179">
        <v>1.101837</v>
      </c>
      <c r="L1179">
        <v>357.35359999999997</v>
      </c>
      <c r="M1179">
        <v>0.48256759999999899</v>
      </c>
      <c r="N1179">
        <v>0</v>
      </c>
      <c r="O1179">
        <v>-0.87571980000000005</v>
      </c>
      <c r="P1179">
        <v>0.32213190000000003</v>
      </c>
      <c r="Q1179">
        <v>6.2234999999999999E-3</v>
      </c>
      <c r="R1179">
        <v>-0.94667429999999997</v>
      </c>
      <c r="S1179">
        <v>0.26412960000000002</v>
      </c>
      <c r="T1179">
        <v>-0.55352599999999996</v>
      </c>
      <c r="U1179">
        <v>-3.0940859999999999</v>
      </c>
      <c r="V1179">
        <v>0.17517539999999901</v>
      </c>
      <c r="W1179">
        <v>1.7895040000000001E-2</v>
      </c>
      <c r="X1179">
        <v>0.98437459999999999</v>
      </c>
      <c r="Y1179">
        <v>0.40692899999999999</v>
      </c>
      <c r="Z1179">
        <v>0.13585529999999901</v>
      </c>
      <c r="AA1179">
        <v>0.90330060000000001</v>
      </c>
      <c r="AB1179">
        <v>23</v>
      </c>
      <c r="AC1179">
        <v>0.43219999999999398</v>
      </c>
      <c r="AD1179">
        <v>-1.1018395267500001</v>
      </c>
      <c r="AE1179">
        <v>-5.9645999999999599</v>
      </c>
      <c r="AF1179">
        <v>2.4180554151340501</v>
      </c>
      <c r="AG1179">
        <v>-1.1018395267500001</v>
      </c>
      <c r="AH1179">
        <v>5.2541820364407297</v>
      </c>
      <c r="AI1179">
        <v>100.785689487569</v>
      </c>
      <c r="AJ1179">
        <v>65.287385130621999</v>
      </c>
      <c r="AK1179">
        <v>5.8879088992123698</v>
      </c>
      <c r="AL1179">
        <v>88.974635006211599</v>
      </c>
      <c r="AM1179">
        <v>79.909501877797993</v>
      </c>
      <c r="AN1179">
        <v>1.0000000031734599</v>
      </c>
    </row>
    <row r="1180" spans="1:40" x14ac:dyDescent="0.25">
      <c r="A1180" t="str">
        <f>"20190312154235045"</f>
        <v>20190312154235045</v>
      </c>
      <c r="B1180" t="str">
        <f>"1552376555038548"</f>
        <v>1552376555038548</v>
      </c>
      <c r="C1180" t="s">
        <v>40</v>
      </c>
      <c r="D1180">
        <v>5.3293660000000003</v>
      </c>
      <c r="E1180">
        <v>0.58718549999999903</v>
      </c>
      <c r="F1180" t="s">
        <v>47</v>
      </c>
      <c r="G1180">
        <v>-195.50239999999999</v>
      </c>
      <c r="H1180" s="1">
        <v>-2.4339039999999998E-6</v>
      </c>
      <c r="I1180">
        <v>351.24110000000002</v>
      </c>
      <c r="J1180">
        <v>-195.852</v>
      </c>
      <c r="K1180">
        <v>1.1020490000000001</v>
      </c>
      <c r="L1180">
        <v>357.13510000000002</v>
      </c>
      <c r="M1180">
        <v>0.4705222</v>
      </c>
      <c r="N1180">
        <v>0</v>
      </c>
      <c r="O1180">
        <v>-0.88225140000000002</v>
      </c>
      <c r="P1180">
        <v>0.30859769999999997</v>
      </c>
      <c r="Q1180">
        <v>4.5722509999999899E-3</v>
      </c>
      <c r="R1180">
        <v>-0.95118190000000002</v>
      </c>
      <c r="S1180">
        <v>0.22891239999999999</v>
      </c>
      <c r="T1180">
        <v>-0.55786230000000003</v>
      </c>
      <c r="U1180">
        <v>-3.094757</v>
      </c>
      <c r="V1180">
        <v>0.1756847</v>
      </c>
      <c r="W1180">
        <v>1.6265459999999999E-2</v>
      </c>
      <c r="X1180">
        <v>0.98431210000000002</v>
      </c>
      <c r="Y1180">
        <v>0.40467189999999997</v>
      </c>
      <c r="Z1180">
        <v>0.1386869</v>
      </c>
      <c r="AA1180">
        <v>0.90388420000000003</v>
      </c>
      <c r="AB1180">
        <v>23</v>
      </c>
      <c r="AC1180">
        <v>0.34960000000000901</v>
      </c>
      <c r="AD1180">
        <v>-1.102051433904</v>
      </c>
      <c r="AE1180">
        <v>-5.8940000000000001</v>
      </c>
      <c r="AF1180">
        <v>2.3821306052603499</v>
      </c>
      <c r="AG1180">
        <v>-1.102051433904</v>
      </c>
      <c r="AH1180">
        <v>5.1845116346038997</v>
      </c>
      <c r="AI1180">
        <v>100.932229447273</v>
      </c>
      <c r="AJ1180">
        <v>65.322610390798204</v>
      </c>
      <c r="AK1180">
        <v>5.8110433205089098</v>
      </c>
      <c r="AL1180">
        <v>89.068016686994795</v>
      </c>
      <c r="AM1180">
        <v>79.880141210955699</v>
      </c>
      <c r="AN1180">
        <v>0.99999999460475497</v>
      </c>
    </row>
    <row r="1181" spans="1:40" x14ac:dyDescent="0.25">
      <c r="A1181" t="str">
        <f>"20190312154235067"</f>
        <v>20190312154235067</v>
      </c>
      <c r="B1181" t="str">
        <f>"1552376555058071"</f>
        <v>1552376555058071</v>
      </c>
      <c r="C1181" t="s">
        <v>40</v>
      </c>
      <c r="D1181">
        <v>5.3646630000000002</v>
      </c>
      <c r="E1181">
        <v>0.58871090000000004</v>
      </c>
      <c r="F1181" t="s">
        <v>43</v>
      </c>
      <c r="G1181">
        <v>-195.12389999999999</v>
      </c>
      <c r="H1181" s="1">
        <v>-4.8926320000000004E-6</v>
      </c>
      <c r="I1181">
        <v>348.69319999999999</v>
      </c>
      <c r="J1181">
        <v>-195.75120000000001</v>
      </c>
      <c r="K1181">
        <v>1.1022829999999999</v>
      </c>
      <c r="L1181">
        <v>356.91309999999999</v>
      </c>
      <c r="M1181">
        <v>0.45856580000000002</v>
      </c>
      <c r="N1181">
        <v>0</v>
      </c>
      <c r="O1181">
        <v>-0.88852559999999903</v>
      </c>
      <c r="P1181">
        <v>0.29612369999999999</v>
      </c>
      <c r="Q1181">
        <v>2.5426340000000002E-3</v>
      </c>
      <c r="R1181">
        <v>-0.95514639999999995</v>
      </c>
      <c r="S1181">
        <v>0.26477050000000002</v>
      </c>
      <c r="T1181">
        <v>-0.40077099999999999</v>
      </c>
      <c r="U1181">
        <v>-3.0699770000000002</v>
      </c>
      <c r="V1181">
        <v>0.17522570000000001</v>
      </c>
      <c r="W1181">
        <v>1.428538E-2</v>
      </c>
      <c r="X1181">
        <v>0.98442470000000004</v>
      </c>
      <c r="Y1181">
        <v>0.38092569999999998</v>
      </c>
      <c r="Z1181">
        <v>0.1029678</v>
      </c>
      <c r="AA1181">
        <v>0.91885430000000001</v>
      </c>
      <c r="AB1181">
        <v>23</v>
      </c>
      <c r="AC1181">
        <v>0.62730000000001895</v>
      </c>
      <c r="AD1181">
        <v>-1.1022878926320001</v>
      </c>
      <c r="AE1181">
        <v>-8.2198999999999902</v>
      </c>
      <c r="AF1181">
        <v>3.15595364998117</v>
      </c>
      <c r="AG1181">
        <v>-1.1022878926320001</v>
      </c>
      <c r="AH1181">
        <v>7.4588062661813401</v>
      </c>
      <c r="AI1181">
        <v>97.750431242269599</v>
      </c>
      <c r="AJ1181">
        <v>67.065913401319804</v>
      </c>
      <c r="AK1181">
        <v>8.1736694914523298</v>
      </c>
      <c r="AL1181">
        <v>89.181480220341996</v>
      </c>
      <c r="AM1181">
        <v>79.907167164457405</v>
      </c>
      <c r="AN1181">
        <v>1.00000005399616</v>
      </c>
    </row>
    <row r="1182" spans="1:40" x14ac:dyDescent="0.25">
      <c r="A1182" t="str">
        <f>"20190312154235090"</f>
        <v>20190312154235090</v>
      </c>
      <c r="B1182" t="str">
        <f>"1552376555078563"</f>
        <v>1552376555078563</v>
      </c>
      <c r="C1182" t="s">
        <v>40</v>
      </c>
      <c r="D1182">
        <v>5.3401820000000004</v>
      </c>
      <c r="E1182">
        <v>0.58888750000000001</v>
      </c>
      <c r="F1182" t="s">
        <v>43</v>
      </c>
      <c r="G1182">
        <v>-195.13339999999999</v>
      </c>
      <c r="H1182" s="1">
        <v>-4.654358E-6</v>
      </c>
      <c r="I1182">
        <v>347.98809999999997</v>
      </c>
      <c r="J1182">
        <v>-195.65700000000001</v>
      </c>
      <c r="K1182">
        <v>1.1025339999999999</v>
      </c>
      <c r="L1182">
        <v>356.69880000000001</v>
      </c>
      <c r="M1182">
        <v>0.44734170000000001</v>
      </c>
      <c r="N1182">
        <v>0</v>
      </c>
      <c r="O1182">
        <v>-0.89423039999999998</v>
      </c>
      <c r="P1182">
        <v>0.285827</v>
      </c>
      <c r="Q1182">
        <v>1.534692E-3</v>
      </c>
      <c r="R1182">
        <v>-0.95828009999999997</v>
      </c>
      <c r="S1182">
        <v>0.21290590000000001</v>
      </c>
      <c r="T1182">
        <v>-0.37989079999999997</v>
      </c>
      <c r="U1182">
        <v>-3.0759280000000002</v>
      </c>
      <c r="V1182">
        <v>0.17339579999999999</v>
      </c>
      <c r="W1182">
        <v>1.335707E-2</v>
      </c>
      <c r="X1182">
        <v>0.98476169999999996</v>
      </c>
      <c r="Y1182">
        <v>0.38480789999999998</v>
      </c>
      <c r="Z1182">
        <v>9.8466209999999998E-2</v>
      </c>
      <c r="AA1182">
        <v>0.91772940000000003</v>
      </c>
      <c r="AB1182">
        <v>23</v>
      </c>
      <c r="AC1182">
        <v>0.52360000000001605</v>
      </c>
      <c r="AD1182">
        <v>-1.102538654358</v>
      </c>
      <c r="AE1182">
        <v>-8.7107000000000294</v>
      </c>
      <c r="AF1182">
        <v>3.3749725607843999</v>
      </c>
      <c r="AG1182">
        <v>-1.102538654358</v>
      </c>
      <c r="AH1182">
        <v>7.8984699456629501</v>
      </c>
      <c r="AI1182">
        <v>97.314585616099507</v>
      </c>
      <c r="AJ1182">
        <v>66.863249110349201</v>
      </c>
      <c r="AK1182">
        <v>8.6597839899700801</v>
      </c>
      <c r="AL1182">
        <v>89.234673550175003</v>
      </c>
      <c r="AM1182">
        <v>80.013783525942301</v>
      </c>
      <c r="AN1182">
        <v>1.00000006028175</v>
      </c>
    </row>
    <row r="1183" spans="1:40" x14ac:dyDescent="0.25">
      <c r="A1183" t="str">
        <f>"20190312154235111"</f>
        <v>20190312154235111</v>
      </c>
      <c r="B1183" t="str">
        <f>"1552376555108819"</f>
        <v>1552376555108819</v>
      </c>
      <c r="C1183" t="s">
        <v>40</v>
      </c>
      <c r="D1183">
        <v>5.3576569999999997</v>
      </c>
      <c r="E1183">
        <v>0.58779749999999997</v>
      </c>
      <c r="F1183" t="s">
        <v>43</v>
      </c>
      <c r="G1183">
        <v>-195.1173</v>
      </c>
      <c r="H1183" s="1">
        <v>-4.4565520000000002E-6</v>
      </c>
      <c r="I1183">
        <v>347.41520000000003</v>
      </c>
      <c r="J1183">
        <v>-195.5667</v>
      </c>
      <c r="K1183">
        <v>1.1027899999999999</v>
      </c>
      <c r="L1183">
        <v>356.48719999999997</v>
      </c>
      <c r="M1183">
        <v>0.43655650000000001</v>
      </c>
      <c r="N1183">
        <v>0</v>
      </c>
      <c r="O1183">
        <v>-0.89954609999999902</v>
      </c>
      <c r="P1183">
        <v>0.27716079999999998</v>
      </c>
      <c r="Q1183">
        <v>1.892279E-3</v>
      </c>
      <c r="R1183">
        <v>-0.96082190000000001</v>
      </c>
      <c r="S1183">
        <v>0.17890929999999999</v>
      </c>
      <c r="T1183">
        <v>-0.3655273</v>
      </c>
      <c r="U1183">
        <v>-3.07782</v>
      </c>
      <c r="V1183">
        <v>0.17044339999999999</v>
      </c>
      <c r="W1183">
        <v>1.3816220000000001E-2</v>
      </c>
      <c r="X1183">
        <v>0.9852706</v>
      </c>
      <c r="Y1183">
        <v>0.38383650000000002</v>
      </c>
      <c r="Z1183">
        <v>9.5706059999999996E-2</v>
      </c>
      <c r="AA1183">
        <v>0.91842789999999996</v>
      </c>
      <c r="AB1183">
        <v>23</v>
      </c>
      <c r="AC1183">
        <v>0.44939999999999702</v>
      </c>
      <c r="AD1183">
        <v>-1.102794456552</v>
      </c>
      <c r="AE1183">
        <v>-9.0719999999999406</v>
      </c>
      <c r="AF1183">
        <v>3.5049375983397999</v>
      </c>
      <c r="AG1183">
        <v>-1.102794456552</v>
      </c>
      <c r="AH1183">
        <v>8.2364427210503095</v>
      </c>
      <c r="AI1183">
        <v>97.023507503004097</v>
      </c>
      <c r="AJ1183">
        <v>66.948296481707004</v>
      </c>
      <c r="AK1183">
        <v>9.0188542442374793</v>
      </c>
      <c r="AL1183">
        <v>89.208363716500401</v>
      </c>
      <c r="AM1183">
        <v>80.185453663201301</v>
      </c>
      <c r="AN1183">
        <v>0.99999999788150395</v>
      </c>
    </row>
    <row r="1184" spans="1:40" x14ac:dyDescent="0.25">
      <c r="A1184" t="str">
        <f>"20190312154235133"</f>
        <v>20190312154235133</v>
      </c>
      <c r="B1184" t="str">
        <f>"1552376555118579"</f>
        <v>1552376555118579</v>
      </c>
      <c r="C1184" t="s">
        <v>40</v>
      </c>
      <c r="D1184">
        <v>5.3160749999999997</v>
      </c>
      <c r="E1184">
        <v>0.58723769999999997</v>
      </c>
      <c r="F1184" t="s">
        <v>43</v>
      </c>
      <c r="G1184">
        <v>-195.05369999999999</v>
      </c>
      <c r="H1184" s="1">
        <v>-4.1787640000000004E-6</v>
      </c>
      <c r="I1184">
        <v>346.63199999999898</v>
      </c>
      <c r="J1184">
        <v>-195.47800000000001</v>
      </c>
      <c r="K1184">
        <v>1.1030279999999999</v>
      </c>
      <c r="L1184">
        <v>356.27300000000002</v>
      </c>
      <c r="M1184">
        <v>0.42589719999999998</v>
      </c>
      <c r="N1184">
        <v>0</v>
      </c>
      <c r="O1184">
        <v>-0.90464279999999997</v>
      </c>
      <c r="P1184">
        <v>0.26960400000000001</v>
      </c>
      <c r="Q1184">
        <v>1.851454E-3</v>
      </c>
      <c r="R1184">
        <v>-0.96296979999999999</v>
      </c>
      <c r="S1184">
        <v>0.160156299999999</v>
      </c>
      <c r="T1184">
        <v>-0.34429729999999997</v>
      </c>
      <c r="U1184">
        <v>-3.076813</v>
      </c>
      <c r="V1184">
        <v>0.16652979999999901</v>
      </c>
      <c r="W1184">
        <v>1.3886310000000001E-2</v>
      </c>
      <c r="X1184">
        <v>0.9859386</v>
      </c>
      <c r="Y1184">
        <v>0.37847520000000001</v>
      </c>
      <c r="Z1184">
        <v>9.1215450000000003E-2</v>
      </c>
      <c r="AA1184">
        <v>0.92110599999999998</v>
      </c>
      <c r="AB1184">
        <v>23</v>
      </c>
      <c r="AC1184">
        <v>0.42429999999998802</v>
      </c>
      <c r="AD1184">
        <v>-1.1030321787639901</v>
      </c>
      <c r="AE1184">
        <v>-9.6410000000000693</v>
      </c>
      <c r="AF1184">
        <v>3.6746611382286298</v>
      </c>
      <c r="AG1184">
        <v>-1.1030321787639901</v>
      </c>
      <c r="AH1184">
        <v>8.7885883723400902</v>
      </c>
      <c r="AI1184">
        <v>96.605045382971397</v>
      </c>
      <c r="AJ1184">
        <v>67.309349869199195</v>
      </c>
      <c r="AK1184">
        <v>9.5895307521603002</v>
      </c>
      <c r="AL1184">
        <v>89.204347442601104</v>
      </c>
      <c r="AM1184">
        <v>80.412951344957904</v>
      </c>
      <c r="AN1184">
        <v>0.99999996343170705</v>
      </c>
    </row>
    <row r="1185" spans="1:40" x14ac:dyDescent="0.25">
      <c r="A1185" t="str">
        <f>"20190312154235156"</f>
        <v>20190312154235156</v>
      </c>
      <c r="B1185" t="str">
        <f>"1552376555148178"</f>
        <v>1552376555148178</v>
      </c>
      <c r="C1185" t="s">
        <v>40</v>
      </c>
      <c r="D1185">
        <v>5.3297100000000004</v>
      </c>
      <c r="E1185">
        <v>0.5851904</v>
      </c>
      <c r="F1185" t="s">
        <v>43</v>
      </c>
      <c r="G1185">
        <v>-195.0258</v>
      </c>
      <c r="H1185" s="1">
        <v>-4.0970129999999996E-6</v>
      </c>
      <c r="I1185">
        <v>346.40629999999999</v>
      </c>
      <c r="J1185">
        <v>-195.38679999999999</v>
      </c>
      <c r="K1185">
        <v>1.1032569999999999</v>
      </c>
      <c r="L1185">
        <v>356.04610000000002</v>
      </c>
      <c r="M1185">
        <v>0.41487550000000001</v>
      </c>
      <c r="N1185">
        <v>0</v>
      </c>
      <c r="O1185">
        <v>-0.90975150000000005</v>
      </c>
      <c r="P1185">
        <v>0.26204</v>
      </c>
      <c r="Q1185">
        <v>2.6528309999999998E-4</v>
      </c>
      <c r="R1185">
        <v>-0.9650571</v>
      </c>
      <c r="S1185">
        <v>0.14097599999999999</v>
      </c>
      <c r="T1185">
        <v>-0.343941</v>
      </c>
      <c r="U1185">
        <v>-3.0765690000000001</v>
      </c>
      <c r="V1185">
        <v>0.16224959999999999</v>
      </c>
      <c r="W1185">
        <v>1.2409669999999999E-2</v>
      </c>
      <c r="X1185">
        <v>0.98667169999999904</v>
      </c>
      <c r="Y1185">
        <v>0.37295610000000001</v>
      </c>
      <c r="Z1185">
        <v>9.2104560000000002E-2</v>
      </c>
      <c r="AA1185">
        <v>0.92326620000000004</v>
      </c>
      <c r="AB1185">
        <v>23</v>
      </c>
      <c r="AC1185">
        <v>0.36099999999999</v>
      </c>
      <c r="AD1185">
        <v>-1.1032610970129999</v>
      </c>
      <c r="AE1185">
        <v>-9.6398000000000295</v>
      </c>
      <c r="AF1185">
        <v>3.6239184388294898</v>
      </c>
      <c r="AG1185">
        <v>-1.1032610970129999</v>
      </c>
      <c r="AH1185">
        <v>8.8054445266064807</v>
      </c>
      <c r="AI1185">
        <v>96.609067721825696</v>
      </c>
      <c r="AJ1185">
        <v>67.630174073738999</v>
      </c>
      <c r="AK1185">
        <v>9.5857093222470908</v>
      </c>
      <c r="AL1185">
        <v>89.2889600245732</v>
      </c>
      <c r="AM1185">
        <v>80.661779144312703</v>
      </c>
      <c r="AN1185">
        <v>0.99999998809527901</v>
      </c>
    </row>
    <row r="1186" spans="1:40" x14ac:dyDescent="0.25">
      <c r="A1186" t="str">
        <f>"20190312154235182"</f>
        <v>20190312154235182</v>
      </c>
      <c r="B1186" t="str">
        <f>"1552376555168669"</f>
        <v>1552376555168669</v>
      </c>
      <c r="C1186" t="s">
        <v>40</v>
      </c>
      <c r="D1186">
        <v>5.3099020000000001</v>
      </c>
      <c r="E1186">
        <v>0.5840592</v>
      </c>
      <c r="F1186" t="s">
        <v>43</v>
      </c>
      <c r="G1186">
        <v>-194.96520000000001</v>
      </c>
      <c r="H1186" s="1">
        <v>-4.0543509999999998E-6</v>
      </c>
      <c r="I1186">
        <v>346.31259999999997</v>
      </c>
      <c r="J1186">
        <v>-195.29400000000001</v>
      </c>
      <c r="K1186">
        <v>1.10347</v>
      </c>
      <c r="L1186">
        <v>355.80799999999999</v>
      </c>
      <c r="M1186">
        <v>0.40360430000000003</v>
      </c>
      <c r="N1186">
        <v>0</v>
      </c>
      <c r="O1186">
        <v>-0.91480850000000002</v>
      </c>
      <c r="P1186">
        <v>0.25341059999999999</v>
      </c>
      <c r="Q1186">
        <v>-8.9917969999999997E-4</v>
      </c>
      <c r="R1186">
        <v>-0.96735850000000001</v>
      </c>
      <c r="S1186">
        <v>0.13308719999999999</v>
      </c>
      <c r="T1186">
        <v>-0.34826469999999998</v>
      </c>
      <c r="U1186">
        <v>-3.0725709999999999</v>
      </c>
      <c r="V1186">
        <v>0.15884239999999999</v>
      </c>
      <c r="W1186">
        <v>1.1327800000000001E-2</v>
      </c>
      <c r="X1186">
        <v>0.98723890000000003</v>
      </c>
      <c r="Y1186">
        <v>0.36379899999999998</v>
      </c>
      <c r="Z1186">
        <v>9.4423359999999998E-2</v>
      </c>
      <c r="AA1186">
        <v>0.92667929999999998</v>
      </c>
      <c r="AB1186">
        <v>23</v>
      </c>
      <c r="AC1186">
        <v>0.32880000000000098</v>
      </c>
      <c r="AD1186">
        <v>-1.103474054351</v>
      </c>
      <c r="AE1186">
        <v>-9.4954000000000693</v>
      </c>
      <c r="AF1186">
        <v>3.48499085709989</v>
      </c>
      <c r="AG1186">
        <v>-1.103474054351</v>
      </c>
      <c r="AH1186">
        <v>8.7027962405218204</v>
      </c>
      <c r="AI1186">
        <v>96.713306421372295</v>
      </c>
      <c r="AJ1186">
        <v>68.176616216057596</v>
      </c>
      <c r="AK1186">
        <v>9.4393579583961298</v>
      </c>
      <c r="AL1186">
        <v>89.350950946141495</v>
      </c>
      <c r="AM1186">
        <v>80.859696558686295</v>
      </c>
      <c r="AN1186">
        <v>0.99999993638190299</v>
      </c>
    </row>
    <row r="1187" spans="1:40" x14ac:dyDescent="0.25">
      <c r="A1187" t="str">
        <f>"20190312154235205"</f>
        <v>20190312154235205</v>
      </c>
      <c r="B1187" t="str">
        <f>"1552376555198926"</f>
        <v>1552376555198926</v>
      </c>
      <c r="C1187" t="s">
        <v>40</v>
      </c>
      <c r="D1187">
        <v>5.3711409999999997</v>
      </c>
      <c r="E1187">
        <v>0.57134050000000003</v>
      </c>
      <c r="F1187" t="s">
        <v>43</v>
      </c>
      <c r="G1187">
        <v>-194.93430000000001</v>
      </c>
      <c r="H1187" s="1">
        <v>-4.0061749999999998E-6</v>
      </c>
      <c r="I1187">
        <v>346.18709999999999</v>
      </c>
      <c r="J1187">
        <v>-195.2123</v>
      </c>
      <c r="K1187">
        <v>1.1036509999999999</v>
      </c>
      <c r="L1187">
        <v>355.59160000000003</v>
      </c>
      <c r="M1187">
        <v>0.39362469999999999</v>
      </c>
      <c r="N1187">
        <v>0</v>
      </c>
      <c r="O1187">
        <v>-0.91914799999999997</v>
      </c>
      <c r="P1187">
        <v>0.24502280000000001</v>
      </c>
      <c r="Q1187">
        <v>-1.7018669999999999E-3</v>
      </c>
      <c r="R1187">
        <v>-0.96951620000000005</v>
      </c>
      <c r="S1187">
        <v>0.11482240000000001</v>
      </c>
      <c r="T1187">
        <v>-0.35220659999999998</v>
      </c>
      <c r="U1187">
        <v>-3.07077</v>
      </c>
      <c r="V1187">
        <v>0.15662809999999999</v>
      </c>
      <c r="W1187">
        <v>1.057635E-2</v>
      </c>
      <c r="X1187">
        <v>0.98760099999999995</v>
      </c>
      <c r="Y1187">
        <v>0.359145099999999</v>
      </c>
      <c r="Z1187">
        <v>9.6379030000000004E-2</v>
      </c>
      <c r="AA1187">
        <v>0.92829189999999995</v>
      </c>
      <c r="AB1187">
        <v>23</v>
      </c>
      <c r="AC1187">
        <v>0.27799999999999098</v>
      </c>
      <c r="AD1187">
        <v>-1.1036550061749999</v>
      </c>
      <c r="AE1187">
        <v>-9.4045000000000396</v>
      </c>
      <c r="AF1187">
        <v>3.3999280547862498</v>
      </c>
      <c r="AG1187">
        <v>-1.1036550061749999</v>
      </c>
      <c r="AH1187">
        <v>8.6357199379517393</v>
      </c>
      <c r="AI1187">
        <v>96.781581765609701</v>
      </c>
      <c r="AJ1187">
        <v>68.510181103912004</v>
      </c>
      <c r="AK1187">
        <v>9.3462946667176503</v>
      </c>
      <c r="AL1187">
        <v>89.394008471064694</v>
      </c>
      <c r="AM1187">
        <v>80.988258631499207</v>
      </c>
      <c r="AN1187">
        <v>0.99999997804496599</v>
      </c>
    </row>
    <row r="1188" spans="1:40" x14ac:dyDescent="0.25">
      <c r="A1188" t="str">
        <f>"20190312154235225"</f>
        <v>20190312154235225</v>
      </c>
      <c r="B1188" t="str">
        <f>"1552376555208686"</f>
        <v>1552376555208686</v>
      </c>
      <c r="C1188" t="s">
        <v>40</v>
      </c>
      <c r="D1188">
        <v>5.3519329999999998</v>
      </c>
      <c r="E1188">
        <v>0.57056309999999999</v>
      </c>
      <c r="F1188" t="s">
        <v>43</v>
      </c>
      <c r="G1188">
        <v>-194.60050000000001</v>
      </c>
      <c r="H1188" s="1">
        <v>-3.7557969999999998E-6</v>
      </c>
      <c r="I1188">
        <v>345.62540000000001</v>
      </c>
      <c r="J1188">
        <v>-195.13390000000001</v>
      </c>
      <c r="K1188">
        <v>1.1038300000000001</v>
      </c>
      <c r="L1188">
        <v>355.3777</v>
      </c>
      <c r="M1188">
        <v>0.38398680000000002</v>
      </c>
      <c r="N1188">
        <v>0</v>
      </c>
      <c r="O1188">
        <v>-0.92321690000000001</v>
      </c>
      <c r="P1188">
        <v>0.2361412</v>
      </c>
      <c r="Q1188">
        <v>-3.1239560000000002E-3</v>
      </c>
      <c r="R1188">
        <v>-0.97171399999999997</v>
      </c>
      <c r="S1188">
        <v>0.1870117</v>
      </c>
      <c r="T1188">
        <v>-0.33736349999999998</v>
      </c>
      <c r="U1188">
        <v>-3.0464479999999998</v>
      </c>
      <c r="V1188">
        <v>0.15530189999999999</v>
      </c>
      <c r="W1188">
        <v>9.1850109999999999E-3</v>
      </c>
      <c r="X1188">
        <v>0.98782440000000005</v>
      </c>
      <c r="Y1188">
        <v>0.32696409999999998</v>
      </c>
      <c r="Z1188">
        <v>9.4373659999999998E-2</v>
      </c>
      <c r="AA1188">
        <v>0.9403127</v>
      </c>
      <c r="AB1188">
        <v>23</v>
      </c>
      <c r="AC1188">
        <v>0.53339999999999999</v>
      </c>
      <c r="AD1188">
        <v>-1.1038337557969999</v>
      </c>
      <c r="AE1188">
        <v>-9.7522999999999893</v>
      </c>
      <c r="AF1188">
        <v>3.2116532856808502</v>
      </c>
      <c r="AG1188">
        <v>-1.1038337557969999</v>
      </c>
      <c r="AH1188">
        <v>9.0931932516708294</v>
      </c>
      <c r="AI1188">
        <v>96.529754035065395</v>
      </c>
      <c r="AJ1188">
        <v>70.547129927214598</v>
      </c>
      <c r="AK1188">
        <v>9.7066641695328801</v>
      </c>
      <c r="AL1188">
        <v>89.473730258632401</v>
      </c>
      <c r="AM1188">
        <v>81.065314550054197</v>
      </c>
      <c r="AN1188">
        <v>1.00000004490301</v>
      </c>
    </row>
    <row r="1189" spans="1:40" x14ac:dyDescent="0.25">
      <c r="A1189" t="str">
        <f>"20190312154235247"</f>
        <v>20190312154235247</v>
      </c>
      <c r="B1189" t="str">
        <f>"1552376555238942"</f>
        <v>1552376555238942</v>
      </c>
      <c r="C1189" t="s">
        <v>40</v>
      </c>
      <c r="D1189">
        <v>5.3162019999999997</v>
      </c>
      <c r="E1189">
        <v>0.56954559999999999</v>
      </c>
      <c r="F1189" t="s">
        <v>43</v>
      </c>
      <c r="G1189">
        <v>-194.59630000000001</v>
      </c>
      <c r="H1189" s="1">
        <v>-3.690068E-6</v>
      </c>
      <c r="I1189">
        <v>345.43439999999998</v>
      </c>
      <c r="J1189">
        <v>-195.05529999999999</v>
      </c>
      <c r="K1189">
        <v>1.104012</v>
      </c>
      <c r="L1189">
        <v>355.15699999999998</v>
      </c>
      <c r="M1189">
        <v>0.374253</v>
      </c>
      <c r="N1189">
        <v>0</v>
      </c>
      <c r="O1189">
        <v>-0.92720650000000004</v>
      </c>
      <c r="P1189">
        <v>0.2267171</v>
      </c>
      <c r="Q1189">
        <v>-3.5153939999999998E-3</v>
      </c>
      <c r="R1189">
        <v>-0.97395449999999995</v>
      </c>
      <c r="S1189">
        <v>0.16467290000000001</v>
      </c>
      <c r="T1189">
        <v>-0.33817140000000001</v>
      </c>
      <c r="U1189">
        <v>-3.0462340000000001</v>
      </c>
      <c r="V1189">
        <v>0.15446670000000001</v>
      </c>
      <c r="W1189">
        <v>8.8154779999999999E-3</v>
      </c>
      <c r="X1189">
        <v>0.98795869999999997</v>
      </c>
      <c r="Y1189">
        <v>0.32389440000000003</v>
      </c>
      <c r="Z1189">
        <v>9.5330070000000003E-2</v>
      </c>
      <c r="AA1189">
        <v>0.94127819999999995</v>
      </c>
      <c r="AB1189">
        <v>23</v>
      </c>
      <c r="AC1189">
        <v>0.45899999999997398</v>
      </c>
      <c r="AD1189">
        <v>-1.104015690068</v>
      </c>
      <c r="AE1189">
        <v>-9.7225999999999999</v>
      </c>
      <c r="AF1189">
        <v>3.1726652484822799</v>
      </c>
      <c r="AG1189">
        <v>-1.104015690068</v>
      </c>
      <c r="AH1189">
        <v>9.0709632364258805</v>
      </c>
      <c r="AI1189">
        <v>96.553659635947596</v>
      </c>
      <c r="AJ1189">
        <v>70.722176053601004</v>
      </c>
      <c r="AK1189">
        <v>9.6730051927740295</v>
      </c>
      <c r="AL1189">
        <v>89.494903790917107</v>
      </c>
      <c r="AM1189">
        <v>81.113784291379702</v>
      </c>
      <c r="AN1189">
        <v>1.00000003348347</v>
      </c>
    </row>
    <row r="1190" spans="1:40" x14ac:dyDescent="0.25">
      <c r="A1190" t="str">
        <f>"20190312154235270"</f>
        <v>20190312154235270</v>
      </c>
      <c r="B1190" t="str">
        <f>"1552376555258461"</f>
        <v>1552376555258461</v>
      </c>
      <c r="C1190" t="s">
        <v>40</v>
      </c>
      <c r="D1190">
        <v>5.3242890000000003</v>
      </c>
      <c r="E1190">
        <v>0.56805099999999997</v>
      </c>
      <c r="F1190" t="s">
        <v>43</v>
      </c>
      <c r="G1190">
        <v>-194.58250000000001</v>
      </c>
      <c r="H1190" s="1">
        <v>-3.5485899999999999E-6</v>
      </c>
      <c r="I1190">
        <v>345.02589999999998</v>
      </c>
      <c r="J1190">
        <v>-194.97919999999999</v>
      </c>
      <c r="K1190">
        <v>1.104193</v>
      </c>
      <c r="L1190">
        <v>354.9366</v>
      </c>
      <c r="M1190">
        <v>0.36473699999999998</v>
      </c>
      <c r="N1190">
        <v>0</v>
      </c>
      <c r="O1190">
        <v>-0.93099189999999998</v>
      </c>
      <c r="P1190">
        <v>0.21838350000000001</v>
      </c>
      <c r="Q1190">
        <v>-2.584841E-3</v>
      </c>
      <c r="R1190">
        <v>-0.9758599</v>
      </c>
      <c r="S1190">
        <v>0.1421356</v>
      </c>
      <c r="T1190">
        <v>-0.33192240000000001</v>
      </c>
      <c r="U1190">
        <v>-3.0459290000000001</v>
      </c>
      <c r="V1190">
        <v>0.15280339999999901</v>
      </c>
      <c r="W1190">
        <v>9.7815060000000006E-3</v>
      </c>
      <c r="X1190">
        <v>0.98820819999999998</v>
      </c>
      <c r="Y1190">
        <v>0.32114290000000001</v>
      </c>
      <c r="Z1190">
        <v>9.4270519999999997E-2</v>
      </c>
      <c r="AA1190">
        <v>0.94232709999999997</v>
      </c>
      <c r="AB1190">
        <v>23</v>
      </c>
      <c r="AC1190">
        <v>0.39669999999998101</v>
      </c>
      <c r="AD1190">
        <v>-1.10419654859</v>
      </c>
      <c r="AE1190">
        <v>-9.9107000000000198</v>
      </c>
      <c r="AF1190">
        <v>3.2060988712606</v>
      </c>
      <c r="AG1190">
        <v>-1.10419654859</v>
      </c>
      <c r="AH1190">
        <v>9.2577734640885101</v>
      </c>
      <c r="AI1190">
        <v>96.430392983702603</v>
      </c>
      <c r="AJ1190">
        <v>70.898301349312604</v>
      </c>
      <c r="AK1190">
        <v>9.8592438605908299</v>
      </c>
      <c r="AL1190">
        <v>89.439552052568303</v>
      </c>
      <c r="AM1190">
        <v>81.2101533688476</v>
      </c>
      <c r="AN1190">
        <v>1.0000000017292101</v>
      </c>
    </row>
    <row r="1191" spans="1:40" x14ac:dyDescent="0.25">
      <c r="A1191" t="str">
        <f>"20190312154235292"</f>
        <v>20190312154235292</v>
      </c>
      <c r="B1191" t="str">
        <f>"1552376555277981"</f>
        <v>1552376555277981</v>
      </c>
      <c r="C1191" t="s">
        <v>40</v>
      </c>
      <c r="D1191">
        <v>5.1688479999999997</v>
      </c>
      <c r="E1191">
        <v>0.56737179999999998</v>
      </c>
      <c r="F1191" t="s">
        <v>43</v>
      </c>
      <c r="G1191">
        <v>-194.54849999999999</v>
      </c>
      <c r="H1191" s="1">
        <v>-3.3552379999999999E-6</v>
      </c>
      <c r="I1191">
        <v>344.58920000000001</v>
      </c>
      <c r="J1191">
        <v>-194.90549999999999</v>
      </c>
      <c r="K1191">
        <v>1.10436</v>
      </c>
      <c r="L1191">
        <v>354.71640000000002</v>
      </c>
      <c r="M1191">
        <v>0.35540539999999998</v>
      </c>
      <c r="N1191">
        <v>0</v>
      </c>
      <c r="O1191">
        <v>-0.93459490000000001</v>
      </c>
      <c r="P1191">
        <v>0.21093100000000001</v>
      </c>
      <c r="Q1191">
        <v>2.391521E-4</v>
      </c>
      <c r="R1191">
        <v>-0.97750119999999896</v>
      </c>
      <c r="S1191">
        <v>0.1267548</v>
      </c>
      <c r="T1191">
        <v>-0.32493630000000001</v>
      </c>
      <c r="U1191">
        <v>-3.0449830000000002</v>
      </c>
      <c r="V1191">
        <v>0.1504964</v>
      </c>
      <c r="W1191">
        <v>1.2648070000000001E-2</v>
      </c>
      <c r="X1191">
        <v>0.98852960000000001</v>
      </c>
      <c r="Y1191">
        <v>0.31640059999999998</v>
      </c>
      <c r="Z1191">
        <v>9.2997300000000005E-2</v>
      </c>
      <c r="AA1191">
        <v>0.94405620000000001</v>
      </c>
      <c r="AB1191">
        <v>23</v>
      </c>
      <c r="AC1191">
        <v>0.35699999999999898</v>
      </c>
      <c r="AD1191">
        <v>-1.1043633552380001</v>
      </c>
      <c r="AE1191">
        <v>-10.1272</v>
      </c>
      <c r="AF1191">
        <v>3.22763490283499</v>
      </c>
      <c r="AG1191">
        <v>-1.1043633552380001</v>
      </c>
      <c r="AH1191">
        <v>9.48016576698957</v>
      </c>
      <c r="AI1191">
        <v>96.292917334932199</v>
      </c>
      <c r="AJ1191">
        <v>71.198249405372906</v>
      </c>
      <c r="AK1191">
        <v>10.075256247659</v>
      </c>
      <c r="AL1191">
        <v>89.275299614421101</v>
      </c>
      <c r="AM1191">
        <v>81.343607115056798</v>
      </c>
      <c r="AN1191">
        <v>0.99999995508192097</v>
      </c>
    </row>
    <row r="1192" spans="1:40" x14ac:dyDescent="0.25">
      <c r="A1192" t="str">
        <f>"20190312154235314"</f>
        <v>20190312154235314</v>
      </c>
      <c r="B1192" t="str">
        <f>"1552376555308238"</f>
        <v>1552376555308238</v>
      </c>
      <c r="C1192" t="s">
        <v>40</v>
      </c>
      <c r="D1192">
        <v>5.3369489999999997</v>
      </c>
      <c r="E1192">
        <v>0.56778200000000001</v>
      </c>
      <c r="F1192" t="s">
        <v>43</v>
      </c>
      <c r="G1192">
        <v>-194.52379999999999</v>
      </c>
      <c r="H1192" s="1">
        <v>-3.0743209999999999E-6</v>
      </c>
      <c r="I1192">
        <v>343.94959999999998</v>
      </c>
      <c r="J1192">
        <v>-194.83750000000001</v>
      </c>
      <c r="K1192">
        <v>1.1044940000000001</v>
      </c>
      <c r="L1192">
        <v>354.50740000000002</v>
      </c>
      <c r="M1192">
        <v>0.34667029999999999</v>
      </c>
      <c r="N1192">
        <v>0</v>
      </c>
      <c r="O1192">
        <v>-0.93787089999999995</v>
      </c>
      <c r="P1192">
        <v>0.20408370000000001</v>
      </c>
      <c r="Q1192">
        <v>2.6048830000000001E-3</v>
      </c>
      <c r="R1192">
        <v>-0.97895030000000005</v>
      </c>
      <c r="S1192">
        <v>0.1079712</v>
      </c>
      <c r="T1192">
        <v>-0.31241849999999999</v>
      </c>
      <c r="U1192">
        <v>-3.045868</v>
      </c>
      <c r="V1192">
        <v>0.1482214</v>
      </c>
      <c r="W1192">
        <v>1.5048239999999999E-2</v>
      </c>
      <c r="X1192">
        <v>0.98883969999999999</v>
      </c>
      <c r="Y1192">
        <v>0.31336750000000002</v>
      </c>
      <c r="Z1192">
        <v>8.9982110000000004E-2</v>
      </c>
      <c r="AA1192">
        <v>0.94535919999999896</v>
      </c>
      <c r="AB1192">
        <v>23</v>
      </c>
      <c r="AC1192">
        <v>0.31370000000001103</v>
      </c>
      <c r="AD1192">
        <v>-1.1044970743210001</v>
      </c>
      <c r="AE1192">
        <v>-10.5578</v>
      </c>
      <c r="AF1192">
        <v>3.3298223744117501</v>
      </c>
      <c r="AG1192">
        <v>-1.1044970743210001</v>
      </c>
      <c r="AH1192">
        <v>9.9034057679818392</v>
      </c>
      <c r="AI1192">
        <v>96.034415518404302</v>
      </c>
      <c r="AJ1192">
        <v>71.415809792035802</v>
      </c>
      <c r="AK1192">
        <v>10.5064302518796</v>
      </c>
      <c r="AL1192">
        <v>89.137766808399107</v>
      </c>
      <c r="AM1192">
        <v>81.475159343778103</v>
      </c>
      <c r="AN1192">
        <v>0.99999999262057304</v>
      </c>
    </row>
    <row r="1193" spans="1:40" x14ac:dyDescent="0.25">
      <c r="A1193" t="str">
        <f>"20190312154235336"</f>
        <v>20190312154235336</v>
      </c>
      <c r="B1193" t="str">
        <f>"1552376555328734"</f>
        <v>1552376555328734</v>
      </c>
      <c r="C1193" t="s">
        <v>40</v>
      </c>
      <c r="D1193">
        <v>5.2832129999999999</v>
      </c>
      <c r="E1193">
        <v>0.56988689999999997</v>
      </c>
      <c r="F1193" t="s">
        <v>43</v>
      </c>
      <c r="G1193">
        <v>-194.39359999999999</v>
      </c>
      <c r="H1193" s="1">
        <v>-4.5747130000000002E-6</v>
      </c>
      <c r="I1193">
        <v>338.13959999999997</v>
      </c>
      <c r="J1193">
        <v>-194.76660000000001</v>
      </c>
      <c r="K1193">
        <v>1.1046069999999999</v>
      </c>
      <c r="L1193">
        <v>354.28210000000001</v>
      </c>
      <c r="M1193">
        <v>0.33739029999999998</v>
      </c>
      <c r="N1193">
        <v>0</v>
      </c>
      <c r="O1193">
        <v>-0.94124969999999997</v>
      </c>
      <c r="P1193">
        <v>0.19706090000000001</v>
      </c>
      <c r="Q1193">
        <v>3.5873889999999999E-3</v>
      </c>
      <c r="R1193">
        <v>-0.98038510000000001</v>
      </c>
      <c r="S1193">
        <v>8.2656859999999999E-2</v>
      </c>
      <c r="T1193">
        <v>-0.20566519999999999</v>
      </c>
      <c r="U1193">
        <v>-3.0477910000000001</v>
      </c>
      <c r="V1193">
        <v>0.14555109999999999</v>
      </c>
      <c r="W1193">
        <v>1.6067120000000001E-2</v>
      </c>
      <c r="X1193">
        <v>0.98922030000000005</v>
      </c>
      <c r="Y1193">
        <v>0.31181419999999999</v>
      </c>
      <c r="Z1193">
        <v>5.9728699999999899E-2</v>
      </c>
      <c r="AA1193">
        <v>0.94826390000000005</v>
      </c>
      <c r="AB1193">
        <v>23</v>
      </c>
      <c r="AC1193">
        <v>0.37300000000001798</v>
      </c>
      <c r="AD1193">
        <v>-1.1046115747130001</v>
      </c>
      <c r="AE1193">
        <v>-16.142499999999998</v>
      </c>
      <c r="AF1193">
        <v>5.0720519630445597</v>
      </c>
      <c r="AG1193">
        <v>-1.1046115747130001</v>
      </c>
      <c r="AH1193">
        <v>15.2502595234805</v>
      </c>
      <c r="AI1193">
        <v>93.9317945432595</v>
      </c>
      <c r="AJ1193">
        <v>71.603498347381901</v>
      </c>
      <c r="AK1193">
        <v>16.109509408430899</v>
      </c>
      <c r="AL1193">
        <v>89.079382257673899</v>
      </c>
      <c r="AM1193">
        <v>81.629718635287205</v>
      </c>
      <c r="AN1193">
        <v>1.0000000384941901</v>
      </c>
    </row>
    <row r="1194" spans="1:40" x14ac:dyDescent="0.25">
      <c r="A1194" t="str">
        <f>"20190312154235358"</f>
        <v>20190312154235358</v>
      </c>
      <c r="B1194" t="str">
        <f>"1552376555348253"</f>
        <v>1552376555348253</v>
      </c>
      <c r="C1194" t="s">
        <v>40</v>
      </c>
      <c r="D1194">
        <v>5.2962680000000004</v>
      </c>
      <c r="E1194">
        <v>0.56946439999999998</v>
      </c>
      <c r="F1194" t="s">
        <v>43</v>
      </c>
      <c r="G1194">
        <v>-194.5437</v>
      </c>
      <c r="H1194" s="1">
        <v>-4.7874540000000003E-6</v>
      </c>
      <c r="I1194">
        <v>338.6866</v>
      </c>
      <c r="J1194">
        <v>-194.6986</v>
      </c>
      <c r="K1194">
        <v>1.1047149999999999</v>
      </c>
      <c r="L1194">
        <v>354.05930000000001</v>
      </c>
      <c r="M1194">
        <v>0.32834989999999997</v>
      </c>
      <c r="N1194">
        <v>0</v>
      </c>
      <c r="O1194">
        <v>-0.94444209999999995</v>
      </c>
      <c r="P1194">
        <v>0.1901185</v>
      </c>
      <c r="Q1194">
        <v>5.5588469999999996E-3</v>
      </c>
      <c r="R1194">
        <v>-0.98174589999999995</v>
      </c>
      <c r="S1194">
        <v>4.3609620000000002E-2</v>
      </c>
      <c r="T1194">
        <v>-0.21617339999999999</v>
      </c>
      <c r="U1194">
        <v>-3.052063</v>
      </c>
      <c r="V1194">
        <v>0.14308589999999999</v>
      </c>
      <c r="W1194">
        <v>1.8070969999999999E-2</v>
      </c>
      <c r="X1194">
        <v>0.98954529999999996</v>
      </c>
      <c r="Y1194">
        <v>0.31486540000000002</v>
      </c>
      <c r="Z1194">
        <v>6.2984180000000001E-2</v>
      </c>
      <c r="AA1194">
        <v>0.9470442</v>
      </c>
      <c r="AB1194">
        <v>23</v>
      </c>
      <c r="AC1194">
        <v>0.15489999999999701</v>
      </c>
      <c r="AD1194">
        <v>-1.10471978745399</v>
      </c>
      <c r="AE1194">
        <v>-15.3727</v>
      </c>
      <c r="AF1194">
        <v>4.87667690840654</v>
      </c>
      <c r="AG1194">
        <v>-1.10471978745399</v>
      </c>
      <c r="AH1194">
        <v>14.4962024704942</v>
      </c>
      <c r="AI1194">
        <v>94.131291121858894</v>
      </c>
      <c r="AJ1194">
        <v>71.406512367394797</v>
      </c>
      <c r="AK1194">
        <v>15.3343493355063</v>
      </c>
      <c r="AL1194">
        <v>88.964553344548506</v>
      </c>
      <c r="AM1194">
        <v>81.772193724268405</v>
      </c>
      <c r="AN1194">
        <v>1.00000001774382</v>
      </c>
    </row>
    <row r="1195" spans="1:40" x14ac:dyDescent="0.25">
      <c r="A1195" t="str">
        <f>"20190312154235383"</f>
        <v>20190312154235383</v>
      </c>
      <c r="B1195" t="str">
        <f>"1552376555368749"</f>
        <v>1552376555368749</v>
      </c>
      <c r="C1195" t="s">
        <v>40</v>
      </c>
      <c r="D1195">
        <v>5.2810689999999996</v>
      </c>
      <c r="E1195">
        <v>0.56899860000000002</v>
      </c>
      <c r="F1195" t="s">
        <v>43</v>
      </c>
      <c r="G1195">
        <v>-194.5658</v>
      </c>
      <c r="H1195" s="1">
        <v>-4.5707110000000002E-6</v>
      </c>
      <c r="I1195">
        <v>338.03809999999999</v>
      </c>
      <c r="J1195">
        <v>-194.6276</v>
      </c>
      <c r="K1195">
        <v>1.104838</v>
      </c>
      <c r="L1195">
        <v>353.81909999999999</v>
      </c>
      <c r="M1195">
        <v>0.31875429999999999</v>
      </c>
      <c r="N1195">
        <v>0</v>
      </c>
      <c r="O1195">
        <v>-0.94772420000000002</v>
      </c>
      <c r="P1195">
        <v>0.18292269999999999</v>
      </c>
      <c r="Q1195">
        <v>6.7615599999999998E-3</v>
      </c>
      <c r="R1195">
        <v>-0.98310419999999998</v>
      </c>
      <c r="S1195">
        <v>2.528381E-2</v>
      </c>
      <c r="T1195">
        <v>-0.21045079999999999</v>
      </c>
      <c r="U1195">
        <v>-3.052063</v>
      </c>
      <c r="V1195">
        <v>0.1403055</v>
      </c>
      <c r="W1195">
        <v>1.931196E-2</v>
      </c>
      <c r="X1195">
        <v>0.98991989999999996</v>
      </c>
      <c r="Y1195">
        <v>0.31092330000000001</v>
      </c>
      <c r="Z1195">
        <v>6.1707480000000002E-2</v>
      </c>
      <c r="AA1195">
        <v>0.94842969999999904</v>
      </c>
      <c r="AB1195">
        <v>23</v>
      </c>
      <c r="AC1195">
        <v>6.1800000000005101E-2</v>
      </c>
      <c r="AD1195">
        <v>-1.1048425707109999</v>
      </c>
      <c r="AE1195">
        <v>-15.781000000000001</v>
      </c>
      <c r="AF1195">
        <v>4.94797337117729</v>
      </c>
      <c r="AG1195">
        <v>-1.1048425707109999</v>
      </c>
      <c r="AH1195">
        <v>14.9042885855719</v>
      </c>
      <c r="AI1195">
        <v>94.024330670915703</v>
      </c>
      <c r="AJ1195">
        <v>71.634700764570795</v>
      </c>
      <c r="AK1195">
        <v>15.742964645515301</v>
      </c>
      <c r="AL1195">
        <v>88.893437404615</v>
      </c>
      <c r="AM1195">
        <v>81.932960912097101</v>
      </c>
      <c r="AN1195">
        <v>0.99999999677264995</v>
      </c>
    </row>
    <row r="1196" spans="1:40" x14ac:dyDescent="0.25">
      <c r="A1196" t="str">
        <f>"20190312154235402"</f>
        <v>20190312154235402</v>
      </c>
      <c r="B1196" t="str">
        <f>"1552376555398030"</f>
        <v>1552376555398030</v>
      </c>
      <c r="C1196" t="s">
        <v>40</v>
      </c>
      <c r="D1196">
        <v>5.2596749999999997</v>
      </c>
      <c r="E1196">
        <v>0.56718550000000001</v>
      </c>
      <c r="F1196" t="s">
        <v>43</v>
      </c>
      <c r="G1196">
        <v>-194.59289999999999</v>
      </c>
      <c r="H1196" s="1">
        <v>-4.6083350000000003E-6</v>
      </c>
      <c r="I1196">
        <v>338.13459999999998</v>
      </c>
      <c r="J1196">
        <v>-194.57050000000001</v>
      </c>
      <c r="K1196">
        <v>1.104946</v>
      </c>
      <c r="L1196">
        <v>353.61930000000001</v>
      </c>
      <c r="M1196">
        <v>0.31091350000000001</v>
      </c>
      <c r="N1196">
        <v>0</v>
      </c>
      <c r="O1196">
        <v>-0.95032609999999995</v>
      </c>
      <c r="P1196">
        <v>0.17880960000000001</v>
      </c>
      <c r="Q1196">
        <v>7.3328040000000001E-3</v>
      </c>
      <c r="R1196">
        <v>-0.98385679999999998</v>
      </c>
      <c r="S1196">
        <v>6.7596440000000004E-3</v>
      </c>
      <c r="T1196">
        <v>-0.2149732</v>
      </c>
      <c r="U1196">
        <v>-3.0517880000000002</v>
      </c>
      <c r="V1196">
        <v>0.1362659</v>
      </c>
      <c r="W1196">
        <v>1.9946510000000001E-2</v>
      </c>
      <c r="X1196">
        <v>0.99047149999999995</v>
      </c>
      <c r="Y1196">
        <v>0.30882609999999999</v>
      </c>
      <c r="Z1196">
        <v>6.3329949999999996E-2</v>
      </c>
      <c r="AA1196">
        <v>0.94900779999999996</v>
      </c>
      <c r="AB1196">
        <v>23</v>
      </c>
      <c r="AC1196">
        <v>-2.2399999999976199E-2</v>
      </c>
      <c r="AD1196">
        <v>-1.104950608335</v>
      </c>
      <c r="AE1196">
        <v>-15.4847</v>
      </c>
      <c r="AF1196">
        <v>4.8117042203241596</v>
      </c>
      <c r="AG1196">
        <v>-1.104950608335</v>
      </c>
      <c r="AH1196">
        <v>14.6355946633467</v>
      </c>
      <c r="AI1196">
        <v>94.102277350722304</v>
      </c>
      <c r="AJ1196">
        <v>71.800828357106496</v>
      </c>
      <c r="AK1196">
        <v>15.4458423046633</v>
      </c>
      <c r="AL1196">
        <v>88.857073393544894</v>
      </c>
      <c r="AM1196">
        <v>82.1666048380321</v>
      </c>
      <c r="AN1196">
        <v>1.0000000255381101</v>
      </c>
    </row>
    <row r="1197" spans="1:40" x14ac:dyDescent="0.25">
      <c r="A1197" t="str">
        <f>"20190312154235426"</f>
        <v>20190312154235426</v>
      </c>
      <c r="B1197" t="str">
        <f>"1552376555418526"</f>
        <v>1552376555418526</v>
      </c>
      <c r="C1197" t="s">
        <v>40</v>
      </c>
      <c r="D1197">
        <v>5.0766309999999999</v>
      </c>
      <c r="E1197">
        <v>0.56688830000000001</v>
      </c>
      <c r="F1197" t="s">
        <v>43</v>
      </c>
      <c r="G1197">
        <v>-194.53139999999999</v>
      </c>
      <c r="H1197" s="1">
        <v>-4.84241999999999E-6</v>
      </c>
      <c r="I1197">
        <v>338.85449999999997</v>
      </c>
      <c r="J1197">
        <v>-194.50810000000001</v>
      </c>
      <c r="K1197">
        <v>1.105094</v>
      </c>
      <c r="L1197">
        <v>353.39460000000003</v>
      </c>
      <c r="M1197">
        <v>0.3022591</v>
      </c>
      <c r="N1197">
        <v>0</v>
      </c>
      <c r="O1197">
        <v>-0.95311460000000003</v>
      </c>
      <c r="P1197">
        <v>0.17420429999999901</v>
      </c>
      <c r="Q1197">
        <v>6.1821769999999996E-3</v>
      </c>
      <c r="R1197">
        <v>-0.98469039999999997</v>
      </c>
      <c r="S1197">
        <v>8.0718990000000004E-3</v>
      </c>
      <c r="T1197">
        <v>-0.228213</v>
      </c>
      <c r="U1197">
        <v>-3.0494690000000002</v>
      </c>
      <c r="V1197">
        <v>0.13187119999999999</v>
      </c>
      <c r="W1197">
        <v>1.886906E-2</v>
      </c>
      <c r="X1197">
        <v>0.9910873</v>
      </c>
      <c r="Y1197">
        <v>0.2997534</v>
      </c>
      <c r="Z1197">
        <v>6.7680669999999998E-2</v>
      </c>
      <c r="AA1197">
        <v>0.95161289999999998</v>
      </c>
      <c r="AB1197">
        <v>23</v>
      </c>
      <c r="AC1197">
        <v>-2.3299999999977599E-2</v>
      </c>
      <c r="AD1197">
        <v>-1.1050988424199999</v>
      </c>
      <c r="AE1197">
        <v>-14.540100000000001</v>
      </c>
      <c r="AF1197">
        <v>4.3921818560360597</v>
      </c>
      <c r="AG1197">
        <v>-1.1050988424199999</v>
      </c>
      <c r="AH1197">
        <v>13.773245961697601</v>
      </c>
      <c r="AI1197">
        <v>94.371329128325797</v>
      </c>
      <c r="AJ1197">
        <v>72.312918970589493</v>
      </c>
      <c r="AK1197">
        <v>14.498786474371901</v>
      </c>
      <c r="AL1197">
        <v>88.918818383789699</v>
      </c>
      <c r="AM1197">
        <v>82.420907856475395</v>
      </c>
      <c r="AN1197">
        <v>1.000000045518</v>
      </c>
    </row>
    <row r="1198" spans="1:40" x14ac:dyDescent="0.25">
      <c r="A1198" t="str">
        <f>"20190312154235447"</f>
        <v>20190312154235447</v>
      </c>
      <c r="B1198" t="str">
        <f>"1552376555438049"</f>
        <v>1552376555438049</v>
      </c>
      <c r="C1198" t="s">
        <v>40</v>
      </c>
      <c r="D1198">
        <v>5.0469379999999999</v>
      </c>
      <c r="E1198">
        <v>0.56617779999999995</v>
      </c>
      <c r="F1198" t="s">
        <v>43</v>
      </c>
      <c r="G1198">
        <v>-194.52760000000001</v>
      </c>
      <c r="H1198" s="1">
        <v>-4.5934919999999999E-6</v>
      </c>
      <c r="I1198">
        <v>338.125</v>
      </c>
      <c r="J1198">
        <v>-194.4495</v>
      </c>
      <c r="K1198">
        <v>1.105245</v>
      </c>
      <c r="L1198">
        <v>353.17720000000003</v>
      </c>
      <c r="M1198">
        <v>0.29408230000000002</v>
      </c>
      <c r="N1198">
        <v>0</v>
      </c>
      <c r="O1198">
        <v>-0.95566989999999996</v>
      </c>
      <c r="P1198">
        <v>0.16992779999999999</v>
      </c>
      <c r="Q1198">
        <v>5.3984139999999998E-3</v>
      </c>
      <c r="R1198">
        <v>-0.98544180000000003</v>
      </c>
      <c r="S1198">
        <v>-3.90625E-3</v>
      </c>
      <c r="T1198">
        <v>-0.22064629999999999</v>
      </c>
      <c r="U1198">
        <v>-3.0487669999999998</v>
      </c>
      <c r="V1198">
        <v>0.12766430000000001</v>
      </c>
      <c r="W1198">
        <v>1.81587E-2</v>
      </c>
      <c r="X1198">
        <v>0.99165119999999896</v>
      </c>
      <c r="Y1198">
        <v>0.2953172</v>
      </c>
      <c r="Z1198">
        <v>6.5788570000000005E-2</v>
      </c>
      <c r="AA1198">
        <v>0.95313150000000002</v>
      </c>
      <c r="AB1198">
        <v>23</v>
      </c>
      <c r="AC1198">
        <v>-7.8100000000006206E-2</v>
      </c>
      <c r="AD1198">
        <v>-1.1052495934919999</v>
      </c>
      <c r="AE1198">
        <v>-15.052199999999999</v>
      </c>
      <c r="AF1198">
        <v>4.4775568478367198</v>
      </c>
      <c r="AG1198">
        <v>-1.1052495934919999</v>
      </c>
      <c r="AH1198">
        <v>14.2864541814599</v>
      </c>
      <c r="AI1198">
        <v>94.222068703148693</v>
      </c>
      <c r="AJ1198">
        <v>72.598343926792197</v>
      </c>
      <c r="AK1198">
        <v>15.012423690679499</v>
      </c>
      <c r="AL1198">
        <v>88.959525949968494</v>
      </c>
      <c r="AM1198">
        <v>82.664141933896303</v>
      </c>
      <c r="AN1198">
        <v>1.0000000071708</v>
      </c>
    </row>
    <row r="1199" spans="1:40" x14ac:dyDescent="0.25">
      <c r="A1199" t="str">
        <f>"20190312154235471"</f>
        <v>20190312154235471</v>
      </c>
      <c r="B1199" t="str">
        <f>"1552376555458541"</f>
        <v>1552376555458541</v>
      </c>
      <c r="C1199" t="s">
        <v>40</v>
      </c>
      <c r="D1199">
        <v>5.1929299999999996</v>
      </c>
      <c r="E1199">
        <v>0.56597180000000002</v>
      </c>
      <c r="F1199" t="s">
        <v>43</v>
      </c>
      <c r="G1199">
        <v>-194.50700000000001</v>
      </c>
      <c r="H1199" s="1">
        <v>-4.3789809999999996E-6</v>
      </c>
      <c r="I1199">
        <v>337.50529999999998</v>
      </c>
      <c r="J1199">
        <v>-194.39070000000001</v>
      </c>
      <c r="K1199">
        <v>1.105424</v>
      </c>
      <c r="L1199">
        <v>352.95139999999998</v>
      </c>
      <c r="M1199">
        <v>0.28584320000000002</v>
      </c>
      <c r="N1199">
        <v>0</v>
      </c>
      <c r="O1199">
        <v>-0.95816710000000005</v>
      </c>
      <c r="P1199">
        <v>0.16527549999999999</v>
      </c>
      <c r="Q1199">
        <v>3.7210939999999999E-3</v>
      </c>
      <c r="R1199">
        <v>-0.98624040000000002</v>
      </c>
      <c r="S1199">
        <v>-1.1184690000000001E-2</v>
      </c>
      <c r="T1199">
        <v>-0.21492240000000001</v>
      </c>
      <c r="U1199">
        <v>-3.047485</v>
      </c>
      <c r="V1199">
        <v>0.1237771</v>
      </c>
      <c r="W1199">
        <v>1.655104E-2</v>
      </c>
      <c r="X1199">
        <v>0.99217200000000005</v>
      </c>
      <c r="Y1199">
        <v>0.28936469999999997</v>
      </c>
      <c r="Z1199">
        <v>6.4443669999999995E-2</v>
      </c>
      <c r="AA1199">
        <v>0.95504719999999999</v>
      </c>
      <c r="AB1199">
        <v>23</v>
      </c>
      <c r="AC1199">
        <v>-0.116299999999995</v>
      </c>
      <c r="AD1199">
        <v>-1.105428378981</v>
      </c>
      <c r="AE1199">
        <v>-15.446099999999999</v>
      </c>
      <c r="AF1199">
        <v>4.5040043104594503</v>
      </c>
      <c r="AG1199">
        <v>-1.105428378981</v>
      </c>
      <c r="AH1199">
        <v>14.692997649841899</v>
      </c>
      <c r="AI1199">
        <v>94.114274896013498</v>
      </c>
      <c r="AJ1199">
        <v>72.957557209173402</v>
      </c>
      <c r="AK1199">
        <v>15.407537333005299</v>
      </c>
      <c r="AL1199">
        <v>89.051651953046004</v>
      </c>
      <c r="AM1199">
        <v>82.888880509837506</v>
      </c>
      <c r="AN1199">
        <v>0.99999999249674498</v>
      </c>
    </row>
    <row r="1200" spans="1:40" x14ac:dyDescent="0.25">
      <c r="A1200" t="str">
        <f>"20190312154235492"</f>
        <v>20190312154235492</v>
      </c>
      <c r="B1200" t="str">
        <f>"1552376555488798"</f>
        <v>1552376555488798</v>
      </c>
      <c r="C1200" t="s">
        <v>40</v>
      </c>
      <c r="D1200">
        <v>4.7031599999999996</v>
      </c>
      <c r="E1200">
        <v>0.56571039999999995</v>
      </c>
      <c r="F1200" t="s">
        <v>43</v>
      </c>
      <c r="G1200">
        <v>-194.5068</v>
      </c>
      <c r="H1200" s="1">
        <v>-4.4557109999999996E-6</v>
      </c>
      <c r="I1200">
        <v>337.73090000000002</v>
      </c>
      <c r="J1200">
        <v>-194.33539999999999</v>
      </c>
      <c r="K1200">
        <v>1.105607</v>
      </c>
      <c r="L1200">
        <v>352.73320000000001</v>
      </c>
      <c r="M1200">
        <v>0.27812809999999999</v>
      </c>
      <c r="N1200">
        <v>0</v>
      </c>
      <c r="O1200">
        <v>-0.9604357</v>
      </c>
      <c r="P1200">
        <v>0.1593666</v>
      </c>
      <c r="Q1200">
        <v>1.8876990000000001E-3</v>
      </c>
      <c r="R1200">
        <v>-0.98721809999999999</v>
      </c>
      <c r="S1200">
        <v>-2.325439E-2</v>
      </c>
      <c r="T1200">
        <v>-0.2212684</v>
      </c>
      <c r="U1200">
        <v>-3.0466000000000002</v>
      </c>
      <c r="V1200">
        <v>0.1217101</v>
      </c>
      <c r="W1200">
        <v>1.475978E-2</v>
      </c>
      <c r="X1200">
        <v>0.992456</v>
      </c>
      <c r="Y1200">
        <v>0.28544730000000001</v>
      </c>
      <c r="Z1200">
        <v>6.6643330000000001E-2</v>
      </c>
      <c r="AA1200">
        <v>0.95607450000000005</v>
      </c>
      <c r="AB1200">
        <v>23</v>
      </c>
      <c r="AC1200">
        <v>-0.17140000000000499</v>
      </c>
      <c r="AD1200">
        <v>-1.1056114557109999</v>
      </c>
      <c r="AE1200">
        <v>-15.0022999999999</v>
      </c>
      <c r="AF1200">
        <v>4.3142031719451497</v>
      </c>
      <c r="AG1200">
        <v>-1.1056114557109999</v>
      </c>
      <c r="AH1200">
        <v>14.284993933002101</v>
      </c>
      <c r="AI1200">
        <v>94.237387507491803</v>
      </c>
      <c r="AJ1200">
        <v>73.1951876213069</v>
      </c>
      <c r="AK1200">
        <v>14.9631473081611</v>
      </c>
      <c r="AL1200">
        <v>89.1542962384557</v>
      </c>
      <c r="AM1200">
        <v>83.008427391109507</v>
      </c>
      <c r="AN1200">
        <v>1.00000005574182</v>
      </c>
    </row>
    <row r="1201" spans="1:40" x14ac:dyDescent="0.25">
      <c r="A1201" t="str">
        <f>"20190312154235583"</f>
        <v>20190312154235583</v>
      </c>
      <c r="B1201" t="str">
        <f>"1552376555578154"</f>
        <v>1552376555578154</v>
      </c>
      <c r="C1201" t="s">
        <v>40</v>
      </c>
      <c r="D1201">
        <v>4.503215</v>
      </c>
      <c r="E1201">
        <v>0.57965849999999997</v>
      </c>
      <c r="F1201" t="s">
        <v>43</v>
      </c>
      <c r="G1201">
        <v>-194.52770000000001</v>
      </c>
      <c r="H1201" s="1">
        <v>-4.5202070000000003E-6</v>
      </c>
      <c r="I1201">
        <v>337.90960000000001</v>
      </c>
      <c r="J1201">
        <v>-194.1242</v>
      </c>
      <c r="K1201">
        <v>1.106239</v>
      </c>
      <c r="L1201">
        <v>351.83580000000001</v>
      </c>
      <c r="M1201">
        <v>0.24873899999999999</v>
      </c>
      <c r="N1201">
        <v>0</v>
      </c>
      <c r="O1201">
        <v>-0.96846549999999998</v>
      </c>
      <c r="P1201">
        <v>0.13876479999999999</v>
      </c>
      <c r="Q1201">
        <v>-2.043925E-4</v>
      </c>
      <c r="R1201">
        <v>-0.99032600000000004</v>
      </c>
      <c r="S1201">
        <v>-3.9504999999999998E-2</v>
      </c>
      <c r="T1201">
        <v>-0.22715369999999999</v>
      </c>
      <c r="U1201">
        <v>-3.0455930000000002</v>
      </c>
      <c r="V1201">
        <v>0.1120946</v>
      </c>
      <c r="W1201">
        <v>1.281733E-2</v>
      </c>
      <c r="X1201">
        <v>0.99361489999999997</v>
      </c>
      <c r="Y1201">
        <v>0.26126120000000003</v>
      </c>
      <c r="Z1201">
        <v>6.9577159999999999E-2</v>
      </c>
      <c r="AA1201">
        <v>0.96275730000000004</v>
      </c>
      <c r="AB1201">
        <v>22</v>
      </c>
      <c r="AC1201">
        <v>-0.40350000000000802</v>
      </c>
      <c r="AD1201">
        <v>-1.106243520207</v>
      </c>
      <c r="AE1201">
        <v>-13.9261999999999</v>
      </c>
      <c r="AF1201">
        <v>3.8310034082093698</v>
      </c>
      <c r="AG1201">
        <v>-1.106243520207</v>
      </c>
      <c r="AH1201">
        <v>13.304160103253301</v>
      </c>
      <c r="AI1201">
        <v>94.568423532640296</v>
      </c>
      <c r="AJ1201">
        <v>73.935964477011893</v>
      </c>
      <c r="AK1201">
        <v>13.8888818085802</v>
      </c>
      <c r="AL1201">
        <v>89.265600996497994</v>
      </c>
      <c r="AM1201">
        <v>83.563394988621297</v>
      </c>
      <c r="AN1201">
        <v>1.0000000263997399</v>
      </c>
    </row>
    <row r="1202" spans="1:40" x14ac:dyDescent="0.25">
      <c r="A1202" t="str">
        <f>"20190312154235605"</f>
        <v>20190312154235605</v>
      </c>
      <c r="B1202" t="str">
        <f>"1552376555598649"</f>
        <v>1552376555598649</v>
      </c>
      <c r="C1202" t="s">
        <v>40</v>
      </c>
      <c r="D1202">
        <v>5.0280630000000004</v>
      </c>
      <c r="E1202">
        <v>0.5766983</v>
      </c>
      <c r="F1202" t="s">
        <v>41</v>
      </c>
      <c r="G1202">
        <v>-194.1729</v>
      </c>
      <c r="H1202">
        <v>0.80964740000000002</v>
      </c>
      <c r="I1202">
        <v>351.10969999999998</v>
      </c>
      <c r="J1202">
        <v>-194.07579999999999</v>
      </c>
      <c r="K1202">
        <v>1.106409</v>
      </c>
      <c r="L1202">
        <v>351.61509999999998</v>
      </c>
      <c r="M1202">
        <v>0.24211269999999999</v>
      </c>
      <c r="N1202">
        <v>0</v>
      </c>
      <c r="O1202">
        <v>-0.97014389999999995</v>
      </c>
      <c r="P1202">
        <v>0.13353400000000001</v>
      </c>
      <c r="Q1202">
        <v>-4.8341900000000001E-4</v>
      </c>
      <c r="R1202">
        <v>-0.99104449999999999</v>
      </c>
      <c r="S1202">
        <v>-0.20545959999999999</v>
      </c>
      <c r="T1202">
        <v>-1.249198</v>
      </c>
      <c r="U1202">
        <v>-3.0578609999999999</v>
      </c>
      <c r="V1202">
        <v>0.11053929999999999</v>
      </c>
      <c r="W1202">
        <v>1.256463E-2</v>
      </c>
      <c r="X1202">
        <v>0.99379229999999996</v>
      </c>
      <c r="Y1202">
        <v>0.30174489999999998</v>
      </c>
      <c r="Z1202">
        <v>0.35242469999999998</v>
      </c>
      <c r="AA1202">
        <v>0.88585939999999996</v>
      </c>
      <c r="AB1202">
        <v>22</v>
      </c>
      <c r="AC1202">
        <v>-9.7100000000011705E-2</v>
      </c>
      <c r="AD1202">
        <v>-0.29676160000000001</v>
      </c>
      <c r="AE1202">
        <v>-0.50540000000000795</v>
      </c>
      <c r="AF1202">
        <v>0.162540503134776</v>
      </c>
      <c r="AG1202">
        <v>-0.29676160000000001</v>
      </c>
      <c r="AH1202">
        <v>0.35035328174000702</v>
      </c>
      <c r="AI1202">
        <v>127.53766882665199</v>
      </c>
      <c r="AJ1202">
        <v>65.111851429428</v>
      </c>
      <c r="AK1202">
        <v>0.48706702251318401</v>
      </c>
      <c r="AL1202">
        <v>89.280080765976706</v>
      </c>
      <c r="AM1202">
        <v>83.653091969554396</v>
      </c>
      <c r="AN1202">
        <v>0.99999997115540795</v>
      </c>
    </row>
    <row r="1203" spans="1:40" x14ac:dyDescent="0.25">
      <c r="A1203" t="str">
        <f>"20190312154235627"</f>
        <v>20190312154235627</v>
      </c>
      <c r="B1203" t="str">
        <f>"1552376555618171"</f>
        <v>1552376555618171</v>
      </c>
      <c r="C1203" t="s">
        <v>40</v>
      </c>
      <c r="D1203">
        <v>5.4589919999999896</v>
      </c>
      <c r="E1203">
        <v>0.57488830000000002</v>
      </c>
      <c r="F1203" t="s">
        <v>41</v>
      </c>
      <c r="G1203">
        <v>-194.1224</v>
      </c>
      <c r="H1203">
        <v>0.85866549999999997</v>
      </c>
      <c r="I1203">
        <v>350.89929999999998</v>
      </c>
      <c r="J1203">
        <v>-194.02760000000001</v>
      </c>
      <c r="K1203">
        <v>1.1065910000000001</v>
      </c>
      <c r="L1203">
        <v>351.38920000000002</v>
      </c>
      <c r="M1203">
        <v>0.23556279999999999</v>
      </c>
      <c r="N1203">
        <v>0</v>
      </c>
      <c r="O1203">
        <v>-0.97175529999999999</v>
      </c>
      <c r="P1203">
        <v>0.12824379999999999</v>
      </c>
      <c r="Q1203">
        <v>-1.911343E-4</v>
      </c>
      <c r="R1203">
        <v>-0.99174269999999998</v>
      </c>
      <c r="S1203">
        <v>-0.19792180000000001</v>
      </c>
      <c r="T1203">
        <v>-1.0566390000000001</v>
      </c>
      <c r="U1203">
        <v>-3.0532530000000002</v>
      </c>
      <c r="V1203">
        <v>0.109135</v>
      </c>
      <c r="W1203">
        <v>1.288313E-2</v>
      </c>
      <c r="X1203">
        <v>0.99394349999999998</v>
      </c>
      <c r="Y1203">
        <v>0.29446299999999997</v>
      </c>
      <c r="Z1203">
        <v>0.30585430000000002</v>
      </c>
      <c r="AA1203">
        <v>0.90539749999999997</v>
      </c>
      <c r="AB1203">
        <v>22</v>
      </c>
      <c r="AC1203">
        <v>-9.4799999999992196E-2</v>
      </c>
      <c r="AD1203">
        <v>-0.24792549999999899</v>
      </c>
      <c r="AE1203">
        <v>-0.48990000000003397</v>
      </c>
      <c r="AF1203">
        <v>0.166453715915029</v>
      </c>
      <c r="AG1203">
        <v>-0.24792549999999899</v>
      </c>
      <c r="AH1203">
        <v>0.36393419824689199</v>
      </c>
      <c r="AI1203">
        <v>121.778788757556</v>
      </c>
      <c r="AJ1203">
        <v>65.4219175430825</v>
      </c>
      <c r="AK1203">
        <v>0.47076745187595398</v>
      </c>
      <c r="AL1203">
        <v>89.261830642060701</v>
      </c>
      <c r="AM1203">
        <v>83.734023703417805</v>
      </c>
      <c r="AN1203">
        <v>1.00000005222792</v>
      </c>
    </row>
    <row r="1204" spans="1:40" x14ac:dyDescent="0.25">
      <c r="A1204" t="str">
        <f>"20190312154235649"</f>
        <v>20190312154235649</v>
      </c>
      <c r="B1204" t="str">
        <f>"1552376555638666"</f>
        <v>1552376555638666</v>
      </c>
      <c r="C1204" t="s">
        <v>40</v>
      </c>
      <c r="D1204">
        <v>5.0600550000000002</v>
      </c>
      <c r="E1204">
        <v>0.56362570000000001</v>
      </c>
      <c r="F1204" t="s">
        <v>41</v>
      </c>
      <c r="G1204">
        <v>-194.07329999999999</v>
      </c>
      <c r="H1204">
        <v>0.88648640000000001</v>
      </c>
      <c r="I1204">
        <v>350.6927</v>
      </c>
      <c r="J1204">
        <v>-193.9828</v>
      </c>
      <c r="K1204">
        <v>1.1067560000000001</v>
      </c>
      <c r="L1204">
        <v>351.17320000000001</v>
      </c>
      <c r="M1204">
        <v>0.22953309999999999</v>
      </c>
      <c r="N1204">
        <v>0</v>
      </c>
      <c r="O1204">
        <v>-0.97319789999999995</v>
      </c>
      <c r="P1204">
        <v>0.1231189</v>
      </c>
      <c r="Q1204" s="1">
        <v>6.7445040000000005E-5</v>
      </c>
      <c r="R1204">
        <v>-0.9923921</v>
      </c>
      <c r="S1204">
        <v>-0.19975280000000001</v>
      </c>
      <c r="T1204">
        <v>-0.96400540000000001</v>
      </c>
      <c r="U1204">
        <v>-3.050659</v>
      </c>
      <c r="V1204">
        <v>0.10810350000000001</v>
      </c>
      <c r="W1204">
        <v>1.316254E-2</v>
      </c>
      <c r="X1204">
        <v>0.99405250000000001</v>
      </c>
      <c r="Y1204">
        <v>0.28968050000000001</v>
      </c>
      <c r="Z1204">
        <v>0.28261890000000001</v>
      </c>
      <c r="AA1204">
        <v>0.91444610000000004</v>
      </c>
      <c r="AB1204">
        <v>22</v>
      </c>
      <c r="AC1204">
        <v>-9.0499999999991601E-2</v>
      </c>
      <c r="AD1204">
        <v>-0.22026959999999901</v>
      </c>
      <c r="AE1204">
        <v>-0.48050000000000598</v>
      </c>
      <c r="AF1204">
        <v>0.16491574893441899</v>
      </c>
      <c r="AG1204">
        <v>-0.22026959999999901</v>
      </c>
      <c r="AH1204">
        <v>0.37149894405738498</v>
      </c>
      <c r="AI1204">
        <v>118.454313673876</v>
      </c>
      <c r="AJ1204">
        <v>66.062615944169096</v>
      </c>
      <c r="AK1204">
        <v>0.46230657184006402</v>
      </c>
      <c r="AL1204">
        <v>89.245820228964703</v>
      </c>
      <c r="AM1204">
        <v>83.793458020156905</v>
      </c>
      <c r="AN1204">
        <v>0.99999999596387501</v>
      </c>
    </row>
    <row r="1205" spans="1:40" x14ac:dyDescent="0.25">
      <c r="A1205" t="str">
        <f>"20190312154235671"</f>
        <v>20190312154235671</v>
      </c>
      <c r="B1205" t="str">
        <f>"1552376555668922"</f>
        <v>1552376555668922</v>
      </c>
      <c r="C1205" t="s">
        <v>40</v>
      </c>
      <c r="D1205">
        <v>5.1318830000000002</v>
      </c>
      <c r="E1205">
        <v>0.55467889999999997</v>
      </c>
      <c r="F1205" t="s">
        <v>43</v>
      </c>
      <c r="G1205">
        <v>-194.54580000000001</v>
      </c>
      <c r="H1205" s="1">
        <v>-4.6196159999999901E-6</v>
      </c>
      <c r="I1205">
        <v>338.19229999999999</v>
      </c>
      <c r="J1205">
        <v>-193.9393</v>
      </c>
      <c r="K1205">
        <v>1.106905</v>
      </c>
      <c r="L1205">
        <v>350.95780000000002</v>
      </c>
      <c r="M1205">
        <v>0.22371959999999999</v>
      </c>
      <c r="N1205">
        <v>0</v>
      </c>
      <c r="O1205">
        <v>-0.97455130000000001</v>
      </c>
      <c r="P1205">
        <v>0.11836820000000001</v>
      </c>
      <c r="Q1205">
        <v>2.3677759999999999E-4</v>
      </c>
      <c r="R1205">
        <v>-0.99297009999999997</v>
      </c>
      <c r="S1205">
        <v>-0.13180539999999999</v>
      </c>
      <c r="T1205">
        <v>-0.2591349</v>
      </c>
      <c r="U1205">
        <v>-3.0393370000000002</v>
      </c>
      <c r="V1205">
        <v>0.10692309999999999</v>
      </c>
      <c r="W1205">
        <v>1.335039E-2</v>
      </c>
      <c r="X1205">
        <v>0.99417759999999999</v>
      </c>
      <c r="Y1205">
        <v>0.26560159999999899</v>
      </c>
      <c r="Z1205">
        <v>8.0156450000000004E-2</v>
      </c>
      <c r="AA1205">
        <v>0.96074490000000001</v>
      </c>
      <c r="AB1205">
        <v>22</v>
      </c>
      <c r="AC1205">
        <v>-0.60650000000001103</v>
      </c>
      <c r="AD1205">
        <v>-1.106909619616</v>
      </c>
      <c r="AE1205">
        <v>-12.765499999999999</v>
      </c>
      <c r="AF1205">
        <v>3.4216328260117899</v>
      </c>
      <c r="AG1205">
        <v>-1.106909619616</v>
      </c>
      <c r="AH1205">
        <v>12.2145431844662</v>
      </c>
      <c r="AI1205">
        <v>94.987173448224297</v>
      </c>
      <c r="AJ1205">
        <v>74.3509649445744</v>
      </c>
      <c r="AK1205">
        <v>12.732944879611701</v>
      </c>
      <c r="AL1205">
        <v>89.235056229056994</v>
      </c>
      <c r="AM1205">
        <v>83.861474544664603</v>
      </c>
      <c r="AN1205">
        <v>0.99999994128425895</v>
      </c>
    </row>
    <row r="1206" spans="1:40" x14ac:dyDescent="0.25">
      <c r="A1206" t="str">
        <f>"20190312154235693"</f>
        <v>20190312154235693</v>
      </c>
      <c r="B1206" t="str">
        <f>"1552376555688442"</f>
        <v>1552376555688442</v>
      </c>
      <c r="C1206" t="s">
        <v>40</v>
      </c>
      <c r="D1206">
        <v>5.1180279999999998</v>
      </c>
      <c r="E1206">
        <v>0.55046580000000001</v>
      </c>
      <c r="F1206" t="s">
        <v>43</v>
      </c>
      <c r="G1206">
        <v>-194.73779999999999</v>
      </c>
      <c r="H1206" s="1">
        <v>-5.4964779999999996E-6</v>
      </c>
      <c r="I1206">
        <v>319.41079999999999</v>
      </c>
      <c r="J1206">
        <v>-193.89599999999999</v>
      </c>
      <c r="K1206">
        <v>1.107024</v>
      </c>
      <c r="L1206">
        <v>350.73809999999997</v>
      </c>
      <c r="M1206">
        <v>0.21795200000000001</v>
      </c>
      <c r="N1206">
        <v>0</v>
      </c>
      <c r="O1206">
        <v>-0.97585770000000005</v>
      </c>
      <c r="P1206">
        <v>0.1137421</v>
      </c>
      <c r="Q1206">
        <v>-3.3971739999999999E-4</v>
      </c>
      <c r="R1206">
        <v>-0.99351080000000003</v>
      </c>
      <c r="S1206">
        <v>-7.6705930000000005E-2</v>
      </c>
      <c r="T1206">
        <v>-0.1063306</v>
      </c>
      <c r="U1206">
        <v>-3.0304259999999998</v>
      </c>
      <c r="V1206">
        <v>0.10566440000000001</v>
      </c>
      <c r="W1206">
        <v>1.27873E-2</v>
      </c>
      <c r="X1206">
        <v>0.99431959999999997</v>
      </c>
      <c r="Y1206">
        <v>0.24258289999999999</v>
      </c>
      <c r="Z1206">
        <v>3.3271370000000001E-2</v>
      </c>
      <c r="AA1206">
        <v>0.96955999999999998</v>
      </c>
      <c r="AB1206">
        <v>22</v>
      </c>
      <c r="AC1206">
        <v>-0.84180000000000599</v>
      </c>
      <c r="AD1206">
        <v>-1.1070294964780001</v>
      </c>
      <c r="AE1206">
        <v>-31.327299999999902</v>
      </c>
      <c r="AF1206">
        <v>7.6405504934395703</v>
      </c>
      <c r="AG1206">
        <v>-1.1070294964780001</v>
      </c>
      <c r="AH1206">
        <v>30.352658733495801</v>
      </c>
      <c r="AI1206">
        <v>92.0256421190265</v>
      </c>
      <c r="AJ1206">
        <v>75.870724199966801</v>
      </c>
      <c r="AK1206">
        <v>31.319122247293699</v>
      </c>
      <c r="AL1206">
        <v>89.267321691121296</v>
      </c>
      <c r="AM1206">
        <v>83.934055195484007</v>
      </c>
      <c r="AN1206">
        <v>0.99999997370640403</v>
      </c>
    </row>
    <row r="1207" spans="1:40" x14ac:dyDescent="0.25">
      <c r="A1207" t="str">
        <f>"20190312154235715"</f>
        <v>20190312154235715</v>
      </c>
      <c r="B1207" t="str">
        <f>"1552376555707963"</f>
        <v>1552376555707963</v>
      </c>
      <c r="C1207" t="s">
        <v>40</v>
      </c>
      <c r="D1207">
        <v>5.1470669999999998</v>
      </c>
      <c r="E1207">
        <v>0.54894709999999902</v>
      </c>
      <c r="F1207" t="s">
        <v>43</v>
      </c>
      <c r="G1207">
        <v>-195.4957</v>
      </c>
      <c r="H1207" s="1">
        <v>-4.5634299999999998E-6</v>
      </c>
      <c r="I1207">
        <v>267.53199999999998</v>
      </c>
      <c r="J1207">
        <v>-193.85409999999999</v>
      </c>
      <c r="K1207">
        <v>1.10711</v>
      </c>
      <c r="L1207">
        <v>350.51940000000002</v>
      </c>
      <c r="M1207">
        <v>0.21233669999999999</v>
      </c>
      <c r="N1207">
        <v>0</v>
      </c>
      <c r="O1207">
        <v>-0.97709520000000005</v>
      </c>
      <c r="P1207">
        <v>0.10909580000000001</v>
      </c>
      <c r="Q1207">
        <v>-1.196082E-3</v>
      </c>
      <c r="R1207">
        <v>-0.99403070000000004</v>
      </c>
      <c r="S1207">
        <v>-5.8181759999999999E-2</v>
      </c>
      <c r="T1207">
        <v>-4.0263180000000003E-2</v>
      </c>
      <c r="U1207">
        <v>-3.0262449999999999</v>
      </c>
      <c r="V1207">
        <v>0.1045852</v>
      </c>
      <c r="W1207">
        <v>1.193573E-2</v>
      </c>
      <c r="X1207">
        <v>0.99444429999999995</v>
      </c>
      <c r="Y1207">
        <v>0.23110040000000001</v>
      </c>
      <c r="Z1207">
        <v>1.2666810000000001E-2</v>
      </c>
      <c r="AA1207">
        <v>0.97284749999999998</v>
      </c>
      <c r="AB1207">
        <v>22</v>
      </c>
      <c r="AC1207">
        <v>-1.6416000000000099</v>
      </c>
      <c r="AD1207">
        <v>-1.1071145634299999</v>
      </c>
      <c r="AE1207">
        <v>-82.987399999999994</v>
      </c>
      <c r="AF1207">
        <v>19.223754621406002</v>
      </c>
      <c r="AG1207">
        <v>-1.1071145634299999</v>
      </c>
      <c r="AH1207">
        <v>80.731653744288906</v>
      </c>
      <c r="AI1207">
        <v>90.764310066561507</v>
      </c>
      <c r="AJ1207">
        <v>76.6062044576083</v>
      </c>
      <c r="AK1207">
        <v>82.996255100385994</v>
      </c>
      <c r="AL1207">
        <v>89.3161168041796</v>
      </c>
      <c r="AM1207">
        <v>83.996302047596899</v>
      </c>
      <c r="AN1207">
        <v>0.99999999575608101</v>
      </c>
    </row>
    <row r="1208" spans="1:40" x14ac:dyDescent="0.25">
      <c r="A1208" t="str">
        <f>"20190312154235739"</f>
        <v>20190312154235739</v>
      </c>
      <c r="B1208" t="str">
        <f>"1552376555728462"</f>
        <v>1552376555728462</v>
      </c>
      <c r="C1208" t="s">
        <v>40</v>
      </c>
      <c r="D1208">
        <v>5.132314</v>
      </c>
      <c r="E1208">
        <v>0.54711569999999898</v>
      </c>
      <c r="F1208" t="s">
        <v>48</v>
      </c>
      <c r="G1208">
        <v>-202.58449999999999</v>
      </c>
      <c r="H1208">
        <v>3.8399329999999998</v>
      </c>
      <c r="I1208">
        <v>-81.81644</v>
      </c>
      <c r="J1208">
        <v>-193.81049999999999</v>
      </c>
      <c r="K1208">
        <v>1.107167</v>
      </c>
      <c r="L1208">
        <v>350.28480000000002</v>
      </c>
      <c r="M1208">
        <v>0.2064204</v>
      </c>
      <c r="N1208">
        <v>0</v>
      </c>
      <c r="O1208">
        <v>-0.97836259999999997</v>
      </c>
      <c r="P1208">
        <v>0.1043598</v>
      </c>
      <c r="Q1208">
        <v>-1.557445E-3</v>
      </c>
      <c r="R1208">
        <v>-0.99453840000000004</v>
      </c>
      <c r="S1208">
        <v>-6.1080929999999999E-2</v>
      </c>
      <c r="T1208">
        <v>1.9119859999999999E-2</v>
      </c>
      <c r="U1208">
        <v>-3.0247799999999998</v>
      </c>
      <c r="V1208">
        <v>0.1032993</v>
      </c>
      <c r="W1208">
        <v>1.157622E-2</v>
      </c>
      <c r="X1208">
        <v>0.99458299999999999</v>
      </c>
      <c r="Y1208">
        <v>0.22615270000000001</v>
      </c>
      <c r="Z1208">
        <v>-6.0340699999999999E-3</v>
      </c>
      <c r="AA1208">
        <v>0.97407319999999997</v>
      </c>
      <c r="AB1208">
        <v>22</v>
      </c>
      <c r="AC1208">
        <v>-8.7739999999999991</v>
      </c>
      <c r="AD1208">
        <v>2.7327659999999998</v>
      </c>
      <c r="AE1208">
        <v>-432.10124000000002</v>
      </c>
      <c r="AF1208">
        <v>97.784399151269696</v>
      </c>
      <c r="AG1208">
        <v>2.7327659999999998</v>
      </c>
      <c r="AH1208">
        <v>420.96524897410598</v>
      </c>
      <c r="AI1208">
        <v>89.637705595202803</v>
      </c>
      <c r="AJ1208">
        <v>76.922891811067004</v>
      </c>
      <c r="AK1208">
        <v>432.18167195198902</v>
      </c>
      <c r="AL1208">
        <v>89.336716668961998</v>
      </c>
      <c r="AM1208">
        <v>84.070410757625098</v>
      </c>
      <c r="AN1208">
        <v>1.00000004906948</v>
      </c>
    </row>
    <row r="1209" spans="1:40" x14ac:dyDescent="0.25">
      <c r="A1209" t="str">
        <f>"20190312154235761"</f>
        <v>20190312154235761</v>
      </c>
      <c r="B1209" t="str">
        <f>"1552376555748955"</f>
        <v>1552376555748955</v>
      </c>
      <c r="C1209" t="s">
        <v>40</v>
      </c>
      <c r="D1209">
        <v>5.0068979999999996</v>
      </c>
      <c r="E1209">
        <v>0.54512169999999904</v>
      </c>
      <c r="F1209" t="s">
        <v>43</v>
      </c>
      <c r="G1209">
        <v>-198.45249999999999</v>
      </c>
      <c r="H1209" s="1">
        <v>-5.3887109999999998E-6</v>
      </c>
      <c r="I1209">
        <v>118.41589999999999</v>
      </c>
      <c r="J1209">
        <v>-193.7714</v>
      </c>
      <c r="K1209">
        <v>1.107197</v>
      </c>
      <c r="L1209">
        <v>350.06830000000002</v>
      </c>
      <c r="M1209">
        <v>0.20102200000000001</v>
      </c>
      <c r="N1209">
        <v>0</v>
      </c>
      <c r="O1209">
        <v>-0.97948619999999997</v>
      </c>
      <c r="P1209">
        <v>0.1010297</v>
      </c>
      <c r="Q1209">
        <v>-9.3765220000000004E-4</v>
      </c>
      <c r="R1209">
        <v>-0.99488319999999997</v>
      </c>
      <c r="S1209">
        <v>-6.0516359999999998E-2</v>
      </c>
      <c r="T1209">
        <v>-1.4433980000000001E-2</v>
      </c>
      <c r="U1209">
        <v>-3.0228269999999999</v>
      </c>
      <c r="V1209">
        <v>0.1011481</v>
      </c>
      <c r="W1209">
        <v>1.2204649999999999E-2</v>
      </c>
      <c r="X1209">
        <v>0.99479649999999997</v>
      </c>
      <c r="Y1209">
        <v>0.22060850000000001</v>
      </c>
      <c r="Z1209">
        <v>4.5693239999999996E-3</v>
      </c>
      <c r="AA1209">
        <v>0.97535179999999999</v>
      </c>
      <c r="AB1209">
        <v>22</v>
      </c>
      <c r="AC1209">
        <v>-4.6810999999999803</v>
      </c>
      <c r="AD1209">
        <v>-1.1072023887109901</v>
      </c>
      <c r="AE1209">
        <v>-231.6524</v>
      </c>
      <c r="AF1209">
        <v>51.156171145910399</v>
      </c>
      <c r="AG1209">
        <v>-1.1072023887109901</v>
      </c>
      <c r="AH1209">
        <v>225.97641816432699</v>
      </c>
      <c r="AI1209">
        <v>90.273798334375499</v>
      </c>
      <c r="AJ1209">
        <v>77.244469893949301</v>
      </c>
      <c r="AK1209">
        <v>231.697046398564</v>
      </c>
      <c r="AL1209">
        <v>89.300707692316195</v>
      </c>
      <c r="AM1209">
        <v>84.194279009386506</v>
      </c>
      <c r="AN1209">
        <v>0.99999998401374102</v>
      </c>
    </row>
    <row r="1210" spans="1:40" x14ac:dyDescent="0.25">
      <c r="A1210" t="str">
        <f>"20190312154235784"</f>
        <v>20190312154235784</v>
      </c>
      <c r="B1210" t="str">
        <f>"1552376555778235"</f>
        <v>1552376555778235</v>
      </c>
      <c r="C1210" t="s">
        <v>40</v>
      </c>
      <c r="D1210">
        <v>5.1560410000000001</v>
      </c>
      <c r="E1210">
        <v>0.54325519999999905</v>
      </c>
      <c r="F1210" t="s">
        <v>43</v>
      </c>
      <c r="G1210">
        <v>-195.4854</v>
      </c>
      <c r="H1210" s="1">
        <v>-3.9117829999999997E-6</v>
      </c>
      <c r="I1210">
        <v>255.6225</v>
      </c>
      <c r="J1210">
        <v>-193.7321</v>
      </c>
      <c r="K1210">
        <v>1.1072229999999901</v>
      </c>
      <c r="L1210">
        <v>349.8433</v>
      </c>
      <c r="M1210">
        <v>0.195438</v>
      </c>
      <c r="N1210">
        <v>0</v>
      </c>
      <c r="O1210">
        <v>-0.98061609999999999</v>
      </c>
      <c r="P1210">
        <v>9.7892809999999997E-2</v>
      </c>
      <c r="Q1210">
        <v>1.206584E-4</v>
      </c>
      <c r="R1210">
        <v>-0.9951972</v>
      </c>
      <c r="S1210">
        <v>-5.4824829999999998E-2</v>
      </c>
      <c r="T1210">
        <v>-3.5415170000000003E-2</v>
      </c>
      <c r="U1210">
        <v>-3.020966</v>
      </c>
      <c r="V1210">
        <v>9.8623550000000004E-2</v>
      </c>
      <c r="W1210">
        <v>1.3273149999999999E-2</v>
      </c>
      <c r="X1210">
        <v>0.99503629999999998</v>
      </c>
      <c r="Y1210">
        <v>0.21321889999999999</v>
      </c>
      <c r="Z1210">
        <v>1.124728E-2</v>
      </c>
      <c r="AA1210">
        <v>0.97693969999999997</v>
      </c>
      <c r="AB1210">
        <v>22</v>
      </c>
      <c r="AC1210">
        <v>-1.7532999999999901</v>
      </c>
      <c r="AD1210">
        <v>-1.10722691178299</v>
      </c>
      <c r="AE1210">
        <v>-94.220799999999997</v>
      </c>
      <c r="AF1210">
        <v>20.132833542300599</v>
      </c>
      <c r="AG1210">
        <v>-1.10722691178299</v>
      </c>
      <c r="AH1210">
        <v>92.048089778363803</v>
      </c>
      <c r="AI1210">
        <v>90.673251390798896</v>
      </c>
      <c r="AJ1210">
        <v>77.662508352354706</v>
      </c>
      <c r="AK1210">
        <v>94.230609515814393</v>
      </c>
      <c r="AL1210">
        <v>89.239482199539395</v>
      </c>
      <c r="AM1210">
        <v>84.339585909403098</v>
      </c>
      <c r="AN1210">
        <v>1.0000000097216</v>
      </c>
    </row>
    <row r="1211" spans="1:40" x14ac:dyDescent="0.25">
      <c r="A1211" t="str">
        <f>"20190312154235807"</f>
        <v>20190312154235807</v>
      </c>
      <c r="B1211" t="str">
        <f>"1552376555798730"</f>
        <v>1552376555798730</v>
      </c>
      <c r="C1211" t="s">
        <v>40</v>
      </c>
      <c r="D1211">
        <v>5.1473709999999997</v>
      </c>
      <c r="E1211">
        <v>0.54201519999999903</v>
      </c>
      <c r="F1211" t="s">
        <v>49</v>
      </c>
      <c r="G1211">
        <v>-194.7159</v>
      </c>
      <c r="H1211" s="1">
        <v>2.6015399999999998E-6</v>
      </c>
      <c r="I1211">
        <v>289.86930000000001</v>
      </c>
      <c r="J1211">
        <v>-193.69309999999999</v>
      </c>
      <c r="K1211">
        <v>1.107235</v>
      </c>
      <c r="L1211">
        <v>349.61270000000002</v>
      </c>
      <c r="M1211">
        <v>0.18971759999999999</v>
      </c>
      <c r="N1211">
        <v>0</v>
      </c>
      <c r="O1211">
        <v>-0.98173909999999998</v>
      </c>
      <c r="P1211">
        <v>9.5171619999999998E-2</v>
      </c>
      <c r="Q1211">
        <v>7.6494839999999905E-4</v>
      </c>
      <c r="R1211">
        <v>-0.99546100000000004</v>
      </c>
      <c r="S1211">
        <v>-4.9530030000000003E-2</v>
      </c>
      <c r="T1211">
        <v>-5.574167E-2</v>
      </c>
      <c r="U1211">
        <v>-3.0193180000000002</v>
      </c>
      <c r="V1211">
        <v>9.554675E-2</v>
      </c>
      <c r="W1211">
        <v>1.393256E-2</v>
      </c>
      <c r="X1211">
        <v>0.99532739999999997</v>
      </c>
      <c r="Y1211">
        <v>0.20581189999999999</v>
      </c>
      <c r="Z1211">
        <v>1.7756569999999999E-2</v>
      </c>
      <c r="AA1211">
        <v>0.97843040000000003</v>
      </c>
      <c r="AB1211">
        <v>22</v>
      </c>
      <c r="AC1211">
        <v>-1.0228000000000099</v>
      </c>
      <c r="AD1211">
        <v>-1.1072323984600001</v>
      </c>
      <c r="AE1211">
        <v>-59.743400000000001</v>
      </c>
      <c r="AF1211">
        <v>12.3354682147032</v>
      </c>
      <c r="AG1211">
        <v>-1.1072323984600001</v>
      </c>
      <c r="AH1211">
        <v>58.444037527181003</v>
      </c>
      <c r="AI1211">
        <v>91.061957688846505</v>
      </c>
      <c r="AJ1211">
        <v>78.081811911513398</v>
      </c>
      <c r="AK1211">
        <v>59.741905411015303</v>
      </c>
      <c r="AL1211">
        <v>89.201697257913196</v>
      </c>
      <c r="AM1211">
        <v>84.516676521385506</v>
      </c>
      <c r="AN1211">
        <v>0.99999996542723701</v>
      </c>
    </row>
    <row r="1212" spans="1:40" x14ac:dyDescent="0.25">
      <c r="A1212" t="str">
        <f>"20190312154235829"</f>
        <v>20190312154235829</v>
      </c>
      <c r="B1212" t="str">
        <f>"1552376555818251"</f>
        <v>1552376555818251</v>
      </c>
      <c r="C1212" t="s">
        <v>40</v>
      </c>
      <c r="D1212">
        <v>5.2373469999999998</v>
      </c>
      <c r="E1212">
        <v>0.54093340000000001</v>
      </c>
      <c r="F1212" t="s">
        <v>49</v>
      </c>
      <c r="G1212">
        <v>-194.49860000000001</v>
      </c>
      <c r="H1212" s="1">
        <v>1.176356E-7</v>
      </c>
      <c r="I1212">
        <v>298.94839999999999</v>
      </c>
      <c r="J1212">
        <v>-193.65819999999999</v>
      </c>
      <c r="K1212">
        <v>1.1072329999999999</v>
      </c>
      <c r="L1212">
        <v>349.39909999999998</v>
      </c>
      <c r="M1212">
        <v>0.18440390000000001</v>
      </c>
      <c r="N1212">
        <v>0</v>
      </c>
      <c r="O1212">
        <v>-0.98275129999999999</v>
      </c>
      <c r="P1212">
        <v>9.3001130000000001E-2</v>
      </c>
      <c r="Q1212">
        <v>4.3315360000000002E-4</v>
      </c>
      <c r="R1212">
        <v>-0.99566650000000001</v>
      </c>
      <c r="S1212">
        <v>-4.7988889999999999E-2</v>
      </c>
      <c r="T1212">
        <v>-6.5962430000000002E-2</v>
      </c>
      <c r="U1212">
        <v>-3.0182799999999999</v>
      </c>
      <c r="V1212">
        <v>9.2328839999999995E-2</v>
      </c>
      <c r="W1212">
        <v>1.361883E-2</v>
      </c>
      <c r="X1212">
        <v>0.99563539999999995</v>
      </c>
      <c r="Y1212">
        <v>0.20001930000000001</v>
      </c>
      <c r="Z1212">
        <v>2.1064599999999999E-2</v>
      </c>
      <c r="AA1212">
        <v>0.97956549999999998</v>
      </c>
      <c r="AB1212">
        <v>22</v>
      </c>
      <c r="AC1212">
        <v>-0.84040000000001602</v>
      </c>
      <c r="AD1212">
        <v>-1.1072328823644</v>
      </c>
      <c r="AE1212">
        <v>-50.450699999999898</v>
      </c>
      <c r="AF1212">
        <v>10.1253225549407</v>
      </c>
      <c r="AG1212">
        <v>-1.1072328823644</v>
      </c>
      <c r="AH1212">
        <v>49.406549023136201</v>
      </c>
      <c r="AI1212">
        <v>91.257689625774006</v>
      </c>
      <c r="AJ1212">
        <v>78.418234797424105</v>
      </c>
      <c r="AK1212">
        <v>50.445566781164601</v>
      </c>
      <c r="AL1212">
        <v>89.219674371734399</v>
      </c>
      <c r="AM1212">
        <v>84.701909297590703</v>
      </c>
      <c r="AN1212">
        <v>0.99999996847973605</v>
      </c>
    </row>
    <row r="1213" spans="1:40" x14ac:dyDescent="0.25">
      <c r="A1213" t="str">
        <f>"20190312154235850"</f>
        <v>20190312154235850</v>
      </c>
      <c r="B1213" t="str">
        <f>"1552376555838750"</f>
        <v>1552376555838750</v>
      </c>
      <c r="C1213" t="s">
        <v>40</v>
      </c>
      <c r="D1213">
        <v>5.1830850000000002</v>
      </c>
      <c r="E1213">
        <v>0.53997609999999996</v>
      </c>
      <c r="F1213" t="s">
        <v>43</v>
      </c>
      <c r="G1213">
        <v>-194.3048</v>
      </c>
      <c r="H1213" s="1">
        <v>-4.2150649999999998E-6</v>
      </c>
      <c r="I1213">
        <v>307.12909999999999</v>
      </c>
      <c r="J1213">
        <v>-193.624</v>
      </c>
      <c r="K1213">
        <v>1.1072310000000001</v>
      </c>
      <c r="L1213">
        <v>349.18209999999999</v>
      </c>
      <c r="M1213">
        <v>0.17899179999999901</v>
      </c>
      <c r="N1213">
        <v>0</v>
      </c>
      <c r="O1213">
        <v>-0.9837515</v>
      </c>
      <c r="P1213">
        <v>9.0694070000000002E-2</v>
      </c>
      <c r="Q1213">
        <v>2.307678E-4</v>
      </c>
      <c r="R1213">
        <v>-0.99587899999999996</v>
      </c>
      <c r="S1213">
        <v>-4.6157839999999999E-2</v>
      </c>
      <c r="T1213">
        <v>-7.9038860000000002E-2</v>
      </c>
      <c r="U1213">
        <v>-3.017395</v>
      </c>
      <c r="V1213">
        <v>8.9153159999999995E-2</v>
      </c>
      <c r="W1213">
        <v>1.343479E-2</v>
      </c>
      <c r="X1213">
        <v>0.99592729999999996</v>
      </c>
      <c r="Y1213">
        <v>0.19403119999999999</v>
      </c>
      <c r="Z1213">
        <v>2.5300449999999999E-2</v>
      </c>
      <c r="AA1213">
        <v>0.98066909999999896</v>
      </c>
      <c r="AB1213">
        <v>22</v>
      </c>
      <c r="AC1213">
        <v>-0.68079999999997598</v>
      </c>
      <c r="AD1213">
        <v>-1.10723521506499</v>
      </c>
      <c r="AE1213">
        <v>-42.052999999999997</v>
      </c>
      <c r="AF1213">
        <v>8.1920016146979098</v>
      </c>
      <c r="AG1213">
        <v>-1.10723521506499</v>
      </c>
      <c r="AH1213">
        <v>41.223294557897297</v>
      </c>
      <c r="AI1213">
        <v>91.509068952021707</v>
      </c>
      <c r="AJ1213">
        <v>78.760457634499403</v>
      </c>
      <c r="AK1213">
        <v>42.043963591505701</v>
      </c>
      <c r="AL1213">
        <v>89.230220063517507</v>
      </c>
      <c r="AM1213">
        <v>84.884646129091394</v>
      </c>
      <c r="AN1213">
        <v>0.99999998320280903</v>
      </c>
    </row>
    <row r="1214" spans="1:40" x14ac:dyDescent="0.25">
      <c r="A1214" t="str">
        <f>"20190312154235872"</f>
        <v>20190312154235872</v>
      </c>
      <c r="B1214" t="str">
        <f>"1552376555868533"</f>
        <v>1552376555868533</v>
      </c>
      <c r="C1214" t="s">
        <v>40</v>
      </c>
      <c r="D1214">
        <v>5.1877979999999999</v>
      </c>
      <c r="E1214">
        <v>0.53871449999999999</v>
      </c>
      <c r="F1214" t="s">
        <v>43</v>
      </c>
      <c r="G1214">
        <v>-194.1876</v>
      </c>
      <c r="H1214" s="1">
        <v>-2.2255889999999998E-6</v>
      </c>
      <c r="I1214">
        <v>311.9427</v>
      </c>
      <c r="J1214">
        <v>-193.59190000000001</v>
      </c>
      <c r="K1214">
        <v>1.1072280000000001</v>
      </c>
      <c r="L1214">
        <v>348.97050000000002</v>
      </c>
      <c r="M1214">
        <v>0.173702</v>
      </c>
      <c r="N1214">
        <v>0</v>
      </c>
      <c r="O1214">
        <v>-0.9846992</v>
      </c>
      <c r="P1214">
        <v>8.8777800000000004E-2</v>
      </c>
      <c r="Q1214">
        <v>5.7238089999999905E-4</v>
      </c>
      <c r="R1214">
        <v>-0.99605140000000003</v>
      </c>
      <c r="S1214">
        <v>-4.5654300000000002E-2</v>
      </c>
      <c r="T1214">
        <v>-8.969307E-2</v>
      </c>
      <c r="U1214">
        <v>-3.016632</v>
      </c>
      <c r="V1214">
        <v>8.5718859999999994E-2</v>
      </c>
      <c r="W1214">
        <v>1.379762E-2</v>
      </c>
      <c r="X1214">
        <v>0.99622379999999999</v>
      </c>
      <c r="Y1214">
        <v>0.1885944</v>
      </c>
      <c r="Z1214">
        <v>2.8773380000000001E-2</v>
      </c>
      <c r="AA1214">
        <v>0.98163350000000005</v>
      </c>
      <c r="AB1214">
        <v>22</v>
      </c>
      <c r="AC1214">
        <v>-0.59569999999999301</v>
      </c>
      <c r="AD1214">
        <v>-1.1072302255890001</v>
      </c>
      <c r="AE1214">
        <v>-37.027799999999999</v>
      </c>
      <c r="AF1214">
        <v>7.0128039598463499</v>
      </c>
      <c r="AG1214">
        <v>-1.1072302255890001</v>
      </c>
      <c r="AH1214">
        <v>36.328842237082</v>
      </c>
      <c r="AI1214">
        <v>91.714095157739294</v>
      </c>
      <c r="AJ1214">
        <v>79.074192662858394</v>
      </c>
      <c r="AK1214">
        <v>37.016079701103997</v>
      </c>
      <c r="AL1214">
        <v>89.209429504256306</v>
      </c>
      <c r="AM1214">
        <v>85.082167213290006</v>
      </c>
      <c r="AN1214">
        <v>0.99999997848190103</v>
      </c>
    </row>
    <row r="1215" spans="1:40" x14ac:dyDescent="0.25">
      <c r="A1215" t="str">
        <f>"20190312154235893"</f>
        <v>20190312154235893</v>
      </c>
      <c r="B1215" t="str">
        <f>"1552376555888053"</f>
        <v>1552376555888053</v>
      </c>
      <c r="C1215" t="s">
        <v>40</v>
      </c>
      <c r="D1215">
        <v>5.1932260000000001</v>
      </c>
      <c r="E1215">
        <v>0.53798230000000002</v>
      </c>
      <c r="F1215" t="s">
        <v>43</v>
      </c>
      <c r="G1215">
        <v>-194.05070000000001</v>
      </c>
      <c r="H1215" s="1">
        <v>-3.913628E-6</v>
      </c>
      <c r="I1215">
        <v>315.60629999999998</v>
      </c>
      <c r="J1215">
        <v>-193.56100000000001</v>
      </c>
      <c r="K1215">
        <v>1.107237</v>
      </c>
      <c r="L1215">
        <v>348.7595</v>
      </c>
      <c r="M1215">
        <v>0.1684196</v>
      </c>
      <c r="N1215">
        <v>0</v>
      </c>
      <c r="O1215">
        <v>-0.98561659999999995</v>
      </c>
      <c r="P1215">
        <v>8.6609240000000004E-2</v>
      </c>
      <c r="Q1215">
        <v>1.6758280000000001E-3</v>
      </c>
      <c r="R1215">
        <v>-0.99624120000000005</v>
      </c>
      <c r="S1215">
        <v>-4.1473389999999999E-2</v>
      </c>
      <c r="T1215">
        <v>-0.10007820000000001</v>
      </c>
      <c r="U1215">
        <v>-3.0156559999999999</v>
      </c>
      <c r="V1215">
        <v>8.255403E-2</v>
      </c>
      <c r="W1215">
        <v>1.492141E-2</v>
      </c>
      <c r="X1215">
        <v>0.99647490000000005</v>
      </c>
      <c r="Y1215">
        <v>0.18196699999999999</v>
      </c>
      <c r="Z1215">
        <v>3.217859E-2</v>
      </c>
      <c r="AA1215">
        <v>0.98277800000000004</v>
      </c>
      <c r="AB1215">
        <v>22</v>
      </c>
      <c r="AC1215">
        <v>-0.489700000000027</v>
      </c>
      <c r="AD1215">
        <v>-1.1072409136279999</v>
      </c>
      <c r="AE1215">
        <v>-33.153199999999998</v>
      </c>
      <c r="AF1215">
        <v>6.0601378976999198</v>
      </c>
      <c r="AG1215">
        <v>-1.1072409136279999</v>
      </c>
      <c r="AH1215">
        <v>32.5607330312505</v>
      </c>
      <c r="AI1215">
        <v>91.914759591139699</v>
      </c>
      <c r="AJ1215">
        <v>79.456858414489901</v>
      </c>
      <c r="AK1215">
        <v>33.138385436111903</v>
      </c>
      <c r="AL1215">
        <v>89.145034472729094</v>
      </c>
      <c r="AM1215">
        <v>85.264084979952401</v>
      </c>
      <c r="AN1215">
        <v>1.00000002133781</v>
      </c>
    </row>
    <row r="1216" spans="1:40" x14ac:dyDescent="0.25">
      <c r="A1216" t="str">
        <f>"20190312154235918"</f>
        <v>20190312154235918</v>
      </c>
      <c r="B1216" t="str">
        <f>"1552376555908548"</f>
        <v>1552376555908548</v>
      </c>
      <c r="C1216" t="s">
        <v>40</v>
      </c>
      <c r="D1216">
        <v>5.2133960000000004</v>
      </c>
      <c r="E1216">
        <v>0.53726850000000004</v>
      </c>
      <c r="F1216" t="s">
        <v>43</v>
      </c>
      <c r="G1216">
        <v>-194.01349999999999</v>
      </c>
      <c r="H1216" s="1">
        <v>-4.219638E-6</v>
      </c>
      <c r="I1216">
        <v>316.42039999999997</v>
      </c>
      <c r="J1216">
        <v>-193.5283</v>
      </c>
      <c r="K1216">
        <v>1.107246</v>
      </c>
      <c r="L1216">
        <v>348.52699999999999</v>
      </c>
      <c r="M1216">
        <v>0.1626051</v>
      </c>
      <c r="N1216">
        <v>0</v>
      </c>
      <c r="O1216">
        <v>-0.98659280000000005</v>
      </c>
      <c r="P1216">
        <v>8.3739510000000003E-2</v>
      </c>
      <c r="Q1216">
        <v>2.5099860000000001E-3</v>
      </c>
      <c r="R1216">
        <v>-0.9964847</v>
      </c>
      <c r="S1216">
        <v>-4.219055E-2</v>
      </c>
      <c r="T1216">
        <v>-0.1032346</v>
      </c>
      <c r="U1216">
        <v>-3.0151669999999999</v>
      </c>
      <c r="V1216">
        <v>7.9553970000000002E-2</v>
      </c>
      <c r="W1216">
        <v>1.577485E-2</v>
      </c>
      <c r="X1216">
        <v>0.99670570000000003</v>
      </c>
      <c r="Y1216">
        <v>0.17640159999999999</v>
      </c>
      <c r="Z1216">
        <v>3.3265089999999997E-2</v>
      </c>
      <c r="AA1216">
        <v>0.98375599999999996</v>
      </c>
      <c r="AB1216">
        <v>22</v>
      </c>
      <c r="AC1216">
        <v>-0.48519999999999103</v>
      </c>
      <c r="AD1216">
        <v>-1.1072502196380001</v>
      </c>
      <c r="AE1216">
        <v>-32.1066</v>
      </c>
      <c r="AF1216">
        <v>5.6931757756667603</v>
      </c>
      <c r="AG1216">
        <v>-1.1072502196380001</v>
      </c>
      <c r="AH1216">
        <v>31.562783345889599</v>
      </c>
      <c r="AI1216">
        <v>91.977279870288498</v>
      </c>
      <c r="AJ1216">
        <v>79.775147928571201</v>
      </c>
      <c r="AK1216">
        <v>32.091237838405199</v>
      </c>
      <c r="AL1216">
        <v>89.096130151990906</v>
      </c>
      <c r="AM1216">
        <v>85.436502416733205</v>
      </c>
      <c r="AN1216">
        <v>0.99999996622388598</v>
      </c>
    </row>
    <row r="1217" spans="1:40" x14ac:dyDescent="0.25">
      <c r="A1217" t="str">
        <f>"20190312154235939"</f>
        <v>20190312154235939</v>
      </c>
      <c r="B1217" t="str">
        <f>"1552376555928072"</f>
        <v>1552376555928072</v>
      </c>
      <c r="C1217" t="s">
        <v>40</v>
      </c>
      <c r="D1217">
        <v>5.2251399999999997</v>
      </c>
      <c r="E1217">
        <v>0.5366185</v>
      </c>
      <c r="F1217" t="s">
        <v>43</v>
      </c>
      <c r="G1217">
        <v>-193.99619999999999</v>
      </c>
      <c r="H1217" s="1">
        <v>-4.532375E-6</v>
      </c>
      <c r="I1217">
        <v>317.24279999999999</v>
      </c>
      <c r="J1217">
        <v>-193.49879999999999</v>
      </c>
      <c r="K1217">
        <v>1.10727</v>
      </c>
      <c r="L1217">
        <v>348.30889999999999</v>
      </c>
      <c r="M1217">
        <v>0.15717929999999999</v>
      </c>
      <c r="N1217">
        <v>0</v>
      </c>
      <c r="O1217">
        <v>-0.98747180000000001</v>
      </c>
      <c r="P1217">
        <v>8.0859390000000003E-2</v>
      </c>
      <c r="Q1217">
        <v>3.1289170000000002E-3</v>
      </c>
      <c r="R1217">
        <v>-0.99672070000000001</v>
      </c>
      <c r="S1217">
        <v>-4.508972E-2</v>
      </c>
      <c r="T1217">
        <v>-0.1066971</v>
      </c>
      <c r="U1217">
        <v>-3.014618</v>
      </c>
      <c r="V1217">
        <v>7.6958750000000006E-2</v>
      </c>
      <c r="W1217">
        <v>1.6413250000000001E-2</v>
      </c>
      <c r="X1217">
        <v>0.99689919999999999</v>
      </c>
      <c r="Y1217">
        <v>0.1719367</v>
      </c>
      <c r="Z1217">
        <v>3.4446039999999997E-2</v>
      </c>
      <c r="AA1217">
        <v>0.98450559999999998</v>
      </c>
      <c r="AB1217">
        <v>22</v>
      </c>
      <c r="AC1217">
        <v>-0.49739999999999901</v>
      </c>
      <c r="AD1217">
        <v>-1.107274532375</v>
      </c>
      <c r="AE1217">
        <v>-31.066099999999999</v>
      </c>
      <c r="AF1217">
        <v>5.3678205117062996</v>
      </c>
      <c r="AG1217">
        <v>-1.107274532375</v>
      </c>
      <c r="AH1217">
        <v>30.562870100177101</v>
      </c>
      <c r="AI1217">
        <v>92.043631340162506</v>
      </c>
      <c r="AJ1217">
        <v>80.038618777089994</v>
      </c>
      <c r="AK1217">
        <v>31.050420008370899</v>
      </c>
      <c r="AL1217">
        <v>89.059547845915901</v>
      </c>
      <c r="AM1217">
        <v>85.585628527434096</v>
      </c>
      <c r="AN1217">
        <v>1.00000002946888</v>
      </c>
    </row>
    <row r="1218" spans="1:40" x14ac:dyDescent="0.25">
      <c r="A1218" t="str">
        <f>"20190312154235962"</f>
        <v>20190312154235962</v>
      </c>
      <c r="B1218" t="str">
        <f>"1552376555948565"</f>
        <v>1552376555948565</v>
      </c>
      <c r="C1218" t="s">
        <v>40</v>
      </c>
      <c r="D1218">
        <v>5.2194399999999996</v>
      </c>
      <c r="E1218">
        <v>0.53597229999999996</v>
      </c>
      <c r="F1218" t="s">
        <v>43</v>
      </c>
      <c r="G1218">
        <v>-193.98560000000001</v>
      </c>
      <c r="H1218" s="1">
        <v>-4.8640369999999999E-6</v>
      </c>
      <c r="I1218">
        <v>318.1114</v>
      </c>
      <c r="J1218">
        <v>-193.47059999999999</v>
      </c>
      <c r="K1218">
        <v>1.107313</v>
      </c>
      <c r="L1218">
        <v>348.0915</v>
      </c>
      <c r="M1218">
        <v>0.1518253</v>
      </c>
      <c r="N1218">
        <v>0</v>
      </c>
      <c r="O1218">
        <v>-0.98830910000000005</v>
      </c>
      <c r="P1218">
        <v>7.7627189999999999E-2</v>
      </c>
      <c r="Q1218">
        <v>3.186422E-3</v>
      </c>
      <c r="R1218">
        <v>-0.99697760000000002</v>
      </c>
      <c r="S1218">
        <v>-4.8583979999999999E-2</v>
      </c>
      <c r="T1218">
        <v>-0.1105223</v>
      </c>
      <c r="U1218">
        <v>-3.01416</v>
      </c>
      <c r="V1218">
        <v>7.4786599999999995E-2</v>
      </c>
      <c r="W1218">
        <v>1.6488590000000001E-2</v>
      </c>
      <c r="X1218">
        <v>0.99706320000000004</v>
      </c>
      <c r="Y1218">
        <v>0.16773879999999999</v>
      </c>
      <c r="Z1218">
        <v>3.5743709999999998E-2</v>
      </c>
      <c r="AA1218">
        <v>0.98518329999999998</v>
      </c>
      <c r="AB1218">
        <v>22</v>
      </c>
      <c r="AC1218">
        <v>-0.515000000000014</v>
      </c>
      <c r="AD1218">
        <v>-1.1073178640369901</v>
      </c>
      <c r="AE1218">
        <v>-29.9801</v>
      </c>
      <c r="AF1218">
        <v>5.0543152637029003</v>
      </c>
      <c r="AG1218">
        <v>-1.1073178640369901</v>
      </c>
      <c r="AH1218">
        <v>29.514034290348398</v>
      </c>
      <c r="AI1218">
        <v>92.117833574662498</v>
      </c>
      <c r="AJ1218">
        <v>80.282291462510798</v>
      </c>
      <c r="AK1218">
        <v>29.964153178903199</v>
      </c>
      <c r="AL1218">
        <v>89.055230538724402</v>
      </c>
      <c r="AM1218">
        <v>85.710454669638096</v>
      </c>
      <c r="AN1218">
        <v>0.999999966966993</v>
      </c>
    </row>
    <row r="1219" spans="1:40" x14ac:dyDescent="0.25">
      <c r="A1219" t="str">
        <f>"20190312154235985"</f>
        <v>20190312154235985</v>
      </c>
      <c r="B1219" t="str">
        <f>"1552376555978820"</f>
        <v>1552376555978820</v>
      </c>
      <c r="C1219" t="s">
        <v>40</v>
      </c>
      <c r="D1219">
        <v>5.2281810000000002</v>
      </c>
      <c r="E1219">
        <v>0.5351764</v>
      </c>
      <c r="F1219" t="s">
        <v>43</v>
      </c>
      <c r="G1219">
        <v>-193.97980000000001</v>
      </c>
      <c r="H1219" s="1">
        <v>-5.2848520000000004E-6</v>
      </c>
      <c r="I1219">
        <v>319.20979999999997</v>
      </c>
      <c r="J1219">
        <v>-193.44210000000001</v>
      </c>
      <c r="K1219">
        <v>1.10738</v>
      </c>
      <c r="L1219">
        <v>347.86250000000001</v>
      </c>
      <c r="M1219">
        <v>0.1462773</v>
      </c>
      <c r="N1219">
        <v>0</v>
      </c>
      <c r="O1219">
        <v>-0.98914559999999996</v>
      </c>
      <c r="P1219">
        <v>7.3949799999999996E-2</v>
      </c>
      <c r="Q1219">
        <v>2.4995400000000002E-3</v>
      </c>
      <c r="R1219">
        <v>-0.9972588</v>
      </c>
      <c r="S1219">
        <v>-5.3131100000000001E-2</v>
      </c>
      <c r="T1219">
        <v>-0.11554150000000001</v>
      </c>
      <c r="U1219">
        <v>-3.013611</v>
      </c>
      <c r="V1219">
        <v>7.286078E-2</v>
      </c>
      <c r="W1219">
        <v>1.5820150000000002E-2</v>
      </c>
      <c r="X1219">
        <v>0.99721660000000001</v>
      </c>
      <c r="Y1219">
        <v>0.16369349999999999</v>
      </c>
      <c r="Z1219">
        <v>3.743204E-2</v>
      </c>
      <c r="AA1219">
        <v>0.98580080000000003</v>
      </c>
      <c r="AB1219">
        <v>22</v>
      </c>
      <c r="AC1219">
        <v>-0.53770000000000095</v>
      </c>
      <c r="AD1219">
        <v>-1.1073852848520001</v>
      </c>
      <c r="AE1219">
        <v>-28.652699999999999</v>
      </c>
      <c r="AF1219">
        <v>4.7165186009525799</v>
      </c>
      <c r="AG1219">
        <v>-1.1073852848520001</v>
      </c>
      <c r="AH1219">
        <v>28.223636705757102</v>
      </c>
      <c r="AI1219">
        <v>92.216208934531394</v>
      </c>
      <c r="AJ1219">
        <v>80.512833288776804</v>
      </c>
      <c r="AK1219">
        <v>28.636436907911499</v>
      </c>
      <c r="AL1219">
        <v>89.093534322488793</v>
      </c>
      <c r="AM1219">
        <v>85.8211582686355</v>
      </c>
      <c r="AN1219">
        <v>0.99999995886189397</v>
      </c>
    </row>
    <row r="1220" spans="1:40" x14ac:dyDescent="0.25">
      <c r="A1220" t="str">
        <f>"20190312154236008"</f>
        <v>20190312154236008</v>
      </c>
      <c r="B1220" t="str">
        <f>"1552376555998341"</f>
        <v>1552376555998341</v>
      </c>
      <c r="C1220" t="s">
        <v>40</v>
      </c>
      <c r="D1220">
        <v>5.2097179999999996</v>
      </c>
      <c r="E1220">
        <v>0.53465940000000001</v>
      </c>
      <c r="F1220" t="s">
        <v>43</v>
      </c>
      <c r="G1220">
        <v>-193.95269999999999</v>
      </c>
      <c r="H1220" s="1">
        <v>-1.744109E-6</v>
      </c>
      <c r="I1220">
        <v>321.20310000000001</v>
      </c>
      <c r="J1220">
        <v>-193.4162</v>
      </c>
      <c r="K1220">
        <v>1.1074630000000001</v>
      </c>
      <c r="L1220">
        <v>347.6465</v>
      </c>
      <c r="M1220">
        <v>0.141166299999999</v>
      </c>
      <c r="N1220">
        <v>0</v>
      </c>
      <c r="O1220">
        <v>-0.9898884</v>
      </c>
      <c r="P1220">
        <v>7.1404049999999997E-2</v>
      </c>
      <c r="Q1220">
        <v>1.5368109999999999E-3</v>
      </c>
      <c r="R1220">
        <v>-0.99744670000000002</v>
      </c>
      <c r="S1220">
        <v>-5.7708740000000001E-2</v>
      </c>
      <c r="T1220">
        <v>-0.12514819999999999</v>
      </c>
      <c r="U1220">
        <v>-3.012848</v>
      </c>
      <c r="V1220">
        <v>7.0244490000000007E-2</v>
      </c>
      <c r="W1220">
        <v>1.4883749999999999E-2</v>
      </c>
      <c r="X1220">
        <v>0.99741880000000005</v>
      </c>
      <c r="Y1220">
        <v>0.16009619999999999</v>
      </c>
      <c r="Z1220">
        <v>4.0607339999999999E-2</v>
      </c>
      <c r="AA1220">
        <v>0.98626579999999997</v>
      </c>
      <c r="AB1220">
        <v>22</v>
      </c>
      <c r="AC1220">
        <v>-0.53649999999998899</v>
      </c>
      <c r="AD1220">
        <v>-1.10746474410899</v>
      </c>
      <c r="AE1220">
        <v>-26.4434</v>
      </c>
      <c r="AF1220">
        <v>4.25694013968831</v>
      </c>
      <c r="AG1220">
        <v>-1.10746474410899</v>
      </c>
      <c r="AH1220">
        <v>26.0571137330803</v>
      </c>
      <c r="AI1220">
        <v>92.401884609584201</v>
      </c>
      <c r="AJ1220">
        <v>80.721578099126106</v>
      </c>
      <c r="AK1220">
        <v>26.425767606845799</v>
      </c>
      <c r="AL1220">
        <v>89.147192486014404</v>
      </c>
      <c r="AM1220">
        <v>85.971523156826294</v>
      </c>
      <c r="AN1220">
        <v>1.00000003849143</v>
      </c>
    </row>
    <row r="1221" spans="1:40" x14ac:dyDescent="0.25">
      <c r="A1221" t="str">
        <f>"20190312154236042"</f>
        <v>20190312154236042</v>
      </c>
      <c r="B1221" t="str">
        <f>"1552376556038357"</f>
        <v>1552376556038357</v>
      </c>
      <c r="C1221" t="s">
        <v>40</v>
      </c>
      <c r="D1221">
        <v>5.2353670000000001</v>
      </c>
      <c r="E1221">
        <v>0.53370209999999996</v>
      </c>
      <c r="F1221" t="s">
        <v>43</v>
      </c>
      <c r="G1221">
        <v>-193.9256</v>
      </c>
      <c r="H1221" s="1">
        <v>-2.2633309999999998E-6</v>
      </c>
      <c r="I1221">
        <v>322.43020000000001</v>
      </c>
      <c r="J1221">
        <v>-193.37880000000001</v>
      </c>
      <c r="K1221">
        <v>1.1076189999999999</v>
      </c>
      <c r="L1221">
        <v>347.31689999999998</v>
      </c>
      <c r="M1221">
        <v>0.13367200000000001</v>
      </c>
      <c r="N1221">
        <v>0</v>
      </c>
      <c r="O1221">
        <v>-0.99092829999999998</v>
      </c>
      <c r="P1221">
        <v>6.4880859999999999E-2</v>
      </c>
      <c r="Q1221">
        <v>-4.441259E-4</v>
      </c>
      <c r="R1221">
        <v>-0.99789309999999998</v>
      </c>
      <c r="S1221">
        <v>-6.0852049999999998E-2</v>
      </c>
      <c r="T1221">
        <v>-0.13229440000000001</v>
      </c>
      <c r="U1221">
        <v>-3.0122680000000002</v>
      </c>
      <c r="V1221">
        <v>6.9198330000000002E-2</v>
      </c>
      <c r="W1221">
        <v>1.291985E-2</v>
      </c>
      <c r="X1221">
        <v>0.9975193</v>
      </c>
      <c r="Y1221">
        <v>0.15365400000000001</v>
      </c>
      <c r="Z1221">
        <v>4.3020490000000002E-2</v>
      </c>
      <c r="AA1221">
        <v>0.9871877</v>
      </c>
      <c r="AB1221">
        <v>22</v>
      </c>
      <c r="AC1221">
        <v>-0.54679999999998996</v>
      </c>
      <c r="AD1221">
        <v>-1.1076212633310001</v>
      </c>
      <c r="AE1221">
        <v>-24.886699999999902</v>
      </c>
      <c r="AF1221">
        <v>3.86122297961162</v>
      </c>
      <c r="AG1221">
        <v>-1.1076212633310001</v>
      </c>
      <c r="AH1221">
        <v>24.541625907958501</v>
      </c>
      <c r="AI1221">
        <v>92.552779457645897</v>
      </c>
      <c r="AJ1221">
        <v>81.058743395440104</v>
      </c>
      <c r="AK1221">
        <v>24.868197963814101</v>
      </c>
      <c r="AL1221">
        <v>89.259726558928094</v>
      </c>
      <c r="AM1221">
        <v>86.031725173510907</v>
      </c>
      <c r="AN1221">
        <v>1.0000000426356399</v>
      </c>
    </row>
    <row r="1222" spans="1:40" x14ac:dyDescent="0.25">
      <c r="A1222" t="str">
        <f>"20190312154236062"</f>
        <v>20190312154236062</v>
      </c>
      <c r="B1222" t="str">
        <f>"1552376556058852"</f>
        <v>1552376556058852</v>
      </c>
      <c r="C1222" t="s">
        <v>40</v>
      </c>
      <c r="D1222">
        <v>5.1611409999999998</v>
      </c>
      <c r="E1222">
        <v>0.53322849999999999</v>
      </c>
      <c r="F1222" t="s">
        <v>43</v>
      </c>
      <c r="G1222">
        <v>-193.9374</v>
      </c>
      <c r="H1222" s="1">
        <v>-2.9996710000000001E-6</v>
      </c>
      <c r="I1222">
        <v>324.13929999999999</v>
      </c>
      <c r="J1222">
        <v>-193.3562</v>
      </c>
      <c r="K1222">
        <v>1.107721</v>
      </c>
      <c r="L1222">
        <v>347.1087</v>
      </c>
      <c r="M1222">
        <v>0.12911249999999999</v>
      </c>
      <c r="N1222">
        <v>0</v>
      </c>
      <c r="O1222">
        <v>-0.99153279999999999</v>
      </c>
      <c r="P1222">
        <v>6.0820939999999997E-2</v>
      </c>
      <c r="Q1222">
        <v>-2.056469E-3</v>
      </c>
      <c r="R1222">
        <v>-0.9981468</v>
      </c>
      <c r="S1222">
        <v>-7.2570800000000005E-2</v>
      </c>
      <c r="T1222">
        <v>-0.14388899999999999</v>
      </c>
      <c r="U1222">
        <v>-3.0109560000000002</v>
      </c>
      <c r="V1222">
        <v>6.8652909999999998E-2</v>
      </c>
      <c r="W1222">
        <v>1.1317310000000001E-2</v>
      </c>
      <c r="X1222">
        <v>0.99757640000000003</v>
      </c>
      <c r="Y1222">
        <v>0.15295349999999999</v>
      </c>
      <c r="Z1222">
        <v>4.6846819999999997E-2</v>
      </c>
      <c r="AA1222">
        <v>0.98712239999999996</v>
      </c>
      <c r="AB1222">
        <v>22</v>
      </c>
      <c r="AC1222">
        <v>-0.58119999999999505</v>
      </c>
      <c r="AD1222">
        <v>-1.107723999671</v>
      </c>
      <c r="AE1222">
        <v>-22.9694</v>
      </c>
      <c r="AF1222">
        <v>3.5340427226939499</v>
      </c>
      <c r="AG1222">
        <v>-1.107723999671</v>
      </c>
      <c r="AH1222">
        <v>22.649417133039499</v>
      </c>
      <c r="AI1222">
        <v>92.766534626452497</v>
      </c>
      <c r="AJ1222">
        <v>81.131512157297394</v>
      </c>
      <c r="AK1222">
        <v>22.950220192662599</v>
      </c>
      <c r="AL1222">
        <v>89.351552051361907</v>
      </c>
      <c r="AM1222">
        <v>86.063128936251104</v>
      </c>
      <c r="AN1222">
        <v>0.99999998869703199</v>
      </c>
    </row>
    <row r="1223" spans="1:40" x14ac:dyDescent="0.25">
      <c r="A1223" t="str">
        <f>"20190312154236085"</f>
        <v>20190312154236085</v>
      </c>
      <c r="B1223" t="str">
        <f>"1552376556078372"</f>
        <v>1552376556078372</v>
      </c>
      <c r="C1223" t="s">
        <v>40</v>
      </c>
      <c r="D1223">
        <v>5.1887939999999997</v>
      </c>
      <c r="E1223">
        <v>0.53276579999999996</v>
      </c>
      <c r="F1223" t="s">
        <v>43</v>
      </c>
      <c r="G1223">
        <v>-193.95</v>
      </c>
      <c r="H1223" s="1">
        <v>-3.3798440000000002E-6</v>
      </c>
      <c r="I1223">
        <v>325.01769999999999</v>
      </c>
      <c r="J1223">
        <v>-193.33349999999999</v>
      </c>
      <c r="K1223">
        <v>1.107818</v>
      </c>
      <c r="L1223">
        <v>346.89210000000003</v>
      </c>
      <c r="M1223">
        <v>0.124514</v>
      </c>
      <c r="N1223">
        <v>0</v>
      </c>
      <c r="O1223">
        <v>-0.99212100000000003</v>
      </c>
      <c r="P1223">
        <v>5.6997850000000003E-2</v>
      </c>
      <c r="Q1223">
        <v>-3.3906309999999999E-3</v>
      </c>
      <c r="R1223">
        <v>-0.99836879999999995</v>
      </c>
      <c r="S1223">
        <v>-8.0917359999999994E-2</v>
      </c>
      <c r="T1223">
        <v>-0.1509421</v>
      </c>
      <c r="U1223">
        <v>-3.0101930000000001</v>
      </c>
      <c r="V1223">
        <v>6.7835820000000005E-2</v>
      </c>
      <c r="W1223">
        <v>9.9932130000000008E-3</v>
      </c>
      <c r="X1223">
        <v>0.99764649999999999</v>
      </c>
      <c r="Y1223">
        <v>0.15110950000000001</v>
      </c>
      <c r="Z1223">
        <v>4.9199489999999999E-2</v>
      </c>
      <c r="AA1223">
        <v>0.9872919</v>
      </c>
      <c r="AB1223">
        <v>22</v>
      </c>
      <c r="AC1223">
        <v>-0.61650000000000205</v>
      </c>
      <c r="AD1223">
        <v>-1.107821379844</v>
      </c>
      <c r="AE1223">
        <v>-21.874400000000001</v>
      </c>
      <c r="AF1223">
        <v>3.3271053274769802</v>
      </c>
      <c r="AG1223">
        <v>-1.107821379844</v>
      </c>
      <c r="AH1223">
        <v>21.5720811486703</v>
      </c>
      <c r="AI1223">
        <v>92.905513631641995</v>
      </c>
      <c r="AJ1223">
        <v>81.232242507761796</v>
      </c>
      <c r="AK1223">
        <v>21.855241548758499</v>
      </c>
      <c r="AL1223">
        <v>89.427421570158998</v>
      </c>
      <c r="AM1223">
        <v>86.110112380082001</v>
      </c>
      <c r="AN1223">
        <v>1.00000005087169</v>
      </c>
    </row>
    <row r="1224" spans="1:40" x14ac:dyDescent="0.25">
      <c r="A1224" t="str">
        <f>"20190312154236107"</f>
        <v>20190312154236107</v>
      </c>
      <c r="B1224" t="str">
        <f>"1552376556098869"</f>
        <v>1552376556098869</v>
      </c>
      <c r="C1224" t="s">
        <v>40</v>
      </c>
      <c r="D1224">
        <v>5.1280340000000004</v>
      </c>
      <c r="E1224">
        <v>0.53225369999999905</v>
      </c>
      <c r="F1224" t="s">
        <v>43</v>
      </c>
      <c r="G1224">
        <v>-193.9622</v>
      </c>
      <c r="H1224" s="1">
        <v>-3.620865E-6</v>
      </c>
      <c r="I1224">
        <v>325.572</v>
      </c>
      <c r="J1224">
        <v>-193.3109</v>
      </c>
      <c r="K1224">
        <v>1.1079190000000001</v>
      </c>
      <c r="L1224">
        <v>346.66800000000001</v>
      </c>
      <c r="M1224">
        <v>0.1199215</v>
      </c>
      <c r="N1224">
        <v>0</v>
      </c>
      <c r="O1224">
        <v>-0.99268670000000003</v>
      </c>
      <c r="P1224">
        <v>5.3821889999999997E-2</v>
      </c>
      <c r="Q1224">
        <v>-4.511368E-3</v>
      </c>
      <c r="R1224">
        <v>-0.99854019999999999</v>
      </c>
      <c r="S1224">
        <v>-8.8745119999999997E-2</v>
      </c>
      <c r="T1224">
        <v>-0.15637100000000001</v>
      </c>
      <c r="U1224">
        <v>-3.009369</v>
      </c>
      <c r="V1224">
        <v>6.6382099999999999E-2</v>
      </c>
      <c r="W1224">
        <v>8.8865239999999998E-3</v>
      </c>
      <c r="X1224">
        <v>0.99775469999999999</v>
      </c>
      <c r="Y1224">
        <v>0.1491053</v>
      </c>
      <c r="Z1224">
        <v>5.102831E-2</v>
      </c>
      <c r="AA1224">
        <v>0.98750380000000004</v>
      </c>
      <c r="AB1224">
        <v>22</v>
      </c>
      <c r="AC1224">
        <v>-0.651299999999992</v>
      </c>
      <c r="AD1224">
        <v>-1.1079226208649999</v>
      </c>
      <c r="AE1224">
        <v>-21.096</v>
      </c>
      <c r="AF1224">
        <v>3.1679762616317899</v>
      </c>
      <c r="AG1224">
        <v>-1.1079226208649999</v>
      </c>
      <c r="AH1224">
        <v>20.8082786180453</v>
      </c>
      <c r="AI1224">
        <v>93.013141384261502</v>
      </c>
      <c r="AJ1224">
        <v>81.343423942442598</v>
      </c>
      <c r="AK1224">
        <v>21.077192060952701</v>
      </c>
      <c r="AL1224">
        <v>89.4908329772923</v>
      </c>
      <c r="AM1224">
        <v>86.193636408557694</v>
      </c>
      <c r="AN1224">
        <v>0.99999999744065105</v>
      </c>
    </row>
    <row r="1225" spans="1:40" x14ac:dyDescent="0.25">
      <c r="A1225" t="str">
        <f>"20190312154236131"</f>
        <v>20190312154236131</v>
      </c>
      <c r="B1225" t="str">
        <f>"1552376556118390"</f>
        <v>1552376556118390</v>
      </c>
      <c r="C1225" t="s">
        <v>40</v>
      </c>
      <c r="D1225">
        <v>5.1394089999999997</v>
      </c>
      <c r="E1225">
        <v>0.53174670000000002</v>
      </c>
      <c r="F1225" t="s">
        <v>43</v>
      </c>
      <c r="G1225">
        <v>-193.96010000000001</v>
      </c>
      <c r="H1225" s="1">
        <v>-3.7502230000000001E-6</v>
      </c>
      <c r="I1225">
        <v>325.94279999999998</v>
      </c>
      <c r="J1225">
        <v>-193.28970000000001</v>
      </c>
      <c r="K1225">
        <v>1.1080129999999999</v>
      </c>
      <c r="L1225">
        <v>346.44850000000002</v>
      </c>
      <c r="M1225">
        <v>0.1156006</v>
      </c>
      <c r="N1225">
        <v>0</v>
      </c>
      <c r="O1225">
        <v>-0.99319950000000001</v>
      </c>
      <c r="P1225">
        <v>5.0950990000000002E-2</v>
      </c>
      <c r="Q1225">
        <v>-5.0229539999999996E-3</v>
      </c>
      <c r="R1225">
        <v>-0.99868869999999998</v>
      </c>
      <c r="S1225">
        <v>-9.4253539999999997E-2</v>
      </c>
      <c r="T1225">
        <v>-0.16083839999999999</v>
      </c>
      <c r="U1225">
        <v>-3.0086979999999999</v>
      </c>
      <c r="V1225">
        <v>6.490303E-2</v>
      </c>
      <c r="W1225">
        <v>8.3868169999999995E-3</v>
      </c>
      <c r="X1225">
        <v>0.99785630000000003</v>
      </c>
      <c r="Y1225">
        <v>0.146612299999999</v>
      </c>
      <c r="Z1225">
        <v>5.2543260000000001E-2</v>
      </c>
      <c r="AA1225">
        <v>0.98779760000000005</v>
      </c>
      <c r="AB1225">
        <v>22</v>
      </c>
      <c r="AC1225">
        <v>-0.6704</v>
      </c>
      <c r="AD1225">
        <v>-1.1080167502229901</v>
      </c>
      <c r="AE1225">
        <v>-20.505700000000001</v>
      </c>
      <c r="AF1225">
        <v>3.0277717115435401</v>
      </c>
      <c r="AG1225">
        <v>-1.1080167502229901</v>
      </c>
      <c r="AH1225">
        <v>20.2316846915129</v>
      </c>
      <c r="AI1225">
        <v>93.1002952863807</v>
      </c>
      <c r="AJ1225">
        <v>81.488570378907596</v>
      </c>
      <c r="AK1225">
        <v>20.4869755726119</v>
      </c>
      <c r="AL1225">
        <v>89.519465133844506</v>
      </c>
      <c r="AM1225">
        <v>86.278583402954695</v>
      </c>
      <c r="AN1225">
        <v>0.99999996872612995</v>
      </c>
    </row>
    <row r="1226" spans="1:40" x14ac:dyDescent="0.25">
      <c r="A1226" t="str">
        <f>"20190312154236151"</f>
        <v>20190312154236151</v>
      </c>
      <c r="B1226" t="str">
        <f>"1552376556148645"</f>
        <v>1552376556148645</v>
      </c>
      <c r="C1226" t="s">
        <v>40</v>
      </c>
      <c r="D1226">
        <v>4.9041139999999999</v>
      </c>
      <c r="E1226">
        <v>0.53125180000000005</v>
      </c>
      <c r="F1226" t="s">
        <v>43</v>
      </c>
      <c r="G1226">
        <v>-193.96350000000001</v>
      </c>
      <c r="H1226" s="1">
        <v>-3.7521090000000001E-6</v>
      </c>
      <c r="I1226">
        <v>325.94659999999999</v>
      </c>
      <c r="J1226">
        <v>-193.27029999999999</v>
      </c>
      <c r="K1226">
        <v>1.108114</v>
      </c>
      <c r="L1226">
        <v>346.24130000000002</v>
      </c>
      <c r="M1226">
        <v>0.1116569</v>
      </c>
      <c r="N1226">
        <v>0</v>
      </c>
      <c r="O1226">
        <v>-0.99365079999999995</v>
      </c>
      <c r="P1226">
        <v>4.8455959999999999E-2</v>
      </c>
      <c r="Q1226">
        <v>-5.2638340000000002E-3</v>
      </c>
      <c r="R1226">
        <v>-0.99881149999999996</v>
      </c>
      <c r="S1226">
        <v>-9.8861690000000002E-2</v>
      </c>
      <c r="T1226">
        <v>-0.16257389999999999</v>
      </c>
      <c r="U1226">
        <v>-3.0081479999999998</v>
      </c>
      <c r="V1226">
        <v>6.3430810000000004E-2</v>
      </c>
      <c r="W1226">
        <v>8.1569899999999994E-3</v>
      </c>
      <c r="X1226">
        <v>0.99795290000000003</v>
      </c>
      <c r="Y1226">
        <v>0.1442012</v>
      </c>
      <c r="Z1226">
        <v>5.316303E-2</v>
      </c>
      <c r="AA1226">
        <v>0.98811930000000003</v>
      </c>
      <c r="AB1226">
        <v>22</v>
      </c>
      <c r="AC1226">
        <v>-0.69320000000001802</v>
      </c>
      <c r="AD1226">
        <v>-1.108117752109</v>
      </c>
      <c r="AE1226">
        <v>-20.294699999999999</v>
      </c>
      <c r="AF1226">
        <v>2.9463502557095098</v>
      </c>
      <c r="AG1226">
        <v>-1.108117752109</v>
      </c>
      <c r="AH1226">
        <v>20.030713189118</v>
      </c>
      <c r="AI1226">
        <v>93.132787625865504</v>
      </c>
      <c r="AJ1226">
        <v>81.632273994750193</v>
      </c>
      <c r="AK1226">
        <v>20.276547429149801</v>
      </c>
      <c r="AL1226">
        <v>89.532633715329297</v>
      </c>
      <c r="AM1226">
        <v>86.363119612584995</v>
      </c>
      <c r="AN1226">
        <v>0.99999999738076295</v>
      </c>
    </row>
    <row r="1227" spans="1:40" x14ac:dyDescent="0.25">
      <c r="A1227" t="str">
        <f>"20190312154236174"</f>
        <v>20190312154236174</v>
      </c>
      <c r="B1227" t="str">
        <f>"1552376556168165"</f>
        <v>1552376556168165</v>
      </c>
      <c r="C1227" t="s">
        <v>40</v>
      </c>
      <c r="D1227">
        <v>5.1403359999999996</v>
      </c>
      <c r="E1227">
        <v>0.51362940000000001</v>
      </c>
      <c r="F1227" t="s">
        <v>43</v>
      </c>
      <c r="G1227">
        <v>-193.96870000000001</v>
      </c>
      <c r="H1227" s="1">
        <v>-3.6893410000000001E-6</v>
      </c>
      <c r="I1227">
        <v>325.75940000000003</v>
      </c>
      <c r="J1227">
        <v>-193.2499</v>
      </c>
      <c r="K1227">
        <v>1.1082099999999999</v>
      </c>
      <c r="L1227">
        <v>346.01299999999998</v>
      </c>
      <c r="M1227">
        <v>0.1074305</v>
      </c>
      <c r="N1227">
        <v>0</v>
      </c>
      <c r="O1227">
        <v>-0.99411669999999996</v>
      </c>
      <c r="P1227">
        <v>4.552026E-2</v>
      </c>
      <c r="Q1227">
        <v>-5.1869949999999998E-3</v>
      </c>
      <c r="R1227">
        <v>-0.99895</v>
      </c>
      <c r="S1227">
        <v>-0.1025543</v>
      </c>
      <c r="T1227">
        <v>-0.1627227</v>
      </c>
      <c r="U1227">
        <v>-3.0076900000000002</v>
      </c>
      <c r="V1227">
        <v>6.2118600000000003E-2</v>
      </c>
      <c r="W1227">
        <v>8.2428150000000006E-3</v>
      </c>
      <c r="X1227">
        <v>0.99803470000000005</v>
      </c>
      <c r="Y1227">
        <v>0.14120920000000001</v>
      </c>
      <c r="Z1227">
        <v>5.3267910000000002E-2</v>
      </c>
      <c r="AA1227">
        <v>0.98854569999999997</v>
      </c>
      <c r="AB1227">
        <v>22</v>
      </c>
      <c r="AC1227">
        <v>-0.71880000000001498</v>
      </c>
      <c r="AD1227">
        <v>-1.108213689341</v>
      </c>
      <c r="AE1227">
        <v>-20.253599999999999</v>
      </c>
      <c r="AF1227">
        <v>2.8820831444198598</v>
      </c>
      <c r="AG1227">
        <v>-1.108213689341</v>
      </c>
      <c r="AH1227">
        <v>19.999332020018901</v>
      </c>
      <c r="AI1227">
        <v>93.139296676249401</v>
      </c>
      <c r="AJ1227">
        <v>81.799620056162695</v>
      </c>
      <c r="AK1227">
        <v>20.236299614295699</v>
      </c>
      <c r="AL1227">
        <v>89.527716123677905</v>
      </c>
      <c r="AM1227">
        <v>86.438452175282293</v>
      </c>
      <c r="AN1227">
        <v>0.99999996343458597</v>
      </c>
    </row>
    <row r="1228" spans="1:40" x14ac:dyDescent="0.25">
      <c r="A1228" t="str">
        <f>"20190312154236197"</f>
        <v>20190312154236197</v>
      </c>
      <c r="B1228" t="str">
        <f>"1552376556188661"</f>
        <v>1552376556188661</v>
      </c>
      <c r="C1228" t="s">
        <v>40</v>
      </c>
      <c r="D1228">
        <v>5.1136699999999999</v>
      </c>
      <c r="E1228">
        <v>0.51384160000000001</v>
      </c>
      <c r="F1228" t="s">
        <v>43</v>
      </c>
      <c r="G1228">
        <v>-193.06290000000001</v>
      </c>
      <c r="H1228" s="1">
        <v>-3.8462830000000001E-6</v>
      </c>
      <c r="I1228">
        <v>326.69279999999998</v>
      </c>
      <c r="J1228">
        <v>-193.23140000000001</v>
      </c>
      <c r="K1228">
        <v>1.108285</v>
      </c>
      <c r="L1228">
        <v>345.79899999999998</v>
      </c>
      <c r="M1228">
        <v>0.1035787</v>
      </c>
      <c r="N1228">
        <v>0</v>
      </c>
      <c r="O1228">
        <v>-0.99452569999999996</v>
      </c>
      <c r="P1228">
        <v>4.2588180000000003E-2</v>
      </c>
      <c r="Q1228">
        <v>-3.6323499999999999E-3</v>
      </c>
      <c r="R1228">
        <v>-0.99908649999999999</v>
      </c>
      <c r="S1228">
        <v>2.9052729999999999E-2</v>
      </c>
      <c r="T1228">
        <v>-0.17213489999999901</v>
      </c>
      <c r="U1228">
        <v>-3.0009459999999999</v>
      </c>
      <c r="V1228">
        <v>6.1189109999999998E-2</v>
      </c>
      <c r="W1228">
        <v>9.8029629999999996E-3</v>
      </c>
      <c r="X1228">
        <v>0.99807800000000002</v>
      </c>
      <c r="Y1228">
        <v>9.3970339999999999E-2</v>
      </c>
      <c r="Z1228">
        <v>5.6676280000000002E-2</v>
      </c>
      <c r="AA1228">
        <v>0.99396039999999997</v>
      </c>
      <c r="AB1228">
        <v>22</v>
      </c>
      <c r="AC1228">
        <v>0.16849999999999399</v>
      </c>
      <c r="AD1228">
        <v>-1.1082888462830001</v>
      </c>
      <c r="AE1228">
        <v>-19.106200000000001</v>
      </c>
      <c r="AF1228">
        <v>1.8055152659159599</v>
      </c>
      <c r="AG1228">
        <v>-1.1082888462830001</v>
      </c>
      <c r="AH1228">
        <v>18.957086262643699</v>
      </c>
      <c r="AI1228">
        <v>93.330837909257895</v>
      </c>
      <c r="AJ1228">
        <v>84.559432906737499</v>
      </c>
      <c r="AK1228">
        <v>19.075096568866002</v>
      </c>
      <c r="AL1228">
        <v>89.438322568844498</v>
      </c>
      <c r="AM1228">
        <v>86.491761860981498</v>
      </c>
      <c r="AN1228">
        <v>0.99999994967508399</v>
      </c>
    </row>
    <row r="1229" spans="1:40" x14ac:dyDescent="0.25">
      <c r="A1229" t="str">
        <f>"20190312154236221"</f>
        <v>20190312154236221</v>
      </c>
      <c r="B1229" t="str">
        <f>"1552376556208182"</f>
        <v>1552376556208182</v>
      </c>
      <c r="C1229" t="s">
        <v>40</v>
      </c>
      <c r="D1229">
        <v>5.1466690000000002</v>
      </c>
      <c r="E1229">
        <v>0.513592099999999</v>
      </c>
      <c r="F1229" t="s">
        <v>43</v>
      </c>
      <c r="G1229">
        <v>-193.10310000000001</v>
      </c>
      <c r="H1229" s="1">
        <v>-3.236828E-6</v>
      </c>
      <c r="I1229">
        <v>325.20960000000002</v>
      </c>
      <c r="J1229">
        <v>-193.2124</v>
      </c>
      <c r="K1229">
        <v>1.1083670000000001</v>
      </c>
      <c r="L1229">
        <v>345.56990000000002</v>
      </c>
      <c r="M1229">
        <v>9.9587309999999998E-2</v>
      </c>
      <c r="N1229">
        <v>0</v>
      </c>
      <c r="O1229">
        <v>-0.99493339999999997</v>
      </c>
      <c r="P1229">
        <v>3.9719770000000001E-2</v>
      </c>
      <c r="Q1229">
        <v>-4.0939970000000003E-3</v>
      </c>
      <c r="R1229">
        <v>-0.99920249999999999</v>
      </c>
      <c r="S1229">
        <v>1.870728E-2</v>
      </c>
      <c r="T1229">
        <v>-0.16155820000000001</v>
      </c>
      <c r="U1229">
        <v>-3.0013730000000001</v>
      </c>
      <c r="V1229">
        <v>6.0044840000000002E-2</v>
      </c>
      <c r="W1229">
        <v>9.3480820000000006E-3</v>
      </c>
      <c r="X1229">
        <v>0.99815189999999998</v>
      </c>
      <c r="Y1229">
        <v>9.3401600000000001E-2</v>
      </c>
      <c r="Z1229">
        <v>5.3231630000000002E-2</v>
      </c>
      <c r="AA1229">
        <v>0.99420450000000005</v>
      </c>
      <c r="AB1229">
        <v>22</v>
      </c>
      <c r="AC1229">
        <v>0.10929999999999</v>
      </c>
      <c r="AD1229">
        <v>-1.108370236828</v>
      </c>
      <c r="AE1229">
        <v>-20.360299999999899</v>
      </c>
      <c r="AF1229">
        <v>1.91339337697191</v>
      </c>
      <c r="AG1229">
        <v>-1.108370236828</v>
      </c>
      <c r="AH1229">
        <v>20.210061792225002</v>
      </c>
      <c r="AI1229">
        <v>93.125152057238694</v>
      </c>
      <c r="AJ1229">
        <v>84.591626409500904</v>
      </c>
      <c r="AK1229">
        <v>20.330670339230799</v>
      </c>
      <c r="AL1229">
        <v>89.464386549716707</v>
      </c>
      <c r="AM1229">
        <v>86.557462822872395</v>
      </c>
      <c r="AN1229">
        <v>0.99999999246065696</v>
      </c>
    </row>
    <row r="1230" spans="1:40" x14ac:dyDescent="0.25">
      <c r="A1230" t="str">
        <f>"20190312154236244"</f>
        <v>20190312154236244</v>
      </c>
      <c r="B1230" t="str">
        <f>"1552376556238442"</f>
        <v>1552376556238442</v>
      </c>
      <c r="C1230" t="s">
        <v>40</v>
      </c>
      <c r="D1230">
        <v>5.1313979999999999</v>
      </c>
      <c r="E1230">
        <v>0.51249409999999995</v>
      </c>
      <c r="F1230" t="s">
        <v>43</v>
      </c>
      <c r="G1230">
        <v>-193.1275</v>
      </c>
      <c r="H1230" s="1">
        <v>-2.866983E-6</v>
      </c>
      <c r="I1230">
        <v>324.33240000000001</v>
      </c>
      <c r="J1230">
        <v>-193.1951</v>
      </c>
      <c r="K1230">
        <v>1.1084430000000001</v>
      </c>
      <c r="L1230">
        <v>345.35320000000002</v>
      </c>
      <c r="M1230">
        <v>9.5947030000000003E-2</v>
      </c>
      <c r="N1230">
        <v>0</v>
      </c>
      <c r="O1230">
        <v>-0.99529129999999999</v>
      </c>
      <c r="P1230">
        <v>3.6916709999999998E-2</v>
      </c>
      <c r="Q1230">
        <v>-5.6224279999999996E-3</v>
      </c>
      <c r="R1230">
        <v>-0.99930289999999999</v>
      </c>
      <c r="S1230">
        <v>1.2008670000000001E-2</v>
      </c>
      <c r="T1230">
        <v>-0.15663270000000001</v>
      </c>
      <c r="U1230">
        <v>-3.0012509999999999</v>
      </c>
      <c r="V1230">
        <v>5.918296E-2</v>
      </c>
      <c r="W1230">
        <v>7.8246440000000004E-3</v>
      </c>
      <c r="X1230">
        <v>0.99821649999999995</v>
      </c>
      <c r="Y1230">
        <v>9.1977710000000004E-2</v>
      </c>
      <c r="Z1230">
        <v>5.164697E-2</v>
      </c>
      <c r="AA1230">
        <v>0.99442079999999999</v>
      </c>
      <c r="AB1230">
        <v>22</v>
      </c>
      <c r="AC1230">
        <v>6.7599999999998703E-2</v>
      </c>
      <c r="AD1230">
        <v>-1.108445866983</v>
      </c>
      <c r="AE1230">
        <v>-21.020800000000001</v>
      </c>
      <c r="AF1230">
        <v>1.94437989856919</v>
      </c>
      <c r="AG1230">
        <v>-1.108445866983</v>
      </c>
      <c r="AH1230">
        <v>20.872251812904</v>
      </c>
      <c r="AI1230">
        <v>93.026824566772007</v>
      </c>
      <c r="AJ1230">
        <v>84.677901992580203</v>
      </c>
      <c r="AK1230">
        <v>20.991907039887199</v>
      </c>
      <c r="AL1230">
        <v>89.551676354184096</v>
      </c>
      <c r="AM1230">
        <v>86.606979575908397</v>
      </c>
      <c r="AN1230">
        <v>1.0000000143401599</v>
      </c>
    </row>
    <row r="1231" spans="1:40" x14ac:dyDescent="0.25">
      <c r="A1231" t="str">
        <f>"20190312154236265"</f>
        <v>20190312154236265</v>
      </c>
      <c r="B1231" t="str">
        <f>"1552376556258933"</f>
        <v>1552376556258933</v>
      </c>
      <c r="C1231" t="s">
        <v>40</v>
      </c>
      <c r="D1231">
        <v>5.1047370000000001</v>
      </c>
      <c r="E1231">
        <v>0.5118123</v>
      </c>
      <c r="F1231" t="s">
        <v>43</v>
      </c>
      <c r="G1231">
        <v>-193.10749999999999</v>
      </c>
      <c r="H1231" s="1">
        <v>-2.5406380000000001E-6</v>
      </c>
      <c r="I1231">
        <v>323.58409999999998</v>
      </c>
      <c r="J1231">
        <v>-193.17910000000001</v>
      </c>
      <c r="K1231">
        <v>1.1085259999999999</v>
      </c>
      <c r="L1231">
        <v>345.14510000000001</v>
      </c>
      <c r="M1231">
        <v>9.2583730000000003E-2</v>
      </c>
      <c r="N1231">
        <v>0</v>
      </c>
      <c r="O1231">
        <v>-0.99560979999999999</v>
      </c>
      <c r="P1231">
        <v>3.48703E-2</v>
      </c>
      <c r="Q1231">
        <v>-8.1568279999999996E-3</v>
      </c>
      <c r="R1231">
        <v>-0.99935850000000004</v>
      </c>
      <c r="S1231">
        <v>1.208496E-2</v>
      </c>
      <c r="T1231">
        <v>-0.15279479999999901</v>
      </c>
      <c r="U1231">
        <v>-3.0007929999999998</v>
      </c>
      <c r="V1231">
        <v>5.7838790000000001E-2</v>
      </c>
      <c r="W1231">
        <v>5.299369E-3</v>
      </c>
      <c r="X1231">
        <v>0.99831190000000003</v>
      </c>
      <c r="Y1231">
        <v>8.8586739999999997E-2</v>
      </c>
      <c r="Z1231">
        <v>5.0424579999999997E-2</v>
      </c>
      <c r="AA1231">
        <v>0.99479130000000004</v>
      </c>
      <c r="AB1231">
        <v>22</v>
      </c>
      <c r="AC1231">
        <v>7.1600000000017802E-2</v>
      </c>
      <c r="AD1231">
        <v>-1.1085285406380001</v>
      </c>
      <c r="AE1231">
        <v>-21.561</v>
      </c>
      <c r="AF1231">
        <v>1.92001919396883</v>
      </c>
      <c r="AG1231">
        <v>-1.1085285406380001</v>
      </c>
      <c r="AH1231">
        <v>21.418389603826</v>
      </c>
      <c r="AI1231">
        <v>92.950940421680897</v>
      </c>
      <c r="AJ1231">
        <v>84.877498479966306</v>
      </c>
      <c r="AK1231">
        <v>21.532828946794201</v>
      </c>
      <c r="AL1231">
        <v>89.696367109936503</v>
      </c>
      <c r="AM1231">
        <v>86.684184449736705</v>
      </c>
      <c r="AN1231">
        <v>1.00000002931103</v>
      </c>
    </row>
    <row r="1232" spans="1:40" x14ac:dyDescent="0.25">
      <c r="A1232" t="str">
        <f>"20190312154236287"</f>
        <v>20190312154236287</v>
      </c>
      <c r="B1232" t="str">
        <f>"1552376556278453"</f>
        <v>1552376556278453</v>
      </c>
      <c r="C1232" t="s">
        <v>40</v>
      </c>
      <c r="D1232">
        <v>5.0855499999999996</v>
      </c>
      <c r="E1232">
        <v>0.5115864</v>
      </c>
      <c r="F1232" t="s">
        <v>43</v>
      </c>
      <c r="G1232">
        <v>-193.1003</v>
      </c>
      <c r="H1232" s="1">
        <v>-2.7896349999999998E-6</v>
      </c>
      <c r="I1232">
        <v>324.16890000000001</v>
      </c>
      <c r="J1232">
        <v>-193.16309999999999</v>
      </c>
      <c r="K1232">
        <v>1.1086229999999999</v>
      </c>
      <c r="L1232">
        <v>344.92919999999998</v>
      </c>
      <c r="M1232">
        <v>8.9239289999999999E-2</v>
      </c>
      <c r="N1232">
        <v>0</v>
      </c>
      <c r="O1232">
        <v>-0.99591540000000001</v>
      </c>
      <c r="P1232">
        <v>3.3093020000000001E-2</v>
      </c>
      <c r="Q1232">
        <v>-9.5561399999999994E-3</v>
      </c>
      <c r="R1232">
        <v>-0.99940660000000003</v>
      </c>
      <c r="S1232">
        <v>1.127625E-2</v>
      </c>
      <c r="T1232">
        <v>-0.1585559</v>
      </c>
      <c r="U1232">
        <v>-3.0002749999999998</v>
      </c>
      <c r="V1232">
        <v>5.625223E-2</v>
      </c>
      <c r="W1232">
        <v>3.9098800000000001E-3</v>
      </c>
      <c r="X1232">
        <v>0.99840890000000004</v>
      </c>
      <c r="Y1232">
        <v>8.5508650000000005E-2</v>
      </c>
      <c r="Z1232">
        <v>5.236093E-2</v>
      </c>
      <c r="AA1232">
        <v>0.99496059999999997</v>
      </c>
      <c r="AB1232">
        <v>22</v>
      </c>
      <c r="AC1232">
        <v>6.2799999999981496E-2</v>
      </c>
      <c r="AD1232">
        <v>-1.10862578963499</v>
      </c>
      <c r="AE1232">
        <v>-20.760299999999901</v>
      </c>
      <c r="AF1232">
        <v>1.78516930446317</v>
      </c>
      <c r="AG1232">
        <v>-1.10862578963499</v>
      </c>
      <c r="AH1232">
        <v>20.6242464807024</v>
      </c>
      <c r="AI1232">
        <v>93.065448570725906</v>
      </c>
      <c r="AJ1232">
        <v>85.052989096031496</v>
      </c>
      <c r="AK1232">
        <v>20.7310256254679</v>
      </c>
      <c r="AL1232">
        <v>89.775979799221801</v>
      </c>
      <c r="AM1232">
        <v>86.775257651819302</v>
      </c>
      <c r="AN1232">
        <v>0.99999996607039798</v>
      </c>
    </row>
    <row r="1233" spans="1:40" x14ac:dyDescent="0.25">
      <c r="A1233" t="str">
        <f>"20190312154236309"</f>
        <v>20190312154236309</v>
      </c>
      <c r="B1233" t="str">
        <f>"1552376556298950"</f>
        <v>1552376556298950</v>
      </c>
      <c r="C1233" t="s">
        <v>40</v>
      </c>
      <c r="D1233">
        <v>5.0118260000000001</v>
      </c>
      <c r="E1233">
        <v>0.52839440000000004</v>
      </c>
      <c r="F1233" t="s">
        <v>43</v>
      </c>
      <c r="G1233">
        <v>-193.11240000000001</v>
      </c>
      <c r="H1233" s="1">
        <v>-3.026648E-6</v>
      </c>
      <c r="I1233">
        <v>324.71390000000002</v>
      </c>
      <c r="J1233">
        <v>-193.1481</v>
      </c>
      <c r="K1233">
        <v>1.108733</v>
      </c>
      <c r="L1233">
        <v>344.72039999999998</v>
      </c>
      <c r="M1233">
        <v>8.6160029999999999E-2</v>
      </c>
      <c r="N1233">
        <v>0</v>
      </c>
      <c r="O1233">
        <v>-0.99618669999999998</v>
      </c>
      <c r="P1233">
        <v>3.17442E-2</v>
      </c>
      <c r="Q1233">
        <v>-9.111292E-3</v>
      </c>
      <c r="R1233">
        <v>-0.99945470000000003</v>
      </c>
      <c r="S1233">
        <v>7.5225830000000002E-3</v>
      </c>
      <c r="T1233">
        <v>-0.1645192</v>
      </c>
      <c r="U1233">
        <v>-2.9999389999999999</v>
      </c>
      <c r="V1233">
        <v>5.4514340000000001E-2</v>
      </c>
      <c r="W1233">
        <v>4.3666870000000002E-3</v>
      </c>
      <c r="X1233">
        <v>0.99850340000000004</v>
      </c>
      <c r="Y1233">
        <v>8.3673129999999998E-2</v>
      </c>
      <c r="Z1233">
        <v>5.4357129999999997E-2</v>
      </c>
      <c r="AA1233">
        <v>0.99500960000000005</v>
      </c>
      <c r="AB1233">
        <v>21</v>
      </c>
      <c r="AC1233">
        <v>3.5699999999991398E-2</v>
      </c>
      <c r="AD1233">
        <v>-1.108736026648</v>
      </c>
      <c r="AE1233">
        <v>-20.0064999999999</v>
      </c>
      <c r="AF1233">
        <v>1.6831864597708199</v>
      </c>
      <c r="AG1233">
        <v>-1.108736026648</v>
      </c>
      <c r="AH1233">
        <v>19.874126121215902</v>
      </c>
      <c r="AI1233">
        <v>93.181735060279706</v>
      </c>
      <c r="AJ1233">
        <v>85.159038098365002</v>
      </c>
      <c r="AK1233">
        <v>19.976068214669802</v>
      </c>
      <c r="AL1233">
        <v>89.749806459449204</v>
      </c>
      <c r="AM1233">
        <v>86.874979327858398</v>
      </c>
      <c r="AN1233">
        <v>0.99999996051627504</v>
      </c>
    </row>
    <row r="1234" spans="1:40" x14ac:dyDescent="0.25">
      <c r="A1234" t="str">
        <f>"20190312154236331"</f>
        <v>20190312154236331</v>
      </c>
      <c r="B1234" t="str">
        <f>"1552376556318469"</f>
        <v>1552376556318469</v>
      </c>
      <c r="C1234" t="s">
        <v>40</v>
      </c>
      <c r="D1234">
        <v>5.0340949999999998</v>
      </c>
      <c r="E1234">
        <v>0.53200380000000003</v>
      </c>
      <c r="F1234" t="s">
        <v>43</v>
      </c>
      <c r="G1234">
        <v>-194.13339999999999</v>
      </c>
      <c r="H1234" s="1">
        <v>-2.1928539999999998E-6</v>
      </c>
      <c r="I1234">
        <v>322.13709999999998</v>
      </c>
      <c r="J1234">
        <v>-193.1336</v>
      </c>
      <c r="K1234">
        <v>1.108841</v>
      </c>
      <c r="L1234">
        <v>344.5104</v>
      </c>
      <c r="M1234">
        <v>8.3219689999999999E-2</v>
      </c>
      <c r="N1234">
        <v>0</v>
      </c>
      <c r="O1234">
        <v>-0.99643689999999996</v>
      </c>
      <c r="P1234">
        <v>3.1278220000000002E-2</v>
      </c>
      <c r="Q1234">
        <v>-7.9941960000000003E-3</v>
      </c>
      <c r="R1234">
        <v>-0.99947909999999995</v>
      </c>
      <c r="S1234">
        <v>-0.131073</v>
      </c>
      <c r="T1234">
        <v>-0.14750170000000001</v>
      </c>
      <c r="U1234">
        <v>-3.0043950000000001</v>
      </c>
      <c r="V1234">
        <v>5.2037159999999999E-2</v>
      </c>
      <c r="W1234">
        <v>5.4977300000000002E-3</v>
      </c>
      <c r="X1234">
        <v>0.99863000000000002</v>
      </c>
      <c r="Y1234">
        <v>0.1265308</v>
      </c>
      <c r="Z1234">
        <v>4.8560859999999997E-2</v>
      </c>
      <c r="AA1234">
        <v>0.99077329999999997</v>
      </c>
      <c r="AB1234">
        <v>21</v>
      </c>
      <c r="AC1234">
        <v>-0.99979999999999303</v>
      </c>
      <c r="AD1234">
        <v>-1.1088431928539999</v>
      </c>
      <c r="AE1234">
        <v>-22.3733</v>
      </c>
      <c r="AF1234">
        <v>2.8514154344617699</v>
      </c>
      <c r="AG1234">
        <v>-1.1088431928539999</v>
      </c>
      <c r="AH1234">
        <v>22.158148145949198</v>
      </c>
      <c r="AI1234">
        <v>92.841427700065907</v>
      </c>
      <c r="AJ1234">
        <v>82.6672069914231</v>
      </c>
      <c r="AK1234">
        <v>22.368362310729299</v>
      </c>
      <c r="AL1234">
        <v>89.685001682231103</v>
      </c>
      <c r="AM1234">
        <v>87.017097955635293</v>
      </c>
      <c r="AN1234">
        <v>0.99999998397800904</v>
      </c>
    </row>
    <row r="1235" spans="1:40" x14ac:dyDescent="0.25">
      <c r="A1235" t="str">
        <f>"20190312154236352"</f>
        <v>20190312154236352</v>
      </c>
      <c r="B1235" t="str">
        <f>"1552376556348725"</f>
        <v>1552376556348725</v>
      </c>
      <c r="C1235" t="s">
        <v>40</v>
      </c>
      <c r="D1235">
        <v>4.9986949999999997</v>
      </c>
      <c r="E1235">
        <v>0.53350559999999903</v>
      </c>
      <c r="F1235" t="s">
        <v>43</v>
      </c>
      <c r="G1235">
        <v>-194.41390000000001</v>
      </c>
      <c r="H1235" s="1">
        <v>-1.6302300000000001E-6</v>
      </c>
      <c r="I1235">
        <v>320.65159999999997</v>
      </c>
      <c r="J1235">
        <v>-193.11959999999999</v>
      </c>
      <c r="K1235">
        <v>1.1089249999999999</v>
      </c>
      <c r="L1235">
        <v>344.30220000000003</v>
      </c>
      <c r="M1235">
        <v>8.0435850000000003E-2</v>
      </c>
      <c r="N1235">
        <v>0</v>
      </c>
      <c r="O1235">
        <v>-0.99666560000000004</v>
      </c>
      <c r="P1235">
        <v>3.063316E-2</v>
      </c>
      <c r="Q1235">
        <v>-8.17167699999999E-3</v>
      </c>
      <c r="R1235">
        <v>-0.99949719999999997</v>
      </c>
      <c r="S1235">
        <v>-0.1612854</v>
      </c>
      <c r="T1235">
        <v>-0.13968069999999999</v>
      </c>
      <c r="U1235">
        <v>-3.005493</v>
      </c>
      <c r="V1235">
        <v>4.9889929999999999E-2</v>
      </c>
      <c r="W1235">
        <v>5.3308399999999999E-3</v>
      </c>
      <c r="X1235">
        <v>0.99874050000000003</v>
      </c>
      <c r="Y1235">
        <v>0.13368339999999901</v>
      </c>
      <c r="Z1235">
        <v>4.5957869999999998E-2</v>
      </c>
      <c r="AA1235">
        <v>0.98995789999999995</v>
      </c>
      <c r="AB1235">
        <v>21</v>
      </c>
      <c r="AC1235">
        <v>-1.29430000000002</v>
      </c>
      <c r="AD1235">
        <v>-1.1089266302299901</v>
      </c>
      <c r="AE1235">
        <v>-23.650600000000001</v>
      </c>
      <c r="AF1235">
        <v>3.1856574605375099</v>
      </c>
      <c r="AG1235">
        <v>-1.1089266302299901</v>
      </c>
      <c r="AH1235">
        <v>23.418503487118201</v>
      </c>
      <c r="AI1235">
        <v>92.686373577367803</v>
      </c>
      <c r="AJ1235">
        <v>82.253509484313398</v>
      </c>
      <c r="AK1235">
        <v>23.6601867554607</v>
      </c>
      <c r="AL1235">
        <v>89.694563921511005</v>
      </c>
      <c r="AM1235">
        <v>87.140289790286602</v>
      </c>
      <c r="AN1235">
        <v>1.0000000046553801</v>
      </c>
    </row>
    <row r="1236" spans="1:40" x14ac:dyDescent="0.25">
      <c r="A1236" t="str">
        <f>"20190312154236376"</f>
        <v>20190312154236376</v>
      </c>
      <c r="B1236" t="str">
        <f>"1552376556368245"</f>
        <v>1552376556368245</v>
      </c>
      <c r="C1236" t="s">
        <v>40</v>
      </c>
      <c r="D1236">
        <v>4.9980270000000004</v>
      </c>
      <c r="E1236">
        <v>0.53391149999999998</v>
      </c>
      <c r="F1236" t="s">
        <v>43</v>
      </c>
      <c r="G1236">
        <v>-194.5412</v>
      </c>
      <c r="H1236" s="1">
        <v>-1.3487399999999999E-6</v>
      </c>
      <c r="I1236">
        <v>319.91649999999998</v>
      </c>
      <c r="J1236">
        <v>-193.10550000000001</v>
      </c>
      <c r="K1236">
        <v>1.1090070000000001</v>
      </c>
      <c r="L1236">
        <v>344.08539999999999</v>
      </c>
      <c r="M1236">
        <v>7.7678670000000005E-2</v>
      </c>
      <c r="N1236">
        <v>0</v>
      </c>
      <c r="O1236">
        <v>-0.99688449999999995</v>
      </c>
      <c r="P1236">
        <v>2.9781040000000002E-2</v>
      </c>
      <c r="Q1236">
        <v>-7.8785839999999992E-3</v>
      </c>
      <c r="R1236">
        <v>-0.99952580000000002</v>
      </c>
      <c r="S1236">
        <v>-0.1752319</v>
      </c>
      <c r="T1236">
        <v>-0.13668529999999901</v>
      </c>
      <c r="U1236">
        <v>-3.0057680000000002</v>
      </c>
      <c r="V1236">
        <v>4.7978890000000003E-2</v>
      </c>
      <c r="W1236">
        <v>5.6312430000000002E-3</v>
      </c>
      <c r="X1236">
        <v>0.99883250000000001</v>
      </c>
      <c r="Y1236">
        <v>0.13551869999999999</v>
      </c>
      <c r="Z1236">
        <v>4.4973659999999999E-2</v>
      </c>
      <c r="AA1236">
        <v>0.98975349999999995</v>
      </c>
      <c r="AB1236">
        <v>21</v>
      </c>
      <c r="AC1236">
        <v>-1.43569999999999</v>
      </c>
      <c r="AD1236">
        <v>-1.10900834874</v>
      </c>
      <c r="AE1236">
        <v>-24.168900000000001</v>
      </c>
      <c r="AF1236">
        <v>3.3020170506930699</v>
      </c>
      <c r="AG1236">
        <v>-1.10900834874</v>
      </c>
      <c r="AH1236">
        <v>23.934108836903199</v>
      </c>
      <c r="AI1236">
        <v>92.628095702874603</v>
      </c>
      <c r="AJ1236">
        <v>82.144899762382707</v>
      </c>
      <c r="AK1236">
        <v>24.186251919993101</v>
      </c>
      <c r="AL1236">
        <v>89.677351845146006</v>
      </c>
      <c r="AM1236">
        <v>87.249912748287997</v>
      </c>
      <c r="AN1236">
        <v>1.0000000239197999</v>
      </c>
    </row>
    <row r="1237" spans="1:40" x14ac:dyDescent="0.25">
      <c r="A1237" t="str">
        <f>"20190312154236398"</f>
        <v>20190312154236398</v>
      </c>
      <c r="B1237" t="str">
        <f>"1552376556388741"</f>
        <v>1552376556388741</v>
      </c>
      <c r="C1237" t="s">
        <v>40</v>
      </c>
      <c r="D1237">
        <v>4.9894230000000004</v>
      </c>
      <c r="E1237">
        <v>0.53373029999999999</v>
      </c>
      <c r="F1237" t="s">
        <v>43</v>
      </c>
      <c r="G1237">
        <v>-194.59950000000001</v>
      </c>
      <c r="H1237" s="1">
        <v>-5.4178019999999997E-6</v>
      </c>
      <c r="I1237">
        <v>319.26979999999998</v>
      </c>
      <c r="J1237">
        <v>-193.0915</v>
      </c>
      <c r="K1237">
        <v>1.1091</v>
      </c>
      <c r="L1237">
        <v>343.8639</v>
      </c>
      <c r="M1237">
        <v>7.5032539999999995E-2</v>
      </c>
      <c r="N1237">
        <v>0</v>
      </c>
      <c r="O1237">
        <v>-0.99708699999999995</v>
      </c>
      <c r="P1237">
        <v>2.869586E-2</v>
      </c>
      <c r="Q1237">
        <v>-6.6018780000000003E-3</v>
      </c>
      <c r="R1237">
        <v>-0.99956619999999996</v>
      </c>
      <c r="S1237">
        <v>-0.1809692</v>
      </c>
      <c r="T1237">
        <v>-0.13432669999999999</v>
      </c>
      <c r="U1237">
        <v>-3.0057369999999999</v>
      </c>
      <c r="V1237">
        <v>4.6416069999999997E-2</v>
      </c>
      <c r="W1237">
        <v>6.9134319999999997E-3</v>
      </c>
      <c r="X1237">
        <v>0.99889830000000002</v>
      </c>
      <c r="Y1237">
        <v>0.13477430000000001</v>
      </c>
      <c r="Z1237">
        <v>4.4212979999999999E-2</v>
      </c>
      <c r="AA1237">
        <v>0.98988940000000003</v>
      </c>
      <c r="AB1237">
        <v>21</v>
      </c>
      <c r="AC1237">
        <v>-1.508</v>
      </c>
      <c r="AD1237">
        <v>-1.1091054178019999</v>
      </c>
      <c r="AE1237">
        <v>-24.594100000000001</v>
      </c>
      <c r="AF1237">
        <v>3.3425070718301702</v>
      </c>
      <c r="AG1237">
        <v>-1.1091054178019999</v>
      </c>
      <c r="AH1237">
        <v>24.362239067290499</v>
      </c>
      <c r="AI1237">
        <v>92.582465072429898</v>
      </c>
      <c r="AJ1237">
        <v>82.187775790785594</v>
      </c>
      <c r="AK1237">
        <v>24.615465884781599</v>
      </c>
      <c r="AL1237">
        <v>89.603886381045399</v>
      </c>
      <c r="AM1237">
        <v>87.339535674868699</v>
      </c>
      <c r="AN1237">
        <v>1.00000003041957</v>
      </c>
    </row>
    <row r="1238" spans="1:40" x14ac:dyDescent="0.25">
      <c r="A1238" t="str">
        <f>"20190312154236421"</f>
        <v>20190312154236421</v>
      </c>
      <c r="B1238" t="str">
        <f>"1552376556408261"</f>
        <v>1552376556408261</v>
      </c>
      <c r="C1238" t="s">
        <v>40</v>
      </c>
      <c r="D1238">
        <v>5.0416800000000004</v>
      </c>
      <c r="E1238">
        <v>0.53364040000000001</v>
      </c>
      <c r="F1238" t="s">
        <v>43</v>
      </c>
      <c r="G1238">
        <v>-194.6174</v>
      </c>
      <c r="H1238" s="1">
        <v>-5.2168139999999997E-6</v>
      </c>
      <c r="I1238">
        <v>318.73820000000001</v>
      </c>
      <c r="J1238">
        <v>-193.07810000000001</v>
      </c>
      <c r="K1238">
        <v>1.1092169999999999</v>
      </c>
      <c r="L1238">
        <v>343.64550000000003</v>
      </c>
      <c r="M1238">
        <v>7.2615760000000001E-2</v>
      </c>
      <c r="N1238">
        <v>0</v>
      </c>
      <c r="O1238">
        <v>-0.9972664</v>
      </c>
      <c r="P1238">
        <v>2.7041880000000001E-2</v>
      </c>
      <c r="Q1238">
        <v>-5.9318369999999997E-3</v>
      </c>
      <c r="R1238">
        <v>-0.99961690000000003</v>
      </c>
      <c r="S1238">
        <v>-0.18254090000000001</v>
      </c>
      <c r="T1238">
        <v>-0.13267709999999999</v>
      </c>
      <c r="U1238">
        <v>-3.0056759999999998</v>
      </c>
      <c r="V1238">
        <v>4.564853E-2</v>
      </c>
      <c r="W1238">
        <v>7.5876619999999898E-3</v>
      </c>
      <c r="X1238">
        <v>0.9989287</v>
      </c>
      <c r="Y1238">
        <v>0.13289089999999901</v>
      </c>
      <c r="Z1238">
        <v>4.3688709999999999E-2</v>
      </c>
      <c r="AA1238">
        <v>0.99016729999999997</v>
      </c>
      <c r="AB1238">
        <v>21</v>
      </c>
      <c r="AC1238">
        <v>-1.5392999999999899</v>
      </c>
      <c r="AD1238">
        <v>-1.10922221681399</v>
      </c>
      <c r="AE1238">
        <v>-24.907299999999999</v>
      </c>
      <c r="AF1238">
        <v>3.3374728813073999</v>
      </c>
      <c r="AG1238">
        <v>-1.10922221681399</v>
      </c>
      <c r="AH1238">
        <v>24.680981305471001</v>
      </c>
      <c r="AI1238">
        <v>92.550099073679903</v>
      </c>
      <c r="AJ1238">
        <v>82.298921017673607</v>
      </c>
      <c r="AK1238">
        <v>24.9303015898473</v>
      </c>
      <c r="AL1238">
        <v>89.565254799520105</v>
      </c>
      <c r="AM1238">
        <v>87.383547199065802</v>
      </c>
      <c r="AN1238">
        <v>0.99999995429473698</v>
      </c>
    </row>
    <row r="1239" spans="1:40" x14ac:dyDescent="0.25">
      <c r="A1239" t="str">
        <f>"20190312154236443"</f>
        <v>20190312154236443</v>
      </c>
      <c r="B1239" t="str">
        <f>"1552376556438519"</f>
        <v>1552376556438519</v>
      </c>
      <c r="C1239" t="s">
        <v>40</v>
      </c>
      <c r="D1239">
        <v>5.0063510000000004</v>
      </c>
      <c r="E1239">
        <v>0.53341090000000002</v>
      </c>
      <c r="F1239" t="s">
        <v>43</v>
      </c>
      <c r="G1239">
        <v>-194.64179999999999</v>
      </c>
      <c r="H1239" s="1">
        <v>-5.1089119999999998E-6</v>
      </c>
      <c r="I1239">
        <v>318.44589999999999</v>
      </c>
      <c r="J1239">
        <v>-193.06569999999999</v>
      </c>
      <c r="K1239">
        <v>1.1093420000000001</v>
      </c>
      <c r="L1239">
        <v>343.43939999999998</v>
      </c>
      <c r="M1239">
        <v>7.0531490000000002E-2</v>
      </c>
      <c r="N1239">
        <v>0</v>
      </c>
      <c r="O1239">
        <v>-0.99741599999999997</v>
      </c>
      <c r="P1239">
        <v>2.5427479999999999E-2</v>
      </c>
      <c r="Q1239">
        <v>-6.4654079999999997E-3</v>
      </c>
      <c r="R1239">
        <v>-0.99965579999999998</v>
      </c>
      <c r="S1239">
        <v>-0.18649289999999999</v>
      </c>
      <c r="T1239">
        <v>-0.13228870000000001</v>
      </c>
      <c r="U1239">
        <v>-3.0053709999999998</v>
      </c>
      <c r="V1239">
        <v>4.516999E-2</v>
      </c>
      <c r="W1239">
        <v>7.0593409999999898E-3</v>
      </c>
      <c r="X1239">
        <v>0.99895440000000002</v>
      </c>
      <c r="Y1239">
        <v>0.1321232</v>
      </c>
      <c r="Z1239">
        <v>4.3575839999999998E-2</v>
      </c>
      <c r="AA1239">
        <v>0.99027500000000002</v>
      </c>
      <c r="AB1239">
        <v>21</v>
      </c>
      <c r="AC1239">
        <v>-1.5760999999999901</v>
      </c>
      <c r="AD1239">
        <v>-1.1093471089119999</v>
      </c>
      <c r="AE1239">
        <v>-24.993499999999901</v>
      </c>
      <c r="AF1239">
        <v>3.32863573376821</v>
      </c>
      <c r="AG1239">
        <v>-1.1093471089119999</v>
      </c>
      <c r="AH1239">
        <v>24.771460216743399</v>
      </c>
      <c r="AI1239">
        <v>92.541368473571794</v>
      </c>
      <c r="AJ1239">
        <v>82.346790464664195</v>
      </c>
      <c r="AK1239">
        <v>25.018707163358201</v>
      </c>
      <c r="AL1239">
        <v>89.595526206303106</v>
      </c>
      <c r="AM1239">
        <v>87.411004841789193</v>
      </c>
      <c r="AN1239">
        <v>1.00000002778565</v>
      </c>
    </row>
    <row r="1240" spans="1:40" x14ac:dyDescent="0.25">
      <c r="A1240" t="str">
        <f>"20190312154236464"</f>
        <v>20190312154236464</v>
      </c>
      <c r="B1240" t="str">
        <f>"1552376556459013"</f>
        <v>1552376556459013</v>
      </c>
      <c r="C1240" t="s">
        <v>40</v>
      </c>
      <c r="D1240">
        <v>5.0107730000000004</v>
      </c>
      <c r="E1240">
        <v>0.53321189999999996</v>
      </c>
      <c r="F1240" t="s">
        <v>43</v>
      </c>
      <c r="G1240">
        <v>-194.60730000000001</v>
      </c>
      <c r="H1240" s="1">
        <v>-5.3054979999999998E-6</v>
      </c>
      <c r="I1240">
        <v>318.97379999999998</v>
      </c>
      <c r="J1240">
        <v>-193.054</v>
      </c>
      <c r="K1240">
        <v>1.109486</v>
      </c>
      <c r="L1240">
        <v>343.2414</v>
      </c>
      <c r="M1240">
        <v>6.8733660000000002E-2</v>
      </c>
      <c r="N1240">
        <v>0</v>
      </c>
      <c r="O1240">
        <v>-0.99754149999999997</v>
      </c>
      <c r="P1240">
        <v>2.3738510000000001E-2</v>
      </c>
      <c r="Q1240">
        <v>-7.1368669999999999E-3</v>
      </c>
      <c r="R1240">
        <v>-0.9996929</v>
      </c>
      <c r="S1240">
        <v>-0.1893463</v>
      </c>
      <c r="T1240">
        <v>-0.13625479999999901</v>
      </c>
      <c r="U1240">
        <v>-3.0049739999999998</v>
      </c>
      <c r="V1240">
        <v>4.5052670000000003E-2</v>
      </c>
      <c r="W1240">
        <v>6.394645E-3</v>
      </c>
      <c r="X1240">
        <v>0.99896410000000002</v>
      </c>
      <c r="Y1240">
        <v>0.1312777</v>
      </c>
      <c r="Z1240">
        <v>4.4895280000000003E-2</v>
      </c>
      <c r="AA1240">
        <v>0.9903286</v>
      </c>
      <c r="AB1240">
        <v>21</v>
      </c>
      <c r="AC1240">
        <v>-1.5532999999999999</v>
      </c>
      <c r="AD1240">
        <v>-1.109491305498</v>
      </c>
      <c r="AE1240">
        <v>-24.267600000000002</v>
      </c>
      <c r="AF1240">
        <v>3.2110979281191101</v>
      </c>
      <c r="AG1240">
        <v>-1.109491305498</v>
      </c>
      <c r="AH1240">
        <v>24.053351639496402</v>
      </c>
      <c r="AI1240">
        <v>92.617777217413604</v>
      </c>
      <c r="AJ1240">
        <v>82.396031714396898</v>
      </c>
      <c r="AK1240">
        <v>24.292094309758699</v>
      </c>
      <c r="AL1240">
        <v>89.633611316038497</v>
      </c>
      <c r="AM1240">
        <v>87.417745164163307</v>
      </c>
      <c r="AN1240">
        <v>0.99999995382380602</v>
      </c>
    </row>
    <row r="1241" spans="1:40" x14ac:dyDescent="0.25">
      <c r="A1241" t="str">
        <f>"20190312154236488"</f>
        <v>20190312154236488</v>
      </c>
      <c r="B1241" t="str">
        <f>"1552376556478534"</f>
        <v>1552376556478534</v>
      </c>
      <c r="C1241" t="s">
        <v>40</v>
      </c>
      <c r="D1241">
        <v>5.0388669999999998</v>
      </c>
      <c r="E1241">
        <v>0.53299469999999904</v>
      </c>
      <c r="F1241" t="s">
        <v>43</v>
      </c>
      <c r="G1241">
        <v>-194.58009999999999</v>
      </c>
      <c r="H1241" s="1">
        <v>-5.4879929999999998E-6</v>
      </c>
      <c r="I1241">
        <v>319.4615</v>
      </c>
      <c r="J1241">
        <v>-193.04079999999999</v>
      </c>
      <c r="K1241">
        <v>1.1096680000000001</v>
      </c>
      <c r="L1241">
        <v>343.01679999999999</v>
      </c>
      <c r="M1241">
        <v>6.6947279999999998E-2</v>
      </c>
      <c r="N1241">
        <v>0</v>
      </c>
      <c r="O1241">
        <v>-0.99766330000000003</v>
      </c>
      <c r="P1241">
        <v>2.1307300000000001E-2</v>
      </c>
      <c r="Q1241">
        <v>-7.7383169999999998E-3</v>
      </c>
      <c r="R1241">
        <v>-0.9997433</v>
      </c>
      <c r="S1241">
        <v>-0.19282530000000001</v>
      </c>
      <c r="T1241">
        <v>-0.14017939999999901</v>
      </c>
      <c r="U1241">
        <v>-3.004486</v>
      </c>
      <c r="V1241">
        <v>4.5688739999999999E-2</v>
      </c>
      <c r="W1241">
        <v>5.8014709999999999E-3</v>
      </c>
      <c r="X1241">
        <v>0.99893889999999996</v>
      </c>
      <c r="Y1241">
        <v>0.13065080000000001</v>
      </c>
      <c r="Z1241">
        <v>4.6201850000000003E-2</v>
      </c>
      <c r="AA1241">
        <v>0.99035130000000005</v>
      </c>
      <c r="AB1241">
        <v>21</v>
      </c>
      <c r="AC1241">
        <v>-1.5392999999999899</v>
      </c>
      <c r="AD1241">
        <v>-1.1096734879929999</v>
      </c>
      <c r="AE1241">
        <v>-23.5552999999999</v>
      </c>
      <c r="AF1241">
        <v>3.1060919108785998</v>
      </c>
      <c r="AG1241">
        <v>-1.1096734879929999</v>
      </c>
      <c r="AH1241">
        <v>23.347787573814301</v>
      </c>
      <c r="AI1241">
        <v>92.697376198491895</v>
      </c>
      <c r="AJ1241">
        <v>82.422106162653293</v>
      </c>
      <c r="AK1241">
        <v>23.579617613539401</v>
      </c>
      <c r="AL1241">
        <v>89.667598339410404</v>
      </c>
      <c r="AM1241">
        <v>87.381272377854799</v>
      </c>
      <c r="AN1241">
        <v>1.00000002198088</v>
      </c>
    </row>
    <row r="1242" spans="1:40" x14ac:dyDescent="0.25">
      <c r="A1242" t="str">
        <f>"20190312154236509"</f>
        <v>20190312154236509</v>
      </c>
      <c r="B1242" t="str">
        <f>"1552376556499031"</f>
        <v>1552376556499031</v>
      </c>
      <c r="C1242" t="s">
        <v>40</v>
      </c>
      <c r="D1242">
        <v>4.9813589999999897</v>
      </c>
      <c r="E1242">
        <v>0.53272149999999996</v>
      </c>
      <c r="F1242" t="s">
        <v>43</v>
      </c>
      <c r="G1242">
        <v>-194.5763</v>
      </c>
      <c r="H1242" s="1">
        <v>-1.2979290000000001E-6</v>
      </c>
      <c r="I1242">
        <v>319.77629999999999</v>
      </c>
      <c r="J1242">
        <v>-193.02879999999999</v>
      </c>
      <c r="K1242">
        <v>1.109834</v>
      </c>
      <c r="L1242">
        <v>342.81270000000001</v>
      </c>
      <c r="M1242">
        <v>6.5607830000000006E-2</v>
      </c>
      <c r="N1242">
        <v>0</v>
      </c>
      <c r="O1242">
        <v>-0.99775250000000004</v>
      </c>
      <c r="P1242">
        <v>1.9200800000000001E-2</v>
      </c>
      <c r="Q1242">
        <v>-8.0633159999999992E-3</v>
      </c>
      <c r="R1242">
        <v>-0.99978370000000005</v>
      </c>
      <c r="S1242">
        <v>-0.19847110000000001</v>
      </c>
      <c r="T1242">
        <v>-0.14343</v>
      </c>
      <c r="U1242">
        <v>-3.0039370000000001</v>
      </c>
      <c r="V1242">
        <v>4.6449230000000001E-2</v>
      </c>
      <c r="W1242">
        <v>5.4843779999999998E-3</v>
      </c>
      <c r="X1242">
        <v>0.99890559999999995</v>
      </c>
      <c r="Y1242">
        <v>0.13118150000000001</v>
      </c>
      <c r="Z1242">
        <v>4.7281240000000002E-2</v>
      </c>
      <c r="AA1242">
        <v>0.99023019999999995</v>
      </c>
      <c r="AB1242">
        <v>21</v>
      </c>
      <c r="AC1242">
        <v>-1.5475000000000101</v>
      </c>
      <c r="AD1242">
        <v>-1.109835297929</v>
      </c>
      <c r="AE1242">
        <v>-23.0364</v>
      </c>
      <c r="AF1242">
        <v>3.0486294419531301</v>
      </c>
      <c r="AG1242">
        <v>-1.109835297929</v>
      </c>
      <c r="AH1242">
        <v>22.832463358478002</v>
      </c>
      <c r="AI1242">
        <v>92.758388795318098</v>
      </c>
      <c r="AJ1242">
        <v>82.394752501753899</v>
      </c>
      <c r="AK1242">
        <v>23.061813867931399</v>
      </c>
      <c r="AL1242">
        <v>89.6857667131722</v>
      </c>
      <c r="AM1242">
        <v>87.337657180839102</v>
      </c>
      <c r="AN1242">
        <v>1.0000000035404899</v>
      </c>
    </row>
    <row r="1243" spans="1:40" x14ac:dyDescent="0.25">
      <c r="A1243" t="str">
        <f>"20190312154236531"</f>
        <v>20190312154236531</v>
      </c>
      <c r="B1243" t="str">
        <f>"1552376556518549"</f>
        <v>1552376556518549</v>
      </c>
      <c r="C1243" t="s">
        <v>40</v>
      </c>
      <c r="D1243">
        <v>5.1163509999999999</v>
      </c>
      <c r="E1243">
        <v>0.53268660000000001</v>
      </c>
      <c r="F1243" t="s">
        <v>43</v>
      </c>
      <c r="G1243">
        <v>-194.5615</v>
      </c>
      <c r="H1243" s="1">
        <v>-1.4200989999999999E-6</v>
      </c>
      <c r="I1243">
        <v>320.07029999999997</v>
      </c>
      <c r="J1243">
        <v>-193.01669999999999</v>
      </c>
      <c r="K1243">
        <v>1.1099939999999999</v>
      </c>
      <c r="L1243">
        <v>342.60750000000002</v>
      </c>
      <c r="M1243">
        <v>6.4522570000000001E-2</v>
      </c>
      <c r="N1243">
        <v>0</v>
      </c>
      <c r="O1243">
        <v>-0.99782329999999997</v>
      </c>
      <c r="P1243">
        <v>1.7028479999999999E-2</v>
      </c>
      <c r="Q1243">
        <v>-9.3550690000000006E-3</v>
      </c>
      <c r="R1243">
        <v>-0.99981160000000002</v>
      </c>
      <c r="S1243">
        <v>-0.2024078</v>
      </c>
      <c r="T1243">
        <v>-0.14656250000000001</v>
      </c>
      <c r="U1243">
        <v>-3.0033259999999999</v>
      </c>
      <c r="V1243">
        <v>4.7528569999999999E-2</v>
      </c>
      <c r="W1243">
        <v>4.2007490000000001E-3</v>
      </c>
      <c r="X1243">
        <v>0.99886109999999995</v>
      </c>
      <c r="Y1243">
        <v>0.13140539999999901</v>
      </c>
      <c r="Z1243">
        <v>4.832355E-2</v>
      </c>
      <c r="AA1243">
        <v>0.99015019999999998</v>
      </c>
      <c r="AB1243">
        <v>21</v>
      </c>
      <c r="AC1243">
        <v>-1.5448</v>
      </c>
      <c r="AD1243">
        <v>-1.1099954200990001</v>
      </c>
      <c r="AE1243">
        <v>-22.537199999999999</v>
      </c>
      <c r="AF1243">
        <v>2.98865760430769</v>
      </c>
      <c r="AG1243">
        <v>-1.1099954200990001</v>
      </c>
      <c r="AH1243">
        <v>22.336616407132599</v>
      </c>
      <c r="AI1243">
        <v>92.819827030964106</v>
      </c>
      <c r="AJ1243">
        <v>82.379041059626502</v>
      </c>
      <c r="AK1243">
        <v>22.562991748166102</v>
      </c>
      <c r="AL1243">
        <v>89.759314116673096</v>
      </c>
      <c r="AM1243">
        <v>87.275763318410995</v>
      </c>
      <c r="AN1243">
        <v>1.0000000541758001</v>
      </c>
    </row>
    <row r="1244" spans="1:40" x14ac:dyDescent="0.25">
      <c r="A1244" t="str">
        <f>"20190312154236553"</f>
        <v>20190312154236553</v>
      </c>
      <c r="B1244" t="str">
        <f>"1552376556548805"</f>
        <v>1552376556548805</v>
      </c>
      <c r="C1244" t="s">
        <v>40</v>
      </c>
      <c r="D1244">
        <v>5.1237769999999996</v>
      </c>
      <c r="E1244">
        <v>0.53237809999999997</v>
      </c>
      <c r="F1244" t="s">
        <v>43</v>
      </c>
      <c r="G1244">
        <v>-194.55340000000001</v>
      </c>
      <c r="H1244" s="1">
        <v>-1.593828E-6</v>
      </c>
      <c r="I1244">
        <v>320.4803</v>
      </c>
      <c r="J1244">
        <v>-193.00450000000001</v>
      </c>
      <c r="K1244">
        <v>1.1101179999999999</v>
      </c>
      <c r="L1244">
        <v>342.40039999999999</v>
      </c>
      <c r="M1244">
        <v>6.3646090000000002E-2</v>
      </c>
      <c r="N1244">
        <v>0</v>
      </c>
      <c r="O1244">
        <v>-0.99787959999999998</v>
      </c>
      <c r="P1244">
        <v>1.535923E-2</v>
      </c>
      <c r="Q1244">
        <v>-1.1185789999999999E-2</v>
      </c>
      <c r="R1244">
        <v>-0.99981960000000003</v>
      </c>
      <c r="S1244">
        <v>-0.20852660000000001</v>
      </c>
      <c r="T1244">
        <v>-0.15062919999999999</v>
      </c>
      <c r="U1244">
        <v>-3.0027159999999999</v>
      </c>
      <c r="V1244">
        <v>4.8314580000000003E-2</v>
      </c>
      <c r="W1244">
        <v>2.3754259999999999E-3</v>
      </c>
      <c r="X1244">
        <v>0.99882939999999998</v>
      </c>
      <c r="Y1244">
        <v>0.13255169999999999</v>
      </c>
      <c r="Z1244">
        <v>4.9668080000000003E-2</v>
      </c>
      <c r="AA1244">
        <v>0.98993089999999995</v>
      </c>
      <c r="AB1244">
        <v>21</v>
      </c>
      <c r="AC1244">
        <v>-1.5488999999999999</v>
      </c>
      <c r="AD1244">
        <v>-1.110119593828</v>
      </c>
      <c r="AE1244">
        <v>-21.920099999999898</v>
      </c>
      <c r="AF1244">
        <v>2.9335305755244501</v>
      </c>
      <c r="AG1244">
        <v>-1.110119593828</v>
      </c>
      <c r="AH1244">
        <v>21.721623921289002</v>
      </c>
      <c r="AI1244">
        <v>92.899374806011295</v>
      </c>
      <c r="AJ1244">
        <v>82.308673287607107</v>
      </c>
      <c r="AK1244">
        <v>21.946911238897702</v>
      </c>
      <c r="AL1244">
        <v>89.863897995252202</v>
      </c>
      <c r="AM1244">
        <v>87.230692703654</v>
      </c>
      <c r="AN1244">
        <v>1.0000000557968001</v>
      </c>
    </row>
    <row r="1245" spans="1:40" x14ac:dyDescent="0.25">
      <c r="A1245" t="str">
        <f>"20190312154236576"</f>
        <v>20190312154236576</v>
      </c>
      <c r="B1245" t="str">
        <f>"1552376556568325"</f>
        <v>1552376556568325</v>
      </c>
      <c r="C1245" t="s">
        <v>40</v>
      </c>
      <c r="D1245">
        <v>5.152215</v>
      </c>
      <c r="E1245">
        <v>0.50715880000000002</v>
      </c>
      <c r="F1245" t="s">
        <v>43</v>
      </c>
      <c r="G1245">
        <v>-194.50360000000001</v>
      </c>
      <c r="H1245" s="1">
        <v>-1.844342E-6</v>
      </c>
      <c r="I1245">
        <v>321.0951</v>
      </c>
      <c r="J1245">
        <v>-192.99160000000001</v>
      </c>
      <c r="K1245">
        <v>1.110222</v>
      </c>
      <c r="L1245">
        <v>342.18150000000003</v>
      </c>
      <c r="M1245">
        <v>6.2928499999999998E-2</v>
      </c>
      <c r="N1245">
        <v>0</v>
      </c>
      <c r="O1245">
        <v>-0.99792519999999996</v>
      </c>
      <c r="P1245">
        <v>1.4133440000000001E-2</v>
      </c>
      <c r="Q1245">
        <v>-1.262872E-2</v>
      </c>
      <c r="R1245">
        <v>-0.9998205</v>
      </c>
      <c r="S1245">
        <v>-0.21122740000000001</v>
      </c>
      <c r="T1245">
        <v>-0.15642239999999999</v>
      </c>
      <c r="U1245">
        <v>-3.0020449999999999</v>
      </c>
      <c r="V1245">
        <v>4.8818199999999999E-2</v>
      </c>
      <c r="W1245">
        <v>9.3680990000000002E-4</v>
      </c>
      <c r="X1245">
        <v>0.99880729999999995</v>
      </c>
      <c r="Y1245">
        <v>0.13273370000000001</v>
      </c>
      <c r="Z1245">
        <v>5.1586050000000001E-2</v>
      </c>
      <c r="AA1245">
        <v>0.98980840000000003</v>
      </c>
      <c r="AB1245">
        <v>21</v>
      </c>
      <c r="AC1245">
        <v>-1.512</v>
      </c>
      <c r="AD1245">
        <v>-1.1102238443420001</v>
      </c>
      <c r="AE1245">
        <v>-21.086400000000001</v>
      </c>
      <c r="AF1245">
        <v>2.82826094810896</v>
      </c>
      <c r="AG1245">
        <v>-1.1102238443420001</v>
      </c>
      <c r="AH1245">
        <v>20.891824142710799</v>
      </c>
      <c r="AI1245">
        <v>93.014478967546793</v>
      </c>
      <c r="AJ1245">
        <v>82.290370454402506</v>
      </c>
      <c r="AK1245">
        <v>21.111607541471098</v>
      </c>
      <c r="AL1245">
        <v>89.946324741807402</v>
      </c>
      <c r="AM1245">
        <v>87.201809911407906</v>
      </c>
      <c r="AN1245">
        <v>1.0000000583986499</v>
      </c>
    </row>
    <row r="1246" spans="1:40" x14ac:dyDescent="0.25">
      <c r="A1246" t="str">
        <f>"20190312154236600"</f>
        <v>20190312154236600</v>
      </c>
      <c r="B1246" t="str">
        <f>"1552376556588822"</f>
        <v>1552376556588822</v>
      </c>
      <c r="C1246" t="s">
        <v>40</v>
      </c>
      <c r="D1246">
        <v>5.1286889999999996</v>
      </c>
      <c r="E1246">
        <v>0.50532869999999996</v>
      </c>
      <c r="F1246" t="s">
        <v>43</v>
      </c>
      <c r="G1246">
        <v>-193.07490000000001</v>
      </c>
      <c r="H1246" s="1">
        <v>-2.8125729999999999E-6</v>
      </c>
      <c r="I1246">
        <v>324.23809999999997</v>
      </c>
      <c r="J1246">
        <v>-192.97819999999999</v>
      </c>
      <c r="K1246">
        <v>1.1103080000000001</v>
      </c>
      <c r="L1246">
        <v>341.95760000000001</v>
      </c>
      <c r="M1246">
        <v>6.2394440000000002E-2</v>
      </c>
      <c r="N1246">
        <v>0</v>
      </c>
      <c r="O1246">
        <v>-0.99795900000000004</v>
      </c>
      <c r="P1246">
        <v>1.283578E-2</v>
      </c>
      <c r="Q1246">
        <v>-1.366031E-2</v>
      </c>
      <c r="R1246">
        <v>-0.99982479999999996</v>
      </c>
      <c r="S1246">
        <v>-1.3931270000000001E-2</v>
      </c>
      <c r="T1246">
        <v>-0.18552160000000001</v>
      </c>
      <c r="U1246">
        <v>-2.998383</v>
      </c>
      <c r="V1246">
        <v>4.9578450000000003E-2</v>
      </c>
      <c r="W1246" s="1">
        <v>-9.1864299999999994E-5</v>
      </c>
      <c r="X1246">
        <v>0.99877020000000005</v>
      </c>
      <c r="Y1246">
        <v>6.7027749999999997E-2</v>
      </c>
      <c r="Z1246">
        <v>6.1505600000000001E-2</v>
      </c>
      <c r="AA1246">
        <v>0.99585360000000001</v>
      </c>
      <c r="AB1246">
        <v>21</v>
      </c>
      <c r="AC1246">
        <v>-9.6700000000026806E-2</v>
      </c>
      <c r="AD1246">
        <v>-1.1103108125729999</v>
      </c>
      <c r="AE1246">
        <v>-17.7195</v>
      </c>
      <c r="AF1246">
        <v>1.197510310979</v>
      </c>
      <c r="AG1246">
        <v>-1.1103108125729999</v>
      </c>
      <c r="AH1246">
        <v>17.6097945735102</v>
      </c>
      <c r="AI1246">
        <v>93.599475273951697</v>
      </c>
      <c r="AJ1246">
        <v>86.109732188347706</v>
      </c>
      <c r="AK1246">
        <v>17.685352299760599</v>
      </c>
      <c r="AL1246">
        <v>90.0052634368338</v>
      </c>
      <c r="AM1246">
        <v>87.158198954225099</v>
      </c>
      <c r="AN1246">
        <v>0.99999997177574496</v>
      </c>
    </row>
    <row r="1247" spans="1:40" x14ac:dyDescent="0.25">
      <c r="A1247" t="str">
        <f>"20190312154236623"</f>
        <v>20190312154236623</v>
      </c>
      <c r="B1247" t="str">
        <f>"1552376556619077"</f>
        <v>1552376556619077</v>
      </c>
      <c r="C1247" t="s">
        <v>40</v>
      </c>
      <c r="D1247">
        <v>5.0952970000000004</v>
      </c>
      <c r="E1247">
        <v>0.50554929999999998</v>
      </c>
      <c r="F1247" t="s">
        <v>43</v>
      </c>
      <c r="G1247">
        <v>-192.9975</v>
      </c>
      <c r="H1247" s="1">
        <v>-2.8494740000000001E-6</v>
      </c>
      <c r="I1247">
        <v>324.37220000000002</v>
      </c>
      <c r="J1247">
        <v>-192.9659</v>
      </c>
      <c r="K1247">
        <v>1.1103889999999901</v>
      </c>
      <c r="L1247">
        <v>341.75130000000001</v>
      </c>
      <c r="M1247">
        <v>6.2060799999999999E-2</v>
      </c>
      <c r="N1247">
        <v>0</v>
      </c>
      <c r="O1247">
        <v>-0.99797979999999997</v>
      </c>
      <c r="P1247">
        <v>1.097982E-2</v>
      </c>
      <c r="Q1247">
        <v>-1.4434209999999999E-2</v>
      </c>
      <c r="R1247">
        <v>-0.99983599999999995</v>
      </c>
      <c r="S1247">
        <v>-3.28064E-3</v>
      </c>
      <c r="T1247">
        <v>-0.18928600000000001</v>
      </c>
      <c r="U1247">
        <v>-2.9979550000000001</v>
      </c>
      <c r="V1247">
        <v>5.1097499999999997E-2</v>
      </c>
      <c r="W1247">
        <v>-8.6364099999999995E-4</v>
      </c>
      <c r="X1247">
        <v>0.99869330000000001</v>
      </c>
      <c r="Y1247">
        <v>6.3156400000000001E-2</v>
      </c>
      <c r="Z1247">
        <v>6.2767859999999995E-2</v>
      </c>
      <c r="AA1247">
        <v>0.99602780000000002</v>
      </c>
      <c r="AB1247">
        <v>21</v>
      </c>
      <c r="AC1247">
        <v>-3.1599999999997401E-2</v>
      </c>
      <c r="AD1247">
        <v>-1.1103918494739999</v>
      </c>
      <c r="AE1247">
        <v>-17.379099999999902</v>
      </c>
      <c r="AF1247">
        <v>1.10568593024943</v>
      </c>
      <c r="AG1247">
        <v>-1.1103918494739999</v>
      </c>
      <c r="AH1247">
        <v>17.273119344061602</v>
      </c>
      <c r="AI1247">
        <v>93.670670808475194</v>
      </c>
      <c r="AJ1247">
        <v>86.337382934993101</v>
      </c>
      <c r="AK1247">
        <v>17.344052678365699</v>
      </c>
      <c r="AL1247">
        <v>90.049482990271599</v>
      </c>
      <c r="AM1247">
        <v>87.071052322697298</v>
      </c>
      <c r="AN1247">
        <v>1.00000000392345</v>
      </c>
    </row>
    <row r="1248" spans="1:40" x14ac:dyDescent="0.25">
      <c r="A1248" t="str">
        <f>"20190312154236645"</f>
        <v>20190312154236645</v>
      </c>
      <c r="B1248" t="str">
        <f>"1552376556638598"</f>
        <v>1552376556638598</v>
      </c>
      <c r="C1248" t="s">
        <v>40</v>
      </c>
      <c r="D1248">
        <v>5.0808530000000003</v>
      </c>
      <c r="E1248">
        <v>0.50566829999999996</v>
      </c>
      <c r="F1248" t="s">
        <v>43</v>
      </c>
      <c r="G1248">
        <v>-193.029</v>
      </c>
      <c r="H1248" s="1">
        <v>-2.631434E-6</v>
      </c>
      <c r="I1248">
        <v>323.84440000000001</v>
      </c>
      <c r="J1248">
        <v>-192.953</v>
      </c>
      <c r="K1248">
        <v>1.1104719999999999</v>
      </c>
      <c r="L1248">
        <v>341.5369</v>
      </c>
      <c r="M1248">
        <v>6.1847880000000001E-2</v>
      </c>
      <c r="N1248">
        <v>0</v>
      </c>
      <c r="O1248">
        <v>-0.99799309999999997</v>
      </c>
      <c r="P1248">
        <v>9.8352890000000005E-3</v>
      </c>
      <c r="Q1248">
        <v>-1.504335E-2</v>
      </c>
      <c r="R1248">
        <v>-0.99983840000000002</v>
      </c>
      <c r="S1248">
        <v>-1.055908E-2</v>
      </c>
      <c r="T1248">
        <v>-0.1859007</v>
      </c>
      <c r="U1248">
        <v>-2.9979550000000001</v>
      </c>
      <c r="V1248">
        <v>5.2027139999999999E-2</v>
      </c>
      <c r="W1248">
        <v>-1.468911E-3</v>
      </c>
      <c r="X1248">
        <v>0.99864459999999999</v>
      </c>
      <c r="Y1248">
        <v>6.5361699999999995E-2</v>
      </c>
      <c r="Z1248">
        <v>6.1646270000000003E-2</v>
      </c>
      <c r="AA1248">
        <v>0.99595560000000005</v>
      </c>
      <c r="AB1248">
        <v>21</v>
      </c>
      <c r="AC1248">
        <v>-7.60000000000218E-2</v>
      </c>
      <c r="AD1248">
        <v>-1.1104746314339999</v>
      </c>
      <c r="AE1248">
        <v>-17.6924999999999</v>
      </c>
      <c r="AF1248">
        <v>1.1656073122408299</v>
      </c>
      <c r="AG1248">
        <v>-1.1104746314339999</v>
      </c>
      <c r="AH1248">
        <v>17.584649030944401</v>
      </c>
      <c r="AI1248">
        <v>93.605551984570099</v>
      </c>
      <c r="AJ1248">
        <v>86.207668131144999</v>
      </c>
      <c r="AK1248">
        <v>17.658190050367601</v>
      </c>
      <c r="AL1248">
        <v>90.084162430284593</v>
      </c>
      <c r="AM1248">
        <v>87.017714812856894</v>
      </c>
      <c r="AN1248">
        <v>1.00000000905263</v>
      </c>
    </row>
    <row r="1249" spans="1:40" x14ac:dyDescent="0.25">
      <c r="A1249" t="str">
        <f>"20190312154236665"</f>
        <v>20190312154236665</v>
      </c>
      <c r="B1249" t="str">
        <f>"1552376556658606"</f>
        <v>1552376556658606</v>
      </c>
      <c r="C1249" t="s">
        <v>40</v>
      </c>
      <c r="D1249">
        <v>5.1652909999999999</v>
      </c>
      <c r="E1249">
        <v>0.50497190000000003</v>
      </c>
      <c r="F1249" t="s">
        <v>43</v>
      </c>
      <c r="G1249">
        <v>-193.04239999999999</v>
      </c>
      <c r="H1249" s="1">
        <v>-2.4298680000000002E-6</v>
      </c>
      <c r="I1249">
        <v>323.36619999999999</v>
      </c>
      <c r="J1249">
        <v>-192.94149999999999</v>
      </c>
      <c r="K1249">
        <v>1.110536</v>
      </c>
      <c r="L1249">
        <v>341.34899999999999</v>
      </c>
      <c r="M1249">
        <v>6.1757880000000001E-2</v>
      </c>
      <c r="N1249">
        <v>0</v>
      </c>
      <c r="O1249">
        <v>-0.99799879999999996</v>
      </c>
      <c r="P1249">
        <v>9.1183380000000001E-3</v>
      </c>
      <c r="Q1249">
        <v>-1.6210700000000001E-2</v>
      </c>
      <c r="R1249">
        <v>-0.99982720000000003</v>
      </c>
      <c r="S1249">
        <v>-1.4755249999999999E-2</v>
      </c>
      <c r="T1249">
        <v>-0.18321170000000001</v>
      </c>
      <c r="U1249">
        <v>-2.9978940000000001</v>
      </c>
      <c r="V1249">
        <v>5.2652400000000002E-2</v>
      </c>
      <c r="W1249">
        <v>-2.632414E-3</v>
      </c>
      <c r="X1249">
        <v>0.99860939999999998</v>
      </c>
      <c r="Y1249">
        <v>6.6666009999999998E-2</v>
      </c>
      <c r="Z1249">
        <v>6.0756829999999998E-2</v>
      </c>
      <c r="AA1249">
        <v>0.99592380000000003</v>
      </c>
      <c r="AB1249">
        <v>21</v>
      </c>
      <c r="AC1249">
        <v>-0.10089999999999499</v>
      </c>
      <c r="AD1249">
        <v>-1.1105384298680001</v>
      </c>
      <c r="AE1249">
        <v>-17.982799999999902</v>
      </c>
      <c r="AF1249">
        <v>1.2067871110723001</v>
      </c>
      <c r="AG1249">
        <v>-1.1105384298680001</v>
      </c>
      <c r="AH1249">
        <v>17.874070295077502</v>
      </c>
      <c r="AI1249">
        <v>93.547233593801593</v>
      </c>
      <c r="AJ1249">
        <v>86.137475609914105</v>
      </c>
      <c r="AK1249">
        <v>17.949150945073502</v>
      </c>
      <c r="AL1249">
        <v>90.150826390956496</v>
      </c>
      <c r="AM1249">
        <v>86.981833515551699</v>
      </c>
      <c r="AN1249">
        <v>0.99999996929879298</v>
      </c>
    </row>
    <row r="1250" spans="1:40" x14ac:dyDescent="0.25">
      <c r="A1250" t="str">
        <f>"20190312154236688"</f>
        <v>20190312154236688</v>
      </c>
      <c r="B1250" t="str">
        <f>"1552376556679102"</f>
        <v>1552376556679102</v>
      </c>
      <c r="C1250" t="s">
        <v>40</v>
      </c>
      <c r="D1250">
        <v>5.1755559999999896</v>
      </c>
      <c r="E1250">
        <v>0.50440090000000004</v>
      </c>
      <c r="F1250" t="s">
        <v>43</v>
      </c>
      <c r="G1250">
        <v>-193.00839999999999</v>
      </c>
      <c r="H1250" s="1">
        <v>-2.5526450000000001E-6</v>
      </c>
      <c r="I1250">
        <v>323.67349999999999</v>
      </c>
      <c r="J1250">
        <v>-192.9282</v>
      </c>
      <c r="K1250">
        <v>1.110592</v>
      </c>
      <c r="L1250">
        <v>341.13229999999999</v>
      </c>
      <c r="M1250">
        <v>6.1737590000000002E-2</v>
      </c>
      <c r="N1250">
        <v>0</v>
      </c>
      <c r="O1250">
        <v>-0.99800009999999995</v>
      </c>
      <c r="P1250">
        <v>8.5274489999999994E-3</v>
      </c>
      <c r="Q1250">
        <v>-1.8088099999999999E-2</v>
      </c>
      <c r="R1250">
        <v>-0.99980029999999998</v>
      </c>
      <c r="S1250">
        <v>-1.133728E-2</v>
      </c>
      <c r="T1250">
        <v>-0.18833220000000001</v>
      </c>
      <c r="U1250">
        <v>-2.997528</v>
      </c>
      <c r="V1250">
        <v>5.3221209999999998E-2</v>
      </c>
      <c r="W1250">
        <v>-4.5066680000000001E-3</v>
      </c>
      <c r="X1250">
        <v>0.99857260000000003</v>
      </c>
      <c r="Y1250">
        <v>6.5510260000000001E-2</v>
      </c>
      <c r="Z1250">
        <v>6.2458600000000003E-2</v>
      </c>
      <c r="AA1250">
        <v>0.99589530000000004</v>
      </c>
      <c r="AB1250">
        <v>21</v>
      </c>
      <c r="AC1250">
        <v>-8.0199999999990695E-2</v>
      </c>
      <c r="AD1250">
        <v>-1.1105945526450001</v>
      </c>
      <c r="AE1250">
        <v>-17.458799999999901</v>
      </c>
      <c r="AF1250">
        <v>1.15334360673749</v>
      </c>
      <c r="AG1250">
        <v>-1.1105945526450001</v>
      </c>
      <c r="AH1250">
        <v>17.350330832361902</v>
      </c>
      <c r="AI1250">
        <v>93.654462492136105</v>
      </c>
      <c r="AJ1250">
        <v>86.196922960465599</v>
      </c>
      <c r="AK1250">
        <v>17.4240523911051</v>
      </c>
      <c r="AL1250">
        <v>90.258213924354393</v>
      </c>
      <c r="AM1250">
        <v>86.949176959837203</v>
      </c>
      <c r="AN1250">
        <v>1.0000000223605401</v>
      </c>
    </row>
    <row r="1251" spans="1:40" x14ac:dyDescent="0.25">
      <c r="A1251" t="str">
        <f>"20190312154236710"</f>
        <v>20190312154236710</v>
      </c>
      <c r="B1251" t="str">
        <f>"1552376556698622"</f>
        <v>1552376556698622</v>
      </c>
      <c r="C1251" t="s">
        <v>40</v>
      </c>
      <c r="D1251">
        <v>5.1017989999999998</v>
      </c>
      <c r="E1251">
        <v>0.50413279999999905</v>
      </c>
      <c r="F1251" t="s">
        <v>41</v>
      </c>
      <c r="G1251">
        <v>-192.93100000000001</v>
      </c>
      <c r="H1251">
        <v>1.050416</v>
      </c>
      <c r="I1251">
        <v>340.21030000000002</v>
      </c>
      <c r="J1251">
        <v>-192.91550000000001</v>
      </c>
      <c r="K1251">
        <v>1.110616</v>
      </c>
      <c r="L1251">
        <v>340.92790000000002</v>
      </c>
      <c r="M1251">
        <v>6.1786380000000002E-2</v>
      </c>
      <c r="N1251">
        <v>0</v>
      </c>
      <c r="O1251">
        <v>-0.99799700000000002</v>
      </c>
      <c r="P1251">
        <v>8.6262999999999999E-3</v>
      </c>
      <c r="Q1251">
        <v>-1.8445050000000001E-2</v>
      </c>
      <c r="R1251">
        <v>-0.99979309999999999</v>
      </c>
      <c r="S1251">
        <v>-8.7432859999999994E-3</v>
      </c>
      <c r="T1251">
        <v>-0.19572229999999999</v>
      </c>
      <c r="U1251">
        <v>-2.9971009999999998</v>
      </c>
      <c r="V1251">
        <v>5.3171400000000001E-2</v>
      </c>
      <c r="W1251">
        <v>-4.8636549999999997E-3</v>
      </c>
      <c r="X1251">
        <v>0.9985735</v>
      </c>
      <c r="Y1251">
        <v>6.4697180000000007E-2</v>
      </c>
      <c r="Z1251">
        <v>6.4910019999999999E-2</v>
      </c>
      <c r="AA1251">
        <v>0.9957916</v>
      </c>
      <c r="AB1251">
        <v>21</v>
      </c>
      <c r="AC1251">
        <v>-1.5499999999974499E-2</v>
      </c>
      <c r="AD1251">
        <v>-6.0199999999999997E-2</v>
      </c>
      <c r="AE1251">
        <v>-0.71760000000000401</v>
      </c>
      <c r="AF1251">
        <v>5.9394571953935403E-2</v>
      </c>
      <c r="AG1251">
        <v>-6.0199999999999997E-2</v>
      </c>
      <c r="AH1251">
        <v>0.71027458235980101</v>
      </c>
      <c r="AI1251">
        <v>94.827810045524103</v>
      </c>
      <c r="AJ1251">
        <v>85.219934119877905</v>
      </c>
      <c r="AK1251">
        <v>0.715291365475623</v>
      </c>
      <c r="AL1251">
        <v>90.278668018800701</v>
      </c>
      <c r="AM1251">
        <v>86.952029596175294</v>
      </c>
      <c r="AN1251">
        <v>0.99999994391008296</v>
      </c>
    </row>
    <row r="1252" spans="1:40" x14ac:dyDescent="0.25">
      <c r="A1252" t="str">
        <f>"20190312154236732"</f>
        <v>20190312154236732</v>
      </c>
      <c r="B1252" t="str">
        <f>"1552376556718142"</f>
        <v>1552376556718142</v>
      </c>
      <c r="C1252" t="s">
        <v>40</v>
      </c>
      <c r="D1252">
        <v>5.1219999999999999</v>
      </c>
      <c r="E1252">
        <v>0.50392389999999998</v>
      </c>
      <c r="F1252" t="s">
        <v>41</v>
      </c>
      <c r="G1252">
        <v>-192.91759999999999</v>
      </c>
      <c r="H1252">
        <v>1.0518320000000001</v>
      </c>
      <c r="I1252">
        <v>340.02300000000002</v>
      </c>
      <c r="J1252">
        <v>-192.9025</v>
      </c>
      <c r="K1252">
        <v>1.110619</v>
      </c>
      <c r="L1252">
        <v>340.72</v>
      </c>
      <c r="M1252">
        <v>6.1873629999999999E-2</v>
      </c>
      <c r="N1252">
        <v>0</v>
      </c>
      <c r="O1252">
        <v>-0.99799179999999998</v>
      </c>
      <c r="P1252">
        <v>9.9012219999999995E-3</v>
      </c>
      <c r="Q1252">
        <v>-1.8134069999999999E-2</v>
      </c>
      <c r="R1252">
        <v>-0.99978699999999998</v>
      </c>
      <c r="S1252">
        <v>-6.5002439999999996E-3</v>
      </c>
      <c r="T1252">
        <v>-0.19482679999999999</v>
      </c>
      <c r="U1252">
        <v>-2.9970699999999999</v>
      </c>
      <c r="V1252">
        <v>5.1985730000000001E-2</v>
      </c>
      <c r="W1252">
        <v>-4.5560119999999999E-3</v>
      </c>
      <c r="X1252">
        <v>0.99863740000000001</v>
      </c>
      <c r="Y1252">
        <v>6.4039219999999994E-2</v>
      </c>
      <c r="Z1252">
        <v>6.4615859999999997E-2</v>
      </c>
      <c r="AA1252">
        <v>0.99585330000000005</v>
      </c>
      <c r="AB1252">
        <v>21</v>
      </c>
      <c r="AC1252">
        <v>-1.5099999999989599E-2</v>
      </c>
      <c r="AD1252">
        <v>-5.8787000000000103E-2</v>
      </c>
      <c r="AE1252">
        <v>-0.69700000000000195</v>
      </c>
      <c r="AF1252">
        <v>5.7790042056882998E-2</v>
      </c>
      <c r="AG1252">
        <v>-5.8787000000000103E-2</v>
      </c>
      <c r="AH1252">
        <v>0.68982499532447505</v>
      </c>
      <c r="AI1252">
        <v>94.854064689499296</v>
      </c>
      <c r="AJ1252">
        <v>85.211231985584007</v>
      </c>
      <c r="AK1252">
        <v>0.69473313186024699</v>
      </c>
      <c r="AL1252">
        <v>90.261041171229095</v>
      </c>
      <c r="AM1252">
        <v>87.020062779467295</v>
      </c>
      <c r="AN1252">
        <v>0.99999996502386701</v>
      </c>
    </row>
    <row r="1253" spans="1:40" x14ac:dyDescent="0.25">
      <c r="A1253" t="str">
        <f>"20190312154236755"</f>
        <v>20190312154236755</v>
      </c>
      <c r="B1253" t="str">
        <f>"1552376556748398"</f>
        <v>1552376556748398</v>
      </c>
      <c r="C1253" t="s">
        <v>40</v>
      </c>
      <c r="D1253">
        <v>5.1686050000000003</v>
      </c>
      <c r="E1253">
        <v>0.50360760000000004</v>
      </c>
      <c r="F1253" t="s">
        <v>41</v>
      </c>
      <c r="G1253">
        <v>-192.90289999999999</v>
      </c>
      <c r="H1253">
        <v>1.053229</v>
      </c>
      <c r="I1253">
        <v>339.83120000000002</v>
      </c>
      <c r="J1253">
        <v>-192.88939999999999</v>
      </c>
      <c r="K1253">
        <v>1.1106069999999999</v>
      </c>
      <c r="L1253">
        <v>340.50990000000002</v>
      </c>
      <c r="M1253">
        <v>6.1976360000000001E-2</v>
      </c>
      <c r="N1253">
        <v>0</v>
      </c>
      <c r="O1253">
        <v>-0.99798560000000003</v>
      </c>
      <c r="P1253">
        <v>1.1927729999999999E-2</v>
      </c>
      <c r="Q1253">
        <v>-1.8530580000000001E-2</v>
      </c>
      <c r="R1253">
        <v>-0.99975749999999997</v>
      </c>
      <c r="S1253">
        <v>-1.296997E-3</v>
      </c>
      <c r="T1253">
        <v>-0.1935142</v>
      </c>
      <c r="U1253">
        <v>-2.997131</v>
      </c>
      <c r="V1253">
        <v>5.0063980000000001E-2</v>
      </c>
      <c r="W1253">
        <v>-4.9582849999999998E-3</v>
      </c>
      <c r="X1253">
        <v>0.99873369999999995</v>
      </c>
      <c r="Y1253">
        <v>6.241294E-2</v>
      </c>
      <c r="Z1253">
        <v>6.4183809999999994E-2</v>
      </c>
      <c r="AA1253">
        <v>0.99598450000000005</v>
      </c>
      <c r="AB1253">
        <v>21</v>
      </c>
      <c r="AC1253">
        <v>-1.3499999999993399E-2</v>
      </c>
      <c r="AD1253">
        <v>-5.73779999999997E-2</v>
      </c>
      <c r="AE1253">
        <v>-0.67869999999999198</v>
      </c>
      <c r="AF1253">
        <v>5.5147270140456298E-2</v>
      </c>
      <c r="AG1253">
        <v>-5.73779999999997E-2</v>
      </c>
      <c r="AH1253">
        <v>0.67175899349706703</v>
      </c>
      <c r="AI1253">
        <v>94.865754733403705</v>
      </c>
      <c r="AJ1253">
        <v>85.306893908017997</v>
      </c>
      <c r="AK1253">
        <v>0.67645665170219005</v>
      </c>
      <c r="AL1253">
        <v>90.284089969562501</v>
      </c>
      <c r="AM1253">
        <v>87.130310317810796</v>
      </c>
      <c r="AN1253">
        <v>0.999999995099635</v>
      </c>
    </row>
    <row r="1254" spans="1:40" x14ac:dyDescent="0.25">
      <c r="A1254" t="str">
        <f>"20190312154236777"</f>
        <v>20190312154236777</v>
      </c>
      <c r="B1254" t="str">
        <f>"1552376556768895"</f>
        <v>1552376556768895</v>
      </c>
      <c r="C1254" t="s">
        <v>40</v>
      </c>
      <c r="D1254">
        <v>5.1618659999999998</v>
      </c>
      <c r="E1254">
        <v>0.50351659999999998</v>
      </c>
      <c r="F1254" t="s">
        <v>43</v>
      </c>
      <c r="G1254">
        <v>-192.8486</v>
      </c>
      <c r="H1254" s="1">
        <v>-2.4393940000000001E-6</v>
      </c>
      <c r="I1254">
        <v>323.5086</v>
      </c>
      <c r="J1254">
        <v>-192.87629999999999</v>
      </c>
      <c r="K1254">
        <v>1.110574</v>
      </c>
      <c r="L1254">
        <v>340.30090000000001</v>
      </c>
      <c r="M1254">
        <v>6.2069489999999998E-2</v>
      </c>
      <c r="N1254">
        <v>0</v>
      </c>
      <c r="O1254">
        <v>-0.99797939999999996</v>
      </c>
      <c r="P1254">
        <v>1.4670280000000001E-2</v>
      </c>
      <c r="Q1254">
        <v>-1.9195159999999999E-2</v>
      </c>
      <c r="R1254">
        <v>-0.99970820000000005</v>
      </c>
      <c r="S1254">
        <v>7.1868899999999996E-3</v>
      </c>
      <c r="T1254">
        <v>-0.19578119999999999</v>
      </c>
      <c r="U1254">
        <v>-2.9970400000000001</v>
      </c>
      <c r="V1254">
        <v>4.7416680000000003E-2</v>
      </c>
      <c r="W1254">
        <v>-5.6290669999999998E-3</v>
      </c>
      <c r="X1254">
        <v>0.99885930000000001</v>
      </c>
      <c r="Y1254">
        <v>5.9686629999999997E-2</v>
      </c>
      <c r="Z1254">
        <v>6.493931E-2</v>
      </c>
      <c r="AA1254">
        <v>0.99610259999999995</v>
      </c>
      <c r="AB1254">
        <v>21</v>
      </c>
      <c r="AC1254">
        <v>2.76999999999816E-2</v>
      </c>
      <c r="AD1254">
        <v>-1.1105764393940001</v>
      </c>
      <c r="AE1254">
        <v>-16.792300000000001</v>
      </c>
      <c r="AF1254">
        <v>1.0103199745147899</v>
      </c>
      <c r="AG1254">
        <v>-1.1105764393940001</v>
      </c>
      <c r="AH1254">
        <v>16.688639563677</v>
      </c>
      <c r="AI1254">
        <v>93.800303048363105</v>
      </c>
      <c r="AJ1254">
        <v>86.535577010466199</v>
      </c>
      <c r="AK1254">
        <v>16.756038224024401</v>
      </c>
      <c r="AL1254">
        <v>90.322523496407499</v>
      </c>
      <c r="AM1254">
        <v>87.282162097884793</v>
      </c>
      <c r="AN1254">
        <v>0.99999996456700002</v>
      </c>
    </row>
    <row r="1255" spans="1:40" x14ac:dyDescent="0.25">
      <c r="A1255" t="str">
        <f>"20190312154236801"</f>
        <v>20190312154236801</v>
      </c>
      <c r="B1255" t="str">
        <f>"1552376556788418"</f>
        <v>1552376556788418</v>
      </c>
      <c r="C1255" t="s">
        <v>40</v>
      </c>
      <c r="D1255">
        <v>5.15191</v>
      </c>
      <c r="E1255">
        <v>0.50332299999999996</v>
      </c>
      <c r="F1255" t="s">
        <v>43</v>
      </c>
      <c r="G1255">
        <v>-192.78530000000001</v>
      </c>
      <c r="H1255" s="1">
        <v>-2.3253419999999999E-6</v>
      </c>
      <c r="I1255">
        <v>323.28199999999998</v>
      </c>
      <c r="J1255">
        <v>-192.86330000000001</v>
      </c>
      <c r="K1255">
        <v>1.11054599999999</v>
      </c>
      <c r="L1255">
        <v>340.09359999999998</v>
      </c>
      <c r="M1255">
        <v>6.2135990000000002E-2</v>
      </c>
      <c r="N1255">
        <v>0</v>
      </c>
      <c r="O1255">
        <v>-0.99797530000000001</v>
      </c>
      <c r="P1255">
        <v>1.6377799999999901E-2</v>
      </c>
      <c r="Q1255">
        <v>-1.9156820000000001E-2</v>
      </c>
      <c r="R1255">
        <v>-0.99968230000000002</v>
      </c>
      <c r="S1255">
        <v>1.6021730000000001E-2</v>
      </c>
      <c r="T1255">
        <v>-0.19556129999999999</v>
      </c>
      <c r="U1255">
        <v>-2.9968569999999999</v>
      </c>
      <c r="V1255">
        <v>4.5776949999999997E-2</v>
      </c>
      <c r="W1255">
        <v>-5.596653E-3</v>
      </c>
      <c r="X1255">
        <v>0.99893600000000005</v>
      </c>
      <c r="Y1255">
        <v>5.6816239999999997E-2</v>
      </c>
      <c r="Z1255">
        <v>6.4875299999999997E-2</v>
      </c>
      <c r="AA1255">
        <v>0.99627460000000001</v>
      </c>
      <c r="AB1255">
        <v>21</v>
      </c>
      <c r="AC1255">
        <v>7.80000000000029E-2</v>
      </c>
      <c r="AD1255">
        <v>-1.1105483253420001</v>
      </c>
      <c r="AE1255">
        <v>-16.811599999999999</v>
      </c>
      <c r="AF1255">
        <v>0.96265184115385105</v>
      </c>
      <c r="AG1255">
        <v>-1.1105483253420001</v>
      </c>
      <c r="AH1255">
        <v>16.711035174682699</v>
      </c>
      <c r="AI1255">
        <v>93.795782636193294</v>
      </c>
      <c r="AJ1255">
        <v>86.703076855756606</v>
      </c>
      <c r="AK1255">
        <v>16.775539119792199</v>
      </c>
      <c r="AL1255">
        <v>90.320666272928804</v>
      </c>
      <c r="AM1255">
        <v>87.376215924249394</v>
      </c>
      <c r="AN1255">
        <v>0.99999999188605204</v>
      </c>
    </row>
    <row r="1256" spans="1:40" x14ac:dyDescent="0.25">
      <c r="A1256" t="str">
        <f>"20190312154236823"</f>
        <v>20190312154236823</v>
      </c>
      <c r="B1256" t="str">
        <f>"1552376556818670"</f>
        <v>1552376556818670</v>
      </c>
      <c r="C1256" t="s">
        <v>40</v>
      </c>
      <c r="D1256">
        <v>5.1441109999999997</v>
      </c>
      <c r="E1256">
        <v>0.50299269999999996</v>
      </c>
      <c r="F1256" t="s">
        <v>43</v>
      </c>
      <c r="G1256">
        <v>-192.7353</v>
      </c>
      <c r="H1256" s="1">
        <v>-2.252866E-6</v>
      </c>
      <c r="I1256">
        <v>323.14409999999998</v>
      </c>
      <c r="J1256">
        <v>-192.84970000000001</v>
      </c>
      <c r="K1256">
        <v>1.110519</v>
      </c>
      <c r="L1256">
        <v>339.87560000000002</v>
      </c>
      <c r="M1256">
        <v>6.217168E-2</v>
      </c>
      <c r="N1256">
        <v>0</v>
      </c>
      <c r="O1256">
        <v>-0.99797329999999995</v>
      </c>
      <c r="P1256">
        <v>1.8289690000000001E-2</v>
      </c>
      <c r="Q1256">
        <v>-1.9086530000000001E-2</v>
      </c>
      <c r="R1256">
        <v>-0.99965059999999994</v>
      </c>
      <c r="S1256">
        <v>2.2628780000000001E-2</v>
      </c>
      <c r="T1256">
        <v>-0.19635069999999999</v>
      </c>
      <c r="U1256">
        <v>-2.9967649999999999</v>
      </c>
      <c r="V1256">
        <v>4.3902070000000001E-2</v>
      </c>
      <c r="W1256">
        <v>-5.5317719999999999E-3</v>
      </c>
      <c r="X1256">
        <v>0.99902049999999998</v>
      </c>
      <c r="Y1256">
        <v>5.4655349999999998E-2</v>
      </c>
      <c r="Z1256">
        <v>6.5141320000000003E-2</v>
      </c>
      <c r="AA1256">
        <v>0.99637810000000004</v>
      </c>
      <c r="AB1256">
        <v>21</v>
      </c>
      <c r="AC1256">
        <v>0.114400000000017</v>
      </c>
      <c r="AD1256">
        <v>-1.110521252866</v>
      </c>
      <c r="AE1256">
        <v>-16.7315</v>
      </c>
      <c r="AF1256">
        <v>0.922080584466483</v>
      </c>
      <c r="AG1256">
        <v>-1.110521252866</v>
      </c>
      <c r="AH1256">
        <v>16.632968317768398</v>
      </c>
      <c r="AI1256">
        <v>93.813917646263505</v>
      </c>
      <c r="AJ1256">
        <v>86.826946153114307</v>
      </c>
      <c r="AK1256">
        <v>16.695482176840699</v>
      </c>
      <c r="AL1256">
        <v>90.3169488129668</v>
      </c>
      <c r="AM1256">
        <v>87.483749362374894</v>
      </c>
      <c r="AN1256">
        <v>0.99999997583599698</v>
      </c>
    </row>
    <row r="1257" spans="1:40" x14ac:dyDescent="0.25">
      <c r="A1257" t="str">
        <f>"20190312154236846"</f>
        <v>20190312154236846</v>
      </c>
      <c r="B1257" t="str">
        <f>"1552376556838191"</f>
        <v>1552376556838191</v>
      </c>
      <c r="C1257" t="s">
        <v>40</v>
      </c>
      <c r="D1257">
        <v>5.1064720000000001</v>
      </c>
      <c r="E1257">
        <v>0.50307230000000003</v>
      </c>
      <c r="F1257" t="s">
        <v>43</v>
      </c>
      <c r="G1257">
        <v>-192.67519999999999</v>
      </c>
      <c r="H1257" s="1">
        <v>-2.2494809999999999E-6</v>
      </c>
      <c r="I1257">
        <v>323.17349999999999</v>
      </c>
      <c r="J1257">
        <v>-192.83680000000001</v>
      </c>
      <c r="K1257">
        <v>1.110501</v>
      </c>
      <c r="L1257">
        <v>339.67079999999999</v>
      </c>
      <c r="M1257">
        <v>6.2176679999999998E-2</v>
      </c>
      <c r="N1257">
        <v>0</v>
      </c>
      <c r="O1257">
        <v>-0.997973</v>
      </c>
      <c r="P1257">
        <v>1.880335E-2</v>
      </c>
      <c r="Q1257">
        <v>-1.9134330000000001E-2</v>
      </c>
      <c r="R1257">
        <v>-0.99964030000000004</v>
      </c>
      <c r="S1257">
        <v>3.1295780000000002E-2</v>
      </c>
      <c r="T1257">
        <v>-0.1992457</v>
      </c>
      <c r="U1257">
        <v>-2.9966430000000002</v>
      </c>
      <c r="V1257">
        <v>4.3393460000000002E-2</v>
      </c>
      <c r="W1257">
        <v>-5.584589E-3</v>
      </c>
      <c r="X1257">
        <v>0.99904250000000006</v>
      </c>
      <c r="Y1257">
        <v>5.1778959999999999E-2</v>
      </c>
      <c r="Z1257">
        <v>6.6104449999999995E-2</v>
      </c>
      <c r="AA1257">
        <v>0.99646829999999997</v>
      </c>
      <c r="AB1257">
        <v>21</v>
      </c>
      <c r="AC1257">
        <v>0.161600000000021</v>
      </c>
      <c r="AD1257">
        <v>-1.1105032494810001</v>
      </c>
      <c r="AE1257">
        <v>-16.4972999999999</v>
      </c>
      <c r="AF1257">
        <v>0.86065499599699702</v>
      </c>
      <c r="AG1257">
        <v>-1.1105032494810001</v>
      </c>
      <c r="AH1257">
        <v>16.4011134221386</v>
      </c>
      <c r="AI1257">
        <v>93.868222606862204</v>
      </c>
      <c r="AJ1257">
        <v>86.996136213709704</v>
      </c>
      <c r="AK1257">
        <v>16.4611805765898</v>
      </c>
      <c r="AL1257">
        <v>90.319975027751894</v>
      </c>
      <c r="AM1257">
        <v>87.512918265553296</v>
      </c>
      <c r="AN1257">
        <v>1.0000000484056499</v>
      </c>
    </row>
    <row r="1258" spans="1:40" x14ac:dyDescent="0.25">
      <c r="A1258" t="str">
        <f>"20190312154236866"</f>
        <v>20190312154236866</v>
      </c>
      <c r="B1258" t="str">
        <f>"1552376556858687"</f>
        <v>1552376556858687</v>
      </c>
      <c r="C1258" t="s">
        <v>40</v>
      </c>
      <c r="D1258">
        <v>5.1829450000000001</v>
      </c>
      <c r="E1258">
        <v>0.50279719999999894</v>
      </c>
      <c r="F1258" t="s">
        <v>43</v>
      </c>
      <c r="G1258">
        <v>-192.655</v>
      </c>
      <c r="H1258" s="1">
        <v>-2.0729500000000002E-6</v>
      </c>
      <c r="I1258">
        <v>322.77449999999999</v>
      </c>
      <c r="J1258">
        <v>-192.82499999999999</v>
      </c>
      <c r="K1258">
        <v>1.110487</v>
      </c>
      <c r="L1258">
        <v>339.48090000000002</v>
      </c>
      <c r="M1258">
        <v>6.2165819999999997E-2</v>
      </c>
      <c r="N1258">
        <v>0</v>
      </c>
      <c r="O1258">
        <v>-0.99797369999999996</v>
      </c>
      <c r="P1258">
        <v>1.8692650000000002E-2</v>
      </c>
      <c r="Q1258">
        <v>-1.9039159999999999E-2</v>
      </c>
      <c r="R1258">
        <v>-0.99964419999999998</v>
      </c>
      <c r="S1258">
        <v>3.225708E-2</v>
      </c>
      <c r="T1258">
        <v>-0.19696</v>
      </c>
      <c r="U1258">
        <v>-2.9967350000000001</v>
      </c>
      <c r="V1258">
        <v>4.34931E-2</v>
      </c>
      <c r="W1258">
        <v>-5.4936550000000001E-3</v>
      </c>
      <c r="X1258">
        <v>0.9990386</v>
      </c>
      <c r="Y1258">
        <v>5.1448269999999997E-2</v>
      </c>
      <c r="Z1258">
        <v>6.5347929999999999E-2</v>
      </c>
      <c r="AA1258">
        <v>0.99653539999999996</v>
      </c>
      <c r="AB1258">
        <v>21</v>
      </c>
      <c r="AC1258">
        <v>0.16999999999998699</v>
      </c>
      <c r="AD1258">
        <v>-1.1104890729500001</v>
      </c>
      <c r="AE1258">
        <v>-16.706399999999999</v>
      </c>
      <c r="AF1258">
        <v>0.86516918745035698</v>
      </c>
      <c r="AG1258">
        <v>-1.1104890729500001</v>
      </c>
      <c r="AH1258">
        <v>16.6112630428225</v>
      </c>
      <c r="AI1258">
        <v>93.819460607635406</v>
      </c>
      <c r="AJ1258">
        <v>87.018541403603805</v>
      </c>
      <c r="AK1258">
        <v>16.670805726835599</v>
      </c>
      <c r="AL1258">
        <v>90.314764836089594</v>
      </c>
      <c r="AM1258">
        <v>87.507204908809598</v>
      </c>
      <c r="AN1258">
        <v>0.99999997714141398</v>
      </c>
    </row>
    <row r="1259" spans="1:40" x14ac:dyDescent="0.25">
      <c r="A1259" t="str">
        <f>"20190312154236890"</f>
        <v>20190312154236890</v>
      </c>
      <c r="B1259" t="str">
        <f>"1552376556878210"</f>
        <v>1552376556878210</v>
      </c>
      <c r="C1259" t="s">
        <v>40</v>
      </c>
      <c r="D1259">
        <v>5.1538170000000001</v>
      </c>
      <c r="E1259">
        <v>0.50242889999999996</v>
      </c>
      <c r="F1259" t="s">
        <v>43</v>
      </c>
      <c r="G1259">
        <v>-192.63310000000001</v>
      </c>
      <c r="H1259" s="1">
        <v>-2.0448260000000002E-6</v>
      </c>
      <c r="I1259">
        <v>322.72250000000003</v>
      </c>
      <c r="J1259">
        <v>-192.8116</v>
      </c>
      <c r="K1259">
        <v>1.1104719999999999</v>
      </c>
      <c r="L1259">
        <v>339.26659999999998</v>
      </c>
      <c r="M1259">
        <v>6.2146300000000002E-2</v>
      </c>
      <c r="N1259">
        <v>0</v>
      </c>
      <c r="O1259">
        <v>-0.99797519999999995</v>
      </c>
      <c r="P1259">
        <v>1.805124E-2</v>
      </c>
      <c r="Q1259">
        <v>-1.8624160000000001E-2</v>
      </c>
      <c r="R1259">
        <v>-0.999664</v>
      </c>
      <c r="S1259">
        <v>3.4317019999999997E-2</v>
      </c>
      <c r="T1259">
        <v>-0.19857169999999999</v>
      </c>
      <c r="U1259">
        <v>-2.9966430000000002</v>
      </c>
      <c r="V1259">
        <v>4.4114760000000003E-2</v>
      </c>
      <c r="W1259">
        <v>-5.0831309999999899E-3</v>
      </c>
      <c r="X1259">
        <v>0.9990135</v>
      </c>
      <c r="Y1259">
        <v>5.0743829999999997E-2</v>
      </c>
      <c r="Z1259">
        <v>6.5883410000000003E-2</v>
      </c>
      <c r="AA1259">
        <v>0.99653619999999998</v>
      </c>
      <c r="AB1259">
        <v>21</v>
      </c>
      <c r="AC1259">
        <v>0.178499999999985</v>
      </c>
      <c r="AD1259">
        <v>-1.110474044826</v>
      </c>
      <c r="AE1259">
        <v>-16.544099999999901</v>
      </c>
      <c r="AF1259">
        <v>0.84628159079227405</v>
      </c>
      <c r="AG1259">
        <v>-1.110474044826</v>
      </c>
      <c r="AH1259">
        <v>16.449108646655802</v>
      </c>
      <c r="AI1259">
        <v>93.857073530699694</v>
      </c>
      <c r="AJ1259">
        <v>87.054816144380496</v>
      </c>
      <c r="AK1259">
        <v>16.5082561285144</v>
      </c>
      <c r="AL1259">
        <v>90.291243218369303</v>
      </c>
      <c r="AM1259">
        <v>87.471557106717398</v>
      </c>
      <c r="AN1259">
        <v>0.99999996172643402</v>
      </c>
    </row>
    <row r="1260" spans="1:40" x14ac:dyDescent="0.25">
      <c r="A1260" t="str">
        <f>"20190312154236911"</f>
        <v>20190312154236911</v>
      </c>
      <c r="B1260" t="str">
        <f>"1552376556898702"</f>
        <v>1552376556898702</v>
      </c>
      <c r="C1260" t="s">
        <v>40</v>
      </c>
      <c r="D1260">
        <v>5.2620769999999997</v>
      </c>
      <c r="E1260">
        <v>0.4842842</v>
      </c>
      <c r="F1260" t="s">
        <v>41</v>
      </c>
      <c r="G1260">
        <v>-192.80090000000001</v>
      </c>
      <c r="H1260">
        <v>1.0510090000000001</v>
      </c>
      <c r="I1260">
        <v>338.3603</v>
      </c>
      <c r="J1260">
        <v>-192.79920000000001</v>
      </c>
      <c r="K1260">
        <v>1.1104700000000001</v>
      </c>
      <c r="L1260">
        <v>339.06740000000002</v>
      </c>
      <c r="M1260">
        <v>6.2128030000000001E-2</v>
      </c>
      <c r="N1260">
        <v>0</v>
      </c>
      <c r="O1260">
        <v>-0.99797639999999999</v>
      </c>
      <c r="P1260">
        <v>1.7260250000000001E-2</v>
      </c>
      <c r="Q1260">
        <v>-1.8076430000000001E-2</v>
      </c>
      <c r="R1260">
        <v>-0.99968789999999996</v>
      </c>
      <c r="S1260">
        <v>3.5400389999999997E-2</v>
      </c>
      <c r="T1260">
        <v>-0.1965364</v>
      </c>
      <c r="U1260">
        <v>-2.9966740000000001</v>
      </c>
      <c r="V1260">
        <v>4.488731E-2</v>
      </c>
      <c r="W1260">
        <v>-4.5392749999999997E-3</v>
      </c>
      <c r="X1260">
        <v>0.99898169999999997</v>
      </c>
      <c r="Y1260">
        <v>5.0364920000000001E-2</v>
      </c>
      <c r="Z1260">
        <v>6.5211000000000005E-2</v>
      </c>
      <c r="AA1260">
        <v>0.99659969999999998</v>
      </c>
      <c r="AB1260">
        <v>21</v>
      </c>
      <c r="AC1260">
        <v>-1.6999999999995901E-3</v>
      </c>
      <c r="AD1260">
        <v>-5.9460999999999903E-2</v>
      </c>
      <c r="AE1260">
        <v>-0.70710000000002504</v>
      </c>
      <c r="AF1260">
        <v>4.5311061397922701E-2</v>
      </c>
      <c r="AG1260">
        <v>-5.9460999999999903E-2</v>
      </c>
      <c r="AH1260">
        <v>0.70067345458145203</v>
      </c>
      <c r="AI1260">
        <v>94.840586451415902</v>
      </c>
      <c r="AJ1260">
        <v>86.299955894631793</v>
      </c>
      <c r="AK1260">
        <v>0.704650262726916</v>
      </c>
      <c r="AL1260">
        <v>90.260082204092797</v>
      </c>
      <c r="AM1260">
        <v>87.427255504396996</v>
      </c>
      <c r="AN1260">
        <v>0.99999995627572402</v>
      </c>
    </row>
    <row r="1261" spans="1:40" x14ac:dyDescent="0.25">
      <c r="A1261" t="str">
        <f>"20190312154236933"</f>
        <v>20190312154236933</v>
      </c>
      <c r="B1261" t="str">
        <f>"1552376556928959"</f>
        <v>1552376556928959</v>
      </c>
      <c r="C1261" t="s">
        <v>40</v>
      </c>
      <c r="D1261">
        <v>5.2489369999999997</v>
      </c>
      <c r="E1261">
        <v>0.48371969999999997</v>
      </c>
      <c r="F1261" t="s">
        <v>43</v>
      </c>
      <c r="G1261">
        <v>-190.77950000000001</v>
      </c>
      <c r="H1261" s="1">
        <v>-2.5048039999999998E-6</v>
      </c>
      <c r="I1261">
        <v>304.94439999999997</v>
      </c>
      <c r="J1261">
        <v>-192.7868</v>
      </c>
      <c r="K1261">
        <v>1.110468</v>
      </c>
      <c r="L1261">
        <v>338.8673</v>
      </c>
      <c r="M1261">
        <v>6.2113069999999999E-2</v>
      </c>
      <c r="N1261">
        <v>0</v>
      </c>
      <c r="O1261">
        <v>-0.99797709999999995</v>
      </c>
      <c r="P1261">
        <v>1.642623E-2</v>
      </c>
      <c r="Q1261">
        <v>-1.7730799999999901E-2</v>
      </c>
      <c r="R1261">
        <v>-0.99970780000000004</v>
      </c>
      <c r="S1261">
        <v>0.17733759999999901</v>
      </c>
      <c r="T1261">
        <v>-9.750259E-2</v>
      </c>
      <c r="U1261">
        <v>-2.9960939999999998</v>
      </c>
      <c r="V1261">
        <v>4.5705950000000002E-2</v>
      </c>
      <c r="W1261">
        <v>-4.1972390000000002E-3</v>
      </c>
      <c r="X1261">
        <v>0.99894609999999995</v>
      </c>
      <c r="Y1261">
        <v>3.0692369999999998E-3</v>
      </c>
      <c r="Z1261">
        <v>3.2403479999999998E-2</v>
      </c>
      <c r="AA1261">
        <v>0.99947019999999998</v>
      </c>
      <c r="AB1261">
        <v>21</v>
      </c>
      <c r="AC1261">
        <v>2.0072999999999799</v>
      </c>
      <c r="AD1261">
        <v>-1.110470504804</v>
      </c>
      <c r="AE1261">
        <v>-33.922899999999998</v>
      </c>
      <c r="AF1261">
        <v>0.10371481312615401</v>
      </c>
      <c r="AG1261">
        <v>-1.110470504804</v>
      </c>
      <c r="AH1261">
        <v>33.945828849449803</v>
      </c>
      <c r="AI1261">
        <v>91.873640952449904</v>
      </c>
      <c r="AJ1261">
        <v>89.824944543231496</v>
      </c>
      <c r="AK1261">
        <v>33.964145768451701</v>
      </c>
      <c r="AL1261">
        <v>90.240484791050307</v>
      </c>
      <c r="AM1261">
        <v>87.380306186988506</v>
      </c>
      <c r="AN1261">
        <v>0.99999998069291696</v>
      </c>
    </row>
    <row r="1262" spans="1:40" x14ac:dyDescent="0.25">
      <c r="A1262" t="str">
        <f>"20190312154236956"</f>
        <v>20190312154236956</v>
      </c>
      <c r="B1262" t="str">
        <f>"1552376556948478"</f>
        <v>1552376556948478</v>
      </c>
      <c r="C1262" t="s">
        <v>40</v>
      </c>
      <c r="D1262">
        <v>5.2413299999999996</v>
      </c>
      <c r="E1262">
        <v>0.48439080000000001</v>
      </c>
      <c r="F1262" t="s">
        <v>43</v>
      </c>
      <c r="G1262">
        <v>-190.92599999999999</v>
      </c>
      <c r="H1262" s="1">
        <v>-3.7606489999999999E-6</v>
      </c>
      <c r="I1262">
        <v>307.78089999999997</v>
      </c>
      <c r="J1262">
        <v>-192.77379999999999</v>
      </c>
      <c r="K1262">
        <v>1.110468</v>
      </c>
      <c r="L1262">
        <v>338.65940000000001</v>
      </c>
      <c r="M1262">
        <v>6.2101330000000003E-2</v>
      </c>
      <c r="N1262">
        <v>0</v>
      </c>
      <c r="O1262">
        <v>-0.99797789999999997</v>
      </c>
      <c r="P1262">
        <v>1.565836E-2</v>
      </c>
      <c r="Q1262">
        <v>-1.7304719999999999E-2</v>
      </c>
      <c r="R1262">
        <v>-0.9997277</v>
      </c>
      <c r="S1262">
        <v>0.17933650000000001</v>
      </c>
      <c r="T1262">
        <v>-0.1070257</v>
      </c>
      <c r="U1262">
        <v>-2.9960629999999999</v>
      </c>
      <c r="V1262">
        <v>4.6461809999999999E-2</v>
      </c>
      <c r="W1262">
        <v>-3.774389E-3</v>
      </c>
      <c r="X1262">
        <v>0.99891289999999999</v>
      </c>
      <c r="Y1262">
        <v>2.3988289999999999E-3</v>
      </c>
      <c r="Z1262">
        <v>3.5564249999999999E-2</v>
      </c>
      <c r="AA1262">
        <v>0.99936449999999999</v>
      </c>
      <c r="AB1262">
        <v>21</v>
      </c>
      <c r="AC1262">
        <v>1.8478000000000001</v>
      </c>
      <c r="AD1262">
        <v>-1.110471760649</v>
      </c>
      <c r="AE1262">
        <v>-30.878499999999999</v>
      </c>
      <c r="AF1262">
        <v>7.3444456103738801E-2</v>
      </c>
      <c r="AG1262">
        <v>-1.110471760649</v>
      </c>
      <c r="AH1262">
        <v>30.8938375281408</v>
      </c>
      <c r="AI1262">
        <v>92.058591293053993</v>
      </c>
      <c r="AJ1262">
        <v>89.863790005624907</v>
      </c>
      <c r="AK1262">
        <v>30.913876153509001</v>
      </c>
      <c r="AL1262">
        <v>90.216257081239405</v>
      </c>
      <c r="AM1262">
        <v>87.336956601023502</v>
      </c>
      <c r="AN1262">
        <v>0.99999996379360401</v>
      </c>
    </row>
    <row r="1263" spans="1:40" x14ac:dyDescent="0.25">
      <c r="A1263" t="str">
        <f>"20190312154236978"</f>
        <v>20190312154236978</v>
      </c>
      <c r="B1263" t="str">
        <f>"1552376556968975"</f>
        <v>1552376556968975</v>
      </c>
      <c r="C1263" t="s">
        <v>40</v>
      </c>
      <c r="D1263">
        <v>5.2123739999999996</v>
      </c>
      <c r="E1263">
        <v>0.48456139999999998</v>
      </c>
      <c r="F1263" t="s">
        <v>43</v>
      </c>
      <c r="G1263">
        <v>-190.88499999999999</v>
      </c>
      <c r="H1263" s="1">
        <v>-2.8527370000000002E-6</v>
      </c>
      <c r="I1263">
        <v>305.69</v>
      </c>
      <c r="J1263">
        <v>-192.76079999999999</v>
      </c>
      <c r="K1263">
        <v>1.110466</v>
      </c>
      <c r="L1263">
        <v>338.44920000000002</v>
      </c>
      <c r="M1263">
        <v>6.2093460000000003E-2</v>
      </c>
      <c r="N1263">
        <v>0</v>
      </c>
      <c r="O1263">
        <v>-0.99797860000000005</v>
      </c>
      <c r="P1263">
        <v>1.524882E-2</v>
      </c>
      <c r="Q1263">
        <v>-1.682604E-2</v>
      </c>
      <c r="R1263">
        <v>-0.99974220000000003</v>
      </c>
      <c r="S1263">
        <v>0.17166139999999999</v>
      </c>
      <c r="T1263">
        <v>-0.1009222</v>
      </c>
      <c r="U1263">
        <v>-2.9963380000000002</v>
      </c>
      <c r="V1263">
        <v>4.6863580000000002E-2</v>
      </c>
      <c r="W1263">
        <v>-3.2984030000000001E-3</v>
      </c>
      <c r="X1263">
        <v>0.9988958</v>
      </c>
      <c r="Y1263">
        <v>4.9435069999999998E-3</v>
      </c>
      <c r="Z1263">
        <v>3.3537740000000003E-2</v>
      </c>
      <c r="AA1263">
        <v>0.99942520000000001</v>
      </c>
      <c r="AB1263">
        <v>21</v>
      </c>
      <c r="AC1263">
        <v>1.8757999999999899</v>
      </c>
      <c r="AD1263">
        <v>-1.1104688527369999</v>
      </c>
      <c r="AE1263">
        <v>-32.7592</v>
      </c>
      <c r="AF1263">
        <v>0.161953175492941</v>
      </c>
      <c r="AG1263">
        <v>-1.1104688527369999</v>
      </c>
      <c r="AH1263">
        <v>32.7749222705935</v>
      </c>
      <c r="AI1263">
        <v>91.940510258666507</v>
      </c>
      <c r="AJ1263">
        <v>89.716882382367501</v>
      </c>
      <c r="AK1263">
        <v>32.794129043891303</v>
      </c>
      <c r="AL1263">
        <v>90.188984923740406</v>
      </c>
      <c r="AM1263">
        <v>87.313916086979802</v>
      </c>
      <c r="AN1263">
        <v>0.999999946925202</v>
      </c>
    </row>
    <row r="1264" spans="1:40" x14ac:dyDescent="0.25">
      <c r="A1264" t="str">
        <f>"20190312154237001"</f>
        <v>20190312154237001</v>
      </c>
      <c r="B1264" t="str">
        <f>"1552376556988495"</f>
        <v>1552376556988495</v>
      </c>
      <c r="C1264" t="s">
        <v>40</v>
      </c>
      <c r="D1264">
        <v>5.1988510000000003</v>
      </c>
      <c r="E1264">
        <v>0.48447780000000001</v>
      </c>
      <c r="F1264" t="s">
        <v>43</v>
      </c>
      <c r="G1264">
        <v>-190.88409999999999</v>
      </c>
      <c r="H1264" s="1">
        <v>-2.6391209999999998E-6</v>
      </c>
      <c r="I1264">
        <v>305.1927</v>
      </c>
      <c r="J1264">
        <v>-192.7482</v>
      </c>
      <c r="K1264">
        <v>1.110471</v>
      </c>
      <c r="L1264">
        <v>338.2475</v>
      </c>
      <c r="M1264">
        <v>6.2089909999999998E-2</v>
      </c>
      <c r="N1264">
        <v>0</v>
      </c>
      <c r="O1264">
        <v>-0.99797899999999995</v>
      </c>
      <c r="P1264">
        <v>1.5060189999999999E-2</v>
      </c>
      <c r="Q1264">
        <v>-1.630121E-2</v>
      </c>
      <c r="R1264">
        <v>-0.99975440000000004</v>
      </c>
      <c r="S1264">
        <v>0.1690979</v>
      </c>
      <c r="T1264">
        <v>-0.1000568</v>
      </c>
      <c r="U1264">
        <v>-2.996521</v>
      </c>
      <c r="V1264">
        <v>4.7049059999999997E-2</v>
      </c>
      <c r="W1264">
        <v>-2.7758890000000001E-3</v>
      </c>
      <c r="X1264">
        <v>0.99888869999999996</v>
      </c>
      <c r="Y1264">
        <v>5.79512E-3</v>
      </c>
      <c r="Z1264">
        <v>3.3249170000000002E-2</v>
      </c>
      <c r="AA1264">
        <v>0.99943029999999999</v>
      </c>
      <c r="AB1264">
        <v>21</v>
      </c>
      <c r="AC1264">
        <v>1.8641000000000001</v>
      </c>
      <c r="AD1264">
        <v>-1.1104736391209999</v>
      </c>
      <c r="AE1264">
        <v>-33.0548</v>
      </c>
      <c r="AF1264">
        <v>0.19183862740855601</v>
      </c>
      <c r="AG1264">
        <v>-1.1104736391209999</v>
      </c>
      <c r="AH1264">
        <v>33.0695588448</v>
      </c>
      <c r="AI1264">
        <v>91.923233538297197</v>
      </c>
      <c r="AJ1264">
        <v>89.667627244285299</v>
      </c>
      <c r="AK1264">
        <v>33.088754524034897</v>
      </c>
      <c r="AL1264">
        <v>90.159046931965605</v>
      </c>
      <c r="AM1264">
        <v>87.303281436577805</v>
      </c>
      <c r="AN1264">
        <v>0.99999997729715595</v>
      </c>
    </row>
    <row r="1265" spans="1:40" x14ac:dyDescent="0.25">
      <c r="A1265" t="str">
        <f>"20190312154237025"</f>
        <v>20190312154237025</v>
      </c>
      <c r="B1265" t="str">
        <f>"1552376557018750"</f>
        <v>1552376557018750</v>
      </c>
      <c r="C1265" t="s">
        <v>40</v>
      </c>
      <c r="D1265">
        <v>5.2531140000000001</v>
      </c>
      <c r="E1265">
        <v>0.48401319999999998</v>
      </c>
      <c r="F1265" t="s">
        <v>43</v>
      </c>
      <c r="G1265">
        <v>-190.9913</v>
      </c>
      <c r="H1265" s="1">
        <v>-3.484382E-6</v>
      </c>
      <c r="I1265">
        <v>307.09649999999999</v>
      </c>
      <c r="J1265">
        <v>-192.73490000000001</v>
      </c>
      <c r="K1265">
        <v>1.1104689999999999</v>
      </c>
      <c r="L1265">
        <v>338.03309999999999</v>
      </c>
      <c r="M1265">
        <v>6.208959E-2</v>
      </c>
      <c r="N1265">
        <v>0</v>
      </c>
      <c r="O1265">
        <v>-0.99797899999999995</v>
      </c>
      <c r="P1265">
        <v>1.4875630000000001E-2</v>
      </c>
      <c r="Q1265">
        <v>-1.6001330000000001E-2</v>
      </c>
      <c r="R1265">
        <v>-0.99976169999999998</v>
      </c>
      <c r="S1265">
        <v>0.1690063</v>
      </c>
      <c r="T1265">
        <v>-0.10681930000000001</v>
      </c>
      <c r="U1265">
        <v>-2.9964900000000001</v>
      </c>
      <c r="V1265">
        <v>4.7233419999999998E-2</v>
      </c>
      <c r="W1265">
        <v>-2.4784540000000002E-3</v>
      </c>
      <c r="X1265">
        <v>0.99888080000000001</v>
      </c>
      <c r="Y1265">
        <v>5.8290190000000004E-3</v>
      </c>
      <c r="Z1265">
        <v>3.5493999999999998E-2</v>
      </c>
      <c r="AA1265">
        <v>0.99935289999999999</v>
      </c>
      <c r="AB1265">
        <v>20</v>
      </c>
      <c r="AC1265">
        <v>1.74360000000001</v>
      </c>
      <c r="AD1265">
        <v>-1.110472484382</v>
      </c>
      <c r="AE1265">
        <v>-30.936599999999999</v>
      </c>
      <c r="AF1265">
        <v>0.18054925598256799</v>
      </c>
      <c r="AG1265">
        <v>-1.110472484382</v>
      </c>
      <c r="AH1265">
        <v>30.9454230473027</v>
      </c>
      <c r="AI1265">
        <v>92.055134791829502</v>
      </c>
      <c r="AJ1265">
        <v>89.665714927593697</v>
      </c>
      <c r="AK1265">
        <v>30.965867576235201</v>
      </c>
      <c r="AL1265">
        <v>90.142005099917995</v>
      </c>
      <c r="AM1265">
        <v>87.292708755702094</v>
      </c>
      <c r="AN1265">
        <v>0.99999999565388298</v>
      </c>
    </row>
    <row r="1266" spans="1:40" x14ac:dyDescent="0.25">
      <c r="A1266" t="str">
        <f>"20190312154237047"</f>
        <v>20190312154237047</v>
      </c>
      <c r="B1266" t="str">
        <f>"1552376557038271"</f>
        <v>1552376557038271</v>
      </c>
      <c r="C1266" t="s">
        <v>40</v>
      </c>
      <c r="D1266">
        <v>5.2579690000000001</v>
      </c>
      <c r="E1266">
        <v>0.48377969999999998</v>
      </c>
      <c r="F1266" t="s">
        <v>43</v>
      </c>
      <c r="G1266">
        <v>-191.10480000000001</v>
      </c>
      <c r="H1266" s="1">
        <v>-3.5278190000000002E-7</v>
      </c>
      <c r="I1266">
        <v>309.71609999999998</v>
      </c>
      <c r="J1266">
        <v>-192.7227</v>
      </c>
      <c r="K1266">
        <v>1.110473</v>
      </c>
      <c r="L1266">
        <v>337.83679999999998</v>
      </c>
      <c r="M1266">
        <v>6.2091550000000002E-2</v>
      </c>
      <c r="N1266">
        <v>0</v>
      </c>
      <c r="O1266">
        <v>-0.99797880000000005</v>
      </c>
      <c r="P1266">
        <v>1.4655919999999999E-2</v>
      </c>
      <c r="Q1266">
        <v>-1.548135E-2</v>
      </c>
      <c r="R1266">
        <v>-0.99977300000000002</v>
      </c>
      <c r="S1266">
        <v>0.17248540000000001</v>
      </c>
      <c r="T1266">
        <v>-0.1175007</v>
      </c>
      <c r="U1266">
        <v>-2.9962770000000001</v>
      </c>
      <c r="V1266">
        <v>4.7455410000000003E-2</v>
      </c>
      <c r="W1266">
        <v>-1.9606630000000001E-3</v>
      </c>
      <c r="X1266">
        <v>0.99887139999999996</v>
      </c>
      <c r="Y1266">
        <v>4.6779880000000001E-3</v>
      </c>
      <c r="Z1266">
        <v>3.9039650000000002E-2</v>
      </c>
      <c r="AA1266">
        <v>0.99922670000000002</v>
      </c>
      <c r="AB1266">
        <v>20</v>
      </c>
      <c r="AC1266">
        <v>1.6178999999999899</v>
      </c>
      <c r="AD1266">
        <v>-1.1104733527819</v>
      </c>
      <c r="AE1266">
        <v>-28.120699999999999</v>
      </c>
      <c r="AF1266">
        <v>0.131235996585848</v>
      </c>
      <c r="AG1266">
        <v>-1.1104733527819</v>
      </c>
      <c r="AH1266">
        <v>28.123185843107098</v>
      </c>
      <c r="AI1266">
        <v>92.261184377120003</v>
      </c>
      <c r="AJ1266">
        <v>89.732632917639194</v>
      </c>
      <c r="AK1266">
        <v>28.145407368165301</v>
      </c>
      <c r="AL1266">
        <v>90.112337790636502</v>
      </c>
      <c r="AM1266">
        <v>87.279978397673204</v>
      </c>
      <c r="AN1266">
        <v>0.99999996693781301</v>
      </c>
    </row>
    <row r="1267" spans="1:40" x14ac:dyDescent="0.25">
      <c r="A1267" t="str">
        <f>"20190312154237070"</f>
        <v>20190312154237070</v>
      </c>
      <c r="B1267" t="str">
        <f>"1552376557058767"</f>
        <v>1552376557058767</v>
      </c>
      <c r="C1267" t="s">
        <v>40</v>
      </c>
      <c r="D1267">
        <v>5.4646650000000001</v>
      </c>
      <c r="E1267">
        <v>0.48385220000000001</v>
      </c>
      <c r="F1267" t="s">
        <v>43</v>
      </c>
      <c r="G1267">
        <v>-191.13720000000001</v>
      </c>
      <c r="H1267" s="1">
        <v>-7.3692709999999898E-7</v>
      </c>
      <c r="I1267">
        <v>310.51049999999998</v>
      </c>
      <c r="J1267">
        <v>-192.70949999999999</v>
      </c>
      <c r="K1267">
        <v>1.110482</v>
      </c>
      <c r="L1267">
        <v>337.62520000000001</v>
      </c>
      <c r="M1267">
        <v>6.2094839999999998E-2</v>
      </c>
      <c r="N1267">
        <v>0</v>
      </c>
      <c r="O1267">
        <v>-0.99797860000000005</v>
      </c>
      <c r="P1267">
        <v>1.4641909999999999E-2</v>
      </c>
      <c r="Q1267">
        <v>-1.489177E-2</v>
      </c>
      <c r="R1267">
        <v>-0.99978210000000001</v>
      </c>
      <c r="S1267">
        <v>0.17384340000000001</v>
      </c>
      <c r="T1267">
        <v>-0.12175999999999999</v>
      </c>
      <c r="U1267">
        <v>-2.9962460000000002</v>
      </c>
      <c r="V1267">
        <v>4.7473300000000003E-2</v>
      </c>
      <c r="W1267">
        <v>-1.3732659999999999E-3</v>
      </c>
      <c r="X1267">
        <v>0.99887159999999997</v>
      </c>
      <c r="Y1267">
        <v>4.2325849999999996E-3</v>
      </c>
      <c r="Z1267">
        <v>4.0452439999999999E-2</v>
      </c>
      <c r="AA1267">
        <v>0.99917250000000002</v>
      </c>
      <c r="AB1267">
        <v>20</v>
      </c>
      <c r="AC1267">
        <v>1.57229999999998</v>
      </c>
      <c r="AD1267">
        <v>-1.1104827369271</v>
      </c>
      <c r="AE1267">
        <v>-27.114699999999999</v>
      </c>
      <c r="AF1267">
        <v>0.114380477113774</v>
      </c>
      <c r="AG1267">
        <v>-1.1104827369271</v>
      </c>
      <c r="AH1267">
        <v>27.1146791860386</v>
      </c>
      <c r="AI1267">
        <v>92.345219377769993</v>
      </c>
      <c r="AJ1267">
        <v>89.758305098144206</v>
      </c>
      <c r="AK1267">
        <v>27.1376506382618</v>
      </c>
      <c r="AL1267">
        <v>90.078682367793405</v>
      </c>
      <c r="AM1267">
        <v>87.278955073887701</v>
      </c>
      <c r="AN1267">
        <v>1.0000000366794699</v>
      </c>
    </row>
    <row r="1268" spans="1:40" x14ac:dyDescent="0.25">
      <c r="A1268" t="str">
        <f>"20190312154237091"</f>
        <v>20190312154237091</v>
      </c>
      <c r="B1268" t="str">
        <f>"1552376557078287"</f>
        <v>1552376557078287</v>
      </c>
      <c r="C1268" t="s">
        <v>40</v>
      </c>
      <c r="D1268">
        <v>5.1970609999999997</v>
      </c>
      <c r="E1268">
        <v>0.48394710000000002</v>
      </c>
      <c r="F1268" t="s">
        <v>43</v>
      </c>
      <c r="G1268">
        <v>-191.10149999999999</v>
      </c>
      <c r="H1268" s="1">
        <v>-3.9557990000000001E-7</v>
      </c>
      <c r="I1268">
        <v>309.80849999999998</v>
      </c>
      <c r="J1268">
        <v>-192.69669999999999</v>
      </c>
      <c r="K1268">
        <v>1.11049</v>
      </c>
      <c r="L1268">
        <v>337.41820000000001</v>
      </c>
      <c r="M1268">
        <v>6.2098090000000002E-2</v>
      </c>
      <c r="N1268">
        <v>0</v>
      </c>
      <c r="O1268">
        <v>-0.99797829999999998</v>
      </c>
      <c r="P1268">
        <v>1.4660060000000001E-2</v>
      </c>
      <c r="Q1268">
        <v>-1.4060299999999901E-2</v>
      </c>
      <c r="R1268">
        <v>-0.99979379999999995</v>
      </c>
      <c r="S1268">
        <v>0.17321779999999901</v>
      </c>
      <c r="T1268">
        <v>-0.1196193</v>
      </c>
      <c r="U1268">
        <v>-2.9963679999999999</v>
      </c>
      <c r="V1268">
        <v>4.7459179999999997E-2</v>
      </c>
      <c r="W1268">
        <v>-5.439752E-4</v>
      </c>
      <c r="X1268">
        <v>0.99887309999999996</v>
      </c>
      <c r="Y1268">
        <v>4.444468E-3</v>
      </c>
      <c r="Z1268">
        <v>3.9740940000000002E-2</v>
      </c>
      <c r="AA1268">
        <v>0.99920010000000004</v>
      </c>
      <c r="AB1268">
        <v>20</v>
      </c>
      <c r="AC1268">
        <v>1.5952</v>
      </c>
      <c r="AD1268">
        <v>-1.1104903955798999</v>
      </c>
      <c r="AE1268">
        <v>-27.6097</v>
      </c>
      <c r="AF1268">
        <v>0.122348604764</v>
      </c>
      <c r="AG1268">
        <v>-1.1104903955798999</v>
      </c>
      <c r="AH1268">
        <v>27.610954389600799</v>
      </c>
      <c r="AI1268">
        <v>92.303126308483897</v>
      </c>
      <c r="AJ1268">
        <v>89.746114795503601</v>
      </c>
      <c r="AK1268">
        <v>27.633547734671701</v>
      </c>
      <c r="AL1268">
        <v>90.031167482481706</v>
      </c>
      <c r="AM1268">
        <v>87.279767258229498</v>
      </c>
      <c r="AN1268">
        <v>1.00000006978944</v>
      </c>
    </row>
    <row r="1269" spans="1:40" x14ac:dyDescent="0.25">
      <c r="A1269" t="str">
        <f>"20190312154237113"</f>
        <v>20190312154237113</v>
      </c>
      <c r="B1269" t="str">
        <f>"1552376557098792"</f>
        <v>1552376557098792</v>
      </c>
      <c r="C1269" t="s">
        <v>40</v>
      </c>
      <c r="D1269">
        <v>5.2155889999999996</v>
      </c>
      <c r="E1269">
        <v>0.48402849999999997</v>
      </c>
      <c r="F1269" t="s">
        <v>43</v>
      </c>
      <c r="G1269">
        <v>-191.0333</v>
      </c>
      <c r="H1269" s="1">
        <v>-4.1093690000000002E-6</v>
      </c>
      <c r="I1269">
        <v>308.52730000000003</v>
      </c>
      <c r="J1269">
        <v>-192.685</v>
      </c>
      <c r="K1269">
        <v>1.1104969999999901</v>
      </c>
      <c r="L1269">
        <v>337.23129999999998</v>
      </c>
      <c r="M1269">
        <v>6.2100509999999998E-2</v>
      </c>
      <c r="N1269">
        <v>0</v>
      </c>
      <c r="O1269">
        <v>-0.99797829999999998</v>
      </c>
      <c r="P1269">
        <v>1.452526E-2</v>
      </c>
      <c r="Q1269">
        <v>-1.3106899999999999E-2</v>
      </c>
      <c r="R1269">
        <v>-0.99980860000000005</v>
      </c>
      <c r="S1269">
        <v>0.1725159</v>
      </c>
      <c r="T1269">
        <v>-0.11517520000000001</v>
      </c>
      <c r="U1269">
        <v>-2.996429</v>
      </c>
      <c r="V1269">
        <v>4.7597109999999998E-2</v>
      </c>
      <c r="W1269">
        <v>4.0752090000000001E-4</v>
      </c>
      <c r="X1269">
        <v>0.99886660000000005</v>
      </c>
      <c r="Y1269">
        <v>4.6780169999999996E-3</v>
      </c>
      <c r="Z1269">
        <v>3.8266189999999999E-2</v>
      </c>
      <c r="AA1269">
        <v>0.99925660000000005</v>
      </c>
      <c r="AB1269">
        <v>20</v>
      </c>
      <c r="AC1269">
        <v>1.6516999999999999</v>
      </c>
      <c r="AD1269">
        <v>-1.11050110936899</v>
      </c>
      <c r="AE1269">
        <v>-28.703999999999901</v>
      </c>
      <c r="AF1269">
        <v>0.13398466709271201</v>
      </c>
      <c r="AG1269">
        <v>-1.11050110936899</v>
      </c>
      <c r="AH1269">
        <v>28.708341293453199</v>
      </c>
      <c r="AI1269">
        <v>92.215196877638306</v>
      </c>
      <c r="AJ1269">
        <v>89.732596873910197</v>
      </c>
      <c r="AK1269">
        <v>28.730123989052199</v>
      </c>
      <c r="AL1269">
        <v>89.976650773302794</v>
      </c>
      <c r="AM1269">
        <v>87.271855681400297</v>
      </c>
      <c r="AN1269">
        <v>1.0000000677745899</v>
      </c>
    </row>
    <row r="1270" spans="1:40" x14ac:dyDescent="0.25">
      <c r="A1270" t="str">
        <f>"20190312154237134"</f>
        <v>20190312154237134</v>
      </c>
      <c r="B1270" t="str">
        <f>"1552376557129038"</f>
        <v>1552376557129038</v>
      </c>
      <c r="C1270" t="s">
        <v>40</v>
      </c>
      <c r="D1270">
        <v>5.2051020000000001</v>
      </c>
      <c r="E1270">
        <v>0.48408649999999998</v>
      </c>
      <c r="F1270" t="s">
        <v>43</v>
      </c>
      <c r="G1270">
        <v>-190.9691</v>
      </c>
      <c r="H1270" s="1">
        <v>-3.5537200000000001E-6</v>
      </c>
      <c r="I1270">
        <v>307.27190000000002</v>
      </c>
      <c r="J1270">
        <v>-192.6729</v>
      </c>
      <c r="K1270">
        <v>1.110498</v>
      </c>
      <c r="L1270">
        <v>337.03539999999998</v>
      </c>
      <c r="M1270">
        <v>6.2102249999999998E-2</v>
      </c>
      <c r="N1270">
        <v>0</v>
      </c>
      <c r="O1270">
        <v>-0.99797809999999998</v>
      </c>
      <c r="P1270">
        <v>1.4422620000000001E-2</v>
      </c>
      <c r="Q1270">
        <v>-1.243415E-2</v>
      </c>
      <c r="R1270">
        <v>-0.99981889999999995</v>
      </c>
      <c r="S1270">
        <v>0.1716309</v>
      </c>
      <c r="T1270">
        <v>-0.1110747</v>
      </c>
      <c r="U1270">
        <v>-2.996613</v>
      </c>
      <c r="V1270">
        <v>4.7701939999999998E-2</v>
      </c>
      <c r="W1270">
        <v>1.0779540000000001E-3</v>
      </c>
      <c r="X1270">
        <v>0.998861</v>
      </c>
      <c r="Y1270">
        <v>4.974488E-3</v>
      </c>
      <c r="Z1270">
        <v>3.6903720000000001E-2</v>
      </c>
      <c r="AA1270">
        <v>0.99930640000000004</v>
      </c>
      <c r="AB1270">
        <v>20</v>
      </c>
      <c r="AC1270">
        <v>1.7038</v>
      </c>
      <c r="AD1270">
        <v>-1.11050155372</v>
      </c>
      <c r="AE1270">
        <v>-29.763499999999901</v>
      </c>
      <c r="AF1270">
        <v>0.14783365193315801</v>
      </c>
      <c r="AG1270">
        <v>-1.11050155372</v>
      </c>
      <c r="AH1270">
        <v>29.7705510272514</v>
      </c>
      <c r="AI1270">
        <v>92.136231279788205</v>
      </c>
      <c r="AJ1270">
        <v>89.715484785723802</v>
      </c>
      <c r="AK1270">
        <v>29.791622596891902</v>
      </c>
      <c r="AL1270">
        <v>89.938237771303307</v>
      </c>
      <c r="AM1270">
        <v>87.265840896762697</v>
      </c>
      <c r="AN1270">
        <v>0.99999996719279405</v>
      </c>
    </row>
    <row r="1271" spans="1:40" x14ac:dyDescent="0.25">
      <c r="A1271" t="str">
        <f>"20190312154237157"</f>
        <v>20190312154237157</v>
      </c>
      <c r="B1271" t="str">
        <f>"1552376557148559"</f>
        <v>1552376557148559</v>
      </c>
      <c r="C1271" t="s">
        <v>40</v>
      </c>
      <c r="D1271">
        <v>5.1593689999999999</v>
      </c>
      <c r="E1271">
        <v>0.48407830000000002</v>
      </c>
      <c r="F1271" t="s">
        <v>43</v>
      </c>
      <c r="G1271">
        <v>-190.91669999999999</v>
      </c>
      <c r="H1271" s="1">
        <v>-3.0987539999999999E-6</v>
      </c>
      <c r="I1271">
        <v>306.24380000000002</v>
      </c>
      <c r="J1271">
        <v>-192.65969999999999</v>
      </c>
      <c r="K1271">
        <v>1.11049</v>
      </c>
      <c r="L1271">
        <v>336.82350000000002</v>
      </c>
      <c r="M1271">
        <v>6.2103180000000001E-2</v>
      </c>
      <c r="N1271">
        <v>0</v>
      </c>
      <c r="O1271">
        <v>-0.99797829999999998</v>
      </c>
      <c r="P1271">
        <v>1.383728E-2</v>
      </c>
      <c r="Q1271">
        <v>-1.2491520000000001E-2</v>
      </c>
      <c r="R1271">
        <v>-0.99982669999999996</v>
      </c>
      <c r="S1271">
        <v>0.1709137</v>
      </c>
      <c r="T1271">
        <v>-0.1080763</v>
      </c>
      <c r="U1271">
        <v>-2.9967039999999998</v>
      </c>
      <c r="V1271">
        <v>4.828752E-2</v>
      </c>
      <c r="W1271">
        <v>1.0173960000000001E-3</v>
      </c>
      <c r="X1271">
        <v>0.99883290000000002</v>
      </c>
      <c r="Y1271">
        <v>5.2134440000000002E-3</v>
      </c>
      <c r="Z1271">
        <v>3.5907979999999999E-2</v>
      </c>
      <c r="AA1271">
        <v>0.99934149999999999</v>
      </c>
      <c r="AB1271">
        <v>20</v>
      </c>
      <c r="AC1271">
        <v>1.7429999999999899</v>
      </c>
      <c r="AD1271">
        <v>-1.110493098754</v>
      </c>
      <c r="AE1271">
        <v>-30.579699999999999</v>
      </c>
      <c r="AF1271">
        <v>0.15942544169699399</v>
      </c>
      <c r="AG1271">
        <v>-1.110493098754</v>
      </c>
      <c r="AH1271">
        <v>30.588709507336802</v>
      </c>
      <c r="AI1271">
        <v>92.079125760436298</v>
      </c>
      <c r="AJ1271">
        <v>89.701382555986498</v>
      </c>
      <c r="AK1271">
        <v>30.609275730047599</v>
      </c>
      <c r="AL1271">
        <v>89.941707489605193</v>
      </c>
      <c r="AM1271">
        <v>87.232251006505095</v>
      </c>
      <c r="AN1271">
        <v>0.99999994090238797</v>
      </c>
    </row>
    <row r="1272" spans="1:40" x14ac:dyDescent="0.25">
      <c r="A1272" t="str">
        <f>"20190312154237180"</f>
        <v>20190312154237180</v>
      </c>
      <c r="B1272" t="str">
        <f>"1552376557168505"</f>
        <v>1552376557168505</v>
      </c>
      <c r="C1272" t="s">
        <v>40</v>
      </c>
      <c r="D1272">
        <v>5.1483379999999999</v>
      </c>
      <c r="E1272">
        <v>0.48397780000000001</v>
      </c>
      <c r="F1272" t="s">
        <v>43</v>
      </c>
      <c r="G1272">
        <v>-190.91909999999999</v>
      </c>
      <c r="H1272" s="1">
        <v>-2.9935630000000001E-6</v>
      </c>
      <c r="I1272">
        <v>305.99709999999999</v>
      </c>
      <c r="J1272">
        <v>-192.6472</v>
      </c>
      <c r="K1272">
        <v>1.1104959999999999</v>
      </c>
      <c r="L1272">
        <v>336.62369999999999</v>
      </c>
      <c r="M1272">
        <v>6.21026999999999E-2</v>
      </c>
      <c r="N1272">
        <v>0</v>
      </c>
      <c r="O1272">
        <v>-0.99797829999999998</v>
      </c>
      <c r="P1272">
        <v>1.3475310000000001E-2</v>
      </c>
      <c r="Q1272">
        <v>-1.2882360000000001E-2</v>
      </c>
      <c r="R1272">
        <v>-0.99982649999999995</v>
      </c>
      <c r="S1272">
        <v>0.16920470000000001</v>
      </c>
      <c r="T1272">
        <v>-0.1079557</v>
      </c>
      <c r="U1272">
        <v>-2.9967649999999999</v>
      </c>
      <c r="V1272">
        <v>4.864831E-2</v>
      </c>
      <c r="W1272">
        <v>6.2448180000000003E-4</v>
      </c>
      <c r="X1272">
        <v>0.99881580000000003</v>
      </c>
      <c r="Y1272">
        <v>5.7821110000000004E-3</v>
      </c>
      <c r="Z1272">
        <v>3.5867749999999997E-2</v>
      </c>
      <c r="AA1272">
        <v>0.9993398</v>
      </c>
      <c r="AB1272">
        <v>20</v>
      </c>
      <c r="AC1272">
        <v>1.72810000000001</v>
      </c>
      <c r="AD1272">
        <v>-1.1104989935630001</v>
      </c>
      <c r="AE1272">
        <v>-30.6266</v>
      </c>
      <c r="AF1272">
        <v>0.17717225086716901</v>
      </c>
      <c r="AG1272">
        <v>-1.1104989935630001</v>
      </c>
      <c r="AH1272">
        <v>30.634653438058798</v>
      </c>
      <c r="AI1272">
        <v>92.076014842305099</v>
      </c>
      <c r="AJ1272">
        <v>89.668639664353293</v>
      </c>
      <c r="AK1272">
        <v>30.655286481961799</v>
      </c>
      <c r="AL1272">
        <v>89.964219827052801</v>
      </c>
      <c r="AM1272">
        <v>87.211556062233896</v>
      </c>
      <c r="AN1272">
        <v>1.0000000251865</v>
      </c>
    </row>
    <row r="1273" spans="1:40" x14ac:dyDescent="0.25">
      <c r="A1273" t="str">
        <f>"20190312154237202"</f>
        <v>20190312154237202</v>
      </c>
      <c r="B1273" t="str">
        <f>"1552376557198763"</f>
        <v>1552376557198763</v>
      </c>
      <c r="C1273" t="s">
        <v>40</v>
      </c>
      <c r="D1273">
        <v>5.1206269999999998</v>
      </c>
      <c r="E1273">
        <v>0.48392020000000002</v>
      </c>
      <c r="F1273" t="s">
        <v>43</v>
      </c>
      <c r="G1273">
        <v>-190.92269999999999</v>
      </c>
      <c r="H1273" s="1">
        <v>-2.9991440000000002E-6</v>
      </c>
      <c r="I1273">
        <v>306.00790000000001</v>
      </c>
      <c r="J1273">
        <v>-192.63470000000001</v>
      </c>
      <c r="K1273">
        <v>1.110493</v>
      </c>
      <c r="L1273">
        <v>336.42239999999998</v>
      </c>
      <c r="M1273">
        <v>6.2099300000000003E-2</v>
      </c>
      <c r="N1273">
        <v>0</v>
      </c>
      <c r="O1273">
        <v>-0.99797860000000005</v>
      </c>
      <c r="P1273">
        <v>1.233361E-2</v>
      </c>
      <c r="Q1273">
        <v>-1.2778110000000001E-2</v>
      </c>
      <c r="R1273">
        <v>-0.99984260000000003</v>
      </c>
      <c r="S1273">
        <v>0.16880800000000001</v>
      </c>
      <c r="T1273">
        <v>-0.1087002</v>
      </c>
      <c r="U1273">
        <v>-2.9967959999999998</v>
      </c>
      <c r="V1273">
        <v>4.9785410000000002E-2</v>
      </c>
      <c r="W1273">
        <v>7.2509449999999997E-4</v>
      </c>
      <c r="X1273">
        <v>0.99875970000000003</v>
      </c>
      <c r="Y1273">
        <v>5.911655E-3</v>
      </c>
      <c r="Z1273">
        <v>3.6114540000000001E-2</v>
      </c>
      <c r="AA1273">
        <v>0.99933019999999995</v>
      </c>
      <c r="AB1273">
        <v>20</v>
      </c>
      <c r="AC1273">
        <v>1.71200000000001</v>
      </c>
      <c r="AD1273">
        <v>-1.110495999144</v>
      </c>
      <c r="AE1273">
        <v>-30.414499999999901</v>
      </c>
      <c r="AF1273">
        <v>0.17995708194523199</v>
      </c>
      <c r="AG1273">
        <v>-1.110495999144</v>
      </c>
      <c r="AH1273">
        <v>30.421684285235099</v>
      </c>
      <c r="AI1273">
        <v>92.090528035615705</v>
      </c>
      <c r="AJ1273">
        <v>89.661075273507905</v>
      </c>
      <c r="AK1273">
        <v>30.4424778995728</v>
      </c>
      <c r="AL1273">
        <v>89.958455142823993</v>
      </c>
      <c r="AM1273">
        <v>87.146325772619903</v>
      </c>
      <c r="AN1273">
        <v>1.0000000255774899</v>
      </c>
    </row>
    <row r="1274" spans="1:40" x14ac:dyDescent="0.25">
      <c r="A1274" t="str">
        <f>"20190312154237226"</f>
        <v>20190312154237226</v>
      </c>
      <c r="B1274" t="str">
        <f>"1552376557218282"</f>
        <v>1552376557218282</v>
      </c>
      <c r="C1274" t="s">
        <v>40</v>
      </c>
      <c r="D1274">
        <v>5.0905760000000004</v>
      </c>
      <c r="E1274">
        <v>0.48390529999999998</v>
      </c>
      <c r="F1274" t="s">
        <v>43</v>
      </c>
      <c r="G1274">
        <v>-190.92400000000001</v>
      </c>
      <c r="H1274" s="1">
        <v>-2.7849269999999999E-6</v>
      </c>
      <c r="I1274">
        <v>305.50779999999997</v>
      </c>
      <c r="J1274">
        <v>-192.6215</v>
      </c>
      <c r="K1274">
        <v>1.1104940000000001</v>
      </c>
      <c r="L1274">
        <v>336.20870000000002</v>
      </c>
      <c r="M1274">
        <v>6.2091739999999999E-2</v>
      </c>
      <c r="N1274">
        <v>0</v>
      </c>
      <c r="O1274">
        <v>-0.99797880000000005</v>
      </c>
      <c r="P1274">
        <v>1.132962E-2</v>
      </c>
      <c r="Q1274">
        <v>-1.2270100000000001E-2</v>
      </c>
      <c r="R1274">
        <v>-0.99986070000000005</v>
      </c>
      <c r="S1274">
        <v>0.16584779999999999</v>
      </c>
      <c r="T1274">
        <v>-0.1076587</v>
      </c>
      <c r="U1274">
        <v>-2.9970699999999999</v>
      </c>
      <c r="V1274">
        <v>5.0781069999999998E-2</v>
      </c>
      <c r="W1274">
        <v>1.229588E-3</v>
      </c>
      <c r="X1274">
        <v>0.99870899999999996</v>
      </c>
      <c r="Y1274">
        <v>6.8925100000000001E-3</v>
      </c>
      <c r="Z1274">
        <v>3.5766609999999997E-2</v>
      </c>
      <c r="AA1274">
        <v>0.99933640000000001</v>
      </c>
      <c r="AB1274">
        <v>20</v>
      </c>
      <c r="AC1274">
        <v>1.69749999999999</v>
      </c>
      <c r="AD1274">
        <v>-1.110496784927</v>
      </c>
      <c r="AE1274">
        <v>-30.700900000000001</v>
      </c>
      <c r="AF1274">
        <v>0.211946239382096</v>
      </c>
      <c r="AG1274">
        <v>-1.110496784927</v>
      </c>
      <c r="AH1274">
        <v>30.707006643092601</v>
      </c>
      <c r="AI1274">
        <v>92.071108709764502</v>
      </c>
      <c r="AJ1274">
        <v>89.604538719645902</v>
      </c>
      <c r="AK1274">
        <v>30.727811202502799</v>
      </c>
      <c r="AL1274">
        <v>89.929549775631699</v>
      </c>
      <c r="AM1274">
        <v>87.089204721710104</v>
      </c>
      <c r="AN1274">
        <v>0.99999994781899504</v>
      </c>
    </row>
    <row r="1275" spans="1:40" x14ac:dyDescent="0.25">
      <c r="A1275" t="str">
        <f>"20190312154237249"</f>
        <v>20190312154237249</v>
      </c>
      <c r="B1275" t="str">
        <f>"1552376557238777"</f>
        <v>1552376557238777</v>
      </c>
      <c r="C1275" t="s">
        <v>40</v>
      </c>
      <c r="D1275">
        <v>5.0635640000000004</v>
      </c>
      <c r="E1275">
        <v>0.48378919999999997</v>
      </c>
      <c r="F1275" t="s">
        <v>43</v>
      </c>
      <c r="G1275">
        <v>-190.9332</v>
      </c>
      <c r="H1275" s="1">
        <v>-2.6485959999999998E-6</v>
      </c>
      <c r="I1275">
        <v>305.18430000000001</v>
      </c>
      <c r="J1275">
        <v>-192.60890000000001</v>
      </c>
      <c r="K1275">
        <v>1.11049</v>
      </c>
      <c r="L1275">
        <v>336.00689999999997</v>
      </c>
      <c r="M1275">
        <v>6.2079460000000003E-2</v>
      </c>
      <c r="N1275">
        <v>0</v>
      </c>
      <c r="O1275">
        <v>-0.99797979999999997</v>
      </c>
      <c r="P1275">
        <v>1.0312669999999999E-2</v>
      </c>
      <c r="Q1275">
        <v>-1.2120219999999999E-2</v>
      </c>
      <c r="R1275">
        <v>-0.99987340000000002</v>
      </c>
      <c r="S1275">
        <v>0.1631012</v>
      </c>
      <c r="T1275">
        <v>-0.1072845</v>
      </c>
      <c r="U1275">
        <v>-2.9972530000000002</v>
      </c>
      <c r="V1275">
        <v>5.1784570000000002E-2</v>
      </c>
      <c r="W1275">
        <v>1.375977E-3</v>
      </c>
      <c r="X1275">
        <v>0.99865729999999997</v>
      </c>
      <c r="Y1275">
        <v>7.7963199999999998E-3</v>
      </c>
      <c r="Z1275">
        <v>3.564109E-2</v>
      </c>
      <c r="AA1275">
        <v>0.99933419999999895</v>
      </c>
      <c r="AB1275">
        <v>20</v>
      </c>
      <c r="AC1275">
        <v>1.6757</v>
      </c>
      <c r="AD1275">
        <v>-1.1104926485959901</v>
      </c>
      <c r="AE1275">
        <v>-30.822599999999898</v>
      </c>
      <c r="AF1275">
        <v>0.24084590494347699</v>
      </c>
      <c r="AG1275">
        <v>-1.1104926485959901</v>
      </c>
      <c r="AH1275">
        <v>30.8272773126569</v>
      </c>
      <c r="AI1275">
        <v>92.063013920418399</v>
      </c>
      <c r="AJ1275">
        <v>89.552371331149203</v>
      </c>
      <c r="AK1275">
        <v>30.8482127064756</v>
      </c>
      <c r="AL1275">
        <v>89.921162297865393</v>
      </c>
      <c r="AM1275">
        <v>87.031632098936996</v>
      </c>
      <c r="AN1275">
        <v>0.999999968923039</v>
      </c>
    </row>
    <row r="1276" spans="1:40" x14ac:dyDescent="0.25">
      <c r="A1276" t="str">
        <f>"20190312154237271"</f>
        <v>20190312154237271</v>
      </c>
      <c r="B1276" t="str">
        <f>"1552376557258804"</f>
        <v>1552376557258804</v>
      </c>
      <c r="C1276" t="s">
        <v>40</v>
      </c>
      <c r="D1276">
        <v>5.1162539999999996</v>
      </c>
      <c r="E1276">
        <v>0.48374549999999999</v>
      </c>
      <c r="F1276" t="s">
        <v>43</v>
      </c>
      <c r="G1276">
        <v>-190.98920000000001</v>
      </c>
      <c r="H1276" s="1">
        <v>-2.9521029999999999E-6</v>
      </c>
      <c r="I1276">
        <v>305.85700000000003</v>
      </c>
      <c r="J1276">
        <v>-192.59630000000001</v>
      </c>
      <c r="K1276">
        <v>1.1104889999999901</v>
      </c>
      <c r="L1276">
        <v>335.80410000000001</v>
      </c>
      <c r="M1276">
        <v>6.2062249999999999E-2</v>
      </c>
      <c r="N1276">
        <v>0</v>
      </c>
      <c r="O1276">
        <v>-0.99798100000000001</v>
      </c>
      <c r="P1276">
        <v>9.3638379999999993E-3</v>
      </c>
      <c r="Q1276">
        <v>-1.1714570000000001E-2</v>
      </c>
      <c r="R1276">
        <v>-0.99988770000000005</v>
      </c>
      <c r="S1276">
        <v>0.161026</v>
      </c>
      <c r="T1276">
        <v>-0.1104004</v>
      </c>
      <c r="U1276">
        <v>-2.9973749999999999</v>
      </c>
      <c r="V1276">
        <v>5.2715270000000002E-2</v>
      </c>
      <c r="W1276">
        <v>1.7779499999999999E-3</v>
      </c>
      <c r="X1276">
        <v>0.99860800000000005</v>
      </c>
      <c r="Y1276">
        <v>8.4731430000000007E-3</v>
      </c>
      <c r="Z1276">
        <v>3.6673999999999998E-2</v>
      </c>
      <c r="AA1276">
        <v>0.99929140000000005</v>
      </c>
      <c r="AB1276">
        <v>20</v>
      </c>
      <c r="AC1276">
        <v>1.6071</v>
      </c>
      <c r="AD1276">
        <v>-1.1104919521029999</v>
      </c>
      <c r="AE1276">
        <v>-29.947099999999899</v>
      </c>
      <c r="AF1276">
        <v>0.25440353568609803</v>
      </c>
      <c r="AG1276">
        <v>-1.1104919521029999</v>
      </c>
      <c r="AH1276">
        <v>29.948047117969601</v>
      </c>
      <c r="AI1276">
        <v>92.123513157191695</v>
      </c>
      <c r="AJ1276">
        <v>89.513293864266998</v>
      </c>
      <c r="AK1276">
        <v>29.9697087025347</v>
      </c>
      <c r="AL1276">
        <v>89.898130915066403</v>
      </c>
      <c r="AM1276">
        <v>86.978232097342499</v>
      </c>
      <c r="AN1276">
        <v>0.99999999923068705</v>
      </c>
    </row>
    <row r="1277" spans="1:40" x14ac:dyDescent="0.25">
      <c r="A1277" t="str">
        <f>"20190312154237292"</f>
        <v>20190312154237292</v>
      </c>
      <c r="B1277" t="str">
        <f>"1552376557289063"</f>
        <v>1552376557289063</v>
      </c>
      <c r="C1277" t="s">
        <v>40</v>
      </c>
      <c r="D1277">
        <v>5.0386660000000001</v>
      </c>
      <c r="E1277">
        <v>0.48365910000000001</v>
      </c>
      <c r="F1277" t="s">
        <v>43</v>
      </c>
      <c r="G1277">
        <v>-191.0137</v>
      </c>
      <c r="H1277" s="1">
        <v>-2.9685800000000001E-6</v>
      </c>
      <c r="I1277">
        <v>305.8802</v>
      </c>
      <c r="J1277">
        <v>-192.58430000000001</v>
      </c>
      <c r="K1277">
        <v>1.11049</v>
      </c>
      <c r="L1277">
        <v>335.6103</v>
      </c>
      <c r="M1277">
        <v>6.2041840000000001E-2</v>
      </c>
      <c r="N1277">
        <v>0</v>
      </c>
      <c r="O1277">
        <v>-0.99798240000000005</v>
      </c>
      <c r="P1277">
        <v>8.6361340000000002E-3</v>
      </c>
      <c r="Q1277">
        <v>-1.156041E-2</v>
      </c>
      <c r="R1277">
        <v>-0.99989620000000001</v>
      </c>
      <c r="S1277">
        <v>0.15853879999999901</v>
      </c>
      <c r="T1277">
        <v>-0.11124340000000001</v>
      </c>
      <c r="U1277">
        <v>-2.99762</v>
      </c>
      <c r="V1277">
        <v>5.3421700000000003E-2</v>
      </c>
      <c r="W1277">
        <v>1.929107E-3</v>
      </c>
      <c r="X1277">
        <v>0.99857019999999996</v>
      </c>
      <c r="Y1277">
        <v>9.2843720000000008E-3</v>
      </c>
      <c r="Z1277">
        <v>3.6951379999999999E-2</v>
      </c>
      <c r="AA1277">
        <v>0.999274</v>
      </c>
      <c r="AB1277">
        <v>20</v>
      </c>
      <c r="AC1277">
        <v>1.57060000000001</v>
      </c>
      <c r="AD1277">
        <v>-1.11049296858</v>
      </c>
      <c r="AE1277">
        <v>-29.7301</v>
      </c>
      <c r="AF1277">
        <v>0.27671915295732102</v>
      </c>
      <c r="AG1277">
        <v>-1.11049296858</v>
      </c>
      <c r="AH1277">
        <v>29.7289052170504</v>
      </c>
      <c r="AI1277">
        <v>92.139138294266402</v>
      </c>
      <c r="AJ1277">
        <v>89.466701461325499</v>
      </c>
      <c r="AK1277">
        <v>29.7509255911013</v>
      </c>
      <c r="AL1277">
        <v>89.889470244536795</v>
      </c>
      <c r="AM1277">
        <v>86.937698669944794</v>
      </c>
      <c r="AN1277">
        <v>1.0000000219063701</v>
      </c>
    </row>
    <row r="1278" spans="1:40" x14ac:dyDescent="0.25">
      <c r="A1278" t="str">
        <f>"20190312154237313"</f>
        <v>20190312154237313</v>
      </c>
      <c r="B1278" t="str">
        <f>"1552376557308580"</f>
        <v>1552376557308580</v>
      </c>
      <c r="C1278" t="s">
        <v>40</v>
      </c>
      <c r="D1278">
        <v>5.0781499999999999</v>
      </c>
      <c r="E1278">
        <v>0.4835854</v>
      </c>
      <c r="F1278" t="s">
        <v>43</v>
      </c>
      <c r="G1278">
        <v>-191.02940000000001</v>
      </c>
      <c r="H1278" s="1">
        <v>-2.9980100000000002E-6</v>
      </c>
      <c r="I1278">
        <v>305.9391</v>
      </c>
      <c r="J1278">
        <v>-192.5727</v>
      </c>
      <c r="K1278">
        <v>1.1104830000000001</v>
      </c>
      <c r="L1278">
        <v>335.42320000000001</v>
      </c>
      <c r="M1278">
        <v>6.2018400000000001E-2</v>
      </c>
      <c r="N1278">
        <v>0</v>
      </c>
      <c r="O1278">
        <v>-0.99798359999999997</v>
      </c>
      <c r="P1278">
        <v>8.191027E-3</v>
      </c>
      <c r="Q1278">
        <v>-1.158237E-2</v>
      </c>
      <c r="R1278">
        <v>-0.9998996</v>
      </c>
      <c r="S1278">
        <v>0.15708920000000001</v>
      </c>
      <c r="T1278">
        <v>-0.112192</v>
      </c>
      <c r="U1278">
        <v>-2.9976500000000001</v>
      </c>
      <c r="V1278">
        <v>5.3842719999999997E-2</v>
      </c>
      <c r="W1278">
        <v>1.904789E-3</v>
      </c>
      <c r="X1278">
        <v>0.99854759999999998</v>
      </c>
      <c r="Y1278">
        <v>9.7439320000000003E-3</v>
      </c>
      <c r="Z1278">
        <v>3.7266149999999998E-2</v>
      </c>
      <c r="AA1278">
        <v>0.99925790000000003</v>
      </c>
      <c r="AB1278">
        <v>20</v>
      </c>
      <c r="AC1278">
        <v>1.5432999999999799</v>
      </c>
      <c r="AD1278">
        <v>-1.1104859980099999</v>
      </c>
      <c r="AE1278">
        <v>-29.484100000000002</v>
      </c>
      <c r="AF1278">
        <v>0.28798751403161899</v>
      </c>
      <c r="AG1278">
        <v>-1.1104859980099999</v>
      </c>
      <c r="AH1278">
        <v>29.481347602215099</v>
      </c>
      <c r="AI1278">
        <v>92.157060949735495</v>
      </c>
      <c r="AJ1278">
        <v>89.440325981083703</v>
      </c>
      <c r="AK1278">
        <v>29.503660322113401</v>
      </c>
      <c r="AL1278">
        <v>89.890863562142101</v>
      </c>
      <c r="AM1278">
        <v>86.913541227260097</v>
      </c>
      <c r="AN1278">
        <v>0.99999998809194601</v>
      </c>
    </row>
    <row r="1279" spans="1:40" x14ac:dyDescent="0.25">
      <c r="A1279" t="str">
        <f>"20190312154237347"</f>
        <v>20190312154237347</v>
      </c>
      <c r="B1279" t="str">
        <f>"1552376557338837"</f>
        <v>1552376557338837</v>
      </c>
      <c r="C1279" t="s">
        <v>40</v>
      </c>
      <c r="D1279">
        <v>5.1731999999999996</v>
      </c>
      <c r="E1279">
        <v>0.49221759999999898</v>
      </c>
      <c r="F1279" t="s">
        <v>43</v>
      </c>
      <c r="G1279">
        <v>-191.0446</v>
      </c>
      <c r="H1279" s="1">
        <v>-3.0785319999999999E-6</v>
      </c>
      <c r="I1279">
        <v>306.11739999999998</v>
      </c>
      <c r="J1279">
        <v>-192.5539</v>
      </c>
      <c r="K1279">
        <v>1.1104830000000001</v>
      </c>
      <c r="L1279">
        <v>335.11950000000002</v>
      </c>
      <c r="M1279">
        <v>6.1974130000000002E-2</v>
      </c>
      <c r="N1279">
        <v>0</v>
      </c>
      <c r="O1279">
        <v>-0.99798640000000005</v>
      </c>
      <c r="P1279">
        <v>7.5250819999999998E-3</v>
      </c>
      <c r="Q1279">
        <v>-1.2214340000000001E-2</v>
      </c>
      <c r="R1279">
        <v>-0.99989720000000004</v>
      </c>
      <c r="S1279">
        <v>0.15631099999999901</v>
      </c>
      <c r="T1279">
        <v>-0.1135935</v>
      </c>
      <c r="U1279">
        <v>-2.9977420000000001</v>
      </c>
      <c r="V1279">
        <v>5.4462900000000002E-2</v>
      </c>
      <c r="W1279">
        <v>1.2682119999999999E-3</v>
      </c>
      <c r="X1279">
        <v>0.99851500000000004</v>
      </c>
      <c r="Y1279">
        <v>9.9607629999999992E-3</v>
      </c>
      <c r="Z1279">
        <v>3.773021E-2</v>
      </c>
      <c r="AA1279">
        <v>0.99923830000000002</v>
      </c>
      <c r="AB1279">
        <v>20</v>
      </c>
      <c r="AC1279">
        <v>1.5092999999999901</v>
      </c>
      <c r="AD1279">
        <v>-1.1104860785320001</v>
      </c>
      <c r="AE1279">
        <v>-29.002099999999999</v>
      </c>
      <c r="AF1279">
        <v>0.290720511147327</v>
      </c>
      <c r="AG1279">
        <v>-1.1104860785320001</v>
      </c>
      <c r="AH1279">
        <v>28.997488039250602</v>
      </c>
      <c r="AI1279">
        <v>92.193013951044506</v>
      </c>
      <c r="AJ1279">
        <v>89.425588167383097</v>
      </c>
      <c r="AK1279">
        <v>29.020200039501699</v>
      </c>
      <c r="AL1279">
        <v>89.927336786159202</v>
      </c>
      <c r="AM1279">
        <v>86.877958474644203</v>
      </c>
      <c r="AN1279">
        <v>1.0000000105315401</v>
      </c>
    </row>
    <row r="1280" spans="1:40" x14ac:dyDescent="0.25">
      <c r="A1280" t="str">
        <f>"20190312154237371"</f>
        <v>20190312154237371</v>
      </c>
      <c r="B1280" t="str">
        <f>"1552376557358356"</f>
        <v>1552376557358356</v>
      </c>
      <c r="C1280" t="s">
        <v>40</v>
      </c>
      <c r="D1280">
        <v>5.130986</v>
      </c>
      <c r="E1280">
        <v>0.49128729999999998</v>
      </c>
      <c r="F1280" t="s">
        <v>43</v>
      </c>
      <c r="G1280">
        <v>-191.95179999999999</v>
      </c>
      <c r="H1280" s="1">
        <v>-2.650115E-6</v>
      </c>
      <c r="I1280">
        <v>314.09930000000003</v>
      </c>
      <c r="J1280">
        <v>-192.54150000000001</v>
      </c>
      <c r="K1280">
        <v>1.1104780000000001</v>
      </c>
      <c r="L1280">
        <v>334.91930000000002</v>
      </c>
      <c r="M1280">
        <v>6.1942320000000002E-2</v>
      </c>
      <c r="N1280">
        <v>0</v>
      </c>
      <c r="O1280">
        <v>-0.9979886</v>
      </c>
      <c r="P1280">
        <v>7.3033769999999998E-3</v>
      </c>
      <c r="Q1280">
        <v>-1.226582E-2</v>
      </c>
      <c r="R1280">
        <v>-0.99989839999999997</v>
      </c>
      <c r="S1280">
        <v>8.5861209999999993E-2</v>
      </c>
      <c r="T1280">
        <v>-0.1583706</v>
      </c>
      <c r="U1280">
        <v>-2.9977719999999999</v>
      </c>
      <c r="V1280">
        <v>5.4652409999999998E-2</v>
      </c>
      <c r="W1280">
        <v>1.2143290000000001E-3</v>
      </c>
      <c r="X1280">
        <v>0.99850470000000002</v>
      </c>
      <c r="Y1280">
        <v>3.3387269999999997E-2</v>
      </c>
      <c r="Z1280">
        <v>5.2578569999999998E-2</v>
      </c>
      <c r="AA1280">
        <v>0.99805849999999996</v>
      </c>
      <c r="AB1280">
        <v>20</v>
      </c>
      <c r="AC1280">
        <v>0.58970000000002099</v>
      </c>
      <c r="AD1280">
        <v>-1.110480650115</v>
      </c>
      <c r="AE1280">
        <v>-20.82</v>
      </c>
      <c r="AF1280">
        <v>0.69920146798391003</v>
      </c>
      <c r="AG1280">
        <v>-1.110480650115</v>
      </c>
      <c r="AH1280">
        <v>20.7575385162176</v>
      </c>
      <c r="AI1280">
        <v>93.060540971948001</v>
      </c>
      <c r="AJ1280">
        <v>88.070765862541194</v>
      </c>
      <c r="AK1280">
        <v>20.798977263783101</v>
      </c>
      <c r="AL1280">
        <v>89.930424056136204</v>
      </c>
      <c r="AM1280">
        <v>86.867084317957804</v>
      </c>
      <c r="AN1280">
        <v>0.99999999821790897</v>
      </c>
    </row>
    <row r="1281" spans="1:40" x14ac:dyDescent="0.25">
      <c r="A1281" t="str">
        <f>"20190312154237392"</f>
        <v>20190312154237392</v>
      </c>
      <c r="B1281" t="str">
        <f>"1552376557388613"</f>
        <v>1552376557388613</v>
      </c>
      <c r="C1281" t="s">
        <v>40</v>
      </c>
      <c r="D1281">
        <v>5.13009</v>
      </c>
      <c r="E1281">
        <v>0.49091899999999999</v>
      </c>
      <c r="F1281" t="s">
        <v>43</v>
      </c>
      <c r="G1281">
        <v>-191.92699999999999</v>
      </c>
      <c r="H1281" s="1">
        <v>-3.1105149999999999E-6</v>
      </c>
      <c r="I1281">
        <v>315.0872</v>
      </c>
      <c r="J1281">
        <v>-192.52930000000001</v>
      </c>
      <c r="K1281">
        <v>1.1104780000000001</v>
      </c>
      <c r="L1281">
        <v>334.72179999999997</v>
      </c>
      <c r="M1281">
        <v>6.1909810000000003E-2</v>
      </c>
      <c r="N1281">
        <v>0</v>
      </c>
      <c r="O1281">
        <v>-0.9979905</v>
      </c>
      <c r="P1281">
        <v>7.3144150000000003E-3</v>
      </c>
      <c r="Q1281">
        <v>-1.2256090000000001E-2</v>
      </c>
      <c r="R1281">
        <v>-0.99989830000000002</v>
      </c>
      <c r="S1281">
        <v>9.2880249999999998E-2</v>
      </c>
      <c r="T1281">
        <v>-0.1678473</v>
      </c>
      <c r="U1281">
        <v>-2.9975890000000001</v>
      </c>
      <c r="V1281">
        <v>5.4608869999999997E-2</v>
      </c>
      <c r="W1281">
        <v>1.221958E-3</v>
      </c>
      <c r="X1281">
        <v>0.99850709999999998</v>
      </c>
      <c r="Y1281">
        <v>3.1023229999999999E-2</v>
      </c>
      <c r="Z1281">
        <v>5.5719020000000001E-2</v>
      </c>
      <c r="AA1281">
        <v>0.99796439999999997</v>
      </c>
      <c r="AB1281">
        <v>20</v>
      </c>
      <c r="AC1281">
        <v>0.60229999999998496</v>
      </c>
      <c r="AD1281">
        <v>-1.1104811105149901</v>
      </c>
      <c r="AE1281">
        <v>-19.634599999999899</v>
      </c>
      <c r="AF1281">
        <v>0.61258299678803396</v>
      </c>
      <c r="AG1281">
        <v>-1.1104811105149901</v>
      </c>
      <c r="AH1281">
        <v>19.571674950377901</v>
      </c>
      <c r="AI1281">
        <v>93.245848498450599</v>
      </c>
      <c r="AJ1281">
        <v>88.207257903485996</v>
      </c>
      <c r="AK1281">
        <v>19.612722569495901</v>
      </c>
      <c r="AL1281">
        <v>89.929986948205894</v>
      </c>
      <c r="AM1281">
        <v>86.869582764830596</v>
      </c>
      <c r="AN1281">
        <v>1.0000000253072201</v>
      </c>
    </row>
    <row r="1282" spans="1:40" x14ac:dyDescent="0.25">
      <c r="A1282" t="str">
        <f>"20190312154237413"</f>
        <v>20190312154237413</v>
      </c>
      <c r="B1282" t="str">
        <f>"1552376557409109"</f>
        <v>1552376557409109</v>
      </c>
      <c r="C1282" t="s">
        <v>40</v>
      </c>
      <c r="D1282">
        <v>5.1331449999999998</v>
      </c>
      <c r="E1282">
        <v>0.490647</v>
      </c>
      <c r="F1282" t="s">
        <v>43</v>
      </c>
      <c r="G1282">
        <v>-191.81020000000001</v>
      </c>
      <c r="H1282" s="1">
        <v>-1.715627E-6</v>
      </c>
      <c r="I1282">
        <v>312.20209999999997</v>
      </c>
      <c r="J1282">
        <v>-192.518</v>
      </c>
      <c r="K1282">
        <v>1.1104780000000001</v>
      </c>
      <c r="L1282">
        <v>334.53969999999998</v>
      </c>
      <c r="M1282">
        <v>6.1879419999999997E-2</v>
      </c>
      <c r="N1282">
        <v>0</v>
      </c>
      <c r="O1282">
        <v>-0.9979924</v>
      </c>
      <c r="P1282">
        <v>7.7825669999999998E-3</v>
      </c>
      <c r="Q1282">
        <v>-1.246737E-2</v>
      </c>
      <c r="R1282">
        <v>-0.99989220000000001</v>
      </c>
      <c r="S1282">
        <v>9.5718380000000006E-2</v>
      </c>
      <c r="T1282">
        <v>-0.14782439999999999</v>
      </c>
      <c r="U1282">
        <v>-2.9977719999999999</v>
      </c>
      <c r="V1282">
        <v>5.4110819999999997E-2</v>
      </c>
      <c r="W1282">
        <v>1.0088129999999999E-3</v>
      </c>
      <c r="X1282">
        <v>0.99853440000000004</v>
      </c>
      <c r="Y1282">
        <v>3.0039650000000001E-2</v>
      </c>
      <c r="Z1282">
        <v>4.908651E-2</v>
      </c>
      <c r="AA1282">
        <v>0.99834270000000003</v>
      </c>
      <c r="AB1282">
        <v>20</v>
      </c>
      <c r="AC1282">
        <v>0.70779999999999099</v>
      </c>
      <c r="AD1282">
        <v>-1.1104797156270001</v>
      </c>
      <c r="AE1282">
        <v>-22.337599999999998</v>
      </c>
      <c r="AF1282">
        <v>0.67425555544649196</v>
      </c>
      <c r="AG1282">
        <v>-1.1104797156270001</v>
      </c>
      <c r="AH1282">
        <v>22.2835703500329</v>
      </c>
      <c r="AI1282">
        <v>92.851615524898193</v>
      </c>
      <c r="AJ1282">
        <v>88.2668749337127</v>
      </c>
      <c r="AK1282">
        <v>22.321408855574798</v>
      </c>
      <c r="AL1282">
        <v>89.942199261432705</v>
      </c>
      <c r="AM1282">
        <v>86.898161781101805</v>
      </c>
      <c r="AN1282">
        <v>0.99999997326404999</v>
      </c>
    </row>
    <row r="1283" spans="1:40" x14ac:dyDescent="0.25">
      <c r="A1283" t="str">
        <f>"20190312154237437"</f>
        <v>20190312154237437</v>
      </c>
      <c r="B1283" t="str">
        <f>"1552376557428629"</f>
        <v>1552376557428629</v>
      </c>
      <c r="C1283" t="s">
        <v>40</v>
      </c>
      <c r="D1283">
        <v>5.1442709999999998</v>
      </c>
      <c r="E1283">
        <v>0.49042459999999999</v>
      </c>
      <c r="F1283" t="s">
        <v>43</v>
      </c>
      <c r="G1283">
        <v>-191.79820000000001</v>
      </c>
      <c r="H1283" s="1">
        <v>-2.0010119999999999E-6</v>
      </c>
      <c r="I1283">
        <v>312.81259999999997</v>
      </c>
      <c r="J1283">
        <v>-192.50450000000001</v>
      </c>
      <c r="K1283">
        <v>1.1104769999999999</v>
      </c>
      <c r="L1283">
        <v>334.32060000000001</v>
      </c>
      <c r="M1283">
        <v>6.1842800000000003E-2</v>
      </c>
      <c r="N1283">
        <v>0</v>
      </c>
      <c r="O1283">
        <v>-0.99799479999999996</v>
      </c>
      <c r="P1283">
        <v>7.9707900000000002E-3</v>
      </c>
      <c r="Q1283">
        <v>-1.233539E-2</v>
      </c>
      <c r="R1283">
        <v>-0.99989240000000001</v>
      </c>
      <c r="S1283">
        <v>9.9304199999999995E-2</v>
      </c>
      <c r="T1283">
        <v>-0.15320929999999999</v>
      </c>
      <c r="U1283">
        <v>-2.99762</v>
      </c>
      <c r="V1283">
        <v>5.3886339999999998E-2</v>
      </c>
      <c r="W1283">
        <v>1.138989E-3</v>
      </c>
      <c r="X1283">
        <v>0.99854639999999995</v>
      </c>
      <c r="Y1283">
        <v>2.8811320000000001E-2</v>
      </c>
      <c r="Z1283">
        <v>5.0872750000000001E-2</v>
      </c>
      <c r="AA1283">
        <v>0.99828950000000005</v>
      </c>
      <c r="AB1283">
        <v>20</v>
      </c>
      <c r="AC1283">
        <v>0.70629999999999804</v>
      </c>
      <c r="AD1283">
        <v>-1.110479001012</v>
      </c>
      <c r="AE1283">
        <v>-21.507999999999999</v>
      </c>
      <c r="AF1283">
        <v>0.62362742254313197</v>
      </c>
      <c r="AG1283">
        <v>-1.110479001012</v>
      </c>
      <c r="AH1283">
        <v>21.4533797282668</v>
      </c>
      <c r="AI1283">
        <v>92.961875170071096</v>
      </c>
      <c r="AJ1283">
        <v>88.334940204919903</v>
      </c>
      <c r="AK1283">
        <v>21.491151121776699</v>
      </c>
      <c r="AL1283">
        <v>89.934740721577597</v>
      </c>
      <c r="AM1283">
        <v>86.911041907053004</v>
      </c>
      <c r="AN1283">
        <v>0.99999997394374796</v>
      </c>
    </row>
    <row r="1284" spans="1:40" x14ac:dyDescent="0.25">
      <c r="A1284" t="str">
        <f>"20190312154237461"</f>
        <v>20190312154237461</v>
      </c>
      <c r="B1284" t="str">
        <f>"1552376557458884"</f>
        <v>1552376557458884</v>
      </c>
      <c r="C1284" t="s">
        <v>40</v>
      </c>
      <c r="D1284">
        <v>5.1027279999999999</v>
      </c>
      <c r="E1284">
        <v>0.49026760000000003</v>
      </c>
      <c r="F1284" t="s">
        <v>43</v>
      </c>
      <c r="G1284">
        <v>-191.78530000000001</v>
      </c>
      <c r="H1284" s="1">
        <v>-2.1401009999999999E-6</v>
      </c>
      <c r="I1284">
        <v>313.11410000000001</v>
      </c>
      <c r="J1284">
        <v>-192.49119999999999</v>
      </c>
      <c r="K1284">
        <v>1.1104810000000001</v>
      </c>
      <c r="L1284">
        <v>334.10649999999998</v>
      </c>
      <c r="M1284">
        <v>6.1806890000000003E-2</v>
      </c>
      <c r="N1284">
        <v>0</v>
      </c>
      <c r="O1284">
        <v>-0.99799689999999996</v>
      </c>
      <c r="P1284">
        <v>7.9631779999999996E-3</v>
      </c>
      <c r="Q1284">
        <v>-1.2647190000000001E-2</v>
      </c>
      <c r="R1284">
        <v>-0.99988840000000001</v>
      </c>
      <c r="S1284">
        <v>0.1016541</v>
      </c>
      <c r="T1284">
        <v>-0.1569682</v>
      </c>
      <c r="U1284">
        <v>-2.9975890000000001</v>
      </c>
      <c r="V1284">
        <v>5.3857740000000001E-2</v>
      </c>
      <c r="W1284">
        <v>8.2475339999999895E-4</v>
      </c>
      <c r="X1284">
        <v>0.99854830000000006</v>
      </c>
      <c r="Y1284">
        <v>2.79955E-2</v>
      </c>
      <c r="Z1284">
        <v>5.2118159999999997E-2</v>
      </c>
      <c r="AA1284">
        <v>0.99824849999999998</v>
      </c>
      <c r="AB1284">
        <v>20</v>
      </c>
      <c r="AC1284">
        <v>0.70589999999998498</v>
      </c>
      <c r="AD1284">
        <v>-1.110483140101</v>
      </c>
      <c r="AE1284">
        <v>-20.9923999999999</v>
      </c>
      <c r="AF1284">
        <v>0.59138990563938798</v>
      </c>
      <c r="AG1284">
        <v>-1.110483140101</v>
      </c>
      <c r="AH1284">
        <v>20.937367727007899</v>
      </c>
      <c r="AI1284">
        <v>93.034819966320399</v>
      </c>
      <c r="AJ1284">
        <v>88.382072700392996</v>
      </c>
      <c r="AK1284">
        <v>20.9751348544149</v>
      </c>
      <c r="AL1284">
        <v>89.952745106718695</v>
      </c>
      <c r="AM1284">
        <v>86.912684052196397</v>
      </c>
      <c r="AN1284">
        <v>1.00000002190448</v>
      </c>
    </row>
    <row r="1285" spans="1:40" x14ac:dyDescent="0.25">
      <c r="A1285" t="str">
        <f>"20190312154237481"</f>
        <v>20190312154237481</v>
      </c>
      <c r="B1285" t="str">
        <f>"1552376557468645"</f>
        <v>1552376557468645</v>
      </c>
      <c r="C1285" t="s">
        <v>40</v>
      </c>
      <c r="D1285">
        <v>5.1140049999999997</v>
      </c>
      <c r="E1285">
        <v>0.49022139999999997</v>
      </c>
      <c r="F1285" t="s">
        <v>43</v>
      </c>
      <c r="G1285">
        <v>-191.7809</v>
      </c>
      <c r="H1285" s="1">
        <v>-2.2916589999999999E-6</v>
      </c>
      <c r="I1285">
        <v>313.43720000000002</v>
      </c>
      <c r="J1285">
        <v>-192.48060000000001</v>
      </c>
      <c r="K1285">
        <v>1.1104799999999999</v>
      </c>
      <c r="L1285">
        <v>333.93369999999999</v>
      </c>
      <c r="M1285">
        <v>6.1778060000000003E-2</v>
      </c>
      <c r="N1285">
        <v>0</v>
      </c>
      <c r="O1285">
        <v>-0.99799879999999996</v>
      </c>
      <c r="P1285">
        <v>7.9021390000000007E-3</v>
      </c>
      <c r="Q1285">
        <v>-1.2789109999999999E-2</v>
      </c>
      <c r="R1285">
        <v>-0.99988719999999998</v>
      </c>
      <c r="S1285">
        <v>0.1030121</v>
      </c>
      <c r="T1285">
        <v>-0.16104379999999999</v>
      </c>
      <c r="U1285">
        <v>-2.9974980000000002</v>
      </c>
      <c r="V1285">
        <v>5.3889729999999997E-2</v>
      </c>
      <c r="W1285">
        <v>6.8074869999999895E-4</v>
      </c>
      <c r="X1285">
        <v>0.99854670000000001</v>
      </c>
      <c r="Y1285">
        <v>2.75163E-2</v>
      </c>
      <c r="Z1285">
        <v>5.3469240000000001E-2</v>
      </c>
      <c r="AA1285">
        <v>0.99819029999999997</v>
      </c>
      <c r="AB1285">
        <v>20</v>
      </c>
      <c r="AC1285">
        <v>0.69970000000000698</v>
      </c>
      <c r="AD1285">
        <v>-1.11048229165899</v>
      </c>
      <c r="AE1285">
        <v>-20.496499999999902</v>
      </c>
      <c r="AF1285">
        <v>0.56632545400274004</v>
      </c>
      <c r="AG1285">
        <v>-1.11048229165899</v>
      </c>
      <c r="AH1285">
        <v>20.4406416375564</v>
      </c>
      <c r="AI1285">
        <v>93.108470366537503</v>
      </c>
      <c r="AJ1285">
        <v>88.412977429482297</v>
      </c>
      <c r="AK1285">
        <v>20.478616310555299</v>
      </c>
      <c r="AL1285">
        <v>89.960995971099294</v>
      </c>
      <c r="AM1285">
        <v>86.910848882767695</v>
      </c>
      <c r="AN1285">
        <v>1.00000003924957</v>
      </c>
    </row>
    <row r="1286" spans="1:40" x14ac:dyDescent="0.25">
      <c r="A1286" t="str">
        <f>"20190312154237502"</f>
        <v>20190312154237502</v>
      </c>
      <c r="B1286" t="str">
        <f>"1552376557498901"</f>
        <v>1552376557498901</v>
      </c>
      <c r="C1286" t="s">
        <v>40</v>
      </c>
      <c r="D1286">
        <v>5.1357710000000001</v>
      </c>
      <c r="E1286">
        <v>0.4900833</v>
      </c>
      <c r="F1286" t="s">
        <v>43</v>
      </c>
      <c r="G1286">
        <v>-191.77420000000001</v>
      </c>
      <c r="H1286" s="1">
        <v>-2.2774480000000001E-6</v>
      </c>
      <c r="I1286">
        <v>313.41090000000003</v>
      </c>
      <c r="J1286">
        <v>-192.46860000000001</v>
      </c>
      <c r="K1286">
        <v>1.1104810000000001</v>
      </c>
      <c r="L1286">
        <v>333.74029999999999</v>
      </c>
      <c r="M1286">
        <v>6.1745830000000002E-2</v>
      </c>
      <c r="N1286">
        <v>0</v>
      </c>
      <c r="O1286">
        <v>-0.99800069999999996</v>
      </c>
      <c r="P1286">
        <v>7.387879E-3</v>
      </c>
      <c r="Q1286">
        <v>-1.308221E-2</v>
      </c>
      <c r="R1286">
        <v>-0.99988719999999998</v>
      </c>
      <c r="S1286">
        <v>0.1031647</v>
      </c>
      <c r="T1286">
        <v>-0.16219149999999999</v>
      </c>
      <c r="U1286">
        <v>-2.9974669999999999</v>
      </c>
      <c r="V1286">
        <v>5.4370729999999999E-2</v>
      </c>
      <c r="W1286">
        <v>3.8558640000000002E-4</v>
      </c>
      <c r="X1286">
        <v>0.99852070000000004</v>
      </c>
      <c r="Y1286">
        <v>2.7433619999999999E-2</v>
      </c>
      <c r="Z1286">
        <v>5.3849920000000003E-2</v>
      </c>
      <c r="AA1286">
        <v>0.99817210000000001</v>
      </c>
      <c r="AB1286">
        <v>20</v>
      </c>
      <c r="AC1286">
        <v>0.69440000000000102</v>
      </c>
      <c r="AD1286">
        <v>-1.110483277448</v>
      </c>
      <c r="AE1286">
        <v>-20.3293999999999</v>
      </c>
      <c r="AF1286">
        <v>0.56062431558139803</v>
      </c>
      <c r="AG1286">
        <v>-1.110483277448</v>
      </c>
      <c r="AH1286">
        <v>20.273061735211101</v>
      </c>
      <c r="AI1286">
        <v>93.134121684514895</v>
      </c>
      <c r="AJ1286">
        <v>88.415965810328601</v>
      </c>
      <c r="AK1286">
        <v>20.311191615766699</v>
      </c>
      <c r="AL1286">
        <v>89.977907525136999</v>
      </c>
      <c r="AM1286">
        <v>86.883249376075099</v>
      </c>
      <c r="AN1286">
        <v>0.99999995664304597</v>
      </c>
    </row>
    <row r="1287" spans="1:40" x14ac:dyDescent="0.25">
      <c r="A1287" t="str">
        <f>"20190312154237526"</f>
        <v>20190312154237526</v>
      </c>
      <c r="B1287" t="str">
        <f>"1552376557518421"</f>
        <v>1552376557518421</v>
      </c>
      <c r="C1287" t="s">
        <v>40</v>
      </c>
      <c r="D1287">
        <v>5.131456</v>
      </c>
      <c r="E1287">
        <v>0.49017339999999998</v>
      </c>
      <c r="F1287" t="s">
        <v>43</v>
      </c>
      <c r="G1287">
        <v>-191.78139999999999</v>
      </c>
      <c r="H1287" s="1">
        <v>-2.3925439999999999E-6</v>
      </c>
      <c r="I1287">
        <v>313.65030000000002</v>
      </c>
      <c r="J1287">
        <v>-192.4562</v>
      </c>
      <c r="K1287">
        <v>1.110479</v>
      </c>
      <c r="L1287">
        <v>333.53919999999999</v>
      </c>
      <c r="M1287">
        <v>6.1712370000000003E-2</v>
      </c>
      <c r="N1287">
        <v>0</v>
      </c>
      <c r="O1287">
        <v>-0.99800310000000003</v>
      </c>
      <c r="P1287">
        <v>6.7896160000000001E-3</v>
      </c>
      <c r="Q1287">
        <v>-1.3091419999999999E-2</v>
      </c>
      <c r="R1287">
        <v>-0.99989159999999999</v>
      </c>
      <c r="S1287">
        <v>0.10253909999999999</v>
      </c>
      <c r="T1287">
        <v>-0.1656811</v>
      </c>
      <c r="U1287">
        <v>-2.9973749999999999</v>
      </c>
      <c r="V1287">
        <v>5.4934629999999998E-2</v>
      </c>
      <c r="W1287">
        <v>3.7414229999999999E-4</v>
      </c>
      <c r="X1287">
        <v>0.99848990000000004</v>
      </c>
      <c r="Y1287">
        <v>2.76093E-2</v>
      </c>
      <c r="Z1287">
        <v>5.5006949999999999E-2</v>
      </c>
      <c r="AA1287">
        <v>0.9981042</v>
      </c>
      <c r="AB1287">
        <v>20</v>
      </c>
      <c r="AC1287">
        <v>0.67480000000000395</v>
      </c>
      <c r="AD1287">
        <v>-1.110481392544</v>
      </c>
      <c r="AE1287">
        <v>-19.8888999999999</v>
      </c>
      <c r="AF1287">
        <v>0.55226921354139602</v>
      </c>
      <c r="AG1287">
        <v>-1.110481392544</v>
      </c>
      <c r="AH1287">
        <v>19.830880749075401</v>
      </c>
      <c r="AI1287">
        <v>93.203838324372498</v>
      </c>
      <c r="AJ1287">
        <v>88.404784992476493</v>
      </c>
      <c r="AK1287">
        <v>19.869625096902599</v>
      </c>
      <c r="AL1287">
        <v>89.978563225136497</v>
      </c>
      <c r="AM1287">
        <v>86.850892125029603</v>
      </c>
      <c r="AN1287">
        <v>1.0000000169788501</v>
      </c>
    </row>
    <row r="1288" spans="1:40" x14ac:dyDescent="0.25">
      <c r="A1288" t="str">
        <f>"20190312154237548"</f>
        <v>20190312154237548</v>
      </c>
      <c r="B1288" t="str">
        <f>"1552376557538917"</f>
        <v>1552376557538917</v>
      </c>
      <c r="C1288" t="s">
        <v>40</v>
      </c>
      <c r="D1288">
        <v>5.1364280000000004</v>
      </c>
      <c r="E1288">
        <v>0.49013440000000003</v>
      </c>
      <c r="F1288" t="s">
        <v>43</v>
      </c>
      <c r="G1288">
        <v>-191.78800000000001</v>
      </c>
      <c r="H1288" s="1">
        <v>-2.3373780000000001E-6</v>
      </c>
      <c r="I1288">
        <v>313.5299</v>
      </c>
      <c r="J1288">
        <v>-192.44370000000001</v>
      </c>
      <c r="K1288">
        <v>1.110473</v>
      </c>
      <c r="L1288">
        <v>333.33600000000001</v>
      </c>
      <c r="M1288">
        <v>6.1678400000000001E-2</v>
      </c>
      <c r="N1288">
        <v>0</v>
      </c>
      <c r="O1288">
        <v>-0.99800529999999998</v>
      </c>
      <c r="P1288">
        <v>6.3665090000000002E-3</v>
      </c>
      <c r="Q1288">
        <v>-1.359462E-2</v>
      </c>
      <c r="R1288">
        <v>-0.99988770000000005</v>
      </c>
      <c r="S1288">
        <v>0.1000977</v>
      </c>
      <c r="T1288">
        <v>-0.16635359999999999</v>
      </c>
      <c r="U1288">
        <v>-2.9974669999999999</v>
      </c>
      <c r="V1288">
        <v>5.5322650000000001E-2</v>
      </c>
      <c r="W1288">
        <v>-1.320188E-4</v>
      </c>
      <c r="X1288">
        <v>0.99846849999999998</v>
      </c>
      <c r="Y1288">
        <v>2.8388719999999999E-2</v>
      </c>
      <c r="Z1288">
        <v>5.5228159999999998E-2</v>
      </c>
      <c r="AA1288">
        <v>0.99807009999999996</v>
      </c>
      <c r="AB1288">
        <v>20</v>
      </c>
      <c r="AC1288">
        <v>0.65570000000002404</v>
      </c>
      <c r="AD1288">
        <v>-1.1104753373780001</v>
      </c>
      <c r="AE1288">
        <v>-19.806100000000001</v>
      </c>
      <c r="AF1288">
        <v>0.565492173923962</v>
      </c>
      <c r="AG1288">
        <v>-1.1104753373780001</v>
      </c>
      <c r="AH1288">
        <v>19.746822924655699</v>
      </c>
      <c r="AI1288">
        <v>93.217358838078695</v>
      </c>
      <c r="AJ1288">
        <v>88.359662088868504</v>
      </c>
      <c r="AK1288">
        <v>19.7861050358933</v>
      </c>
      <c r="AL1288">
        <v>90.007564120235202</v>
      </c>
      <c r="AM1288">
        <v>86.8286264296908</v>
      </c>
      <c r="AN1288">
        <v>0.99999997926211703</v>
      </c>
    </row>
    <row r="1289" spans="1:40" x14ac:dyDescent="0.25">
      <c r="A1289" t="str">
        <f>"20190312154237570"</f>
        <v>20190312154237570</v>
      </c>
      <c r="B1289" t="str">
        <f>"1552376557558437"</f>
        <v>1552376557558437</v>
      </c>
      <c r="C1289" t="s">
        <v>40</v>
      </c>
      <c r="D1289">
        <v>5.068486</v>
      </c>
      <c r="E1289">
        <v>0.49018899999999999</v>
      </c>
      <c r="F1289" t="s">
        <v>43</v>
      </c>
      <c r="G1289">
        <v>-191.78829999999999</v>
      </c>
      <c r="H1289" s="1">
        <v>-2.3482849999999998E-6</v>
      </c>
      <c r="I1289">
        <v>313.55279999999999</v>
      </c>
      <c r="J1289">
        <v>-192.43209999999999</v>
      </c>
      <c r="K1289">
        <v>1.110468</v>
      </c>
      <c r="L1289">
        <v>333.14710000000002</v>
      </c>
      <c r="M1289">
        <v>6.1645489999999997E-2</v>
      </c>
      <c r="N1289">
        <v>0</v>
      </c>
      <c r="O1289">
        <v>-0.99800719999999998</v>
      </c>
      <c r="P1289">
        <v>5.7645159999999999E-3</v>
      </c>
      <c r="Q1289">
        <v>-1.4254869999999999E-2</v>
      </c>
      <c r="R1289">
        <v>-0.99988189999999999</v>
      </c>
      <c r="S1289">
        <v>9.9304199999999995E-2</v>
      </c>
      <c r="T1289">
        <v>-0.16825100000000001</v>
      </c>
      <c r="U1289">
        <v>-2.9974059999999998</v>
      </c>
      <c r="V1289">
        <v>5.5890179999999998E-2</v>
      </c>
      <c r="W1289">
        <v>-7.9491679999999995E-4</v>
      </c>
      <c r="X1289">
        <v>0.99843660000000001</v>
      </c>
      <c r="Y1289">
        <v>2.8620159999999999E-2</v>
      </c>
      <c r="Z1289">
        <v>5.5857499999999997E-2</v>
      </c>
      <c r="AA1289">
        <v>0.99802849999999999</v>
      </c>
      <c r="AB1289">
        <v>20</v>
      </c>
      <c r="AC1289">
        <v>0.64379999999999804</v>
      </c>
      <c r="AD1289">
        <v>-1.110470348285</v>
      </c>
      <c r="AE1289">
        <v>-19.5943</v>
      </c>
      <c r="AF1289">
        <v>0.56362616712281199</v>
      </c>
      <c r="AG1289">
        <v>-1.110470348285</v>
      </c>
      <c r="AH1289">
        <v>19.5340453132909</v>
      </c>
      <c r="AI1289">
        <v>93.252294836300507</v>
      </c>
      <c r="AJ1289">
        <v>88.347273037685397</v>
      </c>
      <c r="AK1289">
        <v>19.573700343889598</v>
      </c>
      <c r="AL1289">
        <v>90.045545382766306</v>
      </c>
      <c r="AM1289">
        <v>86.796058027485302</v>
      </c>
      <c r="AN1289">
        <v>0.99999999416635499</v>
      </c>
    </row>
    <row r="1290" spans="1:40" x14ac:dyDescent="0.25">
      <c r="A1290" t="str">
        <f>"20190312154237592"</f>
        <v>20190312154237592</v>
      </c>
      <c r="B1290" t="str">
        <f>"1552376557588694"</f>
        <v>1552376557588694</v>
      </c>
      <c r="C1290" t="s">
        <v>40</v>
      </c>
      <c r="D1290">
        <v>5.1347480000000001</v>
      </c>
      <c r="E1290">
        <v>0.4907396</v>
      </c>
      <c r="F1290" t="s">
        <v>43</v>
      </c>
      <c r="G1290">
        <v>-191.7978</v>
      </c>
      <c r="H1290" s="1">
        <v>-2.356476E-6</v>
      </c>
      <c r="I1290">
        <v>313.56479999999999</v>
      </c>
      <c r="J1290">
        <v>-192.42019999999999</v>
      </c>
      <c r="K1290">
        <v>1.1104579999999999</v>
      </c>
      <c r="L1290">
        <v>332.95420000000001</v>
      </c>
      <c r="M1290">
        <v>6.1609850000000001E-2</v>
      </c>
      <c r="N1290">
        <v>0</v>
      </c>
      <c r="O1290">
        <v>-0.99800929999999999</v>
      </c>
      <c r="P1290">
        <v>5.1626900000000002E-3</v>
      </c>
      <c r="Q1290">
        <v>-1.5704389999999999E-2</v>
      </c>
      <c r="R1290">
        <v>-0.99986339999999996</v>
      </c>
      <c r="S1290">
        <v>9.7091670000000005E-2</v>
      </c>
      <c r="T1290">
        <v>-0.1699744</v>
      </c>
      <c r="U1290">
        <v>-2.9973749999999999</v>
      </c>
      <c r="V1290">
        <v>5.6453950000000003E-2</v>
      </c>
      <c r="W1290">
        <v>-2.2473340000000001E-3</v>
      </c>
      <c r="X1290">
        <v>0.99840269999999998</v>
      </c>
      <c r="Y1290">
        <v>2.9321079999999999E-2</v>
      </c>
      <c r="Z1290">
        <v>5.642871E-2</v>
      </c>
      <c r="AA1290">
        <v>0.99797599999999997</v>
      </c>
      <c r="AB1290">
        <v>20</v>
      </c>
      <c r="AC1290">
        <v>0.62239999999999895</v>
      </c>
      <c r="AD1290">
        <v>-1.1104603564760001</v>
      </c>
      <c r="AE1290">
        <v>-19.389399999999998</v>
      </c>
      <c r="AF1290">
        <v>0.57159620790107202</v>
      </c>
      <c r="AG1290">
        <v>-1.1104603564760001</v>
      </c>
      <c r="AH1290">
        <v>19.327579162384701</v>
      </c>
      <c r="AI1290">
        <v>93.286863085821196</v>
      </c>
      <c r="AJ1290">
        <v>88.306021308439099</v>
      </c>
      <c r="AK1290">
        <v>19.367889939444598</v>
      </c>
      <c r="AL1290">
        <v>90.128762858501204</v>
      </c>
      <c r="AM1290">
        <v>86.763698236219</v>
      </c>
      <c r="AN1290">
        <v>1.00000002517399</v>
      </c>
    </row>
    <row r="1291" spans="1:40" x14ac:dyDescent="0.25">
      <c r="A1291" t="str">
        <f>"20190312154237614"</f>
        <v>20190312154237614</v>
      </c>
      <c r="B1291" t="str">
        <f>"1552376557608212"</f>
        <v>1552376557608212</v>
      </c>
      <c r="C1291" t="s">
        <v>40</v>
      </c>
      <c r="D1291">
        <v>3.572594</v>
      </c>
      <c r="E1291">
        <v>0.49914360000000002</v>
      </c>
      <c r="F1291" t="s">
        <v>43</v>
      </c>
      <c r="G1291">
        <v>-191.82640000000001</v>
      </c>
      <c r="H1291" s="1">
        <v>-2.2726920000000001E-6</v>
      </c>
      <c r="I1291">
        <v>313.37139999999999</v>
      </c>
      <c r="J1291">
        <v>-192.4083</v>
      </c>
      <c r="K1291">
        <v>1.110455</v>
      </c>
      <c r="L1291">
        <v>332.7611</v>
      </c>
      <c r="M1291">
        <v>6.1570100000000003E-2</v>
      </c>
      <c r="N1291">
        <v>0</v>
      </c>
      <c r="O1291">
        <v>-0.99801189999999995</v>
      </c>
      <c r="P1291">
        <v>4.9129459999999996E-3</v>
      </c>
      <c r="Q1291">
        <v>-1.6297929999999999E-2</v>
      </c>
      <c r="R1291">
        <v>-0.99985550000000001</v>
      </c>
      <c r="S1291">
        <v>9.088135E-2</v>
      </c>
      <c r="T1291">
        <v>-0.169964</v>
      </c>
      <c r="U1291">
        <v>-2.9972840000000001</v>
      </c>
      <c r="V1291">
        <v>5.6662879999999999E-2</v>
      </c>
      <c r="W1291">
        <v>-2.8436030000000001E-3</v>
      </c>
      <c r="X1291">
        <v>0.99838930000000004</v>
      </c>
      <c r="Y1291">
        <v>3.1345959999999999E-2</v>
      </c>
      <c r="Z1291">
        <v>5.6427239999999997E-2</v>
      </c>
      <c r="AA1291">
        <v>0.99791459999999998</v>
      </c>
      <c r="AB1291">
        <v>20</v>
      </c>
      <c r="AC1291">
        <v>0.58189999999998998</v>
      </c>
      <c r="AD1291">
        <v>-1.1104572726919999</v>
      </c>
      <c r="AE1291">
        <v>-19.389700000000001</v>
      </c>
      <c r="AF1291">
        <v>0.611135584227117</v>
      </c>
      <c r="AG1291">
        <v>-1.1104572726919999</v>
      </c>
      <c r="AH1291">
        <v>19.3254088218257</v>
      </c>
      <c r="AI1291">
        <v>93.287016821132198</v>
      </c>
      <c r="AJ1291">
        <v>88.188714934800998</v>
      </c>
      <c r="AK1291">
        <v>19.366931305384501</v>
      </c>
      <c r="AL1291">
        <v>90.162926673146998</v>
      </c>
      <c r="AM1291">
        <v>86.751703127897898</v>
      </c>
      <c r="AN1291">
        <v>0.99999998120120204</v>
      </c>
    </row>
    <row r="1292" spans="1:40" x14ac:dyDescent="0.25">
      <c r="A1292" t="str">
        <f>"20190312154237681"</f>
        <v>20190312154237681</v>
      </c>
      <c r="B1292" t="str">
        <f>"1552376557678485"</f>
        <v>1552376557678485</v>
      </c>
      <c r="C1292" t="s">
        <v>40</v>
      </c>
      <c r="D1292">
        <v>3.5581510000000001</v>
      </c>
      <c r="E1292">
        <v>0.51780409999999999</v>
      </c>
      <c r="F1292" t="s">
        <v>41</v>
      </c>
      <c r="G1292">
        <v>-192.40100000000001</v>
      </c>
      <c r="H1292">
        <v>0.95946359999999997</v>
      </c>
      <c r="I1292">
        <v>331.94779999999997</v>
      </c>
      <c r="J1292">
        <v>-192.37209999999999</v>
      </c>
      <c r="K1292">
        <v>1.1104400000000001</v>
      </c>
      <c r="L1292">
        <v>332.17059999999998</v>
      </c>
      <c r="M1292">
        <v>6.1397590000000002E-2</v>
      </c>
      <c r="N1292">
        <v>0</v>
      </c>
      <c r="O1292">
        <v>-0.99802250000000003</v>
      </c>
      <c r="P1292">
        <v>5.8115950000000001E-3</v>
      </c>
      <c r="Q1292">
        <v>-1.6451170000000001E-2</v>
      </c>
      <c r="R1292">
        <v>-0.99984770000000001</v>
      </c>
      <c r="S1292">
        <v>2.7114869999999999E-2</v>
      </c>
      <c r="T1292">
        <v>-0.55535959999999995</v>
      </c>
      <c r="U1292">
        <v>-2.9912719999999999</v>
      </c>
      <c r="V1292">
        <v>5.5592780000000001E-2</v>
      </c>
      <c r="W1292">
        <v>-3.0046249999999999E-3</v>
      </c>
      <c r="X1292">
        <v>0.99844900000000003</v>
      </c>
      <c r="Y1292">
        <v>5.2504250000000002E-2</v>
      </c>
      <c r="Z1292">
        <v>0.1818978</v>
      </c>
      <c r="AA1292">
        <v>0.98191470000000003</v>
      </c>
      <c r="AB1292">
        <v>20</v>
      </c>
      <c r="AC1292">
        <v>-2.8899999999993001E-2</v>
      </c>
      <c r="AD1292">
        <v>-0.15097639999999901</v>
      </c>
      <c r="AE1292">
        <v>-0.22280000000000599</v>
      </c>
      <c r="AF1292">
        <v>2.9296275664517198E-2</v>
      </c>
      <c r="AG1292">
        <v>-0.15097639999999901</v>
      </c>
      <c r="AH1292">
        <v>0.151975075840763</v>
      </c>
      <c r="AI1292">
        <v>134.288565993742</v>
      </c>
      <c r="AJ1292">
        <v>79.088916870564802</v>
      </c>
      <c r="AK1292">
        <v>0.216214173452105</v>
      </c>
      <c r="AL1292">
        <v>90.172152591358298</v>
      </c>
      <c r="AM1292">
        <v>86.813110943304494</v>
      </c>
      <c r="AN1292">
        <v>0.99999999528025896</v>
      </c>
    </row>
    <row r="1293" spans="1:40" x14ac:dyDescent="0.25">
      <c r="A1293" t="str">
        <f>"20190312154237706"</f>
        <v>20190312154237706</v>
      </c>
      <c r="B1293" t="str">
        <f>"1552376557698983"</f>
        <v>1552376557698983</v>
      </c>
      <c r="C1293" t="s">
        <v>40</v>
      </c>
      <c r="D1293">
        <v>4.3602089999999896</v>
      </c>
      <c r="E1293">
        <v>0.52005319999999999</v>
      </c>
      <c r="F1293" t="s">
        <v>41</v>
      </c>
      <c r="G1293">
        <v>-192.3981</v>
      </c>
      <c r="H1293">
        <v>0.82412240000000003</v>
      </c>
      <c r="I1293">
        <v>331.48059999999998</v>
      </c>
      <c r="J1293">
        <v>-192.35900000000001</v>
      </c>
      <c r="K1293">
        <v>1.110428</v>
      </c>
      <c r="L1293">
        <v>331.95499999999998</v>
      </c>
      <c r="M1293">
        <v>6.130625E-2</v>
      </c>
      <c r="N1293">
        <v>0</v>
      </c>
      <c r="O1293">
        <v>-0.99802820000000003</v>
      </c>
      <c r="P1293">
        <v>6.1168079999999996E-3</v>
      </c>
      <c r="Q1293">
        <v>-1.6132899999999999E-2</v>
      </c>
      <c r="R1293">
        <v>-0.9998513</v>
      </c>
      <c r="S1293">
        <v>-0.1118164</v>
      </c>
      <c r="T1293">
        <v>-1.236874</v>
      </c>
      <c r="U1293">
        <v>-2.9807429999999999</v>
      </c>
      <c r="V1293">
        <v>5.519694E-2</v>
      </c>
      <c r="W1293">
        <v>-2.689599E-3</v>
      </c>
      <c r="X1293">
        <v>0.99847189999999997</v>
      </c>
      <c r="Y1293">
        <v>9.5836560000000001E-2</v>
      </c>
      <c r="Z1293">
        <v>0.38120179999999998</v>
      </c>
      <c r="AA1293">
        <v>0.91951099999999997</v>
      </c>
      <c r="AB1293">
        <v>20</v>
      </c>
      <c r="AC1293">
        <v>-3.9099999999990503E-2</v>
      </c>
      <c r="AD1293">
        <v>-0.28630559999999899</v>
      </c>
      <c r="AE1293">
        <v>-0.47440000000000199</v>
      </c>
      <c r="AF1293">
        <v>5.0017889985706998E-2</v>
      </c>
      <c r="AG1293">
        <v>-0.28630559999999899</v>
      </c>
      <c r="AH1293">
        <v>0.34595482462907301</v>
      </c>
      <c r="AI1293">
        <v>129.31969283279901</v>
      </c>
      <c r="AJ1293">
        <v>81.773224816040795</v>
      </c>
      <c r="AK1293">
        <v>0.45183783218552498</v>
      </c>
      <c r="AL1293">
        <v>90.154102851590693</v>
      </c>
      <c r="AM1293">
        <v>86.835828854461695</v>
      </c>
      <c r="AN1293">
        <v>1.0000000356088701</v>
      </c>
    </row>
    <row r="1294" spans="1:40" x14ac:dyDescent="0.25">
      <c r="A1294" t="str">
        <f>"20190312154237728"</f>
        <v>20190312154237728</v>
      </c>
      <c r="B1294" t="str">
        <f>"1552376557718501"</f>
        <v>1552376557718501</v>
      </c>
      <c r="C1294" t="s">
        <v>40</v>
      </c>
      <c r="D1294">
        <v>5.0831650000000002</v>
      </c>
      <c r="E1294">
        <v>0.51835419999999999</v>
      </c>
      <c r="F1294" t="s">
        <v>41</v>
      </c>
      <c r="G1294">
        <v>-192.3878</v>
      </c>
      <c r="H1294">
        <v>0.85647079999999998</v>
      </c>
      <c r="I1294">
        <v>331.29329999999999</v>
      </c>
      <c r="J1294">
        <v>-192.34729999999999</v>
      </c>
      <c r="K1294">
        <v>1.110425</v>
      </c>
      <c r="L1294">
        <v>331.7636</v>
      </c>
      <c r="M1294">
        <v>6.1208650000000003E-2</v>
      </c>
      <c r="N1294">
        <v>0</v>
      </c>
      <c r="O1294">
        <v>-0.99803419999999998</v>
      </c>
      <c r="P1294">
        <v>6.4238799999999999E-3</v>
      </c>
      <c r="Q1294">
        <v>-1.543861E-2</v>
      </c>
      <c r="R1294">
        <v>-0.99986019999999998</v>
      </c>
      <c r="S1294">
        <v>-0.12950130000000001</v>
      </c>
      <c r="T1294">
        <v>-1.1448590000000001</v>
      </c>
      <c r="U1294">
        <v>-2.9827270000000001</v>
      </c>
      <c r="V1294">
        <v>5.4793439999999999E-2</v>
      </c>
      <c r="W1294">
        <v>-1.9980079999999999E-3</v>
      </c>
      <c r="X1294">
        <v>0.99849569999999999</v>
      </c>
      <c r="Y1294">
        <v>0.1015881</v>
      </c>
      <c r="Z1294">
        <v>0.35626619999999998</v>
      </c>
      <c r="AA1294">
        <v>0.92884560000000005</v>
      </c>
      <c r="AB1294">
        <v>20</v>
      </c>
      <c r="AC1294">
        <v>-4.0500000000008599E-2</v>
      </c>
      <c r="AD1294">
        <v>-0.25395419999999902</v>
      </c>
      <c r="AE1294">
        <v>-0.47030000000000799</v>
      </c>
      <c r="AF1294">
        <v>5.3677035995941501E-2</v>
      </c>
      <c r="AG1294">
        <v>-0.25395419999999902</v>
      </c>
      <c r="AH1294">
        <v>0.36212651473767099</v>
      </c>
      <c r="AI1294">
        <v>124.749293791344</v>
      </c>
      <c r="AJ1294">
        <v>81.568593288906698</v>
      </c>
      <c r="AK1294">
        <v>0.445544130886046</v>
      </c>
      <c r="AL1294">
        <v>90.114477503372299</v>
      </c>
      <c r="AM1294">
        <v>86.858987772389995</v>
      </c>
      <c r="AN1294">
        <v>0.99999998801074497</v>
      </c>
    </row>
    <row r="1295" spans="1:40" x14ac:dyDescent="0.25">
      <c r="A1295" t="str">
        <f>"20190312154237749"</f>
        <v>20190312154237749</v>
      </c>
      <c r="B1295" t="str">
        <f>"1552376557739001"</f>
        <v>1552376557739001</v>
      </c>
      <c r="C1295" t="s">
        <v>40</v>
      </c>
      <c r="D1295">
        <v>5.1040660000000004</v>
      </c>
      <c r="E1295">
        <v>0.51758320000000002</v>
      </c>
      <c r="F1295" t="s">
        <v>41</v>
      </c>
      <c r="G1295">
        <v>-192.3793</v>
      </c>
      <c r="H1295">
        <v>0.84482860000000004</v>
      </c>
      <c r="I1295">
        <v>330.94900000000001</v>
      </c>
      <c r="J1295">
        <v>-192.33619999999999</v>
      </c>
      <c r="K1295">
        <v>1.110422</v>
      </c>
      <c r="L1295">
        <v>331.57979999999998</v>
      </c>
      <c r="M1295">
        <v>6.1099019999999997E-2</v>
      </c>
      <c r="N1295">
        <v>0</v>
      </c>
      <c r="O1295">
        <v>-0.99804090000000001</v>
      </c>
      <c r="P1295">
        <v>6.3348369999999899E-3</v>
      </c>
      <c r="Q1295">
        <v>-1.486177E-2</v>
      </c>
      <c r="R1295">
        <v>-0.99986929999999996</v>
      </c>
      <c r="S1295">
        <v>-0.1168671</v>
      </c>
      <c r="T1295">
        <v>-0.97351600000000005</v>
      </c>
      <c r="U1295">
        <v>-2.9861149999999999</v>
      </c>
      <c r="V1295">
        <v>5.4773290000000002E-2</v>
      </c>
      <c r="W1295">
        <v>-1.424224E-3</v>
      </c>
      <c r="X1295">
        <v>0.99849779999999999</v>
      </c>
      <c r="Y1295">
        <v>9.8176020000000003E-2</v>
      </c>
      <c r="Z1295">
        <v>0.3082395</v>
      </c>
      <c r="AA1295">
        <v>0.94622930000000005</v>
      </c>
      <c r="AB1295">
        <v>20</v>
      </c>
      <c r="AC1295">
        <v>-4.3100000000009603E-2</v>
      </c>
      <c r="AD1295">
        <v>-0.26559339999999998</v>
      </c>
      <c r="AE1295">
        <v>-0.63079999999996506</v>
      </c>
      <c r="AF1295">
        <v>6.9330636177713803E-2</v>
      </c>
      <c r="AG1295">
        <v>-0.26559339999999998</v>
      </c>
      <c r="AH1295">
        <v>0.53294759364463296</v>
      </c>
      <c r="AI1295">
        <v>116.29784695552399</v>
      </c>
      <c r="AJ1295">
        <v>82.588071588443</v>
      </c>
      <c r="AK1295">
        <v>0.59948288449960896</v>
      </c>
      <c r="AL1295">
        <v>90.081602051936997</v>
      </c>
      <c r="AM1295">
        <v>86.860147141931705</v>
      </c>
      <c r="AN1295">
        <v>0.99999999915813298</v>
      </c>
    </row>
    <row r="1296" spans="1:40" x14ac:dyDescent="0.25">
      <c r="A1296" t="str">
        <f>"20190312154237771"</f>
        <v>20190312154237771</v>
      </c>
      <c r="B1296" t="str">
        <f>"1552376557769253"</f>
        <v>1552376557769253</v>
      </c>
      <c r="C1296" t="s">
        <v>40</v>
      </c>
      <c r="D1296">
        <v>5.4898669999999896</v>
      </c>
      <c r="E1296">
        <v>0.51386309999999902</v>
      </c>
      <c r="F1296" t="s">
        <v>41</v>
      </c>
      <c r="G1296">
        <v>-192.36709999999999</v>
      </c>
      <c r="H1296">
        <v>0.88323189999999996</v>
      </c>
      <c r="I1296">
        <v>330.75990000000002</v>
      </c>
      <c r="J1296">
        <v>-192.32480000000001</v>
      </c>
      <c r="K1296">
        <v>1.1104149999999999</v>
      </c>
      <c r="L1296">
        <v>331.39150000000001</v>
      </c>
      <c r="M1296">
        <v>6.097441E-2</v>
      </c>
      <c r="N1296">
        <v>0</v>
      </c>
      <c r="O1296">
        <v>-0.99804850000000001</v>
      </c>
      <c r="P1296">
        <v>5.430448E-3</v>
      </c>
      <c r="Q1296">
        <v>-1.503294E-2</v>
      </c>
      <c r="R1296">
        <v>-0.99987219999999999</v>
      </c>
      <c r="S1296">
        <v>-0.11170960000000001</v>
      </c>
      <c r="T1296">
        <v>-0.82828919999999995</v>
      </c>
      <c r="U1296">
        <v>-2.9888309999999998</v>
      </c>
      <c r="V1296">
        <v>5.5551440000000001E-2</v>
      </c>
      <c r="W1296">
        <v>-1.59923799999999E-3</v>
      </c>
      <c r="X1296">
        <v>0.99845459999999997</v>
      </c>
      <c r="Y1296">
        <v>9.6867900000000007E-2</v>
      </c>
      <c r="Z1296">
        <v>0.26560660000000003</v>
      </c>
      <c r="AA1296">
        <v>0.95920260000000002</v>
      </c>
      <c r="AB1296">
        <v>19</v>
      </c>
      <c r="AC1296">
        <v>-4.2299999999983101E-2</v>
      </c>
      <c r="AD1296">
        <v>-0.2271831</v>
      </c>
      <c r="AE1296">
        <v>-0.63159999999999095</v>
      </c>
      <c r="AF1296">
        <v>7.1523770214128202E-2</v>
      </c>
      <c r="AG1296">
        <v>-0.2271831</v>
      </c>
      <c r="AH1296">
        <v>0.55620460835484697</v>
      </c>
      <c r="AI1296">
        <v>112.053686903162</v>
      </c>
      <c r="AJ1296">
        <v>82.672402721666501</v>
      </c>
      <c r="AK1296">
        <v>0.60505485452677898</v>
      </c>
      <c r="AL1296">
        <v>90.091629621932796</v>
      </c>
      <c r="AM1296">
        <v>86.815493728102197</v>
      </c>
      <c r="AN1296">
        <v>1.0000000541547001</v>
      </c>
    </row>
    <row r="1297" spans="1:40" x14ac:dyDescent="0.25">
      <c r="A1297" t="str">
        <f>"20190312154237793"</f>
        <v>20190312154237793</v>
      </c>
      <c r="B1297" t="str">
        <f>"1552376557788773"</f>
        <v>1552376557788773</v>
      </c>
      <c r="C1297" t="s">
        <v>40</v>
      </c>
      <c r="D1297">
        <v>5.018268</v>
      </c>
      <c r="E1297">
        <v>0.51352439999999999</v>
      </c>
      <c r="F1297" t="s">
        <v>41</v>
      </c>
      <c r="G1297">
        <v>-192.352</v>
      </c>
      <c r="H1297">
        <v>1.045523</v>
      </c>
      <c r="I1297">
        <v>330.50830000000002</v>
      </c>
      <c r="J1297">
        <v>-192.31299999999999</v>
      </c>
      <c r="K1297">
        <v>1.1104080000000001</v>
      </c>
      <c r="L1297">
        <v>331.19560000000001</v>
      </c>
      <c r="M1297">
        <v>6.0832360000000002E-2</v>
      </c>
      <c r="N1297">
        <v>0</v>
      </c>
      <c r="O1297">
        <v>-0.99805739999999998</v>
      </c>
      <c r="P1297">
        <v>4.7462930000000004E-3</v>
      </c>
      <c r="Q1297">
        <v>-1.5099390000000001E-2</v>
      </c>
      <c r="R1297">
        <v>-0.99987510000000002</v>
      </c>
      <c r="S1297">
        <v>-9.2025759999999998E-2</v>
      </c>
      <c r="T1297">
        <v>-0.22036140000000001</v>
      </c>
      <c r="U1297">
        <v>-2.9975890000000001</v>
      </c>
      <c r="V1297">
        <v>5.6092339999999997E-2</v>
      </c>
      <c r="W1297">
        <v>-1.669217E-3</v>
      </c>
      <c r="X1297">
        <v>0.99842419999999998</v>
      </c>
      <c r="Y1297">
        <v>9.1355599999999995E-2</v>
      </c>
      <c r="Z1297">
        <v>7.2940969999999994E-2</v>
      </c>
      <c r="AA1297">
        <v>0.99314340000000001</v>
      </c>
      <c r="AB1297">
        <v>19</v>
      </c>
      <c r="AC1297">
        <v>-3.9000000000015599E-2</v>
      </c>
      <c r="AD1297">
        <v>-6.4884999999999998E-2</v>
      </c>
      <c r="AE1297">
        <v>-0.68729999999999303</v>
      </c>
      <c r="AF1297">
        <v>8.0030643104327906E-2</v>
      </c>
      <c r="AG1297">
        <v>-6.4884999999999998E-2</v>
      </c>
      <c r="AH1297">
        <v>0.67763422994535905</v>
      </c>
      <c r="AI1297">
        <v>95.432000229221003</v>
      </c>
      <c r="AJ1297">
        <v>83.264397049421106</v>
      </c>
      <c r="AK1297">
        <v>0.68542185306155201</v>
      </c>
      <c r="AL1297">
        <v>90.095639132646298</v>
      </c>
      <c r="AM1297">
        <v>86.784453493398203</v>
      </c>
      <c r="AN1297">
        <v>1.00000001001885</v>
      </c>
    </row>
    <row r="1298" spans="1:40" x14ac:dyDescent="0.25">
      <c r="A1298" t="str">
        <f>"20190312154237815"</f>
        <v>20190312154237815</v>
      </c>
      <c r="B1298" t="str">
        <f>"1552376557808294"</f>
        <v>1552376557808294</v>
      </c>
      <c r="C1298" t="s">
        <v>40</v>
      </c>
      <c r="D1298">
        <v>5.0222030000000002</v>
      </c>
      <c r="E1298">
        <v>0.51346809999999998</v>
      </c>
      <c r="F1298" t="s">
        <v>43</v>
      </c>
      <c r="G1298">
        <v>-192.87960000000001</v>
      </c>
      <c r="H1298" s="1">
        <v>-2.2395330000000002E-6</v>
      </c>
      <c r="I1298">
        <v>312.70850000000002</v>
      </c>
      <c r="J1298">
        <v>-192.30189999999999</v>
      </c>
      <c r="K1298">
        <v>1.1103989999999999</v>
      </c>
      <c r="L1298">
        <v>331.01119999999997</v>
      </c>
      <c r="M1298">
        <v>6.0690340000000002E-2</v>
      </c>
      <c r="N1298">
        <v>0</v>
      </c>
      <c r="O1298">
        <v>-0.99806589999999995</v>
      </c>
      <c r="P1298">
        <v>3.5888360000000002E-3</v>
      </c>
      <c r="Q1298">
        <v>-1.5193099999999999E-2</v>
      </c>
      <c r="R1298">
        <v>-0.9998783</v>
      </c>
      <c r="S1298">
        <v>-9.1888429999999993E-2</v>
      </c>
      <c r="T1298">
        <v>-0.1800805</v>
      </c>
      <c r="U1298">
        <v>-2.998138</v>
      </c>
      <c r="V1298">
        <v>5.710577E-2</v>
      </c>
      <c r="W1298">
        <v>-1.7665370000000001E-3</v>
      </c>
      <c r="X1298">
        <v>0.99836659999999999</v>
      </c>
      <c r="Y1298">
        <v>9.1190099999999996E-2</v>
      </c>
      <c r="Z1298">
        <v>5.9651389999999999E-2</v>
      </c>
      <c r="AA1298">
        <v>0.99404530000000002</v>
      </c>
      <c r="AB1298">
        <v>19</v>
      </c>
      <c r="AC1298">
        <v>-0.57770000000002097</v>
      </c>
      <c r="AD1298">
        <v>-1.1104012395330001</v>
      </c>
      <c r="AE1298">
        <v>-18.302699999999898</v>
      </c>
      <c r="AF1298">
        <v>1.6813502305403301</v>
      </c>
      <c r="AG1298">
        <v>-1.1104012395330001</v>
      </c>
      <c r="AH1298">
        <v>18.167090548857601</v>
      </c>
      <c r="AI1298">
        <v>93.482810122543995</v>
      </c>
      <c r="AJ1298">
        <v>84.712382213215605</v>
      </c>
      <c r="AK1298">
        <v>18.2784875884436</v>
      </c>
      <c r="AL1298">
        <v>90.1012151641808</v>
      </c>
      <c r="AM1298">
        <v>86.726294433295294</v>
      </c>
      <c r="AN1298">
        <v>1.0000000288079101</v>
      </c>
    </row>
    <row r="1299" spans="1:40" x14ac:dyDescent="0.25">
      <c r="A1299" t="str">
        <f>"20190312154237839"</f>
        <v>20190312154237839</v>
      </c>
      <c r="B1299" t="str">
        <f>"1552376557828790"</f>
        <v>1552376557828790</v>
      </c>
      <c r="C1299" t="s">
        <v>40</v>
      </c>
      <c r="D1299">
        <v>4.9985109999999997</v>
      </c>
      <c r="E1299">
        <v>0.51322420000000002</v>
      </c>
      <c r="F1299" t="s">
        <v>43</v>
      </c>
      <c r="G1299">
        <v>-192.96019999999999</v>
      </c>
      <c r="H1299" s="1">
        <v>-1.1090009999999999E-6</v>
      </c>
      <c r="I1299">
        <v>310.2715</v>
      </c>
      <c r="J1299">
        <v>-192.28909999999999</v>
      </c>
      <c r="K1299">
        <v>1.1103970000000001</v>
      </c>
      <c r="L1299">
        <v>330.79750000000001</v>
      </c>
      <c r="M1299">
        <v>6.0517899999999999E-2</v>
      </c>
      <c r="N1299">
        <v>0</v>
      </c>
      <c r="O1299">
        <v>-0.99807670000000004</v>
      </c>
      <c r="P1299">
        <v>2.5034240000000002E-3</v>
      </c>
      <c r="Q1299">
        <v>-1.5744569999999999E-2</v>
      </c>
      <c r="R1299">
        <v>-0.99987349999999997</v>
      </c>
      <c r="S1299">
        <v>-9.5169069999999995E-2</v>
      </c>
      <c r="T1299">
        <v>-0.16052449999999999</v>
      </c>
      <c r="U1299">
        <v>-2.99823</v>
      </c>
      <c r="V1299">
        <v>5.8016239999999997E-2</v>
      </c>
      <c r="W1299">
        <v>-2.3218539999999999E-3</v>
      </c>
      <c r="X1299">
        <v>0.99831300000000001</v>
      </c>
      <c r="Y1299">
        <v>9.2115340000000004E-2</v>
      </c>
      <c r="Z1299">
        <v>5.3189140000000003E-2</v>
      </c>
      <c r="AA1299">
        <v>0.99432679999999996</v>
      </c>
      <c r="AB1299">
        <v>19</v>
      </c>
      <c r="AC1299">
        <v>-0.67109999999999503</v>
      </c>
      <c r="AD1299">
        <v>-1.11039810900099</v>
      </c>
      <c r="AE1299">
        <v>-20.526</v>
      </c>
      <c r="AF1299">
        <v>1.9065985497395599</v>
      </c>
      <c r="AG1299">
        <v>-1.11039810900099</v>
      </c>
      <c r="AH1299">
        <v>20.3881518704701</v>
      </c>
      <c r="AI1299">
        <v>93.103899398933194</v>
      </c>
      <c r="AJ1299">
        <v>84.657520977467101</v>
      </c>
      <c r="AK1299">
        <v>20.507189926552499</v>
      </c>
      <c r="AL1299">
        <v>90.1330325463219</v>
      </c>
      <c r="AM1299">
        <v>86.674037953149394</v>
      </c>
      <c r="AN1299">
        <v>1.00000006053936</v>
      </c>
    </row>
    <row r="1300" spans="1:40" x14ac:dyDescent="0.25">
      <c r="A1300" t="str">
        <f>"20190312154237863"</f>
        <v>20190312154237863</v>
      </c>
      <c r="B1300" t="str">
        <f>"1552376557859045"</f>
        <v>1552376557859045</v>
      </c>
      <c r="C1300" t="s">
        <v>40</v>
      </c>
      <c r="D1300">
        <v>5.0198450000000001</v>
      </c>
      <c r="E1300">
        <v>0.51183900000000004</v>
      </c>
      <c r="F1300" t="s">
        <v>43</v>
      </c>
      <c r="G1300">
        <v>-192.98169999999999</v>
      </c>
      <c r="H1300" s="1">
        <v>-4.7091000000000004E-6</v>
      </c>
      <c r="I1300">
        <v>309.27050000000003</v>
      </c>
      <c r="J1300">
        <v>-192.27690000000001</v>
      </c>
      <c r="K1300">
        <v>1.1103970000000001</v>
      </c>
      <c r="L1300">
        <v>330.59320000000002</v>
      </c>
      <c r="M1300">
        <v>6.0347669999999999E-2</v>
      </c>
      <c r="N1300">
        <v>0</v>
      </c>
      <c r="O1300">
        <v>-0.9980869</v>
      </c>
      <c r="P1300">
        <v>1.3209529999999999E-3</v>
      </c>
      <c r="Q1300">
        <v>-1.548163E-2</v>
      </c>
      <c r="R1300">
        <v>-0.99987969999999904</v>
      </c>
      <c r="S1300">
        <v>-9.6466060000000006E-2</v>
      </c>
      <c r="T1300">
        <v>-0.15465090000000001</v>
      </c>
      <c r="U1300">
        <v>-2.9981689999999999</v>
      </c>
      <c r="V1300">
        <v>5.9026750000000003E-2</v>
      </c>
      <c r="W1300">
        <v>-2.0624089999999999E-3</v>
      </c>
      <c r="X1300">
        <v>0.99825430000000004</v>
      </c>
      <c r="Y1300">
        <v>9.2379119999999995E-2</v>
      </c>
      <c r="Z1300">
        <v>5.1249070000000001E-2</v>
      </c>
      <c r="AA1300">
        <v>0.99440410000000001</v>
      </c>
      <c r="AB1300">
        <v>19</v>
      </c>
      <c r="AC1300">
        <v>-0.704799999999977</v>
      </c>
      <c r="AD1300">
        <v>-1.11040170909999</v>
      </c>
      <c r="AE1300">
        <v>-21.322700000000001</v>
      </c>
      <c r="AF1300">
        <v>1.98502939726387</v>
      </c>
      <c r="AG1300">
        <v>-1.11040170909999</v>
      </c>
      <c r="AH1300">
        <v>21.1839075006286</v>
      </c>
      <c r="AI1300">
        <v>92.987476571675202</v>
      </c>
      <c r="AJ1300">
        <v>84.646754019921204</v>
      </c>
      <c r="AK1300">
        <v>21.3056628777131</v>
      </c>
      <c r="AL1300">
        <v>90.118167411661702</v>
      </c>
      <c r="AM1300">
        <v>86.616042260643496</v>
      </c>
      <c r="AN1300">
        <v>1.00000002910746</v>
      </c>
    </row>
    <row r="1301" spans="1:40" x14ac:dyDescent="0.25">
      <c r="A1301" t="str">
        <f>"20190312154237883"</f>
        <v>20190312154237883</v>
      </c>
      <c r="B1301" t="str">
        <f>"1552376557878565"</f>
        <v>1552376557878565</v>
      </c>
      <c r="C1301" t="s">
        <v>40</v>
      </c>
      <c r="D1301">
        <v>4.9900180000000001</v>
      </c>
      <c r="E1301">
        <v>0.51064670000000001</v>
      </c>
      <c r="F1301" t="s">
        <v>43</v>
      </c>
      <c r="G1301">
        <v>-192.9332</v>
      </c>
      <c r="H1301" s="1">
        <v>-4.4433880000000002E-6</v>
      </c>
      <c r="I1301">
        <v>308.51499999999999</v>
      </c>
      <c r="J1301">
        <v>-192.26679999999999</v>
      </c>
      <c r="K1301">
        <v>1.110395</v>
      </c>
      <c r="L1301">
        <v>330.42340000000002</v>
      </c>
      <c r="M1301">
        <v>6.0204500000000001E-2</v>
      </c>
      <c r="N1301">
        <v>0</v>
      </c>
      <c r="O1301">
        <v>-0.99809550000000002</v>
      </c>
      <c r="P1301">
        <v>5.4729330000000001E-4</v>
      </c>
      <c r="Q1301">
        <v>-1.5717789999999999E-2</v>
      </c>
      <c r="R1301">
        <v>-0.99987649999999995</v>
      </c>
      <c r="S1301">
        <v>-8.9111330000000002E-2</v>
      </c>
      <c r="T1301">
        <v>-0.15078839999999999</v>
      </c>
      <c r="U1301">
        <v>-2.998138</v>
      </c>
      <c r="V1301">
        <v>5.965558E-2</v>
      </c>
      <c r="W1301">
        <v>-2.3010140000000001E-3</v>
      </c>
      <c r="X1301">
        <v>0.9982164</v>
      </c>
      <c r="Y1301">
        <v>8.9801210000000006E-2</v>
      </c>
      <c r="Z1301">
        <v>4.9981350000000001E-2</v>
      </c>
      <c r="AA1301">
        <v>0.99470479999999994</v>
      </c>
      <c r="AB1301">
        <v>19</v>
      </c>
      <c r="AC1301">
        <v>-0.66640000000000998</v>
      </c>
      <c r="AD1301">
        <v>-1.110399443388</v>
      </c>
      <c r="AE1301">
        <v>-21.9084</v>
      </c>
      <c r="AF1301">
        <v>1.9792149007464299</v>
      </c>
      <c r="AG1301">
        <v>-1.110399443388</v>
      </c>
      <c r="AH1301">
        <v>21.7726496992052</v>
      </c>
      <c r="AI1301">
        <v>92.907572388004994</v>
      </c>
      <c r="AJ1301">
        <v>84.805876173005402</v>
      </c>
      <c r="AK1301">
        <v>21.8906042281046</v>
      </c>
      <c r="AL1301">
        <v>90.131838502914107</v>
      </c>
      <c r="AM1301">
        <v>86.579947502290096</v>
      </c>
      <c r="AN1301">
        <v>1.00000003205976</v>
      </c>
    </row>
    <row r="1302" spans="1:40" x14ac:dyDescent="0.25">
      <c r="A1302" t="str">
        <f>"20190312154237905"</f>
        <v>20190312154237905</v>
      </c>
      <c r="B1302" t="str">
        <f>"1552376557899061"</f>
        <v>1552376557899061</v>
      </c>
      <c r="C1302" t="s">
        <v>40</v>
      </c>
      <c r="D1302">
        <v>5.0347419999999996</v>
      </c>
      <c r="E1302">
        <v>0.50979699999999994</v>
      </c>
      <c r="F1302" t="s">
        <v>43</v>
      </c>
      <c r="G1302">
        <v>-192.8647</v>
      </c>
      <c r="H1302" s="1">
        <v>-4.4252980000000002E-6</v>
      </c>
      <c r="I1302">
        <v>308.4975</v>
      </c>
      <c r="J1302">
        <v>-192.25550000000001</v>
      </c>
      <c r="K1302">
        <v>1.1103959999999999</v>
      </c>
      <c r="L1302">
        <v>330.23180000000002</v>
      </c>
      <c r="M1302">
        <v>6.0042999999999902E-2</v>
      </c>
      <c r="N1302">
        <v>0</v>
      </c>
      <c r="O1302">
        <v>-0.99810529999999997</v>
      </c>
      <c r="P1302">
        <v>-1.3637E-4</v>
      </c>
      <c r="Q1302">
        <v>-1.5667560000000001E-2</v>
      </c>
      <c r="R1302">
        <v>-0.99987760000000003</v>
      </c>
      <c r="S1302">
        <v>-8.1741330000000001E-2</v>
      </c>
      <c r="T1302">
        <v>-0.15182950000000001</v>
      </c>
      <c r="U1302">
        <v>-2.9980159999999998</v>
      </c>
      <c r="V1302">
        <v>6.017658E-2</v>
      </c>
      <c r="W1302">
        <v>-2.253147E-3</v>
      </c>
      <c r="X1302">
        <v>0.99818519999999999</v>
      </c>
      <c r="Y1302">
        <v>8.7197200000000002E-2</v>
      </c>
      <c r="Z1302">
        <v>5.0335930000000001E-2</v>
      </c>
      <c r="AA1302">
        <v>0.99491859999999999</v>
      </c>
      <c r="AB1302">
        <v>19</v>
      </c>
      <c r="AC1302">
        <v>-0.60919999999998697</v>
      </c>
      <c r="AD1302">
        <v>-1.110400425298</v>
      </c>
      <c r="AE1302">
        <v>-21.734300000000001</v>
      </c>
      <c r="AF1302">
        <v>1.90823424488647</v>
      </c>
      <c r="AG1302">
        <v>-1.110400425298</v>
      </c>
      <c r="AH1302">
        <v>21.602157273822101</v>
      </c>
      <c r="AI1302">
        <v>92.931150857078094</v>
      </c>
      <c r="AJ1302">
        <v>84.951860169112393</v>
      </c>
      <c r="AK1302">
        <v>21.714685029279199</v>
      </c>
      <c r="AL1302">
        <v>90.129095923536397</v>
      </c>
      <c r="AM1302">
        <v>86.550042845973493</v>
      </c>
      <c r="AN1302">
        <v>0.99999999547547003</v>
      </c>
    </row>
    <row r="1303" spans="1:40" x14ac:dyDescent="0.25">
      <c r="A1303" t="str">
        <f>"20190312154237929"</f>
        <v>20190312154237929</v>
      </c>
      <c r="B1303" t="str">
        <f>"1552376557918582"</f>
        <v>1552376557918582</v>
      </c>
      <c r="C1303" t="s">
        <v>40</v>
      </c>
      <c r="D1303">
        <v>4.9839890000000002</v>
      </c>
      <c r="E1303">
        <v>0.50911200000000001</v>
      </c>
      <c r="F1303" t="s">
        <v>43</v>
      </c>
      <c r="G1303">
        <v>-192.81120000000001</v>
      </c>
      <c r="H1303" s="1">
        <v>-4.4483099999999899E-6</v>
      </c>
      <c r="I1303">
        <v>308.59300000000002</v>
      </c>
      <c r="J1303">
        <v>-192.24350000000001</v>
      </c>
      <c r="K1303">
        <v>1.110393</v>
      </c>
      <c r="L1303">
        <v>330.02839999999998</v>
      </c>
      <c r="M1303">
        <v>5.9871899999999999E-2</v>
      </c>
      <c r="N1303">
        <v>0</v>
      </c>
      <c r="O1303">
        <v>-0.99811550000000004</v>
      </c>
      <c r="P1303">
        <v>-3.656512E-4</v>
      </c>
      <c r="Q1303">
        <v>-1.5729050000000001E-2</v>
      </c>
      <c r="R1303">
        <v>-0.9998764</v>
      </c>
      <c r="S1303">
        <v>-7.6995850000000005E-2</v>
      </c>
      <c r="T1303">
        <v>-0.15384289999999901</v>
      </c>
      <c r="U1303">
        <v>-2.997986</v>
      </c>
      <c r="V1303">
        <v>6.0234299999999998E-2</v>
      </c>
      <c r="W1303">
        <v>-2.3165780000000001E-3</v>
      </c>
      <c r="X1303">
        <v>0.9981816</v>
      </c>
      <c r="Y1303">
        <v>8.5451949999999999E-2</v>
      </c>
      <c r="Z1303">
        <v>5.1007959999999998E-2</v>
      </c>
      <c r="AA1303">
        <v>0.99503580000000003</v>
      </c>
      <c r="AB1303">
        <v>19</v>
      </c>
      <c r="AC1303">
        <v>-0.56770000000000198</v>
      </c>
      <c r="AD1303">
        <v>-1.1103974483100001</v>
      </c>
      <c r="AE1303">
        <v>-21.435399999999898</v>
      </c>
      <c r="AF1303">
        <v>1.84522745454537</v>
      </c>
      <c r="AG1303">
        <v>-1.1103974483100001</v>
      </c>
      <c r="AH1303">
        <v>21.3058140127693</v>
      </c>
      <c r="AI1303">
        <v>92.972284963902496</v>
      </c>
      <c r="AJ1303">
        <v>85.050149526813399</v>
      </c>
      <c r="AK1303">
        <v>21.4143773572555</v>
      </c>
      <c r="AL1303">
        <v>90.132730258109305</v>
      </c>
      <c r="AM1303">
        <v>86.546729305771095</v>
      </c>
      <c r="AN1303">
        <v>1.0000000220043299</v>
      </c>
    </row>
    <row r="1304" spans="1:40" x14ac:dyDescent="0.25">
      <c r="A1304" t="str">
        <f>"20190312154237950"</f>
        <v>20190312154237950</v>
      </c>
      <c r="B1304" t="str">
        <f>"1552376557939077"</f>
        <v>1552376557939077</v>
      </c>
      <c r="C1304" t="s">
        <v>40</v>
      </c>
      <c r="D1304">
        <v>4.9817410000000004</v>
      </c>
      <c r="E1304">
        <v>0.50857390000000002</v>
      </c>
      <c r="F1304" t="s">
        <v>43</v>
      </c>
      <c r="G1304">
        <v>-192.7663</v>
      </c>
      <c r="H1304" s="1">
        <v>-4.3378530000000002E-6</v>
      </c>
      <c r="I1304">
        <v>308.29180000000002</v>
      </c>
      <c r="J1304">
        <v>-192.23240000000001</v>
      </c>
      <c r="K1304">
        <v>1.110398</v>
      </c>
      <c r="L1304">
        <v>329.8415</v>
      </c>
      <c r="M1304">
        <v>5.9714549999999998E-2</v>
      </c>
      <c r="N1304">
        <v>0</v>
      </c>
      <c r="O1304">
        <v>-0.99812509999999999</v>
      </c>
      <c r="P1304">
        <v>-7.1439929999999902E-4</v>
      </c>
      <c r="Q1304">
        <v>-1.544247E-2</v>
      </c>
      <c r="R1304">
        <v>-0.99988089999999996</v>
      </c>
      <c r="S1304">
        <v>-7.2113040000000003E-2</v>
      </c>
      <c r="T1304">
        <v>-0.15314720000000001</v>
      </c>
      <c r="U1304">
        <v>-2.997925</v>
      </c>
      <c r="V1304">
        <v>6.0425399999999997E-2</v>
      </c>
      <c r="W1304">
        <v>-2.0318689999999999E-3</v>
      </c>
      <c r="X1304">
        <v>0.99817069999999997</v>
      </c>
      <c r="Y1304">
        <v>8.3675910000000006E-2</v>
      </c>
      <c r="Z1304">
        <v>5.078452E-2</v>
      </c>
      <c r="AA1304">
        <v>0.99519809999999997</v>
      </c>
      <c r="AB1304">
        <v>19</v>
      </c>
      <c r="AC1304">
        <v>-0.53389999999998805</v>
      </c>
      <c r="AD1304">
        <v>-1.1104023378529999</v>
      </c>
      <c r="AE1304">
        <v>-21.549699999999898</v>
      </c>
      <c r="AF1304">
        <v>1.81507761557023</v>
      </c>
      <c r="AG1304">
        <v>-1.1104023378529999</v>
      </c>
      <c r="AH1304">
        <v>21.422509337462799</v>
      </c>
      <c r="AI1304">
        <v>92.956607377383804</v>
      </c>
      <c r="AJ1304">
        <v>85.157033348199903</v>
      </c>
      <c r="AK1304">
        <v>21.5279215535577</v>
      </c>
      <c r="AL1304">
        <v>90.116417592286595</v>
      </c>
      <c r="AM1304">
        <v>86.535762323285894</v>
      </c>
      <c r="AN1304">
        <v>1.00000005189764</v>
      </c>
    </row>
    <row r="1305" spans="1:40" x14ac:dyDescent="0.25">
      <c r="A1305" t="str">
        <f>"20190312154237973"</f>
        <v>20190312154237973</v>
      </c>
      <c r="B1305" t="str">
        <f>"1552376557968357"</f>
        <v>1552376557968357</v>
      </c>
      <c r="C1305" t="s">
        <v>40</v>
      </c>
      <c r="D1305">
        <v>5.002853</v>
      </c>
      <c r="E1305">
        <v>0.50774989999999998</v>
      </c>
      <c r="F1305" t="s">
        <v>43</v>
      </c>
      <c r="G1305">
        <v>-192.739</v>
      </c>
      <c r="H1305" s="1">
        <v>-4.1687329999999999E-6</v>
      </c>
      <c r="I1305">
        <v>307.8091</v>
      </c>
      <c r="J1305">
        <v>-192.22130000000001</v>
      </c>
      <c r="K1305">
        <v>1.110401</v>
      </c>
      <c r="L1305">
        <v>329.65129999999999</v>
      </c>
      <c r="M1305">
        <v>5.955477E-2</v>
      </c>
      <c r="N1305">
        <v>0</v>
      </c>
      <c r="O1305">
        <v>-0.99813459999999998</v>
      </c>
      <c r="P1305">
        <v>-1.3027539999999999E-3</v>
      </c>
      <c r="Q1305">
        <v>-1.4773049999999999E-2</v>
      </c>
      <c r="R1305">
        <v>-0.9998901</v>
      </c>
      <c r="S1305">
        <v>-6.8923949999999998E-2</v>
      </c>
      <c r="T1305">
        <v>-0.1510946</v>
      </c>
      <c r="U1305">
        <v>-2.997986</v>
      </c>
      <c r="V1305">
        <v>6.08536999999999E-2</v>
      </c>
      <c r="W1305">
        <v>-1.3645949999999999E-3</v>
      </c>
      <c r="X1305">
        <v>0.99814579999999997</v>
      </c>
      <c r="Y1305">
        <v>8.2458580000000004E-2</v>
      </c>
      <c r="Z1305">
        <v>5.0108460000000001E-2</v>
      </c>
      <c r="AA1305">
        <v>0.99533400000000005</v>
      </c>
      <c r="AB1305">
        <v>19</v>
      </c>
      <c r="AC1305">
        <v>-0.51769999999998995</v>
      </c>
      <c r="AD1305">
        <v>-1.1104051687330001</v>
      </c>
      <c r="AE1305">
        <v>-21.842199999999899</v>
      </c>
      <c r="AF1305">
        <v>1.8130225227679799</v>
      </c>
      <c r="AG1305">
        <v>-1.1104051687330001</v>
      </c>
      <c r="AH1305">
        <v>21.716495710399599</v>
      </c>
      <c r="AI1305">
        <v>92.916961343098194</v>
      </c>
      <c r="AJ1305">
        <v>85.227673784557496</v>
      </c>
      <c r="AK1305">
        <v>21.820317051926999</v>
      </c>
      <c r="AL1305">
        <v>90.078185555656702</v>
      </c>
      <c r="AM1305">
        <v>86.511181152537006</v>
      </c>
      <c r="AN1305">
        <v>1.00000003649042</v>
      </c>
    </row>
    <row r="1306" spans="1:40" x14ac:dyDescent="0.25">
      <c r="A1306" t="str">
        <f>"20190312154237996"</f>
        <v>20190312154237996</v>
      </c>
      <c r="B1306" t="str">
        <f>"1552376557988854"</f>
        <v>1552376557988854</v>
      </c>
      <c r="C1306" t="s">
        <v>40</v>
      </c>
      <c r="D1306">
        <v>5.027863</v>
      </c>
      <c r="E1306">
        <v>0.50724279999999999</v>
      </c>
      <c r="F1306" t="s">
        <v>43</v>
      </c>
      <c r="G1306">
        <v>-192.6936</v>
      </c>
      <c r="H1306" s="1">
        <v>-4.0760969999999999E-6</v>
      </c>
      <c r="I1306">
        <v>307.56049999999999</v>
      </c>
      <c r="J1306">
        <v>-192.20939999999999</v>
      </c>
      <c r="K1306">
        <v>1.110395</v>
      </c>
      <c r="L1306">
        <v>329.44869999999997</v>
      </c>
      <c r="M1306">
        <v>5.9381629999999998E-2</v>
      </c>
      <c r="N1306">
        <v>0</v>
      </c>
      <c r="O1306">
        <v>-0.99814510000000001</v>
      </c>
      <c r="P1306">
        <v>-1.854519E-3</v>
      </c>
      <c r="Q1306">
        <v>-1.447769E-2</v>
      </c>
      <c r="R1306">
        <v>-0.99989399999999995</v>
      </c>
      <c r="S1306">
        <v>-6.410217E-2</v>
      </c>
      <c r="T1306">
        <v>-0.15069689999999999</v>
      </c>
      <c r="U1306">
        <v>-2.9980159999999998</v>
      </c>
      <c r="V1306">
        <v>6.1231639999999997E-2</v>
      </c>
      <c r="W1306">
        <v>-1.071568E-3</v>
      </c>
      <c r="X1306">
        <v>0.99812299999999998</v>
      </c>
      <c r="Y1306">
        <v>8.0685460000000001E-2</v>
      </c>
      <c r="Z1306">
        <v>4.998172E-2</v>
      </c>
      <c r="AA1306">
        <v>0.99548570000000003</v>
      </c>
      <c r="AB1306">
        <v>19</v>
      </c>
      <c r="AC1306">
        <v>-0.48420000000001501</v>
      </c>
      <c r="AD1306">
        <v>-1.1103990760969999</v>
      </c>
      <c r="AE1306">
        <v>-21.888199999999902</v>
      </c>
      <c r="AF1306">
        <v>1.7786442611740301</v>
      </c>
      <c r="AG1306">
        <v>-1.1103990760969999</v>
      </c>
      <c r="AH1306">
        <v>21.7648267542951</v>
      </c>
      <c r="AI1306">
        <v>92.910899881780793</v>
      </c>
      <c r="AJ1306">
        <v>85.328111033365303</v>
      </c>
      <c r="AK1306">
        <v>21.865595010437801</v>
      </c>
      <c r="AL1306">
        <v>90.061396336067702</v>
      </c>
      <c r="AM1306">
        <v>86.489487408761605</v>
      </c>
      <c r="AN1306">
        <v>0.99999999256203398</v>
      </c>
    </row>
    <row r="1307" spans="1:40" x14ac:dyDescent="0.25">
      <c r="A1307" t="str">
        <f>"20190312154238017"</f>
        <v>20190312154238017</v>
      </c>
      <c r="B1307" t="str">
        <f>"1552376558008373"</f>
        <v>1552376558008373</v>
      </c>
      <c r="C1307" t="s">
        <v>40</v>
      </c>
      <c r="D1307">
        <v>5.0370809999999997</v>
      </c>
      <c r="E1307">
        <v>0.50704189999999905</v>
      </c>
      <c r="F1307" t="s">
        <v>43</v>
      </c>
      <c r="G1307">
        <v>-192.6628</v>
      </c>
      <c r="H1307" s="1">
        <v>-4.0154679999999999E-6</v>
      </c>
      <c r="I1307">
        <v>307.39850000000001</v>
      </c>
      <c r="J1307">
        <v>-192.19929999999999</v>
      </c>
      <c r="K1307">
        <v>1.110393</v>
      </c>
      <c r="L1307">
        <v>329.27550000000002</v>
      </c>
      <c r="M1307">
        <v>5.9228169999999997E-2</v>
      </c>
      <c r="N1307">
        <v>0</v>
      </c>
      <c r="O1307">
        <v>-0.99815390000000004</v>
      </c>
      <c r="P1307">
        <v>-2.3708679999999999E-3</v>
      </c>
      <c r="Q1307">
        <v>-1.4471039999999999E-2</v>
      </c>
      <c r="R1307">
        <v>-0.99989269999999997</v>
      </c>
      <c r="S1307">
        <v>-6.1645510000000001E-2</v>
      </c>
      <c r="T1307">
        <v>-0.150973</v>
      </c>
      <c r="U1307">
        <v>-2.9980159999999998</v>
      </c>
      <c r="V1307">
        <v>6.1593580000000002E-2</v>
      </c>
      <c r="W1307">
        <v>-1.0673739999999901E-3</v>
      </c>
      <c r="X1307">
        <v>0.99810080000000001</v>
      </c>
      <c r="Y1307">
        <v>7.9716699999999904E-2</v>
      </c>
      <c r="Z1307">
        <v>5.0076120000000002E-2</v>
      </c>
      <c r="AA1307">
        <v>0.99555899999999997</v>
      </c>
      <c r="AB1307">
        <v>19</v>
      </c>
      <c r="AC1307">
        <v>-0.46350000000001002</v>
      </c>
      <c r="AD1307">
        <v>-1.1103970154680001</v>
      </c>
      <c r="AE1307">
        <v>-21.876999999999999</v>
      </c>
      <c r="AF1307">
        <v>1.75402130318063</v>
      </c>
      <c r="AG1307">
        <v>-1.1103970154680001</v>
      </c>
      <c r="AH1307">
        <v>21.755112039094499</v>
      </c>
      <c r="AI1307">
        <v>92.912448909597003</v>
      </c>
      <c r="AJ1307">
        <v>85.390458092296598</v>
      </c>
      <c r="AK1307">
        <v>21.853934933954701</v>
      </c>
      <c r="AL1307">
        <v>90.061156033447304</v>
      </c>
      <c r="AM1307">
        <v>86.468710791106204</v>
      </c>
      <c r="AN1307">
        <v>1.0000000576725501</v>
      </c>
    </row>
    <row r="1308" spans="1:40" x14ac:dyDescent="0.25">
      <c r="A1308" t="str">
        <f>"20190312154238041"</f>
        <v>20190312154238041</v>
      </c>
      <c r="B1308" t="str">
        <f>"1552376558028873"</f>
        <v>1552376558028873</v>
      </c>
      <c r="C1308" t="s">
        <v>40</v>
      </c>
      <c r="D1308">
        <v>5.0454949999999998</v>
      </c>
      <c r="E1308">
        <v>0.50657010000000002</v>
      </c>
      <c r="F1308" t="s">
        <v>43</v>
      </c>
      <c r="G1308">
        <v>-192.6508</v>
      </c>
      <c r="H1308" s="1">
        <v>-3.97805799999999E-6</v>
      </c>
      <c r="I1308">
        <v>307.29480000000001</v>
      </c>
      <c r="J1308">
        <v>-192.18729999999999</v>
      </c>
      <c r="K1308">
        <v>1.110385</v>
      </c>
      <c r="L1308">
        <v>329.07069999999999</v>
      </c>
      <c r="M1308">
        <v>5.9035270000000001E-2</v>
      </c>
      <c r="N1308">
        <v>0</v>
      </c>
      <c r="O1308">
        <v>-0.99816559999999999</v>
      </c>
      <c r="P1308">
        <v>-2.6266979999999998E-3</v>
      </c>
      <c r="Q1308">
        <v>-1.429661E-2</v>
      </c>
      <c r="R1308">
        <v>-0.99989459999999997</v>
      </c>
      <c r="S1308">
        <v>-6.1584470000000002E-2</v>
      </c>
      <c r="T1308">
        <v>-0.15144920000000001</v>
      </c>
      <c r="U1308">
        <v>-2.997986</v>
      </c>
      <c r="V1308">
        <v>6.1656240000000001E-2</v>
      </c>
      <c r="W1308">
        <v>-8.960544E-4</v>
      </c>
      <c r="X1308">
        <v>0.99809709999999996</v>
      </c>
      <c r="Y1308">
        <v>7.9503829999999998E-2</v>
      </c>
      <c r="Z1308">
        <v>5.0235500000000002E-2</v>
      </c>
      <c r="AA1308">
        <v>0.99556789999999995</v>
      </c>
      <c r="AB1308">
        <v>19</v>
      </c>
      <c r="AC1308">
        <v>-0.46350000000001002</v>
      </c>
      <c r="AD1308">
        <v>-1.1103889780580001</v>
      </c>
      <c r="AE1308">
        <v>-21.775899999999901</v>
      </c>
      <c r="AF1308">
        <v>1.7438213479918601</v>
      </c>
      <c r="AG1308">
        <v>-1.1103889780580001</v>
      </c>
      <c r="AH1308">
        <v>21.654269622978301</v>
      </c>
      <c r="AI1308">
        <v>92.925989670991498</v>
      </c>
      <c r="AJ1308">
        <v>85.395898435533695</v>
      </c>
      <c r="AK1308">
        <v>21.752730161544001</v>
      </c>
      <c r="AL1308">
        <v>90.051340139229893</v>
      </c>
      <c r="AM1308">
        <v>86.465114395409501</v>
      </c>
      <c r="AN1308">
        <v>1.0000000579364099</v>
      </c>
    </row>
    <row r="1309" spans="1:40" x14ac:dyDescent="0.25">
      <c r="A1309" t="str">
        <f>"20190312154238064"</f>
        <v>20190312154238064</v>
      </c>
      <c r="B1309" t="str">
        <f>"1552376558058150"</f>
        <v>1552376558058150</v>
      </c>
      <c r="C1309" t="s">
        <v>40</v>
      </c>
      <c r="D1309">
        <v>5.1116979999999996</v>
      </c>
      <c r="E1309">
        <v>0.4967569</v>
      </c>
      <c r="F1309" t="s">
        <v>43</v>
      </c>
      <c r="G1309">
        <v>-192.6148</v>
      </c>
      <c r="H1309" s="1">
        <v>-3.9368250000000002E-6</v>
      </c>
      <c r="I1309">
        <v>307.19240000000002</v>
      </c>
      <c r="J1309">
        <v>-192.17609999999999</v>
      </c>
      <c r="K1309">
        <v>1.110385</v>
      </c>
      <c r="L1309">
        <v>328.8766</v>
      </c>
      <c r="M1309">
        <v>5.883497E-2</v>
      </c>
      <c r="N1309">
        <v>0</v>
      </c>
      <c r="O1309">
        <v>-0.99817739999999999</v>
      </c>
      <c r="P1309">
        <v>-2.4112859999999999E-3</v>
      </c>
      <c r="Q1309">
        <v>-1.439708E-2</v>
      </c>
      <c r="R1309">
        <v>-0.9998937</v>
      </c>
      <c r="S1309">
        <v>-5.8578489999999997E-2</v>
      </c>
      <c r="T1309">
        <v>-0.1521566</v>
      </c>
      <c r="U1309">
        <v>-2.997986</v>
      </c>
      <c r="V1309">
        <v>6.1240820000000001E-2</v>
      </c>
      <c r="W1309">
        <v>-9.9953720000000006E-4</v>
      </c>
      <c r="X1309">
        <v>0.99812250000000002</v>
      </c>
      <c r="Y1309">
        <v>7.8305710000000001E-2</v>
      </c>
      <c r="Z1309">
        <v>5.047335E-2</v>
      </c>
      <c r="AA1309">
        <v>0.99565090000000001</v>
      </c>
      <c r="AB1309">
        <v>19</v>
      </c>
      <c r="AC1309">
        <v>-0.43870000000001103</v>
      </c>
      <c r="AD1309">
        <v>-1.110388936825</v>
      </c>
      <c r="AE1309">
        <v>-21.684199999999901</v>
      </c>
      <c r="AF1309">
        <v>1.70936377744183</v>
      </c>
      <c r="AG1309">
        <v>-1.110388936825</v>
      </c>
      <c r="AH1309">
        <v>21.564294494885701</v>
      </c>
      <c r="AI1309">
        <v>92.938470509072005</v>
      </c>
      <c r="AJ1309">
        <v>85.467741011103897</v>
      </c>
      <c r="AK1309">
        <v>21.660417474665898</v>
      </c>
      <c r="AL1309">
        <v>90.057269273647194</v>
      </c>
      <c r="AM1309">
        <v>86.488960666024497</v>
      </c>
      <c r="AN1309">
        <v>0.99999998105756804</v>
      </c>
    </row>
    <row r="1310" spans="1:40" x14ac:dyDescent="0.25">
      <c r="A1310" t="str">
        <f>"20190312154238086"</f>
        <v>20190312154238086</v>
      </c>
      <c r="B1310" t="str">
        <f>"1552376558078646"</f>
        <v>1552376558078646</v>
      </c>
      <c r="C1310" t="s">
        <v>40</v>
      </c>
      <c r="D1310">
        <v>5.063396</v>
      </c>
      <c r="E1310">
        <v>0.49707750000000001</v>
      </c>
      <c r="F1310" t="s">
        <v>41</v>
      </c>
      <c r="G1310">
        <v>-192.17060000000001</v>
      </c>
      <c r="H1310">
        <v>1.0465329999999999</v>
      </c>
      <c r="I1310">
        <v>328.10399999999998</v>
      </c>
      <c r="J1310">
        <v>-192.16499999999999</v>
      </c>
      <c r="K1310">
        <v>1.110374</v>
      </c>
      <c r="L1310">
        <v>328.68419999999998</v>
      </c>
      <c r="M1310">
        <v>5.8612839999999999E-2</v>
      </c>
      <c r="N1310">
        <v>0</v>
      </c>
      <c r="O1310">
        <v>-0.99819060000000004</v>
      </c>
      <c r="P1310">
        <v>-2.160885E-3</v>
      </c>
      <c r="Q1310">
        <v>-1.3792280000000001E-2</v>
      </c>
      <c r="R1310">
        <v>-0.99990279999999998</v>
      </c>
      <c r="S1310">
        <v>2.165222E-2</v>
      </c>
      <c r="T1310">
        <v>-0.2477953</v>
      </c>
      <c r="U1310">
        <v>-2.9967959999999998</v>
      </c>
      <c r="V1310">
        <v>6.0769459999999997E-2</v>
      </c>
      <c r="W1310">
        <v>-3.9820669999999998E-4</v>
      </c>
      <c r="X1310">
        <v>0.99815169999999998</v>
      </c>
      <c r="Y1310">
        <v>5.1428410000000001E-2</v>
      </c>
      <c r="Z1310">
        <v>8.2137699999999994E-2</v>
      </c>
      <c r="AA1310">
        <v>0.99529319999999999</v>
      </c>
      <c r="AB1310">
        <v>19</v>
      </c>
      <c r="AC1310">
        <v>-5.6000000000153696E-3</v>
      </c>
      <c r="AD1310">
        <v>-6.3840999999999995E-2</v>
      </c>
      <c r="AE1310">
        <v>-0.58019999999993299</v>
      </c>
      <c r="AF1310">
        <v>3.9126928909966899E-2</v>
      </c>
      <c r="AG1310">
        <v>-6.3840999999999995E-2</v>
      </c>
      <c r="AH1310">
        <v>0.57195000173671595</v>
      </c>
      <c r="AI1310">
        <v>96.3542565385047</v>
      </c>
      <c r="AJ1310">
        <v>86.086510121511594</v>
      </c>
      <c r="AK1310">
        <v>0.57683047278516297</v>
      </c>
      <c r="AL1310">
        <v>90.022815565004194</v>
      </c>
      <c r="AM1310">
        <v>86.516019375777503</v>
      </c>
      <c r="AN1310">
        <v>0.99999995102507699</v>
      </c>
    </row>
    <row r="1311" spans="1:40" x14ac:dyDescent="0.25">
      <c r="A1311" t="str">
        <f>"20190312154238107"</f>
        <v>20190312154238107</v>
      </c>
      <c r="B1311" t="str">
        <f>"1552376558098166"</f>
        <v>1552376558098166</v>
      </c>
      <c r="C1311" t="s">
        <v>40</v>
      </c>
      <c r="D1311">
        <v>5.1259009999999998</v>
      </c>
      <c r="E1311">
        <v>0.50071599999999905</v>
      </c>
      <c r="F1311" t="s">
        <v>41</v>
      </c>
      <c r="G1311">
        <v>-192.1602</v>
      </c>
      <c r="H1311">
        <v>1.049034</v>
      </c>
      <c r="I1311">
        <v>327.9316</v>
      </c>
      <c r="J1311">
        <v>-192.15459999999999</v>
      </c>
      <c r="K1311">
        <v>1.110355</v>
      </c>
      <c r="L1311">
        <v>328.50130000000001</v>
      </c>
      <c r="M1311">
        <v>5.8371550000000001E-2</v>
      </c>
      <c r="N1311">
        <v>0</v>
      </c>
      <c r="O1311">
        <v>-0.9982046</v>
      </c>
      <c r="P1311">
        <v>-1.8165430000000001E-3</v>
      </c>
      <c r="Q1311">
        <v>-1.3754880000000001E-2</v>
      </c>
      <c r="R1311">
        <v>-0.99990409999999996</v>
      </c>
      <c r="S1311">
        <v>1.9912719999999998E-2</v>
      </c>
      <c r="T1311">
        <v>-0.24450450000000001</v>
      </c>
      <c r="U1311">
        <v>-2.9969790000000001</v>
      </c>
      <c r="V1311">
        <v>6.0184509999999997E-2</v>
      </c>
      <c r="W1311">
        <v>-3.645481E-4</v>
      </c>
      <c r="X1311">
        <v>0.99818720000000005</v>
      </c>
      <c r="Y1311">
        <v>5.1764490000000003E-2</v>
      </c>
      <c r="Z1311">
        <v>8.1050339999999998E-2</v>
      </c>
      <c r="AA1311">
        <v>0.9953649</v>
      </c>
      <c r="AB1311">
        <v>19</v>
      </c>
      <c r="AC1311">
        <v>-5.6000000000153696E-3</v>
      </c>
      <c r="AD1311">
        <v>-6.1320999999999903E-2</v>
      </c>
      <c r="AE1311">
        <v>-0.56970000000001098</v>
      </c>
      <c r="AF1311">
        <v>3.8402836241987898E-2</v>
      </c>
      <c r="AG1311">
        <v>-6.1320999999999903E-2</v>
      </c>
      <c r="AH1311">
        <v>0.56189219316509698</v>
      </c>
      <c r="AI1311">
        <v>96.213832200877803</v>
      </c>
      <c r="AJ1311">
        <v>86.090168094384097</v>
      </c>
      <c r="AK1311">
        <v>0.56653144626958796</v>
      </c>
      <c r="AL1311">
        <v>90.020887068080796</v>
      </c>
      <c r="AM1311">
        <v>86.549596209567795</v>
      </c>
      <c r="AN1311">
        <v>0.99999999719154797</v>
      </c>
    </row>
    <row r="1312" spans="1:40" x14ac:dyDescent="0.25">
      <c r="A1312" t="str">
        <f>"20190312154238130"</f>
        <v>20190312154238130</v>
      </c>
      <c r="B1312" t="str">
        <f>"1552376558118661"</f>
        <v>1552376558118661</v>
      </c>
      <c r="C1312" t="s">
        <v>40</v>
      </c>
      <c r="D1312">
        <v>5.0883729999999998</v>
      </c>
      <c r="E1312">
        <v>0.50089059999999996</v>
      </c>
      <c r="F1312" t="s">
        <v>43</v>
      </c>
      <c r="G1312">
        <v>-192.22049999999999</v>
      </c>
      <c r="H1312" s="1">
        <v>-3.8731659999999999E-6</v>
      </c>
      <c r="I1312">
        <v>307.24040000000002</v>
      </c>
      <c r="J1312">
        <v>-192.1439</v>
      </c>
      <c r="K1312">
        <v>1.1103259999999999</v>
      </c>
      <c r="L1312">
        <v>328.31310000000002</v>
      </c>
      <c r="M1312">
        <v>5.8083250000000003E-2</v>
      </c>
      <c r="N1312">
        <v>0</v>
      </c>
      <c r="O1312">
        <v>-0.99822140000000004</v>
      </c>
      <c r="P1312">
        <v>-1.9953560000000002E-3</v>
      </c>
      <c r="Q1312">
        <v>-1.417356E-2</v>
      </c>
      <c r="R1312">
        <v>-0.9998977</v>
      </c>
      <c r="S1312">
        <v>-9.292603E-3</v>
      </c>
      <c r="T1312">
        <v>-0.15657850000000001</v>
      </c>
      <c r="U1312">
        <v>-2.998138</v>
      </c>
      <c r="V1312">
        <v>6.0074200000000001E-2</v>
      </c>
      <c r="W1312">
        <v>-7.8842099999999998E-4</v>
      </c>
      <c r="X1312">
        <v>0.99819360000000001</v>
      </c>
      <c r="Y1312">
        <v>6.1178139999999999E-2</v>
      </c>
      <c r="Z1312">
        <v>5.1973159999999997E-2</v>
      </c>
      <c r="AA1312">
        <v>0.99677280000000001</v>
      </c>
      <c r="AB1312">
        <v>19</v>
      </c>
      <c r="AC1312">
        <v>-7.6599999999984902E-2</v>
      </c>
      <c r="AD1312">
        <v>-1.1103298731659901</v>
      </c>
      <c r="AE1312">
        <v>-21.072700000000001</v>
      </c>
      <c r="AF1312">
        <v>1.2969513029731901</v>
      </c>
      <c r="AG1312">
        <v>-1.1103298731659901</v>
      </c>
      <c r="AH1312">
        <v>20.974437665273602</v>
      </c>
      <c r="AI1312">
        <v>93.024488877138296</v>
      </c>
      <c r="AJ1312">
        <v>86.4616289286745</v>
      </c>
      <c r="AK1312">
        <v>21.043810265348299</v>
      </c>
      <c r="AL1312">
        <v>90.045173200590597</v>
      </c>
      <c r="AM1312">
        <v>86.555927121246</v>
      </c>
      <c r="AN1312">
        <v>0.99999999709713605</v>
      </c>
    </row>
    <row r="1313" spans="1:40" x14ac:dyDescent="0.25">
      <c r="A1313" t="str">
        <f>"20190312154238150"</f>
        <v>20190312154238150</v>
      </c>
      <c r="B1313" t="str">
        <f>"1552376558138186"</f>
        <v>1552376558138186</v>
      </c>
      <c r="C1313" t="s">
        <v>40</v>
      </c>
      <c r="D1313">
        <v>5.1015790000000001</v>
      </c>
      <c r="E1313">
        <v>0.50101329999999999</v>
      </c>
      <c r="F1313" t="s">
        <v>43</v>
      </c>
      <c r="G1313">
        <v>-192.2183</v>
      </c>
      <c r="H1313" s="1">
        <v>-4.1922210000000002E-6</v>
      </c>
      <c r="I1313">
        <v>308.14949999999999</v>
      </c>
      <c r="J1313">
        <v>-192.13399999999999</v>
      </c>
      <c r="K1313">
        <v>1.110295</v>
      </c>
      <c r="L1313">
        <v>328.13659999999999</v>
      </c>
      <c r="M1313">
        <v>5.7774600000000002E-2</v>
      </c>
      <c r="N1313">
        <v>0</v>
      </c>
      <c r="O1313">
        <v>-0.99823930000000005</v>
      </c>
      <c r="P1313">
        <v>-2.8331379999999998E-3</v>
      </c>
      <c r="Q1313">
        <v>-1.4647429999999999E-2</v>
      </c>
      <c r="R1313">
        <v>-0.99988880000000002</v>
      </c>
      <c r="S1313">
        <v>-1.106262E-2</v>
      </c>
      <c r="T1313">
        <v>-0.16508399999999901</v>
      </c>
      <c r="U1313">
        <v>-2.997925</v>
      </c>
      <c r="V1313">
        <v>6.0601160000000001E-2</v>
      </c>
      <c r="W1313">
        <v>-1.268559E-3</v>
      </c>
      <c r="X1313">
        <v>0.99816130000000003</v>
      </c>
      <c r="Y1313">
        <v>6.1457690000000002E-2</v>
      </c>
      <c r="Z1313">
        <v>5.4792920000000002E-2</v>
      </c>
      <c r="AA1313">
        <v>0.99660459999999995</v>
      </c>
      <c r="AB1313">
        <v>19</v>
      </c>
      <c r="AC1313">
        <v>-8.4299999999984707E-2</v>
      </c>
      <c r="AD1313">
        <v>-1.1102991922209999</v>
      </c>
      <c r="AE1313">
        <v>-19.987100000000002</v>
      </c>
      <c r="AF1313">
        <v>1.2351984226570401</v>
      </c>
      <c r="AG1313">
        <v>-1.1102991922209999</v>
      </c>
      <c r="AH1313">
        <v>19.887468283122299</v>
      </c>
      <c r="AI1313">
        <v>93.189320965331902</v>
      </c>
      <c r="AJ1313">
        <v>86.445959677571295</v>
      </c>
      <c r="AK1313">
        <v>19.9566999815043</v>
      </c>
      <c r="AL1313">
        <v>90.072683092962905</v>
      </c>
      <c r="AM1313">
        <v>86.525677866755501</v>
      </c>
      <c r="AN1313">
        <v>1.0000000453264799</v>
      </c>
    </row>
    <row r="1314" spans="1:40" x14ac:dyDescent="0.25">
      <c r="A1314" t="str">
        <f>"20190312154238173"</f>
        <v>20190312154238173</v>
      </c>
      <c r="B1314" t="str">
        <f>"1552376558168437"</f>
        <v>1552376558168437</v>
      </c>
      <c r="C1314" t="s">
        <v>40</v>
      </c>
      <c r="D1314">
        <v>5.1123690000000002</v>
      </c>
      <c r="E1314">
        <v>0.50102290000000005</v>
      </c>
      <c r="F1314" t="s">
        <v>43</v>
      </c>
      <c r="G1314">
        <v>-192.2313</v>
      </c>
      <c r="H1314" s="1">
        <v>-4.2185850000000004E-6</v>
      </c>
      <c r="I1314">
        <v>308.22019999999998</v>
      </c>
      <c r="J1314">
        <v>-192.1233</v>
      </c>
      <c r="K1314">
        <v>1.1102650000000001</v>
      </c>
      <c r="L1314">
        <v>327.94510000000002</v>
      </c>
      <c r="M1314">
        <v>5.7401500000000001E-2</v>
      </c>
      <c r="N1314">
        <v>0</v>
      </c>
      <c r="O1314">
        <v>-0.99826090000000001</v>
      </c>
      <c r="P1314">
        <v>-4.2081820000000004E-3</v>
      </c>
      <c r="Q1314">
        <v>-1.47455E-2</v>
      </c>
      <c r="R1314">
        <v>-0.99988290000000002</v>
      </c>
      <c r="S1314">
        <v>-1.464844E-2</v>
      </c>
      <c r="T1314">
        <v>-0.16712179999999999</v>
      </c>
      <c r="U1314">
        <v>-2.9978030000000002</v>
      </c>
      <c r="V1314">
        <v>6.16004E-2</v>
      </c>
      <c r="W1314">
        <v>-1.3736429999999999E-3</v>
      </c>
      <c r="X1314">
        <v>0.99809990000000004</v>
      </c>
      <c r="Y1314">
        <v>6.2276640000000001E-2</v>
      </c>
      <c r="Z1314">
        <v>5.546968E-2</v>
      </c>
      <c r="AA1314">
        <v>0.99651630000000002</v>
      </c>
      <c r="AB1314">
        <v>19</v>
      </c>
      <c r="AC1314">
        <v>-0.108000000000004</v>
      </c>
      <c r="AD1314">
        <v>-1.1102692185850001</v>
      </c>
      <c r="AE1314">
        <v>-19.724900000000002</v>
      </c>
      <c r="AF1314">
        <v>1.2362461078520599</v>
      </c>
      <c r="AG1314">
        <v>-1.1102692185850001</v>
      </c>
      <c r="AH1314">
        <v>19.623998347263299</v>
      </c>
      <c r="AI1314">
        <v>93.231784944083898</v>
      </c>
      <c r="AJ1314">
        <v>86.395321416876797</v>
      </c>
      <c r="AK1314">
        <v>19.694220302167501</v>
      </c>
      <c r="AL1314">
        <v>90.078703974885897</v>
      </c>
      <c r="AM1314">
        <v>86.468317599278507</v>
      </c>
      <c r="AN1314">
        <v>0.99999995327762903</v>
      </c>
    </row>
    <row r="1315" spans="1:40" x14ac:dyDescent="0.25">
      <c r="A1315" t="str">
        <f>"20190312154238196"</f>
        <v>20190312154238196</v>
      </c>
      <c r="B1315" t="str">
        <f>"1552376558188934"</f>
        <v>1552376558188934</v>
      </c>
      <c r="C1315" t="s">
        <v>40</v>
      </c>
      <c r="D1315">
        <v>5.0808249999999999</v>
      </c>
      <c r="E1315">
        <v>0.50120419999999999</v>
      </c>
      <c r="F1315" t="s">
        <v>43</v>
      </c>
      <c r="G1315">
        <v>-192.24770000000001</v>
      </c>
      <c r="H1315" s="1">
        <v>-4.164013E-6</v>
      </c>
      <c r="I1315">
        <v>308.05130000000003</v>
      </c>
      <c r="J1315">
        <v>-192.11269999999999</v>
      </c>
      <c r="K1315">
        <v>1.110244</v>
      </c>
      <c r="L1315">
        <v>327.75259999999997</v>
      </c>
      <c r="M1315">
        <v>5.6986799999999997E-2</v>
      </c>
      <c r="N1315">
        <v>0</v>
      </c>
      <c r="O1315">
        <v>-0.99828470000000002</v>
      </c>
      <c r="P1315">
        <v>-5.3811149999999997E-3</v>
      </c>
      <c r="Q1315">
        <v>-1.5079479999999999E-2</v>
      </c>
      <c r="R1315">
        <v>-0.99987210000000004</v>
      </c>
      <c r="S1315">
        <v>-1.8737790000000001E-2</v>
      </c>
      <c r="T1315">
        <v>-0.16730709999999999</v>
      </c>
      <c r="U1315">
        <v>-2.9978030000000002</v>
      </c>
      <c r="V1315">
        <v>6.235595E-2</v>
      </c>
      <c r="W1315">
        <v>-1.7139430000000001E-3</v>
      </c>
      <c r="X1315">
        <v>0.99805250000000001</v>
      </c>
      <c r="Y1315">
        <v>6.3221299999999994E-2</v>
      </c>
      <c r="Z1315">
        <v>5.5531129999999998E-2</v>
      </c>
      <c r="AA1315">
        <v>0.99645340000000004</v>
      </c>
      <c r="AB1315">
        <v>19</v>
      </c>
      <c r="AC1315">
        <v>-0.13500000000001899</v>
      </c>
      <c r="AD1315">
        <v>-1.110248164013</v>
      </c>
      <c r="AE1315">
        <v>-19.7012999999999</v>
      </c>
      <c r="AF1315">
        <v>1.2536147508972399</v>
      </c>
      <c r="AG1315">
        <v>-1.110248164013</v>
      </c>
      <c r="AH1315">
        <v>19.599344085466999</v>
      </c>
      <c r="AI1315">
        <v>93.235583298586505</v>
      </c>
      <c r="AJ1315">
        <v>86.340228407487899</v>
      </c>
      <c r="AK1315">
        <v>19.670752133812599</v>
      </c>
      <c r="AL1315">
        <v>90.098201748558097</v>
      </c>
      <c r="AM1315">
        <v>86.4249426215586</v>
      </c>
      <c r="AN1315">
        <v>0.99999999742862899</v>
      </c>
    </row>
    <row r="1316" spans="1:40" x14ac:dyDescent="0.25">
      <c r="A1316" t="str">
        <f>"20190312154238219"</f>
        <v>20190312154238219</v>
      </c>
      <c r="B1316" t="str">
        <f>"1552376558208453"</f>
        <v>1552376558208453</v>
      </c>
      <c r="C1316" t="s">
        <v>40</v>
      </c>
      <c r="D1316">
        <v>5.1272339999999996</v>
      </c>
      <c r="E1316">
        <v>0.50132869999999996</v>
      </c>
      <c r="F1316" t="s">
        <v>43</v>
      </c>
      <c r="G1316">
        <v>-192.2704</v>
      </c>
      <c r="H1316" s="1">
        <v>-4.106962E-6</v>
      </c>
      <c r="I1316">
        <v>307.87189999999998</v>
      </c>
      <c r="J1316">
        <v>-192.10220000000001</v>
      </c>
      <c r="K1316">
        <v>1.110223</v>
      </c>
      <c r="L1316">
        <v>327.55790000000002</v>
      </c>
      <c r="M1316">
        <v>5.6523900000000002E-2</v>
      </c>
      <c r="N1316">
        <v>0</v>
      </c>
      <c r="O1316">
        <v>-0.99831099999999995</v>
      </c>
      <c r="P1316">
        <v>-6.1922449999999999E-3</v>
      </c>
      <c r="Q1316">
        <v>-1.505037E-2</v>
      </c>
      <c r="R1316">
        <v>-0.99986759999999997</v>
      </c>
      <c r="S1316">
        <v>-2.377319E-2</v>
      </c>
      <c r="T1316">
        <v>-0.16741029999999901</v>
      </c>
      <c r="U1316">
        <v>-2.9977420000000001</v>
      </c>
      <c r="V1316">
        <v>6.2702729999999998E-2</v>
      </c>
      <c r="W1316">
        <v>-1.69052E-3</v>
      </c>
      <c r="X1316">
        <v>0.9980308</v>
      </c>
      <c r="Y1316">
        <v>6.4432290000000003E-2</v>
      </c>
      <c r="Z1316">
        <v>5.5566079999999997E-2</v>
      </c>
      <c r="AA1316">
        <v>0.99637390000000003</v>
      </c>
      <c r="AB1316">
        <v>19</v>
      </c>
      <c r="AC1316">
        <v>-0.168199999999984</v>
      </c>
      <c r="AD1316">
        <v>-1.110227106962</v>
      </c>
      <c r="AE1316">
        <v>-19.686</v>
      </c>
      <c r="AF1316">
        <v>1.2767004312075001</v>
      </c>
      <c r="AG1316">
        <v>-1.110227106962</v>
      </c>
      <c r="AH1316">
        <v>19.5827328407774</v>
      </c>
      <c r="AI1316">
        <v>93.238004538671603</v>
      </c>
      <c r="AJ1316">
        <v>86.2698683657717</v>
      </c>
      <c r="AK1316">
        <v>19.655686040770501</v>
      </c>
      <c r="AL1316">
        <v>90.096859708869502</v>
      </c>
      <c r="AM1316">
        <v>86.405034699316303</v>
      </c>
      <c r="AN1316">
        <v>0.99999998397798096</v>
      </c>
    </row>
    <row r="1317" spans="1:40" x14ac:dyDescent="0.25">
      <c r="A1317" t="str">
        <f>"20190312154238241"</f>
        <v>20190312154238241</v>
      </c>
      <c r="B1317" t="str">
        <f>"1552376558238709"</f>
        <v>1552376558238709</v>
      </c>
      <c r="C1317" t="s">
        <v>40</v>
      </c>
      <c r="D1317">
        <v>5.1130599999999999</v>
      </c>
      <c r="E1317">
        <v>0.50126150000000003</v>
      </c>
      <c r="F1317" t="s">
        <v>43</v>
      </c>
      <c r="G1317">
        <v>-192.2817</v>
      </c>
      <c r="H1317" s="1">
        <v>-4.070071E-6</v>
      </c>
      <c r="I1317">
        <v>307.75760000000002</v>
      </c>
      <c r="J1317">
        <v>-192.09200000000001</v>
      </c>
      <c r="K1317">
        <v>1.1102019999999999</v>
      </c>
      <c r="L1317">
        <v>327.36849999999998</v>
      </c>
      <c r="M1317">
        <v>5.6029170000000003E-2</v>
      </c>
      <c r="N1317">
        <v>0</v>
      </c>
      <c r="O1317">
        <v>-0.99833919999999998</v>
      </c>
      <c r="P1317">
        <v>-6.9427459999999996E-3</v>
      </c>
      <c r="Q1317">
        <v>-1.4888500000000001E-2</v>
      </c>
      <c r="R1317">
        <v>-0.99986540000000002</v>
      </c>
      <c r="S1317">
        <v>-2.7175899999999999E-2</v>
      </c>
      <c r="T1317">
        <v>-0.1680837</v>
      </c>
      <c r="U1317">
        <v>-2.997681</v>
      </c>
      <c r="V1317">
        <v>6.2957399999999997E-2</v>
      </c>
      <c r="W1317">
        <v>-1.534363E-3</v>
      </c>
      <c r="X1317">
        <v>0.99801499999999999</v>
      </c>
      <c r="Y1317">
        <v>6.5068680000000004E-2</v>
      </c>
      <c r="Z1317">
        <v>5.5790949999999999E-2</v>
      </c>
      <c r="AA1317">
        <v>0.99631990000000004</v>
      </c>
      <c r="AB1317">
        <v>19</v>
      </c>
      <c r="AC1317">
        <v>-0.18969999999998699</v>
      </c>
      <c r="AD1317">
        <v>-1.1102060700709999</v>
      </c>
      <c r="AE1317">
        <v>-19.610899999999901</v>
      </c>
      <c r="AF1317">
        <v>1.28416785004444</v>
      </c>
      <c r="AG1317">
        <v>-1.1102060700709999</v>
      </c>
      <c r="AH1317">
        <v>19.506947015533399</v>
      </c>
      <c r="AI1317">
        <v>93.250361437697705</v>
      </c>
      <c r="AJ1317">
        <v>86.233578503914899</v>
      </c>
      <c r="AK1317">
        <v>19.580669714081299</v>
      </c>
      <c r="AL1317">
        <v>90.087912561769699</v>
      </c>
      <c r="AM1317">
        <v>86.390415114639495</v>
      </c>
      <c r="AN1317">
        <v>0.999999964354787</v>
      </c>
    </row>
    <row r="1318" spans="1:40" x14ac:dyDescent="0.25">
      <c r="A1318" t="str">
        <f>"20190312154238266"</f>
        <v>20190312154238266</v>
      </c>
      <c r="B1318" t="str">
        <f>"1552376558259206"</f>
        <v>1552376558259206</v>
      </c>
      <c r="C1318" t="s">
        <v>40</v>
      </c>
      <c r="D1318">
        <v>5.0992329999999999</v>
      </c>
      <c r="E1318">
        <v>0.50123180000000001</v>
      </c>
      <c r="F1318" t="s">
        <v>43</v>
      </c>
      <c r="G1318">
        <v>-192.28210000000001</v>
      </c>
      <c r="H1318" s="1">
        <v>-4.0243130000000003E-6</v>
      </c>
      <c r="I1318">
        <v>307.62290000000002</v>
      </c>
      <c r="J1318">
        <v>-192.08150000000001</v>
      </c>
      <c r="K1318">
        <v>1.1101760000000001</v>
      </c>
      <c r="L1318">
        <v>327.1703</v>
      </c>
      <c r="M1318">
        <v>5.5463909999999998E-2</v>
      </c>
      <c r="N1318">
        <v>0</v>
      </c>
      <c r="O1318">
        <v>-0.99837070000000006</v>
      </c>
      <c r="P1318">
        <v>-7.2648859999999999E-3</v>
      </c>
      <c r="Q1318">
        <v>-1.438968E-2</v>
      </c>
      <c r="R1318">
        <v>-0.9998705</v>
      </c>
      <c r="S1318">
        <v>-2.8854370000000001E-2</v>
      </c>
      <c r="T1318">
        <v>-0.16854569999999999</v>
      </c>
      <c r="U1318">
        <v>-2.997681</v>
      </c>
      <c r="V1318">
        <v>6.2714599999999995E-2</v>
      </c>
      <c r="W1318">
        <v>-1.0410549999999999E-3</v>
      </c>
      <c r="X1318">
        <v>0.998031</v>
      </c>
      <c r="Y1318">
        <v>6.5061430000000003E-2</v>
      </c>
      <c r="Z1318">
        <v>5.5946360000000001E-2</v>
      </c>
      <c r="AA1318">
        <v>0.99631170000000002</v>
      </c>
      <c r="AB1318">
        <v>19</v>
      </c>
      <c r="AC1318">
        <v>-0.20060000000000799</v>
      </c>
      <c r="AD1318">
        <v>-1.110180024313</v>
      </c>
      <c r="AE1318">
        <v>-19.5473999999999</v>
      </c>
      <c r="AF1318">
        <v>1.28043410281741</v>
      </c>
      <c r="AG1318">
        <v>-1.110180024313</v>
      </c>
      <c r="AH1318">
        <v>19.443468068457999</v>
      </c>
      <c r="AI1318">
        <v>93.260869117436698</v>
      </c>
      <c r="AJ1318">
        <v>86.232272389037703</v>
      </c>
      <c r="AK1318">
        <v>19.517183754506899</v>
      </c>
      <c r="AL1318">
        <v>90.059648066075397</v>
      </c>
      <c r="AM1318">
        <v>86.404356654869105</v>
      </c>
      <c r="AN1318">
        <v>1.00000004090483</v>
      </c>
    </row>
    <row r="1319" spans="1:40" x14ac:dyDescent="0.25">
      <c r="A1319" t="str">
        <f>"20190312154238287"</f>
        <v>20190312154238287</v>
      </c>
      <c r="B1319" t="str">
        <f>"1552376558278727"</f>
        <v>1552376558278727</v>
      </c>
      <c r="C1319" t="s">
        <v>40</v>
      </c>
      <c r="D1319">
        <v>5.0949679999999997</v>
      </c>
      <c r="E1319">
        <v>0.50125509999999995</v>
      </c>
      <c r="F1319" t="s">
        <v>43</v>
      </c>
      <c r="G1319">
        <v>-192.27529999999999</v>
      </c>
      <c r="H1319" s="1">
        <v>-3.9841919999999997E-6</v>
      </c>
      <c r="I1319">
        <v>307.50850000000003</v>
      </c>
      <c r="J1319">
        <v>-192.072</v>
      </c>
      <c r="K1319">
        <v>1.110155</v>
      </c>
      <c r="L1319">
        <v>326.9862</v>
      </c>
      <c r="M1319">
        <v>5.4893860000000003E-2</v>
      </c>
      <c r="N1319">
        <v>0</v>
      </c>
      <c r="O1319">
        <v>-0.99840180000000001</v>
      </c>
      <c r="P1319">
        <v>-7.4298690000000004E-3</v>
      </c>
      <c r="Q1319">
        <v>-1.355755E-2</v>
      </c>
      <c r="R1319">
        <v>-0.99988060000000001</v>
      </c>
      <c r="S1319">
        <v>-2.9541020000000001E-2</v>
      </c>
      <c r="T1319">
        <v>-0.169264</v>
      </c>
      <c r="U1319">
        <v>-2.9977420000000001</v>
      </c>
      <c r="V1319">
        <v>6.231076E-2</v>
      </c>
      <c r="W1319">
        <v>-2.13907E-4</v>
      </c>
      <c r="X1319">
        <v>0.99805679999999997</v>
      </c>
      <c r="Y1319">
        <v>6.4719559999999995E-2</v>
      </c>
      <c r="Z1319">
        <v>5.6186100000000003E-2</v>
      </c>
      <c r="AA1319">
        <v>0.99632050000000005</v>
      </c>
      <c r="AB1319">
        <v>19</v>
      </c>
      <c r="AC1319">
        <v>-0.20329999999998399</v>
      </c>
      <c r="AD1319">
        <v>-1.1101589841920001</v>
      </c>
      <c r="AE1319">
        <v>-19.477699999999899</v>
      </c>
      <c r="AF1319">
        <v>1.2681767205938099</v>
      </c>
      <c r="AG1319">
        <v>-1.1101589841920001</v>
      </c>
      <c r="AH1319">
        <v>19.374233098072899</v>
      </c>
      <c r="AI1319">
        <v>93.272519677271205</v>
      </c>
      <c r="AJ1319">
        <v>86.254940021483193</v>
      </c>
      <c r="AK1319">
        <v>19.447406852927799</v>
      </c>
      <c r="AL1319">
        <v>90.012255968079401</v>
      </c>
      <c r="AM1319">
        <v>86.427542141942794</v>
      </c>
      <c r="AN1319">
        <v>1.00000002629711</v>
      </c>
    </row>
    <row r="1320" spans="1:40" x14ac:dyDescent="0.25">
      <c r="A1320" t="str">
        <f>"20190312154238308"</f>
        <v>20190312154238308</v>
      </c>
      <c r="B1320" t="str">
        <f>"1552376558298246"</f>
        <v>1552376558298246</v>
      </c>
      <c r="C1320" t="s">
        <v>40</v>
      </c>
      <c r="D1320">
        <v>5.0984699999999998</v>
      </c>
      <c r="E1320">
        <v>0.50131219999999999</v>
      </c>
      <c r="F1320" t="s">
        <v>43</v>
      </c>
      <c r="G1320">
        <v>-192.26920000000001</v>
      </c>
      <c r="H1320" s="1">
        <v>-3.8882310000000001E-6</v>
      </c>
      <c r="I1320">
        <v>307.24520000000001</v>
      </c>
      <c r="J1320">
        <v>-192.06280000000001</v>
      </c>
      <c r="K1320">
        <v>1.110131</v>
      </c>
      <c r="L1320">
        <v>326.80650000000003</v>
      </c>
      <c r="M1320">
        <v>5.4293189999999998E-2</v>
      </c>
      <c r="N1320">
        <v>0</v>
      </c>
      <c r="O1320">
        <v>-0.99843499999999996</v>
      </c>
      <c r="P1320">
        <v>-7.6621419999999898E-3</v>
      </c>
      <c r="Q1320">
        <v>-1.340295E-2</v>
      </c>
      <c r="R1320">
        <v>-0.99988089999999996</v>
      </c>
      <c r="S1320">
        <v>-2.9953E-2</v>
      </c>
      <c r="T1320">
        <v>-0.16858909999999999</v>
      </c>
      <c r="U1320">
        <v>-2.9978639999999999</v>
      </c>
      <c r="V1320">
        <v>6.1942419999999998E-2</v>
      </c>
      <c r="W1320" s="1">
        <v>-6.4450779999999995E-5</v>
      </c>
      <c r="X1320">
        <v>0.99807970000000001</v>
      </c>
      <c r="Y1320">
        <v>6.4255800000000002E-2</v>
      </c>
      <c r="Z1320">
        <v>5.5964090000000001E-2</v>
      </c>
      <c r="AA1320">
        <v>0.996363</v>
      </c>
      <c r="AB1320">
        <v>19</v>
      </c>
      <c r="AC1320">
        <v>-0.206400000000002</v>
      </c>
      <c r="AD1320">
        <v>-1.110134888231</v>
      </c>
      <c r="AE1320">
        <v>-19.561299999999999</v>
      </c>
      <c r="AF1320">
        <v>1.26416528303348</v>
      </c>
      <c r="AG1320">
        <v>-1.110134888231</v>
      </c>
      <c r="AH1320">
        <v>19.458571410261001</v>
      </c>
      <c r="AI1320">
        <v>93.258399239481307</v>
      </c>
      <c r="AJ1320">
        <v>86.2828880326757</v>
      </c>
      <c r="AK1320">
        <v>19.531167775151701</v>
      </c>
      <c r="AL1320">
        <v>90.003692757765705</v>
      </c>
      <c r="AM1320">
        <v>86.448687216653596</v>
      </c>
      <c r="AN1320">
        <v>0.99999997755072401</v>
      </c>
    </row>
    <row r="1321" spans="1:40" x14ac:dyDescent="0.25">
      <c r="A1321" t="str">
        <f>"20190312154238330"</f>
        <v>20190312154238330</v>
      </c>
      <c r="B1321" t="str">
        <f>"1552376558318742"</f>
        <v>1552376558318742</v>
      </c>
      <c r="C1321" t="s">
        <v>40</v>
      </c>
      <c r="D1321">
        <v>5.097003</v>
      </c>
      <c r="E1321">
        <v>0.50131029999999999</v>
      </c>
      <c r="F1321" t="s">
        <v>43</v>
      </c>
      <c r="G1321">
        <v>-192.26609999999999</v>
      </c>
      <c r="H1321" s="1">
        <v>-3.86961E-6</v>
      </c>
      <c r="I1321">
        <v>307.2038</v>
      </c>
      <c r="J1321">
        <v>-192.05350000000001</v>
      </c>
      <c r="K1321">
        <v>1.110107</v>
      </c>
      <c r="L1321">
        <v>326.62150000000003</v>
      </c>
      <c r="M1321">
        <v>5.3627000000000001E-2</v>
      </c>
      <c r="N1321">
        <v>0</v>
      </c>
      <c r="O1321">
        <v>-0.998471</v>
      </c>
      <c r="P1321">
        <v>-8.4294820000000003E-3</v>
      </c>
      <c r="Q1321">
        <v>-1.3995489999999999E-2</v>
      </c>
      <c r="R1321">
        <v>-0.99986660000000005</v>
      </c>
      <c r="S1321">
        <v>-3.1097409999999999E-2</v>
      </c>
      <c r="T1321">
        <v>-0.169769899999999</v>
      </c>
      <c r="U1321">
        <v>-2.9978030000000002</v>
      </c>
      <c r="V1321">
        <v>6.2041399999999997E-2</v>
      </c>
      <c r="W1321">
        <v>-6.6301610000000003E-4</v>
      </c>
      <c r="X1321">
        <v>0.99807330000000005</v>
      </c>
      <c r="Y1321">
        <v>6.3970260000000001E-2</v>
      </c>
      <c r="Z1321">
        <v>5.6359409999999999E-2</v>
      </c>
      <c r="AA1321">
        <v>0.99635910000000005</v>
      </c>
      <c r="AB1321">
        <v>19</v>
      </c>
      <c r="AC1321">
        <v>-0.21259999999998</v>
      </c>
      <c r="AD1321">
        <v>-1.1101108696099999</v>
      </c>
      <c r="AE1321">
        <v>-19.4177</v>
      </c>
      <c r="AF1321">
        <v>1.24961687322902</v>
      </c>
      <c r="AG1321">
        <v>-1.1101108696099999</v>
      </c>
      <c r="AH1321">
        <v>19.315228888338101</v>
      </c>
      <c r="AI1321">
        <v>93.282514301532103</v>
      </c>
      <c r="AJ1321">
        <v>86.298354474224496</v>
      </c>
      <c r="AK1321">
        <v>19.387417452605</v>
      </c>
      <c r="AL1321">
        <v>90.037988029207199</v>
      </c>
      <c r="AM1321">
        <v>86.443004255110495</v>
      </c>
      <c r="AN1321">
        <v>0.999999943538597</v>
      </c>
    </row>
    <row r="1322" spans="1:40" x14ac:dyDescent="0.25">
      <c r="A1322" t="str">
        <f>"20190312154238352"</f>
        <v>20190312154238352</v>
      </c>
      <c r="B1322" t="str">
        <f>"1552376558348998"</f>
        <v>1552376558348998</v>
      </c>
      <c r="C1322" t="s">
        <v>40</v>
      </c>
      <c r="D1322">
        <v>5.0677890000000003</v>
      </c>
      <c r="E1322">
        <v>0.50113640000000004</v>
      </c>
      <c r="F1322" t="s">
        <v>43</v>
      </c>
      <c r="G1322">
        <v>-192.26679999999999</v>
      </c>
      <c r="H1322" s="1">
        <v>-3.9462310000000002E-6</v>
      </c>
      <c r="I1322">
        <v>307.40140000000002</v>
      </c>
      <c r="J1322">
        <v>-192.0446</v>
      </c>
      <c r="K1322">
        <v>1.110085</v>
      </c>
      <c r="L1322">
        <v>326.44119999999998</v>
      </c>
      <c r="M1322">
        <v>5.2940510000000003E-2</v>
      </c>
      <c r="N1322">
        <v>0</v>
      </c>
      <c r="O1322">
        <v>-0.99850749999999999</v>
      </c>
      <c r="P1322">
        <v>-9.8058920000000001E-3</v>
      </c>
      <c r="Q1322">
        <v>-1.4336669999999999E-2</v>
      </c>
      <c r="R1322">
        <v>-0.99984910000000005</v>
      </c>
      <c r="S1322">
        <v>-3.3264160000000001E-2</v>
      </c>
      <c r="T1322">
        <v>-0.1731395</v>
      </c>
      <c r="U1322">
        <v>-2.997681</v>
      </c>
      <c r="V1322">
        <v>6.2728419999999993E-2</v>
      </c>
      <c r="W1322">
        <v>-1.009993E-3</v>
      </c>
      <c r="X1322">
        <v>0.99803010000000003</v>
      </c>
      <c r="Y1322">
        <v>6.4003959999999999E-2</v>
      </c>
      <c r="Z1322">
        <v>5.7479559999999999E-2</v>
      </c>
      <c r="AA1322">
        <v>0.99629290000000004</v>
      </c>
      <c r="AB1322">
        <v>19</v>
      </c>
      <c r="AC1322">
        <v>-0.22219999999998599</v>
      </c>
      <c r="AD1322">
        <v>-1.110088946231</v>
      </c>
      <c r="AE1322">
        <v>-19.0397999999999</v>
      </c>
      <c r="AF1322">
        <v>1.2257895643468799</v>
      </c>
      <c r="AG1322">
        <v>-1.110088946231</v>
      </c>
      <c r="AH1322">
        <v>18.936966767610201</v>
      </c>
      <c r="AI1322">
        <v>93.3478608816866</v>
      </c>
      <c r="AJ1322">
        <v>86.296411958369305</v>
      </c>
      <c r="AK1322">
        <v>19.009039109912401</v>
      </c>
      <c r="AL1322">
        <v>90.057868347370501</v>
      </c>
      <c r="AM1322">
        <v>86.403563151531202</v>
      </c>
      <c r="AN1322">
        <v>0.99999997763378201</v>
      </c>
    </row>
    <row r="1323" spans="1:40" x14ac:dyDescent="0.25">
      <c r="A1323" t="str">
        <f>"20190312154238374"</f>
        <v>20190312154238374</v>
      </c>
      <c r="B1323" t="str">
        <f>"1552376558368517"</f>
        <v>1552376558368517</v>
      </c>
      <c r="C1323" t="s">
        <v>40</v>
      </c>
      <c r="D1323">
        <v>5.0645930000000003</v>
      </c>
      <c r="E1323">
        <v>0.50107849999999998</v>
      </c>
      <c r="F1323" t="s">
        <v>43</v>
      </c>
      <c r="G1323">
        <v>-192.274</v>
      </c>
      <c r="H1323" s="1">
        <v>-3.9010730000000001E-6</v>
      </c>
      <c r="I1323">
        <v>307.2722</v>
      </c>
      <c r="J1323">
        <v>-192.0359</v>
      </c>
      <c r="K1323">
        <v>1.11007099999999</v>
      </c>
      <c r="L1323">
        <v>326.26119999999997</v>
      </c>
      <c r="M1323">
        <v>5.2222169999999998E-2</v>
      </c>
      <c r="N1323">
        <v>0</v>
      </c>
      <c r="O1323">
        <v>-0.99854549999999997</v>
      </c>
      <c r="P1323">
        <v>-1.1081499999999999E-2</v>
      </c>
      <c r="Q1323">
        <v>-1.4061560000000001E-2</v>
      </c>
      <c r="R1323">
        <v>-0.99983979999999995</v>
      </c>
      <c r="S1323">
        <v>-3.5858149999999998E-2</v>
      </c>
      <c r="T1323">
        <v>-0.17359279999999999</v>
      </c>
      <c r="U1323">
        <v>-2.9975890000000001</v>
      </c>
      <c r="V1323">
        <v>6.3284129999999994E-2</v>
      </c>
      <c r="W1323">
        <v>-7.3973259999999999E-4</v>
      </c>
      <c r="X1323">
        <v>0.99799530000000003</v>
      </c>
      <c r="Y1323">
        <v>6.4148280000000002E-2</v>
      </c>
      <c r="Z1323">
        <v>5.7634039999999997E-2</v>
      </c>
      <c r="AA1323">
        <v>0.99627469999999996</v>
      </c>
      <c r="AB1323">
        <v>19</v>
      </c>
      <c r="AC1323">
        <v>-0.238100000000002</v>
      </c>
      <c r="AD1323">
        <v>-1.11007490107299</v>
      </c>
      <c r="AE1323">
        <v>-18.988999999999901</v>
      </c>
      <c r="AF1323">
        <v>1.22532415577156</v>
      </c>
      <c r="AG1323">
        <v>-1.11007490107299</v>
      </c>
      <c r="AH1323">
        <v>18.8861175214879</v>
      </c>
      <c r="AI1323">
        <v>93.356779407663495</v>
      </c>
      <c r="AJ1323">
        <v>86.287874244228107</v>
      </c>
      <c r="AK1323">
        <v>18.9583522651142</v>
      </c>
      <c r="AL1323">
        <v>90.042383558814706</v>
      </c>
      <c r="AM1323">
        <v>86.371660934818607</v>
      </c>
      <c r="AN1323">
        <v>1.0000000235681299</v>
      </c>
    </row>
    <row r="1324" spans="1:40" x14ac:dyDescent="0.25">
      <c r="A1324" t="str">
        <f>"20190312154238396"</f>
        <v>20190312154238396</v>
      </c>
      <c r="B1324" t="str">
        <f>"1552376558389014"</f>
        <v>1552376558389014</v>
      </c>
      <c r="C1324" t="s">
        <v>40</v>
      </c>
      <c r="D1324">
        <v>5.0867599999999999</v>
      </c>
      <c r="E1324">
        <v>0.50101329999999999</v>
      </c>
      <c r="F1324" t="s">
        <v>43</v>
      </c>
      <c r="G1324">
        <v>-192.28790000000001</v>
      </c>
      <c r="H1324" s="1">
        <v>-3.8027430000000002E-6</v>
      </c>
      <c r="I1324">
        <v>307.03440000000001</v>
      </c>
      <c r="J1324">
        <v>-192.02690000000001</v>
      </c>
      <c r="K1324">
        <v>1.110066</v>
      </c>
      <c r="L1324">
        <v>326.07</v>
      </c>
      <c r="M1324">
        <v>5.142526E-2</v>
      </c>
      <c r="N1324">
        <v>0</v>
      </c>
      <c r="O1324">
        <v>-0.998587</v>
      </c>
      <c r="P1324">
        <v>-1.2531509999999999E-2</v>
      </c>
      <c r="Q1324">
        <v>-1.385047E-2</v>
      </c>
      <c r="R1324">
        <v>-0.99982570000000004</v>
      </c>
      <c r="S1324">
        <v>-3.9276119999999998E-2</v>
      </c>
      <c r="T1324">
        <v>-0.1730701</v>
      </c>
      <c r="U1324">
        <v>-2.99762</v>
      </c>
      <c r="V1324">
        <v>6.39353E-2</v>
      </c>
      <c r="W1324">
        <v>-5.3344600000000003E-4</v>
      </c>
      <c r="X1324">
        <v>0.99795389999999995</v>
      </c>
      <c r="Y1324">
        <v>6.4487669999999997E-2</v>
      </c>
      <c r="Z1324">
        <v>5.7463010000000002E-2</v>
      </c>
      <c r="AA1324">
        <v>0.99626269999999995</v>
      </c>
      <c r="AB1324">
        <v>19</v>
      </c>
      <c r="AC1324">
        <v>-0.26099999999999501</v>
      </c>
      <c r="AD1324">
        <v>-1.110069802743</v>
      </c>
      <c r="AE1324">
        <v>-19.035599999999899</v>
      </c>
      <c r="AF1324">
        <v>1.2354525115800801</v>
      </c>
      <c r="AG1324">
        <v>-1.110069802743</v>
      </c>
      <c r="AH1324">
        <v>18.932613342522401</v>
      </c>
      <c r="AI1324">
        <v>93.348457757997494</v>
      </c>
      <c r="AJ1324">
        <v>86.266442764075194</v>
      </c>
      <c r="AK1324">
        <v>19.005326775743399</v>
      </c>
      <c r="AL1324">
        <v>90.030564205944302</v>
      </c>
      <c r="AM1324">
        <v>86.334276305753406</v>
      </c>
      <c r="AN1324">
        <v>0.99999999683796703</v>
      </c>
    </row>
    <row r="1325" spans="1:40" x14ac:dyDescent="0.25">
      <c r="A1325" t="str">
        <f>"20190312154238419"</f>
        <v>20190312154238419</v>
      </c>
      <c r="B1325" t="str">
        <f>"1552376558408533"</f>
        <v>1552376558408533</v>
      </c>
      <c r="C1325" t="s">
        <v>40</v>
      </c>
      <c r="D1325">
        <v>5.0792590000000004</v>
      </c>
      <c r="E1325">
        <v>0.50102749999999996</v>
      </c>
      <c r="F1325" t="s">
        <v>43</v>
      </c>
      <c r="G1325">
        <v>-192.30459999999999</v>
      </c>
      <c r="H1325" s="1">
        <v>-3.7086459999999999E-6</v>
      </c>
      <c r="I1325">
        <v>306.80470000000003</v>
      </c>
      <c r="J1325">
        <v>-192.01840000000001</v>
      </c>
      <c r="K1325">
        <v>1.1100540000000001</v>
      </c>
      <c r="L1325">
        <v>325.88580000000002</v>
      </c>
      <c r="M1325">
        <v>5.0628289999999999E-2</v>
      </c>
      <c r="N1325">
        <v>0</v>
      </c>
      <c r="O1325">
        <v>-0.99862779999999995</v>
      </c>
      <c r="P1325">
        <v>-1.3234020000000001E-2</v>
      </c>
      <c r="Q1325">
        <v>-1.347429E-2</v>
      </c>
      <c r="R1325">
        <v>-0.99982210000000005</v>
      </c>
      <c r="S1325">
        <v>-4.3212889999999997E-2</v>
      </c>
      <c r="T1325">
        <v>-0.17272129999999999</v>
      </c>
      <c r="U1325">
        <v>-2.9975890000000001</v>
      </c>
      <c r="V1325">
        <v>6.3840720000000004E-2</v>
      </c>
      <c r="W1325">
        <v>-1.601909E-4</v>
      </c>
      <c r="X1325">
        <v>0.99796010000000002</v>
      </c>
      <c r="Y1325">
        <v>6.4999609999999999E-2</v>
      </c>
      <c r="Z1325">
        <v>5.7350199999999997E-2</v>
      </c>
      <c r="AA1325">
        <v>0.99623589999999995</v>
      </c>
      <c r="AB1325">
        <v>19</v>
      </c>
      <c r="AC1325">
        <v>-0.28619999999997903</v>
      </c>
      <c r="AD1325">
        <v>-1.110057708646</v>
      </c>
      <c r="AE1325">
        <v>-19.0810999999999</v>
      </c>
      <c r="AF1325">
        <v>1.2477410496219801</v>
      </c>
      <c r="AG1325">
        <v>-1.110057708646</v>
      </c>
      <c r="AH1325">
        <v>18.977919427999201</v>
      </c>
      <c r="AI1325">
        <v>93.340338890971694</v>
      </c>
      <c r="AJ1325">
        <v>86.238388875357302</v>
      </c>
      <c r="AK1325">
        <v>19.051260106855601</v>
      </c>
      <c r="AL1325">
        <v>90.009178262413698</v>
      </c>
      <c r="AM1325">
        <v>86.339706965475699</v>
      </c>
      <c r="AN1325">
        <v>1.0000000121916199</v>
      </c>
    </row>
    <row r="1326" spans="1:40" x14ac:dyDescent="0.25">
      <c r="A1326" t="str">
        <f>"20190312154238441"</f>
        <v>20190312154238441</v>
      </c>
      <c r="B1326" t="str">
        <f>"1552376558438791"</f>
        <v>1552376558438791</v>
      </c>
      <c r="C1326" t="s">
        <v>40</v>
      </c>
      <c r="D1326">
        <v>5.0386850000000001</v>
      </c>
      <c r="E1326">
        <v>0.51466229999999902</v>
      </c>
      <c r="F1326" t="s">
        <v>43</v>
      </c>
      <c r="G1326">
        <v>-192.31229999999999</v>
      </c>
      <c r="H1326" s="1">
        <v>-3.5650760000000002E-6</v>
      </c>
      <c r="I1326">
        <v>306.46530000000001</v>
      </c>
      <c r="J1326">
        <v>-192.00970000000001</v>
      </c>
      <c r="K1326">
        <v>1.1100410000000001</v>
      </c>
      <c r="L1326">
        <v>325.69569999999999</v>
      </c>
      <c r="M1326">
        <v>4.9780459999999999E-2</v>
      </c>
      <c r="N1326">
        <v>0</v>
      </c>
      <c r="O1326">
        <v>-0.99867019999999995</v>
      </c>
      <c r="P1326">
        <v>-1.424804E-2</v>
      </c>
      <c r="Q1326">
        <v>-1.3350849999999999E-2</v>
      </c>
      <c r="R1326">
        <v>-0.99980939999999996</v>
      </c>
      <c r="S1326">
        <v>-4.5364380000000003E-2</v>
      </c>
      <c r="T1326">
        <v>-0.1713412</v>
      </c>
      <c r="U1326">
        <v>-2.99762</v>
      </c>
      <c r="V1326">
        <v>6.4005790000000007E-2</v>
      </c>
      <c r="W1326" s="1">
        <v>-4.0251469999999997E-5</v>
      </c>
      <c r="X1326">
        <v>0.99794950000000004</v>
      </c>
      <c r="Y1326">
        <v>6.4867560000000005E-2</v>
      </c>
      <c r="Z1326">
        <v>5.6896469999999998E-2</v>
      </c>
      <c r="AA1326">
        <v>0.99627049999999995</v>
      </c>
      <c r="AB1326">
        <v>19</v>
      </c>
      <c r="AC1326">
        <v>-0.30259999999998399</v>
      </c>
      <c r="AD1326">
        <v>-1.110044565076</v>
      </c>
      <c r="AE1326">
        <v>-19.2303999999999</v>
      </c>
      <c r="AF1326">
        <v>1.25542692570824</v>
      </c>
      <c r="AG1326">
        <v>-1.110044565076</v>
      </c>
      <c r="AH1326">
        <v>19.127770800689799</v>
      </c>
      <c r="AI1326">
        <v>93.314213811458202</v>
      </c>
      <c r="AJ1326">
        <v>86.244850280175498</v>
      </c>
      <c r="AK1326">
        <v>19.201039334004001</v>
      </c>
      <c r="AL1326">
        <v>90.002306239411496</v>
      </c>
      <c r="AM1326">
        <v>86.330229671119895</v>
      </c>
      <c r="AN1326">
        <v>0.99999997366197702</v>
      </c>
    </row>
    <row r="1327" spans="1:40" x14ac:dyDescent="0.25">
      <c r="A1327" t="str">
        <f>"20190312154238477"</f>
        <v>20190312154238477</v>
      </c>
      <c r="B1327" t="str">
        <f>"1552376558469047"</f>
        <v>1552376558469047</v>
      </c>
      <c r="C1327" t="s">
        <v>40</v>
      </c>
      <c r="D1327">
        <v>5.0262900000000004</v>
      </c>
      <c r="E1327">
        <v>0.5172966</v>
      </c>
      <c r="F1327" t="s">
        <v>43</v>
      </c>
      <c r="G1327">
        <v>-192.946</v>
      </c>
      <c r="H1327" s="1">
        <v>-4.2043539999999999E-6</v>
      </c>
      <c r="I1327">
        <v>307.80590000000001</v>
      </c>
      <c r="J1327">
        <v>-191.99680000000001</v>
      </c>
      <c r="K1327">
        <v>1.110023</v>
      </c>
      <c r="L1327">
        <v>325.40230000000003</v>
      </c>
      <c r="M1327">
        <v>4.8427320000000003E-2</v>
      </c>
      <c r="N1327">
        <v>0</v>
      </c>
      <c r="O1327">
        <v>-0.99873699999999999</v>
      </c>
      <c r="P1327">
        <v>-1.5742010000000001E-2</v>
      </c>
      <c r="Q1327">
        <v>-1.328116E-2</v>
      </c>
      <c r="R1327">
        <v>-0.99978829999999996</v>
      </c>
      <c r="S1327">
        <v>-0.15678410000000001</v>
      </c>
      <c r="T1327">
        <v>-0.18588979999999999</v>
      </c>
      <c r="U1327">
        <v>-2.9958499999999999</v>
      </c>
      <c r="V1327">
        <v>6.4144989999999999E-2</v>
      </c>
      <c r="W1327" s="1">
        <v>2.3882950000000001E-5</v>
      </c>
      <c r="X1327">
        <v>0.99794059999999996</v>
      </c>
      <c r="Y1327">
        <v>0.10046670000000001</v>
      </c>
      <c r="Z1327">
        <v>6.1622290000000003E-2</v>
      </c>
      <c r="AA1327">
        <v>0.99303030000000003</v>
      </c>
      <c r="AB1327">
        <v>19</v>
      </c>
      <c r="AC1327">
        <v>-0.94919999999999005</v>
      </c>
      <c r="AD1327">
        <v>-1.110027204354</v>
      </c>
      <c r="AE1327">
        <v>-17.596399999999999</v>
      </c>
      <c r="AF1327">
        <v>1.7931938041920501</v>
      </c>
      <c r="AG1327">
        <v>-1.110027204354</v>
      </c>
      <c r="AH1327">
        <v>17.460498238714699</v>
      </c>
      <c r="AI1327">
        <v>93.618622884815494</v>
      </c>
      <c r="AJ1327">
        <v>84.136279164189204</v>
      </c>
      <c r="AK1327">
        <v>17.587401830798001</v>
      </c>
      <c r="AL1327">
        <v>89.998631607777199</v>
      </c>
      <c r="AM1327">
        <v>86.3222378137351</v>
      </c>
      <c r="AN1327">
        <v>1.0000000107204201</v>
      </c>
    </row>
    <row r="1328" spans="1:40" x14ac:dyDescent="0.25">
      <c r="A1328" t="str">
        <f>"20190312154238499"</f>
        <v>20190312154238499</v>
      </c>
      <c r="B1328" t="str">
        <f>"1552376558488566"</f>
        <v>1552376558488566</v>
      </c>
      <c r="C1328" t="s">
        <v>40</v>
      </c>
      <c r="D1328">
        <v>5.1444400000000003</v>
      </c>
      <c r="E1328">
        <v>0.51758709999999997</v>
      </c>
      <c r="F1328" t="s">
        <v>41</v>
      </c>
      <c r="G1328">
        <v>-192.04830000000001</v>
      </c>
      <c r="H1328">
        <v>1.052942</v>
      </c>
      <c r="I1328">
        <v>324.55770000000001</v>
      </c>
      <c r="J1328">
        <v>-191.989</v>
      </c>
      <c r="K1328">
        <v>1.1100099999999999</v>
      </c>
      <c r="L1328">
        <v>325.22149999999999</v>
      </c>
      <c r="M1328">
        <v>4.7570019999999998E-2</v>
      </c>
      <c r="N1328">
        <v>0</v>
      </c>
      <c r="O1328">
        <v>-0.9987781</v>
      </c>
      <c r="P1328">
        <v>-1.659865E-2</v>
      </c>
      <c r="Q1328">
        <v>-1.343287E-2</v>
      </c>
      <c r="R1328">
        <v>-0.99977229999999995</v>
      </c>
      <c r="S1328">
        <v>-0.181839</v>
      </c>
      <c r="T1328">
        <v>-0.2026165</v>
      </c>
      <c r="U1328">
        <v>-2.9950559999999999</v>
      </c>
      <c r="V1328">
        <v>6.4143199999999997E-2</v>
      </c>
      <c r="W1328">
        <v>-1.3071879999999999E-4</v>
      </c>
      <c r="X1328">
        <v>0.99794070000000001</v>
      </c>
      <c r="Y1328">
        <v>0.1078826</v>
      </c>
      <c r="Z1328">
        <v>6.7122840000000003E-2</v>
      </c>
      <c r="AA1328">
        <v>0.99189510000000003</v>
      </c>
      <c r="AB1328">
        <v>19</v>
      </c>
      <c r="AC1328">
        <v>-5.9300000000007402E-2</v>
      </c>
      <c r="AD1328">
        <v>-5.7067999999999897E-2</v>
      </c>
      <c r="AE1328">
        <v>-0.66379999999997996</v>
      </c>
      <c r="AF1328">
        <v>9.0151620121613499E-2</v>
      </c>
      <c r="AG1328">
        <v>-5.7067999999999897E-2</v>
      </c>
      <c r="AH1328">
        <v>0.65542127648275705</v>
      </c>
      <c r="AI1328">
        <v>94.930048313084299</v>
      </c>
      <c r="AJ1328">
        <v>82.168247129665502</v>
      </c>
      <c r="AK1328">
        <v>0.66404903501235402</v>
      </c>
      <c r="AL1328">
        <v>90.007489635534697</v>
      </c>
      <c r="AM1328">
        <v>86.322340529492607</v>
      </c>
      <c r="AN1328">
        <v>1.0000000039550601</v>
      </c>
    </row>
    <row r="1329" spans="1:40" x14ac:dyDescent="0.25">
      <c r="A1329" t="str">
        <f>"20190312154238519"</f>
        <v>20190312154238519</v>
      </c>
      <c r="B1329" t="str">
        <f>"1552376558509065"</f>
        <v>1552376558509065</v>
      </c>
      <c r="C1329" t="s">
        <v>40</v>
      </c>
      <c r="D1329">
        <v>5.05443</v>
      </c>
      <c r="E1329">
        <v>0.51796750000000003</v>
      </c>
      <c r="F1329" t="s">
        <v>43</v>
      </c>
      <c r="G1329">
        <v>-193.0069</v>
      </c>
      <c r="H1329" s="1">
        <v>-4.5858829999999997E-6</v>
      </c>
      <c r="I1329">
        <v>308.89530000000002</v>
      </c>
      <c r="J1329">
        <v>-191.98179999999999</v>
      </c>
      <c r="K1329">
        <v>1.110009</v>
      </c>
      <c r="L1329">
        <v>325.04730000000001</v>
      </c>
      <c r="M1329">
        <v>4.6729840000000002E-2</v>
      </c>
      <c r="N1329">
        <v>0</v>
      </c>
      <c r="O1329">
        <v>-0.99881779999999998</v>
      </c>
      <c r="P1329">
        <v>-1.7961499999999998E-2</v>
      </c>
      <c r="Q1329">
        <v>-1.340687E-2</v>
      </c>
      <c r="R1329">
        <v>-0.99974909999999995</v>
      </c>
      <c r="S1329">
        <v>-0.18672179999999999</v>
      </c>
      <c r="T1329">
        <v>-0.20361850000000001</v>
      </c>
      <c r="U1329">
        <v>-2.9948429999999999</v>
      </c>
      <c r="V1329">
        <v>6.4664089999999994E-2</v>
      </c>
      <c r="W1329">
        <v>-1.0800750000000001E-4</v>
      </c>
      <c r="X1329">
        <v>0.99790710000000005</v>
      </c>
      <c r="Y1329">
        <v>0.108660199999999</v>
      </c>
      <c r="Z1329">
        <v>6.7455870000000001E-2</v>
      </c>
      <c r="AA1329">
        <v>0.99178759999999999</v>
      </c>
      <c r="AB1329">
        <v>19</v>
      </c>
      <c r="AC1329">
        <v>-1.0250999999999999</v>
      </c>
      <c r="AD1329">
        <v>-1.110013585883</v>
      </c>
      <c r="AE1329">
        <v>-16.151999999999902</v>
      </c>
      <c r="AF1329">
        <v>1.7704997474157</v>
      </c>
      <c r="AG1329">
        <v>-1.110013585883</v>
      </c>
      <c r="AH1329">
        <v>16.0111299842984</v>
      </c>
      <c r="AI1329">
        <v>93.941884053782005</v>
      </c>
      <c r="AJ1329">
        <v>83.689908236084406</v>
      </c>
      <c r="AK1329">
        <v>16.146921777556901</v>
      </c>
      <c r="AL1329">
        <v>90.006188373805003</v>
      </c>
      <c r="AM1329">
        <v>86.292433704646797</v>
      </c>
      <c r="AN1329">
        <v>1.00000001821577</v>
      </c>
    </row>
    <row r="1330" spans="1:40" x14ac:dyDescent="0.25">
      <c r="A1330" t="str">
        <f>"20190312154238541"</f>
        <v>20190312154238541</v>
      </c>
      <c r="B1330" t="str">
        <f>"1552376558528581"</f>
        <v>1552376558528581</v>
      </c>
      <c r="C1330" t="s">
        <v>40</v>
      </c>
      <c r="D1330">
        <v>5.0679349999999896</v>
      </c>
      <c r="E1330">
        <v>0.51822669999999904</v>
      </c>
      <c r="F1330" t="s">
        <v>43</v>
      </c>
      <c r="G1330">
        <v>-193.0257</v>
      </c>
      <c r="H1330" s="1">
        <v>-4.5915E-6</v>
      </c>
      <c r="I1330">
        <v>308.90199999999999</v>
      </c>
      <c r="J1330">
        <v>-191.9744</v>
      </c>
      <c r="K1330">
        <v>1.1100129999999999</v>
      </c>
      <c r="L1330">
        <v>324.86779999999999</v>
      </c>
      <c r="M1330">
        <v>4.5851410000000002E-2</v>
      </c>
      <c r="N1330">
        <v>0</v>
      </c>
      <c r="O1330">
        <v>-0.99885860000000004</v>
      </c>
      <c r="P1330">
        <v>-1.9161600000000001E-2</v>
      </c>
      <c r="Q1330">
        <v>-1.2824439999999999E-2</v>
      </c>
      <c r="R1330">
        <v>-0.99973440000000002</v>
      </c>
      <c r="S1330">
        <v>-0.19361880000000001</v>
      </c>
      <c r="T1330">
        <v>-0.20587639999999999</v>
      </c>
      <c r="U1330">
        <v>-2.994507</v>
      </c>
      <c r="V1330">
        <v>6.4985399999999999E-2</v>
      </c>
      <c r="W1330">
        <v>4.7189399999999999E-4</v>
      </c>
      <c r="X1330">
        <v>0.9978861</v>
      </c>
      <c r="Y1330">
        <v>0.1100646</v>
      </c>
      <c r="Z1330">
        <v>6.8201880000000006E-2</v>
      </c>
      <c r="AA1330">
        <v>0.99158170000000001</v>
      </c>
      <c r="AB1330">
        <v>19</v>
      </c>
      <c r="AC1330">
        <v>-1.0512999999999899</v>
      </c>
      <c r="AD1330">
        <v>-1.1100175914999999</v>
      </c>
      <c r="AE1330">
        <v>-15.9658</v>
      </c>
      <c r="AF1330">
        <v>1.7737772754010399</v>
      </c>
      <c r="AG1330">
        <v>-1.1100175914999999</v>
      </c>
      <c r="AH1330">
        <v>15.8246363024062</v>
      </c>
      <c r="AI1330">
        <v>93.987544342212701</v>
      </c>
      <c r="AJ1330">
        <v>83.604434196470294</v>
      </c>
      <c r="AK1330">
        <v>15.9623788634277</v>
      </c>
      <c r="AL1330">
        <v>89.972962464330706</v>
      </c>
      <c r="AM1330">
        <v>86.273984720634004</v>
      </c>
      <c r="AN1330">
        <v>0.99999999673515805</v>
      </c>
    </row>
    <row r="1331" spans="1:40" x14ac:dyDescent="0.25">
      <c r="A1331" t="str">
        <f>"20190312154238563"</f>
        <v>20190312154238563</v>
      </c>
      <c r="B1331" t="str">
        <f>"1552376558558838"</f>
        <v>1552376558558838</v>
      </c>
      <c r="C1331" t="s">
        <v>40</v>
      </c>
      <c r="D1331">
        <v>5.0350519999999896</v>
      </c>
      <c r="E1331">
        <v>0.5185379</v>
      </c>
      <c r="F1331" t="s">
        <v>43</v>
      </c>
      <c r="G1331">
        <v>-193.04320000000001</v>
      </c>
      <c r="H1331" s="1">
        <v>-4.56169E-6</v>
      </c>
      <c r="I1331">
        <v>308.80529999999999</v>
      </c>
      <c r="J1331">
        <v>-191.96709999999999</v>
      </c>
      <c r="K1331">
        <v>1.1100239999999999</v>
      </c>
      <c r="L1331">
        <v>324.68470000000002</v>
      </c>
      <c r="M1331">
        <v>4.4947040000000001E-2</v>
      </c>
      <c r="N1331">
        <v>0</v>
      </c>
      <c r="O1331">
        <v>-0.9988998</v>
      </c>
      <c r="P1331">
        <v>-2.0221050000000001E-2</v>
      </c>
      <c r="Q1331">
        <v>-1.224914E-2</v>
      </c>
      <c r="R1331">
        <v>-0.99972079999999997</v>
      </c>
      <c r="S1331">
        <v>-0.19923399999999999</v>
      </c>
      <c r="T1331">
        <v>-0.2069261</v>
      </c>
      <c r="U1331">
        <v>-2.9943240000000002</v>
      </c>
      <c r="V1331">
        <v>6.5140429999999999E-2</v>
      </c>
      <c r="W1331">
        <v>1.0455289999999999E-3</v>
      </c>
      <c r="X1331">
        <v>0.99787559999999997</v>
      </c>
      <c r="Y1331">
        <v>0.1110186</v>
      </c>
      <c r="Z1331">
        <v>6.8548559999999994E-2</v>
      </c>
      <c r="AA1331">
        <v>0.99145139999999998</v>
      </c>
      <c r="AB1331">
        <v>18</v>
      </c>
      <c r="AC1331">
        <v>-1.07610000000002</v>
      </c>
      <c r="AD1331">
        <v>-1.1100285616900001</v>
      </c>
      <c r="AE1331">
        <v>-15.8794</v>
      </c>
      <c r="AF1331">
        <v>1.7801491869994499</v>
      </c>
      <c r="AG1331">
        <v>-1.1100285616900001</v>
      </c>
      <c r="AH1331">
        <v>15.7384224793093</v>
      </c>
      <c r="AI1331">
        <v>94.0089035354072</v>
      </c>
      <c r="AJ1331">
        <v>83.546787476361004</v>
      </c>
      <c r="AK1331">
        <v>15.877626921960699</v>
      </c>
      <c r="AL1331">
        <v>89.9400955924784</v>
      </c>
      <c r="AM1331">
        <v>86.265081831645603</v>
      </c>
      <c r="AN1331">
        <v>1.00000004091341</v>
      </c>
    </row>
    <row r="1332" spans="1:40" x14ac:dyDescent="0.25">
      <c r="A1332" t="str">
        <f>"20190312154238586"</f>
        <v>20190312154238586</v>
      </c>
      <c r="B1332" t="str">
        <f>"1552376558578358"</f>
        <v>1552376558578358</v>
      </c>
      <c r="C1332" t="s">
        <v>40</v>
      </c>
      <c r="D1332">
        <v>5.0578349999999999</v>
      </c>
      <c r="E1332">
        <v>0.5185959</v>
      </c>
      <c r="F1332" t="s">
        <v>43</v>
      </c>
      <c r="G1332">
        <v>-193.0635</v>
      </c>
      <c r="H1332" s="1">
        <v>-4.5129379999999901E-6</v>
      </c>
      <c r="I1332">
        <v>308.6515</v>
      </c>
      <c r="J1332">
        <v>-191.9598</v>
      </c>
      <c r="K1332">
        <v>1.1100319999999999</v>
      </c>
      <c r="L1332">
        <v>324.49790000000002</v>
      </c>
      <c r="M1332">
        <v>4.402089E-2</v>
      </c>
      <c r="N1332">
        <v>0</v>
      </c>
      <c r="O1332">
        <v>-0.99894079999999996</v>
      </c>
      <c r="P1332">
        <v>-2.1272929999999999E-2</v>
      </c>
      <c r="Q1332">
        <v>-1.1702799999999999E-2</v>
      </c>
      <c r="R1332">
        <v>-0.99970550000000002</v>
      </c>
      <c r="S1332">
        <v>-0.20474239999999999</v>
      </c>
      <c r="T1332">
        <v>-0.2072928</v>
      </c>
      <c r="U1332">
        <v>-2.9941409999999999</v>
      </c>
      <c r="V1332">
        <v>6.5266119999999997E-2</v>
      </c>
      <c r="W1332">
        <v>1.5905540000000001E-3</v>
      </c>
      <c r="X1332">
        <v>0.99786660000000005</v>
      </c>
      <c r="Y1332">
        <v>0.1119163</v>
      </c>
      <c r="Z1332">
        <v>6.8670209999999995E-2</v>
      </c>
      <c r="AA1332">
        <v>0.9913421</v>
      </c>
      <c r="AB1332">
        <v>18</v>
      </c>
      <c r="AC1332">
        <v>-1.1036999999999999</v>
      </c>
      <c r="AD1332">
        <v>-1.1100365129380001</v>
      </c>
      <c r="AE1332">
        <v>-15.846399999999999</v>
      </c>
      <c r="AF1332">
        <v>1.7915166421480899</v>
      </c>
      <c r="AG1332">
        <v>-1.1100365129380001</v>
      </c>
      <c r="AH1332">
        <v>15.705750128066599</v>
      </c>
      <c r="AI1332">
        <v>94.016813957104901</v>
      </c>
      <c r="AJ1332">
        <v>83.492536550567607</v>
      </c>
      <c r="AK1332">
        <v>15.846523278764099</v>
      </c>
      <c r="AL1332">
        <v>89.908867927902904</v>
      </c>
      <c r="AM1332">
        <v>86.257862020562399</v>
      </c>
      <c r="AN1332">
        <v>0.99999997383871997</v>
      </c>
    </row>
    <row r="1333" spans="1:40" x14ac:dyDescent="0.25">
      <c r="A1333" t="str">
        <f>"20190312154238609"</f>
        <v>20190312154238609</v>
      </c>
      <c r="B1333" t="str">
        <f>"1552376558598857"</f>
        <v>1552376558598857</v>
      </c>
      <c r="C1333" t="s">
        <v>40</v>
      </c>
      <c r="D1333">
        <v>5.0655570000000001</v>
      </c>
      <c r="E1333">
        <v>0.51864489999999996</v>
      </c>
      <c r="F1333" t="s">
        <v>43</v>
      </c>
      <c r="G1333">
        <v>-193.07849999999999</v>
      </c>
      <c r="H1333" s="1">
        <v>-4.4417210000000001E-6</v>
      </c>
      <c r="I1333">
        <v>308.43439999999998</v>
      </c>
      <c r="J1333">
        <v>-191.95269999999999</v>
      </c>
      <c r="K1333">
        <v>1.110039</v>
      </c>
      <c r="L1333">
        <v>324.31220000000002</v>
      </c>
      <c r="M1333">
        <v>4.3102540000000002E-2</v>
      </c>
      <c r="N1333">
        <v>0</v>
      </c>
      <c r="O1333">
        <v>-0.99898100000000001</v>
      </c>
      <c r="P1333">
        <v>-2.2479220000000001E-2</v>
      </c>
      <c r="Q1333">
        <v>-1.122777E-2</v>
      </c>
      <c r="R1333">
        <v>-0.99968460000000003</v>
      </c>
      <c r="S1333">
        <v>-0.20851140000000001</v>
      </c>
      <c r="T1333">
        <v>-0.20689759999999999</v>
      </c>
      <c r="U1333">
        <v>-2.994049</v>
      </c>
      <c r="V1333">
        <v>6.5553600000000004E-2</v>
      </c>
      <c r="W1333">
        <v>2.0640519999999998E-3</v>
      </c>
      <c r="X1333">
        <v>0.99784689999999998</v>
      </c>
      <c r="Y1333">
        <v>0.1122475</v>
      </c>
      <c r="Z1333">
        <v>6.8541900000000003E-2</v>
      </c>
      <c r="AA1333">
        <v>0.99131349999999996</v>
      </c>
      <c r="AB1333">
        <v>18</v>
      </c>
      <c r="AC1333">
        <v>-1.1257999999999899</v>
      </c>
      <c r="AD1333">
        <v>-1.1100434417209999</v>
      </c>
      <c r="AE1333">
        <v>-15.877800000000001</v>
      </c>
      <c r="AF1333">
        <v>1.80043252030195</v>
      </c>
      <c r="AG1333">
        <v>-1.1100434417209999</v>
      </c>
      <c r="AH1333">
        <v>15.737975400079099</v>
      </c>
      <c r="AI1333">
        <v>94.008490850582902</v>
      </c>
      <c r="AJ1333">
        <v>83.473705433942598</v>
      </c>
      <c r="AK1333">
        <v>15.8794717606148</v>
      </c>
      <c r="AL1333">
        <v>89.881738445995396</v>
      </c>
      <c r="AM1333">
        <v>86.241352045354702</v>
      </c>
      <c r="AN1333">
        <v>0.99999998531161405</v>
      </c>
    </row>
    <row r="1334" spans="1:40" x14ac:dyDescent="0.25">
      <c r="A1334" t="str">
        <f>"20190312154238631"</f>
        <v>20190312154238631</v>
      </c>
      <c r="B1334" t="str">
        <f>"1552376558618374"</f>
        <v>1552376558618374</v>
      </c>
      <c r="C1334" t="s">
        <v>40</v>
      </c>
      <c r="D1334">
        <v>5.0487140000000004</v>
      </c>
      <c r="E1334">
        <v>0.5187271</v>
      </c>
      <c r="F1334" t="s">
        <v>41</v>
      </c>
      <c r="G1334">
        <v>-192.0164</v>
      </c>
      <c r="H1334">
        <v>1.0482450000000001</v>
      </c>
      <c r="I1334">
        <v>323.416</v>
      </c>
      <c r="J1334">
        <v>-191.946</v>
      </c>
      <c r="K1334">
        <v>1.1100490000000001</v>
      </c>
      <c r="L1334">
        <v>324.13240000000002</v>
      </c>
      <c r="M1334">
        <v>4.2216610000000002E-2</v>
      </c>
      <c r="N1334">
        <v>0</v>
      </c>
      <c r="O1334">
        <v>-0.99901870000000004</v>
      </c>
      <c r="P1334">
        <v>-2.3312510000000002E-2</v>
      </c>
      <c r="Q1334">
        <v>-1.131503E-2</v>
      </c>
      <c r="R1334">
        <v>-0.999664</v>
      </c>
      <c r="S1334">
        <v>-0.21257019999999999</v>
      </c>
      <c r="T1334">
        <v>-0.20642840000000001</v>
      </c>
      <c r="U1334">
        <v>-2.9938349999999998</v>
      </c>
      <c r="V1334">
        <v>6.5500310000000006E-2</v>
      </c>
      <c r="W1334">
        <v>1.9763139999999998E-3</v>
      </c>
      <c r="X1334">
        <v>0.99785060000000003</v>
      </c>
      <c r="Y1334">
        <v>0.1127093</v>
      </c>
      <c r="Z1334">
        <v>6.8390900000000004E-2</v>
      </c>
      <c r="AA1334">
        <v>0.99127160000000003</v>
      </c>
      <c r="AB1334">
        <v>18</v>
      </c>
      <c r="AC1334">
        <v>-7.0400000000006402E-2</v>
      </c>
      <c r="AD1334">
        <v>-6.1803999999999901E-2</v>
      </c>
      <c r="AE1334">
        <v>-0.71640000000002102</v>
      </c>
      <c r="AF1334">
        <v>9.9847902543444195E-2</v>
      </c>
      <c r="AG1334">
        <v>-6.1803999999999901E-2</v>
      </c>
      <c r="AH1334">
        <v>0.70757310217811897</v>
      </c>
      <c r="AI1334">
        <v>94.9431858639159</v>
      </c>
      <c r="AJ1334">
        <v>81.967843788091201</v>
      </c>
      <c r="AK1334">
        <v>0.71725102508417005</v>
      </c>
      <c r="AL1334">
        <v>89.886765476020599</v>
      </c>
      <c r="AM1334">
        <v>86.244412672915004</v>
      </c>
      <c r="AN1334">
        <v>1.0000000081737399</v>
      </c>
    </row>
    <row r="1335" spans="1:40" x14ac:dyDescent="0.25">
      <c r="A1335" t="str">
        <f>"20190312154238653"</f>
        <v>20190312154238653</v>
      </c>
      <c r="B1335" t="str">
        <f>"1552376558648629"</f>
        <v>1552376558648629</v>
      </c>
      <c r="C1335" t="s">
        <v>40</v>
      </c>
      <c r="D1335">
        <v>5.0497750000000003</v>
      </c>
      <c r="E1335">
        <v>0.5188178</v>
      </c>
      <c r="F1335" t="s">
        <v>41</v>
      </c>
      <c r="G1335">
        <v>-192.00960000000001</v>
      </c>
      <c r="H1335">
        <v>1.0489470000000001</v>
      </c>
      <c r="I1335">
        <v>323.25139999999999</v>
      </c>
      <c r="J1335">
        <v>-191.93950000000001</v>
      </c>
      <c r="K1335">
        <v>1.1100570000000001</v>
      </c>
      <c r="L1335">
        <v>323.95179999999999</v>
      </c>
      <c r="M1335">
        <v>4.1330970000000002E-2</v>
      </c>
      <c r="N1335">
        <v>0</v>
      </c>
      <c r="O1335">
        <v>-0.99905580000000005</v>
      </c>
      <c r="P1335">
        <v>-2.3791900000000001E-2</v>
      </c>
      <c r="Q1335">
        <v>-1.129077E-2</v>
      </c>
      <c r="R1335">
        <v>-0.99965329999999997</v>
      </c>
      <c r="S1335">
        <v>-0.21543880000000001</v>
      </c>
      <c r="T1335">
        <v>-0.20777680000000001</v>
      </c>
      <c r="U1335">
        <v>-2.9935909999999999</v>
      </c>
      <c r="V1335">
        <v>6.5094250000000006E-2</v>
      </c>
      <c r="W1335">
        <v>2.0006329999999999E-3</v>
      </c>
      <c r="X1335">
        <v>0.99787709999999996</v>
      </c>
      <c r="Y1335">
        <v>0.112777</v>
      </c>
      <c r="Z1335">
        <v>6.8842310000000004E-2</v>
      </c>
      <c r="AA1335">
        <v>0.99123260000000002</v>
      </c>
      <c r="AB1335">
        <v>18</v>
      </c>
      <c r="AC1335">
        <v>-7.0099999999996498E-2</v>
      </c>
      <c r="AD1335">
        <v>-6.1110000000000199E-2</v>
      </c>
      <c r="AE1335">
        <v>-0.70040000000000102</v>
      </c>
      <c r="AF1335">
        <v>9.8250374237210197E-2</v>
      </c>
      <c r="AG1335">
        <v>-6.1110000000000199E-2</v>
      </c>
      <c r="AH1335">
        <v>0.69169051557064998</v>
      </c>
      <c r="AI1335">
        <v>94.998981029704098</v>
      </c>
      <c r="AJ1335">
        <v>81.915569899350601</v>
      </c>
      <c r="AK1335">
        <v>0.70130117458061003</v>
      </c>
      <c r="AL1335">
        <v>89.885372094594402</v>
      </c>
      <c r="AM1335">
        <v>86.2677277348334</v>
      </c>
      <c r="AN1335">
        <v>0.99999998530993595</v>
      </c>
    </row>
    <row r="1336" spans="1:40" x14ac:dyDescent="0.25">
      <c r="A1336" t="str">
        <f>"20190312154238677"</f>
        <v>20190312154238677</v>
      </c>
      <c r="B1336" t="str">
        <f>"1552376558668774"</f>
        <v>1552376558668774</v>
      </c>
      <c r="C1336" t="s">
        <v>40</v>
      </c>
      <c r="D1336">
        <v>5.0542920000000002</v>
      </c>
      <c r="E1336">
        <v>0.51882479999999997</v>
      </c>
      <c r="F1336" t="s">
        <v>41</v>
      </c>
      <c r="G1336">
        <v>-192.0025</v>
      </c>
      <c r="H1336">
        <v>1.049801</v>
      </c>
      <c r="I1336">
        <v>323.08710000000002</v>
      </c>
      <c r="J1336">
        <v>-191.9325</v>
      </c>
      <c r="K1336">
        <v>1.110066</v>
      </c>
      <c r="L1336">
        <v>323.7552</v>
      </c>
      <c r="M1336">
        <v>4.0371379999999998E-2</v>
      </c>
      <c r="N1336">
        <v>0</v>
      </c>
      <c r="O1336">
        <v>-0.99909510000000001</v>
      </c>
      <c r="P1336">
        <v>-2.454456E-2</v>
      </c>
      <c r="Q1336">
        <v>-1.0965590000000001E-2</v>
      </c>
      <c r="R1336">
        <v>-0.99963860000000004</v>
      </c>
      <c r="S1336">
        <v>-0.2177124</v>
      </c>
      <c r="T1336">
        <v>-0.20865549999999999</v>
      </c>
      <c r="U1336">
        <v>-2.9934690000000002</v>
      </c>
      <c r="V1336">
        <v>6.4887639999999996E-2</v>
      </c>
      <c r="W1336">
        <v>2.324881E-3</v>
      </c>
      <c r="X1336">
        <v>0.9978899</v>
      </c>
      <c r="Y1336">
        <v>0.11257300000000001</v>
      </c>
      <c r="Z1336">
        <v>6.9137829999999997E-2</v>
      </c>
      <c r="AA1336">
        <v>0.99123530000000004</v>
      </c>
      <c r="AB1336">
        <v>18</v>
      </c>
      <c r="AC1336">
        <v>-6.9999999999993096E-2</v>
      </c>
      <c r="AD1336">
        <v>-6.0264999999999999E-2</v>
      </c>
      <c r="AE1336">
        <v>-0.66809999999998104</v>
      </c>
      <c r="AF1336">
        <v>9.6143660991224497E-2</v>
      </c>
      <c r="AG1336">
        <v>-6.0264999999999999E-2</v>
      </c>
      <c r="AH1336">
        <v>0.65942173593458597</v>
      </c>
      <c r="AI1336">
        <v>95.167459818505506</v>
      </c>
      <c r="AJ1336">
        <v>81.704727517967996</v>
      </c>
      <c r="AK1336">
        <v>0.66911321881784502</v>
      </c>
      <c r="AL1336">
        <v>89.866794015055504</v>
      </c>
      <c r="AM1336">
        <v>86.2795882800838</v>
      </c>
      <c r="AN1336">
        <v>1.0000000317092199</v>
      </c>
    </row>
    <row r="1337" spans="1:40" x14ac:dyDescent="0.25">
      <c r="A1337" t="str">
        <f>"20190312154238700"</f>
        <v>20190312154238700</v>
      </c>
      <c r="B1337" t="str">
        <f>"1552376558688293"</f>
        <v>1552376558688293</v>
      </c>
      <c r="C1337" t="s">
        <v>40</v>
      </c>
      <c r="D1337">
        <v>5.0328400000000002</v>
      </c>
      <c r="E1337">
        <v>0.51771610000000001</v>
      </c>
      <c r="F1337" t="s">
        <v>41</v>
      </c>
      <c r="G1337">
        <v>-191.994</v>
      </c>
      <c r="H1337">
        <v>1.0518670000000001</v>
      </c>
      <c r="I1337">
        <v>322.92200000000003</v>
      </c>
      <c r="J1337">
        <v>-191.92619999999999</v>
      </c>
      <c r="K1337">
        <v>1.110066</v>
      </c>
      <c r="L1337">
        <v>323.57040000000001</v>
      </c>
      <c r="M1337">
        <v>3.9472279999999998E-2</v>
      </c>
      <c r="N1337">
        <v>0</v>
      </c>
      <c r="O1337">
        <v>-0.99913110000000005</v>
      </c>
      <c r="P1337">
        <v>-2.5234670000000001E-2</v>
      </c>
      <c r="Q1337">
        <v>-1.104716E-2</v>
      </c>
      <c r="R1337">
        <v>-0.99962070000000003</v>
      </c>
      <c r="S1337">
        <v>-0.22007750000000001</v>
      </c>
      <c r="T1337">
        <v>-0.2092292</v>
      </c>
      <c r="U1337">
        <v>-2.993347</v>
      </c>
      <c r="V1337">
        <v>6.4678399999999997E-2</v>
      </c>
      <c r="W1337">
        <v>2.2423880000000001E-3</v>
      </c>
      <c r="X1337">
        <v>0.9979036</v>
      </c>
      <c r="Y1337">
        <v>0.1124598</v>
      </c>
      <c r="Z1337">
        <v>6.9332050000000006E-2</v>
      </c>
      <c r="AA1337">
        <v>0.99123450000000002</v>
      </c>
      <c r="AB1337">
        <v>18</v>
      </c>
      <c r="AC1337">
        <v>-6.7800000000033805E-2</v>
      </c>
      <c r="AD1337">
        <v>-5.81989999999998E-2</v>
      </c>
      <c r="AE1337">
        <v>-0.64839999999997999</v>
      </c>
      <c r="AF1337">
        <v>9.2605266046409798E-2</v>
      </c>
      <c r="AG1337">
        <v>-5.81989999999998E-2</v>
      </c>
      <c r="AH1337">
        <v>0.64011682131148695</v>
      </c>
      <c r="AI1337">
        <v>95.1417747891945</v>
      </c>
      <c r="AJ1337">
        <v>81.768169992591297</v>
      </c>
      <c r="AK1337">
        <v>0.64939387418303296</v>
      </c>
      <c r="AL1337">
        <v>89.871520518669101</v>
      </c>
      <c r="AM1337">
        <v>86.291602548474899</v>
      </c>
      <c r="AN1337">
        <v>0.99999995931173002</v>
      </c>
    </row>
    <row r="1338" spans="1:40" x14ac:dyDescent="0.25">
      <c r="A1338" t="str">
        <f>"20190312154238721"</f>
        <v>20190312154238721</v>
      </c>
      <c r="B1338" t="str">
        <f>"1552376558708790"</f>
        <v>1552376558708790</v>
      </c>
      <c r="C1338" t="s">
        <v>40</v>
      </c>
      <c r="D1338">
        <v>5.0343289999999996</v>
      </c>
      <c r="E1338">
        <v>0.51709749999999999</v>
      </c>
      <c r="F1338" t="s">
        <v>43</v>
      </c>
      <c r="G1338">
        <v>-193.0805</v>
      </c>
      <c r="H1338" s="1">
        <v>-4.0806569999999996E-6</v>
      </c>
      <c r="I1338">
        <v>307.3723</v>
      </c>
      <c r="J1338">
        <v>-191.9204</v>
      </c>
      <c r="K1338">
        <v>1.110066</v>
      </c>
      <c r="L1338">
        <v>323.39830000000001</v>
      </c>
      <c r="M1338">
        <v>3.8636940000000002E-2</v>
      </c>
      <c r="N1338">
        <v>0</v>
      </c>
      <c r="O1338">
        <v>-0.99916400000000005</v>
      </c>
      <c r="P1338">
        <v>-2.6199159999999999E-2</v>
      </c>
      <c r="Q1338">
        <v>-1.1179919999999999E-2</v>
      </c>
      <c r="R1338">
        <v>-0.99959450000000005</v>
      </c>
      <c r="S1338">
        <v>-0.2133331</v>
      </c>
      <c r="T1338">
        <v>-0.20514640000000001</v>
      </c>
      <c r="U1338">
        <v>-2.9935</v>
      </c>
      <c r="V1338">
        <v>6.480669E-2</v>
      </c>
      <c r="W1338">
        <v>2.1083970000000001E-3</v>
      </c>
      <c r="X1338">
        <v>0.99789559999999999</v>
      </c>
      <c r="Y1338">
        <v>0.1094098</v>
      </c>
      <c r="Z1338">
        <v>6.800254E-2</v>
      </c>
      <c r="AA1338">
        <v>0.99166790000000005</v>
      </c>
      <c r="AB1338">
        <v>18</v>
      </c>
      <c r="AC1338">
        <v>-1.1600999999999999</v>
      </c>
      <c r="AD1338">
        <v>-1.1100700806569901</v>
      </c>
      <c r="AE1338">
        <v>-16.026</v>
      </c>
      <c r="AF1338">
        <v>1.7700363083236901</v>
      </c>
      <c r="AG1338">
        <v>-1.1100700806569901</v>
      </c>
      <c r="AH1338">
        <v>15.893347693993499</v>
      </c>
      <c r="AI1338">
        <v>93.970861936306505</v>
      </c>
      <c r="AJ1338">
        <v>83.645177062883207</v>
      </c>
      <c r="AK1338">
        <v>16.0300899884848</v>
      </c>
      <c r="AL1338">
        <v>89.879197659707302</v>
      </c>
      <c r="AM1338">
        <v>86.284237800787594</v>
      </c>
      <c r="AN1338">
        <v>0.99999999045301202</v>
      </c>
    </row>
    <row r="1339" spans="1:40" x14ac:dyDescent="0.25">
      <c r="A1339" t="str">
        <f>"20190312154238742"</f>
        <v>20190312154238742</v>
      </c>
      <c r="B1339" t="str">
        <f>"1552376558728310"</f>
        <v>1552376558728310</v>
      </c>
      <c r="C1339" t="s">
        <v>40</v>
      </c>
      <c r="D1339">
        <v>5.0016309999999997</v>
      </c>
      <c r="E1339">
        <v>0.51649449999999997</v>
      </c>
      <c r="F1339" t="s">
        <v>43</v>
      </c>
      <c r="G1339">
        <v>-193.08920000000001</v>
      </c>
      <c r="H1339" s="1">
        <v>-3.9019489999999997E-6</v>
      </c>
      <c r="I1339">
        <v>306.8426</v>
      </c>
      <c r="J1339">
        <v>-191.9145</v>
      </c>
      <c r="K1339">
        <v>1.1100669999999999</v>
      </c>
      <c r="L1339">
        <v>323.21940000000001</v>
      </c>
      <c r="M1339">
        <v>3.7769089999999998E-2</v>
      </c>
      <c r="N1339">
        <v>0</v>
      </c>
      <c r="O1339">
        <v>-0.99919709999999995</v>
      </c>
      <c r="P1339">
        <v>-2.6829660000000002E-2</v>
      </c>
      <c r="Q1339">
        <v>-1.0978740000000001E-2</v>
      </c>
      <c r="R1339">
        <v>-0.99957989999999997</v>
      </c>
      <c r="S1339">
        <v>-0.2113342</v>
      </c>
      <c r="T1339">
        <v>-0.20070930000000001</v>
      </c>
      <c r="U1339">
        <v>-2.9934080000000001</v>
      </c>
      <c r="V1339">
        <v>6.4569689999999999E-2</v>
      </c>
      <c r="W1339">
        <v>2.3086690000000002E-3</v>
      </c>
      <c r="X1339">
        <v>0.99791059999999998</v>
      </c>
      <c r="Y1339">
        <v>0.10789650000000001</v>
      </c>
      <c r="Z1339">
        <v>6.6550810000000002E-2</v>
      </c>
      <c r="AA1339">
        <v>0.99193209999999998</v>
      </c>
      <c r="AB1339">
        <v>18</v>
      </c>
      <c r="AC1339">
        <v>-1.1747000000000001</v>
      </c>
      <c r="AD1339">
        <v>-1.1100709019489901</v>
      </c>
      <c r="AE1339">
        <v>-16.376799999999999</v>
      </c>
      <c r="AF1339">
        <v>1.78429769784531</v>
      </c>
      <c r="AG1339">
        <v>-1.1100709019489901</v>
      </c>
      <c r="AH1339">
        <v>16.246478415750499</v>
      </c>
      <c r="AI1339">
        <v>93.885474968077403</v>
      </c>
      <c r="AJ1339">
        <v>83.732510299965895</v>
      </c>
      <c r="AK1339">
        <v>16.381820307747699</v>
      </c>
      <c r="AL1339">
        <v>89.867722901788596</v>
      </c>
      <c r="AM1339">
        <v>86.297844087727199</v>
      </c>
      <c r="AN1339">
        <v>1.0000000702058001</v>
      </c>
    </row>
    <row r="1340" spans="1:40" x14ac:dyDescent="0.25">
      <c r="A1340" t="str">
        <f>"20190312154238765"</f>
        <v>20190312154238765</v>
      </c>
      <c r="B1340" t="str">
        <f>"1552376558758566"</f>
        <v>1552376558758566</v>
      </c>
      <c r="C1340" t="s">
        <v>40</v>
      </c>
      <c r="D1340">
        <v>4.9761800000000003</v>
      </c>
      <c r="E1340">
        <v>0.51571389999999995</v>
      </c>
      <c r="F1340" t="s">
        <v>43</v>
      </c>
      <c r="G1340">
        <v>-193.09389999999999</v>
      </c>
      <c r="H1340" s="1">
        <v>-3.697057E-6</v>
      </c>
      <c r="I1340">
        <v>306.28809999999999</v>
      </c>
      <c r="J1340">
        <v>-191.90870000000001</v>
      </c>
      <c r="K1340">
        <v>1.1100749999999999</v>
      </c>
      <c r="L1340">
        <v>323.03769999999997</v>
      </c>
      <c r="M1340">
        <v>3.6887700000000002E-2</v>
      </c>
      <c r="N1340">
        <v>0</v>
      </c>
      <c r="O1340">
        <v>-0.9992297</v>
      </c>
      <c r="P1340">
        <v>-2.7716620000000001E-2</v>
      </c>
      <c r="Q1340">
        <v>-1.090584E-2</v>
      </c>
      <c r="R1340">
        <v>-0.99955620000000001</v>
      </c>
      <c r="S1340">
        <v>-0.20852660000000001</v>
      </c>
      <c r="T1340">
        <v>-0.19626370000000001</v>
      </c>
      <c r="U1340">
        <v>-2.9935</v>
      </c>
      <c r="V1340">
        <v>6.457504E-2</v>
      </c>
      <c r="W1340">
        <v>2.3797169999999999E-3</v>
      </c>
      <c r="X1340">
        <v>0.99790999999999996</v>
      </c>
      <c r="Y1340">
        <v>0.1060982</v>
      </c>
      <c r="Z1340">
        <v>6.5092789999999998E-2</v>
      </c>
      <c r="AA1340">
        <v>0.99222279999999996</v>
      </c>
      <c r="AB1340">
        <v>18</v>
      </c>
      <c r="AC1340">
        <v>-1.18519999999998</v>
      </c>
      <c r="AD1340">
        <v>-1.110078697057</v>
      </c>
      <c r="AE1340">
        <v>-16.749599999999901</v>
      </c>
      <c r="AF1340">
        <v>1.7944601873989801</v>
      </c>
      <c r="AG1340">
        <v>-1.110078697057</v>
      </c>
      <c r="AH1340">
        <v>16.6218297934216</v>
      </c>
      <c r="AI1340">
        <v>93.7987817958318</v>
      </c>
      <c r="AJ1340">
        <v>83.838323906352301</v>
      </c>
      <c r="AK1340">
        <v>16.7552256851198</v>
      </c>
      <c r="AL1340">
        <v>89.863652128519803</v>
      </c>
      <c r="AM1340">
        <v>86.297535974356293</v>
      </c>
      <c r="AN1340">
        <v>0.99999998347200003</v>
      </c>
    </row>
    <row r="1341" spans="1:40" x14ac:dyDescent="0.25">
      <c r="A1341" t="str">
        <f>"20190312154238787"</f>
        <v>20190312154238787</v>
      </c>
      <c r="B1341" t="str">
        <f>"1552376558778670"</f>
        <v>1552376558778670</v>
      </c>
      <c r="C1341" t="s">
        <v>40</v>
      </c>
      <c r="D1341">
        <v>4.9481549999999999</v>
      </c>
      <c r="E1341">
        <v>0.51530279999999995</v>
      </c>
      <c r="F1341" t="s">
        <v>43</v>
      </c>
      <c r="G1341">
        <v>-193.09970000000001</v>
      </c>
      <c r="H1341" s="1">
        <v>-3.426411E-6</v>
      </c>
      <c r="I1341">
        <v>305.65359999999998</v>
      </c>
      <c r="J1341">
        <v>-191.90299999999999</v>
      </c>
      <c r="K1341">
        <v>1.1100749999999999</v>
      </c>
      <c r="L1341">
        <v>322.8553</v>
      </c>
      <c r="M1341">
        <v>3.6002930000000002E-2</v>
      </c>
      <c r="N1341">
        <v>0</v>
      </c>
      <c r="O1341">
        <v>-0.99926219999999999</v>
      </c>
      <c r="P1341">
        <v>-2.8606949999999999E-2</v>
      </c>
      <c r="Q1341">
        <v>-1.088188E-2</v>
      </c>
      <c r="R1341">
        <v>-0.99953139999999996</v>
      </c>
      <c r="S1341">
        <v>-0.20509340000000001</v>
      </c>
      <c r="T1341">
        <v>-0.19115570000000001</v>
      </c>
      <c r="U1341">
        <v>-2.9935299999999998</v>
      </c>
      <c r="V1341">
        <v>6.4580369999999998E-2</v>
      </c>
      <c r="W1341">
        <v>2.4021289999999998E-3</v>
      </c>
      <c r="X1341">
        <v>0.99790959999999995</v>
      </c>
      <c r="Y1341">
        <v>0.1040917</v>
      </c>
      <c r="Z1341">
        <v>6.3417319999999999E-2</v>
      </c>
      <c r="AA1341">
        <v>0.99254379999999998</v>
      </c>
      <c r="AB1341">
        <v>18</v>
      </c>
      <c r="AC1341">
        <v>-1.1967000000000201</v>
      </c>
      <c r="AD1341">
        <v>-1.110078426411</v>
      </c>
      <c r="AE1341">
        <v>-17.201699999999999</v>
      </c>
      <c r="AF1341">
        <v>1.8077986646847299</v>
      </c>
      <c r="AG1341">
        <v>-1.110078426411</v>
      </c>
      <c r="AH1341">
        <v>17.076683713163799</v>
      </c>
      <c r="AI1341">
        <v>93.698697754982106</v>
      </c>
      <c r="AJ1341">
        <v>83.956972214309502</v>
      </c>
      <c r="AK1341">
        <v>17.207949812928099</v>
      </c>
      <c r="AL1341">
        <v>89.862368011627893</v>
      </c>
      <c r="AM1341">
        <v>86.2972297443972</v>
      </c>
      <c r="AN1341">
        <v>0.99999998209261398</v>
      </c>
    </row>
    <row r="1342" spans="1:40" x14ac:dyDescent="0.25">
      <c r="A1342" t="str">
        <f>"20190312154238810"</f>
        <v>20190312154238810</v>
      </c>
      <c r="B1342" t="str">
        <f>"1552376558799165"</f>
        <v>1552376558799165</v>
      </c>
      <c r="C1342" t="s">
        <v>40</v>
      </c>
      <c r="D1342">
        <v>4.9675459999999996</v>
      </c>
      <c r="E1342">
        <v>0.51492720000000003</v>
      </c>
      <c r="F1342" t="s">
        <v>43</v>
      </c>
      <c r="G1342">
        <v>-193.11160000000001</v>
      </c>
      <c r="H1342" s="1">
        <v>-3.224568E-6</v>
      </c>
      <c r="I1342">
        <v>305.17579999999998</v>
      </c>
      <c r="J1342">
        <v>-191.8973</v>
      </c>
      <c r="K1342">
        <v>1.110074</v>
      </c>
      <c r="L1342">
        <v>322.6653</v>
      </c>
      <c r="M1342">
        <v>3.5079150000000003E-2</v>
      </c>
      <c r="N1342">
        <v>0</v>
      </c>
      <c r="O1342">
        <v>-0.99929480000000004</v>
      </c>
      <c r="P1342">
        <v>-2.941794E-2</v>
      </c>
      <c r="Q1342">
        <v>-1.1064940000000001E-2</v>
      </c>
      <c r="R1342">
        <v>-0.99950609999999995</v>
      </c>
      <c r="S1342">
        <v>-0.2046356</v>
      </c>
      <c r="T1342">
        <v>-0.18795790000000001</v>
      </c>
      <c r="U1342">
        <v>-2.9935</v>
      </c>
      <c r="V1342">
        <v>6.4467269999999993E-2</v>
      </c>
      <c r="W1342">
        <v>2.2175929999999999E-3</v>
      </c>
      <c r="X1342">
        <v>0.99791739999999995</v>
      </c>
      <c r="Y1342">
        <v>0.1030264</v>
      </c>
      <c r="Z1342">
        <v>6.2368130000000001E-2</v>
      </c>
      <c r="AA1342">
        <v>0.99272139999999998</v>
      </c>
      <c r="AB1342">
        <v>18</v>
      </c>
      <c r="AC1342">
        <v>-1.2142999999999999</v>
      </c>
      <c r="AD1342">
        <v>-1.110077224568</v>
      </c>
      <c r="AE1342">
        <v>-17.4895</v>
      </c>
      <c r="AF1342">
        <v>1.8198281844303099</v>
      </c>
      <c r="AG1342">
        <v>-1.110077224568</v>
      </c>
      <c r="AH1342">
        <v>17.366506840636401</v>
      </c>
      <c r="AI1342">
        <v>93.637540602073003</v>
      </c>
      <c r="AJ1342">
        <v>84.017834543451499</v>
      </c>
      <c r="AK1342">
        <v>17.496845598884999</v>
      </c>
      <c r="AL1342">
        <v>89.872941181608596</v>
      </c>
      <c r="AM1342">
        <v>86.303725246943301</v>
      </c>
      <c r="AN1342">
        <v>1.0000000419213599</v>
      </c>
    </row>
    <row r="1343" spans="1:40" x14ac:dyDescent="0.25">
      <c r="A1343" t="str">
        <f>"20190312154238832"</f>
        <v>20190312154238832</v>
      </c>
      <c r="B1343" t="str">
        <f>"1552376558818685"</f>
        <v>1552376558818685</v>
      </c>
      <c r="C1343" t="s">
        <v>40</v>
      </c>
      <c r="D1343">
        <v>4.936814</v>
      </c>
      <c r="E1343">
        <v>0.51456590000000002</v>
      </c>
      <c r="F1343" t="s">
        <v>43</v>
      </c>
      <c r="G1343">
        <v>-193.1157</v>
      </c>
      <c r="H1343" s="1">
        <v>-3.0550200000000001E-6</v>
      </c>
      <c r="I1343">
        <v>304.77800000000002</v>
      </c>
      <c r="J1343">
        <v>-191.8921</v>
      </c>
      <c r="K1343">
        <v>1.110079</v>
      </c>
      <c r="L1343">
        <v>322.4864</v>
      </c>
      <c r="M1343">
        <v>3.4209040000000003E-2</v>
      </c>
      <c r="N1343">
        <v>0</v>
      </c>
      <c r="O1343">
        <v>-0.99932520000000002</v>
      </c>
      <c r="P1343">
        <v>-3.0097229999999999E-2</v>
      </c>
      <c r="Q1343">
        <v>-1.1066629999999999E-2</v>
      </c>
      <c r="R1343">
        <v>-0.99948599999999999</v>
      </c>
      <c r="S1343">
        <v>-0.20390320000000001</v>
      </c>
      <c r="T1343">
        <v>-0.18577370000000001</v>
      </c>
      <c r="U1343">
        <v>-2.9934690000000002</v>
      </c>
      <c r="V1343">
        <v>6.4276559999999996E-2</v>
      </c>
      <c r="W1343">
        <v>2.2147320000000001E-3</v>
      </c>
      <c r="X1343">
        <v>0.99792970000000003</v>
      </c>
      <c r="Y1343">
        <v>0.1019222</v>
      </c>
      <c r="Z1343">
        <v>6.1653630000000001E-2</v>
      </c>
      <c r="AA1343">
        <v>0.99287999999999998</v>
      </c>
      <c r="AB1343">
        <v>18</v>
      </c>
      <c r="AC1343">
        <v>-1.2236</v>
      </c>
      <c r="AD1343">
        <v>-1.1100820550199999</v>
      </c>
      <c r="AE1343">
        <v>-17.708399999999902</v>
      </c>
      <c r="AF1343">
        <v>1.8216010509779299</v>
      </c>
      <c r="AG1343">
        <v>-1.1100820550199999</v>
      </c>
      <c r="AH1343">
        <v>17.5873879803388</v>
      </c>
      <c r="AI1343">
        <v>93.592441188637494</v>
      </c>
      <c r="AJ1343">
        <v>84.086715902548093</v>
      </c>
      <c r="AK1343">
        <v>17.716284275455902</v>
      </c>
      <c r="AL1343">
        <v>89.873105104182798</v>
      </c>
      <c r="AM1343">
        <v>86.314674854295006</v>
      </c>
      <c r="AN1343">
        <v>1.00000003367267</v>
      </c>
    </row>
    <row r="1344" spans="1:40" x14ac:dyDescent="0.25">
      <c r="A1344" t="str">
        <f>"20190312154238853"</f>
        <v>20190312154238853</v>
      </c>
      <c r="B1344" t="str">
        <f>"1552376558848942"</f>
        <v>1552376558848942</v>
      </c>
      <c r="C1344" t="s">
        <v>40</v>
      </c>
      <c r="D1344">
        <v>4.8817349999999999</v>
      </c>
      <c r="E1344">
        <v>0.51411119999999999</v>
      </c>
      <c r="F1344" t="s">
        <v>43</v>
      </c>
      <c r="G1344">
        <v>-193.12209999999999</v>
      </c>
      <c r="H1344" s="1">
        <v>-2.8788310000000001E-6</v>
      </c>
      <c r="I1344">
        <v>304.36329999999998</v>
      </c>
      <c r="J1344">
        <v>-191.88730000000001</v>
      </c>
      <c r="K1344">
        <v>1.110079</v>
      </c>
      <c r="L1344">
        <v>322.31700000000001</v>
      </c>
      <c r="M1344">
        <v>3.338406E-2</v>
      </c>
      <c r="N1344">
        <v>0</v>
      </c>
      <c r="O1344">
        <v>-0.9993533</v>
      </c>
      <c r="P1344">
        <v>-3.0677240000000001E-2</v>
      </c>
      <c r="Q1344">
        <v>-1.0875320000000001E-2</v>
      </c>
      <c r="R1344">
        <v>-0.99947079999999999</v>
      </c>
      <c r="S1344">
        <v>-0.20317080000000001</v>
      </c>
      <c r="T1344">
        <v>-0.18335309999999999</v>
      </c>
      <c r="U1344">
        <v>-2.9934080000000001</v>
      </c>
      <c r="V1344">
        <v>6.4032140000000001E-2</v>
      </c>
      <c r="W1344">
        <v>2.4049900000000001E-3</v>
      </c>
      <c r="X1344">
        <v>0.99794499999999997</v>
      </c>
      <c r="Y1344">
        <v>0.1008638</v>
      </c>
      <c r="Z1344">
        <v>6.0860869999999997E-2</v>
      </c>
      <c r="AA1344">
        <v>0.99303699999999995</v>
      </c>
      <c r="AB1344">
        <v>18</v>
      </c>
      <c r="AC1344">
        <v>-1.2347999999999699</v>
      </c>
      <c r="AD1344">
        <v>-1.1100818788310001</v>
      </c>
      <c r="AE1344">
        <v>-17.953700000000001</v>
      </c>
      <c r="AF1344">
        <v>1.8265823771991501</v>
      </c>
      <c r="AG1344">
        <v>-1.1100818788310001</v>
      </c>
      <c r="AH1344">
        <v>17.834604099856598</v>
      </c>
      <c r="AI1344">
        <v>93.543187859637101</v>
      </c>
      <c r="AJ1344">
        <v>84.152277149796106</v>
      </c>
      <c r="AK1344">
        <v>17.962232276558101</v>
      </c>
      <c r="AL1344">
        <v>89.862204098796298</v>
      </c>
      <c r="AM1344">
        <v>86.328706516028404</v>
      </c>
      <c r="AN1344">
        <v>1.00000006097743</v>
      </c>
    </row>
    <row r="1345" spans="1:40" x14ac:dyDescent="0.25">
      <c r="A1345" t="str">
        <f>"20190312154238879"</f>
        <v>20190312154238879</v>
      </c>
      <c r="B1345" t="str">
        <f>"1552376558868461"</f>
        <v>1552376558868461</v>
      </c>
      <c r="C1345" t="s">
        <v>40</v>
      </c>
      <c r="D1345">
        <v>4.8825640000000003</v>
      </c>
      <c r="E1345">
        <v>0.5138509</v>
      </c>
      <c r="F1345" t="s">
        <v>43</v>
      </c>
      <c r="G1345">
        <v>-193.13200000000001</v>
      </c>
      <c r="H1345" s="1">
        <v>-2.6465509999999999E-6</v>
      </c>
      <c r="I1345">
        <v>303.81580000000002</v>
      </c>
      <c r="J1345">
        <v>-191.8817</v>
      </c>
      <c r="K1345">
        <v>1.1100779999999999</v>
      </c>
      <c r="L1345">
        <v>322.11470000000003</v>
      </c>
      <c r="M1345">
        <v>3.2397759999999998E-2</v>
      </c>
      <c r="N1345">
        <v>0</v>
      </c>
      <c r="O1345">
        <v>-0.99938570000000004</v>
      </c>
      <c r="P1345">
        <v>-3.1821629999999997E-2</v>
      </c>
      <c r="Q1345">
        <v>-1.0761160000000001E-2</v>
      </c>
      <c r="R1345">
        <v>-0.99943610000000005</v>
      </c>
      <c r="S1345">
        <v>-0.2013855</v>
      </c>
      <c r="T1345">
        <v>-0.179607399999999</v>
      </c>
      <c r="U1345">
        <v>-2.993439</v>
      </c>
      <c r="V1345">
        <v>6.4190059999999993E-2</v>
      </c>
      <c r="W1345">
        <v>2.5165690000000002E-3</v>
      </c>
      <c r="X1345">
        <v>0.99793449999999995</v>
      </c>
      <c r="Y1345">
        <v>9.9296579999999995E-2</v>
      </c>
      <c r="Z1345">
        <v>5.9630269999999999E-2</v>
      </c>
      <c r="AA1345">
        <v>0.99326959999999997</v>
      </c>
      <c r="AB1345">
        <v>18</v>
      </c>
      <c r="AC1345">
        <v>-1.25030000000001</v>
      </c>
      <c r="AD1345">
        <v>-1.110080646551</v>
      </c>
      <c r="AE1345">
        <v>-18.2989</v>
      </c>
      <c r="AF1345">
        <v>1.83581528264538</v>
      </c>
      <c r="AG1345">
        <v>-1.110080646551</v>
      </c>
      <c r="AH1345">
        <v>18.182180593219599</v>
      </c>
      <c r="AI1345">
        <v>93.476124988108893</v>
      </c>
      <c r="AJ1345">
        <v>84.234508714938102</v>
      </c>
      <c r="AK1345">
        <v>18.308309258866299</v>
      </c>
      <c r="AL1345">
        <v>89.855811062599798</v>
      </c>
      <c r="AM1345">
        <v>86.319638383784095</v>
      </c>
      <c r="AN1345">
        <v>0.999999981606292</v>
      </c>
    </row>
    <row r="1346" spans="1:40" x14ac:dyDescent="0.25">
      <c r="A1346" t="str">
        <f>"20190312154238900"</f>
        <v>20190312154238900</v>
      </c>
      <c r="B1346" t="str">
        <f>"1552376558888957"</f>
        <v>1552376558888957</v>
      </c>
      <c r="C1346" t="s">
        <v>40</v>
      </c>
      <c r="D1346">
        <v>4.84903</v>
      </c>
      <c r="E1346">
        <v>0.51359429999999995</v>
      </c>
      <c r="F1346" t="s">
        <v>43</v>
      </c>
      <c r="G1346">
        <v>-193.1506</v>
      </c>
      <c r="H1346" s="1">
        <v>-2.4606760000000002E-6</v>
      </c>
      <c r="I1346">
        <v>303.37099999999998</v>
      </c>
      <c r="J1346">
        <v>-191.87700000000001</v>
      </c>
      <c r="K1346">
        <v>1.1100829999999999</v>
      </c>
      <c r="L1346">
        <v>321.93830000000003</v>
      </c>
      <c r="M1346">
        <v>3.1537559999999999E-2</v>
      </c>
      <c r="N1346">
        <v>0</v>
      </c>
      <c r="O1346">
        <v>-0.99941340000000001</v>
      </c>
      <c r="P1346">
        <v>-3.236253E-2</v>
      </c>
      <c r="Q1346">
        <v>-1.071041E-2</v>
      </c>
      <c r="R1346">
        <v>-0.9994191</v>
      </c>
      <c r="S1346">
        <v>-0.2026367</v>
      </c>
      <c r="T1346">
        <v>-0.177282</v>
      </c>
      <c r="U1346">
        <v>-2.9934080000000001</v>
      </c>
      <c r="V1346">
        <v>6.3871289999999997E-2</v>
      </c>
      <c r="W1346">
        <v>2.5661600000000001E-3</v>
      </c>
      <c r="X1346">
        <v>0.99795480000000003</v>
      </c>
      <c r="Y1346">
        <v>9.8857169999999994E-2</v>
      </c>
      <c r="Z1346">
        <v>5.8864439999999997E-2</v>
      </c>
      <c r="AA1346">
        <v>0.99335910000000005</v>
      </c>
      <c r="AB1346">
        <v>18</v>
      </c>
      <c r="AC1346">
        <v>-1.2735999999999801</v>
      </c>
      <c r="AD1346">
        <v>-1.110085460676</v>
      </c>
      <c r="AE1346">
        <v>-18.567299999999999</v>
      </c>
      <c r="AF1346">
        <v>1.8519969253317401</v>
      </c>
      <c r="AG1346">
        <v>-1.110085460676</v>
      </c>
      <c r="AH1346">
        <v>18.452243891694099</v>
      </c>
      <c r="AI1346">
        <v>93.425590590779905</v>
      </c>
      <c r="AJ1346">
        <v>84.268586532723404</v>
      </c>
      <c r="AK1346">
        <v>18.578145412823201</v>
      </c>
      <c r="AL1346">
        <v>89.852969694436297</v>
      </c>
      <c r="AM1346">
        <v>86.337939614185501</v>
      </c>
      <c r="AN1346">
        <v>0.99999995485322302</v>
      </c>
    </row>
    <row r="1347" spans="1:40" x14ac:dyDescent="0.25">
      <c r="A1347" t="str">
        <f>"20190312154238921"</f>
        <v>20190312154238921</v>
      </c>
      <c r="B1347" t="str">
        <f>"1552376558908477"</f>
        <v>1552376558908477</v>
      </c>
      <c r="C1347" t="s">
        <v>40</v>
      </c>
      <c r="D1347">
        <v>4.8455859999999999</v>
      </c>
      <c r="E1347">
        <v>0.51337949999999999</v>
      </c>
      <c r="F1347" t="s">
        <v>43</v>
      </c>
      <c r="G1347">
        <v>-193.1591</v>
      </c>
      <c r="H1347" s="1">
        <v>-2.2952550000000001E-6</v>
      </c>
      <c r="I1347">
        <v>302.98009999999999</v>
      </c>
      <c r="J1347">
        <v>-191.87280000000001</v>
      </c>
      <c r="K1347">
        <v>1.11008</v>
      </c>
      <c r="L1347">
        <v>321.77600000000001</v>
      </c>
      <c r="M1347">
        <v>3.0746220000000001E-2</v>
      </c>
      <c r="N1347">
        <v>0</v>
      </c>
      <c r="O1347">
        <v>-0.99943789999999999</v>
      </c>
      <c r="P1347">
        <v>-3.2598179999999997E-2</v>
      </c>
      <c r="Q1347">
        <v>-1.0728909999999999E-2</v>
      </c>
      <c r="R1347">
        <v>-0.99941100000000005</v>
      </c>
      <c r="S1347">
        <v>-0.20242309999999999</v>
      </c>
      <c r="T1347">
        <v>-0.1752717</v>
      </c>
      <c r="U1347">
        <v>-2.9933169999999998</v>
      </c>
      <c r="V1347">
        <v>6.3316419999999998E-2</v>
      </c>
      <c r="W1347">
        <v>2.5470860000000001E-3</v>
      </c>
      <c r="X1347">
        <v>0.9979903</v>
      </c>
      <c r="Y1347">
        <v>9.8003339999999994E-2</v>
      </c>
      <c r="Z1347">
        <v>5.820579E-2</v>
      </c>
      <c r="AA1347">
        <v>0.99348250000000005</v>
      </c>
      <c r="AB1347">
        <v>18</v>
      </c>
      <c r="AC1347">
        <v>-1.28629999999998</v>
      </c>
      <c r="AD1347">
        <v>-1.110082295255</v>
      </c>
      <c r="AE1347">
        <v>-18.7959</v>
      </c>
      <c r="AF1347">
        <v>1.8571984111889901</v>
      </c>
      <c r="AG1347">
        <v>-1.110082295255</v>
      </c>
      <c r="AH1347">
        <v>18.6825974833211</v>
      </c>
      <c r="AI1347">
        <v>93.383762894057995</v>
      </c>
      <c r="AJ1347">
        <v>84.322995859895897</v>
      </c>
      <c r="AK1347">
        <v>18.807469722547999</v>
      </c>
      <c r="AL1347">
        <v>89.854062571318906</v>
      </c>
      <c r="AM1347">
        <v>86.369796426961599</v>
      </c>
      <c r="AN1347">
        <v>1.00000004779139</v>
      </c>
    </row>
    <row r="1348" spans="1:40" x14ac:dyDescent="0.25">
      <c r="A1348" t="str">
        <f>"20190312154238943"</f>
        <v>20190312154238943</v>
      </c>
      <c r="B1348" t="str">
        <f>"1552376558938734"</f>
        <v>1552376558938734</v>
      </c>
      <c r="C1348" t="s">
        <v>40</v>
      </c>
      <c r="D1348">
        <v>4.8209689999999998</v>
      </c>
      <c r="E1348">
        <v>0.51313109999999995</v>
      </c>
      <c r="F1348" t="s">
        <v>43</v>
      </c>
      <c r="G1348">
        <v>-193.16229999999999</v>
      </c>
      <c r="H1348" s="1">
        <v>-2.1430079999999999E-6</v>
      </c>
      <c r="I1348">
        <v>302.6232</v>
      </c>
      <c r="J1348">
        <v>-191.8682</v>
      </c>
      <c r="K1348">
        <v>1.1100829999999999</v>
      </c>
      <c r="L1348">
        <v>321.59070000000003</v>
      </c>
      <c r="M1348">
        <v>2.9842190000000001E-2</v>
      </c>
      <c r="N1348">
        <v>0</v>
      </c>
      <c r="O1348">
        <v>-0.9994653</v>
      </c>
      <c r="P1348">
        <v>-3.3836369999999998E-2</v>
      </c>
      <c r="Q1348">
        <v>-1.0638740000000001E-2</v>
      </c>
      <c r="R1348">
        <v>-0.9993708</v>
      </c>
      <c r="S1348">
        <v>-0.2015228</v>
      </c>
      <c r="T1348">
        <v>-0.17349239999999999</v>
      </c>
      <c r="U1348">
        <v>-2.993347</v>
      </c>
      <c r="V1348">
        <v>6.3650239999999997E-2</v>
      </c>
      <c r="W1348">
        <v>2.634824E-3</v>
      </c>
      <c r="X1348">
        <v>0.99796879999999999</v>
      </c>
      <c r="Y1348">
        <v>9.6807260000000006E-2</v>
      </c>
      <c r="Z1348">
        <v>5.7622649999999997E-2</v>
      </c>
      <c r="AA1348">
        <v>0.99363369999999995</v>
      </c>
      <c r="AB1348">
        <v>18</v>
      </c>
      <c r="AC1348">
        <v>-1.29409999999998</v>
      </c>
      <c r="AD1348">
        <v>-1.1100851430080001</v>
      </c>
      <c r="AE1348">
        <v>-18.967500000000001</v>
      </c>
      <c r="AF1348">
        <v>1.8532872532211</v>
      </c>
      <c r="AG1348">
        <v>-1.1100851430080001</v>
      </c>
      <c r="AH1348">
        <v>18.856140812508599</v>
      </c>
      <c r="AI1348">
        <v>93.353067756515699</v>
      </c>
      <c r="AJ1348">
        <v>84.386678190640595</v>
      </c>
      <c r="AK1348">
        <v>18.979489166171799</v>
      </c>
      <c r="AL1348">
        <v>89.849035531960894</v>
      </c>
      <c r="AM1348">
        <v>86.350630263468005</v>
      </c>
      <c r="AN1348">
        <v>1.0000000105614999</v>
      </c>
    </row>
    <row r="1349" spans="1:40" x14ac:dyDescent="0.25">
      <c r="A1349" t="str">
        <f>"20190312154238967"</f>
        <v>20190312154238967</v>
      </c>
      <c r="B1349" t="str">
        <f>"1552376558958254"</f>
        <v>1552376558958254</v>
      </c>
      <c r="C1349" t="s">
        <v>40</v>
      </c>
      <c r="D1349">
        <v>4.7997040000000002</v>
      </c>
      <c r="E1349">
        <v>0.51297119999999996</v>
      </c>
      <c r="F1349" t="s">
        <v>43</v>
      </c>
      <c r="G1349">
        <v>-193.1919</v>
      </c>
      <c r="H1349" s="1">
        <v>-1.9195110000000001E-6</v>
      </c>
      <c r="I1349">
        <v>302.0838</v>
      </c>
      <c r="J1349">
        <v>-191.8639</v>
      </c>
      <c r="K1349">
        <v>1.110085</v>
      </c>
      <c r="L1349">
        <v>321.40800000000002</v>
      </c>
      <c r="M1349">
        <v>2.8951040000000001E-2</v>
      </c>
      <c r="N1349">
        <v>0</v>
      </c>
      <c r="O1349">
        <v>-0.99949149999999998</v>
      </c>
      <c r="P1349">
        <v>-3.5234889999999998E-2</v>
      </c>
      <c r="Q1349">
        <v>-1.0822490000000001E-2</v>
      </c>
      <c r="R1349">
        <v>-0.9993204</v>
      </c>
      <c r="S1349">
        <v>-0.2031097</v>
      </c>
      <c r="T1349">
        <v>-0.1703334</v>
      </c>
      <c r="U1349">
        <v>-2.9931640000000002</v>
      </c>
      <c r="V1349">
        <v>6.4156740000000004E-2</v>
      </c>
      <c r="W1349">
        <v>2.4483819999999998E-3</v>
      </c>
      <c r="X1349">
        <v>0.99793679999999996</v>
      </c>
      <c r="Y1349">
        <v>9.6452389999999999E-2</v>
      </c>
      <c r="Z1349">
        <v>5.6582479999999997E-2</v>
      </c>
      <c r="AA1349">
        <v>0.99372799999999994</v>
      </c>
      <c r="AB1349">
        <v>18</v>
      </c>
      <c r="AC1349">
        <v>-1.3280000000000001</v>
      </c>
      <c r="AD1349">
        <v>-1.1100869195109999</v>
      </c>
      <c r="AE1349">
        <v>-19.324200000000001</v>
      </c>
      <c r="AF1349">
        <v>1.8807715619546199</v>
      </c>
      <c r="AG1349">
        <v>-1.1100869195109999</v>
      </c>
      <c r="AH1349">
        <v>19.2145385411139</v>
      </c>
      <c r="AI1349">
        <v>93.290797425132098</v>
      </c>
      <c r="AJ1349">
        <v>84.4095411919143</v>
      </c>
      <c r="AK1349">
        <v>19.338254470998098</v>
      </c>
      <c r="AL1349">
        <v>89.859717900305895</v>
      </c>
      <c r="AM1349">
        <v>86.3215520067954</v>
      </c>
      <c r="AN1349">
        <v>0.99999996932804203</v>
      </c>
    </row>
    <row r="1350" spans="1:40" x14ac:dyDescent="0.25">
      <c r="A1350" t="str">
        <f>"20190312154238991"</f>
        <v>20190312154238991</v>
      </c>
      <c r="B1350" t="str">
        <f>"1552376558978749"</f>
        <v>1552376558978749</v>
      </c>
      <c r="C1350" t="s">
        <v>40</v>
      </c>
      <c r="D1350">
        <v>4.7654560000000004</v>
      </c>
      <c r="E1350">
        <v>0.51280789999999998</v>
      </c>
      <c r="F1350" t="s">
        <v>43</v>
      </c>
      <c r="G1350">
        <v>-193.2176</v>
      </c>
      <c r="H1350" s="1">
        <v>-1.787437E-6</v>
      </c>
      <c r="I1350">
        <v>301.76010000000002</v>
      </c>
      <c r="J1350">
        <v>-191.8595</v>
      </c>
      <c r="K1350">
        <v>1.110088</v>
      </c>
      <c r="L1350">
        <v>321.21559999999999</v>
      </c>
      <c r="M1350">
        <v>2.8012789999999999E-2</v>
      </c>
      <c r="N1350">
        <v>0</v>
      </c>
      <c r="O1350">
        <v>-0.99951820000000002</v>
      </c>
      <c r="P1350">
        <v>-3.664071E-2</v>
      </c>
      <c r="Q1350">
        <v>-1.0776869999999999E-2</v>
      </c>
      <c r="R1350">
        <v>-0.9992704</v>
      </c>
      <c r="S1350">
        <v>-0.20620730000000001</v>
      </c>
      <c r="T1350">
        <v>-0.1690981</v>
      </c>
      <c r="U1350">
        <v>-2.99295</v>
      </c>
      <c r="V1350">
        <v>6.4623899999999998E-2</v>
      </c>
      <c r="W1350">
        <v>2.491297E-3</v>
      </c>
      <c r="X1350">
        <v>0.99790659999999998</v>
      </c>
      <c r="Y1350">
        <v>9.6548099999999998E-2</v>
      </c>
      <c r="Z1350">
        <v>5.617747E-2</v>
      </c>
      <c r="AA1350">
        <v>0.99374169999999995</v>
      </c>
      <c r="AB1350">
        <v>18</v>
      </c>
      <c r="AC1350">
        <v>-1.3581000000000001</v>
      </c>
      <c r="AD1350">
        <v>-1.1100897874369999</v>
      </c>
      <c r="AE1350">
        <v>-19.455499999999901</v>
      </c>
      <c r="AF1350">
        <v>1.8964742362934299</v>
      </c>
      <c r="AG1350">
        <v>-1.1100897874369999</v>
      </c>
      <c r="AH1350">
        <v>19.3471348885945</v>
      </c>
      <c r="AI1350">
        <v>93.268256756107704</v>
      </c>
      <c r="AJ1350">
        <v>84.401551480325097</v>
      </c>
      <c r="AK1350">
        <v>19.471531584920701</v>
      </c>
      <c r="AL1350">
        <v>89.857259051395701</v>
      </c>
      <c r="AM1350">
        <v>86.2947297572331</v>
      </c>
      <c r="AN1350">
        <v>1.00000001866775</v>
      </c>
    </row>
    <row r="1351" spans="1:40" x14ac:dyDescent="0.25">
      <c r="A1351" t="str">
        <f>"20190312154239011"</f>
        <v>20190312154239011</v>
      </c>
      <c r="B1351" t="str">
        <f>"1552376558998269"</f>
        <v>1552376558998269</v>
      </c>
      <c r="C1351" t="s">
        <v>40</v>
      </c>
      <c r="D1351">
        <v>4.6901460000000004</v>
      </c>
      <c r="E1351">
        <v>0.51294700000000004</v>
      </c>
      <c r="F1351" t="s">
        <v>43</v>
      </c>
      <c r="G1351">
        <v>-193.24700000000001</v>
      </c>
      <c r="H1351" s="1">
        <v>-1.624811E-6</v>
      </c>
      <c r="I1351">
        <v>301.36270000000002</v>
      </c>
      <c r="J1351">
        <v>-191.85570000000001</v>
      </c>
      <c r="K1351">
        <v>1.110088</v>
      </c>
      <c r="L1351">
        <v>321.04660000000001</v>
      </c>
      <c r="M1351">
        <v>2.7188980000000001E-2</v>
      </c>
      <c r="N1351">
        <v>0</v>
      </c>
      <c r="O1351">
        <v>-0.99954109999999996</v>
      </c>
      <c r="P1351">
        <v>-3.779913E-2</v>
      </c>
      <c r="Q1351">
        <v>-1.0795849999999999E-2</v>
      </c>
      <c r="R1351">
        <v>-0.99922719999999998</v>
      </c>
      <c r="S1351">
        <v>-0.20916750000000001</v>
      </c>
      <c r="T1351">
        <v>-0.1673394</v>
      </c>
      <c r="U1351">
        <v>-2.9927060000000001</v>
      </c>
      <c r="V1351">
        <v>6.4958210000000002E-2</v>
      </c>
      <c r="W1351">
        <v>2.4698390000000001E-3</v>
      </c>
      <c r="X1351">
        <v>0.99788489999999996</v>
      </c>
      <c r="Y1351">
        <v>9.6713800000000003E-2</v>
      </c>
      <c r="Z1351">
        <v>5.5599089999999997E-2</v>
      </c>
      <c r="AA1351">
        <v>0.99375809999999998</v>
      </c>
      <c r="AB1351">
        <v>18</v>
      </c>
      <c r="AC1351">
        <v>-1.3913</v>
      </c>
      <c r="AD1351">
        <v>-1.1100896248109999</v>
      </c>
      <c r="AE1351">
        <v>-19.683899999999898</v>
      </c>
      <c r="AF1351">
        <v>1.9199424561912599</v>
      </c>
      <c r="AG1351">
        <v>-1.1100896248109999</v>
      </c>
      <c r="AH1351">
        <v>19.576836011706</v>
      </c>
      <c r="AI1351">
        <v>93.2299752596834</v>
      </c>
      <c r="AJ1351">
        <v>84.3987914677611</v>
      </c>
      <c r="AK1351">
        <v>19.702055381087199</v>
      </c>
      <c r="AL1351">
        <v>89.8584885013031</v>
      </c>
      <c r="AM1351">
        <v>86.275534836576</v>
      </c>
      <c r="AN1351">
        <v>0.99999997139954899</v>
      </c>
    </row>
    <row r="1352" spans="1:40" x14ac:dyDescent="0.25">
      <c r="A1352" t="str">
        <f>"20190312154239033"</f>
        <v>20190312154239033</v>
      </c>
      <c r="B1352" t="str">
        <f>"1552376559028526"</f>
        <v>1552376559028526</v>
      </c>
      <c r="C1352" t="s">
        <v>40</v>
      </c>
      <c r="D1352">
        <v>4.6183969999999999</v>
      </c>
      <c r="E1352">
        <v>0.52618399999999999</v>
      </c>
      <c r="F1352" t="s">
        <v>43</v>
      </c>
      <c r="G1352">
        <v>-193.27860000000001</v>
      </c>
      <c r="H1352" s="1">
        <v>-1.5225389999999901E-6</v>
      </c>
      <c r="I1352">
        <v>301.10469999999998</v>
      </c>
      <c r="J1352">
        <v>-191.852</v>
      </c>
      <c r="K1352">
        <v>1.1100920000000001</v>
      </c>
      <c r="L1352">
        <v>320.87180000000001</v>
      </c>
      <c r="M1352">
        <v>2.633713E-2</v>
      </c>
      <c r="N1352">
        <v>0</v>
      </c>
      <c r="O1352">
        <v>-0.9995638</v>
      </c>
      <c r="P1352">
        <v>-3.9226089999999998E-2</v>
      </c>
      <c r="Q1352">
        <v>-1.055495E-2</v>
      </c>
      <c r="R1352">
        <v>-0.99917469999999997</v>
      </c>
      <c r="S1352">
        <v>-0.21351619999999999</v>
      </c>
      <c r="T1352">
        <v>-0.1665759</v>
      </c>
      <c r="U1352">
        <v>-2.9924010000000001</v>
      </c>
      <c r="V1352">
        <v>6.5533149999999998E-2</v>
      </c>
      <c r="W1352">
        <v>2.7077799999999999E-3</v>
      </c>
      <c r="X1352">
        <v>0.99784669999999998</v>
      </c>
      <c r="Y1352">
        <v>9.7310629999999995E-2</v>
      </c>
      <c r="Z1352">
        <v>5.5349269999999999E-2</v>
      </c>
      <c r="AA1352">
        <v>0.99371379999999998</v>
      </c>
      <c r="AB1352">
        <v>18</v>
      </c>
      <c r="AC1352">
        <v>-1.4266000000000001</v>
      </c>
      <c r="AD1352">
        <v>-1.1100935225390001</v>
      </c>
      <c r="AE1352">
        <v>-19.767099999999999</v>
      </c>
      <c r="AF1352">
        <v>1.9406714564084899</v>
      </c>
      <c r="AG1352">
        <v>-1.1100935225390001</v>
      </c>
      <c r="AH1352">
        <v>19.660980636671098</v>
      </c>
      <c r="AI1352">
        <v>93.215993572646099</v>
      </c>
      <c r="AJ1352">
        <v>84.3627804702015</v>
      </c>
      <c r="AK1352">
        <v>19.7876899340488</v>
      </c>
      <c r="AL1352">
        <v>89.844855441653905</v>
      </c>
      <c r="AM1352">
        <v>86.242520476883996</v>
      </c>
      <c r="AN1352">
        <v>0.99999998126116996</v>
      </c>
    </row>
    <row r="1353" spans="1:40" x14ac:dyDescent="0.25">
      <c r="A1353" t="str">
        <f>"20190312154239055"</f>
        <v>20190312154239055</v>
      </c>
      <c r="B1353" t="str">
        <f>"1552376559049022"</f>
        <v>1552376559049022</v>
      </c>
      <c r="C1353" t="s">
        <v>40</v>
      </c>
      <c r="D1353">
        <v>4.5887289999999998</v>
      </c>
      <c r="E1353">
        <v>0.52552769999999904</v>
      </c>
      <c r="F1353" t="s">
        <v>43</v>
      </c>
      <c r="G1353">
        <v>-194.011</v>
      </c>
      <c r="H1353" s="1">
        <v>-1.6428810000000001E-6</v>
      </c>
      <c r="I1353">
        <v>300.93099999999998</v>
      </c>
      <c r="J1353">
        <v>-191.8484</v>
      </c>
      <c r="K1353">
        <v>1.1100909999999999</v>
      </c>
      <c r="L1353">
        <v>320.69409999999999</v>
      </c>
      <c r="M1353">
        <v>2.5471210000000001E-2</v>
      </c>
      <c r="N1353">
        <v>0</v>
      </c>
      <c r="O1353">
        <v>-0.99958659999999999</v>
      </c>
      <c r="P1353">
        <v>-4.0696570000000001E-2</v>
      </c>
      <c r="Q1353">
        <v>-1.0240010000000001E-2</v>
      </c>
      <c r="R1353">
        <v>-0.99911950000000005</v>
      </c>
      <c r="S1353">
        <v>-0.32351679999999999</v>
      </c>
      <c r="T1353">
        <v>-0.1663404</v>
      </c>
      <c r="U1353">
        <v>-2.9880070000000001</v>
      </c>
      <c r="V1353">
        <v>6.6137639999999998E-2</v>
      </c>
      <c r="W1353">
        <v>3.0201070000000002E-3</v>
      </c>
      <c r="X1353">
        <v>0.99780599999999997</v>
      </c>
      <c r="Y1353">
        <v>0.1327692</v>
      </c>
      <c r="Z1353">
        <v>5.5149469999999999E-2</v>
      </c>
      <c r="AA1353">
        <v>0.98961149999999998</v>
      </c>
      <c r="AB1353">
        <v>18</v>
      </c>
      <c r="AC1353">
        <v>-2.1625999999999901</v>
      </c>
      <c r="AD1353">
        <v>-1.1100926428809901</v>
      </c>
      <c r="AE1353">
        <v>-19.763100000000001</v>
      </c>
      <c r="AF1353">
        <v>2.6570491024947498</v>
      </c>
      <c r="AG1353">
        <v>-1.1100926428809901</v>
      </c>
      <c r="AH1353">
        <v>19.640364491484402</v>
      </c>
      <c r="AI1353">
        <v>93.205829794818598</v>
      </c>
      <c r="AJ1353">
        <v>82.295508960652995</v>
      </c>
      <c r="AK1353">
        <v>19.850343396707501</v>
      </c>
      <c r="AL1353">
        <v>89.826960362735605</v>
      </c>
      <c r="AM1353">
        <v>86.207807224598099</v>
      </c>
      <c r="AN1353">
        <v>1.00000006105352</v>
      </c>
    </row>
    <row r="1354" spans="1:40" x14ac:dyDescent="0.25">
      <c r="A1354" t="str">
        <f>"20190312154239081"</f>
        <v>20190312154239081</v>
      </c>
      <c r="B1354" t="str">
        <f>"1552376559068541"</f>
        <v>1552376559068541</v>
      </c>
      <c r="C1354" t="s">
        <v>40</v>
      </c>
      <c r="D1354">
        <v>4.6703390000000002</v>
      </c>
      <c r="E1354">
        <v>0.52464500000000003</v>
      </c>
      <c r="F1354" t="s">
        <v>43</v>
      </c>
      <c r="G1354">
        <v>-193.94659999999999</v>
      </c>
      <c r="H1354" s="1">
        <v>-1.7653010000000001E-6</v>
      </c>
      <c r="I1354">
        <v>301.25630000000001</v>
      </c>
      <c r="J1354">
        <v>-191.84440000000001</v>
      </c>
      <c r="K1354">
        <v>1.11009</v>
      </c>
      <c r="L1354">
        <v>320.48930000000001</v>
      </c>
      <c r="M1354">
        <v>2.4474470000000002E-2</v>
      </c>
      <c r="N1354">
        <v>0</v>
      </c>
      <c r="O1354">
        <v>-0.99961109999999997</v>
      </c>
      <c r="P1354">
        <v>-4.1820919999999998E-2</v>
      </c>
      <c r="Q1354">
        <v>-9.9844640000000002E-3</v>
      </c>
      <c r="R1354">
        <v>-0.99907539999999995</v>
      </c>
      <c r="S1354">
        <v>-0.32252500000000001</v>
      </c>
      <c r="T1354">
        <v>-0.1706327</v>
      </c>
      <c r="U1354">
        <v>-2.9877929999999999</v>
      </c>
      <c r="V1354">
        <v>6.6265930000000001E-2</v>
      </c>
      <c r="W1354">
        <v>3.2737830000000002E-3</v>
      </c>
      <c r="X1354">
        <v>0.99779669999999998</v>
      </c>
      <c r="Y1354">
        <v>0.13145499999999999</v>
      </c>
      <c r="Z1354">
        <v>5.6580150000000003E-2</v>
      </c>
      <c r="AA1354">
        <v>0.98970619999999998</v>
      </c>
      <c r="AB1354">
        <v>18</v>
      </c>
      <c r="AC1354">
        <v>-2.1021999999999799</v>
      </c>
      <c r="AD1354">
        <v>-1.1100917653010001</v>
      </c>
      <c r="AE1354">
        <v>-19.233000000000001</v>
      </c>
      <c r="AF1354">
        <v>2.5638892750946898</v>
      </c>
      <c r="AG1354">
        <v>-1.1100917653010001</v>
      </c>
      <c r="AH1354">
        <v>19.112862563541501</v>
      </c>
      <c r="AI1354">
        <v>93.294609666990794</v>
      </c>
      <c r="AJ1354">
        <v>82.359685447635897</v>
      </c>
      <c r="AK1354">
        <v>19.3159868325478</v>
      </c>
      <c r="AL1354">
        <v>89.812425729659395</v>
      </c>
      <c r="AM1354">
        <v>86.200437562360804</v>
      </c>
      <c r="AN1354">
        <v>1.0000000728323899</v>
      </c>
    </row>
    <row r="1355" spans="1:40" x14ac:dyDescent="0.25">
      <c r="A1355" t="str">
        <f>"20190312154239102"</f>
        <v>20190312154239102</v>
      </c>
      <c r="B1355" t="str">
        <f>"1552376559098798"</f>
        <v>1552376559098798</v>
      </c>
      <c r="C1355" t="s">
        <v>40</v>
      </c>
      <c r="D1355">
        <v>4.6577650000000004</v>
      </c>
      <c r="E1355">
        <v>0.52416260000000003</v>
      </c>
      <c r="F1355" t="s">
        <v>43</v>
      </c>
      <c r="G1355">
        <v>-193.87569999999999</v>
      </c>
      <c r="H1355" s="1">
        <v>-1.828056E-6</v>
      </c>
      <c r="I1355">
        <v>301.44650000000001</v>
      </c>
      <c r="J1355">
        <v>-191.84129999999999</v>
      </c>
      <c r="K1355">
        <v>1.110093</v>
      </c>
      <c r="L1355">
        <v>320.32510000000002</v>
      </c>
      <c r="M1355">
        <v>2.3675669999999999E-2</v>
      </c>
      <c r="N1355">
        <v>0</v>
      </c>
      <c r="O1355">
        <v>-0.99963069999999998</v>
      </c>
      <c r="P1355">
        <v>-4.3035190000000001E-2</v>
      </c>
      <c r="Q1355">
        <v>-9.7212289999999996E-3</v>
      </c>
      <c r="R1355">
        <v>-0.99902670000000005</v>
      </c>
      <c r="S1355">
        <v>-0.3187103</v>
      </c>
      <c r="T1355">
        <v>-0.1741666</v>
      </c>
      <c r="U1355">
        <v>-2.9877009999999999</v>
      </c>
      <c r="V1355">
        <v>6.6681599999999994E-2</v>
      </c>
      <c r="W1355">
        <v>3.5350889999999999E-3</v>
      </c>
      <c r="X1355">
        <v>0.99776799999999999</v>
      </c>
      <c r="Y1355">
        <v>0.12940940000000001</v>
      </c>
      <c r="Z1355">
        <v>5.7763189999999999E-2</v>
      </c>
      <c r="AA1355">
        <v>0.98990739999999999</v>
      </c>
      <c r="AB1355">
        <v>18</v>
      </c>
      <c r="AC1355">
        <v>-2.0344000000000002</v>
      </c>
      <c r="AD1355">
        <v>-1.1100948280559999</v>
      </c>
      <c r="AE1355">
        <v>-18.878599999999999</v>
      </c>
      <c r="AF1355">
        <v>2.4723824208303999</v>
      </c>
      <c r="AG1355">
        <v>-1.1100948280559999</v>
      </c>
      <c r="AH1355">
        <v>18.7610128733842</v>
      </c>
      <c r="AI1355">
        <v>93.357300478635693</v>
      </c>
      <c r="AJ1355">
        <v>82.492650693294493</v>
      </c>
      <c r="AK1355">
        <v>18.955753464249199</v>
      </c>
      <c r="AL1355">
        <v>89.797453889567294</v>
      </c>
      <c r="AM1355">
        <v>86.176564655754603</v>
      </c>
      <c r="AN1355">
        <v>0.99999995722839796</v>
      </c>
    </row>
    <row r="1356" spans="1:40" x14ac:dyDescent="0.25">
      <c r="A1356" t="str">
        <f>"20190312154239123"</f>
        <v>20190312154239123</v>
      </c>
      <c r="B1356" t="str">
        <f>"1552376559118317"</f>
        <v>1552376559118317</v>
      </c>
      <c r="C1356" t="s">
        <v>40</v>
      </c>
      <c r="D1356">
        <v>4.6299720000000004</v>
      </c>
      <c r="E1356">
        <v>0.5239973</v>
      </c>
      <c r="F1356" t="s">
        <v>43</v>
      </c>
      <c r="G1356">
        <v>-193.81620000000001</v>
      </c>
      <c r="H1356" s="1">
        <v>-1.9613990000000002E-6</v>
      </c>
      <c r="I1356">
        <v>301.79430000000002</v>
      </c>
      <c r="J1356">
        <v>-191.8383</v>
      </c>
      <c r="K1356">
        <v>1.110101</v>
      </c>
      <c r="L1356">
        <v>320.15570000000002</v>
      </c>
      <c r="M1356">
        <v>2.2852170000000002E-2</v>
      </c>
      <c r="N1356">
        <v>0</v>
      </c>
      <c r="O1356">
        <v>-0.99964980000000003</v>
      </c>
      <c r="P1356">
        <v>-4.3982010000000002E-2</v>
      </c>
      <c r="Q1356">
        <v>-9.5615400000000003E-3</v>
      </c>
      <c r="R1356">
        <v>-0.99898670000000001</v>
      </c>
      <c r="S1356">
        <v>-0.3183899</v>
      </c>
      <c r="T1356">
        <v>-0.1789644</v>
      </c>
      <c r="U1356">
        <v>-2.987457</v>
      </c>
      <c r="V1356">
        <v>6.6805459999999997E-2</v>
      </c>
      <c r="W1356">
        <v>3.6929210000000001E-3</v>
      </c>
      <c r="X1356">
        <v>0.99775919999999896</v>
      </c>
      <c r="Y1356">
        <v>0.12848609999999999</v>
      </c>
      <c r="Z1356">
        <v>5.9359259999999997E-2</v>
      </c>
      <c r="AA1356">
        <v>0.98993330000000002</v>
      </c>
      <c r="AB1356">
        <v>18</v>
      </c>
      <c r="AC1356">
        <v>-1.9779</v>
      </c>
      <c r="AD1356">
        <v>-1.1101029613989899</v>
      </c>
      <c r="AE1356">
        <v>-18.3614</v>
      </c>
      <c r="AF1356">
        <v>2.38838861001192</v>
      </c>
      <c r="AG1356">
        <v>-1.1101029613989899</v>
      </c>
      <c r="AH1356">
        <v>18.245474378987101</v>
      </c>
      <c r="AI1356">
        <v>93.452353564654402</v>
      </c>
      <c r="AJ1356">
        <v>82.542211567257098</v>
      </c>
      <c r="AK1356">
        <v>18.434588795294999</v>
      </c>
      <c r="AL1356">
        <v>89.788410734690103</v>
      </c>
      <c r="AM1356">
        <v>86.169450125995994</v>
      </c>
      <c r="AN1356">
        <v>1.0000000141679799</v>
      </c>
    </row>
    <row r="1357" spans="1:40" x14ac:dyDescent="0.25">
      <c r="A1357" t="str">
        <f>"20190312154239144"</f>
        <v>20190312154239144</v>
      </c>
      <c r="B1357" t="str">
        <f>"1552376559138814"</f>
        <v>1552376559138814</v>
      </c>
      <c r="C1357" t="s">
        <v>40</v>
      </c>
      <c r="D1357">
        <v>4.6071929999999996</v>
      </c>
      <c r="E1357">
        <v>0.52368579999999998</v>
      </c>
      <c r="F1357" t="s">
        <v>43</v>
      </c>
      <c r="G1357">
        <v>-193.80260000000001</v>
      </c>
      <c r="H1357" s="1">
        <v>-1.959813E-6</v>
      </c>
      <c r="I1357">
        <v>301.79899999999998</v>
      </c>
      <c r="J1357">
        <v>-191.83539999999999</v>
      </c>
      <c r="K1357">
        <v>1.110106</v>
      </c>
      <c r="L1357">
        <v>319.98360000000002</v>
      </c>
      <c r="M1357">
        <v>2.2015690000000001E-2</v>
      </c>
      <c r="N1357">
        <v>0</v>
      </c>
      <c r="O1357">
        <v>-0.99966880000000002</v>
      </c>
      <c r="P1357">
        <v>-4.468333E-2</v>
      </c>
      <c r="Q1357">
        <v>-9.3323820000000002E-3</v>
      </c>
      <c r="R1357">
        <v>-0.99895809999999996</v>
      </c>
      <c r="S1357">
        <v>-0.31965640000000001</v>
      </c>
      <c r="T1357">
        <v>-0.1806489</v>
      </c>
      <c r="U1357">
        <v>-2.9872130000000001</v>
      </c>
      <c r="V1357">
        <v>6.6671320000000006E-2</v>
      </c>
      <c r="W1357">
        <v>3.9208469999999999E-3</v>
      </c>
      <c r="X1357">
        <v>0.99776730000000002</v>
      </c>
      <c r="Y1357">
        <v>0.1280762</v>
      </c>
      <c r="Z1357">
        <v>5.9922780000000002E-2</v>
      </c>
      <c r="AA1357">
        <v>0.98995239999999995</v>
      </c>
      <c r="AB1357">
        <v>18</v>
      </c>
      <c r="AC1357">
        <v>-1.96720000000002</v>
      </c>
      <c r="AD1357">
        <v>-1.1101079598129999</v>
      </c>
      <c r="AE1357">
        <v>-18.1845999999999</v>
      </c>
      <c r="AF1357">
        <v>2.35841776966355</v>
      </c>
      <c r="AG1357">
        <v>-1.1101079598129999</v>
      </c>
      <c r="AH1357">
        <v>18.070315186561</v>
      </c>
      <c r="AI1357">
        <v>93.4859256045319</v>
      </c>
      <c r="AJ1357">
        <v>82.564164554481096</v>
      </c>
      <c r="AK1357">
        <v>18.257348246674901</v>
      </c>
      <c r="AL1357">
        <v>89.775351441764698</v>
      </c>
      <c r="AM1357">
        <v>86.1771496754872</v>
      </c>
      <c r="AN1357">
        <v>1.0000000114505101</v>
      </c>
    </row>
    <row r="1358" spans="1:40" x14ac:dyDescent="0.25">
      <c r="A1358" t="str">
        <f>"20190312154239168"</f>
        <v>20190312154239168</v>
      </c>
      <c r="B1358" t="str">
        <f>"1552376559158335"</f>
        <v>1552376559158335</v>
      </c>
      <c r="C1358" t="s">
        <v>40</v>
      </c>
      <c r="D1358">
        <v>4.527425</v>
      </c>
      <c r="E1358">
        <v>0.52378190000000002</v>
      </c>
      <c r="F1358" t="s">
        <v>43</v>
      </c>
      <c r="G1358">
        <v>-193.8159</v>
      </c>
      <c r="H1358" s="1">
        <v>-1.8156710000000001E-6</v>
      </c>
      <c r="I1358">
        <v>301.4547</v>
      </c>
      <c r="J1358">
        <v>-191.83240000000001</v>
      </c>
      <c r="K1358">
        <v>1.110109</v>
      </c>
      <c r="L1358">
        <v>319.80169999999998</v>
      </c>
      <c r="M1358">
        <v>2.1132649999999999E-2</v>
      </c>
      <c r="N1358">
        <v>0</v>
      </c>
      <c r="O1358">
        <v>-0.99968769999999996</v>
      </c>
      <c r="P1358">
        <v>-4.5658280000000002E-2</v>
      </c>
      <c r="Q1358">
        <v>-8.8447119999999994E-3</v>
      </c>
      <c r="R1358">
        <v>-0.99891830000000004</v>
      </c>
      <c r="S1358">
        <v>-0.31930540000000002</v>
      </c>
      <c r="T1358">
        <v>-0.1789694</v>
      </c>
      <c r="U1358">
        <v>-2.9871829999999999</v>
      </c>
      <c r="V1358">
        <v>6.676435E-2</v>
      </c>
      <c r="W1358">
        <v>4.4062629999999997E-3</v>
      </c>
      <c r="X1358">
        <v>0.99775899999999995</v>
      </c>
      <c r="Y1358">
        <v>0.1270897</v>
      </c>
      <c r="Z1358">
        <v>5.9374120000000002E-2</v>
      </c>
      <c r="AA1358">
        <v>0.99011260000000001</v>
      </c>
      <c r="AB1358">
        <v>18</v>
      </c>
      <c r="AC1358">
        <v>-1.98349999999999</v>
      </c>
      <c r="AD1358">
        <v>-1.110110815671</v>
      </c>
      <c r="AE1358">
        <v>-18.346999999999898</v>
      </c>
      <c r="AF1358">
        <v>2.36226380008533</v>
      </c>
      <c r="AG1358">
        <v>-1.110110815671</v>
      </c>
      <c r="AH1358">
        <v>18.234994194120901</v>
      </c>
      <c r="AI1358">
        <v>93.454956359030504</v>
      </c>
      <c r="AJ1358">
        <v>82.618690219762996</v>
      </c>
      <c r="AK1358">
        <v>18.420848230846602</v>
      </c>
      <c r="AL1358">
        <v>89.747538899096696</v>
      </c>
      <c r="AM1358">
        <v>86.171799550805204</v>
      </c>
      <c r="AN1358">
        <v>0.99999995783277196</v>
      </c>
    </row>
    <row r="1359" spans="1:40" x14ac:dyDescent="0.25">
      <c r="A1359" t="str">
        <f>"20190312154239190"</f>
        <v>20190312154239190</v>
      </c>
      <c r="B1359" t="str">
        <f>"1552376559178835"</f>
        <v>1552376559178835</v>
      </c>
      <c r="C1359" t="s">
        <v>40</v>
      </c>
      <c r="D1359">
        <v>4.5222040000000003</v>
      </c>
      <c r="E1359">
        <v>0.52403270000000002</v>
      </c>
      <c r="F1359" t="s">
        <v>43</v>
      </c>
      <c r="G1359">
        <v>-193.84350000000001</v>
      </c>
      <c r="H1359" s="1">
        <v>-1.7143310000000001E-6</v>
      </c>
      <c r="I1359">
        <v>301.20139999999998</v>
      </c>
      <c r="J1359">
        <v>-191.8297</v>
      </c>
      <c r="K1359">
        <v>1.110112</v>
      </c>
      <c r="L1359">
        <v>319.62369999999999</v>
      </c>
      <c r="M1359">
        <v>2.0268700000000001E-2</v>
      </c>
      <c r="N1359">
        <v>0</v>
      </c>
      <c r="O1359">
        <v>-0.99970570000000003</v>
      </c>
      <c r="P1359">
        <v>-4.6708569999999998E-2</v>
      </c>
      <c r="Q1359">
        <v>-8.5466250000000004E-3</v>
      </c>
      <c r="R1359">
        <v>-0.99887239999999999</v>
      </c>
      <c r="S1359">
        <v>-0.32293699999999997</v>
      </c>
      <c r="T1359">
        <v>-0.17826429999999999</v>
      </c>
      <c r="U1359">
        <v>-2.9868769999999998</v>
      </c>
      <c r="V1359">
        <v>6.6951510000000006E-2</v>
      </c>
      <c r="W1359">
        <v>4.7028529999999999E-3</v>
      </c>
      <c r="X1359">
        <v>0.9977452</v>
      </c>
      <c r="Y1359">
        <v>0.12743479999999999</v>
      </c>
      <c r="Z1359">
        <v>5.9143469999999997E-2</v>
      </c>
      <c r="AA1359">
        <v>0.99008200000000002</v>
      </c>
      <c r="AB1359">
        <v>18</v>
      </c>
      <c r="AC1359">
        <v>-2.0137999999999998</v>
      </c>
      <c r="AD1359">
        <v>-1.110113714331</v>
      </c>
      <c r="AE1359">
        <v>-18.4223</v>
      </c>
      <c r="AF1359">
        <v>2.3782814987882799</v>
      </c>
      <c r="AG1359">
        <v>-1.110113714331</v>
      </c>
      <c r="AH1359">
        <v>18.311985224983601</v>
      </c>
      <c r="AI1359">
        <v>93.440329744194997</v>
      </c>
      <c r="AJ1359">
        <v>82.600092721828702</v>
      </c>
      <c r="AK1359">
        <v>18.499118309428798</v>
      </c>
      <c r="AL1359">
        <v>89.730545392409198</v>
      </c>
      <c r="AM1359">
        <v>86.161047091438306</v>
      </c>
      <c r="AN1359">
        <v>1.0000000528203199</v>
      </c>
    </row>
    <row r="1360" spans="1:40" x14ac:dyDescent="0.25">
      <c r="A1360" t="str">
        <f>"20190312154239213"</f>
        <v>20190312154239213</v>
      </c>
      <c r="B1360" t="str">
        <f>"1552376559209086"</f>
        <v>1552376559209086</v>
      </c>
      <c r="C1360" t="s">
        <v>40</v>
      </c>
      <c r="D1360">
        <v>4.5510699999999904</v>
      </c>
      <c r="E1360">
        <v>0.52403809999999995</v>
      </c>
      <c r="F1360" t="s">
        <v>43</v>
      </c>
      <c r="G1360">
        <v>-193.91990000000001</v>
      </c>
      <c r="H1360" s="1">
        <v>-1.476209E-6</v>
      </c>
      <c r="I1360">
        <v>300.59899999999999</v>
      </c>
      <c r="J1360">
        <v>-191.8271</v>
      </c>
      <c r="K1360">
        <v>1.110114</v>
      </c>
      <c r="L1360">
        <v>319.44159999999999</v>
      </c>
      <c r="M1360">
        <v>1.9385360000000001E-2</v>
      </c>
      <c r="N1360">
        <v>0</v>
      </c>
      <c r="O1360">
        <v>-0.99972309999999998</v>
      </c>
      <c r="P1360">
        <v>-4.7528420000000002E-2</v>
      </c>
      <c r="Q1360">
        <v>-7.9232550000000006E-3</v>
      </c>
      <c r="R1360">
        <v>-0.99883900000000003</v>
      </c>
      <c r="S1360">
        <v>-0.328125</v>
      </c>
      <c r="T1360">
        <v>-0.17427000000000001</v>
      </c>
      <c r="U1360">
        <v>-2.9865719999999998</v>
      </c>
      <c r="V1360">
        <v>6.6889569999999995E-2</v>
      </c>
      <c r="W1360">
        <v>5.3246409999999997E-3</v>
      </c>
      <c r="X1360">
        <v>0.99774620000000003</v>
      </c>
      <c r="Y1360">
        <v>0.12827740000000001</v>
      </c>
      <c r="Z1360">
        <v>5.7821640000000001E-2</v>
      </c>
      <c r="AA1360">
        <v>0.99005129999999997</v>
      </c>
      <c r="AB1360">
        <v>18</v>
      </c>
      <c r="AC1360">
        <v>-2.0928000000000102</v>
      </c>
      <c r="AD1360">
        <v>-1.110115476209</v>
      </c>
      <c r="AE1360">
        <v>-18.842600000000001</v>
      </c>
      <c r="AF1360">
        <v>2.4493117844079699</v>
      </c>
      <c r="AG1360">
        <v>-1.110115476209</v>
      </c>
      <c r="AH1360">
        <v>18.734251095093398</v>
      </c>
      <c r="AI1360">
        <v>93.362599349916294</v>
      </c>
      <c r="AJ1360">
        <v>82.551410219196299</v>
      </c>
      <c r="AK1360">
        <v>18.926268746949699</v>
      </c>
      <c r="AL1360">
        <v>89.694919108682797</v>
      </c>
      <c r="AM1360">
        <v>86.164591915184005</v>
      </c>
      <c r="AN1360">
        <v>1.0000000229954999</v>
      </c>
    </row>
    <row r="1361" spans="1:40" x14ac:dyDescent="0.25">
      <c r="A1361" t="str">
        <f>"20190312154239235"</f>
        <v>20190312154239235</v>
      </c>
      <c r="B1361" t="str">
        <f>"1552376559228607"</f>
        <v>1552376559228607</v>
      </c>
      <c r="C1361" t="s">
        <v>40</v>
      </c>
      <c r="D1361">
        <v>4.5168799999999996</v>
      </c>
      <c r="E1361">
        <v>0.52393449999999997</v>
      </c>
      <c r="F1361" t="s">
        <v>43</v>
      </c>
      <c r="G1361">
        <v>-193.95529999999999</v>
      </c>
      <c r="H1361" s="1">
        <v>-1.3205399999999999E-6</v>
      </c>
      <c r="I1361">
        <v>300.21420000000001</v>
      </c>
      <c r="J1361">
        <v>-191.82480000000001</v>
      </c>
      <c r="K1361">
        <v>1.1101209999999999</v>
      </c>
      <c r="L1361">
        <v>319.2672</v>
      </c>
      <c r="M1361">
        <v>1.853867E-2</v>
      </c>
      <c r="N1361">
        <v>0</v>
      </c>
      <c r="O1361">
        <v>-0.9997393</v>
      </c>
      <c r="P1361">
        <v>-4.8572440000000001E-2</v>
      </c>
      <c r="Q1361">
        <v>-8.0208650000000003E-3</v>
      </c>
      <c r="R1361">
        <v>-0.99878809999999996</v>
      </c>
      <c r="S1361">
        <v>-0.33055109999999999</v>
      </c>
      <c r="T1361">
        <v>-0.17242589999999999</v>
      </c>
      <c r="U1361">
        <v>-2.98645</v>
      </c>
      <c r="V1361">
        <v>6.7087330000000001E-2</v>
      </c>
      <c r="W1361">
        <v>5.2249840000000002E-3</v>
      </c>
      <c r="X1361">
        <v>0.99773339999999999</v>
      </c>
      <c r="Y1361">
        <v>0.1282403</v>
      </c>
      <c r="Z1361">
        <v>5.7213090000000001E-2</v>
      </c>
      <c r="AA1361">
        <v>0.99009139999999995</v>
      </c>
      <c r="AB1361">
        <v>18</v>
      </c>
      <c r="AC1361">
        <v>-2.1304999999999801</v>
      </c>
      <c r="AD1361">
        <v>-1.1101223205399999</v>
      </c>
      <c r="AE1361">
        <v>-19.053000000000001</v>
      </c>
      <c r="AF1361">
        <v>2.47508378880153</v>
      </c>
      <c r="AG1361">
        <v>-1.1101223205399999</v>
      </c>
      <c r="AH1361">
        <v>18.9466988460164</v>
      </c>
      <c r="AI1361">
        <v>93.325045404555198</v>
      </c>
      <c r="AJ1361">
        <v>82.557366770074694</v>
      </c>
      <c r="AK1361">
        <v>19.139900952977499</v>
      </c>
      <c r="AL1361">
        <v>89.700629098788994</v>
      </c>
      <c r="AM1361">
        <v>86.153237267276396</v>
      </c>
      <c r="AN1361">
        <v>0.99999997388994399</v>
      </c>
    </row>
    <row r="1362" spans="1:40" x14ac:dyDescent="0.25">
      <c r="A1362" t="str">
        <f>"20190312154239257"</f>
        <v>20190312154239257</v>
      </c>
      <c r="B1362" t="str">
        <f>"1552376559249102"</f>
        <v>1552376559249102</v>
      </c>
      <c r="C1362" t="s">
        <v>40</v>
      </c>
      <c r="D1362">
        <v>4.5200230000000001</v>
      </c>
      <c r="E1362">
        <v>0.52407399999999904</v>
      </c>
      <c r="F1362" t="s">
        <v>43</v>
      </c>
      <c r="G1362">
        <v>-193.9485</v>
      </c>
      <c r="H1362" s="1">
        <v>-1.3170569999999999E-6</v>
      </c>
      <c r="I1362">
        <v>300.21019999999999</v>
      </c>
      <c r="J1362">
        <v>-191.82249999999999</v>
      </c>
      <c r="K1362">
        <v>1.1101289999999999</v>
      </c>
      <c r="L1362">
        <v>319.08850000000001</v>
      </c>
      <c r="M1362">
        <v>1.7671160000000002E-2</v>
      </c>
      <c r="N1362">
        <v>0</v>
      </c>
      <c r="O1362">
        <v>-0.99975480000000005</v>
      </c>
      <c r="P1362">
        <v>-4.9712560000000003E-2</v>
      </c>
      <c r="Q1362">
        <v>-7.5622679999999996E-3</v>
      </c>
      <c r="R1362">
        <v>-0.99873500000000004</v>
      </c>
      <c r="S1362">
        <v>-0.3327637</v>
      </c>
      <c r="T1362">
        <v>-0.1739424</v>
      </c>
      <c r="U1362">
        <v>-2.985992</v>
      </c>
      <c r="V1362">
        <v>6.736106E-2</v>
      </c>
      <c r="W1362">
        <v>5.6817860000000003E-3</v>
      </c>
      <c r="X1362">
        <v>0.9977125</v>
      </c>
      <c r="Y1362">
        <v>0.1281178</v>
      </c>
      <c r="Z1362">
        <v>5.7722860000000001E-2</v>
      </c>
      <c r="AA1362">
        <v>0.99007769999999995</v>
      </c>
      <c r="AB1362">
        <v>18</v>
      </c>
      <c r="AC1362">
        <v>-2.1259999999999999</v>
      </c>
      <c r="AD1362">
        <v>-1.110130317057</v>
      </c>
      <c r="AE1362">
        <v>-18.878299999999999</v>
      </c>
      <c r="AF1362">
        <v>2.4509300176269799</v>
      </c>
      <c r="AG1362">
        <v>-1.110130317057</v>
      </c>
      <c r="AH1362">
        <v>18.7736735264087</v>
      </c>
      <c r="AI1362">
        <v>93.3556802062662</v>
      </c>
      <c r="AJ1362">
        <v>82.562020250822897</v>
      </c>
      <c r="AK1362">
        <v>18.965501969321402</v>
      </c>
      <c r="AL1362">
        <v>89.6744558950315</v>
      </c>
      <c r="AM1362">
        <v>86.137508437105694</v>
      </c>
      <c r="AN1362">
        <v>1.0000000138763601</v>
      </c>
    </row>
    <row r="1363" spans="1:40" x14ac:dyDescent="0.25">
      <c r="A1363" t="str">
        <f>"20190312154239281"</f>
        <v>20190312154239281</v>
      </c>
      <c r="B1363" t="str">
        <f>"1552376559268622"</f>
        <v>1552376559268622</v>
      </c>
      <c r="C1363" t="s">
        <v>40</v>
      </c>
      <c r="D1363">
        <v>4.4491560000000003</v>
      </c>
      <c r="E1363">
        <v>0.52422669999999905</v>
      </c>
      <c r="F1363" t="s">
        <v>43</v>
      </c>
      <c r="G1363">
        <v>-194.00899999999999</v>
      </c>
      <c r="H1363" s="1">
        <v>-1.1344479999999999E-6</v>
      </c>
      <c r="I1363">
        <v>299.74709999999999</v>
      </c>
      <c r="J1363">
        <v>-191.82040000000001</v>
      </c>
      <c r="K1363">
        <v>1.1101270000000001</v>
      </c>
      <c r="L1363">
        <v>318.90690000000001</v>
      </c>
      <c r="M1363">
        <v>1.678876E-2</v>
      </c>
      <c r="N1363">
        <v>0</v>
      </c>
      <c r="O1363">
        <v>-0.99977009999999999</v>
      </c>
      <c r="P1363">
        <v>-5.0668659999999997E-2</v>
      </c>
      <c r="Q1363">
        <v>-7.5692919999999896E-3</v>
      </c>
      <c r="R1363">
        <v>-0.99868710000000005</v>
      </c>
      <c r="S1363">
        <v>-0.3375244</v>
      </c>
      <c r="T1363">
        <v>-0.17136750000000001</v>
      </c>
      <c r="U1363">
        <v>-2.985687</v>
      </c>
      <c r="V1363">
        <v>6.743557E-2</v>
      </c>
      <c r="W1363">
        <v>5.6727269999999998E-3</v>
      </c>
      <c r="X1363">
        <v>0.99770749999999997</v>
      </c>
      <c r="Y1363">
        <v>0.12881819999999999</v>
      </c>
      <c r="Z1363">
        <v>5.6870629999999998E-2</v>
      </c>
      <c r="AA1363">
        <v>0.99003620000000003</v>
      </c>
      <c r="AB1363">
        <v>18</v>
      </c>
      <c r="AC1363">
        <v>-2.1886000000000001</v>
      </c>
      <c r="AD1363">
        <v>-1.1101281344480001</v>
      </c>
      <c r="AE1363">
        <v>-19.159800000000001</v>
      </c>
      <c r="AF1363">
        <v>2.5016990982704499</v>
      </c>
      <c r="AG1363">
        <v>-1.1101281344480001</v>
      </c>
      <c r="AH1363">
        <v>19.0571990756712</v>
      </c>
      <c r="AI1363">
        <v>93.305554389300596</v>
      </c>
      <c r="AJ1363">
        <v>82.5213641501918</v>
      </c>
      <c r="AK1363">
        <v>19.2527327790873</v>
      </c>
      <c r="AL1363">
        <v>89.674974939962397</v>
      </c>
      <c r="AM1363">
        <v>86.133229658764506</v>
      </c>
      <c r="AN1363">
        <v>0.99999999574454501</v>
      </c>
    </row>
    <row r="1364" spans="1:40" x14ac:dyDescent="0.25">
      <c r="A1364" t="str">
        <f>"20190312154239303"</f>
        <v>20190312154239303</v>
      </c>
      <c r="B1364" t="str">
        <f>"1552376559289117"</f>
        <v>1552376559289117</v>
      </c>
      <c r="C1364" t="s">
        <v>40</v>
      </c>
      <c r="D1364">
        <v>4.4194639999999996</v>
      </c>
      <c r="E1364">
        <v>0.52420299999999997</v>
      </c>
      <c r="F1364" t="s">
        <v>49</v>
      </c>
      <c r="G1364">
        <v>-194.05959999999999</v>
      </c>
      <c r="H1364" s="1">
        <v>4.94909899999999E-8</v>
      </c>
      <c r="I1364">
        <v>299.33530000000002</v>
      </c>
      <c r="J1364">
        <v>-191.8185</v>
      </c>
      <c r="K1364">
        <v>1.1101240000000001</v>
      </c>
      <c r="L1364">
        <v>318.73669999999998</v>
      </c>
      <c r="M1364">
        <v>1.596175E-2</v>
      </c>
      <c r="N1364">
        <v>0</v>
      </c>
      <c r="O1364">
        <v>-0.99978370000000005</v>
      </c>
      <c r="P1364">
        <v>-5.1580500000000001E-2</v>
      </c>
      <c r="Q1364">
        <v>-7.5182369999999997E-3</v>
      </c>
      <c r="R1364">
        <v>-0.99864090000000005</v>
      </c>
      <c r="S1364">
        <v>-0.34155269999999999</v>
      </c>
      <c r="T1364">
        <v>-0.1693316</v>
      </c>
      <c r="U1364">
        <v>-2.9853209999999999</v>
      </c>
      <c r="V1364">
        <v>6.7521289999999998E-2</v>
      </c>
      <c r="W1364">
        <v>5.7213639999999996E-3</v>
      </c>
      <c r="X1364">
        <v>0.99770139999999996</v>
      </c>
      <c r="Y1364">
        <v>0.12933459999999999</v>
      </c>
      <c r="Z1364">
        <v>5.6198959999999999E-2</v>
      </c>
      <c r="AA1364">
        <v>0.99000719999999998</v>
      </c>
      <c r="AB1364">
        <v>18</v>
      </c>
      <c r="AC1364">
        <v>-2.2410999999999799</v>
      </c>
      <c r="AD1364">
        <v>-1.1101239505090099</v>
      </c>
      <c r="AE1364">
        <v>-19.401399999999899</v>
      </c>
      <c r="AF1364">
        <v>2.5423083838440199</v>
      </c>
      <c r="AG1364">
        <v>-1.1101239505090099</v>
      </c>
      <c r="AH1364">
        <v>19.300794351139199</v>
      </c>
      <c r="AI1364">
        <v>93.263725224744206</v>
      </c>
      <c r="AJ1364">
        <v>82.496175702914101</v>
      </c>
      <c r="AK1364">
        <v>19.499137665266701</v>
      </c>
      <c r="AL1364">
        <v>89.672188191814499</v>
      </c>
      <c r="AM1364">
        <v>86.128305794914397</v>
      </c>
      <c r="AN1364">
        <v>0.999999971085621</v>
      </c>
    </row>
    <row r="1365" spans="1:40" x14ac:dyDescent="0.25">
      <c r="A1365" t="str">
        <f>"20190312154239326"</f>
        <v>20190312154239326</v>
      </c>
      <c r="B1365" t="str">
        <f>"1552376559318398"</f>
        <v>1552376559318398</v>
      </c>
      <c r="C1365" t="s">
        <v>40</v>
      </c>
      <c r="D1365">
        <v>4.4120670000000004</v>
      </c>
      <c r="E1365">
        <v>0.5244491</v>
      </c>
      <c r="F1365" t="s">
        <v>49</v>
      </c>
      <c r="G1365">
        <v>-194.08080000000001</v>
      </c>
      <c r="H1365" s="1">
        <v>9.1020350000000003E-8</v>
      </c>
      <c r="I1365">
        <v>299.09949999999998</v>
      </c>
      <c r="J1365">
        <v>-191.8167</v>
      </c>
      <c r="K1365">
        <v>1.1101289999999999</v>
      </c>
      <c r="L1365">
        <v>318.55689999999998</v>
      </c>
      <c r="M1365">
        <v>1.508783E-2</v>
      </c>
      <c r="N1365">
        <v>0</v>
      </c>
      <c r="O1365">
        <v>-0.9997973</v>
      </c>
      <c r="P1365">
        <v>-5.2600870000000001E-2</v>
      </c>
      <c r="Q1365">
        <v>-7.3499999999999998E-3</v>
      </c>
      <c r="R1365">
        <v>-0.99858899999999995</v>
      </c>
      <c r="S1365">
        <v>-0.34388730000000001</v>
      </c>
      <c r="T1365">
        <v>-0.16875119999999999</v>
      </c>
      <c r="U1365">
        <v>-2.985077</v>
      </c>
      <c r="V1365">
        <v>6.7668770000000003E-2</v>
      </c>
      <c r="W1365">
        <v>5.8882530000000004E-3</v>
      </c>
      <c r="X1365">
        <v>0.99769039999999998</v>
      </c>
      <c r="Y1365">
        <v>0.12924249999999901</v>
      </c>
      <c r="Z1365">
        <v>5.6010509999999999E-2</v>
      </c>
      <c r="AA1365">
        <v>0.99002990000000002</v>
      </c>
      <c r="AB1365">
        <v>18</v>
      </c>
      <c r="AC1365">
        <v>-2.2641000000000102</v>
      </c>
      <c r="AD1365">
        <v>-1.11012890897965</v>
      </c>
      <c r="AE1365">
        <v>-19.4574</v>
      </c>
      <c r="AF1365">
        <v>2.5492508162245402</v>
      </c>
      <c r="AG1365">
        <v>-1.11012890897965</v>
      </c>
      <c r="AH1365">
        <v>19.358846427706599</v>
      </c>
      <c r="AI1365">
        <v>93.253989029368498</v>
      </c>
      <c r="AJ1365">
        <v>82.498224397279202</v>
      </c>
      <c r="AK1365">
        <v>19.557504977120701</v>
      </c>
      <c r="AL1365">
        <v>89.662625982598797</v>
      </c>
      <c r="AM1365">
        <v>86.119832394533802</v>
      </c>
      <c r="AN1365">
        <v>0.99999993410443</v>
      </c>
    </row>
    <row r="1366" spans="1:40" x14ac:dyDescent="0.25">
      <c r="A1366" t="str">
        <f>"20190312154239346"</f>
        <v>20190312154239346</v>
      </c>
      <c r="B1366" t="str">
        <f>"1552376559338894"</f>
        <v>1552376559338894</v>
      </c>
      <c r="C1366" t="s">
        <v>40</v>
      </c>
      <c r="D1366">
        <v>4.4868220000000001</v>
      </c>
      <c r="E1366">
        <v>0.52448619999999901</v>
      </c>
      <c r="F1366" t="s">
        <v>49</v>
      </c>
      <c r="G1366">
        <v>-194.1566</v>
      </c>
      <c r="H1366" s="1">
        <v>1.880191E-7</v>
      </c>
      <c r="I1366">
        <v>298.5487</v>
      </c>
      <c r="J1366">
        <v>-191.8152</v>
      </c>
      <c r="K1366">
        <v>1.110136</v>
      </c>
      <c r="L1366">
        <v>318.39789999999999</v>
      </c>
      <c r="M1366">
        <v>1.4315069999999999E-2</v>
      </c>
      <c r="N1366">
        <v>0</v>
      </c>
      <c r="O1366">
        <v>-0.99980869999999999</v>
      </c>
      <c r="P1366">
        <v>-5.352577E-2</v>
      </c>
      <c r="Q1366">
        <v>-6.7495239999999998E-3</v>
      </c>
      <c r="R1366">
        <v>-0.99854399999999999</v>
      </c>
      <c r="S1366">
        <v>-0.34904479999999999</v>
      </c>
      <c r="T1366">
        <v>-0.16559789999999999</v>
      </c>
      <c r="U1366">
        <v>-2.9846189999999999</v>
      </c>
      <c r="V1366">
        <v>6.782241E-2</v>
      </c>
      <c r="W1366">
        <v>6.4871499999999997E-3</v>
      </c>
      <c r="X1366">
        <v>0.99767629999999996</v>
      </c>
      <c r="Y1366">
        <v>0.130188</v>
      </c>
      <c r="Z1366">
        <v>5.4967540000000002E-2</v>
      </c>
      <c r="AA1366">
        <v>0.98996450000000003</v>
      </c>
      <c r="AB1366">
        <v>18</v>
      </c>
      <c r="AC1366">
        <v>-2.3413999999999899</v>
      </c>
      <c r="AD1366">
        <v>-1.1101358119808999</v>
      </c>
      <c r="AE1366">
        <v>-19.8492</v>
      </c>
      <c r="AF1366">
        <v>2.6172535641225401</v>
      </c>
      <c r="AG1366">
        <v>-1.1101358119808999</v>
      </c>
      <c r="AH1366">
        <v>19.752707022909402</v>
      </c>
      <c r="AI1366">
        <v>93.188923397029697</v>
      </c>
      <c r="AJ1366">
        <v>82.452217545840995</v>
      </c>
      <c r="AK1366">
        <v>19.956248456883099</v>
      </c>
      <c r="AL1366">
        <v>89.6283110698662</v>
      </c>
      <c r="AM1366">
        <v>86.110994794650395</v>
      </c>
      <c r="AN1366">
        <v>0.99999998099750997</v>
      </c>
    </row>
    <row r="1367" spans="1:40" x14ac:dyDescent="0.25">
      <c r="A1367" t="str">
        <f>"20190312154239371"</f>
        <v>20190312154239371</v>
      </c>
      <c r="B1367" t="str">
        <f>"1552376559358414"</f>
        <v>1552376559358414</v>
      </c>
      <c r="C1367" t="s">
        <v>40</v>
      </c>
      <c r="D1367">
        <v>4.4665860000000004</v>
      </c>
      <c r="E1367">
        <v>0.52444740000000001</v>
      </c>
      <c r="F1367" t="s">
        <v>49</v>
      </c>
      <c r="G1367">
        <v>-194.2123</v>
      </c>
      <c r="H1367" s="1">
        <v>2.6830430000000002E-7</v>
      </c>
      <c r="I1367">
        <v>298.09289999999999</v>
      </c>
      <c r="J1367">
        <v>-191.81370000000001</v>
      </c>
      <c r="K1367">
        <v>1.110142</v>
      </c>
      <c r="L1367">
        <v>318.2124</v>
      </c>
      <c r="M1367">
        <v>1.341322E-2</v>
      </c>
      <c r="N1367">
        <v>0</v>
      </c>
      <c r="O1367">
        <v>-0.99982110000000002</v>
      </c>
      <c r="P1367">
        <v>-5.4347850000000003E-2</v>
      </c>
      <c r="Q1367">
        <v>-6.4323030000000003E-3</v>
      </c>
      <c r="R1367">
        <v>-0.99850119999999998</v>
      </c>
      <c r="S1367">
        <v>-0.35231020000000002</v>
      </c>
      <c r="T1367">
        <v>-0.16316079999999999</v>
      </c>
      <c r="U1367">
        <v>-2.9843139999999999</v>
      </c>
      <c r="V1367">
        <v>6.7744209999999999E-2</v>
      </c>
      <c r="W1367">
        <v>6.802331E-3</v>
      </c>
      <c r="X1367">
        <v>0.99767950000000005</v>
      </c>
      <c r="Y1367">
        <v>0.13037899999999999</v>
      </c>
      <c r="Z1367">
        <v>5.4163379999999997E-2</v>
      </c>
      <c r="AA1367">
        <v>0.98998370000000002</v>
      </c>
      <c r="AB1367">
        <v>17</v>
      </c>
      <c r="AC1367">
        <v>-2.3985999999999801</v>
      </c>
      <c r="AD1367">
        <v>-1.1101417316957001</v>
      </c>
      <c r="AE1367">
        <v>-20.119499999999999</v>
      </c>
      <c r="AF1367">
        <v>2.66028959081968</v>
      </c>
      <c r="AG1367">
        <v>-1.1101417316957001</v>
      </c>
      <c r="AH1367">
        <v>20.025400035997599</v>
      </c>
      <c r="AI1367">
        <v>93.145462130124699</v>
      </c>
      <c r="AJ1367">
        <v>82.432806021970805</v>
      </c>
      <c r="AK1367">
        <v>20.231811633494701</v>
      </c>
      <c r="AL1367">
        <v>89.610252124312197</v>
      </c>
      <c r="AM1367">
        <v>86.115477546475105</v>
      </c>
      <c r="AN1367">
        <v>0.99999996720790296</v>
      </c>
    </row>
    <row r="1368" spans="1:40" x14ac:dyDescent="0.25">
      <c r="A1368" t="str">
        <f>"20190312154239391"</f>
        <v>20190312154239391</v>
      </c>
      <c r="B1368" t="str">
        <f>"1552376559378910"</f>
        <v>1552376559378910</v>
      </c>
      <c r="C1368" t="s">
        <v>40</v>
      </c>
      <c r="D1368">
        <v>4.4590690000000004</v>
      </c>
      <c r="E1368">
        <v>0.52439389999999997</v>
      </c>
      <c r="F1368" t="s">
        <v>49</v>
      </c>
      <c r="G1368">
        <v>-194.2312</v>
      </c>
      <c r="H1368" s="1">
        <v>3.1114060000000002E-7</v>
      </c>
      <c r="I1368">
        <v>297.84960000000001</v>
      </c>
      <c r="J1368">
        <v>-191.8124</v>
      </c>
      <c r="K1368">
        <v>1.1101399999999999</v>
      </c>
      <c r="L1368">
        <v>318.04450000000003</v>
      </c>
      <c r="M1368">
        <v>1.2597290000000001E-2</v>
      </c>
      <c r="N1368">
        <v>0</v>
      </c>
      <c r="O1368">
        <v>-0.99983180000000005</v>
      </c>
      <c r="P1368">
        <v>-5.541985E-2</v>
      </c>
      <c r="Q1368">
        <v>-6.2092240000000002E-3</v>
      </c>
      <c r="R1368">
        <v>-0.99844409999999895</v>
      </c>
      <c r="S1368">
        <v>-0.354278599999999</v>
      </c>
      <c r="T1368">
        <v>-0.16268959999999999</v>
      </c>
      <c r="U1368">
        <v>-2.9841310000000001</v>
      </c>
      <c r="V1368">
        <v>6.8001389999999995E-2</v>
      </c>
      <c r="W1368">
        <v>7.0231019999999998E-3</v>
      </c>
      <c r="X1368">
        <v>0.99766049999999995</v>
      </c>
      <c r="Y1368">
        <v>0.1302219</v>
      </c>
      <c r="Z1368">
        <v>5.4010030000000001E-2</v>
      </c>
      <c r="AA1368">
        <v>0.99001269999999997</v>
      </c>
      <c r="AB1368">
        <v>17</v>
      </c>
      <c r="AC1368">
        <v>-2.4188000000000001</v>
      </c>
      <c r="AD1368">
        <v>-1.1101396888594</v>
      </c>
      <c r="AE1368">
        <v>-20.194900000000001</v>
      </c>
      <c r="AF1368">
        <v>2.6650920611247302</v>
      </c>
      <c r="AG1368">
        <v>-1.1101396888594</v>
      </c>
      <c r="AH1368">
        <v>20.102935465997898</v>
      </c>
      <c r="AI1368">
        <v>93.133460329322503</v>
      </c>
      <c r="AJ1368">
        <v>82.448204176642093</v>
      </c>
      <c r="AK1368">
        <v>20.3091885651083</v>
      </c>
      <c r="AL1368">
        <v>89.597602585527696</v>
      </c>
      <c r="AM1368">
        <v>86.100701956549798</v>
      </c>
      <c r="AN1368">
        <v>0.99999999313194199</v>
      </c>
    </row>
    <row r="1369" spans="1:40" x14ac:dyDescent="0.25">
      <c r="A1369" t="str">
        <f>"20190312154239414"</f>
        <v>20190312154239414</v>
      </c>
      <c r="B1369" t="str">
        <f>"1552376559409167"</f>
        <v>1552376559409167</v>
      </c>
      <c r="C1369" t="s">
        <v>40</v>
      </c>
      <c r="D1369">
        <v>4.4513129999999999</v>
      </c>
      <c r="E1369">
        <v>0.52440319999999996</v>
      </c>
      <c r="F1369" t="s">
        <v>49</v>
      </c>
      <c r="G1369">
        <v>-194.25479999999999</v>
      </c>
      <c r="H1369" s="1">
        <v>3.4773079999999999E-7</v>
      </c>
      <c r="I1369">
        <v>297.64190000000002</v>
      </c>
      <c r="J1369">
        <v>-191.81120000000001</v>
      </c>
      <c r="K1369">
        <v>1.110144</v>
      </c>
      <c r="L1369">
        <v>317.8766</v>
      </c>
      <c r="M1369">
        <v>1.1781099999999999E-2</v>
      </c>
      <c r="N1369">
        <v>0</v>
      </c>
      <c r="O1369">
        <v>-0.9998418</v>
      </c>
      <c r="P1369">
        <v>-5.6858609999999997E-2</v>
      </c>
      <c r="Q1369">
        <v>-5.8469819999999997E-3</v>
      </c>
      <c r="R1369">
        <v>-0.99836499999999995</v>
      </c>
      <c r="S1369">
        <v>-0.35719299999999998</v>
      </c>
      <c r="T1369">
        <v>-0.1623532</v>
      </c>
      <c r="U1369">
        <v>-2.9837950000000002</v>
      </c>
      <c r="V1369">
        <v>6.8625019999999995E-2</v>
      </c>
      <c r="W1369">
        <v>7.3826289999999999E-3</v>
      </c>
      <c r="X1369">
        <v>0.99761520000000004</v>
      </c>
      <c r="Y1369">
        <v>0.13037979999999999</v>
      </c>
      <c r="Z1369">
        <v>5.3901839999999999E-2</v>
      </c>
      <c r="AA1369">
        <v>0.98999780000000004</v>
      </c>
      <c r="AB1369">
        <v>17</v>
      </c>
      <c r="AC1369">
        <v>-2.4435999999999698</v>
      </c>
      <c r="AD1369">
        <v>-1.1101436522691901</v>
      </c>
      <c r="AE1369">
        <v>-20.234699999999901</v>
      </c>
      <c r="AF1369">
        <v>2.6739058414001402</v>
      </c>
      <c r="AG1369">
        <v>-1.1101436522691901</v>
      </c>
      <c r="AH1369">
        <v>20.144740759108</v>
      </c>
      <c r="AI1369">
        <v>93.126915619596801</v>
      </c>
      <c r="AJ1369">
        <v>82.439060104193601</v>
      </c>
      <c r="AK1369">
        <v>20.351726502412902</v>
      </c>
      <c r="AL1369">
        <v>89.577002670662296</v>
      </c>
      <c r="AM1369">
        <v>86.064875822845195</v>
      </c>
      <c r="AN1369">
        <v>0.99999999192599598</v>
      </c>
    </row>
    <row r="1370" spans="1:40" x14ac:dyDescent="0.25">
      <c r="A1370" t="str">
        <f>"20190312154239435"</f>
        <v>20190312154239435</v>
      </c>
      <c r="B1370" t="str">
        <f>"1552376559428686"</f>
        <v>1552376559428686</v>
      </c>
      <c r="C1370" t="s">
        <v>40</v>
      </c>
      <c r="D1370">
        <v>4.521935</v>
      </c>
      <c r="E1370">
        <v>0.53856519999999997</v>
      </c>
      <c r="F1370" t="s">
        <v>49</v>
      </c>
      <c r="G1370">
        <v>-194.29259999999999</v>
      </c>
      <c r="H1370" s="1">
        <v>3.9851209999999898E-7</v>
      </c>
      <c r="I1370">
        <v>297.40140000000002</v>
      </c>
      <c r="J1370">
        <v>-191.81020000000001</v>
      </c>
      <c r="K1370">
        <v>1.1101460000000001</v>
      </c>
      <c r="L1370">
        <v>317.7004</v>
      </c>
      <c r="M1370">
        <v>1.0924649999999999E-2</v>
      </c>
      <c r="N1370">
        <v>0</v>
      </c>
      <c r="O1370">
        <v>-0.99985179999999996</v>
      </c>
      <c r="P1370">
        <v>-5.8379500000000001E-2</v>
      </c>
      <c r="Q1370">
        <v>-5.4466999999999996E-3</v>
      </c>
      <c r="R1370">
        <v>-0.9982799</v>
      </c>
      <c r="S1370">
        <v>-0.36154170000000002</v>
      </c>
      <c r="T1370">
        <v>-0.16175339999999999</v>
      </c>
      <c r="U1370">
        <v>-2.9833370000000001</v>
      </c>
      <c r="V1370">
        <v>6.9290679999999993E-2</v>
      </c>
      <c r="W1370">
        <v>7.7802990000000001E-3</v>
      </c>
      <c r="X1370">
        <v>0.99756619999999996</v>
      </c>
      <c r="Y1370">
        <v>0.13097220000000001</v>
      </c>
      <c r="Z1370">
        <v>5.3705490000000002E-2</v>
      </c>
      <c r="AA1370">
        <v>0.98993030000000004</v>
      </c>
      <c r="AB1370">
        <v>17</v>
      </c>
      <c r="AC1370">
        <v>-2.4823999999999802</v>
      </c>
      <c r="AD1370">
        <v>-1.1101456014879001</v>
      </c>
      <c r="AE1370">
        <v>-20.2989999999999</v>
      </c>
      <c r="AF1370">
        <v>2.6960858723478598</v>
      </c>
      <c r="AG1370">
        <v>-1.1101456014879001</v>
      </c>
      <c r="AH1370">
        <v>20.211106798105</v>
      </c>
      <c r="AI1370">
        <v>93.116404636598006</v>
      </c>
      <c r="AJ1370">
        <v>82.401814720407302</v>
      </c>
      <c r="AK1370">
        <v>20.420336439245599</v>
      </c>
      <c r="AL1370">
        <v>89.554217218648702</v>
      </c>
      <c r="AM1370">
        <v>86.026632403286698</v>
      </c>
      <c r="AN1370">
        <v>1.0000000273849099</v>
      </c>
    </row>
    <row r="1371" spans="1:40" x14ac:dyDescent="0.25">
      <c r="A1371" t="str">
        <f>"20190312154239458"</f>
        <v>20190312154239458</v>
      </c>
      <c r="B1371" t="str">
        <f>"1552376559449182"</f>
        <v>1552376559449182</v>
      </c>
      <c r="C1371" t="s">
        <v>40</v>
      </c>
      <c r="D1371">
        <v>4.5300560000000001</v>
      </c>
      <c r="E1371">
        <v>0.56578219999999901</v>
      </c>
      <c r="F1371" t="s">
        <v>49</v>
      </c>
      <c r="G1371">
        <v>-195.2193</v>
      </c>
      <c r="H1371" s="1">
        <v>6.2893619999999899E-7</v>
      </c>
      <c r="I1371">
        <v>296.51710000000003</v>
      </c>
      <c r="J1371">
        <v>-191.80930000000001</v>
      </c>
      <c r="K1371">
        <v>1.110152</v>
      </c>
      <c r="L1371">
        <v>317.52210000000002</v>
      </c>
      <c r="M1371">
        <v>1.0057969999999999E-2</v>
      </c>
      <c r="N1371">
        <v>0</v>
      </c>
      <c r="O1371">
        <v>-0.99986090000000005</v>
      </c>
      <c r="P1371">
        <v>-5.96299E-2</v>
      </c>
      <c r="Q1371">
        <v>-5.3574779999999997E-3</v>
      </c>
      <c r="R1371">
        <v>-0.9982065</v>
      </c>
      <c r="S1371">
        <v>-0.47898859999999899</v>
      </c>
      <c r="T1371">
        <v>-0.15598020000000001</v>
      </c>
      <c r="U1371">
        <v>-2.9763489999999999</v>
      </c>
      <c r="V1371">
        <v>6.9675619999999994E-2</v>
      </c>
      <c r="W1371">
        <v>7.8670809999999997E-3</v>
      </c>
      <c r="X1371">
        <v>0.9975387</v>
      </c>
      <c r="Y1371">
        <v>0.16859830000000001</v>
      </c>
      <c r="Z1371">
        <v>5.1624940000000001E-2</v>
      </c>
      <c r="AA1371">
        <v>0.98433199999999998</v>
      </c>
      <c r="AB1371">
        <v>17</v>
      </c>
      <c r="AC1371">
        <v>-3.4099999999999899</v>
      </c>
      <c r="AD1371">
        <v>-1.1101513710638</v>
      </c>
      <c r="AE1371">
        <v>-21.0049999999999</v>
      </c>
      <c r="AF1371">
        <v>3.6112854347513599</v>
      </c>
      <c r="AG1371">
        <v>-1.1101513710638</v>
      </c>
      <c r="AH1371">
        <v>20.912720925595</v>
      </c>
      <c r="AI1371">
        <v>92.994456682079104</v>
      </c>
      <c r="AJ1371">
        <v>80.202577130982803</v>
      </c>
      <c r="AK1371">
        <v>21.251252082400701</v>
      </c>
      <c r="AL1371">
        <v>89.549244821155696</v>
      </c>
      <c r="AM1371">
        <v>86.004520114669603</v>
      </c>
      <c r="AN1371">
        <v>1.0000000204917601</v>
      </c>
    </row>
    <row r="1372" spans="1:40" x14ac:dyDescent="0.25">
      <c r="A1372" t="str">
        <f>"20190312154239482"</f>
        <v>20190312154239482</v>
      </c>
      <c r="B1372" t="str">
        <f>"1552376559468702"</f>
        <v>1552376559468702</v>
      </c>
      <c r="C1372" t="s">
        <v>40</v>
      </c>
      <c r="D1372">
        <v>4.6247939999999996</v>
      </c>
      <c r="E1372">
        <v>0.56796930000000001</v>
      </c>
      <c r="F1372" t="s">
        <v>43</v>
      </c>
      <c r="G1372">
        <v>-195.0763</v>
      </c>
      <c r="H1372" s="1">
        <v>-3.091546E-6</v>
      </c>
      <c r="I1372">
        <v>303.64710000000002</v>
      </c>
      <c r="J1372">
        <v>-191.80860000000001</v>
      </c>
      <c r="K1372">
        <v>1.1101529999999999</v>
      </c>
      <c r="L1372">
        <v>317.34730000000002</v>
      </c>
      <c r="M1372">
        <v>9.2084999999999997E-3</v>
      </c>
      <c r="N1372">
        <v>0</v>
      </c>
      <c r="O1372">
        <v>-0.99986889999999995</v>
      </c>
      <c r="P1372">
        <v>-6.0828060000000003E-2</v>
      </c>
      <c r="Q1372">
        <v>-5.1695730000000002E-3</v>
      </c>
      <c r="R1372">
        <v>-0.99813490000000005</v>
      </c>
      <c r="S1372">
        <v>-0.6975403</v>
      </c>
      <c r="T1372">
        <v>-0.2370332</v>
      </c>
      <c r="U1372">
        <v>-2.962494</v>
      </c>
      <c r="V1372">
        <v>7.0025699999999996E-2</v>
      </c>
      <c r="W1372">
        <v>8.052086E-3</v>
      </c>
      <c r="X1372">
        <v>0.99751270000000003</v>
      </c>
      <c r="Y1372">
        <v>0.23745340000000001</v>
      </c>
      <c r="Z1372">
        <v>7.755695E-2</v>
      </c>
      <c r="AA1372">
        <v>0.96829790000000004</v>
      </c>
      <c r="AB1372">
        <v>17</v>
      </c>
      <c r="AC1372">
        <v>-3.2676999999999898</v>
      </c>
      <c r="AD1372">
        <v>-1.110156091546</v>
      </c>
      <c r="AE1372">
        <v>-13.700199999999899</v>
      </c>
      <c r="AF1372">
        <v>3.37277664870324</v>
      </c>
      <c r="AG1372">
        <v>-1.110156091546</v>
      </c>
      <c r="AH1372">
        <v>13.5851245777187</v>
      </c>
      <c r="AI1372">
        <v>94.534680744653599</v>
      </c>
      <c r="AJ1372">
        <v>76.057094310208498</v>
      </c>
      <c r="AK1372">
        <v>14.0414984478784</v>
      </c>
      <c r="AL1372">
        <v>89.538644475356406</v>
      </c>
      <c r="AM1372">
        <v>85.984406307834902</v>
      </c>
      <c r="AN1372">
        <v>1.0000000107053599</v>
      </c>
    </row>
    <row r="1373" spans="1:40" x14ac:dyDescent="0.25">
      <c r="A1373" t="str">
        <f>"20190312154239515"</f>
        <v>20190312154239515</v>
      </c>
      <c r="B1373" t="str">
        <f>"1552376559508718"</f>
        <v>1552376559508718</v>
      </c>
      <c r="C1373" t="s">
        <v>40</v>
      </c>
      <c r="D1373">
        <v>4.5555389999999996</v>
      </c>
      <c r="E1373">
        <v>0.56830839999999905</v>
      </c>
      <c r="F1373" t="s">
        <v>43</v>
      </c>
      <c r="G1373">
        <v>-195.2852</v>
      </c>
      <c r="H1373" s="1">
        <v>-2.8797889999999998E-6</v>
      </c>
      <c r="I1373">
        <v>303.024</v>
      </c>
      <c r="J1373">
        <v>-191.80779999999999</v>
      </c>
      <c r="K1373">
        <v>1.110155</v>
      </c>
      <c r="L1373">
        <v>317.08690000000001</v>
      </c>
      <c r="M1373">
        <v>7.9427860000000003E-3</v>
      </c>
      <c r="N1373">
        <v>0</v>
      </c>
      <c r="O1373">
        <v>-0.99987990000000004</v>
      </c>
      <c r="P1373">
        <v>-6.197747E-2</v>
      </c>
      <c r="Q1373">
        <v>-5.0527150000000002E-3</v>
      </c>
      <c r="R1373">
        <v>-0.99806499999999998</v>
      </c>
      <c r="S1373">
        <v>-0.71861269999999999</v>
      </c>
      <c r="T1373">
        <v>-0.22946929999999999</v>
      </c>
      <c r="U1373">
        <v>-2.9606319999999999</v>
      </c>
      <c r="V1373">
        <v>6.9911799999999996E-2</v>
      </c>
      <c r="W1373">
        <v>8.1670019999999996E-3</v>
      </c>
      <c r="X1373">
        <v>0.99751970000000001</v>
      </c>
      <c r="Y1373">
        <v>0.24292069999999999</v>
      </c>
      <c r="Z1373">
        <v>7.5031120000000007E-2</v>
      </c>
      <c r="AA1373">
        <v>0.96714009999999995</v>
      </c>
      <c r="AB1373">
        <v>17</v>
      </c>
      <c r="AC1373">
        <v>-3.47740000000001</v>
      </c>
      <c r="AD1373">
        <v>-1.1101578797889999</v>
      </c>
      <c r="AE1373">
        <v>-14.062900000000001</v>
      </c>
      <c r="AF1373">
        <v>3.5680443813493699</v>
      </c>
      <c r="AG1373">
        <v>-1.1101578797889999</v>
      </c>
      <c r="AH1373">
        <v>13.952891113932701</v>
      </c>
      <c r="AI1373">
        <v>94.407884899560102</v>
      </c>
      <c r="AJ1373">
        <v>75.655677919099006</v>
      </c>
      <c r="AK1373">
        <v>14.444603201978101</v>
      </c>
      <c r="AL1373">
        <v>89.532060031414403</v>
      </c>
      <c r="AM1373">
        <v>85.990944580510103</v>
      </c>
      <c r="AN1373">
        <v>0.99999995579449796</v>
      </c>
    </row>
    <row r="1374" spans="1:40" x14ac:dyDescent="0.25">
      <c r="A1374" t="str">
        <f>"20190312154239537"</f>
        <v>20190312154239537</v>
      </c>
      <c r="B1374" t="str">
        <f>"1552376559528238"</f>
        <v>1552376559528238</v>
      </c>
      <c r="C1374" t="s">
        <v>40</v>
      </c>
      <c r="D1374">
        <v>4.5658859999999999</v>
      </c>
      <c r="E1374">
        <v>0.56830449999999999</v>
      </c>
      <c r="F1374" t="s">
        <v>43</v>
      </c>
      <c r="G1374">
        <v>-195.27690000000001</v>
      </c>
      <c r="H1374" s="1">
        <v>-2.8305499999999999E-6</v>
      </c>
      <c r="I1374">
        <v>302.91430000000003</v>
      </c>
      <c r="J1374">
        <v>-191.8074</v>
      </c>
      <c r="K1374">
        <v>1.1101529999999999</v>
      </c>
      <c r="L1374">
        <v>316.92</v>
      </c>
      <c r="M1374">
        <v>7.1316620000000004E-3</v>
      </c>
      <c r="N1374">
        <v>0</v>
      </c>
      <c r="O1374">
        <v>-0.99988589999999999</v>
      </c>
      <c r="P1374">
        <v>-6.2926040000000003E-2</v>
      </c>
      <c r="Q1374">
        <v>-5.2912439999999996E-3</v>
      </c>
      <c r="R1374">
        <v>-0.99800409999999995</v>
      </c>
      <c r="S1374">
        <v>-0.72445680000000001</v>
      </c>
      <c r="T1374">
        <v>-0.23183490000000001</v>
      </c>
      <c r="U1374">
        <v>-2.9596559999999998</v>
      </c>
      <c r="V1374">
        <v>7.0050399999999902E-2</v>
      </c>
      <c r="W1374">
        <v>7.9262050000000004E-3</v>
      </c>
      <c r="X1374">
        <v>0.99751199999999995</v>
      </c>
      <c r="Y1374">
        <v>0.24399570000000001</v>
      </c>
      <c r="Z1374">
        <v>7.5797180000000006E-2</v>
      </c>
      <c r="AA1374">
        <v>0.96680960000000005</v>
      </c>
      <c r="AB1374">
        <v>17</v>
      </c>
      <c r="AC1374">
        <v>-3.4695000000000098</v>
      </c>
      <c r="AD1374">
        <v>-1.1101558305499999</v>
      </c>
      <c r="AE1374">
        <v>-14.0056999999999</v>
      </c>
      <c r="AF1374">
        <v>3.5482999670746098</v>
      </c>
      <c r="AG1374">
        <v>-1.1101558305499999</v>
      </c>
      <c r="AH1374">
        <v>13.8983255637641</v>
      </c>
      <c r="AI1374">
        <v>94.425554245677802</v>
      </c>
      <c r="AJ1374">
        <v>75.678087688068203</v>
      </c>
      <c r="AK1374">
        <v>14.387019569765799</v>
      </c>
      <c r="AL1374">
        <v>89.545857167296106</v>
      </c>
      <c r="AM1374">
        <v>85.982991723371597</v>
      </c>
      <c r="AN1374">
        <v>1.00000003670493</v>
      </c>
    </row>
    <row r="1375" spans="1:40" x14ac:dyDescent="0.25">
      <c r="A1375" t="str">
        <f>"20190312154239558"</f>
        <v>20190312154239558</v>
      </c>
      <c r="B1375" t="str">
        <f>"1552376559548734"</f>
        <v>1552376559548734</v>
      </c>
      <c r="C1375" t="s">
        <v>40</v>
      </c>
      <c r="D1375">
        <v>4.5685010000000004</v>
      </c>
      <c r="E1375">
        <v>0.56810309999999997</v>
      </c>
      <c r="F1375" t="s">
        <v>43</v>
      </c>
      <c r="G1375">
        <v>-195.26929999999999</v>
      </c>
      <c r="H1375" s="1">
        <v>-2.794383E-6</v>
      </c>
      <c r="I1375">
        <v>302.8347</v>
      </c>
      <c r="J1375">
        <v>-191.80719999999999</v>
      </c>
      <c r="K1375">
        <v>1.110155</v>
      </c>
      <c r="L1375">
        <v>316.74869999999999</v>
      </c>
      <c r="M1375">
        <v>6.2992769999999998E-3</v>
      </c>
      <c r="N1375">
        <v>0</v>
      </c>
      <c r="O1375">
        <v>-0.99989130000000004</v>
      </c>
      <c r="P1375">
        <v>-6.4473680000000005E-2</v>
      </c>
      <c r="Q1375">
        <v>-5.7278829999999996E-3</v>
      </c>
      <c r="R1375">
        <v>-0.99790279999999998</v>
      </c>
      <c r="S1375">
        <v>-0.72723389999999999</v>
      </c>
      <c r="T1375">
        <v>-0.23321320000000001</v>
      </c>
      <c r="U1375">
        <v>-2.958923</v>
      </c>
      <c r="V1375">
        <v>7.0766460000000003E-2</v>
      </c>
      <c r="W1375">
        <v>7.4860980000000001E-3</v>
      </c>
      <c r="X1375">
        <v>0.99746480000000004</v>
      </c>
      <c r="Y1375">
        <v>0.24409139999999999</v>
      </c>
      <c r="Z1375">
        <v>7.6254710000000003E-2</v>
      </c>
      <c r="AA1375">
        <v>0.96674950000000004</v>
      </c>
      <c r="AB1375">
        <v>17</v>
      </c>
      <c r="AC1375">
        <v>-3.4620999999999902</v>
      </c>
      <c r="AD1375">
        <v>-1.1101577943829899</v>
      </c>
      <c r="AE1375">
        <v>-13.9139999999999</v>
      </c>
      <c r="AF1375">
        <v>3.5285342633270602</v>
      </c>
      <c r="AG1375">
        <v>-1.1101577943829899</v>
      </c>
      <c r="AH1375">
        <v>13.809129836722599</v>
      </c>
      <c r="AI1375">
        <v>94.453801352277694</v>
      </c>
      <c r="AJ1375">
        <v>75.666377933146904</v>
      </c>
      <c r="AK1375">
        <v>14.2959809465235</v>
      </c>
      <c r="AL1375">
        <v>89.571074164813894</v>
      </c>
      <c r="AM1375">
        <v>85.941874695108396</v>
      </c>
      <c r="AN1375">
        <v>0.99999998038161797</v>
      </c>
    </row>
    <row r="1376" spans="1:40" x14ac:dyDescent="0.25">
      <c r="A1376" t="str">
        <f>"20190312154239581"</f>
        <v>20190312154239581</v>
      </c>
      <c r="B1376" t="str">
        <f>"1552376559568258"</f>
        <v>1552376559568258</v>
      </c>
      <c r="C1376" t="s">
        <v>40</v>
      </c>
      <c r="D1376">
        <v>4.4709440000000003</v>
      </c>
      <c r="E1376">
        <v>0.56808910000000001</v>
      </c>
      <c r="F1376" t="s">
        <v>43</v>
      </c>
      <c r="G1376">
        <v>-195.2492</v>
      </c>
      <c r="H1376" s="1">
        <v>-2.7786899999999999E-6</v>
      </c>
      <c r="I1376">
        <v>302.81060000000002</v>
      </c>
      <c r="J1376">
        <v>-191.80719999999999</v>
      </c>
      <c r="K1376">
        <v>1.110155</v>
      </c>
      <c r="L1376">
        <v>316.57479999999998</v>
      </c>
      <c r="M1376">
        <v>5.4537569999999896E-3</v>
      </c>
      <c r="N1376">
        <v>0</v>
      </c>
      <c r="O1376">
        <v>-0.99989660000000002</v>
      </c>
      <c r="P1376">
        <v>-6.5838960000000002E-2</v>
      </c>
      <c r="Q1376">
        <v>-5.6921439999999997E-3</v>
      </c>
      <c r="R1376">
        <v>-0.99781410000000004</v>
      </c>
      <c r="S1376">
        <v>-0.73042299999999905</v>
      </c>
      <c r="T1376">
        <v>-0.23558509999999999</v>
      </c>
      <c r="U1376">
        <v>-2.9577939999999998</v>
      </c>
      <c r="V1376">
        <v>7.1287740000000002E-2</v>
      </c>
      <c r="W1376">
        <v>7.5189990000000002E-3</v>
      </c>
      <c r="X1376">
        <v>0.99742750000000002</v>
      </c>
      <c r="Y1376">
        <v>0.24432519999999999</v>
      </c>
      <c r="Z1376">
        <v>7.7042449999999998E-2</v>
      </c>
      <c r="AA1376">
        <v>0.96662800000000004</v>
      </c>
      <c r="AB1376">
        <v>17</v>
      </c>
      <c r="AC1376">
        <v>-3.4420000000000002</v>
      </c>
      <c r="AD1376">
        <v>-1.1101577786900001</v>
      </c>
      <c r="AE1376">
        <v>-13.764199999999899</v>
      </c>
      <c r="AF1376">
        <v>3.4956203303428501</v>
      </c>
      <c r="AG1376">
        <v>-1.1101577786900001</v>
      </c>
      <c r="AH1376">
        <v>13.661579592988501</v>
      </c>
      <c r="AI1376">
        <v>94.501330243352697</v>
      </c>
      <c r="AJ1376">
        <v>75.647528205480597</v>
      </c>
      <c r="AK1376">
        <v>14.145337350627299</v>
      </c>
      <c r="AL1376">
        <v>89.5691890521895</v>
      </c>
      <c r="AM1376">
        <v>85.911930346989095</v>
      </c>
      <c r="AN1376">
        <v>1.00000004748825</v>
      </c>
    </row>
    <row r="1377" spans="1:40" x14ac:dyDescent="0.25">
      <c r="A1377" t="str">
        <f>"20190312154239604"</f>
        <v>20190312154239604</v>
      </c>
      <c r="B1377" t="str">
        <f>"1552376559598510"</f>
        <v>1552376559598510</v>
      </c>
      <c r="C1377" t="s">
        <v>40</v>
      </c>
      <c r="D1377">
        <v>4.6402590000000004</v>
      </c>
      <c r="E1377">
        <v>0.56804519999999903</v>
      </c>
      <c r="F1377" t="s">
        <v>43</v>
      </c>
      <c r="G1377">
        <v>-195.25839999999999</v>
      </c>
      <c r="H1377" s="1">
        <v>-2.7247989999999999E-6</v>
      </c>
      <c r="I1377">
        <v>302.67930000000001</v>
      </c>
      <c r="J1377">
        <v>-191.80719999999999</v>
      </c>
      <c r="K1377">
        <v>1.110158</v>
      </c>
      <c r="L1377">
        <v>316.40449999999998</v>
      </c>
      <c r="M1377">
        <v>4.6262170000000002E-3</v>
      </c>
      <c r="N1377">
        <v>0</v>
      </c>
      <c r="O1377">
        <v>-0.99990089999999998</v>
      </c>
      <c r="P1377">
        <v>-6.7190899999999998E-2</v>
      </c>
      <c r="Q1377">
        <v>-5.8274750000000004E-3</v>
      </c>
      <c r="R1377">
        <v>-0.99772340000000004</v>
      </c>
      <c r="S1377">
        <v>-0.734375</v>
      </c>
      <c r="T1377">
        <v>-0.23622560000000001</v>
      </c>
      <c r="U1377">
        <v>-2.9567570000000001</v>
      </c>
      <c r="V1377">
        <v>7.1813569999999993E-2</v>
      </c>
      <c r="W1377">
        <v>7.3811980000000003E-3</v>
      </c>
      <c r="X1377">
        <v>0.99739069999999996</v>
      </c>
      <c r="Y1377">
        <v>0.244815</v>
      </c>
      <c r="Z1377">
        <v>7.7260289999999995E-2</v>
      </c>
      <c r="AA1377">
        <v>0.96648659999999997</v>
      </c>
      <c r="AB1377">
        <v>17</v>
      </c>
      <c r="AC1377">
        <v>-3.4512</v>
      </c>
      <c r="AD1377">
        <v>-1.110160724799</v>
      </c>
      <c r="AE1377">
        <v>-13.7251999999999</v>
      </c>
      <c r="AF1377">
        <v>3.4931698944830001</v>
      </c>
      <c r="AG1377">
        <v>-1.110160724799</v>
      </c>
      <c r="AH1377">
        <v>13.625245418264001</v>
      </c>
      <c r="AI1377">
        <v>94.512753442100603</v>
      </c>
      <c r="AJ1377">
        <v>75.620510319744199</v>
      </c>
      <c r="AK1377">
        <v>14.109642286554701</v>
      </c>
      <c r="AL1377">
        <v>89.577084641062797</v>
      </c>
      <c r="AM1377">
        <v>85.881728023729096</v>
      </c>
      <c r="AN1377">
        <v>0.99999993968327305</v>
      </c>
    </row>
    <row r="1378" spans="1:40" x14ac:dyDescent="0.25">
      <c r="A1378" t="str">
        <f>"20190312154239624"</f>
        <v>20190312154239624</v>
      </c>
      <c r="B1378" t="str">
        <f>"1552376559619006"</f>
        <v>1552376559619006</v>
      </c>
      <c r="C1378" t="s">
        <v>40</v>
      </c>
      <c r="D1378">
        <v>4.6380730000000003</v>
      </c>
      <c r="E1378">
        <v>0.56806669999999904</v>
      </c>
      <c r="F1378" t="s">
        <v>43</v>
      </c>
      <c r="G1378">
        <v>-195.2251</v>
      </c>
      <c r="H1378" s="1">
        <v>-2.7313349999999999E-6</v>
      </c>
      <c r="I1378">
        <v>302.71510000000001</v>
      </c>
      <c r="J1378">
        <v>-191.8074</v>
      </c>
      <c r="K1378">
        <v>1.1101479999999999</v>
      </c>
      <c r="L1378">
        <v>316.24509999999998</v>
      </c>
      <c r="M1378">
        <v>3.8508610000000001E-3</v>
      </c>
      <c r="N1378">
        <v>0</v>
      </c>
      <c r="O1378">
        <v>-0.99990420000000002</v>
      </c>
      <c r="P1378">
        <v>-6.7821419999999993E-2</v>
      </c>
      <c r="Q1378">
        <v>-5.981742E-3</v>
      </c>
      <c r="R1378">
        <v>-0.99767969999999895</v>
      </c>
      <c r="S1378">
        <v>-0.73797609999999902</v>
      </c>
      <c r="T1378">
        <v>-0.23969850000000001</v>
      </c>
      <c r="U1378">
        <v>-2.9557190000000002</v>
      </c>
      <c r="V1378">
        <v>7.1670289999999998E-2</v>
      </c>
      <c r="W1378">
        <v>7.2257519999999898E-3</v>
      </c>
      <c r="X1378">
        <v>0.99740220000000002</v>
      </c>
      <c r="Y1378">
        <v>0.2452299</v>
      </c>
      <c r="Z1378">
        <v>7.8400499999999998E-2</v>
      </c>
      <c r="AA1378">
        <v>0.96628959999999997</v>
      </c>
      <c r="AB1378">
        <v>17</v>
      </c>
      <c r="AC1378">
        <v>-3.4176999999999902</v>
      </c>
      <c r="AD1378">
        <v>-1.1101507313350001</v>
      </c>
      <c r="AE1378">
        <v>-13.5299999999999</v>
      </c>
      <c r="AF1378">
        <v>3.4479607666452998</v>
      </c>
      <c r="AG1378">
        <v>-1.1101507313350001</v>
      </c>
      <c r="AH1378">
        <v>13.4317338153633</v>
      </c>
      <c r="AI1378">
        <v>94.577093934163699</v>
      </c>
      <c r="AJ1378">
        <v>75.6028906824194</v>
      </c>
      <c r="AK1378">
        <v>13.9115901816213</v>
      </c>
      <c r="AL1378">
        <v>89.585991301908507</v>
      </c>
      <c r="AM1378">
        <v>85.889963700366195</v>
      </c>
      <c r="AN1378">
        <v>0.99999999526274397</v>
      </c>
    </row>
    <row r="1379" spans="1:40" x14ac:dyDescent="0.25">
      <c r="A1379" t="str">
        <f>"20190312154239647"</f>
        <v>20190312154239647</v>
      </c>
      <c r="B1379" t="str">
        <f>"1552376559638526"</f>
        <v>1552376559638526</v>
      </c>
      <c r="C1379" t="s">
        <v>40</v>
      </c>
      <c r="D1379">
        <v>4.6616070000000001</v>
      </c>
      <c r="E1379">
        <v>0.56808249999999905</v>
      </c>
      <c r="F1379" t="s">
        <v>43</v>
      </c>
      <c r="G1379">
        <v>-195.19049999999999</v>
      </c>
      <c r="H1379" s="1">
        <v>-2.7299899999999998E-6</v>
      </c>
      <c r="I1379">
        <v>302.73349999999999</v>
      </c>
      <c r="J1379">
        <v>-191.80779999999999</v>
      </c>
      <c r="K1379">
        <v>1.1101510000000001</v>
      </c>
      <c r="L1379">
        <v>316.06790000000001</v>
      </c>
      <c r="M1379">
        <v>2.988765E-3</v>
      </c>
      <c r="N1379">
        <v>0</v>
      </c>
      <c r="O1379">
        <v>-0.99990699999999999</v>
      </c>
      <c r="P1379">
        <v>-6.8575869999999997E-2</v>
      </c>
      <c r="Q1379">
        <v>-6.5400909999999996E-3</v>
      </c>
      <c r="R1379">
        <v>-0.99762450000000003</v>
      </c>
      <c r="S1379">
        <v>-0.73994450000000001</v>
      </c>
      <c r="T1379">
        <v>-0.2428081</v>
      </c>
      <c r="U1379">
        <v>-2.9552</v>
      </c>
      <c r="V1379">
        <v>7.1564039999999995E-2</v>
      </c>
      <c r="W1379">
        <v>6.6659589999999999E-3</v>
      </c>
      <c r="X1379">
        <v>0.99741380000000002</v>
      </c>
      <c r="Y1379">
        <v>0.24502019999999999</v>
      </c>
      <c r="Z1379">
        <v>7.9420640000000001E-2</v>
      </c>
      <c r="AA1379">
        <v>0.96625950000000005</v>
      </c>
      <c r="AB1379">
        <v>17</v>
      </c>
      <c r="AC1379">
        <v>-3.3826999999999998</v>
      </c>
      <c r="AD1379">
        <v>-1.1101537299899999</v>
      </c>
      <c r="AE1379">
        <v>-13.3344</v>
      </c>
      <c r="AF1379">
        <v>3.4003974725207202</v>
      </c>
      <c r="AG1379">
        <v>-1.1101537299899999</v>
      </c>
      <c r="AH1379">
        <v>13.2380197797691</v>
      </c>
      <c r="AI1379">
        <v>94.643610895848695</v>
      </c>
      <c r="AJ1379">
        <v>75.594105629091899</v>
      </c>
      <c r="AK1379">
        <v>13.712779148111901</v>
      </c>
      <c r="AL1379">
        <v>89.618065880146602</v>
      </c>
      <c r="AM1379">
        <v>85.896083492027799</v>
      </c>
      <c r="AN1379">
        <v>1.0000000676304699</v>
      </c>
    </row>
    <row r="1380" spans="1:40" x14ac:dyDescent="0.25">
      <c r="A1380" t="str">
        <f>"20190312154239671"</f>
        <v>20190312154239671</v>
      </c>
      <c r="B1380" t="str">
        <f>"1552376559659025"</f>
        <v>1552376559659025</v>
      </c>
      <c r="C1380" t="s">
        <v>40</v>
      </c>
      <c r="D1380">
        <v>4.7054960000000001</v>
      </c>
      <c r="E1380">
        <v>0.56809929999999997</v>
      </c>
      <c r="F1380" t="s">
        <v>43</v>
      </c>
      <c r="G1380">
        <v>-195.14179999999999</v>
      </c>
      <c r="H1380" s="1">
        <v>-2.7443149999999999E-6</v>
      </c>
      <c r="I1380">
        <v>302.7971</v>
      </c>
      <c r="J1380">
        <v>-191.8083</v>
      </c>
      <c r="K1380">
        <v>1.1101510000000001</v>
      </c>
      <c r="L1380">
        <v>315.89080000000001</v>
      </c>
      <c r="M1380">
        <v>2.1246149999999998E-3</v>
      </c>
      <c r="N1380">
        <v>0</v>
      </c>
      <c r="O1380">
        <v>-0.99990919999999905</v>
      </c>
      <c r="P1380">
        <v>-6.9829939999999993E-2</v>
      </c>
      <c r="Q1380">
        <v>-7.0506960000000004E-3</v>
      </c>
      <c r="R1380">
        <v>-0.99753400000000003</v>
      </c>
      <c r="S1380">
        <v>-0.74226380000000003</v>
      </c>
      <c r="T1380">
        <v>-0.24715570000000001</v>
      </c>
      <c r="U1380">
        <v>-2.9544980000000001</v>
      </c>
      <c r="V1380">
        <v>7.1955400000000003E-2</v>
      </c>
      <c r="W1380">
        <v>6.152416E-3</v>
      </c>
      <c r="X1380">
        <v>0.99738890000000002</v>
      </c>
      <c r="Y1380">
        <v>0.24492230000000001</v>
      </c>
      <c r="Z1380">
        <v>8.0845449999999999E-2</v>
      </c>
      <c r="AA1380">
        <v>0.96616610000000003</v>
      </c>
      <c r="AB1380">
        <v>17</v>
      </c>
      <c r="AC1380">
        <v>-3.3334999999999799</v>
      </c>
      <c r="AD1380">
        <v>-1.110153744315</v>
      </c>
      <c r="AE1380">
        <v>-13.0937</v>
      </c>
      <c r="AF1380">
        <v>3.3387739892799999</v>
      </c>
      <c r="AG1380">
        <v>-1.110153744315</v>
      </c>
      <c r="AH1380">
        <v>12.9988324593479</v>
      </c>
      <c r="AI1380">
        <v>94.728688635197997</v>
      </c>
      <c r="AJ1380">
        <v>75.594868064382894</v>
      </c>
      <c r="AK1380">
        <v>13.466606788411999</v>
      </c>
      <c r="AL1380">
        <v>89.647490314240201</v>
      </c>
      <c r="AM1380">
        <v>85.873615186004102</v>
      </c>
      <c r="AN1380">
        <v>1.0000000248275001</v>
      </c>
    </row>
    <row r="1381" spans="1:40" x14ac:dyDescent="0.25">
      <c r="A1381" t="str">
        <f>"20190312154239695"</f>
        <v>20190312154239695</v>
      </c>
      <c r="B1381" t="str">
        <f>"1552376559688302"</f>
        <v>1552376559688302</v>
      </c>
      <c r="C1381" t="s">
        <v>40</v>
      </c>
      <c r="D1381">
        <v>4.6201129999999999</v>
      </c>
      <c r="E1381">
        <v>0.55693609999999905</v>
      </c>
      <c r="F1381" t="s">
        <v>43</v>
      </c>
      <c r="G1381">
        <v>-195.1183</v>
      </c>
      <c r="H1381" s="1">
        <v>-2.7347479999999999E-6</v>
      </c>
      <c r="I1381">
        <v>302.7894</v>
      </c>
      <c r="J1381">
        <v>-191.809</v>
      </c>
      <c r="K1381">
        <v>1.1101490000000001</v>
      </c>
      <c r="L1381">
        <v>315.70890000000003</v>
      </c>
      <c r="M1381">
        <v>1.230166E-3</v>
      </c>
      <c r="N1381">
        <v>0</v>
      </c>
      <c r="O1381">
        <v>-0.99991059999999998</v>
      </c>
      <c r="P1381">
        <v>-7.1096660000000006E-2</v>
      </c>
      <c r="Q1381">
        <v>-7.560275E-3</v>
      </c>
      <c r="R1381">
        <v>-0.99744060000000001</v>
      </c>
      <c r="S1381">
        <v>-0.74617</v>
      </c>
      <c r="T1381">
        <v>-0.25025629999999999</v>
      </c>
      <c r="U1381">
        <v>-2.9533999999999998</v>
      </c>
      <c r="V1381">
        <v>7.2329329999999997E-2</v>
      </c>
      <c r="W1381">
        <v>5.6398250000000002E-3</v>
      </c>
      <c r="X1381">
        <v>0.9973649</v>
      </c>
      <c r="Y1381">
        <v>0.2453214</v>
      </c>
      <c r="Z1381">
        <v>8.1865110000000005E-2</v>
      </c>
      <c r="AA1381">
        <v>0.96597900000000003</v>
      </c>
      <c r="AB1381">
        <v>17</v>
      </c>
      <c r="AC1381">
        <v>-3.3092999999999702</v>
      </c>
      <c r="AD1381">
        <v>-1.1101517347480001</v>
      </c>
      <c r="AE1381">
        <v>-12.919499999999999</v>
      </c>
      <c r="AF1381">
        <v>3.30231012936957</v>
      </c>
      <c r="AG1381">
        <v>-1.1101517347480001</v>
      </c>
      <c r="AH1381">
        <v>12.8265429884555</v>
      </c>
      <c r="AI1381">
        <v>94.791204582967893</v>
      </c>
      <c r="AJ1381">
        <v>75.562232932524694</v>
      </c>
      <c r="AK1381">
        <v>13.2912713500025</v>
      </c>
      <c r="AL1381">
        <v>89.676860130708107</v>
      </c>
      <c r="AM1381">
        <v>85.852146824378394</v>
      </c>
      <c r="AN1381">
        <v>1.0000000416781401</v>
      </c>
    </row>
    <row r="1382" spans="1:40" x14ac:dyDescent="0.25">
      <c r="A1382" t="str">
        <f>"20190312154239716"</f>
        <v>20190312154239716</v>
      </c>
      <c r="B1382" t="str">
        <f>"1552376559708798"</f>
        <v>1552376559708798</v>
      </c>
      <c r="C1382" t="s">
        <v>40</v>
      </c>
      <c r="D1382">
        <v>4.6587050000000003</v>
      </c>
      <c r="E1382">
        <v>0.5553188</v>
      </c>
      <c r="F1382" t="s">
        <v>43</v>
      </c>
      <c r="G1382">
        <v>-194.68</v>
      </c>
      <c r="H1382" s="1">
        <v>-2.6493359999999999E-6</v>
      </c>
      <c r="I1382">
        <v>302.8621</v>
      </c>
      <c r="J1382">
        <v>-191.80969999999999</v>
      </c>
      <c r="K1382">
        <v>1.1101449999999999</v>
      </c>
      <c r="L1382">
        <v>315.54430000000002</v>
      </c>
      <c r="M1382">
        <v>4.1427409999999999E-4</v>
      </c>
      <c r="N1382">
        <v>0</v>
      </c>
      <c r="O1382">
        <v>-0.99991180000000002</v>
      </c>
      <c r="P1382">
        <v>-7.267962E-2</v>
      </c>
      <c r="Q1382">
        <v>-7.8017440000000002E-3</v>
      </c>
      <c r="R1382">
        <v>-0.99732520000000002</v>
      </c>
      <c r="S1382">
        <v>-0.66120909999999999</v>
      </c>
      <c r="T1382">
        <v>-0.25566759999999999</v>
      </c>
      <c r="U1382">
        <v>-2.958618</v>
      </c>
      <c r="V1382">
        <v>7.3098179999999999E-2</v>
      </c>
      <c r="W1382">
        <v>5.394734E-3</v>
      </c>
      <c r="X1382">
        <v>0.99731020000000004</v>
      </c>
      <c r="Y1382">
        <v>0.2177383</v>
      </c>
      <c r="Z1382">
        <v>8.4031949999999994E-2</v>
      </c>
      <c r="AA1382">
        <v>0.972383</v>
      </c>
      <c r="AB1382">
        <v>17</v>
      </c>
      <c r="AC1382">
        <v>-2.8703000000000101</v>
      </c>
      <c r="AD1382">
        <v>-1.1101476493359901</v>
      </c>
      <c r="AE1382">
        <v>-12.6822</v>
      </c>
      <c r="AF1382">
        <v>2.85474543050054</v>
      </c>
      <c r="AG1382">
        <v>-1.1101476493359901</v>
      </c>
      <c r="AH1382">
        <v>12.5892447103843</v>
      </c>
      <c r="AI1382">
        <v>94.915280021447401</v>
      </c>
      <c r="AJ1382">
        <v>77.223635326144105</v>
      </c>
      <c r="AK1382">
        <v>12.9565073092338</v>
      </c>
      <c r="AL1382">
        <v>89.690903023597201</v>
      </c>
      <c r="AM1382">
        <v>85.807983013766304</v>
      </c>
      <c r="AN1382">
        <v>1.0000000410491401</v>
      </c>
    </row>
    <row r="1383" spans="1:40" x14ac:dyDescent="0.25">
      <c r="A1383" t="str">
        <f>"20190312154239738"</f>
        <v>20190312154239738</v>
      </c>
      <c r="B1383" t="str">
        <f>"1552376559728318"</f>
        <v>1552376559728318</v>
      </c>
      <c r="C1383" t="s">
        <v>40</v>
      </c>
      <c r="D1383">
        <v>4.710172</v>
      </c>
      <c r="E1383">
        <v>0.55498179999999997</v>
      </c>
      <c r="F1383" t="s">
        <v>43</v>
      </c>
      <c r="G1383">
        <v>-194.65440000000001</v>
      </c>
      <c r="H1383" s="1">
        <v>-2.5545880000000002E-6</v>
      </c>
      <c r="I1383">
        <v>302.65719999999999</v>
      </c>
      <c r="J1383">
        <v>-191.8107</v>
      </c>
      <c r="K1383">
        <v>1.1101350000000001</v>
      </c>
      <c r="L1383">
        <v>315.37990000000002</v>
      </c>
      <c r="M1383">
        <v>-4.1346269999999999E-4</v>
      </c>
      <c r="N1383">
        <v>0</v>
      </c>
      <c r="O1383">
        <v>-0.99991180000000002</v>
      </c>
      <c r="P1383">
        <v>-7.3912149999999996E-2</v>
      </c>
      <c r="Q1383">
        <v>-8.0290880000000002E-3</v>
      </c>
      <c r="R1383">
        <v>-0.99723300000000004</v>
      </c>
      <c r="S1383">
        <v>-0.65304569999999995</v>
      </c>
      <c r="T1383">
        <v>-0.25485730000000001</v>
      </c>
      <c r="U1383">
        <v>-2.9584959999999998</v>
      </c>
      <c r="V1383">
        <v>7.3505009999999996E-2</v>
      </c>
      <c r="W1383">
        <v>5.1634719999999997E-3</v>
      </c>
      <c r="X1383">
        <v>0.99728150000000004</v>
      </c>
      <c r="Y1383">
        <v>0.21438450000000001</v>
      </c>
      <c r="Z1383">
        <v>8.3826970000000001E-2</v>
      </c>
      <c r="AA1383">
        <v>0.97314560000000006</v>
      </c>
      <c r="AB1383">
        <v>17</v>
      </c>
      <c r="AC1383">
        <v>-2.8437000000000099</v>
      </c>
      <c r="AD1383">
        <v>-1.1101375545879999</v>
      </c>
      <c r="AE1383">
        <v>-12.7227</v>
      </c>
      <c r="AF1383">
        <v>2.8180044054023199</v>
      </c>
      <c r="AG1383">
        <v>-1.1101375545879999</v>
      </c>
      <c r="AH1383">
        <v>12.632272896956</v>
      </c>
      <c r="AI1383">
        <v>94.902417801830694</v>
      </c>
      <c r="AJ1383">
        <v>77.424379664950493</v>
      </c>
      <c r="AK1383">
        <v>12.9902991790852</v>
      </c>
      <c r="AL1383">
        <v>89.704153537788201</v>
      </c>
      <c r="AM1383">
        <v>85.784615217437803</v>
      </c>
      <c r="AN1383">
        <v>1.0000000190902201</v>
      </c>
    </row>
    <row r="1384" spans="1:40" x14ac:dyDescent="0.25">
      <c r="A1384" t="str">
        <f>"20190312154239760"</f>
        <v>20190312154239760</v>
      </c>
      <c r="B1384" t="str">
        <f>"1552376559748814"</f>
        <v>1552376559748814</v>
      </c>
      <c r="C1384" t="s">
        <v>40</v>
      </c>
      <c r="D1384">
        <v>4.6863799999999998</v>
      </c>
      <c r="E1384">
        <v>0.55486069999999998</v>
      </c>
      <c r="F1384" t="s">
        <v>43</v>
      </c>
      <c r="G1384">
        <v>-194.62440000000001</v>
      </c>
      <c r="H1384" s="1">
        <v>-2.5443610000000001E-6</v>
      </c>
      <c r="I1384">
        <v>302.65190000000001</v>
      </c>
      <c r="J1384">
        <v>-191.81180000000001</v>
      </c>
      <c r="K1384">
        <v>1.110125</v>
      </c>
      <c r="L1384">
        <v>315.20780000000002</v>
      </c>
      <c r="M1384">
        <v>-1.305465E-3</v>
      </c>
      <c r="N1384">
        <v>0</v>
      </c>
      <c r="O1384">
        <v>-0.99991090000000005</v>
      </c>
      <c r="P1384">
        <v>-7.5321760000000001E-2</v>
      </c>
      <c r="Q1384">
        <v>-8.8194320000000003E-3</v>
      </c>
      <c r="R1384">
        <v>-0.99712040000000002</v>
      </c>
      <c r="S1384">
        <v>-0.65385439999999995</v>
      </c>
      <c r="T1384">
        <v>-0.25797629999999999</v>
      </c>
      <c r="U1384">
        <v>-2.9577640000000001</v>
      </c>
      <c r="V1384">
        <v>7.4024469999999995E-2</v>
      </c>
      <c r="W1384">
        <v>4.3681170000000004E-3</v>
      </c>
      <c r="X1384">
        <v>0.99724690000000005</v>
      </c>
      <c r="Y1384">
        <v>0.21379870000000001</v>
      </c>
      <c r="Z1384">
        <v>8.4868689999999997E-2</v>
      </c>
      <c r="AA1384">
        <v>0.97318419999999894</v>
      </c>
      <c r="AB1384">
        <v>17</v>
      </c>
      <c r="AC1384">
        <v>-2.8126000000000002</v>
      </c>
      <c r="AD1384">
        <v>-1.1101275443609999</v>
      </c>
      <c r="AE1384">
        <v>-12.555899999999999</v>
      </c>
      <c r="AF1384">
        <v>2.7755446439962799</v>
      </c>
      <c r="AG1384">
        <v>-1.1101275443609999</v>
      </c>
      <c r="AH1384">
        <v>12.4667629677599</v>
      </c>
      <c r="AI1384">
        <v>94.967600832067006</v>
      </c>
      <c r="AJ1384">
        <v>77.448626712935294</v>
      </c>
      <c r="AK1384">
        <v>12.820148600147901</v>
      </c>
      <c r="AL1384">
        <v>89.7497245458637</v>
      </c>
      <c r="AM1384">
        <v>85.754786861577898</v>
      </c>
      <c r="AN1384">
        <v>1.00000004108225</v>
      </c>
    </row>
    <row r="1385" spans="1:40" x14ac:dyDescent="0.25">
      <c r="A1385" t="str">
        <f>"20190312154239781"</f>
        <v>20190312154239781</v>
      </c>
      <c r="B1385" t="str">
        <f>"1552376559779070"</f>
        <v>1552376559779070</v>
      </c>
      <c r="C1385" t="s">
        <v>40</v>
      </c>
      <c r="D1385">
        <v>4.7472089999999998</v>
      </c>
      <c r="E1385">
        <v>0.55481459999999905</v>
      </c>
      <c r="F1385" t="s">
        <v>43</v>
      </c>
      <c r="G1385">
        <v>-194.59710000000001</v>
      </c>
      <c r="H1385" s="1">
        <v>-2.5495349999999998E-6</v>
      </c>
      <c r="I1385">
        <v>302.68090000000001</v>
      </c>
      <c r="J1385">
        <v>-191.81299999999999</v>
      </c>
      <c r="K1385">
        <v>1.1100950000000001</v>
      </c>
      <c r="L1385">
        <v>315.04289999999997</v>
      </c>
      <c r="M1385">
        <v>-2.1960080000000002E-3</v>
      </c>
      <c r="N1385">
        <v>0</v>
      </c>
      <c r="O1385">
        <v>-0.9999093</v>
      </c>
      <c r="P1385">
        <v>-7.6657329999999996E-2</v>
      </c>
      <c r="Q1385">
        <v>-9.5499750000000005E-3</v>
      </c>
      <c r="R1385">
        <v>-0.99701189999999995</v>
      </c>
      <c r="S1385">
        <v>-0.65742489999999998</v>
      </c>
      <c r="T1385">
        <v>-0.26202300000000001</v>
      </c>
      <c r="U1385">
        <v>-2.9567260000000002</v>
      </c>
      <c r="V1385">
        <v>7.4471519999999999E-2</v>
      </c>
      <c r="W1385">
        <v>3.6309319999999999E-3</v>
      </c>
      <c r="X1385">
        <v>0.99721649999999995</v>
      </c>
      <c r="Y1385">
        <v>0.21409610000000001</v>
      </c>
      <c r="Z1385">
        <v>8.620514E-2</v>
      </c>
      <c r="AA1385">
        <v>0.97300129999999996</v>
      </c>
      <c r="AB1385">
        <v>17</v>
      </c>
      <c r="AC1385">
        <v>-2.78410000000002</v>
      </c>
      <c r="AD1385">
        <v>-1.1100975495350001</v>
      </c>
      <c r="AE1385">
        <v>-12.361999999999901</v>
      </c>
      <c r="AF1385">
        <v>2.7359464735652299</v>
      </c>
      <c r="AG1385">
        <v>-1.1100975495350001</v>
      </c>
      <c r="AH1385">
        <v>12.273887146929701</v>
      </c>
      <c r="AI1385">
        <v>95.044837770689696</v>
      </c>
      <c r="AJ1385">
        <v>77.433759774225805</v>
      </c>
      <c r="AK1385">
        <v>12.6240257196848</v>
      </c>
      <c r="AL1385">
        <v>89.791962457220194</v>
      </c>
      <c r="AM1385">
        <v>85.729113951511593</v>
      </c>
      <c r="AN1385">
        <v>0.99999996941527403</v>
      </c>
    </row>
    <row r="1386" spans="1:40" x14ac:dyDescent="0.25">
      <c r="A1386" t="str">
        <f>"20190312154239803"</f>
        <v>20190312154239803</v>
      </c>
      <c r="B1386" t="str">
        <f>"1552376559798590"</f>
        <v>1552376559798590</v>
      </c>
      <c r="C1386" t="s">
        <v>40</v>
      </c>
      <c r="D1386">
        <v>4.7133589999999996</v>
      </c>
      <c r="E1386">
        <v>0.55479000000000001</v>
      </c>
      <c r="F1386" t="s">
        <v>43</v>
      </c>
      <c r="G1386">
        <v>-194.58779999999999</v>
      </c>
      <c r="H1386" s="1">
        <v>-2.528539E-6</v>
      </c>
      <c r="I1386">
        <v>302.6377</v>
      </c>
      <c r="J1386">
        <v>-191.81450000000001</v>
      </c>
      <c r="K1386">
        <v>1.110063</v>
      </c>
      <c r="L1386">
        <v>314.87790000000001</v>
      </c>
      <c r="M1386">
        <v>-3.1351270000000001E-3</v>
      </c>
      <c r="N1386">
        <v>0</v>
      </c>
      <c r="O1386">
        <v>-0.99990670000000004</v>
      </c>
      <c r="P1386">
        <v>-7.7983830000000004E-2</v>
      </c>
      <c r="Q1386">
        <v>-1.050213E-2</v>
      </c>
      <c r="R1386">
        <v>-0.99689939999999999</v>
      </c>
      <c r="S1386">
        <v>-0.66110230000000003</v>
      </c>
      <c r="T1386">
        <v>-0.26448850000000002</v>
      </c>
      <c r="U1386">
        <v>-2.9556269999999998</v>
      </c>
      <c r="V1386">
        <v>7.4860940000000001E-2</v>
      </c>
      <c r="W1386">
        <v>2.6710639999999999E-3</v>
      </c>
      <c r="X1386">
        <v>0.99719040000000003</v>
      </c>
      <c r="Y1386">
        <v>0.2143931</v>
      </c>
      <c r="Z1386">
        <v>8.7026629999999994E-2</v>
      </c>
      <c r="AA1386">
        <v>0.97286280000000003</v>
      </c>
      <c r="AB1386">
        <v>17</v>
      </c>
      <c r="AC1386">
        <v>-2.7732999999999701</v>
      </c>
      <c r="AD1386">
        <v>-1.110065528539</v>
      </c>
      <c r="AE1386">
        <v>-12.2402</v>
      </c>
      <c r="AF1386">
        <v>2.7136790099636601</v>
      </c>
      <c r="AG1386">
        <v>-1.110065528539</v>
      </c>
      <c r="AH1386">
        <v>12.153755197957301</v>
      </c>
      <c r="AI1386">
        <v>95.093895711946502</v>
      </c>
      <c r="AJ1386">
        <v>77.413502516415704</v>
      </c>
      <c r="AK1386">
        <v>12.502402355493199</v>
      </c>
      <c r="AL1386">
        <v>89.846959123150697</v>
      </c>
      <c r="AM1386">
        <v>85.706752340105893</v>
      </c>
      <c r="AN1386">
        <v>0.999999994386367</v>
      </c>
    </row>
    <row r="1387" spans="1:40" x14ac:dyDescent="0.25">
      <c r="A1387" t="str">
        <f>"20190312154239826"</f>
        <v>20190312154239826</v>
      </c>
      <c r="B1387" t="str">
        <f>"1552376559819087"</f>
        <v>1552376559819087</v>
      </c>
      <c r="C1387" t="s">
        <v>40</v>
      </c>
      <c r="D1387">
        <v>4.7464849999999998</v>
      </c>
      <c r="E1387">
        <v>0.55483139999999997</v>
      </c>
      <c r="F1387" t="s">
        <v>43</v>
      </c>
      <c r="G1387">
        <v>-194.53800000000001</v>
      </c>
      <c r="H1387" s="1">
        <v>-2.5707330000000001E-6</v>
      </c>
      <c r="I1387">
        <v>302.767</v>
      </c>
      <c r="J1387">
        <v>-191.81630000000001</v>
      </c>
      <c r="K1387">
        <v>1.1100209999999999</v>
      </c>
      <c r="L1387">
        <v>314.7029</v>
      </c>
      <c r="M1387">
        <v>-4.1983569999999998E-3</v>
      </c>
      <c r="N1387">
        <v>0</v>
      </c>
      <c r="O1387">
        <v>-0.99990299999999999</v>
      </c>
      <c r="P1387">
        <v>-7.9264390000000004E-2</v>
      </c>
      <c r="Q1387">
        <v>-1.126507E-2</v>
      </c>
      <c r="R1387">
        <v>-0.99679019999999996</v>
      </c>
      <c r="S1387">
        <v>-0.66441349999999999</v>
      </c>
      <c r="T1387">
        <v>-0.27080599999999999</v>
      </c>
      <c r="U1387">
        <v>-2.954529</v>
      </c>
      <c r="V1387">
        <v>7.5080889999999997E-2</v>
      </c>
      <c r="W1387">
        <v>1.8990669999999999E-3</v>
      </c>
      <c r="X1387">
        <v>0.99717560000000005</v>
      </c>
      <c r="Y1387">
        <v>0.2144295</v>
      </c>
      <c r="Z1387">
        <v>8.910912E-2</v>
      </c>
      <c r="AA1387">
        <v>0.97266620000000004</v>
      </c>
      <c r="AB1387">
        <v>17</v>
      </c>
      <c r="AC1387">
        <v>-2.72169999999997</v>
      </c>
      <c r="AD1387">
        <v>-1.110023570733</v>
      </c>
      <c r="AE1387">
        <v>-11.9359</v>
      </c>
      <c r="AF1387">
        <v>2.6497758450318898</v>
      </c>
      <c r="AG1387">
        <v>-1.110023570733</v>
      </c>
      <c r="AH1387">
        <v>11.8498018096198</v>
      </c>
      <c r="AI1387">
        <v>95.223276679989993</v>
      </c>
      <c r="AJ1387">
        <v>77.395250761649294</v>
      </c>
      <c r="AK1387">
        <v>12.193082763754401</v>
      </c>
      <c r="AL1387">
        <v>89.891191406335906</v>
      </c>
      <c r="AM1387">
        <v>85.694121991680106</v>
      </c>
      <c r="AN1387">
        <v>0.99999996186701001</v>
      </c>
    </row>
    <row r="1388" spans="1:40" x14ac:dyDescent="0.25">
      <c r="A1388" t="str">
        <f>"20190312154239850"</f>
        <v>20190312154239850</v>
      </c>
      <c r="B1388" t="str">
        <f>"1552376559838606"</f>
        <v>1552376559838606</v>
      </c>
      <c r="C1388" t="s">
        <v>40</v>
      </c>
      <c r="D1388">
        <v>4.7483339999999998</v>
      </c>
      <c r="E1388">
        <v>0.55488199999999999</v>
      </c>
      <c r="F1388" t="s">
        <v>43</v>
      </c>
      <c r="G1388">
        <v>-194.4991</v>
      </c>
      <c r="H1388" s="1">
        <v>-2.5956909999999999E-6</v>
      </c>
      <c r="I1388">
        <v>302.84930000000003</v>
      </c>
      <c r="J1388">
        <v>-191.81829999999999</v>
      </c>
      <c r="K1388">
        <v>1.10996299999999</v>
      </c>
      <c r="L1388">
        <v>314.53269999999998</v>
      </c>
      <c r="M1388">
        <v>-5.3219859999999999E-3</v>
      </c>
      <c r="N1388">
        <v>0</v>
      </c>
      <c r="O1388">
        <v>-0.9998977</v>
      </c>
      <c r="P1388">
        <v>-8.0504610000000004E-2</v>
      </c>
      <c r="Q1388">
        <v>-1.2573529999999999E-2</v>
      </c>
      <c r="R1388">
        <v>-0.99667510000000004</v>
      </c>
      <c r="S1388">
        <v>-0.66844179999999997</v>
      </c>
      <c r="T1388">
        <v>-0.27657009999999899</v>
      </c>
      <c r="U1388">
        <v>-2.9533999999999998</v>
      </c>
      <c r="V1388">
        <v>7.5199569999999993E-2</v>
      </c>
      <c r="W1388">
        <v>5.8013599999999998E-4</v>
      </c>
      <c r="X1388">
        <v>0.99716839999999995</v>
      </c>
      <c r="Y1388">
        <v>0.2146363</v>
      </c>
      <c r="Z1388">
        <v>9.1007370000000004E-2</v>
      </c>
      <c r="AA1388">
        <v>0.9724448</v>
      </c>
      <c r="AB1388">
        <v>17</v>
      </c>
      <c r="AC1388">
        <v>-2.6808000000000001</v>
      </c>
      <c r="AD1388">
        <v>-1.10996559569099</v>
      </c>
      <c r="AE1388">
        <v>-11.683399999999899</v>
      </c>
      <c r="AF1388">
        <v>2.5963161509765902</v>
      </c>
      <c r="AG1388">
        <v>-1.10996559569099</v>
      </c>
      <c r="AH1388">
        <v>11.598058114674201</v>
      </c>
      <c r="AI1388">
        <v>95.335450665223405</v>
      </c>
      <c r="AJ1388">
        <v>77.3819197672439</v>
      </c>
      <c r="AK1388">
        <v>11.936826764714301</v>
      </c>
      <c r="AL1388">
        <v>89.966760655949798</v>
      </c>
      <c r="AM1388">
        <v>85.687310347747598</v>
      </c>
      <c r="AN1388">
        <v>1.00000006492225</v>
      </c>
    </row>
    <row r="1389" spans="1:40" x14ac:dyDescent="0.25">
      <c r="A1389" t="str">
        <f>"20190312154239871"</f>
        <v>20190312154239871</v>
      </c>
      <c r="B1389" t="str">
        <f>"1552376559859102"</f>
        <v>1552376559859102</v>
      </c>
      <c r="C1389" t="s">
        <v>40</v>
      </c>
      <c r="D1389">
        <v>4.7087079999999997</v>
      </c>
      <c r="E1389">
        <v>0.55486689999999905</v>
      </c>
      <c r="F1389" t="s">
        <v>43</v>
      </c>
      <c r="G1389">
        <v>-194.46340000000001</v>
      </c>
      <c r="H1389" s="1">
        <v>-2.616352E-6</v>
      </c>
      <c r="I1389">
        <v>302.9196</v>
      </c>
      <c r="J1389">
        <v>-191.82050000000001</v>
      </c>
      <c r="K1389">
        <v>1.1098969999999999</v>
      </c>
      <c r="L1389">
        <v>314.3707</v>
      </c>
      <c r="M1389">
        <v>-6.4860550000000001E-3</v>
      </c>
      <c r="N1389">
        <v>0</v>
      </c>
      <c r="O1389">
        <v>-0.99989070000000002</v>
      </c>
      <c r="P1389">
        <v>-8.183878E-2</v>
      </c>
      <c r="Q1389">
        <v>-1.376984E-2</v>
      </c>
      <c r="R1389">
        <v>-0.99655070000000001</v>
      </c>
      <c r="S1389">
        <v>-0.67240909999999998</v>
      </c>
      <c r="T1389">
        <v>-0.28216269999999999</v>
      </c>
      <c r="U1389">
        <v>-2.9521480000000002</v>
      </c>
      <c r="V1389">
        <v>7.5371919999999995E-2</v>
      </c>
      <c r="W1389">
        <v>-6.2731709999999999E-4</v>
      </c>
      <c r="X1389">
        <v>0.99715529999999997</v>
      </c>
      <c r="Y1389">
        <v>0.21479309999999999</v>
      </c>
      <c r="Z1389">
        <v>9.2853519999999995E-2</v>
      </c>
      <c r="AA1389">
        <v>0.97223559999999998</v>
      </c>
      <c r="AB1389">
        <v>17</v>
      </c>
      <c r="AC1389">
        <v>-2.6428999999999898</v>
      </c>
      <c r="AD1389">
        <v>-1.1098996163520001</v>
      </c>
      <c r="AE1389">
        <v>-11.451099999999901</v>
      </c>
      <c r="AF1389">
        <v>2.5458579342378602</v>
      </c>
      <c r="AG1389">
        <v>-1.1098996163520001</v>
      </c>
      <c r="AH1389">
        <v>11.366619536759799</v>
      </c>
      <c r="AI1389">
        <v>95.442982266534898</v>
      </c>
      <c r="AJ1389">
        <v>77.375434333816202</v>
      </c>
      <c r="AK1389">
        <v>11.7009960889298</v>
      </c>
      <c r="AL1389">
        <v>90.0359426243851</v>
      </c>
      <c r="AM1389">
        <v>85.677406936136705</v>
      </c>
      <c r="AN1389">
        <v>1.0000000060846601</v>
      </c>
    </row>
    <row r="1390" spans="1:40" x14ac:dyDescent="0.25">
      <c r="A1390" t="str">
        <f>"20190312154239896"</f>
        <v>20190312154239896</v>
      </c>
      <c r="B1390" t="str">
        <f>"1552376559888383"</f>
        <v>1552376559888383</v>
      </c>
      <c r="C1390" t="s">
        <v>40</v>
      </c>
      <c r="D1390">
        <v>4.7150349999999897</v>
      </c>
      <c r="E1390">
        <v>0.5380585</v>
      </c>
      <c r="F1390" t="s">
        <v>43</v>
      </c>
      <c r="G1390">
        <v>-194.45089999999999</v>
      </c>
      <c r="H1390" s="1">
        <v>-2.5999350000000002E-6</v>
      </c>
      <c r="I1390">
        <v>302.88909999999998</v>
      </c>
      <c r="J1390">
        <v>-191.8235</v>
      </c>
      <c r="K1390">
        <v>1.109836</v>
      </c>
      <c r="L1390">
        <v>314.18209999999999</v>
      </c>
      <c r="M1390">
        <v>-7.9470530000000008E-3</v>
      </c>
      <c r="N1390">
        <v>0</v>
      </c>
      <c r="O1390">
        <v>-0.9998802</v>
      </c>
      <c r="P1390">
        <v>-8.3257150000000002E-2</v>
      </c>
      <c r="Q1390">
        <v>-1.471157E-2</v>
      </c>
      <c r="R1390">
        <v>-0.99641970000000002</v>
      </c>
      <c r="S1390">
        <v>-0.6760254</v>
      </c>
      <c r="T1390">
        <v>-0.2852594</v>
      </c>
      <c r="U1390">
        <v>-2.9509280000000002</v>
      </c>
      <c r="V1390">
        <v>7.5332670000000004E-2</v>
      </c>
      <c r="W1390">
        <v>-1.580314E-3</v>
      </c>
      <c r="X1390">
        <v>0.99715719999999997</v>
      </c>
      <c r="Y1390">
        <v>0.21456420000000001</v>
      </c>
      <c r="Z1390">
        <v>9.3889329999999993E-2</v>
      </c>
      <c r="AA1390">
        <v>0.97218669999999996</v>
      </c>
      <c r="AB1390">
        <v>17</v>
      </c>
      <c r="AC1390">
        <v>-2.62739999999999</v>
      </c>
      <c r="AD1390">
        <v>-1.109838599935</v>
      </c>
      <c r="AE1390">
        <v>-11.292999999999999</v>
      </c>
      <c r="AF1390">
        <v>2.51452407063005</v>
      </c>
      <c r="AG1390">
        <v>-1.109838599935</v>
      </c>
      <c r="AH1390">
        <v>11.2108078680511</v>
      </c>
      <c r="AI1390">
        <v>95.5174933891618</v>
      </c>
      <c r="AJ1390">
        <v>77.358089300069906</v>
      </c>
      <c r="AK1390">
        <v>11.542824007756501</v>
      </c>
      <c r="AL1390">
        <v>90.090545360642693</v>
      </c>
      <c r="AM1390">
        <v>85.679657606540204</v>
      </c>
      <c r="AN1390">
        <v>0.99999999503675296</v>
      </c>
    </row>
    <row r="1391" spans="1:40" x14ac:dyDescent="0.25">
      <c r="A1391" t="str">
        <f>"20190312154239917"</f>
        <v>20190312154239917</v>
      </c>
      <c r="B1391" t="str">
        <f>"1552376559908881"</f>
        <v>1552376559908881</v>
      </c>
      <c r="C1391" t="s">
        <v>40</v>
      </c>
      <c r="D1391">
        <v>4.7434219999999998</v>
      </c>
      <c r="E1391">
        <v>0.53529919999999998</v>
      </c>
      <c r="F1391" t="s">
        <v>41</v>
      </c>
      <c r="G1391">
        <v>-191.96539999999999</v>
      </c>
      <c r="H1391">
        <v>0.95020479999999996</v>
      </c>
      <c r="I1391">
        <v>313.40449999999998</v>
      </c>
      <c r="J1391">
        <v>-191.82640000000001</v>
      </c>
      <c r="K1391">
        <v>1.1097859999999999</v>
      </c>
      <c r="L1391">
        <v>314.01710000000003</v>
      </c>
      <c r="M1391">
        <v>-9.3186369999999994E-3</v>
      </c>
      <c r="N1391">
        <v>0</v>
      </c>
      <c r="O1391">
        <v>-0.99986850000000005</v>
      </c>
      <c r="P1391">
        <v>-8.444393E-2</v>
      </c>
      <c r="Q1391">
        <v>-1.5626270000000001E-2</v>
      </c>
      <c r="R1391">
        <v>-0.99630589999999997</v>
      </c>
      <c r="S1391">
        <v>-0.53979489999999997</v>
      </c>
      <c r="T1391">
        <v>-0.607039</v>
      </c>
      <c r="U1391">
        <v>-2.956696</v>
      </c>
      <c r="V1391">
        <v>7.5150839999999997E-2</v>
      </c>
      <c r="W1391">
        <v>-2.5034240000000002E-3</v>
      </c>
      <c r="X1391">
        <v>0.99716899999999997</v>
      </c>
      <c r="Y1391">
        <v>0.16686379999999901</v>
      </c>
      <c r="Z1391">
        <v>0.1981222</v>
      </c>
      <c r="AA1391">
        <v>0.96586959999999999</v>
      </c>
      <c r="AB1391">
        <v>17</v>
      </c>
      <c r="AC1391">
        <v>-0.138999999999981</v>
      </c>
      <c r="AD1391">
        <v>-0.15958120000000001</v>
      </c>
      <c r="AE1391">
        <v>-0.612600000000043</v>
      </c>
      <c r="AF1391">
        <v>0.12520457582223701</v>
      </c>
      <c r="AG1391">
        <v>-0.15958120000000001</v>
      </c>
      <c r="AH1391">
        <v>0.57665349756496398</v>
      </c>
      <c r="AI1391">
        <v>105.13283772206</v>
      </c>
      <c r="AJ1391">
        <v>77.749921408817599</v>
      </c>
      <c r="AK1391">
        <v>0.61128684057009797</v>
      </c>
      <c r="AL1391">
        <v>90.143435784342103</v>
      </c>
      <c r="AM1391">
        <v>85.6900970594792</v>
      </c>
      <c r="AN1391">
        <v>0.99999996522271395</v>
      </c>
    </row>
    <row r="1392" spans="1:40" x14ac:dyDescent="0.25">
      <c r="A1392" t="str">
        <f>"20190312154239939"</f>
        <v>20190312154239939</v>
      </c>
      <c r="B1392" t="str">
        <f>"1552376559928398"</f>
        <v>1552376559928398</v>
      </c>
      <c r="C1392" t="s">
        <v>40</v>
      </c>
      <c r="D1392">
        <v>4.7663099999999998</v>
      </c>
      <c r="E1392">
        <v>0.53492949999999995</v>
      </c>
      <c r="F1392" t="s">
        <v>41</v>
      </c>
      <c r="G1392">
        <v>-191.96029999999999</v>
      </c>
      <c r="H1392">
        <v>0.94320210000000004</v>
      </c>
      <c r="I1392">
        <v>313.25779999999997</v>
      </c>
      <c r="J1392">
        <v>-191.8295</v>
      </c>
      <c r="K1392">
        <v>1.1097410000000001</v>
      </c>
      <c r="L1392">
        <v>313.85789999999997</v>
      </c>
      <c r="M1392">
        <v>-1.0735079999999999E-2</v>
      </c>
      <c r="N1392">
        <v>0</v>
      </c>
      <c r="O1392">
        <v>-0.99985409999999997</v>
      </c>
      <c r="P1392">
        <v>-8.5722919999999994E-2</v>
      </c>
      <c r="Q1392">
        <v>-1.5708059999999999E-2</v>
      </c>
      <c r="R1392">
        <v>-0.99619539999999995</v>
      </c>
      <c r="S1392">
        <v>-0.52055359999999995</v>
      </c>
      <c r="T1392">
        <v>-0.64865139999999999</v>
      </c>
      <c r="U1392">
        <v>-2.9568479999999999</v>
      </c>
      <c r="V1392">
        <v>7.5017990000000007E-2</v>
      </c>
      <c r="W1392">
        <v>-2.5928119999999999E-3</v>
      </c>
      <c r="X1392">
        <v>0.99717880000000003</v>
      </c>
      <c r="Y1392">
        <v>0.1588851</v>
      </c>
      <c r="Z1392">
        <v>0.21134910000000001</v>
      </c>
      <c r="AA1392">
        <v>0.9644102</v>
      </c>
      <c r="AB1392">
        <v>17</v>
      </c>
      <c r="AC1392">
        <v>-0.13079999999999301</v>
      </c>
      <c r="AD1392">
        <v>-0.16653889999999999</v>
      </c>
      <c r="AE1392">
        <v>-0.60009999999999697</v>
      </c>
      <c r="AF1392">
        <v>0.115833291768974</v>
      </c>
      <c r="AG1392">
        <v>-0.16653889999999999</v>
      </c>
      <c r="AH1392">
        <v>0.560276170608346</v>
      </c>
      <c r="AI1392">
        <v>106.229667098523</v>
      </c>
      <c r="AJ1392">
        <v>78.3190564831053</v>
      </c>
      <c r="AK1392">
        <v>0.59587074441257704</v>
      </c>
      <c r="AL1392">
        <v>90.148557352557603</v>
      </c>
      <c r="AM1392">
        <v>85.697729501967501</v>
      </c>
      <c r="AN1392">
        <v>0.99999999033357301</v>
      </c>
    </row>
    <row r="1393" spans="1:40" x14ac:dyDescent="0.25">
      <c r="A1393" t="str">
        <f>"20190312154239961"</f>
        <v>20190312154239961</v>
      </c>
      <c r="B1393" t="str">
        <f>"1552376559948898"</f>
        <v>1552376559948898</v>
      </c>
      <c r="C1393" t="s">
        <v>40</v>
      </c>
      <c r="D1393">
        <v>4.7852059999999996</v>
      </c>
      <c r="E1393">
        <v>0.53476969999999902</v>
      </c>
      <c r="F1393" t="s">
        <v>41</v>
      </c>
      <c r="G1393">
        <v>-191.9616</v>
      </c>
      <c r="H1393">
        <v>0.94080359999999996</v>
      </c>
      <c r="I1393">
        <v>313.10890000000001</v>
      </c>
      <c r="J1393">
        <v>-191.83320000000001</v>
      </c>
      <c r="K1393">
        <v>1.1096950000000001</v>
      </c>
      <c r="L1393">
        <v>313.68700000000001</v>
      </c>
      <c r="M1393">
        <v>-1.2359820000000001E-2</v>
      </c>
      <c r="N1393">
        <v>0</v>
      </c>
      <c r="O1393">
        <v>-0.99983529999999998</v>
      </c>
      <c r="P1393">
        <v>-8.7402309999999997E-2</v>
      </c>
      <c r="Q1393">
        <v>-1.62022E-2</v>
      </c>
      <c r="R1393">
        <v>-0.99604130000000002</v>
      </c>
      <c r="S1393">
        <v>-0.52104189999999995</v>
      </c>
      <c r="T1393">
        <v>-0.66679040000000001</v>
      </c>
      <c r="U1393">
        <v>-2.9561459999999999</v>
      </c>
      <c r="V1393">
        <v>7.5077539999999998E-2</v>
      </c>
      <c r="W1393">
        <v>-3.0958380000000001E-3</v>
      </c>
      <c r="X1393">
        <v>0.99717290000000003</v>
      </c>
      <c r="Y1393">
        <v>0.1572585</v>
      </c>
      <c r="Z1393">
        <v>0.2170493</v>
      </c>
      <c r="AA1393">
        <v>0.96341030000000005</v>
      </c>
      <c r="AB1393">
        <v>17</v>
      </c>
      <c r="AC1393">
        <v>-0.12839999999999899</v>
      </c>
      <c r="AD1393">
        <v>-0.1688914</v>
      </c>
      <c r="AE1393">
        <v>-0.57810000000000605</v>
      </c>
      <c r="AF1393">
        <v>0.112124317828302</v>
      </c>
      <c r="AG1393">
        <v>-0.1688914</v>
      </c>
      <c r="AH1393">
        <v>0.53604208797284703</v>
      </c>
      <c r="AI1393">
        <v>107.139596594636</v>
      </c>
      <c r="AJ1393">
        <v>78.185734976392098</v>
      </c>
      <c r="AK1393">
        <v>0.57309448411297004</v>
      </c>
      <c r="AL1393">
        <v>90.177378733579403</v>
      </c>
      <c r="AM1393">
        <v>85.694301776706098</v>
      </c>
      <c r="AN1393">
        <v>1.00000000685989</v>
      </c>
    </row>
    <row r="1394" spans="1:40" x14ac:dyDescent="0.25">
      <c r="A1394" t="str">
        <f>"20190312154239985"</f>
        <v>20190312154239985</v>
      </c>
      <c r="B1394" t="str">
        <f>"1552376559979151"</f>
        <v>1552376559979151</v>
      </c>
      <c r="C1394" t="s">
        <v>40</v>
      </c>
      <c r="D1394">
        <v>4.8166479999999998</v>
      </c>
      <c r="E1394">
        <v>0.53427880000000005</v>
      </c>
      <c r="F1394" t="s">
        <v>41</v>
      </c>
      <c r="G1394">
        <v>-191.96289999999999</v>
      </c>
      <c r="H1394">
        <v>0.94299500000000003</v>
      </c>
      <c r="I1394">
        <v>312.9581</v>
      </c>
      <c r="J1394">
        <v>-191.83750000000001</v>
      </c>
      <c r="K1394">
        <v>1.109648</v>
      </c>
      <c r="L1394">
        <v>313.51069999999999</v>
      </c>
      <c r="M1394">
        <v>-1.4138499999999899E-2</v>
      </c>
      <c r="N1394">
        <v>0</v>
      </c>
      <c r="O1394">
        <v>-0.99981160000000002</v>
      </c>
      <c r="P1394">
        <v>-8.8972930000000006E-2</v>
      </c>
      <c r="Q1394">
        <v>-1.72129E-2</v>
      </c>
      <c r="R1394">
        <v>-0.99588560000000004</v>
      </c>
      <c r="S1394">
        <v>-0.52493290000000004</v>
      </c>
      <c r="T1394">
        <v>-0.67575909999999995</v>
      </c>
      <c r="U1394">
        <v>-2.954895</v>
      </c>
      <c r="V1394">
        <v>7.4873780000000001E-2</v>
      </c>
      <c r="W1394">
        <v>-4.1148879999999997E-3</v>
      </c>
      <c r="X1394">
        <v>0.99718450000000003</v>
      </c>
      <c r="Y1394">
        <v>0.15669149999999901</v>
      </c>
      <c r="Z1394">
        <v>0.2198929</v>
      </c>
      <c r="AA1394">
        <v>0.96285770000000004</v>
      </c>
      <c r="AB1394">
        <v>17</v>
      </c>
      <c r="AC1394">
        <v>-0.125399999999984</v>
      </c>
      <c r="AD1394">
        <v>-0.166652999999999</v>
      </c>
      <c r="AE1394">
        <v>-0.55259999999998399</v>
      </c>
      <c r="AF1394">
        <v>0.10821376122317999</v>
      </c>
      <c r="AG1394">
        <v>-0.166652999999999</v>
      </c>
      <c r="AH1394">
        <v>0.51018852539737203</v>
      </c>
      <c r="AI1394">
        <v>107.720814772651</v>
      </c>
      <c r="AJ1394">
        <v>78.024732371265401</v>
      </c>
      <c r="AK1394">
        <v>0.54751782799669002</v>
      </c>
      <c r="AL1394">
        <v>90.235766387721696</v>
      </c>
      <c r="AM1394">
        <v>85.705993413724698</v>
      </c>
      <c r="AN1394">
        <v>0.99999997113749495</v>
      </c>
    </row>
    <row r="1395" spans="1:40" x14ac:dyDescent="0.25">
      <c r="A1395" t="str">
        <f>"20190312154240005"</f>
        <v>20190312154240005</v>
      </c>
      <c r="B1395" t="str">
        <f>"1552376559998671"</f>
        <v>1552376559998671</v>
      </c>
      <c r="C1395" t="s">
        <v>40</v>
      </c>
      <c r="D1395">
        <v>4.8181050000000001</v>
      </c>
      <c r="E1395">
        <v>0.53414010000000001</v>
      </c>
      <c r="F1395" t="s">
        <v>41</v>
      </c>
      <c r="G1395">
        <v>-191.96279999999999</v>
      </c>
      <c r="H1395">
        <v>0.94667040000000002</v>
      </c>
      <c r="I1395">
        <v>312.80680000000001</v>
      </c>
      <c r="J1395">
        <v>-191.8415</v>
      </c>
      <c r="K1395">
        <v>1.1096060000000001</v>
      </c>
      <c r="L1395">
        <v>313.3596</v>
      </c>
      <c r="M1395">
        <v>-1.5738160000000001E-2</v>
      </c>
      <c r="N1395">
        <v>0</v>
      </c>
      <c r="O1395">
        <v>-0.99978800000000001</v>
      </c>
      <c r="P1395">
        <v>-9.0473010000000006E-2</v>
      </c>
      <c r="Q1395">
        <v>-1.742107E-2</v>
      </c>
      <c r="R1395">
        <v>-0.99574689999999999</v>
      </c>
      <c r="S1395">
        <v>-0.52561950000000002</v>
      </c>
      <c r="T1395">
        <v>-0.68384279999999997</v>
      </c>
      <c r="U1395">
        <v>-2.9536129999999998</v>
      </c>
      <c r="V1395">
        <v>7.4779609999999996E-2</v>
      </c>
      <c r="W1395">
        <v>-4.3296659999999898E-3</v>
      </c>
      <c r="X1395">
        <v>0.99719069999999999</v>
      </c>
      <c r="Y1395">
        <v>0.15529789999999999</v>
      </c>
      <c r="Z1395">
        <v>0.22249550000000001</v>
      </c>
      <c r="AA1395">
        <v>0.96248549999999999</v>
      </c>
      <c r="AB1395">
        <v>17</v>
      </c>
      <c r="AC1395">
        <v>-0.12129999999999</v>
      </c>
      <c r="AD1395">
        <v>-0.16293559999999899</v>
      </c>
      <c r="AE1395">
        <v>-0.55279999999998997</v>
      </c>
      <c r="AF1395">
        <v>0.103966913931479</v>
      </c>
      <c r="AG1395">
        <v>-0.16293559999999899</v>
      </c>
      <c r="AH1395">
        <v>0.51218829449070702</v>
      </c>
      <c r="AI1395">
        <v>107.31532207482699</v>
      </c>
      <c r="AJ1395">
        <v>78.525672345993797</v>
      </c>
      <c r="AK1395">
        <v>0.54744312759691705</v>
      </c>
      <c r="AL1395">
        <v>90.248072360062906</v>
      </c>
      <c r="AM1395">
        <v>85.711400460373298</v>
      </c>
      <c r="AN1395">
        <v>1.0000000141229499</v>
      </c>
    </row>
    <row r="1396" spans="1:40" x14ac:dyDescent="0.25">
      <c r="A1396" t="str">
        <f>"20190312154240027"</f>
        <v>20190312154240027</v>
      </c>
      <c r="B1396" t="str">
        <f>"1552376560019166"</f>
        <v>1552376560019166</v>
      </c>
      <c r="C1396" t="s">
        <v>40</v>
      </c>
      <c r="D1396">
        <v>4.7954910000000002</v>
      </c>
      <c r="E1396">
        <v>0.53386149999999999</v>
      </c>
      <c r="F1396" t="s">
        <v>41</v>
      </c>
      <c r="G1396">
        <v>-191.96729999999999</v>
      </c>
      <c r="H1396">
        <v>0.94642340000000003</v>
      </c>
      <c r="I1396">
        <v>312.6574</v>
      </c>
      <c r="J1396">
        <v>-191.84630000000001</v>
      </c>
      <c r="K1396">
        <v>1.1095729999999999</v>
      </c>
      <c r="L1396">
        <v>313.19080000000002</v>
      </c>
      <c r="M1396">
        <v>-1.7590169999999999E-2</v>
      </c>
      <c r="N1396">
        <v>0</v>
      </c>
      <c r="O1396">
        <v>-0.99975689999999995</v>
      </c>
      <c r="P1396">
        <v>-9.2679719999999993E-2</v>
      </c>
      <c r="Q1396">
        <v>-1.7720880000000001E-2</v>
      </c>
      <c r="R1396">
        <v>-0.99553860000000005</v>
      </c>
      <c r="S1396">
        <v>-0.52909849999999903</v>
      </c>
      <c r="T1396">
        <v>-0.68616449999999996</v>
      </c>
      <c r="U1396">
        <v>-2.9526979999999998</v>
      </c>
      <c r="V1396">
        <v>7.5141470000000002E-2</v>
      </c>
      <c r="W1396">
        <v>-4.6369540000000004E-3</v>
      </c>
      <c r="X1396">
        <v>0.99716210000000005</v>
      </c>
      <c r="Y1396">
        <v>0.15458910000000001</v>
      </c>
      <c r="Z1396">
        <v>0.2232584</v>
      </c>
      <c r="AA1396">
        <v>0.96242289999999997</v>
      </c>
      <c r="AB1396">
        <v>17</v>
      </c>
      <c r="AC1396">
        <v>-0.12099999999998</v>
      </c>
      <c r="AD1396">
        <v>-0.16314959999999901</v>
      </c>
      <c r="AE1396">
        <v>-0.53340000000002796</v>
      </c>
      <c r="AF1396">
        <v>0.102479610975898</v>
      </c>
      <c r="AG1396">
        <v>-0.16314959999999901</v>
      </c>
      <c r="AH1396">
        <v>0.49169678181307502</v>
      </c>
      <c r="AI1396">
        <v>107.995311674484</v>
      </c>
      <c r="AJ1396">
        <v>78.226933344123793</v>
      </c>
      <c r="AK1396">
        <v>0.52809619189241097</v>
      </c>
      <c r="AL1396">
        <v>90.265678846670795</v>
      </c>
      <c r="AM1396">
        <v>85.690602697918493</v>
      </c>
      <c r="AN1396">
        <v>0.99999999776628401</v>
      </c>
    </row>
    <row r="1397" spans="1:40" x14ac:dyDescent="0.25">
      <c r="A1397" t="str">
        <f>"20190312154240051"</f>
        <v>20190312154240051</v>
      </c>
      <c r="B1397" t="str">
        <f>"1552376560038686"</f>
        <v>1552376560038686</v>
      </c>
      <c r="C1397" t="s">
        <v>40</v>
      </c>
      <c r="D1397">
        <v>4.8005120000000003</v>
      </c>
      <c r="E1397">
        <v>0.53339119999999995</v>
      </c>
      <c r="F1397" t="s">
        <v>41</v>
      </c>
      <c r="G1397">
        <v>-191.97</v>
      </c>
      <c r="H1397">
        <v>0.95000059999999997</v>
      </c>
      <c r="I1397">
        <v>312.50639999999999</v>
      </c>
      <c r="J1397">
        <v>-191.85149999999999</v>
      </c>
      <c r="K1397">
        <v>1.1095469999999901</v>
      </c>
      <c r="L1397">
        <v>313.02440000000001</v>
      </c>
      <c r="M1397">
        <v>-1.947401E-2</v>
      </c>
      <c r="N1397">
        <v>0</v>
      </c>
      <c r="O1397">
        <v>-0.99972220000000001</v>
      </c>
      <c r="P1397">
        <v>-9.4517279999999995E-2</v>
      </c>
      <c r="Q1397">
        <v>-1.743687E-2</v>
      </c>
      <c r="R1397">
        <v>-0.99537089999999995</v>
      </c>
      <c r="S1397">
        <v>-0.53327939999999996</v>
      </c>
      <c r="T1397">
        <v>-0.68815159999999997</v>
      </c>
      <c r="U1397">
        <v>-2.9515380000000002</v>
      </c>
      <c r="V1397">
        <v>7.5103569999999994E-2</v>
      </c>
      <c r="W1397">
        <v>-4.3560910000000003E-3</v>
      </c>
      <c r="X1397">
        <v>0.9971662</v>
      </c>
      <c r="Y1397">
        <v>0.1540878</v>
      </c>
      <c r="Z1397">
        <v>0.2239256</v>
      </c>
      <c r="AA1397">
        <v>0.96234830000000005</v>
      </c>
      <c r="AB1397">
        <v>17</v>
      </c>
      <c r="AC1397">
        <v>-0.118500000000011</v>
      </c>
      <c r="AD1397">
        <v>-0.15954639999999901</v>
      </c>
      <c r="AE1397">
        <v>-0.51800000000002899</v>
      </c>
      <c r="AF1397">
        <v>9.9425941857736094E-2</v>
      </c>
      <c r="AG1397">
        <v>-0.15954639999999901</v>
      </c>
      <c r="AH1397">
        <v>0.47719127661391197</v>
      </c>
      <c r="AI1397">
        <v>108.124071150541</v>
      </c>
      <c r="AJ1397">
        <v>78.230434605531499</v>
      </c>
      <c r="AK1397">
        <v>0.51288603621435502</v>
      </c>
      <c r="AL1397">
        <v>90.249586424786102</v>
      </c>
      <c r="AM1397">
        <v>85.692785741357994</v>
      </c>
      <c r="AN1397">
        <v>0.99999997608899205</v>
      </c>
    </row>
    <row r="1398" spans="1:40" x14ac:dyDescent="0.25">
      <c r="A1398" t="str">
        <f>"20190312154240072"</f>
        <v>20190312154240072</v>
      </c>
      <c r="B1398" t="str">
        <f>"1552376560059182"</f>
        <v>1552376560059182</v>
      </c>
      <c r="C1398" t="s">
        <v>40</v>
      </c>
      <c r="D1398">
        <v>4.8064710000000002</v>
      </c>
      <c r="E1398">
        <v>0.52699790000000002</v>
      </c>
      <c r="F1398" t="s">
        <v>41</v>
      </c>
      <c r="G1398">
        <v>-191.99690000000001</v>
      </c>
      <c r="H1398">
        <v>0.92135469999999997</v>
      </c>
      <c r="I1398">
        <v>312.2217</v>
      </c>
      <c r="J1398">
        <v>-191.8571</v>
      </c>
      <c r="K1398">
        <v>1.109542</v>
      </c>
      <c r="L1398">
        <v>312.85599999999999</v>
      </c>
      <c r="M1398">
        <v>-2.1417220000000001E-2</v>
      </c>
      <c r="N1398">
        <v>0</v>
      </c>
      <c r="O1398">
        <v>-0.99968230000000002</v>
      </c>
      <c r="P1398">
        <v>-9.7299150000000001E-2</v>
      </c>
      <c r="Q1398">
        <v>-1.7488489999999999E-2</v>
      </c>
      <c r="R1398">
        <v>-0.99510160000000003</v>
      </c>
      <c r="S1398">
        <v>-0.53453059999999997</v>
      </c>
      <c r="T1398">
        <v>-0.69187019999999899</v>
      </c>
      <c r="U1398">
        <v>-2.9510800000000001</v>
      </c>
      <c r="V1398">
        <v>7.5952279999999997E-2</v>
      </c>
      <c r="W1398">
        <v>-4.4110449999999997E-3</v>
      </c>
      <c r="X1398">
        <v>0.99710169999999998</v>
      </c>
      <c r="Y1398">
        <v>0.15254100000000001</v>
      </c>
      <c r="Z1398">
        <v>0.2251127</v>
      </c>
      <c r="AA1398">
        <v>0.9623178</v>
      </c>
      <c r="AB1398">
        <v>17</v>
      </c>
      <c r="AC1398">
        <v>-0.139800000000008</v>
      </c>
      <c r="AD1398">
        <v>-0.1881873</v>
      </c>
      <c r="AE1398">
        <v>-0.63429999999999598</v>
      </c>
      <c r="AF1398">
        <v>0.11640984409845199</v>
      </c>
      <c r="AG1398">
        <v>-0.1881873</v>
      </c>
      <c r="AH1398">
        <v>0.587805924848262</v>
      </c>
      <c r="AI1398">
        <v>107.435037005914</v>
      </c>
      <c r="AJ1398">
        <v>78.798017454833698</v>
      </c>
      <c r="AK1398">
        <v>0.62807763610165002</v>
      </c>
      <c r="AL1398">
        <v>90.252735080541996</v>
      </c>
      <c r="AM1398">
        <v>85.644017545804104</v>
      </c>
      <c r="AN1398">
        <v>1.0000000031490399</v>
      </c>
    </row>
    <row r="1399" spans="1:40" x14ac:dyDescent="0.25">
      <c r="A1399" t="str">
        <f>"20190312154240096"</f>
        <v>20190312154240096</v>
      </c>
      <c r="B1399" t="str">
        <f>"1552376560088462"</f>
        <v>1552376560088462</v>
      </c>
      <c r="C1399" t="s">
        <v>40</v>
      </c>
      <c r="D1399">
        <v>4.841882</v>
      </c>
      <c r="E1399">
        <v>0.52629090000000001</v>
      </c>
      <c r="F1399" t="s">
        <v>41</v>
      </c>
      <c r="G1399">
        <v>-191.9855</v>
      </c>
      <c r="H1399">
        <v>0.90481199999999995</v>
      </c>
      <c r="I1399">
        <v>312.08109999999999</v>
      </c>
      <c r="J1399">
        <v>-191.8631</v>
      </c>
      <c r="K1399">
        <v>1.1095539999999999</v>
      </c>
      <c r="L1399">
        <v>312.6857</v>
      </c>
      <c r="M1399">
        <v>-2.339393E-2</v>
      </c>
      <c r="N1399">
        <v>0</v>
      </c>
      <c r="O1399">
        <v>-0.99963789999999997</v>
      </c>
      <c r="P1399">
        <v>-0.1013141</v>
      </c>
      <c r="Q1399">
        <v>-1.7390269999999999E-2</v>
      </c>
      <c r="R1399">
        <v>-0.99470239999999999</v>
      </c>
      <c r="S1399">
        <v>-0.48933409999999999</v>
      </c>
      <c r="T1399">
        <v>-0.78028009999999903</v>
      </c>
      <c r="U1399">
        <v>-2.9531860000000001</v>
      </c>
      <c r="V1399">
        <v>7.800435E-2</v>
      </c>
      <c r="W1399">
        <v>-4.3177700000000003E-3</v>
      </c>
      <c r="X1399">
        <v>0.99694369999999999</v>
      </c>
      <c r="Y1399">
        <v>0.13504440000000001</v>
      </c>
      <c r="Z1399">
        <v>0.25257439999999998</v>
      </c>
      <c r="AA1399">
        <v>0.95810709999999999</v>
      </c>
      <c r="AB1399">
        <v>17</v>
      </c>
      <c r="AC1399">
        <v>-0.122399999999998</v>
      </c>
      <c r="AD1399">
        <v>-0.20474200000000001</v>
      </c>
      <c r="AE1399">
        <v>-0.60460000000000402</v>
      </c>
      <c r="AF1399">
        <v>9.7482389754195403E-2</v>
      </c>
      <c r="AG1399">
        <v>-0.20474200000000001</v>
      </c>
      <c r="AH1399">
        <v>0.54703548068504004</v>
      </c>
      <c r="AI1399">
        <v>110.227366293747</v>
      </c>
      <c r="AJ1399">
        <v>79.895885596841296</v>
      </c>
      <c r="AK1399">
        <v>0.592173893383102</v>
      </c>
      <c r="AL1399">
        <v>90.247390758843196</v>
      </c>
      <c r="AM1399">
        <v>85.526093461628705</v>
      </c>
      <c r="AN1399">
        <v>1.00000003136319</v>
      </c>
    </row>
    <row r="1400" spans="1:40" x14ac:dyDescent="0.25">
      <c r="A1400" t="str">
        <f>"20190312154240119"</f>
        <v>20190312154240119</v>
      </c>
      <c r="B1400" t="str">
        <f>"1552376560108959"</f>
        <v>1552376560108959</v>
      </c>
      <c r="C1400" t="s">
        <v>40</v>
      </c>
      <c r="D1400">
        <v>4.8240280000000002</v>
      </c>
      <c r="E1400">
        <v>0.52602729999999998</v>
      </c>
      <c r="F1400" t="s">
        <v>41</v>
      </c>
      <c r="G1400">
        <v>-191.98990000000001</v>
      </c>
      <c r="H1400">
        <v>0.91035750000000004</v>
      </c>
      <c r="I1400">
        <v>311.93020000000001</v>
      </c>
      <c r="J1400">
        <v>-191.86959999999999</v>
      </c>
      <c r="K1400">
        <v>1.1095900000000001</v>
      </c>
      <c r="L1400">
        <v>312.51119999999997</v>
      </c>
      <c r="M1400">
        <v>-2.5414450000000002E-2</v>
      </c>
      <c r="N1400">
        <v>0</v>
      </c>
      <c r="O1400">
        <v>-0.99958860000000005</v>
      </c>
      <c r="P1400">
        <v>-0.1056511</v>
      </c>
      <c r="Q1400">
        <v>-1.6520320000000002E-2</v>
      </c>
      <c r="R1400">
        <v>-0.99426630000000005</v>
      </c>
      <c r="S1400">
        <v>-0.4950562</v>
      </c>
      <c r="T1400">
        <v>-0.7782422</v>
      </c>
      <c r="U1400">
        <v>-2.9519959999999998</v>
      </c>
      <c r="V1400">
        <v>8.0338329999999999E-2</v>
      </c>
      <c r="W1400">
        <v>-3.4516630000000002E-3</v>
      </c>
      <c r="X1400">
        <v>0.99676169999999997</v>
      </c>
      <c r="Y1400">
        <v>0.13493720000000001</v>
      </c>
      <c r="Z1400">
        <v>0.25199759999999999</v>
      </c>
      <c r="AA1400">
        <v>0.95827410000000002</v>
      </c>
      <c r="AB1400">
        <v>17</v>
      </c>
      <c r="AC1400">
        <v>-0.12030000000001401</v>
      </c>
      <c r="AD1400">
        <v>-0.19923249999999901</v>
      </c>
      <c r="AE1400">
        <v>-0.58099999999995999</v>
      </c>
      <c r="AF1400">
        <v>9.4804345497605497E-2</v>
      </c>
      <c r="AG1400">
        <v>-0.19923249999999901</v>
      </c>
      <c r="AH1400">
        <v>0.52470650476899705</v>
      </c>
      <c r="AI1400">
        <v>110.48833688985199</v>
      </c>
      <c r="AJ1400">
        <v>79.758252780664805</v>
      </c>
      <c r="AK1400">
        <v>0.56920854625381101</v>
      </c>
      <c r="AL1400">
        <v>90.197766110169795</v>
      </c>
      <c r="AM1400">
        <v>85.391959387882494</v>
      </c>
      <c r="AN1400">
        <v>1.00000002391577</v>
      </c>
    </row>
    <row r="1401" spans="1:40" x14ac:dyDescent="0.25">
      <c r="A1401" t="str">
        <f>"20190312154240142"</f>
        <v>20190312154240142</v>
      </c>
      <c r="B1401" t="str">
        <f>"1552376560128479"</f>
        <v>1552376560128479</v>
      </c>
      <c r="C1401" t="s">
        <v>40</v>
      </c>
      <c r="D1401">
        <v>4.7962559999999996</v>
      </c>
      <c r="E1401">
        <v>0.52574670000000001</v>
      </c>
      <c r="F1401" t="s">
        <v>41</v>
      </c>
      <c r="G1401">
        <v>-191.99549999999999</v>
      </c>
      <c r="H1401">
        <v>0.9172015</v>
      </c>
      <c r="I1401">
        <v>311.77890000000002</v>
      </c>
      <c r="J1401">
        <v>-191.87620000000001</v>
      </c>
      <c r="K1401">
        <v>1.1096200000000001</v>
      </c>
      <c r="L1401">
        <v>312.34480000000002</v>
      </c>
      <c r="M1401">
        <v>-2.7323070000000001E-2</v>
      </c>
      <c r="N1401">
        <v>0</v>
      </c>
      <c r="O1401">
        <v>-0.99953840000000005</v>
      </c>
      <c r="P1401">
        <v>-0.1092682</v>
      </c>
      <c r="Q1401">
        <v>-1.5921569999999999E-2</v>
      </c>
      <c r="R1401">
        <v>-0.99388500000000002</v>
      </c>
      <c r="S1401">
        <v>-0.50642399999999999</v>
      </c>
      <c r="T1401">
        <v>-0.77505930000000001</v>
      </c>
      <c r="U1401">
        <v>-2.9505309999999998</v>
      </c>
      <c r="V1401">
        <v>8.2062860000000001E-2</v>
      </c>
      <c r="W1401">
        <v>-2.8546800000000001E-3</v>
      </c>
      <c r="X1401">
        <v>0.99662300000000004</v>
      </c>
      <c r="Y1401">
        <v>0.13675570000000001</v>
      </c>
      <c r="Z1401">
        <v>0.251023</v>
      </c>
      <c r="AA1401">
        <v>0.95827200000000001</v>
      </c>
      <c r="AB1401">
        <v>17</v>
      </c>
      <c r="AC1401">
        <v>-0.119299999999981</v>
      </c>
      <c r="AD1401">
        <v>-0.19241849999999999</v>
      </c>
      <c r="AE1401">
        <v>-0.56589999999999896</v>
      </c>
      <c r="AF1401">
        <v>9.3447728338747399E-2</v>
      </c>
      <c r="AG1401">
        <v>-0.19241849999999999</v>
      </c>
      <c r="AH1401">
        <v>0.51224540379122996</v>
      </c>
      <c r="AI1401">
        <v>110.28121578341</v>
      </c>
      <c r="AJ1401">
        <v>79.661354308849994</v>
      </c>
      <c r="AK1401">
        <v>0.55511504283271096</v>
      </c>
      <c r="AL1401">
        <v>90.163561348942494</v>
      </c>
      <c r="AM1401">
        <v>85.292831577357205</v>
      </c>
      <c r="AN1401">
        <v>0.99999993315913804</v>
      </c>
    </row>
    <row r="1402" spans="1:40" x14ac:dyDescent="0.25">
      <c r="A1402" t="str">
        <f>"20190312154240161"</f>
        <v>20190312154240161</v>
      </c>
      <c r="B1402" t="str">
        <f>"1552376560148975"</f>
        <v>1552376560148975</v>
      </c>
      <c r="C1402" t="s">
        <v>40</v>
      </c>
      <c r="D1402">
        <v>4.8635129999999904</v>
      </c>
      <c r="E1402">
        <v>0.52576279999999997</v>
      </c>
      <c r="F1402" t="s">
        <v>41</v>
      </c>
      <c r="G1402">
        <v>-192.00139999999999</v>
      </c>
      <c r="H1402">
        <v>0.92210329999999996</v>
      </c>
      <c r="I1402">
        <v>311.62869999999998</v>
      </c>
      <c r="J1402">
        <v>-191.88229999999999</v>
      </c>
      <c r="K1402">
        <v>1.109648</v>
      </c>
      <c r="L1402">
        <v>312.19470000000001</v>
      </c>
      <c r="M1402">
        <v>-2.9024339999999999E-2</v>
      </c>
      <c r="N1402">
        <v>0</v>
      </c>
      <c r="O1402">
        <v>-0.99949030000000005</v>
      </c>
      <c r="P1402">
        <v>-0.1125881</v>
      </c>
      <c r="Q1402">
        <v>-1.5835459999999999E-2</v>
      </c>
      <c r="R1402">
        <v>-0.99351579999999995</v>
      </c>
      <c r="S1402">
        <v>-0.51559449999999996</v>
      </c>
      <c r="T1402">
        <v>-0.77228140000000001</v>
      </c>
      <c r="U1402">
        <v>-2.9494319999999998</v>
      </c>
      <c r="V1402">
        <v>8.369617E-2</v>
      </c>
      <c r="W1402">
        <v>-2.770832E-3</v>
      </c>
      <c r="X1402">
        <v>0.99648740000000002</v>
      </c>
      <c r="Y1402">
        <v>0.138061299999999</v>
      </c>
      <c r="Z1402">
        <v>0.25016460000000001</v>
      </c>
      <c r="AA1402">
        <v>0.95830939999999998</v>
      </c>
      <c r="AB1402">
        <v>17</v>
      </c>
      <c r="AC1402">
        <v>-0.119100000000003</v>
      </c>
      <c r="AD1402">
        <v>-0.18754469999999901</v>
      </c>
      <c r="AE1402">
        <v>-0.56600000000003003</v>
      </c>
      <c r="AF1402">
        <v>9.2857696699378905E-2</v>
      </c>
      <c r="AG1402">
        <v>-0.18754469999999901</v>
      </c>
      <c r="AH1402">
        <v>0.51506555073319005</v>
      </c>
      <c r="AI1402">
        <v>109.71469755014</v>
      </c>
      <c r="AJ1402">
        <v>79.780306778385594</v>
      </c>
      <c r="AK1402">
        <v>0.55595691189739505</v>
      </c>
      <c r="AL1402">
        <v>90.158757193220197</v>
      </c>
      <c r="AM1402">
        <v>85.198927463983594</v>
      </c>
      <c r="AN1402">
        <v>0.99999993237069795</v>
      </c>
    </row>
    <row r="1403" spans="1:40" x14ac:dyDescent="0.25">
      <c r="A1403" t="str">
        <f>"20190312154240185"</f>
        <v>20190312154240185</v>
      </c>
      <c r="B1403" t="str">
        <f>"1552376560178254"</f>
        <v>1552376560178254</v>
      </c>
      <c r="C1403" t="s">
        <v>40</v>
      </c>
      <c r="D1403">
        <v>4.906021</v>
      </c>
      <c r="E1403">
        <v>0.52572039999999998</v>
      </c>
      <c r="F1403" t="s">
        <v>41</v>
      </c>
      <c r="G1403">
        <v>-192.00970000000001</v>
      </c>
      <c r="H1403">
        <v>0.92212240000000001</v>
      </c>
      <c r="I1403">
        <v>311.48090000000002</v>
      </c>
      <c r="J1403">
        <v>-191.8895</v>
      </c>
      <c r="K1403">
        <v>1.10968</v>
      </c>
      <c r="L1403">
        <v>312.02789999999999</v>
      </c>
      <c r="M1403">
        <v>-3.0890770000000001E-2</v>
      </c>
      <c r="N1403">
        <v>0</v>
      </c>
      <c r="O1403">
        <v>-0.99943459999999995</v>
      </c>
      <c r="P1403">
        <v>-0.11539820000000001</v>
      </c>
      <c r="Q1403">
        <v>-1.555894E-2</v>
      </c>
      <c r="R1403">
        <v>-0.99319769999999996</v>
      </c>
      <c r="S1403">
        <v>-0.52526859999999997</v>
      </c>
      <c r="T1403">
        <v>-0.77435180000000003</v>
      </c>
      <c r="U1403">
        <v>-2.9477229999999999</v>
      </c>
      <c r="V1403">
        <v>8.4654729999999997E-2</v>
      </c>
      <c r="W1403">
        <v>-2.4947440000000001E-3</v>
      </c>
      <c r="X1403">
        <v>0.99640720000000005</v>
      </c>
      <c r="Y1403">
        <v>0.139327799999999</v>
      </c>
      <c r="Z1403">
        <v>0.25081789999999998</v>
      </c>
      <c r="AA1403">
        <v>0.95795520000000001</v>
      </c>
      <c r="AB1403">
        <v>17</v>
      </c>
      <c r="AC1403">
        <v>-0.12020000000001101</v>
      </c>
      <c r="AD1403">
        <v>-0.18755759999999999</v>
      </c>
      <c r="AE1403">
        <v>-0.54699999999996796</v>
      </c>
      <c r="AF1403">
        <v>9.2832375161240502E-2</v>
      </c>
      <c r="AG1403">
        <v>-0.18755759999999999</v>
      </c>
      <c r="AH1403">
        <v>0.49494257579202899</v>
      </c>
      <c r="AI1403">
        <v>110.42802128196</v>
      </c>
      <c r="AJ1403">
        <v>79.376918016738998</v>
      </c>
      <c r="AK1403">
        <v>0.53736752463047599</v>
      </c>
      <c r="AL1403">
        <v>90.142938453631402</v>
      </c>
      <c r="AM1403">
        <v>85.143813948027898</v>
      </c>
      <c r="AN1403">
        <v>0.99999997763541804</v>
      </c>
    </row>
    <row r="1404" spans="1:40" x14ac:dyDescent="0.25">
      <c r="A1404" t="str">
        <f>"20190312154240207"</f>
        <v>20190312154240207</v>
      </c>
      <c r="B1404" t="str">
        <f>"1552376560198750"</f>
        <v>1552376560198750</v>
      </c>
      <c r="C1404" t="s">
        <v>40</v>
      </c>
      <c r="D1404">
        <v>4.8601570000000001</v>
      </c>
      <c r="E1404">
        <v>0.52569840000000001</v>
      </c>
      <c r="F1404" t="s">
        <v>41</v>
      </c>
      <c r="G1404">
        <v>-192.01509999999999</v>
      </c>
      <c r="H1404">
        <v>0.92671789999999998</v>
      </c>
      <c r="I1404">
        <v>311.3313</v>
      </c>
      <c r="J1404">
        <v>-191.89680000000001</v>
      </c>
      <c r="K1404">
        <v>1.109702</v>
      </c>
      <c r="L1404">
        <v>311.86290000000002</v>
      </c>
      <c r="M1404">
        <v>-3.272009E-2</v>
      </c>
      <c r="N1404">
        <v>0</v>
      </c>
      <c r="O1404">
        <v>-0.99937640000000005</v>
      </c>
      <c r="P1404">
        <v>-0.1180321</v>
      </c>
      <c r="Q1404">
        <v>-1.480472E-2</v>
      </c>
      <c r="R1404">
        <v>-0.9928998</v>
      </c>
      <c r="S1404">
        <v>-0.5320587</v>
      </c>
      <c r="T1404">
        <v>-0.77397729999999998</v>
      </c>
      <c r="U1404">
        <v>-2.9465940000000002</v>
      </c>
      <c r="V1404">
        <v>8.5474800000000004E-2</v>
      </c>
      <c r="W1404">
        <v>-1.7414189999999999E-3</v>
      </c>
      <c r="X1404">
        <v>0.99633879999999997</v>
      </c>
      <c r="Y1404">
        <v>0.1397234</v>
      </c>
      <c r="Z1404">
        <v>0.25071749999999998</v>
      </c>
      <c r="AA1404">
        <v>0.95792390000000005</v>
      </c>
      <c r="AB1404">
        <v>16</v>
      </c>
      <c r="AC1404">
        <v>-0.11829999999997599</v>
      </c>
      <c r="AD1404">
        <v>-0.18298410000000001</v>
      </c>
      <c r="AE1404">
        <v>-0.53160000000002505</v>
      </c>
      <c r="AF1404">
        <v>9.0611727231479394E-2</v>
      </c>
      <c r="AG1404">
        <v>-0.18298410000000001</v>
      </c>
      <c r="AH1404">
        <v>0.48089678647058498</v>
      </c>
      <c r="AI1404">
        <v>110.502082926055</v>
      </c>
      <c r="AJ1404">
        <v>79.329298466068394</v>
      </c>
      <c r="AK1404">
        <v>0.52245132328516197</v>
      </c>
      <c r="AL1404">
        <v>90.099776010572597</v>
      </c>
      <c r="AM1404">
        <v>85.0966642217589</v>
      </c>
      <c r="AN1404">
        <v>0.99999998918030597</v>
      </c>
    </row>
    <row r="1405" spans="1:40" x14ac:dyDescent="0.25">
      <c r="A1405" t="str">
        <f>"20190312154240231"</f>
        <v>20190312154240231</v>
      </c>
      <c r="B1405" t="str">
        <f>"1552376560218270"</f>
        <v>1552376560218270</v>
      </c>
      <c r="C1405" t="s">
        <v>40</v>
      </c>
      <c r="D1405">
        <v>4.8599189999999997</v>
      </c>
      <c r="E1405">
        <v>0.52579229999999999</v>
      </c>
      <c r="F1405" t="s">
        <v>41</v>
      </c>
      <c r="G1405">
        <v>-192.02160000000001</v>
      </c>
      <c r="H1405">
        <v>0.931118</v>
      </c>
      <c r="I1405">
        <v>311.18189999999998</v>
      </c>
      <c r="J1405">
        <v>-191.905</v>
      </c>
      <c r="K1405">
        <v>1.1097239999999999</v>
      </c>
      <c r="L1405">
        <v>311.6848</v>
      </c>
      <c r="M1405">
        <v>-3.4681789999999997E-2</v>
      </c>
      <c r="N1405">
        <v>0</v>
      </c>
      <c r="O1405">
        <v>-0.99931009999999998</v>
      </c>
      <c r="P1405">
        <v>-0.120631</v>
      </c>
      <c r="Q1405">
        <v>-1.419638E-2</v>
      </c>
      <c r="R1405">
        <v>-0.99259600000000003</v>
      </c>
      <c r="S1405">
        <v>-0.53907780000000005</v>
      </c>
      <c r="T1405">
        <v>-0.77243090000000003</v>
      </c>
      <c r="U1405">
        <v>-2.945862</v>
      </c>
      <c r="V1405">
        <v>8.6128239999999995E-2</v>
      </c>
      <c r="W1405">
        <v>-1.1342240000000001E-3</v>
      </c>
      <c r="X1405">
        <v>0.99628340000000004</v>
      </c>
      <c r="Y1405">
        <v>0.14005509999999999</v>
      </c>
      <c r="Z1405">
        <v>0.25022630000000001</v>
      </c>
      <c r="AA1405">
        <v>0.95800379999999996</v>
      </c>
      <c r="AB1405">
        <v>16</v>
      </c>
      <c r="AC1405">
        <v>-0.11660000000000501</v>
      </c>
      <c r="AD1405">
        <v>-0.17860599999999899</v>
      </c>
      <c r="AE1405">
        <v>-0.502900000000011</v>
      </c>
      <c r="AF1405">
        <v>8.8494212969032399E-2</v>
      </c>
      <c r="AG1405">
        <v>-0.17860599999999899</v>
      </c>
      <c r="AH1405">
        <v>0.45248046343371201</v>
      </c>
      <c r="AI1405">
        <v>111.175730088995</v>
      </c>
      <c r="AJ1405">
        <v>78.9340139616627</v>
      </c>
      <c r="AK1405">
        <v>0.49443897374114398</v>
      </c>
      <c r="AL1405">
        <v>90.064986263023599</v>
      </c>
      <c r="AM1405">
        <v>85.059090542886494</v>
      </c>
      <c r="AN1405">
        <v>0.99999998665256995</v>
      </c>
    </row>
    <row r="1406" spans="1:40" x14ac:dyDescent="0.25">
      <c r="A1406" t="str">
        <f>"20190312154240264"</f>
        <v>20190312154240264</v>
      </c>
      <c r="B1406" t="str">
        <f>"1552376560258287"</f>
        <v>1552376560258287</v>
      </c>
      <c r="C1406" t="s">
        <v>40</v>
      </c>
      <c r="D1406">
        <v>4.9419219999999999</v>
      </c>
      <c r="E1406">
        <v>0.54764650000000004</v>
      </c>
      <c r="F1406" t="s">
        <v>41</v>
      </c>
      <c r="G1406">
        <v>-192.05090000000001</v>
      </c>
      <c r="H1406">
        <v>0.90396739999999998</v>
      </c>
      <c r="I1406">
        <v>310.90050000000002</v>
      </c>
      <c r="J1406">
        <v>-191.91650000000001</v>
      </c>
      <c r="K1406">
        <v>1.109739</v>
      </c>
      <c r="L1406">
        <v>311.44749999999999</v>
      </c>
      <c r="M1406">
        <v>-3.729176E-2</v>
      </c>
      <c r="N1406">
        <v>0</v>
      </c>
      <c r="O1406">
        <v>-0.99921629999999995</v>
      </c>
      <c r="P1406">
        <v>-0.12363979999999999</v>
      </c>
      <c r="Q1406">
        <v>-1.314677E-2</v>
      </c>
      <c r="R1406">
        <v>-0.99224029999999996</v>
      </c>
      <c r="S1406">
        <v>-0.54707340000000004</v>
      </c>
      <c r="T1406">
        <v>-0.77245469999999905</v>
      </c>
      <c r="U1406">
        <v>-2.944855</v>
      </c>
      <c r="V1406">
        <v>8.6548120000000006E-2</v>
      </c>
      <c r="W1406" s="1">
        <v>-8.6165270000000005E-5</v>
      </c>
      <c r="X1406">
        <v>0.99624760000000001</v>
      </c>
      <c r="Y1406">
        <v>0.140044899999999</v>
      </c>
      <c r="Z1406">
        <v>0.25022139999999998</v>
      </c>
      <c r="AA1406">
        <v>0.95800660000000004</v>
      </c>
      <c r="AB1406">
        <v>16</v>
      </c>
      <c r="AC1406">
        <v>-0.13439999999999899</v>
      </c>
      <c r="AD1406">
        <v>-0.205771599999999</v>
      </c>
      <c r="AE1406">
        <v>-0.54699999999996796</v>
      </c>
      <c r="AF1406">
        <v>0.100494498439887</v>
      </c>
      <c r="AG1406">
        <v>-0.205771599999999</v>
      </c>
      <c r="AH1406">
        <v>0.48668128818166301</v>
      </c>
      <c r="AI1406">
        <v>112.49299161063399</v>
      </c>
      <c r="AJ1406">
        <v>78.333006357218196</v>
      </c>
      <c r="AK1406">
        <v>0.53786594226573503</v>
      </c>
      <c r="AL1406">
        <v>90.004936906650897</v>
      </c>
      <c r="AM1406">
        <v>85.034945918961398</v>
      </c>
      <c r="AN1406">
        <v>0.999999932502871</v>
      </c>
    </row>
    <row r="1407" spans="1:40" x14ac:dyDescent="0.25">
      <c r="A1407" t="str">
        <f>"20190312154240286"</f>
        <v>20190312154240286</v>
      </c>
      <c r="B1407" t="str">
        <f>"1552376560278783"</f>
        <v>1552376560278783</v>
      </c>
      <c r="C1407" t="s">
        <v>40</v>
      </c>
      <c r="D1407">
        <v>4.954688</v>
      </c>
      <c r="E1407">
        <v>0.55868229999999997</v>
      </c>
      <c r="F1407" t="s">
        <v>41</v>
      </c>
      <c r="G1407">
        <v>-192.09700000000001</v>
      </c>
      <c r="H1407">
        <v>0.96173759999999997</v>
      </c>
      <c r="I1407">
        <v>310.72699999999998</v>
      </c>
      <c r="J1407">
        <v>-191.92490000000001</v>
      </c>
      <c r="K1407">
        <v>1.1097399999999999</v>
      </c>
      <c r="L1407">
        <v>311.2833</v>
      </c>
      <c r="M1407">
        <v>-3.9101009999999999E-2</v>
      </c>
      <c r="N1407">
        <v>0</v>
      </c>
      <c r="O1407">
        <v>-0.99914709999999995</v>
      </c>
      <c r="P1407">
        <v>-0.1262035</v>
      </c>
      <c r="Q1407">
        <v>-1.2833229999999999E-2</v>
      </c>
      <c r="R1407">
        <v>-0.99192179999999996</v>
      </c>
      <c r="S1407">
        <v>-0.73242189999999996</v>
      </c>
      <c r="T1407">
        <v>-0.60067749999999998</v>
      </c>
      <c r="U1407">
        <v>-2.924255</v>
      </c>
      <c r="V1407">
        <v>8.7319060000000004E-2</v>
      </c>
      <c r="W1407">
        <v>2.244154E-4</v>
      </c>
      <c r="X1407">
        <v>0.99618039999999997</v>
      </c>
      <c r="Y1407">
        <v>0.20013049999999999</v>
      </c>
      <c r="Z1407">
        <v>0.19604949999999999</v>
      </c>
      <c r="AA1407">
        <v>0.95995439999999999</v>
      </c>
      <c r="AB1407">
        <v>16</v>
      </c>
      <c r="AC1407">
        <v>-0.1721</v>
      </c>
      <c r="AD1407">
        <v>-0.14800239999999901</v>
      </c>
      <c r="AE1407">
        <v>-0.55629999999996405</v>
      </c>
      <c r="AF1407">
        <v>0.14109967666562401</v>
      </c>
      <c r="AG1407">
        <v>-0.14800239999999901</v>
      </c>
      <c r="AH1407">
        <v>0.52846606436100596</v>
      </c>
      <c r="AI1407">
        <v>105.14063713564499</v>
      </c>
      <c r="AJ1407">
        <v>75.050830835448906</v>
      </c>
      <c r="AK1407">
        <v>0.56664822451157004</v>
      </c>
      <c r="AL1407">
        <v>89.987141944986803</v>
      </c>
      <c r="AM1407">
        <v>84.990606818649198</v>
      </c>
      <c r="AN1407">
        <v>1.0000000289728499</v>
      </c>
    </row>
    <row r="1408" spans="1:40" x14ac:dyDescent="0.25">
      <c r="A1408" t="str">
        <f>"20190312154240309"</f>
        <v>20190312154240309</v>
      </c>
      <c r="B1408" t="str">
        <f>"1552376560298303"</f>
        <v>1552376560298303</v>
      </c>
      <c r="C1408" t="s">
        <v>40</v>
      </c>
      <c r="D1408">
        <v>4.9390539999999996</v>
      </c>
      <c r="E1408">
        <v>0.56217649999999997</v>
      </c>
      <c r="F1408" t="s">
        <v>41</v>
      </c>
      <c r="G1408">
        <v>-192.12899999999999</v>
      </c>
      <c r="H1408">
        <v>0.98992190000000002</v>
      </c>
      <c r="I1408">
        <v>310.56729999999999</v>
      </c>
      <c r="J1408">
        <v>-191.93360000000001</v>
      </c>
      <c r="K1408">
        <v>1.1097429999999999</v>
      </c>
      <c r="L1408">
        <v>311.11669999999998</v>
      </c>
      <c r="M1408">
        <v>-4.0942020000000003E-2</v>
      </c>
      <c r="N1408">
        <v>0</v>
      </c>
      <c r="O1408">
        <v>-0.9990734</v>
      </c>
      <c r="P1408">
        <v>-0.12898209999999999</v>
      </c>
      <c r="Q1408">
        <v>-1.2613539999999999E-2</v>
      </c>
      <c r="R1408">
        <v>-0.99156699999999998</v>
      </c>
      <c r="S1408">
        <v>-0.83001709999999995</v>
      </c>
      <c r="T1408">
        <v>-0.48746060000000002</v>
      </c>
      <c r="U1408">
        <v>-2.9125369999999999</v>
      </c>
      <c r="V1408">
        <v>8.8274630000000007E-2</v>
      </c>
      <c r="W1408">
        <v>4.3994599999999998E-4</v>
      </c>
      <c r="X1408">
        <v>0.99609610000000004</v>
      </c>
      <c r="Y1408">
        <v>0.23095470000000001</v>
      </c>
      <c r="Z1408">
        <v>0.15954789999999999</v>
      </c>
      <c r="AA1408">
        <v>0.95979389999999998</v>
      </c>
      <c r="AB1408">
        <v>16</v>
      </c>
      <c r="AC1408">
        <v>-0.19540000000000601</v>
      </c>
      <c r="AD1408">
        <v>-0.119821099999999</v>
      </c>
      <c r="AE1408">
        <v>-0.54939999999999101</v>
      </c>
      <c r="AF1408">
        <v>0.16574229058958101</v>
      </c>
      <c r="AG1408">
        <v>-0.119821099999999</v>
      </c>
      <c r="AH1408">
        <v>0.53437647982466197</v>
      </c>
      <c r="AI1408">
        <v>102.087947086204</v>
      </c>
      <c r="AJ1408">
        <v>72.768192621057594</v>
      </c>
      <c r="AK1408">
        <v>0.57217639333066606</v>
      </c>
      <c r="AL1408">
        <v>89.974792950731398</v>
      </c>
      <c r="AM1408">
        <v>84.935644047838394</v>
      </c>
      <c r="AN1408">
        <v>1.0000000221446601</v>
      </c>
    </row>
    <row r="1409" spans="1:40" x14ac:dyDescent="0.25">
      <c r="A1409" t="str">
        <f>"20190312154240332"</f>
        <v>20190312154240332</v>
      </c>
      <c r="B1409" t="str">
        <f>"1552376560318798"</f>
        <v>1552376560318798</v>
      </c>
      <c r="C1409" t="s">
        <v>40</v>
      </c>
      <c r="D1409">
        <v>4.9434360000000002</v>
      </c>
      <c r="E1409">
        <v>0.56337879999999996</v>
      </c>
      <c r="F1409" t="s">
        <v>43</v>
      </c>
      <c r="G1409">
        <v>-194.1866</v>
      </c>
      <c r="H1409" s="1">
        <v>-2.819642E-6</v>
      </c>
      <c r="I1409">
        <v>303.5652</v>
      </c>
      <c r="J1409">
        <v>-191.94300000000001</v>
      </c>
      <c r="K1409">
        <v>1.109747</v>
      </c>
      <c r="L1409">
        <v>310.94510000000002</v>
      </c>
      <c r="M1409">
        <v>-4.2844680000000003E-2</v>
      </c>
      <c r="N1409">
        <v>0</v>
      </c>
      <c r="O1409">
        <v>-0.99899349999999998</v>
      </c>
      <c r="P1409">
        <v>-0.1322236</v>
      </c>
      <c r="Q1409">
        <v>-1.2483930000000001E-2</v>
      </c>
      <c r="R1409">
        <v>-0.99114150000000001</v>
      </c>
      <c r="S1409">
        <v>-0.86737059999999999</v>
      </c>
      <c r="T1409">
        <v>-0.4272434</v>
      </c>
      <c r="U1409">
        <v>-2.9072879999999999</v>
      </c>
      <c r="V1409">
        <v>8.9634569999999997E-2</v>
      </c>
      <c r="W1409">
        <v>5.6392349999999998E-4</v>
      </c>
      <c r="X1409">
        <v>0.99597449999999998</v>
      </c>
      <c r="Y1409">
        <v>0.24175450000000001</v>
      </c>
      <c r="Z1409">
        <v>0.1400566</v>
      </c>
      <c r="AA1409">
        <v>0.96017649999999999</v>
      </c>
      <c r="AB1409">
        <v>16</v>
      </c>
      <c r="AC1409">
        <v>-2.24360000000001</v>
      </c>
      <c r="AD1409">
        <v>-1.1097498196419999</v>
      </c>
      <c r="AE1409">
        <v>-7.3799000000000099</v>
      </c>
      <c r="AF1409">
        <v>1.88627731735587</v>
      </c>
      <c r="AG1409">
        <v>-1.1097498196419999</v>
      </c>
      <c r="AH1409">
        <v>7.31778332495825</v>
      </c>
      <c r="AI1409">
        <v>98.3542250935146</v>
      </c>
      <c r="AJ1409">
        <v>75.545731226781001</v>
      </c>
      <c r="AK1409">
        <v>7.6380324410939604</v>
      </c>
      <c r="AL1409">
        <v>89.967689559811205</v>
      </c>
      <c r="AM1409">
        <v>84.8574143413434</v>
      </c>
      <c r="AN1409">
        <v>0.99999993939952203</v>
      </c>
    </row>
    <row r="1410" spans="1:40" x14ac:dyDescent="0.25">
      <c r="A1410" t="str">
        <f>"20190312154240352"</f>
        <v>20190312154240352</v>
      </c>
      <c r="B1410" t="str">
        <f>"1552376560338320"</f>
        <v>1552376560338320</v>
      </c>
      <c r="C1410" t="s">
        <v>40</v>
      </c>
      <c r="D1410">
        <v>4.9492330000000004</v>
      </c>
      <c r="E1410">
        <v>0.56475310000000001</v>
      </c>
      <c r="F1410" t="s">
        <v>43</v>
      </c>
      <c r="G1410">
        <v>-194.417</v>
      </c>
      <c r="H1410" s="1">
        <v>-2.571115E-6</v>
      </c>
      <c r="I1410">
        <v>302.84289999999999</v>
      </c>
      <c r="J1410">
        <v>-191.95140000000001</v>
      </c>
      <c r="K1410">
        <v>1.109745</v>
      </c>
      <c r="L1410">
        <v>310.79610000000002</v>
      </c>
      <c r="M1410">
        <v>-4.450196E-2</v>
      </c>
      <c r="N1410">
        <v>0</v>
      </c>
      <c r="O1410">
        <v>-0.99892099999999995</v>
      </c>
      <c r="P1410">
        <v>-0.134783399999999</v>
      </c>
      <c r="Q1410">
        <v>-1.162471E-2</v>
      </c>
      <c r="R1410">
        <v>-0.99080679999999999</v>
      </c>
      <c r="S1410">
        <v>-0.88661190000000001</v>
      </c>
      <c r="T1410">
        <v>-0.39769599999999999</v>
      </c>
      <c r="U1410">
        <v>-2.9035639999999998</v>
      </c>
      <c r="V1410">
        <v>9.0556079999999997E-2</v>
      </c>
      <c r="W1410">
        <v>1.4188919999999999E-3</v>
      </c>
      <c r="X1410">
        <v>0.99589030000000001</v>
      </c>
      <c r="Y1410">
        <v>0.24669269999999999</v>
      </c>
      <c r="Z1410">
        <v>0.1304874</v>
      </c>
      <c r="AA1410">
        <v>0.96026860000000003</v>
      </c>
      <c r="AB1410">
        <v>16</v>
      </c>
      <c r="AC1410">
        <v>-2.46559999999999</v>
      </c>
      <c r="AD1410">
        <v>-1.109747571115</v>
      </c>
      <c r="AE1410">
        <v>-7.95320000000003</v>
      </c>
      <c r="AF1410">
        <v>2.0723814126017599</v>
      </c>
      <c r="AG1410">
        <v>-1.109747571115</v>
      </c>
      <c r="AH1410">
        <v>7.9144700245699697</v>
      </c>
      <c r="AI1410">
        <v>97.724709448733194</v>
      </c>
      <c r="AJ1410">
        <v>75.3266959839777</v>
      </c>
      <c r="AK1410">
        <v>8.2562182723514308</v>
      </c>
      <c r="AL1410">
        <v>89.918703445736597</v>
      </c>
      <c r="AM1410">
        <v>84.804395748935207</v>
      </c>
      <c r="AN1410">
        <v>0.99999995325678004</v>
      </c>
    </row>
    <row r="1411" spans="1:40" x14ac:dyDescent="0.25">
      <c r="A1411" t="str">
        <f>"20190312154240375"</f>
        <v>20190312154240375</v>
      </c>
      <c r="B1411" t="str">
        <f>"1552376560368577"</f>
        <v>1552376560368577</v>
      </c>
      <c r="C1411" t="s">
        <v>40</v>
      </c>
      <c r="D1411">
        <v>4.9738870000000004</v>
      </c>
      <c r="E1411">
        <v>0.56620530000000002</v>
      </c>
      <c r="F1411" t="s">
        <v>43</v>
      </c>
      <c r="G1411">
        <v>-194.64420000000001</v>
      </c>
      <c r="H1411" s="1">
        <v>-2.341058E-6</v>
      </c>
      <c r="I1411">
        <v>302.16570000000002</v>
      </c>
      <c r="J1411">
        <v>-191.96090000000001</v>
      </c>
      <c r="K1411">
        <v>1.109748</v>
      </c>
      <c r="L1411">
        <v>310.63159999999999</v>
      </c>
      <c r="M1411">
        <v>-4.6333689999999997E-2</v>
      </c>
      <c r="N1411">
        <v>0</v>
      </c>
      <c r="O1411">
        <v>-0.998838</v>
      </c>
      <c r="P1411">
        <v>-0.1372332</v>
      </c>
      <c r="Q1411">
        <v>-1.105367E-2</v>
      </c>
      <c r="R1411">
        <v>-0.99047739999999995</v>
      </c>
      <c r="S1411">
        <v>-0.90496829999999995</v>
      </c>
      <c r="T1411">
        <v>-0.37294759999999999</v>
      </c>
      <c r="U1411">
        <v>-2.90036</v>
      </c>
      <c r="V1411">
        <v>9.1193380000000004E-2</v>
      </c>
      <c r="W1411">
        <v>1.9863279999999999E-3</v>
      </c>
      <c r="X1411">
        <v>0.99583129999999997</v>
      </c>
      <c r="Y1411">
        <v>0.25106489999999998</v>
      </c>
      <c r="Z1411">
        <v>0.122429</v>
      </c>
      <c r="AA1411">
        <v>0.96019659999999996</v>
      </c>
      <c r="AB1411">
        <v>16</v>
      </c>
      <c r="AC1411">
        <v>-2.6833</v>
      </c>
      <c r="AD1411">
        <v>-1.1097503410580001</v>
      </c>
      <c r="AE1411">
        <v>-8.4658999999999693</v>
      </c>
      <c r="AF1411">
        <v>2.2529479765466198</v>
      </c>
      <c r="AG1411">
        <v>-1.1097503410580001</v>
      </c>
      <c r="AH1411">
        <v>8.4492134308311808</v>
      </c>
      <c r="AI1411">
        <v>97.232711693086799</v>
      </c>
      <c r="AJ1411">
        <v>75.069694581677894</v>
      </c>
      <c r="AK1411">
        <v>8.8145634040627296</v>
      </c>
      <c r="AL1411">
        <v>89.886191722916394</v>
      </c>
      <c r="AM1411">
        <v>84.7677249817026</v>
      </c>
      <c r="AN1411">
        <v>1.00000007805721</v>
      </c>
    </row>
    <row r="1412" spans="1:40" x14ac:dyDescent="0.25">
      <c r="A1412" t="str">
        <f>"20190312154240397"</f>
        <v>20190312154240397</v>
      </c>
      <c r="B1412" t="str">
        <f>"1552376560388760"</f>
        <v>1552376560388760</v>
      </c>
      <c r="C1412" t="s">
        <v>40</v>
      </c>
      <c r="D1412">
        <v>4.9038879999999896</v>
      </c>
      <c r="E1412">
        <v>0.56673589999999996</v>
      </c>
      <c r="F1412" t="s">
        <v>43</v>
      </c>
      <c r="G1412">
        <v>-194.9075</v>
      </c>
      <c r="H1412" s="1">
        <v>-2.0822350000000001E-6</v>
      </c>
      <c r="I1412">
        <v>301.39909999999998</v>
      </c>
      <c r="J1412">
        <v>-191.97069999999999</v>
      </c>
      <c r="K1412">
        <v>1.109742</v>
      </c>
      <c r="L1412">
        <v>310.46749999999997</v>
      </c>
      <c r="M1412">
        <v>-4.8164110000000003E-2</v>
      </c>
      <c r="N1412">
        <v>0</v>
      </c>
      <c r="O1412">
        <v>-0.99875159999999996</v>
      </c>
      <c r="P1412">
        <v>-0.1400729</v>
      </c>
      <c r="Q1412">
        <v>-1.1266440000000001E-2</v>
      </c>
      <c r="R1412">
        <v>-0.99007730000000005</v>
      </c>
      <c r="S1412">
        <v>-0.92454530000000001</v>
      </c>
      <c r="T1412">
        <v>-0.34820210000000001</v>
      </c>
      <c r="U1412">
        <v>-2.8968509999999998</v>
      </c>
      <c r="V1412">
        <v>9.2223600000000003E-2</v>
      </c>
      <c r="W1412">
        <v>1.7684129999999999E-3</v>
      </c>
      <c r="X1412">
        <v>0.99573679999999998</v>
      </c>
      <c r="Y1412">
        <v>0.25581340000000002</v>
      </c>
      <c r="Z1412">
        <v>0.1143503</v>
      </c>
      <c r="AA1412">
        <v>0.9599394</v>
      </c>
      <c r="AB1412">
        <v>16</v>
      </c>
      <c r="AC1412">
        <v>-2.9367999999999999</v>
      </c>
      <c r="AD1412">
        <v>-1.109744082235</v>
      </c>
      <c r="AE1412">
        <v>-9.0683999999999898</v>
      </c>
      <c r="AF1412">
        <v>2.4631950007510501</v>
      </c>
      <c r="AG1412">
        <v>-1.109744082235</v>
      </c>
      <c r="AH1412">
        <v>9.0763134717250207</v>
      </c>
      <c r="AI1412">
        <v>96.729778557210196</v>
      </c>
      <c r="AJ1412">
        <v>74.816372272174505</v>
      </c>
      <c r="AK1412">
        <v>9.4698641899869802</v>
      </c>
      <c r="AL1412">
        <v>89.898677350643396</v>
      </c>
      <c r="AM1412">
        <v>84.708449815796001</v>
      </c>
      <c r="AN1412">
        <v>1.0000000472778601</v>
      </c>
    </row>
    <row r="1413" spans="1:40" x14ac:dyDescent="0.25">
      <c r="A1413" t="str">
        <f>"20190312154240419"</f>
        <v>20190312154240419</v>
      </c>
      <c r="B1413" t="str">
        <f>"1552376560408283"</f>
        <v>1552376560408283</v>
      </c>
      <c r="C1413" t="s">
        <v>40</v>
      </c>
      <c r="D1413">
        <v>4.9365100000000002</v>
      </c>
      <c r="E1413">
        <v>0.56687880000000002</v>
      </c>
      <c r="F1413" t="s">
        <v>43</v>
      </c>
      <c r="G1413">
        <v>-195.0111</v>
      </c>
      <c r="H1413" s="1">
        <v>-1.9719990000000001E-6</v>
      </c>
      <c r="I1413">
        <v>301.0779</v>
      </c>
      <c r="J1413">
        <v>-191.98060000000001</v>
      </c>
      <c r="K1413">
        <v>1.1097509999999999</v>
      </c>
      <c r="L1413">
        <v>310.30689999999998</v>
      </c>
      <c r="M1413">
        <v>-4.9954659999999998E-2</v>
      </c>
      <c r="N1413">
        <v>0</v>
      </c>
      <c r="O1413">
        <v>-0.99866330000000003</v>
      </c>
      <c r="P1413">
        <v>-0.14280989999999999</v>
      </c>
      <c r="Q1413">
        <v>-1.210726E-2</v>
      </c>
      <c r="R1413">
        <v>-0.98967609999999995</v>
      </c>
      <c r="S1413">
        <v>-0.93696590000000002</v>
      </c>
      <c r="T1413">
        <v>-0.34199299999999999</v>
      </c>
      <c r="U1413">
        <v>-2.8936160000000002</v>
      </c>
      <c r="V1413">
        <v>9.3190339999999997E-2</v>
      </c>
      <c r="W1413">
        <v>9.2298200000000003E-4</v>
      </c>
      <c r="X1413">
        <v>0.99564790000000003</v>
      </c>
      <c r="Y1413">
        <v>0.25819609999999998</v>
      </c>
      <c r="Z1413">
        <v>0.1123338</v>
      </c>
      <c r="AA1413">
        <v>0.95953940000000004</v>
      </c>
      <c r="AB1413">
        <v>16</v>
      </c>
      <c r="AC1413">
        <v>-3.03049999999998</v>
      </c>
      <c r="AD1413">
        <v>-1.109752971999</v>
      </c>
      <c r="AE1413">
        <v>-9.2289999999999797</v>
      </c>
      <c r="AF1413">
        <v>2.5325885707703</v>
      </c>
      <c r="AG1413">
        <v>-1.109752971999</v>
      </c>
      <c r="AH1413">
        <v>9.2481706005043591</v>
      </c>
      <c r="AI1413">
        <v>96.601801739118599</v>
      </c>
      <c r="AJ1413">
        <v>74.6851565425318</v>
      </c>
      <c r="AK1413">
        <v>9.65267921272069</v>
      </c>
      <c r="AL1413">
        <v>89.947117020174801</v>
      </c>
      <c r="AM1413">
        <v>84.652825967545297</v>
      </c>
      <c r="AN1413">
        <v>1.00000001606974</v>
      </c>
    </row>
    <row r="1414" spans="1:40" x14ac:dyDescent="0.25">
      <c r="A1414" t="str">
        <f>"20190312154240441"</f>
        <v>20190312154240441</v>
      </c>
      <c r="B1414" t="str">
        <f>"1552376560428776"</f>
        <v>1552376560428776</v>
      </c>
      <c r="C1414" t="s">
        <v>40</v>
      </c>
      <c r="D1414">
        <v>4.949522</v>
      </c>
      <c r="E1414">
        <v>0.56694840000000002</v>
      </c>
      <c r="F1414" t="s">
        <v>43</v>
      </c>
      <c r="G1414">
        <v>-195.0676</v>
      </c>
      <c r="H1414" s="1">
        <v>-1.899768E-6</v>
      </c>
      <c r="I1414">
        <v>300.87450000000001</v>
      </c>
      <c r="J1414">
        <v>-191.9905</v>
      </c>
      <c r="K1414">
        <v>1.109756</v>
      </c>
      <c r="L1414">
        <v>310.15140000000002</v>
      </c>
      <c r="M1414">
        <v>-5.168859E-2</v>
      </c>
      <c r="N1414">
        <v>0</v>
      </c>
      <c r="O1414">
        <v>-0.99857510000000005</v>
      </c>
      <c r="P1414">
        <v>-0.1455227</v>
      </c>
      <c r="Q1414">
        <v>-1.222027E-2</v>
      </c>
      <c r="R1414">
        <v>-0.98927969999999998</v>
      </c>
      <c r="S1414">
        <v>-0.94602969999999997</v>
      </c>
      <c r="T1414">
        <v>-0.3400881</v>
      </c>
      <c r="U1414">
        <v>-2.890625</v>
      </c>
      <c r="V1414">
        <v>9.4190969999999999E-2</v>
      </c>
      <c r="W1414">
        <v>8.0520310000000003E-4</v>
      </c>
      <c r="X1414">
        <v>0.99555389999999999</v>
      </c>
      <c r="Y1414">
        <v>0.25955139999999999</v>
      </c>
      <c r="Z1414">
        <v>0.111737</v>
      </c>
      <c r="AA1414">
        <v>0.95924339999999997</v>
      </c>
      <c r="AB1414">
        <v>16</v>
      </c>
      <c r="AC1414">
        <v>-3.0771000000000002</v>
      </c>
      <c r="AD1414">
        <v>-1.109757899768</v>
      </c>
      <c r="AE1414">
        <v>-9.2769000000000101</v>
      </c>
      <c r="AF1414">
        <v>2.5604249417676201</v>
      </c>
      <c r="AG1414">
        <v>-1.109757899768</v>
      </c>
      <c r="AH1414">
        <v>9.3036198865417301</v>
      </c>
      <c r="AI1414">
        <v>96.560570274601403</v>
      </c>
      <c r="AJ1414">
        <v>74.612702231942805</v>
      </c>
      <c r="AK1414">
        <v>9.7131190393085394</v>
      </c>
      <c r="AL1414">
        <v>89.953865259308998</v>
      </c>
      <c r="AM1414">
        <v>84.595241653407896</v>
      </c>
      <c r="AN1414">
        <v>1.0000000774933799</v>
      </c>
    </row>
    <row r="1415" spans="1:40" x14ac:dyDescent="0.25">
      <c r="A1415" t="str">
        <f>"20190312154240463"</f>
        <v>20190312154240463</v>
      </c>
      <c r="B1415" t="str">
        <f>"1552376560459032"</f>
        <v>1552376560459032</v>
      </c>
      <c r="C1415" t="s">
        <v>40</v>
      </c>
      <c r="D1415">
        <v>4.9292309999999997</v>
      </c>
      <c r="E1415">
        <v>0.56709100000000001</v>
      </c>
      <c r="F1415" t="s">
        <v>43</v>
      </c>
      <c r="G1415">
        <v>-195.13409999999999</v>
      </c>
      <c r="H1415" s="1">
        <v>-1.8167530000000001E-6</v>
      </c>
      <c r="I1415">
        <v>300.6397</v>
      </c>
      <c r="J1415">
        <v>-192.00120000000001</v>
      </c>
      <c r="K1415">
        <v>1.109769</v>
      </c>
      <c r="L1415">
        <v>309.98630000000003</v>
      </c>
      <c r="M1415">
        <v>-5.3520180000000001E-2</v>
      </c>
      <c r="N1415">
        <v>0</v>
      </c>
      <c r="O1415">
        <v>-0.99847870000000005</v>
      </c>
      <c r="P1415">
        <v>-0.1484878</v>
      </c>
      <c r="Q1415">
        <v>-1.198287E-2</v>
      </c>
      <c r="R1415">
        <v>-0.98884170000000005</v>
      </c>
      <c r="S1415">
        <v>-0.95446779999999998</v>
      </c>
      <c r="T1415">
        <v>-0.33694200000000002</v>
      </c>
      <c r="U1415">
        <v>-2.8879090000000001</v>
      </c>
      <c r="V1415">
        <v>9.5349539999999997E-2</v>
      </c>
      <c r="W1415">
        <v>1.038853E-3</v>
      </c>
      <c r="X1415">
        <v>0.99544330000000003</v>
      </c>
      <c r="Y1415">
        <v>0.2606117</v>
      </c>
      <c r="Z1415">
        <v>0.11073330000000001</v>
      </c>
      <c r="AA1415">
        <v>0.95907229999999999</v>
      </c>
      <c r="AB1415">
        <v>16</v>
      </c>
      <c r="AC1415">
        <v>-3.13289999999997</v>
      </c>
      <c r="AD1415">
        <v>-1.109770816753</v>
      </c>
      <c r="AE1415">
        <v>-9.34660000000002</v>
      </c>
      <c r="AF1415">
        <v>2.5952410275587798</v>
      </c>
      <c r="AG1415">
        <v>-1.109770816753</v>
      </c>
      <c r="AH1415">
        <v>9.3819818978929295</v>
      </c>
      <c r="AI1415">
        <v>96.503985300648793</v>
      </c>
      <c r="AJ1415">
        <v>74.537507218248805</v>
      </c>
      <c r="AK1415">
        <v>9.797369626039</v>
      </c>
      <c r="AL1415">
        <v>89.940478096189906</v>
      </c>
      <c r="AM1415">
        <v>84.528558671224602</v>
      </c>
      <c r="AN1415">
        <v>0.99999998875432805</v>
      </c>
    </row>
    <row r="1416" spans="1:40" x14ac:dyDescent="0.25">
      <c r="A1416" t="str">
        <f>"20190312154240486"</f>
        <v>20190312154240486</v>
      </c>
      <c r="B1416" t="str">
        <f>"1552376560479154"</f>
        <v>1552376560479154</v>
      </c>
      <c r="C1416" t="s">
        <v>40</v>
      </c>
      <c r="D1416">
        <v>4.8925700000000001</v>
      </c>
      <c r="E1416">
        <v>0.56712459999999998</v>
      </c>
      <c r="F1416" t="s">
        <v>43</v>
      </c>
      <c r="G1416">
        <v>-195.233</v>
      </c>
      <c r="H1416" s="1">
        <v>-1.70767E-6</v>
      </c>
      <c r="I1416">
        <v>300.32409999999999</v>
      </c>
      <c r="J1416">
        <v>-192.0119</v>
      </c>
      <c r="K1416">
        <v>1.1097729999999999</v>
      </c>
      <c r="L1416">
        <v>309.82600000000002</v>
      </c>
      <c r="M1416">
        <v>-5.5288049999999998E-2</v>
      </c>
      <c r="N1416">
        <v>0</v>
      </c>
      <c r="O1416">
        <v>-0.9983824</v>
      </c>
      <c r="P1416">
        <v>-0.151152799999999</v>
      </c>
      <c r="Q1416">
        <v>-1.131893E-2</v>
      </c>
      <c r="R1416">
        <v>-0.98844589999999999</v>
      </c>
      <c r="S1416">
        <v>-0.96493530000000005</v>
      </c>
      <c r="T1416">
        <v>-0.33135589999999998</v>
      </c>
      <c r="U1416">
        <v>-2.8849490000000002</v>
      </c>
      <c r="V1416">
        <v>9.6270949999999994E-2</v>
      </c>
      <c r="W1416">
        <v>1.700226E-3</v>
      </c>
      <c r="X1416">
        <v>0.99535370000000001</v>
      </c>
      <c r="Y1416">
        <v>0.26239240000000003</v>
      </c>
      <c r="Z1416">
        <v>0.1089223</v>
      </c>
      <c r="AA1416">
        <v>0.95879409999999998</v>
      </c>
      <c r="AB1416">
        <v>16</v>
      </c>
      <c r="AC1416">
        <v>-3.2210999999999999</v>
      </c>
      <c r="AD1416">
        <v>-1.10977470767</v>
      </c>
      <c r="AE1416">
        <v>-9.5018999999999707</v>
      </c>
      <c r="AF1416">
        <v>2.6582606164929201</v>
      </c>
      <c r="AG1416">
        <v>-1.10977470767</v>
      </c>
      <c r="AH1416">
        <v>9.5486396535283493</v>
      </c>
      <c r="AI1416">
        <v>96.388544275333004</v>
      </c>
      <c r="AJ1416">
        <v>74.443246582034206</v>
      </c>
      <c r="AK1416">
        <v>9.9736888180810599</v>
      </c>
      <c r="AL1416">
        <v>89.902584177814106</v>
      </c>
      <c r="AM1416">
        <v>84.475516718208596</v>
      </c>
      <c r="AN1416">
        <v>0.99999998734302098</v>
      </c>
    </row>
    <row r="1417" spans="1:40" x14ac:dyDescent="0.25">
      <c r="A1417" t="str">
        <f>"20190312154240510"</f>
        <v>20190312154240510</v>
      </c>
      <c r="B1417" t="str">
        <f>"1552376560498674"</f>
        <v>1552376560498674</v>
      </c>
      <c r="C1417" t="s">
        <v>40</v>
      </c>
      <c r="D1417">
        <v>4.8839899999999998</v>
      </c>
      <c r="E1417">
        <v>0.56705030000000001</v>
      </c>
      <c r="F1417" t="s">
        <v>43</v>
      </c>
      <c r="G1417">
        <v>-195.31059999999999</v>
      </c>
      <c r="H1417" s="1">
        <v>-1.612331E-6</v>
      </c>
      <c r="I1417">
        <v>300.05369999999999</v>
      </c>
      <c r="J1417">
        <v>-192.02369999999999</v>
      </c>
      <c r="K1417">
        <v>1.1097840000000001</v>
      </c>
      <c r="L1417">
        <v>309.6551</v>
      </c>
      <c r="M1417">
        <v>-5.7155999999999901E-2</v>
      </c>
      <c r="N1417">
        <v>0</v>
      </c>
      <c r="O1417">
        <v>-0.99827719999999998</v>
      </c>
      <c r="P1417">
        <v>-0.1540416</v>
      </c>
      <c r="Q1417">
        <v>-1.1496869999999999E-2</v>
      </c>
      <c r="R1417">
        <v>-0.98799769999999998</v>
      </c>
      <c r="S1417">
        <v>-0.97300719999999996</v>
      </c>
      <c r="T1417">
        <v>-0.3273491</v>
      </c>
      <c r="U1417">
        <v>-2.8825069999999999</v>
      </c>
      <c r="V1417">
        <v>9.7317829999999994E-2</v>
      </c>
      <c r="W1417">
        <v>1.5195040000000001E-3</v>
      </c>
      <c r="X1417">
        <v>0.99525220000000003</v>
      </c>
      <c r="Y1417">
        <v>0.26328940000000001</v>
      </c>
      <c r="Z1417">
        <v>0.1076298</v>
      </c>
      <c r="AA1417">
        <v>0.95869420000000005</v>
      </c>
      <c r="AB1417">
        <v>16</v>
      </c>
      <c r="AC1417">
        <v>-3.2869000000000002</v>
      </c>
      <c r="AD1417">
        <v>-1.1097856123309999</v>
      </c>
      <c r="AE1417">
        <v>-9.6014000000000106</v>
      </c>
      <c r="AF1417">
        <v>2.7004068512799</v>
      </c>
      <c r="AG1417">
        <v>-1.1097856123309999</v>
      </c>
      <c r="AH1417">
        <v>9.6580867452095998</v>
      </c>
      <c r="AI1417">
        <v>96.314837660385294</v>
      </c>
      <c r="AJ1417">
        <v>74.378975994573494</v>
      </c>
      <c r="AK1417">
        <v>10.0897205534033</v>
      </c>
      <c r="AL1417">
        <v>89.912938800802706</v>
      </c>
      <c r="AM1417">
        <v>84.415253571993901</v>
      </c>
      <c r="AN1417">
        <v>1.0000000052665701</v>
      </c>
    </row>
    <row r="1418" spans="1:40" x14ac:dyDescent="0.25">
      <c r="A1418" t="str">
        <f>"20190312154240532"</f>
        <v>20190312154240532</v>
      </c>
      <c r="B1418" t="str">
        <f>"1552376560528930"</f>
        <v>1552376560528930</v>
      </c>
      <c r="C1418" t="s">
        <v>40</v>
      </c>
      <c r="D1418">
        <v>4.9178089999999903</v>
      </c>
      <c r="E1418">
        <v>0.56694009999999995</v>
      </c>
      <c r="F1418" t="s">
        <v>43</v>
      </c>
      <c r="G1418">
        <v>-195.3681</v>
      </c>
      <c r="H1418" s="1">
        <v>-1.53416E-6</v>
      </c>
      <c r="I1418">
        <v>299.83580000000001</v>
      </c>
      <c r="J1418">
        <v>-192.0352</v>
      </c>
      <c r="K1418">
        <v>1.1097969999999999</v>
      </c>
      <c r="L1418">
        <v>309.49040000000002</v>
      </c>
      <c r="M1418">
        <v>-5.893901E-2</v>
      </c>
      <c r="N1418">
        <v>0</v>
      </c>
      <c r="O1418">
        <v>-0.9981738</v>
      </c>
      <c r="P1418">
        <v>-0.1566755</v>
      </c>
      <c r="Q1418">
        <v>-1.1753609999999999E-2</v>
      </c>
      <c r="R1418">
        <v>-0.98758069999999998</v>
      </c>
      <c r="S1418">
        <v>-0.98085020000000001</v>
      </c>
      <c r="T1418">
        <v>-0.32547130000000002</v>
      </c>
      <c r="U1418">
        <v>-2.8797299999999999</v>
      </c>
      <c r="V1418">
        <v>9.8193489999999994E-2</v>
      </c>
      <c r="W1418">
        <v>1.261536E-3</v>
      </c>
      <c r="X1418">
        <v>0.99516649999999995</v>
      </c>
      <c r="Y1418">
        <v>0.26420929999999998</v>
      </c>
      <c r="Z1418">
        <v>0.10704089999999999</v>
      </c>
      <c r="AA1418">
        <v>0.958507</v>
      </c>
      <c r="AB1418">
        <v>16</v>
      </c>
      <c r="AC1418">
        <v>-3.3328999999999902</v>
      </c>
      <c r="AD1418">
        <v>-1.1097985341599901</v>
      </c>
      <c r="AE1418">
        <v>-9.6546000000000092</v>
      </c>
      <c r="AF1418">
        <v>2.7258398442552898</v>
      </c>
      <c r="AG1418">
        <v>-1.1097985341599901</v>
      </c>
      <c r="AH1418">
        <v>9.7195145491538302</v>
      </c>
      <c r="AI1418">
        <v>96.273946240959503</v>
      </c>
      <c r="AJ1418">
        <v>74.333836805885099</v>
      </c>
      <c r="AK1418">
        <v>10.155334495434699</v>
      </c>
      <c r="AL1418">
        <v>89.927719289276396</v>
      </c>
      <c r="AM1418">
        <v>84.364842193148505</v>
      </c>
      <c r="AN1418">
        <v>0.99999995783685303</v>
      </c>
    </row>
    <row r="1419" spans="1:40" x14ac:dyDescent="0.25">
      <c r="A1419" t="str">
        <f>"20190312154240555"</f>
        <v>20190312154240555</v>
      </c>
      <c r="B1419" t="str">
        <f>"1552376560548451"</f>
        <v>1552376560548451</v>
      </c>
      <c r="C1419" t="s">
        <v>40</v>
      </c>
      <c r="D1419">
        <v>4.9031459999999996</v>
      </c>
      <c r="E1419">
        <v>0.56680339999999996</v>
      </c>
      <c r="F1419" t="s">
        <v>43</v>
      </c>
      <c r="G1419">
        <v>-195.41679999999999</v>
      </c>
      <c r="H1419" s="1">
        <v>-1.465944E-6</v>
      </c>
      <c r="I1419">
        <v>299.64659999999998</v>
      </c>
      <c r="J1419">
        <v>-192.0463</v>
      </c>
      <c r="K1419">
        <v>1.10981</v>
      </c>
      <c r="L1419">
        <v>309.33629999999999</v>
      </c>
      <c r="M1419">
        <v>-6.0591999999999903E-2</v>
      </c>
      <c r="N1419">
        <v>0</v>
      </c>
      <c r="O1419">
        <v>-0.99807480000000004</v>
      </c>
      <c r="P1419">
        <v>-0.15894629999999901</v>
      </c>
      <c r="Q1419">
        <v>-1.240932E-2</v>
      </c>
      <c r="R1419">
        <v>-0.98720969999999997</v>
      </c>
      <c r="S1419">
        <v>-0.98832699999999996</v>
      </c>
      <c r="T1419">
        <v>-0.32436320000000002</v>
      </c>
      <c r="U1419">
        <v>-2.8770449999999999</v>
      </c>
      <c r="V1419">
        <v>9.8833169999999998E-2</v>
      </c>
      <c r="W1419">
        <v>6.0445469999999995E-4</v>
      </c>
      <c r="X1419">
        <v>0.99510379999999998</v>
      </c>
      <c r="Y1419">
        <v>0.26512740000000001</v>
      </c>
      <c r="Z1419">
        <v>0.10670109999999999</v>
      </c>
      <c r="AA1419">
        <v>0.95829140000000002</v>
      </c>
      <c r="AB1419">
        <v>16</v>
      </c>
      <c r="AC1419">
        <v>-3.3704999999999901</v>
      </c>
      <c r="AD1419">
        <v>-1.1098114659439999</v>
      </c>
      <c r="AE1419">
        <v>-9.6897000000000109</v>
      </c>
      <c r="AF1419">
        <v>2.74501306942491</v>
      </c>
      <c r="AG1419">
        <v>-1.1098114659439999</v>
      </c>
      <c r="AH1419">
        <v>9.7618990183526897</v>
      </c>
      <c r="AI1419">
        <v>96.245789880273193</v>
      </c>
      <c r="AJ1419">
        <v>74.294196135078593</v>
      </c>
      <c r="AK1419">
        <v>10.201051450010899</v>
      </c>
      <c r="AL1419">
        <v>89.965367293524906</v>
      </c>
      <c r="AM1419">
        <v>84.328015585253894</v>
      </c>
      <c r="AN1419">
        <v>0.99999996681608605</v>
      </c>
    </row>
    <row r="1420" spans="1:40" x14ac:dyDescent="0.25">
      <c r="A1420" t="str">
        <f>"20190312154240575"</f>
        <v>20190312154240575</v>
      </c>
      <c r="B1420" t="str">
        <f>"1552376560568946"</f>
        <v>1552376560568946</v>
      </c>
      <c r="C1420" t="s">
        <v>40</v>
      </c>
      <c r="D1420">
        <v>4.8676120000000003</v>
      </c>
      <c r="E1420">
        <v>0.56664840000000005</v>
      </c>
      <c r="F1420" t="s">
        <v>49</v>
      </c>
      <c r="G1420">
        <v>-195.45500000000001</v>
      </c>
      <c r="H1420" s="1">
        <v>2.4145870000000002E-8</v>
      </c>
      <c r="I1420">
        <v>299.47919999999999</v>
      </c>
      <c r="J1420">
        <v>-192.0574</v>
      </c>
      <c r="K1420">
        <v>1.10982</v>
      </c>
      <c r="L1420">
        <v>309.18529999999998</v>
      </c>
      <c r="M1420">
        <v>-6.2198999999999997E-2</v>
      </c>
      <c r="N1420">
        <v>0</v>
      </c>
      <c r="O1420">
        <v>-0.99797579999999997</v>
      </c>
      <c r="P1420">
        <v>-0.16107399999999999</v>
      </c>
      <c r="Q1420">
        <v>-1.298553E-2</v>
      </c>
      <c r="R1420">
        <v>-0.98685719999999999</v>
      </c>
      <c r="S1420">
        <v>-0.99412540000000005</v>
      </c>
      <c r="T1420">
        <v>-0.32366929999999999</v>
      </c>
      <c r="U1420">
        <v>-2.8747560000000001</v>
      </c>
      <c r="V1420">
        <v>9.9375320000000003E-2</v>
      </c>
      <c r="W1420" s="1">
        <v>2.6900899999999999E-5</v>
      </c>
      <c r="X1420">
        <v>0.99504999999999999</v>
      </c>
      <c r="Y1420">
        <v>0.26554460000000002</v>
      </c>
      <c r="Z1420">
        <v>0.10649889999999999</v>
      </c>
      <c r="AA1420">
        <v>0.95819829999999995</v>
      </c>
      <c r="AB1420">
        <v>16</v>
      </c>
      <c r="AC1420">
        <v>-3.3976000000000099</v>
      </c>
      <c r="AD1420">
        <v>-1.1098199758541201</v>
      </c>
      <c r="AE1420">
        <v>-9.7060999999999904</v>
      </c>
      <c r="AF1420">
        <v>2.7551679776436599</v>
      </c>
      <c r="AG1420">
        <v>-1.1098199758541201</v>
      </c>
      <c r="AH1420">
        <v>9.7846865018484692</v>
      </c>
      <c r="AI1420">
        <v>96.230788767732193</v>
      </c>
      <c r="AJ1420">
        <v>74.273864018589407</v>
      </c>
      <c r="AK1420">
        <v>10.2255924475452</v>
      </c>
      <c r="AL1420">
        <v>89.998458691931901</v>
      </c>
      <c r="AM1420">
        <v>84.296800105112197</v>
      </c>
      <c r="AN1420">
        <v>0.99999997872437996</v>
      </c>
    </row>
    <row r="1421" spans="1:40" x14ac:dyDescent="0.25">
      <c r="A1421" t="str">
        <f>"20190312154240609"</f>
        <v>20190312154240609</v>
      </c>
      <c r="B1421" t="str">
        <f>"1552376560598230"</f>
        <v>1552376560598230</v>
      </c>
      <c r="C1421" t="s">
        <v>40</v>
      </c>
      <c r="D1421">
        <v>4.8691820000000003</v>
      </c>
      <c r="E1421">
        <v>0.56640219999999997</v>
      </c>
      <c r="F1421" t="s">
        <v>49</v>
      </c>
      <c r="G1421">
        <v>-195.49340000000001</v>
      </c>
      <c r="H1421" s="1">
        <v>5.3475520000000001E-8</v>
      </c>
      <c r="I1421">
        <v>299.31270000000001</v>
      </c>
      <c r="J1421">
        <v>-192.07560000000001</v>
      </c>
      <c r="K1421">
        <v>1.109828</v>
      </c>
      <c r="L1421">
        <v>308.94450000000001</v>
      </c>
      <c r="M1421">
        <v>-6.4742240000000006E-2</v>
      </c>
      <c r="N1421">
        <v>0</v>
      </c>
      <c r="O1421">
        <v>-0.99781399999999998</v>
      </c>
      <c r="P1421">
        <v>-0.16391700000000001</v>
      </c>
      <c r="Q1421">
        <v>-1.3532270000000001E-2</v>
      </c>
      <c r="R1421">
        <v>-0.98638119999999996</v>
      </c>
      <c r="S1421">
        <v>-0.99972530000000004</v>
      </c>
      <c r="T1421">
        <v>-0.32291160000000002</v>
      </c>
      <c r="U1421">
        <v>-2.872528</v>
      </c>
      <c r="V1421">
        <v>9.9706169999999997E-2</v>
      </c>
      <c r="W1421">
        <v>-5.2149059999999998E-4</v>
      </c>
      <c r="X1421">
        <v>0.99501680000000003</v>
      </c>
      <c r="Y1421">
        <v>0.26499309999999998</v>
      </c>
      <c r="Z1421">
        <v>0.1062791</v>
      </c>
      <c r="AA1421">
        <v>0.95837539999999999</v>
      </c>
      <c r="AB1421">
        <v>16</v>
      </c>
      <c r="AC1421">
        <v>-3.4178000000000002</v>
      </c>
      <c r="AD1421">
        <v>-1.10982794652448</v>
      </c>
      <c r="AE1421">
        <v>-9.6317999999999895</v>
      </c>
      <c r="AF1421">
        <v>2.75450778234655</v>
      </c>
      <c r="AG1421">
        <v>-1.10982794652448</v>
      </c>
      <c r="AH1421">
        <v>9.7182857159382898</v>
      </c>
      <c r="AI1421">
        <v>96.270046419869004</v>
      </c>
      <c r="AJ1421">
        <v>74.175384145352197</v>
      </c>
      <c r="AK1421">
        <v>10.1618949242011</v>
      </c>
      <c r="AL1421">
        <v>90.029879211422895</v>
      </c>
      <c r="AM1421">
        <v>84.277748593359107</v>
      </c>
      <c r="AN1421">
        <v>1.0000000122853701</v>
      </c>
    </row>
    <row r="1422" spans="1:40" x14ac:dyDescent="0.25">
      <c r="A1422" t="str">
        <f>"20190312154240630"</f>
        <v>20190312154240630</v>
      </c>
      <c r="B1422" t="str">
        <f>"1552376560618722"</f>
        <v>1552376560618722</v>
      </c>
      <c r="C1422" t="s">
        <v>40</v>
      </c>
      <c r="D1422">
        <v>4.8620799999999997</v>
      </c>
      <c r="E1422">
        <v>0.56628350000000005</v>
      </c>
      <c r="F1422" t="s">
        <v>49</v>
      </c>
      <c r="G1422">
        <v>-195.52969999999999</v>
      </c>
      <c r="H1422" s="1">
        <v>9.1585039999999903E-8</v>
      </c>
      <c r="I1422">
        <v>299.09629999999999</v>
      </c>
      <c r="J1422">
        <v>-192.08760000000001</v>
      </c>
      <c r="K1422">
        <v>1.109823</v>
      </c>
      <c r="L1422">
        <v>308.78919999999999</v>
      </c>
      <c r="M1422">
        <v>-6.6374790000000003E-2</v>
      </c>
      <c r="N1422">
        <v>0</v>
      </c>
      <c r="O1422">
        <v>-0.9977068</v>
      </c>
      <c r="P1422">
        <v>-0.16557269999999999</v>
      </c>
      <c r="Q1422">
        <v>-1.3888670000000001E-2</v>
      </c>
      <c r="R1422">
        <v>-0.98609979999999997</v>
      </c>
      <c r="S1422">
        <v>-1.0065</v>
      </c>
      <c r="T1422">
        <v>-0.32339839999999997</v>
      </c>
      <c r="U1422">
        <v>-2.86972</v>
      </c>
      <c r="V1422">
        <v>9.9748229999999993E-2</v>
      </c>
      <c r="W1422">
        <v>-8.7931089999999999E-4</v>
      </c>
      <c r="X1422">
        <v>0.99501229999999996</v>
      </c>
      <c r="Y1422">
        <v>0.26571679999999998</v>
      </c>
      <c r="Z1422">
        <v>0.1064667</v>
      </c>
      <c r="AA1422">
        <v>0.95815419999999996</v>
      </c>
      <c r="AB1422">
        <v>16</v>
      </c>
      <c r="AC1422">
        <v>-3.44209999999998</v>
      </c>
      <c r="AD1422">
        <v>-1.10982290841496</v>
      </c>
      <c r="AE1422">
        <v>-9.6928999999999998</v>
      </c>
      <c r="AF1422">
        <v>2.7589679833926302</v>
      </c>
      <c r="AG1422">
        <v>-1.10982290841496</v>
      </c>
      <c r="AH1422">
        <v>9.7860821791306396</v>
      </c>
      <c r="AI1422">
        <v>96.229361776619598</v>
      </c>
      <c r="AJ1422">
        <v>74.255383636598197</v>
      </c>
      <c r="AK1422">
        <v>10.2279526611207</v>
      </c>
      <c r="AL1422">
        <v>90.050380810956597</v>
      </c>
      <c r="AM1422">
        <v>84.275325033060994</v>
      </c>
      <c r="AN1422">
        <v>0.99999997986353995</v>
      </c>
    </row>
    <row r="1423" spans="1:40" x14ac:dyDescent="0.25">
      <c r="A1423" t="str">
        <f>"20190312154240652"</f>
        <v>20190312154240652</v>
      </c>
      <c r="B1423" t="str">
        <f>"1552376560638243"</f>
        <v>1552376560638243</v>
      </c>
      <c r="C1423" t="s">
        <v>40</v>
      </c>
      <c r="D1423">
        <v>4.8781639999999999</v>
      </c>
      <c r="E1423">
        <v>0.56640449999999998</v>
      </c>
      <c r="F1423" t="s">
        <v>49</v>
      </c>
      <c r="G1423">
        <v>-195.5626</v>
      </c>
      <c r="H1423" s="1">
        <v>1.214276E-7</v>
      </c>
      <c r="I1423">
        <v>298.92680000000001</v>
      </c>
      <c r="J1423">
        <v>-192.1002</v>
      </c>
      <c r="K1423">
        <v>1.1098269999999999</v>
      </c>
      <c r="L1423">
        <v>308.63060000000002</v>
      </c>
      <c r="M1423">
        <v>-6.8042119999999998E-2</v>
      </c>
      <c r="N1423">
        <v>0</v>
      </c>
      <c r="O1423">
        <v>-0.9975948</v>
      </c>
      <c r="P1423">
        <v>-0.1673975</v>
      </c>
      <c r="Q1423">
        <v>-1.3593020000000001E-2</v>
      </c>
      <c r="R1423">
        <v>-0.98579629999999996</v>
      </c>
      <c r="S1423">
        <v>-1.0105740000000001</v>
      </c>
      <c r="T1423">
        <v>-0.32275090000000001</v>
      </c>
      <c r="U1423">
        <v>-2.8681030000000001</v>
      </c>
      <c r="V1423">
        <v>9.9927020000000005E-2</v>
      </c>
      <c r="W1423">
        <v>-5.8573830000000003E-4</v>
      </c>
      <c r="X1423">
        <v>0.99499459999999995</v>
      </c>
      <c r="Y1423">
        <v>0.26549329999999999</v>
      </c>
      <c r="Z1423">
        <v>0.1062732</v>
      </c>
      <c r="AA1423">
        <v>0.95823760000000002</v>
      </c>
      <c r="AB1423">
        <v>16</v>
      </c>
      <c r="AC1423">
        <v>-3.4624000000000001</v>
      </c>
      <c r="AD1423">
        <v>-1.1098268785723999</v>
      </c>
      <c r="AE1423">
        <v>-9.7037999999999993</v>
      </c>
      <c r="AF1423">
        <v>2.7620010411704499</v>
      </c>
      <c r="AG1423">
        <v>-1.1098268785723999</v>
      </c>
      <c r="AH1423">
        <v>9.8031673042777694</v>
      </c>
      <c r="AI1423">
        <v>96.2189054655381</v>
      </c>
      <c r="AJ1423">
        <v>74.265041607395702</v>
      </c>
      <c r="AK1423">
        <v>10.245118576546</v>
      </c>
      <c r="AL1423">
        <v>90.033560334300006</v>
      </c>
      <c r="AM1423">
        <v>84.265031050028</v>
      </c>
      <c r="AN1423">
        <v>1.00000000322229</v>
      </c>
    </row>
    <row r="1424" spans="1:40" x14ac:dyDescent="0.25">
      <c r="A1424" t="str">
        <f>"20190312154240676"</f>
        <v>20190312154240676</v>
      </c>
      <c r="B1424" t="str">
        <f>"1552376560668499"</f>
        <v>1552376560668499</v>
      </c>
      <c r="C1424" t="s">
        <v>40</v>
      </c>
      <c r="D1424">
        <v>4.9156339999999998</v>
      </c>
      <c r="E1424">
        <v>0.5819744</v>
      </c>
      <c r="F1424" t="s">
        <v>49</v>
      </c>
      <c r="G1424">
        <v>-195.6183</v>
      </c>
      <c r="H1424" s="1">
        <v>1.5870439999999901E-7</v>
      </c>
      <c r="I1424">
        <v>298.71519999999998</v>
      </c>
      <c r="J1424">
        <v>-192.11369999999999</v>
      </c>
      <c r="K1424">
        <v>1.109826</v>
      </c>
      <c r="L1424">
        <v>308.46409999999997</v>
      </c>
      <c r="M1424">
        <v>-6.9794889999999998E-2</v>
      </c>
      <c r="N1424">
        <v>0</v>
      </c>
      <c r="O1424">
        <v>-0.99747350000000001</v>
      </c>
      <c r="P1424">
        <v>-0.1696802</v>
      </c>
      <c r="Q1424">
        <v>-1.342966E-2</v>
      </c>
      <c r="R1424">
        <v>-0.98540760000000005</v>
      </c>
      <c r="S1424">
        <v>-1.016937</v>
      </c>
      <c r="T1424">
        <v>-0.32080389999999998</v>
      </c>
      <c r="U1424">
        <v>-2.8661189999999999</v>
      </c>
      <c r="V1424">
        <v>0.1004833</v>
      </c>
      <c r="W1424">
        <v>-4.261469E-4</v>
      </c>
      <c r="X1424">
        <v>0.99493869999999895</v>
      </c>
      <c r="Y1424">
        <v>0.26592110000000002</v>
      </c>
      <c r="Z1424">
        <v>0.1056444</v>
      </c>
      <c r="AA1424">
        <v>0.9581885</v>
      </c>
      <c r="AB1424">
        <v>16</v>
      </c>
      <c r="AC1424">
        <v>-3.5046000000000102</v>
      </c>
      <c r="AD1424">
        <v>-1.1098258412955999</v>
      </c>
      <c r="AE1424">
        <v>-9.7488999999999901</v>
      </c>
      <c r="AF1424">
        <v>2.78362230187183</v>
      </c>
      <c r="AG1424">
        <v>-1.1098258412955999</v>
      </c>
      <c r="AH1424">
        <v>9.8566252132251098</v>
      </c>
      <c r="AI1424">
        <v>96.184366170745093</v>
      </c>
      <c r="AJ1424">
        <v>74.229720884982996</v>
      </c>
      <c r="AK1424">
        <v>10.3021030431398</v>
      </c>
      <c r="AL1424">
        <v>90.024416418439102</v>
      </c>
      <c r="AM1424">
        <v>84.232998030231698</v>
      </c>
      <c r="AN1424">
        <v>1.00000004596887</v>
      </c>
    </row>
    <row r="1425" spans="1:40" x14ac:dyDescent="0.25">
      <c r="A1425" t="str">
        <f>"20190312154240698"</f>
        <v>20190312154240698</v>
      </c>
      <c r="B1425" t="str">
        <f>"1552376560688527"</f>
        <v>1552376560688527</v>
      </c>
      <c r="C1425" t="s">
        <v>40</v>
      </c>
      <c r="D1425">
        <v>4.8559010000000002</v>
      </c>
      <c r="E1425">
        <v>0.58202109999999996</v>
      </c>
      <c r="F1425" t="s">
        <v>49</v>
      </c>
      <c r="G1425">
        <v>-196.5959</v>
      </c>
      <c r="H1425" s="1">
        <v>3.9844730000000002E-7</v>
      </c>
      <c r="I1425">
        <v>297.35390000000001</v>
      </c>
      <c r="J1425">
        <v>-192.1266</v>
      </c>
      <c r="K1425">
        <v>1.109829</v>
      </c>
      <c r="L1425">
        <v>308.30829999999997</v>
      </c>
      <c r="M1425">
        <v>-7.1437230000000004E-2</v>
      </c>
      <c r="N1425">
        <v>0</v>
      </c>
      <c r="O1425">
        <v>-0.9973571</v>
      </c>
      <c r="P1425">
        <v>-0.17155629999999999</v>
      </c>
      <c r="Q1425">
        <v>-1.324447E-2</v>
      </c>
      <c r="R1425">
        <v>-0.9850854</v>
      </c>
      <c r="S1425">
        <v>-1.1469879999999999</v>
      </c>
      <c r="T1425">
        <v>-0.28400350000000002</v>
      </c>
      <c r="U1425">
        <v>-2.8430789999999999</v>
      </c>
      <c r="V1425">
        <v>0.1007397</v>
      </c>
      <c r="W1425">
        <v>-2.436084E-4</v>
      </c>
      <c r="X1425">
        <v>0.99491280000000004</v>
      </c>
      <c r="Y1425">
        <v>0.30530170000000001</v>
      </c>
      <c r="Z1425">
        <v>9.3041659999999998E-2</v>
      </c>
      <c r="AA1425">
        <v>0.94769939999999997</v>
      </c>
      <c r="AB1425">
        <v>16</v>
      </c>
      <c r="AC1425">
        <v>-4.4692999999999996</v>
      </c>
      <c r="AD1425">
        <v>-1.1098286015526999</v>
      </c>
      <c r="AE1425">
        <v>-10.9543999999999</v>
      </c>
      <c r="AF1425">
        <v>3.6431997588695402</v>
      </c>
      <c r="AG1425">
        <v>-1.1098286015526999</v>
      </c>
      <c r="AH1425">
        <v>11.147614861674001</v>
      </c>
      <c r="AI1425">
        <v>95.405913991665599</v>
      </c>
      <c r="AJ1425">
        <v>71.901868684099796</v>
      </c>
      <c r="AK1425">
        <v>11.780235189166101</v>
      </c>
      <c r="AL1425">
        <v>90.0139577331298</v>
      </c>
      <c r="AM1425">
        <v>84.218232631752002</v>
      </c>
      <c r="AN1425">
        <v>1.00000001305249</v>
      </c>
    </row>
    <row r="1426" spans="1:40" x14ac:dyDescent="0.25">
      <c r="A1426" t="str">
        <f>"20190312154240721"</f>
        <v>20190312154240721</v>
      </c>
      <c r="B1426" t="str">
        <f>"1552376560709024"</f>
        <v>1552376560709024</v>
      </c>
      <c r="C1426" t="s">
        <v>40</v>
      </c>
      <c r="D1426">
        <v>4.8938790000000001</v>
      </c>
      <c r="E1426">
        <v>0.58205980000000002</v>
      </c>
      <c r="F1426" t="s">
        <v>49</v>
      </c>
      <c r="G1426">
        <v>-196.82550000000001</v>
      </c>
      <c r="H1426" s="1">
        <v>5.0807900000000001E-7</v>
      </c>
      <c r="I1426">
        <v>296.73140000000001</v>
      </c>
      <c r="J1426">
        <v>-192.14060000000001</v>
      </c>
      <c r="K1426">
        <v>1.1098220000000001</v>
      </c>
      <c r="L1426">
        <v>308.14240000000001</v>
      </c>
      <c r="M1426">
        <v>-7.3192629999999995E-2</v>
      </c>
      <c r="N1426">
        <v>0</v>
      </c>
      <c r="O1426">
        <v>-0.9972299</v>
      </c>
      <c r="P1426">
        <v>-0.1738382</v>
      </c>
      <c r="Q1426">
        <v>-1.395239E-2</v>
      </c>
      <c r="R1426">
        <v>-0.98467570000000004</v>
      </c>
      <c r="S1426">
        <v>-1.1530910000000001</v>
      </c>
      <c r="T1426">
        <v>-0.27234920000000001</v>
      </c>
      <c r="U1426">
        <v>-2.8409420000000001</v>
      </c>
      <c r="V1426">
        <v>0.10129299999999999</v>
      </c>
      <c r="W1426">
        <v>-9.5544529999999996E-4</v>
      </c>
      <c r="X1426">
        <v>0.99485619999999997</v>
      </c>
      <c r="Y1426">
        <v>0.3057531</v>
      </c>
      <c r="Z1426">
        <v>8.9259669999999999E-2</v>
      </c>
      <c r="AA1426">
        <v>0.94791760000000003</v>
      </c>
      <c r="AB1426">
        <v>16</v>
      </c>
      <c r="AC1426">
        <v>-4.6848999999999901</v>
      </c>
      <c r="AD1426">
        <v>-1.1098214919210001</v>
      </c>
      <c r="AE1426">
        <v>-11.411</v>
      </c>
      <c r="AF1426">
        <v>3.80624677508058</v>
      </c>
      <c r="AG1426">
        <v>-1.1098214919210001</v>
      </c>
      <c r="AH1426">
        <v>11.629182203633199</v>
      </c>
      <c r="AI1426">
        <v>95.182524452990194</v>
      </c>
      <c r="AJ1426">
        <v>71.876659616826899</v>
      </c>
      <c r="AK1426">
        <v>12.2864599043842</v>
      </c>
      <c r="AL1426">
        <v>90.054742990386501</v>
      </c>
      <c r="AM1426">
        <v>84.186365441172399</v>
      </c>
      <c r="AN1426">
        <v>1.0000000217015801</v>
      </c>
    </row>
    <row r="1427" spans="1:40" x14ac:dyDescent="0.25">
      <c r="A1427" t="str">
        <f>"20190312154240743"</f>
        <v>20190312154240743</v>
      </c>
      <c r="B1427" t="str">
        <f>"1552376560728542"</f>
        <v>1552376560728542</v>
      </c>
      <c r="C1427" t="s">
        <v>40</v>
      </c>
      <c r="D1427">
        <v>4.8840570000000003</v>
      </c>
      <c r="E1427">
        <v>0.58215609999999995</v>
      </c>
      <c r="F1427" t="s">
        <v>49</v>
      </c>
      <c r="G1427">
        <v>-196.9083</v>
      </c>
      <c r="H1427" s="1">
        <v>5.5245150000000004E-7</v>
      </c>
      <c r="I1427">
        <v>296.4794</v>
      </c>
      <c r="J1427">
        <v>-192.15360000000001</v>
      </c>
      <c r="K1427">
        <v>1.1098159999999999</v>
      </c>
      <c r="L1427">
        <v>307.99189999999999</v>
      </c>
      <c r="M1427">
        <v>-7.4789540000000002E-2</v>
      </c>
      <c r="N1427">
        <v>0</v>
      </c>
      <c r="O1427">
        <v>-0.99711159999999999</v>
      </c>
      <c r="P1427">
        <v>-0.1759261</v>
      </c>
      <c r="Q1427">
        <v>-1.4474559999999999E-2</v>
      </c>
      <c r="R1427">
        <v>-0.98429710000000004</v>
      </c>
      <c r="S1427">
        <v>-1.160156</v>
      </c>
      <c r="T1427">
        <v>-0.27005980000000002</v>
      </c>
      <c r="U1427">
        <v>-2.8380130000000001</v>
      </c>
      <c r="V1427">
        <v>0.1018092</v>
      </c>
      <c r="W1427">
        <v>-1.481399E-3</v>
      </c>
      <c r="X1427">
        <v>0.99480279999999999</v>
      </c>
      <c r="Y1427">
        <v>0.30661809999999901</v>
      </c>
      <c r="Z1427">
        <v>8.8531159999999998E-2</v>
      </c>
      <c r="AA1427">
        <v>0.94770650000000001</v>
      </c>
      <c r="AB1427">
        <v>16</v>
      </c>
      <c r="AC1427">
        <v>-4.7546999999999802</v>
      </c>
      <c r="AD1427">
        <v>-1.10981544754849</v>
      </c>
      <c r="AE1427">
        <v>-11.5124999999999</v>
      </c>
      <c r="AF1427">
        <v>3.8497285661112102</v>
      </c>
      <c r="AG1427">
        <v>-1.10981544754849</v>
      </c>
      <c r="AH1427">
        <v>11.7426600583672</v>
      </c>
      <c r="AI1427">
        <v>95.131867559128594</v>
      </c>
      <c r="AJ1427">
        <v>71.848721178627898</v>
      </c>
      <c r="AK1427">
        <v>12.407343213062299</v>
      </c>
      <c r="AL1427">
        <v>90.084877944972604</v>
      </c>
      <c r="AM1427">
        <v>84.156631529619901</v>
      </c>
      <c r="AN1427">
        <v>0.999999959317737</v>
      </c>
    </row>
    <row r="1428" spans="1:40" x14ac:dyDescent="0.25">
      <c r="A1428" t="str">
        <f>"20190312154240766"</f>
        <v>20190312154240766</v>
      </c>
      <c r="B1428" t="str">
        <f>"1552376560758799"</f>
        <v>1552376560758799</v>
      </c>
      <c r="C1428" t="s">
        <v>40</v>
      </c>
      <c r="D1428">
        <v>4.8393059999999997</v>
      </c>
      <c r="E1428">
        <v>0.58246180000000003</v>
      </c>
      <c r="F1428" t="s">
        <v>49</v>
      </c>
      <c r="G1428">
        <v>-196.96360000000001</v>
      </c>
      <c r="H1428" s="1">
        <v>5.8283059999999999E-7</v>
      </c>
      <c r="I1428">
        <v>296.30689999999998</v>
      </c>
      <c r="J1428">
        <v>-192.16810000000001</v>
      </c>
      <c r="K1428">
        <v>1.109818</v>
      </c>
      <c r="L1428">
        <v>307.82679999999999</v>
      </c>
      <c r="M1428">
        <v>-7.6546429999999999E-2</v>
      </c>
      <c r="N1428">
        <v>0</v>
      </c>
      <c r="O1428">
        <v>-0.99697840000000004</v>
      </c>
      <c r="P1428">
        <v>-0.17810010000000001</v>
      </c>
      <c r="Q1428">
        <v>-1.5168299999999999E-2</v>
      </c>
      <c r="R1428">
        <v>-0.98389610000000005</v>
      </c>
      <c r="S1428">
        <v>-1.167114</v>
      </c>
      <c r="T1428">
        <v>-0.26928960000000002</v>
      </c>
      <c r="U1428">
        <v>-2.8352659999999998</v>
      </c>
      <c r="V1428">
        <v>0.10225339999999999</v>
      </c>
      <c r="W1428">
        <v>-2.1789330000000001E-3</v>
      </c>
      <c r="X1428">
        <v>0.99475599999999997</v>
      </c>
      <c r="Y1428">
        <v>0.30726160000000002</v>
      </c>
      <c r="Z1428">
        <v>8.829265E-2</v>
      </c>
      <c r="AA1428">
        <v>0.94752029999999998</v>
      </c>
      <c r="AB1428">
        <v>16</v>
      </c>
      <c r="AC1428">
        <v>-4.7954999999999997</v>
      </c>
      <c r="AD1428">
        <v>-1.1098174171694</v>
      </c>
      <c r="AE1428">
        <v>-11.5199</v>
      </c>
      <c r="AF1428">
        <v>3.8689383533058201</v>
      </c>
      <c r="AG1428">
        <v>-1.1098174171694</v>
      </c>
      <c r="AH1428">
        <v>11.760177182072701</v>
      </c>
      <c r="AI1428">
        <v>95.122543310671404</v>
      </c>
      <c r="AJ1428">
        <v>71.789497572196396</v>
      </c>
      <c r="AK1428">
        <v>12.4298892205392</v>
      </c>
      <c r="AL1428">
        <v>90.124843763211501</v>
      </c>
      <c r="AM1428">
        <v>84.131039931008402</v>
      </c>
      <c r="AN1428">
        <v>1.00000000254828</v>
      </c>
    </row>
    <row r="1429" spans="1:40" x14ac:dyDescent="0.25">
      <c r="A1429" t="str">
        <f>"20190312154240788"</f>
        <v>20190312154240788</v>
      </c>
      <c r="B1429" t="str">
        <f>"1552376560778319"</f>
        <v>1552376560778319</v>
      </c>
      <c r="C1429" t="s">
        <v>40</v>
      </c>
      <c r="D1429">
        <v>4.8877569999999997</v>
      </c>
      <c r="E1429">
        <v>0.5829645</v>
      </c>
      <c r="F1429" t="s">
        <v>49</v>
      </c>
      <c r="G1429">
        <v>-196.85230000000001</v>
      </c>
      <c r="H1429" s="1">
        <v>5.4093499999999999E-7</v>
      </c>
      <c r="I1429">
        <v>296.54480000000001</v>
      </c>
      <c r="J1429">
        <v>-192.1816</v>
      </c>
      <c r="K1429">
        <v>1.1098250000000001</v>
      </c>
      <c r="L1429">
        <v>307.67579999999998</v>
      </c>
      <c r="M1429">
        <v>-7.8163220000000005E-2</v>
      </c>
      <c r="N1429">
        <v>0</v>
      </c>
      <c r="O1429">
        <v>-0.99685270000000004</v>
      </c>
      <c r="P1429">
        <v>-0.17997260000000001</v>
      </c>
      <c r="Q1429">
        <v>-1.5399950000000001E-2</v>
      </c>
      <c r="R1429">
        <v>-0.98355130000000002</v>
      </c>
      <c r="S1429">
        <v>-1.1758120000000001</v>
      </c>
      <c r="T1429">
        <v>-0.27857959999999998</v>
      </c>
      <c r="U1429">
        <v>-2.8319399999999999</v>
      </c>
      <c r="V1429">
        <v>0.1025335</v>
      </c>
      <c r="W1429">
        <v>-2.4103869999999999E-3</v>
      </c>
      <c r="X1429">
        <v>0.99472669999999996</v>
      </c>
      <c r="Y1429">
        <v>0.30849070000000001</v>
      </c>
      <c r="Z1429">
        <v>9.1323409999999994E-2</v>
      </c>
      <c r="AA1429">
        <v>0.94683340000000005</v>
      </c>
      <c r="AB1429">
        <v>16</v>
      </c>
      <c r="AC1429">
        <v>-4.6707000000000098</v>
      </c>
      <c r="AD1429">
        <v>-1.1098244590649999</v>
      </c>
      <c r="AE1429">
        <v>-11.130999999999901</v>
      </c>
      <c r="AF1429">
        <v>3.7545599049398302</v>
      </c>
      <c r="AG1429">
        <v>-1.1098244590649999</v>
      </c>
      <c r="AH1429">
        <v>11.3659731197969</v>
      </c>
      <c r="AI1429">
        <v>95.297136483649297</v>
      </c>
      <c r="AJ1429">
        <v>71.719888224041497</v>
      </c>
      <c r="AK1429">
        <v>12.0213882463577</v>
      </c>
      <c r="AL1429">
        <v>90.138105126413805</v>
      </c>
      <c r="AM1429">
        <v>84.114903797932698</v>
      </c>
      <c r="AN1429">
        <v>1.0000000681403101</v>
      </c>
    </row>
    <row r="1430" spans="1:40" x14ac:dyDescent="0.25">
      <c r="A1430" t="str">
        <f>"20190312154240811"</f>
        <v>20190312154240811</v>
      </c>
      <c r="B1430" t="str">
        <f>"1552376560798815"</f>
        <v>1552376560798815</v>
      </c>
      <c r="C1430" t="s">
        <v>40</v>
      </c>
      <c r="D1430">
        <v>4.8924479999999999</v>
      </c>
      <c r="E1430">
        <v>0.58339209999999997</v>
      </c>
      <c r="F1430" t="s">
        <v>49</v>
      </c>
      <c r="G1430">
        <v>-196.84020000000001</v>
      </c>
      <c r="H1430" s="1">
        <v>5.3862940000000005E-7</v>
      </c>
      <c r="I1430">
        <v>296.55790000000002</v>
      </c>
      <c r="J1430">
        <v>-192.19630000000001</v>
      </c>
      <c r="K1430">
        <v>1.1097520000000001</v>
      </c>
      <c r="L1430">
        <v>307.51490000000001</v>
      </c>
      <c r="M1430">
        <v>-7.9921160000000005E-2</v>
      </c>
      <c r="N1430">
        <v>0</v>
      </c>
      <c r="O1430">
        <v>-0.99671690000000002</v>
      </c>
      <c r="P1430">
        <v>-0.18131349999999999</v>
      </c>
      <c r="Q1430">
        <v>-1.502098E-2</v>
      </c>
      <c r="R1430">
        <v>-0.98331080000000004</v>
      </c>
      <c r="S1430">
        <v>-1.185349</v>
      </c>
      <c r="T1430">
        <v>-0.28238920000000001</v>
      </c>
      <c r="U1430">
        <v>-2.8288880000000001</v>
      </c>
      <c r="V1430">
        <v>0.10213559999999999</v>
      </c>
      <c r="W1430">
        <v>-2.311277E-3</v>
      </c>
      <c r="X1430">
        <v>0.99476779999999998</v>
      </c>
      <c r="Y1430">
        <v>0.30985040000000003</v>
      </c>
      <c r="Z1430">
        <v>9.2554549999999999E-2</v>
      </c>
      <c r="AA1430">
        <v>0.94626980000000005</v>
      </c>
      <c r="AB1430">
        <v>16</v>
      </c>
      <c r="AC1430">
        <v>-4.6439000000000004</v>
      </c>
      <c r="AD1430">
        <v>-1.1097514613706001</v>
      </c>
      <c r="AE1430">
        <v>-10.956999999999899</v>
      </c>
      <c r="AF1430">
        <v>3.7209155558045999</v>
      </c>
      <c r="AG1430">
        <v>-1.1097514613706001</v>
      </c>
      <c r="AH1430">
        <v>11.195762917558399</v>
      </c>
      <c r="AI1430">
        <v>95.373631174919296</v>
      </c>
      <c r="AJ1430">
        <v>71.615755608713499</v>
      </c>
      <c r="AK1430">
        <v>11.8499733411353</v>
      </c>
      <c r="AL1430">
        <v>90.132426535375302</v>
      </c>
      <c r="AM1430">
        <v>84.137823146501802</v>
      </c>
      <c r="AN1430">
        <v>0.99999999935278505</v>
      </c>
    </row>
    <row r="1431" spans="1:40" x14ac:dyDescent="0.25">
      <c r="A1431" t="str">
        <f>"20190312154240832"</f>
        <v>20190312154240832</v>
      </c>
      <c r="B1431" t="str">
        <f>"1552376560818335"</f>
        <v>1552376560818335</v>
      </c>
      <c r="C1431" t="s">
        <v>40</v>
      </c>
      <c r="D1431">
        <v>4.8822010000000002</v>
      </c>
      <c r="E1431">
        <v>0.58355900000000005</v>
      </c>
      <c r="F1431" t="s">
        <v>49</v>
      </c>
      <c r="G1431">
        <v>-196.88229999999999</v>
      </c>
      <c r="H1431" s="1">
        <v>5.6503440000000005E-7</v>
      </c>
      <c r="I1431">
        <v>296.40800000000002</v>
      </c>
      <c r="J1431">
        <v>-192.21100000000001</v>
      </c>
      <c r="K1431">
        <v>1.1096790000000001</v>
      </c>
      <c r="L1431">
        <v>307.35750000000002</v>
      </c>
      <c r="M1431">
        <v>-8.1659519999999999E-2</v>
      </c>
      <c r="N1431">
        <v>0</v>
      </c>
      <c r="O1431">
        <v>-0.99657989999999996</v>
      </c>
      <c r="P1431">
        <v>-0.18242800000000001</v>
      </c>
      <c r="Q1431">
        <v>-1.5015540000000001E-2</v>
      </c>
      <c r="R1431">
        <v>-0.98310489999999995</v>
      </c>
      <c r="S1431">
        <v>-1.1925809999999999</v>
      </c>
      <c r="T1431">
        <v>-0.28242970000000001</v>
      </c>
      <c r="U1431">
        <v>-2.8266909999999998</v>
      </c>
      <c r="V1431">
        <v>0.1015279</v>
      </c>
      <c r="W1431">
        <v>-2.5999399999999998E-3</v>
      </c>
      <c r="X1431">
        <v>0.99482930000000003</v>
      </c>
      <c r="Y1431">
        <v>0.31051230000000002</v>
      </c>
      <c r="Z1431">
        <v>9.2559639999999999E-2</v>
      </c>
      <c r="AA1431">
        <v>0.94605229999999996</v>
      </c>
      <c r="AB1431">
        <v>16</v>
      </c>
      <c r="AC1431">
        <v>-4.6712999999999996</v>
      </c>
      <c r="AD1431">
        <v>-1.1096784349655999</v>
      </c>
      <c r="AE1431">
        <v>-10.9495</v>
      </c>
      <c r="AF1431">
        <v>3.7290908609281099</v>
      </c>
      <c r="AG1431">
        <v>-1.1096784349655999</v>
      </c>
      <c r="AH1431">
        <v>11.197117247834001</v>
      </c>
      <c r="AI1431">
        <v>95.371529818819894</v>
      </c>
      <c r="AJ1431">
        <v>71.580165085317603</v>
      </c>
      <c r="AK1431">
        <v>11.853815400107599</v>
      </c>
      <c r="AL1431">
        <v>90.148965756047005</v>
      </c>
      <c r="AM1431">
        <v>84.172819721611006</v>
      </c>
      <c r="AN1431">
        <v>1.00000000515245</v>
      </c>
    </row>
    <row r="1432" spans="1:40" x14ac:dyDescent="0.25">
      <c r="A1432" t="str">
        <f>"20190312154240855"</f>
        <v>20190312154240855</v>
      </c>
      <c r="B1432" t="str">
        <f>"1552376560848591"</f>
        <v>1552376560848591</v>
      </c>
      <c r="C1432" t="s">
        <v>40</v>
      </c>
      <c r="D1432">
        <v>4.9190290000000001</v>
      </c>
      <c r="E1432">
        <v>0.58401320000000001</v>
      </c>
      <c r="F1432" t="s">
        <v>49</v>
      </c>
      <c r="G1432">
        <v>-196.88030000000001</v>
      </c>
      <c r="H1432" s="1">
        <v>5.7730939999999997E-7</v>
      </c>
      <c r="I1432">
        <v>296.3383</v>
      </c>
      <c r="J1432">
        <v>-192.22620000000001</v>
      </c>
      <c r="K1432">
        <v>1.1096790000000001</v>
      </c>
      <c r="L1432">
        <v>307.19810000000001</v>
      </c>
      <c r="M1432">
        <v>-8.3425879999999994E-2</v>
      </c>
      <c r="N1432">
        <v>0</v>
      </c>
      <c r="O1432">
        <v>-0.99643499999999996</v>
      </c>
      <c r="P1432">
        <v>-0.18391460000000001</v>
      </c>
      <c r="Q1432">
        <v>-1.536884E-2</v>
      </c>
      <c r="R1432">
        <v>-0.98282239999999998</v>
      </c>
      <c r="S1432">
        <v>-1.1970829999999999</v>
      </c>
      <c r="T1432">
        <v>-0.28449459999999999</v>
      </c>
      <c r="U1432">
        <v>-2.825043</v>
      </c>
      <c r="V1432">
        <v>0.1012689</v>
      </c>
      <c r="W1432">
        <v>-3.0596070000000002E-3</v>
      </c>
      <c r="X1432">
        <v>0.99485440000000003</v>
      </c>
      <c r="Y1432">
        <v>0.3102801</v>
      </c>
      <c r="Z1432">
        <v>9.3235209999999999E-2</v>
      </c>
      <c r="AA1432">
        <v>0.94606210000000002</v>
      </c>
      <c r="AB1432">
        <v>16</v>
      </c>
      <c r="AC1432">
        <v>-4.6540999999999997</v>
      </c>
      <c r="AD1432">
        <v>-1.1096784226906</v>
      </c>
      <c r="AE1432">
        <v>-10.8598</v>
      </c>
      <c r="AF1432">
        <v>3.6991827165962201</v>
      </c>
      <c r="AG1432">
        <v>-1.1096784226906</v>
      </c>
      <c r="AH1432">
        <v>11.1122178277425</v>
      </c>
      <c r="AI1432">
        <v>95.412563486609699</v>
      </c>
      <c r="AJ1432">
        <v>71.587745698813194</v>
      </c>
      <c r="AK1432">
        <v>11.764213701890499</v>
      </c>
      <c r="AL1432">
        <v>90.175302839078498</v>
      </c>
      <c r="AM1432">
        <v>84.187728727117999</v>
      </c>
      <c r="AN1432">
        <v>1.0000000142507799</v>
      </c>
    </row>
    <row r="1433" spans="1:40" x14ac:dyDescent="0.25">
      <c r="A1433" t="str">
        <f>"20190312154240876"</f>
        <v>20190312154240876</v>
      </c>
      <c r="B1433" t="str">
        <f>"1552376560869087"</f>
        <v>1552376560869087</v>
      </c>
      <c r="C1433" t="s">
        <v>40</v>
      </c>
      <c r="D1433">
        <v>4.946561</v>
      </c>
      <c r="E1433">
        <v>0.58401320000000001</v>
      </c>
      <c r="F1433" t="s">
        <v>49</v>
      </c>
      <c r="G1433">
        <v>-196.9066</v>
      </c>
      <c r="H1433" s="1">
        <v>5.9492560000000002E-7</v>
      </c>
      <c r="I1433">
        <v>296.23829999999998</v>
      </c>
      <c r="J1433">
        <v>-192.24080000000001</v>
      </c>
      <c r="K1433">
        <v>1.1097060000000001</v>
      </c>
      <c r="L1433">
        <v>307.04809999999998</v>
      </c>
      <c r="M1433">
        <v>-8.5101199999999905E-2</v>
      </c>
      <c r="N1433">
        <v>0</v>
      </c>
      <c r="O1433">
        <v>-0.99629330000000005</v>
      </c>
      <c r="P1433">
        <v>-0.1855368</v>
      </c>
      <c r="Q1433">
        <v>-1.6065059999999999E-2</v>
      </c>
      <c r="R1433">
        <v>-0.9825062</v>
      </c>
      <c r="S1433">
        <v>-1.2053069999999999</v>
      </c>
      <c r="T1433">
        <v>-0.28576829999999998</v>
      </c>
      <c r="U1433">
        <v>-2.8224179999999999</v>
      </c>
      <c r="V1433">
        <v>0.1012382</v>
      </c>
      <c r="W1433">
        <v>-3.7483949999999999E-3</v>
      </c>
      <c r="X1433">
        <v>0.99485520000000005</v>
      </c>
      <c r="Y1433">
        <v>0.31131750000000002</v>
      </c>
      <c r="Z1433">
        <v>9.3640849999999998E-2</v>
      </c>
      <c r="AA1433">
        <v>0.94568110000000005</v>
      </c>
      <c r="AB1433">
        <v>16</v>
      </c>
      <c r="AC1433">
        <v>-4.6657999999999902</v>
      </c>
      <c r="AD1433">
        <v>-1.1097054050744</v>
      </c>
      <c r="AE1433">
        <v>-10.8097999999999</v>
      </c>
      <c r="AF1433">
        <v>3.6960380717464698</v>
      </c>
      <c r="AG1433">
        <v>-1.1097054050744</v>
      </c>
      <c r="AH1433">
        <v>11.0693410074299</v>
      </c>
      <c r="AI1433">
        <v>95.431906010118595</v>
      </c>
      <c r="AJ1433">
        <v>71.535904642774199</v>
      </c>
      <c r="AK1433">
        <v>11.722732354388199</v>
      </c>
      <c r="AL1433">
        <v>90.214767706440199</v>
      </c>
      <c r="AM1433">
        <v>84.189483318796803</v>
      </c>
      <c r="AN1433">
        <v>1.00000004628567</v>
      </c>
    </row>
    <row r="1434" spans="1:40" x14ac:dyDescent="0.25">
      <c r="A1434" t="str">
        <f>"20190312154240900"</f>
        <v>20190312154240900</v>
      </c>
      <c r="B1434" t="str">
        <f>"1552376560888606"</f>
        <v>1552376560888606</v>
      </c>
      <c r="C1434" t="s">
        <v>40</v>
      </c>
      <c r="D1434">
        <v>4.7318160000000002</v>
      </c>
      <c r="E1434">
        <v>0.58378999999999903</v>
      </c>
      <c r="F1434" t="s">
        <v>49</v>
      </c>
      <c r="G1434">
        <v>-196.86840000000001</v>
      </c>
      <c r="H1434" s="1">
        <v>5.9100669999999999E-7</v>
      </c>
      <c r="I1434">
        <v>296.26049999999998</v>
      </c>
      <c r="J1434">
        <v>-192.25749999999999</v>
      </c>
      <c r="K1434">
        <v>1.1097239999999999</v>
      </c>
      <c r="L1434">
        <v>306.87959999999998</v>
      </c>
      <c r="M1434">
        <v>-8.7014729999999998E-2</v>
      </c>
      <c r="N1434">
        <v>0</v>
      </c>
      <c r="O1434">
        <v>-0.99612829999999997</v>
      </c>
      <c r="P1434">
        <v>-0.18769959999999999</v>
      </c>
      <c r="Q1434">
        <v>-1.647231E-2</v>
      </c>
      <c r="R1434">
        <v>-0.98208870000000004</v>
      </c>
      <c r="S1434">
        <v>-1.209808</v>
      </c>
      <c r="T1434">
        <v>-0.29011520000000002</v>
      </c>
      <c r="U1434">
        <v>-2.8202509999999998</v>
      </c>
      <c r="V1434">
        <v>0.1015175</v>
      </c>
      <c r="W1434">
        <v>-4.1850400000000001E-3</v>
      </c>
      <c r="X1434">
        <v>0.99482490000000001</v>
      </c>
      <c r="Y1434">
        <v>0.31097770000000002</v>
      </c>
      <c r="Z1434">
        <v>9.5071500000000003E-2</v>
      </c>
      <c r="AA1434">
        <v>0.9456502</v>
      </c>
      <c r="AB1434">
        <v>16</v>
      </c>
      <c r="AC1434">
        <v>-4.6109000000000098</v>
      </c>
      <c r="AD1434">
        <v>-1.1097234089932999</v>
      </c>
      <c r="AE1434">
        <v>-10.6191</v>
      </c>
      <c r="AF1434">
        <v>3.6359093205893398</v>
      </c>
      <c r="AG1434">
        <v>-1.1097234089932999</v>
      </c>
      <c r="AH1434">
        <v>10.8800923739522</v>
      </c>
      <c r="AI1434">
        <v>95.525433701295498</v>
      </c>
      <c r="AJ1434">
        <v>71.521402646314996</v>
      </c>
      <c r="AK1434">
        <v>11.525091439886699</v>
      </c>
      <c r="AL1434">
        <v>90.239785841160199</v>
      </c>
      <c r="AM1434">
        <v>84.173386928202603</v>
      </c>
      <c r="AN1434">
        <v>0.99999994951302895</v>
      </c>
    </row>
    <row r="1435" spans="1:40" x14ac:dyDescent="0.25">
      <c r="A1435" t="str">
        <f>"20190312154240922"</f>
        <v>20190312154240922</v>
      </c>
      <c r="B1435" t="str">
        <f>"1552376560918863"</f>
        <v>1552376560918863</v>
      </c>
      <c r="C1435" t="s">
        <v>40</v>
      </c>
      <c r="D1435">
        <v>4.7879800000000001</v>
      </c>
      <c r="E1435">
        <v>0.54977739999999997</v>
      </c>
      <c r="F1435" t="s">
        <v>49</v>
      </c>
      <c r="G1435">
        <v>-196.8749</v>
      </c>
      <c r="H1435" s="1">
        <v>6.0817219999999895E-7</v>
      </c>
      <c r="I1435">
        <v>296.16309999999999</v>
      </c>
      <c r="J1435">
        <v>-192.27359999999999</v>
      </c>
      <c r="K1435">
        <v>1.1097049999999999</v>
      </c>
      <c r="L1435">
        <v>306.71940000000001</v>
      </c>
      <c r="M1435">
        <v>-8.8856550000000006E-2</v>
      </c>
      <c r="N1435">
        <v>0</v>
      </c>
      <c r="O1435">
        <v>-0.99596680000000004</v>
      </c>
      <c r="P1435">
        <v>-0.19053809999999999</v>
      </c>
      <c r="Q1435">
        <v>-1.6457329999999999E-2</v>
      </c>
      <c r="R1435">
        <v>-0.98154209999999997</v>
      </c>
      <c r="S1435">
        <v>-1.2140959999999901</v>
      </c>
      <c r="T1435">
        <v>-0.29178739999999997</v>
      </c>
      <c r="U1435">
        <v>-2.81778</v>
      </c>
      <c r="V1435">
        <v>0.1025538</v>
      </c>
      <c r="W1435">
        <v>-4.2639210000000004E-3</v>
      </c>
      <c r="X1435">
        <v>0.99471830000000006</v>
      </c>
      <c r="Y1435">
        <v>0.3107145</v>
      </c>
      <c r="Z1435">
        <v>9.5643809999999996E-2</v>
      </c>
      <c r="AA1435">
        <v>0.94567900000000005</v>
      </c>
      <c r="AB1435">
        <v>16</v>
      </c>
      <c r="AC1435">
        <v>-4.6013000000000002</v>
      </c>
      <c r="AD1435">
        <v>-1.1097043918278</v>
      </c>
      <c r="AE1435">
        <v>-10.5563</v>
      </c>
      <c r="AF1435">
        <v>3.6114898053892701</v>
      </c>
      <c r="AG1435">
        <v>-1.1097043918278</v>
      </c>
      <c r="AH1435">
        <v>10.822918837970301</v>
      </c>
      <c r="AI1435">
        <v>95.555160053037497</v>
      </c>
      <c r="AJ1435">
        <v>71.546708748005102</v>
      </c>
      <c r="AK1435">
        <v>11.463414614545</v>
      </c>
      <c r="AL1435">
        <v>90.244305422743096</v>
      </c>
      <c r="AM1435">
        <v>84.113697464804403</v>
      </c>
      <c r="AN1435">
        <v>0.999999979635812</v>
      </c>
    </row>
    <row r="1436" spans="1:40" x14ac:dyDescent="0.25">
      <c r="A1436" t="str">
        <f>"20190312154240945"</f>
        <v>20190312154240945</v>
      </c>
      <c r="B1436" t="str">
        <f>"1552376560939359"</f>
        <v>1552376560939359</v>
      </c>
      <c r="C1436" t="s">
        <v>40</v>
      </c>
      <c r="D1436">
        <v>4.878609</v>
      </c>
      <c r="E1436">
        <v>0.54644780000000004</v>
      </c>
      <c r="F1436" t="s">
        <v>41</v>
      </c>
      <c r="G1436">
        <v>-192.51140000000001</v>
      </c>
      <c r="H1436">
        <v>0.97194559999999997</v>
      </c>
      <c r="I1436">
        <v>306.0034</v>
      </c>
      <c r="J1436">
        <v>-192.28960000000001</v>
      </c>
      <c r="K1436">
        <v>1.1096870000000001</v>
      </c>
      <c r="L1436">
        <v>306.56459999999998</v>
      </c>
      <c r="M1436">
        <v>-9.0632829999999998E-2</v>
      </c>
      <c r="N1436">
        <v>0</v>
      </c>
      <c r="O1436">
        <v>-0.99580769999999996</v>
      </c>
      <c r="P1436">
        <v>-0.19286619999999999</v>
      </c>
      <c r="Q1436">
        <v>-1.6560620000000002E-2</v>
      </c>
      <c r="R1436">
        <v>-0.98108550000000005</v>
      </c>
      <c r="S1436">
        <v>-0.9497833</v>
      </c>
      <c r="T1436">
        <v>-0.55070969999999997</v>
      </c>
      <c r="U1436">
        <v>-2.8628230000000001</v>
      </c>
      <c r="V1436">
        <v>0.1031392</v>
      </c>
      <c r="W1436">
        <v>-4.4473309999999997E-3</v>
      </c>
      <c r="X1436">
        <v>0.99465700000000001</v>
      </c>
      <c r="Y1436">
        <v>0.2223744</v>
      </c>
      <c r="Z1436">
        <v>0.180733</v>
      </c>
      <c r="AA1436">
        <v>0.9580632</v>
      </c>
      <c r="AB1436">
        <v>16</v>
      </c>
      <c r="AC1436">
        <v>-0.221800000000001</v>
      </c>
      <c r="AD1436">
        <v>-0.13774140000000001</v>
      </c>
      <c r="AE1436">
        <v>-0.56119999999998504</v>
      </c>
      <c r="AF1436">
        <v>0.16160018885929101</v>
      </c>
      <c r="AG1436">
        <v>-0.13774140000000001</v>
      </c>
      <c r="AH1436">
        <v>0.55032069045259702</v>
      </c>
      <c r="AI1436">
        <v>103.504021522789</v>
      </c>
      <c r="AJ1436">
        <v>73.6352657301844</v>
      </c>
      <c r="AK1436">
        <v>0.589864540935918</v>
      </c>
      <c r="AL1436">
        <v>90.254814133713793</v>
      </c>
      <c r="AM1436">
        <v>84.079972833674702</v>
      </c>
      <c r="AN1436">
        <v>1.0000000104893301</v>
      </c>
    </row>
    <row r="1437" spans="1:40" x14ac:dyDescent="0.25">
      <c r="A1437" t="str">
        <f>"20190312154240965"</f>
        <v>20190312154240965</v>
      </c>
      <c r="B1437" t="str">
        <f>"1552376560958879"</f>
        <v>1552376560958879</v>
      </c>
      <c r="C1437" t="s">
        <v>40</v>
      </c>
      <c r="D1437">
        <v>4.8919889999999997</v>
      </c>
      <c r="E1437">
        <v>0.54492119999999999</v>
      </c>
      <c r="F1437" t="s">
        <v>41</v>
      </c>
      <c r="G1437">
        <v>-192.5164</v>
      </c>
      <c r="H1437">
        <v>0.96431449999999996</v>
      </c>
      <c r="I1437">
        <v>305.86540000000002</v>
      </c>
      <c r="J1437">
        <v>-192.30529999999999</v>
      </c>
      <c r="K1437">
        <v>1.109683</v>
      </c>
      <c r="L1437">
        <v>306.41489999999999</v>
      </c>
      <c r="M1437">
        <v>-9.2356369999999993E-2</v>
      </c>
      <c r="N1437">
        <v>0</v>
      </c>
      <c r="O1437">
        <v>-0.99564960000000002</v>
      </c>
      <c r="P1437">
        <v>-0.1946939</v>
      </c>
      <c r="Q1437">
        <v>-1.586626E-2</v>
      </c>
      <c r="R1437">
        <v>-0.9807361</v>
      </c>
      <c r="S1437">
        <v>-0.92950440000000001</v>
      </c>
      <c r="T1437">
        <v>-0.59562550000000003</v>
      </c>
      <c r="U1437">
        <v>-2.8650820000000001</v>
      </c>
      <c r="V1437">
        <v>0.103270899999999</v>
      </c>
      <c r="W1437">
        <v>-3.7842459999999998E-3</v>
      </c>
      <c r="X1437">
        <v>0.99464609999999998</v>
      </c>
      <c r="Y1437">
        <v>0.21348030000000001</v>
      </c>
      <c r="Z1437">
        <v>0.1951301</v>
      </c>
      <c r="AA1437">
        <v>0.9572619</v>
      </c>
      <c r="AB1437">
        <v>16</v>
      </c>
      <c r="AC1437">
        <v>-0.211100000000016</v>
      </c>
      <c r="AD1437">
        <v>-0.14536849999999901</v>
      </c>
      <c r="AE1437">
        <v>-0.54949999999996602</v>
      </c>
      <c r="AF1437">
        <v>0.150279212757881</v>
      </c>
      <c r="AG1437">
        <v>-0.14536849999999901</v>
      </c>
      <c r="AH1437">
        <v>0.53407841802294498</v>
      </c>
      <c r="AI1437">
        <v>104.682083726698</v>
      </c>
      <c r="AJ1437">
        <v>74.284437333605695</v>
      </c>
      <c r="AK1437">
        <v>0.57354651003843704</v>
      </c>
      <c r="AL1437">
        <v>90.216821835052002</v>
      </c>
      <c r="AM1437">
        <v>84.072402755337095</v>
      </c>
      <c r="AN1437">
        <v>1.0000000317749</v>
      </c>
    </row>
    <row r="1438" spans="1:40" x14ac:dyDescent="0.25">
      <c r="A1438" t="str">
        <f>"20190312154240991"</f>
        <v>20190312154240991</v>
      </c>
      <c r="B1438" t="str">
        <f>"1552376560978400"</f>
        <v>1552376560978400</v>
      </c>
      <c r="C1438" t="s">
        <v>40</v>
      </c>
      <c r="D1438">
        <v>4.9401020000000004</v>
      </c>
      <c r="E1438">
        <v>0.54402810000000001</v>
      </c>
      <c r="F1438" t="s">
        <v>41</v>
      </c>
      <c r="G1438">
        <v>-192.52719999999999</v>
      </c>
      <c r="H1438">
        <v>0.96084449999999999</v>
      </c>
      <c r="I1438">
        <v>305.72579999999999</v>
      </c>
      <c r="J1438">
        <v>-192.3235</v>
      </c>
      <c r="K1438">
        <v>1.109693</v>
      </c>
      <c r="L1438">
        <v>306.2441</v>
      </c>
      <c r="M1438">
        <v>-9.4344559999999994E-2</v>
      </c>
      <c r="N1438">
        <v>0</v>
      </c>
      <c r="O1438">
        <v>-0.99546319999999999</v>
      </c>
      <c r="P1438">
        <v>-0.1971878</v>
      </c>
      <c r="Q1438">
        <v>-1.6794170000000001E-2</v>
      </c>
      <c r="R1438">
        <v>-0.98022169999999997</v>
      </c>
      <c r="S1438">
        <v>-0.92218020000000001</v>
      </c>
      <c r="T1438">
        <v>-0.61891660000000004</v>
      </c>
      <c r="U1438">
        <v>-2.8658450000000002</v>
      </c>
      <c r="V1438">
        <v>0.1038142</v>
      </c>
      <c r="W1438">
        <v>-4.724224E-3</v>
      </c>
      <c r="X1438">
        <v>0.99458550000000001</v>
      </c>
      <c r="Y1438">
        <v>0.20877860000000001</v>
      </c>
      <c r="Z1438">
        <v>0.20251839999999999</v>
      </c>
      <c r="AA1438">
        <v>0.95676419999999995</v>
      </c>
      <c r="AB1438">
        <v>16</v>
      </c>
      <c r="AC1438">
        <v>-0.20369999999999699</v>
      </c>
      <c r="AD1438">
        <v>-0.14884849999999999</v>
      </c>
      <c r="AE1438">
        <v>-0.51830000000000997</v>
      </c>
      <c r="AF1438">
        <v>0.143627864678675</v>
      </c>
      <c r="AG1438">
        <v>-0.14884849999999999</v>
      </c>
      <c r="AH1438">
        <v>0.49952102386922098</v>
      </c>
      <c r="AI1438">
        <v>105.980622812505</v>
      </c>
      <c r="AJ1438">
        <v>73.958407118772399</v>
      </c>
      <c r="AK1438">
        <v>0.54065339428487902</v>
      </c>
      <c r="AL1438">
        <v>90.270679100386801</v>
      </c>
      <c r="AM1438">
        <v>84.041081475410394</v>
      </c>
      <c r="AN1438">
        <v>1.0000000116121399</v>
      </c>
    </row>
    <row r="1439" spans="1:40" x14ac:dyDescent="0.25">
      <c r="A1439" t="str">
        <f>"20190312154241011"</f>
        <v>20190312154241011</v>
      </c>
      <c r="B1439" t="str">
        <f>"1552376560998895"</f>
        <v>1552376560998895</v>
      </c>
      <c r="C1439" t="s">
        <v>40</v>
      </c>
      <c r="D1439">
        <v>4.9011909999999999</v>
      </c>
      <c r="E1439">
        <v>0.54334499999999997</v>
      </c>
      <c r="F1439" t="s">
        <v>41</v>
      </c>
      <c r="G1439">
        <v>-192.577</v>
      </c>
      <c r="H1439">
        <v>0.93492790000000003</v>
      </c>
      <c r="I1439">
        <v>305.45729999999998</v>
      </c>
      <c r="J1439">
        <v>-192.3398</v>
      </c>
      <c r="K1439">
        <v>1.109685</v>
      </c>
      <c r="L1439">
        <v>306.09449999999998</v>
      </c>
      <c r="M1439">
        <v>-9.6100270000000002E-2</v>
      </c>
      <c r="N1439">
        <v>0</v>
      </c>
      <c r="O1439">
        <v>-0.99529590000000001</v>
      </c>
      <c r="P1439">
        <v>-0.19918559999999999</v>
      </c>
      <c r="Q1439">
        <v>-1.777101E-2</v>
      </c>
      <c r="R1439">
        <v>-0.97980089999999997</v>
      </c>
      <c r="S1439">
        <v>-0.92210389999999998</v>
      </c>
      <c r="T1439">
        <v>-0.63614499999999996</v>
      </c>
      <c r="U1439">
        <v>-2.8641049999999999</v>
      </c>
      <c r="V1439">
        <v>0.1040871</v>
      </c>
      <c r="W1439">
        <v>-5.7184159999999996E-3</v>
      </c>
      <c r="X1439">
        <v>0.99455170000000004</v>
      </c>
      <c r="Y1439">
        <v>0.20684730000000001</v>
      </c>
      <c r="Z1439">
        <v>0.20801610000000001</v>
      </c>
      <c r="AA1439">
        <v>0.95600390000000002</v>
      </c>
      <c r="AB1439">
        <v>16</v>
      </c>
      <c r="AC1439">
        <v>-0.23720000000000099</v>
      </c>
      <c r="AD1439">
        <v>-0.1747571</v>
      </c>
      <c r="AE1439">
        <v>-0.63720000000000698</v>
      </c>
      <c r="AF1439">
        <v>0.16402623968549401</v>
      </c>
      <c r="AG1439">
        <v>-0.1747571</v>
      </c>
      <c r="AH1439">
        <v>0.61633052381434605</v>
      </c>
      <c r="AI1439">
        <v>105.32333732417</v>
      </c>
      <c r="AJ1439">
        <v>75.097103217078796</v>
      </c>
      <c r="AK1439">
        <v>0.66129264769165497</v>
      </c>
      <c r="AL1439">
        <v>90.327642902952405</v>
      </c>
      <c r="AM1439">
        <v>84.025328638012994</v>
      </c>
      <c r="AN1439">
        <v>0.99999995432042299</v>
      </c>
    </row>
    <row r="1440" spans="1:40" x14ac:dyDescent="0.25">
      <c r="A1440" t="str">
        <f>"20190312154241033"</f>
        <v>20190312154241033</v>
      </c>
      <c r="B1440" t="str">
        <f>"1552376561029151"</f>
        <v>1552376561029151</v>
      </c>
      <c r="C1440" t="s">
        <v>40</v>
      </c>
      <c r="D1440">
        <v>4.9259899999999996</v>
      </c>
      <c r="E1440">
        <v>0.54205760000000003</v>
      </c>
      <c r="F1440" t="s">
        <v>41</v>
      </c>
      <c r="G1440">
        <v>-192.59039999999999</v>
      </c>
      <c r="H1440">
        <v>0.93363850000000004</v>
      </c>
      <c r="I1440">
        <v>305.31709999999998</v>
      </c>
      <c r="J1440">
        <v>-192.357</v>
      </c>
      <c r="K1440">
        <v>1.1096790000000001</v>
      </c>
      <c r="L1440">
        <v>305.93979999999999</v>
      </c>
      <c r="M1440">
        <v>-9.7923490000000002E-2</v>
      </c>
      <c r="N1440">
        <v>0</v>
      </c>
      <c r="O1440">
        <v>-0.99511830000000001</v>
      </c>
      <c r="P1440">
        <v>-0.20133319999999999</v>
      </c>
      <c r="Q1440">
        <v>-1.885823E-2</v>
      </c>
      <c r="R1440">
        <v>-0.97934160000000003</v>
      </c>
      <c r="S1440">
        <v>-0.92234799999999995</v>
      </c>
      <c r="T1440">
        <v>-0.64818629999999999</v>
      </c>
      <c r="U1440">
        <v>-2.8625790000000002</v>
      </c>
      <c r="V1440">
        <v>0.1044455</v>
      </c>
      <c r="W1440">
        <v>-6.8308459999999998E-3</v>
      </c>
      <c r="X1440">
        <v>0.99450709999999998</v>
      </c>
      <c r="Y1440">
        <v>0.20502529999999999</v>
      </c>
      <c r="Z1440">
        <v>0.2118593</v>
      </c>
      <c r="AA1440">
        <v>0.95555230000000002</v>
      </c>
      <c r="AB1440">
        <v>16</v>
      </c>
      <c r="AC1440">
        <v>-0.23339999999998801</v>
      </c>
      <c r="AD1440">
        <v>-0.17604049999999999</v>
      </c>
      <c r="AE1440">
        <v>-0.62270000000000802</v>
      </c>
      <c r="AF1440">
        <v>0.16007869791370899</v>
      </c>
      <c r="AG1440">
        <v>-0.17604049999999999</v>
      </c>
      <c r="AH1440">
        <v>0.60048372104423597</v>
      </c>
      <c r="AI1440">
        <v>105.815923558642</v>
      </c>
      <c r="AJ1440">
        <v>75.073063206010502</v>
      </c>
      <c r="AK1440">
        <v>0.64590722739812301</v>
      </c>
      <c r="AL1440">
        <v>90.391381710590593</v>
      </c>
      <c r="AM1440">
        <v>84.004638903649195</v>
      </c>
      <c r="AN1440">
        <v>0.999999947438866</v>
      </c>
    </row>
    <row r="1441" spans="1:40" x14ac:dyDescent="0.25">
      <c r="A1441" t="str">
        <f>"20190312154241055"</f>
        <v>20190312154241055</v>
      </c>
      <c r="B1441" t="str">
        <f>"1552376561048671"</f>
        <v>1552376561048671</v>
      </c>
      <c r="C1441" t="s">
        <v>40</v>
      </c>
      <c r="D1441">
        <v>4.9846430000000002</v>
      </c>
      <c r="E1441">
        <v>0.52099609999999996</v>
      </c>
      <c r="F1441" t="s">
        <v>41</v>
      </c>
      <c r="G1441">
        <v>-192.60210000000001</v>
      </c>
      <c r="H1441">
        <v>0.93346430000000002</v>
      </c>
      <c r="I1441">
        <v>305.17630000000003</v>
      </c>
      <c r="J1441">
        <v>-192.37440000000001</v>
      </c>
      <c r="K1441">
        <v>1.1096779999999999</v>
      </c>
      <c r="L1441">
        <v>305.78519999999997</v>
      </c>
      <c r="M1441">
        <v>-9.9746280000000007E-2</v>
      </c>
      <c r="N1441">
        <v>0</v>
      </c>
      <c r="O1441">
        <v>-0.99493750000000003</v>
      </c>
      <c r="P1441">
        <v>-0.2035111</v>
      </c>
      <c r="Q1441">
        <v>-1.9948540000000001E-2</v>
      </c>
      <c r="R1441">
        <v>-0.97886969999999995</v>
      </c>
      <c r="S1441">
        <v>-0.91838070000000005</v>
      </c>
      <c r="T1441">
        <v>-0.66048629999999997</v>
      </c>
      <c r="U1441">
        <v>-2.8617859999999999</v>
      </c>
      <c r="V1441">
        <v>0.1048361</v>
      </c>
      <c r="W1441">
        <v>-7.9418119999999995E-3</v>
      </c>
      <c r="X1441">
        <v>0.99445779999999995</v>
      </c>
      <c r="Y1441">
        <v>0.20184540000000001</v>
      </c>
      <c r="Z1441">
        <v>0.21580060000000001</v>
      </c>
      <c r="AA1441">
        <v>0.95534739999999996</v>
      </c>
      <c r="AB1441">
        <v>16</v>
      </c>
      <c r="AC1441">
        <v>-0.22769999999999799</v>
      </c>
      <c r="AD1441">
        <v>-0.1762137</v>
      </c>
      <c r="AE1441">
        <v>-0.60889999999994804</v>
      </c>
      <c r="AF1441">
        <v>0.15447412092514901</v>
      </c>
      <c r="AG1441">
        <v>-0.1762137</v>
      </c>
      <c r="AH1441">
        <v>0.58555297393169503</v>
      </c>
      <c r="AI1441">
        <v>106.22396149079</v>
      </c>
      <c r="AJ1441">
        <v>75.221555495656901</v>
      </c>
      <c r="AK1441">
        <v>0.63070262991646098</v>
      </c>
      <c r="AL1441">
        <v>90.455037093610002</v>
      </c>
      <c r="AM1441">
        <v>83.982085837264805</v>
      </c>
      <c r="AN1441">
        <v>0.99999999811094598</v>
      </c>
    </row>
    <row r="1442" spans="1:40" x14ac:dyDescent="0.25">
      <c r="A1442" t="str">
        <f>"20190312154241077"</f>
        <v>20190312154241077</v>
      </c>
      <c r="B1442" t="str">
        <f>"1552376561069168"</f>
        <v>1552376561069168</v>
      </c>
      <c r="C1442" t="s">
        <v>40</v>
      </c>
      <c r="D1442">
        <v>4.9703949999999999</v>
      </c>
      <c r="E1442">
        <v>0.52135429999999905</v>
      </c>
      <c r="F1442" t="s">
        <v>41</v>
      </c>
      <c r="G1442">
        <v>-192.56960000000001</v>
      </c>
      <c r="H1442">
        <v>0.91847920000000005</v>
      </c>
      <c r="I1442">
        <v>305.03980000000001</v>
      </c>
      <c r="J1442">
        <v>-192.39269999999999</v>
      </c>
      <c r="K1442">
        <v>1.1096710000000001</v>
      </c>
      <c r="L1442">
        <v>305.62540000000001</v>
      </c>
      <c r="M1442">
        <v>-0.1016329</v>
      </c>
      <c r="N1442">
        <v>0</v>
      </c>
      <c r="O1442">
        <v>-0.99474649999999998</v>
      </c>
      <c r="P1442">
        <v>-0.2061026</v>
      </c>
      <c r="Q1442">
        <v>-2.0176260000000001E-2</v>
      </c>
      <c r="R1442">
        <v>-0.97832249999999998</v>
      </c>
      <c r="S1442">
        <v>-0.75765990000000005</v>
      </c>
      <c r="T1442">
        <v>-0.74183999999999894</v>
      </c>
      <c r="U1442">
        <v>-2.8921199999999998</v>
      </c>
      <c r="V1442">
        <v>0.1055835</v>
      </c>
      <c r="W1442">
        <v>-8.1854110000000001E-3</v>
      </c>
      <c r="X1442">
        <v>0.99437679999999995</v>
      </c>
      <c r="Y1442">
        <v>0.14626719999999999</v>
      </c>
      <c r="Z1442">
        <v>0.2414453</v>
      </c>
      <c r="AA1442">
        <v>0.95932790000000001</v>
      </c>
      <c r="AB1442">
        <v>16</v>
      </c>
      <c r="AC1442">
        <v>-0.17690000000001699</v>
      </c>
      <c r="AD1442">
        <v>-0.191191799999999</v>
      </c>
      <c r="AE1442">
        <v>-0.58559999999999901</v>
      </c>
      <c r="AF1442">
        <v>0.106099282347296</v>
      </c>
      <c r="AG1442">
        <v>-0.191191799999999</v>
      </c>
      <c r="AH1442">
        <v>0.54710563613324403</v>
      </c>
      <c r="AI1442">
        <v>108.93550135542699</v>
      </c>
      <c r="AJ1442">
        <v>79.024955766742096</v>
      </c>
      <c r="AK1442">
        <v>0.58918243285981697</v>
      </c>
      <c r="AL1442">
        <v>90.468994718461104</v>
      </c>
      <c r="AM1442">
        <v>83.939010961090503</v>
      </c>
      <c r="AN1442">
        <v>1.0000000484018601</v>
      </c>
    </row>
    <row r="1443" spans="1:40" x14ac:dyDescent="0.25">
      <c r="A1443" t="str">
        <f>"20190312154241100"</f>
        <v>20190312154241100</v>
      </c>
      <c r="B1443" t="str">
        <f>"1552376561088687"</f>
        <v>1552376561088687</v>
      </c>
      <c r="C1443" t="s">
        <v>40</v>
      </c>
      <c r="D1443">
        <v>4.9415250000000004</v>
      </c>
      <c r="E1443">
        <v>0.52200349999999995</v>
      </c>
      <c r="F1443" t="s">
        <v>41</v>
      </c>
      <c r="G1443">
        <v>-192.58629999999999</v>
      </c>
      <c r="H1443">
        <v>0.9218556</v>
      </c>
      <c r="I1443">
        <v>304.89769999999999</v>
      </c>
      <c r="J1443">
        <v>-192.411</v>
      </c>
      <c r="K1443">
        <v>1.1098749999999999</v>
      </c>
      <c r="L1443">
        <v>305.46800000000002</v>
      </c>
      <c r="M1443">
        <v>-0.1034019</v>
      </c>
      <c r="N1443">
        <v>0</v>
      </c>
      <c r="O1443">
        <v>-0.99455680000000002</v>
      </c>
      <c r="P1443">
        <v>-0.2085188</v>
      </c>
      <c r="Q1443">
        <v>-2.124473E-2</v>
      </c>
      <c r="R1443">
        <v>-0.97778779999999998</v>
      </c>
      <c r="S1443">
        <v>-0.76777649999999997</v>
      </c>
      <c r="T1443">
        <v>-0.74553049999999998</v>
      </c>
      <c r="U1443">
        <v>-2.889313</v>
      </c>
      <c r="V1443">
        <v>0.1062729</v>
      </c>
      <c r="W1443">
        <v>-8.6525479999999995E-3</v>
      </c>
      <c r="X1443">
        <v>0.99429940000000006</v>
      </c>
      <c r="Y1443">
        <v>0.14780289999999999</v>
      </c>
      <c r="Z1443">
        <v>0.24259620000000001</v>
      </c>
      <c r="AA1443">
        <v>0.95880200000000004</v>
      </c>
      <c r="AB1443">
        <v>16</v>
      </c>
      <c r="AC1443">
        <v>-0.17530000000002099</v>
      </c>
      <c r="AD1443">
        <v>-0.188019399999999</v>
      </c>
      <c r="AE1443">
        <v>-0.570300000000031</v>
      </c>
      <c r="AF1443">
        <v>0.104961568484254</v>
      </c>
      <c r="AG1443">
        <v>-0.188019399999999</v>
      </c>
      <c r="AH1443">
        <v>0.53248928005163298</v>
      </c>
      <c r="AI1443">
        <v>109.107578699082</v>
      </c>
      <c r="AJ1443">
        <v>78.849101839502794</v>
      </c>
      <c r="AK1443">
        <v>0.57438058724589702</v>
      </c>
      <c r="AL1443">
        <v>90.495760645570897</v>
      </c>
      <c r="AM1443">
        <v>83.899262316078605</v>
      </c>
      <c r="AN1443">
        <v>1.0000000463508301</v>
      </c>
    </row>
    <row r="1444" spans="1:40" x14ac:dyDescent="0.25">
      <c r="A1444" t="str">
        <f>"20190312154241123"</f>
        <v>20190312154241123</v>
      </c>
      <c r="B1444" t="str">
        <f>"1552376561118944"</f>
        <v>1552376561118944</v>
      </c>
      <c r="C1444" t="s">
        <v>40</v>
      </c>
      <c r="D1444">
        <v>4.9981159999999996</v>
      </c>
      <c r="E1444">
        <v>0.52077629999999997</v>
      </c>
      <c r="F1444" t="s">
        <v>41</v>
      </c>
      <c r="G1444">
        <v>-192.60319999999999</v>
      </c>
      <c r="H1444">
        <v>0.92880580000000001</v>
      </c>
      <c r="I1444">
        <v>304.75760000000002</v>
      </c>
      <c r="J1444">
        <v>-192.42939999999999</v>
      </c>
      <c r="K1444">
        <v>1.1103559999999999</v>
      </c>
      <c r="L1444">
        <v>305.31099999999998</v>
      </c>
      <c r="M1444">
        <v>-0.1050229</v>
      </c>
      <c r="N1444">
        <v>0</v>
      </c>
      <c r="O1444">
        <v>-0.99436650000000004</v>
      </c>
      <c r="P1444">
        <v>-0.21114810000000001</v>
      </c>
      <c r="Q1444">
        <v>-2.3185620000000001E-2</v>
      </c>
      <c r="R1444">
        <v>-0.97717920000000003</v>
      </c>
      <c r="S1444">
        <v>-0.78007510000000002</v>
      </c>
      <c r="T1444">
        <v>-0.73542879999999999</v>
      </c>
      <c r="U1444">
        <v>-2.8857729999999999</v>
      </c>
      <c r="V1444">
        <v>0.1073307</v>
      </c>
      <c r="W1444">
        <v>-9.0924339999999999E-3</v>
      </c>
      <c r="X1444">
        <v>0.9941818</v>
      </c>
      <c r="Y1444">
        <v>0.1504925</v>
      </c>
      <c r="Z1444">
        <v>0.23953859999999999</v>
      </c>
      <c r="AA1444">
        <v>0.95915229999999996</v>
      </c>
      <c r="AB1444">
        <v>16</v>
      </c>
      <c r="AC1444">
        <v>-0.17379999999999901</v>
      </c>
      <c r="AD1444">
        <v>-0.181550199999999</v>
      </c>
      <c r="AE1444">
        <v>-0.55339999999995304</v>
      </c>
      <c r="AF1444">
        <v>0.104478017142685</v>
      </c>
      <c r="AG1444">
        <v>-0.181550199999999</v>
      </c>
      <c r="AH1444">
        <v>0.51786239830734004</v>
      </c>
      <c r="AI1444">
        <v>108.965393289364</v>
      </c>
      <c r="AJ1444">
        <v>78.593765611502604</v>
      </c>
      <c r="AK1444">
        <v>0.55862115495811404</v>
      </c>
      <c r="AL1444">
        <v>90.520965271333495</v>
      </c>
      <c r="AM1444">
        <v>83.8382794622365</v>
      </c>
      <c r="AN1444">
        <v>1.00000000148488</v>
      </c>
    </row>
    <row r="1445" spans="1:40" x14ac:dyDescent="0.25">
      <c r="A1445" t="str">
        <f>"20190312154241146"</f>
        <v>20190312154241146</v>
      </c>
      <c r="B1445" t="str">
        <f>"1552376561138463"</f>
        <v>1552376561138463</v>
      </c>
      <c r="C1445" t="s">
        <v>40</v>
      </c>
      <c r="D1445">
        <v>4.9927830000000002</v>
      </c>
      <c r="E1445">
        <v>0.52012990000000003</v>
      </c>
      <c r="F1445" t="s">
        <v>41</v>
      </c>
      <c r="G1445">
        <v>-192.61600000000001</v>
      </c>
      <c r="H1445">
        <v>0.93701840000000003</v>
      </c>
      <c r="I1445">
        <v>304.6198</v>
      </c>
      <c r="J1445">
        <v>-192.44659999999999</v>
      </c>
      <c r="K1445">
        <v>1.110851</v>
      </c>
      <c r="L1445">
        <v>305.16539999999998</v>
      </c>
      <c r="M1445">
        <v>-0.1064138</v>
      </c>
      <c r="N1445">
        <v>0</v>
      </c>
      <c r="O1445">
        <v>-0.99419250000000003</v>
      </c>
      <c r="P1445">
        <v>-0.21373809999999999</v>
      </c>
      <c r="Q1445">
        <v>-2.521468E-2</v>
      </c>
      <c r="R1445">
        <v>-0.97656589999999999</v>
      </c>
      <c r="S1445">
        <v>-0.77799989999999997</v>
      </c>
      <c r="T1445">
        <v>-0.72335539999999998</v>
      </c>
      <c r="U1445">
        <v>-2.8847659999999999</v>
      </c>
      <c r="V1445">
        <v>0.1085802</v>
      </c>
      <c r="W1445">
        <v>-9.3807790000000005E-3</v>
      </c>
      <c r="X1445">
        <v>0.99404340000000002</v>
      </c>
      <c r="Y1445">
        <v>0.14878029999999901</v>
      </c>
      <c r="Z1445">
        <v>0.23590530000000001</v>
      </c>
      <c r="AA1445">
        <v>0.96031929999999999</v>
      </c>
      <c r="AB1445">
        <v>15</v>
      </c>
      <c r="AC1445">
        <v>-0.169399999999996</v>
      </c>
      <c r="AD1445">
        <v>-0.173832599999999</v>
      </c>
      <c r="AE1445">
        <v>-0.54559999999997899</v>
      </c>
      <c r="AF1445">
        <v>0.101018189797277</v>
      </c>
      <c r="AG1445">
        <v>-0.173832599999999</v>
      </c>
      <c r="AH1445">
        <v>0.51303068301795696</v>
      </c>
      <c r="AI1445">
        <v>108.389447360939</v>
      </c>
      <c r="AJ1445">
        <v>78.860691166590101</v>
      </c>
      <c r="AK1445">
        <v>0.55101989910578497</v>
      </c>
      <c r="AL1445">
        <v>90.537486944638701</v>
      </c>
      <c r="AM1445">
        <v>83.766247644918394</v>
      </c>
      <c r="AN1445">
        <v>0.99999996996512297</v>
      </c>
    </row>
    <row r="1446" spans="1:40" x14ac:dyDescent="0.25">
      <c r="A1446" t="str">
        <f>"20190312154241168"</f>
        <v>20190312154241168</v>
      </c>
      <c r="B1446" t="str">
        <f>"1552376561158960"</f>
        <v>1552376561158960</v>
      </c>
      <c r="C1446" t="s">
        <v>40</v>
      </c>
      <c r="D1446">
        <v>5.1104659999999997</v>
      </c>
      <c r="E1446">
        <v>0.52014289999999996</v>
      </c>
      <c r="F1446" t="s">
        <v>41</v>
      </c>
      <c r="G1446">
        <v>-192.63</v>
      </c>
      <c r="H1446">
        <v>0.94101990000000002</v>
      </c>
      <c r="I1446">
        <v>304.4873</v>
      </c>
      <c r="J1446">
        <v>-192.4633</v>
      </c>
      <c r="K1446">
        <v>1.111262</v>
      </c>
      <c r="L1446">
        <v>305.024</v>
      </c>
      <c r="M1446">
        <v>-0.10762389999999999</v>
      </c>
      <c r="N1446">
        <v>0</v>
      </c>
      <c r="O1446">
        <v>-0.99403180000000002</v>
      </c>
      <c r="P1446">
        <v>-0.21603820000000001</v>
      </c>
      <c r="Q1446">
        <v>-2.7449250000000001E-2</v>
      </c>
      <c r="R1446">
        <v>-0.97599930000000001</v>
      </c>
      <c r="S1446">
        <v>-0.77963260000000001</v>
      </c>
      <c r="T1446">
        <v>-0.72189799999999904</v>
      </c>
      <c r="U1446">
        <v>-2.8827210000000001</v>
      </c>
      <c r="V1446">
        <v>0.1097162</v>
      </c>
      <c r="W1446">
        <v>-9.8170940000000002E-3</v>
      </c>
      <c r="X1446">
        <v>0.99391450000000003</v>
      </c>
      <c r="Y1446">
        <v>0.14827419999999999</v>
      </c>
      <c r="Z1446">
        <v>0.2355566</v>
      </c>
      <c r="AA1446">
        <v>0.96048310000000003</v>
      </c>
      <c r="AB1446">
        <v>15</v>
      </c>
      <c r="AC1446">
        <v>-0.16669999999999099</v>
      </c>
      <c r="AD1446">
        <v>-0.17024209999999901</v>
      </c>
      <c r="AE1446">
        <v>-0.53669999999999596</v>
      </c>
      <c r="AF1446">
        <v>9.8886305736374497E-2</v>
      </c>
      <c r="AG1446">
        <v>-0.17024209999999901</v>
      </c>
      <c r="AH1446">
        <v>0.50516907295510405</v>
      </c>
      <c r="AI1446">
        <v>108.30026603350299</v>
      </c>
      <c r="AJ1446">
        <v>78.924458166418802</v>
      </c>
      <c r="AK1446">
        <v>0.54217770734780002</v>
      </c>
      <c r="AL1446">
        <v>90.562487073551097</v>
      </c>
      <c r="AM1446">
        <v>83.700739378056497</v>
      </c>
      <c r="AN1446">
        <v>1.00000002659364</v>
      </c>
    </row>
    <row r="1447" spans="1:40" x14ac:dyDescent="0.25">
      <c r="A1447" t="str">
        <f>"20190312154241190"</f>
        <v>20190312154241190</v>
      </c>
      <c r="B1447" t="str">
        <f>"1552376561178479"</f>
        <v>1552376561178479</v>
      </c>
      <c r="C1447" t="s">
        <v>40</v>
      </c>
      <c r="D1447">
        <v>5.004181</v>
      </c>
      <c r="E1447">
        <v>0.52017040000000003</v>
      </c>
      <c r="F1447" t="s">
        <v>41</v>
      </c>
      <c r="G1447">
        <v>-192.67509999999999</v>
      </c>
      <c r="H1447">
        <v>0.91543010000000002</v>
      </c>
      <c r="I1447">
        <v>304.24889999999999</v>
      </c>
      <c r="J1447">
        <v>-192.47970000000001</v>
      </c>
      <c r="K1447">
        <v>1.1115839999999999</v>
      </c>
      <c r="L1447">
        <v>304.88659999999999</v>
      </c>
      <c r="M1447">
        <v>-0.1087359</v>
      </c>
      <c r="N1447">
        <v>0</v>
      </c>
      <c r="O1447">
        <v>-0.99387689999999995</v>
      </c>
      <c r="P1447">
        <v>-0.21911340000000001</v>
      </c>
      <c r="Q1447">
        <v>-2.9667410000000002E-2</v>
      </c>
      <c r="R1447">
        <v>-0.97524829999999996</v>
      </c>
      <c r="S1447">
        <v>-0.78657529999999998</v>
      </c>
      <c r="T1447">
        <v>-0.72736219999999996</v>
      </c>
      <c r="U1447">
        <v>-2.8792110000000002</v>
      </c>
      <c r="V1447">
        <v>0.1117404</v>
      </c>
      <c r="W1447">
        <v>-1.025472E-2</v>
      </c>
      <c r="X1447">
        <v>0.99368449999999997</v>
      </c>
      <c r="Y1447">
        <v>0.14949989999999999</v>
      </c>
      <c r="Z1447">
        <v>0.23736689999999999</v>
      </c>
      <c r="AA1447">
        <v>0.95984729999999996</v>
      </c>
      <c r="AB1447">
        <v>14</v>
      </c>
      <c r="AC1447">
        <v>-0.19539999999997801</v>
      </c>
      <c r="AD1447">
        <v>-0.19615389999999999</v>
      </c>
      <c r="AE1447">
        <v>-0.63769999999999505</v>
      </c>
      <c r="AF1447">
        <v>0.114944657218361</v>
      </c>
      <c r="AG1447">
        <v>-0.19615389999999999</v>
      </c>
      <c r="AH1447">
        <v>0.603011422627864</v>
      </c>
      <c r="AI1447">
        <v>107.72061026663501</v>
      </c>
      <c r="AJ1447">
        <v>79.207877682575003</v>
      </c>
      <c r="AK1447">
        <v>0.64444658624895901</v>
      </c>
      <c r="AL1447">
        <v>90.587562485555097</v>
      </c>
      <c r="AM1447">
        <v>83.584009360260694</v>
      </c>
      <c r="AN1447">
        <v>0.99999998090734399</v>
      </c>
    </row>
    <row r="1448" spans="1:40" x14ac:dyDescent="0.25">
      <c r="A1448" t="str">
        <f>"20190312154241212"</f>
        <v>20190312154241212</v>
      </c>
      <c r="B1448" t="str">
        <f>"1552376561198979"</f>
        <v>1552376561198979</v>
      </c>
      <c r="C1448" t="s">
        <v>40</v>
      </c>
      <c r="D1448">
        <v>5.1089719999999996</v>
      </c>
      <c r="E1448">
        <v>0.52040410000000004</v>
      </c>
      <c r="F1448" t="s">
        <v>41</v>
      </c>
      <c r="G1448">
        <v>-192.68989999999999</v>
      </c>
      <c r="H1448">
        <v>0.91628770000000004</v>
      </c>
      <c r="I1448">
        <v>304.12779999999998</v>
      </c>
      <c r="J1448">
        <v>-192.49590000000001</v>
      </c>
      <c r="K1448">
        <v>1.111783</v>
      </c>
      <c r="L1448">
        <v>304.75310000000002</v>
      </c>
      <c r="M1448">
        <v>-0.109931</v>
      </c>
      <c r="N1448">
        <v>0</v>
      </c>
      <c r="O1448">
        <v>-0.99371220000000005</v>
      </c>
      <c r="P1448">
        <v>-0.22268540000000001</v>
      </c>
      <c r="Q1448">
        <v>-3.1733249999999998E-2</v>
      </c>
      <c r="R1448">
        <v>-0.97437419999999997</v>
      </c>
      <c r="S1448">
        <v>-0.79542539999999995</v>
      </c>
      <c r="T1448">
        <v>-0.73979709999999999</v>
      </c>
      <c r="U1448">
        <v>-2.874908</v>
      </c>
      <c r="V1448">
        <v>0.1141882</v>
      </c>
      <c r="W1448">
        <v>-1.071593E-2</v>
      </c>
      <c r="X1448">
        <v>0.99340130000000004</v>
      </c>
      <c r="Y1448">
        <v>0.1511575</v>
      </c>
      <c r="Z1448">
        <v>0.2413457</v>
      </c>
      <c r="AA1448">
        <v>0.95859459999999996</v>
      </c>
      <c r="AB1448">
        <v>14</v>
      </c>
      <c r="AC1448">
        <v>-0.19399999999998799</v>
      </c>
      <c r="AD1448">
        <v>-0.19549530000000001</v>
      </c>
      <c r="AE1448">
        <v>-0.62530000000003805</v>
      </c>
      <c r="AF1448">
        <v>0.11391162367825899</v>
      </c>
      <c r="AG1448">
        <v>-0.19549530000000001</v>
      </c>
      <c r="AH1448">
        <v>0.59021468682750999</v>
      </c>
      <c r="AI1448">
        <v>108.015853700902</v>
      </c>
      <c r="AJ1448">
        <v>79.076208485742299</v>
      </c>
      <c r="AK1448">
        <v>0.63209781432781698</v>
      </c>
      <c r="AL1448">
        <v>90.6139893386528</v>
      </c>
      <c r="AM1448">
        <v>83.442817691412003</v>
      </c>
      <c r="AN1448">
        <v>0.99999995950834597</v>
      </c>
    </row>
    <row r="1449" spans="1:40" x14ac:dyDescent="0.25">
      <c r="A1449" t="str">
        <f>"20190312154241236"</f>
        <v>20190312154241236</v>
      </c>
      <c r="B1449" t="str">
        <f>"1552376561229231"</f>
        <v>1552376561229231</v>
      </c>
      <c r="C1449" t="s">
        <v>40</v>
      </c>
      <c r="D1449">
        <v>5.0283530000000001</v>
      </c>
      <c r="E1449">
        <v>0.52011039999999997</v>
      </c>
      <c r="F1449" t="s">
        <v>41</v>
      </c>
      <c r="G1449">
        <v>-192.70529999999999</v>
      </c>
      <c r="H1449">
        <v>0.91747820000000002</v>
      </c>
      <c r="I1449">
        <v>304.00869999999998</v>
      </c>
      <c r="J1449">
        <v>-192.51310000000001</v>
      </c>
      <c r="K1449">
        <v>1.111639</v>
      </c>
      <c r="L1449">
        <v>304.613</v>
      </c>
      <c r="M1449">
        <v>-0.1115892</v>
      </c>
      <c r="N1449">
        <v>0</v>
      </c>
      <c r="O1449">
        <v>-0.99350740000000004</v>
      </c>
      <c r="P1449">
        <v>-0.22737679999999999</v>
      </c>
      <c r="Q1449">
        <v>-3.2429489999999998E-2</v>
      </c>
      <c r="R1449">
        <v>-0.97326710000000005</v>
      </c>
      <c r="S1449">
        <v>-0.80754090000000001</v>
      </c>
      <c r="T1449">
        <v>-0.74914669999999906</v>
      </c>
      <c r="U1449">
        <v>-2.8699340000000002</v>
      </c>
      <c r="V1449">
        <v>0.1173114</v>
      </c>
      <c r="W1449">
        <v>-1.0554300000000001E-2</v>
      </c>
      <c r="X1449">
        <v>0.99303909999999995</v>
      </c>
      <c r="Y1449">
        <v>0.1534827</v>
      </c>
      <c r="Z1449">
        <v>0.2443564</v>
      </c>
      <c r="AA1449">
        <v>0.95746180000000003</v>
      </c>
      <c r="AB1449">
        <v>13</v>
      </c>
      <c r="AC1449">
        <v>-0.19219999999998499</v>
      </c>
      <c r="AD1449">
        <v>-0.19416079999999999</v>
      </c>
      <c r="AE1449">
        <v>-0.60430000000002304</v>
      </c>
      <c r="AF1449">
        <v>0.11295924431069999</v>
      </c>
      <c r="AG1449">
        <v>-0.19416079999999999</v>
      </c>
      <c r="AH1449">
        <v>0.56866471410234198</v>
      </c>
      <c r="AI1449">
        <v>108.515170637544</v>
      </c>
      <c r="AJ1449">
        <v>78.765042818770496</v>
      </c>
      <c r="AK1449">
        <v>0.61142273771669797</v>
      </c>
      <c r="AL1449">
        <v>90.604728069560807</v>
      </c>
      <c r="AM1449">
        <v>83.2626619499311</v>
      </c>
      <c r="AN1449">
        <v>1.00000000597363</v>
      </c>
    </row>
    <row r="1450" spans="1:40" x14ac:dyDescent="0.25">
      <c r="A1450" t="str">
        <f>"20190312154241279"</f>
        <v>20190312154241279</v>
      </c>
      <c r="B1450" t="str">
        <f>"1552376561269248"</f>
        <v>1552376561269248</v>
      </c>
      <c r="C1450" t="s">
        <v>40</v>
      </c>
      <c r="D1450">
        <v>5.0158430000000003</v>
      </c>
      <c r="E1450">
        <v>0.51983889999999999</v>
      </c>
      <c r="F1450" t="s">
        <v>41</v>
      </c>
      <c r="G1450">
        <v>-192.72049999999999</v>
      </c>
      <c r="H1450">
        <v>0.91973579999999999</v>
      </c>
      <c r="I1450">
        <v>303.88830000000002</v>
      </c>
      <c r="J1450">
        <v>-192.54689999999999</v>
      </c>
      <c r="K1450">
        <v>1.110412</v>
      </c>
      <c r="L1450">
        <v>304.351</v>
      </c>
      <c r="M1450">
        <v>-0.1153527</v>
      </c>
      <c r="N1450">
        <v>0</v>
      </c>
      <c r="O1450">
        <v>-0.99311050000000001</v>
      </c>
      <c r="P1450">
        <v>-0.23556659999999999</v>
      </c>
      <c r="Q1450">
        <v>-2.816658E-2</v>
      </c>
      <c r="R1450">
        <v>-0.97145040000000005</v>
      </c>
      <c r="S1450">
        <v>-0.81924439999999998</v>
      </c>
      <c r="T1450">
        <v>-0.75868049999999998</v>
      </c>
      <c r="U1450">
        <v>-2.865723</v>
      </c>
      <c r="V1450">
        <v>0.12189220000000001</v>
      </c>
      <c r="W1450">
        <v>-7.9673980000000005E-3</v>
      </c>
      <c r="X1450">
        <v>0.99251140000000004</v>
      </c>
      <c r="Y1450">
        <v>0.15352279999999999</v>
      </c>
      <c r="Z1450">
        <v>0.2473177</v>
      </c>
      <c r="AA1450">
        <v>0.95669470000000001</v>
      </c>
      <c r="AB1450">
        <v>13</v>
      </c>
      <c r="AC1450">
        <v>-0.17359999999999301</v>
      </c>
      <c r="AD1450">
        <v>-0.19067619999999999</v>
      </c>
      <c r="AE1450">
        <v>-0.46269999999998301</v>
      </c>
      <c r="AF1450">
        <v>0.103628754213685</v>
      </c>
      <c r="AG1450">
        <v>-0.19067619999999999</v>
      </c>
      <c r="AH1450">
        <v>0.41748927854432599</v>
      </c>
      <c r="AI1450">
        <v>113.90626246594999</v>
      </c>
      <c r="AJ1450">
        <v>76.059840113517396</v>
      </c>
      <c r="AK1450">
        <v>0.47052484487621099</v>
      </c>
      <c r="AL1450">
        <v>90.456503093658398</v>
      </c>
      <c r="AM1450">
        <v>82.998457469353696</v>
      </c>
      <c r="AN1450">
        <v>1.0000000334908401</v>
      </c>
    </row>
    <row r="1451" spans="1:40" x14ac:dyDescent="0.25">
      <c r="A1451" t="str">
        <f>"20190312154241301"</f>
        <v>20190312154241301</v>
      </c>
      <c r="B1451" t="str">
        <f>"1552376561288767"</f>
        <v>1552376561288767</v>
      </c>
      <c r="C1451" t="s">
        <v>40</v>
      </c>
      <c r="D1451">
        <v>4.999193</v>
      </c>
      <c r="E1451">
        <v>0.51971020000000001</v>
      </c>
      <c r="F1451" t="s">
        <v>41</v>
      </c>
      <c r="G1451">
        <v>-192.75620000000001</v>
      </c>
      <c r="H1451">
        <v>0.92421469999999994</v>
      </c>
      <c r="I1451">
        <v>303.6438</v>
      </c>
      <c r="J1451">
        <v>-192.56530000000001</v>
      </c>
      <c r="K1451">
        <v>1.109988</v>
      </c>
      <c r="L1451">
        <v>304.2158</v>
      </c>
      <c r="M1451">
        <v>-0.11729729999999999</v>
      </c>
      <c r="N1451">
        <v>0</v>
      </c>
      <c r="O1451">
        <v>-0.99290199999999995</v>
      </c>
      <c r="P1451">
        <v>-0.2397164</v>
      </c>
      <c r="Q1451">
        <v>-2.499817E-2</v>
      </c>
      <c r="R1451">
        <v>-0.97052119999999997</v>
      </c>
      <c r="S1451">
        <v>-0.8459778</v>
      </c>
      <c r="T1451">
        <v>-0.75321669999999996</v>
      </c>
      <c r="U1451">
        <v>-2.861237</v>
      </c>
      <c r="V1451">
        <v>0.1241848</v>
      </c>
      <c r="W1451">
        <v>-5.7940910000000003E-3</v>
      </c>
      <c r="X1451">
        <v>0.99224219999999996</v>
      </c>
      <c r="Y1451">
        <v>0.16035940000000001</v>
      </c>
      <c r="Z1451">
        <v>0.24548339999999999</v>
      </c>
      <c r="AA1451">
        <v>0.95604540000000005</v>
      </c>
      <c r="AB1451">
        <v>14</v>
      </c>
      <c r="AC1451">
        <v>-0.19089999999999899</v>
      </c>
      <c r="AD1451">
        <v>-0.1857733</v>
      </c>
      <c r="AE1451">
        <v>-0.57200000000000195</v>
      </c>
      <c r="AF1451">
        <v>0.111858204083288</v>
      </c>
      <c r="AG1451">
        <v>-0.1857733</v>
      </c>
      <c r="AH1451">
        <v>0.53926478001839695</v>
      </c>
      <c r="AI1451">
        <v>108.639942705409</v>
      </c>
      <c r="AJ1451">
        <v>78.281475931478695</v>
      </c>
      <c r="AK1451">
        <v>0.58123186404559601</v>
      </c>
      <c r="AL1451">
        <v>90.331978814699099</v>
      </c>
      <c r="AM1451">
        <v>82.866198242174207</v>
      </c>
      <c r="AN1451">
        <v>1.0000000097511901</v>
      </c>
    </row>
    <row r="1452" spans="1:40" x14ac:dyDescent="0.25">
      <c r="A1452" t="str">
        <f>"20190312154241325"</f>
        <v>20190312154241325</v>
      </c>
      <c r="B1452" t="str">
        <f>"1552376561319023"</f>
        <v>1552376561319023</v>
      </c>
      <c r="C1452" t="s">
        <v>40</v>
      </c>
      <c r="D1452">
        <v>5.0275670000000003</v>
      </c>
      <c r="E1452">
        <v>0.5193451</v>
      </c>
      <c r="F1452" t="s">
        <v>41</v>
      </c>
      <c r="G1452">
        <v>-192.774</v>
      </c>
      <c r="H1452">
        <v>0.92899799999999999</v>
      </c>
      <c r="I1452">
        <v>303.52109999999999</v>
      </c>
      <c r="J1452">
        <v>-192.5847</v>
      </c>
      <c r="K1452">
        <v>1.1098520000000001</v>
      </c>
      <c r="L1452">
        <v>304.07560000000001</v>
      </c>
      <c r="M1452">
        <v>-0.1193809</v>
      </c>
      <c r="N1452">
        <v>0</v>
      </c>
      <c r="O1452">
        <v>-0.99266600000000005</v>
      </c>
      <c r="P1452">
        <v>-0.2444914</v>
      </c>
      <c r="Q1452">
        <v>-2.3753130000000001E-2</v>
      </c>
      <c r="R1452">
        <v>-0.96936080000000002</v>
      </c>
      <c r="S1452">
        <v>-0.85903929999999995</v>
      </c>
      <c r="T1452">
        <v>-0.74500549999999999</v>
      </c>
      <c r="U1452">
        <v>-2.859772</v>
      </c>
      <c r="V1452">
        <v>0.12698509999999999</v>
      </c>
      <c r="W1452">
        <v>-5.1820620000000003E-3</v>
      </c>
      <c r="X1452">
        <v>0.99189110000000003</v>
      </c>
      <c r="Y1452">
        <v>0.1626292</v>
      </c>
      <c r="Z1452">
        <v>0.24280189999999999</v>
      </c>
      <c r="AA1452">
        <v>0.95634669999999999</v>
      </c>
      <c r="AB1452">
        <v>14</v>
      </c>
      <c r="AC1452">
        <v>-0.18930000000000199</v>
      </c>
      <c r="AD1452">
        <v>-0.18085399999999999</v>
      </c>
      <c r="AE1452">
        <v>-0.55450000000001798</v>
      </c>
      <c r="AF1452">
        <v>0.111147508839622</v>
      </c>
      <c r="AG1452">
        <v>-0.18085399999999999</v>
      </c>
      <c r="AH1452">
        <v>0.52328068847763498</v>
      </c>
      <c r="AI1452">
        <v>108.67903442067799</v>
      </c>
      <c r="AJ1452">
        <v>78.008300947125093</v>
      </c>
      <c r="AK1452">
        <v>0.56469869574037601</v>
      </c>
      <c r="AL1452">
        <v>90.296911607140402</v>
      </c>
      <c r="AM1452">
        <v>82.704494307719003</v>
      </c>
      <c r="AN1452">
        <v>1.0000000118238901</v>
      </c>
    </row>
    <row r="1453" spans="1:40" x14ac:dyDescent="0.25">
      <c r="A1453" t="str">
        <f>"20190312154241347"</f>
        <v>20190312154241347</v>
      </c>
      <c r="B1453" t="str">
        <f>"1552376561338543"</f>
        <v>1552376561338543</v>
      </c>
      <c r="C1453" t="s">
        <v>40</v>
      </c>
      <c r="D1453">
        <v>5.1326910000000003</v>
      </c>
      <c r="E1453">
        <v>0.51924059999999905</v>
      </c>
      <c r="F1453" t="s">
        <v>41</v>
      </c>
      <c r="G1453">
        <v>-192.79130000000001</v>
      </c>
      <c r="H1453">
        <v>0.93346169999999995</v>
      </c>
      <c r="I1453">
        <v>303.39929999999998</v>
      </c>
      <c r="J1453">
        <v>-192.60319999999999</v>
      </c>
      <c r="K1453">
        <v>1.1098589999999999</v>
      </c>
      <c r="L1453">
        <v>303.94450000000001</v>
      </c>
      <c r="M1453">
        <v>-0.12153360000000001</v>
      </c>
      <c r="N1453">
        <v>0</v>
      </c>
      <c r="O1453">
        <v>-0.99241360000000001</v>
      </c>
      <c r="P1453">
        <v>-0.2491216</v>
      </c>
      <c r="Q1453">
        <v>-2.330109E-2</v>
      </c>
      <c r="R1453">
        <v>-0.96819169999999999</v>
      </c>
      <c r="S1453">
        <v>-0.87156679999999997</v>
      </c>
      <c r="T1453">
        <v>-0.74487650000000005</v>
      </c>
      <c r="U1453">
        <v>-2.8567499999999999</v>
      </c>
      <c r="V1453">
        <v>0.1295743</v>
      </c>
      <c r="W1453">
        <v>-5.196722E-3</v>
      </c>
      <c r="X1453">
        <v>0.99155610000000005</v>
      </c>
      <c r="Y1453">
        <v>0.16461809999999999</v>
      </c>
      <c r="Z1453">
        <v>0.2427182</v>
      </c>
      <c r="AA1453">
        <v>0.95602759999999998</v>
      </c>
      <c r="AB1453">
        <v>14</v>
      </c>
      <c r="AC1453">
        <v>-0.188100000000019</v>
      </c>
      <c r="AD1453">
        <v>-0.17639729999999901</v>
      </c>
      <c r="AE1453">
        <v>-0.545200000000022</v>
      </c>
      <c r="AF1453">
        <v>0.11013121154745301</v>
      </c>
      <c r="AG1453">
        <v>-0.17639729999999901</v>
      </c>
      <c r="AH1453">
        <v>0.51577267991753994</v>
      </c>
      <c r="AI1453">
        <v>108.493342575296</v>
      </c>
      <c r="AJ1453">
        <v>77.946831296045303</v>
      </c>
      <c r="AK1453">
        <v>0.556117207568262</v>
      </c>
      <c r="AL1453">
        <v>90.297751577405904</v>
      </c>
      <c r="AM1453">
        <v>82.554905473425507</v>
      </c>
      <c r="AN1453">
        <v>1.00000000229362</v>
      </c>
    </row>
    <row r="1454" spans="1:40" x14ac:dyDescent="0.25">
      <c r="A1454" t="str">
        <f>"20190312154241369"</f>
        <v>20190312154241369</v>
      </c>
      <c r="B1454" t="str">
        <f>"1552376561359039"</f>
        <v>1552376561359039</v>
      </c>
      <c r="C1454" t="s">
        <v>40</v>
      </c>
      <c r="D1454">
        <v>5.0602450000000001</v>
      </c>
      <c r="E1454">
        <v>0.52036939999999998</v>
      </c>
      <c r="F1454" t="s">
        <v>41</v>
      </c>
      <c r="G1454">
        <v>-192.80969999999999</v>
      </c>
      <c r="H1454">
        <v>0.93610179999999998</v>
      </c>
      <c r="I1454">
        <v>303.279</v>
      </c>
      <c r="J1454">
        <v>-192.6224</v>
      </c>
      <c r="K1454">
        <v>1.1098709999999901</v>
      </c>
      <c r="L1454">
        <v>303.81020000000001</v>
      </c>
      <c r="M1454">
        <v>-0.1239183</v>
      </c>
      <c r="N1454">
        <v>0</v>
      </c>
      <c r="O1454">
        <v>-0.9921297</v>
      </c>
      <c r="P1454">
        <v>-0.254079</v>
      </c>
      <c r="Q1454">
        <v>-2.301696E-2</v>
      </c>
      <c r="R1454">
        <v>-0.96691009999999999</v>
      </c>
      <c r="S1454">
        <v>-0.88418580000000002</v>
      </c>
      <c r="T1454">
        <v>-0.74465079999999995</v>
      </c>
      <c r="U1454">
        <v>-2.8530880000000001</v>
      </c>
      <c r="V1454">
        <v>0.13227149999999999</v>
      </c>
      <c r="W1454">
        <v>-5.4754519999999996E-3</v>
      </c>
      <c r="X1454">
        <v>0.99119840000000003</v>
      </c>
      <c r="Y1454">
        <v>0.16646179999999999</v>
      </c>
      <c r="Z1454">
        <v>0.242641</v>
      </c>
      <c r="AA1454">
        <v>0.95572789999999996</v>
      </c>
      <c r="AB1454">
        <v>13</v>
      </c>
      <c r="AC1454">
        <v>-0.187299999999993</v>
      </c>
      <c r="AD1454">
        <v>-0.17376919999999901</v>
      </c>
      <c r="AE1454">
        <v>-0.531200000000012</v>
      </c>
      <c r="AF1454">
        <v>0.10958935374211699</v>
      </c>
      <c r="AG1454">
        <v>-0.17376919999999901</v>
      </c>
      <c r="AH1454">
        <v>0.50249178879275802</v>
      </c>
      <c r="AI1454">
        <v>108.66872460080501</v>
      </c>
      <c r="AJ1454">
        <v>77.696905934615799</v>
      </c>
      <c r="AK1454">
        <v>0.54286606002438598</v>
      </c>
      <c r="AL1454">
        <v>90.313721858376596</v>
      </c>
      <c r="AM1454">
        <v>82.399011981364595</v>
      </c>
      <c r="AN1454">
        <v>0.99999999922470695</v>
      </c>
    </row>
    <row r="1455" spans="1:40" x14ac:dyDescent="0.25">
      <c r="A1455" t="str">
        <f>"20190312154241391"</f>
        <v>20190312154241391</v>
      </c>
      <c r="B1455" t="str">
        <f>"1552376561378559"</f>
        <v>1552376561378559</v>
      </c>
      <c r="C1455" t="s">
        <v>40</v>
      </c>
      <c r="D1455">
        <v>5.062799</v>
      </c>
      <c r="E1455">
        <v>0.57319549999999997</v>
      </c>
      <c r="F1455" t="s">
        <v>41</v>
      </c>
      <c r="G1455">
        <v>-192.86449999999999</v>
      </c>
      <c r="H1455">
        <v>0.91683939999999997</v>
      </c>
      <c r="I1455">
        <v>303.05119999999999</v>
      </c>
      <c r="J1455">
        <v>-192.64089999999999</v>
      </c>
      <c r="K1455">
        <v>1.1098479999999999</v>
      </c>
      <c r="L1455">
        <v>303.6814</v>
      </c>
      <c r="M1455">
        <v>-0.1262325</v>
      </c>
      <c r="N1455">
        <v>0</v>
      </c>
      <c r="O1455">
        <v>-0.99184819999999996</v>
      </c>
      <c r="P1455">
        <v>-0.2587836</v>
      </c>
      <c r="Q1455">
        <v>-2.2164199999999998E-2</v>
      </c>
      <c r="R1455">
        <v>-0.96568109999999996</v>
      </c>
      <c r="S1455">
        <v>-0.90763850000000001</v>
      </c>
      <c r="T1455">
        <v>-0.72386280000000003</v>
      </c>
      <c r="U1455">
        <v>-2.8469540000000002</v>
      </c>
      <c r="V1455">
        <v>0.13478370000000001</v>
      </c>
      <c r="W1455">
        <v>-5.2010579999999997E-3</v>
      </c>
      <c r="X1455">
        <v>0.9908614</v>
      </c>
      <c r="Y1455">
        <v>0.17239209999999999</v>
      </c>
      <c r="Z1455">
        <v>0.23622599999999999</v>
      </c>
      <c r="AA1455">
        <v>0.95628360000000001</v>
      </c>
      <c r="AB1455">
        <v>13</v>
      </c>
      <c r="AC1455">
        <v>-0.22360000000000399</v>
      </c>
      <c r="AD1455">
        <v>-0.1930086</v>
      </c>
      <c r="AE1455">
        <v>-0.63020000000000198</v>
      </c>
      <c r="AF1455">
        <v>0.13130770877718401</v>
      </c>
      <c r="AG1455">
        <v>-0.1930086</v>
      </c>
      <c r="AH1455">
        <v>0.60313917751509305</v>
      </c>
      <c r="AI1455">
        <v>107.363550585287</v>
      </c>
      <c r="AJ1455">
        <v>77.717947654242906</v>
      </c>
      <c r="AK1455">
        <v>0.64673866554571802</v>
      </c>
      <c r="AL1455">
        <v>90.298000014337106</v>
      </c>
      <c r="AM1455">
        <v>82.253782128853203</v>
      </c>
      <c r="AN1455">
        <v>1.00000000539998</v>
      </c>
    </row>
    <row r="1456" spans="1:40" x14ac:dyDescent="0.25">
      <c r="A1456" t="str">
        <f>"20190312154241414"</f>
        <v>20190312154241414</v>
      </c>
      <c r="B1456" t="str">
        <f>"1552376561408816"</f>
        <v>1552376561408816</v>
      </c>
      <c r="C1456" t="s">
        <v>40</v>
      </c>
      <c r="D1456">
        <v>5.2728510000000002</v>
      </c>
      <c r="E1456">
        <v>0.57471110000000003</v>
      </c>
      <c r="F1456" t="s">
        <v>49</v>
      </c>
      <c r="G1456">
        <v>-195.86660000000001</v>
      </c>
      <c r="H1456" s="1">
        <v>4.5114240000000003E-7</v>
      </c>
      <c r="I1456">
        <v>297.05470000000003</v>
      </c>
      <c r="J1456">
        <v>-192.66120000000001</v>
      </c>
      <c r="K1456">
        <v>1.109791</v>
      </c>
      <c r="L1456">
        <v>303.54360000000003</v>
      </c>
      <c r="M1456">
        <v>-0.1286282</v>
      </c>
      <c r="N1456">
        <v>0</v>
      </c>
      <c r="O1456">
        <v>-0.99154940000000003</v>
      </c>
      <c r="P1456">
        <v>-0.26315769999999999</v>
      </c>
      <c r="Q1456">
        <v>-2.1553349999999999E-2</v>
      </c>
      <c r="R1456">
        <v>-0.96451229999999999</v>
      </c>
      <c r="S1456">
        <v>-1.3331759999999999</v>
      </c>
      <c r="T1456">
        <v>-0.4587001</v>
      </c>
      <c r="U1456">
        <v>-2.7388309999999998</v>
      </c>
      <c r="V1456">
        <v>0.13687939999999901</v>
      </c>
      <c r="W1456">
        <v>-5.1263230000000003E-3</v>
      </c>
      <c r="X1456">
        <v>0.99057450000000002</v>
      </c>
      <c r="Y1456">
        <v>0.31335350000000001</v>
      </c>
      <c r="Z1456">
        <v>0.150784</v>
      </c>
      <c r="AA1456">
        <v>0.93758929999999996</v>
      </c>
      <c r="AB1456">
        <v>13</v>
      </c>
      <c r="AC1456">
        <v>-3.2053999999999898</v>
      </c>
      <c r="AD1456">
        <v>-1.1097905488576001</v>
      </c>
      <c r="AE1456">
        <v>-6.4889000000000001</v>
      </c>
      <c r="AF1456">
        <v>2.2901417291117601</v>
      </c>
      <c r="AG1456">
        <v>-1.1097905488576001</v>
      </c>
      <c r="AH1456">
        <v>6.6900393518756198</v>
      </c>
      <c r="AI1456">
        <v>98.919578332034703</v>
      </c>
      <c r="AJ1456">
        <v>71.102841750442195</v>
      </c>
      <c r="AK1456">
        <v>7.1577238512949801</v>
      </c>
      <c r="AL1456">
        <v>90.293717945648595</v>
      </c>
      <c r="AM1456">
        <v>82.132585767046507</v>
      </c>
      <c r="AN1456">
        <v>1.00000004469105</v>
      </c>
    </row>
    <row r="1457" spans="1:40" x14ac:dyDescent="0.25">
      <c r="A1457" t="str">
        <f>"20190312154241436"</f>
        <v>20190312154241436</v>
      </c>
      <c r="B1457" t="str">
        <f>"1552376561429311"</f>
        <v>1552376561429311</v>
      </c>
      <c r="C1457" t="s">
        <v>40</v>
      </c>
      <c r="D1457">
        <v>5.1626209999999997</v>
      </c>
      <c r="E1457">
        <v>0.57501279999999999</v>
      </c>
      <c r="F1457" t="s">
        <v>49</v>
      </c>
      <c r="G1457">
        <v>-196.40110000000001</v>
      </c>
      <c r="H1457" s="1">
        <v>6.9904209999999898E-7</v>
      </c>
      <c r="I1457">
        <v>296.0222</v>
      </c>
      <c r="J1457">
        <v>-192.68020000000001</v>
      </c>
      <c r="K1457">
        <v>1.1097429999999999</v>
      </c>
      <c r="L1457">
        <v>303.4169</v>
      </c>
      <c r="M1457">
        <v>-0.13077610000000001</v>
      </c>
      <c r="N1457">
        <v>0</v>
      </c>
      <c r="O1457">
        <v>-0.99127500000000002</v>
      </c>
      <c r="P1457">
        <v>-0.2656482</v>
      </c>
      <c r="Q1457">
        <v>-2.1415159999999999E-2</v>
      </c>
      <c r="R1457">
        <v>-0.96383260000000004</v>
      </c>
      <c r="S1457">
        <v>-1.35788</v>
      </c>
      <c r="T1457">
        <v>-0.40294600000000003</v>
      </c>
      <c r="U1457">
        <v>-2.730896</v>
      </c>
      <c r="V1457">
        <v>0.1372912</v>
      </c>
      <c r="W1457">
        <v>-5.3797609999999899E-3</v>
      </c>
      <c r="X1457">
        <v>0.99051610000000001</v>
      </c>
      <c r="Y1457">
        <v>0.32034559999999901</v>
      </c>
      <c r="Z1457">
        <v>0.13269839999999999</v>
      </c>
      <c r="AA1457">
        <v>0.93796040000000003</v>
      </c>
      <c r="AB1457">
        <v>13</v>
      </c>
      <c r="AC1457">
        <v>-3.7208999999999999</v>
      </c>
      <c r="AD1457">
        <v>-1.1097423009578999</v>
      </c>
      <c r="AE1457">
        <v>-7.3947000000000003</v>
      </c>
      <c r="AF1457">
        <v>2.6737041061322602</v>
      </c>
      <c r="AG1457">
        <v>-1.1097423009578999</v>
      </c>
      <c r="AH1457">
        <v>7.6798291991794203</v>
      </c>
      <c r="AI1457">
        <v>97.770984690173606</v>
      </c>
      <c r="AJ1457">
        <v>70.804626938272605</v>
      </c>
      <c r="AK1457">
        <v>8.2073136987843096</v>
      </c>
      <c r="AL1457">
        <v>90.308239093132997</v>
      </c>
      <c r="AM1457">
        <v>82.108755087464402</v>
      </c>
      <c r="AN1457">
        <v>0.99999997989253298</v>
      </c>
    </row>
    <row r="1458" spans="1:40" x14ac:dyDescent="0.25">
      <c r="A1458" t="str">
        <f>"20190312154241458"</f>
        <v>20190312154241458</v>
      </c>
      <c r="B1458" t="str">
        <f>"1552376561448832"</f>
        <v>1552376561448832</v>
      </c>
      <c r="C1458" t="s">
        <v>40</v>
      </c>
      <c r="D1458">
        <v>5.1477690000000003</v>
      </c>
      <c r="E1458">
        <v>0.57535709999999995</v>
      </c>
      <c r="F1458" t="s">
        <v>49</v>
      </c>
      <c r="G1458">
        <v>-196.5095</v>
      </c>
      <c r="H1458" s="1">
        <v>7.7455899999999999E-7</v>
      </c>
      <c r="I1458">
        <v>295.78140000000002</v>
      </c>
      <c r="J1458">
        <v>-192.7013</v>
      </c>
      <c r="K1458">
        <v>1.1096980000000001</v>
      </c>
      <c r="L1458">
        <v>303.27929999999998</v>
      </c>
      <c r="M1458">
        <v>-0.13312550000000001</v>
      </c>
      <c r="N1458">
        <v>0</v>
      </c>
      <c r="O1458">
        <v>-0.99096759999999995</v>
      </c>
      <c r="P1458">
        <v>-0.26799679999999998</v>
      </c>
      <c r="Q1458">
        <v>-2.1211799999999999E-2</v>
      </c>
      <c r="R1458">
        <v>-0.96318630000000005</v>
      </c>
      <c r="S1458">
        <v>-1.3675379999999999</v>
      </c>
      <c r="T1458">
        <v>-0.39631270000000002</v>
      </c>
      <c r="U1458">
        <v>-2.726807</v>
      </c>
      <c r="V1458">
        <v>0.1373569</v>
      </c>
      <c r="W1458">
        <v>-5.5405460000000004E-3</v>
      </c>
      <c r="X1458">
        <v>0.99050609999999994</v>
      </c>
      <c r="Y1458">
        <v>0.32145089999999998</v>
      </c>
      <c r="Z1458">
        <v>0.13054250000000001</v>
      </c>
      <c r="AA1458">
        <v>0.93788490000000002</v>
      </c>
      <c r="AB1458">
        <v>13</v>
      </c>
      <c r="AC1458">
        <v>-3.8081999999999998</v>
      </c>
      <c r="AD1458">
        <v>-1.10969722544099</v>
      </c>
      <c r="AE1458">
        <v>-7.4978999999999596</v>
      </c>
      <c r="AF1458">
        <v>2.7284932612990702</v>
      </c>
      <c r="AG1458">
        <v>-1.10969722544099</v>
      </c>
      <c r="AH1458">
        <v>7.8023217976389896</v>
      </c>
      <c r="AI1458">
        <v>97.646474259936895</v>
      </c>
      <c r="AJ1458">
        <v>70.725128557469503</v>
      </c>
      <c r="AK1458">
        <v>8.3398038851653098</v>
      </c>
      <c r="AL1458">
        <v>90.317451534155197</v>
      </c>
      <c r="AM1458">
        <v>82.104947679531193</v>
      </c>
      <c r="AN1458">
        <v>0.999999974882398</v>
      </c>
    </row>
    <row r="1459" spans="1:40" x14ac:dyDescent="0.25">
      <c r="A1459" t="str">
        <f>"20190312154241481"</f>
        <v>20190312154241481</v>
      </c>
      <c r="B1459" t="str">
        <f>"1552376561468350"</f>
        <v>1552376561468350</v>
      </c>
      <c r="C1459" t="s">
        <v>40</v>
      </c>
      <c r="D1459">
        <v>5.1096839999999997</v>
      </c>
      <c r="E1459">
        <v>0.57525869999999901</v>
      </c>
      <c r="F1459" t="s">
        <v>49</v>
      </c>
      <c r="G1459">
        <v>-196.642</v>
      </c>
      <c r="H1459" s="1">
        <v>8.6617430000000001E-7</v>
      </c>
      <c r="I1459">
        <v>295.48899999999998</v>
      </c>
      <c r="J1459">
        <v>-192.7216</v>
      </c>
      <c r="K1459">
        <v>1.109674</v>
      </c>
      <c r="L1459">
        <v>303.14879999999999</v>
      </c>
      <c r="M1459">
        <v>-0.1354312</v>
      </c>
      <c r="N1459">
        <v>0</v>
      </c>
      <c r="O1459">
        <v>-0.9906606</v>
      </c>
      <c r="P1459">
        <v>-0.26970329999999998</v>
      </c>
      <c r="Q1459">
        <v>-2.0257649999999999E-2</v>
      </c>
      <c r="R1459">
        <v>-0.96273050000000004</v>
      </c>
      <c r="S1459">
        <v>-1.377365</v>
      </c>
      <c r="T1459">
        <v>-0.3878644</v>
      </c>
      <c r="U1459">
        <v>-2.7229000000000001</v>
      </c>
      <c r="V1459">
        <v>0.13680639999999999</v>
      </c>
      <c r="W1459">
        <v>-4.9101910000000004E-3</v>
      </c>
      <c r="X1459">
        <v>0.99058559999999996</v>
      </c>
      <c r="Y1459">
        <v>0.32265080000000002</v>
      </c>
      <c r="Z1459">
        <v>0.12778539999999999</v>
      </c>
      <c r="AA1459">
        <v>0.93785249999999998</v>
      </c>
      <c r="AB1459">
        <v>13</v>
      </c>
      <c r="AC1459">
        <v>-3.9203999999999999</v>
      </c>
      <c r="AD1459">
        <v>-1.1096731338257</v>
      </c>
      <c r="AE1459">
        <v>-7.6597999999999598</v>
      </c>
      <c r="AF1459">
        <v>2.8001963909888201</v>
      </c>
      <c r="AG1459">
        <v>-1.1096731338257</v>
      </c>
      <c r="AH1459">
        <v>7.98738536157457</v>
      </c>
      <c r="AI1459">
        <v>97.469159076976993</v>
      </c>
      <c r="AJ1459">
        <v>70.680489421333803</v>
      </c>
      <c r="AK1459">
        <v>8.5364394923373705</v>
      </c>
      <c r="AL1459">
        <v>90.281334360972593</v>
      </c>
      <c r="AM1459">
        <v>82.136816095463303</v>
      </c>
      <c r="AN1459">
        <v>0.99999996599198704</v>
      </c>
    </row>
    <row r="1460" spans="1:40" x14ac:dyDescent="0.25">
      <c r="A1460" t="str">
        <f>"20190312154241503"</f>
        <v>20190312154241503</v>
      </c>
      <c r="B1460" t="str">
        <f>"1552376561498608"</f>
        <v>1552376561498608</v>
      </c>
      <c r="C1460" t="s">
        <v>40</v>
      </c>
      <c r="D1460">
        <v>5.1335470000000001</v>
      </c>
      <c r="E1460">
        <v>0.57538730000000005</v>
      </c>
      <c r="F1460" t="s">
        <v>49</v>
      </c>
      <c r="G1460">
        <v>-196.71639999999999</v>
      </c>
      <c r="H1460" s="1">
        <v>9.3299849999999996E-7</v>
      </c>
      <c r="I1460">
        <v>295.28129999999999</v>
      </c>
      <c r="J1460">
        <v>-192.7423</v>
      </c>
      <c r="K1460">
        <v>1.109669</v>
      </c>
      <c r="L1460">
        <v>303.01889999999997</v>
      </c>
      <c r="M1460">
        <v>-0.13781109999999999</v>
      </c>
      <c r="N1460">
        <v>0</v>
      </c>
      <c r="O1460">
        <v>-0.99033709999999997</v>
      </c>
      <c r="P1460">
        <v>-0.27069650000000001</v>
      </c>
      <c r="Q1460">
        <v>-1.9015689999999998E-2</v>
      </c>
      <c r="R1460">
        <v>-0.96247729999999998</v>
      </c>
      <c r="S1460">
        <v>-1.3815770000000001</v>
      </c>
      <c r="T1460">
        <v>-0.38378299999999999</v>
      </c>
      <c r="U1460">
        <v>-2.7210079999999999</v>
      </c>
      <c r="V1460">
        <v>0.13544779999999901</v>
      </c>
      <c r="W1460">
        <v>-3.9656020000000004E-3</v>
      </c>
      <c r="X1460">
        <v>0.99077649999999995</v>
      </c>
      <c r="Y1460">
        <v>0.32187399999999999</v>
      </c>
      <c r="Z1460">
        <v>0.12645410000000001</v>
      </c>
      <c r="AA1460">
        <v>0.93829980000000002</v>
      </c>
      <c r="AB1460">
        <v>13</v>
      </c>
      <c r="AC1460">
        <v>-3.9740999999999902</v>
      </c>
      <c r="AD1460">
        <v>-1.1096680670015</v>
      </c>
      <c r="AE1460">
        <v>-7.73759999999998</v>
      </c>
      <c r="AF1460">
        <v>2.82376242041979</v>
      </c>
      <c r="AG1460">
        <v>-1.1096680670015</v>
      </c>
      <c r="AH1460">
        <v>8.0800002162024001</v>
      </c>
      <c r="AI1460">
        <v>97.3869722909063</v>
      </c>
      <c r="AJ1460">
        <v>70.736728290518698</v>
      </c>
      <c r="AK1460">
        <v>8.6308401050957197</v>
      </c>
      <c r="AL1460">
        <v>90.227212864094696</v>
      </c>
      <c r="AM1460">
        <v>82.215423258255498</v>
      </c>
      <c r="AN1460">
        <v>0.99999995273815501</v>
      </c>
    </row>
    <row r="1461" spans="1:40" x14ac:dyDescent="0.25">
      <c r="A1461" t="str">
        <f>"20190312154241526"</f>
        <v>20190312154241526</v>
      </c>
      <c r="B1461" t="str">
        <f>"1552376561519104"</f>
        <v>1552376561519104</v>
      </c>
      <c r="C1461" t="s">
        <v>40</v>
      </c>
      <c r="D1461">
        <v>5.146236</v>
      </c>
      <c r="E1461">
        <v>0.57547510000000002</v>
      </c>
      <c r="F1461" t="s">
        <v>49</v>
      </c>
      <c r="G1461">
        <v>-196.8409</v>
      </c>
      <c r="H1461" s="1">
        <v>1.029154E-6</v>
      </c>
      <c r="I1461">
        <v>294.97800000000001</v>
      </c>
      <c r="J1461">
        <v>-192.7646</v>
      </c>
      <c r="K1461">
        <v>1.1096820000000001</v>
      </c>
      <c r="L1461">
        <v>302.88099999999997</v>
      </c>
      <c r="M1461">
        <v>-0.14039109999999999</v>
      </c>
      <c r="N1461">
        <v>0</v>
      </c>
      <c r="O1461">
        <v>-0.98997900000000005</v>
      </c>
      <c r="P1461">
        <v>-0.27186979999999999</v>
      </c>
      <c r="Q1461">
        <v>-1.7329069999999999E-2</v>
      </c>
      <c r="R1461">
        <v>-0.96217810000000004</v>
      </c>
      <c r="S1461">
        <v>-1.3862760000000001</v>
      </c>
      <c r="T1461">
        <v>-0.37532969999999999</v>
      </c>
      <c r="U1461">
        <v>-2.7196959999999999</v>
      </c>
      <c r="V1461">
        <v>0.1340739</v>
      </c>
      <c r="W1461">
        <v>-2.551995E-3</v>
      </c>
      <c r="X1461">
        <v>0.99096799999999996</v>
      </c>
      <c r="Y1461">
        <v>0.32103999999999999</v>
      </c>
      <c r="Z1461">
        <v>0.123672</v>
      </c>
      <c r="AA1461">
        <v>0.93895609999999996</v>
      </c>
      <c r="AB1461">
        <v>13</v>
      </c>
      <c r="AC1461">
        <v>-4.0762999999999998</v>
      </c>
      <c r="AD1461">
        <v>-1.109680970846</v>
      </c>
      <c r="AE1461">
        <v>-7.9029999999999596</v>
      </c>
      <c r="AF1461">
        <v>2.8814085029782599</v>
      </c>
      <c r="AG1461">
        <v>-1.109680970846</v>
      </c>
      <c r="AH1461">
        <v>8.2682941844122002</v>
      </c>
      <c r="AI1461">
        <v>97.222820826832503</v>
      </c>
      <c r="AJ1461">
        <v>70.787122683122703</v>
      </c>
      <c r="AK1461">
        <v>8.8260181020705897</v>
      </c>
      <c r="AL1461">
        <v>90.146218708835704</v>
      </c>
      <c r="AM1461">
        <v>82.294902937495195</v>
      </c>
      <c r="AN1461">
        <v>0.99999995018184296</v>
      </c>
    </row>
    <row r="1462" spans="1:40" x14ac:dyDescent="0.25">
      <c r="A1462" t="str">
        <f>"20190312154241550"</f>
        <v>20190312154241550</v>
      </c>
      <c r="B1462" t="str">
        <f>"1552376561538623"</f>
        <v>1552376561538623</v>
      </c>
      <c r="C1462" t="s">
        <v>40</v>
      </c>
      <c r="D1462">
        <v>5.136647</v>
      </c>
      <c r="E1462">
        <v>0.57551759999999996</v>
      </c>
      <c r="F1462" t="s">
        <v>49</v>
      </c>
      <c r="G1462">
        <v>-196.92590000000001</v>
      </c>
      <c r="H1462" s="1">
        <v>1.104103E-6</v>
      </c>
      <c r="I1462">
        <v>294.74470000000002</v>
      </c>
      <c r="J1462">
        <v>-192.7868</v>
      </c>
      <c r="K1462">
        <v>1.109707</v>
      </c>
      <c r="L1462">
        <v>302.74680000000001</v>
      </c>
      <c r="M1462">
        <v>-0.14293239999999999</v>
      </c>
      <c r="N1462">
        <v>0</v>
      </c>
      <c r="O1462">
        <v>-0.98961880000000002</v>
      </c>
      <c r="P1462">
        <v>-0.27265159999999899</v>
      </c>
      <c r="Q1462">
        <v>-1.6502920000000001E-2</v>
      </c>
      <c r="R1462">
        <v>-0.96197160000000004</v>
      </c>
      <c r="S1462">
        <v>-1.3903049999999999</v>
      </c>
      <c r="T1462">
        <v>-0.37075530000000001</v>
      </c>
      <c r="U1462">
        <v>-2.7184140000000001</v>
      </c>
      <c r="V1462">
        <v>0.1323348</v>
      </c>
      <c r="W1462">
        <v>-1.939112E-3</v>
      </c>
      <c r="X1462">
        <v>0.99120319999999995</v>
      </c>
      <c r="Y1462">
        <v>0.31997910000000002</v>
      </c>
      <c r="Z1462">
        <v>0.1221563</v>
      </c>
      <c r="AA1462">
        <v>0.93951649999999998</v>
      </c>
      <c r="AB1462">
        <v>13</v>
      </c>
      <c r="AC1462">
        <v>-4.1391000000000098</v>
      </c>
      <c r="AD1462">
        <v>-1.1097058958970001</v>
      </c>
      <c r="AE1462">
        <v>-8.0020999999999791</v>
      </c>
      <c r="AF1462">
        <v>2.90857504173943</v>
      </c>
      <c r="AG1462">
        <v>-1.1097058958970001</v>
      </c>
      <c r="AH1462">
        <v>8.3843895374265003</v>
      </c>
      <c r="AI1462">
        <v>97.127470249401199</v>
      </c>
      <c r="AJ1462">
        <v>70.868154919578799</v>
      </c>
      <c r="AK1462">
        <v>8.9436706035120199</v>
      </c>
      <c r="AL1462">
        <v>90.111103000834305</v>
      </c>
      <c r="AM1462">
        <v>82.395453397675894</v>
      </c>
      <c r="AN1462">
        <v>1.00000002156831</v>
      </c>
    </row>
    <row r="1463" spans="1:40" x14ac:dyDescent="0.25">
      <c r="A1463" t="str">
        <f>"20190312154241571"</f>
        <v>20190312154241571</v>
      </c>
      <c r="B1463" t="str">
        <f>"1552376561559119"</f>
        <v>1552376561559119</v>
      </c>
      <c r="C1463" t="s">
        <v>40</v>
      </c>
      <c r="D1463">
        <v>5.1457309999999996</v>
      </c>
      <c r="E1463">
        <v>0.57594309999999904</v>
      </c>
      <c r="F1463" t="s">
        <v>49</v>
      </c>
      <c r="G1463">
        <v>-196.9742</v>
      </c>
      <c r="H1463" s="1">
        <v>1.151827E-6</v>
      </c>
      <c r="I1463">
        <v>294.57870000000003</v>
      </c>
      <c r="J1463">
        <v>-192.8082</v>
      </c>
      <c r="K1463">
        <v>1.109726</v>
      </c>
      <c r="L1463">
        <v>302.6189</v>
      </c>
      <c r="M1463">
        <v>-0.1453826</v>
      </c>
      <c r="N1463">
        <v>0</v>
      </c>
      <c r="O1463">
        <v>-0.98926420000000004</v>
      </c>
      <c r="P1463">
        <v>-0.27414519999999998</v>
      </c>
      <c r="Q1463">
        <v>-1.537733E-2</v>
      </c>
      <c r="R1463">
        <v>-0.96156560000000002</v>
      </c>
      <c r="S1463">
        <v>-1.393097</v>
      </c>
      <c r="T1463">
        <v>-0.36918570000000001</v>
      </c>
      <c r="U1463">
        <v>-2.717438</v>
      </c>
      <c r="V1463">
        <v>0.1314197</v>
      </c>
      <c r="W1463">
        <v>-9.8624850000000007E-4</v>
      </c>
      <c r="X1463">
        <v>0.99132629999999999</v>
      </c>
      <c r="Y1463">
        <v>0.31856649999999997</v>
      </c>
      <c r="Z1463">
        <v>0.1216231</v>
      </c>
      <c r="AA1463">
        <v>0.94006559999999995</v>
      </c>
      <c r="AB1463">
        <v>13</v>
      </c>
      <c r="AC1463">
        <v>-4.1659999999999897</v>
      </c>
      <c r="AD1463">
        <v>-1.109724848173</v>
      </c>
      <c r="AE1463">
        <v>-8.0401999999999703</v>
      </c>
      <c r="AF1463">
        <v>2.9090069113600898</v>
      </c>
      <c r="AG1463">
        <v>-1.109724848173</v>
      </c>
      <c r="AH1463">
        <v>8.4338286492422192</v>
      </c>
      <c r="AI1463">
        <v>97.090531798556697</v>
      </c>
      <c r="AJ1463">
        <v>70.969596700752902</v>
      </c>
      <c r="AK1463">
        <v>8.9901766464164794</v>
      </c>
      <c r="AL1463">
        <v>90.056507887363594</v>
      </c>
      <c r="AM1463">
        <v>82.448357042281899</v>
      </c>
      <c r="AN1463">
        <v>0.99999997165294097</v>
      </c>
    </row>
    <row r="1464" spans="1:40" x14ac:dyDescent="0.25">
      <c r="A1464" t="str">
        <f>"20190312154241591"</f>
        <v>20190312154241591</v>
      </c>
      <c r="B1464" t="str">
        <f>"1552376561588399"</f>
        <v>1552376561588399</v>
      </c>
      <c r="C1464" t="s">
        <v>40</v>
      </c>
      <c r="D1464">
        <v>5.1222260000000004</v>
      </c>
      <c r="E1464">
        <v>0.57608079999999995</v>
      </c>
      <c r="F1464" t="s">
        <v>49</v>
      </c>
      <c r="G1464">
        <v>-197.06290000000001</v>
      </c>
      <c r="H1464" s="1">
        <v>1.1798459999999999E-6</v>
      </c>
      <c r="I1464">
        <v>294.37490000000003</v>
      </c>
      <c r="J1464">
        <v>-192.82839999999999</v>
      </c>
      <c r="K1464">
        <v>1.1097399999999999</v>
      </c>
      <c r="L1464">
        <v>302.50049999999999</v>
      </c>
      <c r="M1464">
        <v>-0.1476761</v>
      </c>
      <c r="N1464">
        <v>0</v>
      </c>
      <c r="O1464">
        <v>-0.98892690000000005</v>
      </c>
      <c r="P1464">
        <v>-0.27527839999999998</v>
      </c>
      <c r="Q1464">
        <v>-1.4590290000000001E-2</v>
      </c>
      <c r="R1464">
        <v>-0.96125380000000005</v>
      </c>
      <c r="S1464">
        <v>-1.4010469999999999</v>
      </c>
      <c r="T1464">
        <v>-0.3654249</v>
      </c>
      <c r="U1464">
        <v>-2.7146910000000002</v>
      </c>
      <c r="V1464">
        <v>0.13028969999999901</v>
      </c>
      <c r="W1464">
        <v>-3.4046089999999998E-4</v>
      </c>
      <c r="X1464">
        <v>0.99147589999999997</v>
      </c>
      <c r="Y1464">
        <v>0.31900390000000001</v>
      </c>
      <c r="Z1464">
        <v>0.12036380000000001</v>
      </c>
      <c r="AA1464">
        <v>0.94007929999999995</v>
      </c>
      <c r="AB1464">
        <v>13</v>
      </c>
      <c r="AC1464">
        <v>-4.2345000000000201</v>
      </c>
      <c r="AD1464">
        <v>-1.1097388201539999</v>
      </c>
      <c r="AE1464">
        <v>-8.1255999999999595</v>
      </c>
      <c r="AF1464">
        <v>2.9447800689746302</v>
      </c>
      <c r="AG1464">
        <v>-1.1097388201539999</v>
      </c>
      <c r="AH1464">
        <v>8.5366708128361797</v>
      </c>
      <c r="AI1464">
        <v>97.005977438509703</v>
      </c>
      <c r="AJ1464">
        <v>70.967793038708095</v>
      </c>
      <c r="AK1464">
        <v>9.0982415042862108</v>
      </c>
      <c r="AL1464">
        <v>90.019506973210397</v>
      </c>
      <c r="AM1464">
        <v>82.513666210427502</v>
      </c>
      <c r="AN1464">
        <v>0.99999999106026205</v>
      </c>
    </row>
    <row r="1465" spans="1:40" x14ac:dyDescent="0.25">
      <c r="A1465" t="str">
        <f>"20190312154241614"</f>
        <v>20190312154241614</v>
      </c>
      <c r="B1465" t="str">
        <f>"1552376561608895"</f>
        <v>1552376561608895</v>
      </c>
      <c r="C1465" t="s">
        <v>40</v>
      </c>
      <c r="D1465">
        <v>5.1337010000000003</v>
      </c>
      <c r="E1465">
        <v>0.57612350000000001</v>
      </c>
      <c r="F1465" t="s">
        <v>49</v>
      </c>
      <c r="G1465">
        <v>-197.10429999999999</v>
      </c>
      <c r="H1465" s="1">
        <v>1.1985390000000001E-6</v>
      </c>
      <c r="I1465">
        <v>294.24790000000002</v>
      </c>
      <c r="J1465">
        <v>-192.8519</v>
      </c>
      <c r="K1465">
        <v>1.1097429999999999</v>
      </c>
      <c r="L1465">
        <v>302.36500000000001</v>
      </c>
      <c r="M1465">
        <v>-0.15033540000000001</v>
      </c>
      <c r="N1465">
        <v>0</v>
      </c>
      <c r="O1465">
        <v>-0.98852839999999997</v>
      </c>
      <c r="P1465">
        <v>-0.27720879999999998</v>
      </c>
      <c r="Q1465">
        <v>-1.323003E-2</v>
      </c>
      <c r="R1465">
        <v>-0.96071879999999998</v>
      </c>
      <c r="S1465">
        <v>-1.4056090000000001</v>
      </c>
      <c r="T1465">
        <v>-0.36480430000000003</v>
      </c>
      <c r="U1465">
        <v>-2.71286</v>
      </c>
      <c r="V1465">
        <v>0.1296148</v>
      </c>
      <c r="W1465">
        <v>8.7196039999999902E-4</v>
      </c>
      <c r="X1465">
        <v>0.991564</v>
      </c>
      <c r="Y1465">
        <v>0.31797530000000002</v>
      </c>
      <c r="Z1465">
        <v>0.1201387</v>
      </c>
      <c r="AA1465">
        <v>0.94045650000000003</v>
      </c>
      <c r="AB1465">
        <v>13</v>
      </c>
      <c r="AC1465">
        <v>-4.25239999999999</v>
      </c>
      <c r="AD1465">
        <v>-1.1097418014610001</v>
      </c>
      <c r="AE1465">
        <v>-8.11709999999999</v>
      </c>
      <c r="AF1465">
        <v>2.9405189509796399</v>
      </c>
      <c r="AG1465">
        <v>-1.1097418014610001</v>
      </c>
      <c r="AH1465">
        <v>8.5389494559871792</v>
      </c>
      <c r="AI1465">
        <v>97.005407900003902</v>
      </c>
      <c r="AJ1465">
        <v>70.998063248226401</v>
      </c>
      <c r="AK1465">
        <v>9.09900194410816</v>
      </c>
      <c r="AL1465">
        <v>89.950040340917894</v>
      </c>
      <c r="AM1465">
        <v>82.552663207114804</v>
      </c>
      <c r="AN1465">
        <v>0.99999996139498804</v>
      </c>
    </row>
    <row r="1466" spans="1:40" x14ac:dyDescent="0.25">
      <c r="A1466" t="str">
        <f>"20190312154241637"</f>
        <v>20190312154241637</v>
      </c>
      <c r="B1466" t="str">
        <f>"1552376561628415"</f>
        <v>1552376561628415</v>
      </c>
      <c r="C1466" t="s">
        <v>40</v>
      </c>
      <c r="D1466">
        <v>5.1185869999999998</v>
      </c>
      <c r="E1466">
        <v>0.57648889999999997</v>
      </c>
      <c r="F1466" t="s">
        <v>49</v>
      </c>
      <c r="G1466">
        <v>-197.1884</v>
      </c>
      <c r="H1466" s="1">
        <v>1.2277849999999999E-6</v>
      </c>
      <c r="I1466">
        <v>294.03949999999998</v>
      </c>
      <c r="J1466">
        <v>-192.8742</v>
      </c>
      <c r="K1466">
        <v>1.1097429999999999</v>
      </c>
      <c r="L1466">
        <v>302.238</v>
      </c>
      <c r="M1466">
        <v>-0.15286340000000001</v>
      </c>
      <c r="N1466">
        <v>0</v>
      </c>
      <c r="O1466">
        <v>-0.98814239999999998</v>
      </c>
      <c r="P1466">
        <v>-0.2790164</v>
      </c>
      <c r="Q1466">
        <v>-1.187643E-2</v>
      </c>
      <c r="R1466">
        <v>-0.96021319999999999</v>
      </c>
      <c r="S1466">
        <v>-1.411743</v>
      </c>
      <c r="T1466">
        <v>-0.36127359999999997</v>
      </c>
      <c r="U1466">
        <v>-2.7103579999999998</v>
      </c>
      <c r="V1466">
        <v>0.12894529999999901</v>
      </c>
      <c r="W1466">
        <v>2.1036290000000001E-3</v>
      </c>
      <c r="X1466">
        <v>0.99164940000000001</v>
      </c>
      <c r="Y1466">
        <v>0.31764829999999999</v>
      </c>
      <c r="Z1466">
        <v>0.11896859999999999</v>
      </c>
      <c r="AA1466">
        <v>0.94071570000000004</v>
      </c>
      <c r="AB1466">
        <v>13</v>
      </c>
      <c r="AC1466">
        <v>-4.3141999999999996</v>
      </c>
      <c r="AD1466">
        <v>-1.109741772215</v>
      </c>
      <c r="AE1466">
        <v>-8.1985000000000205</v>
      </c>
      <c r="AF1466">
        <v>2.9675249982468199</v>
      </c>
      <c r="AG1466">
        <v>-1.109741772215</v>
      </c>
      <c r="AH1466">
        <v>8.6377359421083</v>
      </c>
      <c r="AI1466">
        <v>96.927785065732493</v>
      </c>
      <c r="AJ1466">
        <v>71.039658184290104</v>
      </c>
      <c r="AK1466">
        <v>9.2004463816604094</v>
      </c>
      <c r="AL1466">
        <v>89.879470838592994</v>
      </c>
      <c r="AM1466">
        <v>82.591333451116796</v>
      </c>
      <c r="AN1466">
        <v>0.99999992408370697</v>
      </c>
    </row>
    <row r="1467" spans="1:40" x14ac:dyDescent="0.25">
      <c r="A1467" t="str">
        <f>"20190312154241660"</f>
        <v>20190312154241660</v>
      </c>
      <c r="B1467" t="str">
        <f>"1552376561648915"</f>
        <v>1552376561648915</v>
      </c>
      <c r="C1467" t="s">
        <v>40</v>
      </c>
      <c r="D1467">
        <v>5.0981680000000003</v>
      </c>
      <c r="E1467">
        <v>0.57664589999999905</v>
      </c>
      <c r="F1467" t="s">
        <v>49</v>
      </c>
      <c r="G1467">
        <v>-197.26329999999999</v>
      </c>
      <c r="H1467" s="1">
        <v>1.2512589999999999E-6</v>
      </c>
      <c r="I1467">
        <v>293.86849999999998</v>
      </c>
      <c r="J1467">
        <v>-192.89850000000001</v>
      </c>
      <c r="K1467">
        <v>1.109734</v>
      </c>
      <c r="L1467">
        <v>302.10239999999999</v>
      </c>
      <c r="M1467">
        <v>-0.15559709999999999</v>
      </c>
      <c r="N1467">
        <v>0</v>
      </c>
      <c r="O1467">
        <v>-0.98771719999999996</v>
      </c>
      <c r="P1467">
        <v>-0.28139069999999999</v>
      </c>
      <c r="Q1467">
        <v>-1.061375E-2</v>
      </c>
      <c r="R1467">
        <v>-0.95953460000000002</v>
      </c>
      <c r="S1467">
        <v>-1.419754</v>
      </c>
      <c r="T1467">
        <v>-0.3589754</v>
      </c>
      <c r="U1467">
        <v>-2.7073360000000002</v>
      </c>
      <c r="V1467">
        <v>0.12865509999999999</v>
      </c>
      <c r="W1467">
        <v>3.2508950000000002E-3</v>
      </c>
      <c r="X1467">
        <v>0.99168409999999996</v>
      </c>
      <c r="Y1467">
        <v>0.31768610000000003</v>
      </c>
      <c r="Z1467">
        <v>0.1181855</v>
      </c>
      <c r="AA1467">
        <v>0.94080160000000002</v>
      </c>
      <c r="AB1467">
        <v>13</v>
      </c>
      <c r="AC1467">
        <v>-4.3647999999999696</v>
      </c>
      <c r="AD1467">
        <v>-1.109732748741</v>
      </c>
      <c r="AE1467">
        <v>-8.2339000000000002</v>
      </c>
      <c r="AF1467">
        <v>2.9879575742787701</v>
      </c>
      <c r="AG1467">
        <v>-1.109732748741</v>
      </c>
      <c r="AH1467">
        <v>8.6895971745120306</v>
      </c>
      <c r="AI1467">
        <v>96.886150451887502</v>
      </c>
      <c r="AJ1467">
        <v>71.024234839312101</v>
      </c>
      <c r="AK1467">
        <v>9.2557277560765403</v>
      </c>
      <c r="AL1467">
        <v>89.813737114111305</v>
      </c>
      <c r="AM1467">
        <v>82.608078329849405</v>
      </c>
      <c r="AN1467">
        <v>1.00000002863356</v>
      </c>
    </row>
    <row r="1468" spans="1:40" x14ac:dyDescent="0.25">
      <c r="A1468" t="str">
        <f>"20190312154241681"</f>
        <v>20190312154241681</v>
      </c>
      <c r="B1468" t="str">
        <f>"1552376561668431"</f>
        <v>1552376561668431</v>
      </c>
      <c r="C1468" t="s">
        <v>40</v>
      </c>
      <c r="D1468">
        <v>5.0780409999999998</v>
      </c>
      <c r="E1468">
        <v>0.57682100000000003</v>
      </c>
      <c r="F1468" t="s">
        <v>49</v>
      </c>
      <c r="G1468">
        <v>-197.3312</v>
      </c>
      <c r="H1468" s="1">
        <v>1.273715E-6</v>
      </c>
      <c r="I1468">
        <v>293.70679999999999</v>
      </c>
      <c r="J1468">
        <v>-192.92060000000001</v>
      </c>
      <c r="K1468">
        <v>1.1097239999999999</v>
      </c>
      <c r="L1468">
        <v>301.9812</v>
      </c>
      <c r="M1468">
        <v>-0.15807089999999999</v>
      </c>
      <c r="N1468">
        <v>0</v>
      </c>
      <c r="O1468">
        <v>-0.98732569999999997</v>
      </c>
      <c r="P1468">
        <v>-0.28440460000000001</v>
      </c>
      <c r="Q1468">
        <v>-1.04952E-2</v>
      </c>
      <c r="R1468">
        <v>-0.95864729999999998</v>
      </c>
      <c r="S1468">
        <v>-1.427597</v>
      </c>
      <c r="T1468">
        <v>-0.3574022</v>
      </c>
      <c r="U1468">
        <v>-2.7039179999999998</v>
      </c>
      <c r="V1468">
        <v>0.12928719999999999</v>
      </c>
      <c r="W1468">
        <v>3.2761679999999999E-3</v>
      </c>
      <c r="X1468">
        <v>0.99160179999999998</v>
      </c>
      <c r="Y1468">
        <v>0.31796819999999998</v>
      </c>
      <c r="Z1468">
        <v>0.1176551</v>
      </c>
      <c r="AA1468">
        <v>0.94077279999999996</v>
      </c>
      <c r="AB1468">
        <v>13</v>
      </c>
      <c r="AC1468">
        <v>-4.4105999999999801</v>
      </c>
      <c r="AD1468">
        <v>-1.109722726285</v>
      </c>
      <c r="AE1468">
        <v>-8.2744000000000106</v>
      </c>
      <c r="AF1468">
        <v>3.0049732408922898</v>
      </c>
      <c r="AG1468">
        <v>-1.109722726285</v>
      </c>
      <c r="AH1468">
        <v>8.7451159490289108</v>
      </c>
      <c r="AI1468">
        <v>96.843282360945693</v>
      </c>
      <c r="AJ1468">
        <v>71.036391495504503</v>
      </c>
      <c r="AK1468">
        <v>9.3133453532912593</v>
      </c>
      <c r="AL1468">
        <v>89.8122890688783</v>
      </c>
      <c r="AM1468">
        <v>82.571555786380102</v>
      </c>
      <c r="AN1468">
        <v>1.00000002156192</v>
      </c>
    </row>
    <row r="1469" spans="1:40" x14ac:dyDescent="0.25">
      <c r="A1469" t="str">
        <f>"20190312154241703"</f>
        <v>20190312154241703</v>
      </c>
      <c r="B1469" t="str">
        <f>"1552376561698688"</f>
        <v>1552376561698688</v>
      </c>
      <c r="C1469" t="s">
        <v>40</v>
      </c>
      <c r="D1469">
        <v>5.0453020000000004</v>
      </c>
      <c r="E1469">
        <v>0.57697080000000001</v>
      </c>
      <c r="F1469" t="s">
        <v>49</v>
      </c>
      <c r="G1469">
        <v>-197.3647</v>
      </c>
      <c r="H1469" s="1">
        <v>1.2829390000000001E-6</v>
      </c>
      <c r="I1469">
        <v>293.63749999999999</v>
      </c>
      <c r="J1469">
        <v>-192.94399999999999</v>
      </c>
      <c r="K1469">
        <v>1.1097109999999999</v>
      </c>
      <c r="L1469">
        <v>301.85509999999999</v>
      </c>
      <c r="M1469">
        <v>-0.16067690000000001</v>
      </c>
      <c r="N1469">
        <v>0</v>
      </c>
      <c r="O1469">
        <v>-0.98690599999999995</v>
      </c>
      <c r="P1469">
        <v>-0.28785189999999999</v>
      </c>
      <c r="Q1469">
        <v>-1.126863E-2</v>
      </c>
      <c r="R1469">
        <v>-0.95760880000000004</v>
      </c>
      <c r="S1469">
        <v>-1.4375610000000001</v>
      </c>
      <c r="T1469">
        <v>-0.35897059999999997</v>
      </c>
      <c r="U1469">
        <v>-2.6990050000000001</v>
      </c>
      <c r="V1469">
        <v>0.13023650000000001</v>
      </c>
      <c r="W1469">
        <v>2.4159569999999998E-3</v>
      </c>
      <c r="X1469">
        <v>0.99148000000000003</v>
      </c>
      <c r="Y1469">
        <v>0.31885540000000001</v>
      </c>
      <c r="Z1469">
        <v>0.1181623</v>
      </c>
      <c r="AA1469">
        <v>0.94040889999999999</v>
      </c>
      <c r="AB1469">
        <v>13</v>
      </c>
      <c r="AC1469">
        <v>-4.4206999999999796</v>
      </c>
      <c r="AD1469">
        <v>-1.109709717061</v>
      </c>
      <c r="AE1469">
        <v>-8.2175999999999991</v>
      </c>
      <c r="AF1469">
        <v>3.0003069199211798</v>
      </c>
      <c r="AG1469">
        <v>-1.109709717061</v>
      </c>
      <c r="AH1469">
        <v>8.6981645602390998</v>
      </c>
      <c r="AI1469">
        <v>96.877024057361297</v>
      </c>
      <c r="AJ1469">
        <v>70.968861272763604</v>
      </c>
      <c r="AK1469">
        <v>9.2677593833065206</v>
      </c>
      <c r="AL1469">
        <v>89.861575723898198</v>
      </c>
      <c r="AM1469">
        <v>82.516718979146603</v>
      </c>
      <c r="AN1469">
        <v>0.99999998659023703</v>
      </c>
    </row>
    <row r="1470" spans="1:40" x14ac:dyDescent="0.25">
      <c r="A1470" t="str">
        <f>"20190312154241726"</f>
        <v>20190312154241726</v>
      </c>
      <c r="B1470" t="str">
        <f>"1552376561719183"</f>
        <v>1552376561719183</v>
      </c>
      <c r="C1470" t="s">
        <v>40</v>
      </c>
      <c r="D1470">
        <v>5.0196199999999997</v>
      </c>
      <c r="E1470">
        <v>0.57705580000000001</v>
      </c>
      <c r="F1470" t="s">
        <v>49</v>
      </c>
      <c r="G1470">
        <v>-197.3646</v>
      </c>
      <c r="H1470" s="1">
        <v>1.2834770000000001E-6</v>
      </c>
      <c r="I1470">
        <v>293.6345</v>
      </c>
      <c r="J1470">
        <v>-192.96850000000001</v>
      </c>
      <c r="K1470">
        <v>1.1096969999999999</v>
      </c>
      <c r="L1470">
        <v>301.72480000000002</v>
      </c>
      <c r="M1470">
        <v>-0.1634042</v>
      </c>
      <c r="N1470">
        <v>0</v>
      </c>
      <c r="O1470">
        <v>-0.98645910000000003</v>
      </c>
      <c r="P1470">
        <v>-0.29120420000000002</v>
      </c>
      <c r="Q1470">
        <v>-1.1656049999999999E-2</v>
      </c>
      <c r="R1470">
        <v>-0.95659019999999995</v>
      </c>
      <c r="S1470">
        <v>-1.4482569999999999</v>
      </c>
      <c r="T1470">
        <v>-0.36355379999999998</v>
      </c>
      <c r="U1470">
        <v>-2.6931759999999998</v>
      </c>
      <c r="V1470">
        <v>0.13096839999999901</v>
      </c>
      <c r="W1470">
        <v>1.950565E-3</v>
      </c>
      <c r="X1470">
        <v>0.99138459999999995</v>
      </c>
      <c r="Y1470">
        <v>0.31989820000000002</v>
      </c>
      <c r="Z1470">
        <v>0.11966549999999999</v>
      </c>
      <c r="AA1470">
        <v>0.93986449999999999</v>
      </c>
      <c r="AB1470">
        <v>13</v>
      </c>
      <c r="AC1470">
        <v>-4.3960999999999899</v>
      </c>
      <c r="AD1470">
        <v>-1.1096957165229999</v>
      </c>
      <c r="AE1470">
        <v>-8.0903000000000098</v>
      </c>
      <c r="AF1470">
        <v>2.97171689846975</v>
      </c>
      <c r="AG1470">
        <v>-1.1096957165229999</v>
      </c>
      <c r="AH1470">
        <v>8.5753914251112704</v>
      </c>
      <c r="AI1470">
        <v>96.9710107749343</v>
      </c>
      <c r="AJ1470">
        <v>70.886748277725005</v>
      </c>
      <c r="AK1470">
        <v>9.1432961234880796</v>
      </c>
      <c r="AL1470">
        <v>89.888240784261995</v>
      </c>
      <c r="AM1470">
        <v>82.474429398186302</v>
      </c>
      <c r="AN1470">
        <v>0.99999997580976896</v>
      </c>
    </row>
    <row r="1471" spans="1:40" x14ac:dyDescent="0.25">
      <c r="A1471" t="str">
        <f>"20190312154241750"</f>
        <v>20190312154241750</v>
      </c>
      <c r="B1471" t="str">
        <f>"1552376561738704"</f>
        <v>1552376561738704</v>
      </c>
      <c r="C1471" t="s">
        <v>40</v>
      </c>
      <c r="D1471">
        <v>4.937297</v>
      </c>
      <c r="E1471">
        <v>0.57714699999999997</v>
      </c>
      <c r="F1471" t="s">
        <v>49</v>
      </c>
      <c r="G1471">
        <v>-197.3698</v>
      </c>
      <c r="H1471" s="1">
        <v>1.287587E-6</v>
      </c>
      <c r="I1471">
        <v>293.60860000000002</v>
      </c>
      <c r="J1471">
        <v>-192.9948</v>
      </c>
      <c r="K1471">
        <v>1.109686</v>
      </c>
      <c r="L1471">
        <v>301.58780000000002</v>
      </c>
      <c r="M1471">
        <v>-0.1663086</v>
      </c>
      <c r="N1471">
        <v>0</v>
      </c>
      <c r="O1471">
        <v>-0.98597460000000003</v>
      </c>
      <c r="P1471">
        <v>-0.29405350000000002</v>
      </c>
      <c r="Q1471">
        <v>-1.220131E-2</v>
      </c>
      <c r="R1471">
        <v>-0.95571119999999998</v>
      </c>
      <c r="S1471">
        <v>-1.4575959999999999</v>
      </c>
      <c r="T1471">
        <v>-0.36750539999999998</v>
      </c>
      <c r="U1471">
        <v>-2.687897</v>
      </c>
      <c r="V1471">
        <v>0.1310028</v>
      </c>
      <c r="W1471">
        <v>1.3378299999999999E-3</v>
      </c>
      <c r="X1471">
        <v>0.99138110000000002</v>
      </c>
      <c r="Y1471">
        <v>0.3203319</v>
      </c>
      <c r="Z1471">
        <v>0.12096079999999999</v>
      </c>
      <c r="AA1471">
        <v>0.93955089999999997</v>
      </c>
      <c r="AB1471">
        <v>13</v>
      </c>
      <c r="AC1471">
        <v>-4.375</v>
      </c>
      <c r="AD1471">
        <v>-1.109684712413</v>
      </c>
      <c r="AE1471">
        <v>-7.9791999999999899</v>
      </c>
      <c r="AF1471">
        <v>2.9431551486326302</v>
      </c>
      <c r="AG1471">
        <v>-1.109684712413</v>
      </c>
      <c r="AH1471">
        <v>8.4697792403556509</v>
      </c>
      <c r="AI1471">
        <v>97.0549411277361</v>
      </c>
      <c r="AJ1471">
        <v>70.838222811474694</v>
      </c>
      <c r="AK1471">
        <v>9.0349722063903108</v>
      </c>
      <c r="AL1471">
        <v>89.923347964767402</v>
      </c>
      <c r="AM1471">
        <v>82.472449134750605</v>
      </c>
      <c r="AN1471">
        <v>1.00000000441707</v>
      </c>
    </row>
    <row r="1472" spans="1:40" x14ac:dyDescent="0.25">
      <c r="A1472" t="str">
        <f>"20190312154241774"</f>
        <v>20190312154241774</v>
      </c>
      <c r="B1472" t="str">
        <f>"1552376561768961"</f>
        <v>1552376561768961</v>
      </c>
      <c r="C1472" t="s">
        <v>40</v>
      </c>
      <c r="D1472">
        <v>4.9941630000000004</v>
      </c>
      <c r="E1472">
        <v>0.57712140000000001</v>
      </c>
      <c r="F1472" t="s">
        <v>49</v>
      </c>
      <c r="G1472">
        <v>-197.40719999999999</v>
      </c>
      <c r="H1472" s="1">
        <v>1.300665E-6</v>
      </c>
      <c r="I1472">
        <v>293.51549999999997</v>
      </c>
      <c r="J1472">
        <v>-193.02109999999999</v>
      </c>
      <c r="K1472">
        <v>1.1096699999999999</v>
      </c>
      <c r="L1472">
        <v>301.45319999999998</v>
      </c>
      <c r="M1472">
        <v>-0.16920550000000001</v>
      </c>
      <c r="N1472">
        <v>0</v>
      </c>
      <c r="O1472">
        <v>-0.98548239999999998</v>
      </c>
      <c r="P1472">
        <v>-0.29603600000000002</v>
      </c>
      <c r="Q1472">
        <v>-1.289673E-2</v>
      </c>
      <c r="R1472">
        <v>-0.95508999999999999</v>
      </c>
      <c r="S1472">
        <v>-1.4666140000000001</v>
      </c>
      <c r="T1472">
        <v>-0.36883890000000003</v>
      </c>
      <c r="U1472">
        <v>-2.6831049999999999</v>
      </c>
      <c r="V1472">
        <v>0.13014629999999999</v>
      </c>
      <c r="W1472">
        <v>5.9062640000000005E-4</v>
      </c>
      <c r="X1472">
        <v>0.99149469999999995</v>
      </c>
      <c r="Y1472">
        <v>0.32066270000000002</v>
      </c>
      <c r="Z1472">
        <v>0.121391899999999</v>
      </c>
      <c r="AA1472">
        <v>0.93938250000000001</v>
      </c>
      <c r="AB1472">
        <v>13</v>
      </c>
      <c r="AC1472">
        <v>-4.3860999999999901</v>
      </c>
      <c r="AD1472">
        <v>-1.109668699335</v>
      </c>
      <c r="AE1472">
        <v>-7.9377000000000004</v>
      </c>
      <c r="AF1472">
        <v>2.9356583682026698</v>
      </c>
      <c r="AG1472">
        <v>-1.109668699335</v>
      </c>
      <c r="AH1472">
        <v>8.4390970537430192</v>
      </c>
      <c r="AI1472">
        <v>97.079414681759999</v>
      </c>
      <c r="AJ1472">
        <v>70.819052300491606</v>
      </c>
      <c r="AK1472">
        <v>9.0037666428876495</v>
      </c>
      <c r="AL1472">
        <v>89.966159600553993</v>
      </c>
      <c r="AM1472">
        <v>82.521952733725698</v>
      </c>
      <c r="AN1472">
        <v>1.0000000741856501</v>
      </c>
    </row>
    <row r="1473" spans="1:40" x14ac:dyDescent="0.25">
      <c r="A1473" t="str">
        <f>"20190312154241793"</f>
        <v>20190312154241793</v>
      </c>
      <c r="B1473" t="str">
        <f>"1552376561788480"</f>
        <v>1552376561788480</v>
      </c>
      <c r="C1473" t="s">
        <v>40</v>
      </c>
      <c r="D1473">
        <v>5.0184759999999997</v>
      </c>
      <c r="E1473">
        <v>0.57712790000000003</v>
      </c>
      <c r="F1473" t="s">
        <v>49</v>
      </c>
      <c r="G1473">
        <v>-197.45910000000001</v>
      </c>
      <c r="H1473" s="1">
        <v>1.320426E-6</v>
      </c>
      <c r="I1473">
        <v>293.37709999999998</v>
      </c>
      <c r="J1473">
        <v>-193.04310000000001</v>
      </c>
      <c r="K1473">
        <v>1.1096549999999901</v>
      </c>
      <c r="L1473">
        <v>301.34199999999998</v>
      </c>
      <c r="M1473">
        <v>-0.1716183</v>
      </c>
      <c r="N1473">
        <v>0</v>
      </c>
      <c r="O1473">
        <v>-0.98506579999999999</v>
      </c>
      <c r="P1473">
        <v>-0.2984889</v>
      </c>
      <c r="Q1473">
        <v>-1.411744E-2</v>
      </c>
      <c r="R1473">
        <v>-0.95430919999999997</v>
      </c>
      <c r="S1473">
        <v>-1.4725649999999999</v>
      </c>
      <c r="T1473">
        <v>-0.3681915</v>
      </c>
      <c r="U1473">
        <v>-2.6796570000000002</v>
      </c>
      <c r="V1473">
        <v>0.13026550000000001</v>
      </c>
      <c r="W1473">
        <v>-6.7084990000000004E-4</v>
      </c>
      <c r="X1473">
        <v>0.99147890000000005</v>
      </c>
      <c r="Y1473">
        <v>0.32046989999999997</v>
      </c>
      <c r="Z1473">
        <v>0.12118420000000001</v>
      </c>
      <c r="AA1473">
        <v>0.93947510000000001</v>
      </c>
      <c r="AB1473">
        <v>13</v>
      </c>
      <c r="AC1473">
        <v>-4.4159999999999897</v>
      </c>
      <c r="AD1473">
        <v>-1.10965367957399</v>
      </c>
      <c r="AE1473">
        <v>-7.9649000000000001</v>
      </c>
      <c r="AF1473">
        <v>2.9397715556116202</v>
      </c>
      <c r="AG1473">
        <v>-1.10965367957399</v>
      </c>
      <c r="AH1473">
        <v>8.4787701723227507</v>
      </c>
      <c r="AI1473">
        <v>97.0489991955791</v>
      </c>
      <c r="AJ1473">
        <v>70.877471208671196</v>
      </c>
      <c r="AK1473">
        <v>9.0422968167852797</v>
      </c>
      <c r="AL1473">
        <v>90.038436871614707</v>
      </c>
      <c r="AM1473">
        <v>82.515063344719806</v>
      </c>
      <c r="AN1473">
        <v>0.99999997983752398</v>
      </c>
    </row>
    <row r="1474" spans="1:40" x14ac:dyDescent="0.25">
      <c r="A1474" t="str">
        <f>"20190312154241815"</f>
        <v>20190312154241815</v>
      </c>
      <c r="B1474" t="str">
        <f>"1552376561808975"</f>
        <v>1552376561808975</v>
      </c>
      <c r="C1474" t="s">
        <v>40</v>
      </c>
      <c r="D1474">
        <v>5.0223259999999996</v>
      </c>
      <c r="E1474">
        <v>0.57713740000000002</v>
      </c>
      <c r="F1474" t="s">
        <v>49</v>
      </c>
      <c r="G1474">
        <v>-197.4547</v>
      </c>
      <c r="H1474" s="1">
        <v>1.32339E-6</v>
      </c>
      <c r="I1474">
        <v>293.36250000000001</v>
      </c>
      <c r="J1474">
        <v>-193.06870000000001</v>
      </c>
      <c r="K1474">
        <v>1.109645</v>
      </c>
      <c r="L1474">
        <v>301.2149</v>
      </c>
      <c r="M1474">
        <v>-0.1744078</v>
      </c>
      <c r="N1474">
        <v>0</v>
      </c>
      <c r="O1474">
        <v>-0.98457620000000001</v>
      </c>
      <c r="P1474">
        <v>-0.3015254</v>
      </c>
      <c r="Q1474">
        <v>-1.4960889999999999E-2</v>
      </c>
      <c r="R1474">
        <v>-0.95334090000000005</v>
      </c>
      <c r="S1474">
        <v>-1.4792019999999999</v>
      </c>
      <c r="T1474">
        <v>-0.37206220000000001</v>
      </c>
      <c r="U1474">
        <v>-2.6755070000000001</v>
      </c>
      <c r="V1474">
        <v>0.1306137</v>
      </c>
      <c r="W1474">
        <v>-1.556277E-3</v>
      </c>
      <c r="X1474">
        <v>0.99143210000000004</v>
      </c>
      <c r="Y1474">
        <v>0.32011529999999999</v>
      </c>
      <c r="Z1474">
        <v>0.1224502</v>
      </c>
      <c r="AA1474">
        <v>0.93943180000000004</v>
      </c>
      <c r="AB1474">
        <v>13</v>
      </c>
      <c r="AC1474">
        <v>-4.3859999999999904</v>
      </c>
      <c r="AD1474">
        <v>-1.10964367661</v>
      </c>
      <c r="AE1474">
        <v>-7.8523999999999798</v>
      </c>
      <c r="AF1474">
        <v>2.9048994726113699</v>
      </c>
      <c r="AG1474">
        <v>-1.10964367661</v>
      </c>
      <c r="AH1474">
        <v>8.3696611024618797</v>
      </c>
      <c r="AI1474">
        <v>97.139112370125403</v>
      </c>
      <c r="AJ1474">
        <v>70.859394537829104</v>
      </c>
      <c r="AK1474">
        <v>8.9286604261267399</v>
      </c>
      <c r="AL1474">
        <v>90.089168141205604</v>
      </c>
      <c r="AM1474">
        <v>82.4949336240864</v>
      </c>
      <c r="AN1474">
        <v>0.99999998476810004</v>
      </c>
    </row>
    <row r="1475" spans="1:40" x14ac:dyDescent="0.25">
      <c r="A1475" t="str">
        <f>"20190312154241838"</f>
        <v>20190312154241838</v>
      </c>
      <c r="B1475" t="str">
        <f>"1552376561828495"</f>
        <v>1552376561828495</v>
      </c>
      <c r="C1475" t="s">
        <v>40</v>
      </c>
      <c r="D1475">
        <v>4.931368</v>
      </c>
      <c r="E1475">
        <v>0.57691979999999998</v>
      </c>
      <c r="F1475" t="s">
        <v>49</v>
      </c>
      <c r="G1475">
        <v>-197.46850000000001</v>
      </c>
      <c r="H1475" s="1">
        <v>1.330222E-6</v>
      </c>
      <c r="I1475">
        <v>293.3168</v>
      </c>
      <c r="J1475">
        <v>-193.09440000000001</v>
      </c>
      <c r="K1475">
        <v>1.1096299999999999</v>
      </c>
      <c r="L1475">
        <v>301.08890000000002</v>
      </c>
      <c r="M1475">
        <v>-0.17720920000000001</v>
      </c>
      <c r="N1475">
        <v>0</v>
      </c>
      <c r="O1475">
        <v>-0.98407630000000001</v>
      </c>
      <c r="P1475">
        <v>-0.30512460000000002</v>
      </c>
      <c r="Q1475">
        <v>-1.4505580000000001E-2</v>
      </c>
      <c r="R1475">
        <v>-0.95220210000000005</v>
      </c>
      <c r="S1475">
        <v>-1.487625</v>
      </c>
      <c r="T1475">
        <v>-0.37518170000000001</v>
      </c>
      <c r="U1475">
        <v>-2.6704409999999998</v>
      </c>
      <c r="V1475">
        <v>0.13153699999999999</v>
      </c>
      <c r="W1475">
        <v>-1.141251E-3</v>
      </c>
      <c r="X1475">
        <v>0.99131060000000004</v>
      </c>
      <c r="Y1475">
        <v>0.32037769999999999</v>
      </c>
      <c r="Z1475">
        <v>0.12347470000000001</v>
      </c>
      <c r="AA1475">
        <v>0.93920820000000005</v>
      </c>
      <c r="AB1475">
        <v>13</v>
      </c>
      <c r="AC1475">
        <v>-4.3740999999999897</v>
      </c>
      <c r="AD1475">
        <v>-1.10962866977799</v>
      </c>
      <c r="AE1475">
        <v>-7.7721000000000204</v>
      </c>
      <c r="AF1475">
        <v>2.8828129364155601</v>
      </c>
      <c r="AG1475">
        <v>-1.10962866977799</v>
      </c>
      <c r="AH1475">
        <v>8.2958514280112396</v>
      </c>
      <c r="AI1475">
        <v>97.200929962176801</v>
      </c>
      <c r="AJ1475">
        <v>70.8376325125178</v>
      </c>
      <c r="AK1475">
        <v>8.8522899368917098</v>
      </c>
      <c r="AL1475">
        <v>90.065388880170104</v>
      </c>
      <c r="AM1475">
        <v>82.441576315782001</v>
      </c>
      <c r="AN1475">
        <v>0.99999999524760197</v>
      </c>
    </row>
    <row r="1476" spans="1:40" x14ac:dyDescent="0.25">
      <c r="A1476" t="str">
        <f>"20190312154241860"</f>
        <v>20190312154241860</v>
      </c>
      <c r="B1476" t="str">
        <f>"1552376561848995"</f>
        <v>1552376561848995</v>
      </c>
      <c r="C1476" t="s">
        <v>40</v>
      </c>
      <c r="D1476">
        <v>4.919772</v>
      </c>
      <c r="E1476">
        <v>0.53759080000000004</v>
      </c>
      <c r="F1476" t="s">
        <v>49</v>
      </c>
      <c r="G1476">
        <v>-197.5446</v>
      </c>
      <c r="H1476" s="1">
        <v>1.3501640000000001E-6</v>
      </c>
      <c r="I1476">
        <v>293.16520000000003</v>
      </c>
      <c r="J1476">
        <v>-193.12049999999999</v>
      </c>
      <c r="K1476">
        <v>1.1096140000000001</v>
      </c>
      <c r="L1476">
        <v>300.96359999999999</v>
      </c>
      <c r="M1476">
        <v>-0.1800408</v>
      </c>
      <c r="N1476">
        <v>0</v>
      </c>
      <c r="O1476">
        <v>-0.98356250000000001</v>
      </c>
      <c r="P1476">
        <v>-0.30931530000000002</v>
      </c>
      <c r="Q1476">
        <v>-1.478222E-2</v>
      </c>
      <c r="R1476">
        <v>-0.95084489999999999</v>
      </c>
      <c r="S1476">
        <v>-1.4968870000000001</v>
      </c>
      <c r="T1476">
        <v>-0.37324400000000002</v>
      </c>
      <c r="U1476">
        <v>-2.6652830000000001</v>
      </c>
      <c r="V1476">
        <v>0.13304939999999901</v>
      </c>
      <c r="W1476">
        <v>-1.458329E-3</v>
      </c>
      <c r="X1476">
        <v>0.9911084</v>
      </c>
      <c r="Y1476">
        <v>0.3209494</v>
      </c>
      <c r="Z1476">
        <v>0.122847</v>
      </c>
      <c r="AA1476">
        <v>0.93909540000000002</v>
      </c>
      <c r="AB1476">
        <v>13</v>
      </c>
      <c r="AC1476">
        <v>-4.4241000000000099</v>
      </c>
      <c r="AD1476">
        <v>-1.1096126498359999</v>
      </c>
      <c r="AE1476">
        <v>-7.7983999999999503</v>
      </c>
      <c r="AF1476">
        <v>2.9031632460159398</v>
      </c>
      <c r="AG1476">
        <v>-1.1096126498359999</v>
      </c>
      <c r="AH1476">
        <v>8.3398025455129599</v>
      </c>
      <c r="AI1476">
        <v>97.161934741280405</v>
      </c>
      <c r="AJ1476">
        <v>70.806515064730405</v>
      </c>
      <c r="AK1476">
        <v>8.90010694114617</v>
      </c>
      <c r="AL1476">
        <v>90.083556121022397</v>
      </c>
      <c r="AM1476">
        <v>82.354151089430403</v>
      </c>
      <c r="AN1476">
        <v>1.0000000650571901</v>
      </c>
    </row>
    <row r="1477" spans="1:40" x14ac:dyDescent="0.25">
      <c r="A1477" t="str">
        <f>"20190312154241882"</f>
        <v>20190312154241882</v>
      </c>
      <c r="B1477" t="str">
        <f>"1552376561868511"</f>
        <v>1552376561868511</v>
      </c>
      <c r="C1477" t="s">
        <v>40</v>
      </c>
      <c r="D1477">
        <v>4.9671960000000004</v>
      </c>
      <c r="E1477">
        <v>0.52231479999999997</v>
      </c>
      <c r="F1477" t="s">
        <v>41</v>
      </c>
      <c r="G1477">
        <v>-193.43270000000001</v>
      </c>
      <c r="H1477">
        <v>0.99643459999999995</v>
      </c>
      <c r="I1477">
        <v>300.25330000000002</v>
      </c>
      <c r="J1477">
        <v>-193.14670000000001</v>
      </c>
      <c r="K1477">
        <v>1.1095930000000001</v>
      </c>
      <c r="L1477">
        <v>300.83980000000003</v>
      </c>
      <c r="M1477">
        <v>-0.1828912</v>
      </c>
      <c r="N1477">
        <v>0</v>
      </c>
      <c r="O1477">
        <v>-0.98303689999999999</v>
      </c>
      <c r="P1477">
        <v>-0.31379839999999998</v>
      </c>
      <c r="Q1477">
        <v>-1.4255500000000001E-2</v>
      </c>
      <c r="R1477">
        <v>-0.94938279999999997</v>
      </c>
      <c r="S1477">
        <v>-1.2105709999999901</v>
      </c>
      <c r="T1477">
        <v>-0.4388089</v>
      </c>
      <c r="U1477">
        <v>-2.7544559999999998</v>
      </c>
      <c r="V1477">
        <v>0.13485229999999901</v>
      </c>
      <c r="W1477">
        <v>-9.7125499999999997E-4</v>
      </c>
      <c r="X1477">
        <v>0.9908652</v>
      </c>
      <c r="Y1477">
        <v>0.2238185</v>
      </c>
      <c r="Z1477">
        <v>0.14491809999999999</v>
      </c>
      <c r="AA1477">
        <v>0.96379669999999895</v>
      </c>
      <c r="AB1477">
        <v>13</v>
      </c>
      <c r="AC1477">
        <v>-0.28600000000000098</v>
      </c>
      <c r="AD1477">
        <v>-0.11315840000000001</v>
      </c>
      <c r="AE1477">
        <v>-0.58650000000000002</v>
      </c>
      <c r="AF1477">
        <v>0.16882217606924499</v>
      </c>
      <c r="AG1477">
        <v>-0.11315840000000001</v>
      </c>
      <c r="AH1477">
        <v>0.61055573515981898</v>
      </c>
      <c r="AI1477">
        <v>100.12813066987199</v>
      </c>
      <c r="AJ1477">
        <v>74.543571834838602</v>
      </c>
      <c r="AK1477">
        <v>0.64349363350375299</v>
      </c>
      <c r="AL1477">
        <v>90.0556488230078</v>
      </c>
      <c r="AM1477">
        <v>82.249916848980803</v>
      </c>
      <c r="AN1477">
        <v>0.99999996536130198</v>
      </c>
    </row>
    <row r="1478" spans="1:40" x14ac:dyDescent="0.25">
      <c r="A1478" t="str">
        <f>"20190312154241906"</f>
        <v>20190312154241906</v>
      </c>
      <c r="B1478" t="str">
        <f>"1552376561898768"</f>
        <v>1552376561898768</v>
      </c>
      <c r="C1478" t="s">
        <v>40</v>
      </c>
      <c r="D1478">
        <v>4.9693040000000002</v>
      </c>
      <c r="E1478">
        <v>0.5128781</v>
      </c>
      <c r="F1478" t="s">
        <v>41</v>
      </c>
      <c r="G1478">
        <v>-193.42259999999999</v>
      </c>
      <c r="H1478">
        <v>0.97716320000000001</v>
      </c>
      <c r="I1478">
        <v>300.14600000000002</v>
      </c>
      <c r="J1478">
        <v>-193.17410000000001</v>
      </c>
      <c r="K1478">
        <v>1.109567</v>
      </c>
      <c r="L1478">
        <v>300.71190000000001</v>
      </c>
      <c r="M1478">
        <v>-0.18589729999999999</v>
      </c>
      <c r="N1478">
        <v>0</v>
      </c>
      <c r="O1478">
        <v>-0.98247320000000005</v>
      </c>
      <c r="P1478">
        <v>-0.31827080000000002</v>
      </c>
      <c r="Q1478">
        <v>-1.310851E-2</v>
      </c>
      <c r="R1478">
        <v>-0.94790940000000001</v>
      </c>
      <c r="S1478">
        <v>-1.1079559999999999</v>
      </c>
      <c r="T1478">
        <v>-0.53175760000000005</v>
      </c>
      <c r="U1478">
        <v>-2.785736</v>
      </c>
      <c r="V1478">
        <v>0.13649249999999999</v>
      </c>
      <c r="W1478">
        <v>1.3763109999999999E-4</v>
      </c>
      <c r="X1478">
        <v>0.99064110000000005</v>
      </c>
      <c r="Y1478">
        <v>0.18461250000000001</v>
      </c>
      <c r="Z1478">
        <v>0.17469589999999999</v>
      </c>
      <c r="AA1478">
        <v>0.96716060000000004</v>
      </c>
      <c r="AB1478">
        <v>13</v>
      </c>
      <c r="AC1478">
        <v>-0.24849999999997799</v>
      </c>
      <c r="AD1478">
        <v>-0.13240379999999899</v>
      </c>
      <c r="AE1478">
        <v>-0.56590000000005602</v>
      </c>
      <c r="AF1478">
        <v>0.13286106624039001</v>
      </c>
      <c r="AG1478">
        <v>-0.13240379999999899</v>
      </c>
      <c r="AH1478">
        <v>0.57580847977649197</v>
      </c>
      <c r="AI1478">
        <v>102.628951483245</v>
      </c>
      <c r="AJ1478">
        <v>77.007066147769905</v>
      </c>
      <c r="AK1478">
        <v>0.60558916317870903</v>
      </c>
      <c r="AL1478">
        <v>89.992114318856693</v>
      </c>
      <c r="AM1478">
        <v>82.155067175153604</v>
      </c>
      <c r="AN1478">
        <v>1.00000000525388</v>
      </c>
    </row>
    <row r="1479" spans="1:40" x14ac:dyDescent="0.25">
      <c r="A1479" t="str">
        <f>"20190312154241928"</f>
        <v>20190312154241928</v>
      </c>
      <c r="B1479" t="str">
        <f>"1552376561919264"</f>
        <v>1552376561919264</v>
      </c>
      <c r="C1479" t="s">
        <v>40</v>
      </c>
      <c r="D1479">
        <v>4.9767400000000004</v>
      </c>
      <c r="E1479">
        <v>0.510596099999999</v>
      </c>
      <c r="F1479" t="s">
        <v>41</v>
      </c>
      <c r="G1479">
        <v>-193.4255</v>
      </c>
      <c r="H1479">
        <v>0.95826350000000005</v>
      </c>
      <c r="I1479">
        <v>300.04059999999998</v>
      </c>
      <c r="J1479">
        <v>-193.20169999999999</v>
      </c>
      <c r="K1479">
        <v>1.1095299999999999</v>
      </c>
      <c r="L1479">
        <v>300.58580000000001</v>
      </c>
      <c r="M1479">
        <v>-0.1889294</v>
      </c>
      <c r="N1479">
        <v>0</v>
      </c>
      <c r="O1479">
        <v>-0.98189470000000001</v>
      </c>
      <c r="P1479">
        <v>-0.32248700000000002</v>
      </c>
      <c r="Q1479">
        <v>-1.2322E-2</v>
      </c>
      <c r="R1479">
        <v>-0.9464939</v>
      </c>
      <c r="S1479">
        <v>-1.0498809999999901</v>
      </c>
      <c r="T1479">
        <v>-0.63194329999999999</v>
      </c>
      <c r="U1479">
        <v>-2.8036500000000002</v>
      </c>
      <c r="V1479">
        <v>0.13784379999999999</v>
      </c>
      <c r="W1479">
        <v>8.8960329999999998E-4</v>
      </c>
      <c r="X1479">
        <v>0.99045360000000005</v>
      </c>
      <c r="Y1479">
        <v>0.15978499999999901</v>
      </c>
      <c r="Z1479">
        <v>0.2060681</v>
      </c>
      <c r="AA1479">
        <v>0.96540389999999998</v>
      </c>
      <c r="AB1479">
        <v>13</v>
      </c>
      <c r="AC1479">
        <v>-0.22380000000001099</v>
      </c>
      <c r="AD1479">
        <v>-0.151266499999999</v>
      </c>
      <c r="AE1479">
        <v>-0.545200000000022</v>
      </c>
      <c r="AF1479">
        <v>0.109538493985243</v>
      </c>
      <c r="AG1479">
        <v>-0.151266499999999</v>
      </c>
      <c r="AH1479">
        <v>0.541962163685349</v>
      </c>
      <c r="AI1479">
        <v>105.300426332562</v>
      </c>
      <c r="AJ1479">
        <v>78.573614446053796</v>
      </c>
      <c r="AK1479">
        <v>0.57323923675313004</v>
      </c>
      <c r="AL1479">
        <v>89.949029479723293</v>
      </c>
      <c r="AM1479">
        <v>82.076901602484199</v>
      </c>
      <c r="AN1479">
        <v>1.0000000191727101</v>
      </c>
    </row>
    <row r="1480" spans="1:40" x14ac:dyDescent="0.25">
      <c r="A1480" t="str">
        <f>"20190312154241952"</f>
        <v>20190312154241952</v>
      </c>
      <c r="B1480" t="str">
        <f>"1552376561938785"</f>
        <v>1552376561938785</v>
      </c>
      <c r="C1480" t="s">
        <v>40</v>
      </c>
      <c r="D1480">
        <v>4.971311</v>
      </c>
      <c r="E1480">
        <v>0.50937529999999998</v>
      </c>
      <c r="F1480" t="s">
        <v>41</v>
      </c>
      <c r="G1480">
        <v>-193.44630000000001</v>
      </c>
      <c r="H1480">
        <v>0.95568790000000003</v>
      </c>
      <c r="I1480">
        <v>299.93020000000001</v>
      </c>
      <c r="J1480">
        <v>-193.22989999999999</v>
      </c>
      <c r="K1480">
        <v>1.1094900000000001</v>
      </c>
      <c r="L1480">
        <v>300.45940000000002</v>
      </c>
      <c r="M1480">
        <v>-0.19205159999999999</v>
      </c>
      <c r="N1480">
        <v>0</v>
      </c>
      <c r="O1480">
        <v>-0.98128930000000003</v>
      </c>
      <c r="P1480">
        <v>-0.32602039999999999</v>
      </c>
      <c r="Q1480">
        <v>-1.256842E-2</v>
      </c>
      <c r="R1480">
        <v>-0.94527950000000005</v>
      </c>
      <c r="S1480">
        <v>-1.0457920000000001</v>
      </c>
      <c r="T1480">
        <v>-0.65791319999999998</v>
      </c>
      <c r="U1480">
        <v>-2.8047490000000002</v>
      </c>
      <c r="V1480">
        <v>0.13839319999999999</v>
      </c>
      <c r="W1480">
        <v>6.1446820000000003E-4</v>
      </c>
      <c r="X1480">
        <v>0.99037719999999996</v>
      </c>
      <c r="Y1480">
        <v>0.1546766</v>
      </c>
      <c r="Z1480">
        <v>0.2140098</v>
      </c>
      <c r="AA1480">
        <v>0.96450760000000002</v>
      </c>
      <c r="AB1480">
        <v>13</v>
      </c>
      <c r="AC1480">
        <v>-0.21640000000002099</v>
      </c>
      <c r="AD1480">
        <v>-0.153802099999999</v>
      </c>
      <c r="AE1480">
        <v>-0.529200000000003</v>
      </c>
      <c r="AF1480">
        <v>0.103255499906392</v>
      </c>
      <c r="AG1480">
        <v>-0.153802099999999</v>
      </c>
      <c r="AH1480">
        <v>0.52305919270087398</v>
      </c>
      <c r="AI1480">
        <v>106.09159328580201</v>
      </c>
      <c r="AJ1480">
        <v>78.832997169120105</v>
      </c>
      <c r="AK1480">
        <v>0.55489431723006399</v>
      </c>
      <c r="AL1480">
        <v>89.964793564223996</v>
      </c>
      <c r="AM1480">
        <v>82.045120389818507</v>
      </c>
      <c r="AN1480">
        <v>1.00000002682862</v>
      </c>
    </row>
    <row r="1481" spans="1:40" x14ac:dyDescent="0.25">
      <c r="A1481" t="str">
        <f>"20190312154241973"</f>
        <v>20190312154241973</v>
      </c>
      <c r="B1481" t="str">
        <f>"1552376561959280"</f>
        <v>1552376561959280</v>
      </c>
      <c r="C1481" t="s">
        <v>40</v>
      </c>
      <c r="D1481">
        <v>4.9574280000000002</v>
      </c>
      <c r="E1481">
        <v>0.50832390000000005</v>
      </c>
      <c r="F1481" t="s">
        <v>41</v>
      </c>
      <c r="G1481">
        <v>-193.50540000000001</v>
      </c>
      <c r="H1481">
        <v>0.93015789999999998</v>
      </c>
      <c r="I1481">
        <v>299.72269999999997</v>
      </c>
      <c r="J1481">
        <v>-193.25880000000001</v>
      </c>
      <c r="K1481">
        <v>1.1094580000000001</v>
      </c>
      <c r="L1481">
        <v>300.3322</v>
      </c>
      <c r="M1481">
        <v>-0.19527340000000001</v>
      </c>
      <c r="N1481">
        <v>0</v>
      </c>
      <c r="O1481">
        <v>-0.98065310000000006</v>
      </c>
      <c r="P1481">
        <v>-0.32965339999999999</v>
      </c>
      <c r="Q1481">
        <v>-1.2215800000000001E-2</v>
      </c>
      <c r="R1481">
        <v>-0.94402339999999996</v>
      </c>
      <c r="S1481">
        <v>-1.048111</v>
      </c>
      <c r="T1481">
        <v>-0.68219449999999904</v>
      </c>
      <c r="U1481">
        <v>-2.80307</v>
      </c>
      <c r="V1481">
        <v>0.1389494</v>
      </c>
      <c r="W1481">
        <v>9.4300899999999997E-4</v>
      </c>
      <c r="X1481">
        <v>0.99029900000000004</v>
      </c>
      <c r="Y1481">
        <v>0.1517289</v>
      </c>
      <c r="Z1481">
        <v>0.2214409</v>
      </c>
      <c r="AA1481">
        <v>0.96329759999999998</v>
      </c>
      <c r="AB1481">
        <v>13</v>
      </c>
      <c r="AC1481">
        <v>-0.24660000000000001</v>
      </c>
      <c r="AD1481">
        <v>-0.17930009999999999</v>
      </c>
      <c r="AE1481">
        <v>-0.60950000000002502</v>
      </c>
      <c r="AF1481">
        <v>0.114319941724345</v>
      </c>
      <c r="AG1481">
        <v>-0.17930009999999999</v>
      </c>
      <c r="AH1481">
        <v>0.60121334939406401</v>
      </c>
      <c r="AI1481">
        <v>106.329573944491</v>
      </c>
      <c r="AJ1481">
        <v>79.233809652893697</v>
      </c>
      <c r="AK1481">
        <v>0.63771080155937199</v>
      </c>
      <c r="AL1481">
        <v>89.945969554477699</v>
      </c>
      <c r="AM1481">
        <v>82.012939038655702</v>
      </c>
      <c r="AN1481">
        <v>0.99999996721366602</v>
      </c>
    </row>
    <row r="1482" spans="1:40" x14ac:dyDescent="0.25">
      <c r="A1482" t="str">
        <f>"20190312154241999"</f>
        <v>20190312154241999</v>
      </c>
      <c r="B1482" t="str">
        <f>"1552376561989536"</f>
        <v>1552376561989536</v>
      </c>
      <c r="C1482" t="s">
        <v>40</v>
      </c>
      <c r="D1482">
        <v>4.9717349999999998</v>
      </c>
      <c r="E1482">
        <v>0.50699189999999905</v>
      </c>
      <c r="F1482" t="s">
        <v>41</v>
      </c>
      <c r="G1482">
        <v>-193.5291</v>
      </c>
      <c r="H1482">
        <v>0.93130789999999997</v>
      </c>
      <c r="I1482">
        <v>299.61189999999999</v>
      </c>
      <c r="J1482">
        <v>-193.29079999999999</v>
      </c>
      <c r="K1482">
        <v>1.1094250000000001</v>
      </c>
      <c r="L1482">
        <v>300.19380000000001</v>
      </c>
      <c r="M1482">
        <v>-0.1988539</v>
      </c>
      <c r="N1482">
        <v>0</v>
      </c>
      <c r="O1482">
        <v>-0.97993359999999996</v>
      </c>
      <c r="P1482">
        <v>-0.33343060000000002</v>
      </c>
      <c r="Q1482">
        <v>-1.299895E-2</v>
      </c>
      <c r="R1482">
        <v>-0.94268540000000001</v>
      </c>
      <c r="S1482">
        <v>-1.051315</v>
      </c>
      <c r="T1482">
        <v>-0.69292559999999903</v>
      </c>
      <c r="U1482">
        <v>-2.8017880000000002</v>
      </c>
      <c r="V1482">
        <v>0.13929730000000001</v>
      </c>
      <c r="W1482">
        <v>1.385848E-4</v>
      </c>
      <c r="X1482">
        <v>0.99025059999999998</v>
      </c>
      <c r="Y1482">
        <v>0.14896860000000001</v>
      </c>
      <c r="Z1482">
        <v>0.22459870000000001</v>
      </c>
      <c r="AA1482">
        <v>0.96299729999999995</v>
      </c>
      <c r="AB1482">
        <v>13</v>
      </c>
      <c r="AC1482">
        <v>-0.238300000000009</v>
      </c>
      <c r="AD1482">
        <v>-0.1781171</v>
      </c>
      <c r="AE1482">
        <v>-0.58190000000001796</v>
      </c>
      <c r="AF1482">
        <v>0.10906495989229401</v>
      </c>
      <c r="AG1482">
        <v>-0.1781171</v>
      </c>
      <c r="AH1482">
        <v>0.57178883628580301</v>
      </c>
      <c r="AI1482">
        <v>107.01368125114099</v>
      </c>
      <c r="AJ1482">
        <v>79.200927623077703</v>
      </c>
      <c r="AK1482">
        <v>0.608739139607263</v>
      </c>
      <c r="AL1482">
        <v>89.992059675860801</v>
      </c>
      <c r="AM1482">
        <v>81.992813876049397</v>
      </c>
      <c r="AN1482">
        <v>1.0000000038966901</v>
      </c>
    </row>
    <row r="1483" spans="1:40" x14ac:dyDescent="0.25">
      <c r="A1483" t="str">
        <f>"20190312154242017"</f>
        <v>20190312154242017</v>
      </c>
      <c r="B1483" t="str">
        <f>"1552376562009057"</f>
        <v>1552376562009057</v>
      </c>
      <c r="C1483" t="s">
        <v>40</v>
      </c>
      <c r="D1483">
        <v>4.9597049999999996</v>
      </c>
      <c r="E1483">
        <v>0.50642410000000004</v>
      </c>
      <c r="F1483" t="s">
        <v>41</v>
      </c>
      <c r="G1483">
        <v>-193.5514</v>
      </c>
      <c r="H1483">
        <v>0.93428909999999998</v>
      </c>
      <c r="I1483">
        <v>299.50020000000001</v>
      </c>
      <c r="J1483">
        <v>-193.3151</v>
      </c>
      <c r="K1483">
        <v>1.1094079999999999</v>
      </c>
      <c r="L1483">
        <v>300.0908</v>
      </c>
      <c r="M1483">
        <v>-0.201572</v>
      </c>
      <c r="N1483">
        <v>0</v>
      </c>
      <c r="O1483">
        <v>-0.97937830000000003</v>
      </c>
      <c r="P1483">
        <v>-0.3364781</v>
      </c>
      <c r="Q1483">
        <v>-1.402745E-2</v>
      </c>
      <c r="R1483">
        <v>-0.94158719999999996</v>
      </c>
      <c r="S1483">
        <v>-1.051712</v>
      </c>
      <c r="T1483">
        <v>-0.70700350000000001</v>
      </c>
      <c r="U1483">
        <v>-2.8006289999999998</v>
      </c>
      <c r="V1483">
        <v>0.13975279999999901</v>
      </c>
      <c r="W1483">
        <v>-9.0396080000000004E-4</v>
      </c>
      <c r="X1483">
        <v>0.99018600000000001</v>
      </c>
      <c r="Y1483">
        <v>0.14611879999999999</v>
      </c>
      <c r="Z1483">
        <v>0.2288529</v>
      </c>
      <c r="AA1483">
        <v>0.96243210000000001</v>
      </c>
      <c r="AB1483">
        <v>13</v>
      </c>
      <c r="AC1483">
        <v>-0.23629999999999901</v>
      </c>
      <c r="AD1483">
        <v>-0.17511889999999899</v>
      </c>
      <c r="AE1483">
        <v>-0.59059999999999402</v>
      </c>
      <c r="AF1483">
        <v>0.10447165049160401</v>
      </c>
      <c r="AG1483">
        <v>-0.17511889999999899</v>
      </c>
      <c r="AH1483">
        <v>0.58200293976738304</v>
      </c>
      <c r="AI1483">
        <v>106.49700176751401</v>
      </c>
      <c r="AJ1483">
        <v>79.823575065238799</v>
      </c>
      <c r="AK1483">
        <v>0.61669147617874998</v>
      </c>
      <c r="AL1483">
        <v>90.051793146338497</v>
      </c>
      <c r="AM1483">
        <v>81.966454496264703</v>
      </c>
      <c r="AN1483">
        <v>0.99999998842448301</v>
      </c>
    </row>
    <row r="1484" spans="1:40" x14ac:dyDescent="0.25">
      <c r="A1484" t="str">
        <f>"20190312154242039"</f>
        <v>20190312154242039</v>
      </c>
      <c r="B1484" t="str">
        <f>"1552376562028575"</f>
        <v>1552376562028575</v>
      </c>
      <c r="C1484" t="s">
        <v>40</v>
      </c>
      <c r="D1484">
        <v>4.97295</v>
      </c>
      <c r="E1484">
        <v>0.50635870000000005</v>
      </c>
      <c r="F1484" t="s">
        <v>41</v>
      </c>
      <c r="G1484">
        <v>-193.5789</v>
      </c>
      <c r="H1484">
        <v>0.93061890000000003</v>
      </c>
      <c r="I1484">
        <v>299.39269999999999</v>
      </c>
      <c r="J1484">
        <v>-193.3442</v>
      </c>
      <c r="K1484">
        <v>1.109389</v>
      </c>
      <c r="L1484">
        <v>299.96890000000002</v>
      </c>
      <c r="M1484">
        <v>-0.204848</v>
      </c>
      <c r="N1484">
        <v>0</v>
      </c>
      <c r="O1484">
        <v>-0.97869839999999997</v>
      </c>
      <c r="P1484">
        <v>-0.33892280000000002</v>
      </c>
      <c r="Q1484">
        <v>-1.448573E-2</v>
      </c>
      <c r="R1484">
        <v>-0.94070290000000001</v>
      </c>
      <c r="S1484">
        <v>-1.0569759999999999</v>
      </c>
      <c r="T1484">
        <v>-0.71649379999999996</v>
      </c>
      <c r="U1484">
        <v>-2.7976990000000002</v>
      </c>
      <c r="V1484">
        <v>0.13901150000000001</v>
      </c>
      <c r="W1484">
        <v>-1.3714300000000001E-3</v>
      </c>
      <c r="X1484">
        <v>0.9902898</v>
      </c>
      <c r="Y1484">
        <v>0.144482</v>
      </c>
      <c r="Z1484">
        <v>0.23169129999999999</v>
      </c>
      <c r="AA1484">
        <v>0.96199999999999997</v>
      </c>
      <c r="AB1484">
        <v>13</v>
      </c>
      <c r="AC1484">
        <v>-0.23470000000000299</v>
      </c>
      <c r="AD1484">
        <v>-0.17877009999999899</v>
      </c>
      <c r="AE1484">
        <v>-0.57620000000002802</v>
      </c>
      <c r="AF1484">
        <v>0.103160450092283</v>
      </c>
      <c r="AG1484">
        <v>-0.17877009999999899</v>
      </c>
      <c r="AH1484">
        <v>0.565382227497918</v>
      </c>
      <c r="AI1484">
        <v>107.278715796008</v>
      </c>
      <c r="AJ1484">
        <v>79.659481505386395</v>
      </c>
      <c r="AK1484">
        <v>0.60187863418446796</v>
      </c>
      <c r="AL1484">
        <v>90.078577176867498</v>
      </c>
      <c r="AM1484">
        <v>82.009342239231003</v>
      </c>
      <c r="AN1484">
        <v>0.99999998296826698</v>
      </c>
    </row>
    <row r="1485" spans="1:40" x14ac:dyDescent="0.25">
      <c r="A1485" t="str">
        <f>"20190312154242061"</f>
        <v>20190312154242061</v>
      </c>
      <c r="B1485" t="str">
        <f>"1552376562049072"</f>
        <v>1552376562049072</v>
      </c>
      <c r="C1485" t="s">
        <v>40</v>
      </c>
      <c r="D1485">
        <v>4.9884430000000002</v>
      </c>
      <c r="E1485">
        <v>0.50612789999999996</v>
      </c>
      <c r="F1485" t="s">
        <v>41</v>
      </c>
      <c r="G1485">
        <v>-193.60550000000001</v>
      </c>
      <c r="H1485">
        <v>0.93141479999999999</v>
      </c>
      <c r="I1485">
        <v>299.2833</v>
      </c>
      <c r="J1485">
        <v>-193.37360000000001</v>
      </c>
      <c r="K1485">
        <v>1.109367</v>
      </c>
      <c r="L1485">
        <v>299.84840000000003</v>
      </c>
      <c r="M1485">
        <v>-0.2081606</v>
      </c>
      <c r="N1485">
        <v>0</v>
      </c>
      <c r="O1485">
        <v>-0.97799939999999996</v>
      </c>
      <c r="P1485">
        <v>-0.34137149999999999</v>
      </c>
      <c r="Q1485">
        <v>-1.486496E-2</v>
      </c>
      <c r="R1485">
        <v>-0.93981110000000001</v>
      </c>
      <c r="S1485">
        <v>-1.064346</v>
      </c>
      <c r="T1485">
        <v>-0.7251668</v>
      </c>
      <c r="U1485">
        <v>-2.794495</v>
      </c>
      <c r="V1485">
        <v>0.13823759999999999</v>
      </c>
      <c r="W1485">
        <v>-1.759568E-3</v>
      </c>
      <c r="X1485">
        <v>0.99039750000000004</v>
      </c>
      <c r="Y1485">
        <v>0.1434897</v>
      </c>
      <c r="Z1485">
        <v>0.23424590000000001</v>
      </c>
      <c r="AA1485">
        <v>0.96152979999999999</v>
      </c>
      <c r="AB1485">
        <v>12</v>
      </c>
      <c r="AC1485">
        <v>-0.231899999999996</v>
      </c>
      <c r="AD1485">
        <v>-0.17795219999999901</v>
      </c>
      <c r="AE1485">
        <v>-0.56510000000002902</v>
      </c>
      <c r="AF1485">
        <v>0.100635559463029</v>
      </c>
      <c r="AG1485">
        <v>-0.17795219999999901</v>
      </c>
      <c r="AH1485">
        <v>0.55397874107607803</v>
      </c>
      <c r="AI1485">
        <v>107.53930241691501</v>
      </c>
      <c r="AJ1485">
        <v>79.703948795913007</v>
      </c>
      <c r="AK1485">
        <v>0.59049720310727405</v>
      </c>
      <c r="AL1485">
        <v>90.100815875306907</v>
      </c>
      <c r="AM1485">
        <v>82.054110805118</v>
      </c>
      <c r="AN1485">
        <v>0.99999996906977695</v>
      </c>
    </row>
    <row r="1486" spans="1:40" x14ac:dyDescent="0.25">
      <c r="A1486" t="str">
        <f>"20190312154242083"</f>
        <v>20190312154242083</v>
      </c>
      <c r="B1486" t="str">
        <f>"1552376562079327"</f>
        <v>1552376562079327</v>
      </c>
      <c r="C1486" t="s">
        <v>40</v>
      </c>
      <c r="D1486">
        <v>4.989045</v>
      </c>
      <c r="E1486">
        <v>0.50574330000000001</v>
      </c>
      <c r="F1486" t="s">
        <v>41</v>
      </c>
      <c r="G1486">
        <v>-193.63210000000001</v>
      </c>
      <c r="H1486">
        <v>0.93241870000000004</v>
      </c>
      <c r="I1486">
        <v>299.17399999999998</v>
      </c>
      <c r="J1486">
        <v>-193.40350000000001</v>
      </c>
      <c r="K1486">
        <v>1.109335</v>
      </c>
      <c r="L1486">
        <v>299.7276</v>
      </c>
      <c r="M1486">
        <v>-0.21155180000000001</v>
      </c>
      <c r="N1486">
        <v>0</v>
      </c>
      <c r="O1486">
        <v>-0.97727140000000001</v>
      </c>
      <c r="P1486">
        <v>-0.344441</v>
      </c>
      <c r="Q1486">
        <v>-1.5189039999999999E-2</v>
      </c>
      <c r="R1486">
        <v>-0.93868529999999994</v>
      </c>
      <c r="S1486">
        <v>-1.0701449999999999</v>
      </c>
      <c r="T1486">
        <v>-0.73251269999999902</v>
      </c>
      <c r="U1486">
        <v>-2.7918699999999999</v>
      </c>
      <c r="V1486">
        <v>0.13803879999999999</v>
      </c>
      <c r="W1486">
        <v>-2.096124E-3</v>
      </c>
      <c r="X1486">
        <v>0.99042459999999999</v>
      </c>
      <c r="Y1486">
        <v>0.1419096</v>
      </c>
      <c r="Z1486">
        <v>0.2363672</v>
      </c>
      <c r="AA1486">
        <v>0.96124520000000002</v>
      </c>
      <c r="AB1486">
        <v>12</v>
      </c>
      <c r="AC1486">
        <v>-0.2286</v>
      </c>
      <c r="AD1486">
        <v>-0.176916299999999</v>
      </c>
      <c r="AE1486">
        <v>-0.55359999999996001</v>
      </c>
      <c r="AF1486">
        <v>9.77687257877463E-2</v>
      </c>
      <c r="AG1486">
        <v>-0.176916299999999</v>
      </c>
      <c r="AH1486">
        <v>0.54213196796764995</v>
      </c>
      <c r="AI1486">
        <v>107.804615291217</v>
      </c>
      <c r="AJ1486">
        <v>79.777092001827199</v>
      </c>
      <c r="AK1486">
        <v>0.57858894877134204</v>
      </c>
      <c r="AL1486">
        <v>90.120099146944298</v>
      </c>
      <c r="AM1486">
        <v>82.065606516968501</v>
      </c>
      <c r="AN1486">
        <v>0.999999996163211</v>
      </c>
    </row>
    <row r="1487" spans="1:40" x14ac:dyDescent="0.25">
      <c r="A1487" t="str">
        <f>"20190312154242107"</f>
        <v>20190312154242107</v>
      </c>
      <c r="B1487" t="str">
        <f>"1552376562098424"</f>
        <v>1552376562098424</v>
      </c>
      <c r="C1487" t="s">
        <v>40</v>
      </c>
      <c r="D1487">
        <v>4.9951379999999999</v>
      </c>
      <c r="E1487">
        <v>0.50559779999999999</v>
      </c>
      <c r="F1487" t="s">
        <v>41</v>
      </c>
      <c r="G1487">
        <v>-193.65940000000001</v>
      </c>
      <c r="H1487">
        <v>0.93328759999999999</v>
      </c>
      <c r="I1487">
        <v>299.0652</v>
      </c>
      <c r="J1487">
        <v>-193.43389999999999</v>
      </c>
      <c r="K1487">
        <v>1.1093029999999999</v>
      </c>
      <c r="L1487">
        <v>299.60649999999998</v>
      </c>
      <c r="M1487">
        <v>-0.2150271</v>
      </c>
      <c r="N1487">
        <v>0</v>
      </c>
      <c r="O1487">
        <v>-0.97651259999999995</v>
      </c>
      <c r="P1487">
        <v>-0.34763480000000002</v>
      </c>
      <c r="Q1487">
        <v>-1.487777E-2</v>
      </c>
      <c r="R1487">
        <v>-0.93751189999999995</v>
      </c>
      <c r="S1487">
        <v>-1.076508</v>
      </c>
      <c r="T1487">
        <v>-0.74075619999999998</v>
      </c>
      <c r="U1487">
        <v>-2.7889710000000001</v>
      </c>
      <c r="V1487">
        <v>0.13788699999999901</v>
      </c>
      <c r="W1487">
        <v>-1.797936E-3</v>
      </c>
      <c r="X1487">
        <v>0.9904463</v>
      </c>
      <c r="Y1487">
        <v>0.1404145</v>
      </c>
      <c r="Z1487">
        <v>0.23875379999999999</v>
      </c>
      <c r="AA1487">
        <v>0.96087480000000003</v>
      </c>
      <c r="AB1487">
        <v>12</v>
      </c>
      <c r="AC1487">
        <v>-0.22550000000001</v>
      </c>
      <c r="AD1487">
        <v>-0.17601539999999999</v>
      </c>
      <c r="AE1487">
        <v>-0.54129999999997802</v>
      </c>
      <c r="AF1487">
        <v>9.5238145869391694E-2</v>
      </c>
      <c r="AG1487">
        <v>-0.17601539999999999</v>
      </c>
      <c r="AH1487">
        <v>0.52942729705327196</v>
      </c>
      <c r="AI1487">
        <v>108.11869866134801</v>
      </c>
      <c r="AJ1487">
        <v>79.802186759898007</v>
      </c>
      <c r="AK1487">
        <v>0.56599027229355503</v>
      </c>
      <c r="AL1487">
        <v>90.103014203713201</v>
      </c>
      <c r="AM1487">
        <v>82.074392394320896</v>
      </c>
      <c r="AN1487">
        <v>0.99999996526327395</v>
      </c>
    </row>
    <row r="1488" spans="1:40" x14ac:dyDescent="0.25">
      <c r="A1488" t="str">
        <f>"20190312154242128"</f>
        <v>20190312154242128</v>
      </c>
      <c r="B1488" t="str">
        <f>"1552376562118921"</f>
        <v>1552376562118921</v>
      </c>
      <c r="C1488" t="s">
        <v>40</v>
      </c>
      <c r="D1488">
        <v>5.0273849999999998</v>
      </c>
      <c r="E1488">
        <v>0.50526479999999996</v>
      </c>
      <c r="F1488" t="s">
        <v>41</v>
      </c>
      <c r="G1488">
        <v>-193.68729999999999</v>
      </c>
      <c r="H1488">
        <v>0.93609679999999995</v>
      </c>
      <c r="I1488">
        <v>298.95580000000001</v>
      </c>
      <c r="J1488">
        <v>-193.46530000000001</v>
      </c>
      <c r="K1488">
        <v>1.109275</v>
      </c>
      <c r="L1488">
        <v>299.4846</v>
      </c>
      <c r="M1488">
        <v>-0.2186091</v>
      </c>
      <c r="N1488">
        <v>0</v>
      </c>
      <c r="O1488">
        <v>-0.97571719999999895</v>
      </c>
      <c r="P1488">
        <v>-0.35245500000000002</v>
      </c>
      <c r="Q1488">
        <v>-1.3419270000000001E-2</v>
      </c>
      <c r="R1488">
        <v>-0.93573320000000004</v>
      </c>
      <c r="S1488">
        <v>-1.084641</v>
      </c>
      <c r="T1488">
        <v>-0.74167819999999995</v>
      </c>
      <c r="U1488">
        <v>-2.7860109999999998</v>
      </c>
      <c r="V1488">
        <v>0.13934920000000001</v>
      </c>
      <c r="W1488">
        <v>-3.6021430000000003E-4</v>
      </c>
      <c r="X1488">
        <v>0.99024330000000005</v>
      </c>
      <c r="Y1488">
        <v>0.13954859999999999</v>
      </c>
      <c r="Z1488">
        <v>0.2388728</v>
      </c>
      <c r="AA1488">
        <v>0.96097140000000003</v>
      </c>
      <c r="AB1488">
        <v>12</v>
      </c>
      <c r="AC1488">
        <v>-0.22199999999997999</v>
      </c>
      <c r="AD1488">
        <v>-0.17317819999999901</v>
      </c>
      <c r="AE1488">
        <v>-0.52879999999998895</v>
      </c>
      <c r="AF1488">
        <v>9.25768617911156E-2</v>
      </c>
      <c r="AG1488">
        <v>-0.17317819999999901</v>
      </c>
      <c r="AH1488">
        <v>0.51736873280402396</v>
      </c>
      <c r="AI1488">
        <v>108.23680953317501</v>
      </c>
      <c r="AJ1488">
        <v>79.854982606193701</v>
      </c>
      <c r="AK1488">
        <v>0.55338193860802198</v>
      </c>
      <c r="AL1488">
        <v>90.020638758292506</v>
      </c>
      <c r="AM1488">
        <v>81.989810953999907</v>
      </c>
      <c r="AN1488">
        <v>1.00000006124493</v>
      </c>
    </row>
    <row r="1489" spans="1:40" x14ac:dyDescent="0.25">
      <c r="A1489" t="str">
        <f>"20190312154242152"</f>
        <v>20190312154242152</v>
      </c>
      <c r="B1489" t="str">
        <f>"1552376562138440"</f>
        <v>1552376562138440</v>
      </c>
      <c r="C1489" t="s">
        <v>40</v>
      </c>
      <c r="D1489">
        <v>4.998513</v>
      </c>
      <c r="E1489">
        <v>0.50509300000000001</v>
      </c>
      <c r="F1489" t="s">
        <v>41</v>
      </c>
      <c r="G1489">
        <v>-193.75360000000001</v>
      </c>
      <c r="H1489">
        <v>0.91410369999999996</v>
      </c>
      <c r="I1489">
        <v>298.75279999999998</v>
      </c>
      <c r="J1489">
        <v>-193.49780000000001</v>
      </c>
      <c r="K1489">
        <v>1.109253</v>
      </c>
      <c r="L1489">
        <v>299.3605</v>
      </c>
      <c r="M1489">
        <v>-0.22234209999999999</v>
      </c>
      <c r="N1489">
        <v>0</v>
      </c>
      <c r="O1489">
        <v>-0.97487310000000005</v>
      </c>
      <c r="P1489">
        <v>-0.35759000000000002</v>
      </c>
      <c r="Q1489">
        <v>-1.2015380000000001E-2</v>
      </c>
      <c r="R1489">
        <v>-0.93380149999999995</v>
      </c>
      <c r="S1489">
        <v>-1.0961909999999999</v>
      </c>
      <c r="T1489">
        <v>-0.74204239999999999</v>
      </c>
      <c r="U1489">
        <v>-2.7824710000000001</v>
      </c>
      <c r="V1489">
        <v>0.14099890000000001</v>
      </c>
      <c r="W1489">
        <v>1.0235939999999901E-3</v>
      </c>
      <c r="X1489">
        <v>0.99000920000000003</v>
      </c>
      <c r="Y1489">
        <v>0.13963529999999999</v>
      </c>
      <c r="Z1489">
        <v>0.23878340000000001</v>
      </c>
      <c r="AA1489">
        <v>0.96098099999999997</v>
      </c>
      <c r="AB1489">
        <v>12</v>
      </c>
      <c r="AC1489">
        <v>-0.25579999999999298</v>
      </c>
      <c r="AD1489">
        <v>-0.1951493</v>
      </c>
      <c r="AE1489">
        <v>-0.607700000000022</v>
      </c>
      <c r="AF1489">
        <v>0.105062284649605</v>
      </c>
      <c r="AG1489">
        <v>-0.1951493</v>
      </c>
      <c r="AH1489">
        <v>0.59706246784346495</v>
      </c>
      <c r="AI1489">
        <v>107.843541895705</v>
      </c>
      <c r="AJ1489">
        <v>80.020098372519001</v>
      </c>
      <c r="AK1489">
        <v>0.63687119848020601</v>
      </c>
      <c r="AL1489">
        <v>89.941352372264006</v>
      </c>
      <c r="AM1489">
        <v>81.894343138606601</v>
      </c>
      <c r="AN1489">
        <v>0.99999997681526298</v>
      </c>
    </row>
    <row r="1490" spans="1:40" x14ac:dyDescent="0.25">
      <c r="A1490" t="str">
        <f>"20190312154242174"</f>
        <v>20190312154242174</v>
      </c>
      <c r="B1490" t="str">
        <f>"1552376562168697"</f>
        <v>1552376562168697</v>
      </c>
      <c r="C1490" t="s">
        <v>40</v>
      </c>
      <c r="D1490">
        <v>5.0247080000000004</v>
      </c>
      <c r="E1490">
        <v>0.50479549999999995</v>
      </c>
      <c r="F1490" t="s">
        <v>41</v>
      </c>
      <c r="G1490">
        <v>-193.7843</v>
      </c>
      <c r="H1490">
        <v>0.91813920000000004</v>
      </c>
      <c r="I1490">
        <v>298.64429999999999</v>
      </c>
      <c r="J1490">
        <v>-193.5309</v>
      </c>
      <c r="K1490">
        <v>1.1092379999999999</v>
      </c>
      <c r="L1490">
        <v>299.23630000000003</v>
      </c>
      <c r="M1490">
        <v>-0.22614999999999999</v>
      </c>
      <c r="N1490">
        <v>0</v>
      </c>
      <c r="O1490">
        <v>-0.97399690000000005</v>
      </c>
      <c r="P1490">
        <v>-0.36280380000000001</v>
      </c>
      <c r="Q1490">
        <v>-1.2623580000000001E-2</v>
      </c>
      <c r="R1490">
        <v>-0.93178019999999995</v>
      </c>
      <c r="S1490">
        <v>-1.11084</v>
      </c>
      <c r="T1490">
        <v>-0.74105869999999996</v>
      </c>
      <c r="U1490">
        <v>-2.7778019999999999</v>
      </c>
      <c r="V1490">
        <v>0.14266319999999999</v>
      </c>
      <c r="W1490">
        <v>3.9893779999999998E-4</v>
      </c>
      <c r="X1490">
        <v>0.98977119999999996</v>
      </c>
      <c r="Y1490">
        <v>0.14073649999999999</v>
      </c>
      <c r="Z1490">
        <v>0.2382958</v>
      </c>
      <c r="AA1490">
        <v>0.96094139999999995</v>
      </c>
      <c r="AB1490">
        <v>12</v>
      </c>
      <c r="AC1490">
        <v>-0.25339999999999901</v>
      </c>
      <c r="AD1490">
        <v>-0.19109879999999899</v>
      </c>
      <c r="AE1490">
        <v>-0.59200000000004105</v>
      </c>
      <c r="AF1490">
        <v>0.103799353421771</v>
      </c>
      <c r="AG1490">
        <v>-0.19109879999999899</v>
      </c>
      <c r="AH1490">
        <v>0.58265923107170403</v>
      </c>
      <c r="AI1490">
        <v>107.894915978488</v>
      </c>
      <c r="AJ1490">
        <v>79.898862304965803</v>
      </c>
      <c r="AK1490">
        <v>0.62192028161597002</v>
      </c>
      <c r="AL1490">
        <v>89.977142546892694</v>
      </c>
      <c r="AM1490">
        <v>81.798015645474507</v>
      </c>
      <c r="AN1490">
        <v>0.99999998806752399</v>
      </c>
    </row>
    <row r="1491" spans="1:40" x14ac:dyDescent="0.25">
      <c r="A1491" t="str">
        <f>"20190312154242197"</f>
        <v>20190312154242197</v>
      </c>
      <c r="B1491" t="str">
        <f>"1552376562189222"</f>
        <v>1552376562189222</v>
      </c>
      <c r="C1491" t="s">
        <v>40</v>
      </c>
      <c r="D1491">
        <v>4.9911450000000004</v>
      </c>
      <c r="E1491">
        <v>0.50457359999999996</v>
      </c>
      <c r="F1491" t="s">
        <v>41</v>
      </c>
      <c r="G1491">
        <v>-193.81489999999999</v>
      </c>
      <c r="H1491">
        <v>0.92056640000000001</v>
      </c>
      <c r="I1491">
        <v>298.53680000000003</v>
      </c>
      <c r="J1491">
        <v>-193.5635</v>
      </c>
      <c r="K1491">
        <v>1.1092329999999999</v>
      </c>
      <c r="L1491">
        <v>299.1164</v>
      </c>
      <c r="M1491">
        <v>-0.2298896</v>
      </c>
      <c r="N1491">
        <v>0</v>
      </c>
      <c r="O1491">
        <v>-0.97312109999999996</v>
      </c>
      <c r="P1491">
        <v>-0.36728719999999998</v>
      </c>
      <c r="Q1491">
        <v>-1.326038E-2</v>
      </c>
      <c r="R1491">
        <v>-0.93001319999999998</v>
      </c>
      <c r="S1491">
        <v>-1.1249690000000001</v>
      </c>
      <c r="T1491">
        <v>-0.74738789999999999</v>
      </c>
      <c r="U1491">
        <v>-2.771515</v>
      </c>
      <c r="V1491">
        <v>0.14362800000000001</v>
      </c>
      <c r="W1491">
        <v>-2.4715609999999998E-4</v>
      </c>
      <c r="X1491">
        <v>0.9896317</v>
      </c>
      <c r="Y1491">
        <v>0.14172000000000001</v>
      </c>
      <c r="Z1491">
        <v>0.24014479999999999</v>
      </c>
      <c r="AA1491">
        <v>0.96033630000000003</v>
      </c>
      <c r="AB1491">
        <v>12</v>
      </c>
      <c r="AC1491">
        <v>-0.25139999999998902</v>
      </c>
      <c r="AD1491">
        <v>-0.18866659999999899</v>
      </c>
      <c r="AE1491">
        <v>-0.57959999999997003</v>
      </c>
      <c r="AF1491">
        <v>0.10228705310168</v>
      </c>
      <c r="AG1491">
        <v>-0.18866659999999899</v>
      </c>
      <c r="AH1491">
        <v>0.57095537533095397</v>
      </c>
      <c r="AI1491">
        <v>108.01772621252201</v>
      </c>
      <c r="AJ1491">
        <v>79.843167606975996</v>
      </c>
      <c r="AK1491">
        <v>0.60995718522458298</v>
      </c>
      <c r="AL1491">
        <v>90.014161001802094</v>
      </c>
      <c r="AM1491">
        <v>81.742161825375803</v>
      </c>
      <c r="AN1491">
        <v>0.99999998255751299</v>
      </c>
    </row>
    <row r="1492" spans="1:40" x14ac:dyDescent="0.25">
      <c r="A1492" t="str">
        <f>"20190312154242221"</f>
        <v>20190312154242221</v>
      </c>
      <c r="B1492" t="str">
        <f>"1552376562208742"</f>
        <v>1552376562208742</v>
      </c>
      <c r="C1492" t="s">
        <v>40</v>
      </c>
      <c r="D1492">
        <v>5.0193310000000002</v>
      </c>
      <c r="E1492">
        <v>0.50450379999999995</v>
      </c>
      <c r="F1492" t="s">
        <v>41</v>
      </c>
      <c r="G1492">
        <v>-193.8459</v>
      </c>
      <c r="H1492">
        <v>0.92247619999999997</v>
      </c>
      <c r="I1492">
        <v>298.42989999999998</v>
      </c>
      <c r="J1492">
        <v>-193.59880000000001</v>
      </c>
      <c r="K1492">
        <v>1.1092390000000001</v>
      </c>
      <c r="L1492">
        <v>298.98880000000003</v>
      </c>
      <c r="M1492">
        <v>-0.2339262</v>
      </c>
      <c r="N1492">
        <v>0</v>
      </c>
      <c r="O1492">
        <v>-0.97215879999999999</v>
      </c>
      <c r="P1492">
        <v>-0.37228260000000002</v>
      </c>
      <c r="Q1492">
        <v>-1.1176419999999999E-2</v>
      </c>
      <c r="R1492">
        <v>-0.92805230000000005</v>
      </c>
      <c r="S1492">
        <v>-1.1369629999999999</v>
      </c>
      <c r="T1492">
        <v>-0.75209059999999905</v>
      </c>
      <c r="U1492">
        <v>-2.766022</v>
      </c>
      <c r="V1492">
        <v>0.14484259999999999</v>
      </c>
      <c r="W1492">
        <v>1.8284950000000001E-3</v>
      </c>
      <c r="X1492">
        <v>0.98945300000000003</v>
      </c>
      <c r="Y1492">
        <v>0.14171339999999999</v>
      </c>
      <c r="Z1492">
        <v>0.24145430000000001</v>
      </c>
      <c r="AA1492">
        <v>0.96000890000000005</v>
      </c>
      <c r="AB1492">
        <v>12</v>
      </c>
      <c r="AC1492">
        <v>-0.247099999999988</v>
      </c>
      <c r="AD1492">
        <v>-0.18676280000000001</v>
      </c>
      <c r="AE1492">
        <v>-0.55890000000005102</v>
      </c>
      <c r="AF1492">
        <v>0.10013596799784</v>
      </c>
      <c r="AG1492">
        <v>-0.18676280000000001</v>
      </c>
      <c r="AH1492">
        <v>0.54984024748579297</v>
      </c>
      <c r="AI1492">
        <v>108.478125846463</v>
      </c>
      <c r="AJ1492">
        <v>79.678509479151302</v>
      </c>
      <c r="AK1492">
        <v>0.58926382317765102</v>
      </c>
      <c r="AL1492">
        <v>89.8952348932375</v>
      </c>
      <c r="AM1492">
        <v>81.671821204640295</v>
      </c>
      <c r="AN1492">
        <v>0.99999998068886198</v>
      </c>
    </row>
    <row r="1493" spans="1:40" x14ac:dyDescent="0.25">
      <c r="A1493" t="str">
        <f>"20190312154242242"</f>
        <v>20190312154242242</v>
      </c>
      <c r="B1493" t="str">
        <f>"1552376562238998"</f>
        <v>1552376562238998</v>
      </c>
      <c r="C1493" t="s">
        <v>40</v>
      </c>
      <c r="D1493">
        <v>5.1456559999999998</v>
      </c>
      <c r="E1493">
        <v>0.57137539999999998</v>
      </c>
      <c r="F1493" t="s">
        <v>41</v>
      </c>
      <c r="G1493">
        <v>-193.87719999999999</v>
      </c>
      <c r="H1493">
        <v>0.92853649999999999</v>
      </c>
      <c r="I1493">
        <v>298.32130000000001</v>
      </c>
      <c r="J1493">
        <v>-193.62979999999999</v>
      </c>
      <c r="K1493">
        <v>1.1092470000000001</v>
      </c>
      <c r="L1493">
        <v>298.8784</v>
      </c>
      <c r="M1493">
        <v>-0.23746110000000001</v>
      </c>
      <c r="N1493">
        <v>0</v>
      </c>
      <c r="O1493">
        <v>-0.97130130000000003</v>
      </c>
      <c r="P1493">
        <v>-0.37659510000000002</v>
      </c>
      <c r="Q1493">
        <v>-8.0783839999999992E-3</v>
      </c>
      <c r="R1493">
        <v>-0.92634300000000003</v>
      </c>
      <c r="S1493">
        <v>-1.151886</v>
      </c>
      <c r="T1493">
        <v>-0.74732339999999997</v>
      </c>
      <c r="U1493">
        <v>-2.7615050000000001</v>
      </c>
      <c r="V1493">
        <v>0.14584829999999999</v>
      </c>
      <c r="W1493">
        <v>4.9202890000000004E-3</v>
      </c>
      <c r="X1493">
        <v>0.98929480000000003</v>
      </c>
      <c r="Y1493">
        <v>0.14325109999999999</v>
      </c>
      <c r="Z1493">
        <v>0.2398004</v>
      </c>
      <c r="AA1493">
        <v>0.96019520000000003</v>
      </c>
      <c r="AB1493">
        <v>12</v>
      </c>
      <c r="AC1493">
        <v>-0.24739999999999801</v>
      </c>
      <c r="AD1493">
        <v>-0.180710499999999</v>
      </c>
      <c r="AE1493">
        <v>-0.55709999999999105</v>
      </c>
      <c r="AF1493">
        <v>9.9293688861253906E-2</v>
      </c>
      <c r="AG1493">
        <v>-0.180710499999999</v>
      </c>
      <c r="AH1493">
        <v>0.551449822105471</v>
      </c>
      <c r="AI1493">
        <v>107.87525040013099</v>
      </c>
      <c r="AJ1493">
        <v>79.792733297855506</v>
      </c>
      <c r="AK1493">
        <v>0.58873799585051501</v>
      </c>
      <c r="AL1493">
        <v>89.718087088158597</v>
      </c>
      <c r="AM1493">
        <v>81.613492890336602</v>
      </c>
      <c r="AN1493">
        <v>1.00000006858188</v>
      </c>
    </row>
    <row r="1494" spans="1:40" x14ac:dyDescent="0.25">
      <c r="A1494" t="str">
        <f>"20190312154242264"</f>
        <v>20190312154242264</v>
      </c>
      <c r="B1494" t="str">
        <f>"1552376562258518"</f>
        <v>1552376562258518</v>
      </c>
      <c r="C1494" t="s">
        <v>40</v>
      </c>
      <c r="D1494">
        <v>5.1319129999999999</v>
      </c>
      <c r="E1494">
        <v>0.58086169999999904</v>
      </c>
      <c r="F1494" t="s">
        <v>49</v>
      </c>
      <c r="G1494">
        <v>-197.3877</v>
      </c>
      <c r="H1494" s="1">
        <v>1.3800280000000001E-6</v>
      </c>
      <c r="I1494">
        <v>293.07470000000001</v>
      </c>
      <c r="J1494">
        <v>-193.66300000000001</v>
      </c>
      <c r="K1494">
        <v>1.1092569999999999</v>
      </c>
      <c r="L1494">
        <v>298.76170000000002</v>
      </c>
      <c r="M1494">
        <v>-0.24122730000000001</v>
      </c>
      <c r="N1494">
        <v>0</v>
      </c>
      <c r="O1494">
        <v>-0.97037289999999998</v>
      </c>
      <c r="P1494">
        <v>-0.38114769999999998</v>
      </c>
      <c r="Q1494">
        <v>-7.4799209999999996E-3</v>
      </c>
      <c r="R1494">
        <v>-0.92448439999999998</v>
      </c>
      <c r="S1494">
        <v>-1.6578219999999999</v>
      </c>
      <c r="T1494">
        <v>-0.4893479</v>
      </c>
      <c r="U1494">
        <v>-2.560333</v>
      </c>
      <c r="V1494">
        <v>0.14687800000000001</v>
      </c>
      <c r="W1494">
        <v>5.5134659999999999E-3</v>
      </c>
      <c r="X1494">
        <v>0.98913930000000005</v>
      </c>
      <c r="Y1494">
        <v>0.31781399999999999</v>
      </c>
      <c r="Z1494">
        <v>0.16006799999999999</v>
      </c>
      <c r="AA1494">
        <v>0.93454400000000004</v>
      </c>
      <c r="AB1494">
        <v>12</v>
      </c>
      <c r="AC1494">
        <v>-3.7247000000000101</v>
      </c>
      <c r="AD1494">
        <v>-1.1092556199719901</v>
      </c>
      <c r="AE1494">
        <v>-5.68700000000001</v>
      </c>
      <c r="AF1494">
        <v>2.1845351190566999</v>
      </c>
      <c r="AG1494">
        <v>-1.1092556199719901</v>
      </c>
      <c r="AH1494">
        <v>6.2511736668736502</v>
      </c>
      <c r="AI1494">
        <v>99.509527912966107</v>
      </c>
      <c r="AJ1494">
        <v>70.737521895869904</v>
      </c>
      <c r="AK1494">
        <v>6.7141502761143297</v>
      </c>
      <c r="AL1494">
        <v>89.684100083021306</v>
      </c>
      <c r="AM1494">
        <v>81.553825938470894</v>
      </c>
      <c r="AN1494">
        <v>1.00000004999791</v>
      </c>
    </row>
    <row r="1495" spans="1:40" x14ac:dyDescent="0.25">
      <c r="A1495" t="str">
        <f>"20190312154242285"</f>
        <v>20190312154242285</v>
      </c>
      <c r="B1495" t="str">
        <f>"1552376562279015"</f>
        <v>1552376562279015</v>
      </c>
      <c r="C1495" t="s">
        <v>40</v>
      </c>
      <c r="D1495">
        <v>5.1272699999999896</v>
      </c>
      <c r="E1495">
        <v>0.58368350000000002</v>
      </c>
      <c r="F1495" t="s">
        <v>49</v>
      </c>
      <c r="G1495">
        <v>-197.63</v>
      </c>
      <c r="H1495" s="1">
        <v>1.370437E-6</v>
      </c>
      <c r="I1495">
        <v>293.00709999999998</v>
      </c>
      <c r="J1495">
        <v>-193.69640000000001</v>
      </c>
      <c r="K1495">
        <v>1.1092599999999999</v>
      </c>
      <c r="L1495">
        <v>298.6465</v>
      </c>
      <c r="M1495">
        <v>-0.24496470000000001</v>
      </c>
      <c r="N1495">
        <v>0</v>
      </c>
      <c r="O1495">
        <v>-0.96943599999999996</v>
      </c>
      <c r="P1495">
        <v>-0.386349</v>
      </c>
      <c r="Q1495">
        <v>-9.2628099999999998E-3</v>
      </c>
      <c r="R1495">
        <v>-0.92230630000000002</v>
      </c>
      <c r="S1495">
        <v>-1.739822</v>
      </c>
      <c r="T1495">
        <v>-0.48649019999999998</v>
      </c>
      <c r="U1495">
        <v>-2.5238339999999999</v>
      </c>
      <c r="V1495">
        <v>0.1486355</v>
      </c>
      <c r="W1495">
        <v>3.7220080000000002E-3</v>
      </c>
      <c r="X1495">
        <v>0.98888500000000001</v>
      </c>
      <c r="Y1495">
        <v>0.3412269</v>
      </c>
      <c r="Z1495">
        <v>0.1588299</v>
      </c>
      <c r="AA1495">
        <v>0.92646490000000004</v>
      </c>
      <c r="AB1495">
        <v>12</v>
      </c>
      <c r="AC1495">
        <v>-3.9335999999999798</v>
      </c>
      <c r="AD1495">
        <v>-1.109258629563</v>
      </c>
      <c r="AE1495">
        <v>-5.6394000000000197</v>
      </c>
      <c r="AF1495">
        <v>2.3704501234049902</v>
      </c>
      <c r="AG1495">
        <v>-1.109258629563</v>
      </c>
      <c r="AH1495">
        <v>6.2680893784564704</v>
      </c>
      <c r="AI1495">
        <v>99.398824405540495</v>
      </c>
      <c r="AJ1495">
        <v>69.284511823215993</v>
      </c>
      <c r="AK1495">
        <v>6.7925277291395396</v>
      </c>
      <c r="AL1495">
        <v>89.786744148135597</v>
      </c>
      <c r="AM1495">
        <v>81.452079886250303</v>
      </c>
      <c r="AN1495">
        <v>0.99999995421440002</v>
      </c>
    </row>
    <row r="1496" spans="1:40" x14ac:dyDescent="0.25">
      <c r="A1496" t="str">
        <f>"20190312154242308"</f>
        <v>20190312154242308</v>
      </c>
      <c r="B1496" t="str">
        <f>"1552376562299232"</f>
        <v>1552376562299232</v>
      </c>
      <c r="C1496" t="s">
        <v>40</v>
      </c>
      <c r="D1496">
        <v>5.1230640000000003</v>
      </c>
      <c r="E1496">
        <v>0.58510879999999998</v>
      </c>
      <c r="F1496" t="s">
        <v>49</v>
      </c>
      <c r="G1496">
        <v>-197.73949999999999</v>
      </c>
      <c r="H1496" s="1">
        <v>1.3732259999999999E-6</v>
      </c>
      <c r="I1496">
        <v>292.93610000000001</v>
      </c>
      <c r="J1496">
        <v>-193.7302</v>
      </c>
      <c r="K1496">
        <v>1.1092740000000001</v>
      </c>
      <c r="L1496">
        <v>298.53149999999999</v>
      </c>
      <c r="M1496">
        <v>-0.24869569999999999</v>
      </c>
      <c r="N1496">
        <v>0</v>
      </c>
      <c r="O1496">
        <v>-0.9684857</v>
      </c>
      <c r="P1496">
        <v>-0.39168740000000002</v>
      </c>
      <c r="Q1496">
        <v>-1.115961E-2</v>
      </c>
      <c r="R1496">
        <v>-0.92003080000000004</v>
      </c>
      <c r="S1496">
        <v>-1.7735289999999999</v>
      </c>
      <c r="T1496">
        <v>-0.4865913</v>
      </c>
      <c r="U1496">
        <v>-2.5049130000000002</v>
      </c>
      <c r="V1496">
        <v>0.15055679999999999</v>
      </c>
      <c r="W1496">
        <v>1.8175279999999999E-3</v>
      </c>
      <c r="X1496">
        <v>0.98859969999999997</v>
      </c>
      <c r="Y1496">
        <v>0.34922609999999998</v>
      </c>
      <c r="Z1496">
        <v>0.15879989999999999</v>
      </c>
      <c r="AA1496">
        <v>0.92348459999999999</v>
      </c>
      <c r="AB1496">
        <v>12</v>
      </c>
      <c r="AC1496">
        <v>-4.0092999999999899</v>
      </c>
      <c r="AD1496">
        <v>-1.1092726267739901</v>
      </c>
      <c r="AE1496">
        <v>-5.5953999999999802</v>
      </c>
      <c r="AF1496">
        <v>2.4285622257453401</v>
      </c>
      <c r="AG1496">
        <v>-1.1092726267739901</v>
      </c>
      <c r="AH1496">
        <v>6.2543384992285596</v>
      </c>
      <c r="AI1496">
        <v>99.387994887669393</v>
      </c>
      <c r="AJ1496">
        <v>68.778788135571602</v>
      </c>
      <c r="AK1496">
        <v>6.8003786885555</v>
      </c>
      <c r="AL1496">
        <v>89.895863260174394</v>
      </c>
      <c r="AM1496">
        <v>81.340790374004101</v>
      </c>
      <c r="AN1496">
        <v>1.00000001013718</v>
      </c>
    </row>
    <row r="1497" spans="1:40" x14ac:dyDescent="0.25">
      <c r="A1497" t="str">
        <f>"20190312154242330"</f>
        <v>20190312154242330</v>
      </c>
      <c r="B1497" t="str">
        <f>"1552376562318751"</f>
        <v>1552376562318751</v>
      </c>
      <c r="C1497" t="s">
        <v>40</v>
      </c>
      <c r="D1497">
        <v>5.1656190000000004</v>
      </c>
      <c r="E1497">
        <v>0.58582129999999999</v>
      </c>
      <c r="F1497" t="s">
        <v>49</v>
      </c>
      <c r="G1497">
        <v>-197.79679999999999</v>
      </c>
      <c r="H1497" s="1">
        <v>1.3749019999999901E-6</v>
      </c>
      <c r="I1497">
        <v>292.89780000000002</v>
      </c>
      <c r="J1497">
        <v>-193.76580000000001</v>
      </c>
      <c r="K1497">
        <v>1.1092930000000001</v>
      </c>
      <c r="L1497">
        <v>298.41239999999999</v>
      </c>
      <c r="M1497">
        <v>-0.2525638</v>
      </c>
      <c r="N1497">
        <v>0</v>
      </c>
      <c r="O1497">
        <v>-0.96748420000000002</v>
      </c>
      <c r="P1497">
        <v>-0.39616079999999998</v>
      </c>
      <c r="Q1497">
        <v>-1.32905E-2</v>
      </c>
      <c r="R1497">
        <v>-0.91808509999999999</v>
      </c>
      <c r="S1497">
        <v>-1.7971189999999999</v>
      </c>
      <c r="T1497">
        <v>-0.49021769999999998</v>
      </c>
      <c r="U1497">
        <v>-2.489716</v>
      </c>
      <c r="V1497">
        <v>0.1514181</v>
      </c>
      <c r="W1497">
        <v>-3.1408139999999999E-4</v>
      </c>
      <c r="X1497">
        <v>0.98846979999999995</v>
      </c>
      <c r="Y1497">
        <v>0.35380660000000003</v>
      </c>
      <c r="Z1497">
        <v>0.15994340000000001</v>
      </c>
      <c r="AA1497">
        <v>0.92154159999999996</v>
      </c>
      <c r="AB1497">
        <v>12</v>
      </c>
      <c r="AC1497">
        <v>-4.0309999999999704</v>
      </c>
      <c r="AD1497">
        <v>-1.1092916250980001</v>
      </c>
      <c r="AE1497">
        <v>-5.5145999999999704</v>
      </c>
      <c r="AF1497">
        <v>2.44294722677432</v>
      </c>
      <c r="AG1497">
        <v>-1.1092916250980001</v>
      </c>
      <c r="AH1497">
        <v>6.1907002012303103</v>
      </c>
      <c r="AI1497">
        <v>99.462977143440696</v>
      </c>
      <c r="AJ1497">
        <v>68.465031680678905</v>
      </c>
      <c r="AK1497">
        <v>6.74709478544876</v>
      </c>
      <c r="AL1497">
        <v>90.017995538173096</v>
      </c>
      <c r="AM1497">
        <v>81.290883469915798</v>
      </c>
      <c r="AN1497">
        <v>1.0000000425833799</v>
      </c>
    </row>
    <row r="1498" spans="1:40" x14ac:dyDescent="0.25">
      <c r="A1498" t="str">
        <f>"20190312154242352"</f>
        <v>20190312154242352</v>
      </c>
      <c r="B1498" t="str">
        <f>"1552376562339248"</f>
        <v>1552376562339248</v>
      </c>
      <c r="C1498" t="s">
        <v>40</v>
      </c>
      <c r="D1498">
        <v>5.1252570000000004</v>
      </c>
      <c r="E1498">
        <v>0.58592829999999996</v>
      </c>
      <c r="F1498" t="s">
        <v>49</v>
      </c>
      <c r="G1498">
        <v>-197.8192</v>
      </c>
      <c r="H1498" s="1">
        <v>1.3770070000000001E-6</v>
      </c>
      <c r="I1498">
        <v>292.87450000000001</v>
      </c>
      <c r="J1498">
        <v>-193.80029999999999</v>
      </c>
      <c r="K1498">
        <v>1.1093150000000001</v>
      </c>
      <c r="L1498">
        <v>298.29820000000001</v>
      </c>
      <c r="M1498">
        <v>-0.2562625</v>
      </c>
      <c r="N1498">
        <v>0</v>
      </c>
      <c r="O1498">
        <v>-0.96651109999999896</v>
      </c>
      <c r="P1498">
        <v>-0.39977279999999998</v>
      </c>
      <c r="Q1498">
        <v>-1.471767E-2</v>
      </c>
      <c r="R1498">
        <v>-0.91649619999999998</v>
      </c>
      <c r="S1498">
        <v>-1.81366</v>
      </c>
      <c r="T1498">
        <v>-0.49634709999999899</v>
      </c>
      <c r="U1498">
        <v>-2.477875</v>
      </c>
      <c r="V1498">
        <v>0.15153050000000001</v>
      </c>
      <c r="W1498">
        <v>-1.7377460000000001E-3</v>
      </c>
      <c r="X1498">
        <v>0.98845110000000003</v>
      </c>
      <c r="Y1498">
        <v>0.3561473</v>
      </c>
      <c r="Z1498">
        <v>0.16189700000000001</v>
      </c>
      <c r="AA1498">
        <v>0.92029799999999995</v>
      </c>
      <c r="AB1498">
        <v>12</v>
      </c>
      <c r="AC1498">
        <v>-4.0189000000000004</v>
      </c>
      <c r="AD1498">
        <v>-1.1093136229930001</v>
      </c>
      <c r="AE1498">
        <v>-5.4236999999999904</v>
      </c>
      <c r="AF1498">
        <v>2.4290551268893301</v>
      </c>
      <c r="AG1498">
        <v>-1.1093136229930001</v>
      </c>
      <c r="AH1498">
        <v>6.1076051216784402</v>
      </c>
      <c r="AI1498">
        <v>99.579567279434798</v>
      </c>
      <c r="AJ1498">
        <v>68.311793625256897</v>
      </c>
      <c r="AK1498">
        <v>6.6658627233073098</v>
      </c>
      <c r="AL1498">
        <v>90.099565557331701</v>
      </c>
      <c r="AM1498">
        <v>81.284355435631298</v>
      </c>
      <c r="AN1498">
        <v>1.0000000446413</v>
      </c>
    </row>
    <row r="1499" spans="1:40" x14ac:dyDescent="0.25">
      <c r="A1499" t="str">
        <f>"20190312154242376"</f>
        <v>20190312154242376</v>
      </c>
      <c r="B1499" t="str">
        <f>"1552376562368527"</f>
        <v>1552376562368527</v>
      </c>
      <c r="C1499" t="s">
        <v>40</v>
      </c>
      <c r="D1499">
        <v>5.1429080000000003</v>
      </c>
      <c r="E1499">
        <v>0.58693689999999998</v>
      </c>
      <c r="F1499" t="s">
        <v>49</v>
      </c>
      <c r="G1499">
        <v>-197.8407</v>
      </c>
      <c r="H1499" s="1">
        <v>1.3834730000000001E-6</v>
      </c>
      <c r="I1499">
        <v>292.827</v>
      </c>
      <c r="J1499">
        <v>-193.83770000000001</v>
      </c>
      <c r="K1499">
        <v>1.109343</v>
      </c>
      <c r="L1499">
        <v>298.17619999999999</v>
      </c>
      <c r="M1499">
        <v>-0.26020799999999999</v>
      </c>
      <c r="N1499">
        <v>0</v>
      </c>
      <c r="O1499">
        <v>-0.96545669999999995</v>
      </c>
      <c r="P1499">
        <v>-0.4031325</v>
      </c>
      <c r="Q1499">
        <v>-1.540889E-2</v>
      </c>
      <c r="R1499">
        <v>-0.91501200000000005</v>
      </c>
      <c r="S1499">
        <v>-1.8238369999999999</v>
      </c>
      <c r="T1499">
        <v>-0.50075230000000004</v>
      </c>
      <c r="U1499">
        <v>-2.469757</v>
      </c>
      <c r="V1499">
        <v>0.15112059999999999</v>
      </c>
      <c r="W1499">
        <v>-2.4229590000000001E-3</v>
      </c>
      <c r="X1499">
        <v>0.98851239999999996</v>
      </c>
      <c r="Y1499">
        <v>0.35609780000000002</v>
      </c>
      <c r="Z1499">
        <v>0.1632749</v>
      </c>
      <c r="AA1499">
        <v>0.92007369999999999</v>
      </c>
      <c r="AB1499">
        <v>12</v>
      </c>
      <c r="AC1499">
        <v>-4.0029999999999797</v>
      </c>
      <c r="AD1499">
        <v>-1.109341616527</v>
      </c>
      <c r="AE1499">
        <v>-5.34919999999999</v>
      </c>
      <c r="AF1499">
        <v>2.4066964645898401</v>
      </c>
      <c r="AG1499">
        <v>-1.109341616527</v>
      </c>
      <c r="AH1499">
        <v>6.0400870150975603</v>
      </c>
      <c r="AI1499">
        <v>99.682444593030993</v>
      </c>
      <c r="AJ1499">
        <v>68.274995646423704</v>
      </c>
      <c r="AK1499">
        <v>6.5958682404045996</v>
      </c>
      <c r="AL1499">
        <v>90.138825455509803</v>
      </c>
      <c r="AM1499">
        <v>81.308102057994404</v>
      </c>
      <c r="AN1499">
        <v>1.00000003571421</v>
      </c>
    </row>
    <row r="1500" spans="1:40" x14ac:dyDescent="0.25">
      <c r="A1500" t="str">
        <f>"20190312154242397"</f>
        <v>20190312154242397</v>
      </c>
      <c r="B1500" t="str">
        <f>"1552376562389024"</f>
        <v>1552376562389024</v>
      </c>
      <c r="C1500" t="s">
        <v>40</v>
      </c>
      <c r="D1500">
        <v>5.1215919999999997</v>
      </c>
      <c r="E1500">
        <v>0.58723939999999997</v>
      </c>
      <c r="F1500" t="s">
        <v>49</v>
      </c>
      <c r="G1500">
        <v>-197.94309999999999</v>
      </c>
      <c r="H1500" s="1">
        <v>1.398462E-6</v>
      </c>
      <c r="I1500">
        <v>292.69029999999998</v>
      </c>
      <c r="J1500">
        <v>-193.87309999999999</v>
      </c>
      <c r="K1500">
        <v>1.109359</v>
      </c>
      <c r="L1500">
        <v>298.06240000000003</v>
      </c>
      <c r="M1500">
        <v>-0.26387840000000001</v>
      </c>
      <c r="N1500">
        <v>0</v>
      </c>
      <c r="O1500">
        <v>-0.96445999999999998</v>
      </c>
      <c r="P1500">
        <v>-0.40591369999999999</v>
      </c>
      <c r="Q1500">
        <v>-1.4761089999999999E-2</v>
      </c>
      <c r="R1500">
        <v>-0.9137923</v>
      </c>
      <c r="S1500">
        <v>-1.8404849999999999</v>
      </c>
      <c r="T1500">
        <v>-0.49733270000000002</v>
      </c>
      <c r="U1500">
        <v>-2.4594119999999999</v>
      </c>
      <c r="V1500">
        <v>0.15036659999999999</v>
      </c>
      <c r="W1500">
        <v>-1.768974E-3</v>
      </c>
      <c r="X1500">
        <v>0.98862870000000003</v>
      </c>
      <c r="Y1500">
        <v>0.35851870000000002</v>
      </c>
      <c r="Z1500">
        <v>0.16211139999999999</v>
      </c>
      <c r="AA1500">
        <v>0.91933900000000002</v>
      </c>
      <c r="AB1500">
        <v>12</v>
      </c>
      <c r="AC1500">
        <v>-4.0699999999999896</v>
      </c>
      <c r="AD1500">
        <v>-1.109357601538</v>
      </c>
      <c r="AE1500">
        <v>-5.3721000000000396</v>
      </c>
      <c r="AF1500">
        <v>2.4418466429280499</v>
      </c>
      <c r="AG1500">
        <v>-1.109357601538</v>
      </c>
      <c r="AH1500">
        <v>6.0907246935581698</v>
      </c>
      <c r="AI1500">
        <v>99.595605084181997</v>
      </c>
      <c r="AJ1500">
        <v>68.153541939674298</v>
      </c>
      <c r="AK1500">
        <v>6.6550895266997196</v>
      </c>
      <c r="AL1500">
        <v>90.101354799656804</v>
      </c>
      <c r="AM1500">
        <v>81.351813992199496</v>
      </c>
      <c r="AN1500">
        <v>0.99999997506413096</v>
      </c>
    </row>
    <row r="1501" spans="1:40" x14ac:dyDescent="0.25">
      <c r="A1501" t="str">
        <f>"20190312154242419"</f>
        <v>20190312154242419</v>
      </c>
      <c r="B1501" t="str">
        <f>"1552376562408545"</f>
        <v>1552376562408545</v>
      </c>
      <c r="C1501" t="s">
        <v>40</v>
      </c>
      <c r="D1501">
        <v>5.1480360000000003</v>
      </c>
      <c r="E1501">
        <v>0.58746679999999996</v>
      </c>
      <c r="F1501" t="s">
        <v>49</v>
      </c>
      <c r="G1501">
        <v>-198.03909999999999</v>
      </c>
      <c r="H1501" s="1">
        <v>1.4165229999999999E-6</v>
      </c>
      <c r="I1501">
        <v>292.5394</v>
      </c>
      <c r="J1501">
        <v>-193.9074</v>
      </c>
      <c r="K1501">
        <v>1.109375</v>
      </c>
      <c r="L1501">
        <v>297.95350000000002</v>
      </c>
      <c r="M1501">
        <v>-0.2673759</v>
      </c>
      <c r="N1501">
        <v>0</v>
      </c>
      <c r="O1501">
        <v>-0.96349620000000002</v>
      </c>
      <c r="P1501">
        <v>-0.40862510000000002</v>
      </c>
      <c r="Q1501">
        <v>-1.358818E-2</v>
      </c>
      <c r="R1501">
        <v>-0.91260160000000001</v>
      </c>
      <c r="S1501">
        <v>-1.8503879999999999</v>
      </c>
      <c r="T1501">
        <v>-0.49273899999999998</v>
      </c>
      <c r="U1501">
        <v>-2.453125</v>
      </c>
      <c r="V1501">
        <v>0.14971389999999901</v>
      </c>
      <c r="W1501">
        <v>-5.91954E-4</v>
      </c>
      <c r="X1501">
        <v>0.98872919999999997</v>
      </c>
      <c r="Y1501">
        <v>0.35879220000000001</v>
      </c>
      <c r="Z1501">
        <v>0.1605615</v>
      </c>
      <c r="AA1501">
        <v>0.91950430000000005</v>
      </c>
      <c r="AB1501">
        <v>12</v>
      </c>
      <c r="AC1501">
        <v>-4.1316999999999897</v>
      </c>
      <c r="AD1501">
        <v>-1.109373583477</v>
      </c>
      <c r="AE1501">
        <v>-5.4141000000000101</v>
      </c>
      <c r="AF1501">
        <v>2.4680268700712298</v>
      </c>
      <c r="AG1501">
        <v>-1.109373583477</v>
      </c>
      <c r="AH1501">
        <v>6.1583648736131504</v>
      </c>
      <c r="AI1501">
        <v>99.492764565447601</v>
      </c>
      <c r="AJ1501">
        <v>68.161057224247699</v>
      </c>
      <c r="AK1501">
        <v>6.7266131370595801</v>
      </c>
      <c r="AL1501">
        <v>90.033916467283703</v>
      </c>
      <c r="AM1501">
        <v>81.389651609228906</v>
      </c>
      <c r="AN1501">
        <v>1.0000000165976899</v>
      </c>
    </row>
    <row r="1502" spans="1:40" x14ac:dyDescent="0.25">
      <c r="A1502" t="str">
        <f>"20190312154242441"</f>
        <v>20190312154242441</v>
      </c>
      <c r="B1502" t="str">
        <f>"1552376562438801"</f>
        <v>1552376562438801</v>
      </c>
      <c r="C1502" t="s">
        <v>40</v>
      </c>
      <c r="D1502">
        <v>5.1148730000000002</v>
      </c>
      <c r="E1502">
        <v>0.5875764</v>
      </c>
      <c r="F1502" t="s">
        <v>49</v>
      </c>
      <c r="G1502">
        <v>-198.15180000000001</v>
      </c>
      <c r="H1502" s="1">
        <v>1.436809E-6</v>
      </c>
      <c r="I1502">
        <v>292.36739999999998</v>
      </c>
      <c r="J1502">
        <v>-193.9451</v>
      </c>
      <c r="K1502">
        <v>1.1093930000000001</v>
      </c>
      <c r="L1502">
        <v>297.83510000000001</v>
      </c>
      <c r="M1502">
        <v>-0.2711732</v>
      </c>
      <c r="N1502">
        <v>0</v>
      </c>
      <c r="O1502">
        <v>-0.96243449999999997</v>
      </c>
      <c r="P1502">
        <v>-0.41208719999999999</v>
      </c>
      <c r="Q1502">
        <v>-1.271719E-2</v>
      </c>
      <c r="R1502">
        <v>-0.91105579999999997</v>
      </c>
      <c r="S1502">
        <v>-1.8595729999999999</v>
      </c>
      <c r="T1502">
        <v>-0.48604199999999997</v>
      </c>
      <c r="U1502">
        <v>-2.4473880000000001</v>
      </c>
      <c r="V1502">
        <v>0.14956839999999999</v>
      </c>
      <c r="W1502">
        <v>2.7925170000000002E-4</v>
      </c>
      <c r="X1502">
        <v>0.98875139999999995</v>
      </c>
      <c r="Y1502">
        <v>0.358568</v>
      </c>
      <c r="Z1502">
        <v>0.1583222</v>
      </c>
      <c r="AA1502">
        <v>0.91997989999999996</v>
      </c>
      <c r="AB1502">
        <v>12</v>
      </c>
      <c r="AC1502">
        <v>-4.2067000000000103</v>
      </c>
      <c r="AD1502">
        <v>-1.1093915631910001</v>
      </c>
      <c r="AE1502">
        <v>-5.46770000000003</v>
      </c>
      <c r="AF1502">
        <v>2.5015263430411698</v>
      </c>
      <c r="AG1502">
        <v>-1.1093915631910001</v>
      </c>
      <c r="AH1502">
        <v>6.2422134520935701</v>
      </c>
      <c r="AI1502">
        <v>99.367729960174699</v>
      </c>
      <c r="AJ1502">
        <v>68.161877277049499</v>
      </c>
      <c r="AK1502">
        <v>6.8156887008508704</v>
      </c>
      <c r="AL1502">
        <v>89.984000056882195</v>
      </c>
      <c r="AM1502">
        <v>81.398084617966006</v>
      </c>
      <c r="AN1502">
        <v>1.00000005763101</v>
      </c>
    </row>
    <row r="1503" spans="1:40" x14ac:dyDescent="0.25">
      <c r="A1503" t="str">
        <f>"20190312154242463"</f>
        <v>20190312154242463</v>
      </c>
      <c r="B1503" t="str">
        <f>"1552376562459295"</f>
        <v>1552376562459295</v>
      </c>
      <c r="C1503" t="s">
        <v>40</v>
      </c>
      <c r="D1503">
        <v>5.119205</v>
      </c>
      <c r="E1503">
        <v>0.58766059999999998</v>
      </c>
      <c r="F1503" t="s">
        <v>49</v>
      </c>
      <c r="G1503">
        <v>-198.2663</v>
      </c>
      <c r="H1503" s="1">
        <v>1.456623E-6</v>
      </c>
      <c r="I1503">
        <v>292.19729999999998</v>
      </c>
      <c r="J1503">
        <v>-193.98089999999999</v>
      </c>
      <c r="K1503">
        <v>1.1094040000000001</v>
      </c>
      <c r="L1503">
        <v>297.7242</v>
      </c>
      <c r="M1503">
        <v>-0.2747214</v>
      </c>
      <c r="N1503">
        <v>0</v>
      </c>
      <c r="O1503">
        <v>-0.9614279</v>
      </c>
      <c r="P1503">
        <v>-0.41498079999999998</v>
      </c>
      <c r="Q1503">
        <v>-1.2636639999999999E-2</v>
      </c>
      <c r="R1503">
        <v>-0.90974279999999996</v>
      </c>
      <c r="S1503">
        <v>-1.870331</v>
      </c>
      <c r="T1503">
        <v>-0.4801764</v>
      </c>
      <c r="U1503">
        <v>-2.4402159999999999</v>
      </c>
      <c r="V1503">
        <v>0.1490639</v>
      </c>
      <c r="W1503">
        <v>3.6079089999999997E-4</v>
      </c>
      <c r="X1503">
        <v>0.98882749999999997</v>
      </c>
      <c r="Y1503">
        <v>0.35918440000000001</v>
      </c>
      <c r="Z1503">
        <v>0.1563766</v>
      </c>
      <c r="AA1503">
        <v>0.92007229999999995</v>
      </c>
      <c r="AB1503">
        <v>12</v>
      </c>
      <c r="AC1503">
        <v>-4.2854000000000099</v>
      </c>
      <c r="AD1503">
        <v>-1.1094025433769901</v>
      </c>
      <c r="AE1503">
        <v>-5.5269000000000101</v>
      </c>
      <c r="AF1503">
        <v>2.5381178467574301</v>
      </c>
      <c r="AG1503">
        <v>-1.1094025433769901</v>
      </c>
      <c r="AH1503">
        <v>6.3322646676629004</v>
      </c>
      <c r="AI1503">
        <v>99.236664008995703</v>
      </c>
      <c r="AJ1503">
        <v>68.157947586211293</v>
      </c>
      <c r="AK1503">
        <v>6.9116128384489102</v>
      </c>
      <c r="AL1503">
        <v>89.979328203707297</v>
      </c>
      <c r="AM1503">
        <v>81.427317341905095</v>
      </c>
      <c r="AN1503">
        <v>1.00000000060476</v>
      </c>
    </row>
    <row r="1504" spans="1:40" x14ac:dyDescent="0.25">
      <c r="A1504" t="str">
        <f>"20190312154242487"</f>
        <v>20190312154242487</v>
      </c>
      <c r="B1504" t="str">
        <f>"1552376562478816"</f>
        <v>1552376562478816</v>
      </c>
      <c r="C1504" t="s">
        <v>40</v>
      </c>
      <c r="D1504">
        <v>5.0970969999999998</v>
      </c>
      <c r="E1504">
        <v>0.58775290000000002</v>
      </c>
      <c r="F1504" t="s">
        <v>49</v>
      </c>
      <c r="G1504">
        <v>-198.3374</v>
      </c>
      <c r="H1504" s="1">
        <v>1.4708599999999999E-6</v>
      </c>
      <c r="I1504">
        <v>292.08069999999998</v>
      </c>
      <c r="J1504">
        <v>-194.0197</v>
      </c>
      <c r="K1504">
        <v>1.10941</v>
      </c>
      <c r="L1504">
        <v>297.60570000000001</v>
      </c>
      <c r="M1504">
        <v>-0.27851120000000001</v>
      </c>
      <c r="N1504">
        <v>0</v>
      </c>
      <c r="O1504">
        <v>-0.9603372</v>
      </c>
      <c r="P1504">
        <v>-0.41927120000000001</v>
      </c>
      <c r="Q1504">
        <v>-1.2532949999999999E-2</v>
      </c>
      <c r="R1504">
        <v>-0.9077752</v>
      </c>
      <c r="S1504">
        <v>-1.8788149999999999</v>
      </c>
      <c r="T1504">
        <v>-0.47845490000000002</v>
      </c>
      <c r="U1504">
        <v>-2.433929</v>
      </c>
      <c r="V1504">
        <v>0.14983199999999999</v>
      </c>
      <c r="W1504">
        <v>4.585425E-4</v>
      </c>
      <c r="X1504">
        <v>0.98871140000000002</v>
      </c>
      <c r="Y1504">
        <v>0.35872929999999997</v>
      </c>
      <c r="Z1504">
        <v>0.15575129999999901</v>
      </c>
      <c r="AA1504">
        <v>0.92035579999999995</v>
      </c>
      <c r="AB1504">
        <v>12</v>
      </c>
      <c r="AC1504">
        <v>-4.3177000000000003</v>
      </c>
      <c r="AD1504">
        <v>-1.10940852914</v>
      </c>
      <c r="AE1504">
        <v>-5.5250000000000297</v>
      </c>
      <c r="AF1504">
        <v>2.5442258764991199</v>
      </c>
      <c r="AG1504">
        <v>-1.10940852914</v>
      </c>
      <c r="AH1504">
        <v>6.3500342651886896</v>
      </c>
      <c r="AI1504">
        <v>99.211808553114494</v>
      </c>
      <c r="AJ1504">
        <v>68.165834191424295</v>
      </c>
      <c r="AK1504">
        <v>6.9301376439610998</v>
      </c>
      <c r="AL1504">
        <v>89.973727450034204</v>
      </c>
      <c r="AM1504">
        <v>81.382808553493305</v>
      </c>
      <c r="AN1504">
        <v>1.00000003548759</v>
      </c>
    </row>
    <row r="1505" spans="1:40" x14ac:dyDescent="0.25">
      <c r="A1505" t="str">
        <f>"20190312154242509"</f>
        <v>20190312154242509</v>
      </c>
      <c r="B1505" t="str">
        <f>"1552376562498844"</f>
        <v>1552376562498844</v>
      </c>
      <c r="C1505" t="s">
        <v>40</v>
      </c>
      <c r="D1505">
        <v>5.0834699999999904</v>
      </c>
      <c r="E1505">
        <v>0.58784569999999903</v>
      </c>
      <c r="F1505" t="s">
        <v>49</v>
      </c>
      <c r="G1505">
        <v>-198.39949999999999</v>
      </c>
      <c r="H1505" s="1">
        <v>1.4818369999999999E-6</v>
      </c>
      <c r="I1505">
        <v>291.98700000000002</v>
      </c>
      <c r="J1505">
        <v>-194.05719999999999</v>
      </c>
      <c r="K1505">
        <v>1.1094189999999999</v>
      </c>
      <c r="L1505">
        <v>297.49250000000001</v>
      </c>
      <c r="M1505">
        <v>-0.28212609999999999</v>
      </c>
      <c r="N1505">
        <v>0</v>
      </c>
      <c r="O1505">
        <v>-0.9592813</v>
      </c>
      <c r="P1505">
        <v>-0.42299710000000001</v>
      </c>
      <c r="Q1505">
        <v>-1.2546440000000001E-2</v>
      </c>
      <c r="R1505">
        <v>-0.90604410000000002</v>
      </c>
      <c r="S1505">
        <v>-1.89035</v>
      </c>
      <c r="T1505">
        <v>-0.47882390000000002</v>
      </c>
      <c r="U1505">
        <v>-2.425049</v>
      </c>
      <c r="V1505">
        <v>0.15017039999999901</v>
      </c>
      <c r="W1505">
        <v>4.4233E-4</v>
      </c>
      <c r="X1505">
        <v>0.98865999999999998</v>
      </c>
      <c r="Y1505">
        <v>0.35956840000000001</v>
      </c>
      <c r="Z1505">
        <v>0.15582989999999999</v>
      </c>
      <c r="AA1505">
        <v>0.92001500000000003</v>
      </c>
      <c r="AB1505">
        <v>12</v>
      </c>
      <c r="AC1505">
        <v>-4.3422999999999901</v>
      </c>
      <c r="AD1505">
        <v>-1.1094175181629999</v>
      </c>
      <c r="AE1505">
        <v>-5.5054999999999801</v>
      </c>
      <c r="AF1505">
        <v>2.5486798578458498</v>
      </c>
      <c r="AG1505">
        <v>-1.1094175181629999</v>
      </c>
      <c r="AH1505">
        <v>6.3480831198992798</v>
      </c>
      <c r="AI1505">
        <v>99.212084312042407</v>
      </c>
      <c r="AJ1505">
        <v>68.125126443689595</v>
      </c>
      <c r="AK1505">
        <v>6.9299881345169903</v>
      </c>
      <c r="AL1505">
        <v>89.974656356264902</v>
      </c>
      <c r="AM1505">
        <v>81.363197275197606</v>
      </c>
      <c r="AN1505">
        <v>0.99999997014599395</v>
      </c>
    </row>
    <row r="1506" spans="1:40" x14ac:dyDescent="0.25">
      <c r="A1506" t="str">
        <f>"20190312154242531"</f>
        <v>20190312154242531</v>
      </c>
      <c r="B1506" t="str">
        <f>"1552376562519340"</f>
        <v>1552376562519340</v>
      </c>
      <c r="C1506" t="s">
        <v>40</v>
      </c>
      <c r="D1506">
        <v>5.0907239999999998</v>
      </c>
      <c r="E1506">
        <v>0.58787619999999996</v>
      </c>
      <c r="F1506" t="s">
        <v>49</v>
      </c>
      <c r="G1506">
        <v>-198.45500000000001</v>
      </c>
      <c r="H1506" s="1">
        <v>1.492295E-6</v>
      </c>
      <c r="I1506">
        <v>291.8997</v>
      </c>
      <c r="J1506">
        <v>-194.09440000000001</v>
      </c>
      <c r="K1506">
        <v>1.109426</v>
      </c>
      <c r="L1506">
        <v>297.3818</v>
      </c>
      <c r="M1506">
        <v>-0.28565449999999998</v>
      </c>
      <c r="N1506">
        <v>0</v>
      </c>
      <c r="O1506">
        <v>-0.95823659999999999</v>
      </c>
      <c r="P1506">
        <v>-0.42677789999999999</v>
      </c>
      <c r="Q1506">
        <v>-1.266279E-2</v>
      </c>
      <c r="R1506">
        <v>-0.90426790000000001</v>
      </c>
      <c r="S1506">
        <v>-1.90065</v>
      </c>
      <c r="T1506">
        <v>-0.47947099999999998</v>
      </c>
      <c r="U1506">
        <v>-2.4171140000000002</v>
      </c>
      <c r="V1506">
        <v>0.1506615</v>
      </c>
      <c r="W1506">
        <v>3.2264380000000001E-4</v>
      </c>
      <c r="X1506">
        <v>0.98858539999999995</v>
      </c>
      <c r="Y1506">
        <v>0.36001349999999999</v>
      </c>
      <c r="Z1506">
        <v>0.1559846</v>
      </c>
      <c r="AA1506">
        <v>0.91981469999999999</v>
      </c>
      <c r="AB1506">
        <v>12</v>
      </c>
      <c r="AC1506">
        <v>-4.3605999999999998</v>
      </c>
      <c r="AD1506">
        <v>-1.109424507705</v>
      </c>
      <c r="AE1506">
        <v>-5.4821</v>
      </c>
      <c r="AF1506">
        <v>2.5488065427949702</v>
      </c>
      <c r="AG1506">
        <v>-1.109424507705</v>
      </c>
      <c r="AH1506">
        <v>6.3403320512237498</v>
      </c>
      <c r="AI1506">
        <v>99.221608249072403</v>
      </c>
      <c r="AJ1506">
        <v>68.099926869623303</v>
      </c>
      <c r="AK1506">
        <v>6.9229363748821404</v>
      </c>
      <c r="AL1506">
        <v>89.981513872436693</v>
      </c>
      <c r="AM1506">
        <v>81.334736529127895</v>
      </c>
      <c r="AN1506">
        <v>1.00000004238721</v>
      </c>
    </row>
    <row r="1507" spans="1:40" x14ac:dyDescent="0.25">
      <c r="A1507" t="str">
        <f>"20190312154242552"</f>
        <v>20190312154242552</v>
      </c>
      <c r="B1507" t="str">
        <f>"1552376562548622"</f>
        <v>1552376562548622</v>
      </c>
      <c r="C1507" t="s">
        <v>40</v>
      </c>
      <c r="D1507">
        <v>5.188218</v>
      </c>
      <c r="E1507">
        <v>0.61088730000000002</v>
      </c>
      <c r="F1507" t="s">
        <v>49</v>
      </c>
      <c r="G1507">
        <v>-198.5189</v>
      </c>
      <c r="H1507" s="1">
        <v>1.503321E-6</v>
      </c>
      <c r="I1507">
        <v>291.80489999999998</v>
      </c>
      <c r="J1507">
        <v>-194.13130000000001</v>
      </c>
      <c r="K1507">
        <v>1.109437</v>
      </c>
      <c r="L1507">
        <v>297.27319999999997</v>
      </c>
      <c r="M1507">
        <v>-0.28911290000000001</v>
      </c>
      <c r="N1507">
        <v>0</v>
      </c>
      <c r="O1507">
        <v>-0.95719869999999996</v>
      </c>
      <c r="P1507">
        <v>-0.43042059999999999</v>
      </c>
      <c r="Q1507">
        <v>-1.2288250000000001E-2</v>
      </c>
      <c r="R1507">
        <v>-0.90254469999999998</v>
      </c>
      <c r="S1507">
        <v>-1.911133</v>
      </c>
      <c r="T1507">
        <v>-0.47921059999999999</v>
      </c>
      <c r="U1507">
        <v>-2.4089049999999999</v>
      </c>
      <c r="V1507">
        <v>0.1510773</v>
      </c>
      <c r="W1507">
        <v>6.9410000000000001E-4</v>
      </c>
      <c r="X1507">
        <v>0.98852169999999895</v>
      </c>
      <c r="Y1507">
        <v>0.36064489999999999</v>
      </c>
      <c r="Z1507">
        <v>0.15585679999999999</v>
      </c>
      <c r="AA1507">
        <v>0.91958899999999999</v>
      </c>
      <c r="AB1507">
        <v>12</v>
      </c>
      <c r="AC1507">
        <v>-4.3875999999999902</v>
      </c>
      <c r="AD1507">
        <v>-1.1094354966789901</v>
      </c>
      <c r="AE1507">
        <v>-5.4682999999999904</v>
      </c>
      <c r="AF1507">
        <v>2.5551080343655501</v>
      </c>
      <c r="AG1507">
        <v>-1.1094354966789901</v>
      </c>
      <c r="AH1507">
        <v>6.3444888483745503</v>
      </c>
      <c r="AI1507">
        <v>99.213470850642196</v>
      </c>
      <c r="AJ1507">
        <v>68.063936776630598</v>
      </c>
      <c r="AK1507">
        <v>6.9290665270092298</v>
      </c>
      <c r="AL1507">
        <v>89.960230995922899</v>
      </c>
      <c r="AM1507">
        <v>81.310634998278402</v>
      </c>
      <c r="AN1507">
        <v>0.99999999186049404</v>
      </c>
    </row>
    <row r="1508" spans="1:40" x14ac:dyDescent="0.25">
      <c r="A1508" t="str">
        <f>"20190312154242576"</f>
        <v>20190312154242576</v>
      </c>
      <c r="B1508" t="str">
        <f>"1552376562569116"</f>
        <v>1552376562569116</v>
      </c>
      <c r="C1508" t="s">
        <v>40</v>
      </c>
      <c r="D1508">
        <v>5.1706770000000004</v>
      </c>
      <c r="E1508">
        <v>0.61250780000000005</v>
      </c>
      <c r="F1508" t="s">
        <v>49</v>
      </c>
      <c r="G1508">
        <v>-197.8879</v>
      </c>
      <c r="H1508" s="1">
        <v>1.3323229999999999E-6</v>
      </c>
      <c r="I1508">
        <v>293.09359999999998</v>
      </c>
      <c r="J1508">
        <v>-194.17250000000001</v>
      </c>
      <c r="K1508">
        <v>1.1094469999999901</v>
      </c>
      <c r="L1508">
        <v>297.15320000000003</v>
      </c>
      <c r="M1508">
        <v>-0.29292770000000001</v>
      </c>
      <c r="N1508">
        <v>0</v>
      </c>
      <c r="O1508">
        <v>-0.95603819999999995</v>
      </c>
      <c r="P1508">
        <v>-0.43433490000000002</v>
      </c>
      <c r="Q1508">
        <v>-1.1821450000000001E-2</v>
      </c>
      <c r="R1508">
        <v>-0.90067419999999998</v>
      </c>
      <c r="S1508">
        <v>-2.0859070000000002</v>
      </c>
      <c r="T1508">
        <v>-0.61602460000000003</v>
      </c>
      <c r="U1508">
        <v>-2.3207399999999998</v>
      </c>
      <c r="V1508">
        <v>0.15142630000000001</v>
      </c>
      <c r="W1508">
        <v>1.1580620000000001E-3</v>
      </c>
      <c r="X1508">
        <v>0.98846789999999995</v>
      </c>
      <c r="Y1508">
        <v>0.40773039999999999</v>
      </c>
      <c r="Z1508">
        <v>0.1975923</v>
      </c>
      <c r="AA1508">
        <v>0.89146689999999995</v>
      </c>
      <c r="AB1508">
        <v>12</v>
      </c>
      <c r="AC1508">
        <v>-3.7153999999999798</v>
      </c>
      <c r="AD1508">
        <v>-1.1094456676769999</v>
      </c>
      <c r="AE1508">
        <v>-4.0596000000000396</v>
      </c>
      <c r="AF1508">
        <v>2.2708188389030202</v>
      </c>
      <c r="AG1508">
        <v>-1.1094456676769999</v>
      </c>
      <c r="AH1508">
        <v>4.7758280063439598</v>
      </c>
      <c r="AI1508">
        <v>101.84859058091401</v>
      </c>
      <c r="AJ1508">
        <v>64.569767289580994</v>
      </c>
      <c r="AK1508">
        <v>5.4033342516286602</v>
      </c>
      <c r="AL1508">
        <v>89.933647921971598</v>
      </c>
      <c r="AM1508">
        <v>81.2904025777177</v>
      </c>
      <c r="AN1508">
        <v>1.00000002738484</v>
      </c>
    </row>
    <row r="1509" spans="1:40" x14ac:dyDescent="0.25">
      <c r="A1509" t="str">
        <f>"20190312154242599"</f>
        <v>20190312154242599</v>
      </c>
      <c r="B1509" t="str">
        <f>"1552376562588636"</f>
        <v>1552376562588636</v>
      </c>
      <c r="C1509" t="s">
        <v>40</v>
      </c>
      <c r="D1509">
        <v>5.1429640000000001</v>
      </c>
      <c r="E1509">
        <v>0.61319789999999996</v>
      </c>
      <c r="F1509" t="s">
        <v>49</v>
      </c>
      <c r="G1509">
        <v>-197.98009999999999</v>
      </c>
      <c r="H1509" s="1">
        <v>1.343103E-6</v>
      </c>
      <c r="I1509">
        <v>292.98599999999999</v>
      </c>
      <c r="J1509">
        <v>-194.21299999999999</v>
      </c>
      <c r="K1509">
        <v>1.10945</v>
      </c>
      <c r="L1509">
        <v>297.0367</v>
      </c>
      <c r="M1509">
        <v>-0.29662709999999998</v>
      </c>
      <c r="N1509">
        <v>0</v>
      </c>
      <c r="O1509">
        <v>-0.9548972</v>
      </c>
      <c r="P1509">
        <v>-0.4376543</v>
      </c>
      <c r="Q1509">
        <v>-1.209843E-2</v>
      </c>
      <c r="R1509">
        <v>-0.89906200000000003</v>
      </c>
      <c r="S1509">
        <v>-2.1074679999999999</v>
      </c>
      <c r="T1509">
        <v>-0.61405719999999997</v>
      </c>
      <c r="U1509">
        <v>-2.3064879999999999</v>
      </c>
      <c r="V1509">
        <v>0.15124580000000001</v>
      </c>
      <c r="W1509">
        <v>8.8006679999999896E-4</v>
      </c>
      <c r="X1509">
        <v>0.98849580000000004</v>
      </c>
      <c r="Y1509">
        <v>0.4116107</v>
      </c>
      <c r="Z1509">
        <v>0.19681199999999999</v>
      </c>
      <c r="AA1509">
        <v>0.88985479999999995</v>
      </c>
      <c r="AB1509">
        <v>12</v>
      </c>
      <c r="AC1509">
        <v>-3.7670999999999899</v>
      </c>
      <c r="AD1509">
        <v>-1.1094486568969999</v>
      </c>
      <c r="AE1509">
        <v>-4.0507</v>
      </c>
      <c r="AF1509">
        <v>2.3032172748614701</v>
      </c>
      <c r="AG1509">
        <v>-1.1094486568969999</v>
      </c>
      <c r="AH1509">
        <v>4.7930788177906303</v>
      </c>
      <c r="AI1509">
        <v>101.7846557694</v>
      </c>
      <c r="AJ1509">
        <v>64.334327517786505</v>
      </c>
      <c r="AK1509">
        <v>5.4322454557083599</v>
      </c>
      <c r="AL1509">
        <v>89.949575880492901</v>
      </c>
      <c r="AM1509">
        <v>81.300867275855694</v>
      </c>
      <c r="AN1509">
        <v>1.0000000065764201</v>
      </c>
    </row>
    <row r="1510" spans="1:40" x14ac:dyDescent="0.25">
      <c r="A1510" t="str">
        <f>"20190312154242620"</f>
        <v>20190312154242620</v>
      </c>
      <c r="B1510" t="str">
        <f>"1552376562609136"</f>
        <v>1552376562609136</v>
      </c>
      <c r="C1510" t="s">
        <v>40</v>
      </c>
      <c r="D1510">
        <v>5.112692</v>
      </c>
      <c r="E1510">
        <v>0.61321340000000002</v>
      </c>
      <c r="F1510" t="s">
        <v>49</v>
      </c>
      <c r="G1510">
        <v>-198.05500000000001</v>
      </c>
      <c r="H1510" s="1">
        <v>1.355893E-6</v>
      </c>
      <c r="I1510">
        <v>292.87560000000002</v>
      </c>
      <c r="J1510">
        <v>-194.24979999999999</v>
      </c>
      <c r="K1510">
        <v>1.109448</v>
      </c>
      <c r="L1510">
        <v>296.93209999999999</v>
      </c>
      <c r="M1510">
        <v>-0.29994480000000001</v>
      </c>
      <c r="N1510">
        <v>0</v>
      </c>
      <c r="O1510">
        <v>-0.95386029999999999</v>
      </c>
      <c r="P1510">
        <v>-0.44008770000000003</v>
      </c>
      <c r="Q1510">
        <v>-1.3104299999999999E-2</v>
      </c>
      <c r="R1510">
        <v>-0.89785949999999903</v>
      </c>
      <c r="S1510">
        <v>-2.1202999999999999</v>
      </c>
      <c r="T1510">
        <v>-0.6122746</v>
      </c>
      <c r="U1510">
        <v>-2.2963870000000002</v>
      </c>
      <c r="V1510">
        <v>0.15048800000000001</v>
      </c>
      <c r="W1510">
        <v>-1.2407410000000001E-4</v>
      </c>
      <c r="X1510">
        <v>0.98861180000000004</v>
      </c>
      <c r="Y1510">
        <v>0.41317959999999898</v>
      </c>
      <c r="Z1510">
        <v>0.1961811</v>
      </c>
      <c r="AA1510">
        <v>0.88926689999999997</v>
      </c>
      <c r="AB1510">
        <v>12</v>
      </c>
      <c r="AC1510">
        <v>-3.8052000000000099</v>
      </c>
      <c r="AD1510">
        <v>-1.1094466441069999</v>
      </c>
      <c r="AE1510">
        <v>-4.0564999999999696</v>
      </c>
      <c r="AF1510">
        <v>2.3207823971273802</v>
      </c>
      <c r="AG1510">
        <v>-1.1094466441069999</v>
      </c>
      <c r="AH1510">
        <v>4.8193844468959197</v>
      </c>
      <c r="AI1510">
        <v>101.717546855983</v>
      </c>
      <c r="AJ1510">
        <v>64.286783869715407</v>
      </c>
      <c r="AK1510">
        <v>5.4629084962059196</v>
      </c>
      <c r="AL1510">
        <v>90.007108922491895</v>
      </c>
      <c r="AM1510">
        <v>81.344791768797094</v>
      </c>
      <c r="AN1510">
        <v>0.99999997231880999</v>
      </c>
    </row>
    <row r="1511" spans="1:40" x14ac:dyDescent="0.25">
      <c r="A1511" t="str">
        <f>"20190312154242641"</f>
        <v>20190312154242641</v>
      </c>
      <c r="B1511" t="str">
        <f>"1552376562628653"</f>
        <v>1552376562628653</v>
      </c>
      <c r="C1511" t="s">
        <v>40</v>
      </c>
      <c r="D1511">
        <v>5.2812729999999997</v>
      </c>
      <c r="E1511">
        <v>0.613757199999999</v>
      </c>
      <c r="F1511" t="s">
        <v>49</v>
      </c>
      <c r="G1511">
        <v>-198.09190000000001</v>
      </c>
      <c r="H1511" s="1">
        <v>1.3664989999999999E-6</v>
      </c>
      <c r="I1511">
        <v>292.79680000000002</v>
      </c>
      <c r="J1511">
        <v>-194.2867</v>
      </c>
      <c r="K1511">
        <v>1.1094489999999999</v>
      </c>
      <c r="L1511">
        <v>296.82850000000002</v>
      </c>
      <c r="M1511">
        <v>-0.30322909999999997</v>
      </c>
      <c r="N1511">
        <v>0</v>
      </c>
      <c r="O1511">
        <v>-0.95282129999999998</v>
      </c>
      <c r="P1511">
        <v>-0.44348169999999998</v>
      </c>
      <c r="Q1511">
        <v>-1.420827E-2</v>
      </c>
      <c r="R1511">
        <v>-0.896171099999999</v>
      </c>
      <c r="S1511">
        <v>-2.1272739999999999</v>
      </c>
      <c r="T1511">
        <v>-0.61426639999999999</v>
      </c>
      <c r="U1511">
        <v>-2.2895810000000001</v>
      </c>
      <c r="V1511">
        <v>0.1508246</v>
      </c>
      <c r="W1511">
        <v>-1.2321019999999999E-3</v>
      </c>
      <c r="X1511">
        <v>0.98855979999999999</v>
      </c>
      <c r="Y1511">
        <v>0.41274480000000002</v>
      </c>
      <c r="Z1511">
        <v>0.19674030000000001</v>
      </c>
      <c r="AA1511">
        <v>0.88934519999999995</v>
      </c>
      <c r="AB1511">
        <v>12</v>
      </c>
      <c r="AC1511">
        <v>-3.8052000000000099</v>
      </c>
      <c r="AD1511">
        <v>-1.109447633501</v>
      </c>
      <c r="AE1511">
        <v>-4.0316999999999998</v>
      </c>
      <c r="AF1511">
        <v>2.3108213527336501</v>
      </c>
      <c r="AG1511">
        <v>-1.109447633501</v>
      </c>
      <c r="AH1511">
        <v>4.8034232394095699</v>
      </c>
      <c r="AI1511">
        <v>101.757526546709</v>
      </c>
      <c r="AJ1511">
        <v>64.308815248153195</v>
      </c>
      <c r="AK1511">
        <v>5.4445977071433598</v>
      </c>
      <c r="AL1511">
        <v>90.070594260406594</v>
      </c>
      <c r="AM1511">
        <v>81.325277263148706</v>
      </c>
      <c r="AN1511">
        <v>1.0000000281082599</v>
      </c>
    </row>
    <row r="1512" spans="1:40" x14ac:dyDescent="0.25">
      <c r="A1512" t="str">
        <f>"20190312154242664"</f>
        <v>20190312154242664</v>
      </c>
      <c r="B1512" t="str">
        <f>"1552376562658911"</f>
        <v>1552376562658911</v>
      </c>
      <c r="C1512" t="s">
        <v>40</v>
      </c>
      <c r="D1512">
        <v>5.0991289999999996</v>
      </c>
      <c r="E1512">
        <v>0.61378029999999995</v>
      </c>
      <c r="F1512" t="s">
        <v>49</v>
      </c>
      <c r="G1512">
        <v>-198.17259999999999</v>
      </c>
      <c r="H1512" s="1">
        <v>1.378069E-6</v>
      </c>
      <c r="I1512">
        <v>292.69049999999999</v>
      </c>
      <c r="J1512">
        <v>-194.3279</v>
      </c>
      <c r="K1512">
        <v>1.109456</v>
      </c>
      <c r="L1512">
        <v>296.714</v>
      </c>
      <c r="M1512">
        <v>-0.3068613</v>
      </c>
      <c r="N1512">
        <v>0</v>
      </c>
      <c r="O1512">
        <v>-0.95165789999999995</v>
      </c>
      <c r="P1512">
        <v>-0.44774449999999999</v>
      </c>
      <c r="Q1512">
        <v>-1.4537E-2</v>
      </c>
      <c r="R1512">
        <v>-0.89404349999999999</v>
      </c>
      <c r="S1512">
        <v>-2.1400299999999999</v>
      </c>
      <c r="T1512">
        <v>-0.61099289999999995</v>
      </c>
      <c r="U1512">
        <v>-2.27887</v>
      </c>
      <c r="V1512">
        <v>0.15176249999999999</v>
      </c>
      <c r="W1512">
        <v>-1.5681670000000001E-3</v>
      </c>
      <c r="X1512">
        <v>0.98841579999999996</v>
      </c>
      <c r="Y1512">
        <v>0.41416910000000001</v>
      </c>
      <c r="Z1512">
        <v>0.19565630000000001</v>
      </c>
      <c r="AA1512">
        <v>0.8889222</v>
      </c>
      <c r="AB1512">
        <v>12</v>
      </c>
      <c r="AC1512">
        <v>-3.84469999999998</v>
      </c>
      <c r="AD1512">
        <v>-1.109454621931</v>
      </c>
      <c r="AE1512">
        <v>-4.0235000000000101</v>
      </c>
      <c r="AF1512">
        <v>2.3317320986091099</v>
      </c>
      <c r="AG1512">
        <v>-1.109454621931</v>
      </c>
      <c r="AH1512">
        <v>4.8177661227790898</v>
      </c>
      <c r="AI1512">
        <v>101.71059733069001</v>
      </c>
      <c r="AJ1512">
        <v>64.173660610299805</v>
      </c>
      <c r="AK1512">
        <v>5.4661443954222504</v>
      </c>
      <c r="AL1512">
        <v>90.089849382589406</v>
      </c>
      <c r="AM1512">
        <v>81.270909817659202</v>
      </c>
      <c r="AN1512">
        <v>1.00000005462181</v>
      </c>
    </row>
    <row r="1513" spans="1:40" x14ac:dyDescent="0.25">
      <c r="A1513" t="str">
        <f>"20190312154242687"</f>
        <v>20190312154242687</v>
      </c>
      <c r="B1513" t="str">
        <f>"1552376562679405"</f>
        <v>1552376562679405</v>
      </c>
      <c r="C1513" t="s">
        <v>40</v>
      </c>
      <c r="D1513">
        <v>5.0916319999999997</v>
      </c>
      <c r="E1513">
        <v>0.61388920000000002</v>
      </c>
      <c r="F1513" t="s">
        <v>49</v>
      </c>
      <c r="G1513">
        <v>-198.23849999999999</v>
      </c>
      <c r="H1513" s="1">
        <v>1.3896490000000001E-6</v>
      </c>
      <c r="I1513">
        <v>292.59160000000003</v>
      </c>
      <c r="J1513">
        <v>-194.36779999999999</v>
      </c>
      <c r="K1513">
        <v>1.109459</v>
      </c>
      <c r="L1513">
        <v>296.60449999999997</v>
      </c>
      <c r="M1513">
        <v>-0.31033339999999998</v>
      </c>
      <c r="N1513">
        <v>0</v>
      </c>
      <c r="O1513">
        <v>-0.95053140000000003</v>
      </c>
      <c r="P1513">
        <v>-0.45253520000000003</v>
      </c>
      <c r="Q1513">
        <v>-1.487194E-2</v>
      </c>
      <c r="R1513">
        <v>-0.89162280000000005</v>
      </c>
      <c r="S1513">
        <v>-2.1515499999999999</v>
      </c>
      <c r="T1513">
        <v>-0.61039919999999903</v>
      </c>
      <c r="U1513">
        <v>-2.2680660000000001</v>
      </c>
      <c r="V1513">
        <v>0.15345790000000001</v>
      </c>
      <c r="W1513">
        <v>-1.9143140000000001E-3</v>
      </c>
      <c r="X1513">
        <v>0.98815330000000001</v>
      </c>
      <c r="Y1513">
        <v>0.41537869999999999</v>
      </c>
      <c r="Z1513">
        <v>0.19544590000000001</v>
      </c>
      <c r="AA1513">
        <v>0.88840390000000002</v>
      </c>
      <c r="AB1513">
        <v>12</v>
      </c>
      <c r="AC1513">
        <v>-3.8706999999999998</v>
      </c>
      <c r="AD1513">
        <v>-1.1094576103510001</v>
      </c>
      <c r="AE1513">
        <v>-4.0128999999999397</v>
      </c>
      <c r="AF1513">
        <v>2.3413960287516802</v>
      </c>
      <c r="AG1513">
        <v>-1.1094576103510001</v>
      </c>
      <c r="AH1513">
        <v>4.8249995960850303</v>
      </c>
      <c r="AI1513">
        <v>101.687856584326</v>
      </c>
      <c r="AJ1513">
        <v>64.114395183192499</v>
      </c>
      <c r="AK1513">
        <v>5.4766461137123503</v>
      </c>
      <c r="AL1513">
        <v>90.109682183364399</v>
      </c>
      <c r="AM1513">
        <v>81.172612957203199</v>
      </c>
      <c r="AN1513">
        <v>0.99999996798569402</v>
      </c>
    </row>
    <row r="1514" spans="1:40" x14ac:dyDescent="0.25">
      <c r="A1514" t="str">
        <f>"20190312154242710"</f>
        <v>20190312154242710</v>
      </c>
      <c r="B1514" t="str">
        <f>"1552376562698924"</f>
        <v>1552376562698924</v>
      </c>
      <c r="C1514" t="s">
        <v>40</v>
      </c>
      <c r="D1514">
        <v>5.0787620000000002</v>
      </c>
      <c r="E1514">
        <v>0.61400600000000005</v>
      </c>
      <c r="F1514" t="s">
        <v>49</v>
      </c>
      <c r="G1514">
        <v>-198.3125</v>
      </c>
      <c r="H1514" s="1">
        <v>1.39938E-6</v>
      </c>
      <c r="I1514">
        <v>292.49900000000002</v>
      </c>
      <c r="J1514">
        <v>-194.40979999999999</v>
      </c>
      <c r="K1514">
        <v>1.1094660000000001</v>
      </c>
      <c r="L1514">
        <v>296.49040000000002</v>
      </c>
      <c r="M1514">
        <v>-0.31395729999999999</v>
      </c>
      <c r="N1514">
        <v>0</v>
      </c>
      <c r="O1514">
        <v>-0.94934079999999998</v>
      </c>
      <c r="P1514">
        <v>-0.45872760000000001</v>
      </c>
      <c r="Q1514">
        <v>-1.54518E-2</v>
      </c>
      <c r="R1514">
        <v>-0.88844310000000004</v>
      </c>
      <c r="S1514">
        <v>-2.1665800000000002</v>
      </c>
      <c r="T1514">
        <v>-0.60934639999999995</v>
      </c>
      <c r="U1514">
        <v>-2.2548219999999999</v>
      </c>
      <c r="V1514">
        <v>0.15656349999999999</v>
      </c>
      <c r="W1514">
        <v>-2.512799E-3</v>
      </c>
      <c r="X1514">
        <v>0.98766469999999995</v>
      </c>
      <c r="Y1514">
        <v>0.4176609</v>
      </c>
      <c r="Z1514">
        <v>0.19508120000000001</v>
      </c>
      <c r="AA1514">
        <v>0.88741349999999997</v>
      </c>
      <c r="AB1514">
        <v>12</v>
      </c>
      <c r="AC1514">
        <v>-3.9026999999999998</v>
      </c>
      <c r="AD1514">
        <v>-1.10946460062</v>
      </c>
      <c r="AE1514">
        <v>-3.9913999999999898</v>
      </c>
      <c r="AF1514">
        <v>2.35891047194974</v>
      </c>
      <c r="AG1514">
        <v>-1.10946460062</v>
      </c>
      <c r="AH1514">
        <v>4.8243758339139697</v>
      </c>
      <c r="AI1514">
        <v>101.67288046863</v>
      </c>
      <c r="AJ1514">
        <v>63.943372958144003</v>
      </c>
      <c r="AK1514">
        <v>5.4836094410120202</v>
      </c>
      <c r="AL1514">
        <v>90.143972928737497</v>
      </c>
      <c r="AM1514">
        <v>80.992485948242006</v>
      </c>
      <c r="AN1514">
        <v>1.0000000016585699</v>
      </c>
    </row>
    <row r="1515" spans="1:40" x14ac:dyDescent="0.25">
      <c r="A1515" t="str">
        <f>"20190312154242732"</f>
        <v>20190312154242732</v>
      </c>
      <c r="B1515" t="str">
        <f>"1552376562729181"</f>
        <v>1552376562729181</v>
      </c>
      <c r="C1515" t="s">
        <v>40</v>
      </c>
      <c r="D1515">
        <v>5.1084259999999997</v>
      </c>
      <c r="E1515">
        <v>0.61404499999999995</v>
      </c>
      <c r="F1515" t="s">
        <v>49</v>
      </c>
      <c r="G1515">
        <v>-198.40010000000001</v>
      </c>
      <c r="H1515" s="1">
        <v>1.4087369999999999E-6</v>
      </c>
      <c r="I1515">
        <v>292.40179999999998</v>
      </c>
      <c r="J1515">
        <v>-194.4496</v>
      </c>
      <c r="K1515">
        <v>1.1094649999999999</v>
      </c>
      <c r="L1515">
        <v>296.38369999999998</v>
      </c>
      <c r="M1515">
        <v>-0.31735819999999998</v>
      </c>
      <c r="N1515">
        <v>0</v>
      </c>
      <c r="O1515">
        <v>-0.94820919999999997</v>
      </c>
      <c r="P1515">
        <v>-0.46562779999999998</v>
      </c>
      <c r="Q1515">
        <v>-1.509047E-2</v>
      </c>
      <c r="R1515">
        <v>-0.88485230000000004</v>
      </c>
      <c r="S1515">
        <v>-2.1844640000000002</v>
      </c>
      <c r="T1515">
        <v>-0.60736540000000006</v>
      </c>
      <c r="U1515">
        <v>-2.238251</v>
      </c>
      <c r="V1515">
        <v>0.16070660000000001</v>
      </c>
      <c r="W1515">
        <v>-2.175859E-3</v>
      </c>
      <c r="X1515">
        <v>0.98699979999999998</v>
      </c>
      <c r="Y1515">
        <v>0.4214157</v>
      </c>
      <c r="Z1515">
        <v>0.19450129999999999</v>
      </c>
      <c r="AA1515">
        <v>0.88576409999999905</v>
      </c>
      <c r="AB1515">
        <v>12</v>
      </c>
      <c r="AC1515">
        <v>-3.9504999999999999</v>
      </c>
      <c r="AD1515">
        <v>-1.109463591263</v>
      </c>
      <c r="AE1515">
        <v>-3.9818999999999898</v>
      </c>
      <c r="AF1515">
        <v>2.3889735668859799</v>
      </c>
      <c r="AG1515">
        <v>-1.109463591263</v>
      </c>
      <c r="AH1515">
        <v>4.8404806649892897</v>
      </c>
      <c r="AI1515">
        <v>101.614579493072</v>
      </c>
      <c r="AJ1515">
        <v>63.7317917960101</v>
      </c>
      <c r="AK1515">
        <v>5.5107492441367096</v>
      </c>
      <c r="AL1515">
        <v>90.124667638949902</v>
      </c>
      <c r="AM1515">
        <v>80.752065507491096</v>
      </c>
      <c r="AN1515">
        <v>0.99999997542299301</v>
      </c>
    </row>
    <row r="1516" spans="1:40" x14ac:dyDescent="0.25">
      <c r="A1516" t="str">
        <f>"20190312154242755"</f>
        <v>20190312154242755</v>
      </c>
      <c r="B1516" t="str">
        <f>"1552376562748701"</f>
        <v>1552376562748701</v>
      </c>
      <c r="C1516" t="s">
        <v>40</v>
      </c>
      <c r="D1516">
        <v>5.0598650000000003</v>
      </c>
      <c r="E1516">
        <v>0.61379340000000004</v>
      </c>
      <c r="F1516" t="s">
        <v>49</v>
      </c>
      <c r="G1516">
        <v>-198.51830000000001</v>
      </c>
      <c r="H1516" s="1">
        <v>1.41931099999999E-6</v>
      </c>
      <c r="I1516">
        <v>292.28219999999999</v>
      </c>
      <c r="J1516">
        <v>-194.4914</v>
      </c>
      <c r="K1516">
        <v>1.1094679999999999</v>
      </c>
      <c r="L1516">
        <v>296.27289999999999</v>
      </c>
      <c r="M1516">
        <v>-0.32090639999999998</v>
      </c>
      <c r="N1516">
        <v>0</v>
      </c>
      <c r="O1516">
        <v>-0.94701429999999998</v>
      </c>
      <c r="P1516">
        <v>-0.47264830000000002</v>
      </c>
      <c r="Q1516">
        <v>-1.356663E-2</v>
      </c>
      <c r="R1516">
        <v>-0.88114699999999901</v>
      </c>
      <c r="S1516">
        <v>-2.2030639999999999</v>
      </c>
      <c r="T1516">
        <v>-0.60073949999999998</v>
      </c>
      <c r="U1516">
        <v>-2.2207949999999999</v>
      </c>
      <c r="V1516">
        <v>0.16485279999999899</v>
      </c>
      <c r="W1516">
        <v>-6.7757699999999995E-4</v>
      </c>
      <c r="X1516">
        <v>0.98631789999999997</v>
      </c>
      <c r="Y1516">
        <v>0.42554370000000002</v>
      </c>
      <c r="Z1516">
        <v>0.19248789999999999</v>
      </c>
      <c r="AA1516">
        <v>0.88422900000000004</v>
      </c>
      <c r="AB1516">
        <v>12</v>
      </c>
      <c r="AC1516">
        <v>-4.0269000000000101</v>
      </c>
      <c r="AD1516">
        <v>-1.1094665806890001</v>
      </c>
      <c r="AE1516">
        <v>-3.9906999999999999</v>
      </c>
      <c r="AF1516">
        <v>2.4396905213270301</v>
      </c>
      <c r="AG1516">
        <v>-1.1094665806890001</v>
      </c>
      <c r="AH1516">
        <v>4.88489685050682</v>
      </c>
      <c r="AI1516">
        <v>101.485555979442</v>
      </c>
      <c r="AJ1516">
        <v>63.460833003065297</v>
      </c>
      <c r="AK1516">
        <v>5.5718240436692001</v>
      </c>
      <c r="AL1516">
        <v>90.038822307216805</v>
      </c>
      <c r="AM1516">
        <v>80.511313914279299</v>
      </c>
      <c r="AN1516">
        <v>0.99999995231941896</v>
      </c>
    </row>
    <row r="1517" spans="1:40" x14ac:dyDescent="0.25">
      <c r="A1517" t="str">
        <f>"20190312154242778"</f>
        <v>20190312154242778</v>
      </c>
      <c r="B1517" t="str">
        <f>"1552376562769197"</f>
        <v>1552376562769197</v>
      </c>
      <c r="C1517" t="s">
        <v>40</v>
      </c>
      <c r="D1517">
        <v>5.0910449999999896</v>
      </c>
      <c r="E1517">
        <v>0.61353449999999998</v>
      </c>
      <c r="F1517" t="s">
        <v>49</v>
      </c>
      <c r="G1517">
        <v>-198.62039999999999</v>
      </c>
      <c r="H1517" s="1">
        <v>1.4295499999999999E-6</v>
      </c>
      <c r="I1517">
        <v>292.17270000000002</v>
      </c>
      <c r="J1517">
        <v>-194.53440000000001</v>
      </c>
      <c r="K1517">
        <v>1.1094619999999999</v>
      </c>
      <c r="L1517">
        <v>296.16030000000001</v>
      </c>
      <c r="M1517">
        <v>-0.32453850000000001</v>
      </c>
      <c r="N1517">
        <v>0</v>
      </c>
      <c r="O1517">
        <v>-0.9457757</v>
      </c>
      <c r="P1517">
        <v>-0.47856709999999902</v>
      </c>
      <c r="Q1517">
        <v>-1.141444E-2</v>
      </c>
      <c r="R1517">
        <v>-0.8779768</v>
      </c>
      <c r="S1517">
        <v>-2.2200929999999999</v>
      </c>
      <c r="T1517">
        <v>-0.59654280000000004</v>
      </c>
      <c r="U1517">
        <v>-2.2046199999999998</v>
      </c>
      <c r="V1517">
        <v>0.16769999999999999</v>
      </c>
      <c r="W1517">
        <v>1.453701E-3</v>
      </c>
      <c r="X1517">
        <v>0.98583699999999996</v>
      </c>
      <c r="Y1517">
        <v>0.42890519999999999</v>
      </c>
      <c r="Z1517">
        <v>0.19119729999999999</v>
      </c>
      <c r="AA1517">
        <v>0.88288389999999894</v>
      </c>
      <c r="AB1517">
        <v>11</v>
      </c>
      <c r="AC1517">
        <v>-4.0859999999999799</v>
      </c>
      <c r="AD1517">
        <v>-1.10946057045</v>
      </c>
      <c r="AE1517">
        <v>-3.98759999999998</v>
      </c>
      <c r="AF1517">
        <v>2.47700837111885</v>
      </c>
      <c r="AG1517">
        <v>-1.10946057045</v>
      </c>
      <c r="AH1517">
        <v>4.91240408244263</v>
      </c>
      <c r="AI1517">
        <v>101.401493658738</v>
      </c>
      <c r="AJ1517">
        <v>63.241138365744099</v>
      </c>
      <c r="AK1517">
        <v>5.6123245716169299</v>
      </c>
      <c r="AL1517">
        <v>89.9167090384327</v>
      </c>
      <c r="AM1517">
        <v>80.345870637247003</v>
      </c>
      <c r="AN1517">
        <v>0.99999999690779795</v>
      </c>
    </row>
    <row r="1518" spans="1:40" x14ac:dyDescent="0.25">
      <c r="A1518" t="str">
        <f>"20190312154242802"</f>
        <v>20190312154242802</v>
      </c>
      <c r="B1518" t="str">
        <f>"1552376562788717"</f>
        <v>1552376562788717</v>
      </c>
      <c r="C1518" t="s">
        <v>40</v>
      </c>
      <c r="D1518">
        <v>5.3819999999999997</v>
      </c>
      <c r="E1518">
        <v>0.61323499999999997</v>
      </c>
      <c r="F1518" t="s">
        <v>49</v>
      </c>
      <c r="G1518">
        <v>-198.73410000000001</v>
      </c>
      <c r="H1518" s="1">
        <v>1.4427040000000001E-6</v>
      </c>
      <c r="I1518">
        <v>292.04070000000002</v>
      </c>
      <c r="J1518">
        <v>-194.5778</v>
      </c>
      <c r="K1518">
        <v>1.109453</v>
      </c>
      <c r="L1518">
        <v>296.04790000000003</v>
      </c>
      <c r="M1518">
        <v>-0.32819979999999999</v>
      </c>
      <c r="N1518">
        <v>0</v>
      </c>
      <c r="O1518">
        <v>-0.94451160000000001</v>
      </c>
      <c r="P1518">
        <v>-0.48362300000000003</v>
      </c>
      <c r="Q1518">
        <v>-1.0408219999999999E-2</v>
      </c>
      <c r="R1518">
        <v>-0.87521499999999997</v>
      </c>
      <c r="S1518">
        <v>-2.2341609999999998</v>
      </c>
      <c r="T1518">
        <v>-0.59021029999999997</v>
      </c>
      <c r="U1518">
        <v>-2.1915279999999999</v>
      </c>
      <c r="V1518">
        <v>0.16956540000000001</v>
      </c>
      <c r="W1518">
        <v>2.4417060000000001E-3</v>
      </c>
      <c r="X1518">
        <v>0.9855159</v>
      </c>
      <c r="Y1518">
        <v>0.43112450000000002</v>
      </c>
      <c r="Z1518">
        <v>0.1891873</v>
      </c>
      <c r="AA1518">
        <v>0.88223569999999996</v>
      </c>
      <c r="AB1518">
        <v>11</v>
      </c>
      <c r="AC1518">
        <v>-4.1563000000000097</v>
      </c>
      <c r="AD1518">
        <v>-1.109451557296</v>
      </c>
      <c r="AE1518">
        <v>-4.0072000000000099</v>
      </c>
      <c r="AF1518">
        <v>2.51777491703408</v>
      </c>
      <c r="AG1518">
        <v>-1.109451557296</v>
      </c>
      <c r="AH1518">
        <v>4.9660314460931296</v>
      </c>
      <c r="AI1518">
        <v>101.269228214164</v>
      </c>
      <c r="AJ1518">
        <v>63.115019447621499</v>
      </c>
      <c r="AK1518">
        <v>5.67728294295945</v>
      </c>
      <c r="AL1518">
        <v>89.860100410694301</v>
      </c>
      <c r="AM1518">
        <v>80.237419030822196</v>
      </c>
      <c r="AN1518">
        <v>0.99999998797907996</v>
      </c>
    </row>
    <row r="1519" spans="1:40" x14ac:dyDescent="0.25">
      <c r="A1519" t="str">
        <f>"20190312154242845"</f>
        <v>20190312154242845</v>
      </c>
      <c r="B1519" t="str">
        <f>"1552376562838492"</f>
        <v>1552376562838492</v>
      </c>
      <c r="C1519" t="s">
        <v>40</v>
      </c>
      <c r="D1519">
        <v>5.096584</v>
      </c>
      <c r="E1519">
        <v>0.61242890000000005</v>
      </c>
      <c r="F1519" t="s">
        <v>49</v>
      </c>
      <c r="G1519">
        <v>-198.81549999999999</v>
      </c>
      <c r="H1519" s="1">
        <v>1.454254E-6</v>
      </c>
      <c r="I1519">
        <v>291.93419999999998</v>
      </c>
      <c r="J1519">
        <v>-194.66030000000001</v>
      </c>
      <c r="K1519">
        <v>1.1094120000000001</v>
      </c>
      <c r="L1519">
        <v>295.83870000000002</v>
      </c>
      <c r="M1519">
        <v>-0.33517049999999998</v>
      </c>
      <c r="N1519">
        <v>0</v>
      </c>
      <c r="O1519">
        <v>-0.94206049999999997</v>
      </c>
      <c r="P1519">
        <v>-0.49164659999999899</v>
      </c>
      <c r="Q1519">
        <v>-9.2162900000000002E-3</v>
      </c>
      <c r="R1519">
        <v>-0.87074640000000003</v>
      </c>
      <c r="S1519">
        <v>-2.2456049999999999</v>
      </c>
      <c r="T1519">
        <v>-0.58792230000000001</v>
      </c>
      <c r="U1519">
        <v>-2.1799620000000002</v>
      </c>
      <c r="V1519">
        <v>0.17133950000000001</v>
      </c>
      <c r="W1519">
        <v>3.6027989999999998E-3</v>
      </c>
      <c r="X1519">
        <v>0.98520549999999996</v>
      </c>
      <c r="Y1519">
        <v>0.42919469999999998</v>
      </c>
      <c r="Z1519">
        <v>0.188249</v>
      </c>
      <c r="AA1519">
        <v>0.88337659999999996</v>
      </c>
      <c r="AB1519">
        <v>11</v>
      </c>
      <c r="AC1519">
        <v>-4.1551999999999696</v>
      </c>
      <c r="AD1519">
        <v>-1.109410545746</v>
      </c>
      <c r="AE1519">
        <v>-3.90450000000004</v>
      </c>
      <c r="AF1519">
        <v>2.51095515210553</v>
      </c>
      <c r="AG1519">
        <v>-1.109410545746</v>
      </c>
      <c r="AH1519">
        <v>4.8864483066873703</v>
      </c>
      <c r="AI1519">
        <v>101.416616742979</v>
      </c>
      <c r="AJ1519">
        <v>62.803136725637998</v>
      </c>
      <c r="AK1519">
        <v>5.60473590714368</v>
      </c>
      <c r="AL1519">
        <v>89.793574384718895</v>
      </c>
      <c r="AM1519">
        <v>80.134226189930104</v>
      </c>
      <c r="AN1519">
        <v>1.00000004082556</v>
      </c>
    </row>
    <row r="1520" spans="1:40" x14ac:dyDescent="0.25">
      <c r="A1520" t="str">
        <f>"20190312154242867"</f>
        <v>20190312154242867</v>
      </c>
      <c r="B1520" t="str">
        <f>"1552376562858989"</f>
        <v>1552376562858989</v>
      </c>
      <c r="C1520" t="s">
        <v>40</v>
      </c>
      <c r="D1520">
        <v>5.4597350000000002</v>
      </c>
      <c r="E1520">
        <v>0.61198090000000005</v>
      </c>
      <c r="F1520" t="s">
        <v>49</v>
      </c>
      <c r="G1520">
        <v>-198.97319999999999</v>
      </c>
      <c r="H1520" s="1">
        <v>1.4794979999999999E-6</v>
      </c>
      <c r="I1520">
        <v>291.71140000000003</v>
      </c>
      <c r="J1520">
        <v>-194.70269999999999</v>
      </c>
      <c r="K1520">
        <v>1.109394</v>
      </c>
      <c r="L1520">
        <v>295.73289999999997</v>
      </c>
      <c r="M1520">
        <v>-0.33877610000000002</v>
      </c>
      <c r="N1520">
        <v>0</v>
      </c>
      <c r="O1520">
        <v>-0.94076970000000004</v>
      </c>
      <c r="P1520">
        <v>-0.49566130000000003</v>
      </c>
      <c r="Q1520">
        <v>-9.1011649999999996E-3</v>
      </c>
      <c r="R1520">
        <v>-0.86846819999999902</v>
      </c>
      <c r="S1520">
        <v>-2.2602690000000001</v>
      </c>
      <c r="T1520">
        <v>-0.58140439999999904</v>
      </c>
      <c r="U1520">
        <v>-2.1629640000000001</v>
      </c>
      <c r="V1520">
        <v>0.17211489999999999</v>
      </c>
      <c r="W1520">
        <v>3.7024580000000001E-3</v>
      </c>
      <c r="X1520">
        <v>0.98506990000000005</v>
      </c>
      <c r="Y1520">
        <v>0.43235079999999998</v>
      </c>
      <c r="Z1520">
        <v>0.1863303</v>
      </c>
      <c r="AA1520">
        <v>0.88224360000000002</v>
      </c>
      <c r="AB1520">
        <v>11</v>
      </c>
      <c r="AC1520">
        <v>-4.2704999999999904</v>
      </c>
      <c r="AD1520">
        <v>-1.1093925205020001</v>
      </c>
      <c r="AE1520">
        <v>-4.0214999999999401</v>
      </c>
      <c r="AF1520">
        <v>2.5637140341499101</v>
      </c>
      <c r="AG1520">
        <v>-1.1093925205020001</v>
      </c>
      <c r="AH1520">
        <v>5.0499044034634002</v>
      </c>
      <c r="AI1520">
        <v>101.083208902612</v>
      </c>
      <c r="AJ1520">
        <v>63.084199400585099</v>
      </c>
      <c r="AK1520">
        <v>5.7710411450241903</v>
      </c>
      <c r="AL1520">
        <v>89.787864293321903</v>
      </c>
      <c r="AM1520">
        <v>80.089124524952894</v>
      </c>
      <c r="AN1520">
        <v>0.99999997744163005</v>
      </c>
    </row>
    <row r="1521" spans="1:40" x14ac:dyDescent="0.25">
      <c r="A1521" t="str">
        <f>"20190312154242890"</f>
        <v>20190312154242890</v>
      </c>
      <c r="B1521" t="str">
        <f>"1552376562878510"</f>
        <v>1552376562878510</v>
      </c>
      <c r="C1521" t="s">
        <v>40</v>
      </c>
      <c r="D1521">
        <v>5.0929149999999996</v>
      </c>
      <c r="E1521">
        <v>0.61161259999999995</v>
      </c>
      <c r="F1521" t="s">
        <v>49</v>
      </c>
      <c r="G1521">
        <v>-198.99860000000001</v>
      </c>
      <c r="H1521" s="1">
        <v>1.48817E-6</v>
      </c>
      <c r="I1521">
        <v>291.64929999999998</v>
      </c>
      <c r="J1521">
        <v>-194.74619999999999</v>
      </c>
      <c r="K1521">
        <v>1.10937</v>
      </c>
      <c r="L1521">
        <v>295.62630000000001</v>
      </c>
      <c r="M1521">
        <v>-0.34248269999999997</v>
      </c>
      <c r="N1521">
        <v>0</v>
      </c>
      <c r="O1521">
        <v>-0.9394266</v>
      </c>
      <c r="P1521">
        <v>-0.49947079999999999</v>
      </c>
      <c r="Q1521">
        <v>-8.9132669999999904E-3</v>
      </c>
      <c r="R1521">
        <v>-0.86628490000000002</v>
      </c>
      <c r="S1521">
        <v>-2.2666469999999999</v>
      </c>
      <c r="T1521">
        <v>-0.58534969999999997</v>
      </c>
      <c r="U1521">
        <v>-2.1546020000000001</v>
      </c>
      <c r="V1521">
        <v>0.172557399999999</v>
      </c>
      <c r="W1521">
        <v>3.876502E-3</v>
      </c>
      <c r="X1521">
        <v>0.98499179999999997</v>
      </c>
      <c r="Y1521">
        <v>0.43158400000000002</v>
      </c>
      <c r="Z1521">
        <v>0.18750910000000001</v>
      </c>
      <c r="AA1521">
        <v>0.88236930000000002</v>
      </c>
      <c r="AB1521">
        <v>11</v>
      </c>
      <c r="AC1521">
        <v>-4.2524000000000202</v>
      </c>
      <c r="AD1521">
        <v>-1.1093685118300001</v>
      </c>
      <c r="AE1521">
        <v>-3.9770000000000301</v>
      </c>
      <c r="AF1521">
        <v>2.5407643396786299</v>
      </c>
      <c r="AG1521">
        <v>-1.1093685118300001</v>
      </c>
      <c r="AH1521">
        <v>5.0110265898474902</v>
      </c>
      <c r="AI1521">
        <v>101.169624908442</v>
      </c>
      <c r="AJ1521">
        <v>63.113410301507002</v>
      </c>
      <c r="AK1521">
        <v>5.7268289138912696</v>
      </c>
      <c r="AL1521">
        <v>89.777892232029799</v>
      </c>
      <c r="AM1521">
        <v>80.063379118977394</v>
      </c>
      <c r="AN1521">
        <v>0.99999996481487696</v>
      </c>
    </row>
    <row r="1522" spans="1:40" x14ac:dyDescent="0.25">
      <c r="A1522" t="str">
        <f>"20190312154242914"</f>
        <v>20190312154242914</v>
      </c>
      <c r="B1522" t="str">
        <f>"1552376562899005"</f>
        <v>1552376562899005</v>
      </c>
      <c r="C1522" t="s">
        <v>40</v>
      </c>
      <c r="D1522">
        <v>5.1224829999999999</v>
      </c>
      <c r="E1522">
        <v>0.61110850000000005</v>
      </c>
      <c r="F1522" t="s">
        <v>49</v>
      </c>
      <c r="G1522">
        <v>-199.07499999999999</v>
      </c>
      <c r="H1522" s="1">
        <v>1.5007549999999999E-6</v>
      </c>
      <c r="I1522">
        <v>291.53949999999998</v>
      </c>
      <c r="J1522">
        <v>-194.79159999999999</v>
      </c>
      <c r="K1522">
        <v>1.1093500000000001</v>
      </c>
      <c r="L1522">
        <v>295.51609999999999</v>
      </c>
      <c r="M1522">
        <v>-0.34640110000000002</v>
      </c>
      <c r="N1522">
        <v>0</v>
      </c>
      <c r="O1522">
        <v>-0.93798879999999996</v>
      </c>
      <c r="P1522">
        <v>-0.50333079999999997</v>
      </c>
      <c r="Q1522">
        <v>-8.0821529999999999E-3</v>
      </c>
      <c r="R1522">
        <v>-0.86405609999999999</v>
      </c>
      <c r="S1522">
        <v>-2.2734220000000001</v>
      </c>
      <c r="T1522">
        <v>-0.58262519999999995</v>
      </c>
      <c r="U1522">
        <v>-2.1463320000000001</v>
      </c>
      <c r="V1522">
        <v>0.17284059999999901</v>
      </c>
      <c r="W1522">
        <v>4.694747E-3</v>
      </c>
      <c r="X1522">
        <v>0.9849386</v>
      </c>
      <c r="Y1522">
        <v>0.43097029999999997</v>
      </c>
      <c r="Z1522">
        <v>0.18658949999999999</v>
      </c>
      <c r="AA1522">
        <v>0.88286409999999904</v>
      </c>
      <c r="AB1522">
        <v>11</v>
      </c>
      <c r="AC1522">
        <v>-4.2834000000000003</v>
      </c>
      <c r="AD1522">
        <v>-1.109348499245</v>
      </c>
      <c r="AE1522">
        <v>-3.9766000000000101</v>
      </c>
      <c r="AF1522">
        <v>2.5487067791814599</v>
      </c>
      <c r="AG1522">
        <v>-1.109348499245</v>
      </c>
      <c r="AH1522">
        <v>5.0329454289357702</v>
      </c>
      <c r="AI1522">
        <v>101.12475551406401</v>
      </c>
      <c r="AJ1522">
        <v>63.142135712428598</v>
      </c>
      <c r="AK1522">
        <v>5.7495304181879199</v>
      </c>
      <c r="AL1522">
        <v>89.731009817435606</v>
      </c>
      <c r="AM1522">
        <v>80.046870194293604</v>
      </c>
      <c r="AN1522">
        <v>0.99999997971385601</v>
      </c>
    </row>
    <row r="1523" spans="1:40" x14ac:dyDescent="0.25">
      <c r="A1523" t="str">
        <f>"20190312154242933"</f>
        <v>20190312154242933</v>
      </c>
      <c r="B1523" t="str">
        <f>"1552376562918525"</f>
        <v>1552376562918525</v>
      </c>
      <c r="C1523" t="s">
        <v>40</v>
      </c>
      <c r="D1523">
        <v>5.124174</v>
      </c>
      <c r="E1523">
        <v>0.61053840000000004</v>
      </c>
      <c r="F1523" t="s">
        <v>49</v>
      </c>
      <c r="G1523">
        <v>-199.18860000000001</v>
      </c>
      <c r="H1523" s="1">
        <v>1.517104E-6</v>
      </c>
      <c r="I1523">
        <v>291.38940000000002</v>
      </c>
      <c r="J1523">
        <v>-194.83099999999999</v>
      </c>
      <c r="K1523">
        <v>1.1093309999999901</v>
      </c>
      <c r="L1523">
        <v>295.42180000000002</v>
      </c>
      <c r="M1523">
        <v>-0.3498136</v>
      </c>
      <c r="N1523">
        <v>0</v>
      </c>
      <c r="O1523">
        <v>-0.93672140000000004</v>
      </c>
      <c r="P1523">
        <v>-0.5066349</v>
      </c>
      <c r="Q1523">
        <v>-7.0702269999999897E-3</v>
      </c>
      <c r="R1523">
        <v>-0.86213220000000002</v>
      </c>
      <c r="S1523">
        <v>-2.279083</v>
      </c>
      <c r="T1523">
        <v>-0.57500269999999898</v>
      </c>
      <c r="U1523">
        <v>-2.1389770000000001</v>
      </c>
      <c r="V1523">
        <v>0.17302590000000001</v>
      </c>
      <c r="W1523">
        <v>5.6975219999999896E-3</v>
      </c>
      <c r="X1523">
        <v>0.98490080000000002</v>
      </c>
      <c r="Y1523">
        <v>0.43064859999999999</v>
      </c>
      <c r="Z1523">
        <v>0.1841759</v>
      </c>
      <c r="AA1523">
        <v>0.88352759999999997</v>
      </c>
      <c r="AB1523">
        <v>11</v>
      </c>
      <c r="AC1523">
        <v>-4.3576000000000104</v>
      </c>
      <c r="AD1523">
        <v>-1.1093294828960001</v>
      </c>
      <c r="AE1523">
        <v>-4.0323999999999902</v>
      </c>
      <c r="AF1523">
        <v>2.5813922228883599</v>
      </c>
      <c r="AG1523">
        <v>-1.1093294828960001</v>
      </c>
      <c r="AH1523">
        <v>5.1232078797231697</v>
      </c>
      <c r="AI1523">
        <v>100.944258328407</v>
      </c>
      <c r="AJ1523">
        <v>63.258179494055803</v>
      </c>
      <c r="AK1523">
        <v>5.8430691155306702</v>
      </c>
      <c r="AL1523">
        <v>89.673554271111897</v>
      </c>
      <c r="AM1523">
        <v>80.036038561645</v>
      </c>
      <c r="AN1523">
        <v>1.0000000048341899</v>
      </c>
    </row>
    <row r="1524" spans="1:40" x14ac:dyDescent="0.25">
      <c r="A1524" t="str">
        <f>"20190312154242956"</f>
        <v>20190312154242956</v>
      </c>
      <c r="B1524" t="str">
        <f>"1552376562948781"</f>
        <v>1552376562948781</v>
      </c>
      <c r="C1524" t="s">
        <v>40</v>
      </c>
      <c r="D1524">
        <v>5.1575340000000001</v>
      </c>
      <c r="E1524">
        <v>0.59957459999999996</v>
      </c>
      <c r="F1524" t="s">
        <v>49</v>
      </c>
      <c r="G1524">
        <v>-199.26070000000001</v>
      </c>
      <c r="H1524" s="1">
        <v>1.5294910000000001E-6</v>
      </c>
      <c r="I1524">
        <v>291.28269999999998</v>
      </c>
      <c r="J1524">
        <v>-194.87799999999999</v>
      </c>
      <c r="K1524">
        <v>1.109305</v>
      </c>
      <c r="L1524">
        <v>295.31110000000001</v>
      </c>
      <c r="M1524">
        <v>-0.3538924</v>
      </c>
      <c r="N1524">
        <v>0</v>
      </c>
      <c r="O1524">
        <v>-0.93518820000000003</v>
      </c>
      <c r="P1524">
        <v>-0.51062010000000002</v>
      </c>
      <c r="Q1524">
        <v>-6.5325790000000002E-3</v>
      </c>
      <c r="R1524">
        <v>-0.85978169999999898</v>
      </c>
      <c r="S1524">
        <v>-2.2831419999999998</v>
      </c>
      <c r="T1524">
        <v>-0.57177749999999905</v>
      </c>
      <c r="U1524">
        <v>-2.133362</v>
      </c>
      <c r="V1524">
        <v>0.17329330000000001</v>
      </c>
      <c r="W1524">
        <v>6.2268009999999997E-3</v>
      </c>
      <c r="X1524">
        <v>0.98485060000000002</v>
      </c>
      <c r="Y1524">
        <v>0.42882599999999998</v>
      </c>
      <c r="Z1524">
        <v>0.18304989999999999</v>
      </c>
      <c r="AA1524">
        <v>0.88464739999999997</v>
      </c>
      <c r="AB1524">
        <v>11</v>
      </c>
      <c r="AC1524">
        <v>-4.3827000000000202</v>
      </c>
      <c r="AD1524">
        <v>-1.1093034705089999</v>
      </c>
      <c r="AE1524">
        <v>-4.0284000000000297</v>
      </c>
      <c r="AF1524">
        <v>2.5835573506165699</v>
      </c>
      <c r="AG1524">
        <v>-1.1093034705089999</v>
      </c>
      <c r="AH1524">
        <v>5.1403012896838698</v>
      </c>
      <c r="AI1524">
        <v>100.91385319903701</v>
      </c>
      <c r="AJ1524">
        <v>63.315524538734799</v>
      </c>
      <c r="AK1524">
        <v>5.8590118725203002</v>
      </c>
      <c r="AL1524">
        <v>89.643228285347902</v>
      </c>
      <c r="AM1524">
        <v>80.0204507830247</v>
      </c>
      <c r="AN1524">
        <v>1.0000000225979699</v>
      </c>
    </row>
    <row r="1525" spans="1:40" x14ac:dyDescent="0.25">
      <c r="A1525" t="str">
        <f>"20190312154242980"</f>
        <v>20190312154242980</v>
      </c>
      <c r="B1525" t="str">
        <f>"1552376562969276"</f>
        <v>1552376562969276</v>
      </c>
      <c r="C1525" t="s">
        <v>40</v>
      </c>
      <c r="D1525">
        <v>5.173419</v>
      </c>
      <c r="E1525">
        <v>0.59936309999999904</v>
      </c>
      <c r="F1525" t="s">
        <v>49</v>
      </c>
      <c r="G1525">
        <v>-199.92529999999999</v>
      </c>
      <c r="H1525" s="1">
        <v>1.630948E-6</v>
      </c>
      <c r="I1525">
        <v>290.37189999999998</v>
      </c>
      <c r="J1525">
        <v>-194.9238</v>
      </c>
      <c r="K1525">
        <v>1.1092839999999999</v>
      </c>
      <c r="L1525">
        <v>295.20429999999999</v>
      </c>
      <c r="M1525">
        <v>-0.35789670000000001</v>
      </c>
      <c r="N1525">
        <v>0</v>
      </c>
      <c r="O1525">
        <v>-0.93366309999999997</v>
      </c>
      <c r="P1525">
        <v>-0.51458359999999903</v>
      </c>
      <c r="Q1525">
        <v>-5.4486619999999999E-3</v>
      </c>
      <c r="R1525">
        <v>-0.85742309999999999</v>
      </c>
      <c r="S1525">
        <v>-2.2166290000000002</v>
      </c>
      <c r="T1525">
        <v>-0.48717050000000001</v>
      </c>
      <c r="U1525">
        <v>-2.169098</v>
      </c>
      <c r="V1525">
        <v>0.17362049999999901</v>
      </c>
      <c r="W1525">
        <v>7.3039519999999998E-3</v>
      </c>
      <c r="X1525">
        <v>0.98478560000000004</v>
      </c>
      <c r="Y1525">
        <v>0.40774709999999997</v>
      </c>
      <c r="Z1525">
        <v>0.1569564</v>
      </c>
      <c r="AA1525">
        <v>0.89950370000000002</v>
      </c>
      <c r="AB1525">
        <v>11</v>
      </c>
      <c r="AC1525">
        <v>-5.0014999999999903</v>
      </c>
      <c r="AD1525">
        <v>-1.109282369052</v>
      </c>
      <c r="AE1525">
        <v>-4.8323999999999998</v>
      </c>
      <c r="AF1525">
        <v>2.8675323924046099</v>
      </c>
      <c r="AG1525">
        <v>-1.109282369052</v>
      </c>
      <c r="AH1525">
        <v>6.1460689728021096</v>
      </c>
      <c r="AI1525">
        <v>99.289062033905907</v>
      </c>
      <c r="AJ1525">
        <v>64.987953443379595</v>
      </c>
      <c r="AK1525">
        <v>6.8722203991301098</v>
      </c>
      <c r="AL1525">
        <v>89.581510677368797</v>
      </c>
      <c r="AM1525">
        <v>80.001341350006498</v>
      </c>
      <c r="AN1525">
        <v>1.00000005185121</v>
      </c>
    </row>
    <row r="1526" spans="1:40" x14ac:dyDescent="0.25">
      <c r="A1526" t="str">
        <f>"20190312154243005"</f>
        <v>20190312154243005</v>
      </c>
      <c r="B1526" t="str">
        <f>"1552376562988796"</f>
        <v>1552376562988796</v>
      </c>
      <c r="C1526" t="s">
        <v>40</v>
      </c>
      <c r="D1526">
        <v>5.1604130000000001</v>
      </c>
      <c r="E1526">
        <v>0.59894959999999997</v>
      </c>
      <c r="F1526" t="s">
        <v>49</v>
      </c>
      <c r="G1526">
        <v>-200.20699999999999</v>
      </c>
      <c r="H1526" s="1">
        <v>1.8025830000000001E-6</v>
      </c>
      <c r="I1526">
        <v>290.07060000000001</v>
      </c>
      <c r="J1526">
        <v>-194.9743</v>
      </c>
      <c r="K1526">
        <v>1.1092649999999999</v>
      </c>
      <c r="L1526">
        <v>295.0883</v>
      </c>
      <c r="M1526">
        <v>-0.36232629999999999</v>
      </c>
      <c r="N1526">
        <v>0</v>
      </c>
      <c r="O1526">
        <v>-0.93195289999999997</v>
      </c>
      <c r="P1526">
        <v>-0.51885769999999998</v>
      </c>
      <c r="Q1526">
        <v>-4.898454E-3</v>
      </c>
      <c r="R1526">
        <v>-0.85484680000000002</v>
      </c>
      <c r="S1526">
        <v>-2.2240600000000001</v>
      </c>
      <c r="T1526">
        <v>-0.46697660000000002</v>
      </c>
      <c r="U1526">
        <v>-2.161133</v>
      </c>
      <c r="V1526">
        <v>0.1738614</v>
      </c>
      <c r="W1526">
        <v>7.8480089999999995E-3</v>
      </c>
      <c r="X1526">
        <v>0.98473889999999997</v>
      </c>
      <c r="Y1526">
        <v>0.40733560000000002</v>
      </c>
      <c r="Z1526">
        <v>0.15046889999999999</v>
      </c>
      <c r="AA1526">
        <v>0.90079790000000004</v>
      </c>
      <c r="AB1526">
        <v>11</v>
      </c>
      <c r="AC1526">
        <v>-5.2326999999999897</v>
      </c>
      <c r="AD1526">
        <v>-1.109263197417</v>
      </c>
      <c r="AE1526">
        <v>-5.0176999999999898</v>
      </c>
      <c r="AF1526">
        <v>2.98889183458743</v>
      </c>
      <c r="AG1526">
        <v>-1.109263197417</v>
      </c>
      <c r="AH1526">
        <v>6.4224495485083102</v>
      </c>
      <c r="AI1526">
        <v>98.899664083892503</v>
      </c>
      <c r="AJ1526">
        <v>65.043583397200393</v>
      </c>
      <c r="AK1526">
        <v>7.1702020503708104</v>
      </c>
      <c r="AL1526">
        <v>89.550337608484199</v>
      </c>
      <c r="AM1526">
        <v>79.987283428916797</v>
      </c>
      <c r="AN1526">
        <v>1.0000000394142099</v>
      </c>
    </row>
    <row r="1527" spans="1:40" x14ac:dyDescent="0.25">
      <c r="A1527" t="str">
        <f>"20190312154243025"</f>
        <v>20190312154243025</v>
      </c>
      <c r="B1527" t="str">
        <f>"1552376563019053"</f>
        <v>1552376563019053</v>
      </c>
      <c r="C1527" t="s">
        <v>40</v>
      </c>
      <c r="D1527">
        <v>5.0509919999999999</v>
      </c>
      <c r="E1527">
        <v>0.594974</v>
      </c>
      <c r="F1527" t="s">
        <v>49</v>
      </c>
      <c r="G1527">
        <v>-199.96690000000001</v>
      </c>
      <c r="H1527" s="1">
        <v>1.650189E-6</v>
      </c>
      <c r="I1527">
        <v>290.27170000000001</v>
      </c>
      <c r="J1527">
        <v>-195.0164</v>
      </c>
      <c r="K1527">
        <v>1.109245</v>
      </c>
      <c r="L1527">
        <v>294.99310000000003</v>
      </c>
      <c r="M1527">
        <v>-0.3660273</v>
      </c>
      <c r="N1527">
        <v>0</v>
      </c>
      <c r="O1527">
        <v>-0.93050549999999999</v>
      </c>
      <c r="P1527">
        <v>-0.52314749999999999</v>
      </c>
      <c r="Q1527">
        <v>-5.4680090000000002E-3</v>
      </c>
      <c r="R1527">
        <v>-0.8522248</v>
      </c>
      <c r="S1527">
        <v>-2.2310639999999999</v>
      </c>
      <c r="T1527">
        <v>-0.49570069999999999</v>
      </c>
      <c r="U1527">
        <v>-2.1524049999999999</v>
      </c>
      <c r="V1527">
        <v>0.17489640000000001</v>
      </c>
      <c r="W1527">
        <v>7.2686679999999998E-3</v>
      </c>
      <c r="X1527">
        <v>0.98455999999999999</v>
      </c>
      <c r="Y1527">
        <v>0.40588190000000002</v>
      </c>
      <c r="Z1527">
        <v>0.15942970000000001</v>
      </c>
      <c r="AA1527">
        <v>0.89991219999999905</v>
      </c>
      <c r="AB1527">
        <v>11</v>
      </c>
      <c r="AC1527">
        <v>-4.9504999999999999</v>
      </c>
      <c r="AD1527">
        <v>-1.1092433498109999</v>
      </c>
      <c r="AE1527">
        <v>-4.7214000000000098</v>
      </c>
      <c r="AF1527">
        <v>2.80482705119329</v>
      </c>
      <c r="AG1527">
        <v>-1.1092433498109999</v>
      </c>
      <c r="AH1527">
        <v>6.0468940097634496</v>
      </c>
      <c r="AI1527">
        <v>99.448003969296806</v>
      </c>
      <c r="AJ1527">
        <v>65.115964984740401</v>
      </c>
      <c r="AK1527">
        <v>6.7573961524775701</v>
      </c>
      <c r="AL1527">
        <v>89.583532329011305</v>
      </c>
      <c r="AM1527">
        <v>79.927101728401894</v>
      </c>
      <c r="AN1527">
        <v>0.99999998893372699</v>
      </c>
    </row>
    <row r="1528" spans="1:40" x14ac:dyDescent="0.25">
      <c r="A1528" t="str">
        <f>"20190312154243049"</f>
        <v>20190312154243049</v>
      </c>
      <c r="B1528" t="str">
        <f>"1552376563038574"</f>
        <v>1552376563038574</v>
      </c>
      <c r="C1528" t="s">
        <v>40</v>
      </c>
      <c r="D1528">
        <v>5.0588449999999998</v>
      </c>
      <c r="E1528">
        <v>0.59314750000000005</v>
      </c>
      <c r="F1528" t="s">
        <v>49</v>
      </c>
      <c r="G1528">
        <v>-200.06440000000001</v>
      </c>
      <c r="H1528" s="1">
        <v>1.732656E-6</v>
      </c>
      <c r="I1528">
        <v>290.07310000000001</v>
      </c>
      <c r="J1528">
        <v>-195.06469999999999</v>
      </c>
      <c r="K1528">
        <v>1.1092299999999999</v>
      </c>
      <c r="L1528">
        <v>294.8852</v>
      </c>
      <c r="M1528">
        <v>-0.37028030000000001</v>
      </c>
      <c r="N1528">
        <v>0</v>
      </c>
      <c r="O1528">
        <v>-0.92882140000000002</v>
      </c>
      <c r="P1528">
        <v>-0.528165199999999</v>
      </c>
      <c r="Q1528">
        <v>-6.836384E-3</v>
      </c>
      <c r="R1528">
        <v>-0.84911449999999999</v>
      </c>
      <c r="S1528">
        <v>-2.2140659999999999</v>
      </c>
      <c r="T1528">
        <v>-0.48652010000000001</v>
      </c>
      <c r="U1528">
        <v>-2.1579280000000001</v>
      </c>
      <c r="V1528">
        <v>0.17619870000000001</v>
      </c>
      <c r="W1528">
        <v>5.88873E-3</v>
      </c>
      <c r="X1528">
        <v>0.98433700000000002</v>
      </c>
      <c r="Y1528">
        <v>0.39743329999999999</v>
      </c>
      <c r="Z1528">
        <v>0.1565559</v>
      </c>
      <c r="AA1528">
        <v>0.90417749999999997</v>
      </c>
      <c r="AB1528">
        <v>11</v>
      </c>
      <c r="AC1528">
        <v>-4.9997000000000096</v>
      </c>
      <c r="AD1528">
        <v>-1.1092282673439999</v>
      </c>
      <c r="AE1528">
        <v>-4.8120999999999796</v>
      </c>
      <c r="AF1528">
        <v>2.7909519683133901</v>
      </c>
      <c r="AG1528">
        <v>-1.1092282673439999</v>
      </c>
      <c r="AH1528">
        <v>6.1639532688285303</v>
      </c>
      <c r="AI1528">
        <v>99.309838330605999</v>
      </c>
      <c r="AJ1528">
        <v>65.639646298499997</v>
      </c>
      <c r="AK1528">
        <v>6.8566843400297497</v>
      </c>
      <c r="AL1528">
        <v>89.662598672345197</v>
      </c>
      <c r="AM1528">
        <v>79.851399530540903</v>
      </c>
      <c r="AN1528">
        <v>0.99999999429585096</v>
      </c>
    </row>
    <row r="1529" spans="1:40" x14ac:dyDescent="0.25">
      <c r="A1529" t="str">
        <f>"20190312154243069"</f>
        <v>20190312154243069</v>
      </c>
      <c r="B1529" t="str">
        <f>"1552376563059069"</f>
        <v>1552376563059069</v>
      </c>
      <c r="C1529" t="s">
        <v>40</v>
      </c>
      <c r="D1529">
        <v>5.0503229999999997</v>
      </c>
      <c r="E1529">
        <v>0.59255519999999995</v>
      </c>
      <c r="F1529" t="s">
        <v>49</v>
      </c>
      <c r="G1529">
        <v>-200.20500000000001</v>
      </c>
      <c r="H1529" s="1">
        <v>1.8341130000000001E-6</v>
      </c>
      <c r="I1529">
        <v>289.88600000000002</v>
      </c>
      <c r="J1529">
        <v>-195.10810000000001</v>
      </c>
      <c r="K1529">
        <v>1.1092169999999999</v>
      </c>
      <c r="L1529">
        <v>294.78949999999998</v>
      </c>
      <c r="M1529">
        <v>-0.37411299999999997</v>
      </c>
      <c r="N1529">
        <v>0</v>
      </c>
      <c r="O1529">
        <v>-0.92728390000000005</v>
      </c>
      <c r="P1529">
        <v>-0.53269809999999995</v>
      </c>
      <c r="Q1529">
        <v>-7.3141409999999997E-3</v>
      </c>
      <c r="R1529">
        <v>-0.84627369999999902</v>
      </c>
      <c r="S1529">
        <v>-2.2133029999999998</v>
      </c>
      <c r="T1529">
        <v>-0.47760979999999997</v>
      </c>
      <c r="U1529">
        <v>-2.1525569999999998</v>
      </c>
      <c r="V1529">
        <v>0.1773969</v>
      </c>
      <c r="W1529">
        <v>5.4009339999999996E-3</v>
      </c>
      <c r="X1529">
        <v>0.98412449999999996</v>
      </c>
      <c r="Y1529">
        <v>0.3949454</v>
      </c>
      <c r="Z1529">
        <v>0.1537655</v>
      </c>
      <c r="AA1529">
        <v>0.90574509999999997</v>
      </c>
      <c r="AB1529">
        <v>11</v>
      </c>
      <c r="AC1529">
        <v>-5.0968999999999998</v>
      </c>
      <c r="AD1529">
        <v>-1.109215165887</v>
      </c>
      <c r="AE1529">
        <v>-4.9035000000000002</v>
      </c>
      <c r="AF1529">
        <v>2.8226504389206002</v>
      </c>
      <c r="AG1529">
        <v>-1.109215165887</v>
      </c>
      <c r="AH1529">
        <v>6.29940688369319</v>
      </c>
      <c r="AI1529">
        <v>99.128738015065196</v>
      </c>
      <c r="AJ1529">
        <v>65.863710611226097</v>
      </c>
      <c r="AK1529">
        <v>6.9914405433282196</v>
      </c>
      <c r="AL1529">
        <v>89.690547750504606</v>
      </c>
      <c r="AM1529">
        <v>79.781675491052098</v>
      </c>
      <c r="AN1529">
        <v>0.99999993085896299</v>
      </c>
    </row>
    <row r="1530" spans="1:40" x14ac:dyDescent="0.25">
      <c r="A1530" t="str">
        <f>"20190312154243090"</f>
        <v>20190312154243090</v>
      </c>
      <c r="B1530" t="str">
        <f>"1552376563078589"</f>
        <v>1552376563078589</v>
      </c>
      <c r="C1530" t="s">
        <v>40</v>
      </c>
      <c r="D1530">
        <v>5.0999359999999996</v>
      </c>
      <c r="E1530">
        <v>0.59195920000000002</v>
      </c>
      <c r="F1530" t="s">
        <v>49</v>
      </c>
      <c r="G1530">
        <v>-200.37200000000001</v>
      </c>
      <c r="H1530" s="1">
        <v>1.932565E-6</v>
      </c>
      <c r="I1530">
        <v>289.70909999999998</v>
      </c>
      <c r="J1530">
        <v>-195.15119999999999</v>
      </c>
      <c r="K1530">
        <v>1.1092089999999999</v>
      </c>
      <c r="L1530">
        <v>294.69580000000002</v>
      </c>
      <c r="M1530">
        <v>-0.3779034</v>
      </c>
      <c r="N1530">
        <v>0</v>
      </c>
      <c r="O1530">
        <v>-0.9257457</v>
      </c>
      <c r="P1530">
        <v>-0.53751800000000005</v>
      </c>
      <c r="Q1530">
        <v>-6.9940069999999896E-3</v>
      </c>
      <c r="R1530">
        <v>-0.84322350000000001</v>
      </c>
      <c r="S1530">
        <v>-2.2205349999999999</v>
      </c>
      <c r="T1530">
        <v>-0.46791450000000001</v>
      </c>
      <c r="U1530">
        <v>-2.1431269999999998</v>
      </c>
      <c r="V1530">
        <v>0.1789859</v>
      </c>
      <c r="W1530">
        <v>5.7113509999999999E-3</v>
      </c>
      <c r="X1530">
        <v>0.98383500000000002</v>
      </c>
      <c r="Y1530">
        <v>0.39501829999999999</v>
      </c>
      <c r="Z1530">
        <v>0.15066370000000001</v>
      </c>
      <c r="AA1530">
        <v>0.90623450000000005</v>
      </c>
      <c r="AB1530">
        <v>11</v>
      </c>
      <c r="AC1530">
        <v>-5.2208000000000201</v>
      </c>
      <c r="AD1530">
        <v>-1.1092070674349901</v>
      </c>
      <c r="AE1530">
        <v>-4.9867000000000399</v>
      </c>
      <c r="AF1530">
        <v>2.8809120201910599</v>
      </c>
      <c r="AG1530">
        <v>-1.1092070674349901</v>
      </c>
      <c r="AH1530">
        <v>6.4380163789157203</v>
      </c>
      <c r="AI1530">
        <v>98.937298239944596</v>
      </c>
      <c r="AJ1530">
        <v>65.892227873387696</v>
      </c>
      <c r="AK1530">
        <v>7.1398914054568197</v>
      </c>
      <c r="AL1530">
        <v>89.672761893534002</v>
      </c>
      <c r="AM1530">
        <v>79.689132434007306</v>
      </c>
      <c r="AN1530">
        <v>0.99999993957702504</v>
      </c>
    </row>
    <row r="1531" spans="1:40" x14ac:dyDescent="0.25">
      <c r="A1531" t="str">
        <f>"20190312154243111"</f>
        <v>20190312154243111</v>
      </c>
      <c r="B1531" t="str">
        <f>"1552376563108845"</f>
        <v>1552376563108845</v>
      </c>
      <c r="C1531" t="s">
        <v>40</v>
      </c>
      <c r="D1531">
        <v>5.0822099999999999</v>
      </c>
      <c r="E1531">
        <v>0.59132739999999995</v>
      </c>
      <c r="F1531" t="s">
        <v>49</v>
      </c>
      <c r="G1531">
        <v>-200.56100000000001</v>
      </c>
      <c r="H1531" s="1">
        <v>2.0372519999999999E-6</v>
      </c>
      <c r="I1531">
        <v>289.5181</v>
      </c>
      <c r="J1531">
        <v>-195.1969</v>
      </c>
      <c r="K1531">
        <v>1.10921</v>
      </c>
      <c r="L1531">
        <v>294.59750000000003</v>
      </c>
      <c r="M1531">
        <v>-0.38191710000000001</v>
      </c>
      <c r="N1531">
        <v>0</v>
      </c>
      <c r="O1531">
        <v>-0.9240971</v>
      </c>
      <c r="P1531">
        <v>-0.541964</v>
      </c>
      <c r="Q1531">
        <v>-6.2387980000000003E-3</v>
      </c>
      <c r="R1531">
        <v>-0.84037850000000003</v>
      </c>
      <c r="S1531">
        <v>-2.2288670000000002</v>
      </c>
      <c r="T1531">
        <v>-0.45699319999999999</v>
      </c>
      <c r="U1531">
        <v>-2.1332089999999999</v>
      </c>
      <c r="V1531">
        <v>0.17991299999999999</v>
      </c>
      <c r="W1531">
        <v>6.4623550000000004E-3</v>
      </c>
      <c r="X1531">
        <v>0.98366129999999996</v>
      </c>
      <c r="Y1531">
        <v>0.3952368</v>
      </c>
      <c r="Z1531">
        <v>0.14714440000000001</v>
      </c>
      <c r="AA1531">
        <v>0.90671740000000001</v>
      </c>
      <c r="AB1531">
        <v>11</v>
      </c>
      <c r="AC1531">
        <v>-5.3640999999999703</v>
      </c>
      <c r="AD1531">
        <v>-1.109207962748</v>
      </c>
      <c r="AE1531">
        <v>-5.0794000000000201</v>
      </c>
      <c r="AF1531">
        <v>2.9507927247534802</v>
      </c>
      <c r="AG1531">
        <v>-1.109207962748</v>
      </c>
      <c r="AH1531">
        <v>6.5944515039747298</v>
      </c>
      <c r="AI1531">
        <v>98.728655342533699</v>
      </c>
      <c r="AJ1531">
        <v>65.893107964655897</v>
      </c>
      <c r="AK1531">
        <v>7.3091935702480999</v>
      </c>
      <c r="AL1531">
        <v>89.629731756065198</v>
      </c>
      <c r="AM1531">
        <v>79.635088845749493</v>
      </c>
      <c r="AN1531">
        <v>1.0000000013594099</v>
      </c>
    </row>
    <row r="1532" spans="1:40" x14ac:dyDescent="0.25">
      <c r="A1532" t="str">
        <f>"20190312154243134"</f>
        <v>20190312154243134</v>
      </c>
      <c r="B1532" t="str">
        <f>"1552376563129341"</f>
        <v>1552376563129341</v>
      </c>
      <c r="C1532" t="s">
        <v>40</v>
      </c>
      <c r="D1532">
        <v>5.0997760000000003</v>
      </c>
      <c r="E1532">
        <v>0.59075919999999904</v>
      </c>
      <c r="F1532" t="s">
        <v>49</v>
      </c>
      <c r="G1532">
        <v>-200.76990000000001</v>
      </c>
      <c r="H1532" s="1">
        <v>2.1486769999999999E-6</v>
      </c>
      <c r="I1532">
        <v>289.30290000000002</v>
      </c>
      <c r="J1532">
        <v>-195.24440000000001</v>
      </c>
      <c r="K1532">
        <v>1.1092109999999999</v>
      </c>
      <c r="L1532">
        <v>294.4966</v>
      </c>
      <c r="M1532">
        <v>-0.3860808</v>
      </c>
      <c r="N1532">
        <v>0</v>
      </c>
      <c r="O1532">
        <v>-0.9223652</v>
      </c>
      <c r="P1532">
        <v>-0.54582640000000004</v>
      </c>
      <c r="Q1532">
        <v>-6.4100059999999898E-3</v>
      </c>
      <c r="R1532">
        <v>-0.83787389999999995</v>
      </c>
      <c r="S1532">
        <v>-2.236145</v>
      </c>
      <c r="T1532">
        <v>-0.44506509999999999</v>
      </c>
      <c r="U1532">
        <v>-2.1244510000000001</v>
      </c>
      <c r="V1532">
        <v>0.18000429999999901</v>
      </c>
      <c r="W1532">
        <v>6.2926040000000003E-3</v>
      </c>
      <c r="X1532">
        <v>0.98364569999999996</v>
      </c>
      <c r="Y1532">
        <v>0.39487339999999999</v>
      </c>
      <c r="Z1532">
        <v>0.1432754</v>
      </c>
      <c r="AA1532">
        <v>0.90749500000000005</v>
      </c>
      <c r="AB1532">
        <v>11</v>
      </c>
      <c r="AC1532">
        <v>-5.5254999999999903</v>
      </c>
      <c r="AD1532">
        <v>-1.1092088513230001</v>
      </c>
      <c r="AE1532">
        <v>-5.1936999999999696</v>
      </c>
      <c r="AF1532">
        <v>3.0268652542172299</v>
      </c>
      <c r="AG1532">
        <v>-1.1092088513230001</v>
      </c>
      <c r="AH1532">
        <v>6.7793690267096096</v>
      </c>
      <c r="AI1532">
        <v>98.497164800699593</v>
      </c>
      <c r="AJ1532">
        <v>65.940105041286699</v>
      </c>
      <c r="AK1532">
        <v>7.5068037101918703</v>
      </c>
      <c r="AL1532">
        <v>89.639457970681505</v>
      </c>
      <c r="AM1532">
        <v>79.6297821858916</v>
      </c>
      <c r="AN1532">
        <v>1.0000000040060399</v>
      </c>
    </row>
    <row r="1533" spans="1:40" x14ac:dyDescent="0.25">
      <c r="A1533" t="str">
        <f>"20190312154243156"</f>
        <v>20190312154243156</v>
      </c>
      <c r="B1533" t="str">
        <f>"1552376563148861"</f>
        <v>1552376563148861</v>
      </c>
      <c r="C1533" t="s">
        <v>40</v>
      </c>
      <c r="D1533">
        <v>5.1175959999999998</v>
      </c>
      <c r="E1533">
        <v>0.59049030000000002</v>
      </c>
      <c r="F1533" t="s">
        <v>49</v>
      </c>
      <c r="G1533">
        <v>-200.88159999999999</v>
      </c>
      <c r="H1533" s="1">
        <v>2.2094040000000001E-6</v>
      </c>
      <c r="I1533">
        <v>289.17529999999999</v>
      </c>
      <c r="J1533">
        <v>-195.29220000000001</v>
      </c>
      <c r="K1533">
        <v>1.1092109999999999</v>
      </c>
      <c r="L1533">
        <v>294.3963</v>
      </c>
      <c r="M1533">
        <v>-0.39025739999999998</v>
      </c>
      <c r="N1533">
        <v>0</v>
      </c>
      <c r="O1533">
        <v>-0.92060620000000004</v>
      </c>
      <c r="P1533">
        <v>-0.54933999999999905</v>
      </c>
      <c r="Q1533">
        <v>-6.7213050000000003E-3</v>
      </c>
      <c r="R1533">
        <v>-0.83557209999999904</v>
      </c>
      <c r="S1533">
        <v>-2.2421720000000001</v>
      </c>
      <c r="T1533">
        <v>-0.44117899999999999</v>
      </c>
      <c r="U1533">
        <v>-2.1165159999999998</v>
      </c>
      <c r="V1533">
        <v>0.17967640000000001</v>
      </c>
      <c r="W1533">
        <v>5.9850499999999996E-3</v>
      </c>
      <c r="X1533">
        <v>0.98370749999999996</v>
      </c>
      <c r="Y1533">
        <v>0.39377509999999999</v>
      </c>
      <c r="Z1533">
        <v>0.14193599999999901</v>
      </c>
      <c r="AA1533">
        <v>0.90818239999999995</v>
      </c>
      <c r="AB1533">
        <v>11</v>
      </c>
      <c r="AC1533">
        <v>-5.5893999999999799</v>
      </c>
      <c r="AD1533">
        <v>-1.109208790596</v>
      </c>
      <c r="AE1533">
        <v>-5.2210000000000001</v>
      </c>
      <c r="AF1533">
        <v>3.0443601619988301</v>
      </c>
      <c r="AG1533">
        <v>-1.109208790596</v>
      </c>
      <c r="AH1533">
        <v>6.8444812071821604</v>
      </c>
      <c r="AI1533">
        <v>98.422712635978996</v>
      </c>
      <c r="AJ1533">
        <v>66.020956542532602</v>
      </c>
      <c r="AK1533">
        <v>7.5726742919902899</v>
      </c>
      <c r="AL1533">
        <v>89.657079826107804</v>
      </c>
      <c r="AM1533">
        <v>79.648900314952698</v>
      </c>
      <c r="AN1533">
        <v>0.99999993754835403</v>
      </c>
    </row>
    <row r="1534" spans="1:40" x14ac:dyDescent="0.25">
      <c r="A1534" t="str">
        <f>"20190312154243180"</f>
        <v>20190312154243180</v>
      </c>
      <c r="B1534" t="str">
        <f>"1552376563169358"</f>
        <v>1552376563169358</v>
      </c>
      <c r="C1534" t="s">
        <v>40</v>
      </c>
      <c r="D1534">
        <v>5.1337570000000001</v>
      </c>
      <c r="E1534">
        <v>0.58990779999999998</v>
      </c>
      <c r="F1534" t="s">
        <v>49</v>
      </c>
      <c r="G1534">
        <v>-200.94890000000001</v>
      </c>
      <c r="H1534" s="1">
        <v>2.2463E-6</v>
      </c>
      <c r="I1534">
        <v>289.09440000000001</v>
      </c>
      <c r="J1534">
        <v>-195.34180000000001</v>
      </c>
      <c r="K1534">
        <v>1.109213</v>
      </c>
      <c r="L1534">
        <v>294.2937</v>
      </c>
      <c r="M1534">
        <v>-0.39457360000000002</v>
      </c>
      <c r="N1534">
        <v>0</v>
      </c>
      <c r="O1534">
        <v>-0.91876440000000004</v>
      </c>
      <c r="P1534">
        <v>-0.55281599999999997</v>
      </c>
      <c r="Q1534">
        <v>-6.0878659999999999E-3</v>
      </c>
      <c r="R1534">
        <v>-0.8332813</v>
      </c>
      <c r="S1534">
        <v>-2.249161</v>
      </c>
      <c r="T1534">
        <v>-0.44103429999999999</v>
      </c>
      <c r="U1534">
        <v>-2.1080930000000002</v>
      </c>
      <c r="V1534">
        <v>0.17915790000000001</v>
      </c>
      <c r="W1534">
        <v>6.621615E-3</v>
      </c>
      <c r="X1534">
        <v>0.98379810000000001</v>
      </c>
      <c r="Y1534">
        <v>0.39270060000000001</v>
      </c>
      <c r="Z1534">
        <v>0.141754399999999</v>
      </c>
      <c r="AA1534">
        <v>0.90867589999999998</v>
      </c>
      <c r="AB1534">
        <v>11</v>
      </c>
      <c r="AC1534">
        <v>-5.6071</v>
      </c>
      <c r="AD1534">
        <v>-1.1092107537</v>
      </c>
      <c r="AE1534">
        <v>-5.1992999999999903</v>
      </c>
      <c r="AF1534">
        <v>3.0364895648551098</v>
      </c>
      <c r="AG1534">
        <v>-1.1092107537</v>
      </c>
      <c r="AH1534">
        <v>6.8459380194545396</v>
      </c>
      <c r="AI1534">
        <v>98.424793062607407</v>
      </c>
      <c r="AJ1534">
        <v>66.080503393341303</v>
      </c>
      <c r="AK1534">
        <v>7.5708311789268397</v>
      </c>
      <c r="AL1534">
        <v>89.620606653499607</v>
      </c>
      <c r="AM1534">
        <v>79.679058064103003</v>
      </c>
      <c r="AN1534">
        <v>1.0000000502406099</v>
      </c>
    </row>
    <row r="1535" spans="1:40" x14ac:dyDescent="0.25">
      <c r="A1535" t="str">
        <f>"20190312154243205"</f>
        <v>20190312154243205</v>
      </c>
      <c r="B1535" t="str">
        <f>"1552376563198637"</f>
        <v>1552376563198637</v>
      </c>
      <c r="C1535" t="s">
        <v>40</v>
      </c>
      <c r="D1535">
        <v>5.1379739999999998</v>
      </c>
      <c r="E1535">
        <v>0.58922180000000002</v>
      </c>
      <c r="F1535" t="s">
        <v>49</v>
      </c>
      <c r="G1535">
        <v>-201.06559999999999</v>
      </c>
      <c r="H1535" s="1">
        <v>2.3100089999999999E-6</v>
      </c>
      <c r="I1535">
        <v>288.95760000000001</v>
      </c>
      <c r="J1535">
        <v>-195.3954</v>
      </c>
      <c r="K1535">
        <v>1.1092089999999999</v>
      </c>
      <c r="L1535">
        <v>294.1841</v>
      </c>
      <c r="M1535">
        <v>-0.3992289</v>
      </c>
      <c r="N1535">
        <v>0</v>
      </c>
      <c r="O1535">
        <v>-0.91675090000000004</v>
      </c>
      <c r="P1535">
        <v>-0.5566835</v>
      </c>
      <c r="Q1535">
        <v>-5.183638E-3</v>
      </c>
      <c r="R1535">
        <v>-0.83070859999999902</v>
      </c>
      <c r="S1535">
        <v>-2.2542270000000002</v>
      </c>
      <c r="T1535">
        <v>-0.43684339999999999</v>
      </c>
      <c r="U1535">
        <v>-2.1015009999999998</v>
      </c>
      <c r="V1535">
        <v>0.17874139999999999</v>
      </c>
      <c r="W1535">
        <v>7.526151E-3</v>
      </c>
      <c r="X1535">
        <v>0.9838673</v>
      </c>
      <c r="Y1535">
        <v>0.39064149999999997</v>
      </c>
      <c r="Z1535">
        <v>0.14025480000000001</v>
      </c>
      <c r="AA1535">
        <v>0.90979549999999998</v>
      </c>
      <c r="AB1535">
        <v>11</v>
      </c>
      <c r="AC1535">
        <v>-5.6701999999999897</v>
      </c>
      <c r="AD1535">
        <v>-1.109206689991</v>
      </c>
      <c r="AE1535">
        <v>-5.2264999999999802</v>
      </c>
      <c r="AF1535">
        <v>3.04880003162799</v>
      </c>
      <c r="AG1535">
        <v>-1.109206689991</v>
      </c>
      <c r="AH1535">
        <v>6.9127361311050199</v>
      </c>
      <c r="AI1535">
        <v>98.3521330923477</v>
      </c>
      <c r="AJ1535">
        <v>66.200554258997499</v>
      </c>
      <c r="AK1535">
        <v>7.6361928951710203</v>
      </c>
      <c r="AL1535">
        <v>89.568779239649402</v>
      </c>
      <c r="AM1535">
        <v>79.703246671435494</v>
      </c>
      <c r="AN1535">
        <v>0.99999999751606194</v>
      </c>
    </row>
    <row r="1536" spans="1:40" x14ac:dyDescent="0.25">
      <c r="A1536" t="str">
        <f>"20190312154243226"</f>
        <v>20190312154243226</v>
      </c>
      <c r="B1536" t="str">
        <f>"1552376563219133"</f>
        <v>1552376563219133</v>
      </c>
      <c r="C1536" t="s">
        <v>40</v>
      </c>
      <c r="D1536">
        <v>5.149432</v>
      </c>
      <c r="E1536">
        <v>0.58885790000000005</v>
      </c>
      <c r="F1536" t="s">
        <v>49</v>
      </c>
      <c r="G1536">
        <v>-201.22550000000001</v>
      </c>
      <c r="H1536" s="1">
        <v>2.3964099999999999E-6</v>
      </c>
      <c r="I1536">
        <v>288.78050000000002</v>
      </c>
      <c r="J1536">
        <v>-195.44300000000001</v>
      </c>
      <c r="K1536">
        <v>1.1092</v>
      </c>
      <c r="L1536">
        <v>294.0881</v>
      </c>
      <c r="M1536">
        <v>-0.40335969999999999</v>
      </c>
      <c r="N1536">
        <v>0</v>
      </c>
      <c r="O1536">
        <v>-0.91494109999999995</v>
      </c>
      <c r="P1536">
        <v>-0.55998570000000003</v>
      </c>
      <c r="Q1536">
        <v>-4.8413040000000003E-3</v>
      </c>
      <c r="R1536">
        <v>-0.82848840000000001</v>
      </c>
      <c r="S1536">
        <v>-2.2597049999999999</v>
      </c>
      <c r="T1536">
        <v>-0.42991689999999999</v>
      </c>
      <c r="U1536">
        <v>-2.0943909999999999</v>
      </c>
      <c r="V1536">
        <v>0.17822060000000001</v>
      </c>
      <c r="W1536">
        <v>7.8680339999999994E-3</v>
      </c>
      <c r="X1536">
        <v>0.98395909999999998</v>
      </c>
      <c r="Y1536">
        <v>0.38938469999999997</v>
      </c>
      <c r="Z1536">
        <v>0.13793320000000001</v>
      </c>
      <c r="AA1536">
        <v>0.91068879999999996</v>
      </c>
      <c r="AB1536">
        <v>11</v>
      </c>
      <c r="AC1536">
        <v>-5.7825000000000202</v>
      </c>
      <c r="AD1536">
        <v>-1.10919760359</v>
      </c>
      <c r="AE1536">
        <v>-5.3075999999999697</v>
      </c>
      <c r="AF1536">
        <v>3.0883887909537102</v>
      </c>
      <c r="AG1536">
        <v>-1.10919760359</v>
      </c>
      <c r="AH1536">
        <v>7.0484703460868197</v>
      </c>
      <c r="AI1536">
        <v>98.202002009783897</v>
      </c>
      <c r="AJ1536">
        <v>66.338678409051695</v>
      </c>
      <c r="AK1536">
        <v>7.7749211486396197</v>
      </c>
      <c r="AL1536">
        <v>89.549190207056995</v>
      </c>
      <c r="AM1536">
        <v>79.733546852484096</v>
      </c>
      <c r="AN1536">
        <v>0.99999999934809702</v>
      </c>
    </row>
    <row r="1537" spans="1:40" x14ac:dyDescent="0.25">
      <c r="A1537" t="str">
        <f>"20190312154243249"</f>
        <v>20190312154243249</v>
      </c>
      <c r="B1537" t="str">
        <f>"1552376563238653"</f>
        <v>1552376563238653</v>
      </c>
      <c r="C1537" t="s">
        <v>40</v>
      </c>
      <c r="D1537">
        <v>5.1626859999999999</v>
      </c>
      <c r="E1537">
        <v>0.58848020000000001</v>
      </c>
      <c r="F1537" t="s">
        <v>49</v>
      </c>
      <c r="G1537">
        <v>-201.3451</v>
      </c>
      <c r="H1537" s="1">
        <v>2.4606019999999998E-6</v>
      </c>
      <c r="I1537">
        <v>288.65289999999999</v>
      </c>
      <c r="J1537">
        <v>-195.4931</v>
      </c>
      <c r="K1537">
        <v>1.109189</v>
      </c>
      <c r="L1537">
        <v>293.98829999999998</v>
      </c>
      <c r="M1537">
        <v>-0.40770210000000001</v>
      </c>
      <c r="N1537">
        <v>0</v>
      </c>
      <c r="O1537">
        <v>-0.91301449999999995</v>
      </c>
      <c r="P1537">
        <v>-0.56403269999999905</v>
      </c>
      <c r="Q1537">
        <v>-3.9946010000000004E-3</v>
      </c>
      <c r="R1537">
        <v>-0.82574309999999995</v>
      </c>
      <c r="S1537">
        <v>-2.2660680000000002</v>
      </c>
      <c r="T1537">
        <v>-0.42586980000000002</v>
      </c>
      <c r="U1537">
        <v>-2.0868229999999999</v>
      </c>
      <c r="V1537">
        <v>0.17836170000000001</v>
      </c>
      <c r="W1537">
        <v>8.70867E-3</v>
      </c>
      <c r="X1537">
        <v>0.98392650000000004</v>
      </c>
      <c r="Y1537">
        <v>0.38808559999999998</v>
      </c>
      <c r="Z1537">
        <v>0.13649420000000001</v>
      </c>
      <c r="AA1537">
        <v>0.91145969999999998</v>
      </c>
      <c r="AB1537">
        <v>11</v>
      </c>
      <c r="AC1537">
        <v>-5.8520000000000003</v>
      </c>
      <c r="AD1537">
        <v>-1.109186539398</v>
      </c>
      <c r="AE1537">
        <v>-5.3353999999999902</v>
      </c>
      <c r="AF1537">
        <v>3.10704364963085</v>
      </c>
      <c r="AG1537">
        <v>-1.109186539398</v>
      </c>
      <c r="AH1537">
        <v>7.1181912504744904</v>
      </c>
      <c r="AI1537">
        <v>98.1275805404522</v>
      </c>
      <c r="AJ1537">
        <v>66.419047435072699</v>
      </c>
      <c r="AK1537">
        <v>7.8455504394672504</v>
      </c>
      <c r="AL1537">
        <v>89.501023680096495</v>
      </c>
      <c r="AM1537">
        <v>79.725258641123503</v>
      </c>
      <c r="AN1537">
        <v>1.0000000471811501</v>
      </c>
    </row>
    <row r="1538" spans="1:40" x14ac:dyDescent="0.25">
      <c r="A1538" t="str">
        <f>"20190312154243269"</f>
        <v>20190312154243269</v>
      </c>
      <c r="B1538" t="str">
        <f>"1552376563259149"</f>
        <v>1552376563259149</v>
      </c>
      <c r="C1538" t="s">
        <v>40</v>
      </c>
      <c r="D1538">
        <v>5.203436</v>
      </c>
      <c r="E1538">
        <v>0.5879704</v>
      </c>
      <c r="F1538" t="s">
        <v>49</v>
      </c>
      <c r="G1538">
        <v>-201.49459999999999</v>
      </c>
      <c r="H1538" s="1">
        <v>2.5396490000000001E-6</v>
      </c>
      <c r="I1538">
        <v>288.5068</v>
      </c>
      <c r="J1538">
        <v>-195.53890000000001</v>
      </c>
      <c r="K1538">
        <v>1.1091759999999999</v>
      </c>
      <c r="L1538">
        <v>293.89850000000001</v>
      </c>
      <c r="M1538">
        <v>-0.41166589999999997</v>
      </c>
      <c r="N1538">
        <v>0</v>
      </c>
      <c r="O1538">
        <v>-0.91123399999999999</v>
      </c>
      <c r="P1538">
        <v>-0.56790799999999997</v>
      </c>
      <c r="Q1538">
        <v>-3.5254589999999999E-3</v>
      </c>
      <c r="R1538">
        <v>-0.82308479999999995</v>
      </c>
      <c r="S1538">
        <v>-2.2744599999999999</v>
      </c>
      <c r="T1538">
        <v>-0.42036829999999997</v>
      </c>
      <c r="U1538">
        <v>-2.0774539999999999</v>
      </c>
      <c r="V1538">
        <v>0.17871189999999901</v>
      </c>
      <c r="W1538">
        <v>9.1707070000000002E-3</v>
      </c>
      <c r="X1538">
        <v>0.98385869999999997</v>
      </c>
      <c r="Y1538">
        <v>0.38800509999999999</v>
      </c>
      <c r="Z1538">
        <v>0.1346328</v>
      </c>
      <c r="AA1538">
        <v>0.91177079999999999</v>
      </c>
      <c r="AB1538">
        <v>11</v>
      </c>
      <c r="AC1538">
        <v>-5.95569999999997</v>
      </c>
      <c r="AD1538">
        <v>-1.109173460351</v>
      </c>
      <c r="AE1538">
        <v>-5.3917000000000099</v>
      </c>
      <c r="AF1538">
        <v>3.1477501936502201</v>
      </c>
      <c r="AG1538">
        <v>-1.109173460351</v>
      </c>
      <c r="AH1538">
        <v>7.22776144425662</v>
      </c>
      <c r="AI1538">
        <v>98.008738169636899</v>
      </c>
      <c r="AJ1538">
        <v>66.466474269700299</v>
      </c>
      <c r="AK1538">
        <v>7.9611012141446</v>
      </c>
      <c r="AL1538">
        <v>89.474549824838306</v>
      </c>
      <c r="AM1538">
        <v>79.7048216661818</v>
      </c>
      <c r="AN1538">
        <v>0.999999993317089</v>
      </c>
    </row>
    <row r="1539" spans="1:40" x14ac:dyDescent="0.25">
      <c r="A1539" t="str">
        <f>"20190312154243292"</f>
        <v>20190312154243292</v>
      </c>
      <c r="B1539" t="str">
        <f>"1552376563278669"</f>
        <v>1552376563278669</v>
      </c>
      <c r="C1539" t="s">
        <v>40</v>
      </c>
      <c r="D1539">
        <v>5.2231740000000002</v>
      </c>
      <c r="E1539">
        <v>0.58741659999999996</v>
      </c>
      <c r="F1539" t="s">
        <v>49</v>
      </c>
      <c r="G1539">
        <v>-201.61070000000001</v>
      </c>
      <c r="H1539" s="1">
        <v>2.6013610000000002E-6</v>
      </c>
      <c r="I1539">
        <v>288.39030000000002</v>
      </c>
      <c r="J1539">
        <v>-195.5891</v>
      </c>
      <c r="K1539">
        <v>1.1091569999999999</v>
      </c>
      <c r="L1539">
        <v>293.80119999999999</v>
      </c>
      <c r="M1539">
        <v>-0.41600280000000001</v>
      </c>
      <c r="N1539">
        <v>0</v>
      </c>
      <c r="O1539">
        <v>-0.90926229999999997</v>
      </c>
      <c r="P1539">
        <v>-0.57278469999999904</v>
      </c>
      <c r="Q1539">
        <v>-4.0515969999999997E-3</v>
      </c>
      <c r="R1539">
        <v>-0.81969609999999904</v>
      </c>
      <c r="S1539">
        <v>-2.2809910000000002</v>
      </c>
      <c r="T1539">
        <v>-0.41668060000000001</v>
      </c>
      <c r="U1539">
        <v>-2.0692439999999999</v>
      </c>
      <c r="V1539">
        <v>0.17986489999999999</v>
      </c>
      <c r="W1539">
        <v>8.6342859999999997E-3</v>
      </c>
      <c r="X1539">
        <v>0.98365340000000001</v>
      </c>
      <c r="Y1539">
        <v>0.38685380000000003</v>
      </c>
      <c r="Z1539">
        <v>0.13331889999999999</v>
      </c>
      <c r="AA1539">
        <v>0.91245290000000001</v>
      </c>
      <c r="AB1539">
        <v>11</v>
      </c>
      <c r="AC1539">
        <v>-6.0216000000000003</v>
      </c>
      <c r="AD1539">
        <v>-1.109154398639</v>
      </c>
      <c r="AE1539">
        <v>-5.4108999999999696</v>
      </c>
      <c r="AF1539">
        <v>3.1651466850301802</v>
      </c>
      <c r="AG1539">
        <v>-1.109154398639</v>
      </c>
      <c r="AH1539">
        <v>7.2887920378410298</v>
      </c>
      <c r="AI1539">
        <v>97.946017443096693</v>
      </c>
      <c r="AJ1539">
        <v>66.527178457581002</v>
      </c>
      <c r="AK1539">
        <v>8.0233949415863002</v>
      </c>
      <c r="AL1539">
        <v>89.5052856923283</v>
      </c>
      <c r="AM1539">
        <v>79.637718462260494</v>
      </c>
      <c r="AN1539">
        <v>0.99999997223914905</v>
      </c>
    </row>
    <row r="1540" spans="1:40" x14ac:dyDescent="0.25">
      <c r="A1540" t="str">
        <f>"20190312154243314"</f>
        <v>20190312154243314</v>
      </c>
      <c r="B1540" t="str">
        <f>"1552376563308926"</f>
        <v>1552376563308926</v>
      </c>
      <c r="C1540" t="s">
        <v>40</v>
      </c>
      <c r="D1540">
        <v>5.2480409999999997</v>
      </c>
      <c r="E1540">
        <v>0.58664159999999999</v>
      </c>
      <c r="F1540" t="s">
        <v>49</v>
      </c>
      <c r="G1540">
        <v>-201.6705</v>
      </c>
      <c r="H1540" s="1">
        <v>2.6324610000000002E-6</v>
      </c>
      <c r="I1540">
        <v>288.33769999999998</v>
      </c>
      <c r="J1540">
        <v>-195.63829999999999</v>
      </c>
      <c r="K1540">
        <v>1.1091439999999999</v>
      </c>
      <c r="L1540">
        <v>293.70699999999999</v>
      </c>
      <c r="M1540">
        <v>-0.42024860000000003</v>
      </c>
      <c r="N1540">
        <v>0</v>
      </c>
      <c r="O1540">
        <v>-0.90730759999999999</v>
      </c>
      <c r="P1540">
        <v>-0.578219699999999</v>
      </c>
      <c r="Q1540">
        <v>-4.781024E-3</v>
      </c>
      <c r="R1540">
        <v>-0.81586719999999902</v>
      </c>
      <c r="S1540">
        <v>-2.2901760000000002</v>
      </c>
      <c r="T1540">
        <v>-0.4176898</v>
      </c>
      <c r="U1540">
        <v>-2.0574650000000001</v>
      </c>
      <c r="V1540">
        <v>0.18180289999999999</v>
      </c>
      <c r="W1540">
        <v>7.8918740000000001E-3</v>
      </c>
      <c r="X1540">
        <v>0.98330329999999999</v>
      </c>
      <c r="Y1540">
        <v>0.38693549999999999</v>
      </c>
      <c r="Z1540">
        <v>0.1335402</v>
      </c>
      <c r="AA1540">
        <v>0.91238580000000002</v>
      </c>
      <c r="AB1540">
        <v>11</v>
      </c>
      <c r="AC1540">
        <v>-6.0322000000000102</v>
      </c>
      <c r="AD1540">
        <v>-1.1091413675390001</v>
      </c>
      <c r="AE1540">
        <v>-5.3693000000000097</v>
      </c>
      <c r="AF1540">
        <v>3.1573583984418301</v>
      </c>
      <c r="AG1540">
        <v>-1.1091413675390001</v>
      </c>
      <c r="AH1540">
        <v>7.2701735621844898</v>
      </c>
      <c r="AI1540">
        <v>97.9658961433977</v>
      </c>
      <c r="AJ1540">
        <v>66.5252108069283</v>
      </c>
      <c r="AK1540">
        <v>8.0034074152003392</v>
      </c>
      <c r="AL1540">
        <v>89.547824223589998</v>
      </c>
      <c r="AM1540">
        <v>79.524878601215505</v>
      </c>
      <c r="AN1540">
        <v>0.99999997795726503</v>
      </c>
    </row>
    <row r="1541" spans="1:40" x14ac:dyDescent="0.25">
      <c r="A1541" t="str">
        <f>"20190312154243335"</f>
        <v>20190312154243335</v>
      </c>
      <c r="B1541" t="str">
        <f>"1552376563328447"</f>
        <v>1552376563328447</v>
      </c>
      <c r="C1541" t="s">
        <v>40</v>
      </c>
      <c r="D1541">
        <v>5.2349819999999996</v>
      </c>
      <c r="E1541">
        <v>0.58626769999999995</v>
      </c>
      <c r="F1541" t="s">
        <v>49</v>
      </c>
      <c r="G1541">
        <v>-201.71889999999999</v>
      </c>
      <c r="H1541" s="1">
        <v>2.6574589999999999E-6</v>
      </c>
      <c r="I1541">
        <v>288.29719999999998</v>
      </c>
      <c r="J1541">
        <v>-195.68680000000001</v>
      </c>
      <c r="K1541">
        <v>1.1091390000000001</v>
      </c>
      <c r="L1541">
        <v>293.61529999999999</v>
      </c>
      <c r="M1541">
        <v>-0.42442580000000002</v>
      </c>
      <c r="N1541">
        <v>0</v>
      </c>
      <c r="O1541">
        <v>-0.90536119999999998</v>
      </c>
      <c r="P1541">
        <v>-0.58420569999999905</v>
      </c>
      <c r="Q1541">
        <v>-4.9677289999999997E-3</v>
      </c>
      <c r="R1541">
        <v>-0.81159059999999905</v>
      </c>
      <c r="S1541">
        <v>-2.2989199999999999</v>
      </c>
      <c r="T1541">
        <v>-0.41933720000000002</v>
      </c>
      <c r="U1541">
        <v>-2.0452880000000002</v>
      </c>
      <c r="V1541">
        <v>0.18450349999999999</v>
      </c>
      <c r="W1541">
        <v>7.6877949999999999E-3</v>
      </c>
      <c r="X1541">
        <v>0.98280179999999995</v>
      </c>
      <c r="Y1541">
        <v>0.38705650000000003</v>
      </c>
      <c r="Z1541">
        <v>0.13398450000000001</v>
      </c>
      <c r="AA1541">
        <v>0.91226940000000001</v>
      </c>
      <c r="AB1541">
        <v>11</v>
      </c>
      <c r="AC1541">
        <v>-6.0320999999999803</v>
      </c>
      <c r="AD1541">
        <v>-1.1091363425409999</v>
      </c>
      <c r="AE1541">
        <v>-5.31810000000001</v>
      </c>
      <c r="AF1541">
        <v>3.14456611264661</v>
      </c>
      <c r="AG1541">
        <v>-1.1091363425409999</v>
      </c>
      <c r="AH1541">
        <v>7.2379707768213004</v>
      </c>
      <c r="AI1541">
        <v>98.000368190095898</v>
      </c>
      <c r="AJ1541">
        <v>66.517265773022601</v>
      </c>
      <c r="AK1541">
        <v>7.9691091364888296</v>
      </c>
      <c r="AL1541">
        <v>89.559517458550104</v>
      </c>
      <c r="AM1541">
        <v>79.367495503458798</v>
      </c>
      <c r="AN1541">
        <v>1.0000000108937199</v>
      </c>
    </row>
    <row r="1542" spans="1:40" x14ac:dyDescent="0.25">
      <c r="A1542" t="str">
        <f>"20190312154243357"</f>
        <v>20190312154243357</v>
      </c>
      <c r="B1542" t="str">
        <f>"1552376563348941"</f>
        <v>1552376563348941</v>
      </c>
      <c r="C1542" t="s">
        <v>40</v>
      </c>
      <c r="D1542">
        <v>5.5218660000000002</v>
      </c>
      <c r="E1542">
        <v>0.61522969999999999</v>
      </c>
      <c r="F1542" t="s">
        <v>49</v>
      </c>
      <c r="G1542">
        <v>-201.7824</v>
      </c>
      <c r="H1542" s="1">
        <v>2.688692E-6</v>
      </c>
      <c r="I1542">
        <v>288.26220000000001</v>
      </c>
      <c r="J1542">
        <v>-195.74039999999999</v>
      </c>
      <c r="K1542">
        <v>1.1091329999999999</v>
      </c>
      <c r="L1542">
        <v>293.51530000000002</v>
      </c>
      <c r="M1542">
        <v>-0.42903449999999999</v>
      </c>
      <c r="N1542">
        <v>0</v>
      </c>
      <c r="O1542">
        <v>-0.9031863</v>
      </c>
      <c r="P1542">
        <v>-0.59109440000000002</v>
      </c>
      <c r="Q1542">
        <v>-4.5628689999999998E-3</v>
      </c>
      <c r="R1542">
        <v>-0.80658940000000001</v>
      </c>
      <c r="S1542">
        <v>-2.3115389999999998</v>
      </c>
      <c r="T1542">
        <v>-0.42059829999999998</v>
      </c>
      <c r="U1542">
        <v>-2.0299680000000002</v>
      </c>
      <c r="V1542">
        <v>0.1878619</v>
      </c>
      <c r="W1542">
        <v>8.0697300000000007E-3</v>
      </c>
      <c r="X1542">
        <v>0.98216230000000004</v>
      </c>
      <c r="Y1542">
        <v>0.38820710000000003</v>
      </c>
      <c r="Z1542">
        <v>0.13428309999999999</v>
      </c>
      <c r="AA1542">
        <v>0.9117364</v>
      </c>
      <c r="AB1542">
        <v>11</v>
      </c>
      <c r="AC1542">
        <v>-6.0419999999999998</v>
      </c>
      <c r="AD1542">
        <v>-1.109130311308</v>
      </c>
      <c r="AE1542">
        <v>-5.2531000000000097</v>
      </c>
      <c r="AF1542">
        <v>3.1432621932454499</v>
      </c>
      <c r="AG1542">
        <v>-1.109130311308</v>
      </c>
      <c r="AH1542">
        <v>7.1992667491041296</v>
      </c>
      <c r="AI1542">
        <v>98.036516126559803</v>
      </c>
      <c r="AJ1542">
        <v>66.4135017253016</v>
      </c>
      <c r="AK1542">
        <v>7.9334550473110204</v>
      </c>
      <c r="AL1542">
        <v>89.537633510272599</v>
      </c>
      <c r="AM1542">
        <v>79.171609797325999</v>
      </c>
      <c r="AN1542">
        <v>0.99999999877758605</v>
      </c>
    </row>
    <row r="1543" spans="1:40" x14ac:dyDescent="0.25">
      <c r="A1543" t="str">
        <f>"20190312154243382"</f>
        <v>20190312154243382</v>
      </c>
      <c r="B1543" t="str">
        <f>"1552376563379197"</f>
        <v>1552376563379197</v>
      </c>
      <c r="C1543" t="s">
        <v>40</v>
      </c>
      <c r="D1543">
        <v>5.4167319999999997</v>
      </c>
      <c r="E1543">
        <v>0.64068290000000006</v>
      </c>
      <c r="F1543" t="s">
        <v>49</v>
      </c>
      <c r="G1543">
        <v>-199.9667</v>
      </c>
      <c r="H1543" s="1">
        <v>1.6327770000000001E-6</v>
      </c>
      <c r="I1543">
        <v>290.37</v>
      </c>
      <c r="J1543">
        <v>-195.79400000000001</v>
      </c>
      <c r="K1543">
        <v>1.109113</v>
      </c>
      <c r="L1543">
        <v>293.41669999999999</v>
      </c>
      <c r="M1543">
        <v>-0.43364540000000001</v>
      </c>
      <c r="N1543">
        <v>0</v>
      </c>
      <c r="O1543">
        <v>-0.90098180000000005</v>
      </c>
      <c r="P1543">
        <v>-0.59889079999999995</v>
      </c>
      <c r="Q1543">
        <v>-3.7047360000000001E-3</v>
      </c>
      <c r="R1543">
        <v>-0.80082259999999905</v>
      </c>
      <c r="S1543">
        <v>-2.515533</v>
      </c>
      <c r="T1543">
        <v>-0.66016009999999903</v>
      </c>
      <c r="U1543">
        <v>-1.872131</v>
      </c>
      <c r="V1543">
        <v>0.1923687</v>
      </c>
      <c r="W1543">
        <v>8.8960589999999996E-3</v>
      </c>
      <c r="X1543">
        <v>0.9812824</v>
      </c>
      <c r="Y1543">
        <v>0.44508959999999997</v>
      </c>
      <c r="Z1543">
        <v>0.20735680000000001</v>
      </c>
      <c r="AA1543">
        <v>0.87114780000000003</v>
      </c>
      <c r="AB1543">
        <v>11</v>
      </c>
      <c r="AC1543">
        <v>-4.1726999999999901</v>
      </c>
      <c r="AD1543">
        <v>-1.109111367223</v>
      </c>
      <c r="AE1543">
        <v>-3.04669999999998</v>
      </c>
      <c r="AF1543">
        <v>2.33113744430411</v>
      </c>
      <c r="AG1543">
        <v>-1.109111367223</v>
      </c>
      <c r="AH1543">
        <v>4.3542545767728997</v>
      </c>
      <c r="AI1543">
        <v>102.656487630923</v>
      </c>
      <c r="AJ1543">
        <v>61.836737663030597</v>
      </c>
      <c r="AK1543">
        <v>5.0620018499095503</v>
      </c>
      <c r="AL1543">
        <v>89.490286643055896</v>
      </c>
      <c r="AM1543">
        <v>78.908504363688195</v>
      </c>
      <c r="AN1543">
        <v>1.0000000025775899</v>
      </c>
    </row>
    <row r="1544" spans="1:40" x14ac:dyDescent="0.25">
      <c r="A1544" t="str">
        <f>"20190312154243403"</f>
        <v>20190312154243403</v>
      </c>
      <c r="B1544" t="str">
        <f>"1552376563398717"</f>
        <v>1552376563398717</v>
      </c>
      <c r="C1544" t="s">
        <v>40</v>
      </c>
      <c r="D1544">
        <v>5.3870329999999997</v>
      </c>
      <c r="E1544">
        <v>0.70640999999999998</v>
      </c>
      <c r="F1544" t="s">
        <v>49</v>
      </c>
      <c r="G1544">
        <v>-200.17920000000001</v>
      </c>
      <c r="H1544" s="1">
        <v>1.694E-6</v>
      </c>
      <c r="I1544">
        <v>290.6103</v>
      </c>
      <c r="J1544">
        <v>-195.84479999999999</v>
      </c>
      <c r="K1544">
        <v>1.109097</v>
      </c>
      <c r="L1544">
        <v>293.32429999999999</v>
      </c>
      <c r="M1544">
        <v>-0.43802390000000002</v>
      </c>
      <c r="N1544">
        <v>0</v>
      </c>
      <c r="O1544">
        <v>-0.89886089999999996</v>
      </c>
      <c r="P1544">
        <v>-0.60639929999999997</v>
      </c>
      <c r="Q1544">
        <v>-2.9974239999999998E-3</v>
      </c>
      <c r="R1544">
        <v>-0.7951549</v>
      </c>
      <c r="S1544">
        <v>-2.6970369999999999</v>
      </c>
      <c r="T1544">
        <v>-0.68213369999999995</v>
      </c>
      <c r="U1544">
        <v>-1.725983</v>
      </c>
      <c r="V1544">
        <v>0.19682720000000001</v>
      </c>
      <c r="W1544">
        <v>9.5678940000000004E-3</v>
      </c>
      <c r="X1544">
        <v>0.98039149999999997</v>
      </c>
      <c r="Y1544">
        <v>0.50028879999999998</v>
      </c>
      <c r="Z1544">
        <v>0.21265100000000001</v>
      </c>
      <c r="AA1544">
        <v>0.83933939999999996</v>
      </c>
      <c r="AB1544">
        <v>11</v>
      </c>
      <c r="AC1544">
        <v>-4.3344000000000102</v>
      </c>
      <c r="AD1544">
        <v>-1.1090953059999999</v>
      </c>
      <c r="AE1544">
        <v>-2.7139999999999902</v>
      </c>
      <c r="AF1544">
        <v>2.58585019261518</v>
      </c>
      <c r="AG1544">
        <v>-1.1090953059999999</v>
      </c>
      <c r="AH1544">
        <v>4.14358604437599</v>
      </c>
      <c r="AI1544">
        <v>102.793532985646</v>
      </c>
      <c r="AJ1544">
        <v>58.033323856420502</v>
      </c>
      <c r="AK1544">
        <v>5.00859450580566</v>
      </c>
      <c r="AL1544">
        <v>89.451791686261998</v>
      </c>
      <c r="AM1544">
        <v>78.647990046650804</v>
      </c>
      <c r="AN1544">
        <v>0.99999999226384195</v>
      </c>
    </row>
    <row r="1545" spans="1:40" x14ac:dyDescent="0.25">
      <c r="A1545" t="str">
        <f>"20190312154243426"</f>
        <v>20190312154243426</v>
      </c>
      <c r="B1545" t="str">
        <f>"1552376563419213"</f>
        <v>1552376563419213</v>
      </c>
      <c r="C1545" t="s">
        <v>40</v>
      </c>
      <c r="D1545">
        <v>5.451397</v>
      </c>
      <c r="E1545">
        <v>0.71133669999999904</v>
      </c>
      <c r="F1545" t="s">
        <v>49</v>
      </c>
      <c r="G1545">
        <v>-199.0855</v>
      </c>
      <c r="H1545" s="1">
        <v>1.4370500000000001E-6</v>
      </c>
      <c r="I1545">
        <v>291.89589999999998</v>
      </c>
      <c r="J1545">
        <v>-195.8982</v>
      </c>
      <c r="K1545">
        <v>1.109075</v>
      </c>
      <c r="L1545">
        <v>293.2287</v>
      </c>
      <c r="M1545">
        <v>-0.44262659999999998</v>
      </c>
      <c r="N1545">
        <v>0</v>
      </c>
      <c r="O1545">
        <v>-0.89660329999999999</v>
      </c>
      <c r="P1545">
        <v>-0.61388580000000004</v>
      </c>
      <c r="Q1545">
        <v>-2.2071920000000002E-3</v>
      </c>
      <c r="R1545">
        <v>-0.78939199999999998</v>
      </c>
      <c r="S1545">
        <v>-3.1318049999999999</v>
      </c>
      <c r="T1545">
        <v>-1.0718479999999999</v>
      </c>
      <c r="U1545">
        <v>-1.3804320000000001</v>
      </c>
      <c r="V1545">
        <v>0.20106550000000001</v>
      </c>
      <c r="W1545">
        <v>1.0321260000000001E-2</v>
      </c>
      <c r="X1545">
        <v>0.97952340000000004</v>
      </c>
      <c r="Y1545">
        <v>0.59215799999999996</v>
      </c>
      <c r="Z1545">
        <v>0.31478679999999998</v>
      </c>
      <c r="AA1545">
        <v>0.74179390000000001</v>
      </c>
      <c r="AB1545">
        <v>11</v>
      </c>
      <c r="AC1545">
        <v>-3.1872999999999898</v>
      </c>
      <c r="AD1545">
        <v>-1.1090735629499999</v>
      </c>
      <c r="AE1545">
        <v>-1.33280000000002</v>
      </c>
      <c r="AF1545">
        <v>2.0561167238790499</v>
      </c>
      <c r="AG1545">
        <v>-1.1090735629499999</v>
      </c>
      <c r="AH1545">
        <v>2.36253418398119</v>
      </c>
      <c r="AI1545">
        <v>109.499801286642</v>
      </c>
      <c r="AJ1545">
        <v>48.966904385904797</v>
      </c>
      <c r="AK1545">
        <v>3.32253335885878</v>
      </c>
      <c r="AL1545">
        <v>89.408624849365196</v>
      </c>
      <c r="AM1545">
        <v>78.400099793796599</v>
      </c>
      <c r="AN1545">
        <v>0.99999997742289803</v>
      </c>
    </row>
    <row r="1546" spans="1:40" x14ac:dyDescent="0.25">
      <c r="A1546" t="str">
        <f>"20190312154243446"</f>
        <v>20190312154243446</v>
      </c>
      <c r="B1546" t="str">
        <f>"1552376563438733"</f>
        <v>1552376563438733</v>
      </c>
      <c r="C1546" t="s">
        <v>40</v>
      </c>
      <c r="D1546">
        <v>5.4118729999999999</v>
      </c>
      <c r="E1546">
        <v>0.71310859999999998</v>
      </c>
      <c r="F1546" t="s">
        <v>49</v>
      </c>
      <c r="G1546">
        <v>-199.05090000000001</v>
      </c>
      <c r="H1546" s="1">
        <v>1.437077E-6</v>
      </c>
      <c r="I1546">
        <v>291.91309999999999</v>
      </c>
      <c r="J1546">
        <v>-195.94810000000001</v>
      </c>
      <c r="K1546">
        <v>1.1090469999999999</v>
      </c>
      <c r="L1546">
        <v>293.14049999999997</v>
      </c>
      <c r="M1546">
        <v>-0.44694689999999998</v>
      </c>
      <c r="N1546">
        <v>0</v>
      </c>
      <c r="O1546">
        <v>-0.89445750000000002</v>
      </c>
      <c r="P1546">
        <v>-0.62040600000000001</v>
      </c>
      <c r="Q1546">
        <v>-1.8848020000000001E-3</v>
      </c>
      <c r="R1546">
        <v>-0.78427880000000005</v>
      </c>
      <c r="S1546">
        <v>-3.1777799999999998</v>
      </c>
      <c r="T1546">
        <v>-1.1178650000000001</v>
      </c>
      <c r="U1546">
        <v>-1.3260190000000001</v>
      </c>
      <c r="V1546">
        <v>0.20445740000000001</v>
      </c>
      <c r="W1546">
        <v>1.061116E-2</v>
      </c>
      <c r="X1546">
        <v>0.97881790000000002</v>
      </c>
      <c r="Y1546">
        <v>0.59932089999999905</v>
      </c>
      <c r="Z1546">
        <v>0.32608769999999998</v>
      </c>
      <c r="AA1546">
        <v>0.73108229999999996</v>
      </c>
      <c r="AB1546">
        <v>11</v>
      </c>
      <c r="AC1546">
        <v>-3.1027999999999998</v>
      </c>
      <c r="AD1546">
        <v>-1.1090455629229901</v>
      </c>
      <c r="AE1546">
        <v>-1.2273999999999801</v>
      </c>
      <c r="AF1546">
        <v>2.0054042169278801</v>
      </c>
      <c r="AG1546">
        <v>-1.1090455629229901</v>
      </c>
      <c r="AH1546">
        <v>2.2376726836632099</v>
      </c>
      <c r="AI1546">
        <v>110.25866315217699</v>
      </c>
      <c r="AJ1546">
        <v>48.133276724719998</v>
      </c>
      <c r="AK1546">
        <v>3.2029372727426</v>
      </c>
      <c r="AL1546">
        <v>89.392013877931305</v>
      </c>
      <c r="AM1546">
        <v>78.2015880288928</v>
      </c>
      <c r="AN1546">
        <v>0.999999953245856</v>
      </c>
    </row>
    <row r="1547" spans="1:40" x14ac:dyDescent="0.25">
      <c r="A1547" t="str">
        <f>"20190312154243468"</f>
        <v>20190312154243468</v>
      </c>
      <c r="B1547" t="str">
        <f>"1552376563459229"</f>
        <v>1552376563459229</v>
      </c>
      <c r="C1547" t="s">
        <v>40</v>
      </c>
      <c r="D1547">
        <v>5.4342790000000001</v>
      </c>
      <c r="E1547">
        <v>0.71381600000000001</v>
      </c>
      <c r="F1547" t="s">
        <v>49</v>
      </c>
      <c r="G1547">
        <v>-199.05609999999999</v>
      </c>
      <c r="H1547" s="1">
        <v>1.4409710000000001E-6</v>
      </c>
      <c r="I1547">
        <v>291.88839999999999</v>
      </c>
      <c r="J1547">
        <v>-196.00110000000001</v>
      </c>
      <c r="K1547">
        <v>1.1090199999999999</v>
      </c>
      <c r="L1547">
        <v>293.048</v>
      </c>
      <c r="M1547">
        <v>-0.45155499999999998</v>
      </c>
      <c r="N1547">
        <v>0</v>
      </c>
      <c r="O1547">
        <v>-0.8921403</v>
      </c>
      <c r="P1547">
        <v>-0.6264438</v>
      </c>
      <c r="Q1547">
        <v>-2.1053650000000001E-3</v>
      </c>
      <c r="R1547">
        <v>-0.77946419999999905</v>
      </c>
      <c r="S1547">
        <v>-3.20166</v>
      </c>
      <c r="T1547">
        <v>-1.1424620000000001</v>
      </c>
      <c r="U1547">
        <v>-1.289795</v>
      </c>
      <c r="V1547">
        <v>0.20696639999999999</v>
      </c>
      <c r="W1547">
        <v>1.036274E-2</v>
      </c>
      <c r="X1547">
        <v>0.97829319999999997</v>
      </c>
      <c r="Y1547">
        <v>0.60226449999999998</v>
      </c>
      <c r="Z1547">
        <v>0.3321325</v>
      </c>
      <c r="AA1547">
        <v>0.72592389999999996</v>
      </c>
      <c r="AB1547">
        <v>11</v>
      </c>
      <c r="AC1547">
        <v>-3.05499999999997</v>
      </c>
      <c r="AD1547">
        <v>-1.109018559029</v>
      </c>
      <c r="AE1547">
        <v>-1.15960000000001</v>
      </c>
      <c r="AF1547">
        <v>1.97461912892206</v>
      </c>
      <c r="AG1547">
        <v>-1.109018559029</v>
      </c>
      <c r="AH1547">
        <v>2.1648837649869401</v>
      </c>
      <c r="AI1547">
        <v>110.730845122877</v>
      </c>
      <c r="AJ1547">
        <v>47.631642941255201</v>
      </c>
      <c r="AK1547">
        <v>3.1330120626131799</v>
      </c>
      <c r="AL1547">
        <v>89.406248125162904</v>
      </c>
      <c r="AM1547">
        <v>78.054715012962902</v>
      </c>
      <c r="AN1547">
        <v>1.0000000311377499</v>
      </c>
    </row>
    <row r="1548" spans="1:40" x14ac:dyDescent="0.25">
      <c r="A1548" t="str">
        <f>"20190312154243491"</f>
        <v>20190312154243491</v>
      </c>
      <c r="B1548" t="str">
        <f>"1552376563488510"</f>
        <v>1552376563488510</v>
      </c>
      <c r="C1548" t="s">
        <v>40</v>
      </c>
      <c r="D1548">
        <v>5.4600299999999997</v>
      </c>
      <c r="E1548">
        <v>0.71405289999999999</v>
      </c>
      <c r="F1548" t="s">
        <v>49</v>
      </c>
      <c r="G1548">
        <v>-199.08860000000001</v>
      </c>
      <c r="H1548" s="1">
        <v>1.4470489999999999E-6</v>
      </c>
      <c r="I1548">
        <v>291.83749999999998</v>
      </c>
      <c r="J1548">
        <v>-196.05420000000001</v>
      </c>
      <c r="K1548">
        <v>1.1089979999999999</v>
      </c>
      <c r="L1548">
        <v>292.95690000000002</v>
      </c>
      <c r="M1548">
        <v>-0.45617560000000001</v>
      </c>
      <c r="N1548">
        <v>0</v>
      </c>
      <c r="O1548">
        <v>-0.88978609999999903</v>
      </c>
      <c r="P1548">
        <v>-0.63282050000000001</v>
      </c>
      <c r="Q1548">
        <v>-1.5037080000000001E-3</v>
      </c>
      <c r="R1548">
        <v>-0.77429709999999996</v>
      </c>
      <c r="S1548">
        <v>-3.21611</v>
      </c>
      <c r="T1548">
        <v>-1.155222</v>
      </c>
      <c r="U1548">
        <v>-1.2609250000000001</v>
      </c>
      <c r="V1548">
        <v>0.20992450000000001</v>
      </c>
      <c r="W1548">
        <v>1.0936349999999999E-2</v>
      </c>
      <c r="X1548">
        <v>0.97765639999999998</v>
      </c>
      <c r="Y1548">
        <v>0.60390299999999997</v>
      </c>
      <c r="Z1548">
        <v>0.33531359999999999</v>
      </c>
      <c r="AA1548">
        <v>0.72309469999999898</v>
      </c>
      <c r="AB1548">
        <v>10</v>
      </c>
      <c r="AC1548">
        <v>-3.0344000000000002</v>
      </c>
      <c r="AD1548">
        <v>-1.108996552951</v>
      </c>
      <c r="AE1548">
        <v>-1.1194000000000399</v>
      </c>
      <c r="AF1548">
        <v>1.9591819772633801</v>
      </c>
      <c r="AG1548">
        <v>-1.108996552951</v>
      </c>
      <c r="AH1548">
        <v>2.13003407789884</v>
      </c>
      <c r="AI1548">
        <v>110.96687215059001</v>
      </c>
      <c r="AJ1548">
        <v>47.392491361038097</v>
      </c>
      <c r="AK1548">
        <v>3.0992438670587399</v>
      </c>
      <c r="AL1548">
        <v>89.373380790217794</v>
      </c>
      <c r="AM1548">
        <v>77.881336071695401</v>
      </c>
      <c r="AN1548">
        <v>0.999999967956265</v>
      </c>
    </row>
    <row r="1549" spans="1:40" x14ac:dyDescent="0.25">
      <c r="A1549" t="str">
        <f>"20190312154243512"</f>
        <v>20190312154243512</v>
      </c>
      <c r="B1549" t="str">
        <f>"1552376563509005"</f>
        <v>1552376563509005</v>
      </c>
      <c r="C1549" t="s">
        <v>40</v>
      </c>
      <c r="D1549">
        <v>5.4203270000000003</v>
      </c>
      <c r="E1549">
        <v>0.71358180000000004</v>
      </c>
      <c r="F1549" t="s">
        <v>49</v>
      </c>
      <c r="G1549">
        <v>-199.12389999999999</v>
      </c>
      <c r="H1549" s="1">
        <v>1.453402E-6</v>
      </c>
      <c r="I1549">
        <v>291.78370000000001</v>
      </c>
      <c r="J1549">
        <v>-196.10740000000001</v>
      </c>
      <c r="K1549">
        <v>1.1089899999999999</v>
      </c>
      <c r="L1549">
        <v>292.86689999999999</v>
      </c>
      <c r="M1549">
        <v>-0.46080680000000002</v>
      </c>
      <c r="N1549">
        <v>0</v>
      </c>
      <c r="O1549">
        <v>-0.88739659999999998</v>
      </c>
      <c r="P1549">
        <v>-0.63902709999999996</v>
      </c>
      <c r="Q1549">
        <v>-1.0903919999999999E-3</v>
      </c>
      <c r="R1549">
        <v>-0.76918379999999997</v>
      </c>
      <c r="S1549">
        <v>-3.2282259999999998</v>
      </c>
      <c r="T1549">
        <v>-1.1662410000000001</v>
      </c>
      <c r="U1549">
        <v>-1.2338559999999901</v>
      </c>
      <c r="V1549">
        <v>0.21269250000000001</v>
      </c>
      <c r="W1549">
        <v>1.132828E-2</v>
      </c>
      <c r="X1549">
        <v>0.97705350000000002</v>
      </c>
      <c r="Y1549">
        <v>0.60509840000000004</v>
      </c>
      <c r="Z1549">
        <v>0.33807470000000001</v>
      </c>
      <c r="AA1549">
        <v>0.72080619999999995</v>
      </c>
      <c r="AB1549">
        <v>10</v>
      </c>
      <c r="AC1549">
        <v>-3.01649999999997</v>
      </c>
      <c r="AD1549">
        <v>-1.1089885465979901</v>
      </c>
      <c r="AE1549">
        <v>-1.08319999999997</v>
      </c>
      <c r="AF1549">
        <v>1.9450244664774901</v>
      </c>
      <c r="AG1549">
        <v>-1.1089885465979901</v>
      </c>
      <c r="AH1549">
        <v>2.1000466887256501</v>
      </c>
      <c r="AI1549">
        <v>111.17803807525701</v>
      </c>
      <c r="AJ1549">
        <v>47.194714045436399</v>
      </c>
      <c r="AK1549">
        <v>3.0697185321311</v>
      </c>
      <c r="AL1549">
        <v>89.350923474395998</v>
      </c>
      <c r="AM1549">
        <v>77.719013030314699</v>
      </c>
      <c r="AN1549">
        <v>0.99999998567312898</v>
      </c>
    </row>
    <row r="1550" spans="1:40" x14ac:dyDescent="0.25">
      <c r="A1550" t="str">
        <f>"20190312154243535"</f>
        <v>20190312154243535</v>
      </c>
      <c r="B1550" t="str">
        <f>"1552376563528525"</f>
        <v>1552376563528525</v>
      </c>
      <c r="C1550" t="s">
        <v>40</v>
      </c>
      <c r="D1550">
        <v>5.436877</v>
      </c>
      <c r="E1550">
        <v>0.71297929999999998</v>
      </c>
      <c r="F1550" t="s">
        <v>49</v>
      </c>
      <c r="G1550">
        <v>-199.17740000000001</v>
      </c>
      <c r="H1550" s="1">
        <v>1.4601819999999999E-6</v>
      </c>
      <c r="I1550">
        <v>291.71820000000002</v>
      </c>
      <c r="J1550">
        <v>-196.16200000000001</v>
      </c>
      <c r="K1550">
        <v>1.1089850000000001</v>
      </c>
      <c r="L1550">
        <v>292.7756</v>
      </c>
      <c r="M1550">
        <v>-0.46555350000000001</v>
      </c>
      <c r="N1550">
        <v>0</v>
      </c>
      <c r="O1550">
        <v>-0.88491559999999903</v>
      </c>
      <c r="P1550">
        <v>-0.64469809999999905</v>
      </c>
      <c r="Q1550">
        <v>-1.329647E-4</v>
      </c>
      <c r="R1550">
        <v>-0.7644379</v>
      </c>
      <c r="S1550">
        <v>-3.2355499999999999</v>
      </c>
      <c r="T1550">
        <v>-1.168771</v>
      </c>
      <c r="U1550">
        <v>-1.2105410000000001</v>
      </c>
      <c r="V1550">
        <v>0.21468799999999999</v>
      </c>
      <c r="W1550">
        <v>1.227426E-2</v>
      </c>
      <c r="X1550">
        <v>0.97660550000000002</v>
      </c>
      <c r="Y1550">
        <v>0.605823</v>
      </c>
      <c r="Z1550">
        <v>0.33875280000000002</v>
      </c>
      <c r="AA1550">
        <v>0.71987849999999998</v>
      </c>
      <c r="AB1550">
        <v>10</v>
      </c>
      <c r="AC1550">
        <v>-3.0154000000000001</v>
      </c>
      <c r="AD1550">
        <v>-1.1089835398179999</v>
      </c>
      <c r="AE1550">
        <v>-1.0573999999999699</v>
      </c>
      <c r="AF1550">
        <v>1.9423500078936899</v>
      </c>
      <c r="AG1550">
        <v>-1.1089835398179999</v>
      </c>
      <c r="AH1550">
        <v>2.0882352862567299</v>
      </c>
      <c r="AI1550">
        <v>111.24881920917601</v>
      </c>
      <c r="AJ1550">
        <v>47.072890893932197</v>
      </c>
      <c r="AK1550">
        <v>3.05995010670429</v>
      </c>
      <c r="AL1550">
        <v>89.296719009444402</v>
      </c>
      <c r="AM1550">
        <v>77.601826925679703</v>
      </c>
      <c r="AN1550">
        <v>0.99999994871639697</v>
      </c>
    </row>
    <row r="1551" spans="1:40" x14ac:dyDescent="0.25">
      <c r="A1551" t="str">
        <f>"20190312154243558"</f>
        <v>20190312154243558</v>
      </c>
      <c r="B1551" t="str">
        <f>"1552376563549021"</f>
        <v>1552376563549021</v>
      </c>
      <c r="C1551" t="s">
        <v>40</v>
      </c>
      <c r="D1551">
        <v>5.4297230000000001</v>
      </c>
      <c r="E1551">
        <v>0.71213879999999996</v>
      </c>
      <c r="F1551" t="s">
        <v>49</v>
      </c>
      <c r="G1551">
        <v>-199.2467</v>
      </c>
      <c r="H1551" s="1">
        <v>1.4672610000000001E-6</v>
      </c>
      <c r="I1551">
        <v>291.64319999999998</v>
      </c>
      <c r="J1551">
        <v>-196.22049999999999</v>
      </c>
      <c r="K1551">
        <v>1.108992</v>
      </c>
      <c r="L1551">
        <v>292.67910000000001</v>
      </c>
      <c r="M1551">
        <v>-0.47063250000000001</v>
      </c>
      <c r="N1551">
        <v>0</v>
      </c>
      <c r="O1551">
        <v>-0.88222469999999997</v>
      </c>
      <c r="P1551">
        <v>-0.65037509999999998</v>
      </c>
      <c r="Q1551">
        <v>3.3560669999999998E-4</v>
      </c>
      <c r="R1551">
        <v>-0.75961299999999998</v>
      </c>
      <c r="S1551">
        <v>-3.2418670000000001</v>
      </c>
      <c r="T1551">
        <v>-1.165483</v>
      </c>
      <c r="U1551">
        <v>-1.190186</v>
      </c>
      <c r="V1551">
        <v>0.2163515</v>
      </c>
      <c r="W1551">
        <v>1.273723E-2</v>
      </c>
      <c r="X1551">
        <v>0.97623249999999995</v>
      </c>
      <c r="Y1551">
        <v>0.60619149999999999</v>
      </c>
      <c r="Z1551">
        <v>0.33778059999999899</v>
      </c>
      <c r="AA1551">
        <v>0.72002519999999903</v>
      </c>
      <c r="AB1551">
        <v>10</v>
      </c>
      <c r="AC1551">
        <v>-3.02620000000001</v>
      </c>
      <c r="AD1551">
        <v>-1.1089905327389999</v>
      </c>
      <c r="AE1551">
        <v>-1.03590000000002</v>
      </c>
      <c r="AF1551">
        <v>1.9482621256952499</v>
      </c>
      <c r="AG1551">
        <v>-1.1089905327389999</v>
      </c>
      <c r="AH1551">
        <v>2.0874136451522398</v>
      </c>
      <c r="AI1551">
        <v>111.225695180934</v>
      </c>
      <c r="AJ1551">
        <v>46.974796261606997</v>
      </c>
      <c r="AK1551">
        <v>3.06314887625317</v>
      </c>
      <c r="AL1551">
        <v>89.270190781179195</v>
      </c>
      <c r="AM1551">
        <v>77.504141664940093</v>
      </c>
      <c r="AN1551">
        <v>1.0000000513182801</v>
      </c>
    </row>
    <row r="1552" spans="1:40" x14ac:dyDescent="0.25">
      <c r="A1552" t="str">
        <f>"20190312154243581"</f>
        <v>20190312154243581</v>
      </c>
      <c r="B1552" t="str">
        <f>"1552376563568541"</f>
        <v>1552376563568541</v>
      </c>
      <c r="C1552" t="s">
        <v>40</v>
      </c>
      <c r="D1552">
        <v>5.4278040000000001</v>
      </c>
      <c r="E1552">
        <v>0.69885419999999998</v>
      </c>
      <c r="F1552" t="s">
        <v>49</v>
      </c>
      <c r="G1552">
        <v>-199.32320000000001</v>
      </c>
      <c r="H1552" s="1">
        <v>1.4751319999999999E-6</v>
      </c>
      <c r="I1552">
        <v>291.55990000000003</v>
      </c>
      <c r="J1552">
        <v>-196.2749</v>
      </c>
      <c r="K1552">
        <v>1.1090070000000001</v>
      </c>
      <c r="L1552">
        <v>292.5908</v>
      </c>
      <c r="M1552">
        <v>-0.47532410000000003</v>
      </c>
      <c r="N1552">
        <v>0</v>
      </c>
      <c r="O1552">
        <v>-0.87970579999999998</v>
      </c>
      <c r="P1552">
        <v>-0.65542599999999995</v>
      </c>
      <c r="Q1552">
        <v>6.1289379999999896E-4</v>
      </c>
      <c r="R1552">
        <v>-0.75525929999999997</v>
      </c>
      <c r="S1552">
        <v>-3.2458339999999999</v>
      </c>
      <c r="T1552">
        <v>-1.1601459999999999</v>
      </c>
      <c r="U1552">
        <v>-1.1708069999999999</v>
      </c>
      <c r="V1552">
        <v>0.2176632</v>
      </c>
      <c r="W1552">
        <v>1.3011389999999999E-2</v>
      </c>
      <c r="X1552">
        <v>0.97593719999999995</v>
      </c>
      <c r="Y1552">
        <v>0.60666750000000003</v>
      </c>
      <c r="Z1552">
        <v>0.33643630000000002</v>
      </c>
      <c r="AA1552">
        <v>0.72025349999999999</v>
      </c>
      <c r="AB1552">
        <v>10</v>
      </c>
      <c r="AC1552">
        <v>-3.04830000000001</v>
      </c>
      <c r="AD1552">
        <v>-1.109005524868</v>
      </c>
      <c r="AE1552">
        <v>-1.03089999999997</v>
      </c>
      <c r="AF1552">
        <v>1.95910671722399</v>
      </c>
      <c r="AG1552">
        <v>-1.109005524868</v>
      </c>
      <c r="AH1552">
        <v>2.1059091371547201</v>
      </c>
      <c r="AI1552">
        <v>111.08515217139499</v>
      </c>
      <c r="AJ1552">
        <v>47.0682589323022</v>
      </c>
      <c r="AK1552">
        <v>3.08266859678618</v>
      </c>
      <c r="AL1552">
        <v>89.254481224556102</v>
      </c>
      <c r="AM1552">
        <v>77.427099696505607</v>
      </c>
      <c r="AN1552">
        <v>0.99999999162390496</v>
      </c>
    </row>
    <row r="1553" spans="1:40" x14ac:dyDescent="0.25">
      <c r="A1553" t="str">
        <f>"20190312154243604"</f>
        <v>20190312154243604</v>
      </c>
      <c r="B1553" t="str">
        <f>"1552376563598798"</f>
        <v>1552376563598798</v>
      </c>
      <c r="C1553" t="s">
        <v>40</v>
      </c>
      <c r="D1553">
        <v>5.4802160000000004</v>
      </c>
      <c r="E1553">
        <v>0.70050190000000001</v>
      </c>
      <c r="F1553" t="s">
        <v>49</v>
      </c>
      <c r="G1553">
        <v>-199.60130000000001</v>
      </c>
      <c r="H1553" s="1">
        <v>1.494408E-6</v>
      </c>
      <c r="I1553">
        <v>291.31040000000002</v>
      </c>
      <c r="J1553">
        <v>-196.3321</v>
      </c>
      <c r="K1553">
        <v>1.1090230000000001</v>
      </c>
      <c r="L1553">
        <v>292.49889999999999</v>
      </c>
      <c r="M1553">
        <v>-0.48024099999999997</v>
      </c>
      <c r="N1553">
        <v>0</v>
      </c>
      <c r="O1553">
        <v>-0.87703129999999996</v>
      </c>
      <c r="P1553">
        <v>-0.66046819999999995</v>
      </c>
      <c r="Q1553">
        <v>7.489431E-4</v>
      </c>
      <c r="R1553">
        <v>-0.75085409999999997</v>
      </c>
      <c r="S1553">
        <v>-3.171478</v>
      </c>
      <c r="T1553">
        <v>-1.057328</v>
      </c>
      <c r="U1553">
        <v>-1.2207030000000001</v>
      </c>
      <c r="V1553">
        <v>0.2187347</v>
      </c>
      <c r="W1553">
        <v>1.314537E-2</v>
      </c>
      <c r="X1553">
        <v>0.9756958</v>
      </c>
      <c r="Y1553">
        <v>0.59537180000000001</v>
      </c>
      <c r="Z1553">
        <v>0.3114923</v>
      </c>
      <c r="AA1553">
        <v>0.74061129999999997</v>
      </c>
      <c r="AB1553">
        <v>10</v>
      </c>
      <c r="AC1553">
        <v>-3.2692000000000099</v>
      </c>
      <c r="AD1553">
        <v>-1.1090215055920001</v>
      </c>
      <c r="AE1553">
        <v>-1.1884999999999699</v>
      </c>
      <c r="AF1553">
        <v>2.08473303848564</v>
      </c>
      <c r="AG1553">
        <v>-1.1090215055920001</v>
      </c>
      <c r="AH1553">
        <v>2.3715408281426602</v>
      </c>
      <c r="AI1553">
        <v>109.35255195577901</v>
      </c>
      <c r="AJ1553">
        <v>48.682503097176202</v>
      </c>
      <c r="AK1553">
        <v>3.3466769251253901</v>
      </c>
      <c r="AL1553">
        <v>89.246804072057401</v>
      </c>
      <c r="AM1553">
        <v>77.3641632194512</v>
      </c>
      <c r="AN1553">
        <v>0.99999998193708295</v>
      </c>
    </row>
    <row r="1554" spans="1:40" x14ac:dyDescent="0.25">
      <c r="A1554" t="str">
        <f>"20190312154243627"</f>
        <v>20190312154243627</v>
      </c>
      <c r="B1554" t="str">
        <f>"1552376563619293"</f>
        <v>1552376563619293</v>
      </c>
      <c r="C1554" t="s">
        <v>40</v>
      </c>
      <c r="D1554">
        <v>5.4702219999999997</v>
      </c>
      <c r="E1554">
        <v>0.700021</v>
      </c>
      <c r="F1554" t="s">
        <v>49</v>
      </c>
      <c r="G1554">
        <v>-199.5017</v>
      </c>
      <c r="H1554" s="1">
        <v>1.5024619999999901E-6</v>
      </c>
      <c r="I1554">
        <v>291.31479999999999</v>
      </c>
      <c r="J1554">
        <v>-196.38839999999999</v>
      </c>
      <c r="K1554">
        <v>1.109029</v>
      </c>
      <c r="L1554">
        <v>292.40969999999999</v>
      </c>
      <c r="M1554">
        <v>-0.48504619999999998</v>
      </c>
      <c r="N1554">
        <v>0</v>
      </c>
      <c r="O1554">
        <v>-0.87438300000000002</v>
      </c>
      <c r="P1554">
        <v>-0.6648946</v>
      </c>
      <c r="Q1554">
        <v>7.3454919999999999E-4</v>
      </c>
      <c r="R1554">
        <v>-0.74693719999999997</v>
      </c>
      <c r="S1554">
        <v>-3.189117</v>
      </c>
      <c r="T1554">
        <v>-1.115842</v>
      </c>
      <c r="U1554">
        <v>-1.1913149999999999</v>
      </c>
      <c r="V1554">
        <v>0.2191475</v>
      </c>
      <c r="W1554">
        <v>1.3132019999999999E-2</v>
      </c>
      <c r="X1554">
        <v>0.97560329999999995</v>
      </c>
      <c r="Y1554">
        <v>0.59323009999999998</v>
      </c>
      <c r="Z1554">
        <v>0.32649139999999999</v>
      </c>
      <c r="AA1554">
        <v>0.73585429999999996</v>
      </c>
      <c r="AB1554">
        <v>10</v>
      </c>
      <c r="AC1554">
        <v>-3.1133000000000002</v>
      </c>
      <c r="AD1554">
        <v>-1.1090274975379999</v>
      </c>
      <c r="AE1554">
        <v>-1.09489999999999</v>
      </c>
      <c r="AF1554">
        <v>1.96898898311888</v>
      </c>
      <c r="AG1554">
        <v>-1.1090274975379999</v>
      </c>
      <c r="AH1554">
        <v>2.2172911459187699</v>
      </c>
      <c r="AI1554">
        <v>110.505572800536</v>
      </c>
      <c r="AJ1554">
        <v>48.394425885290701</v>
      </c>
      <c r="AK1554">
        <v>3.1659500361990398</v>
      </c>
      <c r="AL1554">
        <v>89.247569003573503</v>
      </c>
      <c r="AM1554">
        <v>77.339922906900597</v>
      </c>
      <c r="AN1554">
        <v>0.99999993783820795</v>
      </c>
    </row>
    <row r="1555" spans="1:40" x14ac:dyDescent="0.25">
      <c r="A1555" t="str">
        <f>"20190312154243647"</f>
        <v>20190312154243647</v>
      </c>
      <c r="B1555" t="str">
        <f>"1552376563638813"</f>
        <v>1552376563638813</v>
      </c>
      <c r="C1555" t="s">
        <v>40</v>
      </c>
      <c r="D1555">
        <v>5.4534539999999998</v>
      </c>
      <c r="E1555">
        <v>0.699851</v>
      </c>
      <c r="F1555" t="s">
        <v>49</v>
      </c>
      <c r="G1555">
        <v>-199.5479</v>
      </c>
      <c r="H1555" s="1">
        <v>1.5103740000000001E-6</v>
      </c>
      <c r="I1555">
        <v>291.2466</v>
      </c>
      <c r="J1555">
        <v>-196.44229999999999</v>
      </c>
      <c r="K1555">
        <v>1.1090279999999999</v>
      </c>
      <c r="L1555">
        <v>292.3252</v>
      </c>
      <c r="M1555">
        <v>-0.48962099999999997</v>
      </c>
      <c r="N1555">
        <v>0</v>
      </c>
      <c r="O1555">
        <v>-0.87182950000000003</v>
      </c>
      <c r="P1555">
        <v>-0.66916999999999904</v>
      </c>
      <c r="Q1555">
        <v>7.0836209999999996E-4</v>
      </c>
      <c r="R1555">
        <v>-0.74310959999999904</v>
      </c>
      <c r="S1555">
        <v>-3.1928860000000001</v>
      </c>
      <c r="T1555">
        <v>-1.1207309999999999</v>
      </c>
      <c r="U1555">
        <v>-1.1752929999999999</v>
      </c>
      <c r="V1555">
        <v>0.21963379999999999</v>
      </c>
      <c r="W1555">
        <v>1.3105800000000001E-2</v>
      </c>
      <c r="X1555">
        <v>0.97549439999999998</v>
      </c>
      <c r="Y1555">
        <v>0.59224009999999905</v>
      </c>
      <c r="Z1555">
        <v>0.32762069999999999</v>
      </c>
      <c r="AA1555">
        <v>0.73614969999999902</v>
      </c>
      <c r="AB1555">
        <v>10</v>
      </c>
      <c r="AC1555">
        <v>-3.1055999999999999</v>
      </c>
      <c r="AD1555">
        <v>-1.109026489626</v>
      </c>
      <c r="AE1555">
        <v>-1.07859999999999</v>
      </c>
      <c r="AF1555">
        <v>1.9569530139008899</v>
      </c>
      <c r="AG1555">
        <v>-1.109026489626</v>
      </c>
      <c r="AH1555">
        <v>2.2096917177030599</v>
      </c>
      <c r="AI1555">
        <v>110.59257885557599</v>
      </c>
      <c r="AJ1555">
        <v>48.4711719029427</v>
      </c>
      <c r="AK1555">
        <v>3.1531480048664799</v>
      </c>
      <c r="AL1555">
        <v>89.249071509723805</v>
      </c>
      <c r="AM1555">
        <v>77.311367443747997</v>
      </c>
      <c r="AN1555">
        <v>1.00000004626371</v>
      </c>
    </row>
    <row r="1556" spans="1:40" x14ac:dyDescent="0.25">
      <c r="A1556" t="str">
        <f>"20190312154243671"</f>
        <v>20190312154243671</v>
      </c>
      <c r="B1556" t="str">
        <f>"1552376563659314"</f>
        <v>1552376563659314</v>
      </c>
      <c r="C1556" t="s">
        <v>40</v>
      </c>
      <c r="D1556">
        <v>5.4580780000000004</v>
      </c>
      <c r="E1556">
        <v>0.69872339999999999</v>
      </c>
      <c r="F1556" t="s">
        <v>49</v>
      </c>
      <c r="G1556">
        <v>-199.6157</v>
      </c>
      <c r="H1556" s="1">
        <v>1.5166649999999999E-6</v>
      </c>
      <c r="I1556">
        <v>291.17680000000001</v>
      </c>
      <c r="J1556">
        <v>-196.49930000000001</v>
      </c>
      <c r="K1556">
        <v>1.109032</v>
      </c>
      <c r="L1556">
        <v>292.23719999999997</v>
      </c>
      <c r="M1556">
        <v>-0.49441420000000003</v>
      </c>
      <c r="N1556">
        <v>0</v>
      </c>
      <c r="O1556">
        <v>-0.86912029999999996</v>
      </c>
      <c r="P1556">
        <v>-0.67383649999999995</v>
      </c>
      <c r="Q1556">
        <v>1.852375E-4</v>
      </c>
      <c r="R1556">
        <v>-0.73888069999999995</v>
      </c>
      <c r="S1556">
        <v>-3.1988370000000002</v>
      </c>
      <c r="T1556">
        <v>-1.1179209999999999</v>
      </c>
      <c r="U1556">
        <v>-1.1576229999999901</v>
      </c>
      <c r="V1556">
        <v>0.2204033</v>
      </c>
      <c r="W1556">
        <v>1.258037E-2</v>
      </c>
      <c r="X1556">
        <v>0.97532770000000002</v>
      </c>
      <c r="Y1556">
        <v>0.59230879999999997</v>
      </c>
      <c r="Z1556">
        <v>0.32661489999999999</v>
      </c>
      <c r="AA1556">
        <v>0.73654129999999995</v>
      </c>
      <c r="AB1556">
        <v>10</v>
      </c>
      <c r="AC1556">
        <v>-3.1163999999999898</v>
      </c>
      <c r="AD1556">
        <v>-1.109030483335</v>
      </c>
      <c r="AE1556">
        <v>-1.06039999999995</v>
      </c>
      <c r="AF1556">
        <v>1.96178539563965</v>
      </c>
      <c r="AG1556">
        <v>-1.109030483335</v>
      </c>
      <c r="AH1556">
        <v>2.2116131041418399</v>
      </c>
      <c r="AI1556">
        <v>110.56301254723201</v>
      </c>
      <c r="AJ1556">
        <v>48.425748114737303</v>
      </c>
      <c r="AK1556">
        <v>3.1574963299936298</v>
      </c>
      <c r="AL1556">
        <v>89.279178880880295</v>
      </c>
      <c r="AM1556">
        <v>77.266253556623795</v>
      </c>
      <c r="AN1556">
        <v>1.00000000137375</v>
      </c>
    </row>
    <row r="1557" spans="1:40" x14ac:dyDescent="0.25">
      <c r="A1557" t="str">
        <f>"20190312154243691"</f>
        <v>20190312154243691</v>
      </c>
      <c r="B1557" t="str">
        <f>"1552376563688590"</f>
        <v>1552376563688590</v>
      </c>
      <c r="C1557" t="s">
        <v>40</v>
      </c>
      <c r="D1557">
        <v>5.4046789999999998</v>
      </c>
      <c r="E1557">
        <v>0.69810620000000001</v>
      </c>
      <c r="F1557" t="s">
        <v>49</v>
      </c>
      <c r="G1557">
        <v>-199.70599999999999</v>
      </c>
      <c r="H1557" s="1">
        <v>1.523833E-6</v>
      </c>
      <c r="I1557">
        <v>291.09059999999999</v>
      </c>
      <c r="J1557">
        <v>-196.55449999999999</v>
      </c>
      <c r="K1557">
        <v>1.1090409999999999</v>
      </c>
      <c r="L1557">
        <v>292.15300000000002</v>
      </c>
      <c r="M1557">
        <v>-0.49901519999999999</v>
      </c>
      <c r="N1557">
        <v>0</v>
      </c>
      <c r="O1557">
        <v>-0.86648700000000001</v>
      </c>
      <c r="P1557">
        <v>-0.67804719999999996</v>
      </c>
      <c r="Q1557">
        <v>-6.8822570000000001E-4</v>
      </c>
      <c r="R1557">
        <v>-0.73501850000000002</v>
      </c>
      <c r="S1557">
        <v>-3.1983950000000001</v>
      </c>
      <c r="T1557">
        <v>-1.106182</v>
      </c>
      <c r="U1557">
        <v>-1.1435850000000001</v>
      </c>
      <c r="V1557">
        <v>0.22080130000000001</v>
      </c>
      <c r="W1557">
        <v>1.170829E-2</v>
      </c>
      <c r="X1557">
        <v>0.97524849999999996</v>
      </c>
      <c r="Y1557">
        <v>0.59205649999999999</v>
      </c>
      <c r="Z1557">
        <v>0.32355859999999997</v>
      </c>
      <c r="AA1557">
        <v>0.73809139999999995</v>
      </c>
      <c r="AB1557">
        <v>10</v>
      </c>
      <c r="AC1557">
        <v>-3.1514999999999902</v>
      </c>
      <c r="AD1557">
        <v>-1.1090394761669999</v>
      </c>
      <c r="AE1557">
        <v>-1.06240000000002</v>
      </c>
      <c r="AF1557">
        <v>1.9805419422880799</v>
      </c>
      <c r="AG1557">
        <v>-1.1090394761669999</v>
      </c>
      <c r="AH1557">
        <v>2.24390453390407</v>
      </c>
      <c r="AI1557">
        <v>110.332317804932</v>
      </c>
      <c r="AJ1557">
        <v>48.567345817063497</v>
      </c>
      <c r="AK1557">
        <v>3.1918055238586001</v>
      </c>
      <c r="AL1557">
        <v>89.329149048087402</v>
      </c>
      <c r="AM1557">
        <v>77.243008870817405</v>
      </c>
      <c r="AN1557">
        <v>0.99999996744433095</v>
      </c>
    </row>
    <row r="1558" spans="1:40" x14ac:dyDescent="0.25">
      <c r="A1558" t="str">
        <f>"20190312154243713"</f>
        <v>20190312154243713</v>
      </c>
      <c r="B1558" t="str">
        <f>"1552376563709086"</f>
        <v>1552376563709086</v>
      </c>
      <c r="C1558" t="s">
        <v>40</v>
      </c>
      <c r="D1558">
        <v>5.4184429999999999</v>
      </c>
      <c r="E1558">
        <v>0.69753480000000001</v>
      </c>
      <c r="F1558" t="s">
        <v>49</v>
      </c>
      <c r="G1558">
        <v>-199.79519999999999</v>
      </c>
      <c r="H1558" s="1">
        <v>1.52997E-6</v>
      </c>
      <c r="I1558">
        <v>291.01080000000002</v>
      </c>
      <c r="J1558">
        <v>-196.6104</v>
      </c>
      <c r="K1558">
        <v>1.109051</v>
      </c>
      <c r="L1558">
        <v>292.0686</v>
      </c>
      <c r="M1558">
        <v>-0.50363559999999996</v>
      </c>
      <c r="N1558">
        <v>0</v>
      </c>
      <c r="O1558">
        <v>-0.86380949999999901</v>
      </c>
      <c r="P1558">
        <v>-0.68227910000000003</v>
      </c>
      <c r="Q1558">
        <v>-1.010197E-3</v>
      </c>
      <c r="R1558">
        <v>-0.73109159999999995</v>
      </c>
      <c r="S1558">
        <v>-3.200653</v>
      </c>
      <c r="T1558">
        <v>-1.095321</v>
      </c>
      <c r="U1558">
        <v>-1.127991</v>
      </c>
      <c r="V1558">
        <v>0.22122140000000001</v>
      </c>
      <c r="W1558">
        <v>1.138836E-2</v>
      </c>
      <c r="X1558">
        <v>0.9751571</v>
      </c>
      <c r="Y1558">
        <v>0.59226579999999995</v>
      </c>
      <c r="Z1558">
        <v>0.32059179999999998</v>
      </c>
      <c r="AA1558">
        <v>0.73921719999999902</v>
      </c>
      <c r="AB1558">
        <v>10</v>
      </c>
      <c r="AC1558">
        <v>-3.1847999999999899</v>
      </c>
      <c r="AD1558">
        <v>-1.10904947003</v>
      </c>
      <c r="AE1558">
        <v>-1.0577999999999801</v>
      </c>
      <c r="AF1558">
        <v>2.0000767354535198</v>
      </c>
      <c r="AG1558">
        <v>-1.10904947003</v>
      </c>
      <c r="AH1558">
        <v>2.27002316785171</v>
      </c>
      <c r="AI1558">
        <v>110.131628392091</v>
      </c>
      <c r="AJ1558">
        <v>48.617300900882199</v>
      </c>
      <c r="AK1558">
        <v>3.22231327733039</v>
      </c>
      <c r="AL1558">
        <v>89.347480922133698</v>
      </c>
      <c r="AM1558">
        <v>77.218375093786705</v>
      </c>
      <c r="AN1558">
        <v>0.999999986120929</v>
      </c>
    </row>
    <row r="1559" spans="1:40" x14ac:dyDescent="0.25">
      <c r="A1559" t="str">
        <f>"20190312154243737"</f>
        <v>20190312154243737</v>
      </c>
      <c r="B1559" t="str">
        <f>"1552376563728605"</f>
        <v>1552376563728605</v>
      </c>
      <c r="C1559" t="s">
        <v>40</v>
      </c>
      <c r="D1559">
        <v>5.362895</v>
      </c>
      <c r="E1559">
        <v>0.69709339999999997</v>
      </c>
      <c r="F1559" t="s">
        <v>49</v>
      </c>
      <c r="G1559">
        <v>-199.8888</v>
      </c>
      <c r="H1559" s="1">
        <v>1.535922E-6</v>
      </c>
      <c r="I1559">
        <v>290.92989999999998</v>
      </c>
      <c r="J1559">
        <v>-196.67070000000001</v>
      </c>
      <c r="K1559">
        <v>1.109067</v>
      </c>
      <c r="L1559">
        <v>291.97879999999998</v>
      </c>
      <c r="M1559">
        <v>-0.50856749999999995</v>
      </c>
      <c r="N1559">
        <v>0</v>
      </c>
      <c r="O1559">
        <v>-0.86091519999999999</v>
      </c>
      <c r="P1559">
        <v>-0.68637060000000005</v>
      </c>
      <c r="Q1559">
        <v>-2.3295709999999999E-3</v>
      </c>
      <c r="R1559">
        <v>-0.72724869999999997</v>
      </c>
      <c r="S1559">
        <v>-3.2031860000000001</v>
      </c>
      <c r="T1559">
        <v>-1.083599</v>
      </c>
      <c r="U1559">
        <v>-1.1126100000000001</v>
      </c>
      <c r="V1559">
        <v>0.22111210000000001</v>
      </c>
      <c r="W1559">
        <v>1.0076649999999999E-2</v>
      </c>
      <c r="X1559">
        <v>0.97519630000000002</v>
      </c>
      <c r="Y1559">
        <v>0.59226939999999995</v>
      </c>
      <c r="Z1559">
        <v>0.31729180000000001</v>
      </c>
      <c r="AA1559">
        <v>0.74063690000000004</v>
      </c>
      <c r="AB1559">
        <v>10</v>
      </c>
      <c r="AC1559">
        <v>-3.21809999999999</v>
      </c>
      <c r="AD1559">
        <v>-1.109065464078</v>
      </c>
      <c r="AE1559">
        <v>-1.0488999999999999</v>
      </c>
      <c r="AF1559">
        <v>2.0203620421116599</v>
      </c>
      <c r="AG1559">
        <v>-1.109065464078</v>
      </c>
      <c r="AH1559">
        <v>2.2936123146376102</v>
      </c>
      <c r="AI1559">
        <v>109.943219794927</v>
      </c>
      <c r="AJ1559">
        <v>48.624314535693202</v>
      </c>
      <c r="AK1559">
        <v>3.2515452379866199</v>
      </c>
      <c r="AL1559">
        <v>89.422640690174404</v>
      </c>
      <c r="AM1559">
        <v>77.224979571606994</v>
      </c>
      <c r="AN1559">
        <v>0.99999996158766002</v>
      </c>
    </row>
    <row r="1560" spans="1:40" x14ac:dyDescent="0.25">
      <c r="A1560" t="str">
        <f>"20190312154243758"</f>
        <v>20190312154243758</v>
      </c>
      <c r="B1560" t="str">
        <f>"1552376563749101"</f>
        <v>1552376563749101</v>
      </c>
      <c r="C1560" t="s">
        <v>40</v>
      </c>
      <c r="D1560">
        <v>5.3738780000000004</v>
      </c>
      <c r="E1560">
        <v>0.69671340000000004</v>
      </c>
      <c r="F1560" t="s">
        <v>49</v>
      </c>
      <c r="G1560">
        <v>-199.97309999999999</v>
      </c>
      <c r="H1560" s="1">
        <v>1.5512770000000001E-6</v>
      </c>
      <c r="I1560">
        <v>290.85059999999999</v>
      </c>
      <c r="J1560">
        <v>-196.7285</v>
      </c>
      <c r="K1560">
        <v>1.109081</v>
      </c>
      <c r="L1560">
        <v>291.89370000000002</v>
      </c>
      <c r="M1560">
        <v>-0.51324929999999902</v>
      </c>
      <c r="N1560">
        <v>0</v>
      </c>
      <c r="O1560">
        <v>-0.85813240000000002</v>
      </c>
      <c r="P1560">
        <v>-0.69004639999999995</v>
      </c>
      <c r="Q1560">
        <v>-3.7057090000000002E-3</v>
      </c>
      <c r="R1560">
        <v>-0.72375599999999995</v>
      </c>
      <c r="S1560">
        <v>-3.206467</v>
      </c>
      <c r="T1560">
        <v>-1.0768310000000001</v>
      </c>
      <c r="U1560">
        <v>-1.095459</v>
      </c>
      <c r="V1560">
        <v>0.22073860000000001</v>
      </c>
      <c r="W1560">
        <v>8.7096229999999997E-3</v>
      </c>
      <c r="X1560">
        <v>0.97529410000000005</v>
      </c>
      <c r="Y1560">
        <v>0.59243519999999905</v>
      </c>
      <c r="Z1560">
        <v>0.31535159999999901</v>
      </c>
      <c r="AA1560">
        <v>0.74133249999999995</v>
      </c>
      <c r="AB1560">
        <v>10</v>
      </c>
      <c r="AC1560">
        <v>-3.2445999999999899</v>
      </c>
      <c r="AD1560">
        <v>-1.109079448723</v>
      </c>
      <c r="AE1560">
        <v>-1.0431000000000299</v>
      </c>
      <c r="AF1560">
        <v>2.0337615508773799</v>
      </c>
      <c r="AG1560">
        <v>-1.109079448723</v>
      </c>
      <c r="AH1560">
        <v>2.3154414038211599</v>
      </c>
      <c r="AI1560">
        <v>109.792845163037</v>
      </c>
      <c r="AJ1560">
        <v>48.705634758526699</v>
      </c>
      <c r="AK1560">
        <v>3.2752881039591299</v>
      </c>
      <c r="AL1560">
        <v>89.500969043759298</v>
      </c>
      <c r="AM1560">
        <v>77.247089717281099</v>
      </c>
      <c r="AN1560">
        <v>0.999999984278786</v>
      </c>
    </row>
    <row r="1561" spans="1:40" x14ac:dyDescent="0.25">
      <c r="A1561" t="str">
        <f>"20190312154243782"</f>
        <v>20190312154243782</v>
      </c>
      <c r="B1561" t="str">
        <f>"1552376563779358"</f>
        <v>1552376563779358</v>
      </c>
      <c r="C1561" t="s">
        <v>40</v>
      </c>
      <c r="D1561">
        <v>5.3736139999999999</v>
      </c>
      <c r="E1561">
        <v>0.69374040000000003</v>
      </c>
      <c r="F1561" t="s">
        <v>49</v>
      </c>
      <c r="G1561">
        <v>-200.05600000000001</v>
      </c>
      <c r="H1561" s="1">
        <v>1.6050399999999999E-6</v>
      </c>
      <c r="I1561">
        <v>290.77449999999999</v>
      </c>
      <c r="J1561">
        <v>-196.7876</v>
      </c>
      <c r="K1561">
        <v>1.1090850000000001</v>
      </c>
      <c r="L1561">
        <v>291.80759999999998</v>
      </c>
      <c r="M1561">
        <v>-0.51798829999999996</v>
      </c>
      <c r="N1561">
        <v>0</v>
      </c>
      <c r="O1561">
        <v>-0.85528040000000005</v>
      </c>
      <c r="P1561">
        <v>-0.69395269999999898</v>
      </c>
      <c r="Q1561">
        <v>-5.0686330000000003E-3</v>
      </c>
      <c r="R1561">
        <v>-0.72000319999999995</v>
      </c>
      <c r="S1561">
        <v>-3.209473</v>
      </c>
      <c r="T1561">
        <v>-1.069755</v>
      </c>
      <c r="U1561">
        <v>-1.079529</v>
      </c>
      <c r="V1561">
        <v>0.22062010000000001</v>
      </c>
      <c r="W1561">
        <v>7.3525880000000002E-3</v>
      </c>
      <c r="X1561">
        <v>0.97533210000000004</v>
      </c>
      <c r="Y1561">
        <v>0.59231739999999999</v>
      </c>
      <c r="Z1561">
        <v>0.31325809999999998</v>
      </c>
      <c r="AA1561">
        <v>0.74231359999999902</v>
      </c>
      <c r="AB1561">
        <v>10</v>
      </c>
      <c r="AC1561">
        <v>-3.2683999999999802</v>
      </c>
      <c r="AD1561">
        <v>-1.1090833949600001</v>
      </c>
      <c r="AE1561">
        <v>-1.0330999999999899</v>
      </c>
      <c r="AF1561">
        <v>2.0462524375657698</v>
      </c>
      <c r="AG1561">
        <v>-1.1090833949600001</v>
      </c>
      <c r="AH1561">
        <v>2.3326203448694098</v>
      </c>
      <c r="AI1561">
        <v>109.66837800015701</v>
      </c>
      <c r="AJ1561">
        <v>48.741680126267802</v>
      </c>
      <c r="AK1561">
        <v>3.2951984293087002</v>
      </c>
      <c r="AL1561">
        <v>89.578723942120305</v>
      </c>
      <c r="AM1561">
        <v>77.254192587585095</v>
      </c>
      <c r="AN1561">
        <v>0.99999999718235799</v>
      </c>
    </row>
    <row r="1562" spans="1:40" x14ac:dyDescent="0.25">
      <c r="A1562" t="str">
        <f>"20190312154243805"</f>
        <v>20190312154243805</v>
      </c>
      <c r="B1562" t="str">
        <f>"1552376563798878"</f>
        <v>1552376563798878</v>
      </c>
      <c r="C1562" t="s">
        <v>40</v>
      </c>
      <c r="D1562">
        <v>5.3857939999999997</v>
      </c>
      <c r="E1562">
        <v>0.69308970000000003</v>
      </c>
      <c r="F1562" t="s">
        <v>49</v>
      </c>
      <c r="G1562">
        <v>-201.73439999999999</v>
      </c>
      <c r="H1562">
        <v>8.0000100000000005E-2</v>
      </c>
      <c r="I1562">
        <v>290.13499999999999</v>
      </c>
      <c r="J1562">
        <v>-196.85079999999999</v>
      </c>
      <c r="K1562">
        <v>1.109097</v>
      </c>
      <c r="L1562">
        <v>291.71690000000001</v>
      </c>
      <c r="M1562">
        <v>-0.52299449999999903</v>
      </c>
      <c r="N1562">
        <v>0</v>
      </c>
      <c r="O1562">
        <v>-0.85222819999999899</v>
      </c>
      <c r="P1562">
        <v>-0.69820459999999995</v>
      </c>
      <c r="Q1562">
        <v>-5.575432E-3</v>
      </c>
      <c r="R1562">
        <v>-0.71587690000000004</v>
      </c>
      <c r="S1562">
        <v>-3.1967319999999999</v>
      </c>
      <c r="T1562">
        <v>-0.66502499999999998</v>
      </c>
      <c r="U1562">
        <v>-1.0808719999999901</v>
      </c>
      <c r="V1562">
        <v>0.22067690000000001</v>
      </c>
      <c r="W1562">
        <v>6.8466760000000003E-3</v>
      </c>
      <c r="X1562">
        <v>0.97532300000000005</v>
      </c>
      <c r="Y1562">
        <v>0.61829319999999999</v>
      </c>
      <c r="Z1562">
        <v>0.20099439999999999</v>
      </c>
      <c r="AA1562">
        <v>0.75981239999999906</v>
      </c>
      <c r="AB1562">
        <v>10</v>
      </c>
      <c r="AC1562">
        <v>-4.8836000000000004</v>
      </c>
      <c r="AD1562">
        <v>-1.0290969000000001</v>
      </c>
      <c r="AE1562">
        <v>-1.5819000000000101</v>
      </c>
      <c r="AF1562">
        <v>3.20607643860333</v>
      </c>
      <c r="AG1562">
        <v>-1.0290969000000001</v>
      </c>
      <c r="AH1562">
        <v>3.7518153927103302</v>
      </c>
      <c r="AI1562">
        <v>101.778910248206</v>
      </c>
      <c r="AJ1562">
        <v>49.484785636322798</v>
      </c>
      <c r="AK1562">
        <v>5.0412384689414598</v>
      </c>
      <c r="AL1562">
        <v>89.607711321196803</v>
      </c>
      <c r="AM1562">
        <v>77.250903271251403</v>
      </c>
      <c r="AN1562">
        <v>1.0000000627474199</v>
      </c>
    </row>
    <row r="1563" spans="1:40" x14ac:dyDescent="0.25">
      <c r="A1563" t="str">
        <f>"20190312154243827"</f>
        <v>20190312154243827</v>
      </c>
      <c r="B1563" t="str">
        <f>"1552376563819373"</f>
        <v>1552376563819373</v>
      </c>
      <c r="C1563" t="s">
        <v>40</v>
      </c>
      <c r="D1563">
        <v>5.382695</v>
      </c>
      <c r="E1563">
        <v>0.69237749999999998</v>
      </c>
      <c r="F1563" t="s">
        <v>49</v>
      </c>
      <c r="G1563">
        <v>-201.6936</v>
      </c>
      <c r="H1563">
        <v>8.0000070000000006E-2</v>
      </c>
      <c r="I1563">
        <v>290.10539999999997</v>
      </c>
      <c r="J1563">
        <v>-196.90799999999999</v>
      </c>
      <c r="K1563">
        <v>1.1091040000000001</v>
      </c>
      <c r="L1563">
        <v>291.63560000000001</v>
      </c>
      <c r="M1563">
        <v>-0.52748879999999998</v>
      </c>
      <c r="N1563">
        <v>0</v>
      </c>
      <c r="O1563">
        <v>-0.84945389999999998</v>
      </c>
      <c r="P1563">
        <v>-0.70179650000000005</v>
      </c>
      <c r="Q1563">
        <v>-5.6097739999999997E-3</v>
      </c>
      <c r="R1563">
        <v>-0.71235569999999904</v>
      </c>
      <c r="S1563">
        <v>-3.1996920000000002</v>
      </c>
      <c r="T1563">
        <v>-0.67993130000000002</v>
      </c>
      <c r="U1563">
        <v>-1.064697</v>
      </c>
      <c r="V1563">
        <v>0.22043070000000001</v>
      </c>
      <c r="W1563">
        <v>6.8109149999999999E-3</v>
      </c>
      <c r="X1563">
        <v>0.97537890000000005</v>
      </c>
      <c r="Y1563">
        <v>0.61691850000000004</v>
      </c>
      <c r="Z1563">
        <v>0.2051868</v>
      </c>
      <c r="AA1563">
        <v>0.75980909999999902</v>
      </c>
      <c r="AB1563">
        <v>10</v>
      </c>
      <c r="AC1563">
        <v>-4.7856000000000103</v>
      </c>
      <c r="AD1563">
        <v>-1.02910393</v>
      </c>
      <c r="AE1563">
        <v>-1.53020000000003</v>
      </c>
      <c r="AF1563">
        <v>3.12708972824979</v>
      </c>
      <c r="AG1563">
        <v>-1.02910393</v>
      </c>
      <c r="AH1563">
        <v>3.6705434202178999</v>
      </c>
      <c r="AI1563">
        <v>102.04726782884499</v>
      </c>
      <c r="AJ1563">
        <v>49.570931643025403</v>
      </c>
      <c r="AK1563">
        <v>4.9305815140784102</v>
      </c>
      <c r="AL1563">
        <v>89.609760314460999</v>
      </c>
      <c r="AM1563">
        <v>77.265368857681906</v>
      </c>
      <c r="AN1563">
        <v>1.0000000403154099</v>
      </c>
    </row>
    <row r="1564" spans="1:40" x14ac:dyDescent="0.25">
      <c r="A1564" t="str">
        <f>"20190312154243849"</f>
        <v>20190312154243849</v>
      </c>
      <c r="B1564" t="str">
        <f>"1552376563838894"</f>
        <v>1552376563838894</v>
      </c>
      <c r="C1564" t="s">
        <v>40</v>
      </c>
      <c r="D1564">
        <v>5.3915150000000001</v>
      </c>
      <c r="E1564">
        <v>0.6921214</v>
      </c>
      <c r="F1564" t="s">
        <v>49</v>
      </c>
      <c r="G1564">
        <v>-201.65209999999999</v>
      </c>
      <c r="H1564">
        <v>7.0417350000000004E-2</v>
      </c>
      <c r="I1564">
        <v>290.07780000000002</v>
      </c>
      <c r="J1564">
        <v>-196.9665</v>
      </c>
      <c r="K1564">
        <v>1.109111</v>
      </c>
      <c r="L1564">
        <v>291.55349999999999</v>
      </c>
      <c r="M1564">
        <v>-0.53204929999999995</v>
      </c>
      <c r="N1564">
        <v>0</v>
      </c>
      <c r="O1564">
        <v>-0.84660519999999995</v>
      </c>
      <c r="P1564">
        <v>-0.70584740000000001</v>
      </c>
      <c r="Q1564">
        <v>-4.9491129999999998E-3</v>
      </c>
      <c r="R1564">
        <v>-0.70834699999999995</v>
      </c>
      <c r="S1564">
        <v>-3.2019350000000002</v>
      </c>
      <c r="T1564">
        <v>-0.70104049999999996</v>
      </c>
      <c r="U1564">
        <v>-1.0513920000000001</v>
      </c>
      <c r="V1564">
        <v>0.22074759999999999</v>
      </c>
      <c r="W1564">
        <v>7.4574899999999998E-3</v>
      </c>
      <c r="X1564">
        <v>0.97530249999999996</v>
      </c>
      <c r="Y1564">
        <v>0.61438970000000004</v>
      </c>
      <c r="Z1564">
        <v>0.2110583</v>
      </c>
      <c r="AA1564">
        <v>0.76024979999999998</v>
      </c>
      <c r="AB1564">
        <v>10</v>
      </c>
      <c r="AC1564">
        <v>-4.6855999999999902</v>
      </c>
      <c r="AD1564">
        <v>-1.0386936499999999</v>
      </c>
      <c r="AE1564">
        <v>-1.47569999999996</v>
      </c>
      <c r="AF1564">
        <v>3.0458307848931399</v>
      </c>
      <c r="AG1564">
        <v>-1.0386936499999999</v>
      </c>
      <c r="AH1564">
        <v>3.5824873492735798</v>
      </c>
      <c r="AI1564">
        <v>102.45616733670801</v>
      </c>
      <c r="AJ1564">
        <v>49.628811076674602</v>
      </c>
      <c r="AK1564">
        <v>4.8156188882072399</v>
      </c>
      <c r="AL1564">
        <v>89.572713354499598</v>
      </c>
      <c r="AM1564">
        <v>77.246693007169199</v>
      </c>
      <c r="AN1564">
        <v>1.00000004178455</v>
      </c>
    </row>
    <row r="1565" spans="1:40" x14ac:dyDescent="0.25">
      <c r="A1565" t="str">
        <f>"20190312154243871"</f>
        <v>20190312154243871</v>
      </c>
      <c r="B1565" t="str">
        <f>"1552376563859392"</f>
        <v>1552376563859392</v>
      </c>
      <c r="C1565" t="s">
        <v>40</v>
      </c>
      <c r="D1565">
        <v>5.2349249999999996</v>
      </c>
      <c r="E1565">
        <v>0.69232989999999905</v>
      </c>
      <c r="F1565" t="s">
        <v>49</v>
      </c>
      <c r="G1565">
        <v>-201.72640000000001</v>
      </c>
      <c r="H1565">
        <v>5.491066E-2</v>
      </c>
      <c r="I1565">
        <v>290.0188</v>
      </c>
      <c r="J1565">
        <v>-197.02500000000001</v>
      </c>
      <c r="K1565">
        <v>1.1091070000000001</v>
      </c>
      <c r="L1565">
        <v>291.47239999999999</v>
      </c>
      <c r="M1565">
        <v>-0.53657540000000004</v>
      </c>
      <c r="N1565">
        <v>0</v>
      </c>
      <c r="O1565">
        <v>-0.843744099999999</v>
      </c>
      <c r="P1565">
        <v>-0.70959589999999995</v>
      </c>
      <c r="Q1565">
        <v>-3.7175839999999999E-3</v>
      </c>
      <c r="R1565">
        <v>-0.70459959999999999</v>
      </c>
      <c r="S1565">
        <v>-3.2073969999999998</v>
      </c>
      <c r="T1565">
        <v>-0.71035530000000002</v>
      </c>
      <c r="U1565">
        <v>-1.034119</v>
      </c>
      <c r="V1565">
        <v>0.22070000000000001</v>
      </c>
      <c r="W1565">
        <v>8.6710009999999994E-3</v>
      </c>
      <c r="X1565">
        <v>0.97530320000000004</v>
      </c>
      <c r="Y1565">
        <v>0.61372499999999997</v>
      </c>
      <c r="Z1565">
        <v>0.21348449999999999</v>
      </c>
      <c r="AA1565">
        <v>0.76010919999999904</v>
      </c>
      <c r="AB1565">
        <v>10</v>
      </c>
      <c r="AC1565">
        <v>-4.7013999999999996</v>
      </c>
      <c r="AD1565">
        <v>-1.0541963400000001</v>
      </c>
      <c r="AE1565">
        <v>-1.45359999999999</v>
      </c>
      <c r="AF1565">
        <v>3.04725843485146</v>
      </c>
      <c r="AG1565">
        <v>-1.0541963400000001</v>
      </c>
      <c r="AH1565">
        <v>3.5849437735237601</v>
      </c>
      <c r="AI1565">
        <v>102.628880861542</v>
      </c>
      <c r="AJ1565">
        <v>49.634941721473702</v>
      </c>
      <c r="AK1565">
        <v>4.8217150217914702</v>
      </c>
      <c r="AL1565">
        <v>89.503182014800203</v>
      </c>
      <c r="AM1565">
        <v>77.249361957261002</v>
      </c>
      <c r="AN1565">
        <v>1.00000000409429</v>
      </c>
    </row>
    <row r="1566" spans="1:40" x14ac:dyDescent="0.25">
      <c r="A1566" t="str">
        <f>"20190312154243893"</f>
        <v>20190312154243893</v>
      </c>
      <c r="B1566" t="str">
        <f>"1552376563888669"</f>
        <v>1552376563888669</v>
      </c>
      <c r="C1566" t="s">
        <v>40</v>
      </c>
      <c r="D1566">
        <v>5.2511789999999996</v>
      </c>
      <c r="E1566">
        <v>0.69203669999999995</v>
      </c>
      <c r="F1566" t="s">
        <v>49</v>
      </c>
      <c r="G1566">
        <v>-201.84360000000001</v>
      </c>
      <c r="H1566">
        <v>4.8288789999999998E-2</v>
      </c>
      <c r="I1566">
        <v>289.94819999999999</v>
      </c>
      <c r="J1566">
        <v>-197.08420000000001</v>
      </c>
      <c r="K1566">
        <v>1.1091070000000001</v>
      </c>
      <c r="L1566">
        <v>291.3913</v>
      </c>
      <c r="M1566">
        <v>-0.54112740000000004</v>
      </c>
      <c r="N1566">
        <v>0</v>
      </c>
      <c r="O1566">
        <v>-0.84083229999999998</v>
      </c>
      <c r="P1566">
        <v>-0.71300640000000004</v>
      </c>
      <c r="Q1566">
        <v>-2.0053599999999999E-3</v>
      </c>
      <c r="R1566">
        <v>-0.70115509999999903</v>
      </c>
      <c r="S1566">
        <v>-3.2144170000000001</v>
      </c>
      <c r="T1566">
        <v>-0.70765100000000003</v>
      </c>
      <c r="U1566">
        <v>-1.016815</v>
      </c>
      <c r="V1566">
        <v>0.22016430000000001</v>
      </c>
      <c r="W1566">
        <v>1.0367029999999999E-2</v>
      </c>
      <c r="X1566">
        <v>0.97540769999999999</v>
      </c>
      <c r="Y1566">
        <v>0.61396189999999995</v>
      </c>
      <c r="Z1566">
        <v>0.21236669999999999</v>
      </c>
      <c r="AA1566">
        <v>0.76023099999999999</v>
      </c>
      <c r="AB1566">
        <v>10</v>
      </c>
      <c r="AC1566">
        <v>-4.7593999999999896</v>
      </c>
      <c r="AD1566">
        <v>-1.0608182100000001</v>
      </c>
      <c r="AE1566">
        <v>-1.44310000000001</v>
      </c>
      <c r="AF1566">
        <v>3.0810711030690898</v>
      </c>
      <c r="AG1566">
        <v>-1.0608182100000001</v>
      </c>
      <c r="AH1566">
        <v>3.6242983241132398</v>
      </c>
      <c r="AI1566">
        <v>102.571487288433</v>
      </c>
      <c r="AJ1566">
        <v>49.631631652468698</v>
      </c>
      <c r="AK1566">
        <v>4.8737944928982202</v>
      </c>
      <c r="AL1566">
        <v>89.406002287306407</v>
      </c>
      <c r="AM1566">
        <v>77.280621556772701</v>
      </c>
      <c r="AN1566">
        <v>0.99999998776239996</v>
      </c>
    </row>
    <row r="1567" spans="1:40" x14ac:dyDescent="0.25">
      <c r="A1567" t="str">
        <f>"20190312154243916"</f>
        <v>20190312154243916</v>
      </c>
      <c r="B1567" t="str">
        <f>"1552376563909165"</f>
        <v>1552376563909165</v>
      </c>
      <c r="C1567" t="s">
        <v>40</v>
      </c>
      <c r="D1567">
        <v>5.2953910000000004</v>
      </c>
      <c r="E1567">
        <v>0.69204219999999905</v>
      </c>
      <c r="F1567" t="s">
        <v>49</v>
      </c>
      <c r="G1567">
        <v>-202.2071</v>
      </c>
      <c r="H1567" s="1">
        <v>2.7353420000000002E-6</v>
      </c>
      <c r="I1567">
        <v>289.79259999999999</v>
      </c>
      <c r="J1567">
        <v>-197.1473</v>
      </c>
      <c r="K1567">
        <v>1.1091070000000001</v>
      </c>
      <c r="L1567">
        <v>291.30590000000001</v>
      </c>
      <c r="M1567">
        <v>-0.54594419999999899</v>
      </c>
      <c r="N1567">
        <v>0</v>
      </c>
      <c r="O1567">
        <v>-0.83771319999999905</v>
      </c>
      <c r="P1567">
        <v>-0.71653599999999995</v>
      </c>
      <c r="Q1567">
        <v>-1.623132E-3</v>
      </c>
      <c r="R1567">
        <v>-0.69754890000000003</v>
      </c>
      <c r="S1567">
        <v>-3.2180330000000001</v>
      </c>
      <c r="T1567">
        <v>-0.69669389999999998</v>
      </c>
      <c r="U1567">
        <v>-1.0042420000000001</v>
      </c>
      <c r="V1567">
        <v>0.21949009999999999</v>
      </c>
      <c r="W1567">
        <v>1.0735130000000001E-2</v>
      </c>
      <c r="X1567">
        <v>0.97555570000000003</v>
      </c>
      <c r="Y1567">
        <v>0.61323859999999997</v>
      </c>
      <c r="Z1567">
        <v>0.20884920000000001</v>
      </c>
      <c r="AA1567">
        <v>0.76178769999999996</v>
      </c>
      <c r="AB1567">
        <v>10</v>
      </c>
      <c r="AC1567">
        <v>-5.0597999999999903</v>
      </c>
      <c r="AD1567">
        <v>-1.109104264658</v>
      </c>
      <c r="AE1567">
        <v>-1.5133000000000101</v>
      </c>
      <c r="AF1567">
        <v>3.2686362112148601</v>
      </c>
      <c r="AG1567">
        <v>-1.109104264658</v>
      </c>
      <c r="AH1567">
        <v>3.8601984204014199</v>
      </c>
      <c r="AI1567">
        <v>102.367502956214</v>
      </c>
      <c r="AJ1567">
        <v>49.743628099183901</v>
      </c>
      <c r="AK1567">
        <v>5.17834208951255</v>
      </c>
      <c r="AL1567">
        <v>89.3849105657427</v>
      </c>
      <c r="AM1567">
        <v>77.320171750233399</v>
      </c>
      <c r="AN1567">
        <v>1.0000000354083001</v>
      </c>
    </row>
    <row r="1568" spans="1:40" x14ac:dyDescent="0.25">
      <c r="A1568" t="str">
        <f>"20190312154243939"</f>
        <v>20190312154243939</v>
      </c>
      <c r="B1568" t="str">
        <f>"1552376563928686"</f>
        <v>1552376563928686</v>
      </c>
      <c r="C1568" t="s">
        <v>40</v>
      </c>
      <c r="D1568">
        <v>5.2862869999999997</v>
      </c>
      <c r="E1568">
        <v>0.69178099999999998</v>
      </c>
      <c r="F1568" t="s">
        <v>49</v>
      </c>
      <c r="G1568">
        <v>-202.25649999999999</v>
      </c>
      <c r="H1568" s="1">
        <v>2.7641849999999999E-6</v>
      </c>
      <c r="I1568">
        <v>289.74009999999998</v>
      </c>
      <c r="J1568">
        <v>-197.20820000000001</v>
      </c>
      <c r="K1568">
        <v>1.1091070000000001</v>
      </c>
      <c r="L1568">
        <v>291.22449999999998</v>
      </c>
      <c r="M1568">
        <v>-0.55055739999999997</v>
      </c>
      <c r="N1568">
        <v>0</v>
      </c>
      <c r="O1568">
        <v>-0.8346884</v>
      </c>
      <c r="P1568">
        <v>-0.71962329999999997</v>
      </c>
      <c r="Q1568">
        <v>-1.7898829999999999E-3</v>
      </c>
      <c r="R1568">
        <v>-0.69436229999999999</v>
      </c>
      <c r="S1568">
        <v>-3.2234950000000002</v>
      </c>
      <c r="T1568">
        <v>-0.69975569999999998</v>
      </c>
      <c r="U1568">
        <v>-0.98791499999999999</v>
      </c>
      <c r="V1568">
        <v>0.2184353</v>
      </c>
      <c r="W1568">
        <v>1.0560140000000001E-2</v>
      </c>
      <c r="X1568">
        <v>0.9757943</v>
      </c>
      <c r="Y1568">
        <v>0.61267969999999905</v>
      </c>
      <c r="Z1568">
        <v>0.20939479999999999</v>
      </c>
      <c r="AA1568">
        <v>0.76208750000000003</v>
      </c>
      <c r="AB1568">
        <v>10</v>
      </c>
      <c r="AC1568">
        <v>-5.0482999999999798</v>
      </c>
      <c r="AD1568">
        <v>-1.1091042358149901</v>
      </c>
      <c r="AE1568">
        <v>-1.4843999999999899</v>
      </c>
      <c r="AF1568">
        <v>3.2523296263122399</v>
      </c>
      <c r="AG1568">
        <v>-1.1091042358149901</v>
      </c>
      <c r="AH1568">
        <v>3.8478114064695199</v>
      </c>
      <c r="AI1568">
        <v>102.415051536934</v>
      </c>
      <c r="AJ1568">
        <v>49.794120526560398</v>
      </c>
      <c r="AK1568">
        <v>5.1588189369126001</v>
      </c>
      <c r="AL1568">
        <v>89.394937304684902</v>
      </c>
      <c r="AM1568">
        <v>77.382137667317195</v>
      </c>
      <c r="AN1568">
        <v>1.0000000063776899</v>
      </c>
    </row>
    <row r="1569" spans="1:40" x14ac:dyDescent="0.25">
      <c r="A1569" t="str">
        <f>"20190312154243961"</f>
        <v>20190312154243961</v>
      </c>
      <c r="B1569" t="str">
        <f>"1552376563958941"</f>
        <v>1552376563958941</v>
      </c>
      <c r="C1569" t="s">
        <v>40</v>
      </c>
      <c r="D1569">
        <v>5.3247629999999999</v>
      </c>
      <c r="E1569">
        <v>0.69139779999999995</v>
      </c>
      <c r="F1569" t="s">
        <v>49</v>
      </c>
      <c r="G1569">
        <v>-202.3331</v>
      </c>
      <c r="H1569" s="1">
        <v>2.806409E-6</v>
      </c>
      <c r="I1569">
        <v>289.67759999999998</v>
      </c>
      <c r="J1569">
        <v>-197.2698</v>
      </c>
      <c r="K1569">
        <v>1.109111</v>
      </c>
      <c r="L1569">
        <v>291.14319999999998</v>
      </c>
      <c r="M1569">
        <v>-0.55518650000000003</v>
      </c>
      <c r="N1569">
        <v>0</v>
      </c>
      <c r="O1569">
        <v>-0.83161689999999999</v>
      </c>
      <c r="P1569">
        <v>-0.72299409999999997</v>
      </c>
      <c r="Q1569">
        <v>-2.503702E-3</v>
      </c>
      <c r="R1569">
        <v>-0.69084979999999996</v>
      </c>
      <c r="S1569">
        <v>-3.2271730000000001</v>
      </c>
      <c r="T1569">
        <v>-0.69841160000000002</v>
      </c>
      <c r="U1569">
        <v>-0.97412109999999996</v>
      </c>
      <c r="V1569">
        <v>0.21776119999999999</v>
      </c>
      <c r="W1569">
        <v>9.8396790000000005E-3</v>
      </c>
      <c r="X1569">
        <v>0.97595240000000005</v>
      </c>
      <c r="Y1569">
        <v>0.61171690000000001</v>
      </c>
      <c r="Z1569">
        <v>0.20866770000000001</v>
      </c>
      <c r="AA1569">
        <v>0.76305979999999995</v>
      </c>
      <c r="AB1569">
        <v>10</v>
      </c>
      <c r="AC1569">
        <v>-5.0632999999999901</v>
      </c>
      <c r="AD1569">
        <v>-1.1091081935910001</v>
      </c>
      <c r="AE1569">
        <v>-1.46559999999999</v>
      </c>
      <c r="AF1569">
        <v>3.2533187430609001</v>
      </c>
      <c r="AG1569">
        <v>-1.1091081935910001</v>
      </c>
      <c r="AH1569">
        <v>3.8593925124254498</v>
      </c>
      <c r="AI1569">
        <v>102.39248017856499</v>
      </c>
      <c r="AJ1569">
        <v>49.870405659642003</v>
      </c>
      <c r="AK1569">
        <v>5.1680861442131301</v>
      </c>
      <c r="AL1569">
        <v>89.436218780554597</v>
      </c>
      <c r="AM1569">
        <v>77.421808679912999</v>
      </c>
      <c r="AN1569">
        <v>0.99999992328700804</v>
      </c>
    </row>
    <row r="1570" spans="1:40" x14ac:dyDescent="0.25">
      <c r="A1570" t="str">
        <f>"20190312154243988"</f>
        <v>20190312154243988</v>
      </c>
      <c r="B1570" t="str">
        <f>"1552376563979438"</f>
        <v>1552376563979438</v>
      </c>
      <c r="C1570" t="s">
        <v>40</v>
      </c>
      <c r="D1570">
        <v>5.3267759999999997</v>
      </c>
      <c r="E1570">
        <v>0.69124960000000002</v>
      </c>
      <c r="F1570" t="s">
        <v>49</v>
      </c>
      <c r="G1570">
        <v>-202.34549999999999</v>
      </c>
      <c r="H1570" s="1">
        <v>2.8178010000000002E-6</v>
      </c>
      <c r="I1570">
        <v>289.63299999999998</v>
      </c>
      <c r="J1570">
        <v>-197.34049999999999</v>
      </c>
      <c r="K1570">
        <v>1.1091169999999999</v>
      </c>
      <c r="L1570">
        <v>291.05090000000001</v>
      </c>
      <c r="M1570">
        <v>-0.56046719999999906</v>
      </c>
      <c r="N1570">
        <v>0</v>
      </c>
      <c r="O1570">
        <v>-0.82806749999999996</v>
      </c>
      <c r="P1570">
        <v>-0.72738029999999998</v>
      </c>
      <c r="Q1570">
        <v>-2.1598939999999999E-3</v>
      </c>
      <c r="R1570">
        <v>-0.68623159999999905</v>
      </c>
      <c r="S1570">
        <v>-3.2289279999999998</v>
      </c>
      <c r="T1570">
        <v>-0.70555900000000005</v>
      </c>
      <c r="U1570">
        <v>-0.96075440000000001</v>
      </c>
      <c r="V1570">
        <v>0.2177683</v>
      </c>
      <c r="W1570">
        <v>1.017297E-2</v>
      </c>
      <c r="X1570">
        <v>0.97594749999999997</v>
      </c>
      <c r="Y1570">
        <v>0.60933389999999998</v>
      </c>
      <c r="Z1570">
        <v>0.21033470000000001</v>
      </c>
      <c r="AA1570">
        <v>0.76450739999999995</v>
      </c>
      <c r="AB1570">
        <v>10</v>
      </c>
      <c r="AC1570">
        <v>-5.0049999999999901</v>
      </c>
      <c r="AD1570">
        <v>-1.1091141821989901</v>
      </c>
      <c r="AE1570">
        <v>-1.4179000000000299</v>
      </c>
      <c r="AF1570">
        <v>3.2044250654086501</v>
      </c>
      <c r="AG1570">
        <v>-1.1091141821989901</v>
      </c>
      <c r="AH1570">
        <v>3.8065729307242999</v>
      </c>
      <c r="AI1570">
        <v>102.56596143464699</v>
      </c>
      <c r="AJ1570">
        <v>49.908869535699502</v>
      </c>
      <c r="AK1570">
        <v>5.0978889499377296</v>
      </c>
      <c r="AL1570">
        <v>89.417121712965795</v>
      </c>
      <c r="AM1570">
        <v>77.421350480218607</v>
      </c>
      <c r="AN1570">
        <v>1.0000000222798799</v>
      </c>
    </row>
    <row r="1571" spans="1:40" x14ac:dyDescent="0.25">
      <c r="A1571" t="str">
        <f>"20190312154244010"</f>
        <v>20190312154244010</v>
      </c>
      <c r="B1571" t="str">
        <f>"1552376563998958"</f>
        <v>1552376563998958</v>
      </c>
      <c r="C1571" t="s">
        <v>40</v>
      </c>
      <c r="D1571">
        <v>5.3250229999999998</v>
      </c>
      <c r="E1571">
        <v>0.69105749999999999</v>
      </c>
      <c r="F1571" t="s">
        <v>49</v>
      </c>
      <c r="G1571">
        <v>-202.40629999999999</v>
      </c>
      <c r="H1571" s="1">
        <v>2.8505460000000001E-6</v>
      </c>
      <c r="I1571">
        <v>289.5752</v>
      </c>
      <c r="J1571">
        <v>-197.4014</v>
      </c>
      <c r="K1571">
        <v>1.1091329999999999</v>
      </c>
      <c r="L1571">
        <v>290.97250000000003</v>
      </c>
      <c r="M1571">
        <v>-0.56495649999999997</v>
      </c>
      <c r="N1571">
        <v>0</v>
      </c>
      <c r="O1571">
        <v>-0.8250113</v>
      </c>
      <c r="P1571">
        <v>-0.73115390000000002</v>
      </c>
      <c r="Q1571">
        <v>-1.6895149999999999E-3</v>
      </c>
      <c r="R1571">
        <v>-0.68221080000000001</v>
      </c>
      <c r="S1571">
        <v>-3.2335820000000002</v>
      </c>
      <c r="T1571">
        <v>-0.70797849999999996</v>
      </c>
      <c r="U1571">
        <v>-0.94198610000000005</v>
      </c>
      <c r="V1571">
        <v>0.21785070000000001</v>
      </c>
      <c r="W1571">
        <v>1.0636909999999999E-2</v>
      </c>
      <c r="X1571">
        <v>0.97592409999999996</v>
      </c>
      <c r="Y1571">
        <v>0.60933950000000003</v>
      </c>
      <c r="Z1571">
        <v>0.21078910000000001</v>
      </c>
      <c r="AA1571">
        <v>0.76437769999999905</v>
      </c>
      <c r="AB1571">
        <v>10</v>
      </c>
      <c r="AC1571">
        <v>-5.0048999999999904</v>
      </c>
      <c r="AD1571">
        <v>-1.109130149454</v>
      </c>
      <c r="AE1571">
        <v>-1.39730000000002</v>
      </c>
      <c r="AF1571">
        <v>3.19444972126696</v>
      </c>
      <c r="AG1571">
        <v>-1.109130149454</v>
      </c>
      <c r="AH1571">
        <v>3.80724282871557</v>
      </c>
      <c r="AI1571">
        <v>102.580592516683</v>
      </c>
      <c r="AJ1571">
        <v>50.001822209885397</v>
      </c>
      <c r="AK1571">
        <v>5.09212889339386</v>
      </c>
      <c r="AL1571">
        <v>89.390538432480099</v>
      </c>
      <c r="AM1571">
        <v>77.416450366540801</v>
      </c>
      <c r="AN1571">
        <v>0.999999960152823</v>
      </c>
    </row>
    <row r="1572" spans="1:40" x14ac:dyDescent="0.25">
      <c r="A1572" t="str">
        <f>"20190312154244031"</f>
        <v>20190312154244031</v>
      </c>
      <c r="B1572" t="str">
        <f>"1552376564018477"</f>
        <v>1552376564018477</v>
      </c>
      <c r="C1572" t="s">
        <v>40</v>
      </c>
      <c r="D1572">
        <v>5.3131370000000002</v>
      </c>
      <c r="E1572">
        <v>0.69056580000000001</v>
      </c>
      <c r="F1572" t="s">
        <v>49</v>
      </c>
      <c r="G1572">
        <v>-202.46899999999999</v>
      </c>
      <c r="H1572" s="1">
        <v>2.882895E-6</v>
      </c>
      <c r="I1572">
        <v>289.52330000000001</v>
      </c>
      <c r="J1572">
        <v>-197.4598</v>
      </c>
      <c r="K1572">
        <v>1.1091359999999999</v>
      </c>
      <c r="L1572">
        <v>290.8981</v>
      </c>
      <c r="M1572">
        <v>-0.56922589999999995</v>
      </c>
      <c r="N1572">
        <v>0</v>
      </c>
      <c r="O1572">
        <v>-0.82207160000000001</v>
      </c>
      <c r="P1572">
        <v>-0.73486660000000004</v>
      </c>
      <c r="Q1572">
        <v>-1.8709270000000001E-3</v>
      </c>
      <c r="R1572">
        <v>-0.67820950000000002</v>
      </c>
      <c r="S1572">
        <v>-3.2375340000000001</v>
      </c>
      <c r="T1572">
        <v>-0.70858940000000004</v>
      </c>
      <c r="U1572">
        <v>-0.92590329999999998</v>
      </c>
      <c r="V1572">
        <v>0.21811739999999999</v>
      </c>
      <c r="W1572">
        <v>1.044952E-2</v>
      </c>
      <c r="X1572">
        <v>0.97586660000000003</v>
      </c>
      <c r="Y1572">
        <v>0.60904060000000004</v>
      </c>
      <c r="Z1572">
        <v>0.2106896</v>
      </c>
      <c r="AA1572">
        <v>0.76464339999999997</v>
      </c>
      <c r="AB1572">
        <v>10</v>
      </c>
      <c r="AC1572">
        <v>-5.0092000000000203</v>
      </c>
      <c r="AD1572">
        <v>-1.1091331171050001</v>
      </c>
      <c r="AE1572">
        <v>-1.37479999999999</v>
      </c>
      <c r="AF1572">
        <v>3.1902014469302902</v>
      </c>
      <c r="AG1572">
        <v>-1.1091331171050001</v>
      </c>
      <c r="AH1572">
        <v>3.8082811669507199</v>
      </c>
      <c r="AI1572">
        <v>102.585365853135</v>
      </c>
      <c r="AJ1572">
        <v>50.047053470047601</v>
      </c>
      <c r="AK1572">
        <v>5.0902423311672198</v>
      </c>
      <c r="AL1572">
        <v>89.401275713780194</v>
      </c>
      <c r="AM1572">
        <v>77.400818031527393</v>
      </c>
      <c r="AN1572">
        <v>1.0000000068232699</v>
      </c>
    </row>
    <row r="1573" spans="1:40" x14ac:dyDescent="0.25">
      <c r="A1573" t="str">
        <f>"20190312154244052"</f>
        <v>20190312154244052</v>
      </c>
      <c r="B1573" t="str">
        <f>"1552376564048734"</f>
        <v>1552376564048734</v>
      </c>
      <c r="C1573" t="s">
        <v>40</v>
      </c>
      <c r="D1573">
        <v>5.3403809999999998</v>
      </c>
      <c r="E1573">
        <v>0.67045149999999998</v>
      </c>
      <c r="F1573" t="s">
        <v>49</v>
      </c>
      <c r="G1573">
        <v>-202.3955</v>
      </c>
      <c r="H1573" s="1">
        <v>2.851526E-6</v>
      </c>
      <c r="I1573">
        <v>289.5095</v>
      </c>
      <c r="J1573">
        <v>-197.51900000000001</v>
      </c>
      <c r="K1573">
        <v>1.1091420000000001</v>
      </c>
      <c r="L1573">
        <v>290.8236</v>
      </c>
      <c r="M1573">
        <v>-0.57349869999999903</v>
      </c>
      <c r="N1573">
        <v>0</v>
      </c>
      <c r="O1573">
        <v>-0.81909650000000001</v>
      </c>
      <c r="P1573">
        <v>-0.73856350000000004</v>
      </c>
      <c r="Q1573">
        <v>-2.9450209999999999E-3</v>
      </c>
      <c r="R1573">
        <v>-0.67417780000000005</v>
      </c>
      <c r="S1573">
        <v>-3.2394409999999998</v>
      </c>
      <c r="T1573">
        <v>-0.72795609999999999</v>
      </c>
      <c r="U1573">
        <v>-0.9113464</v>
      </c>
      <c r="V1573">
        <v>0.21836929999999999</v>
      </c>
      <c r="W1573">
        <v>9.3709699999999993E-3</v>
      </c>
      <c r="X1573">
        <v>0.97582120000000006</v>
      </c>
      <c r="Y1573">
        <v>0.6069601</v>
      </c>
      <c r="Z1573">
        <v>0.21592600000000001</v>
      </c>
      <c r="AA1573">
        <v>0.76483690000000004</v>
      </c>
      <c r="AB1573">
        <v>10</v>
      </c>
      <c r="AC1573">
        <v>-4.8764999999999903</v>
      </c>
      <c r="AD1573">
        <v>-1.1091391484739901</v>
      </c>
      <c r="AE1573">
        <v>-1.3140999999999901</v>
      </c>
      <c r="AF1573">
        <v>3.09186307322708</v>
      </c>
      <c r="AG1573">
        <v>-1.1091391484739901</v>
      </c>
      <c r="AH1573">
        <v>3.6951744507752302</v>
      </c>
      <c r="AI1573">
        <v>102.963831069718</v>
      </c>
      <c r="AJ1573">
        <v>50.079768282583899</v>
      </c>
      <c r="AK1573">
        <v>4.94409962843842</v>
      </c>
      <c r="AL1573">
        <v>89.463075105310395</v>
      </c>
      <c r="AM1573">
        <v>77.386164720586905</v>
      </c>
      <c r="AN1573">
        <v>0.99999999031533504</v>
      </c>
    </row>
    <row r="1574" spans="1:40" x14ac:dyDescent="0.25">
      <c r="A1574" t="str">
        <f>"20190312154244072"</f>
        <v>20190312154244072</v>
      </c>
      <c r="B1574" t="str">
        <f>"1552376564069230"</f>
        <v>1552376564069230</v>
      </c>
      <c r="C1574" t="s">
        <v>40</v>
      </c>
      <c r="D1574">
        <v>5.3685999999999998</v>
      </c>
      <c r="E1574">
        <v>0.66866949999999903</v>
      </c>
      <c r="F1574" t="s">
        <v>49</v>
      </c>
      <c r="G1574">
        <v>-202.00640000000001</v>
      </c>
      <c r="H1574" s="1">
        <v>2.6906079999999999E-6</v>
      </c>
      <c r="I1574">
        <v>289.37639999999999</v>
      </c>
      <c r="J1574">
        <v>-197.57660000000001</v>
      </c>
      <c r="K1574">
        <v>1.109151</v>
      </c>
      <c r="L1574">
        <v>290.75170000000003</v>
      </c>
      <c r="M1574">
        <v>-0.57761969999999996</v>
      </c>
      <c r="N1574">
        <v>0</v>
      </c>
      <c r="O1574">
        <v>-0.81619580000000003</v>
      </c>
      <c r="P1574">
        <v>-0.74212650000000002</v>
      </c>
      <c r="Q1574">
        <v>-5.201476E-3</v>
      </c>
      <c r="R1574">
        <v>-0.67023999999999995</v>
      </c>
      <c r="S1574">
        <v>-3.1357119999999998</v>
      </c>
      <c r="T1574">
        <v>-0.77503730000000004</v>
      </c>
      <c r="U1574">
        <v>-1.011261</v>
      </c>
      <c r="V1574">
        <v>0.21862300000000001</v>
      </c>
      <c r="W1574">
        <v>7.1108380000000004E-3</v>
      </c>
      <c r="X1574">
        <v>0.97578350000000003</v>
      </c>
      <c r="Y1574">
        <v>0.56973580000000001</v>
      </c>
      <c r="Z1574">
        <v>0.2303074</v>
      </c>
      <c r="AA1574">
        <v>0.78889779999999998</v>
      </c>
      <c r="AB1574">
        <v>10</v>
      </c>
      <c r="AC1574">
        <v>-4.4298000000000002</v>
      </c>
      <c r="AD1574">
        <v>-1.109148309392</v>
      </c>
      <c r="AE1574">
        <v>-1.3753000000000299</v>
      </c>
      <c r="AF1574">
        <v>2.6688329190960598</v>
      </c>
      <c r="AG1574">
        <v>-1.109148309392</v>
      </c>
      <c r="AH1574">
        <v>3.48245707063003</v>
      </c>
      <c r="AI1574">
        <v>104.18698431815599</v>
      </c>
      <c r="AJ1574">
        <v>52.534710867189702</v>
      </c>
      <c r="AK1574">
        <v>4.5255260877669201</v>
      </c>
      <c r="AL1574">
        <v>89.592575564121105</v>
      </c>
      <c r="AM1574">
        <v>77.371507539803702</v>
      </c>
      <c r="AN1574">
        <v>1.0000000095091499</v>
      </c>
    </row>
    <row r="1575" spans="1:40" x14ac:dyDescent="0.25">
      <c r="A1575" t="str">
        <f>"20190312154244093"</f>
        <v>20190312154244093</v>
      </c>
      <c r="B1575" t="str">
        <f>"1552376564088751"</f>
        <v>1552376564088751</v>
      </c>
      <c r="C1575" t="s">
        <v>40</v>
      </c>
      <c r="D1575">
        <v>5.3537319999999999</v>
      </c>
      <c r="E1575">
        <v>0.66739510000000002</v>
      </c>
      <c r="F1575" t="s">
        <v>49</v>
      </c>
      <c r="G1575">
        <v>-201.96090000000001</v>
      </c>
      <c r="H1575" s="1">
        <v>2.6731369999999998E-6</v>
      </c>
      <c r="I1575">
        <v>289.34550000000002</v>
      </c>
      <c r="J1575">
        <v>-197.63509999999999</v>
      </c>
      <c r="K1575">
        <v>1.109154</v>
      </c>
      <c r="L1575">
        <v>290.67939999999999</v>
      </c>
      <c r="M1575">
        <v>-0.58176719999999904</v>
      </c>
      <c r="N1575">
        <v>0</v>
      </c>
      <c r="O1575">
        <v>-0.81324510000000005</v>
      </c>
      <c r="P1575">
        <v>-0.74568579999999995</v>
      </c>
      <c r="Q1575">
        <v>-6.0754719999999898E-3</v>
      </c>
      <c r="R1575">
        <v>-0.66627029999999998</v>
      </c>
      <c r="S1575">
        <v>-3.130188</v>
      </c>
      <c r="T1575">
        <v>-0.79187129999999994</v>
      </c>
      <c r="U1575">
        <v>-1.0039670000000001</v>
      </c>
      <c r="V1575">
        <v>0.21885389999999999</v>
      </c>
      <c r="W1575">
        <v>6.2329999999999998E-3</v>
      </c>
      <c r="X1575">
        <v>0.97573779999999999</v>
      </c>
      <c r="Y1575">
        <v>0.56558750000000002</v>
      </c>
      <c r="Z1575">
        <v>0.2348817</v>
      </c>
      <c r="AA1575">
        <v>0.79053240000000002</v>
      </c>
      <c r="AB1575">
        <v>10</v>
      </c>
      <c r="AC1575">
        <v>-4.3258000000000099</v>
      </c>
      <c r="AD1575">
        <v>-1.109151326863</v>
      </c>
      <c r="AE1575">
        <v>-1.3338999999999701</v>
      </c>
      <c r="AF1575">
        <v>2.58686139494956</v>
      </c>
      <c r="AG1575">
        <v>-1.109151326863</v>
      </c>
      <c r="AH1575">
        <v>3.3977377384488099</v>
      </c>
      <c r="AI1575">
        <v>104.559668954995</v>
      </c>
      <c r="AJ1575">
        <v>52.716234695633297</v>
      </c>
      <c r="AK1575">
        <v>4.4121072382526698</v>
      </c>
      <c r="AL1575">
        <v>89.642873117815995</v>
      </c>
      <c r="AM1575">
        <v>77.358025270760706</v>
      </c>
      <c r="AN1575">
        <v>1.0000000670915199</v>
      </c>
    </row>
    <row r="1576" spans="1:40" x14ac:dyDescent="0.25">
      <c r="A1576" t="str">
        <f>"20190312154244116"</f>
        <v>20190312154244116</v>
      </c>
      <c r="B1576" t="str">
        <f>"1552376564108837"</f>
        <v>1552376564108837</v>
      </c>
      <c r="C1576" t="s">
        <v>40</v>
      </c>
      <c r="D1576">
        <v>5.4195830000000003</v>
      </c>
      <c r="E1576">
        <v>0.66655180000000003</v>
      </c>
      <c r="F1576" t="s">
        <v>49</v>
      </c>
      <c r="G1576">
        <v>-202.02170000000001</v>
      </c>
      <c r="H1576" s="1">
        <v>2.7054259999999998E-6</v>
      </c>
      <c r="I1576">
        <v>289.28440000000001</v>
      </c>
      <c r="J1576">
        <v>-197.70230000000001</v>
      </c>
      <c r="K1576">
        <v>1.109159</v>
      </c>
      <c r="L1576">
        <v>290.59750000000003</v>
      </c>
      <c r="M1576">
        <v>-0.58646319999999996</v>
      </c>
      <c r="N1576">
        <v>0</v>
      </c>
      <c r="O1576">
        <v>-0.80986539999999996</v>
      </c>
      <c r="P1576">
        <v>-0.75042519999999902</v>
      </c>
      <c r="Q1576">
        <v>-5.9227960000000001E-3</v>
      </c>
      <c r="R1576">
        <v>-0.66092930000000005</v>
      </c>
      <c r="S1576">
        <v>-3.1279140000000001</v>
      </c>
      <c r="T1576">
        <v>-0.79090269999999996</v>
      </c>
      <c r="U1576">
        <v>-0.99472050000000001</v>
      </c>
      <c r="V1576">
        <v>0.2201758</v>
      </c>
      <c r="W1576">
        <v>6.3741409999999998E-3</v>
      </c>
      <c r="X1576">
        <v>0.97543939999999996</v>
      </c>
      <c r="Y1576">
        <v>0.56293979999999999</v>
      </c>
      <c r="Z1576">
        <v>0.234265</v>
      </c>
      <c r="AA1576">
        <v>0.79260249999999999</v>
      </c>
      <c r="AB1576">
        <v>10</v>
      </c>
      <c r="AC1576">
        <v>-4.3193999999999999</v>
      </c>
      <c r="AD1576">
        <v>-1.1091562945739999</v>
      </c>
      <c r="AE1576">
        <v>-1.3131000000000199</v>
      </c>
      <c r="AF1576">
        <v>2.5729860274807099</v>
      </c>
      <c r="AG1576">
        <v>-1.1091562945739999</v>
      </c>
      <c r="AH1576">
        <v>3.3921731015268799</v>
      </c>
      <c r="AI1576">
        <v>104.601719808365</v>
      </c>
      <c r="AJ1576">
        <v>52.819439165105202</v>
      </c>
      <c r="AK1576">
        <v>4.3996958001805799</v>
      </c>
      <c r="AL1576">
        <v>89.634786156073901</v>
      </c>
      <c r="AM1576">
        <v>77.2803787204099</v>
      </c>
      <c r="AN1576">
        <v>1.00000001782574</v>
      </c>
    </row>
    <row r="1577" spans="1:40" x14ac:dyDescent="0.25">
      <c r="A1577" t="str">
        <f>"20190312154244139"</f>
        <v>20190312154244139</v>
      </c>
      <c r="B1577" t="str">
        <f>"1552376564129333"</f>
        <v>1552376564129333</v>
      </c>
      <c r="C1577" t="s">
        <v>40</v>
      </c>
      <c r="D1577">
        <v>5.375534</v>
      </c>
      <c r="E1577">
        <v>0.66611209999999998</v>
      </c>
      <c r="F1577" t="s">
        <v>49</v>
      </c>
      <c r="G1577">
        <v>-202.2878</v>
      </c>
      <c r="H1577" s="1">
        <v>2.8339110000000002E-6</v>
      </c>
      <c r="I1577">
        <v>289.16460000000001</v>
      </c>
      <c r="J1577">
        <v>-197.76519999999999</v>
      </c>
      <c r="K1577">
        <v>1.1091690000000001</v>
      </c>
      <c r="L1577">
        <v>290.5215</v>
      </c>
      <c r="M1577">
        <v>-0.59081909999999904</v>
      </c>
      <c r="N1577">
        <v>0</v>
      </c>
      <c r="O1577">
        <v>-0.8066934</v>
      </c>
      <c r="P1577">
        <v>-0.75442390000000004</v>
      </c>
      <c r="Q1577">
        <v>-6.1090800000000002E-3</v>
      </c>
      <c r="R1577">
        <v>-0.65635959999999904</v>
      </c>
      <c r="S1577">
        <v>-3.1302949999999998</v>
      </c>
      <c r="T1577">
        <v>-0.75715769999999905</v>
      </c>
      <c r="U1577">
        <v>-0.97811890000000001</v>
      </c>
      <c r="V1577">
        <v>0.22084129999999999</v>
      </c>
      <c r="W1577">
        <v>6.1800719999999896E-3</v>
      </c>
      <c r="X1577">
        <v>0.9752902</v>
      </c>
      <c r="Y1577">
        <v>0.56508000000000003</v>
      </c>
      <c r="Z1577">
        <v>0.22459599999999999</v>
      </c>
      <c r="AA1577">
        <v>0.79387739999999996</v>
      </c>
      <c r="AB1577">
        <v>10</v>
      </c>
      <c r="AC1577">
        <v>-4.5226000000000104</v>
      </c>
      <c r="AD1577">
        <v>-1.109166166089</v>
      </c>
      <c r="AE1577">
        <v>-1.35689999999999</v>
      </c>
      <c r="AF1577">
        <v>2.6980444133559001</v>
      </c>
      <c r="AG1577">
        <v>-1.109166166089</v>
      </c>
      <c r="AH1577">
        <v>3.5699842576186098</v>
      </c>
      <c r="AI1577">
        <v>103.921162191352</v>
      </c>
      <c r="AJ1577">
        <v>52.919540871079199</v>
      </c>
      <c r="AK1577">
        <v>4.6102582183737004</v>
      </c>
      <c r="AL1577">
        <v>89.645905711657207</v>
      </c>
      <c r="AM1577">
        <v>77.241301162191903</v>
      </c>
      <c r="AN1577">
        <v>1.00000002364582</v>
      </c>
    </row>
    <row r="1578" spans="1:40" x14ac:dyDescent="0.25">
      <c r="A1578" t="str">
        <f>"20190312154244162"</f>
        <v>20190312154244162</v>
      </c>
      <c r="B1578" t="str">
        <f>"1552376564158613"</f>
        <v>1552376564158613</v>
      </c>
      <c r="C1578" t="s">
        <v>40</v>
      </c>
      <c r="D1578">
        <v>5.3878769999999996</v>
      </c>
      <c r="E1578">
        <v>0.66525730000000005</v>
      </c>
      <c r="F1578" t="s">
        <v>49</v>
      </c>
      <c r="G1578">
        <v>-202.30449999999999</v>
      </c>
      <c r="H1578" s="1">
        <v>2.8444199999999999E-6</v>
      </c>
      <c r="I1578">
        <v>289.12889999999999</v>
      </c>
      <c r="J1578">
        <v>-197.8305</v>
      </c>
      <c r="K1578">
        <v>1.1091850000000001</v>
      </c>
      <c r="L1578">
        <v>290.44349999999997</v>
      </c>
      <c r="M1578">
        <v>-0.5952866</v>
      </c>
      <c r="N1578">
        <v>0</v>
      </c>
      <c r="O1578">
        <v>-0.80340239999999996</v>
      </c>
      <c r="P1578">
        <v>-0.75842699999999996</v>
      </c>
      <c r="Q1578">
        <v>-5.8769159999999898E-3</v>
      </c>
      <c r="R1578">
        <v>-0.65173169999999903</v>
      </c>
      <c r="S1578">
        <v>-3.1338650000000001</v>
      </c>
      <c r="T1578">
        <v>-0.765764</v>
      </c>
      <c r="U1578">
        <v>-0.96145630000000004</v>
      </c>
      <c r="V1578">
        <v>0.22139780000000001</v>
      </c>
      <c r="W1578">
        <v>6.4056119999999998E-3</v>
      </c>
      <c r="X1578">
        <v>0.97516259999999999</v>
      </c>
      <c r="Y1578">
        <v>0.56408459999999905</v>
      </c>
      <c r="Z1578">
        <v>0.22665589999999999</v>
      </c>
      <c r="AA1578">
        <v>0.79399969999999997</v>
      </c>
      <c r="AB1578">
        <v>10</v>
      </c>
      <c r="AC1578">
        <v>-4.4739999999999798</v>
      </c>
      <c r="AD1578">
        <v>-1.1091821555799899</v>
      </c>
      <c r="AE1578">
        <v>-1.31459999999998</v>
      </c>
      <c r="AF1578">
        <v>2.6615251141717202</v>
      </c>
      <c r="AG1578">
        <v>-1.1091821555799899</v>
      </c>
      <c r="AH1578">
        <v>3.52060723060923</v>
      </c>
      <c r="AI1578">
        <v>104.107380488228</v>
      </c>
      <c r="AJ1578">
        <v>52.911278176990798</v>
      </c>
      <c r="AK1578">
        <v>4.5506786592597299</v>
      </c>
      <c r="AL1578">
        <v>89.632982978220994</v>
      </c>
      <c r="AM1578">
        <v>77.208588082565299</v>
      </c>
      <c r="AN1578">
        <v>1.0000000570743399</v>
      </c>
    </row>
    <row r="1579" spans="1:40" x14ac:dyDescent="0.25">
      <c r="A1579" t="str">
        <f>"20190312154244183"</f>
        <v>20190312154244183</v>
      </c>
      <c r="B1579" t="str">
        <f>"1552376564179109"</f>
        <v>1552376564179109</v>
      </c>
      <c r="C1579" t="s">
        <v>40</v>
      </c>
      <c r="D1579">
        <v>5.3673529999999996</v>
      </c>
      <c r="E1579">
        <v>0.66458719999999905</v>
      </c>
      <c r="F1579" t="s">
        <v>49</v>
      </c>
      <c r="G1579">
        <v>-202.5804</v>
      </c>
      <c r="H1579" s="1">
        <v>2.9774460000000001E-6</v>
      </c>
      <c r="I1579">
        <v>289.00720000000001</v>
      </c>
      <c r="J1579">
        <v>-197.89189999999999</v>
      </c>
      <c r="K1579">
        <v>1.1092059999999999</v>
      </c>
      <c r="L1579">
        <v>290.37099999999998</v>
      </c>
      <c r="M1579">
        <v>-0.59944310000000001</v>
      </c>
      <c r="N1579">
        <v>0</v>
      </c>
      <c r="O1579">
        <v>-0.80030599999999996</v>
      </c>
      <c r="P1579">
        <v>-0.76194810000000002</v>
      </c>
      <c r="Q1579">
        <v>-4.3178269999999998E-3</v>
      </c>
      <c r="R1579">
        <v>-0.64762399999999998</v>
      </c>
      <c r="S1579">
        <v>-3.1352229999999999</v>
      </c>
      <c r="T1579">
        <v>-0.73212480000000002</v>
      </c>
      <c r="U1579">
        <v>-0.94805910000000004</v>
      </c>
      <c r="V1579">
        <v>0.22162599999999999</v>
      </c>
      <c r="W1579">
        <v>7.9595849999999999E-3</v>
      </c>
      <c r="X1579">
        <v>0.9750993</v>
      </c>
      <c r="Y1579">
        <v>0.56554119999999997</v>
      </c>
      <c r="Z1579">
        <v>0.2169353</v>
      </c>
      <c r="AA1579">
        <v>0.79567719999999997</v>
      </c>
      <c r="AB1579">
        <v>10</v>
      </c>
      <c r="AC1579">
        <v>-4.6885000000000003</v>
      </c>
      <c r="AD1579">
        <v>-1.1092030225539999</v>
      </c>
      <c r="AE1579">
        <v>-1.3637999999999599</v>
      </c>
      <c r="AF1579">
        <v>2.7909526972719201</v>
      </c>
      <c r="AG1579">
        <v>-1.1092030225539999</v>
      </c>
      <c r="AH1579">
        <v>3.7108034616555599</v>
      </c>
      <c r="AI1579">
        <v>103.435402915765</v>
      </c>
      <c r="AJ1579">
        <v>53.052608213939102</v>
      </c>
      <c r="AK1579">
        <v>4.7738674714205498</v>
      </c>
      <c r="AL1579">
        <v>89.543944576266099</v>
      </c>
      <c r="AM1579">
        <v>77.195034255318902</v>
      </c>
      <c r="AN1579">
        <v>1.00000004186493</v>
      </c>
    </row>
    <row r="1580" spans="1:40" x14ac:dyDescent="0.25">
      <c r="A1580" t="str">
        <f>"20190312154244207"</f>
        <v>20190312154244207</v>
      </c>
      <c r="B1580" t="str">
        <f>"1552376564199175"</f>
        <v>1552376564199175</v>
      </c>
      <c r="C1580" t="s">
        <v>40</v>
      </c>
      <c r="D1580">
        <v>5.3879060000000001</v>
      </c>
      <c r="E1580">
        <v>0.66388559999999996</v>
      </c>
      <c r="F1580" t="s">
        <v>49</v>
      </c>
      <c r="G1580">
        <v>-202.77600000000001</v>
      </c>
      <c r="H1580" s="1">
        <v>3.0724649999999999E-6</v>
      </c>
      <c r="I1580">
        <v>288.91230000000002</v>
      </c>
      <c r="J1580">
        <v>-197.9607</v>
      </c>
      <c r="K1580">
        <v>1.1092200000000001</v>
      </c>
      <c r="L1580">
        <v>290.29050000000001</v>
      </c>
      <c r="M1580">
        <v>-0.60405450000000005</v>
      </c>
      <c r="N1580">
        <v>0</v>
      </c>
      <c r="O1580">
        <v>-0.79683119999999996</v>
      </c>
      <c r="P1580">
        <v>-0.76550079999999998</v>
      </c>
      <c r="Q1580">
        <v>-2.6919959999999999E-3</v>
      </c>
      <c r="R1580">
        <v>-0.64342969999999999</v>
      </c>
      <c r="S1580">
        <v>-3.1369319999999998</v>
      </c>
      <c r="T1580">
        <v>-0.71241369999999904</v>
      </c>
      <c r="U1580">
        <v>-0.93688959999999999</v>
      </c>
      <c r="V1580">
        <v>0.2213618</v>
      </c>
      <c r="W1580">
        <v>9.5836299999999992E-3</v>
      </c>
      <c r="X1580">
        <v>0.97514460000000003</v>
      </c>
      <c r="Y1580">
        <v>0.56501639999999997</v>
      </c>
      <c r="Z1580">
        <v>0.2109017</v>
      </c>
      <c r="AA1580">
        <v>0.79766979999999998</v>
      </c>
      <c r="AB1580">
        <v>10</v>
      </c>
      <c r="AC1580">
        <v>-4.8152999999999704</v>
      </c>
      <c r="AD1580">
        <v>-1.1092169275349999</v>
      </c>
      <c r="AE1580">
        <v>-1.3781999999999901</v>
      </c>
      <c r="AF1580">
        <v>2.8642641348934501</v>
      </c>
      <c r="AG1580">
        <v>-1.1092169275349999</v>
      </c>
      <c r="AH1580">
        <v>3.81990726382194</v>
      </c>
      <c r="AI1580">
        <v>103.079047463167</v>
      </c>
      <c r="AJ1580">
        <v>53.136499178389798</v>
      </c>
      <c r="AK1580">
        <v>4.9016387801394297</v>
      </c>
      <c r="AL1580">
        <v>89.4508900107557</v>
      </c>
      <c r="AM1580">
        <v>77.210371285418304</v>
      </c>
      <c r="AN1580">
        <v>0.999999941686186</v>
      </c>
    </row>
    <row r="1581" spans="1:40" x14ac:dyDescent="0.25">
      <c r="A1581" t="str">
        <f>"20190312154244231"</f>
        <v>20190312154244231</v>
      </c>
      <c r="B1581" t="str">
        <f>"1552376564218696"</f>
        <v>1552376564218696</v>
      </c>
      <c r="C1581" t="s">
        <v>40</v>
      </c>
      <c r="D1581">
        <v>5.4022309999999996</v>
      </c>
      <c r="E1581">
        <v>0.66339709999999996</v>
      </c>
      <c r="F1581" t="s">
        <v>49</v>
      </c>
      <c r="G1581">
        <v>-202.96969999999999</v>
      </c>
      <c r="H1581" s="1">
        <v>3.1669920000000001E-6</v>
      </c>
      <c r="I1581">
        <v>288.81380000000001</v>
      </c>
      <c r="J1581">
        <v>-198.02709999999999</v>
      </c>
      <c r="K1581">
        <v>1.109227</v>
      </c>
      <c r="L1581">
        <v>290.21390000000002</v>
      </c>
      <c r="M1581">
        <v>-0.60845479999999996</v>
      </c>
      <c r="N1581">
        <v>0</v>
      </c>
      <c r="O1581">
        <v>-0.79347650000000003</v>
      </c>
      <c r="P1581">
        <v>-0.76861480000000004</v>
      </c>
      <c r="Q1581">
        <v>-2.8900890000000002E-3</v>
      </c>
      <c r="R1581">
        <v>-0.63970550000000004</v>
      </c>
      <c r="S1581">
        <v>-3.138779</v>
      </c>
      <c r="T1581">
        <v>-0.69506369999999995</v>
      </c>
      <c r="U1581">
        <v>-0.92535400000000001</v>
      </c>
      <c r="V1581">
        <v>0.22069829999999999</v>
      </c>
      <c r="W1581">
        <v>9.3871809999999997E-3</v>
      </c>
      <c r="X1581">
        <v>0.97529690000000002</v>
      </c>
      <c r="Y1581">
        <v>0.56458589999999997</v>
      </c>
      <c r="Z1581">
        <v>0.20556550000000001</v>
      </c>
      <c r="AA1581">
        <v>0.79936569999999996</v>
      </c>
      <c r="AB1581">
        <v>10</v>
      </c>
      <c r="AC1581">
        <v>-4.9425999999999899</v>
      </c>
      <c r="AD1581">
        <v>-1.109223833008</v>
      </c>
      <c r="AE1581">
        <v>-1.4000999999999999</v>
      </c>
      <c r="AF1581">
        <v>2.93344453402185</v>
      </c>
      <c r="AG1581">
        <v>-1.109223833008</v>
      </c>
      <c r="AH1581">
        <v>3.93518857063285</v>
      </c>
      <c r="AI1581">
        <v>102.73448376647799</v>
      </c>
      <c r="AJ1581">
        <v>53.297703456565799</v>
      </c>
      <c r="AK1581">
        <v>5.0320158418207503</v>
      </c>
      <c r="AL1581">
        <v>89.462146221401397</v>
      </c>
      <c r="AM1581">
        <v>77.249377291176003</v>
      </c>
      <c r="AN1581">
        <v>0.99999995096981198</v>
      </c>
    </row>
    <row r="1582" spans="1:40" x14ac:dyDescent="0.25">
      <c r="A1582" t="str">
        <f>"20190312154244253"</f>
        <v>20190312154244253</v>
      </c>
      <c r="B1582" t="str">
        <f>"1552376564248951"</f>
        <v>1552376564248951</v>
      </c>
      <c r="C1582" t="s">
        <v>40</v>
      </c>
      <c r="D1582">
        <v>5.4111039999999999</v>
      </c>
      <c r="E1582">
        <v>0.66258619999999901</v>
      </c>
      <c r="F1582" t="s">
        <v>49</v>
      </c>
      <c r="G1582">
        <v>-203.167</v>
      </c>
      <c r="H1582" s="1">
        <v>3.2628119999999998E-6</v>
      </c>
      <c r="I1582">
        <v>288.71820000000002</v>
      </c>
      <c r="J1582">
        <v>-198.09180000000001</v>
      </c>
      <c r="K1582">
        <v>1.109235</v>
      </c>
      <c r="L1582">
        <v>290.14010000000002</v>
      </c>
      <c r="M1582">
        <v>-0.61269549999999995</v>
      </c>
      <c r="N1582">
        <v>0</v>
      </c>
      <c r="O1582">
        <v>-0.79020649999999903</v>
      </c>
      <c r="P1582">
        <v>-0.77198610000000001</v>
      </c>
      <c r="Q1582">
        <v>-2.9257229999999999E-3</v>
      </c>
      <c r="R1582">
        <v>-0.63563329999999996</v>
      </c>
      <c r="S1582">
        <v>-3.1400600000000001</v>
      </c>
      <c r="T1582">
        <v>-0.67765469999999906</v>
      </c>
      <c r="U1582">
        <v>-0.91375729999999999</v>
      </c>
      <c r="V1582">
        <v>0.22063099999999999</v>
      </c>
      <c r="W1582">
        <v>9.3495139999999997E-3</v>
      </c>
      <c r="X1582">
        <v>0.97531250000000003</v>
      </c>
      <c r="Y1582">
        <v>0.56424739999999995</v>
      </c>
      <c r="Z1582">
        <v>0.2002623</v>
      </c>
      <c r="AA1582">
        <v>0.80094940000000003</v>
      </c>
      <c r="AB1582">
        <v>10</v>
      </c>
      <c r="AC1582">
        <v>-5.0751999999999899</v>
      </c>
      <c r="AD1582">
        <v>-1.1092317371879901</v>
      </c>
      <c r="AE1582">
        <v>-1.4218999999999899</v>
      </c>
      <c r="AF1582">
        <v>3.0063860965845999</v>
      </c>
      <c r="AG1582">
        <v>-1.1092317371879901</v>
      </c>
      <c r="AH1582">
        <v>4.0539669651477004</v>
      </c>
      <c r="AI1582">
        <v>102.395229508675</v>
      </c>
      <c r="AJ1582">
        <v>53.439694918048502</v>
      </c>
      <c r="AK1582">
        <v>5.1675333151350999</v>
      </c>
      <c r="AL1582">
        <v>89.464304482317402</v>
      </c>
      <c r="AM1582">
        <v>77.253335652860002</v>
      </c>
      <c r="AN1582">
        <v>0.99999996211464204</v>
      </c>
    </row>
    <row r="1583" spans="1:40" x14ac:dyDescent="0.25">
      <c r="A1583" t="str">
        <f>"20190312154244287"</f>
        <v>20190312154244287</v>
      </c>
      <c r="B1583" t="str">
        <f>"1552376564279207"</f>
        <v>1552376564279207</v>
      </c>
      <c r="C1583" t="s">
        <v>40</v>
      </c>
      <c r="D1583">
        <v>5.4619169999999997</v>
      </c>
      <c r="E1583">
        <v>0.66171069999999999</v>
      </c>
      <c r="F1583" t="s">
        <v>49</v>
      </c>
      <c r="G1583">
        <v>-203.33529999999999</v>
      </c>
      <c r="H1583" s="1">
        <v>3.3448639999999998E-6</v>
      </c>
      <c r="I1583">
        <v>288.6336</v>
      </c>
      <c r="J1583">
        <v>-198.18860000000001</v>
      </c>
      <c r="K1583">
        <v>1.109245</v>
      </c>
      <c r="L1583">
        <v>290.03089999999997</v>
      </c>
      <c r="M1583">
        <v>-0.61897139999999995</v>
      </c>
      <c r="N1583">
        <v>0</v>
      </c>
      <c r="O1583">
        <v>-0.78530059999999902</v>
      </c>
      <c r="P1583">
        <v>-0.77709819999999996</v>
      </c>
      <c r="Q1583">
        <v>-4.3149399999999997E-3</v>
      </c>
      <c r="R1583">
        <v>-0.62936510000000001</v>
      </c>
      <c r="S1583">
        <v>-3.1406100000000001</v>
      </c>
      <c r="T1583">
        <v>-0.66437409999999997</v>
      </c>
      <c r="U1583">
        <v>-0.90231320000000004</v>
      </c>
      <c r="V1583">
        <v>0.22074389999999999</v>
      </c>
      <c r="W1583">
        <v>7.9567249999999996E-3</v>
      </c>
      <c r="X1583">
        <v>0.97529940000000004</v>
      </c>
      <c r="Y1583">
        <v>0.56144450000000001</v>
      </c>
      <c r="Z1583">
        <v>0.19578219999999999</v>
      </c>
      <c r="AA1583">
        <v>0.80402079999999998</v>
      </c>
      <c r="AB1583">
        <v>10</v>
      </c>
      <c r="AC1583">
        <v>-5.1466999999999796</v>
      </c>
      <c r="AD1583">
        <v>-1.109241655136</v>
      </c>
      <c r="AE1583">
        <v>-1.39729999999997</v>
      </c>
      <c r="AF1583">
        <v>3.04535123893826</v>
      </c>
      <c r="AG1583">
        <v>-1.109241655136</v>
      </c>
      <c r="AH1583">
        <v>4.10571837631724</v>
      </c>
      <c r="AI1583">
        <v>102.243027179458</v>
      </c>
      <c r="AJ1583">
        <v>53.434412421205302</v>
      </c>
      <c r="AK1583">
        <v>5.2308225551647904</v>
      </c>
      <c r="AL1583">
        <v>89.544108450744801</v>
      </c>
      <c r="AM1583">
        <v>77.246860567262203</v>
      </c>
      <c r="AN1583">
        <v>1.00000004925014</v>
      </c>
    </row>
    <row r="1584" spans="1:40" x14ac:dyDescent="0.25">
      <c r="A1584" t="str">
        <f>"20190312154244308"</f>
        <v>20190312154244308</v>
      </c>
      <c r="B1584" t="str">
        <f>"1552376564298921"</f>
        <v>1552376564298921</v>
      </c>
      <c r="C1584" t="s">
        <v>40</v>
      </c>
      <c r="D1584">
        <v>5.4405400000000004</v>
      </c>
      <c r="E1584">
        <v>0.66120419999999902</v>
      </c>
      <c r="F1584" t="s">
        <v>49</v>
      </c>
      <c r="G1584">
        <v>-203.49160000000001</v>
      </c>
      <c r="H1584" s="1">
        <v>3.421947E-6</v>
      </c>
      <c r="I1584">
        <v>288.54450000000003</v>
      </c>
      <c r="J1584">
        <v>-198.2527</v>
      </c>
      <c r="K1584">
        <v>1.1092489999999999</v>
      </c>
      <c r="L1584">
        <v>289.95960000000002</v>
      </c>
      <c r="M1584">
        <v>-0.62307440000000003</v>
      </c>
      <c r="N1584">
        <v>0</v>
      </c>
      <c r="O1584">
        <v>-0.782049199999999</v>
      </c>
      <c r="P1584">
        <v>-0.78038200000000002</v>
      </c>
      <c r="Q1584">
        <v>-4.3865529999999996E-3</v>
      </c>
      <c r="R1584">
        <v>-0.62528839999999997</v>
      </c>
      <c r="S1584">
        <v>-3.1433409999999999</v>
      </c>
      <c r="T1584">
        <v>-0.65750589999999998</v>
      </c>
      <c r="U1584">
        <v>-0.88104249999999995</v>
      </c>
      <c r="V1584">
        <v>0.22074279999999999</v>
      </c>
      <c r="W1584">
        <v>7.8837690000000005E-3</v>
      </c>
      <c r="X1584">
        <v>0.97530019999999995</v>
      </c>
      <c r="Y1584">
        <v>0.56282149999999997</v>
      </c>
      <c r="Z1584">
        <v>0.19372739999999999</v>
      </c>
      <c r="AA1584">
        <v>0.80355569999999998</v>
      </c>
      <c r="AB1584">
        <v>10</v>
      </c>
      <c r="AC1584">
        <v>-5.2389000000000001</v>
      </c>
      <c r="AD1584">
        <v>-1.1092455780529999</v>
      </c>
      <c r="AE1584">
        <v>-1.41509999999999</v>
      </c>
      <c r="AF1584">
        <v>3.0866818376883498</v>
      </c>
      <c r="AG1584">
        <v>-1.1092455780529999</v>
      </c>
      <c r="AH1584">
        <v>4.1959730415489602</v>
      </c>
      <c r="AI1584">
        <v>102.02142631704</v>
      </c>
      <c r="AJ1584">
        <v>53.6607009071287</v>
      </c>
      <c r="AK1584">
        <v>5.3258070078581499</v>
      </c>
      <c r="AL1584">
        <v>89.548288634291893</v>
      </c>
      <c r="AM1584">
        <v>77.246932158497501</v>
      </c>
      <c r="AN1584">
        <v>1.0000000088427601</v>
      </c>
    </row>
    <row r="1585" spans="1:40" x14ac:dyDescent="0.25">
      <c r="A1585" t="str">
        <f>"20190312154244329"</f>
        <v>20190312154244329</v>
      </c>
      <c r="B1585" t="str">
        <f>"1552376564319416"</f>
        <v>1552376564319416</v>
      </c>
      <c r="C1585" t="s">
        <v>40</v>
      </c>
      <c r="D1585">
        <v>5.4330930000000004</v>
      </c>
      <c r="E1585">
        <v>0.66079009999999905</v>
      </c>
      <c r="F1585" t="s">
        <v>49</v>
      </c>
      <c r="G1585">
        <v>-203.62260000000001</v>
      </c>
      <c r="H1585" s="1">
        <v>3.4857029999999998E-6</v>
      </c>
      <c r="I1585">
        <v>288.48</v>
      </c>
      <c r="J1585">
        <v>-198.31360000000001</v>
      </c>
      <c r="K1585">
        <v>1.109253</v>
      </c>
      <c r="L1585">
        <v>289.89249999999998</v>
      </c>
      <c r="M1585">
        <v>-0.62693559999999904</v>
      </c>
      <c r="N1585">
        <v>0</v>
      </c>
      <c r="O1585">
        <v>-0.77895719999999902</v>
      </c>
      <c r="P1585">
        <v>-0.78316859999999999</v>
      </c>
      <c r="Q1585">
        <v>-3.970749E-3</v>
      </c>
      <c r="R1585">
        <v>-0.62179680000000004</v>
      </c>
      <c r="S1585">
        <v>-3.1460720000000002</v>
      </c>
      <c r="T1585">
        <v>-0.64987349999999999</v>
      </c>
      <c r="U1585">
        <v>-0.86685179999999995</v>
      </c>
      <c r="V1585">
        <v>0.22027630000000001</v>
      </c>
      <c r="W1585">
        <v>8.2976509999999996E-3</v>
      </c>
      <c r="X1585">
        <v>0.9754022</v>
      </c>
      <c r="Y1585">
        <v>0.56285549999999995</v>
      </c>
      <c r="Z1585">
        <v>0.19124160000000001</v>
      </c>
      <c r="AA1585">
        <v>0.80412700000000004</v>
      </c>
      <c r="AB1585">
        <v>9</v>
      </c>
      <c r="AC1585">
        <v>-5.3089999999999904</v>
      </c>
      <c r="AD1585">
        <v>-1.109249514297</v>
      </c>
      <c r="AE1585">
        <v>-1.4124999999999599</v>
      </c>
      <c r="AF1585">
        <v>3.1229077673367001</v>
      </c>
      <c r="AG1585">
        <v>-1.109249514297</v>
      </c>
      <c r="AH1585">
        <v>4.2555755261768997</v>
      </c>
      <c r="AI1585">
        <v>101.867744699843</v>
      </c>
      <c r="AJ1585">
        <v>53.727322074146102</v>
      </c>
      <c r="AK1585">
        <v>5.3937844290679502</v>
      </c>
      <c r="AL1585">
        <v>89.524574150509295</v>
      </c>
      <c r="AM1585">
        <v>77.274292303465401</v>
      </c>
      <c r="AN1585">
        <v>0.99999997555932296</v>
      </c>
    </row>
    <row r="1586" spans="1:40" x14ac:dyDescent="0.25">
      <c r="A1586" t="str">
        <f>"20190312154244351"</f>
        <v>20190312154244351</v>
      </c>
      <c r="B1586" t="str">
        <f>"1552376564338939"</f>
        <v>1552376564338939</v>
      </c>
      <c r="C1586" t="s">
        <v>40</v>
      </c>
      <c r="D1586">
        <v>5.4452809999999996</v>
      </c>
      <c r="E1586">
        <v>0.66036839999999997</v>
      </c>
      <c r="F1586" t="s">
        <v>49</v>
      </c>
      <c r="G1586">
        <v>-203.68780000000001</v>
      </c>
      <c r="H1586" s="1">
        <v>3.5186679999999998E-6</v>
      </c>
      <c r="I1586">
        <v>288.43340000000001</v>
      </c>
      <c r="J1586">
        <v>-198.3783</v>
      </c>
      <c r="K1586">
        <v>1.1092519999999999</v>
      </c>
      <c r="L1586">
        <v>289.82209999999998</v>
      </c>
      <c r="M1586">
        <v>-0.63099899999999998</v>
      </c>
      <c r="N1586">
        <v>0</v>
      </c>
      <c r="O1586">
        <v>-0.77566959999999996</v>
      </c>
      <c r="P1586">
        <v>-0.78589019999999898</v>
      </c>
      <c r="Q1586">
        <v>-3.153992E-3</v>
      </c>
      <c r="R1586">
        <v>-0.61835839999999997</v>
      </c>
      <c r="S1586">
        <v>-3.1485599999999998</v>
      </c>
      <c r="T1586">
        <v>-0.6498775</v>
      </c>
      <c r="U1586">
        <v>-0.85488889999999995</v>
      </c>
      <c r="V1586">
        <v>0.21945799999999999</v>
      </c>
      <c r="W1586">
        <v>9.1082420000000008E-3</v>
      </c>
      <c r="X1586">
        <v>0.97557939999999999</v>
      </c>
      <c r="Y1586">
        <v>0.56164119999999995</v>
      </c>
      <c r="Z1586">
        <v>0.1907962</v>
      </c>
      <c r="AA1586">
        <v>0.80508139999999995</v>
      </c>
      <c r="AB1586">
        <v>9</v>
      </c>
      <c r="AC1586">
        <v>-5.3095000000000097</v>
      </c>
      <c r="AD1586">
        <v>-1.109248481332</v>
      </c>
      <c r="AE1586">
        <v>-1.3886999999999701</v>
      </c>
      <c r="AF1586">
        <v>3.11517520972978</v>
      </c>
      <c r="AG1586">
        <v>-1.109248481332</v>
      </c>
      <c r="AH1586">
        <v>4.2540662620512801</v>
      </c>
      <c r="AI1586">
        <v>101.880393430802</v>
      </c>
      <c r="AJ1586">
        <v>53.785361588581097</v>
      </c>
      <c r="AK1586">
        <v>5.3881192027065703</v>
      </c>
      <c r="AL1586">
        <v>89.478128942926901</v>
      </c>
      <c r="AM1586">
        <v>77.322264242088195</v>
      </c>
      <c r="AN1586">
        <v>0.999999969770344</v>
      </c>
    </row>
    <row r="1587" spans="1:40" x14ac:dyDescent="0.25">
      <c r="A1587" t="str">
        <f>"20190312154244374"</f>
        <v>20190312154244374</v>
      </c>
      <c r="B1587" t="str">
        <f>"1552376564369192"</f>
        <v>1552376564369192</v>
      </c>
      <c r="C1587" t="s">
        <v>40</v>
      </c>
      <c r="D1587">
        <v>5.4523429999999999</v>
      </c>
      <c r="E1587">
        <v>0.65972889999999995</v>
      </c>
      <c r="F1587" t="s">
        <v>49</v>
      </c>
      <c r="G1587">
        <v>-203.821</v>
      </c>
      <c r="H1587" s="1">
        <v>3.5837250000000001E-6</v>
      </c>
      <c r="I1587">
        <v>288.36520000000002</v>
      </c>
      <c r="J1587">
        <v>-198.44280000000001</v>
      </c>
      <c r="K1587">
        <v>1.109248</v>
      </c>
      <c r="L1587">
        <v>289.75259999999997</v>
      </c>
      <c r="M1587">
        <v>-0.63501319999999895</v>
      </c>
      <c r="N1587">
        <v>0</v>
      </c>
      <c r="O1587">
        <v>-0.77238739999999995</v>
      </c>
      <c r="P1587">
        <v>-0.78836010000000001</v>
      </c>
      <c r="Q1587">
        <v>-3.1042830000000002E-3</v>
      </c>
      <c r="R1587">
        <v>-0.61520649999999999</v>
      </c>
      <c r="S1587">
        <v>-3.1511079999999998</v>
      </c>
      <c r="T1587">
        <v>-0.64220630000000001</v>
      </c>
      <c r="U1587">
        <v>-0.84344479999999999</v>
      </c>
      <c r="V1587">
        <v>0.21830550000000001</v>
      </c>
      <c r="W1587">
        <v>9.1401910000000006E-3</v>
      </c>
      <c r="X1587">
        <v>0.97583759999999997</v>
      </c>
      <c r="Y1587">
        <v>0.56083969999999905</v>
      </c>
      <c r="Z1587">
        <v>0.18817310000000001</v>
      </c>
      <c r="AA1587">
        <v>0.80625669999999905</v>
      </c>
      <c r="AB1587">
        <v>9</v>
      </c>
      <c r="AC1587">
        <v>-5.3781999999999899</v>
      </c>
      <c r="AD1587">
        <v>-1.1092444162749999</v>
      </c>
      <c r="AE1587">
        <v>-1.38739999999995</v>
      </c>
      <c r="AF1587">
        <v>3.1477780571391301</v>
      </c>
      <c r="AG1587">
        <v>-1.1092444162749999</v>
      </c>
      <c r="AH1587">
        <v>4.3151277474472796</v>
      </c>
      <c r="AI1587">
        <v>101.732160287705</v>
      </c>
      <c r="AJ1587">
        <v>53.890181774821102</v>
      </c>
      <c r="AK1587">
        <v>5.4552046110877797</v>
      </c>
      <c r="AL1587">
        <v>89.476298301932502</v>
      </c>
      <c r="AM1587">
        <v>77.389937320851899</v>
      </c>
      <c r="AN1587">
        <v>0.99999992799776005</v>
      </c>
    </row>
    <row r="1588" spans="1:40" x14ac:dyDescent="0.25">
      <c r="A1588" t="str">
        <f>"20190312154244395"</f>
        <v>20190312154244395</v>
      </c>
      <c r="B1588" t="str">
        <f>"1552376564388713"</f>
        <v>1552376564388713</v>
      </c>
      <c r="C1588" t="s">
        <v>40</v>
      </c>
      <c r="D1588">
        <v>5.4139619999999997</v>
      </c>
      <c r="E1588">
        <v>0.6592517</v>
      </c>
      <c r="F1588" t="s">
        <v>49</v>
      </c>
      <c r="G1588">
        <v>-203.8211</v>
      </c>
      <c r="H1588" s="1">
        <v>3.5869950000000002E-6</v>
      </c>
      <c r="I1588">
        <v>288.32819999999998</v>
      </c>
      <c r="J1588">
        <v>-198.50720000000001</v>
      </c>
      <c r="K1588">
        <v>1.1092280000000001</v>
      </c>
      <c r="L1588">
        <v>289.68389999999999</v>
      </c>
      <c r="M1588">
        <v>-0.63899059999999996</v>
      </c>
      <c r="N1588">
        <v>0</v>
      </c>
      <c r="O1588">
        <v>-0.76910080000000003</v>
      </c>
      <c r="P1588">
        <v>-0.79057749999999904</v>
      </c>
      <c r="Q1588">
        <v>-3.5917190000000002E-3</v>
      </c>
      <c r="R1588">
        <v>-0.61235169999999906</v>
      </c>
      <c r="S1588">
        <v>-3.1514890000000002</v>
      </c>
      <c r="T1588">
        <v>-0.64997199999999999</v>
      </c>
      <c r="U1588">
        <v>-0.83465579999999995</v>
      </c>
      <c r="V1588">
        <v>0.2167954</v>
      </c>
      <c r="W1588">
        <v>8.6147380000000003E-3</v>
      </c>
      <c r="X1588">
        <v>0.97617909999999997</v>
      </c>
      <c r="Y1588">
        <v>0.55828750000000005</v>
      </c>
      <c r="Z1588">
        <v>0.18989039999999999</v>
      </c>
      <c r="AA1588">
        <v>0.80762409999999996</v>
      </c>
      <c r="AB1588">
        <v>9</v>
      </c>
      <c r="AC1588">
        <v>-5.3138999999999896</v>
      </c>
      <c r="AD1588">
        <v>-1.109224413005</v>
      </c>
      <c r="AE1588">
        <v>-1.3557000000000099</v>
      </c>
      <c r="AF1588">
        <v>3.09433843148748</v>
      </c>
      <c r="AG1588">
        <v>-1.109224413005</v>
      </c>
      <c r="AH1588">
        <v>4.2641453960988498</v>
      </c>
      <c r="AI1588">
        <v>101.889189680773</v>
      </c>
      <c r="AJ1588">
        <v>54.0329447520282</v>
      </c>
      <c r="AK1588">
        <v>5.3840732801530198</v>
      </c>
      <c r="AL1588">
        <v>89.506405788927594</v>
      </c>
      <c r="AM1588">
        <v>77.478647601134199</v>
      </c>
      <c r="AN1588">
        <v>1.00000004722438</v>
      </c>
    </row>
    <row r="1589" spans="1:40" x14ac:dyDescent="0.25">
      <c r="A1589" t="str">
        <f>"20190312154244419"</f>
        <v>20190312154244419</v>
      </c>
      <c r="B1589" t="str">
        <f>"1552376564409208"</f>
        <v>1552376564409208</v>
      </c>
      <c r="C1589" t="s">
        <v>40</v>
      </c>
      <c r="D1589">
        <v>5.4128100000000003</v>
      </c>
      <c r="E1589">
        <v>0.65883340000000001</v>
      </c>
      <c r="F1589" t="s">
        <v>49</v>
      </c>
      <c r="G1589">
        <v>-203.8246</v>
      </c>
      <c r="H1589" s="1">
        <v>3.5918200000000002E-6</v>
      </c>
      <c r="I1589">
        <v>288.29070000000002</v>
      </c>
      <c r="J1589">
        <v>-198.5804</v>
      </c>
      <c r="K1589">
        <v>1.1092010000000001</v>
      </c>
      <c r="L1589">
        <v>289.60660000000001</v>
      </c>
      <c r="M1589">
        <v>-0.6434761</v>
      </c>
      <c r="N1589">
        <v>0</v>
      </c>
      <c r="O1589">
        <v>-0.76535339999999996</v>
      </c>
      <c r="P1589">
        <v>-0.79354399999999903</v>
      </c>
      <c r="Q1589">
        <v>-3.5406740000000002E-3</v>
      </c>
      <c r="R1589">
        <v>-0.60850280000000001</v>
      </c>
      <c r="S1589">
        <v>-3.1520229999999998</v>
      </c>
      <c r="T1589">
        <v>-0.65751490000000001</v>
      </c>
      <c r="U1589">
        <v>-0.82583619999999902</v>
      </c>
      <c r="V1589">
        <v>0.21583279999999999</v>
      </c>
      <c r="W1589">
        <v>8.5837440000000008E-3</v>
      </c>
      <c r="X1589">
        <v>0.97639260000000005</v>
      </c>
      <c r="Y1589">
        <v>0.55521500000000001</v>
      </c>
      <c r="Z1589">
        <v>0.19141440000000001</v>
      </c>
      <c r="AA1589">
        <v>0.80938049999999995</v>
      </c>
      <c r="AB1589">
        <v>9</v>
      </c>
      <c r="AC1589">
        <v>-5.2442000000000002</v>
      </c>
      <c r="AD1589">
        <v>-1.10919740817999</v>
      </c>
      <c r="AE1589">
        <v>-1.3158999999999901</v>
      </c>
      <c r="AF1589">
        <v>3.0392775653674402</v>
      </c>
      <c r="AG1589">
        <v>-1.10919740817999</v>
      </c>
      <c r="AH1589">
        <v>4.2050492244426803</v>
      </c>
      <c r="AI1589">
        <v>102.06724228713</v>
      </c>
      <c r="AJ1589">
        <v>54.141778397720699</v>
      </c>
      <c r="AK1589">
        <v>5.3056541528491197</v>
      </c>
      <c r="AL1589">
        <v>89.508181653608503</v>
      </c>
      <c r="AM1589">
        <v>77.535142892886896</v>
      </c>
      <c r="AN1589">
        <v>0.99999999377582804</v>
      </c>
    </row>
    <row r="1590" spans="1:40" x14ac:dyDescent="0.25">
      <c r="A1590" t="str">
        <f>"20190312154244443"</f>
        <v>20190312154244443</v>
      </c>
      <c r="B1590" t="str">
        <f>"1552376564439464"</f>
        <v>1552376564439464</v>
      </c>
      <c r="C1590" t="s">
        <v>40</v>
      </c>
      <c r="D1590">
        <v>5.4639819999999997</v>
      </c>
      <c r="E1590">
        <v>0.65829499999999996</v>
      </c>
      <c r="F1590" t="s">
        <v>49</v>
      </c>
      <c r="G1590">
        <v>-203.87520000000001</v>
      </c>
      <c r="H1590" s="1">
        <v>3.6184919999999999E-6</v>
      </c>
      <c r="I1590">
        <v>288.2423</v>
      </c>
      <c r="J1590">
        <v>-198.64959999999999</v>
      </c>
      <c r="K1590">
        <v>1.1091740000000001</v>
      </c>
      <c r="L1590">
        <v>289.53449999999998</v>
      </c>
      <c r="M1590">
        <v>-0.64767479999999999</v>
      </c>
      <c r="N1590">
        <v>0</v>
      </c>
      <c r="O1590">
        <v>-0.76180579999999998</v>
      </c>
      <c r="P1590">
        <v>-0.79637910000000001</v>
      </c>
      <c r="Q1590">
        <v>-2.2377500000000002E-3</v>
      </c>
      <c r="R1590">
        <v>-0.60479430000000001</v>
      </c>
      <c r="S1590">
        <v>-3.154312</v>
      </c>
      <c r="T1590">
        <v>-0.66079279999999996</v>
      </c>
      <c r="U1590">
        <v>-0.81277469999999996</v>
      </c>
      <c r="V1590">
        <v>0.2150281</v>
      </c>
      <c r="W1590">
        <v>9.7767389999999996E-3</v>
      </c>
      <c r="X1590">
        <v>0.97655890000000001</v>
      </c>
      <c r="Y1590">
        <v>0.55381819999999904</v>
      </c>
      <c r="Z1590">
        <v>0.19184300000000001</v>
      </c>
      <c r="AA1590">
        <v>0.81023559999999994</v>
      </c>
      <c r="AB1590">
        <v>9</v>
      </c>
      <c r="AC1590">
        <v>-5.2256000000000098</v>
      </c>
      <c r="AD1590">
        <v>-1.1091703815079901</v>
      </c>
      <c r="AE1590">
        <v>-1.29219999999997</v>
      </c>
      <c r="AF1590">
        <v>3.0161757672601799</v>
      </c>
      <c r="AG1590">
        <v>-1.1091703815079901</v>
      </c>
      <c r="AH1590">
        <v>4.1913146180855003</v>
      </c>
      <c r="AI1590">
        <v>102.12286721911499</v>
      </c>
      <c r="AJ1590">
        <v>54.260256755895</v>
      </c>
      <c r="AK1590">
        <v>5.2815427123142102</v>
      </c>
      <c r="AL1590">
        <v>89.4398251806399</v>
      </c>
      <c r="AM1590">
        <v>77.582220874038399</v>
      </c>
      <c r="AN1590">
        <v>0.99999997679214603</v>
      </c>
    </row>
    <row r="1591" spans="1:40" x14ac:dyDescent="0.25">
      <c r="A1591" t="str">
        <f>"20190312154244464"</f>
        <v>20190312154244464</v>
      </c>
      <c r="B1591" t="str">
        <f>"1552376564458984"</f>
        <v>1552376564458984</v>
      </c>
      <c r="C1591" t="s">
        <v>40</v>
      </c>
      <c r="D1591">
        <v>5.4184919999999996</v>
      </c>
      <c r="E1591">
        <v>0.65788999999999997</v>
      </c>
      <c r="F1591" t="s">
        <v>49</v>
      </c>
      <c r="G1591">
        <v>-203.90170000000001</v>
      </c>
      <c r="H1591" s="1">
        <v>3.6340510000000002E-6</v>
      </c>
      <c r="I1591">
        <v>288.19850000000002</v>
      </c>
      <c r="J1591">
        <v>-198.71350000000001</v>
      </c>
      <c r="K1591">
        <v>1.109143</v>
      </c>
      <c r="L1591">
        <v>289.46859999999998</v>
      </c>
      <c r="M1591">
        <v>-0.65153070000000002</v>
      </c>
      <c r="N1591">
        <v>0</v>
      </c>
      <c r="O1591">
        <v>-0.75851279999999999</v>
      </c>
      <c r="P1591">
        <v>-0.79894799999999999</v>
      </c>
      <c r="Q1591">
        <v>-5.806009E-4</v>
      </c>
      <c r="R1591">
        <v>-0.6014003</v>
      </c>
      <c r="S1591">
        <v>-3.1555789999999999</v>
      </c>
      <c r="T1591">
        <v>-0.66641450000000002</v>
      </c>
      <c r="U1591">
        <v>-0.80270390000000003</v>
      </c>
      <c r="V1591">
        <v>0.2142385</v>
      </c>
      <c r="W1591">
        <v>1.129967E-2</v>
      </c>
      <c r="X1591">
        <v>0.97671600000000003</v>
      </c>
      <c r="Y1591">
        <v>0.55183470000000001</v>
      </c>
      <c r="Z1591">
        <v>0.1929157</v>
      </c>
      <c r="AA1591">
        <v>0.81133350000000004</v>
      </c>
      <c r="AB1591">
        <v>9</v>
      </c>
      <c r="AC1591">
        <v>-5.1881999999999904</v>
      </c>
      <c r="AD1591">
        <v>-1.1091393659489901</v>
      </c>
      <c r="AE1591">
        <v>-1.27009999999995</v>
      </c>
      <c r="AF1591">
        <v>2.9795901740197301</v>
      </c>
      <c r="AG1591">
        <v>-1.1091393659489901</v>
      </c>
      <c r="AH1591">
        <v>4.1644551528025904</v>
      </c>
      <c r="AI1591">
        <v>102.221637615956</v>
      </c>
      <c r="AJ1591">
        <v>54.4169848839298</v>
      </c>
      <c r="AK1591">
        <v>5.2393543932355602</v>
      </c>
      <c r="AL1591">
        <v>89.352562808597597</v>
      </c>
      <c r="AM1591">
        <v>77.628341788059103</v>
      </c>
      <c r="AN1591">
        <v>0.99999998104017895</v>
      </c>
    </row>
    <row r="1592" spans="1:40" x14ac:dyDescent="0.25">
      <c r="A1592" t="str">
        <f>"20190312154244487"</f>
        <v>20190312154244487</v>
      </c>
      <c r="B1592" t="str">
        <f>"1552376564478504"</f>
        <v>1552376564478504</v>
      </c>
      <c r="C1592" t="s">
        <v>40</v>
      </c>
      <c r="D1592">
        <v>5.422885</v>
      </c>
      <c r="E1592">
        <v>0.65746749999999998</v>
      </c>
      <c r="F1592" t="s">
        <v>49</v>
      </c>
      <c r="G1592">
        <v>-203.9342</v>
      </c>
      <c r="H1592" s="1">
        <v>3.6522739999999999E-6</v>
      </c>
      <c r="I1592">
        <v>288.15539999999999</v>
      </c>
      <c r="J1592">
        <v>-198.7824</v>
      </c>
      <c r="K1592">
        <v>1.1090949999999999</v>
      </c>
      <c r="L1592">
        <v>289.39819999999997</v>
      </c>
      <c r="M1592">
        <v>-0.65567240000000004</v>
      </c>
      <c r="N1592">
        <v>0</v>
      </c>
      <c r="O1592">
        <v>-0.75493840000000001</v>
      </c>
      <c r="P1592">
        <v>-0.80130239999999997</v>
      </c>
      <c r="Q1592">
        <v>1.240689E-4</v>
      </c>
      <c r="R1592">
        <v>-0.59825969999999995</v>
      </c>
      <c r="S1592">
        <v>-3.1567379999999998</v>
      </c>
      <c r="T1592">
        <v>-0.67064190000000001</v>
      </c>
      <c r="U1592">
        <v>-0.79403690000000005</v>
      </c>
      <c r="V1592">
        <v>0.21273049999999999</v>
      </c>
      <c r="W1592">
        <v>1.182654E-2</v>
      </c>
      <c r="X1592">
        <v>0.97703930000000005</v>
      </c>
      <c r="Y1592">
        <v>0.54928369999999904</v>
      </c>
      <c r="Z1592">
        <v>0.19347919999999999</v>
      </c>
      <c r="AA1592">
        <v>0.81292880000000001</v>
      </c>
      <c r="AB1592">
        <v>9</v>
      </c>
      <c r="AC1592">
        <v>-5.1517999999999997</v>
      </c>
      <c r="AD1592">
        <v>-1.109091347726</v>
      </c>
      <c r="AE1592">
        <v>-1.2427999999999799</v>
      </c>
      <c r="AF1592">
        <v>2.9456576704947999</v>
      </c>
      <c r="AG1592">
        <v>-1.109091347726</v>
      </c>
      <c r="AH1592">
        <v>4.1353604009628002</v>
      </c>
      <c r="AI1592">
        <v>102.32240123754001</v>
      </c>
      <c r="AJ1592">
        <v>54.537357333306801</v>
      </c>
      <c r="AK1592">
        <v>5.1969402897470998</v>
      </c>
      <c r="AL1592">
        <v>89.322373349928597</v>
      </c>
      <c r="AM1592">
        <v>77.716712395459595</v>
      </c>
      <c r="AN1592">
        <v>0.99999996321155504</v>
      </c>
    </row>
    <row r="1593" spans="1:40" x14ac:dyDescent="0.25">
      <c r="A1593" t="str">
        <f>"20190312154244509"</f>
        <v>20190312154244509</v>
      </c>
      <c r="B1593" t="str">
        <f>"1552376564499000"</f>
        <v>1552376564499000</v>
      </c>
      <c r="C1593" t="s">
        <v>40</v>
      </c>
      <c r="D1593">
        <v>5.5247479999999998</v>
      </c>
      <c r="E1593">
        <v>0.65731010000000001</v>
      </c>
      <c r="F1593" t="s">
        <v>49</v>
      </c>
      <c r="G1593">
        <v>-204.00309999999999</v>
      </c>
      <c r="H1593" s="1">
        <v>3.687435E-6</v>
      </c>
      <c r="I1593">
        <v>288.10230000000001</v>
      </c>
      <c r="J1593">
        <v>-198.84899999999999</v>
      </c>
      <c r="K1593">
        <v>1.1090310000000001</v>
      </c>
      <c r="L1593">
        <v>289.33100000000002</v>
      </c>
      <c r="M1593">
        <v>-0.65965810000000002</v>
      </c>
      <c r="N1593">
        <v>0</v>
      </c>
      <c r="O1593">
        <v>-0.75146179999999996</v>
      </c>
      <c r="P1593">
        <v>-0.80344479999999996</v>
      </c>
      <c r="Q1593">
        <v>-1.522456E-4</v>
      </c>
      <c r="R1593">
        <v>-0.59537980000000001</v>
      </c>
      <c r="S1593">
        <v>-3.1586460000000001</v>
      </c>
      <c r="T1593">
        <v>-0.67103199999999996</v>
      </c>
      <c r="U1593">
        <v>-0.78402709999999998</v>
      </c>
      <c r="V1593">
        <v>0.21106820000000001</v>
      </c>
      <c r="W1593">
        <v>1.1345920000000001E-2</v>
      </c>
      <c r="X1593">
        <v>0.97740550000000004</v>
      </c>
      <c r="Y1593">
        <v>0.54750209999999999</v>
      </c>
      <c r="Z1593">
        <v>0.1930106</v>
      </c>
      <c r="AA1593">
        <v>0.81424099999999999</v>
      </c>
      <c r="AB1593">
        <v>9</v>
      </c>
      <c r="AC1593">
        <v>-5.1540999999999704</v>
      </c>
      <c r="AD1593">
        <v>-1.1090273125650001</v>
      </c>
      <c r="AE1593">
        <v>-1.22869999999994</v>
      </c>
      <c r="AF1593">
        <v>2.9342761789324499</v>
      </c>
      <c r="AG1593">
        <v>-1.1090273125650001</v>
      </c>
      <c r="AH1593">
        <v>4.1421359836964404</v>
      </c>
      <c r="AI1593">
        <v>102.324223291254</v>
      </c>
      <c r="AJ1593">
        <v>54.686362397371497</v>
      </c>
      <c r="AK1593">
        <v>5.1958838306584996</v>
      </c>
      <c r="AL1593">
        <v>89.349912729761996</v>
      </c>
      <c r="AM1593">
        <v>77.814244927454396</v>
      </c>
      <c r="AN1593">
        <v>1.00000001319106</v>
      </c>
    </row>
    <row r="1594" spans="1:40" x14ac:dyDescent="0.25">
      <c r="A1594" t="str">
        <f>"20190312154244530"</f>
        <v>20190312154244530</v>
      </c>
      <c r="B1594" t="str">
        <f>"1552376564519502"</f>
        <v>1552376564519502</v>
      </c>
      <c r="C1594" t="s">
        <v>40</v>
      </c>
      <c r="D1594">
        <v>5.5425110000000002</v>
      </c>
      <c r="E1594">
        <v>0.65683999999999998</v>
      </c>
      <c r="F1594" t="s">
        <v>49</v>
      </c>
      <c r="G1594">
        <v>-204.0744</v>
      </c>
      <c r="H1594" s="1">
        <v>3.7232019999999998E-6</v>
      </c>
      <c r="I1594">
        <v>288.0548</v>
      </c>
      <c r="J1594">
        <v>-198.91489999999999</v>
      </c>
      <c r="K1594">
        <v>1.108954</v>
      </c>
      <c r="L1594">
        <v>289.26519999999999</v>
      </c>
      <c r="M1594">
        <v>-0.66358589999999995</v>
      </c>
      <c r="N1594">
        <v>0</v>
      </c>
      <c r="O1594">
        <v>-0.74799939999999998</v>
      </c>
      <c r="P1594">
        <v>-0.80603199999999997</v>
      </c>
      <c r="Q1594">
        <v>-3.0008239999999999E-4</v>
      </c>
      <c r="R1594">
        <v>-0.59187219999999996</v>
      </c>
      <c r="S1594">
        <v>-3.161591</v>
      </c>
      <c r="T1594">
        <v>-0.67101619999999995</v>
      </c>
      <c r="U1594">
        <v>-0.77215579999999995</v>
      </c>
      <c r="V1594">
        <v>0.2102096</v>
      </c>
      <c r="W1594">
        <v>1.096924E-2</v>
      </c>
      <c r="X1594">
        <v>0.97759479999999999</v>
      </c>
      <c r="Y1594">
        <v>0.54630429999999996</v>
      </c>
      <c r="Z1594">
        <v>0.1924437</v>
      </c>
      <c r="AA1594">
        <v>0.81517919999999999</v>
      </c>
      <c r="AB1594">
        <v>9</v>
      </c>
      <c r="AC1594">
        <v>-5.1595000000000004</v>
      </c>
      <c r="AD1594">
        <v>-1.108950276798</v>
      </c>
      <c r="AE1594">
        <v>-1.2103999999999899</v>
      </c>
      <c r="AF1594">
        <v>2.92811631415747</v>
      </c>
      <c r="AG1594">
        <v>-1.108950276798</v>
      </c>
      <c r="AH1594">
        <v>4.1478553105978397</v>
      </c>
      <c r="AI1594">
        <v>102.32077425128401</v>
      </c>
      <c r="AJ1594">
        <v>54.780393094322797</v>
      </c>
      <c r="AK1594">
        <v>5.1969548336790696</v>
      </c>
      <c r="AL1594">
        <v>89.371496236911895</v>
      </c>
      <c r="AM1594">
        <v>77.864623110743807</v>
      </c>
      <c r="AN1594">
        <v>0.99999999657268801</v>
      </c>
    </row>
    <row r="1595" spans="1:40" x14ac:dyDescent="0.25">
      <c r="A1595" t="str">
        <f>"20190312154244753"</f>
        <v>20190312154244753</v>
      </c>
      <c r="B1595" t="str">
        <f>"1552376564748856"</f>
        <v>1552376564748856</v>
      </c>
      <c r="C1595" t="s">
        <v>40</v>
      </c>
      <c r="D1595">
        <v>5.2548469999999998</v>
      </c>
      <c r="E1595">
        <v>0.66449840000000004</v>
      </c>
      <c r="F1595" t="s">
        <v>49</v>
      </c>
      <c r="G1595">
        <v>-204.1232</v>
      </c>
      <c r="H1595" s="1">
        <v>3.748494E-6</v>
      </c>
      <c r="I1595">
        <v>288.01299999999998</v>
      </c>
      <c r="J1595">
        <v>-199.64699999999999</v>
      </c>
      <c r="K1595">
        <v>1.108384</v>
      </c>
      <c r="L1595">
        <v>288.58229999999998</v>
      </c>
      <c r="M1595">
        <v>-0.70613440000000005</v>
      </c>
      <c r="N1595">
        <v>0</v>
      </c>
      <c r="O1595">
        <v>-0.70800589999999997</v>
      </c>
      <c r="P1595">
        <v>-0.84036330000000004</v>
      </c>
      <c r="Q1595">
        <v>3.4525300000000001E-3</v>
      </c>
      <c r="R1595">
        <v>-0.54201290000000002</v>
      </c>
      <c r="S1595">
        <v>-3.163208</v>
      </c>
      <c r="T1595">
        <v>-0.67351340000000004</v>
      </c>
      <c r="U1595">
        <v>-0.7605286</v>
      </c>
      <c r="V1595">
        <v>0.21231510000000001</v>
      </c>
      <c r="W1595">
        <v>1.238392E-2</v>
      </c>
      <c r="X1595">
        <v>0.97712279999999996</v>
      </c>
      <c r="Y1595">
        <v>0.5012759</v>
      </c>
      <c r="Z1595">
        <v>0.18352959999999999</v>
      </c>
      <c r="AA1595">
        <v>0.84560000000000002</v>
      </c>
      <c r="AB1595">
        <v>10</v>
      </c>
      <c r="AC1595">
        <v>-4.4761999999999702</v>
      </c>
      <c r="AD1595">
        <v>-1.1083802515059999</v>
      </c>
      <c r="AE1595">
        <v>-0.56929999999999803</v>
      </c>
      <c r="AF1595">
        <v>2.6098423714475598</v>
      </c>
      <c r="AG1595">
        <v>-1.1083802515059999</v>
      </c>
      <c r="AH1595">
        <v>3.3612382083034098</v>
      </c>
      <c r="AI1595">
        <v>104.59884002244</v>
      </c>
      <c r="AJ1595">
        <v>52.172352762206899</v>
      </c>
      <c r="AK1595">
        <v>4.39746589283991</v>
      </c>
      <c r="AL1595">
        <v>89.290435523187696</v>
      </c>
      <c r="AM1595">
        <v>77.7409878874399</v>
      </c>
      <c r="AN1595">
        <v>1.0000000147212</v>
      </c>
    </row>
    <row r="1596" spans="1:40" x14ac:dyDescent="0.25">
      <c r="A1596" t="str">
        <f>"20190312154244775"</f>
        <v>20190312154244775</v>
      </c>
      <c r="B1596" t="str">
        <f>"1552376564769353"</f>
        <v>1552376564769353</v>
      </c>
      <c r="C1596" t="s">
        <v>40</v>
      </c>
      <c r="D1596">
        <v>5.2044300000000003</v>
      </c>
      <c r="E1596">
        <v>0.66315599999999997</v>
      </c>
      <c r="F1596" t="s">
        <v>49</v>
      </c>
      <c r="G1596">
        <v>-208.23009999999999</v>
      </c>
      <c r="H1596" s="1">
        <v>5.6403089999999996E-6</v>
      </c>
      <c r="I1596">
        <v>287.20609999999999</v>
      </c>
      <c r="J1596">
        <v>-199.7242</v>
      </c>
      <c r="K1596">
        <v>1.1083529999999999</v>
      </c>
      <c r="L1596">
        <v>288.51510000000002</v>
      </c>
      <c r="M1596">
        <v>-0.71045389999999997</v>
      </c>
      <c r="N1596">
        <v>0</v>
      </c>
      <c r="O1596">
        <v>-0.70367349999999995</v>
      </c>
      <c r="P1596">
        <v>-0.84403589999999995</v>
      </c>
      <c r="Q1596">
        <v>2.3048249999999999E-3</v>
      </c>
      <c r="R1596">
        <v>-0.53628209999999998</v>
      </c>
      <c r="S1596">
        <v>-3.2368769999999998</v>
      </c>
      <c r="T1596">
        <v>-0.41799409999999998</v>
      </c>
      <c r="U1596">
        <v>-0.5189819</v>
      </c>
      <c r="V1596">
        <v>0.21298339999999999</v>
      </c>
      <c r="W1596">
        <v>1.1094639999999999E-2</v>
      </c>
      <c r="X1596">
        <v>0.97699279999999999</v>
      </c>
      <c r="Y1596">
        <v>0.57325000000000004</v>
      </c>
      <c r="Z1596">
        <v>0.1177448</v>
      </c>
      <c r="AA1596">
        <v>0.8108765</v>
      </c>
      <c r="AB1596">
        <v>10</v>
      </c>
      <c r="AC1596">
        <v>-8.5058999999999898</v>
      </c>
      <c r="AD1596">
        <v>-1.1083473596910001</v>
      </c>
      <c r="AE1596">
        <v>-1.3090000000000199</v>
      </c>
      <c r="AF1596">
        <v>4.9731566357630204</v>
      </c>
      <c r="AG1596">
        <v>-1.1083473596910001</v>
      </c>
      <c r="AH1596">
        <v>6.8508730710007102</v>
      </c>
      <c r="AI1596">
        <v>97.458929630560107</v>
      </c>
      <c r="AJ1596">
        <v>54.0235116934888</v>
      </c>
      <c r="AK1596">
        <v>8.5378675691609605</v>
      </c>
      <c r="AL1596">
        <v>89.364310895470197</v>
      </c>
      <c r="AM1596">
        <v>77.7019862904489</v>
      </c>
      <c r="AN1596">
        <v>0.99999997548206399</v>
      </c>
    </row>
    <row r="1597" spans="1:40" x14ac:dyDescent="0.25">
      <c r="A1597" t="str">
        <f>"20190312154244798"</f>
        <v>20190312154244798</v>
      </c>
      <c r="B1597" t="str">
        <f>"1552376564788873"</f>
        <v>1552376564788873</v>
      </c>
      <c r="C1597" t="s">
        <v>40</v>
      </c>
      <c r="D1597">
        <v>5.2504589999999904</v>
      </c>
      <c r="E1597">
        <v>0.66230579999999994</v>
      </c>
      <c r="F1597" t="s">
        <v>49</v>
      </c>
      <c r="G1597">
        <v>-208.24799999999999</v>
      </c>
      <c r="H1597" s="1">
        <v>5.6503699999999904E-6</v>
      </c>
      <c r="I1597">
        <v>287.18169999999998</v>
      </c>
      <c r="J1597">
        <v>-199.80719999999999</v>
      </c>
      <c r="K1597">
        <v>1.108331</v>
      </c>
      <c r="L1597">
        <v>288.44380000000001</v>
      </c>
      <c r="M1597">
        <v>-0.71504409999999996</v>
      </c>
      <c r="N1597">
        <v>0</v>
      </c>
      <c r="O1597">
        <v>-0.69901040000000003</v>
      </c>
      <c r="P1597">
        <v>-0.8473058</v>
      </c>
      <c r="Q1597">
        <v>1.6892960000000001E-3</v>
      </c>
      <c r="R1597">
        <v>-0.531103199999999</v>
      </c>
      <c r="S1597">
        <v>-3.2340550000000001</v>
      </c>
      <c r="T1597">
        <v>-0.42052479999999998</v>
      </c>
      <c r="U1597">
        <v>-0.50592040000000005</v>
      </c>
      <c r="V1597">
        <v>0.2125715</v>
      </c>
      <c r="W1597">
        <v>1.034796E-2</v>
      </c>
      <c r="X1597">
        <v>0.97709069999999998</v>
      </c>
      <c r="Y1597">
        <v>0.57090719999999995</v>
      </c>
      <c r="Z1597">
        <v>0.118072</v>
      </c>
      <c r="AA1597">
        <v>0.81248019999999999</v>
      </c>
      <c r="AB1597">
        <v>10</v>
      </c>
      <c r="AC1597">
        <v>-8.4407999999999905</v>
      </c>
      <c r="AD1597">
        <v>-1.1083253496299901</v>
      </c>
      <c r="AE1597">
        <v>-1.26210000000003</v>
      </c>
      <c r="AF1597">
        <v>4.9151016864996899</v>
      </c>
      <c r="AG1597">
        <v>-1.1083253496299901</v>
      </c>
      <c r="AH1597">
        <v>6.8033656959950397</v>
      </c>
      <c r="AI1597">
        <v>97.522502946277299</v>
      </c>
      <c r="AJ1597">
        <v>54.153714931950802</v>
      </c>
      <c r="AK1597">
        <v>8.4659550236642893</v>
      </c>
      <c r="AL1597">
        <v>89.407094971522994</v>
      </c>
      <c r="AM1597">
        <v>77.726240920848895</v>
      </c>
      <c r="AN1597">
        <v>0.99999997945745001</v>
      </c>
    </row>
    <row r="1598" spans="1:40" x14ac:dyDescent="0.25">
      <c r="A1598" t="str">
        <f>"20190312154244822"</f>
        <v>20190312154244822</v>
      </c>
      <c r="B1598" t="str">
        <f>"1552376564809371"</f>
        <v>1552376564809371</v>
      </c>
      <c r="C1598" t="s">
        <v>40</v>
      </c>
      <c r="D1598">
        <v>5.4035010000000003</v>
      </c>
      <c r="E1598">
        <v>0.64978219999999898</v>
      </c>
      <c r="F1598" t="s">
        <v>49</v>
      </c>
      <c r="G1598">
        <v>-208.28540000000001</v>
      </c>
      <c r="H1598" s="1">
        <v>5.669222E-6</v>
      </c>
      <c r="I1598">
        <v>287.15550000000002</v>
      </c>
      <c r="J1598">
        <v>-199.88839999999999</v>
      </c>
      <c r="K1598">
        <v>1.108309</v>
      </c>
      <c r="L1598">
        <v>288.37479999999999</v>
      </c>
      <c r="M1598">
        <v>-0.71948389999999995</v>
      </c>
      <c r="N1598">
        <v>0</v>
      </c>
      <c r="O1598">
        <v>-0.69444150000000004</v>
      </c>
      <c r="P1598">
        <v>-0.85038259999999899</v>
      </c>
      <c r="Q1598">
        <v>2.006514E-3</v>
      </c>
      <c r="R1598">
        <v>-0.5261614</v>
      </c>
      <c r="S1598">
        <v>-3.2335050000000001</v>
      </c>
      <c r="T1598">
        <v>-0.4227071</v>
      </c>
      <c r="U1598">
        <v>-0.49133300000000002</v>
      </c>
      <c r="V1598">
        <v>0.21203520000000001</v>
      </c>
      <c r="W1598">
        <v>1.0548220000000001E-2</v>
      </c>
      <c r="X1598">
        <v>0.97720510000000005</v>
      </c>
      <c r="Y1598">
        <v>0.56919229999999998</v>
      </c>
      <c r="Z1598">
        <v>0.1182666</v>
      </c>
      <c r="AA1598">
        <v>0.81365419999999999</v>
      </c>
      <c r="AB1598">
        <v>10</v>
      </c>
      <c r="AC1598">
        <v>-8.3970000000000198</v>
      </c>
      <c r="AD1598">
        <v>-1.1083033307779999</v>
      </c>
      <c r="AE1598">
        <v>-1.2192999999999701</v>
      </c>
      <c r="AF1598">
        <v>4.8710851300306501</v>
      </c>
      <c r="AG1598">
        <v>-1.1083033307779999</v>
      </c>
      <c r="AH1598">
        <v>6.7730073541013702</v>
      </c>
      <c r="AI1598">
        <v>97.567243497214207</v>
      </c>
      <c r="AJ1598">
        <v>54.276655987725597</v>
      </c>
      <c r="AK1598">
        <v>8.4160225306097303</v>
      </c>
      <c r="AL1598">
        <v>89.3956203040905</v>
      </c>
      <c r="AM1598">
        <v>77.757661458259093</v>
      </c>
      <c r="AN1598">
        <v>0.99999999922510896</v>
      </c>
    </row>
    <row r="1599" spans="1:40" x14ac:dyDescent="0.25">
      <c r="A1599" t="str">
        <f>"20190312154244844"</f>
        <v>20190312154244844</v>
      </c>
      <c r="B1599" t="str">
        <f>"1552376564838649"</f>
        <v>1552376564838649</v>
      </c>
      <c r="C1599" t="s">
        <v>40</v>
      </c>
      <c r="D1599">
        <v>5.446949</v>
      </c>
      <c r="E1599">
        <v>0.64807130000000002</v>
      </c>
      <c r="F1599" t="s">
        <v>49</v>
      </c>
      <c r="G1599">
        <v>-205.1643</v>
      </c>
      <c r="H1599" s="1">
        <v>4.2586579999999997E-6</v>
      </c>
      <c r="I1599">
        <v>287.4588</v>
      </c>
      <c r="J1599">
        <v>-199.97200000000001</v>
      </c>
      <c r="K1599">
        <v>1.1082879999999999</v>
      </c>
      <c r="L1599">
        <v>288.3048</v>
      </c>
      <c r="M1599">
        <v>-0.7240029</v>
      </c>
      <c r="N1599">
        <v>0</v>
      </c>
      <c r="O1599">
        <v>-0.68973019999999996</v>
      </c>
      <c r="P1599">
        <v>-0.85346959999999905</v>
      </c>
      <c r="Q1599">
        <v>2.12503E-3</v>
      </c>
      <c r="R1599">
        <v>-0.52113880000000001</v>
      </c>
      <c r="S1599">
        <v>-3.1870270000000001</v>
      </c>
      <c r="T1599">
        <v>-0.66948660000000004</v>
      </c>
      <c r="U1599">
        <v>-0.55334469999999902</v>
      </c>
      <c r="V1599">
        <v>0.2114172</v>
      </c>
      <c r="W1599">
        <v>1.0560140000000001E-2</v>
      </c>
      <c r="X1599">
        <v>0.97733890000000001</v>
      </c>
      <c r="Y1599">
        <v>0.53289560000000002</v>
      </c>
      <c r="Z1599">
        <v>0.18381790000000001</v>
      </c>
      <c r="AA1599">
        <v>0.82597410000000004</v>
      </c>
      <c r="AB1599">
        <v>10</v>
      </c>
      <c r="AC1599">
        <v>-5.1922999999999799</v>
      </c>
      <c r="AD1599">
        <v>-1.1082837413419999</v>
      </c>
      <c r="AE1599">
        <v>-0.84600000000000297</v>
      </c>
      <c r="AF1599">
        <v>2.8427503796760001</v>
      </c>
      <c r="AG1599">
        <v>-1.1082837413419999</v>
      </c>
      <c r="AH1599">
        <v>4.1583954733391497</v>
      </c>
      <c r="AI1599">
        <v>102.408477249851</v>
      </c>
      <c r="AJ1599">
        <v>55.642819554067501</v>
      </c>
      <c r="AK1599">
        <v>5.1576909063221796</v>
      </c>
      <c r="AL1599">
        <v>89.394937323354995</v>
      </c>
      <c r="AM1599">
        <v>77.793892646056705</v>
      </c>
      <c r="AN1599">
        <v>1.0000000372329301</v>
      </c>
    </row>
    <row r="1600" spans="1:40" x14ac:dyDescent="0.25">
      <c r="A1600" t="str">
        <f>"20190312154244867"</f>
        <v>20190312154244867</v>
      </c>
      <c r="B1600" t="str">
        <f>"1552376564859144"</f>
        <v>1552376564859144</v>
      </c>
      <c r="C1600" t="s">
        <v>40</v>
      </c>
      <c r="D1600">
        <v>5.4334639999999998</v>
      </c>
      <c r="E1600">
        <v>0.64700409999999997</v>
      </c>
      <c r="F1600" t="s">
        <v>49</v>
      </c>
      <c r="G1600">
        <v>-205.46289999999999</v>
      </c>
      <c r="H1600" s="1">
        <v>4.3996500000000003E-6</v>
      </c>
      <c r="I1600">
        <v>287.36040000000003</v>
      </c>
      <c r="J1600">
        <v>-200.0581</v>
      </c>
      <c r="K1600">
        <v>1.108263</v>
      </c>
      <c r="L1600">
        <v>288.23360000000002</v>
      </c>
      <c r="M1600">
        <v>-0.72860190000000002</v>
      </c>
      <c r="N1600">
        <v>0</v>
      </c>
      <c r="O1600">
        <v>-0.68487140000000002</v>
      </c>
      <c r="P1600">
        <v>-0.85664769999999901</v>
      </c>
      <c r="Q1600">
        <v>2.2784229999999999E-3</v>
      </c>
      <c r="R1600">
        <v>-0.5158971</v>
      </c>
      <c r="S1600">
        <v>-3.182404</v>
      </c>
      <c r="T1600">
        <v>-0.64233640000000003</v>
      </c>
      <c r="U1600">
        <v>-0.54739380000000004</v>
      </c>
      <c r="V1600">
        <v>0.21086969999999999</v>
      </c>
      <c r="W1600">
        <v>1.0627370000000001E-2</v>
      </c>
      <c r="X1600">
        <v>0.9774564</v>
      </c>
      <c r="Y1600">
        <v>0.5304297</v>
      </c>
      <c r="Z1600">
        <v>0.17591080000000001</v>
      </c>
      <c r="AA1600">
        <v>0.82927669999999998</v>
      </c>
      <c r="AB1600">
        <v>10</v>
      </c>
      <c r="AC1600">
        <v>-5.4047999999999901</v>
      </c>
      <c r="AD1600">
        <v>-1.1082586003499999</v>
      </c>
      <c r="AE1600">
        <v>-0.87319999999999698</v>
      </c>
      <c r="AF1600">
        <v>2.9448474774953501</v>
      </c>
      <c r="AG1600">
        <v>-1.1082586003499999</v>
      </c>
      <c r="AH1600">
        <v>4.3576231737481503</v>
      </c>
      <c r="AI1600">
        <v>101.89932024969799</v>
      </c>
      <c r="AJ1600">
        <v>55.949481649021003</v>
      </c>
      <c r="AK1600">
        <v>5.3748714882634596</v>
      </c>
      <c r="AL1600">
        <v>89.3910850849159</v>
      </c>
      <c r="AM1600">
        <v>77.825978135283194</v>
      </c>
      <c r="AN1600">
        <v>0.99999999263608297</v>
      </c>
    </row>
    <row r="1601" spans="1:40" x14ac:dyDescent="0.25">
      <c r="A1601" t="str">
        <f>"20190312154244887"</f>
        <v>20190312154244887</v>
      </c>
      <c r="B1601" t="str">
        <f>"1552376564878665"</f>
        <v>1552376564878665</v>
      </c>
      <c r="C1601" t="s">
        <v>40</v>
      </c>
      <c r="D1601">
        <v>5.4154790000000004</v>
      </c>
      <c r="E1601">
        <v>0.64615230000000001</v>
      </c>
      <c r="F1601" t="s">
        <v>49</v>
      </c>
      <c r="G1601">
        <v>-205.46719999999999</v>
      </c>
      <c r="H1601" s="1">
        <v>4.4048499999999998E-6</v>
      </c>
      <c r="I1601">
        <v>287.32279999999997</v>
      </c>
      <c r="J1601">
        <v>-200.12979999999999</v>
      </c>
      <c r="K1601">
        <v>1.1082510000000001</v>
      </c>
      <c r="L1601">
        <v>288.17509999999999</v>
      </c>
      <c r="M1601">
        <v>-0.73238239999999999</v>
      </c>
      <c r="N1601">
        <v>0</v>
      </c>
      <c r="O1601">
        <v>-0.68082759999999998</v>
      </c>
      <c r="P1601">
        <v>-0.85898909999999995</v>
      </c>
      <c r="Q1601">
        <v>1.66046799999999E-3</v>
      </c>
      <c r="R1601">
        <v>-0.51199150000000004</v>
      </c>
      <c r="S1601">
        <v>-3.1811829999999999</v>
      </c>
      <c r="T1601">
        <v>-0.65178749999999996</v>
      </c>
      <c r="U1601">
        <v>-0.53567500000000001</v>
      </c>
      <c r="V1601">
        <v>0.20990710000000001</v>
      </c>
      <c r="W1601">
        <v>9.9684170000000002E-3</v>
      </c>
      <c r="X1601">
        <v>0.9776705</v>
      </c>
      <c r="Y1601">
        <v>0.52814469999999902</v>
      </c>
      <c r="Z1601">
        <v>0.17781669999999999</v>
      </c>
      <c r="AA1601">
        <v>0.83032790000000001</v>
      </c>
      <c r="AB1601">
        <v>10</v>
      </c>
      <c r="AC1601">
        <v>-5.3373999999999997</v>
      </c>
      <c r="AD1601">
        <v>-1.10824659515</v>
      </c>
      <c r="AE1601">
        <v>-0.85230000000001305</v>
      </c>
      <c r="AF1601">
        <v>2.88834456928425</v>
      </c>
      <c r="AG1601">
        <v>-1.10824659515</v>
      </c>
      <c r="AH1601">
        <v>4.3083589728840597</v>
      </c>
      <c r="AI1601">
        <v>102.060497089295</v>
      </c>
      <c r="AJ1601">
        <v>56.161909924488199</v>
      </c>
      <c r="AK1601">
        <v>5.3040269518363097</v>
      </c>
      <c r="AL1601">
        <v>89.428842308390799</v>
      </c>
      <c r="AM1601">
        <v>77.882480460043695</v>
      </c>
      <c r="AN1601">
        <v>0.99999998326907202</v>
      </c>
    </row>
    <row r="1602" spans="1:40" x14ac:dyDescent="0.25">
      <c r="A1602" t="str">
        <f>"20190312154244910"</f>
        <v>20190312154244910</v>
      </c>
      <c r="B1602" t="str">
        <f>"1552376564899164"</f>
        <v>1552376564899164</v>
      </c>
      <c r="C1602" t="s">
        <v>40</v>
      </c>
      <c r="D1602">
        <v>5.4176849999999996</v>
      </c>
      <c r="E1602">
        <v>0.64539869999999899</v>
      </c>
      <c r="F1602" t="s">
        <v>49</v>
      </c>
      <c r="G1602">
        <v>-205.5247</v>
      </c>
      <c r="H1602" s="1">
        <v>4.4340820000000004E-6</v>
      </c>
      <c r="I1602">
        <v>287.28039999999999</v>
      </c>
      <c r="J1602">
        <v>-200.21610000000001</v>
      </c>
      <c r="K1602">
        <v>1.1082350000000001</v>
      </c>
      <c r="L1602">
        <v>288.10550000000001</v>
      </c>
      <c r="M1602">
        <v>-0.73688959999999903</v>
      </c>
      <c r="N1602">
        <v>0</v>
      </c>
      <c r="O1602">
        <v>-0.67594699999999996</v>
      </c>
      <c r="P1602">
        <v>-0.86171719999999896</v>
      </c>
      <c r="Q1602" s="1">
        <v>8.2883050000000003E-5</v>
      </c>
      <c r="R1602">
        <v>-0.50738919999999998</v>
      </c>
      <c r="S1602">
        <v>-3.179459</v>
      </c>
      <c r="T1602">
        <v>-0.65312979999999998</v>
      </c>
      <c r="U1602">
        <v>-0.52728269999999899</v>
      </c>
      <c r="V1602">
        <v>0.2086355</v>
      </c>
      <c r="W1602">
        <v>8.3715579999999994E-3</v>
      </c>
      <c r="X1602">
        <v>0.97795770000000004</v>
      </c>
      <c r="Y1602">
        <v>0.52462839999999999</v>
      </c>
      <c r="Z1602">
        <v>0.1772975</v>
      </c>
      <c r="AA1602">
        <v>0.83266479999999998</v>
      </c>
      <c r="AB1602">
        <v>10</v>
      </c>
      <c r="AC1602">
        <v>-5.3085999999999798</v>
      </c>
      <c r="AD1602">
        <v>-1.1082305659180001</v>
      </c>
      <c r="AE1602">
        <v>-0.82510000000002004</v>
      </c>
      <c r="AF1602">
        <v>2.8588061245402301</v>
      </c>
      <c r="AG1602">
        <v>-1.1082305659180001</v>
      </c>
      <c r="AH1602">
        <v>4.2873353770108604</v>
      </c>
      <c r="AI1602">
        <v>102.137311545949</v>
      </c>
      <c r="AJ1602">
        <v>56.304543169198503</v>
      </c>
      <c r="AK1602">
        <v>5.2708815277819099</v>
      </c>
      <c r="AL1602">
        <v>89.520339484126595</v>
      </c>
      <c r="AM1602">
        <v>77.957171346530998</v>
      </c>
      <c r="AN1602">
        <v>1.0000000589164399</v>
      </c>
    </row>
    <row r="1603" spans="1:40" x14ac:dyDescent="0.25">
      <c r="A1603" t="str">
        <f>"20190312154244932"</f>
        <v>20190312154244932</v>
      </c>
      <c r="B1603" t="str">
        <f>"1552376564929417"</f>
        <v>1552376564929417</v>
      </c>
      <c r="C1603" t="s">
        <v>40</v>
      </c>
      <c r="D1603">
        <v>5.4437160000000002</v>
      </c>
      <c r="E1603">
        <v>0.64397569999999904</v>
      </c>
      <c r="F1603" t="s">
        <v>49</v>
      </c>
      <c r="G1603">
        <v>-205.55799999999999</v>
      </c>
      <c r="H1603" s="1">
        <v>4.4523079999999999E-6</v>
      </c>
      <c r="I1603">
        <v>287.2405</v>
      </c>
      <c r="J1603">
        <v>-200.2987</v>
      </c>
      <c r="K1603">
        <v>1.1082129999999999</v>
      </c>
      <c r="L1603">
        <v>288.03989999999999</v>
      </c>
      <c r="M1603">
        <v>-0.74115679999999995</v>
      </c>
      <c r="N1603">
        <v>0</v>
      </c>
      <c r="O1603">
        <v>-0.67126540000000001</v>
      </c>
      <c r="P1603">
        <v>-0.86437540000000002</v>
      </c>
      <c r="Q1603">
        <v>-7.5365509999999905E-4</v>
      </c>
      <c r="R1603">
        <v>-0.50284709999999999</v>
      </c>
      <c r="S1603">
        <v>-3.178436</v>
      </c>
      <c r="T1603">
        <v>-0.65940180000000004</v>
      </c>
      <c r="U1603">
        <v>-0.514679</v>
      </c>
      <c r="V1603">
        <v>0.2075834</v>
      </c>
      <c r="W1603">
        <v>7.5328280000000001E-3</v>
      </c>
      <c r="X1603">
        <v>0.97818830000000001</v>
      </c>
      <c r="Y1603">
        <v>0.52212970000000003</v>
      </c>
      <c r="Z1603">
        <v>0.1781953</v>
      </c>
      <c r="AA1603">
        <v>0.83404259999999997</v>
      </c>
      <c r="AB1603">
        <v>10</v>
      </c>
      <c r="AC1603">
        <v>-5.2592999999999899</v>
      </c>
      <c r="AD1603">
        <v>-1.1082085476919901</v>
      </c>
      <c r="AE1603">
        <v>-0.79939999999999101</v>
      </c>
      <c r="AF1603">
        <v>2.81583559467161</v>
      </c>
      <c r="AG1603">
        <v>-1.1082085476919901</v>
      </c>
      <c r="AH1603">
        <v>4.2503191938696698</v>
      </c>
      <c r="AI1603">
        <v>102.263173738139</v>
      </c>
      <c r="AJ1603">
        <v>56.475534913861303</v>
      </c>
      <c r="AK1603">
        <v>5.2174964811846403</v>
      </c>
      <c r="AL1603">
        <v>89.568396657692702</v>
      </c>
      <c r="AM1603">
        <v>78.0188840066713</v>
      </c>
      <c r="AN1603">
        <v>0.99999998085506303</v>
      </c>
    </row>
    <row r="1604" spans="1:40" x14ac:dyDescent="0.25">
      <c r="A1604" t="str">
        <f>"20190312154244955"</f>
        <v>20190312154244955</v>
      </c>
      <c r="B1604" t="str">
        <f>"1552376564948937"</f>
        <v>1552376564948937</v>
      </c>
      <c r="C1604" t="s">
        <v>40</v>
      </c>
      <c r="D1604">
        <v>5.5018219999999998</v>
      </c>
      <c r="E1604">
        <v>0.64293679999999997</v>
      </c>
      <c r="F1604" t="s">
        <v>49</v>
      </c>
      <c r="G1604">
        <v>-205.64250000000001</v>
      </c>
      <c r="H1604" s="1">
        <v>4.494603E-6</v>
      </c>
      <c r="I1604">
        <v>287.18520000000001</v>
      </c>
      <c r="J1604">
        <v>-200.3844</v>
      </c>
      <c r="K1604">
        <v>1.108193</v>
      </c>
      <c r="L1604">
        <v>287.97269999999997</v>
      </c>
      <c r="M1604">
        <v>-0.7455503</v>
      </c>
      <c r="N1604">
        <v>0</v>
      </c>
      <c r="O1604">
        <v>-0.66638199999999903</v>
      </c>
      <c r="P1604">
        <v>-0.86724230000000002</v>
      </c>
      <c r="Q1604">
        <v>-4.2094060000000001E-4</v>
      </c>
      <c r="R1604">
        <v>-0.4978862</v>
      </c>
      <c r="S1604">
        <v>-3.174744</v>
      </c>
      <c r="T1604">
        <v>-0.65838580000000002</v>
      </c>
      <c r="U1604">
        <v>-0.50778199999999996</v>
      </c>
      <c r="V1604">
        <v>0.20676410000000001</v>
      </c>
      <c r="W1604">
        <v>7.8685100000000004E-3</v>
      </c>
      <c r="X1604">
        <v>0.97835919999999998</v>
      </c>
      <c r="Y1604">
        <v>0.51834740000000001</v>
      </c>
      <c r="Z1604">
        <v>0.17709</v>
      </c>
      <c r="AA1604">
        <v>0.83663319999999997</v>
      </c>
      <c r="AB1604">
        <v>10</v>
      </c>
      <c r="AC1604">
        <v>-5.2581000000000104</v>
      </c>
      <c r="AD1604">
        <v>-1.108188505397</v>
      </c>
      <c r="AE1604">
        <v>-0.78749999999996501</v>
      </c>
      <c r="AF1604">
        <v>2.7954654266862602</v>
      </c>
      <c r="AG1604">
        <v>-1.108188505397</v>
      </c>
      <c r="AH1604">
        <v>4.2600761432526602</v>
      </c>
      <c r="AI1604">
        <v>102.27011713822399</v>
      </c>
      <c r="AJ1604">
        <v>56.727081937735903</v>
      </c>
      <c r="AK1604">
        <v>5.2144949383044503</v>
      </c>
      <c r="AL1604">
        <v>89.549162940641196</v>
      </c>
      <c r="AM1604">
        <v>78.0668380206466</v>
      </c>
      <c r="AN1604">
        <v>1.00000001536153</v>
      </c>
    </row>
    <row r="1605" spans="1:40" x14ac:dyDescent="0.25">
      <c r="A1605" t="str">
        <f>"20190312154244975"</f>
        <v>20190312154244975</v>
      </c>
      <c r="B1605" t="str">
        <f>"1552376564968457"</f>
        <v>1552376564968457</v>
      </c>
      <c r="C1605" t="s">
        <v>40</v>
      </c>
      <c r="D1605">
        <v>5.4722549999999996</v>
      </c>
      <c r="E1605">
        <v>0.64194240000000002</v>
      </c>
      <c r="F1605" t="s">
        <v>49</v>
      </c>
      <c r="G1605">
        <v>-205.76150000000001</v>
      </c>
      <c r="H1605" s="1">
        <v>4.5520879999999997E-6</v>
      </c>
      <c r="I1605">
        <v>287.13170000000002</v>
      </c>
      <c r="J1605">
        <v>-200.4631</v>
      </c>
      <c r="K1605">
        <v>1.1081700000000001</v>
      </c>
      <c r="L1605">
        <v>287.91180000000003</v>
      </c>
      <c r="M1605">
        <v>-0.74955150000000004</v>
      </c>
      <c r="N1605">
        <v>0</v>
      </c>
      <c r="O1605">
        <v>-0.66187830000000003</v>
      </c>
      <c r="P1605">
        <v>-0.86971480000000001</v>
      </c>
      <c r="Q1605">
        <v>6.4999000000000003E-4</v>
      </c>
      <c r="R1605">
        <v>-0.4935544</v>
      </c>
      <c r="S1605">
        <v>-3.1739199999999999</v>
      </c>
      <c r="T1605">
        <v>-0.65412530000000002</v>
      </c>
      <c r="U1605">
        <v>-0.49642940000000002</v>
      </c>
      <c r="V1605">
        <v>0.2057553</v>
      </c>
      <c r="W1605">
        <v>8.9442189999999998E-3</v>
      </c>
      <c r="X1605">
        <v>0.97856259999999995</v>
      </c>
      <c r="Y1605">
        <v>0.516486</v>
      </c>
      <c r="Z1605">
        <v>0.17525779999999999</v>
      </c>
      <c r="AA1605">
        <v>0.83816869999999999</v>
      </c>
      <c r="AB1605">
        <v>11</v>
      </c>
      <c r="AC1605">
        <v>-5.2984000000000098</v>
      </c>
      <c r="AD1605">
        <v>-1.108165447912</v>
      </c>
      <c r="AE1605">
        <v>-0.78010000000000401</v>
      </c>
      <c r="AF1605">
        <v>2.8023178981574</v>
      </c>
      <c r="AG1605">
        <v>-1.108165447912</v>
      </c>
      <c r="AH1605">
        <v>4.3036894711681599</v>
      </c>
      <c r="AI1605">
        <v>102.17657358356099</v>
      </c>
      <c r="AJ1605">
        <v>56.930112630044199</v>
      </c>
      <c r="AK1605">
        <v>5.2538328224757</v>
      </c>
      <c r="AL1605">
        <v>89.487527168405705</v>
      </c>
      <c r="AM1605">
        <v>78.125800979189506</v>
      </c>
      <c r="AN1605">
        <v>1.00000000232518</v>
      </c>
    </row>
    <row r="1606" spans="1:40" x14ac:dyDescent="0.25">
      <c r="A1606" t="str">
        <f>"20190312154245001"</f>
        <v>20190312154245001</v>
      </c>
      <c r="B1606" t="str">
        <f>"1552376564988953"</f>
        <v>1552376564988953</v>
      </c>
      <c r="C1606" t="s">
        <v>40</v>
      </c>
      <c r="D1606">
        <v>5.5173730000000001</v>
      </c>
      <c r="E1606">
        <v>0.64128699999999905</v>
      </c>
      <c r="F1606" t="s">
        <v>49</v>
      </c>
      <c r="G1606">
        <v>-205.9247</v>
      </c>
      <c r="H1606" s="1">
        <v>4.6294820000000002E-6</v>
      </c>
      <c r="I1606">
        <v>287.07380000000001</v>
      </c>
      <c r="J1606">
        <v>-200.56270000000001</v>
      </c>
      <c r="K1606">
        <v>1.1081350000000001</v>
      </c>
      <c r="L1606">
        <v>287.83589999999998</v>
      </c>
      <c r="M1606">
        <v>-0.75457769999999902</v>
      </c>
      <c r="N1606">
        <v>0</v>
      </c>
      <c r="O1606">
        <v>-0.65614209999999995</v>
      </c>
      <c r="P1606">
        <v>-0.87322770000000005</v>
      </c>
      <c r="Q1606">
        <v>1.1877719999999999E-3</v>
      </c>
      <c r="R1606">
        <v>-0.48731150000000001</v>
      </c>
      <c r="S1606">
        <v>-3.1735380000000002</v>
      </c>
      <c r="T1606">
        <v>-0.64392329999999998</v>
      </c>
      <c r="U1606">
        <v>-0.4869385</v>
      </c>
      <c r="V1606">
        <v>0.20530519999999999</v>
      </c>
      <c r="W1606">
        <v>9.4834979999999999E-3</v>
      </c>
      <c r="X1606">
        <v>0.97865210000000002</v>
      </c>
      <c r="Y1606">
        <v>0.51323759999999996</v>
      </c>
      <c r="Z1606">
        <v>0.17152129999999999</v>
      </c>
      <c r="AA1606">
        <v>0.84093259999999903</v>
      </c>
      <c r="AB1606">
        <v>11</v>
      </c>
      <c r="AC1606">
        <v>-5.3619999999999903</v>
      </c>
      <c r="AD1606">
        <v>-1.1081303705179999</v>
      </c>
      <c r="AE1606">
        <v>-0.76209999999997502</v>
      </c>
      <c r="AF1606">
        <v>2.8250350591192102</v>
      </c>
      <c r="AG1606">
        <v>-1.1081303705179999</v>
      </c>
      <c r="AH1606">
        <v>4.3636170289015404</v>
      </c>
      <c r="AI1606">
        <v>102.03379109825801</v>
      </c>
      <c r="AJ1606">
        <v>57.080708314738501</v>
      </c>
      <c r="AK1606">
        <v>5.3150662816409504</v>
      </c>
      <c r="AL1606">
        <v>89.456627470246502</v>
      </c>
      <c r="AM1606">
        <v>78.152094305253797</v>
      </c>
      <c r="AN1606">
        <v>1.0000000473578801</v>
      </c>
    </row>
    <row r="1607" spans="1:40" x14ac:dyDescent="0.25">
      <c r="A1607" t="str">
        <f>"20190312154245022"</f>
        <v>20190312154245022</v>
      </c>
      <c r="B1607" t="str">
        <f>"1552376565019209"</f>
        <v>1552376565019209</v>
      </c>
      <c r="C1607" t="s">
        <v>40</v>
      </c>
      <c r="D1607">
        <v>5.4903170000000001</v>
      </c>
      <c r="E1607">
        <v>0.67381029999999997</v>
      </c>
      <c r="F1607" t="s">
        <v>49</v>
      </c>
      <c r="G1607">
        <v>-206.06219999999999</v>
      </c>
      <c r="H1607" s="1">
        <v>4.6947979999999999E-6</v>
      </c>
      <c r="I1607">
        <v>287.0247</v>
      </c>
      <c r="J1607">
        <v>-200.64279999999999</v>
      </c>
      <c r="K1607">
        <v>1.1081099999999999</v>
      </c>
      <c r="L1607">
        <v>287.7758</v>
      </c>
      <c r="M1607">
        <v>-0.75858950000000003</v>
      </c>
      <c r="N1607">
        <v>0</v>
      </c>
      <c r="O1607">
        <v>-0.65149959999999996</v>
      </c>
      <c r="P1607">
        <v>-0.87603279999999994</v>
      </c>
      <c r="Q1607">
        <v>2.1180629999999999E-3</v>
      </c>
      <c r="R1607">
        <v>-0.48224719999999999</v>
      </c>
      <c r="S1607">
        <v>-3.1750340000000001</v>
      </c>
      <c r="T1607">
        <v>-0.6397581</v>
      </c>
      <c r="U1607">
        <v>-0.46835329999999997</v>
      </c>
      <c r="V1607">
        <v>0.20497090000000001</v>
      </c>
      <c r="W1607">
        <v>1.041424E-2</v>
      </c>
      <c r="X1607">
        <v>0.97871269999999999</v>
      </c>
      <c r="Y1607">
        <v>0.51321969999999995</v>
      </c>
      <c r="Z1607">
        <v>0.16981540000000001</v>
      </c>
      <c r="AA1607">
        <v>0.84128959999999997</v>
      </c>
      <c r="AB1607">
        <v>11</v>
      </c>
      <c r="AC1607">
        <v>-5.4193999999999898</v>
      </c>
      <c r="AD1607">
        <v>-1.108105305202</v>
      </c>
      <c r="AE1607">
        <v>-0.75110000000000798</v>
      </c>
      <c r="AF1607">
        <v>2.8444157738318299</v>
      </c>
      <c r="AG1607">
        <v>-1.108105305202</v>
      </c>
      <c r="AH1607">
        <v>4.4193660753482202</v>
      </c>
      <c r="AI1607">
        <v>101.905984560588</v>
      </c>
      <c r="AJ1607">
        <v>57.233642815942702</v>
      </c>
      <c r="AK1607">
        <v>5.3711632790093899</v>
      </c>
      <c r="AL1607">
        <v>89.403297237284804</v>
      </c>
      <c r="AM1607">
        <v>78.171554161346705</v>
      </c>
      <c r="AN1607">
        <v>1.00000003769143</v>
      </c>
    </row>
    <row r="1608" spans="1:40" x14ac:dyDescent="0.25">
      <c r="A1608" t="str">
        <f>"20190312154245045"</f>
        <v>20190312154245045</v>
      </c>
      <c r="B1608" t="str">
        <f>"1552376565038729"</f>
        <v>1552376565038729</v>
      </c>
      <c r="C1608" t="s">
        <v>40</v>
      </c>
      <c r="D1608">
        <v>5.4818379999999998</v>
      </c>
      <c r="E1608">
        <v>0.67431969999999997</v>
      </c>
      <c r="F1608" t="s">
        <v>49</v>
      </c>
      <c r="G1608">
        <v>-206.0599</v>
      </c>
      <c r="H1608" s="1">
        <v>4.6601230000000001E-6</v>
      </c>
      <c r="I1608">
        <v>287.40960000000001</v>
      </c>
      <c r="J1608">
        <v>-200.7372</v>
      </c>
      <c r="K1608">
        <v>1.108069</v>
      </c>
      <c r="L1608">
        <v>287.70600000000002</v>
      </c>
      <c r="M1608">
        <v>-0.76328680000000004</v>
      </c>
      <c r="N1608">
        <v>0</v>
      </c>
      <c r="O1608">
        <v>-0.64598959999999905</v>
      </c>
      <c r="P1608">
        <v>-0.87942749999999903</v>
      </c>
      <c r="Q1608">
        <v>3.1805179999999998E-3</v>
      </c>
      <c r="R1608">
        <v>-0.47602250000000002</v>
      </c>
      <c r="S1608">
        <v>-3.3032379999999999</v>
      </c>
      <c r="T1608">
        <v>-0.67569599999999996</v>
      </c>
      <c r="U1608">
        <v>-0.2232971</v>
      </c>
      <c r="V1608">
        <v>0.20482939999999999</v>
      </c>
      <c r="W1608">
        <v>1.147609E-2</v>
      </c>
      <c r="X1608">
        <v>0.9787304</v>
      </c>
      <c r="Y1608">
        <v>0.57006420000000002</v>
      </c>
      <c r="Z1608">
        <v>0.17876500000000001</v>
      </c>
      <c r="AA1608">
        <v>0.80191639999999997</v>
      </c>
      <c r="AB1608">
        <v>11</v>
      </c>
      <c r="AC1608">
        <v>-5.3226999999999904</v>
      </c>
      <c r="AD1608">
        <v>-1.108064339877</v>
      </c>
      <c r="AE1608">
        <v>-0.29639999999994798</v>
      </c>
      <c r="AF1608">
        <v>3.0792799058109699</v>
      </c>
      <c r="AG1608">
        <v>-1.108064339877</v>
      </c>
      <c r="AH1608">
        <v>4.07821669083802</v>
      </c>
      <c r="AI1608">
        <v>102.23434624340101</v>
      </c>
      <c r="AJ1608">
        <v>52.945170450608401</v>
      </c>
      <c r="AK1608">
        <v>5.22892175281559</v>
      </c>
      <c r="AL1608">
        <v>89.342454037247705</v>
      </c>
      <c r="AM1608">
        <v>78.179697776398399</v>
      </c>
      <c r="AN1608">
        <v>0.99999998981510396</v>
      </c>
    </row>
    <row r="1609" spans="1:40" x14ac:dyDescent="0.25">
      <c r="A1609" t="str">
        <f>"20190312154245068"</f>
        <v>20190312154245068</v>
      </c>
      <c r="B1609" t="str">
        <f>"1552376565059225"</f>
        <v>1552376565059225</v>
      </c>
      <c r="C1609" t="s">
        <v>40</v>
      </c>
      <c r="D1609">
        <v>5.4807329999999999</v>
      </c>
      <c r="E1609">
        <v>0.67401359999999999</v>
      </c>
      <c r="F1609" t="s">
        <v>49</v>
      </c>
      <c r="G1609">
        <v>-206.23429999999999</v>
      </c>
      <c r="H1609" s="1">
        <v>4.7400780000000004E-6</v>
      </c>
      <c r="I1609">
        <v>287.37950000000001</v>
      </c>
      <c r="J1609">
        <v>-200.82409999999999</v>
      </c>
      <c r="K1609">
        <v>1.1080289999999999</v>
      </c>
      <c r="L1609">
        <v>287.64260000000002</v>
      </c>
      <c r="M1609">
        <v>-0.76758479999999996</v>
      </c>
      <c r="N1609">
        <v>0</v>
      </c>
      <c r="O1609">
        <v>-0.64087609999999995</v>
      </c>
      <c r="P1609">
        <v>-0.882768199999999</v>
      </c>
      <c r="Q1609">
        <v>3.210896E-3</v>
      </c>
      <c r="R1609">
        <v>-0.4697984</v>
      </c>
      <c r="S1609">
        <v>-3.307388</v>
      </c>
      <c r="T1609">
        <v>-0.66667749999999903</v>
      </c>
      <c r="U1609">
        <v>-0.1964417</v>
      </c>
      <c r="V1609">
        <v>0.20520659999999999</v>
      </c>
      <c r="W1609">
        <v>1.1501839999999999E-2</v>
      </c>
      <c r="X1609">
        <v>0.9786511</v>
      </c>
      <c r="Y1609">
        <v>0.57188419999999995</v>
      </c>
      <c r="Z1609">
        <v>0.1757533</v>
      </c>
      <c r="AA1609">
        <v>0.80128599999999905</v>
      </c>
      <c r="AB1609">
        <v>11</v>
      </c>
      <c r="AC1609">
        <v>-5.4101999999999997</v>
      </c>
      <c r="AD1609">
        <v>-1.108024259922</v>
      </c>
      <c r="AE1609">
        <v>-0.26310000000000799</v>
      </c>
      <c r="AF1609">
        <v>3.13430961733033</v>
      </c>
      <c r="AG1609">
        <v>-1.108024259922</v>
      </c>
      <c r="AH1609">
        <v>4.1480242258014899</v>
      </c>
      <c r="AI1609">
        <v>102.03093806406901</v>
      </c>
      <c r="AJ1609">
        <v>52.924755998018497</v>
      </c>
      <c r="AK1609">
        <v>5.3157990477162702</v>
      </c>
      <c r="AL1609">
        <v>89.340978585691104</v>
      </c>
      <c r="AM1609">
        <v>78.157611916727205</v>
      </c>
      <c r="AN1609">
        <v>1.0000000082690701</v>
      </c>
    </row>
    <row r="1610" spans="1:40" x14ac:dyDescent="0.25">
      <c r="A1610" t="str">
        <f>"20190312154245088"</f>
        <v>20190312154245088</v>
      </c>
      <c r="B1610" t="str">
        <f>"1552376565078745"</f>
        <v>1552376565078745</v>
      </c>
      <c r="C1610" t="s">
        <v>40</v>
      </c>
      <c r="D1610">
        <v>5.4868399999999999</v>
      </c>
      <c r="E1610">
        <v>0.67337139999999995</v>
      </c>
      <c r="F1610" t="s">
        <v>49</v>
      </c>
      <c r="G1610">
        <v>-206.33529999999999</v>
      </c>
      <c r="H1610" s="1">
        <v>4.7872020000000001E-6</v>
      </c>
      <c r="I1610">
        <v>287.35289999999998</v>
      </c>
      <c r="J1610">
        <v>-200.90819999999999</v>
      </c>
      <c r="K1610">
        <v>1.107996</v>
      </c>
      <c r="L1610">
        <v>287.58240000000001</v>
      </c>
      <c r="M1610">
        <v>-0.77170620000000001</v>
      </c>
      <c r="N1610">
        <v>0</v>
      </c>
      <c r="O1610">
        <v>-0.63590740000000001</v>
      </c>
      <c r="P1610">
        <v>-0.88559929999999998</v>
      </c>
      <c r="Q1610">
        <v>2.9063539999999999E-3</v>
      </c>
      <c r="R1610">
        <v>-0.46444170000000001</v>
      </c>
      <c r="S1610">
        <v>-3.3082729999999998</v>
      </c>
      <c r="T1610">
        <v>-0.66512979999999999</v>
      </c>
      <c r="U1610">
        <v>-0.17391970000000001</v>
      </c>
      <c r="V1610">
        <v>0.20481750000000001</v>
      </c>
      <c r="W1610">
        <v>1.1201930000000001E-2</v>
      </c>
      <c r="X1610">
        <v>0.9787361</v>
      </c>
      <c r="Y1610">
        <v>0.57227779999999995</v>
      </c>
      <c r="Z1610">
        <v>0.17469749999999901</v>
      </c>
      <c r="AA1610">
        <v>0.8012359</v>
      </c>
      <c r="AB1610">
        <v>11</v>
      </c>
      <c r="AC1610">
        <v>-5.4270999999999896</v>
      </c>
      <c r="AD1610">
        <v>-1.1079912127980001</v>
      </c>
      <c r="AE1610">
        <v>-0.22950000000002899</v>
      </c>
      <c r="AF1610">
        <v>3.1433905414426802</v>
      </c>
      <c r="AG1610">
        <v>-1.1079912127980001</v>
      </c>
      <c r="AH1610">
        <v>4.16113515655658</v>
      </c>
      <c r="AI1610">
        <v>101.994894825008</v>
      </c>
      <c r="AJ1610">
        <v>52.931995562154398</v>
      </c>
      <c r="AK1610">
        <v>5.3313782847215103</v>
      </c>
      <c r="AL1610">
        <v>89.358163279267103</v>
      </c>
      <c r="AM1610">
        <v>78.180432082960394</v>
      </c>
      <c r="AN1610">
        <v>1.00000002249259</v>
      </c>
    </row>
    <row r="1611" spans="1:40" x14ac:dyDescent="0.25">
      <c r="A1611" t="str">
        <f>"20190312154245111"</f>
        <v>20190312154245111</v>
      </c>
      <c r="B1611" t="str">
        <f>"1552376565109001"</f>
        <v>1552376565109001</v>
      </c>
      <c r="C1611" t="s">
        <v>40</v>
      </c>
      <c r="D1611">
        <v>5.4344839999999897</v>
      </c>
      <c r="E1611">
        <v>0.67212229999999995</v>
      </c>
      <c r="F1611" t="s">
        <v>49</v>
      </c>
      <c r="G1611">
        <v>-206.47989999999999</v>
      </c>
      <c r="H1611" s="1">
        <v>4.8545580000000002E-6</v>
      </c>
      <c r="I1611">
        <v>287.31569999999999</v>
      </c>
      <c r="J1611">
        <v>-201.0025</v>
      </c>
      <c r="K1611">
        <v>1.1079680000000001</v>
      </c>
      <c r="L1611">
        <v>287.51569999999998</v>
      </c>
      <c r="M1611">
        <v>-0.7762945</v>
      </c>
      <c r="N1611">
        <v>0</v>
      </c>
      <c r="O1611">
        <v>-0.63029740000000001</v>
      </c>
      <c r="P1611">
        <v>-0.88869259999999906</v>
      </c>
      <c r="Q1611">
        <v>1.891336E-3</v>
      </c>
      <c r="R1611">
        <v>-0.45849960000000001</v>
      </c>
      <c r="S1611">
        <v>-3.3067319999999998</v>
      </c>
      <c r="T1611">
        <v>-0.65757489999999996</v>
      </c>
      <c r="U1611">
        <v>-0.1582336</v>
      </c>
      <c r="V1611">
        <v>0.20427629999999999</v>
      </c>
      <c r="W1611">
        <v>1.020015E-2</v>
      </c>
      <c r="X1611">
        <v>0.97886010000000001</v>
      </c>
      <c r="Y1611">
        <v>0.57077019999999901</v>
      </c>
      <c r="Z1611">
        <v>0.17190520000000001</v>
      </c>
      <c r="AA1611">
        <v>0.8029134</v>
      </c>
      <c r="AB1611">
        <v>11</v>
      </c>
      <c r="AC1611">
        <v>-5.4773999999999798</v>
      </c>
      <c r="AD1611">
        <v>-1.107963145442</v>
      </c>
      <c r="AE1611">
        <v>-0.19999999999998799</v>
      </c>
      <c r="AF1611">
        <v>3.1678385677965002</v>
      </c>
      <c r="AG1611">
        <v>-1.107963145442</v>
      </c>
      <c r="AH1611">
        <v>4.2064510900097902</v>
      </c>
      <c r="AI1611">
        <v>101.881969347367</v>
      </c>
      <c r="AJ1611">
        <v>53.016942044068799</v>
      </c>
      <c r="AK1611">
        <v>5.3811722046336001</v>
      </c>
      <c r="AL1611">
        <v>89.415564303866304</v>
      </c>
      <c r="AM1611">
        <v>78.212240011984505</v>
      </c>
      <c r="AN1611">
        <v>0.99999997258686102</v>
      </c>
    </row>
    <row r="1612" spans="1:40" x14ac:dyDescent="0.25">
      <c r="A1612" t="str">
        <f>"20190312154245133"</f>
        <v>20190312154245133</v>
      </c>
      <c r="B1612" t="str">
        <f>"1552376565128521"</f>
        <v>1552376565128521</v>
      </c>
      <c r="C1612" t="s">
        <v>40</v>
      </c>
      <c r="D1612">
        <v>5.4401080000000004</v>
      </c>
      <c r="E1612">
        <v>0.67100879999999996</v>
      </c>
      <c r="F1612" t="s">
        <v>49</v>
      </c>
      <c r="G1612">
        <v>-206.5635</v>
      </c>
      <c r="H1612" s="1">
        <v>4.8954980000000003E-6</v>
      </c>
      <c r="I1612">
        <v>287.27179999999998</v>
      </c>
      <c r="J1612">
        <v>-201.08930000000001</v>
      </c>
      <c r="K1612">
        <v>1.107942</v>
      </c>
      <c r="L1612">
        <v>287.4554</v>
      </c>
      <c r="M1612">
        <v>-0.78047119999999903</v>
      </c>
      <c r="N1612">
        <v>0</v>
      </c>
      <c r="O1612">
        <v>-0.62511799999999995</v>
      </c>
      <c r="P1612">
        <v>-0.89092819999999995</v>
      </c>
      <c r="Q1612">
        <v>6.8136300000000004E-4</v>
      </c>
      <c r="R1612">
        <v>-0.4541443</v>
      </c>
      <c r="S1612">
        <v>-3.3024140000000002</v>
      </c>
      <c r="T1612">
        <v>-0.65796209999999999</v>
      </c>
      <c r="U1612">
        <v>-0.14486689999999999</v>
      </c>
      <c r="V1612">
        <v>0.20254929999999999</v>
      </c>
      <c r="W1612">
        <v>9.0157399999999995E-3</v>
      </c>
      <c r="X1612">
        <v>0.97923059999999995</v>
      </c>
      <c r="Y1612">
        <v>0.568604</v>
      </c>
      <c r="Z1612">
        <v>0.1712776</v>
      </c>
      <c r="AA1612">
        <v>0.80458280000000004</v>
      </c>
      <c r="AB1612">
        <v>11</v>
      </c>
      <c r="AC1612">
        <v>-5.47419999999999</v>
      </c>
      <c r="AD1612">
        <v>-1.1079371045019999</v>
      </c>
      <c r="AE1612">
        <v>-0.183600000000012</v>
      </c>
      <c r="AF1612">
        <v>3.1499903668737899</v>
      </c>
      <c r="AG1612">
        <v>-1.1079371045019999</v>
      </c>
      <c r="AH1612">
        <v>4.2149668067942097</v>
      </c>
      <c r="AI1612">
        <v>101.890251434026</v>
      </c>
      <c r="AJ1612">
        <v>53.227967259295802</v>
      </c>
      <c r="AK1612">
        <v>5.3773514969087701</v>
      </c>
      <c r="AL1612">
        <v>89.483429168734304</v>
      </c>
      <c r="AM1612">
        <v>78.313443858735795</v>
      </c>
      <c r="AN1612">
        <v>1.00000003523729</v>
      </c>
    </row>
    <row r="1613" spans="1:40" x14ac:dyDescent="0.25">
      <c r="A1613" t="str">
        <f>"20190312154245155"</f>
        <v>20190312154245155</v>
      </c>
      <c r="B1613" t="str">
        <f>"1552376565149017"</f>
        <v>1552376565149017</v>
      </c>
      <c r="C1613" t="s">
        <v>40</v>
      </c>
      <c r="D1613">
        <v>5.41594</v>
      </c>
      <c r="E1613">
        <v>0.66995159999999998</v>
      </c>
      <c r="F1613" t="s">
        <v>49</v>
      </c>
      <c r="G1613">
        <v>-206.6439</v>
      </c>
      <c r="H1613" s="1">
        <v>4.9350509999999997E-6</v>
      </c>
      <c r="I1613">
        <v>287.22669999999999</v>
      </c>
      <c r="J1613">
        <v>-201.18389999999999</v>
      </c>
      <c r="K1613">
        <v>1.1079270000000001</v>
      </c>
      <c r="L1613">
        <v>287.39060000000001</v>
      </c>
      <c r="M1613">
        <v>-0.784977699999999</v>
      </c>
      <c r="N1613">
        <v>0</v>
      </c>
      <c r="O1613">
        <v>-0.61944880000000002</v>
      </c>
      <c r="P1613">
        <v>-0.89330039999999999</v>
      </c>
      <c r="Q1613">
        <v>-3.4493490000000001E-4</v>
      </c>
      <c r="R1613">
        <v>-0.44946019999999998</v>
      </c>
      <c r="S1613">
        <v>-3.2985839999999902</v>
      </c>
      <c r="T1613">
        <v>-0.65794710000000001</v>
      </c>
      <c r="U1613">
        <v>-0.1357727</v>
      </c>
      <c r="V1613">
        <v>0.2005932</v>
      </c>
      <c r="W1613">
        <v>8.0191869999999901E-3</v>
      </c>
      <c r="X1613">
        <v>0.97964180000000001</v>
      </c>
      <c r="Y1613">
        <v>0.56500019999999995</v>
      </c>
      <c r="Z1613">
        <v>0.17027900000000001</v>
      </c>
      <c r="AA1613">
        <v>0.80732879999999996</v>
      </c>
      <c r="AB1613">
        <v>11</v>
      </c>
      <c r="AC1613">
        <v>-5.46</v>
      </c>
      <c r="AD1613">
        <v>-1.107922064949</v>
      </c>
      <c r="AE1613">
        <v>-0.16390000000001201</v>
      </c>
      <c r="AF1613">
        <v>3.1251232549134</v>
      </c>
      <c r="AG1613">
        <v>-1.107922064949</v>
      </c>
      <c r="AH1613">
        <v>4.2143412694384104</v>
      </c>
      <c r="AI1613">
        <v>101.92388905237</v>
      </c>
      <c r="AJ1613">
        <v>53.441405477195502</v>
      </c>
      <c r="AK1613">
        <v>5.36232775907005</v>
      </c>
      <c r="AL1613">
        <v>89.5405295041068</v>
      </c>
      <c r="AM1613">
        <v>78.427972852225494</v>
      </c>
      <c r="AN1613">
        <v>0.99999999777681003</v>
      </c>
    </row>
    <row r="1614" spans="1:40" x14ac:dyDescent="0.25">
      <c r="A1614" t="str">
        <f>"20190312154245177"</f>
        <v>20190312154245177</v>
      </c>
      <c r="B1614" t="str">
        <f>"1552376565168537"</f>
        <v>1552376565168537</v>
      </c>
      <c r="C1614" t="s">
        <v>40</v>
      </c>
      <c r="D1614">
        <v>5.4617870000000002</v>
      </c>
      <c r="E1614">
        <v>0.66944099999999995</v>
      </c>
      <c r="F1614" t="s">
        <v>49</v>
      </c>
      <c r="G1614">
        <v>-206.7354</v>
      </c>
      <c r="H1614" s="1">
        <v>4.9797269999999996E-6</v>
      </c>
      <c r="I1614">
        <v>287.18029999999999</v>
      </c>
      <c r="J1614">
        <v>-201.2773</v>
      </c>
      <c r="K1614">
        <v>1.1079049999999999</v>
      </c>
      <c r="L1614">
        <v>287.32760000000002</v>
      </c>
      <c r="M1614">
        <v>-0.78937729999999995</v>
      </c>
      <c r="N1614">
        <v>0</v>
      </c>
      <c r="O1614">
        <v>-0.61383219999999905</v>
      </c>
      <c r="P1614">
        <v>-0.8959239</v>
      </c>
      <c r="Q1614">
        <v>-1.6574560000000001E-4</v>
      </c>
      <c r="R1614">
        <v>-0.44420749999999998</v>
      </c>
      <c r="S1614">
        <v>-3.2952729999999999</v>
      </c>
      <c r="T1614">
        <v>-0.65763689999999997</v>
      </c>
      <c r="U1614">
        <v>-0.1248474</v>
      </c>
      <c r="V1614">
        <v>0.19935639999999999</v>
      </c>
      <c r="W1614">
        <v>8.2204040000000006E-3</v>
      </c>
      <c r="X1614">
        <v>0.9798926</v>
      </c>
      <c r="Y1614">
        <v>0.56194690000000003</v>
      </c>
      <c r="Z1614">
        <v>0.16923879999999999</v>
      </c>
      <c r="AA1614">
        <v>0.80967519999999904</v>
      </c>
      <c r="AB1614">
        <v>11</v>
      </c>
      <c r="AC1614">
        <v>-5.4581</v>
      </c>
      <c r="AD1614">
        <v>-1.1079000202729901</v>
      </c>
      <c r="AE1614">
        <v>-0.14730000000002899</v>
      </c>
      <c r="AF1614">
        <v>3.10633926901667</v>
      </c>
      <c r="AG1614">
        <v>-1.1079000202729901</v>
      </c>
      <c r="AH1614">
        <v>4.2251649130707802</v>
      </c>
      <c r="AI1614">
        <v>101.929070229964</v>
      </c>
      <c r="AJ1614">
        <v>53.676691748593399</v>
      </c>
      <c r="AK1614">
        <v>5.3599258065574302</v>
      </c>
      <c r="AL1614">
        <v>89.529000253543998</v>
      </c>
      <c r="AM1614">
        <v>78.500280886481605</v>
      </c>
      <c r="AN1614">
        <v>1.00000002839882</v>
      </c>
    </row>
    <row r="1615" spans="1:40" x14ac:dyDescent="0.25">
      <c r="A1615" t="str">
        <f>"20190312154245199"</f>
        <v>20190312154245199</v>
      </c>
      <c r="B1615" t="str">
        <f>"1552376565189036"</f>
        <v>1552376565189036</v>
      </c>
      <c r="C1615" t="s">
        <v>40</v>
      </c>
      <c r="D1615">
        <v>5.4419589999999998</v>
      </c>
      <c r="E1615">
        <v>0.66780729999999999</v>
      </c>
      <c r="F1615" t="s">
        <v>49</v>
      </c>
      <c r="G1615">
        <v>-206.82480000000001</v>
      </c>
      <c r="H1615" s="1">
        <v>5.0225879999999997E-6</v>
      </c>
      <c r="I1615">
        <v>287.1431</v>
      </c>
      <c r="J1615">
        <v>-201.3707</v>
      </c>
      <c r="K1615">
        <v>1.1078939999999999</v>
      </c>
      <c r="L1615">
        <v>287.26560000000001</v>
      </c>
      <c r="M1615">
        <v>-0.79372039999999999</v>
      </c>
      <c r="N1615">
        <v>0</v>
      </c>
      <c r="O1615">
        <v>-0.60820620000000003</v>
      </c>
      <c r="P1615">
        <v>-0.89847109999999997</v>
      </c>
      <c r="Q1615">
        <v>-1.66608E-4</v>
      </c>
      <c r="R1615">
        <v>-0.43903320000000001</v>
      </c>
      <c r="S1615">
        <v>-3.2940830000000001</v>
      </c>
      <c r="T1615">
        <v>-0.65787359999999995</v>
      </c>
      <c r="U1615">
        <v>-0.10955810000000001</v>
      </c>
      <c r="V1615">
        <v>0.198043</v>
      </c>
      <c r="W1615">
        <v>8.2404309999999995E-3</v>
      </c>
      <c r="X1615">
        <v>0.98015870000000005</v>
      </c>
      <c r="Y1615">
        <v>0.559975</v>
      </c>
      <c r="Z1615">
        <v>0.168341299999999</v>
      </c>
      <c r="AA1615">
        <v>0.81122700000000003</v>
      </c>
      <c r="AB1615">
        <v>11</v>
      </c>
      <c r="AC1615">
        <v>-5.4541000000000102</v>
      </c>
      <c r="AD1615">
        <v>-1.107888977412</v>
      </c>
      <c r="AE1615">
        <v>-0.122500000000002</v>
      </c>
      <c r="AF1615">
        <v>3.09259549432777</v>
      </c>
      <c r="AG1615">
        <v>-1.107888977412</v>
      </c>
      <c r="AH1615">
        <v>4.2293201711517803</v>
      </c>
      <c r="AI1615">
        <v>101.93951599464999</v>
      </c>
      <c r="AJ1615">
        <v>53.8246994803498</v>
      </c>
      <c r="AK1615">
        <v>5.3552510667492301</v>
      </c>
      <c r="AL1615">
        <v>89.527852741496105</v>
      </c>
      <c r="AM1615">
        <v>78.577064726139497</v>
      </c>
      <c r="AN1615">
        <v>1.0000000058688701</v>
      </c>
    </row>
    <row r="1616" spans="1:40" x14ac:dyDescent="0.25">
      <c r="A1616" t="str">
        <f>"20190312154245223"</f>
        <v>20190312154245223</v>
      </c>
      <c r="B1616" t="str">
        <f>"1552376565219304"</f>
        <v>1552376565219304</v>
      </c>
      <c r="C1616" t="s">
        <v>40</v>
      </c>
      <c r="D1616">
        <v>5.3948559999999999</v>
      </c>
      <c r="E1616">
        <v>0.66628310000000002</v>
      </c>
      <c r="F1616" t="s">
        <v>49</v>
      </c>
      <c r="G1616">
        <v>-206.89330000000001</v>
      </c>
      <c r="H1616" s="1">
        <v>5.0573590000000004E-6</v>
      </c>
      <c r="I1616">
        <v>287.09320000000002</v>
      </c>
      <c r="J1616">
        <v>-201.46600000000001</v>
      </c>
      <c r="K1616">
        <v>1.1078840000000001</v>
      </c>
      <c r="L1616">
        <v>287.20330000000001</v>
      </c>
      <c r="M1616">
        <v>-0.79809779999999997</v>
      </c>
      <c r="N1616">
        <v>0</v>
      </c>
      <c r="O1616">
        <v>-0.60245019999999905</v>
      </c>
      <c r="P1616">
        <v>-0.90131090000000003</v>
      </c>
      <c r="Q1616">
        <v>-5.1809380000000002E-4</v>
      </c>
      <c r="R1616">
        <v>-0.43317309999999998</v>
      </c>
      <c r="S1616">
        <v>-3.2887420000000001</v>
      </c>
      <c r="T1616">
        <v>-0.65974860000000002</v>
      </c>
      <c r="U1616">
        <v>-0.10266110000000001</v>
      </c>
      <c r="V1616">
        <v>0.19733600000000001</v>
      </c>
      <c r="W1616">
        <v>7.9033190000000007E-3</v>
      </c>
      <c r="X1616">
        <v>0.98030410000000001</v>
      </c>
      <c r="Y1616">
        <v>0.55569489999999999</v>
      </c>
      <c r="Z1616">
        <v>0.16777039999999999</v>
      </c>
      <c r="AA1616">
        <v>0.81428269999999903</v>
      </c>
      <c r="AB1616">
        <v>11</v>
      </c>
      <c r="AC1616">
        <v>-5.42730000000003</v>
      </c>
      <c r="AD1616">
        <v>-1.1078789426410001</v>
      </c>
      <c r="AE1616">
        <v>-0.110099999999988</v>
      </c>
      <c r="AF1616">
        <v>3.0547204907277199</v>
      </c>
      <c r="AG1616">
        <v>-1.1078789426410001</v>
      </c>
      <c r="AH1616">
        <v>4.2221883538501599</v>
      </c>
      <c r="AI1616">
        <v>102.001807568096</v>
      </c>
      <c r="AJ1616">
        <v>54.1145537301826</v>
      </c>
      <c r="AK1616">
        <v>5.3278126396680996</v>
      </c>
      <c r="AL1616">
        <v>89.547168482794802</v>
      </c>
      <c r="AM1616">
        <v>78.6184216637768</v>
      </c>
      <c r="AN1616">
        <v>1.00000004391201</v>
      </c>
    </row>
    <row r="1617" spans="1:40" x14ac:dyDescent="0.25">
      <c r="A1617" t="str">
        <f>"20190312154245247"</f>
        <v>20190312154245247</v>
      </c>
      <c r="B1617" t="str">
        <f>"1552376565238810"</f>
        <v>1552376565238810</v>
      </c>
      <c r="C1617" t="s">
        <v>40</v>
      </c>
      <c r="D1617">
        <v>5.4063999999999997</v>
      </c>
      <c r="E1617">
        <v>0.6653985</v>
      </c>
      <c r="F1617" t="s">
        <v>49</v>
      </c>
      <c r="G1617">
        <v>-207.03700000000001</v>
      </c>
      <c r="H1617" s="1">
        <v>5.1250979999999998E-6</v>
      </c>
      <c r="I1617">
        <v>287.04719999999998</v>
      </c>
      <c r="J1617">
        <v>-201.5729</v>
      </c>
      <c r="K1617">
        <v>1.107866</v>
      </c>
      <c r="L1617">
        <v>287.1345</v>
      </c>
      <c r="M1617">
        <v>-0.80293630000000005</v>
      </c>
      <c r="N1617">
        <v>0</v>
      </c>
      <c r="O1617">
        <v>-0.59598589999999996</v>
      </c>
      <c r="P1617">
        <v>-0.90478930000000002</v>
      </c>
      <c r="Q1617">
        <v>-8.3045570000000004E-4</v>
      </c>
      <c r="R1617">
        <v>-0.42585859999999898</v>
      </c>
      <c r="S1617">
        <v>-3.28389</v>
      </c>
      <c r="T1617">
        <v>-0.65304859999999998</v>
      </c>
      <c r="U1617">
        <v>-9.2010499999999995E-2</v>
      </c>
      <c r="V1617">
        <v>0.19735839999999999</v>
      </c>
      <c r="W1617">
        <v>7.59815199999999E-3</v>
      </c>
      <c r="X1617">
        <v>0.98030200000000001</v>
      </c>
      <c r="Y1617">
        <v>0.55220179999999996</v>
      </c>
      <c r="Z1617">
        <v>0.16501299999999999</v>
      </c>
      <c r="AA1617">
        <v>0.81721719999999998</v>
      </c>
      <c r="AB1617">
        <v>11</v>
      </c>
      <c r="AC1617">
        <v>-5.4641000000000002</v>
      </c>
      <c r="AD1617">
        <v>-1.107860874902</v>
      </c>
      <c r="AE1617">
        <v>-8.7300000000027397E-2</v>
      </c>
      <c r="AF1617">
        <v>3.0607874406434501</v>
      </c>
      <c r="AG1617">
        <v>-1.107860874902</v>
      </c>
      <c r="AH1617">
        <v>4.2643075314580798</v>
      </c>
      <c r="AI1617">
        <v>101.917852537013</v>
      </c>
      <c r="AJ1617">
        <v>54.330389855102901</v>
      </c>
      <c r="AK1617">
        <v>5.3647082118032703</v>
      </c>
      <c r="AL1617">
        <v>89.564653787005895</v>
      </c>
      <c r="AM1617">
        <v>78.617139695908904</v>
      </c>
      <c r="AN1617">
        <v>1.00000004058418</v>
      </c>
    </row>
    <row r="1618" spans="1:40" x14ac:dyDescent="0.25">
      <c r="A1618" t="str">
        <f>"20190312154245271"</f>
        <v>20190312154245271</v>
      </c>
      <c r="B1618" t="str">
        <f>"1552376565259306"</f>
        <v>1552376565259306</v>
      </c>
      <c r="C1618" t="s">
        <v>40</v>
      </c>
      <c r="D1618">
        <v>5.412185</v>
      </c>
      <c r="E1618">
        <v>0.6645548</v>
      </c>
      <c r="F1618" t="s">
        <v>49</v>
      </c>
      <c r="G1618">
        <v>-207.15719999999999</v>
      </c>
      <c r="H1618" s="1">
        <v>5.1813169999999997E-6</v>
      </c>
      <c r="I1618">
        <v>287.0136</v>
      </c>
      <c r="J1618">
        <v>-201.67070000000001</v>
      </c>
      <c r="K1618">
        <v>1.1078509999999999</v>
      </c>
      <c r="L1618">
        <v>287.0727</v>
      </c>
      <c r="M1618">
        <v>-0.80729849999999903</v>
      </c>
      <c r="N1618">
        <v>0</v>
      </c>
      <c r="O1618">
        <v>-0.59006320000000001</v>
      </c>
      <c r="P1618">
        <v>-0.90789229999999999</v>
      </c>
      <c r="Q1618">
        <v>-8.7752009999999896E-4</v>
      </c>
      <c r="R1618">
        <v>-0.41920259999999998</v>
      </c>
      <c r="S1618">
        <v>-3.2816160000000001</v>
      </c>
      <c r="T1618">
        <v>-0.65103789999999995</v>
      </c>
      <c r="U1618">
        <v>-7.1044919999999998E-2</v>
      </c>
      <c r="V1618">
        <v>0.19734650000000001</v>
      </c>
      <c r="W1618">
        <v>7.5552390000000001E-3</v>
      </c>
      <c r="X1618">
        <v>0.98030470000000003</v>
      </c>
      <c r="Y1618">
        <v>0.55154539999999996</v>
      </c>
      <c r="Z1618">
        <v>0.163689</v>
      </c>
      <c r="AA1618">
        <v>0.81792640000000005</v>
      </c>
      <c r="AB1618">
        <v>11</v>
      </c>
      <c r="AC1618">
        <v>-5.4864999999999702</v>
      </c>
      <c r="AD1618">
        <v>-1.107845818683</v>
      </c>
      <c r="AE1618">
        <v>-5.9100000000000798E-2</v>
      </c>
      <c r="AF1618">
        <v>3.0648730192700202</v>
      </c>
      <c r="AG1618">
        <v>-1.107845818683</v>
      </c>
      <c r="AH1618">
        <v>4.2894552751057997</v>
      </c>
      <c r="AI1618">
        <v>101.867564319077</v>
      </c>
      <c r="AJ1618">
        <v>54.453687189377298</v>
      </c>
      <c r="AK1618">
        <v>5.3870395895478396</v>
      </c>
      <c r="AL1618">
        <v>89.567112579661398</v>
      </c>
      <c r="AM1618">
        <v>78.617838656355303</v>
      </c>
      <c r="AN1618">
        <v>1.00000001377034</v>
      </c>
    </row>
    <row r="1619" spans="1:40" x14ac:dyDescent="0.25">
      <c r="A1619" t="str">
        <f>"20190312154245293"</f>
        <v>20190312154245293</v>
      </c>
      <c r="B1619" t="str">
        <f>"1552376565288585"</f>
        <v>1552376565288585</v>
      </c>
      <c r="C1619" t="s">
        <v>40</v>
      </c>
      <c r="D1619">
        <v>5.4088690000000001</v>
      </c>
      <c r="E1619">
        <v>0.66312360000000004</v>
      </c>
      <c r="F1619" t="s">
        <v>49</v>
      </c>
      <c r="G1619">
        <v>-207.25839999999999</v>
      </c>
      <c r="H1619" s="1">
        <v>5.2289680000000002E-6</v>
      </c>
      <c r="I1619">
        <v>286.98219999999998</v>
      </c>
      <c r="J1619">
        <v>-201.76949999999999</v>
      </c>
      <c r="K1619">
        <v>1.1078440000000001</v>
      </c>
      <c r="L1619">
        <v>287.01139999999998</v>
      </c>
      <c r="M1619">
        <v>-0.81163689999999999</v>
      </c>
      <c r="N1619">
        <v>0</v>
      </c>
      <c r="O1619">
        <v>-0.58408139999999997</v>
      </c>
      <c r="P1619">
        <v>-0.91113069999999896</v>
      </c>
      <c r="Q1619">
        <v>-7.5063479999999997E-4</v>
      </c>
      <c r="R1619">
        <v>-0.41211720000000002</v>
      </c>
      <c r="S1619">
        <v>-3.2792050000000001</v>
      </c>
      <c r="T1619">
        <v>-0.65015319999999899</v>
      </c>
      <c r="U1619">
        <v>-5.3100590000000003E-2</v>
      </c>
      <c r="V1619">
        <v>0.1977402</v>
      </c>
      <c r="W1619">
        <v>7.6820739999999997E-3</v>
      </c>
      <c r="X1619">
        <v>0.9802244</v>
      </c>
      <c r="Y1619">
        <v>0.55006299999999997</v>
      </c>
      <c r="Z1619">
        <v>0.16254099999999999</v>
      </c>
      <c r="AA1619">
        <v>0.81915269999999996</v>
      </c>
      <c r="AB1619">
        <v>11</v>
      </c>
      <c r="AC1619">
        <v>-5.4889000000000001</v>
      </c>
      <c r="AD1619">
        <v>-1.1078387710319999</v>
      </c>
      <c r="AE1619">
        <v>-2.9200000000002901E-2</v>
      </c>
      <c r="AF1619">
        <v>3.0578525755756698</v>
      </c>
      <c r="AG1619">
        <v>-1.1078387710319999</v>
      </c>
      <c r="AH1619">
        <v>4.2972122514680002</v>
      </c>
      <c r="AI1619">
        <v>101.8625936702</v>
      </c>
      <c r="AJ1619">
        <v>54.564731741268098</v>
      </c>
      <c r="AK1619">
        <v>5.38923020947548</v>
      </c>
      <c r="AL1619">
        <v>89.559845269160704</v>
      </c>
      <c r="AM1619">
        <v>78.594816284007194</v>
      </c>
      <c r="AN1619">
        <v>1.00000003765617</v>
      </c>
    </row>
    <row r="1620" spans="1:40" x14ac:dyDescent="0.25">
      <c r="A1620" t="str">
        <f>"20190312154245312"</f>
        <v>20190312154245312</v>
      </c>
      <c r="B1620" t="str">
        <f>"1552376565309081"</f>
        <v>1552376565309081</v>
      </c>
      <c r="C1620" t="s">
        <v>40</v>
      </c>
      <c r="D1620">
        <v>5.4160959999999996</v>
      </c>
      <c r="E1620">
        <v>0.66234759999999904</v>
      </c>
      <c r="F1620" t="s">
        <v>49</v>
      </c>
      <c r="G1620">
        <v>-207.36019999999999</v>
      </c>
      <c r="H1620" s="1">
        <v>5.2772729999999997E-6</v>
      </c>
      <c r="I1620">
        <v>286.94580000000002</v>
      </c>
      <c r="J1620">
        <v>-201.858</v>
      </c>
      <c r="K1620">
        <v>1.1078300000000001</v>
      </c>
      <c r="L1620">
        <v>286.95729999999998</v>
      </c>
      <c r="M1620">
        <v>-0.81546850000000004</v>
      </c>
      <c r="N1620">
        <v>0</v>
      </c>
      <c r="O1620">
        <v>-0.57872009999999996</v>
      </c>
      <c r="P1620">
        <v>-0.91366899999999995</v>
      </c>
      <c r="Q1620">
        <v>-3.2144779999999999E-4</v>
      </c>
      <c r="R1620">
        <v>-0.40645969999999998</v>
      </c>
      <c r="S1620">
        <v>-3.2747190000000002</v>
      </c>
      <c r="T1620">
        <v>-0.64891140000000003</v>
      </c>
      <c r="U1620">
        <v>-3.8391109999999999E-2</v>
      </c>
      <c r="V1620">
        <v>0.19736129999999999</v>
      </c>
      <c r="W1620">
        <v>8.1155040000000008E-3</v>
      </c>
      <c r="X1620">
        <v>0.98029719999999998</v>
      </c>
      <c r="Y1620">
        <v>0.54842380000000002</v>
      </c>
      <c r="Z1620">
        <v>0.1614729</v>
      </c>
      <c r="AA1620">
        <v>0.82046189999999997</v>
      </c>
      <c r="AB1620">
        <v>11</v>
      </c>
      <c r="AC1620">
        <v>-5.5021999999999798</v>
      </c>
      <c r="AD1620">
        <v>-1.1078247227269999</v>
      </c>
      <c r="AE1620">
        <v>-1.14999999999554E-2</v>
      </c>
      <c r="AF1620">
        <v>3.0513098818897801</v>
      </c>
      <c r="AG1620">
        <v>-1.1078247227269999</v>
      </c>
      <c r="AH1620">
        <v>4.3186655206083904</v>
      </c>
      <c r="AI1620">
        <v>101.832546327765</v>
      </c>
      <c r="AJ1620">
        <v>54.757266035805202</v>
      </c>
      <c r="AK1620">
        <v>5.4026511538776196</v>
      </c>
      <c r="AL1620">
        <v>89.535010755031905</v>
      </c>
      <c r="AM1620">
        <v>78.616922520249702</v>
      </c>
      <c r="AN1620">
        <v>0.99999997223535098</v>
      </c>
    </row>
    <row r="1621" spans="1:40" x14ac:dyDescent="0.25">
      <c r="A1621" t="str">
        <f>"20190312154245334"</f>
        <v>20190312154245334</v>
      </c>
      <c r="B1621" t="str">
        <f>"1552376565328601"</f>
        <v>1552376565328601</v>
      </c>
      <c r="C1621" t="s">
        <v>40</v>
      </c>
      <c r="D1621">
        <v>5.4112049999999998</v>
      </c>
      <c r="E1621">
        <v>0.66155280000000005</v>
      </c>
      <c r="F1621" t="s">
        <v>49</v>
      </c>
      <c r="G1621">
        <v>-207.464</v>
      </c>
      <c r="H1621" s="1">
        <v>5.3259040000000002E-6</v>
      </c>
      <c r="I1621">
        <v>286.916</v>
      </c>
      <c r="J1621">
        <v>-201.9537</v>
      </c>
      <c r="K1621">
        <v>1.1078190000000001</v>
      </c>
      <c r="L1621">
        <v>286.89960000000002</v>
      </c>
      <c r="M1621">
        <v>-0.81955789999999995</v>
      </c>
      <c r="N1621">
        <v>0</v>
      </c>
      <c r="O1621">
        <v>-0.57291380000000003</v>
      </c>
      <c r="P1621">
        <v>-0.91646190000000005</v>
      </c>
      <c r="Q1621" s="1">
        <v>1.875404E-5</v>
      </c>
      <c r="R1621">
        <v>-0.40012239999999999</v>
      </c>
      <c r="S1621">
        <v>-3.2725369999999998</v>
      </c>
      <c r="T1621">
        <v>-0.64669779999999999</v>
      </c>
      <c r="U1621">
        <v>-2.4078370000000002E-2</v>
      </c>
      <c r="V1621">
        <v>0.19719010000000001</v>
      </c>
      <c r="W1621">
        <v>8.4573859999999904E-3</v>
      </c>
      <c r="X1621">
        <v>0.9803288</v>
      </c>
      <c r="Y1621">
        <v>0.54638089999999995</v>
      </c>
      <c r="Z1621">
        <v>0.1599391</v>
      </c>
      <c r="AA1621">
        <v>0.82212379999999996</v>
      </c>
      <c r="AB1621">
        <v>11</v>
      </c>
      <c r="AC1621">
        <v>-5.5103000000000204</v>
      </c>
      <c r="AD1621">
        <v>-1.1078136740960001</v>
      </c>
      <c r="AE1621">
        <v>1.6399999999975899E-2</v>
      </c>
      <c r="AF1621">
        <v>3.04734871584039</v>
      </c>
      <c r="AG1621">
        <v>-1.1078136740960001</v>
      </c>
      <c r="AH1621">
        <v>4.3317451433015197</v>
      </c>
      <c r="AI1621">
        <v>101.81417656425</v>
      </c>
      <c r="AJ1621">
        <v>54.873914350125297</v>
      </c>
      <c r="AK1621">
        <v>5.4108780543424304</v>
      </c>
      <c r="AL1621">
        <v>89.515421704210397</v>
      </c>
      <c r="AM1621">
        <v>78.626896309412203</v>
      </c>
      <c r="AN1621">
        <v>1.0000000095127</v>
      </c>
    </row>
    <row r="1622" spans="1:40" x14ac:dyDescent="0.25">
      <c r="A1622" t="str">
        <f>"20190312154245356"</f>
        <v>20190312154245356</v>
      </c>
      <c r="B1622" t="str">
        <f>"1552376565349097"</f>
        <v>1552376565349097</v>
      </c>
      <c r="C1622" t="s">
        <v>40</v>
      </c>
      <c r="D1622">
        <v>5.4205589999999999</v>
      </c>
      <c r="E1622">
        <v>0.66069609999999901</v>
      </c>
      <c r="F1622" t="s">
        <v>49</v>
      </c>
      <c r="G1622">
        <v>-207.53909999999999</v>
      </c>
      <c r="H1622" s="1">
        <v>5.3619390000000003E-6</v>
      </c>
      <c r="I1622">
        <v>286.88510000000002</v>
      </c>
      <c r="J1622">
        <v>-202.05279999999999</v>
      </c>
      <c r="K1622">
        <v>1.1078049999999999</v>
      </c>
      <c r="L1622">
        <v>286.8408</v>
      </c>
      <c r="M1622">
        <v>-0.82373069999999904</v>
      </c>
      <c r="N1622">
        <v>0</v>
      </c>
      <c r="O1622">
        <v>-0.5668976</v>
      </c>
      <c r="P1622">
        <v>-0.91882710000000001</v>
      </c>
      <c r="Q1622">
        <v>8.631353E-4</v>
      </c>
      <c r="R1622">
        <v>-0.3946595</v>
      </c>
      <c r="S1622">
        <v>-3.2697750000000001</v>
      </c>
      <c r="T1622">
        <v>-0.64852690000000002</v>
      </c>
      <c r="U1622">
        <v>-8.4838869999999903E-3</v>
      </c>
      <c r="V1622">
        <v>0.19585279999999999</v>
      </c>
      <c r="W1622">
        <v>9.3113650000000003E-3</v>
      </c>
      <c r="X1622">
        <v>0.98058909999999999</v>
      </c>
      <c r="Y1622">
        <v>0.54422499999999996</v>
      </c>
      <c r="Z1622">
        <v>0.1593619</v>
      </c>
      <c r="AA1622">
        <v>0.82366439999999996</v>
      </c>
      <c r="AB1622">
        <v>11</v>
      </c>
      <c r="AC1622">
        <v>-5.4863</v>
      </c>
      <c r="AD1622">
        <v>-1.107799638061</v>
      </c>
      <c r="AE1622">
        <v>4.43000000000211E-2</v>
      </c>
      <c r="AF1622">
        <v>3.0235425903759499</v>
      </c>
      <c r="AG1622">
        <v>-1.107799638061</v>
      </c>
      <c r="AH1622">
        <v>4.3182793709549099</v>
      </c>
      <c r="AI1622">
        <v>101.867815277232</v>
      </c>
      <c r="AJ1622">
        <v>55.001328160674397</v>
      </c>
      <c r="AK1622">
        <v>5.3867027539599901</v>
      </c>
      <c r="AL1622">
        <v>89.466490375475999</v>
      </c>
      <c r="AM1622">
        <v>78.704957825861499</v>
      </c>
      <c r="AN1622">
        <v>1.0000000019124</v>
      </c>
    </row>
    <row r="1623" spans="1:40" x14ac:dyDescent="0.25">
      <c r="A1623" t="str">
        <f>"20190312154245378"</f>
        <v>20190312154245378</v>
      </c>
      <c r="B1623" t="str">
        <f>"1552376565368618"</f>
        <v>1552376565368618</v>
      </c>
      <c r="C1623" t="s">
        <v>40</v>
      </c>
      <c r="D1623">
        <v>5.381545</v>
      </c>
      <c r="E1623">
        <v>0.65972310000000001</v>
      </c>
      <c r="F1623" t="s">
        <v>49</v>
      </c>
      <c r="G1623">
        <v>-207.63759999999999</v>
      </c>
      <c r="H1623" s="1">
        <v>5.4089180000000001E-6</v>
      </c>
      <c r="I1623">
        <v>286.84699999999998</v>
      </c>
      <c r="J1623">
        <v>-202.15459999999999</v>
      </c>
      <c r="K1623">
        <v>1.107788</v>
      </c>
      <c r="L1623">
        <v>286.78149999999999</v>
      </c>
      <c r="M1623">
        <v>-0.82795099999999999</v>
      </c>
      <c r="N1623">
        <v>0</v>
      </c>
      <c r="O1623">
        <v>-0.56071590000000004</v>
      </c>
      <c r="P1623">
        <v>-0.92094299999999996</v>
      </c>
      <c r="Q1623">
        <v>1.8414709999999999E-3</v>
      </c>
      <c r="R1623">
        <v>-0.38969340000000002</v>
      </c>
      <c r="S1623">
        <v>-3.267166</v>
      </c>
      <c r="T1623">
        <v>-0.64808310000000002</v>
      </c>
      <c r="U1623">
        <v>3.6315919999999999E-3</v>
      </c>
      <c r="V1623">
        <v>0.19381119999999999</v>
      </c>
      <c r="W1623">
        <v>1.0303140000000001E-2</v>
      </c>
      <c r="X1623">
        <v>0.98098470000000004</v>
      </c>
      <c r="Y1623">
        <v>0.54122559999999997</v>
      </c>
      <c r="Z1623">
        <v>0.15809899999999999</v>
      </c>
      <c r="AA1623">
        <v>0.82588109999999904</v>
      </c>
      <c r="AB1623">
        <v>11</v>
      </c>
      <c r="AC1623">
        <v>-5.4829999999999997</v>
      </c>
      <c r="AD1623">
        <v>-1.1077825910820001</v>
      </c>
      <c r="AE1623">
        <v>6.5499999999985903E-2</v>
      </c>
      <c r="AF1623">
        <v>3.0060933098667002</v>
      </c>
      <c r="AG1623">
        <v>-1.1077825910820001</v>
      </c>
      <c r="AH1623">
        <v>4.32655724706476</v>
      </c>
      <c r="AI1623">
        <v>101.87462588132399</v>
      </c>
      <c r="AJ1623">
        <v>55.208415174402198</v>
      </c>
      <c r="AK1623">
        <v>5.3835747295693999</v>
      </c>
      <c r="AL1623">
        <v>89.409663093117601</v>
      </c>
      <c r="AM1623">
        <v>78.824113119313395</v>
      </c>
      <c r="AN1623">
        <v>0.99999995878669301</v>
      </c>
    </row>
    <row r="1624" spans="1:40" x14ac:dyDescent="0.25">
      <c r="A1624" t="str">
        <f>"20190312154245400"</f>
        <v>20190312154245400</v>
      </c>
      <c r="B1624" t="str">
        <f>"1552376565389113"</f>
        <v>1552376565389113</v>
      </c>
      <c r="C1624" t="s">
        <v>40</v>
      </c>
      <c r="D1624">
        <v>5.3951370000000001</v>
      </c>
      <c r="E1624">
        <v>0.65881999999999996</v>
      </c>
      <c r="F1624" t="s">
        <v>49</v>
      </c>
      <c r="G1624">
        <v>-207.7509</v>
      </c>
      <c r="H1624" s="1">
        <v>5.4630250000000001E-6</v>
      </c>
      <c r="I1624">
        <v>286.8032</v>
      </c>
      <c r="J1624">
        <v>-202.2542</v>
      </c>
      <c r="K1624">
        <v>1.1077729999999999</v>
      </c>
      <c r="L1624">
        <v>286.7244</v>
      </c>
      <c r="M1624">
        <v>-0.83201769999999997</v>
      </c>
      <c r="N1624">
        <v>0</v>
      </c>
      <c r="O1624">
        <v>-0.55466369999999998</v>
      </c>
      <c r="P1624">
        <v>-0.92316010000000004</v>
      </c>
      <c r="Q1624">
        <v>1.7312499999999999E-3</v>
      </c>
      <c r="R1624">
        <v>-0.38441209999999998</v>
      </c>
      <c r="S1624">
        <v>-3.2641450000000001</v>
      </c>
      <c r="T1624">
        <v>-0.64613690000000001</v>
      </c>
      <c r="U1624">
        <v>1.2634279999999999E-2</v>
      </c>
      <c r="V1624">
        <v>0.19227630000000001</v>
      </c>
      <c r="W1624">
        <v>1.020158E-2</v>
      </c>
      <c r="X1624">
        <v>0.98128780000000004</v>
      </c>
      <c r="Y1624">
        <v>0.53769419999999901</v>
      </c>
      <c r="Z1624">
        <v>0.15645290000000001</v>
      </c>
      <c r="AA1624">
        <v>0.82849709999999999</v>
      </c>
      <c r="AB1624">
        <v>11</v>
      </c>
      <c r="AC1624">
        <v>-5.4966999999999997</v>
      </c>
      <c r="AD1624">
        <v>-1.107767536975</v>
      </c>
      <c r="AE1624">
        <v>7.8800000000000994E-2</v>
      </c>
      <c r="AF1624">
        <v>2.9929931472003601</v>
      </c>
      <c r="AG1624">
        <v>-1.107767536975</v>
      </c>
      <c r="AH1624">
        <v>4.3530915188818202</v>
      </c>
      <c r="AI1624">
        <v>101.843061213456</v>
      </c>
      <c r="AJ1624">
        <v>55.489307650640399</v>
      </c>
      <c r="AK1624">
        <v>5.3976441775023298</v>
      </c>
      <c r="AL1624">
        <v>89.415482380966495</v>
      </c>
      <c r="AM1624">
        <v>78.913759400048605</v>
      </c>
      <c r="AN1624">
        <v>0.99999999710251297</v>
      </c>
    </row>
    <row r="1625" spans="1:40" x14ac:dyDescent="0.25">
      <c r="A1625" t="str">
        <f>"20190312154245423"</f>
        <v>20190312154245423</v>
      </c>
      <c r="B1625" t="str">
        <f>"1552376565419369"</f>
        <v>1552376565419369</v>
      </c>
      <c r="C1625" t="s">
        <v>40</v>
      </c>
      <c r="D1625">
        <v>5.4011750000000003</v>
      </c>
      <c r="E1625">
        <v>0.64061679999999999</v>
      </c>
      <c r="F1625" t="s">
        <v>49</v>
      </c>
      <c r="G1625">
        <v>-207.8245</v>
      </c>
      <c r="H1625" s="1">
        <v>5.4990049999999997E-6</v>
      </c>
      <c r="I1625">
        <v>286.76490000000001</v>
      </c>
      <c r="J1625">
        <v>-202.35659999999999</v>
      </c>
      <c r="K1625">
        <v>1.1077570000000001</v>
      </c>
      <c r="L1625">
        <v>286.66669999999999</v>
      </c>
      <c r="M1625">
        <v>-0.83613539999999997</v>
      </c>
      <c r="N1625">
        <v>0</v>
      </c>
      <c r="O1625">
        <v>-0.54843649999999999</v>
      </c>
      <c r="P1625">
        <v>-0.92550889999999997</v>
      </c>
      <c r="Q1625">
        <v>1.107549E-3</v>
      </c>
      <c r="R1625">
        <v>-0.37872479999999997</v>
      </c>
      <c r="S1625">
        <v>-3.2607879999999998</v>
      </c>
      <c r="T1625">
        <v>-0.64847710000000003</v>
      </c>
      <c r="U1625">
        <v>2.368164E-2</v>
      </c>
      <c r="V1625">
        <v>0.19098519999999999</v>
      </c>
      <c r="W1625">
        <v>9.5831530000000005E-3</v>
      </c>
      <c r="X1625">
        <v>0.98154620000000004</v>
      </c>
      <c r="Y1625">
        <v>0.53426430000000003</v>
      </c>
      <c r="Z1625">
        <v>0.15581519999999999</v>
      </c>
      <c r="AA1625">
        <v>0.83083289999999999</v>
      </c>
      <c r="AB1625">
        <v>11</v>
      </c>
      <c r="AC1625">
        <v>-5.46790000000001</v>
      </c>
      <c r="AD1625">
        <v>-1.1077515009950001</v>
      </c>
      <c r="AE1625">
        <v>9.8200000000019799E-2</v>
      </c>
      <c r="AF1625">
        <v>2.9596171361214001</v>
      </c>
      <c r="AG1625">
        <v>-1.1077515009950001</v>
      </c>
      <c r="AH1625">
        <v>4.3401843266260203</v>
      </c>
      <c r="AI1625">
        <v>101.907520188945</v>
      </c>
      <c r="AJ1625">
        <v>55.709513486333698</v>
      </c>
      <c r="AK1625">
        <v>5.3687658702415302</v>
      </c>
      <c r="AL1625">
        <v>89.450917408760603</v>
      </c>
      <c r="AM1625">
        <v>78.989203855945206</v>
      </c>
      <c r="AN1625">
        <v>1.0000000630874399</v>
      </c>
    </row>
    <row r="1626" spans="1:40" x14ac:dyDescent="0.25">
      <c r="A1626" t="str">
        <f>"20190312154245448"</f>
        <v>20190312154245448</v>
      </c>
      <c r="B1626" t="str">
        <f>"1552376565438889"</f>
        <v>1552376565438889</v>
      </c>
      <c r="C1626" t="s">
        <v>40</v>
      </c>
      <c r="D1626">
        <v>5.4158569999999999</v>
      </c>
      <c r="E1626">
        <v>0.63978840000000003</v>
      </c>
      <c r="F1626" t="s">
        <v>49</v>
      </c>
      <c r="G1626">
        <v>-207.8124</v>
      </c>
      <c r="H1626" s="1">
        <v>5.51569899999999E-6</v>
      </c>
      <c r="I1626">
        <v>286.51249999999999</v>
      </c>
      <c r="J1626">
        <v>-202.4725</v>
      </c>
      <c r="K1626">
        <v>1.107737</v>
      </c>
      <c r="L1626">
        <v>286.6026</v>
      </c>
      <c r="M1626">
        <v>-0.84072579999999997</v>
      </c>
      <c r="N1626">
        <v>0</v>
      </c>
      <c r="O1626">
        <v>-0.54137360000000001</v>
      </c>
      <c r="P1626">
        <v>-0.92865160000000002</v>
      </c>
      <c r="Q1626">
        <v>6.5018420000000001E-4</v>
      </c>
      <c r="R1626">
        <v>-0.37095319999999998</v>
      </c>
      <c r="S1626">
        <v>-3.205139</v>
      </c>
      <c r="T1626">
        <v>-0.65077259999999904</v>
      </c>
      <c r="U1626">
        <v>-9.0637209999999996E-2</v>
      </c>
      <c r="V1626">
        <v>0.190943</v>
      </c>
      <c r="W1626">
        <v>9.120164E-3</v>
      </c>
      <c r="X1626">
        <v>0.98155870000000001</v>
      </c>
      <c r="Y1626">
        <v>0.49728359999999999</v>
      </c>
      <c r="Z1626">
        <v>0.15380729999999901</v>
      </c>
      <c r="AA1626">
        <v>0.85384570000000004</v>
      </c>
      <c r="AB1626">
        <v>11</v>
      </c>
      <c r="AC1626">
        <v>-5.3399000000000001</v>
      </c>
      <c r="AD1626">
        <v>-1.107731484301</v>
      </c>
      <c r="AE1626">
        <v>-9.0100000000006703E-2</v>
      </c>
      <c r="AF1626">
        <v>2.6991453118413999</v>
      </c>
      <c r="AG1626">
        <v>-1.107731484301</v>
      </c>
      <c r="AH1626">
        <v>4.3511924252755696</v>
      </c>
      <c r="AI1626">
        <v>102.207127761666</v>
      </c>
      <c r="AJ1626">
        <v>58.187715749103297</v>
      </c>
      <c r="AK1626">
        <v>5.2388290654995204</v>
      </c>
      <c r="AL1626">
        <v>89.477445820831704</v>
      </c>
      <c r="AM1626">
        <v>78.991714121454393</v>
      </c>
      <c r="AN1626">
        <v>0.99999994409303605</v>
      </c>
    </row>
    <row r="1627" spans="1:40" x14ac:dyDescent="0.25">
      <c r="A1627" t="str">
        <f>"20190312154245469"</f>
        <v>20190312154245469</v>
      </c>
      <c r="B1627" t="str">
        <f>"1552376565459385"</f>
        <v>1552376565459385</v>
      </c>
      <c r="C1627" t="s">
        <v>40</v>
      </c>
      <c r="D1627">
        <v>5.4261650000000001</v>
      </c>
      <c r="E1627">
        <v>0.63914179999999998</v>
      </c>
      <c r="F1627" t="s">
        <v>49</v>
      </c>
      <c r="G1627">
        <v>-207.93090000000001</v>
      </c>
      <c r="H1627" s="1">
        <v>5.5707830000000003E-6</v>
      </c>
      <c r="I1627">
        <v>286.48329999999999</v>
      </c>
      <c r="J1627">
        <v>-202.5712</v>
      </c>
      <c r="K1627">
        <v>1.1077159999999999</v>
      </c>
      <c r="L1627">
        <v>286.54899999999998</v>
      </c>
      <c r="M1627">
        <v>-0.84457209999999905</v>
      </c>
      <c r="N1627">
        <v>0</v>
      </c>
      <c r="O1627">
        <v>-0.53535310000000003</v>
      </c>
      <c r="P1627">
        <v>-0.93137429999999999</v>
      </c>
      <c r="Q1627" s="1">
        <v>-2.541346E-5</v>
      </c>
      <c r="R1627">
        <v>-0.3640639</v>
      </c>
      <c r="S1627">
        <v>-3.2029879999999999</v>
      </c>
      <c r="T1627">
        <v>-0.65001989999999998</v>
      </c>
      <c r="U1627">
        <v>-6.997681E-2</v>
      </c>
      <c r="V1627">
        <v>0.19119749999999999</v>
      </c>
      <c r="W1627">
        <v>8.4368829999999992E-3</v>
      </c>
      <c r="X1627">
        <v>0.98151529999999998</v>
      </c>
      <c r="Y1627">
        <v>0.49676110000000001</v>
      </c>
      <c r="Z1627">
        <v>0.15270929999999999</v>
      </c>
      <c r="AA1627">
        <v>0.85434669999999902</v>
      </c>
      <c r="AB1627">
        <v>11</v>
      </c>
      <c r="AC1627">
        <v>-5.3597000000000001</v>
      </c>
      <c r="AD1627">
        <v>-1.1077104292169999</v>
      </c>
      <c r="AE1627">
        <v>-6.5700000000049302E-2</v>
      </c>
      <c r="AF1627">
        <v>2.6987211308118799</v>
      </c>
      <c r="AG1627">
        <v>-1.1077104292169999</v>
      </c>
      <c r="AH1627">
        <v>4.3751882779504498</v>
      </c>
      <c r="AI1627">
        <v>102.16040225978</v>
      </c>
      <c r="AJ1627">
        <v>58.332718438234899</v>
      </c>
      <c r="AK1627">
        <v>5.2585540412171898</v>
      </c>
      <c r="AL1627">
        <v>89.516596464586897</v>
      </c>
      <c r="AM1627">
        <v>78.976925303819201</v>
      </c>
      <c r="AN1627">
        <v>0.99999997456754697</v>
      </c>
    </row>
    <row r="1628" spans="1:40" x14ac:dyDescent="0.25">
      <c r="A1628" t="str">
        <f>"20190312154245491"</f>
        <v>20190312154245491</v>
      </c>
      <c r="B1628" t="str">
        <f>"1552376565479494"</f>
        <v>1552376565479494</v>
      </c>
      <c r="C1628" t="s">
        <v>40</v>
      </c>
      <c r="D1628">
        <v>5.4020000000000001</v>
      </c>
      <c r="E1628">
        <v>0.63826039999999995</v>
      </c>
      <c r="F1628" t="s">
        <v>49</v>
      </c>
      <c r="G1628">
        <v>-208.06229999999999</v>
      </c>
      <c r="H1628" s="1">
        <v>5.6309559999999996E-6</v>
      </c>
      <c r="I1628">
        <v>286.4615</v>
      </c>
      <c r="J1628">
        <v>-202.67619999999999</v>
      </c>
      <c r="K1628">
        <v>1.107699</v>
      </c>
      <c r="L1628">
        <v>286.49310000000003</v>
      </c>
      <c r="M1628">
        <v>-0.84860000000000002</v>
      </c>
      <c r="N1628">
        <v>0</v>
      </c>
      <c r="O1628">
        <v>-0.52894519999999901</v>
      </c>
      <c r="P1628">
        <v>-0.93429050000000002</v>
      </c>
      <c r="Q1628">
        <v>-4.0894E-4</v>
      </c>
      <c r="R1628">
        <v>-0.35651310000000003</v>
      </c>
      <c r="S1628">
        <v>-3.2010960000000002</v>
      </c>
      <c r="T1628">
        <v>-0.64575890000000002</v>
      </c>
      <c r="U1628">
        <v>-5.0994869999999998E-2</v>
      </c>
      <c r="V1628">
        <v>0.1917113</v>
      </c>
      <c r="W1628">
        <v>8.0430269999999995E-3</v>
      </c>
      <c r="X1628">
        <v>0.98141840000000002</v>
      </c>
      <c r="Y1628">
        <v>0.49567329999999998</v>
      </c>
      <c r="Z1628">
        <v>0.1506604</v>
      </c>
      <c r="AA1628">
        <v>0.85534169999999998</v>
      </c>
      <c r="AB1628">
        <v>12</v>
      </c>
      <c r="AC1628">
        <v>-5.3860999999999901</v>
      </c>
      <c r="AD1628">
        <v>-1.1076933690440001</v>
      </c>
      <c r="AE1628">
        <v>-3.1600000000025802E-2</v>
      </c>
      <c r="AF1628">
        <v>2.7077494132886302</v>
      </c>
      <c r="AG1628">
        <v>-1.1076933690440001</v>
      </c>
      <c r="AH1628">
        <v>4.4014246899196001</v>
      </c>
      <c r="AI1628">
        <v>102.09839434774</v>
      </c>
      <c r="AJ1628">
        <v>58.400237243242799</v>
      </c>
      <c r="AK1628">
        <v>5.2850194688404697</v>
      </c>
      <c r="AL1628">
        <v>89.539163527086004</v>
      </c>
      <c r="AM1628">
        <v>78.946967336888306</v>
      </c>
      <c r="AN1628">
        <v>0.99999999434478604</v>
      </c>
    </row>
    <row r="1629" spans="1:40" x14ac:dyDescent="0.25">
      <c r="A1629" t="str">
        <f>"20190312154245513"</f>
        <v>20190312154245513</v>
      </c>
      <c r="B1629" t="str">
        <f>"1552376565508892"</f>
        <v>1552376565508892</v>
      </c>
      <c r="C1629" t="s">
        <v>40</v>
      </c>
      <c r="D1629">
        <v>5.3606730000000002</v>
      </c>
      <c r="E1629">
        <v>0.63642109999999996</v>
      </c>
      <c r="F1629" t="s">
        <v>49</v>
      </c>
      <c r="G1629">
        <v>-208.16309999999999</v>
      </c>
      <c r="H1629" s="1">
        <v>5.6775920000000003E-6</v>
      </c>
      <c r="I1629">
        <v>286.43979999999999</v>
      </c>
      <c r="J1629">
        <v>-202.77850000000001</v>
      </c>
      <c r="K1629">
        <v>1.1076779999999999</v>
      </c>
      <c r="L1629">
        <v>286.43959999999998</v>
      </c>
      <c r="M1629">
        <v>-0.85246569999999899</v>
      </c>
      <c r="N1629">
        <v>0</v>
      </c>
      <c r="O1629">
        <v>-0.52269200000000005</v>
      </c>
      <c r="P1629">
        <v>-0.93715820000000005</v>
      </c>
      <c r="Q1629">
        <v>-3.5925209999999999E-4</v>
      </c>
      <c r="R1629">
        <v>-0.34890480000000001</v>
      </c>
      <c r="S1629">
        <v>-3.1988530000000002</v>
      </c>
      <c r="T1629">
        <v>-0.64577929999999995</v>
      </c>
      <c r="U1629">
        <v>-3.1097409999999999E-2</v>
      </c>
      <c r="V1629">
        <v>0.19247629999999999</v>
      </c>
      <c r="W1629">
        <v>8.0806969999999995E-3</v>
      </c>
      <c r="X1629">
        <v>0.98126829999999998</v>
      </c>
      <c r="Y1629">
        <v>0.49475370000000002</v>
      </c>
      <c r="Z1629">
        <v>0.14964720000000001</v>
      </c>
      <c r="AA1629">
        <v>0.85605169999999997</v>
      </c>
      <c r="AB1629">
        <v>12</v>
      </c>
      <c r="AC1629">
        <v>-5.3845999999999696</v>
      </c>
      <c r="AD1629">
        <v>-1.1076723224079901</v>
      </c>
      <c r="AE1629">
        <v>2.0000000000663901E-4</v>
      </c>
      <c r="AF1629">
        <v>2.7005140927351099</v>
      </c>
      <c r="AG1629">
        <v>-1.1076723224079901</v>
      </c>
      <c r="AH1629">
        <v>4.4039391560932604</v>
      </c>
      <c r="AI1629">
        <v>102.101908110267</v>
      </c>
      <c r="AJ1629">
        <v>58.483198400151799</v>
      </c>
      <c r="AK1629">
        <v>5.2834074638874</v>
      </c>
      <c r="AL1629">
        <v>89.537005104457094</v>
      </c>
      <c r="AM1629">
        <v>78.902298874846494</v>
      </c>
      <c r="AN1629">
        <v>0.99999995015529097</v>
      </c>
    </row>
    <row r="1630" spans="1:40" x14ac:dyDescent="0.25">
      <c r="A1630" t="str">
        <f>"20190312154245535"</f>
        <v>20190312154245535</v>
      </c>
      <c r="B1630" t="str">
        <f>"1552376565529389"</f>
        <v>1552376565529389</v>
      </c>
      <c r="C1630" t="s">
        <v>40</v>
      </c>
      <c r="D1630">
        <v>5.3966570000000003</v>
      </c>
      <c r="E1630">
        <v>0.63589680000000004</v>
      </c>
      <c r="F1630" t="s">
        <v>49</v>
      </c>
      <c r="G1630">
        <v>-208.25980000000001</v>
      </c>
      <c r="H1630" s="1">
        <v>5.7234299999999997E-6</v>
      </c>
      <c r="I1630">
        <v>286.4058</v>
      </c>
      <c r="J1630">
        <v>-202.88050000000001</v>
      </c>
      <c r="K1630">
        <v>1.1076619999999999</v>
      </c>
      <c r="L1630">
        <v>286.38709999999998</v>
      </c>
      <c r="M1630">
        <v>-0.85626209999999903</v>
      </c>
      <c r="N1630">
        <v>0</v>
      </c>
      <c r="O1630">
        <v>-0.51644939999999995</v>
      </c>
      <c r="P1630">
        <v>-0.93971550000000004</v>
      </c>
      <c r="Q1630">
        <v>-4.3341419999999998E-4</v>
      </c>
      <c r="R1630">
        <v>-0.34195750000000003</v>
      </c>
      <c r="S1630">
        <v>-3.1935880000000001</v>
      </c>
      <c r="T1630">
        <v>-0.64536359999999904</v>
      </c>
      <c r="U1630">
        <v>-1.971436E-2</v>
      </c>
      <c r="V1630">
        <v>0.19257079999999999</v>
      </c>
      <c r="W1630">
        <v>8.0001129999999997E-3</v>
      </c>
      <c r="X1630">
        <v>0.98125050000000003</v>
      </c>
      <c r="Y1630">
        <v>0.49163289999999998</v>
      </c>
      <c r="Z1630">
        <v>0.14842520000000001</v>
      </c>
      <c r="AA1630">
        <v>0.85806009999999999</v>
      </c>
      <c r="AB1630">
        <v>12</v>
      </c>
      <c r="AC1630">
        <v>-5.3792999999999997</v>
      </c>
      <c r="AD1630">
        <v>-1.10765627657</v>
      </c>
      <c r="AE1630">
        <v>1.8700000000023899E-2</v>
      </c>
      <c r="AF1630">
        <v>2.6806261668103701</v>
      </c>
      <c r="AG1630">
        <v>-1.10765627657</v>
      </c>
      <c r="AH1630">
        <v>4.4096867055572497</v>
      </c>
      <c r="AI1630">
        <v>102.114159600031</v>
      </c>
      <c r="AJ1630">
        <v>58.7047943895939</v>
      </c>
      <c r="AK1630">
        <v>5.2780674412498501</v>
      </c>
      <c r="AL1630">
        <v>89.541622413308403</v>
      </c>
      <c r="AM1630">
        <v>78.8967891894182</v>
      </c>
      <c r="AN1630">
        <v>1.0000000292854501</v>
      </c>
    </row>
    <row r="1631" spans="1:40" x14ac:dyDescent="0.25">
      <c r="A1631" t="str">
        <f>"20190312154245556"</f>
        <v>20190312154245556</v>
      </c>
      <c r="B1631" t="str">
        <f>"1552376565548909"</f>
        <v>1552376565548909</v>
      </c>
      <c r="C1631" t="s">
        <v>40</v>
      </c>
      <c r="D1631">
        <v>5.4056439999999997</v>
      </c>
      <c r="E1631">
        <v>0.62671399999999999</v>
      </c>
      <c r="F1631" t="s">
        <v>49</v>
      </c>
      <c r="G1631">
        <v>-208.36619999999999</v>
      </c>
      <c r="H1631" s="1">
        <v>5.772315E-6</v>
      </c>
      <c r="I1631">
        <v>286.38650000000001</v>
      </c>
      <c r="J1631">
        <v>-202.98830000000001</v>
      </c>
      <c r="K1631">
        <v>1.107639</v>
      </c>
      <c r="L1631">
        <v>286.33280000000002</v>
      </c>
      <c r="M1631">
        <v>-0.86021049999999999</v>
      </c>
      <c r="N1631">
        <v>0</v>
      </c>
      <c r="O1631">
        <v>-0.50984569999999996</v>
      </c>
      <c r="P1631">
        <v>-0.94235820000000003</v>
      </c>
      <c r="Q1631">
        <v>-5.5891179999999999E-4</v>
      </c>
      <c r="R1631">
        <v>-0.33460509999999999</v>
      </c>
      <c r="S1631">
        <v>-3.1920169999999999</v>
      </c>
      <c r="T1631">
        <v>-0.64451999999999998</v>
      </c>
      <c r="U1631">
        <v>-3.9672850000000001E-4</v>
      </c>
      <c r="V1631">
        <v>0.19268660000000001</v>
      </c>
      <c r="W1631">
        <v>7.8675559999999995E-3</v>
      </c>
      <c r="X1631">
        <v>0.98122880000000001</v>
      </c>
      <c r="Y1631">
        <v>0.4903575</v>
      </c>
      <c r="Z1631">
        <v>0.14706910000000001</v>
      </c>
      <c r="AA1631">
        <v>0.85902279999999998</v>
      </c>
      <c r="AB1631">
        <v>12</v>
      </c>
      <c r="AC1631">
        <v>-5.3778999999999799</v>
      </c>
      <c r="AD1631">
        <v>-1.1076332276850001</v>
      </c>
      <c r="AE1631">
        <v>5.3699999999991997E-2</v>
      </c>
      <c r="AF1631">
        <v>2.67477379115756</v>
      </c>
      <c r="AG1631">
        <v>-1.1076332276850001</v>
      </c>
      <c r="AH1631">
        <v>4.4118367191063204</v>
      </c>
      <c r="AI1631">
        <v>102.116647413211</v>
      </c>
      <c r="AJ1631">
        <v>58.772732971869303</v>
      </c>
      <c r="AK1631">
        <v>5.2768901293271302</v>
      </c>
      <c r="AL1631">
        <v>89.549217591570596</v>
      </c>
      <c r="AM1631">
        <v>78.890038886662097</v>
      </c>
      <c r="AN1631">
        <v>0.99999999110320603</v>
      </c>
    </row>
    <row r="1632" spans="1:40" x14ac:dyDescent="0.25">
      <c r="A1632" t="str">
        <f>"20190312154245579"</f>
        <v>20190312154245579</v>
      </c>
      <c r="B1632" t="str">
        <f>"1552376565569407"</f>
        <v>1552376565569407</v>
      </c>
      <c r="C1632" t="s">
        <v>40</v>
      </c>
      <c r="D1632">
        <v>5.383807</v>
      </c>
      <c r="E1632">
        <v>0.62571359999999998</v>
      </c>
      <c r="F1632" t="s">
        <v>49</v>
      </c>
      <c r="G1632">
        <v>-208.7021</v>
      </c>
      <c r="H1632" s="1">
        <v>5.93294499999999E-6</v>
      </c>
      <c r="I1632">
        <v>286.25259999999997</v>
      </c>
      <c r="J1632">
        <v>-203.09690000000001</v>
      </c>
      <c r="K1632">
        <v>1.1076269999999999</v>
      </c>
      <c r="L1632">
        <v>286.27910000000003</v>
      </c>
      <c r="M1632">
        <v>-0.86412</v>
      </c>
      <c r="N1632">
        <v>0</v>
      </c>
      <c r="O1632">
        <v>-0.5031909</v>
      </c>
      <c r="P1632">
        <v>-0.9447953</v>
      </c>
      <c r="Q1632">
        <v>-1.0993979999999999E-3</v>
      </c>
      <c r="R1632">
        <v>-0.3276598</v>
      </c>
      <c r="S1632">
        <v>-3.1673740000000001</v>
      </c>
      <c r="T1632">
        <v>-0.61401079999999997</v>
      </c>
      <c r="U1632">
        <v>-4.4433590000000002E-2</v>
      </c>
      <c r="V1632">
        <v>0.19233239999999999</v>
      </c>
      <c r="W1632">
        <v>7.323502E-3</v>
      </c>
      <c r="X1632">
        <v>0.98130249999999997</v>
      </c>
      <c r="Y1632">
        <v>0.47358309999999998</v>
      </c>
      <c r="Z1632">
        <v>0.1384891</v>
      </c>
      <c r="AA1632">
        <v>0.86979300000000004</v>
      </c>
      <c r="AB1632">
        <v>12</v>
      </c>
      <c r="AC1632">
        <v>-5.6051999999999902</v>
      </c>
      <c r="AD1632">
        <v>-1.107621067055</v>
      </c>
      <c r="AE1632">
        <v>-2.6500000000055399E-2</v>
      </c>
      <c r="AF1632">
        <v>2.6925821721758401</v>
      </c>
      <c r="AG1632">
        <v>-1.107621067055</v>
      </c>
      <c r="AH1632">
        <v>4.6746016707849902</v>
      </c>
      <c r="AI1632">
        <v>101.60270169984</v>
      </c>
      <c r="AJ1632">
        <v>60.057950620533603</v>
      </c>
      <c r="AK1632">
        <v>5.5071520736773802</v>
      </c>
      <c r="AL1632">
        <v>89.580390489501895</v>
      </c>
      <c r="AM1632">
        <v>78.910766961636796</v>
      </c>
      <c r="AN1632">
        <v>0.99999999113877602</v>
      </c>
    </row>
    <row r="1633" spans="1:40" x14ac:dyDescent="0.25">
      <c r="A1633" t="str">
        <f>"20190312154245601"</f>
        <v>20190312154245601</v>
      </c>
      <c r="B1633" t="str">
        <f>"1552376565598684"</f>
        <v>1552376565598684</v>
      </c>
      <c r="C1633" t="s">
        <v>40</v>
      </c>
      <c r="D1633">
        <v>5.3725630000000004</v>
      </c>
      <c r="E1633">
        <v>0.62423739999999905</v>
      </c>
      <c r="F1633" t="s">
        <v>49</v>
      </c>
      <c r="G1633">
        <v>-208.85579999999999</v>
      </c>
      <c r="H1633" s="1">
        <v>6.0033029999999996E-6</v>
      </c>
      <c r="I1633">
        <v>286.2278</v>
      </c>
      <c r="J1633">
        <v>-203.20570000000001</v>
      </c>
      <c r="K1633">
        <v>1.1076060000000001</v>
      </c>
      <c r="L1633">
        <v>286.22620000000001</v>
      </c>
      <c r="M1633">
        <v>-0.86797199999999997</v>
      </c>
      <c r="N1633">
        <v>0</v>
      </c>
      <c r="O1633">
        <v>-0.49651719999999999</v>
      </c>
      <c r="P1633">
        <v>-0.94719920000000002</v>
      </c>
      <c r="Q1633">
        <v>-1.7933809999999999E-3</v>
      </c>
      <c r="R1633">
        <v>-0.32064090000000001</v>
      </c>
      <c r="S1633">
        <v>-3.164825</v>
      </c>
      <c r="T1633">
        <v>-0.60869189999999995</v>
      </c>
      <c r="U1633">
        <v>-2.816772E-2</v>
      </c>
      <c r="V1633">
        <v>0.19204679999999999</v>
      </c>
      <c r="W1633">
        <v>6.6259070000000003E-3</v>
      </c>
      <c r="X1633">
        <v>0.9813634</v>
      </c>
      <c r="Y1633">
        <v>0.47171940000000001</v>
      </c>
      <c r="Z1633">
        <v>0.13615829999999901</v>
      </c>
      <c r="AA1633">
        <v>0.87117259999999996</v>
      </c>
      <c r="AB1633">
        <v>12</v>
      </c>
      <c r="AC1633">
        <v>-5.6500999999999797</v>
      </c>
      <c r="AD1633">
        <v>-1.1075999966969901</v>
      </c>
      <c r="AE1633">
        <v>1.59999999999627E-3</v>
      </c>
      <c r="AF1633">
        <v>2.7030212187582401</v>
      </c>
      <c r="AG1633">
        <v>-1.1075999966969901</v>
      </c>
      <c r="AH1633">
        <v>4.7221043237789901</v>
      </c>
      <c r="AI1633">
        <v>101.506207926513</v>
      </c>
      <c r="AJ1633">
        <v>60.212367449337698</v>
      </c>
      <c r="AK1633">
        <v>5.5526003553643903</v>
      </c>
      <c r="AL1633">
        <v>89.6203607153478</v>
      </c>
      <c r="AM1633">
        <v>78.9274966006668</v>
      </c>
      <c r="AN1633">
        <v>0.99999999944668605</v>
      </c>
    </row>
    <row r="1634" spans="1:40" x14ac:dyDescent="0.25">
      <c r="A1634" t="str">
        <f>"20190312154245623"</f>
        <v>20190312154245623</v>
      </c>
      <c r="B1634" t="str">
        <f>"1552376565609118"</f>
        <v>1552376565609118</v>
      </c>
      <c r="C1634" t="s">
        <v>40</v>
      </c>
      <c r="D1634">
        <v>5.4598890000000004</v>
      </c>
      <c r="E1634">
        <v>0.60863819999999902</v>
      </c>
      <c r="F1634" t="s">
        <v>49</v>
      </c>
      <c r="G1634">
        <v>-208.9872</v>
      </c>
      <c r="H1634" s="1">
        <v>6.0642969999999998E-6</v>
      </c>
      <c r="I1634">
        <v>286.19630000000001</v>
      </c>
      <c r="J1634">
        <v>-203.31530000000001</v>
      </c>
      <c r="K1634">
        <v>1.1075839999999999</v>
      </c>
      <c r="L1634">
        <v>286.17399999999998</v>
      </c>
      <c r="M1634">
        <v>-0.87178500000000003</v>
      </c>
      <c r="N1634">
        <v>0</v>
      </c>
      <c r="O1634">
        <v>-0.48979089999999997</v>
      </c>
      <c r="P1634">
        <v>-0.94977590000000001</v>
      </c>
      <c r="Q1634">
        <v>-2.4927560000000001E-3</v>
      </c>
      <c r="R1634">
        <v>-0.312921</v>
      </c>
      <c r="S1634">
        <v>-3.1605530000000002</v>
      </c>
      <c r="T1634">
        <v>-0.60549240000000004</v>
      </c>
      <c r="U1634">
        <v>-1.6357420000000001E-2</v>
      </c>
      <c r="V1634">
        <v>0.1924411</v>
      </c>
      <c r="W1634">
        <v>5.9173409999999996E-3</v>
      </c>
      <c r="X1634">
        <v>0.98129069999999996</v>
      </c>
      <c r="Y1634">
        <v>0.46849469999999999</v>
      </c>
      <c r="Z1634">
        <v>0.13422400000000001</v>
      </c>
      <c r="AA1634">
        <v>0.8732105</v>
      </c>
      <c r="AB1634">
        <v>12</v>
      </c>
      <c r="AC1634">
        <v>-5.6718999999999902</v>
      </c>
      <c r="AD1634">
        <v>-1.107577935703</v>
      </c>
      <c r="AE1634">
        <v>2.22999999999728E-2</v>
      </c>
      <c r="AF1634">
        <v>2.69486052664459</v>
      </c>
      <c r="AG1634">
        <v>-1.107577935703</v>
      </c>
      <c r="AH1634">
        <v>4.7527610529051998</v>
      </c>
      <c r="AI1634">
        <v>101.4596574485</v>
      </c>
      <c r="AJ1634">
        <v>60.446352746838997</v>
      </c>
      <c r="AK1634">
        <v>5.5747412287689002</v>
      </c>
      <c r="AL1634">
        <v>89.660959361211994</v>
      </c>
      <c r="AM1634">
        <v>78.904525048697806</v>
      </c>
      <c r="AN1634">
        <v>1.0000000149001</v>
      </c>
    </row>
    <row r="1635" spans="1:40" x14ac:dyDescent="0.25">
      <c r="A1635" t="str">
        <f>"20190312154245648"</f>
        <v>20190312154245648</v>
      </c>
      <c r="B1635" t="str">
        <f>"1552376565639373"</f>
        <v>1552376565639373</v>
      </c>
      <c r="C1635" t="s">
        <v>40</v>
      </c>
      <c r="D1635">
        <v>5.2549320000000002</v>
      </c>
      <c r="E1635">
        <v>0.60294910000000002</v>
      </c>
      <c r="F1635" t="s">
        <v>50</v>
      </c>
      <c r="G1635">
        <v>-210.10939999999999</v>
      </c>
      <c r="H1635" s="1">
        <v>-1.478588E-6</v>
      </c>
      <c r="I1635">
        <v>285.93349999999998</v>
      </c>
      <c r="J1635">
        <v>-203.4341</v>
      </c>
      <c r="K1635">
        <v>1.107569</v>
      </c>
      <c r="L1635">
        <v>286.11849999999998</v>
      </c>
      <c r="M1635">
        <v>-0.87584509999999904</v>
      </c>
      <c r="N1635">
        <v>0</v>
      </c>
      <c r="O1635">
        <v>-0.4824929</v>
      </c>
      <c r="P1635">
        <v>-0.95241580000000003</v>
      </c>
      <c r="Q1635">
        <v>-3.5314529999999999E-3</v>
      </c>
      <c r="R1635">
        <v>-0.30478159999999999</v>
      </c>
      <c r="S1635">
        <v>-3.1208800000000001</v>
      </c>
      <c r="T1635">
        <v>-0.50877139999999998</v>
      </c>
      <c r="U1635">
        <v>-0.11047360000000001</v>
      </c>
      <c r="V1635">
        <v>0.19263559999999999</v>
      </c>
      <c r="W1635">
        <v>4.8697439999999996E-3</v>
      </c>
      <c r="X1635">
        <v>0.98125830000000003</v>
      </c>
      <c r="Y1635">
        <v>0.43954660000000001</v>
      </c>
      <c r="Z1635">
        <v>0.1109387</v>
      </c>
      <c r="AA1635">
        <v>0.89134249999999904</v>
      </c>
      <c r="AB1635">
        <v>12</v>
      </c>
      <c r="AC1635">
        <v>-6.6752999999999902</v>
      </c>
      <c r="AD1635">
        <v>-1.1075704785879901</v>
      </c>
      <c r="AE1635">
        <v>-0.185000000000002</v>
      </c>
      <c r="AF1635">
        <v>2.97700713052929</v>
      </c>
      <c r="AG1635">
        <v>-1.1075704785879901</v>
      </c>
      <c r="AH1635">
        <v>5.7771536786934199</v>
      </c>
      <c r="AI1635">
        <v>99.671404608081602</v>
      </c>
      <c r="AJ1635">
        <v>62.737636503229503</v>
      </c>
      <c r="AK1635">
        <v>6.59278305782186</v>
      </c>
      <c r="AL1635">
        <v>89.7209831242929</v>
      </c>
      <c r="AM1635">
        <v>78.893231940833701</v>
      </c>
      <c r="AN1635">
        <v>1.0000000200564301</v>
      </c>
    </row>
    <row r="1636" spans="1:40" x14ac:dyDescent="0.25">
      <c r="A1636" t="str">
        <f>"20190312154245682"</f>
        <v>20190312154245682</v>
      </c>
      <c r="B1636" t="str">
        <f>"1552376565668654"</f>
        <v>1552376565668654</v>
      </c>
      <c r="C1636" t="s">
        <v>40</v>
      </c>
      <c r="D1636">
        <v>5.2857810000000001</v>
      </c>
      <c r="E1636">
        <v>0.60163180000000005</v>
      </c>
      <c r="F1636" t="s">
        <v>50</v>
      </c>
      <c r="G1636">
        <v>-211.07470000000001</v>
      </c>
      <c r="H1636" s="1">
        <v>-9.6489459999999996E-7</v>
      </c>
      <c r="I1636">
        <v>285.80489999999998</v>
      </c>
      <c r="J1636">
        <v>-203.60419999999999</v>
      </c>
      <c r="K1636">
        <v>1.1075390000000001</v>
      </c>
      <c r="L1636">
        <v>286.04140000000001</v>
      </c>
      <c r="M1636">
        <v>-0.88152399999999997</v>
      </c>
      <c r="N1636">
        <v>0</v>
      </c>
      <c r="O1636">
        <v>-0.47203800000000001</v>
      </c>
      <c r="P1636">
        <v>-0.95587679999999997</v>
      </c>
      <c r="Q1636">
        <v>-3.8717410000000002E-3</v>
      </c>
      <c r="R1636">
        <v>-0.29374270000000002</v>
      </c>
      <c r="S1636">
        <v>-3.1073909999999998</v>
      </c>
      <c r="T1636">
        <v>-0.45044329999999999</v>
      </c>
      <c r="U1636">
        <v>-0.1275635</v>
      </c>
      <c r="V1636">
        <v>0.19231029999999999</v>
      </c>
      <c r="W1636">
        <v>4.5221330000000002E-3</v>
      </c>
      <c r="X1636">
        <v>0.98132370000000002</v>
      </c>
      <c r="Y1636">
        <v>0.42648469999999999</v>
      </c>
      <c r="Z1636">
        <v>9.6468960000000006E-2</v>
      </c>
      <c r="AA1636">
        <v>0.89933560000000001</v>
      </c>
      <c r="AB1636">
        <v>12</v>
      </c>
      <c r="AC1636">
        <v>-7.4705000000000101</v>
      </c>
      <c r="AD1636">
        <v>-1.1075399648946</v>
      </c>
      <c r="AE1636">
        <v>-0.23650000000003499</v>
      </c>
      <c r="AF1636">
        <v>3.2467472926541201</v>
      </c>
      <c r="AG1636">
        <v>-1.1075399648946</v>
      </c>
      <c r="AH1636">
        <v>6.5534834280167402</v>
      </c>
      <c r="AI1636">
        <v>98.611135850151101</v>
      </c>
      <c r="AJ1636">
        <v>63.645120778824399</v>
      </c>
      <c r="AK1636">
        <v>7.3970370958570699</v>
      </c>
      <c r="AL1636">
        <v>89.740899969350906</v>
      </c>
      <c r="AM1636">
        <v>78.912243198165797</v>
      </c>
      <c r="AN1636">
        <v>0.999999952677323</v>
      </c>
    </row>
    <row r="1637" spans="1:40" x14ac:dyDescent="0.25">
      <c r="A1637" t="str">
        <f>"20190312154245703"</f>
        <v>20190312154245703</v>
      </c>
      <c r="B1637" t="str">
        <f>"1552376565698911"</f>
        <v>1552376565698911</v>
      </c>
      <c r="C1637" t="s">
        <v>40</v>
      </c>
      <c r="D1637">
        <v>5.2786949999999999</v>
      </c>
      <c r="E1637">
        <v>0.59980049999999996</v>
      </c>
      <c r="F1637" t="s">
        <v>50</v>
      </c>
      <c r="G1637">
        <v>-212.0761</v>
      </c>
      <c r="H1637" s="1">
        <v>-4.3198049999999999E-7</v>
      </c>
      <c r="I1637">
        <v>285.76260000000002</v>
      </c>
      <c r="J1637">
        <v>-203.71039999999999</v>
      </c>
      <c r="K1637">
        <v>1.1075219999999999</v>
      </c>
      <c r="L1637">
        <v>285.99439999999998</v>
      </c>
      <c r="M1637">
        <v>-0.88498719999999997</v>
      </c>
      <c r="N1637">
        <v>0</v>
      </c>
      <c r="O1637">
        <v>-0.46551290000000001</v>
      </c>
      <c r="P1637">
        <v>-0.95806290000000005</v>
      </c>
      <c r="Q1637">
        <v>-3.3007560000000002E-3</v>
      </c>
      <c r="R1637">
        <v>-0.2865395</v>
      </c>
      <c r="S1637">
        <v>-3.105423</v>
      </c>
      <c r="T1637">
        <v>-0.40597620000000001</v>
      </c>
      <c r="U1637">
        <v>-0.1022034</v>
      </c>
      <c r="V1637">
        <v>0.19245209999999999</v>
      </c>
      <c r="W1637">
        <v>5.0857489999999997E-3</v>
      </c>
      <c r="X1637">
        <v>0.98129319999999998</v>
      </c>
      <c r="Y1637">
        <v>0.42884060000000002</v>
      </c>
      <c r="Z1637">
        <v>8.6521760000000003E-2</v>
      </c>
      <c r="AA1637">
        <v>0.89922729999999995</v>
      </c>
      <c r="AB1637">
        <v>12</v>
      </c>
      <c r="AC1637">
        <v>-8.3657000000000004</v>
      </c>
      <c r="AD1637">
        <v>-1.1075224319804999</v>
      </c>
      <c r="AE1637">
        <v>-0.23179999999996401</v>
      </c>
      <c r="AF1637">
        <v>3.6258762724485001</v>
      </c>
      <c r="AG1637">
        <v>-1.1075224319804999</v>
      </c>
      <c r="AH1637">
        <v>7.3825097453817996</v>
      </c>
      <c r="AI1637">
        <v>97.669054403245795</v>
      </c>
      <c r="AJ1637">
        <v>63.842308507318499</v>
      </c>
      <c r="AK1637">
        <v>8.2990984342338194</v>
      </c>
      <c r="AL1637">
        <v>89.708606793402396</v>
      </c>
      <c r="AM1637">
        <v>78.903934133910795</v>
      </c>
      <c r="AN1637">
        <v>1.0000000100017701</v>
      </c>
    </row>
    <row r="1638" spans="1:40" x14ac:dyDescent="0.25">
      <c r="A1638" t="str">
        <f>"20190312154245723"</f>
        <v>20190312154245723</v>
      </c>
      <c r="B1638" t="str">
        <f>"1552376565719054"</f>
        <v>1552376565719054</v>
      </c>
      <c r="C1638" t="s">
        <v>40</v>
      </c>
      <c r="D1638">
        <v>5.2937289999999999</v>
      </c>
      <c r="E1638">
        <v>0.59854499999999999</v>
      </c>
      <c r="F1638" t="s">
        <v>50</v>
      </c>
      <c r="G1638">
        <v>-212.58430000000001</v>
      </c>
      <c r="H1638" s="1">
        <v>-1.6156919999999999E-7</v>
      </c>
      <c r="I1638">
        <v>285.72789999999998</v>
      </c>
      <c r="J1638">
        <v>-203.81819999999999</v>
      </c>
      <c r="K1638">
        <v>1.107507</v>
      </c>
      <c r="L1638">
        <v>285.94760000000002</v>
      </c>
      <c r="M1638">
        <v>-0.88844480000000003</v>
      </c>
      <c r="N1638">
        <v>0</v>
      </c>
      <c r="O1638">
        <v>-0.45887919999999999</v>
      </c>
      <c r="P1638">
        <v>-0.96021690000000004</v>
      </c>
      <c r="Q1638">
        <v>-2.7983079999999998E-3</v>
      </c>
      <c r="R1638">
        <v>-0.2792422</v>
      </c>
      <c r="S1638">
        <v>-3.102112</v>
      </c>
      <c r="T1638">
        <v>-0.3871636</v>
      </c>
      <c r="U1638">
        <v>-9.3170169999999997E-2</v>
      </c>
      <c r="V1638">
        <v>0.192581</v>
      </c>
      <c r="W1638">
        <v>5.5802209999999998E-3</v>
      </c>
      <c r="X1638">
        <v>0.98126519999999995</v>
      </c>
      <c r="Y1638">
        <v>0.42540090000000003</v>
      </c>
      <c r="Z1638">
        <v>8.1690449999999998E-2</v>
      </c>
      <c r="AA1638">
        <v>0.90131059999999996</v>
      </c>
      <c r="AB1638">
        <v>12</v>
      </c>
      <c r="AC1638">
        <v>-8.7661000000000193</v>
      </c>
      <c r="AD1638">
        <v>-1.1075071615692</v>
      </c>
      <c r="AE1638">
        <v>-0.219700000000045</v>
      </c>
      <c r="AF1638">
        <v>3.7674751082000699</v>
      </c>
      <c r="AG1638">
        <v>-1.1075071615692</v>
      </c>
      <c r="AH1638">
        <v>7.7655159632247504</v>
      </c>
      <c r="AI1638">
        <v>97.311943037256398</v>
      </c>
      <c r="AJ1638">
        <v>64.119448182153704</v>
      </c>
      <c r="AK1638">
        <v>8.7019353582368399</v>
      </c>
      <c r="AL1638">
        <v>89.680275224332902</v>
      </c>
      <c r="AM1638">
        <v>78.896377902797397</v>
      </c>
      <c r="AN1638">
        <v>0.99999998657922395</v>
      </c>
    </row>
    <row r="1639" spans="1:40" x14ac:dyDescent="0.25">
      <c r="A1639" t="str">
        <f>"20190312154245747"</f>
        <v>20190312154245747</v>
      </c>
      <c r="B1639" t="str">
        <f>"1552376565739550"</f>
        <v>1552376565739550</v>
      </c>
      <c r="C1639" t="s">
        <v>40</v>
      </c>
      <c r="D1639">
        <v>5.2875079999999999</v>
      </c>
      <c r="E1639">
        <v>0.59745309999999996</v>
      </c>
      <c r="F1639" t="s">
        <v>50</v>
      </c>
      <c r="G1639">
        <v>-212.8887</v>
      </c>
      <c r="H1639" s="1">
        <v>4.1538329999999998E-10</v>
      </c>
      <c r="I1639">
        <v>285.71589999999998</v>
      </c>
      <c r="J1639">
        <v>-203.9366</v>
      </c>
      <c r="K1639">
        <v>1.107483</v>
      </c>
      <c r="L1639">
        <v>285.89729999999997</v>
      </c>
      <c r="M1639">
        <v>-0.89217389999999996</v>
      </c>
      <c r="N1639">
        <v>0</v>
      </c>
      <c r="O1639">
        <v>-0.45158619999999999</v>
      </c>
      <c r="P1639">
        <v>-0.96234589999999998</v>
      </c>
      <c r="Q1639">
        <v>-2.4701520000000002E-3</v>
      </c>
      <c r="R1639">
        <v>-0.27181749999999999</v>
      </c>
      <c r="S1639">
        <v>-3.100174</v>
      </c>
      <c r="T1639">
        <v>-0.37853049999999999</v>
      </c>
      <c r="U1639">
        <v>-7.9223630000000003E-2</v>
      </c>
      <c r="V1639">
        <v>0.19212470000000001</v>
      </c>
      <c r="W1639">
        <v>5.9049430000000002E-3</v>
      </c>
      <c r="X1639">
        <v>0.98135269999999997</v>
      </c>
      <c r="Y1639">
        <v>0.42239120000000002</v>
      </c>
      <c r="Z1639">
        <v>7.8967469999999998E-2</v>
      </c>
      <c r="AA1639">
        <v>0.90296730000000003</v>
      </c>
      <c r="AB1639">
        <v>12</v>
      </c>
      <c r="AC1639">
        <v>-8.9520999999999997</v>
      </c>
      <c r="AD1639">
        <v>-1.1074829995846101</v>
      </c>
      <c r="AE1639">
        <v>-0.18139999999999601</v>
      </c>
      <c r="AF1639">
        <v>3.8225117493276799</v>
      </c>
      <c r="AG1639">
        <v>-1.1074829995846101</v>
      </c>
      <c r="AH1639">
        <v>7.9475487894609103</v>
      </c>
      <c r="AI1639">
        <v>97.157672699802404</v>
      </c>
      <c r="AJ1639">
        <v>64.313963217643007</v>
      </c>
      <c r="AK1639">
        <v>8.8882870356992196</v>
      </c>
      <c r="AL1639">
        <v>89.661669703121404</v>
      </c>
      <c r="AM1639">
        <v>78.922998526394593</v>
      </c>
      <c r="AN1639">
        <v>0.999999945249605</v>
      </c>
    </row>
    <row r="1640" spans="1:40" x14ac:dyDescent="0.25">
      <c r="A1640" t="str">
        <f>"20190312154245769"</f>
        <v>20190312154245769</v>
      </c>
      <c r="B1640" t="str">
        <f>"1552376565759070"</f>
        <v>1552376565759070</v>
      </c>
      <c r="C1640" t="s">
        <v>40</v>
      </c>
      <c r="D1640">
        <v>5.3052390000000003</v>
      </c>
      <c r="E1640">
        <v>0.59601700000000002</v>
      </c>
      <c r="F1640" t="s">
        <v>50</v>
      </c>
      <c r="G1640">
        <v>-213.20740000000001</v>
      </c>
      <c r="H1640" s="1">
        <v>1.700506E-7</v>
      </c>
      <c r="I1640">
        <v>285.7063</v>
      </c>
      <c r="J1640">
        <v>-204.05289999999999</v>
      </c>
      <c r="K1640">
        <v>1.1074619999999999</v>
      </c>
      <c r="L1640">
        <v>285.84910000000002</v>
      </c>
      <c r="M1640">
        <v>-0.89576180000000005</v>
      </c>
      <c r="N1640">
        <v>0</v>
      </c>
      <c r="O1640">
        <v>-0.44442670000000001</v>
      </c>
      <c r="P1640">
        <v>-0.96429869999999995</v>
      </c>
      <c r="Q1640">
        <v>-2.2567490000000002E-3</v>
      </c>
      <c r="R1640">
        <v>-0.2648084</v>
      </c>
      <c r="S1640">
        <v>-3.0983890000000001</v>
      </c>
      <c r="T1640">
        <v>-0.3701295</v>
      </c>
      <c r="U1640">
        <v>-6.3812259999999996E-2</v>
      </c>
      <c r="V1640">
        <v>0.19140750000000001</v>
      </c>
      <c r="W1640">
        <v>6.1171309999999996E-3</v>
      </c>
      <c r="X1640">
        <v>0.98149160000000002</v>
      </c>
      <c r="Y1640">
        <v>0.41995320000000003</v>
      </c>
      <c r="Z1640">
        <v>7.6373090000000005E-2</v>
      </c>
      <c r="AA1640">
        <v>0.90432650000000003</v>
      </c>
      <c r="AB1640">
        <v>12</v>
      </c>
      <c r="AC1640">
        <v>-9.1545000000000094</v>
      </c>
      <c r="AD1640">
        <v>-1.1074618299493999</v>
      </c>
      <c r="AE1640">
        <v>-0.14280000000002199</v>
      </c>
      <c r="AF1640">
        <v>3.8839508126203901</v>
      </c>
      <c r="AG1640">
        <v>-1.1074618299493999</v>
      </c>
      <c r="AH1640">
        <v>8.1449400246201993</v>
      </c>
      <c r="AI1640">
        <v>96.996901535763897</v>
      </c>
      <c r="AJ1640">
        <v>64.505652469763206</v>
      </c>
      <c r="AK1640">
        <v>9.0912921867196399</v>
      </c>
      <c r="AL1640">
        <v>89.649512027078799</v>
      </c>
      <c r="AM1640">
        <v>78.964855315408897</v>
      </c>
      <c r="AN1640">
        <v>1.00000000560924</v>
      </c>
    </row>
    <row r="1641" spans="1:40" x14ac:dyDescent="0.25">
      <c r="A1641" t="str">
        <f>"20190312154245802"</f>
        <v>20190312154245802</v>
      </c>
      <c r="B1641" t="str">
        <f>"1552376565789330"</f>
        <v>1552376565789330</v>
      </c>
      <c r="C1641" t="s">
        <v>40</v>
      </c>
      <c r="D1641">
        <v>5.260173</v>
      </c>
      <c r="E1641">
        <v>0.59398079999999998</v>
      </c>
      <c r="F1641" t="s">
        <v>50</v>
      </c>
      <c r="G1641">
        <v>-213.4111</v>
      </c>
      <c r="H1641" s="1">
        <v>2.7844759999999998E-7</v>
      </c>
      <c r="I1641">
        <v>285.69049999999999</v>
      </c>
      <c r="J1641">
        <v>-204.22040000000001</v>
      </c>
      <c r="K1641">
        <v>1.1074360000000001</v>
      </c>
      <c r="L1641">
        <v>285.78149999999999</v>
      </c>
      <c r="M1641">
        <v>-0.90081180000000005</v>
      </c>
      <c r="N1641">
        <v>0</v>
      </c>
      <c r="O1641">
        <v>-0.43409959999999997</v>
      </c>
      <c r="P1641">
        <v>-0.96714650000000002</v>
      </c>
      <c r="Q1641">
        <v>-2.1417229999999999E-3</v>
      </c>
      <c r="R1641">
        <v>-0.25421139999999998</v>
      </c>
      <c r="S1641">
        <v>-3.0958100000000002</v>
      </c>
      <c r="T1641">
        <v>-0.36635909999999999</v>
      </c>
      <c r="U1641">
        <v>-5.2459720000000001E-2</v>
      </c>
      <c r="V1641">
        <v>0.19089510000000001</v>
      </c>
      <c r="W1641">
        <v>6.2263249999999996E-3</v>
      </c>
      <c r="X1641">
        <v>0.98159070000000004</v>
      </c>
      <c r="Y1641">
        <v>0.41305449999999999</v>
      </c>
      <c r="Z1641">
        <v>7.4159390000000006E-2</v>
      </c>
      <c r="AA1641">
        <v>0.90768190000000004</v>
      </c>
      <c r="AB1641">
        <v>12</v>
      </c>
      <c r="AC1641">
        <v>-9.1906999999999908</v>
      </c>
      <c r="AD1641">
        <v>-1.10743572155239</v>
      </c>
      <c r="AE1641">
        <v>-9.1000000000008199E-2</v>
      </c>
      <c r="AF1641">
        <v>3.8519705106173601</v>
      </c>
      <c r="AG1641">
        <v>-1.10743572155239</v>
      </c>
      <c r="AH1641">
        <v>8.1999476518769594</v>
      </c>
      <c r="AI1641">
        <v>96.969179786481405</v>
      </c>
      <c r="AJ1641">
        <v>64.837950720408898</v>
      </c>
      <c r="AK1641">
        <v>9.1270604350775795</v>
      </c>
      <c r="AL1641">
        <v>89.643255552148801</v>
      </c>
      <c r="AM1641">
        <v>78.994758250801894</v>
      </c>
      <c r="AN1641">
        <v>1.0000000043267501</v>
      </c>
    </row>
    <row r="1642" spans="1:40" x14ac:dyDescent="0.25">
      <c r="A1642" t="str">
        <f>"20190312154245823"</f>
        <v>20190312154245823</v>
      </c>
      <c r="B1642" t="str">
        <f>"1552376565808847"</f>
        <v>1552376565808847</v>
      </c>
      <c r="C1642" t="s">
        <v>40</v>
      </c>
      <c r="D1642">
        <v>5.1849939999999997</v>
      </c>
      <c r="E1642">
        <v>0.59342280000000003</v>
      </c>
      <c r="F1642" t="s">
        <v>50</v>
      </c>
      <c r="G1642">
        <v>-213.68199999999999</v>
      </c>
      <c r="H1642" s="1">
        <v>4.2259020000000001E-7</v>
      </c>
      <c r="I1642">
        <v>285.67579999999998</v>
      </c>
      <c r="J1642">
        <v>-204.33330000000001</v>
      </c>
      <c r="K1642">
        <v>1.107429</v>
      </c>
      <c r="L1642">
        <v>285.73719999999997</v>
      </c>
      <c r="M1642">
        <v>-0.90413679999999996</v>
      </c>
      <c r="N1642">
        <v>0</v>
      </c>
      <c r="O1642">
        <v>-0.42713060000000003</v>
      </c>
      <c r="P1642">
        <v>-0.96881249999999997</v>
      </c>
      <c r="Q1642">
        <v>-1.5996490000000001E-3</v>
      </c>
      <c r="R1642">
        <v>-0.24779000000000001</v>
      </c>
      <c r="S1642">
        <v>-3.0920100000000001</v>
      </c>
      <c r="T1642">
        <v>-0.3619038</v>
      </c>
      <c r="U1642">
        <v>-3.4545899999999997E-2</v>
      </c>
      <c r="V1642">
        <v>0.1898311</v>
      </c>
      <c r="W1642">
        <v>6.770384E-3</v>
      </c>
      <c r="X1642">
        <v>0.98179340000000004</v>
      </c>
      <c r="Y1642">
        <v>0.41145320000000002</v>
      </c>
      <c r="Z1642">
        <v>7.253366E-2</v>
      </c>
      <c r="AA1642">
        <v>0.90854009999999996</v>
      </c>
      <c r="AB1642">
        <v>12</v>
      </c>
      <c r="AC1642">
        <v>-9.3486999999999991</v>
      </c>
      <c r="AD1642">
        <v>-1.1074285774098001</v>
      </c>
      <c r="AE1642">
        <v>-6.1399999999991899E-2</v>
      </c>
      <c r="AF1642">
        <v>3.8833017284570799</v>
      </c>
      <c r="AG1642">
        <v>-1.1074285774098001</v>
      </c>
      <c r="AH1642">
        <v>8.3618065858497506</v>
      </c>
      <c r="AI1642">
        <v>96.849415993418106</v>
      </c>
      <c r="AJ1642">
        <v>65.089400670674294</v>
      </c>
      <c r="AK1642">
        <v>9.2858085133962298</v>
      </c>
      <c r="AL1642">
        <v>89.612082600706501</v>
      </c>
      <c r="AM1642">
        <v>79.056818345574499</v>
      </c>
      <c r="AN1642">
        <v>0.99999998245513799</v>
      </c>
    </row>
    <row r="1643" spans="1:40" x14ac:dyDescent="0.25">
      <c r="A1643" t="str">
        <f>"20190312154245849"</f>
        <v>20190312154245849</v>
      </c>
      <c r="B1643" t="str">
        <f>"1552376565839104"</f>
        <v>1552376565839104</v>
      </c>
      <c r="C1643" t="s">
        <v>40</v>
      </c>
      <c r="D1643">
        <v>5.2627490000000003</v>
      </c>
      <c r="E1643">
        <v>0.57746399999999998</v>
      </c>
      <c r="F1643" t="s">
        <v>50</v>
      </c>
      <c r="G1643">
        <v>-213.8895</v>
      </c>
      <c r="H1643" s="1">
        <v>5.3302890000000004E-7</v>
      </c>
      <c r="I1643">
        <v>285.68009999999998</v>
      </c>
      <c r="J1643">
        <v>-204.4666</v>
      </c>
      <c r="K1643">
        <v>1.107416</v>
      </c>
      <c r="L1643">
        <v>285.68610000000001</v>
      </c>
      <c r="M1643">
        <v>-0.90797729999999999</v>
      </c>
      <c r="N1643">
        <v>0</v>
      </c>
      <c r="O1643">
        <v>-0.41890500000000003</v>
      </c>
      <c r="P1643">
        <v>-0.9707692</v>
      </c>
      <c r="Q1643">
        <v>-1.2122999999999999E-3</v>
      </c>
      <c r="R1643">
        <v>-0.2400118</v>
      </c>
      <c r="S1643">
        <v>-3.0912630000000001</v>
      </c>
      <c r="T1643">
        <v>-0.35823329999999998</v>
      </c>
      <c r="U1643">
        <v>-1.8463130000000001E-2</v>
      </c>
      <c r="V1643">
        <v>0.1887954</v>
      </c>
      <c r="W1643">
        <v>7.1589969999999899E-3</v>
      </c>
      <c r="X1643">
        <v>0.98199029999999998</v>
      </c>
      <c r="Y1643">
        <v>0.40809889999999999</v>
      </c>
      <c r="Z1643">
        <v>7.0767510000000006E-2</v>
      </c>
      <c r="AA1643">
        <v>0.91019079999999997</v>
      </c>
      <c r="AB1643">
        <v>12</v>
      </c>
      <c r="AC1643">
        <v>-9.4228999999999896</v>
      </c>
      <c r="AD1643">
        <v>-1.1074154669711</v>
      </c>
      <c r="AE1643">
        <v>-6.0000000000286404E-3</v>
      </c>
      <c r="AF1643">
        <v>3.8883358273768001</v>
      </c>
      <c r="AG1643">
        <v>-1.1074154669711</v>
      </c>
      <c r="AH1643">
        <v>8.44210176624164</v>
      </c>
      <c r="AI1643">
        <v>96.794591616244702</v>
      </c>
      <c r="AJ1643">
        <v>65.269741514987402</v>
      </c>
      <c r="AK1643">
        <v>9.3602674510149093</v>
      </c>
      <c r="AL1643">
        <v>89.589816162791607</v>
      </c>
      <c r="AM1643">
        <v>79.117223716692493</v>
      </c>
      <c r="AN1643">
        <v>0.99999995179664602</v>
      </c>
    </row>
    <row r="1644" spans="1:40" x14ac:dyDescent="0.25">
      <c r="A1644" t="str">
        <f>"20190312154245871"</f>
        <v>20190312154245871</v>
      </c>
      <c r="B1644" t="str">
        <f>"1552376565858622"</f>
        <v>1552376565858622</v>
      </c>
      <c r="C1644" t="s">
        <v>40</v>
      </c>
      <c r="D1644">
        <v>5.1644730000000001</v>
      </c>
      <c r="E1644">
        <v>0.57630289999999995</v>
      </c>
      <c r="F1644" t="s">
        <v>50</v>
      </c>
      <c r="G1644">
        <v>-214.32089999999999</v>
      </c>
      <c r="H1644" s="1">
        <v>7.625711E-7</v>
      </c>
      <c r="I1644">
        <v>285.3082</v>
      </c>
      <c r="J1644">
        <v>-204.584</v>
      </c>
      <c r="K1644">
        <v>1.107402</v>
      </c>
      <c r="L1644">
        <v>285.64229999999998</v>
      </c>
      <c r="M1644">
        <v>-0.91128869999999895</v>
      </c>
      <c r="N1644">
        <v>0</v>
      </c>
      <c r="O1644">
        <v>-0.41165180000000001</v>
      </c>
      <c r="P1644">
        <v>-0.97242329999999999</v>
      </c>
      <c r="Q1644">
        <v>-6.0674359999999996E-4</v>
      </c>
      <c r="R1644">
        <v>-0.2332234</v>
      </c>
      <c r="S1644">
        <v>-3.060883</v>
      </c>
      <c r="T1644">
        <v>-0.34397800000000001</v>
      </c>
      <c r="U1644">
        <v>-0.11740109999999999</v>
      </c>
      <c r="V1644">
        <v>0.187831</v>
      </c>
      <c r="W1644">
        <v>7.7664709999999996E-3</v>
      </c>
      <c r="X1644">
        <v>0.9821706</v>
      </c>
      <c r="Y1644">
        <v>0.37165629999999999</v>
      </c>
      <c r="Z1644">
        <v>6.5748600000000004E-2</v>
      </c>
      <c r="AA1644">
        <v>0.92603930000000001</v>
      </c>
      <c r="AB1644">
        <v>12</v>
      </c>
      <c r="AC1644">
        <v>-9.7368999999999897</v>
      </c>
      <c r="AD1644">
        <v>-1.1074012374289</v>
      </c>
      <c r="AE1644">
        <v>-0.33409999999997803</v>
      </c>
      <c r="AF1644">
        <v>3.6566842727995499</v>
      </c>
      <c r="AG1644">
        <v>-1.1074012374289</v>
      </c>
      <c r="AH1644">
        <v>8.8961540036008007</v>
      </c>
      <c r="AI1644">
        <v>96.5677778051692</v>
      </c>
      <c r="AJ1644">
        <v>67.655326736580406</v>
      </c>
      <c r="AK1644">
        <v>9.6819023661355494</v>
      </c>
      <c r="AL1644">
        <v>89.555009491973607</v>
      </c>
      <c r="AM1644">
        <v>79.173438109776399</v>
      </c>
      <c r="AN1644">
        <v>0.99999994506857504</v>
      </c>
    </row>
    <row r="1645" spans="1:40" x14ac:dyDescent="0.25">
      <c r="A1645" t="str">
        <f>"20190312154245893"</f>
        <v>20190312154245893</v>
      </c>
      <c r="B1645" t="str">
        <f>"1552376565879118"</f>
        <v>1552376565879118</v>
      </c>
      <c r="C1645" t="s">
        <v>40</v>
      </c>
      <c r="D1645">
        <v>5.2584540000000004</v>
      </c>
      <c r="E1645">
        <v>0.57535800000000004</v>
      </c>
      <c r="F1645" t="s">
        <v>50</v>
      </c>
      <c r="G1645">
        <v>-214.33150000000001</v>
      </c>
      <c r="H1645" s="1">
        <v>7.6822419999999896E-7</v>
      </c>
      <c r="I1645">
        <v>285.30630000000002</v>
      </c>
      <c r="J1645">
        <v>-204.7055</v>
      </c>
      <c r="K1645">
        <v>1.1073850000000001</v>
      </c>
      <c r="L1645">
        <v>285.59820000000002</v>
      </c>
      <c r="M1645">
        <v>-0.91464129999999999</v>
      </c>
      <c r="N1645">
        <v>0</v>
      </c>
      <c r="O1645">
        <v>-0.4041478</v>
      </c>
      <c r="P1645">
        <v>-0.9742094</v>
      </c>
      <c r="Q1645">
        <v>-1.4120530000000001E-4</v>
      </c>
      <c r="R1645">
        <v>-0.2256466</v>
      </c>
      <c r="S1645">
        <v>-3.059555</v>
      </c>
      <c r="T1645">
        <v>-0.34759250000000003</v>
      </c>
      <c r="U1645">
        <v>-0.1054688</v>
      </c>
      <c r="V1645">
        <v>0.1874074</v>
      </c>
      <c r="W1645">
        <v>8.2285109999999904E-3</v>
      </c>
      <c r="X1645">
        <v>0.9822478</v>
      </c>
      <c r="Y1645">
        <v>0.36758960000000002</v>
      </c>
      <c r="Z1645">
        <v>6.5462480000000003E-2</v>
      </c>
      <c r="AA1645">
        <v>0.92768130000000004</v>
      </c>
      <c r="AB1645">
        <v>12</v>
      </c>
      <c r="AC1645">
        <v>-9.6259999999999994</v>
      </c>
      <c r="AD1645">
        <v>-1.1073842317758</v>
      </c>
      <c r="AE1645">
        <v>-0.29189999999999799</v>
      </c>
      <c r="AF1645">
        <v>3.57623072283012</v>
      </c>
      <c r="AG1645">
        <v>-1.1073842317758</v>
      </c>
      <c r="AH1645">
        <v>8.8062963562642995</v>
      </c>
      <c r="AI1645">
        <v>96.645484354168801</v>
      </c>
      <c r="AJ1645">
        <v>67.897963714921403</v>
      </c>
      <c r="AK1645">
        <v>9.5690428745018004</v>
      </c>
      <c r="AL1645">
        <v>89.5285357234646</v>
      </c>
      <c r="AM1645">
        <v>79.198108275713096</v>
      </c>
      <c r="AN1645">
        <v>0.99999999128643802</v>
      </c>
    </row>
    <row r="1646" spans="1:40" x14ac:dyDescent="0.25">
      <c r="A1646" t="str">
        <f>"20190312154245915"</f>
        <v>20190312154245915</v>
      </c>
      <c r="B1646" t="str">
        <f>"1552376565909374"</f>
        <v>1552376565909374</v>
      </c>
      <c r="C1646" t="s">
        <v>40</v>
      </c>
      <c r="D1646">
        <v>5.2502089999999999</v>
      </c>
      <c r="E1646">
        <v>0.57398939999999998</v>
      </c>
      <c r="F1646" t="s">
        <v>50</v>
      </c>
      <c r="G1646">
        <v>-214.57480000000001</v>
      </c>
      <c r="H1646" s="1">
        <v>8.9767619999999996E-7</v>
      </c>
      <c r="I1646">
        <v>285.31130000000002</v>
      </c>
      <c r="J1646">
        <v>-204.81960000000001</v>
      </c>
      <c r="K1646">
        <v>1.107364</v>
      </c>
      <c r="L1646">
        <v>285.55770000000001</v>
      </c>
      <c r="M1646">
        <v>-0.91772790000000004</v>
      </c>
      <c r="N1646">
        <v>0</v>
      </c>
      <c r="O1646">
        <v>-0.39708900000000003</v>
      </c>
      <c r="P1646">
        <v>-0.97557799999999995</v>
      </c>
      <c r="Q1646">
        <v>-2.8529230000000003E-4</v>
      </c>
      <c r="R1646">
        <v>-0.2196545</v>
      </c>
      <c r="S1646">
        <v>-3.0587770000000001</v>
      </c>
      <c r="T1646">
        <v>-0.3432095</v>
      </c>
      <c r="U1646">
        <v>-8.8897710000000005E-2</v>
      </c>
      <c r="V1646">
        <v>0.18587619999999999</v>
      </c>
      <c r="W1646">
        <v>8.0911860000000002E-3</v>
      </c>
      <c r="X1646">
        <v>0.98253990000000002</v>
      </c>
      <c r="Y1646">
        <v>0.36561690000000002</v>
      </c>
      <c r="Z1646">
        <v>6.3833909999999994E-2</v>
      </c>
      <c r="AA1646">
        <v>0.92857389999999995</v>
      </c>
      <c r="AB1646">
        <v>12</v>
      </c>
      <c r="AC1646">
        <v>-9.7552000000000003</v>
      </c>
      <c r="AD1646">
        <v>-1.1073631023238</v>
      </c>
      <c r="AE1646">
        <v>-0.24639999999999401</v>
      </c>
      <c r="AF1646">
        <v>3.60135290258552</v>
      </c>
      <c r="AG1646">
        <v>-1.1073631023238</v>
      </c>
      <c r="AH1646">
        <v>8.9358247421296593</v>
      </c>
      <c r="AI1646">
        <v>96.556819960154399</v>
      </c>
      <c r="AJ1646">
        <v>68.049376357901593</v>
      </c>
      <c r="AK1646">
        <v>9.6976780515444005</v>
      </c>
      <c r="AL1646">
        <v>89.536404151953306</v>
      </c>
      <c r="AM1646">
        <v>79.287424598798907</v>
      </c>
      <c r="AN1646">
        <v>1.00000004205466</v>
      </c>
    </row>
    <row r="1647" spans="1:40" x14ac:dyDescent="0.25">
      <c r="A1647" t="str">
        <f>"20190312154245936"</f>
        <v>20190312154245936</v>
      </c>
      <c r="B1647" t="str">
        <f>"1552376565928896"</f>
        <v>1552376565928896</v>
      </c>
      <c r="C1647" t="s">
        <v>40</v>
      </c>
      <c r="D1647">
        <v>5.0491419999999998</v>
      </c>
      <c r="E1647">
        <v>0.57354150000000004</v>
      </c>
      <c r="F1647" t="s">
        <v>50</v>
      </c>
      <c r="G1647">
        <v>-214.7552</v>
      </c>
      <c r="H1647" s="1">
        <v>9.936739000000001E-7</v>
      </c>
      <c r="I1647">
        <v>285.29500000000002</v>
      </c>
      <c r="J1647">
        <v>-204.9376</v>
      </c>
      <c r="K1647">
        <v>1.10734</v>
      </c>
      <c r="L1647">
        <v>285.51679999999999</v>
      </c>
      <c r="M1647">
        <v>-0.92085450000000002</v>
      </c>
      <c r="N1647">
        <v>0</v>
      </c>
      <c r="O1647">
        <v>-0.3897833</v>
      </c>
      <c r="P1647">
        <v>-0.97698700000000005</v>
      </c>
      <c r="Q1647">
        <v>-6.6850169999999997E-4</v>
      </c>
      <c r="R1647">
        <v>-0.2132984</v>
      </c>
      <c r="S1647">
        <v>-3.0567929999999999</v>
      </c>
      <c r="T1647">
        <v>-0.34069300000000002</v>
      </c>
      <c r="U1647">
        <v>-8.0810549999999995E-2</v>
      </c>
      <c r="V1647">
        <v>0.18446199999999999</v>
      </c>
      <c r="W1647">
        <v>7.7135429999999998E-3</v>
      </c>
      <c r="X1647">
        <v>0.98280940000000006</v>
      </c>
      <c r="Y1647">
        <v>0.36079630000000001</v>
      </c>
      <c r="Z1647">
        <v>6.2394619999999998E-2</v>
      </c>
      <c r="AA1647">
        <v>0.93055520000000003</v>
      </c>
      <c r="AB1647">
        <v>12</v>
      </c>
      <c r="AC1647">
        <v>-9.8176000000000005</v>
      </c>
      <c r="AD1647">
        <v>-1.1073390063260999</v>
      </c>
      <c r="AE1647">
        <v>-0.22179999999997299</v>
      </c>
      <c r="AF1647">
        <v>3.5771796789715098</v>
      </c>
      <c r="AG1647">
        <v>-1.1073390063260999</v>
      </c>
      <c r="AH1647">
        <v>9.0128710929183296</v>
      </c>
      <c r="AI1647">
        <v>96.514742133353806</v>
      </c>
      <c r="AJ1647">
        <v>68.352030518571297</v>
      </c>
      <c r="AK1647">
        <v>9.7598288646953595</v>
      </c>
      <c r="AL1647">
        <v>89.558042168203301</v>
      </c>
      <c r="AM1647">
        <v>79.369912869798299</v>
      </c>
      <c r="AN1647">
        <v>1.00000002245898</v>
      </c>
    </row>
    <row r="1648" spans="1:40" x14ac:dyDescent="0.25">
      <c r="A1648" t="str">
        <f>"20190312154245970"</f>
        <v>20190312154245970</v>
      </c>
      <c r="B1648" t="str">
        <f>"1552376565959151"</f>
        <v>1552376565959151</v>
      </c>
      <c r="C1648" t="s">
        <v>40</v>
      </c>
      <c r="D1648">
        <v>5.1920289999999998</v>
      </c>
      <c r="E1648">
        <v>0.56019580000000002</v>
      </c>
      <c r="F1648" t="s">
        <v>50</v>
      </c>
      <c r="G1648">
        <v>-215.12029999999999</v>
      </c>
      <c r="H1648" s="1">
        <v>1.187987E-6</v>
      </c>
      <c r="I1648">
        <v>285.30160000000001</v>
      </c>
      <c r="J1648">
        <v>-205.1258</v>
      </c>
      <c r="K1648">
        <v>1.1073109999999999</v>
      </c>
      <c r="L1648">
        <v>285.45370000000003</v>
      </c>
      <c r="M1648">
        <v>-0.92570140000000001</v>
      </c>
      <c r="N1648">
        <v>0</v>
      </c>
      <c r="O1648">
        <v>-0.37812780000000001</v>
      </c>
      <c r="P1648">
        <v>-0.97922730000000002</v>
      </c>
      <c r="Q1648">
        <v>-1.140896E-3</v>
      </c>
      <c r="R1648">
        <v>-0.202764</v>
      </c>
      <c r="S1648">
        <v>-3.0563509999999998</v>
      </c>
      <c r="T1648">
        <v>-0.33237</v>
      </c>
      <c r="U1648">
        <v>-6.4575199999999999E-2</v>
      </c>
      <c r="V1648">
        <v>0.1826373</v>
      </c>
      <c r="W1648">
        <v>7.24625599999999E-3</v>
      </c>
      <c r="X1648">
        <v>0.98315359999999996</v>
      </c>
      <c r="Y1648">
        <v>0.35428530000000003</v>
      </c>
      <c r="Z1648">
        <v>5.9368749999999998E-2</v>
      </c>
      <c r="AA1648">
        <v>0.93325089999999999</v>
      </c>
      <c r="AB1648">
        <v>12</v>
      </c>
      <c r="AC1648">
        <v>-9.9944999999999808</v>
      </c>
      <c r="AD1648">
        <v>-1.107309812013</v>
      </c>
      <c r="AE1648">
        <v>-0.152100000000018</v>
      </c>
      <c r="AF1648">
        <v>3.5944630143008198</v>
      </c>
      <c r="AG1648">
        <v>-1.107309812013</v>
      </c>
      <c r="AH1648">
        <v>9.1970182234487794</v>
      </c>
      <c r="AI1648">
        <v>96.398336371947593</v>
      </c>
      <c r="AJ1648">
        <v>68.652991923210706</v>
      </c>
      <c r="AK1648">
        <v>9.9363697386623997</v>
      </c>
      <c r="AL1648">
        <v>89.584816458189096</v>
      </c>
      <c r="AM1648">
        <v>79.476307078796296</v>
      </c>
      <c r="AN1648">
        <v>0.99999994638513201</v>
      </c>
    </row>
    <row r="1649" spans="1:40" x14ac:dyDescent="0.25">
      <c r="A1649" t="str">
        <f>"20190312154245986"</f>
        <v>20190312154245986</v>
      </c>
      <c r="B1649" t="str">
        <f>"1552376565978671"</f>
        <v>1552376565978671</v>
      </c>
      <c r="C1649" t="s">
        <v>40</v>
      </c>
      <c r="D1649">
        <v>5.0159440000000002</v>
      </c>
      <c r="E1649">
        <v>0.56140760000000001</v>
      </c>
      <c r="F1649" t="s">
        <v>50</v>
      </c>
      <c r="G1649">
        <v>-218.80690000000001</v>
      </c>
      <c r="H1649" s="1">
        <v>3.1498150000000001E-6</v>
      </c>
      <c r="I1649">
        <v>284.83769999999998</v>
      </c>
      <c r="J1649">
        <v>-205.21260000000001</v>
      </c>
      <c r="K1649">
        <v>1.1072979999999999</v>
      </c>
      <c r="L1649">
        <v>285.42559999999997</v>
      </c>
      <c r="M1649">
        <v>-0.9278788</v>
      </c>
      <c r="N1649">
        <v>0</v>
      </c>
      <c r="O1649">
        <v>-0.37275320000000001</v>
      </c>
      <c r="P1649">
        <v>-0.97993680000000005</v>
      </c>
      <c r="Q1649">
        <v>-1.267345E-3</v>
      </c>
      <c r="R1649">
        <v>-0.19930529999999999</v>
      </c>
      <c r="S1649">
        <v>-3.0350799999999998</v>
      </c>
      <c r="T1649">
        <v>-0.24565049999999999</v>
      </c>
      <c r="U1649">
        <v>-0.13665769999999999</v>
      </c>
      <c r="V1649">
        <v>0.1804056</v>
      </c>
      <c r="W1649">
        <v>7.1322959999999998E-3</v>
      </c>
      <c r="X1649">
        <v>0.98356650000000001</v>
      </c>
      <c r="Y1649">
        <v>0.328422099999999</v>
      </c>
      <c r="Z1649">
        <v>4.274265E-2</v>
      </c>
      <c r="AA1649">
        <v>0.9435635</v>
      </c>
      <c r="AB1649">
        <v>13</v>
      </c>
      <c r="AC1649">
        <v>-13.5943</v>
      </c>
      <c r="AD1649">
        <v>-1.107294850185</v>
      </c>
      <c r="AE1649">
        <v>-0.58789999999998999</v>
      </c>
      <c r="AF1649">
        <v>4.4922871456704803</v>
      </c>
      <c r="AG1649">
        <v>-1.107294850185</v>
      </c>
      <c r="AH1649">
        <v>12.7491927762947</v>
      </c>
      <c r="AI1649">
        <v>94.682968549427898</v>
      </c>
      <c r="AJ1649">
        <v>70.589654672008905</v>
      </c>
      <c r="AK1649">
        <v>13.562767495298599</v>
      </c>
      <c r="AL1649">
        <v>89.5913460987246</v>
      </c>
      <c r="AM1649">
        <v>79.606347533220799</v>
      </c>
      <c r="AN1649">
        <v>1.00000005503991</v>
      </c>
    </row>
    <row r="1650" spans="1:40" x14ac:dyDescent="0.25">
      <c r="A1650" t="str">
        <f>"20190312154246005"</f>
        <v>20190312154246005</v>
      </c>
      <c r="B1650" t="str">
        <f>"1552376565999167"</f>
        <v>1552376565999167</v>
      </c>
      <c r="C1650" t="s">
        <v>40</v>
      </c>
      <c r="D1650">
        <v>4.9920460000000002</v>
      </c>
      <c r="E1650">
        <v>0.56152409999999997</v>
      </c>
      <c r="F1650" t="s">
        <v>50</v>
      </c>
      <c r="G1650">
        <v>-220.1122</v>
      </c>
      <c r="H1650" s="1">
        <v>-1.4770969999999999E-6</v>
      </c>
      <c r="I1650">
        <v>284.85390000000001</v>
      </c>
      <c r="J1650">
        <v>-205.31110000000001</v>
      </c>
      <c r="K1650">
        <v>1.1072820000000001</v>
      </c>
      <c r="L1650">
        <v>285.39429999999999</v>
      </c>
      <c r="M1650">
        <v>-0.9303091</v>
      </c>
      <c r="N1650">
        <v>0</v>
      </c>
      <c r="O1650">
        <v>-0.36664570000000002</v>
      </c>
      <c r="P1650">
        <v>-0.98063239999999996</v>
      </c>
      <c r="Q1650">
        <v>-1.1538570000000001E-3</v>
      </c>
      <c r="R1650">
        <v>-0.1958551</v>
      </c>
      <c r="S1650">
        <v>-3.0374300000000001</v>
      </c>
      <c r="T1650">
        <v>-0.2257335</v>
      </c>
      <c r="U1650">
        <v>-0.1165466</v>
      </c>
      <c r="V1650">
        <v>0.17740230000000001</v>
      </c>
      <c r="W1650">
        <v>7.2600850000000003E-3</v>
      </c>
      <c r="X1650">
        <v>0.98411170000000003</v>
      </c>
      <c r="Y1650">
        <v>0.32885009999999998</v>
      </c>
      <c r="Z1650">
        <v>3.8861380000000001E-2</v>
      </c>
      <c r="AA1650">
        <v>0.94358220000000004</v>
      </c>
      <c r="AB1650">
        <v>13</v>
      </c>
      <c r="AC1650">
        <v>-14.8010999999999</v>
      </c>
      <c r="AD1650">
        <v>-1.1072834770969999</v>
      </c>
      <c r="AE1650">
        <v>-0.54039999999997601</v>
      </c>
      <c r="AF1650">
        <v>4.8968870062024301</v>
      </c>
      <c r="AG1650">
        <v>-1.1072834770969999</v>
      </c>
      <c r="AH1650">
        <v>13.890764698519</v>
      </c>
      <c r="AI1650">
        <v>94.299347998519394</v>
      </c>
      <c r="AJ1650">
        <v>70.581006027071496</v>
      </c>
      <c r="AK1650">
        <v>14.7702038902579</v>
      </c>
      <c r="AL1650">
        <v>89.584024141845703</v>
      </c>
      <c r="AM1650">
        <v>79.781240887483406</v>
      </c>
      <c r="AN1650">
        <v>1.0000000614781901</v>
      </c>
    </row>
    <row r="1651" spans="1:40" x14ac:dyDescent="0.25">
      <c r="A1651" t="str">
        <f>"20190312154246026"</f>
        <v>20190312154246026</v>
      </c>
      <c r="B1651" t="str">
        <f>"1552376566018687"</f>
        <v>1552376566018687</v>
      </c>
      <c r="C1651" t="s">
        <v>40</v>
      </c>
      <c r="D1651">
        <v>5.0667609999999996</v>
      </c>
      <c r="E1651">
        <v>0.56192379999999997</v>
      </c>
      <c r="F1651" t="s">
        <v>50</v>
      </c>
      <c r="G1651">
        <v>-221.92080000000001</v>
      </c>
      <c r="H1651" s="1">
        <v>-5.1462260000000005E-7</v>
      </c>
      <c r="I1651">
        <v>284.81979999999999</v>
      </c>
      <c r="J1651">
        <v>-205.4316</v>
      </c>
      <c r="K1651">
        <v>1.1072599999999999</v>
      </c>
      <c r="L1651">
        <v>285.3569</v>
      </c>
      <c r="M1651">
        <v>-0.93322349999999998</v>
      </c>
      <c r="N1651">
        <v>0</v>
      </c>
      <c r="O1651">
        <v>-0.35916279999999901</v>
      </c>
      <c r="P1651">
        <v>-0.98152360000000005</v>
      </c>
      <c r="Q1651">
        <v>-1.1119630000000001E-3</v>
      </c>
      <c r="R1651">
        <v>-0.19133839999999999</v>
      </c>
      <c r="S1651">
        <v>-3.0380250000000002</v>
      </c>
      <c r="T1651">
        <v>-0.2025285</v>
      </c>
      <c r="U1651">
        <v>-0.105072</v>
      </c>
      <c r="V1651">
        <v>0.1740293</v>
      </c>
      <c r="W1651">
        <v>7.3115810000000002E-3</v>
      </c>
      <c r="X1651">
        <v>0.98471330000000001</v>
      </c>
      <c r="Y1651">
        <v>0.32522190000000001</v>
      </c>
      <c r="Z1651">
        <v>3.4286009999999999E-2</v>
      </c>
      <c r="AA1651">
        <v>0.94501599999999997</v>
      </c>
      <c r="AB1651">
        <v>13</v>
      </c>
      <c r="AC1651">
        <v>-16.4892</v>
      </c>
      <c r="AD1651">
        <v>-1.1072605146226</v>
      </c>
      <c r="AE1651">
        <v>-0.53710000000000901</v>
      </c>
      <c r="AF1651">
        <v>5.3970225671852203</v>
      </c>
      <c r="AG1651">
        <v>-1.1072605146226</v>
      </c>
      <c r="AH1651">
        <v>15.5118908410284</v>
      </c>
      <c r="AI1651">
        <v>93.856894585261401</v>
      </c>
      <c r="AJ1651">
        <v>70.815778502785406</v>
      </c>
      <c r="AK1651">
        <v>16.4612464868834</v>
      </c>
      <c r="AL1651">
        <v>89.581073521858599</v>
      </c>
      <c r="AM1651">
        <v>79.977554704099504</v>
      </c>
      <c r="AN1651">
        <v>0.999999969836049</v>
      </c>
    </row>
    <row r="1652" spans="1:40" x14ac:dyDescent="0.25">
      <c r="A1652" t="str">
        <f>"20190312154246049"</f>
        <v>20190312154246049</v>
      </c>
      <c r="B1652" t="str">
        <f>"1552376566039183"</f>
        <v>1552376566039183</v>
      </c>
      <c r="C1652" t="s">
        <v>40</v>
      </c>
      <c r="D1652">
        <v>5.0293839999999896</v>
      </c>
      <c r="E1652">
        <v>0.56097949999999996</v>
      </c>
      <c r="F1652" t="s">
        <v>50</v>
      </c>
      <c r="G1652">
        <v>-223.07499999999999</v>
      </c>
      <c r="H1652" s="1">
        <v>9.9564970000000002E-8</v>
      </c>
      <c r="I1652">
        <v>284.8449</v>
      </c>
      <c r="J1652">
        <v>-205.56039999999999</v>
      </c>
      <c r="K1652">
        <v>1.1072340000000001</v>
      </c>
      <c r="L1652">
        <v>285.31819999999999</v>
      </c>
      <c r="M1652">
        <v>-0.93626509999999996</v>
      </c>
      <c r="N1652">
        <v>0</v>
      </c>
      <c r="O1652">
        <v>-0.35115809999999997</v>
      </c>
      <c r="P1652">
        <v>-0.98255009999999998</v>
      </c>
      <c r="Q1652">
        <v>-1.431737E-3</v>
      </c>
      <c r="R1652">
        <v>-0.18599260000000001</v>
      </c>
      <c r="S1652">
        <v>-3.0390779999999999</v>
      </c>
      <c r="T1652">
        <v>-0.1907256</v>
      </c>
      <c r="U1652">
        <v>-8.8195800000000005E-2</v>
      </c>
      <c r="V1652">
        <v>0.17095389999999999</v>
      </c>
      <c r="W1652">
        <v>6.9906789999999996E-3</v>
      </c>
      <c r="X1652">
        <v>0.98525419999999997</v>
      </c>
      <c r="Y1652">
        <v>0.32256800000000002</v>
      </c>
      <c r="Z1652">
        <v>3.1732129999999997E-2</v>
      </c>
      <c r="AA1652">
        <v>0.94601420000000003</v>
      </c>
      <c r="AB1652">
        <v>13</v>
      </c>
      <c r="AC1652">
        <v>-17.514600000000002</v>
      </c>
      <c r="AD1652">
        <v>-1.10723390043503</v>
      </c>
      <c r="AE1652">
        <v>-0.473299999999994</v>
      </c>
      <c r="AF1652">
        <v>5.6848295960097799</v>
      </c>
      <c r="AG1652">
        <v>-1.10723390043503</v>
      </c>
      <c r="AH1652">
        <v>16.4994125600155</v>
      </c>
      <c r="AI1652">
        <v>93.630383119350299</v>
      </c>
      <c r="AJ1652">
        <v>70.988743005314802</v>
      </c>
      <c r="AK1652">
        <v>17.4863909733124</v>
      </c>
      <c r="AL1652">
        <v>89.599460323767502</v>
      </c>
      <c r="AM1652">
        <v>80.1564713614613</v>
      </c>
      <c r="AN1652">
        <v>0.99999997206786495</v>
      </c>
    </row>
    <row r="1653" spans="1:40" x14ac:dyDescent="0.25">
      <c r="A1653" t="str">
        <f>"20190312154246273"</f>
        <v>20190312154246273</v>
      </c>
      <c r="B1653" t="str">
        <f>"1552376566269519"</f>
        <v>1552376566269519</v>
      </c>
      <c r="C1653" t="s">
        <v>40</v>
      </c>
      <c r="D1653">
        <v>4.4248770000000004</v>
      </c>
      <c r="E1653">
        <v>0.57255180000000006</v>
      </c>
      <c r="F1653" t="s">
        <v>50</v>
      </c>
      <c r="G1653">
        <v>-223.37200000000001</v>
      </c>
      <c r="H1653" s="1">
        <v>2.5764150000000001E-7</v>
      </c>
      <c r="I1653">
        <v>284.85300000000001</v>
      </c>
      <c r="J1653">
        <v>-206.8612</v>
      </c>
      <c r="K1653">
        <v>1.106973</v>
      </c>
      <c r="L1653">
        <v>284.99270000000001</v>
      </c>
      <c r="M1653">
        <v>-0.96276930000000005</v>
      </c>
      <c r="N1653">
        <v>0</v>
      </c>
      <c r="O1653">
        <v>-0.27015299999999998</v>
      </c>
      <c r="P1653">
        <v>-0.99152709999999999</v>
      </c>
      <c r="Q1653">
        <v>-1.108489E-2</v>
      </c>
      <c r="R1653">
        <v>-0.1294275</v>
      </c>
      <c r="S1653">
        <v>-3.037979</v>
      </c>
      <c r="T1653">
        <v>-0.18885179999999999</v>
      </c>
      <c r="U1653">
        <v>-7.9345700000000005E-2</v>
      </c>
      <c r="V1653">
        <v>0.14324589999999901</v>
      </c>
      <c r="W1653">
        <v>-2.6296760000000001E-3</v>
      </c>
      <c r="X1653">
        <v>0.9896836</v>
      </c>
      <c r="Y1653">
        <v>0.24395520000000001</v>
      </c>
      <c r="Z1653">
        <v>2.417559E-2</v>
      </c>
      <c r="AA1653">
        <v>0.96948520000000005</v>
      </c>
      <c r="AB1653">
        <v>13</v>
      </c>
      <c r="AC1653">
        <v>-16.5108</v>
      </c>
      <c r="AD1653">
        <v>-1.1069727423585001</v>
      </c>
      <c r="AE1653">
        <v>-0.13970000000000399</v>
      </c>
      <c r="AF1653">
        <v>4.3067856855047504</v>
      </c>
      <c r="AG1653">
        <v>-1.1069727423585001</v>
      </c>
      <c r="AH1653">
        <v>15.8632681846137</v>
      </c>
      <c r="AI1653">
        <v>93.852727691231195</v>
      </c>
      <c r="AJ1653">
        <v>74.8106592969921</v>
      </c>
      <c r="AK1653">
        <v>16.4747403345294</v>
      </c>
      <c r="AL1653">
        <v>90.150669515123894</v>
      </c>
      <c r="AM1653">
        <v>81.764254730762403</v>
      </c>
      <c r="AN1653">
        <v>0.99999996558581605</v>
      </c>
    </row>
    <row r="1654" spans="1:40" x14ac:dyDescent="0.25">
      <c r="A1654" t="str">
        <f>"20190312154246295"</f>
        <v>20190312154246295</v>
      </c>
      <c r="B1654" t="str">
        <f>"1552376566289039"</f>
        <v>1552376566289039</v>
      </c>
      <c r="C1654" t="s">
        <v>40</v>
      </c>
      <c r="D1654">
        <v>4.8946040000000002</v>
      </c>
      <c r="E1654">
        <v>0.57699849999999997</v>
      </c>
      <c r="F1654" t="s">
        <v>50</v>
      </c>
      <c r="G1654">
        <v>-210.3897</v>
      </c>
      <c r="H1654" s="1">
        <v>-1.3293969999999901E-6</v>
      </c>
      <c r="I1654">
        <v>285.20710000000003</v>
      </c>
      <c r="J1654">
        <v>-206.99369999999999</v>
      </c>
      <c r="K1654">
        <v>1.106954</v>
      </c>
      <c r="L1654">
        <v>284.96600000000001</v>
      </c>
      <c r="M1654">
        <v>-0.96504489999999998</v>
      </c>
      <c r="N1654">
        <v>0</v>
      </c>
      <c r="O1654">
        <v>-0.26190720000000001</v>
      </c>
      <c r="P1654">
        <v>-0.99239330000000003</v>
      </c>
      <c r="Q1654">
        <v>-1.247408E-2</v>
      </c>
      <c r="R1654">
        <v>-0.1224746</v>
      </c>
      <c r="S1654">
        <v>-3.0390929999999998</v>
      </c>
      <c r="T1654">
        <v>-0.95343100000000003</v>
      </c>
      <c r="U1654">
        <v>0.1846313</v>
      </c>
      <c r="V1654">
        <v>0.14170179999999999</v>
      </c>
      <c r="W1654">
        <v>-4.0154830000000002E-3</v>
      </c>
      <c r="X1654">
        <v>0.98990120000000004</v>
      </c>
      <c r="Y1654">
        <v>0.293485</v>
      </c>
      <c r="Z1654">
        <v>0.124518</v>
      </c>
      <c r="AA1654">
        <v>0.94781950000000004</v>
      </c>
      <c r="AB1654">
        <v>13</v>
      </c>
      <c r="AC1654">
        <v>-3.3960000000000101</v>
      </c>
      <c r="AD1654">
        <v>-1.106955329397</v>
      </c>
      <c r="AE1654">
        <v>0.241100000000017</v>
      </c>
      <c r="AF1654">
        <v>1.01487288190961</v>
      </c>
      <c r="AG1654">
        <v>-1.106955329397</v>
      </c>
      <c r="AH1654">
        <v>2.9069811976986402</v>
      </c>
      <c r="AI1654">
        <v>109.774159175113</v>
      </c>
      <c r="AJ1654">
        <v>70.755101689340094</v>
      </c>
      <c r="AK1654">
        <v>3.2719805548764098</v>
      </c>
      <c r="AL1654">
        <v>90.230070857244897</v>
      </c>
      <c r="AM1654">
        <v>81.853599447348401</v>
      </c>
      <c r="AN1654">
        <v>0.99999995499420002</v>
      </c>
    </row>
    <row r="1655" spans="1:40" x14ac:dyDescent="0.25">
      <c r="A1655" t="str">
        <f>"20190312154246317"</f>
        <v>20190312154246317</v>
      </c>
      <c r="B1655" t="str">
        <f>"1552376566309535"</f>
        <v>1552376566309535</v>
      </c>
      <c r="C1655" t="s">
        <v>40</v>
      </c>
      <c r="D1655">
        <v>5.2022899999999996</v>
      </c>
      <c r="E1655">
        <v>0.57837749999999999</v>
      </c>
      <c r="F1655" t="s">
        <v>50</v>
      </c>
      <c r="G1655">
        <v>-210.4676</v>
      </c>
      <c r="H1655" s="1">
        <v>-1.2879659999999999E-6</v>
      </c>
      <c r="I1655">
        <v>285.2398</v>
      </c>
      <c r="J1655">
        <v>-207.12200000000001</v>
      </c>
      <c r="K1655">
        <v>1.106941</v>
      </c>
      <c r="L1655">
        <v>284.94130000000001</v>
      </c>
      <c r="M1655">
        <v>-0.96717180000000003</v>
      </c>
      <c r="N1655">
        <v>0</v>
      </c>
      <c r="O1655">
        <v>-0.25394139999999998</v>
      </c>
      <c r="P1655">
        <v>-0.99319880000000005</v>
      </c>
      <c r="Q1655">
        <v>-1.370645E-2</v>
      </c>
      <c r="R1655">
        <v>-0.1156235</v>
      </c>
      <c r="S1655">
        <v>-3.0403899999999999</v>
      </c>
      <c r="T1655">
        <v>-0.96882190000000001</v>
      </c>
      <c r="U1655">
        <v>0.239624</v>
      </c>
      <c r="V1655">
        <v>0.14035710000000001</v>
      </c>
      <c r="W1655">
        <v>-5.2440849999999999E-3</v>
      </c>
      <c r="X1655">
        <v>0.9900871</v>
      </c>
      <c r="Y1655">
        <v>0.30186380000000002</v>
      </c>
      <c r="Z1655">
        <v>0.1252373</v>
      </c>
      <c r="AA1655">
        <v>0.94508930000000002</v>
      </c>
      <c r="AB1655">
        <v>13</v>
      </c>
      <c r="AC1655">
        <v>-3.3455999999999899</v>
      </c>
      <c r="AD1655">
        <v>-1.106942287966</v>
      </c>
      <c r="AE1655">
        <v>0.29849999999999</v>
      </c>
      <c r="AF1655">
        <v>1.0268197951951601</v>
      </c>
      <c r="AG1655">
        <v>-1.106942287966</v>
      </c>
      <c r="AH1655">
        <v>2.8505269780807199</v>
      </c>
      <c r="AI1655">
        <v>110.06968123968799</v>
      </c>
      <c r="AJ1655">
        <v>70.189912757411605</v>
      </c>
      <c r="AK1655">
        <v>3.2257067711523399</v>
      </c>
      <c r="AL1655">
        <v>90.300465302823397</v>
      </c>
      <c r="AM1655">
        <v>81.931378040664796</v>
      </c>
      <c r="AN1655">
        <v>1.0000000407671501</v>
      </c>
    </row>
    <row r="1656" spans="1:40" x14ac:dyDescent="0.25">
      <c r="A1656" t="str">
        <f>"20190312154246338"</f>
        <v>20190312154246338</v>
      </c>
      <c r="B1656" t="str">
        <f>"1552376566329055"</f>
        <v>1552376566329055</v>
      </c>
      <c r="C1656" t="s">
        <v>40</v>
      </c>
      <c r="D1656">
        <v>5.288843</v>
      </c>
      <c r="E1656">
        <v>0.57646869999999995</v>
      </c>
      <c r="F1656" t="s">
        <v>50</v>
      </c>
      <c r="G1656">
        <v>-210.97900000000001</v>
      </c>
      <c r="H1656" s="1">
        <v>-1.0158089999999999E-6</v>
      </c>
      <c r="I1656">
        <v>285.2851</v>
      </c>
      <c r="J1656">
        <v>-207.25579999999999</v>
      </c>
      <c r="K1656">
        <v>1.1069329999999999</v>
      </c>
      <c r="L1656">
        <v>284.91660000000002</v>
      </c>
      <c r="M1656">
        <v>-0.96930799999999995</v>
      </c>
      <c r="N1656">
        <v>0</v>
      </c>
      <c r="O1656">
        <v>-0.24566160000000001</v>
      </c>
      <c r="P1656">
        <v>-0.99392190000000002</v>
      </c>
      <c r="Q1656">
        <v>-1.539838E-2</v>
      </c>
      <c r="R1656">
        <v>-0.1090069</v>
      </c>
      <c r="S1656">
        <v>-3.0400390000000002</v>
      </c>
      <c r="T1656">
        <v>-0.87247050000000004</v>
      </c>
      <c r="U1656">
        <v>0.27093509999999998</v>
      </c>
      <c r="V1656">
        <v>0.1384648</v>
      </c>
      <c r="W1656">
        <v>-6.9254049999999999E-3</v>
      </c>
      <c r="X1656">
        <v>0.99034319999999998</v>
      </c>
      <c r="Y1656">
        <v>0.30858279999999999</v>
      </c>
      <c r="Z1656">
        <v>0.11194460000000001</v>
      </c>
      <c r="AA1656">
        <v>0.94458719999999996</v>
      </c>
      <c r="AB1656">
        <v>13</v>
      </c>
      <c r="AC1656">
        <v>-3.7232000000000198</v>
      </c>
      <c r="AD1656">
        <v>-1.106934015809</v>
      </c>
      <c r="AE1656">
        <v>0.36849999999998301</v>
      </c>
      <c r="AF1656">
        <v>1.16952290962461</v>
      </c>
      <c r="AG1656">
        <v>-1.106934015809</v>
      </c>
      <c r="AH1656">
        <v>3.2353595611856001</v>
      </c>
      <c r="AI1656">
        <v>107.836075295678</v>
      </c>
      <c r="AJ1656">
        <v>70.126009811927503</v>
      </c>
      <c r="AK1656">
        <v>3.61395050348604</v>
      </c>
      <c r="AL1656">
        <v>90.396799626808502</v>
      </c>
      <c r="AM1656">
        <v>82.040787786238795</v>
      </c>
      <c r="AN1656">
        <v>1.00000005792984</v>
      </c>
    </row>
    <row r="1657" spans="1:40" x14ac:dyDescent="0.25">
      <c r="A1657" t="str">
        <f>"20190312154246360"</f>
        <v>20190312154246360</v>
      </c>
      <c r="B1657" t="str">
        <f>"1552376566349550"</f>
        <v>1552376566349550</v>
      </c>
      <c r="C1657" t="s">
        <v>40</v>
      </c>
      <c r="D1657">
        <v>5.0778829999999999</v>
      </c>
      <c r="E1657">
        <v>0.55981359999999902</v>
      </c>
      <c r="F1657" t="s">
        <v>50</v>
      </c>
      <c r="G1657">
        <v>-211.34790000000001</v>
      </c>
      <c r="H1657" s="1">
        <v>-8.1953149999999997E-7</v>
      </c>
      <c r="I1657">
        <v>285.28800000000001</v>
      </c>
      <c r="J1657">
        <v>-207.38910000000001</v>
      </c>
      <c r="K1657">
        <v>1.106943</v>
      </c>
      <c r="L1657">
        <v>284.89319999999998</v>
      </c>
      <c r="M1657">
        <v>-0.97134730000000002</v>
      </c>
      <c r="N1657">
        <v>0</v>
      </c>
      <c r="O1657">
        <v>-0.2374703</v>
      </c>
      <c r="P1657">
        <v>-0.99456500000000003</v>
      </c>
      <c r="Q1657">
        <v>-1.8298479999999999E-2</v>
      </c>
      <c r="R1657">
        <v>-0.10249800000000001</v>
      </c>
      <c r="S1657">
        <v>-3.035828</v>
      </c>
      <c r="T1657">
        <v>-0.82122240000000002</v>
      </c>
      <c r="U1657">
        <v>0.27548220000000001</v>
      </c>
      <c r="V1657">
        <v>0.13655410000000001</v>
      </c>
      <c r="W1657">
        <v>-9.8125369999999996E-3</v>
      </c>
      <c r="X1657">
        <v>0.99058400000000002</v>
      </c>
      <c r="Y1657">
        <v>0.30497400000000002</v>
      </c>
      <c r="Z1657">
        <v>0.1031287</v>
      </c>
      <c r="AA1657">
        <v>0.94676039999999995</v>
      </c>
      <c r="AB1657">
        <v>13</v>
      </c>
      <c r="AC1657">
        <v>-3.9587999999999899</v>
      </c>
      <c r="AD1657">
        <v>-1.1069438195315</v>
      </c>
      <c r="AE1657">
        <v>0.39480000000003201</v>
      </c>
      <c r="AF1657">
        <v>1.22853886231001</v>
      </c>
      <c r="AG1657">
        <v>-1.1069438195315</v>
      </c>
      <c r="AH1657">
        <v>3.4822133740146</v>
      </c>
      <c r="AI1657">
        <v>106.687442600373</v>
      </c>
      <c r="AJ1657">
        <v>70.566953693715305</v>
      </c>
      <c r="AK1657">
        <v>3.8549244270116501</v>
      </c>
      <c r="AL1657">
        <v>90.562225987734493</v>
      </c>
      <c r="AM1657">
        <v>82.151124049342798</v>
      </c>
      <c r="AN1657">
        <v>0.99999998458259298</v>
      </c>
    </row>
    <row r="1658" spans="1:40" x14ac:dyDescent="0.25">
      <c r="A1658" t="str">
        <f>"20190312154246383"</f>
        <v>20190312154246383</v>
      </c>
      <c r="B1658" t="str">
        <f>"1552376566378831"</f>
        <v>1552376566378831</v>
      </c>
      <c r="C1658" t="s">
        <v>40</v>
      </c>
      <c r="D1658">
        <v>5.1005149999999997</v>
      </c>
      <c r="E1658">
        <v>0.56017359999999905</v>
      </c>
      <c r="F1658" t="s">
        <v>50</v>
      </c>
      <c r="G1658">
        <v>-222.1695</v>
      </c>
      <c r="H1658" s="1">
        <v>-3.8228649999999997E-7</v>
      </c>
      <c r="I1658">
        <v>285.70359999999999</v>
      </c>
      <c r="J1658">
        <v>-207.5249</v>
      </c>
      <c r="K1658">
        <v>1.1069659999999999</v>
      </c>
      <c r="L1658">
        <v>284.87029999999999</v>
      </c>
      <c r="M1658">
        <v>-0.97333320000000001</v>
      </c>
      <c r="N1658">
        <v>0</v>
      </c>
      <c r="O1658">
        <v>-0.2291948</v>
      </c>
      <c r="P1658">
        <v>-0.99509990000000004</v>
      </c>
      <c r="Q1658">
        <v>-2.156626E-2</v>
      </c>
      <c r="R1658">
        <v>-9.6494800000000006E-2</v>
      </c>
      <c r="S1658">
        <v>-3.0293429999999999</v>
      </c>
      <c r="T1658">
        <v>-0.2268753</v>
      </c>
      <c r="U1658">
        <v>0.16610720000000001</v>
      </c>
      <c r="V1658">
        <v>0.13406189999999901</v>
      </c>
      <c r="W1658">
        <v>-1.3060250000000001E-2</v>
      </c>
      <c r="X1658">
        <v>0.99088690000000001</v>
      </c>
      <c r="Y1658">
        <v>0.28073480000000001</v>
      </c>
      <c r="Z1658">
        <v>2.753013E-2</v>
      </c>
      <c r="AA1658">
        <v>0.95939050000000003</v>
      </c>
      <c r="AB1658">
        <v>13</v>
      </c>
      <c r="AC1658">
        <v>-14.644599999999899</v>
      </c>
      <c r="AD1658">
        <v>-1.1069663822864999</v>
      </c>
      <c r="AE1658">
        <v>0.83330000000000803</v>
      </c>
      <c r="AF1658">
        <v>4.1441351819971901</v>
      </c>
      <c r="AG1658">
        <v>-1.1069663822864999</v>
      </c>
      <c r="AH1658">
        <v>13.984093497576501</v>
      </c>
      <c r="AI1658">
        <v>94.340224390587395</v>
      </c>
      <c r="AJ1658">
        <v>73.493001806074702</v>
      </c>
      <c r="AK1658">
        <v>14.627169990368699</v>
      </c>
      <c r="AL1658">
        <v>90.748318474479404</v>
      </c>
      <c r="AM1658">
        <v>82.294961282527794</v>
      </c>
      <c r="AN1658">
        <v>1.0000000058766401</v>
      </c>
    </row>
    <row r="1659" spans="1:40" x14ac:dyDescent="0.25">
      <c r="A1659" t="str">
        <f>"20190312154246404"</f>
        <v>20190312154246404</v>
      </c>
      <c r="B1659" t="str">
        <f>"1552376566399327"</f>
        <v>1552376566399327</v>
      </c>
      <c r="C1659" t="s">
        <v>40</v>
      </c>
      <c r="D1659">
        <v>4.9593629999999997</v>
      </c>
      <c r="E1659">
        <v>0.55685509999999905</v>
      </c>
      <c r="F1659" t="s">
        <v>50</v>
      </c>
      <c r="G1659">
        <v>-230.90430000000001</v>
      </c>
      <c r="H1659" s="1">
        <v>-1.130025E-6</v>
      </c>
      <c r="I1659">
        <v>286.31920000000002</v>
      </c>
      <c r="J1659">
        <v>-207.65309999999999</v>
      </c>
      <c r="K1659">
        <v>1.1069880000000001</v>
      </c>
      <c r="L1659">
        <v>284.84969999999998</v>
      </c>
      <c r="M1659">
        <v>-0.97511950000000003</v>
      </c>
      <c r="N1659">
        <v>0</v>
      </c>
      <c r="O1659">
        <v>-0.22147220000000001</v>
      </c>
      <c r="P1659">
        <v>-0.99540059999999997</v>
      </c>
      <c r="Q1659">
        <v>-2.6350930000000002E-2</v>
      </c>
      <c r="R1659">
        <v>-9.2104720000000001E-2</v>
      </c>
      <c r="S1659">
        <v>-3.0298609999999999</v>
      </c>
      <c r="T1659">
        <v>-0.14345820000000001</v>
      </c>
      <c r="U1659">
        <v>0.18777469999999999</v>
      </c>
      <c r="V1659">
        <v>0.13051769999999999</v>
      </c>
      <c r="W1659">
        <v>-1.7815000000000001E-2</v>
      </c>
      <c r="X1659">
        <v>0.99128590000000005</v>
      </c>
      <c r="Y1659">
        <v>0.28081859999999997</v>
      </c>
      <c r="Z1659">
        <v>1.706104E-2</v>
      </c>
      <c r="AA1659">
        <v>0.95960919999999905</v>
      </c>
      <c r="AB1659">
        <v>13</v>
      </c>
      <c r="AC1659">
        <v>-23.251200000000001</v>
      </c>
      <c r="AD1659">
        <v>-1.1069891300250001</v>
      </c>
      <c r="AE1659">
        <v>1.46950000000003</v>
      </c>
      <c r="AF1659">
        <v>6.5679071068863202</v>
      </c>
      <c r="AG1659">
        <v>-1.1069891300250001</v>
      </c>
      <c r="AH1659">
        <v>22.297931586561599</v>
      </c>
      <c r="AI1659">
        <v>92.726505551407996</v>
      </c>
      <c r="AJ1659">
        <v>73.587541197468397</v>
      </c>
      <c r="AK1659">
        <v>23.271454224815098</v>
      </c>
      <c r="AL1659">
        <v>91.020778321991898</v>
      </c>
      <c r="AM1659">
        <v>82.499293485057805</v>
      </c>
      <c r="AN1659">
        <v>0.99999998988854999</v>
      </c>
    </row>
    <row r="1660" spans="1:40" x14ac:dyDescent="0.25">
      <c r="A1660" t="str">
        <f>"20190312154246438"</f>
        <v>20190312154246438</v>
      </c>
      <c r="B1660" t="str">
        <f>"1552376566428606"</f>
        <v>1552376566428606</v>
      </c>
      <c r="C1660" t="s">
        <v>40</v>
      </c>
      <c r="D1660">
        <v>4.9518490000000002</v>
      </c>
      <c r="E1660">
        <v>0.55515590000000004</v>
      </c>
      <c r="F1660" t="s">
        <v>50</v>
      </c>
      <c r="G1660">
        <v>-228.5094</v>
      </c>
      <c r="H1660" s="1">
        <v>2.9914950000000001E-6</v>
      </c>
      <c r="I1660">
        <v>286.05279999999999</v>
      </c>
      <c r="J1660">
        <v>-207.86699999999999</v>
      </c>
      <c r="K1660">
        <v>1.107059</v>
      </c>
      <c r="L1660">
        <v>284.81740000000002</v>
      </c>
      <c r="M1660">
        <v>-0.97790940000000004</v>
      </c>
      <c r="N1660">
        <v>0</v>
      </c>
      <c r="O1660">
        <v>-0.208811</v>
      </c>
      <c r="P1660">
        <v>-0.99609460000000005</v>
      </c>
      <c r="Q1660">
        <v>-2.7956780000000001E-2</v>
      </c>
      <c r="R1660">
        <v>-8.3750969999999994E-2</v>
      </c>
      <c r="S1660">
        <v>-3.025757</v>
      </c>
      <c r="T1660">
        <v>-0.1605972</v>
      </c>
      <c r="U1660">
        <v>0.17452999999999999</v>
      </c>
      <c r="V1660">
        <v>0.12596369999999901</v>
      </c>
      <c r="W1660">
        <v>-1.93814E-2</v>
      </c>
      <c r="X1660">
        <v>0.99184550000000005</v>
      </c>
      <c r="Y1660">
        <v>0.26412799999999997</v>
      </c>
      <c r="Z1660">
        <v>1.8020290000000001E-2</v>
      </c>
      <c r="AA1660">
        <v>0.96431929999999999</v>
      </c>
      <c r="AB1660">
        <v>13</v>
      </c>
      <c r="AC1660">
        <v>-20.642399999999899</v>
      </c>
      <c r="AD1660">
        <v>-1.1070560085050001</v>
      </c>
      <c r="AE1660">
        <v>1.2353999999999601</v>
      </c>
      <c r="AF1660">
        <v>5.5029499537593098</v>
      </c>
      <c r="AG1660">
        <v>-1.1070560085050001</v>
      </c>
      <c r="AH1660">
        <v>19.872387471659898</v>
      </c>
      <c r="AI1660">
        <v>93.073136076242804</v>
      </c>
      <c r="AJ1660">
        <v>74.521824379450095</v>
      </c>
      <c r="AK1660">
        <v>20.649934988356101</v>
      </c>
      <c r="AL1660">
        <v>91.1105419620623</v>
      </c>
      <c r="AM1660">
        <v>82.762221523898106</v>
      </c>
      <c r="AN1660">
        <v>0.99999999412694995</v>
      </c>
    </row>
    <row r="1661" spans="1:40" x14ac:dyDescent="0.25">
      <c r="A1661" t="str">
        <f>"20190312154246461"</f>
        <v>20190312154246461</v>
      </c>
      <c r="B1661" t="str">
        <f>"1552376566449106"</f>
        <v>1552376566449106</v>
      </c>
      <c r="C1661" t="s">
        <v>40</v>
      </c>
      <c r="D1661">
        <v>4.9558960000000001</v>
      </c>
      <c r="E1661">
        <v>0.55370540000000001</v>
      </c>
      <c r="F1661" t="s">
        <v>50</v>
      </c>
      <c r="G1661">
        <v>-227.0633</v>
      </c>
      <c r="H1661" s="1">
        <v>2.2219580000000002E-6</v>
      </c>
      <c r="I1661">
        <v>286.00380000000001</v>
      </c>
      <c r="J1661">
        <v>-208.00899999999999</v>
      </c>
      <c r="K1661">
        <v>1.1071089999999999</v>
      </c>
      <c r="L1661">
        <v>284.79730000000001</v>
      </c>
      <c r="M1661">
        <v>-0.97963350000000005</v>
      </c>
      <c r="N1661">
        <v>0</v>
      </c>
      <c r="O1661">
        <v>-0.200568</v>
      </c>
      <c r="P1661">
        <v>-0.99666569999999999</v>
      </c>
      <c r="Q1661">
        <v>-2.5232580000000001E-2</v>
      </c>
      <c r="R1661">
        <v>-7.7598109999999998E-2</v>
      </c>
      <c r="S1661">
        <v>-3.0225369999999998</v>
      </c>
      <c r="T1661">
        <v>-0.17431060000000001</v>
      </c>
      <c r="U1661">
        <v>0.18679809999999999</v>
      </c>
      <c r="V1661">
        <v>0.12377249999999999</v>
      </c>
      <c r="W1661">
        <v>-1.663945E-2</v>
      </c>
      <c r="X1661">
        <v>0.99217109999999997</v>
      </c>
      <c r="Y1661">
        <v>0.2598646</v>
      </c>
      <c r="Z1661">
        <v>1.898524E-2</v>
      </c>
      <c r="AA1661">
        <v>0.9654585</v>
      </c>
      <c r="AB1661">
        <v>14</v>
      </c>
      <c r="AC1661">
        <v>-19.054299999999898</v>
      </c>
      <c r="AD1661">
        <v>-1.1071067780419901</v>
      </c>
      <c r="AE1661">
        <v>1.2064999999999999</v>
      </c>
      <c r="AF1661">
        <v>4.9870687986490898</v>
      </c>
      <c r="AG1661">
        <v>-1.1071067780419901</v>
      </c>
      <c r="AH1661">
        <v>18.363335029486699</v>
      </c>
      <c r="AI1661">
        <v>93.329804929798101</v>
      </c>
      <c r="AJ1661">
        <v>74.806215053418896</v>
      </c>
      <c r="AK1661">
        <v>19.060656180352801</v>
      </c>
      <c r="AL1661">
        <v>90.953414259891105</v>
      </c>
      <c r="AM1661">
        <v>82.889135694837705</v>
      </c>
      <c r="AN1661">
        <v>0.99999999736388101</v>
      </c>
    </row>
    <row r="1662" spans="1:40" x14ac:dyDescent="0.25">
      <c r="A1662" t="str">
        <f>"20190312154246484"</f>
        <v>20190312154246484</v>
      </c>
      <c r="B1662" t="str">
        <f>"1552376566468624"</f>
        <v>1552376566468624</v>
      </c>
      <c r="C1662" t="s">
        <v>40</v>
      </c>
      <c r="D1662">
        <v>4.925433</v>
      </c>
      <c r="E1662">
        <v>0.55187209999999998</v>
      </c>
      <c r="F1662" t="s">
        <v>50</v>
      </c>
      <c r="G1662">
        <v>-226.9633</v>
      </c>
      <c r="H1662" s="1">
        <v>2.1687469999999999E-6</v>
      </c>
      <c r="I1662">
        <v>286.01350000000002</v>
      </c>
      <c r="J1662">
        <v>-208.14779999999999</v>
      </c>
      <c r="K1662">
        <v>1.107175</v>
      </c>
      <c r="L1662">
        <v>284.77859999999998</v>
      </c>
      <c r="M1662">
        <v>-0.98122109999999996</v>
      </c>
      <c r="N1662">
        <v>0</v>
      </c>
      <c r="O1662">
        <v>-0.1926513</v>
      </c>
      <c r="P1662">
        <v>-0.99725699999999995</v>
      </c>
      <c r="Q1662">
        <v>-2.255294E-2</v>
      </c>
      <c r="R1662">
        <v>-7.0497920000000006E-2</v>
      </c>
      <c r="S1662">
        <v>-3.0206759999999999</v>
      </c>
      <c r="T1662">
        <v>-0.1764355</v>
      </c>
      <c r="U1662">
        <v>0.19381709999999999</v>
      </c>
      <c r="V1662">
        <v>0.1228605</v>
      </c>
      <c r="W1662">
        <v>-1.395448E-2</v>
      </c>
      <c r="X1662">
        <v>0.99232580000000004</v>
      </c>
      <c r="Y1662">
        <v>0.25433889999999998</v>
      </c>
      <c r="Z1662">
        <v>1.86102E-2</v>
      </c>
      <c r="AA1662">
        <v>0.96693609999999997</v>
      </c>
      <c r="AB1662">
        <v>14</v>
      </c>
      <c r="AC1662">
        <v>-18.8155</v>
      </c>
      <c r="AD1662">
        <v>-1.107172831253</v>
      </c>
      <c r="AE1662">
        <v>1.2349000000000301</v>
      </c>
      <c r="AF1662">
        <v>4.8201411335586997</v>
      </c>
      <c r="AG1662">
        <v>-1.107172831253</v>
      </c>
      <c r="AH1662">
        <v>18.162467214332601</v>
      </c>
      <c r="AI1662">
        <v>93.371955787228799</v>
      </c>
      <c r="AJ1662">
        <v>75.136884172114705</v>
      </c>
      <c r="AK1662">
        <v>18.823783029385901</v>
      </c>
      <c r="AL1662">
        <v>90.799558790737393</v>
      </c>
      <c r="AM1662">
        <v>82.942089929689004</v>
      </c>
      <c r="AN1662">
        <v>0.99999996165897898</v>
      </c>
    </row>
    <row r="1663" spans="1:40" x14ac:dyDescent="0.25">
      <c r="A1663" t="str">
        <f>"20190312154246506"</f>
        <v>20190312154246506</v>
      </c>
      <c r="B1663" t="str">
        <f>"1552376566498879"</f>
        <v>1552376566498879</v>
      </c>
      <c r="C1663" t="s">
        <v>40</v>
      </c>
      <c r="D1663">
        <v>5.0374639999999999</v>
      </c>
      <c r="E1663">
        <v>0.54925190000000002</v>
      </c>
      <c r="F1663" t="s">
        <v>50</v>
      </c>
      <c r="G1663">
        <v>-227.61850000000001</v>
      </c>
      <c r="H1663" s="1">
        <v>2.5174109999999999E-6</v>
      </c>
      <c r="I1663">
        <v>286.0702</v>
      </c>
      <c r="J1663">
        <v>-208.28960000000001</v>
      </c>
      <c r="K1663">
        <v>1.1072439999999999</v>
      </c>
      <c r="L1663">
        <v>284.76049999999998</v>
      </c>
      <c r="M1663">
        <v>-0.98274110000000003</v>
      </c>
      <c r="N1663">
        <v>0</v>
      </c>
      <c r="O1663">
        <v>-0.18474189999999999</v>
      </c>
      <c r="P1663">
        <v>-0.99771359999999998</v>
      </c>
      <c r="Q1663">
        <v>-2.284392E-2</v>
      </c>
      <c r="R1663">
        <v>-6.3607040000000004E-2</v>
      </c>
      <c r="S1663">
        <v>-3.0185089999999999</v>
      </c>
      <c r="T1663">
        <v>-0.17164299999999999</v>
      </c>
      <c r="U1663">
        <v>0.20022580000000001</v>
      </c>
      <c r="V1663">
        <v>0.121722</v>
      </c>
      <c r="W1663">
        <v>-1.4235380000000001E-2</v>
      </c>
      <c r="X1663">
        <v>0.99246219999999996</v>
      </c>
      <c r="Y1663">
        <v>0.24869630000000001</v>
      </c>
      <c r="Z1663">
        <v>1.7513529999999999E-2</v>
      </c>
      <c r="AA1663">
        <v>0.96842320000000004</v>
      </c>
      <c r="AB1663">
        <v>14</v>
      </c>
      <c r="AC1663">
        <v>-19.328900000000001</v>
      </c>
      <c r="AD1663">
        <v>-1.107241482589</v>
      </c>
      <c r="AE1663">
        <v>1.3097000000000201</v>
      </c>
      <c r="AF1663">
        <v>4.8423557329520701</v>
      </c>
      <c r="AG1663">
        <v>-1.107241482589</v>
      </c>
      <c r="AH1663">
        <v>18.6931344274937</v>
      </c>
      <c r="AI1663">
        <v>93.281739958062602</v>
      </c>
      <c r="AJ1663">
        <v>75.477069388368193</v>
      </c>
      <c r="AK1663">
        <v>19.341863081657099</v>
      </c>
      <c r="AL1663">
        <v>90.815654698783206</v>
      </c>
      <c r="AM1663">
        <v>83.0077938173891</v>
      </c>
      <c r="AN1663">
        <v>1.0000000548782899</v>
      </c>
    </row>
    <row r="1664" spans="1:40" x14ac:dyDescent="0.25">
      <c r="A1664" t="str">
        <f>"20190312154246528"</f>
        <v>20190312154246528</v>
      </c>
      <c r="B1664" t="str">
        <f>"1552376566519375"</f>
        <v>1552376566519375</v>
      </c>
      <c r="C1664" t="s">
        <v>40</v>
      </c>
      <c r="D1664">
        <v>5.007854</v>
      </c>
      <c r="E1664">
        <v>0.54814110000000005</v>
      </c>
      <c r="F1664" t="s">
        <v>50</v>
      </c>
      <c r="G1664">
        <v>-226.76499999999999</v>
      </c>
      <c r="H1664" s="1">
        <v>2.0631920000000002E-6</v>
      </c>
      <c r="I1664">
        <v>285.98439999999999</v>
      </c>
      <c r="J1664">
        <v>-208.4246</v>
      </c>
      <c r="K1664">
        <v>1.107335</v>
      </c>
      <c r="L1664">
        <v>284.7441</v>
      </c>
      <c r="M1664">
        <v>-0.98409069999999998</v>
      </c>
      <c r="N1664">
        <v>0</v>
      </c>
      <c r="O1664">
        <v>-0.1774135</v>
      </c>
      <c r="P1664">
        <v>-0.99799490000000002</v>
      </c>
      <c r="Q1664">
        <v>-2.5734630000000001E-2</v>
      </c>
      <c r="R1664">
        <v>-5.7831519999999997E-2</v>
      </c>
      <c r="S1664">
        <v>-3.0154879999999999</v>
      </c>
      <c r="T1664">
        <v>-0.18071989999999999</v>
      </c>
      <c r="U1664">
        <v>0.1997681</v>
      </c>
      <c r="V1664">
        <v>0.120042</v>
      </c>
      <c r="W1664">
        <v>-1.7101419999999999E-2</v>
      </c>
      <c r="X1664">
        <v>0.99262150000000005</v>
      </c>
      <c r="Y1664">
        <v>0.24133950000000001</v>
      </c>
      <c r="Z1664">
        <v>1.7802410000000001E-2</v>
      </c>
      <c r="AA1664">
        <v>0.97027739999999996</v>
      </c>
      <c r="AB1664">
        <v>14</v>
      </c>
      <c r="AC1664">
        <v>-18.340399999999899</v>
      </c>
      <c r="AD1664">
        <v>-1.107332936808</v>
      </c>
      <c r="AE1664">
        <v>1.24029999999999</v>
      </c>
      <c r="AF1664">
        <v>4.4584249733004402</v>
      </c>
      <c r="AG1664">
        <v>-1.107332936808</v>
      </c>
      <c r="AH1664">
        <v>17.764908522758699</v>
      </c>
      <c r="AI1664">
        <v>93.459760314357894</v>
      </c>
      <c r="AJ1664">
        <v>75.911564325971298</v>
      </c>
      <c r="AK1664">
        <v>18.34927012983</v>
      </c>
      <c r="AL1664">
        <v>90.979886964890895</v>
      </c>
      <c r="AM1664">
        <v>83.104460116275504</v>
      </c>
      <c r="AN1664">
        <v>0.99999999129613304</v>
      </c>
    </row>
    <row r="1665" spans="1:40" x14ac:dyDescent="0.25">
      <c r="A1665" t="str">
        <f>"20190312154246551"</f>
        <v>20190312154246551</v>
      </c>
      <c r="B1665" t="str">
        <f>"1552376566538895"</f>
        <v>1552376566538895</v>
      </c>
      <c r="C1665" t="s">
        <v>40</v>
      </c>
      <c r="D1665">
        <v>5.0968910000000003</v>
      </c>
      <c r="E1665">
        <v>0.54681969999999902</v>
      </c>
      <c r="F1665" t="s">
        <v>50</v>
      </c>
      <c r="G1665">
        <v>-225.99019999999999</v>
      </c>
      <c r="H1665" s="1">
        <v>1.650902E-6</v>
      </c>
      <c r="I1665">
        <v>285.96039999999999</v>
      </c>
      <c r="J1665">
        <v>-208.57089999999999</v>
      </c>
      <c r="K1665">
        <v>1.1074600000000001</v>
      </c>
      <c r="L1665">
        <v>284.72719999999998</v>
      </c>
      <c r="M1665">
        <v>-0.98544109999999996</v>
      </c>
      <c r="N1665">
        <v>0</v>
      </c>
      <c r="O1665">
        <v>-0.16975199999999999</v>
      </c>
      <c r="P1665">
        <v>-0.99824060000000003</v>
      </c>
      <c r="Q1665">
        <v>-2.8260939999999998E-2</v>
      </c>
      <c r="R1665">
        <v>-5.2124999999999998E-2</v>
      </c>
      <c r="S1665">
        <v>-3.0132289999999999</v>
      </c>
      <c r="T1665">
        <v>-0.18995339999999999</v>
      </c>
      <c r="U1665">
        <v>0.20864869999999999</v>
      </c>
      <c r="V1665">
        <v>0.1179719</v>
      </c>
      <c r="W1665">
        <v>-1.9580219999999999E-2</v>
      </c>
      <c r="X1665">
        <v>0.99282389999999998</v>
      </c>
      <c r="Y1665">
        <v>0.23662749999999999</v>
      </c>
      <c r="Z1665">
        <v>1.809709E-2</v>
      </c>
      <c r="AA1665">
        <v>0.97143190000000001</v>
      </c>
      <c r="AB1665">
        <v>14</v>
      </c>
      <c r="AC1665">
        <v>-17.4192999999999</v>
      </c>
      <c r="AD1665">
        <v>-1.1074583490979999</v>
      </c>
      <c r="AE1665">
        <v>1.2332000000000101</v>
      </c>
      <c r="AF1665">
        <v>4.1556815562256801</v>
      </c>
      <c r="AG1665">
        <v>-1.1074583490979999</v>
      </c>
      <c r="AH1665">
        <v>16.889194664790502</v>
      </c>
      <c r="AI1665">
        <v>93.643266941825601</v>
      </c>
      <c r="AJ1665">
        <v>76.176654634677206</v>
      </c>
      <c r="AK1665">
        <v>17.428168280600499</v>
      </c>
      <c r="AL1665">
        <v>91.121935636215795</v>
      </c>
      <c r="AM1665">
        <v>83.223625399893805</v>
      </c>
      <c r="AN1665">
        <v>1.0000000253080299</v>
      </c>
    </row>
    <row r="1666" spans="1:40" x14ac:dyDescent="0.25">
      <c r="A1666" t="str">
        <f>"20190312154246573"</f>
        <v>20190312154246573</v>
      </c>
      <c r="B1666" t="str">
        <f>"1552376566559395"</f>
        <v>1552376566559395</v>
      </c>
      <c r="C1666" t="s">
        <v>40</v>
      </c>
      <c r="D1666">
        <v>5.095828</v>
      </c>
      <c r="E1666">
        <v>0.5463268</v>
      </c>
      <c r="F1666" t="s">
        <v>50</v>
      </c>
      <c r="G1666">
        <v>-225.06739999999999</v>
      </c>
      <c r="H1666" s="1">
        <v>1.1598380000000001E-6</v>
      </c>
      <c r="I1666">
        <v>285.90820000000002</v>
      </c>
      <c r="J1666">
        <v>-208.70699999999999</v>
      </c>
      <c r="K1666">
        <v>1.107605</v>
      </c>
      <c r="L1666">
        <v>284.7122</v>
      </c>
      <c r="M1666">
        <v>-0.98659940000000002</v>
      </c>
      <c r="N1666">
        <v>0</v>
      </c>
      <c r="O1666">
        <v>-0.16288449999999999</v>
      </c>
      <c r="P1666">
        <v>-0.99857340000000006</v>
      </c>
      <c r="Q1666">
        <v>-2.768837E-2</v>
      </c>
      <c r="R1666">
        <v>-4.5659449999999997E-2</v>
      </c>
      <c r="S1666">
        <v>-3.010818</v>
      </c>
      <c r="T1666">
        <v>-0.20212530000000001</v>
      </c>
      <c r="U1666">
        <v>0.21554570000000001</v>
      </c>
      <c r="V1666">
        <v>0.1174993</v>
      </c>
      <c r="W1666">
        <v>-1.8950399999999999E-2</v>
      </c>
      <c r="X1666">
        <v>0.99289210000000006</v>
      </c>
      <c r="Y1666">
        <v>0.23204530000000001</v>
      </c>
      <c r="Z1666">
        <v>1.86587E-2</v>
      </c>
      <c r="AA1666">
        <v>0.972526</v>
      </c>
      <c r="AB1666">
        <v>14</v>
      </c>
      <c r="AC1666">
        <v>-16.360399999999998</v>
      </c>
      <c r="AD1666">
        <v>-1.1076038401620001</v>
      </c>
      <c r="AE1666">
        <v>1.1960000000000199</v>
      </c>
      <c r="AF1666">
        <v>3.8275523117386401</v>
      </c>
      <c r="AG1666">
        <v>-1.1076038401620001</v>
      </c>
      <c r="AH1666">
        <v>15.8746984898784</v>
      </c>
      <c r="AI1666">
        <v>93.880311133500996</v>
      </c>
      <c r="AJ1666">
        <v>76.444134499199293</v>
      </c>
      <c r="AK1666">
        <v>16.367131548025899</v>
      </c>
      <c r="AL1666">
        <v>91.085842978099706</v>
      </c>
      <c r="AM1666">
        <v>83.250980211552402</v>
      </c>
      <c r="AN1666">
        <v>0.99999996270152902</v>
      </c>
    </row>
    <row r="1667" spans="1:40" x14ac:dyDescent="0.25">
      <c r="A1667" t="str">
        <f>"20190312154246594"</f>
        <v>20190312154246594</v>
      </c>
      <c r="B1667" t="str">
        <f>"1552376566588671"</f>
        <v>1552376566588671</v>
      </c>
      <c r="C1667" t="s">
        <v>40</v>
      </c>
      <c r="D1667">
        <v>5.0682090000000004</v>
      </c>
      <c r="E1667">
        <v>0.50922889999999998</v>
      </c>
      <c r="F1667" t="s">
        <v>50</v>
      </c>
      <c r="G1667">
        <v>-225.06280000000001</v>
      </c>
      <c r="H1667" s="1">
        <v>1.1573609999999999E-6</v>
      </c>
      <c r="I1667">
        <v>285.96699999999998</v>
      </c>
      <c r="J1667">
        <v>-208.8433</v>
      </c>
      <c r="K1667">
        <v>1.1077520000000001</v>
      </c>
      <c r="L1667">
        <v>284.6979</v>
      </c>
      <c r="M1667">
        <v>-0.98767640000000001</v>
      </c>
      <c r="N1667">
        <v>0</v>
      </c>
      <c r="O1667">
        <v>-0.156219</v>
      </c>
      <c r="P1667">
        <v>-0.99887649999999994</v>
      </c>
      <c r="Q1667">
        <v>-2.6233909999999999E-2</v>
      </c>
      <c r="R1667">
        <v>-3.9470150000000002E-2</v>
      </c>
      <c r="S1667">
        <v>-3.009201</v>
      </c>
      <c r="T1667">
        <v>-0.2037812</v>
      </c>
      <c r="U1667">
        <v>0.2308655</v>
      </c>
      <c r="V1667">
        <v>0.1169689</v>
      </c>
      <c r="W1667">
        <v>-1.742136E-2</v>
      </c>
      <c r="X1667">
        <v>0.9929827</v>
      </c>
      <c r="Y1667">
        <v>0.23044329999999999</v>
      </c>
      <c r="Z1667">
        <v>1.8317590000000002E-2</v>
      </c>
      <c r="AA1667">
        <v>0.97291329999999998</v>
      </c>
      <c r="AB1667">
        <v>14</v>
      </c>
      <c r="AC1667">
        <v>-16.2195</v>
      </c>
      <c r="AD1667">
        <v>-1.1077508426389999</v>
      </c>
      <c r="AE1667">
        <v>1.2690999999999799</v>
      </c>
      <c r="AF1667">
        <v>3.7699483466545498</v>
      </c>
      <c r="AG1667">
        <v>-1.1077508426389999</v>
      </c>
      <c r="AH1667">
        <v>15.749064195514901</v>
      </c>
      <c r="AI1667">
        <v>93.913223477230503</v>
      </c>
      <c r="AJ1667">
        <v>76.538075655412598</v>
      </c>
      <c r="AK1667">
        <v>16.231840484069</v>
      </c>
      <c r="AL1667">
        <v>90.998220964656298</v>
      </c>
      <c r="AM1667">
        <v>83.281774031745599</v>
      </c>
      <c r="AN1667">
        <v>0.99999993492537198</v>
      </c>
    </row>
    <row r="1668" spans="1:40" x14ac:dyDescent="0.25">
      <c r="A1668" t="str">
        <f>"20190312154246616"</f>
        <v>20190312154246616</v>
      </c>
      <c r="B1668" t="str">
        <f>"1552376566609168"</f>
        <v>1552376566609168</v>
      </c>
      <c r="C1668" t="s">
        <v>40</v>
      </c>
      <c r="D1668">
        <v>5.103078</v>
      </c>
      <c r="E1668">
        <v>0.50800179999999995</v>
      </c>
      <c r="F1668" t="s">
        <v>41</v>
      </c>
      <c r="G1668">
        <v>-209.6344</v>
      </c>
      <c r="H1668">
        <v>0.96679619999999999</v>
      </c>
      <c r="I1668">
        <v>284.68419999999998</v>
      </c>
      <c r="J1668">
        <v>-208.9898</v>
      </c>
      <c r="K1668">
        <v>1.1078939999999999</v>
      </c>
      <c r="L1668">
        <v>284.6832</v>
      </c>
      <c r="M1668">
        <v>-0.98874379999999995</v>
      </c>
      <c r="N1668">
        <v>0</v>
      </c>
      <c r="O1668">
        <v>-0.14930959999999999</v>
      </c>
      <c r="P1668">
        <v>-0.99904999999999999</v>
      </c>
      <c r="Q1668">
        <v>-2.680602E-2</v>
      </c>
      <c r="R1668">
        <v>-3.4359939999999999E-2</v>
      </c>
      <c r="S1668">
        <v>-2.9873500000000002</v>
      </c>
      <c r="T1668">
        <v>-0.53182339999999995</v>
      </c>
      <c r="U1668">
        <v>-5.2001949999999998E-2</v>
      </c>
      <c r="V1668">
        <v>0.1151061</v>
      </c>
      <c r="W1668">
        <v>-1.7882990000000001E-2</v>
      </c>
      <c r="X1668">
        <v>0.99319219999999997</v>
      </c>
      <c r="Y1668">
        <v>0.12774549999999901</v>
      </c>
      <c r="Z1668">
        <v>3.7570810000000003E-2</v>
      </c>
      <c r="AA1668">
        <v>0.99109510000000001</v>
      </c>
      <c r="AB1668">
        <v>14</v>
      </c>
      <c r="AC1668">
        <v>-0.64459999999999695</v>
      </c>
      <c r="AD1668">
        <v>-0.1410978</v>
      </c>
      <c r="AE1668">
        <v>9.9999999997635292E-4</v>
      </c>
      <c r="AF1668">
        <v>9.2792193236234499E-2</v>
      </c>
      <c r="AG1668">
        <v>-0.1410978</v>
      </c>
      <c r="AH1668">
        <v>0.60808864713508703</v>
      </c>
      <c r="AI1668">
        <v>102.9190026034</v>
      </c>
      <c r="AJ1668">
        <v>81.323795796828804</v>
      </c>
      <c r="AK1668">
        <v>0.63110283081682605</v>
      </c>
      <c r="AL1668">
        <v>91.024674492010405</v>
      </c>
      <c r="AM1668">
        <v>83.389193230955399</v>
      </c>
      <c r="AN1668">
        <v>0.99999998086469399</v>
      </c>
    </row>
    <row r="1669" spans="1:40" x14ac:dyDescent="0.25">
      <c r="A1669" t="str">
        <f>"20190312154246639"</f>
        <v>20190312154246639</v>
      </c>
      <c r="B1669" t="str">
        <f>"1552376566628687"</f>
        <v>1552376566628687</v>
      </c>
      <c r="C1669" t="s">
        <v>40</v>
      </c>
      <c r="D1669">
        <v>5.1395179999999998</v>
      </c>
      <c r="E1669">
        <v>0.50680800000000004</v>
      </c>
      <c r="F1669" t="s">
        <v>41</v>
      </c>
      <c r="G1669">
        <v>-209.7604</v>
      </c>
      <c r="H1669">
        <v>0.96586620000000001</v>
      </c>
      <c r="I1669">
        <v>284.67099999999999</v>
      </c>
      <c r="J1669">
        <v>-209.1318</v>
      </c>
      <c r="K1669">
        <v>1.1080289999999999</v>
      </c>
      <c r="L1669">
        <v>284.66950000000003</v>
      </c>
      <c r="M1669">
        <v>-0.98968869999999998</v>
      </c>
      <c r="N1669">
        <v>0</v>
      </c>
      <c r="O1669">
        <v>-0.14290749999999999</v>
      </c>
      <c r="P1669">
        <v>-0.99908699999999995</v>
      </c>
      <c r="Q1669">
        <v>-2.8774910000000001E-2</v>
      </c>
      <c r="R1669">
        <v>-3.1582449999999998E-2</v>
      </c>
      <c r="S1669">
        <v>-2.9864649999999999</v>
      </c>
      <c r="T1669">
        <v>-0.55020760000000002</v>
      </c>
      <c r="U1669">
        <v>-4.7607419999999998E-2</v>
      </c>
      <c r="V1669">
        <v>0.1114272</v>
      </c>
      <c r="W1669">
        <v>-1.9705050000000002E-2</v>
      </c>
      <c r="X1669">
        <v>0.99357720000000005</v>
      </c>
      <c r="Y1669">
        <v>0.1226672</v>
      </c>
      <c r="Z1669">
        <v>3.723775E-2</v>
      </c>
      <c r="AA1669">
        <v>0.99174899999999999</v>
      </c>
      <c r="AB1669">
        <v>14</v>
      </c>
      <c r="AC1669">
        <v>-0.62860000000000504</v>
      </c>
      <c r="AD1669">
        <v>-0.14216280000000001</v>
      </c>
      <c r="AE1669">
        <v>1.4999999999645199E-3</v>
      </c>
      <c r="AF1669">
        <v>8.6876965360691102E-2</v>
      </c>
      <c r="AG1669">
        <v>-0.14216280000000001</v>
      </c>
      <c r="AH1669">
        <v>0.59167087298918797</v>
      </c>
      <c r="AI1669">
        <v>103.372390793978</v>
      </c>
      <c r="AJ1669">
        <v>81.646764334836504</v>
      </c>
      <c r="AK1669">
        <v>0.61468064127472699</v>
      </c>
      <c r="AL1669">
        <v>91.129089298269406</v>
      </c>
      <c r="AM1669">
        <v>83.601158336879905</v>
      </c>
      <c r="AN1669">
        <v>0.99999998112759103</v>
      </c>
    </row>
    <row r="1670" spans="1:40" x14ac:dyDescent="0.25">
      <c r="A1670" t="str">
        <f>"20190312154246662"</f>
        <v>20190312154246662</v>
      </c>
      <c r="B1670" t="str">
        <f>"1552376566649187"</f>
        <v>1552376566649187</v>
      </c>
      <c r="C1670" t="s">
        <v>40</v>
      </c>
      <c r="D1670">
        <v>5.1370380000000004</v>
      </c>
      <c r="E1670">
        <v>0.50621570000000005</v>
      </c>
      <c r="F1670" t="s">
        <v>41</v>
      </c>
      <c r="G1670">
        <v>-209.88470000000001</v>
      </c>
      <c r="H1670">
        <v>0.96145020000000003</v>
      </c>
      <c r="I1670">
        <v>284.65730000000002</v>
      </c>
      <c r="J1670">
        <v>-209.27680000000001</v>
      </c>
      <c r="K1670">
        <v>1.1081890000000001</v>
      </c>
      <c r="L1670">
        <v>284.65620000000001</v>
      </c>
      <c r="M1670">
        <v>-0.99056359999999999</v>
      </c>
      <c r="N1670">
        <v>0</v>
      </c>
      <c r="O1670">
        <v>-0.1367014</v>
      </c>
      <c r="P1670">
        <v>-0.999193</v>
      </c>
      <c r="Q1670">
        <v>-2.8722109999999999E-2</v>
      </c>
      <c r="R1670">
        <v>-2.808219E-2</v>
      </c>
      <c r="S1670">
        <v>-2.9844819999999999</v>
      </c>
      <c r="T1670">
        <v>-0.58051560000000002</v>
      </c>
      <c r="U1670">
        <v>-4.8645019999999997E-2</v>
      </c>
      <c r="V1670">
        <v>0.1086882</v>
      </c>
      <c r="W1670">
        <v>-1.9471260000000001E-2</v>
      </c>
      <c r="X1670">
        <v>0.99388520000000002</v>
      </c>
      <c r="Y1670">
        <v>0.1158289</v>
      </c>
      <c r="Z1670">
        <v>3.7432449999999999E-2</v>
      </c>
      <c r="AA1670">
        <v>0.99256359999999999</v>
      </c>
      <c r="AB1670">
        <v>14</v>
      </c>
      <c r="AC1670">
        <v>-0.6079</v>
      </c>
      <c r="AD1670">
        <v>-0.146738799999999</v>
      </c>
      <c r="AE1670">
        <v>1.1000000000080899E-3</v>
      </c>
      <c r="AF1670">
        <v>7.9558793839355602E-2</v>
      </c>
      <c r="AG1670">
        <v>-0.146738799999999</v>
      </c>
      <c r="AH1670">
        <v>0.56889439581055001</v>
      </c>
      <c r="AI1670">
        <v>104.329806916127</v>
      </c>
      <c r="AJ1670">
        <v>82.038926352043106</v>
      </c>
      <c r="AK1670">
        <v>0.59287664036227905</v>
      </c>
      <c r="AL1670">
        <v>91.115691500636999</v>
      </c>
      <c r="AM1670">
        <v>83.759110700942102</v>
      </c>
      <c r="AN1670">
        <v>1.00000002278213</v>
      </c>
    </row>
    <row r="1671" spans="1:40" x14ac:dyDescent="0.25">
      <c r="A1671" t="str">
        <f>"20190312154246684"</f>
        <v>20190312154246684</v>
      </c>
      <c r="B1671" t="str">
        <f>"1552376566679439"</f>
        <v>1552376566679439</v>
      </c>
      <c r="C1671" t="s">
        <v>40</v>
      </c>
      <c r="D1671">
        <v>5.1750720000000001</v>
      </c>
      <c r="E1671">
        <v>0.50584929999999995</v>
      </c>
      <c r="F1671" t="s">
        <v>41</v>
      </c>
      <c r="G1671">
        <v>-210.0112</v>
      </c>
      <c r="H1671">
        <v>0.96092529999999998</v>
      </c>
      <c r="I1671">
        <v>284.6454</v>
      </c>
      <c r="J1671">
        <v>-209.417</v>
      </c>
      <c r="K1671">
        <v>1.1083809999999901</v>
      </c>
      <c r="L1671">
        <v>284.6438</v>
      </c>
      <c r="M1671">
        <v>-0.99132719999999996</v>
      </c>
      <c r="N1671">
        <v>0</v>
      </c>
      <c r="O1671">
        <v>-0.1310374</v>
      </c>
      <c r="P1671">
        <v>-0.99932010000000004</v>
      </c>
      <c r="Q1671">
        <v>-2.712823E-2</v>
      </c>
      <c r="R1671">
        <v>-2.496818E-2</v>
      </c>
      <c r="S1671">
        <v>-2.983978</v>
      </c>
      <c r="T1671">
        <v>-0.59793149999999995</v>
      </c>
      <c r="U1671">
        <v>-4.4067380000000003E-2</v>
      </c>
      <c r="V1671">
        <v>0.10612580000000001</v>
      </c>
      <c r="W1671">
        <v>-1.7658529999999999E-2</v>
      </c>
      <c r="X1671">
        <v>0.99419590000000002</v>
      </c>
      <c r="Y1671">
        <v>0.1115823</v>
      </c>
      <c r="Z1671">
        <v>3.7004670000000003E-2</v>
      </c>
      <c r="AA1671">
        <v>0.993066</v>
      </c>
      <c r="AB1671">
        <v>14</v>
      </c>
      <c r="AC1671">
        <v>-0.59419999999999995</v>
      </c>
      <c r="AD1671">
        <v>-0.147455699999999</v>
      </c>
      <c r="AE1671">
        <v>1.59999999999627E-3</v>
      </c>
      <c r="AF1671">
        <v>7.4843481908068596E-2</v>
      </c>
      <c r="AG1671">
        <v>-0.147455699999999</v>
      </c>
      <c r="AH1671">
        <v>0.55470629014865502</v>
      </c>
      <c r="AI1671">
        <v>104.758653142507</v>
      </c>
      <c r="AJ1671">
        <v>82.315799351655798</v>
      </c>
      <c r="AK1671">
        <v>0.57882968011073599</v>
      </c>
      <c r="AL1671">
        <v>91.011811832211094</v>
      </c>
      <c r="AM1671">
        <v>83.907013767508005</v>
      </c>
      <c r="AN1671">
        <v>0.99999999834210496</v>
      </c>
    </row>
    <row r="1672" spans="1:40" x14ac:dyDescent="0.25">
      <c r="A1672" t="str">
        <f>"20190312154246709"</f>
        <v>20190312154246709</v>
      </c>
      <c r="B1672" t="str">
        <f>"1552376566698959"</f>
        <v>1552376566698959</v>
      </c>
      <c r="C1672" t="s">
        <v>40</v>
      </c>
      <c r="D1672">
        <v>5.1601369999999998</v>
      </c>
      <c r="E1672">
        <v>0.51057580000000002</v>
      </c>
      <c r="F1672" t="s">
        <v>41</v>
      </c>
      <c r="G1672">
        <v>-210.13800000000001</v>
      </c>
      <c r="H1672">
        <v>0.96099970000000001</v>
      </c>
      <c r="I1672">
        <v>284.63400000000001</v>
      </c>
      <c r="J1672">
        <v>-209.57409999999999</v>
      </c>
      <c r="K1672">
        <v>1.1086279999999999</v>
      </c>
      <c r="L1672">
        <v>284.63040000000001</v>
      </c>
      <c r="M1672">
        <v>-0.9920928</v>
      </c>
      <c r="N1672">
        <v>0</v>
      </c>
      <c r="O1672">
        <v>-0.12508929999999999</v>
      </c>
      <c r="P1672">
        <v>-0.9993552</v>
      </c>
      <c r="Q1672">
        <v>-2.7483239999999999E-2</v>
      </c>
      <c r="R1672">
        <v>-2.311214E-2</v>
      </c>
      <c r="S1672">
        <v>-2.984467</v>
      </c>
      <c r="T1672">
        <v>-0.6095102</v>
      </c>
      <c r="U1672">
        <v>-4.1168209999999997E-2</v>
      </c>
      <c r="V1672">
        <v>0.1020168</v>
      </c>
      <c r="W1672">
        <v>-1.771056E-2</v>
      </c>
      <c r="X1672">
        <v>0.99462499999999998</v>
      </c>
      <c r="Y1672">
        <v>0.1066296</v>
      </c>
      <c r="Z1672">
        <v>3.6006740000000002E-2</v>
      </c>
      <c r="AA1672">
        <v>0.99364660000000005</v>
      </c>
      <c r="AB1672">
        <v>14</v>
      </c>
      <c r="AC1672">
        <v>-0.56390000000001705</v>
      </c>
      <c r="AD1672">
        <v>-0.14762829999999999</v>
      </c>
      <c r="AE1672">
        <v>3.6000000000058199E-3</v>
      </c>
      <c r="AF1672">
        <v>6.9359647085224393E-2</v>
      </c>
      <c r="AG1672">
        <v>-0.14762829999999999</v>
      </c>
      <c r="AH1672">
        <v>0.52316454114886202</v>
      </c>
      <c r="AI1672">
        <v>105.62819792567601</v>
      </c>
      <c r="AJ1672">
        <v>82.447931970535393</v>
      </c>
      <c r="AK1672">
        <v>0.54800183642044198</v>
      </c>
      <c r="AL1672">
        <v>91.014793405322806</v>
      </c>
      <c r="AM1672">
        <v>84.143759561041094</v>
      </c>
      <c r="AN1672">
        <v>0.99999999102137604</v>
      </c>
    </row>
    <row r="1673" spans="1:40" x14ac:dyDescent="0.25">
      <c r="A1673" t="str">
        <f>"20190312154246731"</f>
        <v>20190312154246731</v>
      </c>
      <c r="B1673" t="str">
        <f>"1552376566719455"</f>
        <v>1552376566719455</v>
      </c>
      <c r="C1673" t="s">
        <v>40</v>
      </c>
      <c r="D1673">
        <v>5.1825710000000003</v>
      </c>
      <c r="E1673">
        <v>0.51084870000000004</v>
      </c>
      <c r="F1673" t="s">
        <v>41</v>
      </c>
      <c r="G1673">
        <v>-210.3614</v>
      </c>
      <c r="H1673">
        <v>0.89322330000000005</v>
      </c>
      <c r="I1673">
        <v>284.62909999999999</v>
      </c>
      <c r="J1673">
        <v>-209.7114</v>
      </c>
      <c r="K1673">
        <v>1.1088639999999901</v>
      </c>
      <c r="L1673">
        <v>284.61900000000003</v>
      </c>
      <c r="M1673">
        <v>-0.99268409999999996</v>
      </c>
      <c r="N1673">
        <v>0</v>
      </c>
      <c r="O1673">
        <v>-0.1202868</v>
      </c>
      <c r="P1673">
        <v>-0.99923010000000001</v>
      </c>
      <c r="Q1673">
        <v>-3.1235820000000001E-2</v>
      </c>
      <c r="R1673">
        <v>-2.3740859999999999E-2</v>
      </c>
      <c r="S1673">
        <v>-2.9793850000000002</v>
      </c>
      <c r="T1673">
        <v>-0.81467290000000003</v>
      </c>
      <c r="U1673">
        <v>-5.4016109999999997E-3</v>
      </c>
      <c r="V1673">
        <v>9.6560750000000001E-2</v>
      </c>
      <c r="W1673">
        <v>-2.1160140000000001E-2</v>
      </c>
      <c r="X1673">
        <v>0.99510220000000005</v>
      </c>
      <c r="Y1673">
        <v>0.1100542</v>
      </c>
      <c r="Z1673">
        <v>4.7014140000000003E-2</v>
      </c>
      <c r="AA1673">
        <v>0.9928131</v>
      </c>
      <c r="AB1673">
        <v>14</v>
      </c>
      <c r="AC1673">
        <v>-0.65000000000000502</v>
      </c>
      <c r="AD1673">
        <v>-0.21564069999999899</v>
      </c>
      <c r="AE1673">
        <v>1.00999999999658E-2</v>
      </c>
      <c r="AF1673">
        <v>7.9472604329510393E-2</v>
      </c>
      <c r="AG1673">
        <v>-0.21564069999999899</v>
      </c>
      <c r="AH1673">
        <v>0.58022055706226605</v>
      </c>
      <c r="AI1673">
        <v>110.214466170221</v>
      </c>
      <c r="AJ1673">
        <v>82.200748820222003</v>
      </c>
      <c r="AK1673">
        <v>0.62407748010407404</v>
      </c>
      <c r="AL1673">
        <v>91.212477137011604</v>
      </c>
      <c r="AM1673">
        <v>84.457598258974599</v>
      </c>
      <c r="AN1673">
        <v>1.0000000592050999</v>
      </c>
    </row>
    <row r="1674" spans="1:40" x14ac:dyDescent="0.25">
      <c r="A1674" t="str">
        <f>"20190312154246751"</f>
        <v>20190312154246751</v>
      </c>
      <c r="B1674" t="str">
        <f>"1552376566738979"</f>
        <v>1552376566738979</v>
      </c>
      <c r="C1674" t="s">
        <v>40</v>
      </c>
      <c r="D1674">
        <v>5.1928710000000002</v>
      </c>
      <c r="E1674">
        <v>0.51112020000000002</v>
      </c>
      <c r="F1674" t="s">
        <v>41</v>
      </c>
      <c r="G1674">
        <v>-210.48859999999999</v>
      </c>
      <c r="H1674">
        <v>0.89621090000000003</v>
      </c>
      <c r="I1674">
        <v>284.61759999999998</v>
      </c>
      <c r="J1674">
        <v>-209.84280000000001</v>
      </c>
      <c r="K1674">
        <v>1.1090610000000001</v>
      </c>
      <c r="L1674">
        <v>284.60829999999999</v>
      </c>
      <c r="M1674">
        <v>-0.993197</v>
      </c>
      <c r="N1674">
        <v>0</v>
      </c>
      <c r="O1674">
        <v>-0.1159565</v>
      </c>
      <c r="P1674">
        <v>-0.99918499999999999</v>
      </c>
      <c r="Q1674">
        <v>-3.3896339999999997E-2</v>
      </c>
      <c r="R1674">
        <v>-2.1919009999999999E-2</v>
      </c>
      <c r="S1674">
        <v>-2.976715</v>
      </c>
      <c r="T1674">
        <v>-0.81431830000000005</v>
      </c>
      <c r="U1674">
        <v>-5.8288569999999998E-3</v>
      </c>
      <c r="V1674">
        <v>9.402663E-2</v>
      </c>
      <c r="W1674">
        <v>-2.3547990000000001E-2</v>
      </c>
      <c r="X1674">
        <v>0.99529120000000004</v>
      </c>
      <c r="Y1674">
        <v>0.1058818</v>
      </c>
      <c r="Z1674">
        <v>4.5317709999999997E-2</v>
      </c>
      <c r="AA1674">
        <v>0.99334560000000005</v>
      </c>
      <c r="AB1674">
        <v>14</v>
      </c>
      <c r="AC1674">
        <v>-0.64579999999997995</v>
      </c>
      <c r="AD1674">
        <v>-0.21285009999999999</v>
      </c>
      <c r="AE1674">
        <v>9.2999999999960892E-3</v>
      </c>
      <c r="AF1674">
        <v>7.5884561165847506E-2</v>
      </c>
      <c r="AG1674">
        <v>-0.21285009999999999</v>
      </c>
      <c r="AH1674">
        <v>0.57762951555407105</v>
      </c>
      <c r="AI1674">
        <v>110.06976182654201</v>
      </c>
      <c r="AJ1674">
        <v>82.515776986830502</v>
      </c>
      <c r="AK1674">
        <v>0.62025759885113396</v>
      </c>
      <c r="AL1674">
        <v>91.349325105276705</v>
      </c>
      <c r="AM1674">
        <v>84.603200260962495</v>
      </c>
      <c r="AN1674">
        <v>1.00000004388981</v>
      </c>
    </row>
    <row r="1675" spans="1:40" x14ac:dyDescent="0.25">
      <c r="A1675" t="str">
        <f>"20190312154246773"</f>
        <v>20190312154246773</v>
      </c>
      <c r="B1675" t="str">
        <f>"1552376566759471"</f>
        <v>1552376566759471</v>
      </c>
      <c r="C1675" t="s">
        <v>40</v>
      </c>
      <c r="D1675">
        <v>5.2139329999999999</v>
      </c>
      <c r="E1675">
        <v>0.51123549999999995</v>
      </c>
      <c r="F1675" t="s">
        <v>41</v>
      </c>
      <c r="G1675">
        <v>-210.61519999999999</v>
      </c>
      <c r="H1675">
        <v>0.89734789999999998</v>
      </c>
      <c r="I1675">
        <v>284.60860000000002</v>
      </c>
      <c r="J1675">
        <v>-209.98249999999999</v>
      </c>
      <c r="K1675">
        <v>1.1092379999999999</v>
      </c>
      <c r="L1675">
        <v>284.59730000000002</v>
      </c>
      <c r="M1675">
        <v>-0.99368630000000002</v>
      </c>
      <c r="N1675">
        <v>0</v>
      </c>
      <c r="O1675">
        <v>-0.1116606</v>
      </c>
      <c r="P1675">
        <v>-0.99928939999999999</v>
      </c>
      <c r="Q1675">
        <v>-3.30675E-2</v>
      </c>
      <c r="R1675">
        <v>-1.808856E-2</v>
      </c>
      <c r="S1675">
        <v>-2.9748079999999999</v>
      </c>
      <c r="T1675">
        <v>-0.81508429999999998</v>
      </c>
      <c r="U1675">
        <v>6.1035159999999996E-4</v>
      </c>
      <c r="V1675">
        <v>9.3552570000000002E-2</v>
      </c>
      <c r="W1675">
        <v>-2.2448760000000002E-2</v>
      </c>
      <c r="X1675">
        <v>0.99536119999999995</v>
      </c>
      <c r="Y1675">
        <v>0.1039376</v>
      </c>
      <c r="Z1675">
        <v>4.3976359999999999E-2</v>
      </c>
      <c r="AA1675">
        <v>0.99361109999999997</v>
      </c>
      <c r="AB1675">
        <v>14</v>
      </c>
      <c r="AC1675">
        <v>-0.63269999999999904</v>
      </c>
      <c r="AD1675">
        <v>-0.2118901</v>
      </c>
      <c r="AE1675">
        <v>1.1300000000005601E-2</v>
      </c>
      <c r="AF1675">
        <v>7.3626164387134693E-2</v>
      </c>
      <c r="AG1675">
        <v>-0.2118901</v>
      </c>
      <c r="AH1675">
        <v>0.56422008571127003</v>
      </c>
      <c r="AI1675">
        <v>110.424725211766</v>
      </c>
      <c r="AJ1675">
        <v>82.565372876375903</v>
      </c>
      <c r="AK1675">
        <v>0.60717586552860003</v>
      </c>
      <c r="AL1675">
        <v>91.286327291857802</v>
      </c>
      <c r="AM1675">
        <v>84.630625627324704</v>
      </c>
      <c r="AN1675">
        <v>0.99999997432229004</v>
      </c>
    </row>
    <row r="1676" spans="1:40" x14ac:dyDescent="0.25">
      <c r="A1676" t="str">
        <f>"20190312154246795"</f>
        <v>20190312154246795</v>
      </c>
      <c r="B1676" t="str">
        <f>"1552376566778991"</f>
        <v>1552376566778991</v>
      </c>
      <c r="C1676" t="s">
        <v>40</v>
      </c>
      <c r="D1676">
        <v>5.2511070000000002</v>
      </c>
      <c r="E1676">
        <v>0.51202809999999999</v>
      </c>
      <c r="F1676" t="s">
        <v>41</v>
      </c>
      <c r="G1676">
        <v>-210.7433</v>
      </c>
      <c r="H1676">
        <v>0.90253779999999995</v>
      </c>
      <c r="I1676">
        <v>284.59980000000002</v>
      </c>
      <c r="J1676">
        <v>-210.1234</v>
      </c>
      <c r="K1676">
        <v>1.1094010000000001</v>
      </c>
      <c r="L1676">
        <v>284.58640000000003</v>
      </c>
      <c r="M1676">
        <v>-0.99412440000000002</v>
      </c>
      <c r="N1676">
        <v>0</v>
      </c>
      <c r="O1676">
        <v>-0.107665</v>
      </c>
      <c r="P1676">
        <v>-0.99934199999999995</v>
      </c>
      <c r="Q1676">
        <v>-3.3063580000000002E-2</v>
      </c>
      <c r="R1676">
        <v>-1.49087E-2</v>
      </c>
      <c r="S1676">
        <v>-2.9755549999999999</v>
      </c>
      <c r="T1676">
        <v>-0.8082935</v>
      </c>
      <c r="U1676">
        <v>9.6130369999999996E-3</v>
      </c>
      <c r="V1676">
        <v>9.2725970000000005E-2</v>
      </c>
      <c r="W1676">
        <v>-2.2169410000000001E-2</v>
      </c>
      <c r="X1676">
        <v>0.99544480000000002</v>
      </c>
      <c r="Y1676">
        <v>0.10325040000000001</v>
      </c>
      <c r="Z1676">
        <v>4.246055E-2</v>
      </c>
      <c r="AA1676">
        <v>0.99374870000000004</v>
      </c>
      <c r="AB1676">
        <v>14</v>
      </c>
      <c r="AC1676">
        <v>-0.61990000000000101</v>
      </c>
      <c r="AD1676">
        <v>-0.2068632</v>
      </c>
      <c r="AE1676">
        <v>1.339999999999E-2</v>
      </c>
      <c r="AF1676">
        <v>7.2048355405133796E-2</v>
      </c>
      <c r="AG1676">
        <v>-0.2068632</v>
      </c>
      <c r="AH1676">
        <v>0.55327080369970605</v>
      </c>
      <c r="AI1676">
        <v>110.34281374439701</v>
      </c>
      <c r="AJ1676">
        <v>82.580546878007993</v>
      </c>
      <c r="AK1676">
        <v>0.59505624209594099</v>
      </c>
      <c r="AL1676">
        <v>91.270317737649407</v>
      </c>
      <c r="AM1676">
        <v>84.678238437665698</v>
      </c>
      <c r="AN1676">
        <v>0.99999996904961397</v>
      </c>
    </row>
    <row r="1677" spans="1:40" x14ac:dyDescent="0.25">
      <c r="A1677" t="str">
        <f>"20190312154246818"</f>
        <v>20190312154246818</v>
      </c>
      <c r="B1677" t="str">
        <f>"1552376566809251"</f>
        <v>1552376566809251</v>
      </c>
      <c r="C1677" t="s">
        <v>40</v>
      </c>
      <c r="D1677">
        <v>5.2144170000000001</v>
      </c>
      <c r="E1677">
        <v>0.51220379999999999</v>
      </c>
      <c r="F1677" t="s">
        <v>41</v>
      </c>
      <c r="G1677">
        <v>-210.87119999999999</v>
      </c>
      <c r="H1677">
        <v>0.90734199999999998</v>
      </c>
      <c r="I1677">
        <v>284.59269999999998</v>
      </c>
      <c r="J1677">
        <v>-210.26689999999999</v>
      </c>
      <c r="K1677">
        <v>1.1095630000000001</v>
      </c>
      <c r="L1677">
        <v>284.5754</v>
      </c>
      <c r="M1677">
        <v>-0.99451579999999995</v>
      </c>
      <c r="N1677">
        <v>0</v>
      </c>
      <c r="O1677">
        <v>-0.10396039999999999</v>
      </c>
      <c r="P1677">
        <v>-0.99931479999999995</v>
      </c>
      <c r="Q1677">
        <v>-3.4805290000000003E-2</v>
      </c>
      <c r="R1677">
        <v>-1.260522E-2</v>
      </c>
      <c r="S1677">
        <v>-2.9757539999999998</v>
      </c>
      <c r="T1677">
        <v>-0.80368450000000002</v>
      </c>
      <c r="U1677">
        <v>2.4322509999999999E-2</v>
      </c>
      <c r="V1677">
        <v>9.131003E-2</v>
      </c>
      <c r="W1677">
        <v>-2.361999E-2</v>
      </c>
      <c r="X1677">
        <v>0.99554229999999999</v>
      </c>
      <c r="Y1677">
        <v>0.1046281</v>
      </c>
      <c r="Z1677">
        <v>4.1429319999999999E-2</v>
      </c>
      <c r="AA1677">
        <v>0.99364810000000003</v>
      </c>
      <c r="AB1677">
        <v>14</v>
      </c>
      <c r="AC1677">
        <v>-0.60429999999999495</v>
      </c>
      <c r="AD1677">
        <v>-0.20222099999999901</v>
      </c>
      <c r="AE1677">
        <v>1.7299999999977399E-2</v>
      </c>
      <c r="AF1677">
        <v>7.1979793902610098E-2</v>
      </c>
      <c r="AG1677">
        <v>-0.20222099999999901</v>
      </c>
      <c r="AH1677">
        <v>0.53892603224583702</v>
      </c>
      <c r="AI1677">
        <v>110.40152281864501</v>
      </c>
      <c r="AJ1677">
        <v>82.392509803246796</v>
      </c>
      <c r="AK1677">
        <v>0.58009972573989599</v>
      </c>
      <c r="AL1677">
        <v>91.3534516783578</v>
      </c>
      <c r="AM1677">
        <v>84.759556972242393</v>
      </c>
      <c r="AN1677">
        <v>0.99999994829774397</v>
      </c>
    </row>
    <row r="1678" spans="1:40" x14ac:dyDescent="0.25">
      <c r="A1678" t="str">
        <f>"20190312154246841"</f>
        <v>20190312154246841</v>
      </c>
      <c r="B1678" t="str">
        <f>"1552376566828767"</f>
        <v>1552376566828767</v>
      </c>
      <c r="C1678" t="s">
        <v>40</v>
      </c>
      <c r="D1678">
        <v>5.2528199999999998</v>
      </c>
      <c r="E1678">
        <v>0.51258079999999995</v>
      </c>
      <c r="F1678" t="s">
        <v>41</v>
      </c>
      <c r="G1678">
        <v>-210.9984</v>
      </c>
      <c r="H1678">
        <v>0.91194649999999999</v>
      </c>
      <c r="I1678">
        <v>284.58359999999999</v>
      </c>
      <c r="J1678">
        <v>-210.40710000000001</v>
      </c>
      <c r="K1678">
        <v>1.1097319999999999</v>
      </c>
      <c r="L1678">
        <v>284.56490000000002</v>
      </c>
      <c r="M1678">
        <v>-0.99485020000000002</v>
      </c>
      <c r="N1678">
        <v>0</v>
      </c>
      <c r="O1678">
        <v>-0.10068249999999999</v>
      </c>
      <c r="P1678">
        <v>-0.99930890000000006</v>
      </c>
      <c r="Q1678">
        <v>-3.5884920000000001E-2</v>
      </c>
      <c r="R1678">
        <v>-9.7049670000000001E-3</v>
      </c>
      <c r="S1678">
        <v>-2.9744869999999999</v>
      </c>
      <c r="T1678">
        <v>-0.80348240000000004</v>
      </c>
      <c r="U1678">
        <v>3.3081050000000001E-2</v>
      </c>
      <c r="V1678">
        <v>9.0921639999999998E-2</v>
      </c>
      <c r="W1678">
        <v>-2.4417049999999999E-2</v>
      </c>
      <c r="X1678">
        <v>0.99555870000000002</v>
      </c>
      <c r="Y1678">
        <v>0.10440480000000001</v>
      </c>
      <c r="Z1678">
        <v>4.0540609999999998E-2</v>
      </c>
      <c r="AA1678">
        <v>0.99370829999999999</v>
      </c>
      <c r="AB1678">
        <v>14</v>
      </c>
      <c r="AC1678">
        <v>-0.59129999999998895</v>
      </c>
      <c r="AD1678">
        <v>-0.197785499999999</v>
      </c>
      <c r="AE1678">
        <v>1.8699999999967E-2</v>
      </c>
      <c r="AF1678">
        <v>7.0286417757049705E-2</v>
      </c>
      <c r="AG1678">
        <v>-0.197785499999999</v>
      </c>
      <c r="AH1678">
        <v>0.52745640316214204</v>
      </c>
      <c r="AI1678">
        <v>110.389810348612</v>
      </c>
      <c r="AJ1678">
        <v>82.409743529127397</v>
      </c>
      <c r="AK1678">
        <v>0.56768789115861296</v>
      </c>
      <c r="AL1678">
        <v>91.399132918592301</v>
      </c>
      <c r="AM1678">
        <v>84.781809523725997</v>
      </c>
      <c r="AN1678">
        <v>1.0000000310483399</v>
      </c>
    </row>
    <row r="1679" spans="1:40" x14ac:dyDescent="0.25">
      <c r="A1679" t="str">
        <f>"20190312154246862"</f>
        <v>20190312154246862</v>
      </c>
      <c r="B1679" t="str">
        <f>"1552376566849263"</f>
        <v>1552376566849263</v>
      </c>
      <c r="C1679" t="s">
        <v>40</v>
      </c>
      <c r="D1679">
        <v>5.282572</v>
      </c>
      <c r="E1679">
        <v>0.51352609999999999</v>
      </c>
      <c r="F1679" t="s">
        <v>41</v>
      </c>
      <c r="G1679">
        <v>-211.12479999999999</v>
      </c>
      <c r="H1679">
        <v>0.91523810000000005</v>
      </c>
      <c r="I1679">
        <v>284.57619999999997</v>
      </c>
      <c r="J1679">
        <v>-210.5421</v>
      </c>
      <c r="K1679">
        <v>1.1099049999999999</v>
      </c>
      <c r="L1679">
        <v>284.5548</v>
      </c>
      <c r="M1679">
        <v>-0.99512999999999996</v>
      </c>
      <c r="N1679">
        <v>0</v>
      </c>
      <c r="O1679">
        <v>-9.7849350000000002E-2</v>
      </c>
      <c r="P1679">
        <v>-0.99935350000000001</v>
      </c>
      <c r="Q1679">
        <v>-3.5393429999999997E-2</v>
      </c>
      <c r="R1679">
        <v>-6.3184110000000003E-3</v>
      </c>
      <c r="S1679">
        <v>-2.9735870000000002</v>
      </c>
      <c r="T1679">
        <v>-0.80559440000000004</v>
      </c>
      <c r="U1679">
        <v>4.6112060000000003E-2</v>
      </c>
      <c r="V1679">
        <v>9.1472390000000001E-2</v>
      </c>
      <c r="W1679">
        <v>-2.3668979999999999E-2</v>
      </c>
      <c r="X1679">
        <v>0.99552629999999998</v>
      </c>
      <c r="Y1679">
        <v>0.10593660000000001</v>
      </c>
      <c r="Z1679">
        <v>4.0108159999999997E-2</v>
      </c>
      <c r="AA1679">
        <v>0.99356369999999905</v>
      </c>
      <c r="AB1679">
        <v>14</v>
      </c>
      <c r="AC1679">
        <v>-0.58269999999998801</v>
      </c>
      <c r="AD1679">
        <v>-0.1946669</v>
      </c>
      <c r="AE1679">
        <v>2.13999999999714E-2</v>
      </c>
      <c r="AF1679">
        <v>7.0464376127296294E-2</v>
      </c>
      <c r="AG1679">
        <v>-0.1946669</v>
      </c>
      <c r="AH1679">
        <v>0.51986630440130299</v>
      </c>
      <c r="AI1679">
        <v>110.35800824377</v>
      </c>
      <c r="AJ1679">
        <v>82.280984789683401</v>
      </c>
      <c r="AK1679">
        <v>0.55957251961697196</v>
      </c>
      <c r="AL1679">
        <v>91.356259291351805</v>
      </c>
      <c r="AM1679">
        <v>84.750206962946706</v>
      </c>
      <c r="AN1679">
        <v>1.0000000163691201</v>
      </c>
    </row>
    <row r="1680" spans="1:40" x14ac:dyDescent="0.25">
      <c r="A1680" t="str">
        <f>"20190312154246885"</f>
        <v>20190312154246885</v>
      </c>
      <c r="B1680" t="str">
        <f>"1552376566879519"</f>
        <v>1552376566879519</v>
      </c>
      <c r="C1680" t="s">
        <v>40</v>
      </c>
      <c r="D1680">
        <v>5.292408</v>
      </c>
      <c r="E1680">
        <v>0.51480130000000002</v>
      </c>
      <c r="F1680" t="s">
        <v>41</v>
      </c>
      <c r="G1680">
        <v>-211.25049999999999</v>
      </c>
      <c r="H1680">
        <v>0.91749139999999996</v>
      </c>
      <c r="I1680">
        <v>284.56970000000001</v>
      </c>
      <c r="J1680">
        <v>-210.68020000000001</v>
      </c>
      <c r="K1680">
        <v>1.1100969999999999</v>
      </c>
      <c r="L1680">
        <v>284.5444</v>
      </c>
      <c r="M1680">
        <v>-0.99537759999999997</v>
      </c>
      <c r="N1680">
        <v>0</v>
      </c>
      <c r="O1680">
        <v>-9.5272159999999995E-2</v>
      </c>
      <c r="P1680">
        <v>-0.99939979999999995</v>
      </c>
      <c r="Q1680">
        <v>-3.447646E-2</v>
      </c>
      <c r="R1680">
        <v>-3.4065520000000002E-3</v>
      </c>
      <c r="S1680">
        <v>-2.9737239999999998</v>
      </c>
      <c r="T1680">
        <v>-0.80757650000000003</v>
      </c>
      <c r="U1680">
        <v>6.25E-2</v>
      </c>
      <c r="V1680">
        <v>9.1808840000000003E-2</v>
      </c>
      <c r="W1680">
        <v>-2.2510559999999999E-2</v>
      </c>
      <c r="X1680">
        <v>0.99552220000000002</v>
      </c>
      <c r="Y1680">
        <v>0.1087914</v>
      </c>
      <c r="Z1680">
        <v>3.9896880000000003E-2</v>
      </c>
      <c r="AA1680">
        <v>0.99326369999999997</v>
      </c>
      <c r="AB1680">
        <v>14</v>
      </c>
      <c r="AC1680">
        <v>-0.57029999999997405</v>
      </c>
      <c r="AD1680">
        <v>-0.19260559999999899</v>
      </c>
      <c r="AE1680">
        <v>2.5300000000015602E-2</v>
      </c>
      <c r="AF1680">
        <v>7.1395288513683E-2</v>
      </c>
      <c r="AG1680">
        <v>-0.19260559999999899</v>
      </c>
      <c r="AH1680">
        <v>0.50752106503945105</v>
      </c>
      <c r="AI1680">
        <v>110.596343170654</v>
      </c>
      <c r="AJ1680">
        <v>81.992488197758604</v>
      </c>
      <c r="AK1680">
        <v>0.547514233451598</v>
      </c>
      <c r="AL1680">
        <v>91.289869007775906</v>
      </c>
      <c r="AM1680">
        <v>84.730984295706804</v>
      </c>
      <c r="AN1680">
        <v>1.0000000195532399</v>
      </c>
    </row>
    <row r="1681" spans="1:40" x14ac:dyDescent="0.25">
      <c r="A1681" t="str">
        <f>"20190312154246908"</f>
        <v>20190312154246908</v>
      </c>
      <c r="B1681" t="str">
        <f>"1552376566899039"</f>
        <v>1552376566899039</v>
      </c>
      <c r="C1681" t="s">
        <v>40</v>
      </c>
      <c r="D1681">
        <v>5.2388659999999998</v>
      </c>
      <c r="E1681">
        <v>0.51535379999999997</v>
      </c>
      <c r="F1681" t="s">
        <v>41</v>
      </c>
      <c r="G1681">
        <v>-211.37629999999999</v>
      </c>
      <c r="H1681">
        <v>0.92041740000000005</v>
      </c>
      <c r="I1681">
        <v>284.56349999999998</v>
      </c>
      <c r="J1681">
        <v>-210.8271</v>
      </c>
      <c r="K1681">
        <v>1.110276</v>
      </c>
      <c r="L1681">
        <v>284.5333</v>
      </c>
      <c r="M1681">
        <v>-0.99560040000000005</v>
      </c>
      <c r="N1681">
        <v>0</v>
      </c>
      <c r="O1681">
        <v>-9.2889349999999996E-2</v>
      </c>
      <c r="P1681">
        <v>-0.99937019999999999</v>
      </c>
      <c r="Q1681">
        <v>-3.5478780000000001E-2</v>
      </c>
      <c r="R1681">
        <v>-8.805614E-4</v>
      </c>
      <c r="S1681">
        <v>-2.9741360000000001</v>
      </c>
      <c r="T1681">
        <v>-0.81022430000000001</v>
      </c>
      <c r="U1681">
        <v>8.0596920000000002E-2</v>
      </c>
      <c r="V1681">
        <v>9.1947870000000001E-2</v>
      </c>
      <c r="W1681">
        <v>-2.3282130000000002E-2</v>
      </c>
      <c r="X1681">
        <v>0.99549160000000003</v>
      </c>
      <c r="Y1681">
        <v>0.1123623</v>
      </c>
      <c r="Z1681">
        <v>3.9858780000000003E-2</v>
      </c>
      <c r="AA1681">
        <v>0.99286759999999996</v>
      </c>
      <c r="AB1681">
        <v>14</v>
      </c>
      <c r="AC1681">
        <v>-0.54919999999998403</v>
      </c>
      <c r="AD1681">
        <v>-0.18985859999999999</v>
      </c>
      <c r="AE1681">
        <v>3.0199999999979299E-2</v>
      </c>
      <c r="AF1681">
        <v>7.24551823718773E-2</v>
      </c>
      <c r="AG1681">
        <v>-0.18985859999999999</v>
      </c>
      <c r="AH1681">
        <v>0.48610145293463702</v>
      </c>
      <c r="AI1681">
        <v>111.121861467721</v>
      </c>
      <c r="AJ1681">
        <v>81.522272004528901</v>
      </c>
      <c r="AK1681">
        <v>0.52686873506753695</v>
      </c>
      <c r="AL1681">
        <v>91.334088335011501</v>
      </c>
      <c r="AM1681">
        <v>84.722888923919896</v>
      </c>
      <c r="AN1681">
        <v>0.99999999702271702</v>
      </c>
    </row>
    <row r="1682" spans="1:40" x14ac:dyDescent="0.25">
      <c r="A1682" t="str">
        <f>"20190312154246931"</f>
        <v>20190312154246931</v>
      </c>
      <c r="B1682" t="str">
        <f>"1552376566919535"</f>
        <v>1552376566919535</v>
      </c>
      <c r="C1682" t="s">
        <v>40</v>
      </c>
      <c r="D1682">
        <v>5.2545500000000001</v>
      </c>
      <c r="E1682">
        <v>0.51580300000000001</v>
      </c>
      <c r="F1682" t="s">
        <v>41</v>
      </c>
      <c r="G1682">
        <v>-211.61330000000001</v>
      </c>
      <c r="H1682">
        <v>0.89458740000000003</v>
      </c>
      <c r="I1682">
        <v>284.55790000000002</v>
      </c>
      <c r="J1682">
        <v>-210.9684</v>
      </c>
      <c r="K1682">
        <v>1.1104149999999999</v>
      </c>
      <c r="L1682">
        <v>284.52249999999998</v>
      </c>
      <c r="M1682">
        <v>-0.99577459999999995</v>
      </c>
      <c r="N1682">
        <v>0</v>
      </c>
      <c r="O1682">
        <v>-9.0980069999999996E-2</v>
      </c>
      <c r="P1682">
        <v>-0.99929820000000003</v>
      </c>
      <c r="Q1682">
        <v>-3.744368E-2</v>
      </c>
      <c r="R1682">
        <v>1.0738569999999999E-3</v>
      </c>
      <c r="S1682">
        <v>-2.9730219999999998</v>
      </c>
      <c r="T1682">
        <v>-0.81557440000000003</v>
      </c>
      <c r="U1682">
        <v>9.2468259999999997E-2</v>
      </c>
      <c r="V1682">
        <v>9.1986620000000005E-2</v>
      </c>
      <c r="W1682">
        <v>-2.5052560000000001E-2</v>
      </c>
      <c r="X1682">
        <v>0.99544500000000002</v>
      </c>
      <c r="Y1682">
        <v>0.1143253</v>
      </c>
      <c r="Z1682">
        <v>3.9877530000000001E-2</v>
      </c>
      <c r="AA1682">
        <v>0.99264269999999999</v>
      </c>
      <c r="AB1682">
        <v>14</v>
      </c>
      <c r="AC1682">
        <v>-0.64490000000000602</v>
      </c>
      <c r="AD1682">
        <v>-0.21582759999999901</v>
      </c>
      <c r="AE1682">
        <v>3.54000000000382E-2</v>
      </c>
      <c r="AF1682">
        <v>8.44954686228747E-2</v>
      </c>
      <c r="AG1682">
        <v>-0.21582759999999901</v>
      </c>
      <c r="AH1682">
        <v>0.57481636883750498</v>
      </c>
      <c r="AI1682">
        <v>110.379039151142</v>
      </c>
      <c r="AJ1682">
        <v>81.637660487964197</v>
      </c>
      <c r="AK1682">
        <v>0.619786168789764</v>
      </c>
      <c r="AL1682">
        <v>91.435556206798594</v>
      </c>
      <c r="AM1682">
        <v>84.720431785630197</v>
      </c>
      <c r="AN1682">
        <v>0.99999995852328805</v>
      </c>
    </row>
    <row r="1683" spans="1:40" x14ac:dyDescent="0.25">
      <c r="A1683" t="str">
        <f>"20190312154246951"</f>
        <v>20190312154246951</v>
      </c>
      <c r="B1683" t="str">
        <f>"1552376566939055"</f>
        <v>1552376566939055</v>
      </c>
      <c r="C1683" t="s">
        <v>40</v>
      </c>
      <c r="D1683">
        <v>5.4844569999999999</v>
      </c>
      <c r="E1683">
        <v>0.51672399999999996</v>
      </c>
      <c r="F1683" t="s">
        <v>41</v>
      </c>
      <c r="G1683">
        <v>-211.73759999999999</v>
      </c>
      <c r="H1683">
        <v>0.89774379999999998</v>
      </c>
      <c r="I1683">
        <v>284.54930000000002</v>
      </c>
      <c r="J1683">
        <v>-211.09559999999999</v>
      </c>
      <c r="K1683">
        <v>1.110493</v>
      </c>
      <c r="L1683">
        <v>284.5127</v>
      </c>
      <c r="M1683">
        <v>-0.9959076</v>
      </c>
      <c r="N1683">
        <v>0</v>
      </c>
      <c r="O1683">
        <v>-8.9494740000000003E-2</v>
      </c>
      <c r="P1683">
        <v>-0.99925370000000002</v>
      </c>
      <c r="Q1683">
        <v>-3.8551950000000001E-2</v>
      </c>
      <c r="R1683">
        <v>2.4480190000000001E-3</v>
      </c>
      <c r="S1683">
        <v>-2.9712070000000002</v>
      </c>
      <c r="T1683">
        <v>-0.82152409999999998</v>
      </c>
      <c r="U1683">
        <v>0.1032715</v>
      </c>
      <c r="V1683">
        <v>9.1872179999999998E-2</v>
      </c>
      <c r="W1683">
        <v>-2.600916E-2</v>
      </c>
      <c r="X1683">
        <v>0.99543110000000001</v>
      </c>
      <c r="Y1683">
        <v>0.1163317</v>
      </c>
      <c r="Z1683">
        <v>4.0050500000000003E-2</v>
      </c>
      <c r="AA1683">
        <v>0.99240260000000002</v>
      </c>
      <c r="AB1683">
        <v>14</v>
      </c>
      <c r="AC1683">
        <v>-0.64199999999999502</v>
      </c>
      <c r="AD1683">
        <v>-0.2127492</v>
      </c>
      <c r="AE1683">
        <v>3.6600000000021199E-2</v>
      </c>
      <c r="AF1683">
        <v>8.4647730022112094E-2</v>
      </c>
      <c r="AG1683">
        <v>-0.2127492</v>
      </c>
      <c r="AH1683">
        <v>0.57338479639003703</v>
      </c>
      <c r="AI1683">
        <v>110.156295050289</v>
      </c>
      <c r="AJ1683">
        <v>81.602187664325797</v>
      </c>
      <c r="AK1683">
        <v>0.61741200590025902</v>
      </c>
      <c r="AL1683">
        <v>91.490383127433304</v>
      </c>
      <c r="AM1683">
        <v>84.726889799736597</v>
      </c>
      <c r="AN1683">
        <v>1.0000000243545299</v>
      </c>
    </row>
    <row r="1684" spans="1:40" x14ac:dyDescent="0.25">
      <c r="A1684" t="str">
        <f>"20190312154246974"</f>
        <v>20190312154246974</v>
      </c>
      <c r="B1684" t="str">
        <f>"1552376566969312"</f>
        <v>1552376566969312</v>
      </c>
      <c r="C1684" t="s">
        <v>40</v>
      </c>
      <c r="D1684">
        <v>5.2650800000000002</v>
      </c>
      <c r="E1684">
        <v>0.51750439999999998</v>
      </c>
      <c r="F1684" t="s">
        <v>41</v>
      </c>
      <c r="G1684">
        <v>-211.8604</v>
      </c>
      <c r="H1684">
        <v>0.89736530000000003</v>
      </c>
      <c r="I1684">
        <v>284.54289999999997</v>
      </c>
      <c r="J1684">
        <v>-211.22839999999999</v>
      </c>
      <c r="K1684">
        <v>1.1105419999999999</v>
      </c>
      <c r="L1684">
        <v>284.50240000000002</v>
      </c>
      <c r="M1684">
        <v>-0.99602460000000004</v>
      </c>
      <c r="N1684">
        <v>0</v>
      </c>
      <c r="O1684">
        <v>-8.8164960000000001E-2</v>
      </c>
      <c r="P1684">
        <v>-0.99928689999999998</v>
      </c>
      <c r="Q1684">
        <v>-3.7590400000000003E-2</v>
      </c>
      <c r="R1684">
        <v>3.5676229999999998E-3</v>
      </c>
      <c r="S1684">
        <v>-2.9700319999999998</v>
      </c>
      <c r="T1684">
        <v>-0.82755400000000001</v>
      </c>
      <c r="U1684">
        <v>0.11645510000000001</v>
      </c>
      <c r="V1684">
        <v>9.1664910000000002E-2</v>
      </c>
      <c r="W1684">
        <v>-2.4911880000000001E-2</v>
      </c>
      <c r="X1684">
        <v>0.99547830000000004</v>
      </c>
      <c r="Y1684">
        <v>0.1192423</v>
      </c>
      <c r="Z1684">
        <v>4.0382260000000003E-2</v>
      </c>
      <c r="AA1684">
        <v>0.99204360000000003</v>
      </c>
      <c r="AB1684">
        <v>14</v>
      </c>
      <c r="AC1684">
        <v>-0.632000000000005</v>
      </c>
      <c r="AD1684">
        <v>-0.213176699999999</v>
      </c>
      <c r="AE1684">
        <v>4.0499999999951797E-2</v>
      </c>
      <c r="AF1684">
        <v>8.6289614711537496E-2</v>
      </c>
      <c r="AG1684">
        <v>-0.213176699999999</v>
      </c>
      <c r="AH1684">
        <v>0.56225844635190902</v>
      </c>
      <c r="AI1684">
        <v>110.543787537366</v>
      </c>
      <c r="AJ1684">
        <v>81.274911463273895</v>
      </c>
      <c r="AK1684">
        <v>0.60747408465219199</v>
      </c>
      <c r="AL1684">
        <v>91.427493186795601</v>
      </c>
      <c r="AM1684">
        <v>84.738967524662399</v>
      </c>
      <c r="AN1684">
        <v>1.00000005163066</v>
      </c>
    </row>
    <row r="1685" spans="1:40" x14ac:dyDescent="0.25">
      <c r="A1685" t="str">
        <f>"20190312154246998"</f>
        <v>20190312154246998</v>
      </c>
      <c r="B1685" t="str">
        <f>"1552376566988832"</f>
        <v>1552376566988832</v>
      </c>
      <c r="C1685" t="s">
        <v>40</v>
      </c>
      <c r="D1685">
        <v>5.2723019999999998</v>
      </c>
      <c r="E1685">
        <v>0.51782490000000003</v>
      </c>
      <c r="F1685" t="s">
        <v>41</v>
      </c>
      <c r="G1685">
        <v>-211.98410000000001</v>
      </c>
      <c r="H1685">
        <v>0.90049360000000001</v>
      </c>
      <c r="I1685">
        <v>284.53469999999999</v>
      </c>
      <c r="J1685">
        <v>-211.3777</v>
      </c>
      <c r="K1685">
        <v>1.110574</v>
      </c>
      <c r="L1685">
        <v>284.4907</v>
      </c>
      <c r="M1685">
        <v>-0.99613189999999996</v>
      </c>
      <c r="N1685">
        <v>0</v>
      </c>
      <c r="O1685">
        <v>-8.6926509999999999E-2</v>
      </c>
      <c r="P1685">
        <v>-0.99932719999999997</v>
      </c>
      <c r="Q1685">
        <v>-3.6344599999999998E-2</v>
      </c>
      <c r="R1685">
        <v>4.9587099999999999E-3</v>
      </c>
      <c r="S1685">
        <v>-2.970612</v>
      </c>
      <c r="T1685">
        <v>-0.82560469999999897</v>
      </c>
      <c r="U1685">
        <v>0.1266785</v>
      </c>
      <c r="V1685">
        <v>9.1819139999999994E-2</v>
      </c>
      <c r="W1685">
        <v>-2.3536620000000001E-2</v>
      </c>
      <c r="X1685">
        <v>0.99549750000000004</v>
      </c>
      <c r="Y1685">
        <v>0.1214147</v>
      </c>
      <c r="Z1685">
        <v>4.0240430000000001E-2</v>
      </c>
      <c r="AA1685">
        <v>0.9917859</v>
      </c>
      <c r="AB1685">
        <v>14</v>
      </c>
      <c r="AC1685">
        <v>-0.60640000000000704</v>
      </c>
      <c r="AD1685">
        <v>-0.210080399999999</v>
      </c>
      <c r="AE1685">
        <v>4.3999999999982699E-2</v>
      </c>
      <c r="AF1685">
        <v>8.6252249513497303E-2</v>
      </c>
      <c r="AG1685">
        <v>-0.210080399999999</v>
      </c>
      <c r="AH1685">
        <v>0.53625503612384695</v>
      </c>
      <c r="AI1685">
        <v>111.14564917287299</v>
      </c>
      <c r="AJ1685">
        <v>80.8626990612225</v>
      </c>
      <c r="AK1685">
        <v>0.58235958717830605</v>
      </c>
      <c r="AL1685">
        <v>91.348673531256296</v>
      </c>
      <c r="AM1685">
        <v>84.730266482659601</v>
      </c>
      <c r="AN1685">
        <v>0.99999999972880704</v>
      </c>
    </row>
    <row r="1686" spans="1:40" x14ac:dyDescent="0.25">
      <c r="A1686" t="str">
        <f>"20190312154247019"</f>
        <v>20190312154247019</v>
      </c>
      <c r="B1686" t="str">
        <f>"1552376567009328"</f>
        <v>1552376567009328</v>
      </c>
      <c r="C1686" t="s">
        <v>40</v>
      </c>
      <c r="D1686">
        <v>5.3678629999999998</v>
      </c>
      <c r="E1686">
        <v>0.51817599999999997</v>
      </c>
      <c r="F1686" t="s">
        <v>41</v>
      </c>
      <c r="G1686">
        <v>-212.10929999999999</v>
      </c>
      <c r="H1686">
        <v>0.90816390000000002</v>
      </c>
      <c r="I1686">
        <v>284.52409999999998</v>
      </c>
      <c r="J1686">
        <v>-211.5077</v>
      </c>
      <c r="K1686">
        <v>1.1106069999999999</v>
      </c>
      <c r="L1686">
        <v>284.48039999999997</v>
      </c>
      <c r="M1686">
        <v>-0.99620690000000001</v>
      </c>
      <c r="N1686">
        <v>0</v>
      </c>
      <c r="O1686">
        <v>-8.6047460000000006E-2</v>
      </c>
      <c r="P1686">
        <v>-0.9993611</v>
      </c>
      <c r="Q1686">
        <v>-3.5355709999999999E-2</v>
      </c>
      <c r="R1686">
        <v>5.2461519999999996E-3</v>
      </c>
      <c r="S1686">
        <v>-2.9714510000000001</v>
      </c>
      <c r="T1686">
        <v>-0.82198719999999903</v>
      </c>
      <c r="U1686">
        <v>0.13482669999999999</v>
      </c>
      <c r="V1686">
        <v>9.1231989999999999E-2</v>
      </c>
      <c r="W1686">
        <v>-2.2447450000000001E-2</v>
      </c>
      <c r="X1686">
        <v>0.99557660000000003</v>
      </c>
      <c r="Y1686">
        <v>0.1232779</v>
      </c>
      <c r="Z1686">
        <v>4.0072740000000003E-2</v>
      </c>
      <c r="AA1686">
        <v>0.99156279999999997</v>
      </c>
      <c r="AB1686">
        <v>14</v>
      </c>
      <c r="AC1686">
        <v>-0.60159999999999003</v>
      </c>
      <c r="AD1686">
        <v>-0.20244309999999899</v>
      </c>
      <c r="AE1686">
        <v>4.3700000000001099E-2</v>
      </c>
      <c r="AF1686">
        <v>8.5659434787149893E-2</v>
      </c>
      <c r="AG1686">
        <v>-0.20244309999999899</v>
      </c>
      <c r="AH1686">
        <v>0.53530885258679095</v>
      </c>
      <c r="AI1686">
        <v>110.477100425876</v>
      </c>
      <c r="AJ1686">
        <v>80.9086775500529</v>
      </c>
      <c r="AK1686">
        <v>0.57868498785042899</v>
      </c>
      <c r="AL1686">
        <v>91.286252227151294</v>
      </c>
      <c r="AM1686">
        <v>84.764190309711495</v>
      </c>
      <c r="AN1686">
        <v>0.99999996523920998</v>
      </c>
    </row>
    <row r="1687" spans="1:40" x14ac:dyDescent="0.25">
      <c r="A1687" t="str">
        <f>"20190312154247034"</f>
        <v>20190312154247034</v>
      </c>
      <c r="B1687" t="str">
        <f>"1552376567028848"</f>
        <v>1552376567028848</v>
      </c>
      <c r="C1687" t="s">
        <v>40</v>
      </c>
      <c r="D1687">
        <v>5.7709640000000002</v>
      </c>
      <c r="E1687">
        <v>0.51844299999999999</v>
      </c>
      <c r="F1687" t="s">
        <v>41</v>
      </c>
      <c r="G1687">
        <v>-212.23220000000001</v>
      </c>
      <c r="H1687">
        <v>0.91091040000000001</v>
      </c>
      <c r="I1687">
        <v>284.51479999999998</v>
      </c>
      <c r="J1687">
        <v>-211.59610000000001</v>
      </c>
      <c r="K1687">
        <v>1.110633</v>
      </c>
      <c r="L1687">
        <v>284.47340000000003</v>
      </c>
      <c r="M1687">
        <v>-0.99624950000000001</v>
      </c>
      <c r="N1687">
        <v>0</v>
      </c>
      <c r="O1687">
        <v>-8.5544690000000007E-2</v>
      </c>
      <c r="P1687">
        <v>-0.99936040000000004</v>
      </c>
      <c r="Q1687">
        <v>-3.5374099999999999E-2</v>
      </c>
      <c r="R1687">
        <v>5.2426720000000003E-3</v>
      </c>
      <c r="S1687">
        <v>-2.9721980000000001</v>
      </c>
      <c r="T1687">
        <v>-0.8191214</v>
      </c>
      <c r="U1687">
        <v>0.14004520000000001</v>
      </c>
      <c r="V1687">
        <v>9.0727420000000003E-2</v>
      </c>
      <c r="W1687">
        <v>-2.2402829999999999E-2</v>
      </c>
      <c r="X1687">
        <v>0.99562379999999995</v>
      </c>
      <c r="Y1687">
        <v>0.12453350000000001</v>
      </c>
      <c r="Z1687">
        <v>3.996135E-2</v>
      </c>
      <c r="AA1687">
        <v>0.99141040000000002</v>
      </c>
      <c r="AB1687">
        <v>14</v>
      </c>
      <c r="AC1687">
        <v>-0.636099999999999</v>
      </c>
      <c r="AD1687">
        <v>-0.1997226</v>
      </c>
      <c r="AE1687">
        <v>4.1399999999953203E-2</v>
      </c>
      <c r="AF1687">
        <v>8.7115845291156804E-2</v>
      </c>
      <c r="AG1687">
        <v>-0.1997226</v>
      </c>
      <c r="AH1687">
        <v>0.57388878068709004</v>
      </c>
      <c r="AI1687">
        <v>108.987035745188</v>
      </c>
      <c r="AJ1687">
        <v>81.368444159591107</v>
      </c>
      <c r="AK1687">
        <v>0.61386205294843499</v>
      </c>
      <c r="AL1687">
        <v>91.283694935781298</v>
      </c>
      <c r="AM1687">
        <v>84.7932334923036</v>
      </c>
      <c r="AN1687">
        <v>1.00000005132915</v>
      </c>
    </row>
    <row r="1688" spans="1:40" x14ac:dyDescent="0.25">
      <c r="A1688" t="str">
        <f>"20190312154247052"</f>
        <v>20190312154247052</v>
      </c>
      <c r="B1688" t="str">
        <f>"1552376567039584"</f>
        <v>1552376567039584</v>
      </c>
      <c r="C1688" t="s">
        <v>40</v>
      </c>
      <c r="D1688">
        <v>5.2685519999999997</v>
      </c>
      <c r="E1688">
        <v>0.5184647</v>
      </c>
      <c r="F1688" t="s">
        <v>41</v>
      </c>
      <c r="G1688">
        <v>-212.35059999999999</v>
      </c>
      <c r="H1688">
        <v>0.90315869999999998</v>
      </c>
      <c r="I1688">
        <v>284.51</v>
      </c>
      <c r="J1688">
        <v>-211.70660000000001</v>
      </c>
      <c r="K1688">
        <v>1.1106640000000001</v>
      </c>
      <c r="L1688">
        <v>284.46460000000002</v>
      </c>
      <c r="M1688">
        <v>-0.99629369999999995</v>
      </c>
      <c r="N1688">
        <v>0</v>
      </c>
      <c r="O1688">
        <v>-8.5017609999999993E-2</v>
      </c>
      <c r="P1688">
        <v>-0.99932310000000002</v>
      </c>
      <c r="Q1688">
        <v>-3.6593569999999999E-2</v>
      </c>
      <c r="R1688">
        <v>3.7791460000000002E-3</v>
      </c>
      <c r="S1688">
        <v>-2.9722439999999999</v>
      </c>
      <c r="T1688">
        <v>-0.81723250000000003</v>
      </c>
      <c r="U1688">
        <v>0.14303589999999999</v>
      </c>
      <c r="V1688">
        <v>8.8742050000000003E-2</v>
      </c>
      <c r="W1688">
        <v>-2.3548119999999999E-2</v>
      </c>
      <c r="X1688">
        <v>0.9957762</v>
      </c>
      <c r="Y1688">
        <v>0.1250404</v>
      </c>
      <c r="Z1688">
        <v>3.9797689999999997E-2</v>
      </c>
      <c r="AA1688">
        <v>0.99135320000000005</v>
      </c>
      <c r="AB1688">
        <v>14</v>
      </c>
      <c r="AC1688">
        <v>-0.64399999999997704</v>
      </c>
      <c r="AD1688">
        <v>-0.207505299999999</v>
      </c>
      <c r="AE1688">
        <v>4.5399999999972303E-2</v>
      </c>
      <c r="AF1688">
        <v>9.0628931159528997E-2</v>
      </c>
      <c r="AG1688">
        <v>-0.207505299999999</v>
      </c>
      <c r="AH1688">
        <v>0.57808688071765901</v>
      </c>
      <c r="AI1688">
        <v>109.525538109834</v>
      </c>
      <c r="AJ1688">
        <v>81.090041667342504</v>
      </c>
      <c r="AK1688">
        <v>0.62085142695260198</v>
      </c>
      <c r="AL1688">
        <v>91.349332678537806</v>
      </c>
      <c r="AM1688">
        <v>84.907341574318295</v>
      </c>
      <c r="AN1688">
        <v>0.99999995294008703</v>
      </c>
    </row>
    <row r="1689" spans="1:40" x14ac:dyDescent="0.25">
      <c r="A1689" t="str">
        <f>"20190312154247074"</f>
        <v>20190312154247074</v>
      </c>
      <c r="B1689" t="str">
        <f>"1552376567068864"</f>
        <v>1552376567068864</v>
      </c>
      <c r="C1689" t="s">
        <v>40</v>
      </c>
      <c r="D1689">
        <v>5.235754</v>
      </c>
      <c r="E1689">
        <v>0.51865249999999996</v>
      </c>
      <c r="F1689" t="s">
        <v>41</v>
      </c>
      <c r="G1689">
        <v>-212.47049999999999</v>
      </c>
      <c r="H1689">
        <v>0.90032590000000001</v>
      </c>
      <c r="I1689">
        <v>284.5009</v>
      </c>
      <c r="J1689">
        <v>-211.84379999999999</v>
      </c>
      <c r="K1689">
        <v>1.1107119999999999</v>
      </c>
      <c r="L1689">
        <v>284.45350000000002</v>
      </c>
      <c r="M1689">
        <v>-0.99633620000000001</v>
      </c>
      <c r="N1689">
        <v>0</v>
      </c>
      <c r="O1689">
        <v>-8.450887E-2</v>
      </c>
      <c r="P1689">
        <v>-0.99930249999999998</v>
      </c>
      <c r="Q1689">
        <v>-3.7320680000000002E-2</v>
      </c>
      <c r="R1689">
        <v>1.417995E-3</v>
      </c>
      <c r="S1689">
        <v>-2.971527</v>
      </c>
      <c r="T1689">
        <v>-0.81827819999999996</v>
      </c>
      <c r="U1689">
        <v>0.14135739999999999</v>
      </c>
      <c r="V1689">
        <v>8.5882420000000001E-2</v>
      </c>
      <c r="W1689">
        <v>-2.419257E-2</v>
      </c>
      <c r="X1689">
        <v>0.99601150000000005</v>
      </c>
      <c r="Y1689">
        <v>0.1240204</v>
      </c>
      <c r="Z1689">
        <v>3.9581419999999999E-2</v>
      </c>
      <c r="AA1689">
        <v>0.99148990000000004</v>
      </c>
      <c r="AB1689">
        <v>14</v>
      </c>
      <c r="AC1689">
        <v>-0.62669999999999904</v>
      </c>
      <c r="AD1689">
        <v>-0.21038609999999999</v>
      </c>
      <c r="AE1689">
        <v>4.7399999999981901E-2</v>
      </c>
      <c r="AF1689">
        <v>9.01003464581909E-2</v>
      </c>
      <c r="AG1689">
        <v>-0.21038609999999999</v>
      </c>
      <c r="AH1689">
        <v>0.55793174496206899</v>
      </c>
      <c r="AI1689">
        <v>110.418251427686</v>
      </c>
      <c r="AJ1689">
        <v>80.826507816766295</v>
      </c>
      <c r="AK1689">
        <v>0.60304909878177804</v>
      </c>
      <c r="AL1689">
        <v>91.386267419680706</v>
      </c>
      <c r="AM1689">
        <v>85.071784601106302</v>
      </c>
      <c r="AN1689">
        <v>0.99999998932025502</v>
      </c>
    </row>
    <row r="1690" spans="1:40" x14ac:dyDescent="0.25">
      <c r="A1690" t="str">
        <f>"20190312154247098"</f>
        <v>20190312154247098</v>
      </c>
      <c r="B1690" t="str">
        <f>"1552376567089359"</f>
        <v>1552376567089359</v>
      </c>
      <c r="C1690" t="s">
        <v>40</v>
      </c>
      <c r="D1690">
        <v>5.245247</v>
      </c>
      <c r="E1690">
        <v>0.51869690000000002</v>
      </c>
      <c r="F1690" t="s">
        <v>41</v>
      </c>
      <c r="G1690">
        <v>-212.59289999999999</v>
      </c>
      <c r="H1690">
        <v>0.90538620000000003</v>
      </c>
      <c r="I1690">
        <v>284.48860000000002</v>
      </c>
      <c r="J1690">
        <v>-211.98480000000001</v>
      </c>
      <c r="K1690">
        <v>1.1107469999999999</v>
      </c>
      <c r="L1690">
        <v>284.44200000000001</v>
      </c>
      <c r="M1690">
        <v>-0.99636809999999998</v>
      </c>
      <c r="N1690">
        <v>0</v>
      </c>
      <c r="O1690">
        <v>-8.4122329999999995E-2</v>
      </c>
      <c r="P1690">
        <v>-0.99931789999999998</v>
      </c>
      <c r="Q1690">
        <v>-3.6913689999999999E-2</v>
      </c>
      <c r="R1690">
        <v>-1.084895E-3</v>
      </c>
      <c r="S1690">
        <v>-2.9714809999999998</v>
      </c>
      <c r="T1690">
        <v>-0.8144863</v>
      </c>
      <c r="U1690">
        <v>0.13818359999999999</v>
      </c>
      <c r="V1690">
        <v>8.3005120000000002E-2</v>
      </c>
      <c r="W1690">
        <v>-2.3713250000000002E-2</v>
      </c>
      <c r="X1690">
        <v>0.99626700000000001</v>
      </c>
      <c r="Y1690">
        <v>0.122711899999999</v>
      </c>
      <c r="Z1690">
        <v>3.9126019999999997E-2</v>
      </c>
      <c r="AA1690">
        <v>0.99167079999999996</v>
      </c>
      <c r="AB1690">
        <v>14</v>
      </c>
      <c r="AC1690">
        <v>-0.60809999999997899</v>
      </c>
      <c r="AD1690">
        <v>-0.20536079999999901</v>
      </c>
      <c r="AE1690">
        <v>4.6600000000012097E-2</v>
      </c>
      <c r="AF1690">
        <v>8.7655521802185304E-2</v>
      </c>
      <c r="AG1690">
        <v>-0.20536079999999901</v>
      </c>
      <c r="AH1690">
        <v>0.54071649085122697</v>
      </c>
      <c r="AI1690">
        <v>110.551006103646</v>
      </c>
      <c r="AJ1690">
        <v>80.791888522532204</v>
      </c>
      <c r="AK1690">
        <v>0.58500501891652101</v>
      </c>
      <c r="AL1690">
        <v>91.358796439536405</v>
      </c>
      <c r="AM1690">
        <v>85.237336670782398</v>
      </c>
      <c r="AN1690">
        <v>1.00000005173038</v>
      </c>
    </row>
    <row r="1691" spans="1:40" x14ac:dyDescent="0.25">
      <c r="A1691" t="str">
        <f>"20190312154247121"</f>
        <v>20190312154247121</v>
      </c>
      <c r="B1691" t="str">
        <f>"1552376567108881"</f>
        <v>1552376567108881</v>
      </c>
      <c r="C1691" t="s">
        <v>40</v>
      </c>
      <c r="D1691">
        <v>5.323817</v>
      </c>
      <c r="E1691">
        <v>0.50066160000000004</v>
      </c>
      <c r="F1691" t="s">
        <v>41</v>
      </c>
      <c r="G1691">
        <v>-212.71549999999999</v>
      </c>
      <c r="H1691">
        <v>0.91139440000000005</v>
      </c>
      <c r="I1691">
        <v>284.47460000000001</v>
      </c>
      <c r="J1691">
        <v>-212.1206</v>
      </c>
      <c r="K1691">
        <v>1.110771</v>
      </c>
      <c r="L1691">
        <v>284.43079999999998</v>
      </c>
      <c r="M1691">
        <v>-0.99638890000000002</v>
      </c>
      <c r="N1691">
        <v>0</v>
      </c>
      <c r="O1691">
        <v>-8.3867090000000005E-2</v>
      </c>
      <c r="P1691">
        <v>-0.99933309999999997</v>
      </c>
      <c r="Q1691">
        <v>-3.6285890000000001E-2</v>
      </c>
      <c r="R1691">
        <v>-4.1261800000000001E-3</v>
      </c>
      <c r="S1691">
        <v>-2.972229</v>
      </c>
      <c r="T1691">
        <v>-0.81088019999999905</v>
      </c>
      <c r="U1691">
        <v>0.13287349999999901</v>
      </c>
      <c r="V1691">
        <v>7.9721449999999999E-2</v>
      </c>
      <c r="W1691">
        <v>-2.3029009999999999E-2</v>
      </c>
      <c r="X1691">
        <v>0.99655119999999997</v>
      </c>
      <c r="Y1691">
        <v>0.12082560000000001</v>
      </c>
      <c r="Z1691">
        <v>3.8629759999999999E-2</v>
      </c>
      <c r="AA1691">
        <v>0.99192179999999996</v>
      </c>
      <c r="AB1691">
        <v>14</v>
      </c>
      <c r="AC1691">
        <v>-0.59489999999999499</v>
      </c>
      <c r="AD1691">
        <v>-0.19937659999999999</v>
      </c>
      <c r="AE1691">
        <v>4.3800000000032903E-2</v>
      </c>
      <c r="AF1691">
        <v>8.4142562923068903E-2</v>
      </c>
      <c r="AG1691">
        <v>-0.19937659999999999</v>
      </c>
      <c r="AH1691">
        <v>0.529928910544325</v>
      </c>
      <c r="AI1691">
        <v>110.383953126978</v>
      </c>
      <c r="AJ1691">
        <v>80.977844566555603</v>
      </c>
      <c r="AK1691">
        <v>0.57241213277979897</v>
      </c>
      <c r="AL1691">
        <v>91.319581641889698</v>
      </c>
      <c r="AM1691">
        <v>85.426229901991206</v>
      </c>
      <c r="AN1691">
        <v>1.0000000695565501</v>
      </c>
    </row>
    <row r="1692" spans="1:40" x14ac:dyDescent="0.25">
      <c r="A1692" t="str">
        <f>"20190312154247142"</f>
        <v>20190312154247142</v>
      </c>
      <c r="B1692" t="str">
        <f>"1552376567139135"</f>
        <v>1552376567139135</v>
      </c>
      <c r="C1692" t="s">
        <v>40</v>
      </c>
      <c r="D1692">
        <v>5.2537529999999997</v>
      </c>
      <c r="E1692">
        <v>0.49250169999999999</v>
      </c>
      <c r="F1692" t="s">
        <v>41</v>
      </c>
      <c r="G1692">
        <v>-212.8424</v>
      </c>
      <c r="H1692">
        <v>0.93327930000000003</v>
      </c>
      <c r="I1692">
        <v>284.42689999999999</v>
      </c>
      <c r="J1692">
        <v>-212.25069999999999</v>
      </c>
      <c r="K1692">
        <v>1.110762</v>
      </c>
      <c r="L1692">
        <v>284.42</v>
      </c>
      <c r="M1692">
        <v>-0.99640099999999998</v>
      </c>
      <c r="N1692">
        <v>0</v>
      </c>
      <c r="O1692">
        <v>-8.3720299999999997E-2</v>
      </c>
      <c r="P1692">
        <v>-0.99935969999999996</v>
      </c>
      <c r="Q1692">
        <v>-3.495214E-2</v>
      </c>
      <c r="R1692">
        <v>-7.7023559999999996E-3</v>
      </c>
      <c r="S1692">
        <v>-2.9753569999999998</v>
      </c>
      <c r="T1692">
        <v>-0.73172320000000002</v>
      </c>
      <c r="U1692">
        <v>-1.7303470000000001E-2</v>
      </c>
      <c r="V1692">
        <v>7.6012280000000002E-2</v>
      </c>
      <c r="W1692">
        <v>-2.1673359999999999E-2</v>
      </c>
      <c r="X1692">
        <v>0.99687130000000002</v>
      </c>
      <c r="Y1692">
        <v>7.3258740000000003E-2</v>
      </c>
      <c r="Z1692">
        <v>2.9145089999999998E-2</v>
      </c>
      <c r="AA1692">
        <v>0.99688699999999997</v>
      </c>
      <c r="AB1692">
        <v>13</v>
      </c>
      <c r="AC1692">
        <v>-0.591700000000002</v>
      </c>
      <c r="AD1692">
        <v>-0.17748269999999999</v>
      </c>
      <c r="AE1692">
        <v>6.89999999997326E-3</v>
      </c>
      <c r="AF1692">
        <v>5.1761007514182E-2</v>
      </c>
      <c r="AG1692">
        <v>-0.17748269999999999</v>
      </c>
      <c r="AH1692">
        <v>0.54042770490751602</v>
      </c>
      <c r="AI1692">
        <v>108.10337132620199</v>
      </c>
      <c r="AJ1692">
        <v>84.529021441573207</v>
      </c>
      <c r="AK1692">
        <v>0.57117546772404204</v>
      </c>
      <c r="AL1692">
        <v>91.241889301397606</v>
      </c>
      <c r="AM1692">
        <v>85.639586036532407</v>
      </c>
      <c r="AN1692">
        <v>0.99999999500408898</v>
      </c>
    </row>
    <row r="1693" spans="1:40" x14ac:dyDescent="0.25">
      <c r="A1693" t="str">
        <f>"20190312154247165"</f>
        <v>20190312154247165</v>
      </c>
      <c r="B1693" t="str">
        <f>"1552376567158657"</f>
        <v>1552376567158657</v>
      </c>
      <c r="C1693" t="s">
        <v>40</v>
      </c>
      <c r="D1693">
        <v>5.2589819999999996</v>
      </c>
      <c r="E1693">
        <v>0.49099039999999999</v>
      </c>
      <c r="F1693" t="s">
        <v>41</v>
      </c>
      <c r="G1693">
        <v>-212.9683</v>
      </c>
      <c r="H1693">
        <v>0.94797180000000003</v>
      </c>
      <c r="I1693">
        <v>284.39800000000002</v>
      </c>
      <c r="J1693">
        <v>-212.38249999999999</v>
      </c>
      <c r="K1693">
        <v>1.1107209999999901</v>
      </c>
      <c r="L1693">
        <v>284.40899999999999</v>
      </c>
      <c r="M1693">
        <v>-0.9964073</v>
      </c>
      <c r="N1693">
        <v>0</v>
      </c>
      <c r="O1693">
        <v>-8.3654870000000006E-2</v>
      </c>
      <c r="P1693">
        <v>-0.99934979999999995</v>
      </c>
      <c r="Q1693">
        <v>-3.4413840000000001E-2</v>
      </c>
      <c r="R1693">
        <v>-1.077618E-2</v>
      </c>
      <c r="S1693">
        <v>-2.9775999999999998</v>
      </c>
      <c r="T1693">
        <v>-0.67546070000000002</v>
      </c>
      <c r="U1693">
        <v>-9.1491699999999995E-2</v>
      </c>
      <c r="V1693">
        <v>7.2881779999999993E-2</v>
      </c>
      <c r="W1693">
        <v>-2.120238E-2</v>
      </c>
      <c r="X1693">
        <v>0.99711519999999998</v>
      </c>
      <c r="Y1693">
        <v>4.9640509999999999E-2</v>
      </c>
      <c r="Z1693">
        <v>2.4272129999999999E-2</v>
      </c>
      <c r="AA1693">
        <v>0.99847220000000003</v>
      </c>
      <c r="AB1693">
        <v>13</v>
      </c>
      <c r="AC1693">
        <v>-0.58580000000000598</v>
      </c>
      <c r="AD1693">
        <v>-0.16274919999999901</v>
      </c>
      <c r="AE1693">
        <v>-1.10000000000241E-2</v>
      </c>
      <c r="AF1693">
        <v>3.5322421340814897E-2</v>
      </c>
      <c r="AG1693">
        <v>-0.16274919999999901</v>
      </c>
      <c r="AH1693">
        <v>0.54278582841360801</v>
      </c>
      <c r="AI1693">
        <v>106.657585778251</v>
      </c>
      <c r="AJ1693">
        <v>86.276660347947598</v>
      </c>
      <c r="AK1693">
        <v>0.56776001186827596</v>
      </c>
      <c r="AL1693">
        <v>91.214897915383204</v>
      </c>
      <c r="AM1693">
        <v>85.819534532082898</v>
      </c>
      <c r="AN1693">
        <v>1.0000000084223299</v>
      </c>
    </row>
    <row r="1694" spans="1:40" x14ac:dyDescent="0.25">
      <c r="A1694" t="str">
        <f>"20190312154247181"</f>
        <v>20190312154247181</v>
      </c>
      <c r="B1694" t="str">
        <f>"1552376567169392"</f>
        <v>1552376567169392</v>
      </c>
      <c r="C1694" t="s">
        <v>40</v>
      </c>
      <c r="D1694">
        <v>5.2344650000000001</v>
      </c>
      <c r="E1694">
        <v>0.49060769999999998</v>
      </c>
      <c r="F1694" t="s">
        <v>41</v>
      </c>
      <c r="G1694">
        <v>-213.09059999999999</v>
      </c>
      <c r="H1694">
        <v>0.95349320000000004</v>
      </c>
      <c r="I1694">
        <v>284.38249999999999</v>
      </c>
      <c r="J1694">
        <v>-212.4802</v>
      </c>
      <c r="K1694">
        <v>1.110657</v>
      </c>
      <c r="L1694">
        <v>284.4008</v>
      </c>
      <c r="M1694">
        <v>-0.99641009999999997</v>
      </c>
      <c r="N1694">
        <v>0</v>
      </c>
      <c r="O1694">
        <v>-8.3645880000000006E-2</v>
      </c>
      <c r="P1694">
        <v>-0.99934179999999995</v>
      </c>
      <c r="Q1694">
        <v>-3.4094850000000003E-2</v>
      </c>
      <c r="R1694">
        <v>-1.239756E-2</v>
      </c>
      <c r="S1694">
        <v>-2.9779659999999999</v>
      </c>
      <c r="T1694">
        <v>-0.66132579999999996</v>
      </c>
      <c r="U1694">
        <v>-0.1119385</v>
      </c>
      <c r="V1694">
        <v>7.1255150000000003E-2</v>
      </c>
      <c r="W1694">
        <v>-2.1037630000000002E-2</v>
      </c>
      <c r="X1694">
        <v>0.99723629999999996</v>
      </c>
      <c r="Y1694">
        <v>4.3086069999999997E-2</v>
      </c>
      <c r="Z1694">
        <v>2.304879E-2</v>
      </c>
      <c r="AA1694">
        <v>0.99880550000000001</v>
      </c>
      <c r="AB1694">
        <v>13</v>
      </c>
      <c r="AC1694">
        <v>-0.61039999999999806</v>
      </c>
      <c r="AD1694">
        <v>-0.15716379999999999</v>
      </c>
      <c r="AE1694">
        <v>-1.8300000000010599E-2</v>
      </c>
      <c r="AF1694">
        <v>3.0786780903530299E-2</v>
      </c>
      <c r="AG1694">
        <v>-0.15716379999999999</v>
      </c>
      <c r="AH1694">
        <v>0.57191099042766402</v>
      </c>
      <c r="AI1694">
        <v>105.34467734439001</v>
      </c>
      <c r="AJ1694">
        <v>86.918660905269405</v>
      </c>
      <c r="AK1694">
        <v>0.59391116076463302</v>
      </c>
      <c r="AL1694">
        <v>91.205456269848497</v>
      </c>
      <c r="AM1694">
        <v>85.913012128922404</v>
      </c>
      <c r="AN1694">
        <v>1.0000000581576101</v>
      </c>
    </row>
    <row r="1695" spans="1:40" x14ac:dyDescent="0.25">
      <c r="A1695" t="str">
        <f>"20190312154247198"</f>
        <v>20190312154247198</v>
      </c>
      <c r="B1695" t="str">
        <f>"1552376567188912"</f>
        <v>1552376567188912</v>
      </c>
      <c r="C1695" t="s">
        <v>40</v>
      </c>
      <c r="D1695">
        <v>5.2341069999999998</v>
      </c>
      <c r="E1695">
        <v>0.48991180000000001</v>
      </c>
      <c r="F1695" t="s">
        <v>41</v>
      </c>
      <c r="G1695">
        <v>-213.20910000000001</v>
      </c>
      <c r="H1695">
        <v>0.94981550000000003</v>
      </c>
      <c r="I1695">
        <v>284.3716</v>
      </c>
      <c r="J1695">
        <v>-212.58779999999999</v>
      </c>
      <c r="K1695">
        <v>1.110555</v>
      </c>
      <c r="L1695">
        <v>284.39170000000001</v>
      </c>
      <c r="M1695">
        <v>-0.99641270000000004</v>
      </c>
      <c r="N1695">
        <v>0</v>
      </c>
      <c r="O1695">
        <v>-8.3656179999999997E-2</v>
      </c>
      <c r="P1695">
        <v>-0.99929230000000002</v>
      </c>
      <c r="Q1695">
        <v>-3.444258E-2</v>
      </c>
      <c r="R1695">
        <v>-1.512806E-2</v>
      </c>
      <c r="S1695">
        <v>-2.9780579999999999</v>
      </c>
      <c r="T1695">
        <v>-0.65716390000000002</v>
      </c>
      <c r="U1695">
        <v>-0.1196899</v>
      </c>
      <c r="V1695">
        <v>6.8539459999999996E-2</v>
      </c>
      <c r="W1695">
        <v>-2.1657900000000001E-2</v>
      </c>
      <c r="X1695">
        <v>0.99741329999999995</v>
      </c>
      <c r="Y1695">
        <v>4.0599509999999998E-2</v>
      </c>
      <c r="Z1695">
        <v>2.2636050000000001E-2</v>
      </c>
      <c r="AA1695">
        <v>0.99891909999999895</v>
      </c>
      <c r="AB1695">
        <v>13</v>
      </c>
      <c r="AC1695">
        <v>-0.62130000000001895</v>
      </c>
      <c r="AD1695">
        <v>-0.16073949999999901</v>
      </c>
      <c r="AE1695">
        <v>-2.0100000000013499E-2</v>
      </c>
      <c r="AF1695">
        <v>2.99478832271559E-2</v>
      </c>
      <c r="AG1695">
        <v>-0.16073949999999901</v>
      </c>
      <c r="AH1695">
        <v>0.58189589715216505</v>
      </c>
      <c r="AI1695">
        <v>105.42253062779901</v>
      </c>
      <c r="AJ1695">
        <v>87.053811965590597</v>
      </c>
      <c r="AK1695">
        <v>0.60443105288573595</v>
      </c>
      <c r="AL1695">
        <v>91.241003286264103</v>
      </c>
      <c r="AM1695">
        <v>86.068973576274502</v>
      </c>
      <c r="AN1695">
        <v>1.00000000661319</v>
      </c>
    </row>
    <row r="1696" spans="1:40" x14ac:dyDescent="0.25">
      <c r="A1696" t="str">
        <f>"20190312154247221"</f>
        <v>20190312154247221</v>
      </c>
      <c r="B1696" t="str">
        <f>"1552376567209411"</f>
        <v>1552376567209411</v>
      </c>
      <c r="C1696" t="s">
        <v>40</v>
      </c>
      <c r="D1696">
        <v>5.2557039999999997</v>
      </c>
      <c r="E1696">
        <v>0.48951919999999999</v>
      </c>
      <c r="F1696" t="s">
        <v>41</v>
      </c>
      <c r="G1696">
        <v>-213.32910000000001</v>
      </c>
      <c r="H1696">
        <v>0.9478453</v>
      </c>
      <c r="I1696">
        <v>284.35899999999998</v>
      </c>
      <c r="J1696">
        <v>-212.72229999999999</v>
      </c>
      <c r="K1696">
        <v>1.110411</v>
      </c>
      <c r="L1696">
        <v>284.38040000000001</v>
      </c>
      <c r="M1696">
        <v>-0.99641619999999997</v>
      </c>
      <c r="N1696">
        <v>0</v>
      </c>
      <c r="O1696">
        <v>-8.3687399999999995E-2</v>
      </c>
      <c r="P1696">
        <v>-0.99926440000000005</v>
      </c>
      <c r="Q1696">
        <v>-3.4137769999999998E-2</v>
      </c>
      <c r="R1696">
        <v>-1.7481050000000001E-2</v>
      </c>
      <c r="S1696">
        <v>-2.9775849999999999</v>
      </c>
      <c r="T1696">
        <v>-0.65378000000000003</v>
      </c>
      <c r="U1696">
        <v>-0.13253779999999901</v>
      </c>
      <c r="V1696">
        <v>6.6222000000000003E-2</v>
      </c>
      <c r="W1696">
        <v>-2.1835690000000001E-2</v>
      </c>
      <c r="X1696">
        <v>0.99756599999999995</v>
      </c>
      <c r="Y1696">
        <v>3.6449000000000002E-2</v>
      </c>
      <c r="Z1696">
        <v>2.2079459999999999E-2</v>
      </c>
      <c r="AA1696">
        <v>0.99909159999999997</v>
      </c>
      <c r="AB1696">
        <v>14</v>
      </c>
      <c r="AC1696">
        <v>-0.60680000000002099</v>
      </c>
      <c r="AD1696">
        <v>-0.16256569999999901</v>
      </c>
      <c r="AE1696">
        <v>-2.13999999999714E-2</v>
      </c>
      <c r="AF1696">
        <v>2.74898323771595E-2</v>
      </c>
      <c r="AG1696">
        <v>-0.16256569999999901</v>
      </c>
      <c r="AH1696">
        <v>0.56589598240954297</v>
      </c>
      <c r="AI1696">
        <v>106.009932071234</v>
      </c>
      <c r="AJ1696">
        <v>87.218898434479399</v>
      </c>
      <c r="AK1696">
        <v>0.58942477094865597</v>
      </c>
      <c r="AL1696">
        <v>91.2511922737975</v>
      </c>
      <c r="AM1696">
        <v>86.202073506781701</v>
      </c>
      <c r="AN1696">
        <v>1.00000003749888</v>
      </c>
    </row>
    <row r="1697" spans="1:40" x14ac:dyDescent="0.25">
      <c r="A1697" t="str">
        <f>"20190312154247243"</f>
        <v>20190312154247243</v>
      </c>
      <c r="B1697" t="str">
        <f>"1552376567238787"</f>
        <v>1552376567238787</v>
      </c>
      <c r="C1697" t="s">
        <v>40</v>
      </c>
      <c r="D1697">
        <v>5.2698600000000004</v>
      </c>
      <c r="E1697">
        <v>0.48968479999999998</v>
      </c>
      <c r="F1697" t="s">
        <v>41</v>
      </c>
      <c r="G1697">
        <v>-213.45230000000001</v>
      </c>
      <c r="H1697">
        <v>0.95101170000000002</v>
      </c>
      <c r="I1697">
        <v>284.34550000000002</v>
      </c>
      <c r="J1697">
        <v>-212.86259999999999</v>
      </c>
      <c r="K1697">
        <v>1.1102449999999999</v>
      </c>
      <c r="L1697">
        <v>284.36849999999998</v>
      </c>
      <c r="M1697">
        <v>-0.99642019999999998</v>
      </c>
      <c r="N1697">
        <v>0</v>
      </c>
      <c r="O1697">
        <v>-8.373071E-2</v>
      </c>
      <c r="P1697">
        <v>-0.99924789999999997</v>
      </c>
      <c r="Q1697">
        <v>-3.3273329999999997E-2</v>
      </c>
      <c r="R1697">
        <v>-1.990772E-2</v>
      </c>
      <c r="S1697">
        <v>-2.977509</v>
      </c>
      <c r="T1697">
        <v>-0.65018959999999903</v>
      </c>
      <c r="U1697">
        <v>-0.14242550000000001</v>
      </c>
      <c r="V1697">
        <v>6.3843730000000001E-2</v>
      </c>
      <c r="W1697">
        <v>-2.1611700000000001E-2</v>
      </c>
      <c r="X1697">
        <v>0.9977258</v>
      </c>
      <c r="Y1697">
        <v>3.3284380000000002E-2</v>
      </c>
      <c r="Z1697">
        <v>2.1627170000000001E-2</v>
      </c>
      <c r="AA1697">
        <v>0.99921190000000004</v>
      </c>
      <c r="AB1697">
        <v>14</v>
      </c>
      <c r="AC1697">
        <v>-0.58970000000002099</v>
      </c>
      <c r="AD1697">
        <v>-0.15923329999999999</v>
      </c>
      <c r="AE1697">
        <v>-2.2999999999967699E-2</v>
      </c>
      <c r="AF1697">
        <v>2.46645003167579E-2</v>
      </c>
      <c r="AG1697">
        <v>-0.15923329999999999</v>
      </c>
      <c r="AH1697">
        <v>0.54954659394988803</v>
      </c>
      <c r="AI1697">
        <v>106.143750871507</v>
      </c>
      <c r="AJ1697">
        <v>87.4302014478411</v>
      </c>
      <c r="AK1697">
        <v>0.57268232059902802</v>
      </c>
      <c r="AL1697">
        <v>91.238355696798195</v>
      </c>
      <c r="AM1697">
        <v>86.338677593053404</v>
      </c>
      <c r="AN1697">
        <v>0.99999992971141805</v>
      </c>
    </row>
    <row r="1698" spans="1:40" x14ac:dyDescent="0.25">
      <c r="A1698" t="str">
        <f>"20190312154247266"</f>
        <v>20190312154247266</v>
      </c>
      <c r="B1698" t="str">
        <f>"1552376567259284"</f>
        <v>1552376567259284</v>
      </c>
      <c r="C1698" t="s">
        <v>40</v>
      </c>
      <c r="D1698">
        <v>5.2111559999999999</v>
      </c>
      <c r="E1698">
        <v>0.48980010000000002</v>
      </c>
      <c r="F1698" t="s">
        <v>41</v>
      </c>
      <c r="G1698">
        <v>-213.57730000000001</v>
      </c>
      <c r="H1698">
        <v>0.95572380000000001</v>
      </c>
      <c r="I1698">
        <v>284.3331</v>
      </c>
      <c r="J1698">
        <v>-213.00149999999999</v>
      </c>
      <c r="K1698">
        <v>1.1100650000000001</v>
      </c>
      <c r="L1698">
        <v>284.35680000000002</v>
      </c>
      <c r="M1698">
        <v>-0.99642489999999995</v>
      </c>
      <c r="N1698">
        <v>0</v>
      </c>
      <c r="O1698">
        <v>-8.3777080000000004E-2</v>
      </c>
      <c r="P1698">
        <v>-0.99925439999999999</v>
      </c>
      <c r="Q1698">
        <v>-3.2454770000000001E-2</v>
      </c>
      <c r="R1698">
        <v>-2.091544E-2</v>
      </c>
      <c r="S1698">
        <v>-2.9778440000000002</v>
      </c>
      <c r="T1698">
        <v>-0.64393690000000003</v>
      </c>
      <c r="U1698">
        <v>-0.14877319999999999</v>
      </c>
      <c r="V1698">
        <v>6.2884449999999995E-2</v>
      </c>
      <c r="W1698">
        <v>-2.155294E-2</v>
      </c>
      <c r="X1698">
        <v>0.99778809999999996</v>
      </c>
      <c r="Y1698">
        <v>3.1308009999999997E-2</v>
      </c>
      <c r="Z1698">
        <v>2.121868E-2</v>
      </c>
      <c r="AA1698">
        <v>0.99928450000000002</v>
      </c>
      <c r="AB1698">
        <v>14</v>
      </c>
      <c r="AC1698">
        <v>-0.57580000000001497</v>
      </c>
      <c r="AD1698">
        <v>-0.15434119999999901</v>
      </c>
      <c r="AE1698">
        <v>-2.3700000000019299E-2</v>
      </c>
      <c r="AF1698">
        <v>2.2976957390109999E-2</v>
      </c>
      <c r="AG1698">
        <v>-0.15434119999999901</v>
      </c>
      <c r="AH1698">
        <v>0.53722724989001303</v>
      </c>
      <c r="AI1698">
        <v>106.015056545219</v>
      </c>
      <c r="AJ1698">
        <v>87.550978944408499</v>
      </c>
      <c r="AK1698">
        <v>0.559430303623904</v>
      </c>
      <c r="AL1698">
        <v>91.234988078566602</v>
      </c>
      <c r="AM1698">
        <v>86.393768855821904</v>
      </c>
      <c r="AN1698">
        <v>1.0000000378880201</v>
      </c>
    </row>
    <row r="1699" spans="1:40" x14ac:dyDescent="0.25">
      <c r="A1699" t="str">
        <f>"20190312154247289"</f>
        <v>20190312154247289</v>
      </c>
      <c r="B1699" t="str">
        <f>"1552376567278803"</f>
        <v>1552376567278803</v>
      </c>
      <c r="C1699" t="s">
        <v>40</v>
      </c>
      <c r="D1699">
        <v>5.3303739999999999</v>
      </c>
      <c r="E1699">
        <v>0.4898885</v>
      </c>
      <c r="F1699" t="s">
        <v>41</v>
      </c>
      <c r="G1699">
        <v>-213.70320000000001</v>
      </c>
      <c r="H1699">
        <v>0.95921730000000005</v>
      </c>
      <c r="I1699">
        <v>284.3211</v>
      </c>
      <c r="J1699">
        <v>-213.14269999999999</v>
      </c>
      <c r="K1699">
        <v>1.1098709999999901</v>
      </c>
      <c r="L1699">
        <v>284.34480000000002</v>
      </c>
      <c r="M1699">
        <v>-0.99643009999999999</v>
      </c>
      <c r="N1699">
        <v>0</v>
      </c>
      <c r="O1699">
        <v>-8.3827620000000005E-2</v>
      </c>
      <c r="P1699">
        <v>-0.9992645</v>
      </c>
      <c r="Q1699">
        <v>-3.2370629999999997E-2</v>
      </c>
      <c r="R1699">
        <v>-2.0563430000000001E-2</v>
      </c>
      <c r="S1699">
        <v>-2.978256</v>
      </c>
      <c r="T1699">
        <v>-0.64040300000000006</v>
      </c>
      <c r="U1699">
        <v>-0.15200810000000001</v>
      </c>
      <c r="V1699">
        <v>6.3284690000000005E-2</v>
      </c>
      <c r="W1699">
        <v>-2.2370230000000001E-2</v>
      </c>
      <c r="X1699">
        <v>0.99774470000000004</v>
      </c>
      <c r="Y1699">
        <v>3.0332810000000002E-2</v>
      </c>
      <c r="Z1699">
        <v>2.100817E-2</v>
      </c>
      <c r="AA1699">
        <v>0.99931910000000002</v>
      </c>
      <c r="AB1699">
        <v>14</v>
      </c>
      <c r="AC1699">
        <v>-0.56050000000001798</v>
      </c>
      <c r="AD1699">
        <v>-0.150653699999999</v>
      </c>
      <c r="AE1699">
        <v>-2.3700000000019299E-2</v>
      </c>
      <c r="AF1699">
        <v>2.1799089470237499E-2</v>
      </c>
      <c r="AG1699">
        <v>-0.150653699999999</v>
      </c>
      <c r="AH1699">
        <v>0.52281070817287101</v>
      </c>
      <c r="AI1699">
        <v>106.061687315596</v>
      </c>
      <c r="AJ1699">
        <v>87.612381032745901</v>
      </c>
      <c r="AK1699">
        <v>0.54452068299160195</v>
      </c>
      <c r="AL1699">
        <v>91.281826777235096</v>
      </c>
      <c r="AM1699">
        <v>86.370720023809497</v>
      </c>
      <c r="AN1699">
        <v>0.99999993277836696</v>
      </c>
    </row>
    <row r="1700" spans="1:40" x14ac:dyDescent="0.25">
      <c r="A1700" t="str">
        <f>"20190312154247311"</f>
        <v>20190312154247311</v>
      </c>
      <c r="B1700" t="str">
        <f>"1552376567299300"</f>
        <v>1552376567299300</v>
      </c>
      <c r="C1700" t="s">
        <v>40</v>
      </c>
      <c r="D1700">
        <v>5.3623510000000003</v>
      </c>
      <c r="E1700">
        <v>0.51859679999999997</v>
      </c>
      <c r="F1700" t="s">
        <v>41</v>
      </c>
      <c r="G1700">
        <v>-213.94669999999999</v>
      </c>
      <c r="H1700">
        <v>0.93725930000000002</v>
      </c>
      <c r="I1700">
        <v>284.30399999999997</v>
      </c>
      <c r="J1700">
        <v>-213.28649999999999</v>
      </c>
      <c r="K1700">
        <v>1.1096710000000001</v>
      </c>
      <c r="L1700">
        <v>284.33260000000001</v>
      </c>
      <c r="M1700">
        <v>-0.99643519999999997</v>
      </c>
      <c r="N1700">
        <v>0</v>
      </c>
      <c r="O1700">
        <v>-8.3882399999999996E-2</v>
      </c>
      <c r="P1700">
        <v>-0.99926349999999997</v>
      </c>
      <c r="Q1700">
        <v>-3.2475419999999998E-2</v>
      </c>
      <c r="R1700">
        <v>-2.044261E-2</v>
      </c>
      <c r="S1700">
        <v>-2.9783780000000002</v>
      </c>
      <c r="T1700">
        <v>-0.63956689999999905</v>
      </c>
      <c r="U1700">
        <v>-0.15167240000000001</v>
      </c>
      <c r="V1700">
        <v>6.3458200000000006E-2</v>
      </c>
      <c r="W1700">
        <v>-2.3501169999999998E-2</v>
      </c>
      <c r="X1700">
        <v>0.99770769999999998</v>
      </c>
      <c r="Y1700">
        <v>3.0503160000000001E-2</v>
      </c>
      <c r="Z1700">
        <v>2.1010069999999999E-2</v>
      </c>
      <c r="AA1700">
        <v>0.99931380000000003</v>
      </c>
      <c r="AB1700">
        <v>14</v>
      </c>
      <c r="AC1700">
        <v>-0.66020000000000301</v>
      </c>
      <c r="AD1700">
        <v>-0.172411699999999</v>
      </c>
      <c r="AE1700">
        <v>-2.8599999999983E-2</v>
      </c>
      <c r="AF1700">
        <v>2.5168901461414501E-2</v>
      </c>
      <c r="AG1700">
        <v>-0.172411699999999</v>
      </c>
      <c r="AH1700">
        <v>0.61819072972950495</v>
      </c>
      <c r="AI1700">
        <v>105.571366973906</v>
      </c>
      <c r="AJ1700">
        <v>87.668558017446799</v>
      </c>
      <c r="AK1700">
        <v>0.64227645622516905</v>
      </c>
      <c r="AL1700">
        <v>91.346641898997703</v>
      </c>
      <c r="AM1700">
        <v>86.360661598301505</v>
      </c>
      <c r="AN1700">
        <v>0.99999995138894804</v>
      </c>
    </row>
    <row r="1701" spans="1:40" x14ac:dyDescent="0.25">
      <c r="A1701" t="str">
        <f>"20190312154247334"</f>
        <v>20190312154247334</v>
      </c>
      <c r="B1701" t="str">
        <f>"1552376567318819"</f>
        <v>1552376567318819</v>
      </c>
      <c r="C1701" t="s">
        <v>40</v>
      </c>
      <c r="D1701">
        <v>5.340465</v>
      </c>
      <c r="E1701">
        <v>0.52549419999999902</v>
      </c>
      <c r="F1701" t="s">
        <v>41</v>
      </c>
      <c r="G1701">
        <v>-214.06800000000001</v>
      </c>
      <c r="H1701">
        <v>0.91043870000000005</v>
      </c>
      <c r="I1701">
        <v>284.35239999999999</v>
      </c>
      <c r="J1701">
        <v>-213.4357</v>
      </c>
      <c r="K1701">
        <v>1.1094919999999999</v>
      </c>
      <c r="L1701">
        <v>284.32</v>
      </c>
      <c r="M1701">
        <v>-0.99643970000000004</v>
      </c>
      <c r="N1701">
        <v>0</v>
      </c>
      <c r="O1701">
        <v>-8.393987E-2</v>
      </c>
      <c r="P1701">
        <v>-0.99929860000000004</v>
      </c>
      <c r="Q1701">
        <v>-3.2169789999999997E-2</v>
      </c>
      <c r="R1701">
        <v>-1.9177010000000001E-2</v>
      </c>
      <c r="S1701">
        <v>-2.9790649999999999</v>
      </c>
      <c r="T1701">
        <v>-0.75960289999999997</v>
      </c>
      <c r="U1701">
        <v>7.4279789999999998E-2</v>
      </c>
      <c r="V1701">
        <v>6.4778169999999996E-2</v>
      </c>
      <c r="W1701">
        <v>-2.4295919999999999E-2</v>
      </c>
      <c r="X1701">
        <v>0.99760389999999999</v>
      </c>
      <c r="Y1701">
        <v>0.1027854</v>
      </c>
      <c r="Z1701">
        <v>3.3945929999999999E-2</v>
      </c>
      <c r="AA1701">
        <v>0.99412420000000001</v>
      </c>
      <c r="AB1701">
        <v>14</v>
      </c>
      <c r="AC1701">
        <v>-0.63229999999998598</v>
      </c>
      <c r="AD1701">
        <v>-0.19905329999999999</v>
      </c>
      <c r="AE1701">
        <v>3.2399999999995502E-2</v>
      </c>
      <c r="AF1701">
        <v>7.7683834729935203E-2</v>
      </c>
      <c r="AG1701">
        <v>-0.19905329999999999</v>
      </c>
      <c r="AH1701">
        <v>0.57091652878786703</v>
      </c>
      <c r="AI1701">
        <v>109.058608779373</v>
      </c>
      <c r="AJ1701">
        <v>82.251428214691003</v>
      </c>
      <c r="AK1701">
        <v>0.60959222211444297</v>
      </c>
      <c r="AL1701">
        <v>91.392190633875302</v>
      </c>
      <c r="AM1701">
        <v>86.284785474745306</v>
      </c>
      <c r="AN1701">
        <v>1.0000000221662</v>
      </c>
    </row>
    <row r="1702" spans="1:40" x14ac:dyDescent="0.25">
      <c r="A1702" t="str">
        <f>"20190312154247356"</f>
        <v>20190312154247356</v>
      </c>
      <c r="B1702" t="str">
        <f>"1552376567349075"</f>
        <v>1552376567349075</v>
      </c>
      <c r="C1702" t="s">
        <v>40</v>
      </c>
      <c r="D1702">
        <v>5.2988309999999998</v>
      </c>
      <c r="E1702">
        <v>0.52936839999999996</v>
      </c>
      <c r="F1702" t="s">
        <v>41</v>
      </c>
      <c r="G1702">
        <v>-214.20009999999999</v>
      </c>
      <c r="H1702">
        <v>0.90731490000000004</v>
      </c>
      <c r="I1702">
        <v>284.35390000000001</v>
      </c>
      <c r="J1702">
        <v>-213.57239999999999</v>
      </c>
      <c r="K1702">
        <v>1.1093550000000001</v>
      </c>
      <c r="L1702">
        <v>284.30840000000001</v>
      </c>
      <c r="M1702">
        <v>-0.99644270000000001</v>
      </c>
      <c r="N1702">
        <v>0</v>
      </c>
      <c r="O1702">
        <v>-8.3991270000000007E-2</v>
      </c>
      <c r="P1702">
        <v>-0.99937830000000005</v>
      </c>
      <c r="Q1702">
        <v>-3.0411049999999998E-2</v>
      </c>
      <c r="R1702">
        <v>-1.7843250000000001E-2</v>
      </c>
      <c r="S1702">
        <v>-2.979279</v>
      </c>
      <c r="T1702">
        <v>-0.78795479999999996</v>
      </c>
      <c r="U1702">
        <v>0.13195799999999999</v>
      </c>
      <c r="V1702">
        <v>6.6163940000000004E-2</v>
      </c>
      <c r="W1702">
        <v>-2.3530550000000001E-2</v>
      </c>
      <c r="X1702">
        <v>0.99753130000000001</v>
      </c>
      <c r="Y1702">
        <v>0.12096800000000001</v>
      </c>
      <c r="Z1702">
        <v>3.7538160000000001E-2</v>
      </c>
      <c r="AA1702">
        <v>0.99194640000000001</v>
      </c>
      <c r="AB1702">
        <v>15</v>
      </c>
      <c r="AC1702">
        <v>-0.62770000000000403</v>
      </c>
      <c r="AD1702">
        <v>-0.202040099999999</v>
      </c>
      <c r="AE1702">
        <v>4.5500000000004003E-2</v>
      </c>
      <c r="AF1702">
        <v>8.8899685013008406E-2</v>
      </c>
      <c r="AG1702">
        <v>-0.202040099999999</v>
      </c>
      <c r="AH1702">
        <v>0.56357729947857205</v>
      </c>
      <c r="AI1702">
        <v>109.499931343577</v>
      </c>
      <c r="AJ1702">
        <v>81.0359243312937</v>
      </c>
      <c r="AK1702">
        <v>0.60526252857002705</v>
      </c>
      <c r="AL1702">
        <v>91.348325616648197</v>
      </c>
      <c r="AM1702">
        <v>86.205261985292196</v>
      </c>
      <c r="AN1702">
        <v>1.0000000241096501</v>
      </c>
    </row>
    <row r="1703" spans="1:40" x14ac:dyDescent="0.25">
      <c r="A1703" t="str">
        <f>"20190312154247379"</f>
        <v>20190312154247379</v>
      </c>
      <c r="B1703" t="str">
        <f>"1552376567368595"</f>
        <v>1552376567368595</v>
      </c>
      <c r="C1703" t="s">
        <v>40</v>
      </c>
      <c r="D1703">
        <v>5.306298</v>
      </c>
      <c r="E1703">
        <v>0.53062129999999996</v>
      </c>
      <c r="F1703" t="s">
        <v>41</v>
      </c>
      <c r="G1703">
        <v>-214.33410000000001</v>
      </c>
      <c r="H1703">
        <v>0.90421949999999995</v>
      </c>
      <c r="I1703">
        <v>284.35109999999997</v>
      </c>
      <c r="J1703">
        <v>-213.7373</v>
      </c>
      <c r="K1703">
        <v>1.1092070000000001</v>
      </c>
      <c r="L1703">
        <v>284.29450000000003</v>
      </c>
      <c r="M1703">
        <v>-0.99644489999999997</v>
      </c>
      <c r="N1703">
        <v>0</v>
      </c>
      <c r="O1703">
        <v>-8.4051829999999994E-2</v>
      </c>
      <c r="P1703">
        <v>-0.99949869999999996</v>
      </c>
      <c r="Q1703">
        <v>-2.746519E-2</v>
      </c>
      <c r="R1703">
        <v>-1.5753329999999999E-2</v>
      </c>
      <c r="S1703">
        <v>-2.980423</v>
      </c>
      <c r="T1703">
        <v>-0.80264569999999902</v>
      </c>
      <c r="U1703">
        <v>0.16610720000000001</v>
      </c>
      <c r="V1703">
        <v>6.8315799999999996E-2</v>
      </c>
      <c r="W1703">
        <v>-2.1729269999999998E-2</v>
      </c>
      <c r="X1703">
        <v>0.99742710000000001</v>
      </c>
      <c r="Y1703">
        <v>0.13170499999999999</v>
      </c>
      <c r="Z1703">
        <v>3.9627500000000003E-2</v>
      </c>
      <c r="AA1703">
        <v>0.99049659999999995</v>
      </c>
      <c r="AB1703">
        <v>15</v>
      </c>
      <c r="AC1703">
        <v>-0.596800000000001</v>
      </c>
      <c r="AD1703">
        <v>-0.20498749999999999</v>
      </c>
      <c r="AE1703">
        <v>5.65999999999462E-2</v>
      </c>
      <c r="AF1703">
        <v>9.5407157153729397E-2</v>
      </c>
      <c r="AG1703">
        <v>-0.20498749999999999</v>
      </c>
      <c r="AH1703">
        <v>0.52817381222269699</v>
      </c>
      <c r="AI1703">
        <v>110.90311556405599</v>
      </c>
      <c r="AJ1703">
        <v>79.760738686835893</v>
      </c>
      <c r="AK1703">
        <v>0.57453457399034102</v>
      </c>
      <c r="AL1703">
        <v>91.245093438429606</v>
      </c>
      <c r="AM1703">
        <v>86.081815438624204</v>
      </c>
      <c r="AN1703">
        <v>1.0000000147593899</v>
      </c>
    </row>
    <row r="1704" spans="1:40" x14ac:dyDescent="0.25">
      <c r="A1704" t="str">
        <f>"20190312154247399"</f>
        <v>20190312154247399</v>
      </c>
      <c r="B1704" t="str">
        <f>"1552376567389091"</f>
        <v>1552376567389091</v>
      </c>
      <c r="C1704" t="s">
        <v>40</v>
      </c>
      <c r="D1704">
        <v>5.27576</v>
      </c>
      <c r="E1704">
        <v>0.53101209999999999</v>
      </c>
      <c r="F1704" t="s">
        <v>41</v>
      </c>
      <c r="G1704">
        <v>-214.4736</v>
      </c>
      <c r="H1704">
        <v>0.91169129999999998</v>
      </c>
      <c r="I1704">
        <v>284.33920000000001</v>
      </c>
      <c r="J1704">
        <v>-213.8817</v>
      </c>
      <c r="K1704">
        <v>1.1090979999999999</v>
      </c>
      <c r="L1704">
        <v>284.28219999999999</v>
      </c>
      <c r="M1704">
        <v>-0.99644540000000004</v>
      </c>
      <c r="N1704">
        <v>0</v>
      </c>
      <c r="O1704">
        <v>-8.4104300000000007E-2</v>
      </c>
      <c r="P1704">
        <v>-0.99960979999999999</v>
      </c>
      <c r="Q1704">
        <v>-2.4532749999999999E-2</v>
      </c>
      <c r="R1704">
        <v>-1.3364289999999999E-2</v>
      </c>
      <c r="S1704">
        <v>-2.9823759999999999</v>
      </c>
      <c r="T1704">
        <v>-0.80003570000000002</v>
      </c>
      <c r="U1704">
        <v>0.18115229999999999</v>
      </c>
      <c r="V1704">
        <v>7.0757150000000005E-2</v>
      </c>
      <c r="W1704">
        <v>-1.973598E-2</v>
      </c>
      <c r="X1704">
        <v>0.99729829999999997</v>
      </c>
      <c r="Y1704">
        <v>0.13658580000000001</v>
      </c>
      <c r="Z1704">
        <v>4.0130159999999998E-2</v>
      </c>
      <c r="AA1704">
        <v>0.98981509999999995</v>
      </c>
      <c r="AB1704">
        <v>15</v>
      </c>
      <c r="AC1704">
        <v>-0.59190000000000897</v>
      </c>
      <c r="AD1704">
        <v>-0.19740669999999899</v>
      </c>
      <c r="AE1704">
        <v>5.7000000000016302E-2</v>
      </c>
      <c r="AF1704">
        <v>9.5999873931722393E-2</v>
      </c>
      <c r="AG1704">
        <v>-0.19740669999999899</v>
      </c>
      <c r="AH1704">
        <v>0.52693563079146999</v>
      </c>
      <c r="AI1704">
        <v>110.23211371594201</v>
      </c>
      <c r="AJ1704">
        <v>79.674799100746199</v>
      </c>
      <c r="AK1704">
        <v>0.57082969439001696</v>
      </c>
      <c r="AL1704">
        <v>91.130861790086399</v>
      </c>
      <c r="AM1704">
        <v>85.941731640459807</v>
      </c>
      <c r="AN1704">
        <v>0.99999999118278604</v>
      </c>
    </row>
    <row r="1705" spans="1:40" x14ac:dyDescent="0.25">
      <c r="A1705" t="str">
        <f>"20190312154247421"</f>
        <v>20190312154247421</v>
      </c>
      <c r="B1705" t="str">
        <f>"1552376567408612"</f>
        <v>1552376567408612</v>
      </c>
      <c r="C1705" t="s">
        <v>40</v>
      </c>
      <c r="D1705">
        <v>5.4903069999999996</v>
      </c>
      <c r="E1705">
        <v>0.53166679999999999</v>
      </c>
      <c r="F1705" t="s">
        <v>41</v>
      </c>
      <c r="G1705">
        <v>-214.6129</v>
      </c>
      <c r="H1705">
        <v>0.91312099999999996</v>
      </c>
      <c r="I1705">
        <v>284.32889999999998</v>
      </c>
      <c r="J1705">
        <v>-214.0341</v>
      </c>
      <c r="K1705">
        <v>1.1090070000000001</v>
      </c>
      <c r="L1705">
        <v>284.26929999999999</v>
      </c>
      <c r="M1705">
        <v>-0.99644480000000002</v>
      </c>
      <c r="N1705">
        <v>0</v>
      </c>
      <c r="O1705">
        <v>-8.4160219999999994E-2</v>
      </c>
      <c r="P1705">
        <v>-0.99972240000000001</v>
      </c>
      <c r="Q1705">
        <v>-2.1738090000000002E-2</v>
      </c>
      <c r="R1705">
        <v>-9.1083970000000007E-3</v>
      </c>
      <c r="S1705">
        <v>-2.9840849999999999</v>
      </c>
      <c r="T1705">
        <v>-0.79982839999999999</v>
      </c>
      <c r="U1705">
        <v>0.1898193</v>
      </c>
      <c r="V1705">
        <v>7.5062770000000001E-2</v>
      </c>
      <c r="W1705">
        <v>-1.7857339999999999E-2</v>
      </c>
      <c r="X1705">
        <v>0.99701890000000004</v>
      </c>
      <c r="Y1705">
        <v>0.13938349999999999</v>
      </c>
      <c r="Z1705">
        <v>4.0477880000000001E-2</v>
      </c>
      <c r="AA1705">
        <v>0.98941080000000003</v>
      </c>
      <c r="AB1705">
        <v>15</v>
      </c>
      <c r="AC1705">
        <v>-0.57880000000000098</v>
      </c>
      <c r="AD1705">
        <v>-0.195886</v>
      </c>
      <c r="AE1705">
        <v>5.9599999999989002E-2</v>
      </c>
      <c r="AF1705">
        <v>9.7096308306207704E-2</v>
      </c>
      <c r="AG1705">
        <v>-0.195886</v>
      </c>
      <c r="AH1705">
        <v>0.51352904605608396</v>
      </c>
      <c r="AI1705">
        <v>110.546489960294</v>
      </c>
      <c r="AJ1705">
        <v>79.293106984867705</v>
      </c>
      <c r="AK1705">
        <v>0.55813179377810496</v>
      </c>
      <c r="AL1705">
        <v>91.023204605551598</v>
      </c>
      <c r="AM1705">
        <v>85.694483222281605</v>
      </c>
      <c r="AN1705">
        <v>0.99999999549457896</v>
      </c>
    </row>
    <row r="1706" spans="1:40" x14ac:dyDescent="0.25">
      <c r="A1706" t="str">
        <f>"20190312154247457"</f>
        <v>20190312154247457</v>
      </c>
      <c r="B1706" t="str">
        <f>"1552376567448628"</f>
        <v>1552376567448628</v>
      </c>
      <c r="C1706" t="s">
        <v>40</v>
      </c>
      <c r="D1706">
        <v>5.3296109999999999</v>
      </c>
      <c r="E1706">
        <v>0.53166239999999998</v>
      </c>
      <c r="F1706" t="s">
        <v>41</v>
      </c>
      <c r="G1706">
        <v>-214.7559</v>
      </c>
      <c r="H1706">
        <v>0.91722680000000001</v>
      </c>
      <c r="I1706">
        <v>284.31909999999999</v>
      </c>
      <c r="J1706">
        <v>-214.27930000000001</v>
      </c>
      <c r="K1706">
        <v>1.108884</v>
      </c>
      <c r="L1706">
        <v>284.24849999999998</v>
      </c>
      <c r="M1706">
        <v>-0.99644120000000003</v>
      </c>
      <c r="N1706">
        <v>0</v>
      </c>
      <c r="O1706">
        <v>-8.4250619999999998E-2</v>
      </c>
      <c r="P1706">
        <v>-0.99981790000000004</v>
      </c>
      <c r="Q1706">
        <v>-1.846652E-2</v>
      </c>
      <c r="R1706">
        <v>-4.8283320000000003E-3</v>
      </c>
      <c r="S1706">
        <v>-2.985474</v>
      </c>
      <c r="T1706">
        <v>-0.79328100000000001</v>
      </c>
      <c r="U1706">
        <v>0.20611570000000001</v>
      </c>
      <c r="V1706">
        <v>7.9425280000000001E-2</v>
      </c>
      <c r="W1706">
        <v>-1.5878380000000001E-2</v>
      </c>
      <c r="X1706">
        <v>0.9967144</v>
      </c>
      <c r="Y1706">
        <v>0.14476530000000001</v>
      </c>
      <c r="Z1706">
        <v>4.0859489999999998E-2</v>
      </c>
      <c r="AA1706">
        <v>0.988622</v>
      </c>
      <c r="AB1706">
        <v>16</v>
      </c>
      <c r="AC1706">
        <v>-0.47659999999998998</v>
      </c>
      <c r="AD1706">
        <v>-0.1916572</v>
      </c>
      <c r="AE1706">
        <v>7.0600000000013097E-2</v>
      </c>
      <c r="AF1706">
        <v>9.5405959072776297E-2</v>
      </c>
      <c r="AG1706">
        <v>-0.1916572</v>
      </c>
      <c r="AH1706">
        <v>0.404888016228032</v>
      </c>
      <c r="AI1706">
        <v>114.737426106325</v>
      </c>
      <c r="AJ1706">
        <v>76.740951980271603</v>
      </c>
      <c r="AK1706">
        <v>0.458005551302064</v>
      </c>
      <c r="AL1706">
        <v>90.909802350169997</v>
      </c>
      <c r="AM1706">
        <v>85.443893027114299</v>
      </c>
      <c r="AN1706">
        <v>1.00000004661093</v>
      </c>
    </row>
    <row r="1707" spans="1:40" x14ac:dyDescent="0.25">
      <c r="A1707" t="str">
        <f>"20190312154247477"</f>
        <v>20190312154247477</v>
      </c>
      <c r="B1707" t="str">
        <f>"1552376567469124"</f>
        <v>1552376567469124</v>
      </c>
      <c r="C1707" t="s">
        <v>40</v>
      </c>
      <c r="D1707">
        <v>5.3572709999999999</v>
      </c>
      <c r="E1707">
        <v>0.5315706</v>
      </c>
      <c r="F1707" t="s">
        <v>41</v>
      </c>
      <c r="G1707">
        <v>-215.04130000000001</v>
      </c>
      <c r="H1707">
        <v>0.90663459999999996</v>
      </c>
      <c r="I1707">
        <v>284.30410000000001</v>
      </c>
      <c r="J1707">
        <v>-214.43879999999999</v>
      </c>
      <c r="K1707">
        <v>1.108824</v>
      </c>
      <c r="L1707">
        <v>284.23500000000001</v>
      </c>
      <c r="M1707">
        <v>-0.99643800000000005</v>
      </c>
      <c r="N1707">
        <v>0</v>
      </c>
      <c r="O1707">
        <v>-8.4309229999999999E-2</v>
      </c>
      <c r="P1707">
        <v>-0.99986830000000004</v>
      </c>
      <c r="Q1707">
        <v>-1.5924190000000001E-2</v>
      </c>
      <c r="R1707">
        <v>-3.162584E-3</v>
      </c>
      <c r="S1707">
        <v>-2.9869539999999999</v>
      </c>
      <c r="T1707">
        <v>-0.79275249999999997</v>
      </c>
      <c r="U1707">
        <v>0.2179565</v>
      </c>
      <c r="V1707">
        <v>8.1147549999999999E-2</v>
      </c>
      <c r="W1707">
        <v>-1.4057790000000001E-2</v>
      </c>
      <c r="X1707">
        <v>0.99660300000000002</v>
      </c>
      <c r="Y1707">
        <v>0.14857479999999901</v>
      </c>
      <c r="Z1707">
        <v>4.1320639999999999E-2</v>
      </c>
      <c r="AA1707">
        <v>0.98803750000000001</v>
      </c>
      <c r="AB1707">
        <v>16</v>
      </c>
      <c r="AC1707">
        <v>-0.60250000000002002</v>
      </c>
      <c r="AD1707">
        <v>-0.20218939999999999</v>
      </c>
      <c r="AE1707">
        <v>6.9099999999991696E-2</v>
      </c>
      <c r="AF1707">
        <v>0.107681121220219</v>
      </c>
      <c r="AG1707">
        <v>-0.20218939999999999</v>
      </c>
      <c r="AH1707">
        <v>0.53505525028596401</v>
      </c>
      <c r="AI1707">
        <v>110.327517949606</v>
      </c>
      <c r="AJ1707">
        <v>78.621090129048596</v>
      </c>
      <c r="AK1707">
        <v>0.58203083955936497</v>
      </c>
      <c r="AL1707">
        <v>90.805478533128294</v>
      </c>
      <c r="AM1707">
        <v>85.345009215834907</v>
      </c>
      <c r="AN1707">
        <v>1.0000000429698399</v>
      </c>
    </row>
    <row r="1708" spans="1:40" x14ac:dyDescent="0.25">
      <c r="A1708" t="str">
        <f>"20190312154247501"</f>
        <v>20190312154247501</v>
      </c>
      <c r="B1708" t="str">
        <f>"1552376567488643"</f>
        <v>1552376567488643</v>
      </c>
      <c r="C1708" t="s">
        <v>40</v>
      </c>
      <c r="D1708">
        <v>5.287166</v>
      </c>
      <c r="E1708">
        <v>0.53139219999999998</v>
      </c>
      <c r="F1708" t="s">
        <v>41</v>
      </c>
      <c r="G1708">
        <v>-215.19059999999999</v>
      </c>
      <c r="H1708">
        <v>0.91024050000000001</v>
      </c>
      <c r="I1708">
        <v>284.29090000000002</v>
      </c>
      <c r="J1708">
        <v>-214.61689999999999</v>
      </c>
      <c r="K1708">
        <v>1.1087739999999999</v>
      </c>
      <c r="L1708">
        <v>284.21980000000002</v>
      </c>
      <c r="M1708">
        <v>-0.99643360000000003</v>
      </c>
      <c r="N1708">
        <v>0</v>
      </c>
      <c r="O1708">
        <v>-8.4373680000000006E-2</v>
      </c>
      <c r="P1708">
        <v>-0.99990369999999995</v>
      </c>
      <c r="Q1708">
        <v>-1.3691979999999999E-2</v>
      </c>
      <c r="R1708">
        <v>-2.280663E-3</v>
      </c>
      <c r="S1708">
        <v>-2.9885410000000001</v>
      </c>
      <c r="T1708">
        <v>-0.78946839999999996</v>
      </c>
      <c r="U1708">
        <v>0.22164919999999999</v>
      </c>
      <c r="V1708">
        <v>8.2093379999999994E-2</v>
      </c>
      <c r="W1708">
        <v>-1.2535080000000001E-2</v>
      </c>
      <c r="X1708">
        <v>0.99654580000000004</v>
      </c>
      <c r="Y1708">
        <v>0.14984339999999999</v>
      </c>
      <c r="Z1708">
        <v>4.131377E-2</v>
      </c>
      <c r="AA1708">
        <v>0.98784620000000001</v>
      </c>
      <c r="AB1708">
        <v>16</v>
      </c>
      <c r="AC1708">
        <v>-0.57370000000000199</v>
      </c>
      <c r="AD1708">
        <v>-0.198533499999999</v>
      </c>
      <c r="AE1708">
        <v>7.1100000000001204E-2</v>
      </c>
      <c r="AF1708">
        <v>0.10667046936283101</v>
      </c>
      <c r="AG1708">
        <v>-0.198533499999999</v>
      </c>
      <c r="AH1708">
        <v>0.50597793563813498</v>
      </c>
      <c r="AI1708">
        <v>111.003617794484</v>
      </c>
      <c r="AJ1708">
        <v>78.095208397308099</v>
      </c>
      <c r="AK1708">
        <v>0.55390234789984905</v>
      </c>
      <c r="AL1708">
        <v>90.718225995814606</v>
      </c>
      <c r="AM1708">
        <v>85.2907256579727</v>
      </c>
      <c r="AN1708">
        <v>0.99999999138403495</v>
      </c>
    </row>
    <row r="1709" spans="1:40" x14ac:dyDescent="0.25">
      <c r="A1709" t="str">
        <f>"20190312154247523"</f>
        <v>20190312154247523</v>
      </c>
      <c r="B1709" t="str">
        <f>"1552376567509139"</f>
        <v>1552376567509139</v>
      </c>
      <c r="C1709" t="s">
        <v>40</v>
      </c>
      <c r="D1709">
        <v>5.3835179999999996</v>
      </c>
      <c r="E1709">
        <v>0.53112159999999997</v>
      </c>
      <c r="F1709" t="s">
        <v>41</v>
      </c>
      <c r="G1709">
        <v>-215.34299999999999</v>
      </c>
      <c r="H1709">
        <v>0.91740540000000004</v>
      </c>
      <c r="I1709">
        <v>284.27370000000002</v>
      </c>
      <c r="J1709">
        <v>-214.7826</v>
      </c>
      <c r="K1709">
        <v>1.108733</v>
      </c>
      <c r="L1709">
        <v>284.20569999999998</v>
      </c>
      <c r="M1709">
        <v>-0.99642900000000001</v>
      </c>
      <c r="N1709">
        <v>0</v>
      </c>
      <c r="O1709">
        <v>-8.4432930000000003E-2</v>
      </c>
      <c r="P1709">
        <v>-0.99991830000000004</v>
      </c>
      <c r="Q1709">
        <v>-1.263273E-2</v>
      </c>
      <c r="R1709">
        <v>-2.0423379999999999E-3</v>
      </c>
      <c r="S1709">
        <v>-2.990021</v>
      </c>
      <c r="T1709">
        <v>-0.7879486</v>
      </c>
      <c r="U1709">
        <v>0.2220154</v>
      </c>
      <c r="V1709">
        <v>8.2391690000000004E-2</v>
      </c>
      <c r="W1709">
        <v>-1.205234E-2</v>
      </c>
      <c r="X1709">
        <v>0.9965271</v>
      </c>
      <c r="Y1709">
        <v>0.1500165</v>
      </c>
      <c r="Z1709">
        <v>4.1254699999999998E-2</v>
      </c>
      <c r="AA1709">
        <v>0.98782239999999999</v>
      </c>
      <c r="AB1709">
        <v>17</v>
      </c>
      <c r="AC1709">
        <v>-0.56039999999998702</v>
      </c>
      <c r="AD1709">
        <v>-0.19132759999999999</v>
      </c>
      <c r="AE1709">
        <v>6.8000000000040403E-2</v>
      </c>
      <c r="AF1709">
        <v>0.103216771409473</v>
      </c>
      <c r="AG1709">
        <v>-0.19132759999999999</v>
      </c>
      <c r="AH1709">
        <v>0.49571418437710002</v>
      </c>
      <c r="AI1709">
        <v>110.699544218532</v>
      </c>
      <c r="AJ1709">
        <v>78.238027235663395</v>
      </c>
      <c r="AK1709">
        <v>0.54128782086299498</v>
      </c>
      <c r="AL1709">
        <v>90.6905649652943</v>
      </c>
      <c r="AM1709">
        <v>85.273602245323701</v>
      </c>
      <c r="AN1709">
        <v>0.99999995525746899</v>
      </c>
    </row>
    <row r="1710" spans="1:40" x14ac:dyDescent="0.25">
      <c r="A1710" t="str">
        <f>"20190312154247548"</f>
        <v>20190312154247548</v>
      </c>
      <c r="B1710" t="str">
        <f>"1552376567539395"</f>
        <v>1552376567539395</v>
      </c>
      <c r="C1710" t="s">
        <v>40</v>
      </c>
      <c r="D1710">
        <v>5.3649820000000004</v>
      </c>
      <c r="E1710">
        <v>0.530692099999999</v>
      </c>
      <c r="F1710" t="s">
        <v>41</v>
      </c>
      <c r="G1710">
        <v>-215.4967</v>
      </c>
      <c r="H1710">
        <v>0.92108000000000001</v>
      </c>
      <c r="I1710">
        <v>284.25850000000003</v>
      </c>
      <c r="J1710">
        <v>-214.96680000000001</v>
      </c>
      <c r="K1710">
        <v>1.1087020000000001</v>
      </c>
      <c r="L1710">
        <v>284.19</v>
      </c>
      <c r="M1710">
        <v>-0.99642379999999997</v>
      </c>
      <c r="N1710">
        <v>0</v>
      </c>
      <c r="O1710">
        <v>-8.4496379999999996E-2</v>
      </c>
      <c r="P1710">
        <v>-0.99991960000000002</v>
      </c>
      <c r="Q1710">
        <v>-1.244983E-2</v>
      </c>
      <c r="R1710">
        <v>-2.4731829999999999E-3</v>
      </c>
      <c r="S1710">
        <v>-2.9907840000000001</v>
      </c>
      <c r="T1710">
        <v>-0.78601569999999898</v>
      </c>
      <c r="U1710">
        <v>0.21997069999999999</v>
      </c>
      <c r="V1710">
        <v>8.2025829999999994E-2</v>
      </c>
      <c r="W1710">
        <v>-1.2428E-2</v>
      </c>
      <c r="X1710">
        <v>0.99655269999999996</v>
      </c>
      <c r="Y1710">
        <v>0.1494481</v>
      </c>
      <c r="Z1710">
        <v>4.1090519999999998E-2</v>
      </c>
      <c r="AA1710">
        <v>0.9879154</v>
      </c>
      <c r="AB1710">
        <v>17</v>
      </c>
      <c r="AC1710">
        <v>-0.52989999999999704</v>
      </c>
      <c r="AD1710">
        <v>-0.18762200000000001</v>
      </c>
      <c r="AE1710">
        <v>6.8500000000028594E-2</v>
      </c>
      <c r="AF1710">
        <v>0.100622372489637</v>
      </c>
      <c r="AG1710">
        <v>-0.18762200000000001</v>
      </c>
      <c r="AH1710">
        <v>0.46489310395051497</v>
      </c>
      <c r="AI1710">
        <v>111.52662313065601</v>
      </c>
      <c r="AJ1710">
        <v>77.787175592368897</v>
      </c>
      <c r="AK1710">
        <v>0.51132423649792602</v>
      </c>
      <c r="AL1710">
        <v>90.712090288196094</v>
      </c>
      <c r="AM1710">
        <v>85.294615679970903</v>
      </c>
      <c r="AN1710">
        <v>0.99999998792423905</v>
      </c>
    </row>
    <row r="1711" spans="1:40" x14ac:dyDescent="0.25">
      <c r="A1711" t="str">
        <f>"20190312154247567"</f>
        <v>20190312154247567</v>
      </c>
      <c r="B1711" t="str">
        <f>"1552376567558915"</f>
        <v>1552376567558915</v>
      </c>
      <c r="C1711" t="s">
        <v>40</v>
      </c>
      <c r="D1711">
        <v>5.3801809999999897</v>
      </c>
      <c r="E1711">
        <v>0.53016859999999999</v>
      </c>
      <c r="F1711" t="s">
        <v>41</v>
      </c>
      <c r="G1711">
        <v>-215.65379999999999</v>
      </c>
      <c r="H1711">
        <v>0.927979</v>
      </c>
      <c r="I1711">
        <v>284.2396</v>
      </c>
      <c r="J1711">
        <v>-215.12530000000001</v>
      </c>
      <c r="K1711">
        <v>1.108676</v>
      </c>
      <c r="L1711">
        <v>284.17660000000001</v>
      </c>
      <c r="M1711">
        <v>-0.99641930000000001</v>
      </c>
      <c r="N1711">
        <v>0</v>
      </c>
      <c r="O1711">
        <v>-8.4549100000000002E-2</v>
      </c>
      <c r="P1711">
        <v>-0.99992170000000002</v>
      </c>
      <c r="Q1711">
        <v>-1.204831E-2</v>
      </c>
      <c r="R1711">
        <v>-3.3843570000000002E-3</v>
      </c>
      <c r="S1711">
        <v>-2.9909970000000001</v>
      </c>
      <c r="T1711">
        <v>-0.78689799999999999</v>
      </c>
      <c r="U1711">
        <v>0.21496580000000001</v>
      </c>
      <c r="V1711">
        <v>8.1170690000000004E-2</v>
      </c>
      <c r="W1711">
        <v>-1.2441249999999999E-2</v>
      </c>
      <c r="X1711">
        <v>0.99662260000000003</v>
      </c>
      <c r="Y1711">
        <v>0.1478845</v>
      </c>
      <c r="Z1711">
        <v>4.0945889999999999E-2</v>
      </c>
      <c r="AA1711">
        <v>0.9881567</v>
      </c>
      <c r="AB1711">
        <v>17</v>
      </c>
      <c r="AC1711">
        <v>-0.52849999999997899</v>
      </c>
      <c r="AD1711">
        <v>-0.180696999999999</v>
      </c>
      <c r="AE1711">
        <v>6.2999999999988093E-2</v>
      </c>
      <c r="AF1711">
        <v>9.6352848374351194E-2</v>
      </c>
      <c r="AG1711">
        <v>-0.180696999999999</v>
      </c>
      <c r="AH1711">
        <v>0.46740700768351201</v>
      </c>
      <c r="AI1711">
        <v>110.738330495908</v>
      </c>
      <c r="AJ1711">
        <v>78.352020565279602</v>
      </c>
      <c r="AK1711">
        <v>0.510298528344444</v>
      </c>
      <c r="AL1711">
        <v>90.712849481549995</v>
      </c>
      <c r="AM1711">
        <v>85.343778807095404</v>
      </c>
      <c r="AN1711">
        <v>1.00000003622369</v>
      </c>
    </row>
    <row r="1712" spans="1:40" x14ac:dyDescent="0.25">
      <c r="A1712" t="str">
        <f>"20190312154247590"</f>
        <v>20190312154247590</v>
      </c>
      <c r="B1712" t="str">
        <f>"1552376567579411"</f>
        <v>1552376567579411</v>
      </c>
      <c r="C1712" t="s">
        <v>40</v>
      </c>
      <c r="D1712">
        <v>5.351324</v>
      </c>
      <c r="E1712">
        <v>0.52961650000000005</v>
      </c>
      <c r="F1712" t="s">
        <v>41</v>
      </c>
      <c r="G1712">
        <v>-215.81049999999999</v>
      </c>
      <c r="H1712">
        <v>0.92792920000000001</v>
      </c>
      <c r="I1712">
        <v>284.2242</v>
      </c>
      <c r="J1712">
        <v>-215.3013</v>
      </c>
      <c r="K1712">
        <v>1.1086480000000001</v>
      </c>
      <c r="L1712">
        <v>284.16160000000002</v>
      </c>
      <c r="M1712">
        <v>-0.99641449999999998</v>
      </c>
      <c r="N1712">
        <v>0</v>
      </c>
      <c r="O1712">
        <v>-8.4600819999999993E-2</v>
      </c>
      <c r="P1712">
        <v>-0.99992970000000003</v>
      </c>
      <c r="Q1712">
        <v>-1.087775E-2</v>
      </c>
      <c r="R1712">
        <v>-4.7163250000000004E-3</v>
      </c>
      <c r="S1712">
        <v>-2.991425</v>
      </c>
      <c r="T1712">
        <v>-0.78912099999999996</v>
      </c>
      <c r="U1712">
        <v>0.2069397</v>
      </c>
      <c r="V1712">
        <v>7.9895809999999998E-2</v>
      </c>
      <c r="W1712">
        <v>-1.167002E-2</v>
      </c>
      <c r="X1712">
        <v>0.99673489999999998</v>
      </c>
      <c r="Y1712">
        <v>0.14532929999999999</v>
      </c>
      <c r="Z1712">
        <v>4.0737580000000002E-2</v>
      </c>
      <c r="AA1712">
        <v>0.98854430000000004</v>
      </c>
      <c r="AB1712">
        <v>17</v>
      </c>
      <c r="AC1712">
        <v>-0.50919999999999199</v>
      </c>
      <c r="AD1712">
        <v>-0.18071880000000001</v>
      </c>
      <c r="AE1712">
        <v>6.2599999999974898E-2</v>
      </c>
      <c r="AF1712">
        <v>9.3813581744797106E-2</v>
      </c>
      <c r="AG1712">
        <v>-0.18071880000000001</v>
      </c>
      <c r="AH1712">
        <v>0.446655714689006</v>
      </c>
      <c r="AI1712">
        <v>111.601808970964</v>
      </c>
      <c r="AJ1712">
        <v>78.138269685137203</v>
      </c>
      <c r="AK1712">
        <v>0.490878396609154</v>
      </c>
      <c r="AL1712">
        <v>90.668658073881403</v>
      </c>
      <c r="AM1712">
        <v>85.417110311837106</v>
      </c>
      <c r="AN1712">
        <v>0.99999999535018302</v>
      </c>
    </row>
    <row r="1713" spans="1:40" x14ac:dyDescent="0.25">
      <c r="A1713" t="str">
        <f>"20190312154247612"</f>
        <v>20190312154247612</v>
      </c>
      <c r="B1713" t="str">
        <f>"1552376567598931"</f>
        <v>1552376567598931</v>
      </c>
      <c r="C1713" t="s">
        <v>40</v>
      </c>
      <c r="D1713">
        <v>5.3685660000000004</v>
      </c>
      <c r="E1713">
        <v>0.52921439999999997</v>
      </c>
      <c r="F1713" t="s">
        <v>41</v>
      </c>
      <c r="G1713">
        <v>-216.11920000000001</v>
      </c>
      <c r="H1713">
        <v>0.89320900000000003</v>
      </c>
      <c r="I1713">
        <v>284.21600000000001</v>
      </c>
      <c r="J1713">
        <v>-215.48410000000001</v>
      </c>
      <c r="K1713">
        <v>1.1086129999999901</v>
      </c>
      <c r="L1713">
        <v>284.14589999999998</v>
      </c>
      <c r="M1713">
        <v>-0.99641029999999997</v>
      </c>
      <c r="N1713">
        <v>0</v>
      </c>
      <c r="O1713">
        <v>-8.4648070000000006E-2</v>
      </c>
      <c r="P1713">
        <v>-0.99993010000000004</v>
      </c>
      <c r="Q1713">
        <v>-1.006757E-2</v>
      </c>
      <c r="R1713">
        <v>-6.2162320000000004E-3</v>
      </c>
      <c r="S1713">
        <v>-2.9925540000000002</v>
      </c>
      <c r="T1713">
        <v>-0.78822539999999996</v>
      </c>
      <c r="U1713">
        <v>0.1984253</v>
      </c>
      <c r="V1713">
        <v>7.8448580000000004E-2</v>
      </c>
      <c r="W1713">
        <v>-1.1213280000000001E-2</v>
      </c>
      <c r="X1713">
        <v>0.99685509999999999</v>
      </c>
      <c r="Y1713">
        <v>0.14266099999999901</v>
      </c>
      <c r="Z1713">
        <v>4.0348179999999997E-2</v>
      </c>
      <c r="AA1713">
        <v>0.98894890000000002</v>
      </c>
      <c r="AB1713">
        <v>18</v>
      </c>
      <c r="AC1713">
        <v>-0.635099999999994</v>
      </c>
      <c r="AD1713">
        <v>-0.21540399999999901</v>
      </c>
      <c r="AE1713">
        <v>7.0100000000024906E-2</v>
      </c>
      <c r="AF1713">
        <v>0.110994096976861</v>
      </c>
      <c r="AG1713">
        <v>-0.21540399999999901</v>
      </c>
      <c r="AH1713">
        <v>0.56291248773428404</v>
      </c>
      <c r="AI1713">
        <v>110.577701314602</v>
      </c>
      <c r="AJ1713">
        <v>78.845607889263803</v>
      </c>
      <c r="AK1713">
        <v>0.61285319745181199</v>
      </c>
      <c r="AL1713">
        <v>90.642487080624704</v>
      </c>
      <c r="AM1713">
        <v>85.500320905699695</v>
      </c>
      <c r="AN1713">
        <v>1.0000000038741901</v>
      </c>
    </row>
    <row r="1714" spans="1:40" x14ac:dyDescent="0.25">
      <c r="A1714" t="str">
        <f>"20190312154247633"</f>
        <v>20190312154247633</v>
      </c>
      <c r="B1714" t="str">
        <f>"1552376567619427"</f>
        <v>1552376567619427</v>
      </c>
      <c r="C1714" t="s">
        <v>40</v>
      </c>
      <c r="D1714">
        <v>5.3899369999999998</v>
      </c>
      <c r="E1714">
        <v>0.52878199999999997</v>
      </c>
      <c r="F1714" t="s">
        <v>41</v>
      </c>
      <c r="G1714">
        <v>-216.28460000000001</v>
      </c>
      <c r="H1714">
        <v>0.89810709999999905</v>
      </c>
      <c r="I1714">
        <v>284.19720000000001</v>
      </c>
      <c r="J1714">
        <v>-215.65780000000001</v>
      </c>
      <c r="K1714">
        <v>1.108581</v>
      </c>
      <c r="L1714">
        <v>284.1311</v>
      </c>
      <c r="M1714">
        <v>-0.99640660000000003</v>
      </c>
      <c r="N1714">
        <v>0</v>
      </c>
      <c r="O1714">
        <v>-8.4686269999999994E-2</v>
      </c>
      <c r="P1714">
        <v>-0.99992360000000002</v>
      </c>
      <c r="Q1714">
        <v>-9.5010900000000002E-3</v>
      </c>
      <c r="R1714">
        <v>-7.9018669999999999E-3</v>
      </c>
      <c r="S1714">
        <v>-2.9934690000000002</v>
      </c>
      <c r="T1714">
        <v>-0.78726079999999998</v>
      </c>
      <c r="U1714">
        <v>0.1915588</v>
      </c>
      <c r="V1714">
        <v>7.6806540000000006E-2</v>
      </c>
      <c r="W1714">
        <v>-1.093592E-2</v>
      </c>
      <c r="X1714">
        <v>0.99698600000000004</v>
      </c>
      <c r="Y1714">
        <v>0.14051329999999901</v>
      </c>
      <c r="Z1714">
        <v>4.0023290000000003E-2</v>
      </c>
      <c r="AA1714">
        <v>0.98926950000000002</v>
      </c>
      <c r="AB1714">
        <v>18</v>
      </c>
      <c r="AC1714">
        <v>-0.62680000000000202</v>
      </c>
      <c r="AD1714">
        <v>-0.21047389999999999</v>
      </c>
      <c r="AE1714">
        <v>6.6100000000005807E-2</v>
      </c>
      <c r="AF1714">
        <v>0.10701061086321401</v>
      </c>
      <c r="AG1714">
        <v>-0.21047389999999999</v>
      </c>
      <c r="AH1714">
        <v>0.55685281138303699</v>
      </c>
      <c r="AI1714">
        <v>110.36386103825301</v>
      </c>
      <c r="AJ1714">
        <v>79.122060522078698</v>
      </c>
      <c r="AK1714">
        <v>0.60484344004355395</v>
      </c>
      <c r="AL1714">
        <v>90.626594575127996</v>
      </c>
      <c r="AM1714">
        <v>85.594706978764805</v>
      </c>
      <c r="AN1714">
        <v>0.99999996156450799</v>
      </c>
    </row>
    <row r="1715" spans="1:40" x14ac:dyDescent="0.25">
      <c r="A1715" t="str">
        <f>"20190312154247655"</f>
        <v>20190312154247655</v>
      </c>
      <c r="B1715" t="str">
        <f>"1552376567648707"</f>
        <v>1552376567648707</v>
      </c>
      <c r="C1715" t="s">
        <v>40</v>
      </c>
      <c r="D1715">
        <v>5.3665719999999997</v>
      </c>
      <c r="E1715">
        <v>0.5283002</v>
      </c>
      <c r="F1715" t="s">
        <v>41</v>
      </c>
      <c r="G1715">
        <v>-216.4512</v>
      </c>
      <c r="H1715">
        <v>0.90021010000000001</v>
      </c>
      <c r="I1715">
        <v>284.18</v>
      </c>
      <c r="J1715">
        <v>-215.84549999999999</v>
      </c>
      <c r="K1715">
        <v>1.1085499999999999</v>
      </c>
      <c r="L1715">
        <v>284.11509999999998</v>
      </c>
      <c r="M1715">
        <v>-0.9964035</v>
      </c>
      <c r="N1715">
        <v>0</v>
      </c>
      <c r="O1715">
        <v>-8.4719009999999997E-2</v>
      </c>
      <c r="P1715">
        <v>-0.99991640000000004</v>
      </c>
      <c r="Q1715">
        <v>-8.8501080000000006E-3</v>
      </c>
      <c r="R1715">
        <v>-9.4219999999999998E-3</v>
      </c>
      <c r="S1715">
        <v>-2.994202</v>
      </c>
      <c r="T1715">
        <v>-0.78637100000000004</v>
      </c>
      <c r="U1715">
        <v>0.18356320000000001</v>
      </c>
      <c r="V1715">
        <v>7.5323749999999995E-2</v>
      </c>
      <c r="W1715">
        <v>-1.054946E-2</v>
      </c>
      <c r="X1715">
        <v>0.99710330000000003</v>
      </c>
      <c r="Y1715">
        <v>0.13800179999999901</v>
      </c>
      <c r="Z1715">
        <v>3.9657089999999999E-2</v>
      </c>
      <c r="AA1715">
        <v>0.98963769999999995</v>
      </c>
      <c r="AB1715">
        <v>18</v>
      </c>
      <c r="AC1715">
        <v>-0.60570000000001301</v>
      </c>
      <c r="AD1715">
        <v>-0.208339899999999</v>
      </c>
      <c r="AE1715">
        <v>6.4900000000022801E-2</v>
      </c>
      <c r="AF1715">
        <v>0.103835482071184</v>
      </c>
      <c r="AG1715">
        <v>-0.208339899999999</v>
      </c>
      <c r="AH1715">
        <v>0.53539889715789601</v>
      </c>
      <c r="AI1715">
        <v>110.90746990349101</v>
      </c>
      <c r="AJ1715">
        <v>79.024288675816805</v>
      </c>
      <c r="AK1715">
        <v>0.58381443999515503</v>
      </c>
      <c r="AL1715">
        <v>90.604450761487001</v>
      </c>
      <c r="AM1715">
        <v>85.679934602213905</v>
      </c>
      <c r="AN1715">
        <v>0.99999997464562096</v>
      </c>
    </row>
    <row r="1716" spans="1:40" x14ac:dyDescent="0.25">
      <c r="A1716" t="str">
        <f>"20190312154247678"</f>
        <v>20190312154247678</v>
      </c>
      <c r="B1716" t="str">
        <f>"1552376567669207"</f>
        <v>1552376567669207</v>
      </c>
      <c r="C1716" t="s">
        <v>40</v>
      </c>
      <c r="D1716">
        <v>5.4033199999999999</v>
      </c>
      <c r="E1716">
        <v>0.52809139999999999</v>
      </c>
      <c r="F1716" t="s">
        <v>41</v>
      </c>
      <c r="G1716">
        <v>-216.62100000000001</v>
      </c>
      <c r="H1716">
        <v>0.90490870000000001</v>
      </c>
      <c r="I1716">
        <v>284.16059999999999</v>
      </c>
      <c r="J1716">
        <v>-216.03809999999999</v>
      </c>
      <c r="K1716">
        <v>1.1085290000000001</v>
      </c>
      <c r="L1716">
        <v>284.09870000000001</v>
      </c>
      <c r="M1716">
        <v>-0.99640110000000004</v>
      </c>
      <c r="N1716">
        <v>0</v>
      </c>
      <c r="O1716">
        <v>-8.4741979999999995E-2</v>
      </c>
      <c r="P1716">
        <v>-0.99990420000000002</v>
      </c>
      <c r="Q1716">
        <v>-8.6229700000000006E-3</v>
      </c>
      <c r="R1716">
        <v>-1.082051E-2</v>
      </c>
      <c r="S1716">
        <v>-2.9949340000000002</v>
      </c>
      <c r="T1716">
        <v>-0.78644990000000004</v>
      </c>
      <c r="U1716">
        <v>0.17535400000000001</v>
      </c>
      <c r="V1716">
        <v>7.3952119999999996E-2</v>
      </c>
      <c r="W1716">
        <v>-1.054769E-2</v>
      </c>
      <c r="X1716">
        <v>0.99720600000000004</v>
      </c>
      <c r="Y1716">
        <v>0.13539470000000001</v>
      </c>
      <c r="Z1716">
        <v>3.932364E-2</v>
      </c>
      <c r="AA1716">
        <v>0.99001110000000003</v>
      </c>
      <c r="AB1716">
        <v>19</v>
      </c>
      <c r="AC1716">
        <v>-0.58289999999999498</v>
      </c>
      <c r="AD1716">
        <v>-0.2036203</v>
      </c>
      <c r="AE1716">
        <v>6.1899999999979999E-2</v>
      </c>
      <c r="AF1716">
        <v>9.9113882612125406E-2</v>
      </c>
      <c r="AG1716">
        <v>-0.2036203</v>
      </c>
      <c r="AH1716">
        <v>0.513585551054483</v>
      </c>
      <c r="AI1716">
        <v>111.270233543122</v>
      </c>
      <c r="AJ1716">
        <v>79.077100467256699</v>
      </c>
      <c r="AK1716">
        <v>0.56129752052764104</v>
      </c>
      <c r="AL1716">
        <v>90.604349334164596</v>
      </c>
      <c r="AM1716">
        <v>85.758747587915096</v>
      </c>
      <c r="AN1716">
        <v>0.999999988126415</v>
      </c>
    </row>
    <row r="1717" spans="1:40" x14ac:dyDescent="0.25">
      <c r="A1717" t="str">
        <f>"20190312154247700"</f>
        <v>20190312154247700</v>
      </c>
      <c r="B1717" t="str">
        <f>"1552376567688723"</f>
        <v>1552376567688723</v>
      </c>
      <c r="C1717" t="s">
        <v>40</v>
      </c>
      <c r="D1717">
        <v>5.4070140000000002</v>
      </c>
      <c r="E1717">
        <v>0.52789629999999998</v>
      </c>
      <c r="F1717" t="s">
        <v>41</v>
      </c>
      <c r="G1717">
        <v>-216.79339999999999</v>
      </c>
      <c r="H1717">
        <v>0.91031459999999997</v>
      </c>
      <c r="I1717">
        <v>284.14190000000002</v>
      </c>
      <c r="J1717">
        <v>-216.23050000000001</v>
      </c>
      <c r="K1717">
        <v>1.108501</v>
      </c>
      <c r="L1717">
        <v>284.08229999999998</v>
      </c>
      <c r="M1717">
        <v>-0.99639960000000005</v>
      </c>
      <c r="N1717">
        <v>0</v>
      </c>
      <c r="O1717">
        <v>-8.4755040000000004E-2</v>
      </c>
      <c r="P1717">
        <v>-0.99989249999999996</v>
      </c>
      <c r="Q1717">
        <v>-7.8579510000000002E-3</v>
      </c>
      <c r="R1717">
        <v>-1.237865E-2</v>
      </c>
      <c r="S1717">
        <v>-2.9953609999999999</v>
      </c>
      <c r="T1717">
        <v>-0.78615089999999999</v>
      </c>
      <c r="U1717">
        <v>0.1703491</v>
      </c>
      <c r="V1717">
        <v>7.2411550000000005E-2</v>
      </c>
      <c r="W1717">
        <v>-9.9662599999999994E-3</v>
      </c>
      <c r="X1717">
        <v>0.99732509999999996</v>
      </c>
      <c r="Y1717">
        <v>0.1338107</v>
      </c>
      <c r="Z1717">
        <v>3.9104300000000002E-2</v>
      </c>
      <c r="AA1717">
        <v>0.99023510000000003</v>
      </c>
      <c r="AB1717">
        <v>19</v>
      </c>
      <c r="AC1717">
        <v>-0.56289999999998397</v>
      </c>
      <c r="AD1717">
        <v>-0.19818639999999901</v>
      </c>
      <c r="AE1717">
        <v>5.9600000000045797E-2</v>
      </c>
      <c r="AF1717">
        <v>9.5399543703203402E-2</v>
      </c>
      <c r="AG1717">
        <v>-0.19818639999999901</v>
      </c>
      <c r="AH1717">
        <v>0.49512713108678702</v>
      </c>
      <c r="AI1717">
        <v>111.457034361404</v>
      </c>
      <c r="AJ1717">
        <v>79.094076623190603</v>
      </c>
      <c r="AK1717">
        <v>0.54178390343565197</v>
      </c>
      <c r="AL1717">
        <v>90.5710340563664</v>
      </c>
      <c r="AM1717">
        <v>85.847283122763798</v>
      </c>
      <c r="AN1717">
        <v>1.00000005700089</v>
      </c>
    </row>
    <row r="1718" spans="1:40" x14ac:dyDescent="0.25">
      <c r="A1718" t="str">
        <f>"20190312154247723"</f>
        <v>20190312154247723</v>
      </c>
      <c r="B1718" t="str">
        <f>"1552376567709219"</f>
        <v>1552376567709219</v>
      </c>
      <c r="C1718" t="s">
        <v>40</v>
      </c>
      <c r="D1718">
        <v>5.3387650000000004</v>
      </c>
      <c r="E1718">
        <v>0.52772410000000003</v>
      </c>
      <c r="F1718" t="s">
        <v>41</v>
      </c>
      <c r="G1718">
        <v>-216.96789999999999</v>
      </c>
      <c r="H1718">
        <v>0.91533659999999994</v>
      </c>
      <c r="I1718">
        <v>284.12299999999999</v>
      </c>
      <c r="J1718">
        <v>-216.4341</v>
      </c>
      <c r="K1718">
        <v>1.1084780000000001</v>
      </c>
      <c r="L1718">
        <v>284.06490000000002</v>
      </c>
      <c r="M1718">
        <v>-0.99639889999999998</v>
      </c>
      <c r="N1718">
        <v>0</v>
      </c>
      <c r="O1718">
        <v>-8.4761180000000005E-2</v>
      </c>
      <c r="P1718">
        <v>-0.99987950000000003</v>
      </c>
      <c r="Q1718">
        <v>-7.1442659999999998E-3</v>
      </c>
      <c r="R1718">
        <v>-1.3798879999999999E-2</v>
      </c>
      <c r="S1718">
        <v>-2.996216</v>
      </c>
      <c r="T1718">
        <v>-0.7849178</v>
      </c>
      <c r="U1718">
        <v>0.16479489999999999</v>
      </c>
      <c r="V1718">
        <v>7.1001690000000006E-2</v>
      </c>
      <c r="W1718">
        <v>-9.4075449999999998E-3</v>
      </c>
      <c r="X1718">
        <v>0.99743179999999998</v>
      </c>
      <c r="Y1718">
        <v>0.1320557</v>
      </c>
      <c r="Z1718">
        <v>3.8811390000000001E-2</v>
      </c>
      <c r="AA1718">
        <v>0.99048219999999998</v>
      </c>
      <c r="AB1718">
        <v>19</v>
      </c>
      <c r="AC1718">
        <v>-0.53379999999998495</v>
      </c>
      <c r="AD1718">
        <v>-0.19314139999999999</v>
      </c>
      <c r="AE1718">
        <v>5.8099999999967601E-2</v>
      </c>
      <c r="AF1718">
        <v>9.1321096473898203E-2</v>
      </c>
      <c r="AG1718">
        <v>-0.19314139999999999</v>
      </c>
      <c r="AH1718">
        <v>0.46658585239605699</v>
      </c>
      <c r="AI1718">
        <v>112.108874513004</v>
      </c>
      <c r="AJ1718">
        <v>78.925946567068095</v>
      </c>
      <c r="AK1718">
        <v>0.51317199914971001</v>
      </c>
      <c r="AL1718">
        <v>90.539020591838096</v>
      </c>
      <c r="AM1718">
        <v>85.928296392933007</v>
      </c>
      <c r="AN1718">
        <v>0.99999996876851105</v>
      </c>
    </row>
    <row r="1719" spans="1:40" x14ac:dyDescent="0.25">
      <c r="A1719" t="str">
        <f>"20190312154247746"</f>
        <v>20190312154247746</v>
      </c>
      <c r="B1719" t="str">
        <f>"1552376567739475"</f>
        <v>1552376567739475</v>
      </c>
      <c r="C1719" t="s">
        <v>40</v>
      </c>
      <c r="D1719">
        <v>5.5863290000000001</v>
      </c>
      <c r="E1719">
        <v>0.52756740000000002</v>
      </c>
      <c r="F1719" t="s">
        <v>41</v>
      </c>
      <c r="G1719">
        <v>-217.1454</v>
      </c>
      <c r="H1719">
        <v>0.92213509999999999</v>
      </c>
      <c r="I1719">
        <v>284.10309999999998</v>
      </c>
      <c r="J1719">
        <v>-216.6259</v>
      </c>
      <c r="K1719">
        <v>1.108457</v>
      </c>
      <c r="L1719">
        <v>284.04860000000002</v>
      </c>
      <c r="M1719">
        <v>-0.99639840000000002</v>
      </c>
      <c r="N1719">
        <v>0</v>
      </c>
      <c r="O1719">
        <v>-8.4761669999999997E-2</v>
      </c>
      <c r="P1719">
        <v>-0.99986200000000003</v>
      </c>
      <c r="Q1719">
        <v>-7.2138009999999997E-3</v>
      </c>
      <c r="R1719">
        <v>-1.497396E-2</v>
      </c>
      <c r="S1719">
        <v>-2.9969480000000002</v>
      </c>
      <c r="T1719">
        <v>-0.78520249999999903</v>
      </c>
      <c r="U1719">
        <v>0.15954589999999999</v>
      </c>
      <c r="V1719">
        <v>6.9829649999999993E-2</v>
      </c>
      <c r="W1719">
        <v>-9.5907719999999991E-3</v>
      </c>
      <c r="X1719">
        <v>0.99751279999999998</v>
      </c>
      <c r="Y1719">
        <v>0.1303675</v>
      </c>
      <c r="Z1719">
        <v>3.8599979999999999E-2</v>
      </c>
      <c r="AA1719">
        <v>0.99071410000000004</v>
      </c>
      <c r="AB1719">
        <v>19</v>
      </c>
      <c r="AC1719">
        <v>-0.51949999999999297</v>
      </c>
      <c r="AD1719">
        <v>-0.18632190000000001</v>
      </c>
      <c r="AE1719">
        <v>5.4499999999961801E-2</v>
      </c>
      <c r="AF1719">
        <v>8.7238038646049398E-2</v>
      </c>
      <c r="AG1719">
        <v>-0.18632190000000001</v>
      </c>
      <c r="AH1719">
        <v>0.45510597939278702</v>
      </c>
      <c r="AI1719">
        <v>111.90421553444</v>
      </c>
      <c r="AJ1719">
        <v>79.1487547899725</v>
      </c>
      <c r="AK1719">
        <v>0.49944747299940101</v>
      </c>
      <c r="AL1719">
        <v>90.549519196475401</v>
      </c>
      <c r="AM1719">
        <v>85.995612486097798</v>
      </c>
      <c r="AN1719">
        <v>0.99999997454525802</v>
      </c>
    </row>
    <row r="1720" spans="1:40" x14ac:dyDescent="0.25">
      <c r="A1720" t="str">
        <f>"20190312154247767"</f>
        <v>20190312154247767</v>
      </c>
      <c r="B1720" t="str">
        <f>"1552376567758997"</f>
        <v>1552376567758997</v>
      </c>
      <c r="C1720" t="s">
        <v>40</v>
      </c>
      <c r="D1720">
        <v>5.3885959999999997</v>
      </c>
      <c r="E1720">
        <v>0.52732400000000001</v>
      </c>
      <c r="F1720" t="s">
        <v>41</v>
      </c>
      <c r="G1720">
        <v>-217.32400000000001</v>
      </c>
      <c r="H1720">
        <v>0.92551099999999997</v>
      </c>
      <c r="I1720">
        <v>284.08479999999997</v>
      </c>
      <c r="J1720">
        <v>-216.82509999999999</v>
      </c>
      <c r="K1720">
        <v>1.1084369999999999</v>
      </c>
      <c r="L1720">
        <v>284.0317</v>
      </c>
      <c r="M1720">
        <v>-0.99639840000000002</v>
      </c>
      <c r="N1720">
        <v>0</v>
      </c>
      <c r="O1720">
        <v>-8.4759269999999998E-2</v>
      </c>
      <c r="P1720">
        <v>-0.99984660000000003</v>
      </c>
      <c r="Q1720">
        <v>-6.9635740000000002E-3</v>
      </c>
      <c r="R1720">
        <v>-1.6082639999999999E-2</v>
      </c>
      <c r="S1720">
        <v>-2.9970859999999999</v>
      </c>
      <c r="T1720">
        <v>-0.78544139999999996</v>
      </c>
      <c r="U1720">
        <v>0.15493770000000001</v>
      </c>
      <c r="V1720">
        <v>6.8721260000000006E-2</v>
      </c>
      <c r="W1720">
        <v>-9.4313239999999996E-3</v>
      </c>
      <c r="X1720">
        <v>0.99759129999999996</v>
      </c>
      <c r="Y1720">
        <v>0.12888920000000001</v>
      </c>
      <c r="Z1720">
        <v>3.8419780000000001E-2</v>
      </c>
      <c r="AA1720">
        <v>0.99091450000000003</v>
      </c>
      <c r="AB1720">
        <v>20</v>
      </c>
      <c r="AC1720">
        <v>-0.49890000000001999</v>
      </c>
      <c r="AD1720">
        <v>-0.18292600000000001</v>
      </c>
      <c r="AE1720">
        <v>5.30999999999721E-2</v>
      </c>
      <c r="AF1720">
        <v>8.4025685898692304E-2</v>
      </c>
      <c r="AG1720">
        <v>-0.18292600000000001</v>
      </c>
      <c r="AH1720">
        <v>0.434804253900265</v>
      </c>
      <c r="AI1720">
        <v>112.44387997553901</v>
      </c>
      <c r="AJ1720">
        <v>79.062447275617998</v>
      </c>
      <c r="AK1720">
        <v>0.47914191694790298</v>
      </c>
      <c r="AL1720">
        <v>90.540383081710502</v>
      </c>
      <c r="AM1720">
        <v>86.059280452681705</v>
      </c>
      <c r="AN1720">
        <v>0.99999998164203496</v>
      </c>
    </row>
    <row r="1721" spans="1:40" x14ac:dyDescent="0.25">
      <c r="A1721" t="str">
        <f>"20190312154247791"</f>
        <v>20190312154247791</v>
      </c>
      <c r="B1721" t="str">
        <f>"1552376567779491"</f>
        <v>1552376567779491</v>
      </c>
      <c r="C1721" t="s">
        <v>40</v>
      </c>
      <c r="D1721">
        <v>5.3859309999999896</v>
      </c>
      <c r="E1721">
        <v>0.52703520000000004</v>
      </c>
      <c r="F1721" t="s">
        <v>41</v>
      </c>
      <c r="G1721">
        <v>-217.50559999999999</v>
      </c>
      <c r="H1721">
        <v>0.9309963</v>
      </c>
      <c r="I1721">
        <v>284.06580000000002</v>
      </c>
      <c r="J1721">
        <v>-217.03190000000001</v>
      </c>
      <c r="K1721">
        <v>1.108419</v>
      </c>
      <c r="L1721">
        <v>284.01400000000001</v>
      </c>
      <c r="M1721">
        <v>-0.99639849999999996</v>
      </c>
      <c r="N1721">
        <v>0</v>
      </c>
      <c r="O1721">
        <v>-8.4755659999999997E-2</v>
      </c>
      <c r="P1721">
        <v>-0.99984070000000003</v>
      </c>
      <c r="Q1721">
        <v>-6.520741E-3</v>
      </c>
      <c r="R1721">
        <v>-1.661955E-2</v>
      </c>
      <c r="S1721">
        <v>-2.9974210000000001</v>
      </c>
      <c r="T1721">
        <v>-0.78156579999999998</v>
      </c>
      <c r="U1721">
        <v>0.1495667</v>
      </c>
      <c r="V1721">
        <v>6.8182279999999998E-2</v>
      </c>
      <c r="W1721">
        <v>-9.0555380000000001E-3</v>
      </c>
      <c r="X1721">
        <v>0.99763179999999996</v>
      </c>
      <c r="Y1721">
        <v>0.1272346</v>
      </c>
      <c r="Z1721">
        <v>3.8020489999999997E-2</v>
      </c>
      <c r="AA1721">
        <v>0.99114369999999996</v>
      </c>
      <c r="AB1721">
        <v>20</v>
      </c>
      <c r="AC1721">
        <v>-0.47369999999997903</v>
      </c>
      <c r="AD1721">
        <v>-0.17742269999999999</v>
      </c>
      <c r="AE1721">
        <v>5.1800000000014203E-2</v>
      </c>
      <c r="AF1721">
        <v>8.0590449874943598E-2</v>
      </c>
      <c r="AG1721">
        <v>-0.17742269999999999</v>
      </c>
      <c r="AH1721">
        <v>0.41067440888986301</v>
      </c>
      <c r="AI1721">
        <v>112.974117625231</v>
      </c>
      <c r="AJ1721">
        <v>78.897402574679802</v>
      </c>
      <c r="AK1721">
        <v>0.45456254267523499</v>
      </c>
      <c r="AL1721">
        <v>90.518851191054495</v>
      </c>
      <c r="AM1721">
        <v>86.090249463092107</v>
      </c>
      <c r="AN1721">
        <v>1.00000001722285</v>
      </c>
    </row>
    <row r="1722" spans="1:40" x14ac:dyDescent="0.25">
      <c r="A1722" t="str">
        <f>"20190312154247812"</f>
        <v>20190312154247812</v>
      </c>
      <c r="B1722" t="str">
        <f>"1552376567799011"</f>
        <v>1552376567799011</v>
      </c>
      <c r="C1722" t="s">
        <v>40</v>
      </c>
      <c r="D1722">
        <v>5.369421</v>
      </c>
      <c r="E1722">
        <v>0.52682759999999995</v>
      </c>
      <c r="F1722" t="s">
        <v>41</v>
      </c>
      <c r="G1722">
        <v>-217.85810000000001</v>
      </c>
      <c r="H1722">
        <v>0.89427590000000001</v>
      </c>
      <c r="I1722">
        <v>284.05419999999998</v>
      </c>
      <c r="J1722">
        <v>-217.2328</v>
      </c>
      <c r="K1722">
        <v>1.1083989999999999</v>
      </c>
      <c r="L1722">
        <v>283.99700000000001</v>
      </c>
      <c r="M1722">
        <v>-0.99639889999999998</v>
      </c>
      <c r="N1722">
        <v>0</v>
      </c>
      <c r="O1722">
        <v>-8.4752610000000006E-2</v>
      </c>
      <c r="P1722">
        <v>-0.99984740000000005</v>
      </c>
      <c r="Q1722">
        <v>-6.1664249999999997E-3</v>
      </c>
      <c r="R1722">
        <v>-1.6361339999999999E-2</v>
      </c>
      <c r="S1722">
        <v>-2.997833</v>
      </c>
      <c r="T1722">
        <v>-0.77707530000000002</v>
      </c>
      <c r="U1722">
        <v>0.14511109999999999</v>
      </c>
      <c r="V1722">
        <v>6.8437020000000001E-2</v>
      </c>
      <c r="W1722">
        <v>-8.7429229999999997E-3</v>
      </c>
      <c r="X1722">
        <v>0.99761710000000003</v>
      </c>
      <c r="Y1722">
        <v>0.1258811</v>
      </c>
      <c r="Z1722">
        <v>3.7631739999999997E-2</v>
      </c>
      <c r="AA1722">
        <v>0.99133130000000003</v>
      </c>
      <c r="AB1722">
        <v>20</v>
      </c>
      <c r="AC1722">
        <v>-0.62530000000000996</v>
      </c>
      <c r="AD1722">
        <v>-0.21412309999999901</v>
      </c>
      <c r="AE1722">
        <v>5.7199999999966097E-2</v>
      </c>
      <c r="AF1722">
        <v>9.8532157115846106E-2</v>
      </c>
      <c r="AG1722">
        <v>-0.21412309999999901</v>
      </c>
      <c r="AH1722">
        <v>0.55380229713115203</v>
      </c>
      <c r="AI1722">
        <v>110.840012524163</v>
      </c>
      <c r="AJ1722">
        <v>79.911537980864495</v>
      </c>
      <c r="AK1722">
        <v>0.60187562855398302</v>
      </c>
      <c r="AL1722">
        <v>90.500938984872107</v>
      </c>
      <c r="AM1722">
        <v>86.075629916461907</v>
      </c>
      <c r="AN1722">
        <v>0.99999997131073604</v>
      </c>
    </row>
    <row r="1723" spans="1:40" x14ac:dyDescent="0.25">
      <c r="A1723" t="str">
        <f>"20190312154247834"</f>
        <v>20190312154247834</v>
      </c>
      <c r="B1723" t="str">
        <f>"1552376567829268"</f>
        <v>1552376567829268</v>
      </c>
      <c r="C1723" t="s">
        <v>40</v>
      </c>
      <c r="D1723">
        <v>5.3519699999999997</v>
      </c>
      <c r="E1723">
        <v>0.52666049999999998</v>
      </c>
      <c r="F1723" t="s">
        <v>41</v>
      </c>
      <c r="G1723">
        <v>-218.04570000000001</v>
      </c>
      <c r="H1723">
        <v>0.89864750000000004</v>
      </c>
      <c r="I1723">
        <v>284.036</v>
      </c>
      <c r="J1723">
        <v>-217.43440000000001</v>
      </c>
      <c r="K1723">
        <v>1.1083889999999901</v>
      </c>
      <c r="L1723">
        <v>283.97989999999999</v>
      </c>
      <c r="M1723">
        <v>-0.99639889999999998</v>
      </c>
      <c r="N1723">
        <v>0</v>
      </c>
      <c r="O1723">
        <v>-8.4750610000000004E-2</v>
      </c>
      <c r="P1723">
        <v>-0.99985239999999997</v>
      </c>
      <c r="Q1723">
        <v>-6.2394149999999999E-3</v>
      </c>
      <c r="R1723">
        <v>-1.602193E-2</v>
      </c>
      <c r="S1723">
        <v>-2.9980470000000001</v>
      </c>
      <c r="T1723">
        <v>-0.77359990000000001</v>
      </c>
      <c r="U1723">
        <v>0.14337159999999999</v>
      </c>
      <c r="V1723">
        <v>6.8773639999999997E-2</v>
      </c>
      <c r="W1723">
        <v>-8.8363480000000008E-3</v>
      </c>
      <c r="X1723">
        <v>0.99759319999999896</v>
      </c>
      <c r="Y1723">
        <v>0.12538009999999999</v>
      </c>
      <c r="Z1723">
        <v>3.7402499999999998E-2</v>
      </c>
      <c r="AA1723">
        <v>0.99140349999999999</v>
      </c>
      <c r="AB1723">
        <v>21</v>
      </c>
      <c r="AC1723">
        <v>-0.61129999999999995</v>
      </c>
      <c r="AD1723">
        <v>-0.209741499999999</v>
      </c>
      <c r="AE1723">
        <v>5.6100000000014902E-2</v>
      </c>
      <c r="AF1723">
        <v>9.6447188592106797E-2</v>
      </c>
      <c r="AG1723">
        <v>-0.209741499999999</v>
      </c>
      <c r="AH1723">
        <v>0.54117021258251596</v>
      </c>
      <c r="AI1723">
        <v>110.884758336093</v>
      </c>
      <c r="AJ1723">
        <v>79.894859779497693</v>
      </c>
      <c r="AK1723">
        <v>0.58835257796339802</v>
      </c>
      <c r="AL1723">
        <v>90.506292013391899</v>
      </c>
      <c r="AM1723">
        <v>86.056293760399598</v>
      </c>
      <c r="AN1723">
        <v>1.0000000436455301</v>
      </c>
    </row>
    <row r="1724" spans="1:40" x14ac:dyDescent="0.25">
      <c r="A1724" t="str">
        <f>"20190312154247857"</f>
        <v>20190312154247857</v>
      </c>
      <c r="B1724" t="str">
        <f>"1552376567848787"</f>
        <v>1552376567848787</v>
      </c>
      <c r="C1724" t="s">
        <v>40</v>
      </c>
      <c r="D1724">
        <v>5.3599959999999998</v>
      </c>
      <c r="E1724">
        <v>0.52647559999999904</v>
      </c>
      <c r="F1724" t="s">
        <v>41</v>
      </c>
      <c r="G1724">
        <v>-218.2354</v>
      </c>
      <c r="H1724">
        <v>0.90261340000000001</v>
      </c>
      <c r="I1724">
        <v>284.01830000000001</v>
      </c>
      <c r="J1724">
        <v>-217.65119999999999</v>
      </c>
      <c r="K1724">
        <v>1.1083829999999999</v>
      </c>
      <c r="L1724">
        <v>283.9615</v>
      </c>
      <c r="M1724">
        <v>-0.99639889999999998</v>
      </c>
      <c r="N1724">
        <v>0</v>
      </c>
      <c r="O1724">
        <v>-8.4749770000000002E-2</v>
      </c>
      <c r="P1724">
        <v>-0.99985769999999996</v>
      </c>
      <c r="Q1724">
        <v>-6.5519999999999997E-3</v>
      </c>
      <c r="R1724">
        <v>-1.554438E-2</v>
      </c>
      <c r="S1724">
        <v>-2.9979100000000001</v>
      </c>
      <c r="T1724">
        <v>-0.7702291</v>
      </c>
      <c r="U1724">
        <v>0.14300539999999901</v>
      </c>
      <c r="V1724">
        <v>6.9248980000000002E-2</v>
      </c>
      <c r="W1724">
        <v>-9.1478949999999996E-3</v>
      </c>
      <c r="X1724">
        <v>0.99755749999999999</v>
      </c>
      <c r="Y1724">
        <v>0.12532069999999901</v>
      </c>
      <c r="Z1724">
        <v>3.7238670000000001E-2</v>
      </c>
      <c r="AA1724">
        <v>0.9914172</v>
      </c>
      <c r="AB1724">
        <v>21</v>
      </c>
      <c r="AC1724">
        <v>-0.58420000000000905</v>
      </c>
      <c r="AD1724">
        <v>-0.205769599999999</v>
      </c>
      <c r="AE1724">
        <v>5.6800000000009697E-2</v>
      </c>
      <c r="AF1724">
        <v>9.4493360347001801E-2</v>
      </c>
      <c r="AG1724">
        <v>-0.205769599999999</v>
      </c>
      <c r="AH1724">
        <v>0.51410116471274903</v>
      </c>
      <c r="AI1724">
        <v>111.487419260778</v>
      </c>
      <c r="AJ1724">
        <v>79.585106913649199</v>
      </c>
      <c r="AK1724">
        <v>0.56175629145816697</v>
      </c>
      <c r="AL1724">
        <v>90.524143066886097</v>
      </c>
      <c r="AM1724">
        <v>86.028981452061501</v>
      </c>
      <c r="AN1724">
        <v>1.00000003551011</v>
      </c>
    </row>
    <row r="1725" spans="1:40" x14ac:dyDescent="0.25">
      <c r="A1725" t="str">
        <f>"20190312154247880"</f>
        <v>20190312154247880</v>
      </c>
      <c r="B1725" t="str">
        <f>"1552376567869283"</f>
        <v>1552376567869283</v>
      </c>
      <c r="C1725" t="s">
        <v>40</v>
      </c>
      <c r="D1725">
        <v>5.3717670000000002</v>
      </c>
      <c r="E1725">
        <v>0.52643600000000002</v>
      </c>
      <c r="F1725" t="s">
        <v>41</v>
      </c>
      <c r="G1725">
        <v>-218.428</v>
      </c>
      <c r="H1725">
        <v>0.90922029999999998</v>
      </c>
      <c r="I1725">
        <v>283.99889999999999</v>
      </c>
      <c r="J1725">
        <v>-217.87430000000001</v>
      </c>
      <c r="K1725">
        <v>1.108385</v>
      </c>
      <c r="L1725">
        <v>283.9425</v>
      </c>
      <c r="M1725">
        <v>-0.99639880000000003</v>
      </c>
      <c r="N1725">
        <v>0</v>
      </c>
      <c r="O1725">
        <v>-8.4750800000000001E-2</v>
      </c>
      <c r="P1725">
        <v>-0.99986649999999999</v>
      </c>
      <c r="Q1725">
        <v>-6.6470419999999997E-3</v>
      </c>
      <c r="R1725">
        <v>-1.492343E-2</v>
      </c>
      <c r="S1725">
        <v>-2.9976349999999998</v>
      </c>
      <c r="T1725">
        <v>-0.76860629999999996</v>
      </c>
      <c r="U1725">
        <v>0.14382929999999999</v>
      </c>
      <c r="V1725">
        <v>6.9869559999999997E-2</v>
      </c>
      <c r="W1725">
        <v>-9.2176419999999998E-3</v>
      </c>
      <c r="X1725">
        <v>0.99751350000000005</v>
      </c>
      <c r="Y1725">
        <v>0.12561549999999999</v>
      </c>
      <c r="Z1725">
        <v>3.7203229999999997E-2</v>
      </c>
      <c r="AA1725">
        <v>0.99138119999999996</v>
      </c>
      <c r="AB1725">
        <v>21</v>
      </c>
      <c r="AC1725">
        <v>-0.55369999999999198</v>
      </c>
      <c r="AD1725">
        <v>-0.199164699999999</v>
      </c>
      <c r="AE1725">
        <v>5.6399999999996397E-2</v>
      </c>
      <c r="AF1725">
        <v>9.1417400912217395E-2</v>
      </c>
      <c r="AG1725">
        <v>-0.199164699999999</v>
      </c>
      <c r="AH1725">
        <v>0.48484199383052501</v>
      </c>
      <c r="AI1725">
        <v>111.98244367289701</v>
      </c>
      <c r="AJ1725">
        <v>79.322187864476703</v>
      </c>
      <c r="AK1725">
        <v>0.53206717423384997</v>
      </c>
      <c r="AL1725">
        <v>90.528139488340699</v>
      </c>
      <c r="AM1725">
        <v>85.993334097868399</v>
      </c>
      <c r="AN1725">
        <v>0.99999995151043997</v>
      </c>
    </row>
    <row r="1726" spans="1:40" x14ac:dyDescent="0.25">
      <c r="A1726" t="str">
        <f>"20190312154247900"</f>
        <v>20190312154247900</v>
      </c>
      <c r="B1726" t="str">
        <f>"1552376567888804"</f>
        <v>1552376567888804</v>
      </c>
      <c r="C1726" t="s">
        <v>40</v>
      </c>
      <c r="D1726">
        <v>5.3780869999999998</v>
      </c>
      <c r="E1726">
        <v>0.52626779999999995</v>
      </c>
      <c r="F1726" t="s">
        <v>41</v>
      </c>
      <c r="G1726">
        <v>-218.62299999999999</v>
      </c>
      <c r="H1726">
        <v>0.91675600000000002</v>
      </c>
      <c r="I1726">
        <v>283.97899999999998</v>
      </c>
      <c r="J1726">
        <v>-218.07329999999999</v>
      </c>
      <c r="K1726">
        <v>1.108382</v>
      </c>
      <c r="L1726">
        <v>283.92559999999997</v>
      </c>
      <c r="M1726">
        <v>-0.99639900000000003</v>
      </c>
      <c r="N1726">
        <v>0</v>
      </c>
      <c r="O1726">
        <v>-8.4752300000000003E-2</v>
      </c>
      <c r="P1726">
        <v>-0.99987349999999997</v>
      </c>
      <c r="Q1726">
        <v>-6.5218740000000004E-3</v>
      </c>
      <c r="R1726">
        <v>-1.4518120000000001E-2</v>
      </c>
      <c r="S1726">
        <v>-2.9974669999999999</v>
      </c>
      <c r="T1726">
        <v>-0.76730900000000002</v>
      </c>
      <c r="U1726">
        <v>0.1453247</v>
      </c>
      <c r="V1726">
        <v>7.0275550000000006E-2</v>
      </c>
      <c r="W1726">
        <v>-9.0501820000000004E-3</v>
      </c>
      <c r="X1726">
        <v>0.9974866</v>
      </c>
      <c r="Y1726">
        <v>0.1261187</v>
      </c>
      <c r="Z1726">
        <v>3.7207799999999999E-2</v>
      </c>
      <c r="AA1726">
        <v>0.99131720000000001</v>
      </c>
      <c r="AB1726">
        <v>21</v>
      </c>
      <c r="AC1726">
        <v>-0.54970000000000097</v>
      </c>
      <c r="AD1726">
        <v>-0.19162599999999999</v>
      </c>
      <c r="AE1726">
        <v>5.3400000000067303E-2</v>
      </c>
      <c r="AF1726">
        <v>8.9073136002952996E-2</v>
      </c>
      <c r="AG1726">
        <v>-0.19162599999999999</v>
      </c>
      <c r="AH1726">
        <v>0.48482943455203398</v>
      </c>
      <c r="AI1726">
        <v>111.24299629172</v>
      </c>
      <c r="AJ1726">
        <v>79.589678578751105</v>
      </c>
      <c r="AK1726">
        <v>0.52888006962017897</v>
      </c>
      <c r="AL1726">
        <v>90.518544291540394</v>
      </c>
      <c r="AM1726">
        <v>85.970020791142801</v>
      </c>
      <c r="AN1726">
        <v>1.0000000379507901</v>
      </c>
    </row>
    <row r="1727" spans="1:40" x14ac:dyDescent="0.25">
      <c r="A1727" t="str">
        <f>"20190312154247924"</f>
        <v>20190312154247924</v>
      </c>
      <c r="B1727" t="str">
        <f>"1552376567919060"</f>
        <v>1552376567919060</v>
      </c>
      <c r="C1727" t="s">
        <v>40</v>
      </c>
      <c r="D1727">
        <v>5.3791070000000003</v>
      </c>
      <c r="E1727">
        <v>0.52625730000000004</v>
      </c>
      <c r="F1727" t="s">
        <v>41</v>
      </c>
      <c r="G1727">
        <v>-218.81809999999999</v>
      </c>
      <c r="H1727">
        <v>0.91834660000000001</v>
      </c>
      <c r="I1727">
        <v>283.96199999999999</v>
      </c>
      <c r="J1727">
        <v>-218.3015</v>
      </c>
      <c r="K1727">
        <v>1.108379</v>
      </c>
      <c r="L1727">
        <v>283.90609999999998</v>
      </c>
      <c r="M1727">
        <v>-0.99639889999999998</v>
      </c>
      <c r="N1727">
        <v>0</v>
      </c>
      <c r="O1727">
        <v>-8.4754360000000001E-2</v>
      </c>
      <c r="P1727">
        <v>-0.99988010000000005</v>
      </c>
      <c r="Q1727">
        <v>-6.4216179999999996E-3</v>
      </c>
      <c r="R1727">
        <v>-1.4089870000000001E-2</v>
      </c>
      <c r="S1727">
        <v>-2.9974980000000002</v>
      </c>
      <c r="T1727">
        <v>-0.76489560000000001</v>
      </c>
      <c r="U1727">
        <v>0.14584349999999999</v>
      </c>
      <c r="V1727">
        <v>7.0704890000000006E-2</v>
      </c>
      <c r="W1727">
        <v>-8.8820140000000006E-3</v>
      </c>
      <c r="X1727">
        <v>0.9974577</v>
      </c>
      <c r="Y1727">
        <v>0.12632679999999999</v>
      </c>
      <c r="Z1727">
        <v>3.712058E-2</v>
      </c>
      <c r="AA1727">
        <v>0.99129389999999995</v>
      </c>
      <c r="AB1727">
        <v>22</v>
      </c>
      <c r="AC1727">
        <v>-0.51659999999998196</v>
      </c>
      <c r="AD1727">
        <v>-0.19003239999999999</v>
      </c>
      <c r="AE1727">
        <v>5.59000000000082E-2</v>
      </c>
      <c r="AF1727">
        <v>8.7747010117057697E-2</v>
      </c>
      <c r="AG1727">
        <v>-0.19003239999999999</v>
      </c>
      <c r="AH1727">
        <v>0.44983797948089999</v>
      </c>
      <c r="AI1727">
        <v>112.520443009744</v>
      </c>
      <c r="AJ1727">
        <v>78.962281199120696</v>
      </c>
      <c r="AK1727">
        <v>0.49615124570810298</v>
      </c>
      <c r="AL1727">
        <v>90.508908623797595</v>
      </c>
      <c r="AM1727">
        <v>85.945364900681</v>
      </c>
      <c r="AN1727">
        <v>0.99999996746594799</v>
      </c>
    </row>
    <row r="1728" spans="1:40" x14ac:dyDescent="0.25">
      <c r="A1728" t="str">
        <f>"20190312154247948"</f>
        <v>20190312154247948</v>
      </c>
      <c r="B1728" t="str">
        <f>"1552376567939555"</f>
        <v>1552376567939555</v>
      </c>
      <c r="C1728" t="s">
        <v>40</v>
      </c>
      <c r="D1728">
        <v>5.3348789999999999</v>
      </c>
      <c r="E1728">
        <v>0.52638209999999996</v>
      </c>
      <c r="F1728" t="s">
        <v>41</v>
      </c>
      <c r="G1728">
        <v>-219.01759999999999</v>
      </c>
      <c r="H1728">
        <v>0.92623900000000003</v>
      </c>
      <c r="I1728">
        <v>283.94150000000002</v>
      </c>
      <c r="J1728">
        <v>-218.53200000000001</v>
      </c>
      <c r="K1728">
        <v>1.108385</v>
      </c>
      <c r="L1728">
        <v>283.88659999999999</v>
      </c>
      <c r="M1728">
        <v>-0.99639889999999998</v>
      </c>
      <c r="N1728">
        <v>0</v>
      </c>
      <c r="O1728">
        <v>-8.4756880000000007E-2</v>
      </c>
      <c r="P1728">
        <v>-0.99988129999999997</v>
      </c>
      <c r="Q1728">
        <v>-6.6750129999999996E-3</v>
      </c>
      <c r="R1728">
        <v>-1.3898249999999999E-2</v>
      </c>
      <c r="S1728">
        <v>-2.997528</v>
      </c>
      <c r="T1728">
        <v>-0.76249999999999996</v>
      </c>
      <c r="U1728">
        <v>0.146698</v>
      </c>
      <c r="V1728">
        <v>7.0898550000000005E-2</v>
      </c>
      <c r="W1728">
        <v>-9.0484410000000008E-3</v>
      </c>
      <c r="X1728">
        <v>0.99744250000000001</v>
      </c>
      <c r="Y1728">
        <v>0.12664239999999999</v>
      </c>
      <c r="Z1728">
        <v>3.7047480000000001E-2</v>
      </c>
      <c r="AA1728">
        <v>0.99125640000000004</v>
      </c>
      <c r="AB1728">
        <v>22</v>
      </c>
      <c r="AC1728">
        <v>-0.485599999999976</v>
      </c>
      <c r="AD1728">
        <v>-0.182146</v>
      </c>
      <c r="AE1728">
        <v>5.4900000000031902E-2</v>
      </c>
      <c r="AF1728">
        <v>8.4167868562711703E-2</v>
      </c>
      <c r="AG1728">
        <v>-0.182146</v>
      </c>
      <c r="AH1728">
        <v>0.42074886252730098</v>
      </c>
      <c r="AI1728">
        <v>113.001162413955</v>
      </c>
      <c r="AJ1728">
        <v>78.687698080545303</v>
      </c>
      <c r="AK1728">
        <v>0.46614482806570701</v>
      </c>
      <c r="AL1728">
        <v>90.518444550132799</v>
      </c>
      <c r="AM1728">
        <v>85.934234737542596</v>
      </c>
      <c r="AN1728">
        <v>1.0000000097414401</v>
      </c>
    </row>
    <row r="1729" spans="1:40" x14ac:dyDescent="0.25">
      <c r="A1729" t="str">
        <f>"20190312154247969"</f>
        <v>20190312154247969</v>
      </c>
      <c r="B1729" t="str">
        <f>"1552376567959076"</f>
        <v>1552376567959076</v>
      </c>
      <c r="C1729" t="s">
        <v>40</v>
      </c>
      <c r="D1729">
        <v>5.3388540000000004</v>
      </c>
      <c r="E1729">
        <v>0.52649269999999904</v>
      </c>
      <c r="F1729" t="s">
        <v>41</v>
      </c>
      <c r="G1729">
        <v>-219.21889999999999</v>
      </c>
      <c r="H1729">
        <v>0.93372630000000001</v>
      </c>
      <c r="I1729">
        <v>283.92039999999997</v>
      </c>
      <c r="J1729">
        <v>-218.755</v>
      </c>
      <c r="K1729">
        <v>1.1083909999999999</v>
      </c>
      <c r="L1729">
        <v>283.86759999999998</v>
      </c>
      <c r="M1729">
        <v>-0.99639889999999998</v>
      </c>
      <c r="N1729">
        <v>0</v>
      </c>
      <c r="O1729">
        <v>-8.4759029999999999E-2</v>
      </c>
      <c r="P1729">
        <v>-0.99987979999999999</v>
      </c>
      <c r="Q1729">
        <v>-6.78796E-3</v>
      </c>
      <c r="R1729">
        <v>-1.395333E-2</v>
      </c>
      <c r="S1729">
        <v>-2.9973139999999998</v>
      </c>
      <c r="T1729">
        <v>-0.76207400000000003</v>
      </c>
      <c r="U1729">
        <v>0.14733889999999999</v>
      </c>
      <c r="V1729">
        <v>7.0845599999999995E-2</v>
      </c>
      <c r="W1729">
        <v>-9.0566129999999998E-3</v>
      </c>
      <c r="X1729">
        <v>0.99744619999999995</v>
      </c>
      <c r="Y1729">
        <v>0.126859</v>
      </c>
      <c r="Z1729">
        <v>3.7057449999999999E-2</v>
      </c>
      <c r="AA1729">
        <v>0.99122829999999995</v>
      </c>
      <c r="AB1729">
        <v>22</v>
      </c>
      <c r="AC1729">
        <v>-0.46389999999999498</v>
      </c>
      <c r="AD1729">
        <v>-0.17466469999999901</v>
      </c>
      <c r="AE1729">
        <v>5.2799999999990598E-2</v>
      </c>
      <c r="AF1729">
        <v>8.0643752313252201E-2</v>
      </c>
      <c r="AG1729">
        <v>-0.17466469999999901</v>
      </c>
      <c r="AH1729">
        <v>0.40155753755574403</v>
      </c>
      <c r="AI1729">
        <v>113.095982698714</v>
      </c>
      <c r="AJ1729">
        <v>78.644492122963598</v>
      </c>
      <c r="AK1729">
        <v>0.44526354912690103</v>
      </c>
      <c r="AL1729">
        <v>90.518912784277902</v>
      </c>
      <c r="AM1729">
        <v>85.937276069327297</v>
      </c>
      <c r="AN1729">
        <v>1.00000002158641</v>
      </c>
    </row>
    <row r="1730" spans="1:40" x14ac:dyDescent="0.25">
      <c r="A1730" t="str">
        <f>"20190312154247994"</f>
        <v>20190312154247994</v>
      </c>
      <c r="B1730" t="str">
        <f>"1552376567979572"</f>
        <v>1552376567979572</v>
      </c>
      <c r="C1730" t="s">
        <v>40</v>
      </c>
      <c r="D1730">
        <v>5.3160769999999999</v>
      </c>
      <c r="E1730">
        <v>0.52659659999999997</v>
      </c>
      <c r="F1730" t="s">
        <v>41</v>
      </c>
      <c r="G1730">
        <v>-219.60659999999999</v>
      </c>
      <c r="H1730">
        <v>0.89207449999999999</v>
      </c>
      <c r="I1730">
        <v>283.90989999999999</v>
      </c>
      <c r="J1730">
        <v>-218.9992</v>
      </c>
      <c r="K1730">
        <v>1.1084080000000001</v>
      </c>
      <c r="L1730">
        <v>283.84679999999997</v>
      </c>
      <c r="M1730">
        <v>-0.99639909999999998</v>
      </c>
      <c r="N1730">
        <v>0</v>
      </c>
      <c r="O1730">
        <v>-8.4760790000000003E-2</v>
      </c>
      <c r="P1730">
        <v>-0.99987029999999999</v>
      </c>
      <c r="Q1730">
        <v>-7.263116E-3</v>
      </c>
      <c r="R1730">
        <v>-1.437745E-2</v>
      </c>
      <c r="S1730">
        <v>-2.9972530000000002</v>
      </c>
      <c r="T1730">
        <v>-0.76129789999999997</v>
      </c>
      <c r="U1730">
        <v>0.14810179999999901</v>
      </c>
      <c r="V1730">
        <v>7.0423890000000003E-2</v>
      </c>
      <c r="W1730">
        <v>-9.3846910000000006E-3</v>
      </c>
      <c r="X1730">
        <v>0.99747300000000005</v>
      </c>
      <c r="Y1730">
        <v>0.12711839999999999</v>
      </c>
      <c r="Z1730">
        <v>3.7054289999999997E-2</v>
      </c>
      <c r="AA1730">
        <v>0.99119520000000005</v>
      </c>
      <c r="AB1730">
        <v>22</v>
      </c>
      <c r="AC1730">
        <v>-0.60739999999998395</v>
      </c>
      <c r="AD1730">
        <v>-0.21633350000000001</v>
      </c>
      <c r="AE1730">
        <v>6.3100000000019904E-2</v>
      </c>
      <c r="AF1730">
        <v>0.101605477380386</v>
      </c>
      <c r="AG1730">
        <v>-0.21633350000000001</v>
      </c>
      <c r="AH1730">
        <v>0.532978155028206</v>
      </c>
      <c r="AI1730">
        <v>111.73791727899101</v>
      </c>
      <c r="AJ1730">
        <v>79.206798733915704</v>
      </c>
      <c r="AK1730">
        <v>0.58411434667641604</v>
      </c>
      <c r="AL1730">
        <v>90.537711084173196</v>
      </c>
      <c r="AM1730">
        <v>85.961487411915797</v>
      </c>
      <c r="AN1730">
        <v>0.99999999121844796</v>
      </c>
    </row>
    <row r="1731" spans="1:40" x14ac:dyDescent="0.25">
      <c r="A1731" t="str">
        <f>"20190312154248014"</f>
        <v>20190312154248014</v>
      </c>
      <c r="B1731" t="str">
        <f>"1552376568008852"</f>
        <v>1552376568008852</v>
      </c>
      <c r="C1731" t="s">
        <v>40</v>
      </c>
      <c r="D1731">
        <v>5.3252620000000004</v>
      </c>
      <c r="E1731">
        <v>0.52671259999999998</v>
      </c>
      <c r="F1731" t="s">
        <v>41</v>
      </c>
      <c r="G1731">
        <v>-219.81379999999999</v>
      </c>
      <c r="H1731">
        <v>0.90137619999999896</v>
      </c>
      <c r="I1731">
        <v>283.88720000000001</v>
      </c>
      <c r="J1731">
        <v>-219.20570000000001</v>
      </c>
      <c r="K1731">
        <v>1.108425</v>
      </c>
      <c r="L1731">
        <v>283.82920000000001</v>
      </c>
      <c r="M1731">
        <v>-0.99639929999999999</v>
      </c>
      <c r="N1731">
        <v>0</v>
      </c>
      <c r="O1731">
        <v>-8.4762069999999995E-2</v>
      </c>
      <c r="P1731">
        <v>-0.99985429999999997</v>
      </c>
      <c r="Q1731">
        <v>-7.9716000000000006E-3</v>
      </c>
      <c r="R1731">
        <v>-1.510884E-2</v>
      </c>
      <c r="S1731">
        <v>-2.9969790000000001</v>
      </c>
      <c r="T1731">
        <v>-0.76172689999999998</v>
      </c>
      <c r="U1731">
        <v>0.1477966</v>
      </c>
      <c r="V1731">
        <v>6.9695259999999995E-2</v>
      </c>
      <c r="W1731">
        <v>-9.9411859999999994E-3</v>
      </c>
      <c r="X1731">
        <v>0.99751880000000004</v>
      </c>
      <c r="Y1731">
        <v>0.12701789999999999</v>
      </c>
      <c r="Z1731">
        <v>3.7065620000000001E-2</v>
      </c>
      <c r="AA1731">
        <v>0.99120770000000002</v>
      </c>
      <c r="AB1731">
        <v>23</v>
      </c>
      <c r="AC1731">
        <v>-0.60809999999997899</v>
      </c>
      <c r="AD1731">
        <v>-0.20704880000000001</v>
      </c>
      <c r="AE1731">
        <v>5.7999999999992703E-2</v>
      </c>
      <c r="AF1731">
        <v>9.8068595693886304E-2</v>
      </c>
      <c r="AG1731">
        <v>-0.20704880000000001</v>
      </c>
      <c r="AH1731">
        <v>0.53906500699024695</v>
      </c>
      <c r="AI1731">
        <v>110.70089427565701</v>
      </c>
      <c r="AJ1731">
        <v>79.689312151581603</v>
      </c>
      <c r="AK1731">
        <v>0.58572838142282801</v>
      </c>
      <c r="AL1731">
        <v>90.569597379722396</v>
      </c>
      <c r="AM1731">
        <v>86.003318055502504</v>
      </c>
      <c r="AN1731">
        <v>1.00000000639949</v>
      </c>
    </row>
    <row r="1732" spans="1:40" x14ac:dyDescent="0.25">
      <c r="A1732" t="str">
        <f>"20190312154248036"</f>
        <v>20190312154248036</v>
      </c>
      <c r="B1732" t="str">
        <f>"1552376568029348"</f>
        <v>1552376568029348</v>
      </c>
      <c r="C1732" t="s">
        <v>40</v>
      </c>
      <c r="D1732">
        <v>5.2989110000000004</v>
      </c>
      <c r="E1732">
        <v>0.52683979999999997</v>
      </c>
      <c r="F1732" t="s">
        <v>41</v>
      </c>
      <c r="G1732">
        <v>-220.01949999999999</v>
      </c>
      <c r="H1732">
        <v>0.90146720000000002</v>
      </c>
      <c r="I1732">
        <v>283.8691</v>
      </c>
      <c r="J1732">
        <v>-219.42760000000001</v>
      </c>
      <c r="K1732">
        <v>1.1084540000000001</v>
      </c>
      <c r="L1732">
        <v>283.81040000000002</v>
      </c>
      <c r="M1732">
        <v>-0.99639960000000005</v>
      </c>
      <c r="N1732">
        <v>0</v>
      </c>
      <c r="O1732">
        <v>-8.4763439999999995E-2</v>
      </c>
      <c r="P1732">
        <v>-0.99984479999999998</v>
      </c>
      <c r="Q1732">
        <v>-8.5045629999999997E-3</v>
      </c>
      <c r="R1732">
        <v>-1.543373E-2</v>
      </c>
      <c r="S1732">
        <v>-2.9965820000000001</v>
      </c>
      <c r="T1732">
        <v>-0.76215949999999999</v>
      </c>
      <c r="U1732">
        <v>0.14678959999999999</v>
      </c>
      <c r="V1732">
        <v>6.9371920000000004E-2</v>
      </c>
      <c r="W1732">
        <v>-1.0272109999999999E-2</v>
      </c>
      <c r="X1732">
        <v>0.99753800000000004</v>
      </c>
      <c r="Y1732">
        <v>0.12669420000000001</v>
      </c>
      <c r="Z1732">
        <v>3.7050840000000002E-2</v>
      </c>
      <c r="AA1732">
        <v>0.99124959999999995</v>
      </c>
      <c r="AB1732">
        <v>23</v>
      </c>
      <c r="AC1732">
        <v>-0.591899999999981</v>
      </c>
      <c r="AD1732">
        <v>-0.2069868</v>
      </c>
      <c r="AE1732">
        <v>5.8699999999987498E-2</v>
      </c>
      <c r="AF1732">
        <v>9.6923076774359795E-2</v>
      </c>
      <c r="AG1732">
        <v>-0.2069868</v>
      </c>
      <c r="AH1732">
        <v>0.52162613226802701</v>
      </c>
      <c r="AI1732">
        <v>111.312401820443</v>
      </c>
      <c r="AJ1732">
        <v>79.473943773007306</v>
      </c>
      <c r="AK1732">
        <v>0.569501044819541</v>
      </c>
      <c r="AL1732">
        <v>90.588558888366506</v>
      </c>
      <c r="AM1732">
        <v>86.021876672376806</v>
      </c>
      <c r="AN1732">
        <v>1.0000000204861601</v>
      </c>
    </row>
    <row r="1733" spans="1:40" x14ac:dyDescent="0.25">
      <c r="A1733" t="str">
        <f>"20190312154248058"</f>
        <v>20190312154248058</v>
      </c>
      <c r="B1733" t="str">
        <f>"1552376568048871"</f>
        <v>1552376568048871</v>
      </c>
      <c r="C1733" t="s">
        <v>40</v>
      </c>
      <c r="D1733">
        <v>5.3175230000000004</v>
      </c>
      <c r="E1733">
        <v>0.52690769999999998</v>
      </c>
      <c r="F1733" t="s">
        <v>41</v>
      </c>
      <c r="G1733">
        <v>-220.22800000000001</v>
      </c>
      <c r="H1733">
        <v>0.90476179999999995</v>
      </c>
      <c r="I1733">
        <v>283.85000000000002</v>
      </c>
      <c r="J1733">
        <v>-219.66489999999999</v>
      </c>
      <c r="K1733">
        <v>1.1085</v>
      </c>
      <c r="L1733">
        <v>283.79020000000003</v>
      </c>
      <c r="M1733">
        <v>-0.99640010000000001</v>
      </c>
      <c r="N1733">
        <v>0</v>
      </c>
      <c r="O1733">
        <v>-8.4764660000000006E-2</v>
      </c>
      <c r="P1733">
        <v>-0.99983789999999995</v>
      </c>
      <c r="Q1733">
        <v>-9.0349790000000003E-3</v>
      </c>
      <c r="R1733">
        <v>-1.5580220000000001E-2</v>
      </c>
      <c r="S1733">
        <v>-2.9962460000000002</v>
      </c>
      <c r="T1733">
        <v>-0.76259489999999996</v>
      </c>
      <c r="U1733">
        <v>0.14712520000000001</v>
      </c>
      <c r="V1733">
        <v>6.9226419999999997E-2</v>
      </c>
      <c r="W1733">
        <v>-1.05267E-2</v>
      </c>
      <c r="X1733">
        <v>0.99754540000000003</v>
      </c>
      <c r="Y1733">
        <v>0.1267992</v>
      </c>
      <c r="Z1733">
        <v>3.7088740000000002E-2</v>
      </c>
      <c r="AA1733">
        <v>0.99123479999999997</v>
      </c>
      <c r="AB1733">
        <v>23</v>
      </c>
      <c r="AC1733">
        <v>-0.56309999999999105</v>
      </c>
      <c r="AD1733">
        <v>-0.20373820000000001</v>
      </c>
      <c r="AE1733">
        <v>5.97999999999956E-2</v>
      </c>
      <c r="AF1733">
        <v>9.5015951378933997E-2</v>
      </c>
      <c r="AG1733">
        <v>-0.20373820000000001</v>
      </c>
      <c r="AH1733">
        <v>0.492278792194695</v>
      </c>
      <c r="AI1733">
        <v>112.115219784079</v>
      </c>
      <c r="AJ1733">
        <v>79.075536719330401</v>
      </c>
      <c r="AK1733">
        <v>0.54117990945743</v>
      </c>
      <c r="AL1733">
        <v>90.603146641799995</v>
      </c>
      <c r="AM1733">
        <v>86.030222999565396</v>
      </c>
      <c r="AN1733">
        <v>0.99999996685003201</v>
      </c>
    </row>
    <row r="1734" spans="1:40" x14ac:dyDescent="0.25">
      <c r="A1734" t="str">
        <f>"20190312154248080"</f>
        <v>20190312154248080</v>
      </c>
      <c r="B1734" t="str">
        <f>"1552376568069367"</f>
        <v>1552376568069367</v>
      </c>
      <c r="C1734" t="s">
        <v>40</v>
      </c>
      <c r="D1734">
        <v>5.3045549999999997</v>
      </c>
      <c r="E1734">
        <v>0.52700649999999905</v>
      </c>
      <c r="F1734" t="s">
        <v>41</v>
      </c>
      <c r="G1734">
        <v>-220.43899999999999</v>
      </c>
      <c r="H1734">
        <v>0.9113462</v>
      </c>
      <c r="I1734">
        <v>283.82830000000001</v>
      </c>
      <c r="J1734">
        <v>-219.89519999999999</v>
      </c>
      <c r="K1734">
        <v>1.108549</v>
      </c>
      <c r="L1734">
        <v>283.7706</v>
      </c>
      <c r="M1734">
        <v>-0.99640030000000002</v>
      </c>
      <c r="N1734">
        <v>0</v>
      </c>
      <c r="O1734">
        <v>-8.4765519999999997E-2</v>
      </c>
      <c r="P1734">
        <v>-0.99983920000000004</v>
      </c>
      <c r="Q1734">
        <v>-9.1200959999999994E-3</v>
      </c>
      <c r="R1734">
        <v>-1.5443399999999999E-2</v>
      </c>
      <c r="S1734">
        <v>-2.9958800000000001</v>
      </c>
      <c r="T1734">
        <v>-0.76307769999999897</v>
      </c>
      <c r="U1734">
        <v>0.146759</v>
      </c>
      <c r="V1734">
        <v>6.9363770000000005E-2</v>
      </c>
      <c r="W1734">
        <v>-1.027312E-2</v>
      </c>
      <c r="X1734">
        <v>0.99753849999999999</v>
      </c>
      <c r="Y1734">
        <v>0.12667880000000001</v>
      </c>
      <c r="Z1734">
        <v>3.7101099999999998E-2</v>
      </c>
      <c r="AA1734">
        <v>0.99124970000000001</v>
      </c>
      <c r="AB1734">
        <v>23</v>
      </c>
      <c r="AC1734">
        <v>-0.54380000000003204</v>
      </c>
      <c r="AD1734">
        <v>-0.19720279999999901</v>
      </c>
      <c r="AE1734">
        <v>5.7700000000011097E-2</v>
      </c>
      <c r="AF1734">
        <v>9.1667209507745595E-2</v>
      </c>
      <c r="AG1734">
        <v>-0.19720279999999901</v>
      </c>
      <c r="AH1734">
        <v>0.47516071333233101</v>
      </c>
      <c r="AI1734">
        <v>112.171357818131</v>
      </c>
      <c r="AJ1734">
        <v>79.080737766898906</v>
      </c>
      <c r="AK1734">
        <v>0.52256054684722097</v>
      </c>
      <c r="AL1734">
        <v>90.588616793239694</v>
      </c>
      <c r="AM1734">
        <v>86.022344520059505</v>
      </c>
      <c r="AN1734">
        <v>0.999999964282698</v>
      </c>
    </row>
    <row r="1735" spans="1:40" x14ac:dyDescent="0.25">
      <c r="A1735" t="str">
        <f>"20190312154248102"</f>
        <v>20190312154248102</v>
      </c>
      <c r="B1735" t="str">
        <f>"1552376568088887"</f>
        <v>1552376568088887</v>
      </c>
      <c r="C1735" t="s">
        <v>40</v>
      </c>
      <c r="D1735">
        <v>5.260866</v>
      </c>
      <c r="E1735">
        <v>0.52703699999999998</v>
      </c>
      <c r="F1735" t="s">
        <v>41</v>
      </c>
      <c r="G1735">
        <v>-220.6508</v>
      </c>
      <c r="H1735">
        <v>0.91624119999999998</v>
      </c>
      <c r="I1735">
        <v>283.80799999999999</v>
      </c>
      <c r="J1735">
        <v>-220.12790000000001</v>
      </c>
      <c r="K1735">
        <v>1.1086119999999999</v>
      </c>
      <c r="L1735">
        <v>283.75080000000003</v>
      </c>
      <c r="M1735">
        <v>-0.99640070000000003</v>
      </c>
      <c r="N1735">
        <v>0</v>
      </c>
      <c r="O1735">
        <v>-8.4766049999999996E-2</v>
      </c>
      <c r="P1735">
        <v>-0.99983690000000003</v>
      </c>
      <c r="Q1735">
        <v>-9.5254810000000006E-3</v>
      </c>
      <c r="R1735">
        <v>-1.534714E-2</v>
      </c>
      <c r="S1735">
        <v>-2.995819</v>
      </c>
      <c r="T1735">
        <v>-0.7624824</v>
      </c>
      <c r="U1735">
        <v>0.14736939999999901</v>
      </c>
      <c r="V1735">
        <v>6.9459989999999999E-2</v>
      </c>
      <c r="W1735">
        <v>-1.0259570000000001E-2</v>
      </c>
      <c r="X1735">
        <v>0.99753199999999997</v>
      </c>
      <c r="Y1735">
        <v>0.12688530000000001</v>
      </c>
      <c r="Z1735">
        <v>3.709962E-2</v>
      </c>
      <c r="AA1735">
        <v>0.99122330000000003</v>
      </c>
      <c r="AB1735">
        <v>23</v>
      </c>
      <c r="AC1735">
        <v>-0.52289999999999204</v>
      </c>
      <c r="AD1735">
        <v>-0.19237080000000001</v>
      </c>
      <c r="AE1735">
        <v>5.7199999999966097E-2</v>
      </c>
      <c r="AF1735">
        <v>8.9366105639863594E-2</v>
      </c>
      <c r="AG1735">
        <v>-0.19237080000000001</v>
      </c>
      <c r="AH1735">
        <v>0.45527852871989</v>
      </c>
      <c r="AI1735">
        <v>112.519983847853</v>
      </c>
      <c r="AJ1735">
        <v>78.894666882489702</v>
      </c>
      <c r="AK1735">
        <v>0.502266228451827</v>
      </c>
      <c r="AL1735">
        <v>90.587840361725796</v>
      </c>
      <c r="AM1735">
        <v>86.016818675262996</v>
      </c>
      <c r="AN1735">
        <v>1.00000002000569</v>
      </c>
    </row>
    <row r="1736" spans="1:40" x14ac:dyDescent="0.25">
      <c r="A1736" t="str">
        <f>"20190312154248119"</f>
        <v>20190312154248119</v>
      </c>
      <c r="B1736" t="str">
        <f>"1552376568109381"</f>
        <v>1552376568109381</v>
      </c>
      <c r="C1736" t="s">
        <v>40</v>
      </c>
      <c r="D1736">
        <v>5.3407019999999896</v>
      </c>
      <c r="E1736">
        <v>0.52710979999999996</v>
      </c>
      <c r="F1736" t="s">
        <v>41</v>
      </c>
      <c r="G1736">
        <v>-220.864</v>
      </c>
      <c r="H1736">
        <v>0.92120930000000001</v>
      </c>
      <c r="I1736">
        <v>283.78719999999998</v>
      </c>
      <c r="J1736">
        <v>-220.30539999999999</v>
      </c>
      <c r="K1736">
        <v>1.108671</v>
      </c>
      <c r="L1736">
        <v>283.73570000000001</v>
      </c>
      <c r="M1736">
        <v>-0.99640090000000003</v>
      </c>
      <c r="N1736">
        <v>0</v>
      </c>
      <c r="O1736">
        <v>-8.4766659999999994E-2</v>
      </c>
      <c r="P1736">
        <v>-0.99983429999999995</v>
      </c>
      <c r="Q1736">
        <v>-1.0079909999999999E-2</v>
      </c>
      <c r="R1736">
        <v>-1.5180290000000001E-2</v>
      </c>
      <c r="S1736">
        <v>-2.9954529999999999</v>
      </c>
      <c r="T1736">
        <v>-0.76268059999999904</v>
      </c>
      <c r="U1736">
        <v>0.1475525</v>
      </c>
      <c r="V1736">
        <v>6.9626750000000001E-2</v>
      </c>
      <c r="W1736">
        <v>-1.044145E-2</v>
      </c>
      <c r="X1736">
        <v>0.99751849999999997</v>
      </c>
      <c r="Y1736">
        <v>0.12694530000000001</v>
      </c>
      <c r="Z1736">
        <v>3.7120979999999998E-2</v>
      </c>
      <c r="AA1736">
        <v>0.99121490000000001</v>
      </c>
      <c r="AB1736">
        <v>24</v>
      </c>
      <c r="AC1736">
        <v>-0.55860000000001198</v>
      </c>
      <c r="AD1736">
        <v>-0.18746169999999901</v>
      </c>
      <c r="AE1736">
        <v>5.1499999999975898E-2</v>
      </c>
      <c r="AF1736">
        <v>8.8753899579674098E-2</v>
      </c>
      <c r="AG1736">
        <v>-0.18746169999999901</v>
      </c>
      <c r="AH1736">
        <v>0.49675050336924198</v>
      </c>
      <c r="AI1736">
        <v>110.379680753925</v>
      </c>
      <c r="AJ1736">
        <v>79.869912562792507</v>
      </c>
      <c r="AK1736">
        <v>0.53831236866254895</v>
      </c>
      <c r="AL1736">
        <v>90.598261868383702</v>
      </c>
      <c r="AM1736">
        <v>86.007232858541997</v>
      </c>
      <c r="AN1736">
        <v>1.0000000330179499</v>
      </c>
    </row>
    <row r="1737" spans="1:40" x14ac:dyDescent="0.25">
      <c r="A1737" t="str">
        <f>"20190312154248138"</f>
        <v>20190312154248138</v>
      </c>
      <c r="B1737" t="str">
        <f>"1552376568128900"</f>
        <v>1552376568128900</v>
      </c>
      <c r="C1737" t="s">
        <v>40</v>
      </c>
      <c r="D1737">
        <v>5.3171350000000004</v>
      </c>
      <c r="E1737">
        <v>0.52720829999999996</v>
      </c>
      <c r="F1737" t="s">
        <v>41</v>
      </c>
      <c r="G1737">
        <v>-221.07329999999999</v>
      </c>
      <c r="H1737">
        <v>0.91296659999999996</v>
      </c>
      <c r="I1737">
        <v>283.774</v>
      </c>
      <c r="J1737">
        <v>-220.50280000000001</v>
      </c>
      <c r="K1737">
        <v>1.108744</v>
      </c>
      <c r="L1737">
        <v>283.71890000000002</v>
      </c>
      <c r="M1737">
        <v>-0.99640090000000003</v>
      </c>
      <c r="N1737">
        <v>0</v>
      </c>
      <c r="O1737">
        <v>-8.4767099999999998E-2</v>
      </c>
      <c r="P1737">
        <v>-0.99983359999999999</v>
      </c>
      <c r="Q1737">
        <v>-1.090928E-2</v>
      </c>
      <c r="R1737">
        <v>-1.4631109999999999E-2</v>
      </c>
      <c r="S1737">
        <v>-2.9950559999999999</v>
      </c>
      <c r="T1737">
        <v>-0.76331349999999998</v>
      </c>
      <c r="U1737">
        <v>0.1485901</v>
      </c>
      <c r="V1737">
        <v>7.0174120000000006E-2</v>
      </c>
      <c r="W1737">
        <v>-1.0812850000000001E-2</v>
      </c>
      <c r="X1737">
        <v>0.99747620000000004</v>
      </c>
      <c r="Y1737">
        <v>0.12727169999999999</v>
      </c>
      <c r="Z1737">
        <v>3.7196390000000003E-2</v>
      </c>
      <c r="AA1737">
        <v>0.9911702</v>
      </c>
      <c r="AB1737">
        <v>24</v>
      </c>
      <c r="AC1737">
        <v>-0.57049999999998102</v>
      </c>
      <c r="AD1737">
        <v>-0.19577739999999999</v>
      </c>
      <c r="AE1737">
        <v>5.5099999999981698E-2</v>
      </c>
      <c r="AF1737">
        <v>9.2472042698249504E-2</v>
      </c>
      <c r="AG1737">
        <v>-0.19577739999999999</v>
      </c>
      <c r="AH1737">
        <v>0.50486980555238103</v>
      </c>
      <c r="AI1737">
        <v>110.87848606246401</v>
      </c>
      <c r="AJ1737">
        <v>79.620741017047905</v>
      </c>
      <c r="AK1737">
        <v>0.54933904793856203</v>
      </c>
      <c r="AL1737">
        <v>90.619542713249501</v>
      </c>
      <c r="AM1737">
        <v>85.975776391580894</v>
      </c>
      <c r="AN1737">
        <v>1.00000004720466</v>
      </c>
    </row>
    <row r="1738" spans="1:40" x14ac:dyDescent="0.25">
      <c r="A1738" t="str">
        <f>"20190312154248161"</f>
        <v>20190312154248161</v>
      </c>
      <c r="B1738" t="str">
        <f>"1552376568149396"</f>
        <v>1552376568149396</v>
      </c>
      <c r="C1738" t="s">
        <v>40</v>
      </c>
      <c r="D1738">
        <v>5.3156330000000001</v>
      </c>
      <c r="E1738">
        <v>0.52731689999999998</v>
      </c>
      <c r="F1738" t="s">
        <v>41</v>
      </c>
      <c r="G1738">
        <v>-221.2851</v>
      </c>
      <c r="H1738">
        <v>0.90888979999999997</v>
      </c>
      <c r="I1738">
        <v>283.75850000000003</v>
      </c>
      <c r="J1738">
        <v>-220.75120000000001</v>
      </c>
      <c r="K1738">
        <v>1.1088370000000001</v>
      </c>
      <c r="L1738">
        <v>283.69779999999997</v>
      </c>
      <c r="M1738">
        <v>-0.99640050000000002</v>
      </c>
      <c r="N1738">
        <v>0</v>
      </c>
      <c r="O1738">
        <v>-8.476757E-2</v>
      </c>
      <c r="P1738">
        <v>-0.99982919999999997</v>
      </c>
      <c r="Q1738">
        <v>-1.18613E-2</v>
      </c>
      <c r="R1738">
        <v>-1.4177199999999999E-2</v>
      </c>
      <c r="S1738">
        <v>-2.99437</v>
      </c>
      <c r="T1738">
        <v>-0.76499099999999998</v>
      </c>
      <c r="U1738">
        <v>0.15087890000000001</v>
      </c>
      <c r="V1738">
        <v>7.0626460000000002E-2</v>
      </c>
      <c r="W1738">
        <v>-1.1141460000000001E-2</v>
      </c>
      <c r="X1738">
        <v>0.99744060000000001</v>
      </c>
      <c r="Y1738">
        <v>0.12798419999999999</v>
      </c>
      <c r="Z1738">
        <v>3.7373009999999998E-2</v>
      </c>
      <c r="AA1738">
        <v>0.99107179999999995</v>
      </c>
      <c r="AB1738">
        <v>24</v>
      </c>
      <c r="AC1738">
        <v>-0.53389999999998805</v>
      </c>
      <c r="AD1738">
        <v>-0.19994719999999999</v>
      </c>
      <c r="AE1738">
        <v>6.0700000000053898E-2</v>
      </c>
      <c r="AF1738">
        <v>9.2878696207513406E-2</v>
      </c>
      <c r="AG1738">
        <v>-0.19994719999999999</v>
      </c>
      <c r="AH1738">
        <v>0.46275816643008599</v>
      </c>
      <c r="AI1738">
        <v>112.958913064548</v>
      </c>
      <c r="AJ1738">
        <v>78.651135462536701</v>
      </c>
      <c r="AK1738">
        <v>0.51259189965779095</v>
      </c>
      <c r="AL1738">
        <v>90.638371849694494</v>
      </c>
      <c r="AM1738">
        <v>85.949778358854303</v>
      </c>
      <c r="AN1738">
        <v>0.99999998975571103</v>
      </c>
    </row>
    <row r="1739" spans="1:40" x14ac:dyDescent="0.25">
      <c r="A1739" t="str">
        <f>"20190312154248181"</f>
        <v>20190312154248181</v>
      </c>
      <c r="B1739" t="str">
        <f>"1552376568168915"</f>
        <v>1552376568168915</v>
      </c>
      <c r="C1739" t="s">
        <v>40</v>
      </c>
      <c r="D1739">
        <v>5.320608</v>
      </c>
      <c r="E1739">
        <v>0.52742990000000001</v>
      </c>
      <c r="F1739" t="s">
        <v>41</v>
      </c>
      <c r="G1739">
        <v>-221.5016</v>
      </c>
      <c r="H1739">
        <v>0.91612830000000001</v>
      </c>
      <c r="I1739">
        <v>283.7364</v>
      </c>
      <c r="J1739">
        <v>-220.97399999999999</v>
      </c>
      <c r="K1739">
        <v>1.108916</v>
      </c>
      <c r="L1739">
        <v>283.67880000000002</v>
      </c>
      <c r="M1739">
        <v>-0.99639990000000001</v>
      </c>
      <c r="N1739">
        <v>0</v>
      </c>
      <c r="O1739">
        <v>-8.4768179999999999E-2</v>
      </c>
      <c r="P1739">
        <v>-0.99981960000000003</v>
      </c>
      <c r="Q1739">
        <v>-1.2795239999999999E-2</v>
      </c>
      <c r="R1739">
        <v>-1.404414E-2</v>
      </c>
      <c r="S1739">
        <v>-2.993576</v>
      </c>
      <c r="T1739">
        <v>-0.76893149999999999</v>
      </c>
      <c r="U1739">
        <v>0.1526489</v>
      </c>
      <c r="V1739">
        <v>7.0759130000000003E-2</v>
      </c>
      <c r="W1739">
        <v>-1.1499580000000001E-2</v>
      </c>
      <c r="X1739">
        <v>0.99742719999999896</v>
      </c>
      <c r="Y1739">
        <v>0.1284932</v>
      </c>
      <c r="Z1739">
        <v>3.7633170000000001E-2</v>
      </c>
      <c r="AA1739">
        <v>0.99099610000000005</v>
      </c>
      <c r="AB1739">
        <v>24</v>
      </c>
      <c r="AC1739">
        <v>-0.52759999999997798</v>
      </c>
      <c r="AD1739">
        <v>-0.19278769999999901</v>
      </c>
      <c r="AE1739">
        <v>5.7599999999979397E-2</v>
      </c>
      <c r="AF1739">
        <v>9.0212970985122404E-2</v>
      </c>
      <c r="AG1739">
        <v>-0.19278769999999901</v>
      </c>
      <c r="AH1739">
        <v>0.46010795289064899</v>
      </c>
      <c r="AI1739">
        <v>112.35131045503501</v>
      </c>
      <c r="AJ1739">
        <v>78.906789593635807</v>
      </c>
      <c r="AK1739">
        <v>0.50695641402242497</v>
      </c>
      <c r="AL1739">
        <v>90.658891885135006</v>
      </c>
      <c r="AM1739">
        <v>85.942141179828397</v>
      </c>
      <c r="AN1739">
        <v>1.00000005705918</v>
      </c>
    </row>
    <row r="1740" spans="1:40" x14ac:dyDescent="0.25">
      <c r="A1740" t="str">
        <f>"20190312154248203"</f>
        <v>20190312154248203</v>
      </c>
      <c r="B1740" t="str">
        <f>"1552376568189412"</f>
        <v>1552376568189412</v>
      </c>
      <c r="C1740" t="s">
        <v>40</v>
      </c>
      <c r="D1740">
        <v>5.3354999999999997</v>
      </c>
      <c r="E1740">
        <v>0.52747299999999997</v>
      </c>
      <c r="F1740" t="s">
        <v>41</v>
      </c>
      <c r="G1740">
        <v>-221.7166</v>
      </c>
      <c r="H1740">
        <v>0.91721799999999998</v>
      </c>
      <c r="I1740">
        <v>283.71710000000002</v>
      </c>
      <c r="J1740">
        <v>-221.2022</v>
      </c>
      <c r="K1740">
        <v>1.108989</v>
      </c>
      <c r="L1740">
        <v>283.65949999999998</v>
      </c>
      <c r="M1740">
        <v>-0.99639909999999998</v>
      </c>
      <c r="N1740">
        <v>0</v>
      </c>
      <c r="O1740">
        <v>-8.4766690000000006E-2</v>
      </c>
      <c r="P1740">
        <v>-0.99979819999999997</v>
      </c>
      <c r="Q1740">
        <v>-1.398772E-2</v>
      </c>
      <c r="R1740">
        <v>-1.442864E-2</v>
      </c>
      <c r="S1740">
        <v>-2.9928439999999998</v>
      </c>
      <c r="T1740">
        <v>-0.77255689999999999</v>
      </c>
      <c r="U1740">
        <v>0.15460209999999999</v>
      </c>
      <c r="V1740">
        <v>7.0372450000000003E-2</v>
      </c>
      <c r="W1740">
        <v>-1.2107649999999999E-2</v>
      </c>
      <c r="X1740">
        <v>0.99744730000000004</v>
      </c>
      <c r="Y1740">
        <v>0.12906309999999999</v>
      </c>
      <c r="Z1740">
        <v>3.7885460000000003E-2</v>
      </c>
      <c r="AA1740">
        <v>0.99091240000000003</v>
      </c>
      <c r="AB1740">
        <v>24</v>
      </c>
      <c r="AC1740">
        <v>-0.51439999999999397</v>
      </c>
      <c r="AD1740">
        <v>-0.191771</v>
      </c>
      <c r="AE1740">
        <v>5.7600000000036199E-2</v>
      </c>
      <c r="AF1740">
        <v>8.8806878358060004E-2</v>
      </c>
      <c r="AG1740">
        <v>-0.191771</v>
      </c>
      <c r="AH1740">
        <v>0.44639292593576502</v>
      </c>
      <c r="AI1740">
        <v>112.84784165342199</v>
      </c>
      <c r="AJ1740">
        <v>78.748295578755403</v>
      </c>
      <c r="AK1740">
        <v>0.49389211616525802</v>
      </c>
      <c r="AL1740">
        <v>90.693734197572198</v>
      </c>
      <c r="AM1740">
        <v>85.964323892565801</v>
      </c>
      <c r="AN1740">
        <v>0.99999999659240701</v>
      </c>
    </row>
    <row r="1741" spans="1:40" x14ac:dyDescent="0.25">
      <c r="A1741" t="str">
        <f>"20190312154248226"</f>
        <v>20190312154248226</v>
      </c>
      <c r="B1741" t="str">
        <f>"1552376568218692"</f>
        <v>1552376568218692</v>
      </c>
      <c r="C1741" t="s">
        <v>40</v>
      </c>
      <c r="D1741">
        <v>5.2828429999999997</v>
      </c>
      <c r="E1741">
        <v>0.52757359999999998</v>
      </c>
      <c r="F1741" t="s">
        <v>41</v>
      </c>
      <c r="G1741">
        <v>-221.93279999999999</v>
      </c>
      <c r="H1741">
        <v>0.91945600000000005</v>
      </c>
      <c r="I1741">
        <v>283.69740000000002</v>
      </c>
      <c r="J1741">
        <v>-221.45750000000001</v>
      </c>
      <c r="K1741">
        <v>1.109064</v>
      </c>
      <c r="L1741">
        <v>283.6377</v>
      </c>
      <c r="M1741">
        <v>-0.99639840000000002</v>
      </c>
      <c r="N1741">
        <v>0</v>
      </c>
      <c r="O1741">
        <v>-8.4758730000000004E-2</v>
      </c>
      <c r="P1741">
        <v>-0.99976149999999997</v>
      </c>
      <c r="Q1741">
        <v>-1.536885E-2</v>
      </c>
      <c r="R1741">
        <v>-1.55181E-2</v>
      </c>
      <c r="S1741">
        <v>-2.9919739999999999</v>
      </c>
      <c r="T1741">
        <v>-0.77625299999999997</v>
      </c>
      <c r="U1741">
        <v>0.15408329999999901</v>
      </c>
      <c r="V1741">
        <v>6.9275749999999997E-2</v>
      </c>
      <c r="W1741">
        <v>-1.285265E-2</v>
      </c>
      <c r="X1741">
        <v>0.99751469999999998</v>
      </c>
      <c r="Y1741">
        <v>0.12883649999999999</v>
      </c>
      <c r="Z1741">
        <v>3.8040850000000001E-2</v>
      </c>
      <c r="AA1741">
        <v>0.99093589999999998</v>
      </c>
      <c r="AB1741">
        <v>24</v>
      </c>
      <c r="AC1741">
        <v>-0.47529999999997502</v>
      </c>
      <c r="AD1741">
        <v>-0.189608</v>
      </c>
      <c r="AE1741">
        <v>5.9700000000020702E-2</v>
      </c>
      <c r="AF1741">
        <v>8.6257372640911198E-2</v>
      </c>
      <c r="AG1741">
        <v>-0.189608</v>
      </c>
      <c r="AH1741">
        <v>0.40506837840026</v>
      </c>
      <c r="AI1741">
        <v>114.59943360297601</v>
      </c>
      <c r="AJ1741">
        <v>77.978696121528799</v>
      </c>
      <c r="AK1741">
        <v>0.45549085520867399</v>
      </c>
      <c r="AL1741">
        <v>90.736422914509205</v>
      </c>
      <c r="AM1741">
        <v>86.027281362326903</v>
      </c>
      <c r="AN1741">
        <v>0.99999994843308604</v>
      </c>
    </row>
    <row r="1742" spans="1:40" x14ac:dyDescent="0.25">
      <c r="A1742" t="str">
        <f>"20190312154248249"</f>
        <v>20190312154248249</v>
      </c>
      <c r="B1742" t="str">
        <f>"1552376568239192"</f>
        <v>1552376568239192</v>
      </c>
      <c r="C1742" t="s">
        <v>40</v>
      </c>
      <c r="D1742">
        <v>5.3163970000000003</v>
      </c>
      <c r="E1742">
        <v>0.52766119999999905</v>
      </c>
      <c r="F1742" t="s">
        <v>41</v>
      </c>
      <c r="G1742">
        <v>-222.15190000000001</v>
      </c>
      <c r="H1742">
        <v>0.92765120000000001</v>
      </c>
      <c r="I1742">
        <v>283.67309999999998</v>
      </c>
      <c r="J1742">
        <v>-221.6994</v>
      </c>
      <c r="K1742">
        <v>1.1091310000000001</v>
      </c>
      <c r="L1742">
        <v>283.61720000000003</v>
      </c>
      <c r="M1742">
        <v>-0.99639789999999995</v>
      </c>
      <c r="N1742">
        <v>0</v>
      </c>
      <c r="O1742">
        <v>-8.4742769999999995E-2</v>
      </c>
      <c r="P1742">
        <v>-0.99972320000000003</v>
      </c>
      <c r="Q1742">
        <v>-1.6515040000000002E-2</v>
      </c>
      <c r="R1742">
        <v>-1.6750359999999999E-2</v>
      </c>
      <c r="S1742">
        <v>-2.9910739999999998</v>
      </c>
      <c r="T1742">
        <v>-0.78132409999999997</v>
      </c>
      <c r="U1742">
        <v>0.152343799999999</v>
      </c>
      <c r="V1742">
        <v>6.8028699999999998E-2</v>
      </c>
      <c r="W1742">
        <v>-1.3407270000000001E-2</v>
      </c>
      <c r="X1742">
        <v>0.99759330000000002</v>
      </c>
      <c r="Y1742">
        <v>0.1281881</v>
      </c>
      <c r="Z1742">
        <v>3.8205589999999998E-2</v>
      </c>
      <c r="AA1742">
        <v>0.9910137</v>
      </c>
      <c r="AB1742">
        <v>24</v>
      </c>
      <c r="AC1742">
        <v>-0.452500000000014</v>
      </c>
      <c r="AD1742">
        <v>-0.1814798</v>
      </c>
      <c r="AE1742">
        <v>5.5899999999951398E-2</v>
      </c>
      <c r="AF1742">
        <v>8.11832268181331E-2</v>
      </c>
      <c r="AG1742">
        <v>-0.1814798</v>
      </c>
      <c r="AH1742">
        <v>0.385119980493493</v>
      </c>
      <c r="AI1742">
        <v>114.754230343773</v>
      </c>
      <c r="AJ1742">
        <v>78.096336612266199</v>
      </c>
      <c r="AK1742">
        <v>0.43340862185696399</v>
      </c>
      <c r="AL1742">
        <v>90.768202982036698</v>
      </c>
      <c r="AM1742">
        <v>86.098878836603504</v>
      </c>
      <c r="AN1742">
        <v>1.00000002555871</v>
      </c>
    </row>
    <row r="1743" spans="1:40" x14ac:dyDescent="0.25">
      <c r="A1743" t="str">
        <f>"20190312154248272"</f>
        <v>20190312154248272</v>
      </c>
      <c r="B1743" t="str">
        <f>"1552376568258709"</f>
        <v>1552376568258709</v>
      </c>
      <c r="C1743" t="s">
        <v>40</v>
      </c>
      <c r="D1743">
        <v>5.301221</v>
      </c>
      <c r="E1743">
        <v>0.52776859999999903</v>
      </c>
      <c r="F1743" t="s">
        <v>41</v>
      </c>
      <c r="G1743">
        <v>-222.5686</v>
      </c>
      <c r="H1743">
        <v>0.88092029999999999</v>
      </c>
      <c r="I1743">
        <v>283.66059999999999</v>
      </c>
      <c r="J1743">
        <v>-221.94900000000001</v>
      </c>
      <c r="K1743">
        <v>1.109197</v>
      </c>
      <c r="L1743">
        <v>283.59589999999997</v>
      </c>
      <c r="M1743">
        <v>-0.99639809999999995</v>
      </c>
      <c r="N1743">
        <v>0</v>
      </c>
      <c r="O1743">
        <v>-8.4718070000000006E-2</v>
      </c>
      <c r="P1743">
        <v>-0.99969209999999997</v>
      </c>
      <c r="Q1743">
        <v>-1.722651E-2</v>
      </c>
      <c r="R1743">
        <v>-1.787387E-2</v>
      </c>
      <c r="S1743">
        <v>-2.9903719999999998</v>
      </c>
      <c r="T1743">
        <v>-0.78511149999999996</v>
      </c>
      <c r="U1743">
        <v>0.14974979999999999</v>
      </c>
      <c r="V1743">
        <v>6.6882040000000004E-2</v>
      </c>
      <c r="W1743">
        <v>-1.34961E-2</v>
      </c>
      <c r="X1743">
        <v>0.99766960000000005</v>
      </c>
      <c r="Y1743">
        <v>0.1272779</v>
      </c>
      <c r="Z1743">
        <v>3.8270289999999998E-2</v>
      </c>
      <c r="AA1743">
        <v>0.99112849999999997</v>
      </c>
      <c r="AB1743">
        <v>24</v>
      </c>
      <c r="AC1743">
        <v>-0.61959999999999105</v>
      </c>
      <c r="AD1743">
        <v>-0.228276699999999</v>
      </c>
      <c r="AE1743">
        <v>6.4700000000016106E-2</v>
      </c>
      <c r="AF1743">
        <v>0.103113639531406</v>
      </c>
      <c r="AG1743">
        <v>-0.228276699999999</v>
      </c>
      <c r="AH1743">
        <v>0.53945645893558503</v>
      </c>
      <c r="AI1743">
        <v>112.569522972</v>
      </c>
      <c r="AJ1743">
        <v>79.178806756591996</v>
      </c>
      <c r="AK1743">
        <v>0.59477386081402694</v>
      </c>
      <c r="AL1743">
        <v>90.7732930529736</v>
      </c>
      <c r="AM1743">
        <v>86.164728825700394</v>
      </c>
      <c r="AN1743">
        <v>0.99999999137696505</v>
      </c>
    </row>
    <row r="1744" spans="1:40" x14ac:dyDescent="0.25">
      <c r="A1744" t="str">
        <f>"20190312154248292"</f>
        <v>20190312154248292</v>
      </c>
      <c r="B1744" t="str">
        <f>"1552376568279204"</f>
        <v>1552376568279204</v>
      </c>
      <c r="C1744" t="s">
        <v>40</v>
      </c>
      <c r="D1744">
        <v>5.3102289999999996</v>
      </c>
      <c r="E1744">
        <v>0.52784969999999998</v>
      </c>
      <c r="F1744" t="s">
        <v>41</v>
      </c>
      <c r="G1744">
        <v>-222.78829999999999</v>
      </c>
      <c r="H1744">
        <v>0.8880091</v>
      </c>
      <c r="I1744">
        <v>283.63749999999999</v>
      </c>
      <c r="J1744">
        <v>-222.1797</v>
      </c>
      <c r="K1744">
        <v>1.109254</v>
      </c>
      <c r="L1744">
        <v>283.57639999999998</v>
      </c>
      <c r="M1744">
        <v>-0.99639820000000001</v>
      </c>
      <c r="N1744">
        <v>0</v>
      </c>
      <c r="O1744">
        <v>-8.4688689999999997E-2</v>
      </c>
      <c r="P1744">
        <v>-0.99966869999999997</v>
      </c>
      <c r="Q1744">
        <v>-1.797406E-2</v>
      </c>
      <c r="R1744">
        <v>-1.8423390000000001E-2</v>
      </c>
      <c r="S1744">
        <v>-2.98996</v>
      </c>
      <c r="T1744">
        <v>-0.78804269999999998</v>
      </c>
      <c r="U1744">
        <v>0.14718629999999999</v>
      </c>
      <c r="V1744">
        <v>6.6302829999999993E-2</v>
      </c>
      <c r="W1744">
        <v>-1.366611E-2</v>
      </c>
      <c r="X1744">
        <v>0.99770590000000003</v>
      </c>
      <c r="Y1744">
        <v>0.12638440000000001</v>
      </c>
      <c r="Z1744">
        <v>3.8290930000000001E-2</v>
      </c>
      <c r="AA1744">
        <v>0.99124210000000001</v>
      </c>
      <c r="AB1744">
        <v>24</v>
      </c>
      <c r="AC1744">
        <v>-0.60859999999999503</v>
      </c>
      <c r="AD1744">
        <v>-0.22124489999999999</v>
      </c>
      <c r="AE1744">
        <v>6.1100000000010299E-2</v>
      </c>
      <c r="AF1744">
        <v>9.9415391021976399E-2</v>
      </c>
      <c r="AG1744">
        <v>-0.22124489999999999</v>
      </c>
      <c r="AH1744">
        <v>0.53167657210016095</v>
      </c>
      <c r="AI1744">
        <v>112.246409032717</v>
      </c>
      <c r="AJ1744">
        <v>79.408868483013606</v>
      </c>
      <c r="AK1744">
        <v>0.58439088208855605</v>
      </c>
      <c r="AL1744">
        <v>90.783034843035395</v>
      </c>
      <c r="AM1744">
        <v>86.197983018380697</v>
      </c>
      <c r="AN1744">
        <v>0.99999994536167403</v>
      </c>
    </row>
    <row r="1745" spans="1:40" x14ac:dyDescent="0.25">
      <c r="A1745" t="str">
        <f>"20190312154248314"</f>
        <v>20190312154248314</v>
      </c>
      <c r="B1745" t="str">
        <f>"1552376568309460"</f>
        <v>1552376568309460</v>
      </c>
      <c r="C1745" t="s">
        <v>40</v>
      </c>
      <c r="D1745">
        <v>5.2647120000000003</v>
      </c>
      <c r="E1745">
        <v>0.52808859999999902</v>
      </c>
      <c r="F1745" t="s">
        <v>41</v>
      </c>
      <c r="G1745">
        <v>-223.0067</v>
      </c>
      <c r="H1745">
        <v>0.89035359999999997</v>
      </c>
      <c r="I1745">
        <v>283.61689999999999</v>
      </c>
      <c r="J1745">
        <v>-222.4111</v>
      </c>
      <c r="K1745">
        <v>1.109307</v>
      </c>
      <c r="L1745">
        <v>283.55669999999998</v>
      </c>
      <c r="M1745">
        <v>-0.99639829999999996</v>
      </c>
      <c r="N1745">
        <v>0</v>
      </c>
      <c r="O1745">
        <v>-8.4654199999999902E-2</v>
      </c>
      <c r="P1745">
        <v>-0.99965269999999995</v>
      </c>
      <c r="Q1745">
        <v>-1.8945460000000001E-2</v>
      </c>
      <c r="R1745">
        <v>-1.8321069999999998E-2</v>
      </c>
      <c r="S1745">
        <v>-2.989471</v>
      </c>
      <c r="T1745">
        <v>-0.79131260000000003</v>
      </c>
      <c r="U1745">
        <v>0.14599609999999999</v>
      </c>
      <c r="V1745">
        <v>6.6368999999999997E-2</v>
      </c>
      <c r="W1745">
        <v>-1.4062470000000001E-2</v>
      </c>
      <c r="X1745">
        <v>0.99769600000000003</v>
      </c>
      <c r="Y1745">
        <v>0.12592049999999999</v>
      </c>
      <c r="Z1745">
        <v>3.8381650000000003E-2</v>
      </c>
      <c r="AA1745">
        <v>0.9912976</v>
      </c>
      <c r="AB1745">
        <v>24</v>
      </c>
      <c r="AC1745">
        <v>-0.59559999999999003</v>
      </c>
      <c r="AD1745">
        <v>-0.21895339999999999</v>
      </c>
      <c r="AE1745">
        <v>6.0200000000008899E-2</v>
      </c>
      <c r="AF1745">
        <v>9.7377703596027196E-2</v>
      </c>
      <c r="AG1745">
        <v>-0.21895339999999999</v>
      </c>
      <c r="AH1745">
        <v>0.51894332548853594</v>
      </c>
      <c r="AI1745">
        <v>112.52300435750099</v>
      </c>
      <c r="AJ1745">
        <v>79.372256992157205</v>
      </c>
      <c r="AK1745">
        <v>0.57159879600843899</v>
      </c>
      <c r="AL1745">
        <v>90.805746776516102</v>
      </c>
      <c r="AM1745">
        <v>86.194162110356402</v>
      </c>
      <c r="AN1745">
        <v>0.99999995281974896</v>
      </c>
    </row>
    <row r="1746" spans="1:40" x14ac:dyDescent="0.25">
      <c r="A1746" t="str">
        <f>"20190312154248338"</f>
        <v>20190312154248338</v>
      </c>
      <c r="B1746" t="str">
        <f>"1552376568328980"</f>
        <v>1552376568328980</v>
      </c>
      <c r="C1746" t="s">
        <v>40</v>
      </c>
      <c r="D1746">
        <v>5.2284600000000001</v>
      </c>
      <c r="E1746">
        <v>0.52823940000000003</v>
      </c>
      <c r="F1746" t="s">
        <v>41</v>
      </c>
      <c r="G1746">
        <v>-223.22540000000001</v>
      </c>
      <c r="H1746">
        <v>0.89255049999999903</v>
      </c>
      <c r="I1746">
        <v>283.59719999999999</v>
      </c>
      <c r="J1746">
        <v>-222.67150000000001</v>
      </c>
      <c r="K1746">
        <v>1.1093710000000001</v>
      </c>
      <c r="L1746">
        <v>283.53469999999999</v>
      </c>
      <c r="M1746">
        <v>-0.99639889999999998</v>
      </c>
      <c r="N1746">
        <v>0</v>
      </c>
      <c r="O1746">
        <v>-8.4610379999999999E-2</v>
      </c>
      <c r="P1746">
        <v>-0.99964149999999996</v>
      </c>
      <c r="Q1746">
        <v>-2.0034010000000001E-2</v>
      </c>
      <c r="R1746">
        <v>-1.778101E-2</v>
      </c>
      <c r="S1746">
        <v>-2.988693</v>
      </c>
      <c r="T1746">
        <v>-0.79556870000000002</v>
      </c>
      <c r="U1746">
        <v>0.14813229999999999</v>
      </c>
      <c r="V1746">
        <v>6.6862550000000007E-2</v>
      </c>
      <c r="W1746">
        <v>-1.451504E-2</v>
      </c>
      <c r="X1746">
        <v>0.9976566</v>
      </c>
      <c r="Y1746">
        <v>0.12649769999999999</v>
      </c>
      <c r="Z1746">
        <v>3.8654479999999998E-2</v>
      </c>
      <c r="AA1746">
        <v>0.99121349999999997</v>
      </c>
      <c r="AB1746">
        <v>24</v>
      </c>
      <c r="AC1746">
        <v>-0.55389999999999795</v>
      </c>
      <c r="AD1746">
        <v>-0.2168205</v>
      </c>
      <c r="AE1746">
        <v>6.25E-2</v>
      </c>
      <c r="AF1746">
        <v>9.4799033294608301E-2</v>
      </c>
      <c r="AG1746">
        <v>-0.2168205</v>
      </c>
      <c r="AH1746">
        <v>0.47478914798601901</v>
      </c>
      <c r="AI1746">
        <v>114.1241496233</v>
      </c>
      <c r="AJ1746">
        <v>78.7084946184156</v>
      </c>
      <c r="AK1746">
        <v>0.53049290379714997</v>
      </c>
      <c r="AL1746">
        <v>90.831679746080297</v>
      </c>
      <c r="AM1746">
        <v>86.165793310437806</v>
      </c>
      <c r="AN1746">
        <v>0.99999998925113198</v>
      </c>
    </row>
    <row r="1747" spans="1:40" x14ac:dyDescent="0.25">
      <c r="A1747" t="str">
        <f>"20190312154248362"</f>
        <v>20190312154248362</v>
      </c>
      <c r="B1747" t="str">
        <f>"1552376568349475"</f>
        <v>1552376568349475</v>
      </c>
      <c r="C1747" t="s">
        <v>40</v>
      </c>
      <c r="D1747">
        <v>5.2398530000000001</v>
      </c>
      <c r="E1747">
        <v>0.52838160000000001</v>
      </c>
      <c r="F1747" t="s">
        <v>41</v>
      </c>
      <c r="G1747">
        <v>-223.4469</v>
      </c>
      <c r="H1747">
        <v>0.90190840000000005</v>
      </c>
      <c r="I1747">
        <v>283.57389999999998</v>
      </c>
      <c r="J1747">
        <v>-222.9237</v>
      </c>
      <c r="K1747">
        <v>1.1094440000000001</v>
      </c>
      <c r="L1747">
        <v>283.51339999999999</v>
      </c>
      <c r="M1747">
        <v>-0.99639920000000004</v>
      </c>
      <c r="N1747">
        <v>0</v>
      </c>
      <c r="O1747">
        <v>-8.4563440000000004E-2</v>
      </c>
      <c r="P1747">
        <v>-0.999641</v>
      </c>
      <c r="Q1747">
        <v>-2.0892580000000001E-2</v>
      </c>
      <c r="R1747">
        <v>-1.6777960000000001E-2</v>
      </c>
      <c r="S1747">
        <v>-2.9877470000000002</v>
      </c>
      <c r="T1747">
        <v>-0.79943369999999903</v>
      </c>
      <c r="U1747">
        <v>0.1507568</v>
      </c>
      <c r="V1747">
        <v>6.7815159999999999E-2</v>
      </c>
      <c r="W1747">
        <v>-1.477036E-2</v>
      </c>
      <c r="X1747">
        <v>0.99758860000000005</v>
      </c>
      <c r="Y1747">
        <v>0.1272365</v>
      </c>
      <c r="Z1747">
        <v>3.8932010000000003E-2</v>
      </c>
      <c r="AA1747">
        <v>0.99110810000000005</v>
      </c>
      <c r="AB1747">
        <v>24</v>
      </c>
      <c r="AC1747">
        <v>-0.523200000000002</v>
      </c>
      <c r="AD1747">
        <v>-0.20753559999999999</v>
      </c>
      <c r="AE1747">
        <v>6.0499999999990402E-2</v>
      </c>
      <c r="AF1747">
        <v>9.0479212487080907E-2</v>
      </c>
      <c r="AG1747">
        <v>-0.20753559999999999</v>
      </c>
      <c r="AH1747">
        <v>0.44683123553154802</v>
      </c>
      <c r="AI1747">
        <v>114.476069612861</v>
      </c>
      <c r="AJ1747">
        <v>78.552910323768899</v>
      </c>
      <c r="AK1747">
        <v>0.50091482929365605</v>
      </c>
      <c r="AL1747">
        <v>90.846310032676598</v>
      </c>
      <c r="AM1747">
        <v>86.111068436631996</v>
      </c>
      <c r="AN1747">
        <v>1.0000000371551501</v>
      </c>
    </row>
    <row r="1748" spans="1:40" x14ac:dyDescent="0.25">
      <c r="A1748" t="str">
        <f>"20190312154248381"</f>
        <v>20190312154248381</v>
      </c>
      <c r="B1748" t="str">
        <f>"1552376568368996"</f>
        <v>1552376568368996</v>
      </c>
      <c r="C1748" t="s">
        <v>40</v>
      </c>
      <c r="D1748">
        <v>5.2305609999999998</v>
      </c>
      <c r="E1748">
        <v>0.52852189999999999</v>
      </c>
      <c r="F1748" t="s">
        <v>41</v>
      </c>
      <c r="G1748">
        <v>-223.6679</v>
      </c>
      <c r="H1748">
        <v>0.90942369999999995</v>
      </c>
      <c r="I1748">
        <v>283.55220000000003</v>
      </c>
      <c r="J1748">
        <v>-223.1438</v>
      </c>
      <c r="K1748">
        <v>1.1095079999999999</v>
      </c>
      <c r="L1748">
        <v>283.49470000000002</v>
      </c>
      <c r="M1748">
        <v>-0.99639929999999999</v>
      </c>
      <c r="N1748">
        <v>0</v>
      </c>
      <c r="O1748">
        <v>-8.4521440000000003E-2</v>
      </c>
      <c r="P1748">
        <v>-0.99965040000000005</v>
      </c>
      <c r="Q1748">
        <v>-2.1191410000000001E-2</v>
      </c>
      <c r="R1748">
        <v>-1.581606E-2</v>
      </c>
      <c r="S1748">
        <v>-2.986923</v>
      </c>
      <c r="T1748">
        <v>-0.80283509999999902</v>
      </c>
      <c r="U1748">
        <v>0.15502929999999901</v>
      </c>
      <c r="V1748">
        <v>6.8732660000000001E-2</v>
      </c>
      <c r="W1748">
        <v>-1.454457E-2</v>
      </c>
      <c r="X1748">
        <v>0.99752909999999995</v>
      </c>
      <c r="Y1748">
        <v>0.12851290000000001</v>
      </c>
      <c r="Z1748">
        <v>3.9258849999999998E-2</v>
      </c>
      <c r="AA1748">
        <v>0.99093039999999999</v>
      </c>
      <c r="AB1748">
        <v>24</v>
      </c>
      <c r="AC1748">
        <v>-0.52410000000000401</v>
      </c>
      <c r="AD1748">
        <v>-0.20008429999999999</v>
      </c>
      <c r="AE1748">
        <v>5.7500000000004499E-2</v>
      </c>
      <c r="AF1748">
        <v>8.8803988670832501E-2</v>
      </c>
      <c r="AG1748">
        <v>-0.20008429999999999</v>
      </c>
      <c r="AH1748">
        <v>0.45223651797991798</v>
      </c>
      <c r="AI1748">
        <v>113.46768222313599</v>
      </c>
      <c r="AJ1748">
        <v>78.890397661479298</v>
      </c>
      <c r="AK1748">
        <v>0.50243182990823698</v>
      </c>
      <c r="AL1748">
        <v>90.833371848294505</v>
      </c>
      <c r="AM1748">
        <v>86.058383810713394</v>
      </c>
      <c r="AN1748">
        <v>1.00000001420698</v>
      </c>
    </row>
    <row r="1749" spans="1:40" x14ac:dyDescent="0.25">
      <c r="A1749" t="str">
        <f>"20190312154248405"</f>
        <v>20190312154248405</v>
      </c>
      <c r="B1749" t="str">
        <f>"1552376568399252"</f>
        <v>1552376568399252</v>
      </c>
      <c r="C1749" t="s">
        <v>40</v>
      </c>
      <c r="D1749">
        <v>5.2220209999999998</v>
      </c>
      <c r="E1749">
        <v>0.5287212</v>
      </c>
      <c r="F1749" t="s">
        <v>41</v>
      </c>
      <c r="G1749">
        <v>-223.88640000000001</v>
      </c>
      <c r="H1749">
        <v>0.90956000000000004</v>
      </c>
      <c r="I1749">
        <v>283.53449999999998</v>
      </c>
      <c r="J1749">
        <v>-223.38229999999999</v>
      </c>
      <c r="K1749">
        <v>1.109572</v>
      </c>
      <c r="L1749">
        <v>283.47460000000001</v>
      </c>
      <c r="M1749">
        <v>-0.99639990000000001</v>
      </c>
      <c r="N1749">
        <v>0</v>
      </c>
      <c r="O1749">
        <v>-8.4469669999999997E-2</v>
      </c>
      <c r="P1749">
        <v>-0.99966469999999996</v>
      </c>
      <c r="Q1749">
        <v>-2.0950710000000001E-2</v>
      </c>
      <c r="R1749">
        <v>-1.5231959999999999E-2</v>
      </c>
      <c r="S1749">
        <v>-2.986542</v>
      </c>
      <c r="T1749">
        <v>-0.80422990000000005</v>
      </c>
      <c r="U1749">
        <v>0.1592102</v>
      </c>
      <c r="V1749">
        <v>6.9264499999999896E-2</v>
      </c>
      <c r="W1749">
        <v>-1.373651E-2</v>
      </c>
      <c r="X1749">
        <v>0.99750380000000005</v>
      </c>
      <c r="Y1749">
        <v>0.12978120000000001</v>
      </c>
      <c r="Z1749">
        <v>3.9482589999999998E-2</v>
      </c>
      <c r="AA1749">
        <v>0.99075630000000003</v>
      </c>
      <c r="AB1749">
        <v>24</v>
      </c>
      <c r="AC1749">
        <v>-0.50410000000002197</v>
      </c>
      <c r="AD1749">
        <v>-0.200012</v>
      </c>
      <c r="AE1749">
        <v>5.9899999999970498E-2</v>
      </c>
      <c r="AF1749">
        <v>8.8525868855377304E-2</v>
      </c>
      <c r="AG1749">
        <v>-0.200012</v>
      </c>
      <c r="AH1749">
        <v>0.43042188452934099</v>
      </c>
      <c r="AI1749">
        <v>114.473180374403</v>
      </c>
      <c r="AJ1749">
        <v>78.377910967334699</v>
      </c>
      <c r="AK1749">
        <v>0.48280910128371501</v>
      </c>
      <c r="AL1749">
        <v>90.787068764919297</v>
      </c>
      <c r="AM1749">
        <v>86.027881179644893</v>
      </c>
      <c r="AN1749">
        <v>1.0000000468408301</v>
      </c>
    </row>
    <row r="1750" spans="1:40" x14ac:dyDescent="0.25">
      <c r="A1750" t="str">
        <f>"20190312154248418"</f>
        <v>20190312154248418</v>
      </c>
      <c r="B1750" t="str">
        <f>"1552376568409013"</f>
        <v>1552376568409013</v>
      </c>
      <c r="C1750" t="s">
        <v>40</v>
      </c>
      <c r="D1750">
        <v>5.26844</v>
      </c>
      <c r="E1750">
        <v>0.5287828</v>
      </c>
      <c r="F1750" t="s">
        <v>41</v>
      </c>
      <c r="G1750">
        <v>-224.10640000000001</v>
      </c>
      <c r="H1750">
        <v>0.91442489999999998</v>
      </c>
      <c r="I1750">
        <v>283.51420000000002</v>
      </c>
      <c r="J1750">
        <v>-223.5523</v>
      </c>
      <c r="K1750">
        <v>1.1096140000000001</v>
      </c>
      <c r="L1750">
        <v>283.46019999999999</v>
      </c>
      <c r="M1750">
        <v>-0.99639960000000005</v>
      </c>
      <c r="N1750">
        <v>0</v>
      </c>
      <c r="O1750">
        <v>-8.4436399999999995E-2</v>
      </c>
      <c r="P1750">
        <v>-0.99965890000000002</v>
      </c>
      <c r="Q1750">
        <v>-2.133738E-2</v>
      </c>
      <c r="R1750">
        <v>-1.5063150000000001E-2</v>
      </c>
      <c r="S1750">
        <v>-2.9866030000000001</v>
      </c>
      <c r="T1750">
        <v>-0.80489849999999996</v>
      </c>
      <c r="U1750">
        <v>0.16250609999999999</v>
      </c>
      <c r="V1750">
        <v>6.9398860000000007E-2</v>
      </c>
      <c r="W1750">
        <v>-1.3729420000000001E-2</v>
      </c>
      <c r="X1750">
        <v>0.99749449999999995</v>
      </c>
      <c r="Y1750">
        <v>0.13079089999999999</v>
      </c>
      <c r="Z1750">
        <v>3.9637520000000002E-2</v>
      </c>
      <c r="AA1750">
        <v>0.99061730000000003</v>
      </c>
      <c r="AB1750">
        <v>24</v>
      </c>
      <c r="AC1750">
        <v>-0.55410000000000503</v>
      </c>
      <c r="AD1750">
        <v>-0.19518909999999901</v>
      </c>
      <c r="AE1750">
        <v>5.4000000000030399E-2</v>
      </c>
      <c r="AF1750">
        <v>8.9583001440144805E-2</v>
      </c>
      <c r="AG1750">
        <v>-0.19518909999999901</v>
      </c>
      <c r="AH1750">
        <v>0.48762196431653898</v>
      </c>
      <c r="AI1750">
        <v>111.489512411028</v>
      </c>
      <c r="AJ1750">
        <v>79.590039996157103</v>
      </c>
      <c r="AK1750">
        <v>0.53282180791495004</v>
      </c>
      <c r="AL1750">
        <v>90.786662545733506</v>
      </c>
      <c r="AM1750">
        <v>86.020163772255003</v>
      </c>
      <c r="AN1750">
        <v>0.99999998813654201</v>
      </c>
    </row>
    <row r="1751" spans="1:40" x14ac:dyDescent="0.25">
      <c r="A1751" t="str">
        <f>"20190312154248438"</f>
        <v>20190312154248438</v>
      </c>
      <c r="B1751" t="str">
        <f>"1552376568429508"</f>
        <v>1552376568429508</v>
      </c>
      <c r="C1751" t="s">
        <v>40</v>
      </c>
      <c r="D1751">
        <v>5.3031290000000002</v>
      </c>
      <c r="E1751">
        <v>0.52894240000000003</v>
      </c>
      <c r="F1751" t="s">
        <v>41</v>
      </c>
      <c r="G1751">
        <v>-224.3202</v>
      </c>
      <c r="H1751">
        <v>0.90224079999999995</v>
      </c>
      <c r="I1751">
        <v>283.50220000000002</v>
      </c>
      <c r="J1751">
        <v>-223.7619</v>
      </c>
      <c r="K1751">
        <v>1.109666</v>
      </c>
      <c r="L1751">
        <v>283.44240000000002</v>
      </c>
      <c r="M1751">
        <v>-0.99639920000000004</v>
      </c>
      <c r="N1751">
        <v>0</v>
      </c>
      <c r="O1751">
        <v>-8.4400249999999996E-2</v>
      </c>
      <c r="P1751">
        <v>-0.99966169999999999</v>
      </c>
      <c r="Q1751">
        <v>-2.142471E-2</v>
      </c>
      <c r="R1751">
        <v>-1.4760189999999999E-2</v>
      </c>
      <c r="S1751">
        <v>-2.9862519999999999</v>
      </c>
      <c r="T1751">
        <v>-0.80642930000000002</v>
      </c>
      <c r="U1751">
        <v>0.1631775</v>
      </c>
      <c r="V1751">
        <v>6.9665160000000004E-2</v>
      </c>
      <c r="W1751">
        <v>-1.335361E-2</v>
      </c>
      <c r="X1751">
        <v>0.99748099999999995</v>
      </c>
      <c r="Y1751">
        <v>0.13094890000000001</v>
      </c>
      <c r="Z1751">
        <v>3.9726070000000002E-2</v>
      </c>
      <c r="AA1751">
        <v>0.99059280000000005</v>
      </c>
      <c r="AB1751">
        <v>24</v>
      </c>
      <c r="AC1751">
        <v>-0.55830000000000202</v>
      </c>
      <c r="AD1751">
        <v>-0.207425199999999</v>
      </c>
      <c r="AE1751">
        <v>5.97999999999956E-2</v>
      </c>
      <c r="AF1751">
        <v>9.3895059493565095E-2</v>
      </c>
      <c r="AG1751">
        <v>-0.207425199999999</v>
      </c>
      <c r="AH1751">
        <v>0.48506433650321301</v>
      </c>
      <c r="AI1751">
        <v>112.77416663998</v>
      </c>
      <c r="AJ1751">
        <v>79.044612146195803</v>
      </c>
      <c r="AK1751">
        <v>0.53584410637763202</v>
      </c>
      <c r="AL1751">
        <v>90.765128273609406</v>
      </c>
      <c r="AM1751">
        <v>86.004887652322907</v>
      </c>
      <c r="AN1751">
        <v>0.99999994938942705</v>
      </c>
    </row>
    <row r="1752" spans="1:40" x14ac:dyDescent="0.25">
      <c r="A1752" t="str">
        <f>"20190312154248460"</f>
        <v>20190312154248460</v>
      </c>
      <c r="B1752" t="str">
        <f>"1552376568449031"</f>
        <v>1552376568449031</v>
      </c>
      <c r="C1752" t="s">
        <v>40</v>
      </c>
      <c r="D1752">
        <v>5.2462119999999999</v>
      </c>
      <c r="E1752">
        <v>0.52902179999999999</v>
      </c>
      <c r="F1752" t="s">
        <v>41</v>
      </c>
      <c r="G1752">
        <v>-224.5376</v>
      </c>
      <c r="H1752">
        <v>0.89994549999999995</v>
      </c>
      <c r="I1752">
        <v>283.48540000000003</v>
      </c>
      <c r="J1752">
        <v>-224.00579999999999</v>
      </c>
      <c r="K1752">
        <v>1.1097129999999999</v>
      </c>
      <c r="L1752">
        <v>283.42189999999999</v>
      </c>
      <c r="M1752">
        <v>-0.99639829999999996</v>
      </c>
      <c r="N1752">
        <v>0</v>
      </c>
      <c r="O1752">
        <v>-8.4358269999999999E-2</v>
      </c>
      <c r="P1752">
        <v>-0.9996564</v>
      </c>
      <c r="Q1752">
        <v>-2.158641E-2</v>
      </c>
      <c r="R1752">
        <v>-1.4874109999999999E-2</v>
      </c>
      <c r="S1752">
        <v>-2.986145</v>
      </c>
      <c r="T1752">
        <v>-0.80742669999999905</v>
      </c>
      <c r="U1752">
        <v>0.16488649999999999</v>
      </c>
      <c r="V1752">
        <v>6.9509829999999995E-2</v>
      </c>
      <c r="W1752">
        <v>-1.301921E-2</v>
      </c>
      <c r="X1752">
        <v>0.9974963</v>
      </c>
      <c r="Y1752">
        <v>0.13143959999999999</v>
      </c>
      <c r="Z1752">
        <v>3.9828509999999998E-2</v>
      </c>
      <c r="AA1752">
        <v>0.99052379999999995</v>
      </c>
      <c r="AB1752">
        <v>24</v>
      </c>
      <c r="AC1752">
        <v>-0.53180000000000305</v>
      </c>
      <c r="AD1752">
        <v>-0.2097675</v>
      </c>
      <c r="AE1752">
        <v>6.3500000000033197E-2</v>
      </c>
      <c r="AF1752">
        <v>9.3754835158721794E-2</v>
      </c>
      <c r="AG1752">
        <v>-0.2097675</v>
      </c>
      <c r="AH1752">
        <v>0.454782670246138</v>
      </c>
      <c r="AI1752">
        <v>114.310988852957</v>
      </c>
      <c r="AJ1752">
        <v>78.351487614244803</v>
      </c>
      <c r="AK1752">
        <v>0.50952885132060699</v>
      </c>
      <c r="AL1752">
        <v>90.745966865815305</v>
      </c>
      <c r="AM1752">
        <v>86.013827612825906</v>
      </c>
      <c r="AN1752">
        <v>0.99999999240467097</v>
      </c>
    </row>
    <row r="1753" spans="1:40" x14ac:dyDescent="0.25">
      <c r="A1753" t="str">
        <f>"20190312154248482"</f>
        <v>20190312154248482</v>
      </c>
      <c r="B1753" t="str">
        <f>"1552376568479285"</f>
        <v>1552376568479285</v>
      </c>
      <c r="C1753" t="s">
        <v>40</v>
      </c>
      <c r="D1753">
        <v>5.2188089999999896</v>
      </c>
      <c r="E1753">
        <v>0.52916450000000004</v>
      </c>
      <c r="F1753" t="s">
        <v>41</v>
      </c>
      <c r="G1753">
        <v>-224.7577</v>
      </c>
      <c r="H1753">
        <v>0.90603109999999998</v>
      </c>
      <c r="I1753">
        <v>283.46339999999998</v>
      </c>
      <c r="J1753">
        <v>-224.2431</v>
      </c>
      <c r="K1753">
        <v>1.1097520000000001</v>
      </c>
      <c r="L1753">
        <v>283.40190000000001</v>
      </c>
      <c r="M1753">
        <v>-0.99639889999999998</v>
      </c>
      <c r="N1753">
        <v>0</v>
      </c>
      <c r="O1753">
        <v>-8.4309480000000006E-2</v>
      </c>
      <c r="P1753">
        <v>-0.99964839999999999</v>
      </c>
      <c r="Q1753">
        <v>-2.160022E-2</v>
      </c>
      <c r="R1753">
        <v>-1.53944999999999E-2</v>
      </c>
      <c r="S1753">
        <v>-2.986008</v>
      </c>
      <c r="T1753">
        <v>-0.80884719999999999</v>
      </c>
      <c r="U1753">
        <v>0.16458130000000001</v>
      </c>
      <c r="V1753">
        <v>6.8942169999999997E-2</v>
      </c>
      <c r="W1753">
        <v>-1.259877E-2</v>
      </c>
      <c r="X1753">
        <v>0.99754109999999996</v>
      </c>
      <c r="Y1753">
        <v>0.13127320000000001</v>
      </c>
      <c r="Z1753">
        <v>3.9863009999999997E-2</v>
      </c>
      <c r="AA1753">
        <v>0.99054439999999999</v>
      </c>
      <c r="AB1753">
        <v>24</v>
      </c>
      <c r="AC1753">
        <v>-0.51460000000000095</v>
      </c>
      <c r="AD1753">
        <v>-0.20372090000000001</v>
      </c>
      <c r="AE1753">
        <v>6.1499999999966803E-2</v>
      </c>
      <c r="AF1753">
        <v>9.0660038962006695E-2</v>
      </c>
      <c r="AG1753">
        <v>-0.20372090000000001</v>
      </c>
      <c r="AH1753">
        <v>0.43964966375028097</v>
      </c>
      <c r="AI1753">
        <v>114.409621411738</v>
      </c>
      <c r="AJ1753">
        <v>78.348372524091303</v>
      </c>
      <c r="AK1753">
        <v>0.49296376600835201</v>
      </c>
      <c r="AL1753">
        <v>90.721875446732497</v>
      </c>
      <c r="AM1753">
        <v>86.046454481332802</v>
      </c>
      <c r="AN1753">
        <v>0.99999999899951497</v>
      </c>
    </row>
    <row r="1754" spans="1:40" x14ac:dyDescent="0.25">
      <c r="A1754" t="str">
        <f>"20190312154248503"</f>
        <v>20190312154248503</v>
      </c>
      <c r="B1754" t="str">
        <f>"1552376568498804"</f>
        <v>1552376568498804</v>
      </c>
      <c r="C1754" t="s">
        <v>40</v>
      </c>
      <c r="D1754">
        <v>5.2271429999999999</v>
      </c>
      <c r="E1754">
        <v>0.52926019999999996</v>
      </c>
      <c r="F1754" t="s">
        <v>41</v>
      </c>
      <c r="G1754">
        <v>-224.97739999999999</v>
      </c>
      <c r="H1754">
        <v>0.91069270000000002</v>
      </c>
      <c r="I1754">
        <v>283.44220000000001</v>
      </c>
      <c r="J1754">
        <v>-224.4727</v>
      </c>
      <c r="K1754">
        <v>1.1097900000000001</v>
      </c>
      <c r="L1754">
        <v>283.38249999999999</v>
      </c>
      <c r="M1754">
        <v>-0.99639929999999999</v>
      </c>
      <c r="N1754">
        <v>0</v>
      </c>
      <c r="O1754">
        <v>-8.4260989999999994E-2</v>
      </c>
      <c r="P1754">
        <v>-0.99965009999999999</v>
      </c>
      <c r="Q1754">
        <v>-2.1049040000000001E-2</v>
      </c>
      <c r="R1754">
        <v>-1.6028859999999999E-2</v>
      </c>
      <c r="S1754">
        <v>-2.9860989999999998</v>
      </c>
      <c r="T1754">
        <v>-0.80963890000000005</v>
      </c>
      <c r="U1754">
        <v>0.16348270000000001</v>
      </c>
      <c r="V1754">
        <v>6.8262110000000001E-2</v>
      </c>
      <c r="W1754">
        <v>-1.1671900000000001E-2</v>
      </c>
      <c r="X1754">
        <v>0.99759909999999996</v>
      </c>
      <c r="Y1754">
        <v>0.13086229999999999</v>
      </c>
      <c r="Z1754">
        <v>3.9832300000000001E-2</v>
      </c>
      <c r="AA1754">
        <v>0.99060000000000004</v>
      </c>
      <c r="AB1754">
        <v>24</v>
      </c>
      <c r="AC1754">
        <v>-0.50469999999998505</v>
      </c>
      <c r="AD1754">
        <v>-0.1990973</v>
      </c>
      <c r="AE1754">
        <v>5.9700000000020702E-2</v>
      </c>
      <c r="AF1754">
        <v>8.8442599493906898E-2</v>
      </c>
      <c r="AG1754">
        <v>-0.1990973</v>
      </c>
      <c r="AH1754">
        <v>0.43163103935226199</v>
      </c>
      <c r="AI1754">
        <v>114.31719855499099</v>
      </c>
      <c r="AJ1754">
        <v>78.420194094986698</v>
      </c>
      <c r="AK1754">
        <v>0.483494759438862</v>
      </c>
      <c r="AL1754">
        <v>90.668765823189503</v>
      </c>
      <c r="AM1754">
        <v>86.085558116525704</v>
      </c>
      <c r="AN1754">
        <v>0.99999995661603502</v>
      </c>
    </row>
    <row r="1755" spans="1:40" x14ac:dyDescent="0.25">
      <c r="A1755" t="str">
        <f>"20190312154248527"</f>
        <v>20190312154248527</v>
      </c>
      <c r="B1755" t="str">
        <f>"1552376568519300"</f>
        <v>1552376568519300</v>
      </c>
      <c r="C1755" t="s">
        <v>40</v>
      </c>
      <c r="D1755">
        <v>5.2396900000000004</v>
      </c>
      <c r="E1755">
        <v>0.52934700000000001</v>
      </c>
      <c r="F1755" t="s">
        <v>41</v>
      </c>
      <c r="G1755">
        <v>-225.19649999999999</v>
      </c>
      <c r="H1755">
        <v>0.91382479999999999</v>
      </c>
      <c r="I1755">
        <v>283.42189999999999</v>
      </c>
      <c r="J1755">
        <v>-224.7285</v>
      </c>
      <c r="K1755">
        <v>1.1098250000000001</v>
      </c>
      <c r="L1755">
        <v>283.36090000000002</v>
      </c>
      <c r="M1755">
        <v>-0.99639990000000001</v>
      </c>
      <c r="N1755">
        <v>0</v>
      </c>
      <c r="O1755">
        <v>-8.421352E-2</v>
      </c>
      <c r="P1755">
        <v>-0.99966109999999997</v>
      </c>
      <c r="Q1755">
        <v>-2.0632439999999998E-2</v>
      </c>
      <c r="R1755">
        <v>-1.5885630000000001E-2</v>
      </c>
      <c r="S1755">
        <v>-2.9866489999999999</v>
      </c>
      <c r="T1755">
        <v>-0.80855669999999902</v>
      </c>
      <c r="U1755">
        <v>0.1625366</v>
      </c>
      <c r="V1755">
        <v>6.8358639999999998E-2</v>
      </c>
      <c r="W1755">
        <v>-1.0883759999999999E-2</v>
      </c>
      <c r="X1755">
        <v>0.99760139999999997</v>
      </c>
      <c r="Y1755">
        <v>0.13052919999999901</v>
      </c>
      <c r="Z1755">
        <v>3.971732E-2</v>
      </c>
      <c r="AA1755">
        <v>0.99064859999999999</v>
      </c>
      <c r="AB1755">
        <v>24</v>
      </c>
      <c r="AC1755">
        <v>-0.46799999999998898</v>
      </c>
      <c r="AD1755">
        <v>-0.19600020000000001</v>
      </c>
      <c r="AE1755">
        <v>6.0999999999978599E-2</v>
      </c>
      <c r="AF1755">
        <v>8.5458378722364198E-2</v>
      </c>
      <c r="AG1755">
        <v>-0.19600020000000001</v>
      </c>
      <c r="AH1755">
        <v>0.393358838945847</v>
      </c>
      <c r="AI1755">
        <v>115.962138624209</v>
      </c>
      <c r="AJ1755">
        <v>77.742794419819006</v>
      </c>
      <c r="AK1755">
        <v>0.44771686261600602</v>
      </c>
      <c r="AL1755">
        <v>90.623605852385495</v>
      </c>
      <c r="AM1755">
        <v>86.080048927282505</v>
      </c>
      <c r="AN1755">
        <v>0.99999995658817198</v>
      </c>
    </row>
    <row r="1756" spans="1:40" x14ac:dyDescent="0.25">
      <c r="A1756" t="str">
        <f>"20190312154248550"</f>
        <v>20190312154248550</v>
      </c>
      <c r="B1756" t="str">
        <f>"1552376568538820"</f>
        <v>1552376568538820</v>
      </c>
      <c r="C1756" t="s">
        <v>40</v>
      </c>
      <c r="D1756">
        <v>5.2373560000000001</v>
      </c>
      <c r="E1756">
        <v>0.52945050000000005</v>
      </c>
      <c r="F1756" t="s">
        <v>41</v>
      </c>
      <c r="G1756">
        <v>-225.41829999999999</v>
      </c>
      <c r="H1756">
        <v>0.92327309999999996</v>
      </c>
      <c r="I1756">
        <v>283.39879999999999</v>
      </c>
      <c r="J1756">
        <v>-224.98140000000001</v>
      </c>
      <c r="K1756">
        <v>1.109861</v>
      </c>
      <c r="L1756">
        <v>283.33960000000002</v>
      </c>
      <c r="M1756">
        <v>-0.99640030000000002</v>
      </c>
      <c r="N1756">
        <v>0</v>
      </c>
      <c r="O1756">
        <v>-8.4170140000000004E-2</v>
      </c>
      <c r="P1756">
        <v>-0.99966999999999995</v>
      </c>
      <c r="Q1756">
        <v>-2.0252409999999998E-2</v>
      </c>
      <c r="R1756">
        <v>-1.5809960000000001E-2</v>
      </c>
      <c r="S1756">
        <v>-2.9869379999999999</v>
      </c>
      <c r="T1756">
        <v>-0.80789119999999903</v>
      </c>
      <c r="U1756">
        <v>0.16305539999999999</v>
      </c>
      <c r="V1756">
        <v>6.8391809999999997E-2</v>
      </c>
      <c r="W1756">
        <v>-1.0185949999999999E-2</v>
      </c>
      <c r="X1756">
        <v>0.99760649999999995</v>
      </c>
      <c r="Y1756">
        <v>0.13066340000000001</v>
      </c>
      <c r="Z1756">
        <v>3.9688309999999997E-2</v>
      </c>
      <c r="AA1756">
        <v>0.99063210000000002</v>
      </c>
      <c r="AB1756">
        <v>24</v>
      </c>
      <c r="AC1756">
        <v>-0.43689999999998003</v>
      </c>
      <c r="AD1756">
        <v>-0.1865879</v>
      </c>
      <c r="AE1756">
        <v>5.9199999999975703E-2</v>
      </c>
      <c r="AF1756">
        <v>8.1219161056140493E-2</v>
      </c>
      <c r="AG1756">
        <v>-0.1865879</v>
      </c>
      <c r="AH1756">
        <v>0.36499487270206699</v>
      </c>
      <c r="AI1756">
        <v>116.519285020715</v>
      </c>
      <c r="AJ1756">
        <v>77.454859714484002</v>
      </c>
      <c r="AK1756">
        <v>0.41789095904059897</v>
      </c>
      <c r="AL1756">
        <v>90.583622060508006</v>
      </c>
      <c r="AM1756">
        <v>86.078172751184496</v>
      </c>
      <c r="AN1756">
        <v>0.999999961047363</v>
      </c>
    </row>
    <row r="1757" spans="1:40" x14ac:dyDescent="0.25">
      <c r="A1757" t="str">
        <f>"20190312154248572"</f>
        <v>20190312154248572</v>
      </c>
      <c r="B1757" t="str">
        <f>"1552376568569077"</f>
        <v>1552376568569077</v>
      </c>
      <c r="C1757" t="s">
        <v>40</v>
      </c>
      <c r="D1757">
        <v>5.2357820000000004</v>
      </c>
      <c r="E1757">
        <v>0.5295801</v>
      </c>
      <c r="F1757" t="s">
        <v>41</v>
      </c>
      <c r="G1757">
        <v>-225.83750000000001</v>
      </c>
      <c r="H1757">
        <v>0.87846880000000005</v>
      </c>
      <c r="I1757">
        <v>283.38670000000002</v>
      </c>
      <c r="J1757">
        <v>-225.2338</v>
      </c>
      <c r="K1757">
        <v>1.109883</v>
      </c>
      <c r="L1757">
        <v>283.3184</v>
      </c>
      <c r="M1757">
        <v>-0.99640110000000004</v>
      </c>
      <c r="N1757">
        <v>0</v>
      </c>
      <c r="O1757">
        <v>-8.4126720000000002E-2</v>
      </c>
      <c r="P1757">
        <v>-0.9996758</v>
      </c>
      <c r="Q1757">
        <v>-2.0520589999999998E-2</v>
      </c>
      <c r="R1757">
        <v>-1.507494E-2</v>
      </c>
      <c r="S1757">
        <v>-2.9871979999999998</v>
      </c>
      <c r="T1757">
        <v>-0.80748529999999996</v>
      </c>
      <c r="U1757">
        <v>0.16345209999999999</v>
      </c>
      <c r="V1757">
        <v>6.9081400000000001E-2</v>
      </c>
      <c r="W1757">
        <v>-1.018029E-2</v>
      </c>
      <c r="X1757">
        <v>0.99755910000000003</v>
      </c>
      <c r="Y1757">
        <v>0.13075429999999999</v>
      </c>
      <c r="Z1757">
        <v>3.9666239999999998E-2</v>
      </c>
      <c r="AA1757">
        <v>0.99062099999999997</v>
      </c>
      <c r="AB1757">
        <v>24</v>
      </c>
      <c r="AC1757">
        <v>-0.60370000000000301</v>
      </c>
      <c r="AD1757">
        <v>-0.23141419999999899</v>
      </c>
      <c r="AE1757">
        <v>6.8300000000021996E-2</v>
      </c>
      <c r="AF1757">
        <v>0.103789830830867</v>
      </c>
      <c r="AG1757">
        <v>-0.23141419999999899</v>
      </c>
      <c r="AH1757">
        <v>0.52032380986132198</v>
      </c>
      <c r="AI1757">
        <v>113.564801617161</v>
      </c>
      <c r="AJ1757">
        <v>78.719180302275305</v>
      </c>
      <c r="AK1757">
        <v>0.57884516760023297</v>
      </c>
      <c r="AL1757">
        <v>90.583297716310597</v>
      </c>
      <c r="AM1757">
        <v>86.038566872410996</v>
      </c>
      <c r="AN1757">
        <v>1.00000001806162</v>
      </c>
    </row>
    <row r="1758" spans="1:40" x14ac:dyDescent="0.25">
      <c r="A1758" t="str">
        <f>"20190312154248593"</f>
        <v>20190312154248593</v>
      </c>
      <c r="B1758" t="str">
        <f>"1552376568589572"</f>
        <v>1552376568589572</v>
      </c>
      <c r="C1758" t="s">
        <v>40</v>
      </c>
      <c r="D1758">
        <v>5.3012319999999997</v>
      </c>
      <c r="E1758">
        <v>0.53868019999999905</v>
      </c>
      <c r="F1758" t="s">
        <v>41</v>
      </c>
      <c r="G1758">
        <v>-226.0582</v>
      </c>
      <c r="H1758">
        <v>0.88635019999999998</v>
      </c>
      <c r="I1758">
        <v>283.36430000000001</v>
      </c>
      <c r="J1758">
        <v>-225.4529</v>
      </c>
      <c r="K1758">
        <v>1.1099030000000001</v>
      </c>
      <c r="L1758">
        <v>283.29989999999998</v>
      </c>
      <c r="M1758">
        <v>-0.99640220000000002</v>
      </c>
      <c r="N1758">
        <v>0</v>
      </c>
      <c r="O1758">
        <v>-8.4086930000000004E-2</v>
      </c>
      <c r="P1758">
        <v>-0.99967090000000003</v>
      </c>
      <c r="Q1758">
        <v>-2.1242960000000002E-2</v>
      </c>
      <c r="R1758">
        <v>-1.4384579999999999E-2</v>
      </c>
      <c r="S1758">
        <v>-2.986847</v>
      </c>
      <c r="T1758">
        <v>-0.80989899999999904</v>
      </c>
      <c r="U1758">
        <v>0.1658936</v>
      </c>
      <c r="V1758">
        <v>6.9729250000000007E-2</v>
      </c>
      <c r="W1758">
        <v>-1.069311E-2</v>
      </c>
      <c r="X1758">
        <v>0.99750859999999997</v>
      </c>
      <c r="Y1758">
        <v>0.13145789999999999</v>
      </c>
      <c r="Z1758">
        <v>3.9867640000000003E-2</v>
      </c>
      <c r="AA1758">
        <v>0.99051979999999995</v>
      </c>
      <c r="AB1758">
        <v>24</v>
      </c>
      <c r="AC1758">
        <v>-0.60529999999999895</v>
      </c>
      <c r="AD1758">
        <v>-0.223552799999999</v>
      </c>
      <c r="AE1758">
        <v>6.4400000000034596E-2</v>
      </c>
      <c r="AF1758">
        <v>0.101396716379432</v>
      </c>
      <c r="AG1758">
        <v>-0.223552799999999</v>
      </c>
      <c r="AH1758">
        <v>0.52670179852159504</v>
      </c>
      <c r="AI1758">
        <v>112.62569150687899</v>
      </c>
      <c r="AJ1758">
        <v>79.103153437205407</v>
      </c>
      <c r="AK1758">
        <v>0.58109545949547203</v>
      </c>
      <c r="AL1758">
        <v>90.612681774311596</v>
      </c>
      <c r="AM1758">
        <v>86.001334461471401</v>
      </c>
      <c r="AN1758">
        <v>0.99999995899049599</v>
      </c>
    </row>
    <row r="1759" spans="1:40" x14ac:dyDescent="0.25">
      <c r="A1759" t="str">
        <f>"20190312154248615"</f>
        <v>20190312154248615</v>
      </c>
      <c r="B1759" t="str">
        <f>"1552376568609093"</f>
        <v>1552376568609093</v>
      </c>
      <c r="C1759" t="s">
        <v>40</v>
      </c>
      <c r="D1759">
        <v>5.224996</v>
      </c>
      <c r="E1759">
        <v>0.53827969999999903</v>
      </c>
      <c r="F1759" t="s">
        <v>41</v>
      </c>
      <c r="G1759">
        <v>-226.2696</v>
      </c>
      <c r="H1759">
        <v>0.86546889999999999</v>
      </c>
      <c r="I1759">
        <v>283.36540000000002</v>
      </c>
      <c r="J1759">
        <v>-225.69980000000001</v>
      </c>
      <c r="K1759">
        <v>1.1099250000000001</v>
      </c>
      <c r="L1759">
        <v>283.27910000000003</v>
      </c>
      <c r="M1759">
        <v>-0.99640410000000001</v>
      </c>
      <c r="N1759">
        <v>0</v>
      </c>
      <c r="O1759">
        <v>-8.4038699999999994E-2</v>
      </c>
      <c r="P1759">
        <v>-0.99967760000000006</v>
      </c>
      <c r="Q1759">
        <v>-2.134581E-2</v>
      </c>
      <c r="R1759">
        <v>-1.376758E-2</v>
      </c>
      <c r="S1759">
        <v>-2.9854280000000002</v>
      </c>
      <c r="T1759">
        <v>-0.89363440000000005</v>
      </c>
      <c r="U1759">
        <v>0.23864750000000001</v>
      </c>
      <c r="V1759">
        <v>7.029647E-2</v>
      </c>
      <c r="W1759">
        <v>-1.0584130000000001E-2</v>
      </c>
      <c r="X1759">
        <v>0.99746999999999997</v>
      </c>
      <c r="Y1759">
        <v>0.15284610000000001</v>
      </c>
      <c r="Z1759">
        <v>4.6930340000000001E-2</v>
      </c>
      <c r="AA1759">
        <v>0.98713510000000004</v>
      </c>
      <c r="AB1759">
        <v>24</v>
      </c>
      <c r="AC1759">
        <v>-0.56979999999998598</v>
      </c>
      <c r="AD1759">
        <v>-0.24445610000000001</v>
      </c>
      <c r="AE1759">
        <v>8.6299999999994201E-2</v>
      </c>
      <c r="AF1759">
        <v>0.113466519569073</v>
      </c>
      <c r="AG1759">
        <v>-0.24445610000000001</v>
      </c>
      <c r="AH1759">
        <v>0.47505397917780601</v>
      </c>
      <c r="AI1759">
        <v>116.588294196368</v>
      </c>
      <c r="AJ1759">
        <v>76.566598608344407</v>
      </c>
      <c r="AK1759">
        <v>0.54617736956321805</v>
      </c>
      <c r="AL1759">
        <v>90.606437296166305</v>
      </c>
      <c r="AM1759">
        <v>85.968758213925895</v>
      </c>
      <c r="AN1759">
        <v>1.0000000092011501</v>
      </c>
    </row>
    <row r="1760" spans="1:40" x14ac:dyDescent="0.25">
      <c r="A1760" t="str">
        <f>"20190312154248638"</f>
        <v>20190312154248638</v>
      </c>
      <c r="B1760" t="str">
        <f>"1552376568629588"</f>
        <v>1552376568629588</v>
      </c>
      <c r="C1760" t="s">
        <v>40</v>
      </c>
      <c r="D1760">
        <v>5.3742619999999999</v>
      </c>
      <c r="E1760">
        <v>0.5378501</v>
      </c>
      <c r="F1760" t="s">
        <v>41</v>
      </c>
      <c r="G1760">
        <v>-226.49029999999999</v>
      </c>
      <c r="H1760">
        <v>0.87401340000000005</v>
      </c>
      <c r="I1760">
        <v>283.34230000000002</v>
      </c>
      <c r="J1760">
        <v>-225.94329999999999</v>
      </c>
      <c r="K1760">
        <v>1.109944</v>
      </c>
      <c r="L1760">
        <v>283.25869999999998</v>
      </c>
      <c r="M1760">
        <v>-0.99640550000000006</v>
      </c>
      <c r="N1760">
        <v>0</v>
      </c>
      <c r="O1760">
        <v>-8.3995680000000003E-2</v>
      </c>
      <c r="P1760">
        <v>-0.99968460000000003</v>
      </c>
      <c r="Q1760">
        <v>-2.1072199999999999E-2</v>
      </c>
      <c r="R1760">
        <v>-1.367545E-2</v>
      </c>
      <c r="S1760">
        <v>-2.985214</v>
      </c>
      <c r="T1760">
        <v>-0.89088799999999901</v>
      </c>
      <c r="U1760">
        <v>0.23815919999999999</v>
      </c>
      <c r="V1760">
        <v>7.0346039999999999E-2</v>
      </c>
      <c r="W1760">
        <v>-1.011486E-2</v>
      </c>
      <c r="X1760">
        <v>0.99747140000000001</v>
      </c>
      <c r="Y1760">
        <v>0.15271689999999999</v>
      </c>
      <c r="Z1760">
        <v>4.6764220000000002E-2</v>
      </c>
      <c r="AA1760">
        <v>0.98716289999999995</v>
      </c>
      <c r="AB1760">
        <v>24</v>
      </c>
      <c r="AC1760">
        <v>-0.54699999999999704</v>
      </c>
      <c r="AD1760">
        <v>-0.23593059999999999</v>
      </c>
      <c r="AE1760">
        <v>8.3600000000046706E-2</v>
      </c>
      <c r="AF1760">
        <v>0.10937062875616201</v>
      </c>
      <c r="AG1760">
        <v>-0.23593059999999999</v>
      </c>
      <c r="AH1760">
        <v>0.45527968788721301</v>
      </c>
      <c r="AI1760">
        <v>116.742395311934</v>
      </c>
      <c r="AJ1760">
        <v>76.491951100779303</v>
      </c>
      <c r="AK1760">
        <v>0.52431362432570505</v>
      </c>
      <c r="AL1760">
        <v>90.579548650805094</v>
      </c>
      <c r="AM1760">
        <v>85.965930583581098</v>
      </c>
      <c r="AN1760">
        <v>1.00000003477723</v>
      </c>
    </row>
    <row r="1761" spans="1:40" x14ac:dyDescent="0.25">
      <c r="A1761" t="str">
        <f>"20190312154248660"</f>
        <v>20190312154248660</v>
      </c>
      <c r="B1761" t="str">
        <f>"1552376568649108"</f>
        <v>1552376568649108</v>
      </c>
      <c r="C1761" t="s">
        <v>40</v>
      </c>
      <c r="D1761">
        <v>5.2372030000000001</v>
      </c>
      <c r="E1761">
        <v>0.53715570000000001</v>
      </c>
      <c r="F1761" t="s">
        <v>41</v>
      </c>
      <c r="G1761">
        <v>-226.71119999999999</v>
      </c>
      <c r="H1761">
        <v>0.88309879999999996</v>
      </c>
      <c r="I1761">
        <v>283.31939999999997</v>
      </c>
      <c r="J1761">
        <v>-226.19130000000001</v>
      </c>
      <c r="K1761">
        <v>1.1099589999999999</v>
      </c>
      <c r="L1761">
        <v>283.23779999999999</v>
      </c>
      <c r="M1761">
        <v>-0.99640660000000003</v>
      </c>
      <c r="N1761">
        <v>0</v>
      </c>
      <c r="O1761">
        <v>-8.3957569999999995E-2</v>
      </c>
      <c r="P1761">
        <v>-0.99967200000000001</v>
      </c>
      <c r="Q1761">
        <v>-2.141413E-2</v>
      </c>
      <c r="R1761">
        <v>-1.40505E-2</v>
      </c>
      <c r="S1761">
        <v>-2.9855649999999998</v>
      </c>
      <c r="T1761">
        <v>-0.88197300000000001</v>
      </c>
      <c r="U1761">
        <v>0.2350159</v>
      </c>
      <c r="V1761">
        <v>6.9933190000000006E-2</v>
      </c>
      <c r="W1761">
        <v>-1.026117E-2</v>
      </c>
      <c r="X1761">
        <v>0.99749889999999997</v>
      </c>
      <c r="Y1761">
        <v>0.15187619999999999</v>
      </c>
      <c r="Z1761">
        <v>4.6179459999999999E-2</v>
      </c>
      <c r="AA1761">
        <v>0.98732010000000003</v>
      </c>
      <c r="AB1761">
        <v>24</v>
      </c>
      <c r="AC1761">
        <v>-0.51989999999997805</v>
      </c>
      <c r="AD1761">
        <v>-0.22686019999999901</v>
      </c>
      <c r="AE1761">
        <v>8.1599999999980299E-2</v>
      </c>
      <c r="AF1761">
        <v>0.105381445608473</v>
      </c>
      <c r="AG1761">
        <v>-0.22686019999999901</v>
      </c>
      <c r="AH1761">
        <v>0.43110246577594602</v>
      </c>
      <c r="AI1761">
        <v>117.075285004031</v>
      </c>
      <c r="AJ1761">
        <v>76.263625989663694</v>
      </c>
      <c r="AK1761">
        <v>0.49841763153069901</v>
      </c>
      <c r="AL1761">
        <v>90.587932052095994</v>
      </c>
      <c r="AM1761">
        <v>85.989638633627095</v>
      </c>
      <c r="AN1761">
        <v>0.99999999908727699</v>
      </c>
    </row>
    <row r="1762" spans="1:40" x14ac:dyDescent="0.25">
      <c r="A1762" t="str">
        <f>"20190312154248684"</f>
        <v>20190312154248684</v>
      </c>
      <c r="B1762" t="str">
        <f>"1552376568679364"</f>
        <v>1552376568679364</v>
      </c>
      <c r="C1762" t="s">
        <v>40</v>
      </c>
      <c r="D1762">
        <v>5.2690419999999998</v>
      </c>
      <c r="E1762">
        <v>0.53660540000000001</v>
      </c>
      <c r="F1762" t="s">
        <v>41</v>
      </c>
      <c r="G1762">
        <v>-226.93199999999999</v>
      </c>
      <c r="H1762">
        <v>0.89284779999999997</v>
      </c>
      <c r="I1762">
        <v>283.2946</v>
      </c>
      <c r="J1762">
        <v>-226.44059999999999</v>
      </c>
      <c r="K1762">
        <v>1.1099939999999999</v>
      </c>
      <c r="L1762">
        <v>283.21690000000001</v>
      </c>
      <c r="M1762">
        <v>-0.99640770000000001</v>
      </c>
      <c r="N1762">
        <v>0</v>
      </c>
      <c r="O1762">
        <v>-8.391796E-2</v>
      </c>
      <c r="P1762">
        <v>-0.9996642</v>
      </c>
      <c r="Q1762">
        <v>-2.1411860000000001E-2</v>
      </c>
      <c r="R1762">
        <v>-1.460404E-2</v>
      </c>
      <c r="S1762">
        <v>-2.9854579999999999</v>
      </c>
      <c r="T1762">
        <v>-0.87514139999999996</v>
      </c>
      <c r="U1762">
        <v>0.22860720000000001</v>
      </c>
      <c r="V1762">
        <v>6.9341609999999998E-2</v>
      </c>
      <c r="W1762">
        <v>-1.0061E-2</v>
      </c>
      <c r="X1762">
        <v>0.99754229999999999</v>
      </c>
      <c r="Y1762">
        <v>0.14996389999999901</v>
      </c>
      <c r="Z1762">
        <v>4.5555409999999998E-2</v>
      </c>
      <c r="AA1762">
        <v>0.9876414</v>
      </c>
      <c r="AB1762">
        <v>24</v>
      </c>
      <c r="AC1762">
        <v>-0.49140000000002698</v>
      </c>
      <c r="AD1762">
        <v>-0.21714620000000001</v>
      </c>
      <c r="AE1762">
        <v>7.7699999999992997E-2</v>
      </c>
      <c r="AF1762">
        <v>9.9676782938892206E-2</v>
      </c>
      <c r="AG1762">
        <v>-0.21714620000000001</v>
      </c>
      <c r="AH1762">
        <v>0.40583200921629498</v>
      </c>
      <c r="AI1762">
        <v>117.45732477109701</v>
      </c>
      <c r="AJ1762">
        <v>76.200681627448205</v>
      </c>
      <c r="AK1762">
        <v>0.47094325872234499</v>
      </c>
      <c r="AL1762">
        <v>90.5764625278197</v>
      </c>
      <c r="AM1762">
        <v>86.023626303862997</v>
      </c>
      <c r="AN1762">
        <v>1.00000006144383</v>
      </c>
    </row>
    <row r="1763" spans="1:40" x14ac:dyDescent="0.25">
      <c r="A1763" t="str">
        <f>"20190312154248706"</f>
        <v>20190312154248706</v>
      </c>
      <c r="B1763" t="str">
        <f>"1552376568698884"</f>
        <v>1552376568698884</v>
      </c>
      <c r="C1763" t="s">
        <v>40</v>
      </c>
      <c r="D1763">
        <v>5.4219369999999998</v>
      </c>
      <c r="E1763">
        <v>0.53672889999999995</v>
      </c>
      <c r="F1763" t="s">
        <v>41</v>
      </c>
      <c r="G1763">
        <v>-227.15270000000001</v>
      </c>
      <c r="H1763">
        <v>0.90272620000000003</v>
      </c>
      <c r="I1763">
        <v>283.27030000000002</v>
      </c>
      <c r="J1763">
        <v>-226.68129999999999</v>
      </c>
      <c r="K1763">
        <v>1.110026</v>
      </c>
      <c r="L1763">
        <v>283.19659999999999</v>
      </c>
      <c r="M1763">
        <v>-0.99640899999999999</v>
      </c>
      <c r="N1763">
        <v>0</v>
      </c>
      <c r="O1763">
        <v>-8.3875599999999995E-2</v>
      </c>
      <c r="P1763">
        <v>-0.99965360000000003</v>
      </c>
      <c r="Q1763">
        <v>-2.1618579999999998E-2</v>
      </c>
      <c r="R1763">
        <v>-1.5012370000000001E-2</v>
      </c>
      <c r="S1763">
        <v>-2.9856259999999999</v>
      </c>
      <c r="T1763">
        <v>-0.86910929999999997</v>
      </c>
      <c r="U1763">
        <v>0.22283939999999999</v>
      </c>
      <c r="V1763">
        <v>6.889178E-2</v>
      </c>
      <c r="W1763">
        <v>-1.007801E-2</v>
      </c>
      <c r="X1763">
        <v>0.9975733</v>
      </c>
      <c r="Y1763">
        <v>0.14822560000000001</v>
      </c>
      <c r="Z1763">
        <v>4.4994560000000003E-2</v>
      </c>
      <c r="AA1763">
        <v>0.98792950000000002</v>
      </c>
      <c r="AB1763">
        <v>24</v>
      </c>
      <c r="AC1763">
        <v>-0.47140000000001597</v>
      </c>
      <c r="AD1763">
        <v>-0.20729980000000001</v>
      </c>
      <c r="AE1763">
        <v>7.3700000000030699E-2</v>
      </c>
      <c r="AF1763">
        <v>9.5041060312221495E-2</v>
      </c>
      <c r="AG1763">
        <v>-0.20729980000000001</v>
      </c>
      <c r="AH1763">
        <v>0.38994675155068398</v>
      </c>
      <c r="AI1763">
        <v>117.31595286777799</v>
      </c>
      <c r="AJ1763">
        <v>76.3024563860439</v>
      </c>
      <c r="AK1763">
        <v>0.45173496573792299</v>
      </c>
      <c r="AL1763">
        <v>90.5774371756047</v>
      </c>
      <c r="AM1763">
        <v>86.049462100799801</v>
      </c>
      <c r="AN1763">
        <v>1.0000000662549999</v>
      </c>
    </row>
    <row r="1764" spans="1:40" x14ac:dyDescent="0.25">
      <c r="A1764" t="str">
        <f>"20190312154248729"</f>
        <v>20190312154248729</v>
      </c>
      <c r="B1764" t="str">
        <f>"1552376568719384"</f>
        <v>1552376568719384</v>
      </c>
      <c r="C1764" t="s">
        <v>40</v>
      </c>
      <c r="D1764">
        <v>5.2892419999999998</v>
      </c>
      <c r="E1764">
        <v>0.53641459999999996</v>
      </c>
      <c r="F1764" t="s">
        <v>41</v>
      </c>
      <c r="G1764">
        <v>-227.37200000000001</v>
      </c>
      <c r="H1764">
        <v>0.90904079999999998</v>
      </c>
      <c r="I1764">
        <v>283.24810000000002</v>
      </c>
      <c r="J1764">
        <v>-226.928</v>
      </c>
      <c r="K1764">
        <v>1.11006</v>
      </c>
      <c r="L1764">
        <v>283.17590000000001</v>
      </c>
      <c r="M1764">
        <v>-0.99641060000000004</v>
      </c>
      <c r="N1764">
        <v>0</v>
      </c>
      <c r="O1764">
        <v>-8.3830619999999995E-2</v>
      </c>
      <c r="P1764">
        <v>-0.99964960000000003</v>
      </c>
      <c r="Q1764">
        <v>-2.1764459999999999E-2</v>
      </c>
      <c r="R1764">
        <v>-1.5070689999999999E-2</v>
      </c>
      <c r="S1764">
        <v>-2.985611</v>
      </c>
      <c r="T1764">
        <v>-0.8687435</v>
      </c>
      <c r="U1764">
        <v>0.2225647</v>
      </c>
      <c r="V1764">
        <v>6.8788479999999999E-2</v>
      </c>
      <c r="W1764">
        <v>-1.0034080000000001E-2</v>
      </c>
      <c r="X1764">
        <v>0.99758080000000005</v>
      </c>
      <c r="Y1764">
        <v>0.14810580000000001</v>
      </c>
      <c r="Z1764">
        <v>4.4946920000000001E-2</v>
      </c>
      <c r="AA1764">
        <v>0.98794959999999998</v>
      </c>
      <c r="AB1764">
        <v>24</v>
      </c>
      <c r="AC1764">
        <v>-0.44400000000001599</v>
      </c>
      <c r="AD1764">
        <v>-0.20101919999999901</v>
      </c>
      <c r="AE1764">
        <v>7.2200000000009298E-2</v>
      </c>
      <c r="AF1764">
        <v>9.0997205331712502E-2</v>
      </c>
      <c r="AG1764">
        <v>-0.20101919999999901</v>
      </c>
      <c r="AH1764">
        <v>0.36374472077077202</v>
      </c>
      <c r="AI1764">
        <v>118.19649609618401</v>
      </c>
      <c r="AJ1764">
        <v>75.954709864645295</v>
      </c>
      <c r="AK1764">
        <v>0.42544028022206498</v>
      </c>
      <c r="AL1764">
        <v>90.574920085792201</v>
      </c>
      <c r="AM1764">
        <v>86.055396595856806</v>
      </c>
      <c r="AN1764">
        <v>0.99999999513539795</v>
      </c>
    </row>
    <row r="1765" spans="1:40" x14ac:dyDescent="0.25">
      <c r="A1765" t="str">
        <f>"20190312154248751"</f>
        <v>20190312154248751</v>
      </c>
      <c r="B1765" t="str">
        <f>"1552376568739543"</f>
        <v>1552376568739543</v>
      </c>
      <c r="C1765" t="s">
        <v>40</v>
      </c>
      <c r="D1765">
        <v>5.257352</v>
      </c>
      <c r="E1765">
        <v>0.53624740000000004</v>
      </c>
      <c r="F1765" t="s">
        <v>41</v>
      </c>
      <c r="G1765">
        <v>-227.7878</v>
      </c>
      <c r="H1765">
        <v>0.85909840000000004</v>
      </c>
      <c r="I1765">
        <v>283.23939999999999</v>
      </c>
      <c r="J1765">
        <v>-227.16579999999999</v>
      </c>
      <c r="K1765">
        <v>1.1100950000000001</v>
      </c>
      <c r="L1765">
        <v>283.15589999999997</v>
      </c>
      <c r="M1765">
        <v>-0.99641199999999996</v>
      </c>
      <c r="N1765">
        <v>0</v>
      </c>
      <c r="O1765">
        <v>-8.3788899999999902E-2</v>
      </c>
      <c r="P1765">
        <v>-0.99964949999999997</v>
      </c>
      <c r="Q1765">
        <v>-2.1864479999999999E-2</v>
      </c>
      <c r="R1765">
        <v>-1.4939539999999999E-2</v>
      </c>
      <c r="S1765">
        <v>-2.9854129999999999</v>
      </c>
      <c r="T1765">
        <v>-0.87147549999999996</v>
      </c>
      <c r="U1765">
        <v>0.2204895</v>
      </c>
      <c r="V1765">
        <v>6.8877679999999997E-2</v>
      </c>
      <c r="W1765">
        <v>-9.9567470000000002E-3</v>
      </c>
      <c r="X1765">
        <v>0.9975754</v>
      </c>
      <c r="Y1765">
        <v>0.147358399999999</v>
      </c>
      <c r="Z1765">
        <v>4.4967849999999997E-2</v>
      </c>
      <c r="AA1765">
        <v>0.98806039999999995</v>
      </c>
      <c r="AB1765">
        <v>24</v>
      </c>
      <c r="AC1765">
        <v>-0.62200000000001399</v>
      </c>
      <c r="AD1765">
        <v>-0.25099660000000001</v>
      </c>
      <c r="AE1765">
        <v>8.3500000000015007E-2</v>
      </c>
      <c r="AF1765">
        <v>0.116665507162466</v>
      </c>
      <c r="AG1765">
        <v>-0.25099660000000001</v>
      </c>
      <c r="AH1765">
        <v>0.52830975969181304</v>
      </c>
      <c r="AI1765">
        <v>114.887378745482</v>
      </c>
      <c r="AJ1765">
        <v>77.547346894010204</v>
      </c>
      <c r="AK1765">
        <v>0.59642378889398495</v>
      </c>
      <c r="AL1765">
        <v>90.570489021298698</v>
      </c>
      <c r="AM1765">
        <v>86.050276381649596</v>
      </c>
      <c r="AN1765">
        <v>0.99999997514908101</v>
      </c>
    </row>
    <row r="1766" spans="1:40" x14ac:dyDescent="0.25">
      <c r="A1766" t="str">
        <f>"20190312154248774"</f>
        <v>20190312154248774</v>
      </c>
      <c r="B1766" t="str">
        <f>"1552376568768824"</f>
        <v>1552376568768824</v>
      </c>
      <c r="C1766" t="s">
        <v>40</v>
      </c>
      <c r="D1766">
        <v>5.2963950000000004</v>
      </c>
      <c r="E1766">
        <v>0.53599459999999999</v>
      </c>
      <c r="F1766" t="s">
        <v>41</v>
      </c>
      <c r="G1766">
        <v>-228.00620000000001</v>
      </c>
      <c r="H1766">
        <v>0.86474059999999897</v>
      </c>
      <c r="I1766">
        <v>283.21800000000002</v>
      </c>
      <c r="J1766">
        <v>-227.4153</v>
      </c>
      <c r="K1766">
        <v>1.110128</v>
      </c>
      <c r="L1766">
        <v>283.13499999999999</v>
      </c>
      <c r="M1766">
        <v>-0.9964132</v>
      </c>
      <c r="N1766">
        <v>0</v>
      </c>
      <c r="O1766">
        <v>-8.3748619999999996E-2</v>
      </c>
      <c r="P1766">
        <v>-0.99965979999999999</v>
      </c>
      <c r="Q1766">
        <v>-2.1296519999999999E-2</v>
      </c>
      <c r="R1766">
        <v>-1.506099E-2</v>
      </c>
      <c r="S1766">
        <v>-2.9852910000000001</v>
      </c>
      <c r="T1766">
        <v>-0.87157689999999999</v>
      </c>
      <c r="U1766">
        <v>0.21972659999999999</v>
      </c>
      <c r="V1766">
        <v>6.8717449999999999E-2</v>
      </c>
      <c r="W1766">
        <v>-9.2105490000000002E-3</v>
      </c>
      <c r="X1766">
        <v>0.99759359999999997</v>
      </c>
      <c r="Y1766">
        <v>0.1470805</v>
      </c>
      <c r="Z1766">
        <v>4.492384E-2</v>
      </c>
      <c r="AA1766">
        <v>0.98810379999999998</v>
      </c>
      <c r="AB1766">
        <v>24</v>
      </c>
      <c r="AC1766">
        <v>-0.59090000000000398</v>
      </c>
      <c r="AD1766">
        <v>-0.24538740000000001</v>
      </c>
      <c r="AE1766">
        <v>8.3000000000026802E-2</v>
      </c>
      <c r="AF1766">
        <v>0.113075840353528</v>
      </c>
      <c r="AG1766">
        <v>-0.24538740000000001</v>
      </c>
      <c r="AH1766">
        <v>0.49770158141743598</v>
      </c>
      <c r="AI1766">
        <v>115.677720222058</v>
      </c>
      <c r="AJ1766">
        <v>77.199910744136602</v>
      </c>
      <c r="AK1766">
        <v>0.56631085624048705</v>
      </c>
      <c r="AL1766">
        <v>90.527733069495198</v>
      </c>
      <c r="AM1766">
        <v>86.059507299622894</v>
      </c>
      <c r="AN1766">
        <v>0.99999995645416995</v>
      </c>
    </row>
    <row r="1767" spans="1:40" x14ac:dyDescent="0.25">
      <c r="A1767" t="str">
        <f>"20190312154248795"</f>
        <v>20190312154248795</v>
      </c>
      <c r="B1767" t="str">
        <f>"1552376568789320"</f>
        <v>1552376568789320</v>
      </c>
      <c r="C1767" t="s">
        <v>40</v>
      </c>
      <c r="D1767">
        <v>5.2789460000000004</v>
      </c>
      <c r="E1767">
        <v>0.53590300000000002</v>
      </c>
      <c r="F1767" t="s">
        <v>41</v>
      </c>
      <c r="G1767">
        <v>-228.22569999999999</v>
      </c>
      <c r="H1767">
        <v>0.87411049999999901</v>
      </c>
      <c r="I1767">
        <v>283.19420000000002</v>
      </c>
      <c r="J1767">
        <v>-227.642</v>
      </c>
      <c r="K1767">
        <v>1.1101589999999999</v>
      </c>
      <c r="L1767">
        <v>283.11599999999999</v>
      </c>
      <c r="M1767">
        <v>-0.99641429999999998</v>
      </c>
      <c r="N1767">
        <v>0</v>
      </c>
      <c r="O1767">
        <v>-8.371265E-2</v>
      </c>
      <c r="P1767">
        <v>-0.99966909999999998</v>
      </c>
      <c r="Q1767">
        <v>-2.0758840000000001E-2</v>
      </c>
      <c r="R1767">
        <v>-1.5197520000000001E-2</v>
      </c>
      <c r="S1767">
        <v>-2.9857480000000001</v>
      </c>
      <c r="T1767">
        <v>-0.86950919999999898</v>
      </c>
      <c r="U1767">
        <v>0.2175598</v>
      </c>
      <c r="V1767">
        <v>6.8546159999999995E-2</v>
      </c>
      <c r="W1767">
        <v>-8.5128859999999903E-3</v>
      </c>
      <c r="X1767">
        <v>0.99761160000000004</v>
      </c>
      <c r="Y1767">
        <v>0.14639739999999901</v>
      </c>
      <c r="Z1767">
        <v>4.4708339999999999E-2</v>
      </c>
      <c r="AA1767">
        <v>0.98821499999999995</v>
      </c>
      <c r="AB1767">
        <v>24</v>
      </c>
      <c r="AC1767">
        <v>-0.583699999999993</v>
      </c>
      <c r="AD1767">
        <v>-0.23604849999999999</v>
      </c>
      <c r="AE1767">
        <v>7.8200000000038003E-2</v>
      </c>
      <c r="AF1767">
        <v>0.109241858626626</v>
      </c>
      <c r="AG1767">
        <v>-0.23604849999999999</v>
      </c>
      <c r="AH1767">
        <v>0.49549909632335898</v>
      </c>
      <c r="AI1767">
        <v>114.948476698105</v>
      </c>
      <c r="AJ1767">
        <v>77.566989395570999</v>
      </c>
      <c r="AK1767">
        <v>0.55961775569196903</v>
      </c>
      <c r="AL1767">
        <v>90.487758342901202</v>
      </c>
      <c r="AM1767">
        <v>86.069369523183695</v>
      </c>
      <c r="AN1767">
        <v>0.99999997486667702</v>
      </c>
    </row>
    <row r="1768" spans="1:40" x14ac:dyDescent="0.25">
      <c r="A1768" t="str">
        <f>"20190312154248817"</f>
        <v>20190312154248817</v>
      </c>
      <c r="B1768" t="str">
        <f>"1552376568808840"</f>
        <v>1552376568808840</v>
      </c>
      <c r="C1768" t="s">
        <v>40</v>
      </c>
      <c r="D1768">
        <v>5.3042689999999997</v>
      </c>
      <c r="E1768">
        <v>0.53581809999999996</v>
      </c>
      <c r="F1768" t="s">
        <v>41</v>
      </c>
      <c r="G1768">
        <v>-228.4427</v>
      </c>
      <c r="H1768">
        <v>0.87705679999999997</v>
      </c>
      <c r="I1768">
        <v>283.17410000000001</v>
      </c>
      <c r="J1768">
        <v>-227.88149999999999</v>
      </c>
      <c r="K1768">
        <v>1.110185</v>
      </c>
      <c r="L1768">
        <v>283.09589999999997</v>
      </c>
      <c r="M1768">
        <v>-0.99641539999999995</v>
      </c>
      <c r="N1768">
        <v>0</v>
      </c>
      <c r="O1768">
        <v>-8.3673800000000007E-2</v>
      </c>
      <c r="P1768">
        <v>-0.99966750000000004</v>
      </c>
      <c r="Q1768">
        <v>-2.09284E-2</v>
      </c>
      <c r="R1768">
        <v>-1.5075730000000001E-2</v>
      </c>
      <c r="S1768">
        <v>-2.986237</v>
      </c>
      <c r="T1768">
        <v>-0.86942929999999996</v>
      </c>
      <c r="U1768">
        <v>0.21655269999999999</v>
      </c>
      <c r="V1768">
        <v>6.8628709999999996E-2</v>
      </c>
      <c r="W1768">
        <v>-8.5087129999999993E-3</v>
      </c>
      <c r="X1768">
        <v>0.99760599999999999</v>
      </c>
      <c r="Y1768">
        <v>0.14603679999999999</v>
      </c>
      <c r="Z1768">
        <v>4.4635469999999997E-2</v>
      </c>
      <c r="AA1768">
        <v>0.98827169999999998</v>
      </c>
      <c r="AB1768">
        <v>24</v>
      </c>
      <c r="AC1768">
        <v>-0.56120000000001302</v>
      </c>
      <c r="AD1768">
        <v>-0.23312819999999901</v>
      </c>
      <c r="AE1768">
        <v>7.8200000000038003E-2</v>
      </c>
      <c r="AF1768">
        <v>0.106806952989142</v>
      </c>
      <c r="AG1768">
        <v>-0.23312819999999901</v>
      </c>
      <c r="AH1768">
        <v>0.47267417506555398</v>
      </c>
      <c r="AI1768">
        <v>115.69138050459701</v>
      </c>
      <c r="AJ1768">
        <v>77.267101158682607</v>
      </c>
      <c r="AK1768">
        <v>0.53775213492460106</v>
      </c>
      <c r="AL1768">
        <v>90.487519219559402</v>
      </c>
      <c r="AM1768">
        <v>86.064628716238204</v>
      </c>
      <c r="AN1768">
        <v>1.00000001463459</v>
      </c>
    </row>
    <row r="1769" spans="1:40" x14ac:dyDescent="0.25">
      <c r="A1769" t="str">
        <f>"20190312154248839"</f>
        <v>20190312154248839</v>
      </c>
      <c r="B1769" t="str">
        <f>"1552376568829015"</f>
        <v>1552376568829015</v>
      </c>
      <c r="C1769" t="s">
        <v>40</v>
      </c>
      <c r="D1769">
        <v>5.3047199999999997</v>
      </c>
      <c r="E1769">
        <v>0.53575839999999997</v>
      </c>
      <c r="F1769" t="s">
        <v>41</v>
      </c>
      <c r="G1769">
        <v>-228.66050000000001</v>
      </c>
      <c r="H1769">
        <v>0.88322449999999997</v>
      </c>
      <c r="I1769">
        <v>283.1524</v>
      </c>
      <c r="J1769">
        <v>-228.12649999999999</v>
      </c>
      <c r="K1769">
        <v>1.1102160000000001</v>
      </c>
      <c r="L1769">
        <v>283.0754</v>
      </c>
      <c r="M1769">
        <v>-0.99641650000000004</v>
      </c>
      <c r="N1769">
        <v>0</v>
      </c>
      <c r="O1769">
        <v>-8.3632189999999995E-2</v>
      </c>
      <c r="P1769">
        <v>-0.99966630000000001</v>
      </c>
      <c r="Q1769">
        <v>-2.086607E-2</v>
      </c>
      <c r="R1769">
        <v>-1.5228200000000001E-2</v>
      </c>
      <c r="S1769">
        <v>-2.9860530000000001</v>
      </c>
      <c r="T1769">
        <v>-0.870098699999999</v>
      </c>
      <c r="U1769">
        <v>0.2167664</v>
      </c>
      <c r="V1769">
        <v>6.8435289999999996E-2</v>
      </c>
      <c r="W1769">
        <v>-8.2605200000000004E-3</v>
      </c>
      <c r="X1769">
        <v>0.99762139999999999</v>
      </c>
      <c r="Y1769">
        <v>0.14605589999999999</v>
      </c>
      <c r="Z1769">
        <v>4.4661930000000002E-2</v>
      </c>
      <c r="AA1769">
        <v>0.98826769999999997</v>
      </c>
      <c r="AB1769">
        <v>24</v>
      </c>
      <c r="AC1769">
        <v>-0.53400000000002001</v>
      </c>
      <c r="AD1769">
        <v>-0.22699149999999901</v>
      </c>
      <c r="AE1769">
        <v>7.6999999999998098E-2</v>
      </c>
      <c r="AF1769">
        <v>0.10313701241229099</v>
      </c>
      <c r="AG1769">
        <v>-0.22699149999999901</v>
      </c>
      <c r="AH1769">
        <v>0.44663040790492398</v>
      </c>
      <c r="AI1769">
        <v>116.34458348529699</v>
      </c>
      <c r="AJ1769">
        <v>76.997045576801298</v>
      </c>
      <c r="AK1769">
        <v>0.51150865649263699</v>
      </c>
      <c r="AL1769">
        <v>90.4732982957606</v>
      </c>
      <c r="AM1769">
        <v>86.075745671290704</v>
      </c>
      <c r="AN1769">
        <v>1.0000000414229999</v>
      </c>
    </row>
    <row r="1770" spans="1:40" x14ac:dyDescent="0.25">
      <c r="A1770" t="str">
        <f>"20190312154248862"</f>
        <v>20190312154248862</v>
      </c>
      <c r="B1770" t="str">
        <f>"1552376568859267"</f>
        <v>1552376568859267</v>
      </c>
      <c r="C1770" t="s">
        <v>40</v>
      </c>
      <c r="D1770">
        <v>5.3225439999999997</v>
      </c>
      <c r="E1770">
        <v>0.53097059999999996</v>
      </c>
      <c r="F1770" t="s">
        <v>41</v>
      </c>
      <c r="G1770">
        <v>-228.8784</v>
      </c>
      <c r="H1770">
        <v>0.89095259999999998</v>
      </c>
      <c r="I1770">
        <v>283.12990000000002</v>
      </c>
      <c r="J1770">
        <v>-228.35830000000001</v>
      </c>
      <c r="K1770">
        <v>1.1102510000000001</v>
      </c>
      <c r="L1770">
        <v>283.05599999999998</v>
      </c>
      <c r="M1770">
        <v>-0.99641780000000002</v>
      </c>
      <c r="N1770">
        <v>0</v>
      </c>
      <c r="O1770">
        <v>-8.3591860000000004E-2</v>
      </c>
      <c r="P1770">
        <v>-0.99966169999999999</v>
      </c>
      <c r="Q1770">
        <v>-2.1175429999999999E-2</v>
      </c>
      <c r="R1770">
        <v>-1.5109310000000001E-2</v>
      </c>
      <c r="S1770">
        <v>-2.9861300000000002</v>
      </c>
      <c r="T1770">
        <v>-0.87074789999999902</v>
      </c>
      <c r="U1770">
        <v>0.2154846</v>
      </c>
      <c r="V1770">
        <v>6.8513119999999997E-2</v>
      </c>
      <c r="W1770">
        <v>-8.3933140000000007E-3</v>
      </c>
      <c r="X1770">
        <v>0.99761489999999997</v>
      </c>
      <c r="Y1770">
        <v>0.14559920000000001</v>
      </c>
      <c r="Z1770">
        <v>4.4616790000000003E-2</v>
      </c>
      <c r="AA1770">
        <v>0.98833709999999997</v>
      </c>
      <c r="AB1770">
        <v>24</v>
      </c>
      <c r="AC1770">
        <v>-0.52009999999998502</v>
      </c>
      <c r="AD1770">
        <v>-0.2192984</v>
      </c>
      <c r="AE1770">
        <v>7.3900000000037297E-2</v>
      </c>
      <c r="AF1770">
        <v>9.9739622642069203E-2</v>
      </c>
      <c r="AG1770">
        <v>-0.2192984</v>
      </c>
      <c r="AH1770">
        <v>0.43610285980577401</v>
      </c>
      <c r="AI1770">
        <v>116.114200550406</v>
      </c>
      <c r="AJ1770">
        <v>77.117635900362004</v>
      </c>
      <c r="AK1770">
        <v>0.49822232476889</v>
      </c>
      <c r="AL1770">
        <v>90.480907118748206</v>
      </c>
      <c r="AM1770">
        <v>86.071271150761504</v>
      </c>
      <c r="AN1770">
        <v>0.99999999201702305</v>
      </c>
    </row>
    <row r="1771" spans="1:40" x14ac:dyDescent="0.25">
      <c r="A1771" t="str">
        <f>"20190312154248883"</f>
        <v>20190312154248883</v>
      </c>
      <c r="B1771" t="str">
        <f>"1552376568878791"</f>
        <v>1552376568878791</v>
      </c>
      <c r="C1771" t="s">
        <v>40</v>
      </c>
      <c r="D1771">
        <v>5.3125650000000002</v>
      </c>
      <c r="E1771">
        <v>0.53128819999999999</v>
      </c>
      <c r="F1771" t="s">
        <v>41</v>
      </c>
      <c r="G1771">
        <v>-229.10230000000001</v>
      </c>
      <c r="H1771">
        <v>0.91479060000000001</v>
      </c>
      <c r="I1771">
        <v>283.10079999999999</v>
      </c>
      <c r="J1771">
        <v>-228.5917</v>
      </c>
      <c r="K1771">
        <v>1.110277</v>
      </c>
      <c r="L1771">
        <v>283.03640000000001</v>
      </c>
      <c r="M1771">
        <v>-0.9964189</v>
      </c>
      <c r="N1771">
        <v>0</v>
      </c>
      <c r="O1771">
        <v>-8.3550769999999996E-2</v>
      </c>
      <c r="P1771">
        <v>-0.99965519999999997</v>
      </c>
      <c r="Q1771">
        <v>-2.1325480000000001E-2</v>
      </c>
      <c r="R1771">
        <v>-1.5317000000000001E-2</v>
      </c>
      <c r="S1771">
        <v>-2.9870909999999999</v>
      </c>
      <c r="T1771">
        <v>-0.78481219999999996</v>
      </c>
      <c r="U1771">
        <v>0.17974849999999901</v>
      </c>
      <c r="V1771">
        <v>6.8264599999999995E-2</v>
      </c>
      <c r="W1771">
        <v>-8.3733680000000008E-3</v>
      </c>
      <c r="X1771">
        <v>0.99763210000000002</v>
      </c>
      <c r="Y1771">
        <v>0.13583919999999999</v>
      </c>
      <c r="Z1771">
        <v>3.9094780000000003E-2</v>
      </c>
      <c r="AA1771">
        <v>0.98995920000000004</v>
      </c>
      <c r="AB1771">
        <v>24</v>
      </c>
      <c r="AC1771">
        <v>-0.51060000000001005</v>
      </c>
      <c r="AD1771">
        <v>-0.1954864</v>
      </c>
      <c r="AE1771">
        <v>6.4399999999977794E-2</v>
      </c>
      <c r="AF1771">
        <v>9.3367940479267802E-2</v>
      </c>
      <c r="AG1771">
        <v>-0.1954864</v>
      </c>
      <c r="AH1771">
        <v>0.43995495709205901</v>
      </c>
      <c r="AI1771">
        <v>113.492301147883</v>
      </c>
      <c r="AJ1771">
        <v>78.0183640809108</v>
      </c>
      <c r="AK1771">
        <v>0.49040072304613802</v>
      </c>
      <c r="AL1771">
        <v>90.479764258921804</v>
      </c>
      <c r="AM1771">
        <v>86.085544858510602</v>
      </c>
      <c r="AN1771">
        <v>0.99999998792761602</v>
      </c>
    </row>
    <row r="1772" spans="1:40" x14ac:dyDescent="0.25">
      <c r="A1772" t="str">
        <f>"20190312154248907"</f>
        <v>20190312154248907</v>
      </c>
      <c r="B1772" t="str">
        <f>"1552376568899284"</f>
        <v>1552376568899284</v>
      </c>
      <c r="C1772" t="s">
        <v>40</v>
      </c>
      <c r="D1772">
        <v>5.3088089999999903</v>
      </c>
      <c r="E1772">
        <v>0.53088880000000005</v>
      </c>
      <c r="F1772" t="s">
        <v>41</v>
      </c>
      <c r="G1772">
        <v>-229.31870000000001</v>
      </c>
      <c r="H1772">
        <v>0.91922020000000004</v>
      </c>
      <c r="I1772">
        <v>283.08089999999999</v>
      </c>
      <c r="J1772">
        <v>-228.84710000000001</v>
      </c>
      <c r="K1772">
        <v>1.1103000000000001</v>
      </c>
      <c r="L1772">
        <v>283.01499999999999</v>
      </c>
      <c r="M1772">
        <v>-0.99642030000000004</v>
      </c>
      <c r="N1772">
        <v>0</v>
      </c>
      <c r="O1772">
        <v>-8.3506269999999994E-2</v>
      </c>
      <c r="P1772">
        <v>-0.99967589999999995</v>
      </c>
      <c r="Q1772">
        <v>-2.0460289999999999E-2</v>
      </c>
      <c r="R1772">
        <v>-1.515474E-2</v>
      </c>
      <c r="S1772">
        <v>-2.9870760000000001</v>
      </c>
      <c r="T1772">
        <v>-0.78503909999999999</v>
      </c>
      <c r="U1772">
        <v>0.1820068</v>
      </c>
      <c r="V1772">
        <v>6.8384E-2</v>
      </c>
      <c r="W1772">
        <v>-7.3348500000000004E-3</v>
      </c>
      <c r="X1772">
        <v>0.99763210000000002</v>
      </c>
      <c r="Y1772">
        <v>0.13651579999999999</v>
      </c>
      <c r="Z1772">
        <v>3.9181140000000003E-2</v>
      </c>
      <c r="AA1772">
        <v>0.98986269999999998</v>
      </c>
      <c r="AB1772">
        <v>24</v>
      </c>
      <c r="AC1772">
        <v>-0.47159999999999502</v>
      </c>
      <c r="AD1772">
        <v>-0.19107979999999999</v>
      </c>
      <c r="AE1772">
        <v>6.5899999999999098E-2</v>
      </c>
      <c r="AF1772">
        <v>9.0484776506441295E-2</v>
      </c>
      <c r="AG1772">
        <v>-0.19107979999999999</v>
      </c>
      <c r="AH1772">
        <v>0.40003484291249702</v>
      </c>
      <c r="AI1772">
        <v>114.980267699249</v>
      </c>
      <c r="AJ1772">
        <v>77.254614480809195</v>
      </c>
      <c r="AK1772">
        <v>0.45246752401856</v>
      </c>
      <c r="AL1772">
        <v>90.420259721281795</v>
      </c>
      <c r="AM1772">
        <v>86.078719518467906</v>
      </c>
      <c r="AN1772">
        <v>0.99999998921546596</v>
      </c>
    </row>
    <row r="1773" spans="1:40" x14ac:dyDescent="0.25">
      <c r="A1773" t="str">
        <f>"20190312154248930"</f>
        <v>20190312154248930</v>
      </c>
      <c r="B1773" t="str">
        <f>"1552376568918807"</f>
        <v>1552376568918807</v>
      </c>
      <c r="C1773" t="s">
        <v>40</v>
      </c>
      <c r="D1773">
        <v>5.26241</v>
      </c>
      <c r="E1773">
        <v>0.53067140000000002</v>
      </c>
      <c r="F1773" t="s">
        <v>41</v>
      </c>
      <c r="G1773">
        <v>-229.53710000000001</v>
      </c>
      <c r="H1773">
        <v>0.92977980000000005</v>
      </c>
      <c r="I1773">
        <v>283.0566</v>
      </c>
      <c r="J1773">
        <v>-229.08670000000001</v>
      </c>
      <c r="K1773">
        <v>1.110322</v>
      </c>
      <c r="L1773">
        <v>282.995</v>
      </c>
      <c r="M1773">
        <v>-0.99642180000000002</v>
      </c>
      <c r="N1773">
        <v>0</v>
      </c>
      <c r="O1773">
        <v>-8.3465810000000001E-2</v>
      </c>
      <c r="P1773">
        <v>-0.99967309999999998</v>
      </c>
      <c r="Q1773">
        <v>-2.0633599999999998E-2</v>
      </c>
      <c r="R1773">
        <v>-1.5109259999999999E-2</v>
      </c>
      <c r="S1773">
        <v>-2.9877009999999999</v>
      </c>
      <c r="T1773">
        <v>-0.781559</v>
      </c>
      <c r="U1773">
        <v>0.17932129999999999</v>
      </c>
      <c r="V1773">
        <v>6.8388740000000003E-2</v>
      </c>
      <c r="W1773">
        <v>-7.3580579999999998E-3</v>
      </c>
      <c r="X1773">
        <v>0.99763159999999895</v>
      </c>
      <c r="Y1773">
        <v>0.13567370000000001</v>
      </c>
      <c r="Z1773">
        <v>3.8887449999999997E-2</v>
      </c>
      <c r="AA1773">
        <v>0.98999009999999998</v>
      </c>
      <c r="AB1773">
        <v>24</v>
      </c>
      <c r="AC1773">
        <v>-0.45040000000000102</v>
      </c>
      <c r="AD1773">
        <v>-0.18054220000000001</v>
      </c>
      <c r="AE1773">
        <v>6.1599999999998503E-2</v>
      </c>
      <c r="AF1773">
        <v>8.5496112308405203E-2</v>
      </c>
      <c r="AG1773">
        <v>-0.18054220000000001</v>
      </c>
      <c r="AH1773">
        <v>0.38323829156189398</v>
      </c>
      <c r="AI1773">
        <v>114.692675708587</v>
      </c>
      <c r="AJ1773">
        <v>77.423894561482001</v>
      </c>
      <c r="AK1773">
        <v>0.432176652909398</v>
      </c>
      <c r="AL1773">
        <v>90.421589479388601</v>
      </c>
      <c r="AM1773">
        <v>86.078446605758401</v>
      </c>
      <c r="AN1773">
        <v>0.99999998504743903</v>
      </c>
    </row>
    <row r="1774" spans="1:40" x14ac:dyDescent="0.25">
      <c r="A1774" t="str">
        <f>"20190312154248953"</f>
        <v>20190312154248953</v>
      </c>
      <c r="B1774" t="str">
        <f>"1552376568949594"</f>
        <v>1552376568949594</v>
      </c>
      <c r="C1774" t="s">
        <v>40</v>
      </c>
      <c r="D1774">
        <v>5.2895469999999998</v>
      </c>
      <c r="E1774">
        <v>0.53060989999999997</v>
      </c>
      <c r="F1774" t="s">
        <v>41</v>
      </c>
      <c r="G1774">
        <v>-229.9477</v>
      </c>
      <c r="H1774">
        <v>0.88521229999999995</v>
      </c>
      <c r="I1774">
        <v>283.04649999999998</v>
      </c>
      <c r="J1774">
        <v>-229.3306</v>
      </c>
      <c r="K1774">
        <v>1.1103449999999999</v>
      </c>
      <c r="L1774">
        <v>282.97460000000001</v>
      </c>
      <c r="M1774">
        <v>-0.99642330000000001</v>
      </c>
      <c r="N1774">
        <v>0</v>
      </c>
      <c r="O1774">
        <v>-8.3423979999999995E-2</v>
      </c>
      <c r="P1774">
        <v>-0.99966350000000004</v>
      </c>
      <c r="Q1774">
        <v>-2.0744599999999998E-2</v>
      </c>
      <c r="R1774">
        <v>-1.558122E-2</v>
      </c>
      <c r="S1774">
        <v>-2.987549</v>
      </c>
      <c r="T1774">
        <v>-0.78109980000000001</v>
      </c>
      <c r="U1774">
        <v>0.17813109999999999</v>
      </c>
      <c r="V1774">
        <v>6.7875870000000005E-2</v>
      </c>
      <c r="W1774">
        <v>-7.3289490000000004E-3</v>
      </c>
      <c r="X1774">
        <v>0.99766679999999996</v>
      </c>
      <c r="Y1774">
        <v>0.1352651</v>
      </c>
      <c r="Z1774">
        <v>3.8804430000000001E-2</v>
      </c>
      <c r="AA1774">
        <v>0.99004930000000002</v>
      </c>
      <c r="AB1774">
        <v>24</v>
      </c>
      <c r="AC1774">
        <v>-0.61709999999999299</v>
      </c>
      <c r="AD1774">
        <v>-0.22513269999999999</v>
      </c>
      <c r="AE1774">
        <v>7.1899999999970904E-2</v>
      </c>
      <c r="AF1774">
        <v>0.108842418236202</v>
      </c>
      <c r="AG1774">
        <v>-0.22513269999999999</v>
      </c>
      <c r="AH1774">
        <v>0.53826781500791898</v>
      </c>
      <c r="AI1774">
        <v>112.291510141329</v>
      </c>
      <c r="AJ1774">
        <v>78.568439186458505</v>
      </c>
      <c r="AK1774">
        <v>0.59351802440211898</v>
      </c>
      <c r="AL1774">
        <v>90.419921628143499</v>
      </c>
      <c r="AM1774">
        <v>86.107901815059094</v>
      </c>
      <c r="AN1774">
        <v>0.99999994552196902</v>
      </c>
    </row>
    <row r="1775" spans="1:40" x14ac:dyDescent="0.25">
      <c r="A1775" t="str">
        <f>"20190312154248974"</f>
        <v>20190312154248974</v>
      </c>
      <c r="B1775" t="str">
        <f>"1552376568969116"</f>
        <v>1552376568969116</v>
      </c>
      <c r="C1775" t="s">
        <v>40</v>
      </c>
      <c r="D1775">
        <v>5.2536829999999997</v>
      </c>
      <c r="E1775">
        <v>0.53023830000000005</v>
      </c>
      <c r="F1775" t="s">
        <v>41</v>
      </c>
      <c r="G1775">
        <v>-230.16319999999999</v>
      </c>
      <c r="H1775">
        <v>0.89230540000000003</v>
      </c>
      <c r="I1775">
        <v>283.02390000000003</v>
      </c>
      <c r="J1775">
        <v>-229.56309999999999</v>
      </c>
      <c r="K1775">
        <v>1.1103590000000001</v>
      </c>
      <c r="L1775">
        <v>282.95519999999999</v>
      </c>
      <c r="M1775">
        <v>-0.99642500000000001</v>
      </c>
      <c r="N1775">
        <v>0</v>
      </c>
      <c r="O1775">
        <v>-8.3384780000000006E-2</v>
      </c>
      <c r="P1775">
        <v>-0.99965440000000005</v>
      </c>
      <c r="Q1775">
        <v>-2.1048359999999999E-2</v>
      </c>
      <c r="R1775">
        <v>-1.5761239999999999E-2</v>
      </c>
      <c r="S1775">
        <v>-2.9875340000000001</v>
      </c>
      <c r="T1775">
        <v>-0.78242339999999999</v>
      </c>
      <c r="U1775">
        <v>0.17623900000000001</v>
      </c>
      <c r="V1775">
        <v>6.7656460000000002E-2</v>
      </c>
      <c r="W1775">
        <v>-7.5132669999999997E-3</v>
      </c>
      <c r="X1775">
        <v>0.99768040000000002</v>
      </c>
      <c r="Y1775">
        <v>0.13460050000000001</v>
      </c>
      <c r="Z1775">
        <v>3.877324E-2</v>
      </c>
      <c r="AA1775">
        <v>0.9901411</v>
      </c>
      <c r="AB1775">
        <v>24</v>
      </c>
      <c r="AC1775">
        <v>-0.60009999999999697</v>
      </c>
      <c r="AD1775">
        <v>-0.21805359999999999</v>
      </c>
      <c r="AE1775">
        <v>6.8700000000035205E-2</v>
      </c>
      <c r="AF1775">
        <v>0.104841193886762</v>
      </c>
      <c r="AG1775">
        <v>-0.21805359999999999</v>
      </c>
      <c r="AH1775">
        <v>0.52399192986898901</v>
      </c>
      <c r="AI1775">
        <v>112.197997895182</v>
      </c>
      <c r="AJ1775">
        <v>78.685566806700194</v>
      </c>
      <c r="AK1775">
        <v>0.57715387114390004</v>
      </c>
      <c r="AL1775">
        <v>90.430482533922103</v>
      </c>
      <c r="AM1775">
        <v>86.120497335574001</v>
      </c>
      <c r="AN1775">
        <v>1.00000001315245</v>
      </c>
    </row>
    <row r="1776" spans="1:40" x14ac:dyDescent="0.25">
      <c r="A1776" t="str">
        <f>"20190312154248997"</f>
        <v>20190312154248997</v>
      </c>
      <c r="B1776" t="str">
        <f>"1552376568989611"</f>
        <v>1552376568989611</v>
      </c>
      <c r="C1776" t="s">
        <v>40</v>
      </c>
      <c r="D1776">
        <v>5.2985419999999896</v>
      </c>
      <c r="E1776">
        <v>0.53006119999999901</v>
      </c>
      <c r="F1776" t="s">
        <v>41</v>
      </c>
      <c r="G1776">
        <v>-230.37780000000001</v>
      </c>
      <c r="H1776">
        <v>0.89769460000000001</v>
      </c>
      <c r="I1776">
        <v>283.0025</v>
      </c>
      <c r="J1776">
        <v>-229.803</v>
      </c>
      <c r="K1776">
        <v>1.110376</v>
      </c>
      <c r="L1776">
        <v>282.93520000000001</v>
      </c>
      <c r="M1776">
        <v>-0.9964269</v>
      </c>
      <c r="N1776">
        <v>0</v>
      </c>
      <c r="O1776">
        <v>-8.3343860000000006E-2</v>
      </c>
      <c r="P1776">
        <v>-0.99964940000000002</v>
      </c>
      <c r="Q1776">
        <v>-2.099469E-2</v>
      </c>
      <c r="R1776">
        <v>-1.6137809999999999E-2</v>
      </c>
      <c r="S1776">
        <v>-2.9873810000000001</v>
      </c>
      <c r="T1776">
        <v>-0.77985329999999997</v>
      </c>
      <c r="U1776">
        <v>0.17294309999999999</v>
      </c>
      <c r="V1776">
        <v>6.7239960000000001E-2</v>
      </c>
      <c r="W1776">
        <v>-7.3506769999999999E-3</v>
      </c>
      <c r="X1776">
        <v>0.99770979999999998</v>
      </c>
      <c r="Y1776">
        <v>0.1335566</v>
      </c>
      <c r="Z1776">
        <v>3.8508500000000001E-2</v>
      </c>
      <c r="AA1776">
        <v>0.99029270000000003</v>
      </c>
      <c r="AB1776">
        <v>24</v>
      </c>
      <c r="AC1776">
        <v>-0.57480000000000997</v>
      </c>
      <c r="AD1776">
        <v>-0.21268139999999999</v>
      </c>
      <c r="AE1776">
        <v>6.7299999999988799E-2</v>
      </c>
      <c r="AF1776">
        <v>0.101295790215416</v>
      </c>
      <c r="AG1776">
        <v>-0.21268139999999999</v>
      </c>
      <c r="AH1776">
        <v>0.499702643545897</v>
      </c>
      <c r="AI1776">
        <v>112.642567424582</v>
      </c>
      <c r="AJ1776">
        <v>78.540728500760494</v>
      </c>
      <c r="AK1776">
        <v>0.55244632950910599</v>
      </c>
      <c r="AL1776">
        <v>90.421166542611601</v>
      </c>
      <c r="AM1776">
        <v>86.144420961419797</v>
      </c>
      <c r="AN1776">
        <v>1.00000004484459</v>
      </c>
    </row>
    <row r="1777" spans="1:40" x14ac:dyDescent="0.25">
      <c r="A1777" t="str">
        <f>"20190312154249019"</f>
        <v>20190312154249019</v>
      </c>
      <c r="B1777" t="str">
        <f>"1552376569009131"</f>
        <v>1552376569009131</v>
      </c>
      <c r="C1777" t="s">
        <v>40</v>
      </c>
      <c r="D1777">
        <v>5.2676699999999999</v>
      </c>
      <c r="E1777">
        <v>0.52989580000000003</v>
      </c>
      <c r="F1777" t="s">
        <v>41</v>
      </c>
      <c r="G1777">
        <v>-230.5926</v>
      </c>
      <c r="H1777">
        <v>0.90479730000000003</v>
      </c>
      <c r="I1777">
        <v>282.9803</v>
      </c>
      <c r="J1777">
        <v>-230.0444</v>
      </c>
      <c r="K1777">
        <v>1.1103829999999999</v>
      </c>
      <c r="L1777">
        <v>282.91500000000002</v>
      </c>
      <c r="M1777">
        <v>-0.99642929999999996</v>
      </c>
      <c r="N1777">
        <v>0</v>
      </c>
      <c r="O1777">
        <v>-8.3302100000000004E-2</v>
      </c>
      <c r="P1777">
        <v>-0.99965789999999999</v>
      </c>
      <c r="Q1777">
        <v>-2.048968E-2</v>
      </c>
      <c r="R1777">
        <v>-1.625499E-2</v>
      </c>
      <c r="S1777">
        <v>-2.987473</v>
      </c>
      <c r="T1777">
        <v>-0.77786659999999996</v>
      </c>
      <c r="U1777">
        <v>0.1703491</v>
      </c>
      <c r="V1777">
        <v>6.7082180000000005E-2</v>
      </c>
      <c r="W1777">
        <v>-6.7560240000000002E-3</v>
      </c>
      <c r="X1777">
        <v>0.99772459999999996</v>
      </c>
      <c r="Y1777">
        <v>0.1327219</v>
      </c>
      <c r="Z1777">
        <v>3.829569E-2</v>
      </c>
      <c r="AA1777">
        <v>0.99041319999999999</v>
      </c>
      <c r="AB1777">
        <v>24</v>
      </c>
      <c r="AC1777">
        <v>-0.54820000000000801</v>
      </c>
      <c r="AD1777">
        <v>-0.20558569999999901</v>
      </c>
      <c r="AE1777">
        <v>6.5299999999979194E-2</v>
      </c>
      <c r="AF1777">
        <v>9.7256742365138399E-2</v>
      </c>
      <c r="AG1777">
        <v>-0.20558569999999901</v>
      </c>
      <c r="AH1777">
        <v>0.47498675774578603</v>
      </c>
      <c r="AI1777">
        <v>112.978236435184</v>
      </c>
      <c r="AJ1777">
        <v>78.428249807333401</v>
      </c>
      <c r="AK1777">
        <v>0.52662773760391901</v>
      </c>
      <c r="AL1777">
        <v>90.387094598499203</v>
      </c>
      <c r="AM1777">
        <v>86.153497855609999</v>
      </c>
      <c r="AN1777">
        <v>1.0000000200895001</v>
      </c>
    </row>
    <row r="1778" spans="1:40" x14ac:dyDescent="0.25">
      <c r="A1778" t="str">
        <f>"20190312154249040"</f>
        <v>20190312154249040</v>
      </c>
      <c r="B1778" t="str">
        <f>"1552376569029626"</f>
        <v>1552376569029626</v>
      </c>
      <c r="C1778" t="s">
        <v>40</v>
      </c>
      <c r="D1778">
        <v>5.27691</v>
      </c>
      <c r="E1778">
        <v>0.53370260000000003</v>
      </c>
      <c r="F1778" t="s">
        <v>41</v>
      </c>
      <c r="G1778">
        <v>-230.8074</v>
      </c>
      <c r="H1778">
        <v>0.9124719</v>
      </c>
      <c r="I1778">
        <v>282.95819999999998</v>
      </c>
      <c r="J1778">
        <v>-230.2646</v>
      </c>
      <c r="K1778">
        <v>1.1103879999999999</v>
      </c>
      <c r="L1778">
        <v>282.89670000000001</v>
      </c>
      <c r="M1778">
        <v>-0.99643179999999998</v>
      </c>
      <c r="N1778">
        <v>0</v>
      </c>
      <c r="O1778">
        <v>-8.3263779999999996E-2</v>
      </c>
      <c r="P1778">
        <v>-0.99966750000000004</v>
      </c>
      <c r="Q1778">
        <v>-2.0140959999999999E-2</v>
      </c>
      <c r="R1778">
        <v>-1.6110780000000002E-2</v>
      </c>
      <c r="S1778">
        <v>-2.9878689999999999</v>
      </c>
      <c r="T1778">
        <v>-0.77509989999999995</v>
      </c>
      <c r="U1778">
        <v>0.16864009999999999</v>
      </c>
      <c r="V1778">
        <v>6.7188650000000003E-2</v>
      </c>
      <c r="W1778">
        <v>-6.3607239999999999E-3</v>
      </c>
      <c r="X1778">
        <v>0.99772000000000005</v>
      </c>
      <c r="Y1778">
        <v>0.13218260000000001</v>
      </c>
      <c r="Z1778">
        <v>3.8080919999999997E-2</v>
      </c>
      <c r="AA1778">
        <v>0.99049359999999997</v>
      </c>
      <c r="AB1778">
        <v>24</v>
      </c>
      <c r="AC1778">
        <v>-0.54279999999999895</v>
      </c>
      <c r="AD1778">
        <v>-0.19791609999999901</v>
      </c>
      <c r="AE1778">
        <v>6.1499999999966803E-2</v>
      </c>
      <c r="AF1778">
        <v>9.41304350316962E-2</v>
      </c>
      <c r="AG1778">
        <v>-0.19791609999999901</v>
      </c>
      <c r="AH1778">
        <v>0.47362416433434901</v>
      </c>
      <c r="AI1778">
        <v>112.28674225581101</v>
      </c>
      <c r="AJ1778">
        <v>78.7592247061731</v>
      </c>
      <c r="AK1778">
        <v>0.52187275314953696</v>
      </c>
      <c r="AL1778">
        <v>90.364445102498905</v>
      </c>
      <c r="AM1778">
        <v>86.147393511552593</v>
      </c>
      <c r="AN1778">
        <v>0.99999998594931305</v>
      </c>
    </row>
    <row r="1779" spans="1:40" x14ac:dyDescent="0.25">
      <c r="A1779" t="str">
        <f>"20190312154249062"</f>
        <v>20190312154249062</v>
      </c>
      <c r="B1779" t="str">
        <f>"1552376569058907"</f>
        <v>1552376569058907</v>
      </c>
      <c r="C1779" t="s">
        <v>40</v>
      </c>
      <c r="D1779">
        <v>5.2520870000000004</v>
      </c>
      <c r="E1779">
        <v>0.53365339999999994</v>
      </c>
      <c r="F1779" t="s">
        <v>41</v>
      </c>
      <c r="G1779">
        <v>-231.0119</v>
      </c>
      <c r="H1779">
        <v>0.89401459999999999</v>
      </c>
      <c r="I1779">
        <v>282.94619999999998</v>
      </c>
      <c r="J1779">
        <v>-230.49870000000001</v>
      </c>
      <c r="K1779">
        <v>1.1103700000000001</v>
      </c>
      <c r="L1779">
        <v>282.87720000000002</v>
      </c>
      <c r="M1779">
        <v>-0.99643550000000003</v>
      </c>
      <c r="N1779">
        <v>0</v>
      </c>
      <c r="O1779">
        <v>-8.3222980000000002E-2</v>
      </c>
      <c r="P1779">
        <v>-0.99968210000000002</v>
      </c>
      <c r="Q1779">
        <v>-1.9672450000000001E-2</v>
      </c>
      <c r="R1779">
        <v>-1.577638E-2</v>
      </c>
      <c r="S1779">
        <v>-2.986755</v>
      </c>
      <c r="T1779">
        <v>-0.86488220000000005</v>
      </c>
      <c r="U1779">
        <v>0.19692989999999999</v>
      </c>
      <c r="V1779">
        <v>6.7482200000000006E-2</v>
      </c>
      <c r="W1779">
        <v>-5.9150929999999997E-3</v>
      </c>
      <c r="X1779">
        <v>0.99770300000000001</v>
      </c>
      <c r="Y1779">
        <v>0.139495799999999</v>
      </c>
      <c r="Z1779">
        <v>4.3357479999999997E-2</v>
      </c>
      <c r="AA1779">
        <v>0.98927299999999996</v>
      </c>
      <c r="AB1779">
        <v>24</v>
      </c>
      <c r="AC1779">
        <v>-0.513199999999983</v>
      </c>
      <c r="AD1779">
        <v>-0.2163554</v>
      </c>
      <c r="AE1779">
        <v>6.8999999999959899E-2</v>
      </c>
      <c r="AF1779">
        <v>9.4906416444792502E-2</v>
      </c>
      <c r="AG1779">
        <v>-0.2163554</v>
      </c>
      <c r="AH1779">
        <v>0.430518692811381</v>
      </c>
      <c r="AI1779">
        <v>116.140078303916</v>
      </c>
      <c r="AJ1779">
        <v>77.568172401504299</v>
      </c>
      <c r="AK1779">
        <v>0.49108373201682498</v>
      </c>
      <c r="AL1779">
        <v>90.338911821719194</v>
      </c>
      <c r="AM1779">
        <v>86.130546604491897</v>
      </c>
      <c r="AN1779">
        <v>1.00000005592551</v>
      </c>
    </row>
    <row r="1780" spans="1:40" x14ac:dyDescent="0.25">
      <c r="A1780" t="str">
        <f>"20190312154249076"</f>
        <v>20190312154249076</v>
      </c>
      <c r="B1780" t="str">
        <f>"1552376569069643"</f>
        <v>1552376569069643</v>
      </c>
      <c r="C1780" t="s">
        <v>40</v>
      </c>
      <c r="D1780">
        <v>5.2231809999999896</v>
      </c>
      <c r="E1780">
        <v>0.53363899999999997</v>
      </c>
      <c r="F1780" t="s">
        <v>41</v>
      </c>
      <c r="G1780">
        <v>-231.22540000000001</v>
      </c>
      <c r="H1780">
        <v>0.89915199999999995</v>
      </c>
      <c r="I1780">
        <v>282.92509999999999</v>
      </c>
      <c r="J1780">
        <v>-230.64160000000001</v>
      </c>
      <c r="K1780">
        <v>1.1103459999999901</v>
      </c>
      <c r="L1780">
        <v>282.86529999999999</v>
      </c>
      <c r="M1780">
        <v>-0.99643839999999995</v>
      </c>
      <c r="N1780">
        <v>0</v>
      </c>
      <c r="O1780">
        <v>-8.3200699999999905E-2</v>
      </c>
      <c r="P1780">
        <v>-0.99969090000000005</v>
      </c>
      <c r="Q1780">
        <v>-1.9445569999999999E-2</v>
      </c>
      <c r="R1780">
        <v>-1.5504840000000001E-2</v>
      </c>
      <c r="S1780">
        <v>-2.9869690000000002</v>
      </c>
      <c r="T1780">
        <v>-0.86829210000000001</v>
      </c>
      <c r="U1780">
        <v>0.19668579999999999</v>
      </c>
      <c r="V1780">
        <v>6.7731340000000001E-2</v>
      </c>
      <c r="W1780">
        <v>-5.7590920000000004E-3</v>
      </c>
      <c r="X1780">
        <v>0.99768699999999999</v>
      </c>
      <c r="Y1780">
        <v>0.13932700000000001</v>
      </c>
      <c r="Z1780">
        <v>4.3488369999999998E-2</v>
      </c>
      <c r="AA1780">
        <v>0.98929100000000003</v>
      </c>
      <c r="AB1780">
        <v>24</v>
      </c>
      <c r="AC1780">
        <v>-0.58379999999999599</v>
      </c>
      <c r="AD1780">
        <v>-0.21119399999999899</v>
      </c>
      <c r="AE1780">
        <v>5.97999999999956E-2</v>
      </c>
      <c r="AF1780">
        <v>9.5767015200906594E-2</v>
      </c>
      <c r="AG1780">
        <v>-0.21119399999999899</v>
      </c>
      <c r="AH1780">
        <v>0.510663750935484</v>
      </c>
      <c r="AI1780">
        <v>112.120837052116</v>
      </c>
      <c r="AJ1780">
        <v>79.378441234282306</v>
      </c>
      <c r="AK1780">
        <v>0.56084908251328103</v>
      </c>
      <c r="AL1780">
        <v>90.329973480989395</v>
      </c>
      <c r="AM1780">
        <v>86.116242373342203</v>
      </c>
      <c r="AN1780">
        <v>1.0000000257639201</v>
      </c>
    </row>
    <row r="1781" spans="1:40" x14ac:dyDescent="0.25">
      <c r="A1781" t="str">
        <f>"20190312154249096"</f>
        <v>20190312154249096</v>
      </c>
      <c r="B1781" t="str">
        <f>"1552376569089164"</f>
        <v>1552376569089164</v>
      </c>
      <c r="C1781" t="s">
        <v>40</v>
      </c>
      <c r="D1781">
        <v>5.2392729999999998</v>
      </c>
      <c r="E1781">
        <v>0.53351709999999997</v>
      </c>
      <c r="F1781" t="s">
        <v>41</v>
      </c>
      <c r="G1781">
        <v>-231.43109999999999</v>
      </c>
      <c r="H1781">
        <v>0.88189050000000002</v>
      </c>
      <c r="I1781">
        <v>282.91770000000002</v>
      </c>
      <c r="J1781">
        <v>-230.86250000000001</v>
      </c>
      <c r="K1781">
        <v>1.1102909999999999</v>
      </c>
      <c r="L1781">
        <v>282.84690000000001</v>
      </c>
      <c r="M1781">
        <v>-0.99644379999999999</v>
      </c>
      <c r="N1781">
        <v>0</v>
      </c>
      <c r="O1781">
        <v>-8.3168130000000007E-2</v>
      </c>
      <c r="P1781">
        <v>-0.99971500000000002</v>
      </c>
      <c r="Q1781">
        <v>-1.8738609999999999E-2</v>
      </c>
      <c r="R1781">
        <v>-1.480179E-2</v>
      </c>
      <c r="S1781">
        <v>-2.9872130000000001</v>
      </c>
      <c r="T1781">
        <v>-0.86440339999999904</v>
      </c>
      <c r="U1781">
        <v>0.1977844</v>
      </c>
      <c r="V1781">
        <v>6.8400959999999997E-2</v>
      </c>
      <c r="W1781">
        <v>-5.2463149999999997E-3</v>
      </c>
      <c r="X1781">
        <v>0.99764410000000003</v>
      </c>
      <c r="Y1781">
        <v>0.139718799999999</v>
      </c>
      <c r="Z1781">
        <v>4.3343710000000001E-2</v>
      </c>
      <c r="AA1781">
        <v>0.98924210000000001</v>
      </c>
      <c r="AB1781">
        <v>24</v>
      </c>
      <c r="AC1781">
        <v>-0.56859999999997501</v>
      </c>
      <c r="AD1781">
        <v>-0.22840049999999901</v>
      </c>
      <c r="AE1781">
        <v>7.0800000000019694E-2</v>
      </c>
      <c r="AF1781">
        <v>0.101690683588606</v>
      </c>
      <c r="AG1781">
        <v>-0.22840049999999901</v>
      </c>
      <c r="AH1781">
        <v>0.483860018550541</v>
      </c>
      <c r="AI1781">
        <v>114.79441702369</v>
      </c>
      <c r="AJ1781">
        <v>78.131139145867607</v>
      </c>
      <c r="AK1781">
        <v>0.54463593443758196</v>
      </c>
      <c r="AL1781">
        <v>90.300593091616705</v>
      </c>
      <c r="AM1781">
        <v>86.077797062862203</v>
      </c>
      <c r="AN1781">
        <v>0.99999998270740498</v>
      </c>
    </row>
    <row r="1782" spans="1:40" x14ac:dyDescent="0.25">
      <c r="A1782" t="str">
        <f>"20190312154249119"</f>
        <v>20190312154249119</v>
      </c>
      <c r="B1782" t="str">
        <f>"1552376569109659"</f>
        <v>1552376569109659</v>
      </c>
      <c r="C1782" t="s">
        <v>40</v>
      </c>
      <c r="D1782">
        <v>5.3201340000000004</v>
      </c>
      <c r="E1782">
        <v>0.53408650000000002</v>
      </c>
      <c r="F1782" t="s">
        <v>41</v>
      </c>
      <c r="G1782">
        <v>-231.64410000000001</v>
      </c>
      <c r="H1782">
        <v>0.88403989999999999</v>
      </c>
      <c r="I1782">
        <v>282.899</v>
      </c>
      <c r="J1782">
        <v>-231.09880000000001</v>
      </c>
      <c r="K1782">
        <v>1.110225</v>
      </c>
      <c r="L1782">
        <v>282.8272</v>
      </c>
      <c r="M1782">
        <v>-0.99645110000000003</v>
      </c>
      <c r="N1782">
        <v>0</v>
      </c>
      <c r="O1782">
        <v>-8.3129560000000005E-2</v>
      </c>
      <c r="P1782">
        <v>-0.99973500000000004</v>
      </c>
      <c r="Q1782">
        <v>-1.808394E-2</v>
      </c>
      <c r="R1782">
        <v>-1.425571E-2</v>
      </c>
      <c r="S1782">
        <v>-2.9875949999999998</v>
      </c>
      <c r="T1782">
        <v>-0.86475299999999999</v>
      </c>
      <c r="U1782">
        <v>0.1984863</v>
      </c>
      <c r="V1782">
        <v>6.8908010000000006E-2</v>
      </c>
      <c r="W1782">
        <v>-4.8981490000000001E-3</v>
      </c>
      <c r="X1782">
        <v>0.99761100000000003</v>
      </c>
      <c r="Y1782">
        <v>0.13989289999999999</v>
      </c>
      <c r="Z1782">
        <v>4.3368619999999997E-2</v>
      </c>
      <c r="AA1782">
        <v>0.9892164</v>
      </c>
      <c r="AB1782">
        <v>24</v>
      </c>
      <c r="AC1782">
        <v>-0.54529999999999701</v>
      </c>
      <c r="AD1782">
        <v>-0.2261851</v>
      </c>
      <c r="AE1782">
        <v>7.1799999999996006E-2</v>
      </c>
      <c r="AF1782">
        <v>9.9977812230468296E-2</v>
      </c>
      <c r="AG1782">
        <v>-0.2261851</v>
      </c>
      <c r="AH1782">
        <v>0.45969921147973503</v>
      </c>
      <c r="AI1782">
        <v>115.677745524366</v>
      </c>
      <c r="AJ1782">
        <v>77.730084882660606</v>
      </c>
      <c r="AK1782">
        <v>0.52199485384004596</v>
      </c>
      <c r="AL1782">
        <v>90.280644385502796</v>
      </c>
      <c r="AM1782">
        <v>86.048683207820503</v>
      </c>
      <c r="AN1782">
        <v>1.00000000651339</v>
      </c>
    </row>
    <row r="1783" spans="1:40" x14ac:dyDescent="0.25">
      <c r="A1783" t="str">
        <f>"20190312154249141"</f>
        <v>20190312154249141</v>
      </c>
      <c r="B1783" t="str">
        <f>"1552376569129179"</f>
        <v>1552376569129179</v>
      </c>
      <c r="C1783" t="s">
        <v>40</v>
      </c>
      <c r="D1783">
        <v>5.2444350000000002</v>
      </c>
      <c r="E1783">
        <v>0.53412320000000002</v>
      </c>
      <c r="F1783" t="s">
        <v>41</v>
      </c>
      <c r="G1783">
        <v>-231.8595</v>
      </c>
      <c r="H1783">
        <v>0.89067240000000003</v>
      </c>
      <c r="I1783">
        <v>282.87970000000001</v>
      </c>
      <c r="J1783">
        <v>-231.33420000000001</v>
      </c>
      <c r="K1783">
        <v>1.110163</v>
      </c>
      <c r="L1783">
        <v>282.80759999999998</v>
      </c>
      <c r="M1783">
        <v>-0.99645930000000005</v>
      </c>
      <c r="N1783">
        <v>0</v>
      </c>
      <c r="O1783">
        <v>-8.3087480000000005E-2</v>
      </c>
      <c r="P1783">
        <v>-0.99975080000000005</v>
      </c>
      <c r="Q1783">
        <v>-1.7075119999999999E-2</v>
      </c>
      <c r="R1783">
        <v>-1.437941E-2</v>
      </c>
      <c r="S1783">
        <v>-2.9881129999999998</v>
      </c>
      <c r="T1783">
        <v>-0.86258239999999997</v>
      </c>
      <c r="U1783">
        <v>0.20507810000000001</v>
      </c>
      <c r="V1783">
        <v>6.8743620000000005E-2</v>
      </c>
      <c r="W1783">
        <v>-4.2576710000000002E-3</v>
      </c>
      <c r="X1783">
        <v>0.99762530000000005</v>
      </c>
      <c r="Y1783">
        <v>0.14197750000000001</v>
      </c>
      <c r="Z1783">
        <v>4.3536890000000002E-2</v>
      </c>
      <c r="AA1783">
        <v>0.98891200000000001</v>
      </c>
      <c r="AB1783">
        <v>24</v>
      </c>
      <c r="AC1783">
        <v>-0.525299999999987</v>
      </c>
      <c r="AD1783">
        <v>-0.21949060000000001</v>
      </c>
      <c r="AE1783">
        <v>7.21000000000344E-2</v>
      </c>
      <c r="AF1783">
        <v>9.8603364047489497E-2</v>
      </c>
      <c r="AG1783">
        <v>-0.21949060000000001</v>
      </c>
      <c r="AH1783">
        <v>0.44178722398033798</v>
      </c>
      <c r="AI1783">
        <v>115.868449927358</v>
      </c>
      <c r="AJ1783">
        <v>77.418255029721493</v>
      </c>
      <c r="AK1783">
        <v>0.50306530208522204</v>
      </c>
      <c r="AL1783">
        <v>90.2439473095219</v>
      </c>
      <c r="AM1783">
        <v>86.0581362165629</v>
      </c>
      <c r="AN1783">
        <v>1.00000002612656</v>
      </c>
    </row>
    <row r="1784" spans="1:40" x14ac:dyDescent="0.25">
      <c r="A1784" t="str">
        <f>"20190312154249164"</f>
        <v>20190312154249164</v>
      </c>
      <c r="B1784" t="str">
        <f>"1552376569159434"</f>
        <v>1552376569159434</v>
      </c>
      <c r="C1784" t="s">
        <v>40</v>
      </c>
      <c r="D1784">
        <v>5.1945169999999896</v>
      </c>
      <c r="E1784">
        <v>0.53335769999999905</v>
      </c>
      <c r="F1784" t="s">
        <v>41</v>
      </c>
      <c r="G1784">
        <v>-232.07499999999999</v>
      </c>
      <c r="H1784">
        <v>0.89737819999999902</v>
      </c>
      <c r="I1784">
        <v>282.85860000000002</v>
      </c>
      <c r="J1784">
        <v>-231.583</v>
      </c>
      <c r="K1784">
        <v>1.1100920000000001</v>
      </c>
      <c r="L1784">
        <v>282.7869</v>
      </c>
      <c r="M1784">
        <v>-0.99646860000000004</v>
      </c>
      <c r="N1784">
        <v>0</v>
      </c>
      <c r="O1784">
        <v>-8.3041550000000006E-2</v>
      </c>
      <c r="P1784">
        <v>-0.99976449999999994</v>
      </c>
      <c r="Q1784">
        <v>-1.631428E-2</v>
      </c>
      <c r="R1784">
        <v>-1.4316550000000001E-2</v>
      </c>
      <c r="S1784">
        <v>-2.9890439999999998</v>
      </c>
      <c r="T1784">
        <v>-0.85850680000000001</v>
      </c>
      <c r="U1784">
        <v>0.2055054</v>
      </c>
      <c r="V1784">
        <v>6.8761000000000003E-2</v>
      </c>
      <c r="W1784">
        <v>-3.9229319999999996E-3</v>
      </c>
      <c r="X1784">
        <v>0.99762550000000005</v>
      </c>
      <c r="Y1784">
        <v>0.14213689999999901</v>
      </c>
      <c r="Z1784">
        <v>4.3335449999999998E-2</v>
      </c>
      <c r="AA1784">
        <v>0.9888979</v>
      </c>
      <c r="AB1784">
        <v>24</v>
      </c>
      <c r="AC1784">
        <v>-0.49199999999999</v>
      </c>
      <c r="AD1784">
        <v>-0.21271380000000001</v>
      </c>
      <c r="AE1784">
        <v>7.1700000000021094E-2</v>
      </c>
      <c r="AF1784">
        <v>9.4935406374555803E-2</v>
      </c>
      <c r="AG1784">
        <v>-0.21271380000000001</v>
      </c>
      <c r="AH1784">
        <v>0.409409569186444</v>
      </c>
      <c r="AI1784">
        <v>116.845482146254</v>
      </c>
      <c r="AJ1784">
        <v>76.944772152720702</v>
      </c>
      <c r="AK1784">
        <v>0.471037246335544</v>
      </c>
      <c r="AL1784">
        <v>90.224768011877202</v>
      </c>
      <c r="AM1784">
        <v>86.057143551827807</v>
      </c>
      <c r="AN1784">
        <v>1.00000005138336</v>
      </c>
    </row>
    <row r="1785" spans="1:40" x14ac:dyDescent="0.25">
      <c r="A1785" t="str">
        <f>"20190312154249187"</f>
        <v>20190312154249187</v>
      </c>
      <c r="B1785" t="str">
        <f>"1552376569178955"</f>
        <v>1552376569178955</v>
      </c>
      <c r="C1785" t="s">
        <v>40</v>
      </c>
      <c r="D1785">
        <v>5.218566</v>
      </c>
      <c r="E1785">
        <v>0.53336280000000003</v>
      </c>
      <c r="F1785" t="s">
        <v>41</v>
      </c>
      <c r="G1785">
        <v>-232.2921</v>
      </c>
      <c r="H1785">
        <v>0.90748169999999995</v>
      </c>
      <c r="I1785">
        <v>282.83460000000002</v>
      </c>
      <c r="J1785">
        <v>-231.8262</v>
      </c>
      <c r="K1785">
        <v>1.1100319999999999</v>
      </c>
      <c r="L1785">
        <v>282.76670000000001</v>
      </c>
      <c r="M1785">
        <v>-0.99647750000000002</v>
      </c>
      <c r="N1785">
        <v>0</v>
      </c>
      <c r="O1785">
        <v>-8.299803E-2</v>
      </c>
      <c r="P1785">
        <v>-0.99976430000000005</v>
      </c>
      <c r="Q1785">
        <v>-1.6180150000000001E-2</v>
      </c>
      <c r="R1785">
        <v>-1.4480679999999999E-2</v>
      </c>
      <c r="S1785">
        <v>-2.9896240000000001</v>
      </c>
      <c r="T1785">
        <v>-0.8542843</v>
      </c>
      <c r="U1785">
        <v>0.19964599999999999</v>
      </c>
      <c r="V1785">
        <v>6.8553329999999996E-2</v>
      </c>
      <c r="W1785">
        <v>-4.2194579999999997E-3</v>
      </c>
      <c r="X1785">
        <v>0.99763849999999998</v>
      </c>
      <c r="Y1785">
        <v>0.14031459999999901</v>
      </c>
      <c r="Z1785">
        <v>4.2857430000000002E-2</v>
      </c>
      <c r="AA1785">
        <v>0.98917900000000003</v>
      </c>
      <c r="AB1785">
        <v>24</v>
      </c>
      <c r="AC1785">
        <v>-0.46590000000000398</v>
      </c>
      <c r="AD1785">
        <v>-0.20255029999999999</v>
      </c>
      <c r="AE1785">
        <v>6.7900000000008703E-2</v>
      </c>
      <c r="AF1785">
        <v>8.9730247769892996E-2</v>
      </c>
      <c r="AG1785">
        <v>-0.20255029999999999</v>
      </c>
      <c r="AH1785">
        <v>0.387026573217363</v>
      </c>
      <c r="AI1785">
        <v>117.013716429383</v>
      </c>
      <c r="AJ1785">
        <v>76.946866359814905</v>
      </c>
      <c r="AK1785">
        <v>0.445945859686253</v>
      </c>
      <c r="AL1785">
        <v>90.241757859911104</v>
      </c>
      <c r="AM1785">
        <v>86.069065327090101</v>
      </c>
      <c r="AN1785">
        <v>0.99999996978107497</v>
      </c>
    </row>
    <row r="1786" spans="1:40" x14ac:dyDescent="0.25">
      <c r="A1786" t="str">
        <f>"20190312154249208"</f>
        <v>20190312154249208</v>
      </c>
      <c r="B1786" t="str">
        <f>"1552376569199451"</f>
        <v>1552376569199451</v>
      </c>
      <c r="C1786" t="s">
        <v>40</v>
      </c>
      <c r="D1786">
        <v>5.2313419999999997</v>
      </c>
      <c r="E1786">
        <v>0.53338850000000004</v>
      </c>
      <c r="F1786" t="s">
        <v>41</v>
      </c>
      <c r="G1786">
        <v>-232.50899999999999</v>
      </c>
      <c r="H1786">
        <v>0.91492459999999998</v>
      </c>
      <c r="I1786">
        <v>282.81209999999999</v>
      </c>
      <c r="J1786">
        <v>-232.05250000000001</v>
      </c>
      <c r="K1786">
        <v>1.109972</v>
      </c>
      <c r="L1786">
        <v>282.74790000000002</v>
      </c>
      <c r="M1786">
        <v>-0.99648550000000002</v>
      </c>
      <c r="N1786">
        <v>0</v>
      </c>
      <c r="O1786">
        <v>-8.2960259999999994E-2</v>
      </c>
      <c r="P1786">
        <v>-0.99977899999999997</v>
      </c>
      <c r="Q1786">
        <v>-1.5597639999999999E-2</v>
      </c>
      <c r="R1786">
        <v>-1.410544E-2</v>
      </c>
      <c r="S1786">
        <v>-2.9897459999999998</v>
      </c>
      <c r="T1786">
        <v>-0.85434249999999901</v>
      </c>
      <c r="U1786">
        <v>0.1989136</v>
      </c>
      <c r="V1786">
        <v>6.8890469999999995E-2</v>
      </c>
      <c r="W1786">
        <v>-4.0322839999999997E-3</v>
      </c>
      <c r="X1786">
        <v>0.99761610000000001</v>
      </c>
      <c r="Y1786">
        <v>0.14004440000000001</v>
      </c>
      <c r="Z1786">
        <v>4.2810349999999997E-2</v>
      </c>
      <c r="AA1786">
        <v>0.98921930000000002</v>
      </c>
      <c r="AB1786">
        <v>24</v>
      </c>
      <c r="AC1786">
        <v>-0.45650000000000501</v>
      </c>
      <c r="AD1786">
        <v>-0.19504740000000001</v>
      </c>
      <c r="AE1786">
        <v>6.41999999999711E-2</v>
      </c>
      <c r="AF1786">
        <v>8.63877362113981E-2</v>
      </c>
      <c r="AG1786">
        <v>-0.19504740000000001</v>
      </c>
      <c r="AH1786">
        <v>0.38133458620460398</v>
      </c>
      <c r="AI1786">
        <v>116.512125288973</v>
      </c>
      <c r="AJ1786">
        <v>77.235631989894102</v>
      </c>
      <c r="AK1786">
        <v>0.436946673920659</v>
      </c>
      <c r="AL1786">
        <v>90.231033476552795</v>
      </c>
      <c r="AM1786">
        <v>86.049705930985596</v>
      </c>
      <c r="AN1786">
        <v>1.00000001957514</v>
      </c>
    </row>
    <row r="1787" spans="1:40" x14ac:dyDescent="0.25">
      <c r="A1787" t="str">
        <f>"20190312154249230"</f>
        <v>20190312154249230</v>
      </c>
      <c r="B1787" t="str">
        <f>"1552376569218971"</f>
        <v>1552376569218971</v>
      </c>
      <c r="C1787" t="s">
        <v>40</v>
      </c>
      <c r="D1787">
        <v>5.2390930000000004</v>
      </c>
      <c r="E1787">
        <v>0.53339300000000001</v>
      </c>
      <c r="F1787" t="s">
        <v>41</v>
      </c>
      <c r="G1787">
        <v>-232.92019999999999</v>
      </c>
      <c r="H1787">
        <v>0.86268639999999996</v>
      </c>
      <c r="I1787">
        <v>282.80610000000001</v>
      </c>
      <c r="J1787">
        <v>-232.29329999999999</v>
      </c>
      <c r="K1787">
        <v>1.1099270000000001</v>
      </c>
      <c r="L1787">
        <v>282.72789999999998</v>
      </c>
      <c r="M1787">
        <v>-0.99649319999999997</v>
      </c>
      <c r="N1787">
        <v>0</v>
      </c>
      <c r="O1787">
        <v>-8.2920399999999894E-2</v>
      </c>
      <c r="P1787">
        <v>-0.99978489999999998</v>
      </c>
      <c r="Q1787">
        <v>-1.5314619999999999E-2</v>
      </c>
      <c r="R1787">
        <v>-1.397865E-2</v>
      </c>
      <c r="S1787">
        <v>-2.990173</v>
      </c>
      <c r="T1787">
        <v>-0.85210490000000005</v>
      </c>
      <c r="U1787">
        <v>0.20004269999999999</v>
      </c>
      <c r="V1787">
        <v>6.8976780000000001E-2</v>
      </c>
      <c r="W1787">
        <v>-4.1427080000000002E-3</v>
      </c>
      <c r="X1787">
        <v>0.99760970000000004</v>
      </c>
      <c r="Y1787">
        <v>0.14040269999999999</v>
      </c>
      <c r="Z1787">
        <v>4.2735040000000002E-2</v>
      </c>
      <c r="AA1787">
        <v>0.98917169999999999</v>
      </c>
      <c r="AB1787">
        <v>24</v>
      </c>
      <c r="AC1787">
        <v>-0.62690000000000601</v>
      </c>
      <c r="AD1787">
        <v>-0.2472406</v>
      </c>
      <c r="AE1787">
        <v>7.8200000000038003E-2</v>
      </c>
      <c r="AF1787">
        <v>0.112661763139458</v>
      </c>
      <c r="AG1787">
        <v>-0.2472406</v>
      </c>
      <c r="AH1787">
        <v>0.53614201659639604</v>
      </c>
      <c r="AI1787">
        <v>114.289252923555</v>
      </c>
      <c r="AJ1787">
        <v>78.132857836398799</v>
      </c>
      <c r="AK1787">
        <v>0.60105644420645099</v>
      </c>
      <c r="AL1787">
        <v>90.237360354574804</v>
      </c>
      <c r="AM1787">
        <v>86.044747176867304</v>
      </c>
      <c r="AN1787">
        <v>1.0000000358714101</v>
      </c>
    </row>
    <row r="1788" spans="1:40" x14ac:dyDescent="0.25">
      <c r="A1788" t="str">
        <f>"20190312154249254"</f>
        <v>20190312154249254</v>
      </c>
      <c r="B1788" t="str">
        <f>"1552376569249227"</f>
        <v>1552376569249227</v>
      </c>
      <c r="C1788" t="s">
        <v>40</v>
      </c>
      <c r="D1788">
        <v>5.2324960000000003</v>
      </c>
      <c r="E1788">
        <v>0.53345189999999998</v>
      </c>
      <c r="F1788" t="s">
        <v>41</v>
      </c>
      <c r="G1788">
        <v>-233.13849999999999</v>
      </c>
      <c r="H1788">
        <v>0.86938890000000002</v>
      </c>
      <c r="I1788">
        <v>282.78480000000002</v>
      </c>
      <c r="J1788">
        <v>-232.54400000000001</v>
      </c>
      <c r="K1788">
        <v>1.1098980000000001</v>
      </c>
      <c r="L1788">
        <v>282.70710000000003</v>
      </c>
      <c r="M1788">
        <v>-0.99650070000000002</v>
      </c>
      <c r="N1788">
        <v>0</v>
      </c>
      <c r="O1788">
        <v>-8.2878720000000003E-2</v>
      </c>
      <c r="P1788">
        <v>-0.99979410000000002</v>
      </c>
      <c r="Q1788">
        <v>-1.470492E-2</v>
      </c>
      <c r="R1788">
        <v>-1.397553E-2</v>
      </c>
      <c r="S1788">
        <v>-2.9903870000000001</v>
      </c>
      <c r="T1788">
        <v>-0.85109380000000001</v>
      </c>
      <c r="U1788">
        <v>0.20028689999999999</v>
      </c>
      <c r="V1788">
        <v>6.8938609999999997E-2</v>
      </c>
      <c r="W1788">
        <v>-3.904692E-3</v>
      </c>
      <c r="X1788">
        <v>0.99761330000000004</v>
      </c>
      <c r="Y1788">
        <v>0.1404581</v>
      </c>
      <c r="Z1788">
        <v>4.2679259999999997E-2</v>
      </c>
      <c r="AA1788">
        <v>0.98916630000000005</v>
      </c>
      <c r="AB1788">
        <v>24</v>
      </c>
      <c r="AC1788">
        <v>-0.59449999999998204</v>
      </c>
      <c r="AD1788">
        <v>-0.240509099999999</v>
      </c>
      <c r="AE1788">
        <v>7.7699999999992997E-2</v>
      </c>
      <c r="AF1788">
        <v>0.109143796283543</v>
      </c>
      <c r="AG1788">
        <v>-0.240509099999999</v>
      </c>
      <c r="AH1788">
        <v>0.50478556648114603</v>
      </c>
      <c r="AI1788">
        <v>114.971234083604</v>
      </c>
      <c r="AJ1788">
        <v>77.799425970759401</v>
      </c>
      <c r="AK1788">
        <v>0.56970647141987496</v>
      </c>
      <c r="AL1788">
        <v>90.223722932024998</v>
      </c>
      <c r="AM1788">
        <v>86.046943192139906</v>
      </c>
      <c r="AN1788">
        <v>1.0000000374526099</v>
      </c>
    </row>
    <row r="1789" spans="1:40" x14ac:dyDescent="0.25">
      <c r="A1789" t="str">
        <f>"20190312154249275"</f>
        <v>20190312154249275</v>
      </c>
      <c r="B1789" t="str">
        <f>"1552376569269723"</f>
        <v>1552376569269723</v>
      </c>
      <c r="C1789" t="s">
        <v>40</v>
      </c>
      <c r="D1789">
        <v>5.2237739999999997</v>
      </c>
      <c r="E1789">
        <v>0.53354309999999905</v>
      </c>
      <c r="F1789" t="s">
        <v>41</v>
      </c>
      <c r="G1789">
        <v>-233.35830000000001</v>
      </c>
      <c r="H1789">
        <v>0.87877059999999996</v>
      </c>
      <c r="I1789">
        <v>282.76179999999999</v>
      </c>
      <c r="J1789">
        <v>-232.77979999999999</v>
      </c>
      <c r="K1789">
        <v>1.1098809999999999</v>
      </c>
      <c r="L1789">
        <v>282.68740000000003</v>
      </c>
      <c r="M1789">
        <v>-0.99650749999999999</v>
      </c>
      <c r="N1789">
        <v>0</v>
      </c>
      <c r="O1789">
        <v>-8.2838679999999998E-2</v>
      </c>
      <c r="P1789">
        <v>-0.99981240000000005</v>
      </c>
      <c r="Q1789">
        <v>-1.332505E-2</v>
      </c>
      <c r="R1789">
        <v>-1.404711E-2</v>
      </c>
      <c r="S1789">
        <v>-2.9909210000000002</v>
      </c>
      <c r="T1789">
        <v>-0.84888850000000005</v>
      </c>
      <c r="U1789">
        <v>0.20071410000000001</v>
      </c>
      <c r="V1789">
        <v>6.8828449999999999E-2</v>
      </c>
      <c r="W1789">
        <v>-2.8377250000000001E-3</v>
      </c>
      <c r="X1789">
        <v>0.99762450000000003</v>
      </c>
      <c r="Y1789">
        <v>0.140591299999999</v>
      </c>
      <c r="Z1789">
        <v>4.2572739999999998E-2</v>
      </c>
      <c r="AA1789">
        <v>0.98915200000000003</v>
      </c>
      <c r="AB1789">
        <v>24</v>
      </c>
      <c r="AC1789">
        <v>-0.578500000000019</v>
      </c>
      <c r="AD1789">
        <v>-0.23111039999999899</v>
      </c>
      <c r="AE1789">
        <v>7.43999999999687E-2</v>
      </c>
      <c r="AF1789">
        <v>0.105504558823849</v>
      </c>
      <c r="AG1789">
        <v>-0.23111039999999899</v>
      </c>
      <c r="AH1789">
        <v>0.49295287955683698</v>
      </c>
      <c r="AI1789">
        <v>114.62890553053199</v>
      </c>
      <c r="AJ1789">
        <v>77.919490278275703</v>
      </c>
      <c r="AK1789">
        <v>0.55456809355042502</v>
      </c>
      <c r="AL1789">
        <v>90.16258987997</v>
      </c>
      <c r="AM1789">
        <v>86.053284143336001</v>
      </c>
      <c r="AN1789">
        <v>1.0000000256064101</v>
      </c>
    </row>
    <row r="1790" spans="1:40" x14ac:dyDescent="0.25">
      <c r="A1790" t="str">
        <f>"20190312154249298"</f>
        <v>20190312154249298</v>
      </c>
      <c r="B1790" t="str">
        <f>"1552376569289246"</f>
        <v>1552376569289246</v>
      </c>
      <c r="C1790" t="s">
        <v>40</v>
      </c>
      <c r="D1790">
        <v>5.2497749999999996</v>
      </c>
      <c r="E1790">
        <v>0.5335839</v>
      </c>
      <c r="F1790" t="s">
        <v>41</v>
      </c>
      <c r="G1790">
        <v>-233.57759999999999</v>
      </c>
      <c r="H1790">
        <v>0.88484259999999904</v>
      </c>
      <c r="I1790">
        <v>282.7414</v>
      </c>
      <c r="J1790">
        <v>-233.023</v>
      </c>
      <c r="K1790">
        <v>1.1098680000000001</v>
      </c>
      <c r="L1790">
        <v>282.66730000000001</v>
      </c>
      <c r="M1790">
        <v>-0.99651429999999996</v>
      </c>
      <c r="N1790">
        <v>0</v>
      </c>
      <c r="O1790">
        <v>-8.2794030000000005E-2</v>
      </c>
      <c r="P1790">
        <v>-0.99982510000000002</v>
      </c>
      <c r="Q1790">
        <v>-1.247732E-2</v>
      </c>
      <c r="R1790">
        <v>-1.3939399999999999E-2</v>
      </c>
      <c r="S1790">
        <v>-2.9921259999999998</v>
      </c>
      <c r="T1790">
        <v>-0.84412980000000004</v>
      </c>
      <c r="U1790">
        <v>0.20156859999999999</v>
      </c>
      <c r="V1790">
        <v>6.8892049999999996E-2</v>
      </c>
      <c r="W1790">
        <v>-2.27648E-3</v>
      </c>
      <c r="X1790">
        <v>0.99762150000000005</v>
      </c>
      <c r="Y1790">
        <v>0.14089479999999999</v>
      </c>
      <c r="Z1790">
        <v>4.2355900000000002E-2</v>
      </c>
      <c r="AA1790">
        <v>0.9891181</v>
      </c>
      <c r="AB1790">
        <v>24</v>
      </c>
      <c r="AC1790">
        <v>-0.55459999999999299</v>
      </c>
      <c r="AD1790">
        <v>-0.22502539999999999</v>
      </c>
      <c r="AE1790">
        <v>7.4099999999987107E-2</v>
      </c>
      <c r="AF1790">
        <v>0.103091461472163</v>
      </c>
      <c r="AG1790">
        <v>-0.22502539999999999</v>
      </c>
      <c r="AH1790">
        <v>0.47046677238060303</v>
      </c>
      <c r="AI1790">
        <v>115.042778823576</v>
      </c>
      <c r="AJ1790">
        <v>77.640359628601999</v>
      </c>
      <c r="AK1790">
        <v>0.53160442434939204</v>
      </c>
      <c r="AL1790">
        <v>90.130432811792801</v>
      </c>
      <c r="AM1790">
        <v>86.049636933241203</v>
      </c>
      <c r="AN1790">
        <v>0.999999977088321</v>
      </c>
    </row>
    <row r="1791" spans="1:40" x14ac:dyDescent="0.25">
      <c r="A1791" t="str">
        <f>"20190312154249320"</f>
        <v>20190312154249320</v>
      </c>
      <c r="B1791" t="str">
        <f>"1552376569308766"</f>
        <v>1552376569308766</v>
      </c>
      <c r="C1791" t="s">
        <v>40</v>
      </c>
      <c r="D1791">
        <v>5.1892500000000004</v>
      </c>
      <c r="E1791">
        <v>0.53359269999999903</v>
      </c>
      <c r="F1791" t="s">
        <v>41</v>
      </c>
      <c r="G1791">
        <v>-233.79769999999999</v>
      </c>
      <c r="H1791">
        <v>0.89193250000000002</v>
      </c>
      <c r="I1791">
        <v>282.71969999999999</v>
      </c>
      <c r="J1791">
        <v>-233.2689</v>
      </c>
      <c r="K1791">
        <v>1.1098570000000001</v>
      </c>
      <c r="L1791">
        <v>282.64690000000002</v>
      </c>
      <c r="M1791">
        <v>-0.99652110000000005</v>
      </c>
      <c r="N1791">
        <v>0</v>
      </c>
      <c r="O1791">
        <v>-8.2741789999999996E-2</v>
      </c>
      <c r="P1791">
        <v>-0.99981989999999998</v>
      </c>
      <c r="Q1791">
        <v>-1.230176E-2</v>
      </c>
      <c r="R1791">
        <v>-1.4461430000000001E-2</v>
      </c>
      <c r="S1791">
        <v>-2.9928279999999998</v>
      </c>
      <c r="T1791">
        <v>-0.84195279999999995</v>
      </c>
      <c r="U1791">
        <v>0.20205690000000001</v>
      </c>
      <c r="V1791">
        <v>6.8318970000000007E-2</v>
      </c>
      <c r="W1791">
        <v>-2.3553300000000001E-3</v>
      </c>
      <c r="X1791">
        <v>0.99766080000000001</v>
      </c>
      <c r="Y1791">
        <v>0.14103260000000001</v>
      </c>
      <c r="Z1791">
        <v>4.2245600000000001E-2</v>
      </c>
      <c r="AA1791">
        <v>0.98910319999999996</v>
      </c>
      <c r="AB1791">
        <v>24</v>
      </c>
      <c r="AC1791">
        <v>-0.52879999999998895</v>
      </c>
      <c r="AD1791">
        <v>-0.21792449999999899</v>
      </c>
      <c r="AE1791">
        <v>7.2799999999972401E-2</v>
      </c>
      <c r="AF1791">
        <v>9.9690321395058096E-2</v>
      </c>
      <c r="AG1791">
        <v>-0.21792449999999899</v>
      </c>
      <c r="AH1791">
        <v>0.44653557218234002</v>
      </c>
      <c r="AI1791">
        <v>115.46884333993</v>
      </c>
      <c r="AJ1791">
        <v>77.414934984343105</v>
      </c>
      <c r="AK1791">
        <v>0.50677733286356597</v>
      </c>
      <c r="AL1791">
        <v>90.134950586313906</v>
      </c>
      <c r="AM1791">
        <v>86.082549203727197</v>
      </c>
      <c r="AN1791">
        <v>1.0000000505489499</v>
      </c>
    </row>
    <row r="1792" spans="1:40" x14ac:dyDescent="0.25">
      <c r="A1792" t="str">
        <f>"20190312154249342"</f>
        <v>20190312154249342</v>
      </c>
      <c r="B1792" t="str">
        <f>"1552376569339020"</f>
        <v>1552376569339020</v>
      </c>
      <c r="C1792" t="s">
        <v>40</v>
      </c>
      <c r="D1792">
        <v>5.2975960000000004</v>
      </c>
      <c r="E1792">
        <v>0.53362419999999899</v>
      </c>
      <c r="F1792" t="s">
        <v>41</v>
      </c>
      <c r="G1792">
        <v>-234.0181</v>
      </c>
      <c r="H1792">
        <v>0.89883239999999998</v>
      </c>
      <c r="I1792">
        <v>282.69720000000001</v>
      </c>
      <c r="J1792">
        <v>-233.50620000000001</v>
      </c>
      <c r="K1792">
        <v>1.109842</v>
      </c>
      <c r="L1792">
        <v>282.62729999999999</v>
      </c>
      <c r="M1792">
        <v>-0.99652810000000003</v>
      </c>
      <c r="N1792">
        <v>0</v>
      </c>
      <c r="O1792">
        <v>-8.2683179999999995E-2</v>
      </c>
      <c r="P1792">
        <v>-0.9998224</v>
      </c>
      <c r="Q1792">
        <v>-1.202479E-2</v>
      </c>
      <c r="R1792">
        <v>-1.451652E-2</v>
      </c>
      <c r="S1792">
        <v>-2.9930569999999999</v>
      </c>
      <c r="T1792">
        <v>-0.84307540000000003</v>
      </c>
      <c r="U1792">
        <v>0.19998170000000001</v>
      </c>
      <c r="V1792">
        <v>6.8205310000000005E-2</v>
      </c>
      <c r="W1792">
        <v>-2.2932849999999999E-3</v>
      </c>
      <c r="X1792">
        <v>0.99766869999999996</v>
      </c>
      <c r="Y1792">
        <v>0.14029559999999999</v>
      </c>
      <c r="Z1792">
        <v>4.2179550000000003E-2</v>
      </c>
      <c r="AA1792">
        <v>0.98921079999999995</v>
      </c>
      <c r="AB1792">
        <v>24</v>
      </c>
      <c r="AC1792">
        <v>-0.51189999999999702</v>
      </c>
      <c r="AD1792">
        <v>-0.21100959999999899</v>
      </c>
      <c r="AE1792">
        <v>6.9900000000018198E-2</v>
      </c>
      <c r="AF1792">
        <v>9.5978418601732701E-2</v>
      </c>
      <c r="AG1792">
        <v>-0.21100959999999899</v>
      </c>
      <c r="AH1792">
        <v>0.43226322389281602</v>
      </c>
      <c r="AI1792">
        <v>115.479905238029</v>
      </c>
      <c r="AJ1792">
        <v>77.481307099084404</v>
      </c>
      <c r="AK1792">
        <v>0.490498117080647</v>
      </c>
      <c r="AL1792">
        <v>90.131395663053894</v>
      </c>
      <c r="AM1792">
        <v>86.089077167035498</v>
      </c>
      <c r="AN1792">
        <v>1.0000000292139799</v>
      </c>
    </row>
    <row r="1793" spans="1:40" x14ac:dyDescent="0.25">
      <c r="A1793" t="str">
        <f>"20190312154249365"</f>
        <v>20190312154249365</v>
      </c>
      <c r="B1793" t="str">
        <f>"1552376569359517"</f>
        <v>1552376569359517</v>
      </c>
      <c r="C1793" t="s">
        <v>40</v>
      </c>
      <c r="D1793">
        <v>5.2163040000000001</v>
      </c>
      <c r="E1793">
        <v>0.53352619999999995</v>
      </c>
      <c r="F1793" t="s">
        <v>41</v>
      </c>
      <c r="G1793">
        <v>-234.23849999999999</v>
      </c>
      <c r="H1793">
        <v>0.90378709999999995</v>
      </c>
      <c r="I1793">
        <v>282.67630000000003</v>
      </c>
      <c r="J1793">
        <v>-233.75559999999999</v>
      </c>
      <c r="K1793">
        <v>1.1098330000000001</v>
      </c>
      <c r="L1793">
        <v>282.60669999999999</v>
      </c>
      <c r="M1793">
        <v>-0.99653590000000003</v>
      </c>
      <c r="N1793">
        <v>0</v>
      </c>
      <c r="O1793">
        <v>-8.2610950000000002E-2</v>
      </c>
      <c r="P1793">
        <v>-0.99982570000000004</v>
      </c>
      <c r="Q1793">
        <v>-1.162E-2</v>
      </c>
      <c r="R1793">
        <v>-1.461031E-2</v>
      </c>
      <c r="S1793">
        <v>-2.9933169999999998</v>
      </c>
      <c r="T1793">
        <v>-0.84222569999999997</v>
      </c>
      <c r="U1793">
        <v>0.19992070000000001</v>
      </c>
      <c r="V1793">
        <v>6.8039639999999998E-2</v>
      </c>
      <c r="W1793">
        <v>-2.085071E-3</v>
      </c>
      <c r="X1793">
        <v>0.99768040000000002</v>
      </c>
      <c r="Y1793">
        <v>0.14022219999999999</v>
      </c>
      <c r="Z1793">
        <v>4.2105089999999998E-2</v>
      </c>
      <c r="AA1793">
        <v>0.9892244</v>
      </c>
      <c r="AB1793">
        <v>24</v>
      </c>
      <c r="AC1793">
        <v>-0.4829</v>
      </c>
      <c r="AD1793">
        <v>-0.2060459</v>
      </c>
      <c r="AE1793">
        <v>6.9600000000036702E-2</v>
      </c>
      <c r="AF1793">
        <v>9.2719741444501E-2</v>
      </c>
      <c r="AG1793">
        <v>-0.2060459</v>
      </c>
      <c r="AH1793">
        <v>0.40352815446074702</v>
      </c>
      <c r="AI1793">
        <v>116.456924566548</v>
      </c>
      <c r="AJ1793">
        <v>77.059606746863096</v>
      </c>
      <c r="AK1793">
        <v>0.46247901012136899</v>
      </c>
      <c r="AL1793">
        <v>90.119465859586796</v>
      </c>
      <c r="AM1793">
        <v>86.0985929976855</v>
      </c>
      <c r="AN1793">
        <v>0.99999996033828098</v>
      </c>
    </row>
    <row r="1794" spans="1:40" x14ac:dyDescent="0.25">
      <c r="A1794" t="str">
        <f>"20190312154249389"</f>
        <v>20190312154249389</v>
      </c>
      <c r="B1794" t="str">
        <f>"1552376569379035"</f>
        <v>1552376569379035</v>
      </c>
      <c r="C1794" t="s">
        <v>40</v>
      </c>
      <c r="D1794">
        <v>5.2137000000000002</v>
      </c>
      <c r="E1794">
        <v>0.53345980000000004</v>
      </c>
      <c r="F1794" t="s">
        <v>41</v>
      </c>
      <c r="G1794">
        <v>-234.4605</v>
      </c>
      <c r="H1794">
        <v>0.91187549999999995</v>
      </c>
      <c r="I1794">
        <v>282.65359999999998</v>
      </c>
      <c r="J1794">
        <v>-234.01509999999999</v>
      </c>
      <c r="K1794">
        <v>1.10982</v>
      </c>
      <c r="L1794">
        <v>282.58530000000002</v>
      </c>
      <c r="M1794">
        <v>-0.99654489999999996</v>
      </c>
      <c r="N1794">
        <v>0</v>
      </c>
      <c r="O1794">
        <v>-8.2523319999999997E-2</v>
      </c>
      <c r="P1794">
        <v>-0.99983549999999999</v>
      </c>
      <c r="Q1794">
        <v>-1.1024269999999999E-2</v>
      </c>
      <c r="R1794">
        <v>-1.441456E-2</v>
      </c>
      <c r="S1794">
        <v>-2.9936370000000001</v>
      </c>
      <c r="T1794">
        <v>-0.84076360000000006</v>
      </c>
      <c r="U1794">
        <v>0.19836429999999999</v>
      </c>
      <c r="V1794">
        <v>6.8147699999999894E-2</v>
      </c>
      <c r="W1794">
        <v>-1.6653169999999999E-3</v>
      </c>
      <c r="X1794">
        <v>0.9976739</v>
      </c>
      <c r="Y1794">
        <v>0.1396714</v>
      </c>
      <c r="Z1794">
        <v>4.1931030000000001E-2</v>
      </c>
      <c r="AA1794">
        <v>0.98930969999999996</v>
      </c>
      <c r="AB1794">
        <v>25</v>
      </c>
      <c r="AC1794">
        <v>-0.44540000000000601</v>
      </c>
      <c r="AD1794">
        <v>-0.1979445</v>
      </c>
      <c r="AE1794">
        <v>6.8299999999965097E-2</v>
      </c>
      <c r="AF1794">
        <v>8.7868450466293893E-2</v>
      </c>
      <c r="AG1794">
        <v>-0.1979445</v>
      </c>
      <c r="AH1794">
        <v>0.36735513954336202</v>
      </c>
      <c r="AI1794">
        <v>117.65696907325</v>
      </c>
      <c r="AJ1794">
        <v>76.5480424766629</v>
      </c>
      <c r="AK1794">
        <v>0.42644189313025999</v>
      </c>
      <c r="AL1794">
        <v>90.095415675315195</v>
      </c>
      <c r="AM1794">
        <v>86.092390615730906</v>
      </c>
      <c r="AN1794">
        <v>1.0000000465186001</v>
      </c>
    </row>
    <row r="1795" spans="1:40" x14ac:dyDescent="0.25">
      <c r="A1795" t="str">
        <f>"20190312154249410"</f>
        <v>20190312154249410</v>
      </c>
      <c r="B1795" t="str">
        <f>"1552376569399531"</f>
        <v>1552376569399531</v>
      </c>
      <c r="C1795" t="s">
        <v>40</v>
      </c>
      <c r="D1795">
        <v>5.1951869999999998</v>
      </c>
      <c r="E1795">
        <v>0.53347979999999995</v>
      </c>
      <c r="F1795" t="s">
        <v>41</v>
      </c>
      <c r="G1795">
        <v>-234.8844</v>
      </c>
      <c r="H1795">
        <v>0.86631789999999997</v>
      </c>
      <c r="I1795">
        <v>282.64299999999997</v>
      </c>
      <c r="J1795">
        <v>-234.24639999999999</v>
      </c>
      <c r="K1795">
        <v>1.109809</v>
      </c>
      <c r="L1795">
        <v>282.56630000000001</v>
      </c>
      <c r="M1795">
        <v>-0.99655349999999998</v>
      </c>
      <c r="N1795">
        <v>0</v>
      </c>
      <c r="O1795">
        <v>-8.2434099999999996E-2</v>
      </c>
      <c r="P1795">
        <v>-0.99984600000000001</v>
      </c>
      <c r="Q1795">
        <v>-1.08401E-2</v>
      </c>
      <c r="R1795">
        <v>-1.3807710000000001E-2</v>
      </c>
      <c r="S1795">
        <v>-2.9940950000000002</v>
      </c>
      <c r="T1795">
        <v>-0.83866019999999897</v>
      </c>
      <c r="U1795">
        <v>0.19772339999999999</v>
      </c>
      <c r="V1795">
        <v>6.8664030000000001E-2</v>
      </c>
      <c r="W1795">
        <v>-1.6184350000000001E-3</v>
      </c>
      <c r="X1795">
        <v>0.99763849999999998</v>
      </c>
      <c r="Y1795">
        <v>0.1394195</v>
      </c>
      <c r="Z1795">
        <v>4.1765040000000003E-2</v>
      </c>
      <c r="AA1795">
        <v>0.98935220000000001</v>
      </c>
      <c r="AB1795">
        <v>25</v>
      </c>
      <c r="AC1795">
        <v>-0.63800000000000501</v>
      </c>
      <c r="AD1795">
        <v>-0.24349109999999999</v>
      </c>
      <c r="AE1795">
        <v>7.66999999999598E-2</v>
      </c>
      <c r="AF1795">
        <v>0.11283353664838899</v>
      </c>
      <c r="AG1795">
        <v>-0.24349109999999999</v>
      </c>
      <c r="AH1795">
        <v>0.550469223556596</v>
      </c>
      <c r="AI1795">
        <v>113.428252218767</v>
      </c>
      <c r="AJ1795">
        <v>78.416137776231594</v>
      </c>
      <c r="AK1795">
        <v>0.612401574830434</v>
      </c>
      <c r="AL1795">
        <v>90.092729537946497</v>
      </c>
      <c r="AM1795">
        <v>86.062737597454699</v>
      </c>
      <c r="AN1795">
        <v>0.99999997251496897</v>
      </c>
    </row>
    <row r="1796" spans="1:40" x14ac:dyDescent="0.25">
      <c r="A1796" t="str">
        <f>"20190312154249432"</f>
        <v>20190312154249432</v>
      </c>
      <c r="B1796" t="str">
        <f>"1552376569428812"</f>
        <v>1552376569428812</v>
      </c>
      <c r="C1796" t="s">
        <v>40</v>
      </c>
      <c r="D1796">
        <v>5.2095890000000002</v>
      </c>
      <c r="E1796">
        <v>0.533474</v>
      </c>
      <c r="F1796" t="s">
        <v>41</v>
      </c>
      <c r="G1796">
        <v>-235.1063</v>
      </c>
      <c r="H1796">
        <v>0.86905189999999999</v>
      </c>
      <c r="I1796">
        <v>282.62369999999999</v>
      </c>
      <c r="J1796">
        <v>-234.4939</v>
      </c>
      <c r="K1796">
        <v>1.109796</v>
      </c>
      <c r="L1796">
        <v>282.54590000000002</v>
      </c>
      <c r="M1796">
        <v>-0.99656339999999999</v>
      </c>
      <c r="N1796">
        <v>0</v>
      </c>
      <c r="O1796">
        <v>-8.2331080000000001E-2</v>
      </c>
      <c r="P1796">
        <v>-0.99985749999999995</v>
      </c>
      <c r="Q1796">
        <v>-1.006435E-2</v>
      </c>
      <c r="R1796">
        <v>-1.356898E-2</v>
      </c>
      <c r="S1796">
        <v>-2.9941249999999999</v>
      </c>
      <c r="T1796">
        <v>-0.83834619999999904</v>
      </c>
      <c r="U1796">
        <v>0.1995239</v>
      </c>
      <c r="V1796">
        <v>6.8799739999999998E-2</v>
      </c>
      <c r="W1796">
        <v>-9.7552610000000003E-4</v>
      </c>
      <c r="X1796">
        <v>0.99763000000000002</v>
      </c>
      <c r="Y1796">
        <v>0.1399011</v>
      </c>
      <c r="Z1796">
        <v>4.1786730000000001E-2</v>
      </c>
      <c r="AA1796">
        <v>0.98928340000000003</v>
      </c>
      <c r="AB1796">
        <v>25</v>
      </c>
      <c r="AC1796">
        <v>-0.61240000000000705</v>
      </c>
      <c r="AD1796">
        <v>-0.24074409999999999</v>
      </c>
      <c r="AE1796">
        <v>7.7799999999967895E-2</v>
      </c>
      <c r="AF1796">
        <v>0.11106597756021599</v>
      </c>
      <c r="AG1796">
        <v>-0.24074409999999999</v>
      </c>
      <c r="AH1796">
        <v>0.52419300442883499</v>
      </c>
      <c r="AI1796">
        <v>114.193992992348</v>
      </c>
      <c r="AJ1796">
        <v>78.0370973480169</v>
      </c>
      <c r="AK1796">
        <v>0.587428020227453</v>
      </c>
      <c r="AL1796">
        <v>90.055893537960898</v>
      </c>
      <c r="AM1796">
        <v>86.054946894713595</v>
      </c>
      <c r="AN1796">
        <v>0.999999986387619</v>
      </c>
    </row>
    <row r="1797" spans="1:40" x14ac:dyDescent="0.25">
      <c r="A1797" t="str">
        <f>"20190312154249453"</f>
        <v>20190312154249453</v>
      </c>
      <c r="B1797" t="str">
        <f>"1552376569449308"</f>
        <v>1552376569449308</v>
      </c>
      <c r="C1797" t="s">
        <v>40</v>
      </c>
      <c r="D1797">
        <v>5.243385</v>
      </c>
      <c r="E1797">
        <v>0.53348180000000001</v>
      </c>
      <c r="F1797" t="s">
        <v>41</v>
      </c>
      <c r="G1797">
        <v>-235.33029999999999</v>
      </c>
      <c r="H1797">
        <v>0.87623909999999905</v>
      </c>
      <c r="I1797">
        <v>282.60169999999999</v>
      </c>
      <c r="J1797">
        <v>-234.72399999999999</v>
      </c>
      <c r="K1797">
        <v>1.109783</v>
      </c>
      <c r="L1797">
        <v>282.52699999999999</v>
      </c>
      <c r="M1797">
        <v>-0.99657289999999998</v>
      </c>
      <c r="N1797">
        <v>0</v>
      </c>
      <c r="O1797">
        <v>-8.2228490000000001E-2</v>
      </c>
      <c r="P1797">
        <v>-0.99987389999999998</v>
      </c>
      <c r="Q1797">
        <v>-9.6799820000000002E-3</v>
      </c>
      <c r="R1797">
        <v>-1.258948E-2</v>
      </c>
      <c r="S1797">
        <v>-2.9947050000000002</v>
      </c>
      <c r="T1797">
        <v>-0.83628189999999902</v>
      </c>
      <c r="U1797">
        <v>0.19869999999999999</v>
      </c>
      <c r="V1797">
        <v>6.9674470000000002E-2</v>
      </c>
      <c r="W1797">
        <v>-7.1900359999999995E-4</v>
      </c>
      <c r="X1797">
        <v>0.9975695</v>
      </c>
      <c r="Y1797">
        <v>0.13957600000000001</v>
      </c>
      <c r="Z1797">
        <v>4.1607600000000002E-2</v>
      </c>
      <c r="AA1797">
        <v>0.98933680000000002</v>
      </c>
      <c r="AB1797">
        <v>25</v>
      </c>
      <c r="AC1797">
        <v>-0.60629999999997597</v>
      </c>
      <c r="AD1797">
        <v>-0.2335439</v>
      </c>
      <c r="AE1797">
        <v>7.4700000000007094E-2</v>
      </c>
      <c r="AF1797">
        <v>0.108453016113098</v>
      </c>
      <c r="AG1797">
        <v>-0.2335439</v>
      </c>
      <c r="AH1797">
        <v>0.52183426986536896</v>
      </c>
      <c r="AI1797">
        <v>113.662117489428</v>
      </c>
      <c r="AJ1797">
        <v>78.259332069236507</v>
      </c>
      <c r="AK1797">
        <v>0.58190705025558997</v>
      </c>
      <c r="AL1797">
        <v>90.041195876189093</v>
      </c>
      <c r="AM1797">
        <v>86.004708805792902</v>
      </c>
      <c r="AN1797">
        <v>0.99999997803310303</v>
      </c>
    </row>
    <row r="1798" spans="1:40" x14ac:dyDescent="0.25">
      <c r="A1798" t="str">
        <f>"20190312154249476"</f>
        <v>20190312154249476</v>
      </c>
      <c r="B1798" t="str">
        <f>"1552376569468827"</f>
        <v>1552376569468827</v>
      </c>
      <c r="C1798" t="s">
        <v>40</v>
      </c>
      <c r="D1798">
        <v>5.2290469999999996</v>
      </c>
      <c r="E1798">
        <v>0.53348200000000001</v>
      </c>
      <c r="F1798" t="s">
        <v>41</v>
      </c>
      <c r="G1798">
        <v>-235.55330000000001</v>
      </c>
      <c r="H1798">
        <v>0.87847229999999998</v>
      </c>
      <c r="I1798">
        <v>282.5829</v>
      </c>
      <c r="J1798">
        <v>-234.983</v>
      </c>
      <c r="K1798">
        <v>1.109761</v>
      </c>
      <c r="L1798">
        <v>282.50580000000002</v>
      </c>
      <c r="M1798">
        <v>-0.99658440000000004</v>
      </c>
      <c r="N1798">
        <v>0</v>
      </c>
      <c r="O1798">
        <v>-8.2109059999999998E-2</v>
      </c>
      <c r="P1798">
        <v>-0.99989329999999998</v>
      </c>
      <c r="Q1798">
        <v>-8.8341469999999901E-3</v>
      </c>
      <c r="R1798">
        <v>-1.164689E-2</v>
      </c>
      <c r="S1798">
        <v>-2.994812</v>
      </c>
      <c r="T1798">
        <v>-0.83533670000000004</v>
      </c>
      <c r="U1798">
        <v>0.20117189999999999</v>
      </c>
      <c r="V1798">
        <v>7.0495989999999994E-2</v>
      </c>
      <c r="W1798" s="1">
        <v>-4.4185440000000002E-5</v>
      </c>
      <c r="X1798">
        <v>0.99751199999999995</v>
      </c>
      <c r="Y1798">
        <v>0.140266</v>
      </c>
      <c r="Z1798">
        <v>4.1621659999999998E-2</v>
      </c>
      <c r="AA1798">
        <v>0.98923859999999997</v>
      </c>
      <c r="AB1798">
        <v>25</v>
      </c>
      <c r="AC1798">
        <v>-0.57030000000000303</v>
      </c>
      <c r="AD1798">
        <v>-0.23128870000000001</v>
      </c>
      <c r="AE1798">
        <v>7.7099999999972996E-2</v>
      </c>
      <c r="AF1798">
        <v>0.106470713227931</v>
      </c>
      <c r="AG1798">
        <v>-0.23128870000000001</v>
      </c>
      <c r="AH1798">
        <v>0.48388448857567001</v>
      </c>
      <c r="AI1798">
        <v>115.02394128277599</v>
      </c>
      <c r="AJ1798">
        <v>77.590760218382897</v>
      </c>
      <c r="AK1798">
        <v>0.54678576591485295</v>
      </c>
      <c r="AL1798">
        <v>90.002531639384799</v>
      </c>
      <c r="AM1798">
        <v>85.957524015167195</v>
      </c>
      <c r="AN1798">
        <v>0.99999993835121403</v>
      </c>
    </row>
    <row r="1799" spans="1:40" x14ac:dyDescent="0.25">
      <c r="A1799" t="str">
        <f>"20190312154249510"</f>
        <v>20190312154249510</v>
      </c>
      <c r="B1799" t="str">
        <f>"1552376569499087"</f>
        <v>1552376569499087</v>
      </c>
      <c r="C1799" t="s">
        <v>40</v>
      </c>
      <c r="D1799">
        <v>5.1622940000000002</v>
      </c>
      <c r="E1799">
        <v>0.53346959999999999</v>
      </c>
      <c r="F1799" t="s">
        <v>41</v>
      </c>
      <c r="G1799">
        <v>-235.7799</v>
      </c>
      <c r="H1799">
        <v>0.88824709999999996</v>
      </c>
      <c r="I1799">
        <v>282.56040000000002</v>
      </c>
      <c r="J1799">
        <v>-235.35900000000001</v>
      </c>
      <c r="K1799">
        <v>1.109704</v>
      </c>
      <c r="L1799">
        <v>282.47500000000002</v>
      </c>
      <c r="M1799">
        <v>-0.99660170000000003</v>
      </c>
      <c r="N1799">
        <v>0</v>
      </c>
      <c r="O1799">
        <v>-8.1931870000000004E-2</v>
      </c>
      <c r="P1799">
        <v>-0.99991430000000003</v>
      </c>
      <c r="Q1799">
        <v>-7.8255819999999993E-3</v>
      </c>
      <c r="R1799">
        <v>-1.0512759999999999E-2</v>
      </c>
      <c r="S1799">
        <v>-2.9953460000000001</v>
      </c>
      <c r="T1799">
        <v>-0.83269190000000004</v>
      </c>
      <c r="U1799">
        <v>0.20382690000000001</v>
      </c>
      <c r="V1799">
        <v>7.1450600000000003E-2</v>
      </c>
      <c r="W1799">
        <v>6.4784700000000001E-4</v>
      </c>
      <c r="X1799">
        <v>0.99744390000000005</v>
      </c>
      <c r="Y1799">
        <v>0.14098640000000001</v>
      </c>
      <c r="Z1799">
        <v>4.1536469999999999E-2</v>
      </c>
      <c r="AA1799">
        <v>0.98913980000000001</v>
      </c>
      <c r="AB1799">
        <v>25</v>
      </c>
      <c r="AC1799">
        <v>-0.42089999999998801</v>
      </c>
      <c r="AD1799">
        <v>-0.22145690000000001</v>
      </c>
      <c r="AE1799">
        <v>8.5399999999992801E-2</v>
      </c>
      <c r="AF1799">
        <v>9.4478472099967403E-2</v>
      </c>
      <c r="AG1799">
        <v>-0.22145690000000001</v>
      </c>
      <c r="AH1799">
        <v>0.32584821751015403</v>
      </c>
      <c r="AI1799">
        <v>123.13440637682</v>
      </c>
      <c r="AJ1799">
        <v>73.830681221233107</v>
      </c>
      <c r="AK1799">
        <v>0.405149850182002</v>
      </c>
      <c r="AL1799">
        <v>89.962881097449198</v>
      </c>
      <c r="AM1799">
        <v>85.902689883386003</v>
      </c>
      <c r="AN1799">
        <v>0.99999997079665204</v>
      </c>
    </row>
    <row r="1800" spans="1:40" x14ac:dyDescent="0.25">
      <c r="A1800" t="str">
        <f>"20190312154249532"</f>
        <v>20190312154249532</v>
      </c>
      <c r="B1800" t="str">
        <f>"1552376569529340"</f>
        <v>1552376569529340</v>
      </c>
      <c r="C1800" t="s">
        <v>40</v>
      </c>
      <c r="D1800">
        <v>5.1590800000000003</v>
      </c>
      <c r="E1800">
        <v>0.51931249999999995</v>
      </c>
      <c r="F1800" t="s">
        <v>41</v>
      </c>
      <c r="G1800">
        <v>-236.2225</v>
      </c>
      <c r="H1800">
        <v>0.87092700000000001</v>
      </c>
      <c r="I1800">
        <v>282.53489999999999</v>
      </c>
      <c r="J1800">
        <v>-235.6096</v>
      </c>
      <c r="K1800">
        <v>1.109653</v>
      </c>
      <c r="L1800">
        <v>282.4545</v>
      </c>
      <c r="M1800">
        <v>-0.99661350000000004</v>
      </c>
      <c r="N1800">
        <v>0</v>
      </c>
      <c r="O1800">
        <v>-8.1814070000000003E-2</v>
      </c>
      <c r="P1800">
        <v>-0.99992320000000001</v>
      </c>
      <c r="Q1800">
        <v>-7.7662249999999999E-3</v>
      </c>
      <c r="R1800">
        <v>-9.6766530000000003E-3</v>
      </c>
      <c r="S1800">
        <v>-2.9959410000000002</v>
      </c>
      <c r="T1800">
        <v>-0.82850380000000001</v>
      </c>
      <c r="U1800">
        <v>0.20681759999999999</v>
      </c>
      <c r="V1800">
        <v>7.2166579999999994E-2</v>
      </c>
      <c r="W1800">
        <v>4.4805179999999998E-4</v>
      </c>
      <c r="X1800">
        <v>0.99739250000000002</v>
      </c>
      <c r="Y1800">
        <v>0.14189599999999999</v>
      </c>
      <c r="Z1800">
        <v>4.141748E-2</v>
      </c>
      <c r="AA1800">
        <v>0.98901470000000002</v>
      </c>
      <c r="AB1800">
        <v>25</v>
      </c>
      <c r="AC1800">
        <v>-0.612899999999996</v>
      </c>
      <c r="AD1800">
        <v>-0.23872599999999999</v>
      </c>
      <c r="AE1800">
        <v>8.0399999999997293E-2</v>
      </c>
      <c r="AF1800">
        <v>0.11336770536724999</v>
      </c>
      <c r="AG1800">
        <v>-0.23872599999999999</v>
      </c>
      <c r="AH1800">
        <v>0.52584034176730099</v>
      </c>
      <c r="AI1800">
        <v>113.931303305429</v>
      </c>
      <c r="AJ1800">
        <v>77.833626844178696</v>
      </c>
      <c r="AK1800">
        <v>0.58851542437406601</v>
      </c>
      <c r="AL1800">
        <v>89.9743285221913</v>
      </c>
      <c r="AM1800">
        <v>85.861561669702098</v>
      </c>
      <c r="AN1800">
        <v>1.00000000753778</v>
      </c>
    </row>
    <row r="1801" spans="1:40" x14ac:dyDescent="0.25">
      <c r="A1801" t="str">
        <f>"20190312154249554"</f>
        <v>20190312154249554</v>
      </c>
      <c r="B1801" t="str">
        <f>"1552376569548859"</f>
        <v>1552376569548859</v>
      </c>
      <c r="C1801" t="s">
        <v>40</v>
      </c>
      <c r="D1801">
        <v>5.2049479999999999</v>
      </c>
      <c r="E1801">
        <v>0.51616039999999996</v>
      </c>
      <c r="F1801" t="s">
        <v>41</v>
      </c>
      <c r="G1801">
        <v>-236.49529999999999</v>
      </c>
      <c r="H1801">
        <v>0.9825547</v>
      </c>
      <c r="I1801">
        <v>282.48719999999997</v>
      </c>
      <c r="J1801">
        <v>-235.86250000000001</v>
      </c>
      <c r="K1801">
        <v>1.1096029999999999</v>
      </c>
      <c r="L1801">
        <v>282.43389999999999</v>
      </c>
      <c r="M1801">
        <v>-0.99662550000000005</v>
      </c>
      <c r="N1801">
        <v>0</v>
      </c>
      <c r="O1801">
        <v>-8.1696350000000001E-2</v>
      </c>
      <c r="P1801">
        <v>-0.9999323</v>
      </c>
      <c r="Q1801">
        <v>-7.3999979999999996E-3</v>
      </c>
      <c r="R1801">
        <v>-9.0010449999999992E-3</v>
      </c>
      <c r="S1801">
        <v>-2.9979710000000002</v>
      </c>
      <c r="T1801">
        <v>-0.43024590000000001</v>
      </c>
      <c r="U1801">
        <v>0.1105042</v>
      </c>
      <c r="V1801">
        <v>7.2722620000000002E-2</v>
      </c>
      <c r="W1801">
        <v>5.3149849999999999E-4</v>
      </c>
      <c r="X1801">
        <v>0.99735209999999996</v>
      </c>
      <c r="Y1801">
        <v>0.11632869999999999</v>
      </c>
      <c r="Z1801">
        <v>1.9957699999999998E-2</v>
      </c>
      <c r="AA1801">
        <v>0.99301019999999895</v>
      </c>
      <c r="AB1801">
        <v>25</v>
      </c>
      <c r="AC1801">
        <v>-0.63279999999997405</v>
      </c>
      <c r="AD1801">
        <v>-0.1270483</v>
      </c>
      <c r="AE1801">
        <v>5.3299999999978802E-2</v>
      </c>
      <c r="AF1801">
        <v>0.100786883222641</v>
      </c>
      <c r="AG1801">
        <v>-0.1270483</v>
      </c>
      <c r="AH1801">
        <v>0.60222576599093103</v>
      </c>
      <c r="AI1801">
        <v>101.75387294959199</v>
      </c>
      <c r="AJ1801">
        <v>80.499180737518202</v>
      </c>
      <c r="AK1801">
        <v>0.62367871503362005</v>
      </c>
      <c r="AL1801">
        <v>89.969547378815093</v>
      </c>
      <c r="AM1801">
        <v>85.829618940624599</v>
      </c>
      <c r="AN1801">
        <v>1.00000003666236</v>
      </c>
    </row>
    <row r="1802" spans="1:40" x14ac:dyDescent="0.25">
      <c r="A1802" t="str">
        <f>"20190312154249579"</f>
        <v>20190312154249579</v>
      </c>
      <c r="B1802" t="str">
        <f>"1552376569569356"</f>
        <v>1552376569569356</v>
      </c>
      <c r="C1802" t="s">
        <v>40</v>
      </c>
      <c r="D1802">
        <v>5.2146420000000004</v>
      </c>
      <c r="E1802">
        <v>0.51404799999999995</v>
      </c>
      <c r="F1802" t="s">
        <v>41</v>
      </c>
      <c r="G1802">
        <v>-236.73099999999999</v>
      </c>
      <c r="H1802">
        <v>1.0028619999999999</v>
      </c>
      <c r="I1802">
        <v>282.46010000000001</v>
      </c>
      <c r="J1802">
        <v>-236.1354</v>
      </c>
      <c r="K1802">
        <v>1.1095469999999901</v>
      </c>
      <c r="L1802">
        <v>282.4117</v>
      </c>
      <c r="M1802">
        <v>-0.99663840000000004</v>
      </c>
      <c r="N1802">
        <v>0</v>
      </c>
      <c r="O1802">
        <v>-8.1570379999999998E-2</v>
      </c>
      <c r="P1802">
        <v>-0.99994640000000001</v>
      </c>
      <c r="Q1802">
        <v>-6.6480549999999999E-3</v>
      </c>
      <c r="R1802">
        <v>-7.9463520000000003E-3</v>
      </c>
      <c r="S1802">
        <v>-2.9982760000000002</v>
      </c>
      <c r="T1802">
        <v>-0.36862479999999997</v>
      </c>
      <c r="U1802">
        <v>8.9538569999999998E-2</v>
      </c>
      <c r="V1802">
        <v>7.3648779999999997E-2</v>
      </c>
      <c r="W1802">
        <v>9.5063820000000003E-4</v>
      </c>
      <c r="X1802">
        <v>0.99728380000000005</v>
      </c>
      <c r="Y1802">
        <v>0.1098471</v>
      </c>
      <c r="Z1802">
        <v>1.6709660000000001E-2</v>
      </c>
      <c r="AA1802">
        <v>0.99380800000000002</v>
      </c>
      <c r="AB1802">
        <v>25</v>
      </c>
      <c r="AC1802">
        <v>-0.59559999999999003</v>
      </c>
      <c r="AD1802">
        <v>-0.106684999999999</v>
      </c>
      <c r="AE1802">
        <v>4.8400000000015098E-2</v>
      </c>
      <c r="AF1802">
        <v>9.3832597174749496E-2</v>
      </c>
      <c r="AG1802">
        <v>-0.106684999999999</v>
      </c>
      <c r="AH1802">
        <v>0.57145240599273295</v>
      </c>
      <c r="AI1802">
        <v>100.438221145135</v>
      </c>
      <c r="AJ1802">
        <v>80.675231478930499</v>
      </c>
      <c r="AK1802">
        <v>0.588849809231898</v>
      </c>
      <c r="AL1802">
        <v>89.945532435752597</v>
      </c>
      <c r="AM1802">
        <v>85.776409770274697</v>
      </c>
      <c r="AN1802">
        <v>1.00000001212545</v>
      </c>
    </row>
    <row r="1803" spans="1:40" x14ac:dyDescent="0.25">
      <c r="A1803" t="str">
        <f>"20190312154249601"</f>
        <v>20190312154249601</v>
      </c>
      <c r="B1803" t="str">
        <f>"1552376569588875"</f>
        <v>1552376569588875</v>
      </c>
      <c r="C1803" t="s">
        <v>40</v>
      </c>
      <c r="D1803">
        <v>5.2098409999999999</v>
      </c>
      <c r="E1803">
        <v>0.51291989999999998</v>
      </c>
      <c r="F1803" t="s">
        <v>41</v>
      </c>
      <c r="G1803">
        <v>-236.96350000000001</v>
      </c>
      <c r="H1803">
        <v>1.0141450000000001</v>
      </c>
      <c r="I1803">
        <v>282.43279999999999</v>
      </c>
      <c r="J1803">
        <v>-236.3905</v>
      </c>
      <c r="K1803">
        <v>1.109494</v>
      </c>
      <c r="L1803">
        <v>282.39100000000002</v>
      </c>
      <c r="M1803">
        <v>-0.99665049999999999</v>
      </c>
      <c r="N1803">
        <v>0</v>
      </c>
      <c r="O1803">
        <v>-8.1453639999999994E-2</v>
      </c>
      <c r="P1803">
        <v>-0.99995959999999995</v>
      </c>
      <c r="Q1803">
        <v>-5.5955170000000004E-3</v>
      </c>
      <c r="R1803">
        <v>-7.0602470000000004E-3</v>
      </c>
      <c r="S1803">
        <v>-2.9984739999999999</v>
      </c>
      <c r="T1803">
        <v>-0.34548289999999998</v>
      </c>
      <c r="U1803">
        <v>7.6385499999999995E-2</v>
      </c>
      <c r="V1803">
        <v>7.441623E-2</v>
      </c>
      <c r="W1803">
        <v>1.66970799999999E-3</v>
      </c>
      <c r="X1803">
        <v>0.9972259</v>
      </c>
      <c r="Y1803">
        <v>0.105575</v>
      </c>
      <c r="Z1803">
        <v>1.54086E-2</v>
      </c>
      <c r="AA1803">
        <v>0.99429199999999995</v>
      </c>
      <c r="AB1803">
        <v>25</v>
      </c>
      <c r="AC1803">
        <v>-0.57300000000000695</v>
      </c>
      <c r="AD1803">
        <v>-9.5348999999999906E-2</v>
      </c>
      <c r="AE1803">
        <v>4.1800000000023298E-2</v>
      </c>
      <c r="AF1803">
        <v>8.5967433327384796E-2</v>
      </c>
      <c r="AG1803">
        <v>-9.5348999999999906E-2</v>
      </c>
      <c r="AH1803">
        <v>0.55247401330024204</v>
      </c>
      <c r="AI1803">
        <v>99.6777403073838</v>
      </c>
      <c r="AJ1803">
        <v>81.155448343427693</v>
      </c>
      <c r="AK1803">
        <v>0.56719429366485496</v>
      </c>
      <c r="AL1803">
        <v>89.904332736943203</v>
      </c>
      <c r="AM1803">
        <v>85.732313151805897</v>
      </c>
      <c r="AN1803">
        <v>1.0000000294215099</v>
      </c>
    </row>
    <row r="1804" spans="1:40" x14ac:dyDescent="0.25">
      <c r="A1804" t="str">
        <f>"20190312154249621"</f>
        <v>20190312154249621</v>
      </c>
      <c r="B1804" t="str">
        <f>"1552376569609375"</f>
        <v>1552376569609375</v>
      </c>
      <c r="C1804" t="s">
        <v>40</v>
      </c>
      <c r="D1804">
        <v>5.226172</v>
      </c>
      <c r="E1804">
        <v>0.51226989999999994</v>
      </c>
      <c r="F1804" t="s">
        <v>41</v>
      </c>
      <c r="G1804">
        <v>-237.19569999999999</v>
      </c>
      <c r="H1804">
        <v>1.0213749999999999</v>
      </c>
      <c r="I1804">
        <v>282.41019999999997</v>
      </c>
      <c r="J1804">
        <v>-236.61789999999999</v>
      </c>
      <c r="K1804">
        <v>1.109445</v>
      </c>
      <c r="L1804">
        <v>282.3725</v>
      </c>
      <c r="M1804">
        <v>-0.99666109999999997</v>
      </c>
      <c r="N1804">
        <v>0</v>
      </c>
      <c r="O1804">
        <v>-8.1350389999999995E-2</v>
      </c>
      <c r="P1804">
        <v>-0.9999728</v>
      </c>
      <c r="Q1804">
        <v>-3.9201469999999997E-3</v>
      </c>
      <c r="R1804">
        <v>-6.2789119999999898E-3</v>
      </c>
      <c r="S1804">
        <v>-2.9987789999999999</v>
      </c>
      <c r="T1804">
        <v>-0.32836369999999998</v>
      </c>
      <c r="U1804">
        <v>7.0800779999999994E-2</v>
      </c>
      <c r="V1804">
        <v>7.5092870000000006E-2</v>
      </c>
      <c r="W1804">
        <v>3.0406109999999999E-3</v>
      </c>
      <c r="X1804">
        <v>0.9971719</v>
      </c>
      <c r="Y1804">
        <v>0.1037493</v>
      </c>
      <c r="Z1804">
        <v>1.45375E-2</v>
      </c>
      <c r="AA1804">
        <v>0.99449719999999997</v>
      </c>
      <c r="AB1804">
        <v>26</v>
      </c>
      <c r="AC1804">
        <v>-0.57779999999999598</v>
      </c>
      <c r="AD1804">
        <v>-8.8069999999999996E-2</v>
      </c>
      <c r="AE1804">
        <v>3.7699999999972499E-2</v>
      </c>
      <c r="AF1804">
        <v>8.2667977194475703E-2</v>
      </c>
      <c r="AG1804">
        <v>-8.8069999999999996E-2</v>
      </c>
      <c r="AH1804">
        <v>0.55986575112584402</v>
      </c>
      <c r="AI1804">
        <v>98.845323431989598</v>
      </c>
      <c r="AJ1804">
        <v>81.600581309290305</v>
      </c>
      <c r="AK1804">
        <v>0.572747744331771</v>
      </c>
      <c r="AL1804">
        <v>89.825785552597097</v>
      </c>
      <c r="AM1804">
        <v>85.693421605658898</v>
      </c>
      <c r="AN1804">
        <v>0.99999999129484995</v>
      </c>
    </row>
    <row r="1805" spans="1:40" x14ac:dyDescent="0.25">
      <c r="A1805" t="str">
        <f>"20190312154249644"</f>
        <v>20190312154249644</v>
      </c>
      <c r="B1805" t="str">
        <f>"1552376569639628"</f>
        <v>1552376569639628</v>
      </c>
      <c r="C1805" t="s">
        <v>40</v>
      </c>
      <c r="D1805">
        <v>5.2496400000000003</v>
      </c>
      <c r="E1805">
        <v>0.51182529999999904</v>
      </c>
      <c r="F1805" t="s">
        <v>41</v>
      </c>
      <c r="G1805">
        <v>-237.4272</v>
      </c>
      <c r="H1805">
        <v>1.024284</v>
      </c>
      <c r="I1805">
        <v>282.39100000000002</v>
      </c>
      <c r="J1805">
        <v>-236.88929999999999</v>
      </c>
      <c r="K1805">
        <v>1.109394</v>
      </c>
      <c r="L1805">
        <v>282.35039999999998</v>
      </c>
      <c r="M1805">
        <v>-0.99667349999999999</v>
      </c>
      <c r="N1805">
        <v>0</v>
      </c>
      <c r="O1805">
        <v>-8.1227489999999999E-2</v>
      </c>
      <c r="P1805">
        <v>-0.99998160000000003</v>
      </c>
      <c r="Q1805">
        <v>-2.9424350000000002E-3</v>
      </c>
      <c r="R1805">
        <v>-5.3187620000000003E-3</v>
      </c>
      <c r="S1805">
        <v>-2.9992679999999998</v>
      </c>
      <c r="T1805">
        <v>-0.3157816</v>
      </c>
      <c r="U1805">
        <v>6.7626950000000005E-2</v>
      </c>
      <c r="V1805">
        <v>7.592749E-2</v>
      </c>
      <c r="W1805">
        <v>3.6628799999999999E-3</v>
      </c>
      <c r="X1805">
        <v>0.99710659999999895</v>
      </c>
      <c r="Y1805">
        <v>0.1026606</v>
      </c>
      <c r="Z1805">
        <v>1.3911349999999999E-2</v>
      </c>
      <c r="AA1805">
        <v>0.99461909999999998</v>
      </c>
      <c r="AB1805">
        <v>26</v>
      </c>
      <c r="AC1805">
        <v>-0.53790000000000704</v>
      </c>
      <c r="AD1805">
        <v>-8.5110000000000005E-2</v>
      </c>
      <c r="AE1805">
        <v>4.0599999999983503E-2</v>
      </c>
      <c r="AF1805">
        <v>8.2114912795056297E-2</v>
      </c>
      <c r="AG1805">
        <v>-8.5110000000000005E-2</v>
      </c>
      <c r="AH1805">
        <v>0.51988272129541901</v>
      </c>
      <c r="AI1805">
        <v>99.185520507060403</v>
      </c>
      <c r="AJ1805">
        <v>81.024344625930098</v>
      </c>
      <c r="AK1805">
        <v>0.53316471648531905</v>
      </c>
      <c r="AL1805">
        <v>89.790131962928101</v>
      </c>
      <c r="AM1805">
        <v>85.6454551387382</v>
      </c>
      <c r="AN1805">
        <v>0.99999998609557705</v>
      </c>
    </row>
    <row r="1806" spans="1:40" x14ac:dyDescent="0.25">
      <c r="A1806" t="str">
        <f>"20190312154249665"</f>
        <v>20190312154249665</v>
      </c>
      <c r="B1806" t="str">
        <f>"1552376569659148"</f>
        <v>1552376569659148</v>
      </c>
      <c r="C1806" t="s">
        <v>40</v>
      </c>
      <c r="D1806">
        <v>5.2640500000000001</v>
      </c>
      <c r="E1806">
        <v>0.51145039999999997</v>
      </c>
      <c r="F1806" t="s">
        <v>41</v>
      </c>
      <c r="G1806">
        <v>-237.66149999999999</v>
      </c>
      <c r="H1806">
        <v>1.0309790000000001</v>
      </c>
      <c r="I1806">
        <v>282.36799999999999</v>
      </c>
      <c r="J1806">
        <v>-237.14320000000001</v>
      </c>
      <c r="K1806">
        <v>1.109354</v>
      </c>
      <c r="L1806">
        <v>282.32990000000001</v>
      </c>
      <c r="M1806">
        <v>-0.99668489999999998</v>
      </c>
      <c r="N1806">
        <v>0</v>
      </c>
      <c r="O1806">
        <v>-8.1113340000000006E-2</v>
      </c>
      <c r="P1806">
        <v>-0.99999070000000001</v>
      </c>
      <c r="Q1806">
        <v>-1.3872050000000001E-3</v>
      </c>
      <c r="R1806">
        <v>-4.0915109999999999E-3</v>
      </c>
      <c r="S1806">
        <v>-2.9995120000000002</v>
      </c>
      <c r="T1806">
        <v>-0.30481560000000002</v>
      </c>
      <c r="U1806">
        <v>6.7230219999999993E-2</v>
      </c>
      <c r="V1806">
        <v>7.70372E-2</v>
      </c>
      <c r="W1806">
        <v>4.9059840000000004E-3</v>
      </c>
      <c r="X1806">
        <v>0.99701609999999996</v>
      </c>
      <c r="Y1806">
        <v>0.10248400000000001</v>
      </c>
      <c r="Z1806">
        <v>1.340919E-2</v>
      </c>
      <c r="AA1806">
        <v>0.99464430000000004</v>
      </c>
      <c r="AB1806">
        <v>26</v>
      </c>
      <c r="AC1806">
        <v>-0.518299999999982</v>
      </c>
      <c r="AD1806">
        <v>-7.8375E-2</v>
      </c>
      <c r="AE1806">
        <v>3.8099999999985798E-2</v>
      </c>
      <c r="AF1806">
        <v>7.8236970820809298E-2</v>
      </c>
      <c r="AG1806">
        <v>-7.8375E-2</v>
      </c>
      <c r="AH1806">
        <v>0.50208261089481498</v>
      </c>
      <c r="AI1806">
        <v>98.768119743684096</v>
      </c>
      <c r="AJ1806">
        <v>81.143118559783304</v>
      </c>
      <c r="AK1806">
        <v>0.51415037916077699</v>
      </c>
      <c r="AL1806">
        <v>89.718906681142499</v>
      </c>
      <c r="AM1806">
        <v>85.581662489333993</v>
      </c>
      <c r="AN1806">
        <v>0.99999995126102703</v>
      </c>
    </row>
    <row r="1807" spans="1:40" x14ac:dyDescent="0.25">
      <c r="A1807" t="str">
        <f>"20190312154249689"</f>
        <v>20190312154249689</v>
      </c>
      <c r="B1807" t="str">
        <f>"1552376569678667"</f>
        <v>1552376569678667</v>
      </c>
      <c r="C1807" t="s">
        <v>40</v>
      </c>
      <c r="D1807">
        <v>5.2448639999999997</v>
      </c>
      <c r="E1807">
        <v>0.51111450000000003</v>
      </c>
      <c r="F1807" t="s">
        <v>41</v>
      </c>
      <c r="G1807">
        <v>-237.89580000000001</v>
      </c>
      <c r="H1807">
        <v>1.034894</v>
      </c>
      <c r="I1807">
        <v>282.34710000000001</v>
      </c>
      <c r="J1807">
        <v>-237.4186</v>
      </c>
      <c r="K1807">
        <v>1.1093120000000001</v>
      </c>
      <c r="L1807">
        <v>282.30759999999998</v>
      </c>
      <c r="M1807">
        <v>-0.9966969</v>
      </c>
      <c r="N1807">
        <v>0</v>
      </c>
      <c r="O1807">
        <v>-8.0989710000000006E-2</v>
      </c>
      <c r="P1807">
        <v>-0.99999720000000003</v>
      </c>
      <c r="Q1807">
        <v>-8.4462759999999904E-4</v>
      </c>
      <c r="R1807">
        <v>-2.333379E-3</v>
      </c>
      <c r="S1807">
        <v>-2.9998930000000001</v>
      </c>
      <c r="T1807">
        <v>-0.29694350000000003</v>
      </c>
      <c r="U1807">
        <v>6.8023680000000003E-2</v>
      </c>
      <c r="V1807">
        <v>7.8666680000000003E-2</v>
      </c>
      <c r="W1807">
        <v>5.1410609999999997E-3</v>
      </c>
      <c r="X1807">
        <v>0.99688770000000004</v>
      </c>
      <c r="Y1807">
        <v>0.1026686</v>
      </c>
      <c r="Z1807">
        <v>1.305984E-2</v>
      </c>
      <c r="AA1807">
        <v>0.99462989999999996</v>
      </c>
      <c r="AB1807">
        <v>26</v>
      </c>
      <c r="AC1807">
        <v>-0.47720000000001001</v>
      </c>
      <c r="AD1807">
        <v>-7.4418000000000095E-2</v>
      </c>
      <c r="AE1807">
        <v>3.9500000000032197E-2</v>
      </c>
      <c r="AF1807">
        <v>7.6179185309302094E-2</v>
      </c>
      <c r="AG1807">
        <v>-7.4418000000000095E-2</v>
      </c>
      <c r="AH1807">
        <v>0.461291120047857</v>
      </c>
      <c r="AI1807">
        <v>99.043879633252303</v>
      </c>
      <c r="AJ1807">
        <v>80.622616467192302</v>
      </c>
      <c r="AK1807">
        <v>0.47342454988455701</v>
      </c>
      <c r="AL1807">
        <v>89.705437599517197</v>
      </c>
      <c r="AM1807">
        <v>85.488009588119795</v>
      </c>
      <c r="AN1807">
        <v>0.99999998173085802</v>
      </c>
    </row>
    <row r="1808" spans="1:40" x14ac:dyDescent="0.25">
      <c r="A1808" t="str">
        <f>"20190312154249709"</f>
        <v>20190312154249709</v>
      </c>
      <c r="B1808" t="str">
        <f>"1552376569699167"</f>
        <v>1552376569699167</v>
      </c>
      <c r="C1808" t="s">
        <v>40</v>
      </c>
      <c r="D1808">
        <v>5.2673990000000002</v>
      </c>
      <c r="E1808">
        <v>0.51089569999999995</v>
      </c>
      <c r="F1808" t="s">
        <v>41</v>
      </c>
      <c r="G1808">
        <v>-238.3579</v>
      </c>
      <c r="H1808">
        <v>1.0175240000000001</v>
      </c>
      <c r="I1808">
        <v>282.32979999999998</v>
      </c>
      <c r="J1808">
        <v>-237.66380000000001</v>
      </c>
      <c r="K1808">
        <v>1.1092820000000001</v>
      </c>
      <c r="L1808">
        <v>282.2878</v>
      </c>
      <c r="M1808">
        <v>-0.99670709999999996</v>
      </c>
      <c r="N1808">
        <v>0</v>
      </c>
      <c r="O1808">
        <v>-8.0878930000000002E-2</v>
      </c>
      <c r="P1808">
        <v>-0.99999890000000002</v>
      </c>
      <c r="Q1808">
        <v>3.5063359999999998E-4</v>
      </c>
      <c r="R1808">
        <v>-1.3946290000000001E-3</v>
      </c>
      <c r="S1808">
        <v>-2.9999389999999999</v>
      </c>
      <c r="T1808">
        <v>-0.2931802</v>
      </c>
      <c r="U1808">
        <v>7.0556640000000004E-2</v>
      </c>
      <c r="V1808">
        <v>7.9491610000000004E-2</v>
      </c>
      <c r="W1808">
        <v>6.0942419999999997E-3</v>
      </c>
      <c r="X1808">
        <v>0.99681690000000001</v>
      </c>
      <c r="Y1808">
        <v>0.10341640000000001</v>
      </c>
      <c r="Z1808">
        <v>1.292053E-2</v>
      </c>
      <c r="AA1808">
        <v>0.99455420000000005</v>
      </c>
      <c r="AB1808">
        <v>26</v>
      </c>
      <c r="AC1808">
        <v>-0.69409999999999095</v>
      </c>
      <c r="AD1808">
        <v>-9.1758000000000006E-2</v>
      </c>
      <c r="AE1808">
        <v>4.1999999999973101E-2</v>
      </c>
      <c r="AF1808">
        <v>9.6324180695565198E-2</v>
      </c>
      <c r="AG1808">
        <v>-9.1758000000000006E-2</v>
      </c>
      <c r="AH1808">
        <v>0.67664704132184805</v>
      </c>
      <c r="AI1808">
        <v>97.646431684334502</v>
      </c>
      <c r="AJ1808">
        <v>81.898087315824796</v>
      </c>
      <c r="AK1808">
        <v>0.68960067929221402</v>
      </c>
      <c r="AL1808">
        <v>89.650823490555695</v>
      </c>
      <c r="AM1808">
        <v>85.440571054567698</v>
      </c>
      <c r="AN1808">
        <v>0.99999999398577799</v>
      </c>
    </row>
    <row r="1809" spans="1:40" x14ac:dyDescent="0.25">
      <c r="A1809" t="str">
        <f>"20190312154249733"</f>
        <v>20190312154249733</v>
      </c>
      <c r="B1809" t="str">
        <f>"1552376569718684"</f>
        <v>1552376569718684</v>
      </c>
      <c r="C1809" t="s">
        <v>40</v>
      </c>
      <c r="D1809">
        <v>5.2609769999999996</v>
      </c>
      <c r="E1809">
        <v>0.51057419999999998</v>
      </c>
      <c r="F1809" t="s">
        <v>41</v>
      </c>
      <c r="G1809">
        <v>-238.59530000000001</v>
      </c>
      <c r="H1809">
        <v>1.0198430000000001</v>
      </c>
      <c r="I1809">
        <v>282.31040000000002</v>
      </c>
      <c r="J1809">
        <v>-237.93260000000001</v>
      </c>
      <c r="K1809">
        <v>1.109259</v>
      </c>
      <c r="L1809">
        <v>282.26609999999999</v>
      </c>
      <c r="M1809">
        <v>-0.99671829999999995</v>
      </c>
      <c r="N1809">
        <v>0</v>
      </c>
      <c r="O1809">
        <v>-8.0757339999999997E-2</v>
      </c>
      <c r="P1809">
        <v>-0.99999919999999998</v>
      </c>
      <c r="Q1809">
        <v>9.903907999999999E-4</v>
      </c>
      <c r="R1809">
        <v>-8.3629009999999998E-4</v>
      </c>
      <c r="S1809">
        <v>-3.000229</v>
      </c>
      <c r="T1809">
        <v>-0.2882671</v>
      </c>
      <c r="U1809">
        <v>7.1807860000000001E-2</v>
      </c>
      <c r="V1809">
        <v>7.9926579999999997E-2</v>
      </c>
      <c r="W1809">
        <v>6.5014549999999997E-3</v>
      </c>
      <c r="X1809">
        <v>0.99677959999999999</v>
      </c>
      <c r="Y1809">
        <v>0.1037356</v>
      </c>
      <c r="Z1809">
        <v>1.2707410000000001E-2</v>
      </c>
      <c r="AA1809">
        <v>0.99452370000000001</v>
      </c>
      <c r="AB1809">
        <v>26</v>
      </c>
      <c r="AC1809">
        <v>-0.66270000000000095</v>
      </c>
      <c r="AD1809">
        <v>-8.9415999999999898E-2</v>
      </c>
      <c r="AE1809">
        <v>4.43000000000211E-2</v>
      </c>
      <c r="AF1809">
        <v>9.5935262971540605E-2</v>
      </c>
      <c r="AG1809">
        <v>-8.9415999999999898E-2</v>
      </c>
      <c r="AH1809">
        <v>0.64526290227749294</v>
      </c>
      <c r="AI1809">
        <v>97.804690090499804</v>
      </c>
      <c r="AJ1809">
        <v>81.543425563601005</v>
      </c>
      <c r="AK1809">
        <v>0.65845501652959704</v>
      </c>
      <c r="AL1809">
        <v>89.6274914617875</v>
      </c>
      <c r="AM1809">
        <v>85.415557561424606</v>
      </c>
      <c r="AN1809">
        <v>1.0000000490418799</v>
      </c>
    </row>
    <row r="1810" spans="1:40" x14ac:dyDescent="0.25">
      <c r="A1810" t="str">
        <f>"20190312154249755"</f>
        <v>20190312154249755</v>
      </c>
      <c r="B1810" t="str">
        <f>"1552376569748939"</f>
        <v>1552376569748939</v>
      </c>
      <c r="C1810" t="s">
        <v>40</v>
      </c>
      <c r="D1810">
        <v>5.2017139999999999</v>
      </c>
      <c r="E1810">
        <v>0.51043749999999999</v>
      </c>
      <c r="F1810" t="s">
        <v>41</v>
      </c>
      <c r="G1810">
        <v>-238.83420000000001</v>
      </c>
      <c r="H1810">
        <v>1.0237560000000001</v>
      </c>
      <c r="I1810">
        <v>282.28739999999999</v>
      </c>
      <c r="J1810">
        <v>-238.19880000000001</v>
      </c>
      <c r="K1810">
        <v>1.10924</v>
      </c>
      <c r="L1810">
        <v>282.24470000000002</v>
      </c>
      <c r="M1810">
        <v>-0.99672959999999999</v>
      </c>
      <c r="N1810">
        <v>0</v>
      </c>
      <c r="O1810">
        <v>-8.0633949999999996E-2</v>
      </c>
      <c r="P1810">
        <v>-0.99999899999999997</v>
      </c>
      <c r="Q1810">
        <v>1.2784599999999999E-3</v>
      </c>
      <c r="R1810">
        <v>-6.4357569999999998E-4</v>
      </c>
      <c r="S1810">
        <v>-3.0003510000000002</v>
      </c>
      <c r="T1810">
        <v>-0.28464499999999998</v>
      </c>
      <c r="U1810">
        <v>7.0190429999999998E-2</v>
      </c>
      <c r="V1810">
        <v>7.9995159999999996E-2</v>
      </c>
      <c r="W1810">
        <v>6.5901429999999997E-3</v>
      </c>
      <c r="X1810">
        <v>0.99677349999999998</v>
      </c>
      <c r="Y1810">
        <v>0.1031002</v>
      </c>
      <c r="Z1810">
        <v>1.250625E-2</v>
      </c>
      <c r="AA1810">
        <v>0.99459240000000004</v>
      </c>
      <c r="AB1810">
        <v>27</v>
      </c>
      <c r="AC1810">
        <v>-0.63540000000000396</v>
      </c>
      <c r="AD1810">
        <v>-8.5484000000000102E-2</v>
      </c>
      <c r="AE1810">
        <v>4.2699999999967903E-2</v>
      </c>
      <c r="AF1810">
        <v>9.2136334117929694E-2</v>
      </c>
      <c r="AG1810">
        <v>-8.5484000000000102E-2</v>
      </c>
      <c r="AH1810">
        <v>0.61873907887232504</v>
      </c>
      <c r="AI1810">
        <v>97.781365481613406</v>
      </c>
      <c r="AJ1810">
        <v>81.530331527467396</v>
      </c>
      <c r="AK1810">
        <v>0.63137521811080299</v>
      </c>
      <c r="AL1810">
        <v>89.622409899000303</v>
      </c>
      <c r="AM1810">
        <v>85.411612767535104</v>
      </c>
      <c r="AN1810">
        <v>1.0000000329552099</v>
      </c>
    </row>
    <row r="1811" spans="1:40" x14ac:dyDescent="0.25">
      <c r="A1811" t="str">
        <f>"20190312154249780"</f>
        <v>20190312154249780</v>
      </c>
      <c r="B1811" t="str">
        <f>"1552376569769436"</f>
        <v>1552376569769436</v>
      </c>
      <c r="C1811" t="s">
        <v>40</v>
      </c>
      <c r="D1811">
        <v>5.2029199999999998</v>
      </c>
      <c r="E1811">
        <v>0.4915639</v>
      </c>
      <c r="F1811" t="s">
        <v>41</v>
      </c>
      <c r="G1811">
        <v>-239.07409999999999</v>
      </c>
      <c r="H1811">
        <v>1.026967</v>
      </c>
      <c r="I1811">
        <v>282.26530000000002</v>
      </c>
      <c r="J1811">
        <v>-238.48400000000001</v>
      </c>
      <c r="K1811">
        <v>1.1092120000000001</v>
      </c>
      <c r="L1811">
        <v>282.2217</v>
      </c>
      <c r="M1811">
        <v>-0.99674169999999995</v>
      </c>
      <c r="N1811">
        <v>0</v>
      </c>
      <c r="O1811">
        <v>-8.0494739999999995E-2</v>
      </c>
      <c r="P1811">
        <v>-0.99999950000000004</v>
      </c>
      <c r="Q1811">
        <v>7.8287530000000004E-4</v>
      </c>
      <c r="R1811">
        <v>-8.6694119999999896E-4</v>
      </c>
      <c r="S1811">
        <v>-3.0004119999999999</v>
      </c>
      <c r="T1811">
        <v>-0.28217890000000001</v>
      </c>
      <c r="U1811">
        <v>6.9732669999999997E-2</v>
      </c>
      <c r="V1811">
        <v>7.963336E-2</v>
      </c>
      <c r="W1811">
        <v>5.9101869999999999E-3</v>
      </c>
      <c r="X1811">
        <v>0.99680670000000005</v>
      </c>
      <c r="Y1811">
        <v>0.1028251</v>
      </c>
      <c r="Z1811">
        <v>1.237219E-2</v>
      </c>
      <c r="AA1811">
        <v>0.99462249999999996</v>
      </c>
      <c r="AB1811">
        <v>27</v>
      </c>
      <c r="AC1811">
        <v>-0.59009999999997798</v>
      </c>
      <c r="AD1811">
        <v>-8.2245000000000096E-2</v>
      </c>
      <c r="AE1811">
        <v>4.3600000000026201E-2</v>
      </c>
      <c r="AF1811">
        <v>8.92350861028222E-2</v>
      </c>
      <c r="AG1811">
        <v>-8.2245000000000096E-2</v>
      </c>
      <c r="AH1811">
        <v>0.57359374169598198</v>
      </c>
      <c r="AI1811">
        <v>98.064061228220595</v>
      </c>
      <c r="AJ1811">
        <v>81.157269355510195</v>
      </c>
      <c r="AK1811">
        <v>0.58629081617365897</v>
      </c>
      <c r="AL1811">
        <v>89.661369257249902</v>
      </c>
      <c r="AM1811">
        <v>85.432428480190097</v>
      </c>
      <c r="AN1811">
        <v>0.99999999975007703</v>
      </c>
    </row>
    <row r="1812" spans="1:40" x14ac:dyDescent="0.25">
      <c r="A1812" t="str">
        <f>"20190312154249801"</f>
        <v>20190312154249801</v>
      </c>
      <c r="B1812" t="str">
        <f>"1552376569788955"</f>
        <v>1552376569788955</v>
      </c>
      <c r="C1812" t="s">
        <v>40</v>
      </c>
      <c r="D1812">
        <v>5.2017800000000003</v>
      </c>
      <c r="E1812">
        <v>0.48949500000000001</v>
      </c>
      <c r="F1812" t="s">
        <v>50</v>
      </c>
      <c r="G1812">
        <v>-257.0301</v>
      </c>
      <c r="H1812" s="1">
        <v>2.2042840000000002E-6</v>
      </c>
      <c r="I1812">
        <v>281.7441</v>
      </c>
      <c r="J1812">
        <v>-238.75040000000001</v>
      </c>
      <c r="K1812">
        <v>1.109189</v>
      </c>
      <c r="L1812">
        <v>282.2004</v>
      </c>
      <c r="M1812">
        <v>-0.99675400000000003</v>
      </c>
      <c r="N1812">
        <v>0</v>
      </c>
      <c r="O1812">
        <v>-8.0352149999999997E-2</v>
      </c>
      <c r="P1812">
        <v>-0.99999919999999998</v>
      </c>
      <c r="Q1812">
        <v>3.386792E-4</v>
      </c>
      <c r="R1812">
        <v>-1.24585E-3</v>
      </c>
      <c r="S1812">
        <v>-3.000092</v>
      </c>
      <c r="T1812">
        <v>-0.1794299</v>
      </c>
      <c r="U1812">
        <v>-7.7270510000000001E-2</v>
      </c>
      <c r="V1812">
        <v>7.9112719999999997E-2</v>
      </c>
      <c r="W1812">
        <v>5.3174889999999999E-3</v>
      </c>
      <c r="X1812">
        <v>0.9968515</v>
      </c>
      <c r="Y1812">
        <v>5.4421949999999997E-2</v>
      </c>
      <c r="Z1812">
        <v>6.4212749999999997E-3</v>
      </c>
      <c r="AA1812">
        <v>0.99849739999999998</v>
      </c>
      <c r="AB1812">
        <v>27</v>
      </c>
      <c r="AC1812">
        <v>-18.279699999999899</v>
      </c>
      <c r="AD1812">
        <v>-1.109186795716</v>
      </c>
      <c r="AE1812">
        <v>-0.45629999999999798</v>
      </c>
      <c r="AF1812">
        <v>1.0102895565830301</v>
      </c>
      <c r="AG1812">
        <v>-1.109186795716</v>
      </c>
      <c r="AH1812">
        <v>18.190323822272902</v>
      </c>
      <c r="AI1812">
        <v>93.484033713694899</v>
      </c>
      <c r="AJ1812">
        <v>86.821061635840394</v>
      </c>
      <c r="AK1812">
        <v>18.252091964897598</v>
      </c>
      <c r="AL1812">
        <v>89.695328888590893</v>
      </c>
      <c r="AM1812">
        <v>85.462369051558994</v>
      </c>
      <c r="AN1812">
        <v>1.00000000560365</v>
      </c>
    </row>
    <row r="1813" spans="1:40" x14ac:dyDescent="0.25">
      <c r="A1813" t="str">
        <f>"20190312154249823"</f>
        <v>20190312154249823</v>
      </c>
      <c r="B1813" t="str">
        <f>"1552376569809455"</f>
        <v>1552376569809455</v>
      </c>
      <c r="C1813" t="s">
        <v>40</v>
      </c>
      <c r="D1813">
        <v>5.1651749999999996</v>
      </c>
      <c r="E1813">
        <v>0.48886619999999997</v>
      </c>
      <c r="F1813" t="s">
        <v>50</v>
      </c>
      <c r="G1813">
        <v>-258.42700000000002</v>
      </c>
      <c r="H1813" s="1">
        <v>2.947655E-6</v>
      </c>
      <c r="I1813">
        <v>281.58089999999999</v>
      </c>
      <c r="J1813">
        <v>-239.00550000000001</v>
      </c>
      <c r="K1813">
        <v>1.1091690000000001</v>
      </c>
      <c r="L1813">
        <v>282.18</v>
      </c>
      <c r="M1813">
        <v>-0.99676710000000002</v>
      </c>
      <c r="N1813">
        <v>0</v>
      </c>
      <c r="O1813">
        <v>-8.019685E-2</v>
      </c>
      <c r="P1813">
        <v>-0.99999819999999995</v>
      </c>
      <c r="Q1813">
        <v>1.827702E-4</v>
      </c>
      <c r="R1813">
        <v>-1.912717E-3</v>
      </c>
      <c r="S1813">
        <v>-2.9999389999999999</v>
      </c>
      <c r="T1813">
        <v>-0.16910849999999999</v>
      </c>
      <c r="U1813">
        <v>-9.4451900000000005E-2</v>
      </c>
      <c r="V1813">
        <v>7.8292810000000004E-2</v>
      </c>
      <c r="W1813">
        <v>5.0394960000000001E-3</v>
      </c>
      <c r="X1813">
        <v>0.99691770000000002</v>
      </c>
      <c r="Y1813">
        <v>4.8586530000000003E-2</v>
      </c>
      <c r="Z1813">
        <v>5.8790350000000003E-3</v>
      </c>
      <c r="AA1813">
        <v>0.99880159999999996</v>
      </c>
      <c r="AB1813">
        <v>27</v>
      </c>
      <c r="AC1813">
        <v>-19.421500000000002</v>
      </c>
      <c r="AD1813">
        <v>-1.109166052345</v>
      </c>
      <c r="AE1813">
        <v>-0.59910000000002095</v>
      </c>
      <c r="AF1813">
        <v>0.95727213952489898</v>
      </c>
      <c r="AG1813">
        <v>-1.109166052345</v>
      </c>
      <c r="AH1813">
        <v>19.3439574188995</v>
      </c>
      <c r="AI1813">
        <v>93.277695632057402</v>
      </c>
      <c r="AJ1813">
        <v>87.166921698292398</v>
      </c>
      <c r="AK1813">
        <v>19.3993635953601</v>
      </c>
      <c r="AL1813">
        <v>89.711256934974202</v>
      </c>
      <c r="AM1813">
        <v>85.509499867279501</v>
      </c>
      <c r="AN1813">
        <v>1.00000003059545</v>
      </c>
    </row>
    <row r="1814" spans="1:40" x14ac:dyDescent="0.25">
      <c r="A1814" t="str">
        <f>"20190312154249843"</f>
        <v>20190312154249843</v>
      </c>
      <c r="B1814" t="str">
        <f>"1552376569828975"</f>
        <v>1552376569828975</v>
      </c>
      <c r="C1814" t="s">
        <v>40</v>
      </c>
      <c r="D1814">
        <v>5.1328019999999999</v>
      </c>
      <c r="E1814">
        <v>0.48876409999999998</v>
      </c>
      <c r="F1814" t="s">
        <v>50</v>
      </c>
      <c r="G1814">
        <v>-259.15429999999998</v>
      </c>
      <c r="H1814" s="1">
        <v>3.3346639999999999E-6</v>
      </c>
      <c r="I1814">
        <v>281.49869999999999</v>
      </c>
      <c r="J1814">
        <v>-239.25989999999999</v>
      </c>
      <c r="K1814">
        <v>1.1091470000000001</v>
      </c>
      <c r="L1814">
        <v>282.15969999999999</v>
      </c>
      <c r="M1814">
        <v>-0.9967821</v>
      </c>
      <c r="N1814">
        <v>0</v>
      </c>
      <c r="O1814">
        <v>-8.0017489999999997E-2</v>
      </c>
      <c r="P1814">
        <v>-0.9999979</v>
      </c>
      <c r="Q1814">
        <v>2.1711359999999999E-4</v>
      </c>
      <c r="R1814">
        <v>-2.0692319999999998E-3</v>
      </c>
      <c r="S1814">
        <v>-2.9998779999999998</v>
      </c>
      <c r="T1814">
        <v>-0.1651396</v>
      </c>
      <c r="U1814">
        <v>-0.1014404</v>
      </c>
      <c r="V1814">
        <v>7.7957319999999997E-2</v>
      </c>
      <c r="W1814">
        <v>4.9689249999999999E-3</v>
      </c>
      <c r="X1814">
        <v>0.99694430000000001</v>
      </c>
      <c r="Y1814">
        <v>4.6095129999999998E-2</v>
      </c>
      <c r="Z1814">
        <v>5.6627229999999997E-3</v>
      </c>
      <c r="AA1814">
        <v>0.99892099999999995</v>
      </c>
      <c r="AB1814">
        <v>27</v>
      </c>
      <c r="AC1814">
        <v>-19.894399999999901</v>
      </c>
      <c r="AD1814">
        <v>-1.1091436653359901</v>
      </c>
      <c r="AE1814">
        <v>-0.66100000000000103</v>
      </c>
      <c r="AF1814">
        <v>0.93014961402851204</v>
      </c>
      <c r="AG1814">
        <v>-1.1091436653359901</v>
      </c>
      <c r="AH1814">
        <v>19.821955152403401</v>
      </c>
      <c r="AI1814">
        <v>93.199150472775898</v>
      </c>
      <c r="AJ1814">
        <v>87.313353739640704</v>
      </c>
      <c r="AK1814">
        <v>19.874739848328101</v>
      </c>
      <c r="AL1814">
        <v>89.715300393134399</v>
      </c>
      <c r="AM1814">
        <v>85.528782586382306</v>
      </c>
      <c r="AN1814">
        <v>0.99999998562986303</v>
      </c>
    </row>
    <row r="1815" spans="1:40" x14ac:dyDescent="0.25">
      <c r="A1815" t="str">
        <f>"20190312154249867"</f>
        <v>20190312154249867</v>
      </c>
      <c r="B1815" t="str">
        <f>"1552376569859227"</f>
        <v>1552376569859227</v>
      </c>
      <c r="C1815" t="s">
        <v>40</v>
      </c>
      <c r="D1815">
        <v>5.0816549999999996</v>
      </c>
      <c r="E1815">
        <v>0.48849749999999997</v>
      </c>
      <c r="F1815" t="s">
        <v>50</v>
      </c>
      <c r="G1815">
        <v>-259.78370000000001</v>
      </c>
      <c r="H1815" s="1">
        <v>3.669616E-6</v>
      </c>
      <c r="I1815">
        <v>281.4572</v>
      </c>
      <c r="J1815">
        <v>-239.54470000000001</v>
      </c>
      <c r="K1815">
        <v>1.109108</v>
      </c>
      <c r="L1815">
        <v>282.13709999999998</v>
      </c>
      <c r="M1815">
        <v>-0.9968013</v>
      </c>
      <c r="N1815">
        <v>0</v>
      </c>
      <c r="O1815">
        <v>-7.9782800000000001E-2</v>
      </c>
      <c r="P1815">
        <v>-0.99999610000000005</v>
      </c>
      <c r="Q1815" s="1">
        <v>5.8537350000000003E-5</v>
      </c>
      <c r="R1815">
        <v>-2.8100920000000001E-3</v>
      </c>
      <c r="S1815">
        <v>-2.9998320000000001</v>
      </c>
      <c r="T1815">
        <v>-0.16211589999999901</v>
      </c>
      <c r="U1815">
        <v>-0.1026917</v>
      </c>
      <c r="V1815">
        <v>7.6984259999999999E-2</v>
      </c>
      <c r="W1815">
        <v>4.712389E-3</v>
      </c>
      <c r="X1815">
        <v>0.99702120000000005</v>
      </c>
      <c r="Y1815">
        <v>4.5451390000000001E-2</v>
      </c>
      <c r="Z1815">
        <v>5.5292120000000004E-3</v>
      </c>
      <c r="AA1815">
        <v>0.99895129999999999</v>
      </c>
      <c r="AB1815">
        <v>27</v>
      </c>
      <c r="AC1815">
        <v>-20.239000000000001</v>
      </c>
      <c r="AD1815">
        <v>-1.109104330384</v>
      </c>
      <c r="AE1815">
        <v>-0.67989999999997497</v>
      </c>
      <c r="AF1815">
        <v>0.934206799104221</v>
      </c>
      <c r="AG1815">
        <v>-1.109104330384</v>
      </c>
      <c r="AH1815">
        <v>20.168228568859998</v>
      </c>
      <c r="AI1815">
        <v>93.144311584973593</v>
      </c>
      <c r="AJ1815">
        <v>87.347914132480597</v>
      </c>
      <c r="AK1815">
        <v>20.220294220533699</v>
      </c>
      <c r="AL1815">
        <v>89.729999007148606</v>
      </c>
      <c r="AM1815">
        <v>85.584709258503096</v>
      </c>
      <c r="AN1815">
        <v>1.0000000280736301</v>
      </c>
    </row>
    <row r="1816" spans="1:40" x14ac:dyDescent="0.25">
      <c r="A1816" t="str">
        <f>"20190312154249890"</f>
        <v>20190312154249890</v>
      </c>
      <c r="B1816" t="str">
        <f>"1552376569878747"</f>
        <v>1552376569878747</v>
      </c>
      <c r="C1816" t="s">
        <v>40</v>
      </c>
      <c r="D1816">
        <v>5.0516730000000001</v>
      </c>
      <c r="E1816">
        <v>0.48843300000000001</v>
      </c>
      <c r="F1816" t="s">
        <v>50</v>
      </c>
      <c r="G1816">
        <v>-260.38749999999999</v>
      </c>
      <c r="H1816" s="1">
        <v>-1.330599E-6</v>
      </c>
      <c r="I1816">
        <v>281.39389999999997</v>
      </c>
      <c r="J1816">
        <v>-239.82929999999999</v>
      </c>
      <c r="K1816">
        <v>1.1090690000000001</v>
      </c>
      <c r="L1816">
        <v>282.1146</v>
      </c>
      <c r="M1816">
        <v>-0.9968243</v>
      </c>
      <c r="N1816">
        <v>0</v>
      </c>
      <c r="O1816">
        <v>-7.9499609999999998E-2</v>
      </c>
      <c r="P1816">
        <v>-0.99999420000000006</v>
      </c>
      <c r="Q1816">
        <v>-9.2565449999999999E-4</v>
      </c>
      <c r="R1816">
        <v>-3.3014699999999999E-3</v>
      </c>
      <c r="S1816">
        <v>-2.9997410000000002</v>
      </c>
      <c r="T1816">
        <v>-0.1596253</v>
      </c>
      <c r="U1816">
        <v>-0.10696410000000001</v>
      </c>
      <c r="V1816">
        <v>7.6210799999999995E-2</v>
      </c>
      <c r="W1816">
        <v>3.6485749999999998E-3</v>
      </c>
      <c r="X1816">
        <v>0.997085</v>
      </c>
      <c r="Y1816">
        <v>4.3753750000000001E-2</v>
      </c>
      <c r="Z1816">
        <v>5.3842259999999998E-3</v>
      </c>
      <c r="AA1816">
        <v>0.99902780000000002</v>
      </c>
      <c r="AB1816">
        <v>27</v>
      </c>
      <c r="AC1816">
        <v>-20.558199999999999</v>
      </c>
      <c r="AD1816">
        <v>-1.109070330599</v>
      </c>
      <c r="AE1816">
        <v>-0.72070000000002199</v>
      </c>
      <c r="AF1816">
        <v>0.91331247183240205</v>
      </c>
      <c r="AG1816">
        <v>-1.109070330599</v>
      </c>
      <c r="AH1816">
        <v>20.490863013578</v>
      </c>
      <c r="AI1816">
        <v>93.0950508508257</v>
      </c>
      <c r="AJ1816">
        <v>87.447919183864499</v>
      </c>
      <c r="AK1816">
        <v>20.541169482545001</v>
      </c>
      <c r="AL1816">
        <v>89.790951576511702</v>
      </c>
      <c r="AM1816">
        <v>85.629175452585898</v>
      </c>
      <c r="AN1816">
        <v>0.99999994768058398</v>
      </c>
    </row>
    <row r="1817" spans="1:40" x14ac:dyDescent="0.25">
      <c r="A1817" t="str">
        <f>"20190312154249910"</f>
        <v>20190312154249910</v>
      </c>
      <c r="B1817" t="str">
        <f>"1552376569899247"</f>
        <v>1552376569899247</v>
      </c>
      <c r="C1817" t="s">
        <v>40</v>
      </c>
      <c r="D1817">
        <v>4.9967550000000003</v>
      </c>
      <c r="E1817">
        <v>0.4883362</v>
      </c>
      <c r="F1817" t="s">
        <v>41</v>
      </c>
      <c r="G1817">
        <v>-240.79669999999999</v>
      </c>
      <c r="H1817">
        <v>1.057477</v>
      </c>
      <c r="I1817">
        <v>282.07940000000002</v>
      </c>
      <c r="J1817">
        <v>-240.09299999999999</v>
      </c>
      <c r="K1817">
        <v>1.109022</v>
      </c>
      <c r="L1817">
        <v>282.09390000000002</v>
      </c>
      <c r="M1817">
        <v>-0.99684950000000005</v>
      </c>
      <c r="N1817">
        <v>0</v>
      </c>
      <c r="O1817">
        <v>-7.918712E-2</v>
      </c>
      <c r="P1817">
        <v>-0.99999380000000004</v>
      </c>
      <c r="Q1817">
        <v>-1.42017799999999E-3</v>
      </c>
      <c r="R1817">
        <v>-3.2721120000000002E-3</v>
      </c>
      <c r="S1817">
        <v>-2.9995120000000002</v>
      </c>
      <c r="T1817">
        <v>-0.15998209999999999</v>
      </c>
      <c r="U1817">
        <v>-0.1089783</v>
      </c>
      <c r="V1817">
        <v>7.5927629999999996E-2</v>
      </c>
      <c r="W1817">
        <v>3.0940170000000001E-3</v>
      </c>
      <c r="X1817">
        <v>0.99710849999999995</v>
      </c>
      <c r="Y1817">
        <v>4.2768880000000002E-2</v>
      </c>
      <c r="Z1817">
        <v>5.3537250000000002E-3</v>
      </c>
      <c r="AA1817">
        <v>0.99907060000000003</v>
      </c>
      <c r="AB1817">
        <v>28</v>
      </c>
      <c r="AC1817">
        <v>-0.70369999999999699</v>
      </c>
      <c r="AD1817">
        <v>-5.1544999999999903E-2</v>
      </c>
      <c r="AE1817">
        <v>-1.4499999999998099E-2</v>
      </c>
      <c r="AF1817">
        <v>4.1049927367543898E-2</v>
      </c>
      <c r="AG1817">
        <v>-5.1544999999999903E-2</v>
      </c>
      <c r="AH1817">
        <v>0.69889020096404098</v>
      </c>
      <c r="AI1817">
        <v>94.210847181669706</v>
      </c>
      <c r="AJ1817">
        <v>86.638544281493196</v>
      </c>
      <c r="AK1817">
        <v>0.70198966984239697</v>
      </c>
      <c r="AL1817">
        <v>89.822725595885402</v>
      </c>
      <c r="AM1817">
        <v>85.645455406158305</v>
      </c>
      <c r="AN1817">
        <v>0.99999996935543101</v>
      </c>
    </row>
    <row r="1818" spans="1:40" x14ac:dyDescent="0.25">
      <c r="A1818" t="str">
        <f>"20190312154249933"</f>
        <v>20190312154249933</v>
      </c>
      <c r="B1818" t="str">
        <f>"1552376569918763"</f>
        <v>1552376569918763</v>
      </c>
      <c r="C1818" t="s">
        <v>40</v>
      </c>
      <c r="D1818">
        <v>4.9802439999999999</v>
      </c>
      <c r="E1818">
        <v>0.48833929999999998</v>
      </c>
      <c r="F1818" t="s">
        <v>50</v>
      </c>
      <c r="G1818">
        <v>-261.02179999999998</v>
      </c>
      <c r="H1818" s="1">
        <v>-9.9305909999999994E-7</v>
      </c>
      <c r="I1818">
        <v>281.3288</v>
      </c>
      <c r="J1818">
        <v>-240.36160000000001</v>
      </c>
      <c r="K1818">
        <v>1.1089819999999999</v>
      </c>
      <c r="L1818">
        <v>282.0729</v>
      </c>
      <c r="M1818">
        <v>-0.99687820000000005</v>
      </c>
      <c r="N1818">
        <v>0</v>
      </c>
      <c r="O1818">
        <v>-7.8824599999999995E-2</v>
      </c>
      <c r="P1818">
        <v>-0.99999689999999997</v>
      </c>
      <c r="Q1818">
        <v>-1.4842080000000001E-3</v>
      </c>
      <c r="R1818">
        <v>-2.0695240000000001E-3</v>
      </c>
      <c r="S1818">
        <v>-2.9994350000000001</v>
      </c>
      <c r="T1818">
        <v>-0.15894129999999901</v>
      </c>
      <c r="U1818">
        <v>-0.1096497</v>
      </c>
      <c r="V1818">
        <v>7.6764109999999997E-2</v>
      </c>
      <c r="W1818">
        <v>2.9810069999999999E-3</v>
      </c>
      <c r="X1818">
        <v>0.99704479999999995</v>
      </c>
      <c r="Y1818">
        <v>4.2184840000000001E-2</v>
      </c>
      <c r="Z1818">
        <v>5.2844569999999898E-3</v>
      </c>
      <c r="AA1818">
        <v>0.99909590000000004</v>
      </c>
      <c r="AB1818">
        <v>28</v>
      </c>
      <c r="AC1818">
        <v>-20.6601999999999</v>
      </c>
      <c r="AD1818">
        <v>-1.1089829930591</v>
      </c>
      <c r="AE1818">
        <v>-0.74410000000000298</v>
      </c>
      <c r="AF1818">
        <v>0.88421968172573195</v>
      </c>
      <c r="AG1818">
        <v>-1.1089829930591</v>
      </c>
      <c r="AH1818">
        <v>20.5953051431839</v>
      </c>
      <c r="AI1818">
        <v>93.079363517729504</v>
      </c>
      <c r="AJ1818">
        <v>87.541625998398302</v>
      </c>
      <c r="AK1818">
        <v>20.644085876233401</v>
      </c>
      <c r="AL1818">
        <v>89.829200622810802</v>
      </c>
      <c r="AM1818">
        <v>85.597389644594202</v>
      </c>
      <c r="AN1818">
        <v>0.99999997409693198</v>
      </c>
    </row>
    <row r="1819" spans="1:40" x14ac:dyDescent="0.25">
      <c r="A1819" t="str">
        <f>"20190312154249955"</f>
        <v>20190312154249955</v>
      </c>
      <c r="B1819" t="str">
        <f>"1552376569949020"</f>
        <v>1552376569949020</v>
      </c>
      <c r="C1819" t="s">
        <v>40</v>
      </c>
      <c r="D1819">
        <v>4.9577179999999998</v>
      </c>
      <c r="E1819">
        <v>0.4884946</v>
      </c>
      <c r="F1819" t="s">
        <v>50</v>
      </c>
      <c r="G1819">
        <v>-261.5369</v>
      </c>
      <c r="H1819" s="1">
        <v>-7.1890859999999997E-7</v>
      </c>
      <c r="I1819">
        <v>281.3245</v>
      </c>
      <c r="J1819">
        <v>-240.6481</v>
      </c>
      <c r="K1819">
        <v>1.10893</v>
      </c>
      <c r="L1819">
        <v>282.05070000000001</v>
      </c>
      <c r="M1819">
        <v>-0.99691359999999996</v>
      </c>
      <c r="N1819">
        <v>0</v>
      </c>
      <c r="O1819">
        <v>-7.8379939999999995E-2</v>
      </c>
      <c r="P1819">
        <v>-0.99999959999999999</v>
      </c>
      <c r="Q1819">
        <v>-9.4422699999999996E-4</v>
      </c>
      <c r="R1819">
        <v>-5.1336920000000002E-4</v>
      </c>
      <c r="S1819">
        <v>-2.9995569999999998</v>
      </c>
      <c r="T1819">
        <v>-0.15709100000000001</v>
      </c>
      <c r="U1819">
        <v>-0.1060181</v>
      </c>
      <c r="V1819">
        <v>7.7871720000000005E-2</v>
      </c>
      <c r="W1819">
        <v>3.480253E-3</v>
      </c>
      <c r="X1819">
        <v>0.99695730000000005</v>
      </c>
      <c r="Y1819">
        <v>4.295218E-2</v>
      </c>
      <c r="Z1819">
        <v>5.219853E-3</v>
      </c>
      <c r="AA1819">
        <v>0.99906349999999999</v>
      </c>
      <c r="AB1819">
        <v>28</v>
      </c>
      <c r="AC1819">
        <v>-20.8888</v>
      </c>
      <c r="AD1819">
        <v>-1.1089307189086</v>
      </c>
      <c r="AE1819">
        <v>-0.72620000000000495</v>
      </c>
      <c r="AF1819">
        <v>0.91074966761985399</v>
      </c>
      <c r="AG1819">
        <v>-1.1089307189086</v>
      </c>
      <c r="AH1819">
        <v>20.822842215901101</v>
      </c>
      <c r="AI1819">
        <v>93.045529011289503</v>
      </c>
      <c r="AJ1819">
        <v>87.495592834041801</v>
      </c>
      <c r="AK1819">
        <v>20.872229163285901</v>
      </c>
      <c r="AL1819">
        <v>89.800595786428303</v>
      </c>
      <c r="AM1819">
        <v>85.533730275683794</v>
      </c>
      <c r="AN1819">
        <v>0.99999998747999597</v>
      </c>
    </row>
    <row r="1820" spans="1:40" x14ac:dyDescent="0.25">
      <c r="A1820" t="str">
        <f>"20190312154249980"</f>
        <v>20190312154249980</v>
      </c>
      <c r="B1820" t="str">
        <f>"1552376569969516"</f>
        <v>1552376569969516</v>
      </c>
      <c r="C1820" t="s">
        <v>40</v>
      </c>
      <c r="D1820">
        <v>4.949287</v>
      </c>
      <c r="E1820">
        <v>0.4885736</v>
      </c>
      <c r="F1820" t="s">
        <v>50</v>
      </c>
      <c r="G1820">
        <v>-262.48200000000003</v>
      </c>
      <c r="H1820" s="1">
        <v>-2.1597989999999999E-7</v>
      </c>
      <c r="I1820">
        <v>281.32389999999998</v>
      </c>
      <c r="J1820">
        <v>-240.9504</v>
      </c>
      <c r="K1820">
        <v>1.1088769999999999</v>
      </c>
      <c r="L1820">
        <v>282.02749999999997</v>
      </c>
      <c r="M1820">
        <v>-0.99695650000000002</v>
      </c>
      <c r="N1820">
        <v>0</v>
      </c>
      <c r="O1820">
        <v>-7.7831070000000002E-2</v>
      </c>
      <c r="P1820">
        <v>-0.99999979999999999</v>
      </c>
      <c r="Q1820">
        <v>-5.0836619999999996E-4</v>
      </c>
      <c r="R1820">
        <v>5.9745550000000005E-4</v>
      </c>
      <c r="S1820">
        <v>-2.9998019999999999</v>
      </c>
      <c r="T1820">
        <v>-0.1523581</v>
      </c>
      <c r="U1820">
        <v>-9.9853520000000001E-2</v>
      </c>
      <c r="V1820">
        <v>7.8431290000000001E-2</v>
      </c>
      <c r="W1820">
        <v>3.8841309999999999E-3</v>
      </c>
      <c r="X1820">
        <v>0.99691189999999996</v>
      </c>
      <c r="Y1820">
        <v>4.4464209999999997E-2</v>
      </c>
      <c r="Z1820">
        <v>5.0732310000000001E-3</v>
      </c>
      <c r="AA1820">
        <v>0.9989981</v>
      </c>
      <c r="AB1820">
        <v>28</v>
      </c>
      <c r="AC1820">
        <v>-21.531600000000001</v>
      </c>
      <c r="AD1820">
        <v>-1.1088772159798901</v>
      </c>
      <c r="AE1820">
        <v>-0.70359999999999401</v>
      </c>
      <c r="AF1820">
        <v>0.97180393050413805</v>
      </c>
      <c r="AG1820">
        <v>-1.1088772159798901</v>
      </c>
      <c r="AH1820">
        <v>21.464178766478</v>
      </c>
      <c r="AI1820">
        <v>92.954350456730694</v>
      </c>
      <c r="AJ1820">
        <v>87.407668605322101</v>
      </c>
      <c r="AK1820">
        <v>21.514761947992501</v>
      </c>
      <c r="AL1820">
        <v>89.777455114821606</v>
      </c>
      <c r="AM1820">
        <v>85.501563824913504</v>
      </c>
      <c r="AN1820">
        <v>0.99999994504314804</v>
      </c>
    </row>
    <row r="1821" spans="1:40" x14ac:dyDescent="0.25">
      <c r="A1821" t="str">
        <f>"20190312154250002"</f>
        <v>20190312154250002</v>
      </c>
      <c r="B1821" t="str">
        <f>"1552376569989037"</f>
        <v>1552376569989037</v>
      </c>
      <c r="C1821" t="s">
        <v>40</v>
      </c>
      <c r="D1821">
        <v>4.9596780000000003</v>
      </c>
      <c r="E1821">
        <v>0.48859200000000003</v>
      </c>
      <c r="F1821" t="s">
        <v>50</v>
      </c>
      <c r="G1821">
        <v>-263.13709999999998</v>
      </c>
      <c r="H1821" s="1">
        <v>1.3264160000000001E-7</v>
      </c>
      <c r="I1821">
        <v>281.31970000000001</v>
      </c>
      <c r="J1821">
        <v>-241.23439999999999</v>
      </c>
      <c r="K1821">
        <v>1.1088100000000001</v>
      </c>
      <c r="L1821">
        <v>282.0059</v>
      </c>
      <c r="M1821">
        <v>-0.99700390000000005</v>
      </c>
      <c r="N1821">
        <v>0</v>
      </c>
      <c r="O1821">
        <v>-7.7223550000000002E-2</v>
      </c>
      <c r="P1821">
        <v>-0.99999950000000004</v>
      </c>
      <c r="Q1821" s="1">
        <v>-1.5171240000000001E-5</v>
      </c>
      <c r="R1821">
        <v>1.126E-3</v>
      </c>
      <c r="S1821">
        <v>-3</v>
      </c>
      <c r="T1821">
        <v>-0.1499376</v>
      </c>
      <c r="U1821">
        <v>-9.5703129999999997E-2</v>
      </c>
      <c r="V1821">
        <v>7.8351740000000003E-2</v>
      </c>
      <c r="W1821">
        <v>4.3547660000000004E-3</v>
      </c>
      <c r="X1821">
        <v>0.99691629999999998</v>
      </c>
      <c r="Y1821">
        <v>4.5242980000000002E-2</v>
      </c>
      <c r="Z1821">
        <v>4.9817660000000003E-3</v>
      </c>
      <c r="AA1821">
        <v>0.99896359999999995</v>
      </c>
      <c r="AB1821">
        <v>28</v>
      </c>
      <c r="AC1821">
        <v>-21.9026999999999</v>
      </c>
      <c r="AD1821">
        <v>-1.1088098673583999</v>
      </c>
      <c r="AE1821">
        <v>-0.68619999999998504</v>
      </c>
      <c r="AF1821">
        <v>1.0046977784237201</v>
      </c>
      <c r="AG1821">
        <v>-1.1088098673583999</v>
      </c>
      <c r="AH1821">
        <v>21.834381436663602</v>
      </c>
      <c r="AI1821">
        <v>92.904072177401503</v>
      </c>
      <c r="AJ1821">
        <v>87.365422691350005</v>
      </c>
      <c r="AK1821">
        <v>21.885590914335399</v>
      </c>
      <c r="AL1821">
        <v>89.750489507337207</v>
      </c>
      <c r="AM1821">
        <v>85.506127479424194</v>
      </c>
      <c r="AN1821">
        <v>1.00000003417681</v>
      </c>
    </row>
    <row r="1822" spans="1:40" x14ac:dyDescent="0.25">
      <c r="A1822" t="str">
        <f>"20190312154250022"</f>
        <v>20190312154250022</v>
      </c>
      <c r="B1822" t="str">
        <f>"1552376570009532"</f>
        <v>1552376570009532</v>
      </c>
      <c r="C1822" t="s">
        <v>40</v>
      </c>
      <c r="D1822">
        <v>4.9623860000000004</v>
      </c>
      <c r="E1822">
        <v>0.48857729999999999</v>
      </c>
      <c r="F1822" t="s">
        <v>50</v>
      </c>
      <c r="G1822">
        <v>-263.85419999999999</v>
      </c>
      <c r="H1822" s="1">
        <v>5.1421779999999997E-7</v>
      </c>
      <c r="I1822">
        <v>281.29860000000002</v>
      </c>
      <c r="J1822">
        <v>-241.48679999999999</v>
      </c>
      <c r="K1822">
        <v>1.108733</v>
      </c>
      <c r="L1822">
        <v>281.98689999999999</v>
      </c>
      <c r="M1822">
        <v>-0.99705279999999996</v>
      </c>
      <c r="N1822">
        <v>0</v>
      </c>
      <c r="O1822">
        <v>-7.6589080000000004E-2</v>
      </c>
      <c r="P1822">
        <v>-0.99999910000000003</v>
      </c>
      <c r="Q1822" s="1">
        <v>5.9733169999999902E-5</v>
      </c>
      <c r="R1822">
        <v>1.4994559999999999E-3</v>
      </c>
      <c r="S1822">
        <v>-3.0001220000000002</v>
      </c>
      <c r="T1822">
        <v>-0.1470641</v>
      </c>
      <c r="U1822">
        <v>-9.3811039999999998E-2</v>
      </c>
      <c r="V1822">
        <v>7.8090660000000006E-2</v>
      </c>
      <c r="W1822">
        <v>4.4143699999999999E-3</v>
      </c>
      <c r="X1822">
        <v>0.9969365</v>
      </c>
      <c r="Y1822">
        <v>4.5244510000000002E-2</v>
      </c>
      <c r="Z1822">
        <v>4.8553299999999997E-3</v>
      </c>
      <c r="AA1822">
        <v>0.99896410000000002</v>
      </c>
      <c r="AB1822">
        <v>28</v>
      </c>
      <c r="AC1822">
        <v>-22.3674</v>
      </c>
      <c r="AD1822">
        <v>-1.1087324857821901</v>
      </c>
      <c r="AE1822">
        <v>-0.68829999999996905</v>
      </c>
      <c r="AF1822">
        <v>1.0243228443968899</v>
      </c>
      <c r="AG1822">
        <v>-1.1087324857821901</v>
      </c>
      <c r="AH1822">
        <v>22.2996760120093</v>
      </c>
      <c r="AI1822">
        <v>92.843389983794196</v>
      </c>
      <c r="AJ1822">
        <v>87.369999889211101</v>
      </c>
      <c r="AK1822">
        <v>22.350706370384898</v>
      </c>
      <c r="AL1822">
        <v>89.747074411233001</v>
      </c>
      <c r="AM1822">
        <v>85.521131103404798</v>
      </c>
      <c r="AN1822">
        <v>1.00000001143699</v>
      </c>
    </row>
    <row r="1823" spans="1:40" x14ac:dyDescent="0.25">
      <c r="A1823" t="str">
        <f>"20190312154250046"</f>
        <v>20190312154250046</v>
      </c>
      <c r="B1823" t="str">
        <f>"1552376570038811"</f>
        <v>1552376570038811</v>
      </c>
      <c r="C1823" t="s">
        <v>40</v>
      </c>
      <c r="D1823">
        <v>4.8929720000000003</v>
      </c>
      <c r="E1823">
        <v>0.48852499999999999</v>
      </c>
      <c r="F1823" t="s">
        <v>50</v>
      </c>
      <c r="G1823">
        <v>-264.36189999999999</v>
      </c>
      <c r="H1823" s="1">
        <v>7.8439349999999999E-7</v>
      </c>
      <c r="I1823">
        <v>281.27890000000002</v>
      </c>
      <c r="J1823">
        <v>-241.7885</v>
      </c>
      <c r="K1823">
        <v>1.1086180000000001</v>
      </c>
      <c r="L1823">
        <v>281.96460000000002</v>
      </c>
      <c r="M1823">
        <v>-0.99712029999999996</v>
      </c>
      <c r="N1823">
        <v>0</v>
      </c>
      <c r="O1823">
        <v>-7.5706460000000003E-2</v>
      </c>
      <c r="P1823">
        <v>-0.99999819999999995</v>
      </c>
      <c r="Q1823">
        <v>-1.5675840000000001E-4</v>
      </c>
      <c r="R1823">
        <v>1.9730279999999999E-3</v>
      </c>
      <c r="S1823">
        <v>-3.0001679999999999</v>
      </c>
      <c r="T1823">
        <v>-0.145415299999999</v>
      </c>
      <c r="U1823">
        <v>-9.2864989999999994E-2</v>
      </c>
      <c r="V1823">
        <v>7.7680739999999998E-2</v>
      </c>
      <c r="W1823">
        <v>4.1850129999999996E-3</v>
      </c>
      <c r="X1823">
        <v>0.99696949999999995</v>
      </c>
      <c r="Y1823">
        <v>4.4680320000000003E-2</v>
      </c>
      <c r="Z1823">
        <v>4.7446320000000004E-3</v>
      </c>
      <c r="AA1823">
        <v>0.99899009999999999</v>
      </c>
      <c r="AB1823">
        <v>28</v>
      </c>
      <c r="AC1823">
        <v>-22.5733999999999</v>
      </c>
      <c r="AD1823">
        <v>-1.1086172156065</v>
      </c>
      <c r="AE1823">
        <v>-0.68569999999999698</v>
      </c>
      <c r="AF1823">
        <v>1.0227722749421999</v>
      </c>
      <c r="AG1823">
        <v>-1.1086172156065</v>
      </c>
      <c r="AH1823">
        <v>22.506294699810699</v>
      </c>
      <c r="AI1823">
        <v>92.817099014312802</v>
      </c>
      <c r="AJ1823">
        <v>87.398050368746496</v>
      </c>
      <c r="AK1823">
        <v>22.556781604915599</v>
      </c>
      <c r="AL1823">
        <v>89.760215717421602</v>
      </c>
      <c r="AM1823">
        <v>85.544693925003401</v>
      </c>
      <c r="AN1823">
        <v>0.99999999781550297</v>
      </c>
    </row>
    <row r="1824" spans="1:40" x14ac:dyDescent="0.25">
      <c r="A1824" t="str">
        <f>"20190312154250068"</f>
        <v>20190312154250068</v>
      </c>
      <c r="B1824" t="str">
        <f>"1552376570059311"</f>
        <v>1552376570059311</v>
      </c>
      <c r="C1824" t="s">
        <v>40</v>
      </c>
      <c r="D1824">
        <v>4.9393690000000001</v>
      </c>
      <c r="E1824">
        <v>0.48846499999999998</v>
      </c>
      <c r="F1824" t="s">
        <v>50</v>
      </c>
      <c r="G1824">
        <v>-264.88670000000002</v>
      </c>
      <c r="H1824" s="1">
        <v>1.0636470000000001E-6</v>
      </c>
      <c r="I1824">
        <v>281.25740000000002</v>
      </c>
      <c r="J1824">
        <v>-242.07089999999999</v>
      </c>
      <c r="K1824">
        <v>1.1085039999999999</v>
      </c>
      <c r="L1824">
        <v>281.94409999999999</v>
      </c>
      <c r="M1824">
        <v>-0.99719290000000005</v>
      </c>
      <c r="N1824">
        <v>0</v>
      </c>
      <c r="O1824">
        <v>-7.4742199999999995E-2</v>
      </c>
      <c r="P1824">
        <v>-0.99999610000000005</v>
      </c>
      <c r="Q1824">
        <v>-5.4934989999999996E-4</v>
      </c>
      <c r="R1824">
        <v>2.8046569999999999E-3</v>
      </c>
      <c r="S1824">
        <v>-3.0001679999999999</v>
      </c>
      <c r="T1824">
        <v>-0.14399579999999901</v>
      </c>
      <c r="U1824">
        <v>-9.1857910000000001E-2</v>
      </c>
      <c r="V1824">
        <v>7.7546399999999904E-2</v>
      </c>
      <c r="W1824">
        <v>3.783996E-3</v>
      </c>
      <c r="X1824">
        <v>0.99698160000000002</v>
      </c>
      <c r="Y1824">
        <v>4.405386E-2</v>
      </c>
      <c r="Z1824">
        <v>4.6372649999999998E-3</v>
      </c>
      <c r="AA1824">
        <v>0.99901839999999997</v>
      </c>
      <c r="AB1824">
        <v>28</v>
      </c>
      <c r="AC1824">
        <v>-22.815799999999999</v>
      </c>
      <c r="AD1824">
        <v>-1.1085029363529999</v>
      </c>
      <c r="AE1824">
        <v>-0.686699999999973</v>
      </c>
      <c r="AF1824">
        <v>1.0181397545506099</v>
      </c>
      <c r="AG1824">
        <v>-1.1085029363529999</v>
      </c>
      <c r="AH1824">
        <v>22.749654654101899</v>
      </c>
      <c r="AI1824">
        <v>92.786810957815007</v>
      </c>
      <c r="AJ1824">
        <v>87.437490303908504</v>
      </c>
      <c r="AK1824">
        <v>22.799389776934799</v>
      </c>
      <c r="AL1824">
        <v>89.783192490075393</v>
      </c>
      <c r="AM1824">
        <v>85.552421691091695</v>
      </c>
      <c r="AN1824">
        <v>1.0000000367586199</v>
      </c>
    </row>
    <row r="1825" spans="1:40" x14ac:dyDescent="0.25">
      <c r="A1825" t="str">
        <f>"20190312154250091"</f>
        <v>20190312154250091</v>
      </c>
      <c r="B1825" t="str">
        <f>"1552376570078832"</f>
        <v>1552376570078832</v>
      </c>
      <c r="C1825" t="s">
        <v>40</v>
      </c>
      <c r="D1825">
        <v>4.9099279999999998</v>
      </c>
      <c r="E1825">
        <v>0.48845149999999998</v>
      </c>
      <c r="F1825" t="s">
        <v>50</v>
      </c>
      <c r="G1825">
        <v>-265.07929999999999</v>
      </c>
      <c r="H1825" s="1">
        <v>1.166178E-6</v>
      </c>
      <c r="I1825">
        <v>281.25459999999998</v>
      </c>
      <c r="J1825">
        <v>-242.36420000000001</v>
      </c>
      <c r="K1825">
        <v>1.108382</v>
      </c>
      <c r="L1825">
        <v>281.92329999999998</v>
      </c>
      <c r="M1825">
        <v>-0.99727920000000003</v>
      </c>
      <c r="N1825">
        <v>0</v>
      </c>
      <c r="O1825">
        <v>-7.3580779999999998E-2</v>
      </c>
      <c r="P1825">
        <v>-0.99999079999999996</v>
      </c>
      <c r="Q1825">
        <v>-9.1874410000000002E-4</v>
      </c>
      <c r="R1825">
        <v>4.2022609999999997E-3</v>
      </c>
      <c r="S1825">
        <v>-3.0001829999999998</v>
      </c>
      <c r="T1825">
        <v>-0.14454310000000001</v>
      </c>
      <c r="U1825">
        <v>-8.9904789999999998E-2</v>
      </c>
      <c r="V1825">
        <v>7.7778860000000005E-2</v>
      </c>
      <c r="W1825">
        <v>3.410635E-3</v>
      </c>
      <c r="X1825">
        <v>0.99696479999999998</v>
      </c>
      <c r="Y1825">
        <v>4.3541169999999997E-2</v>
      </c>
      <c r="Z1825">
        <v>4.5868100000000002E-3</v>
      </c>
      <c r="AA1825">
        <v>0.99904110000000002</v>
      </c>
      <c r="AB1825">
        <v>29</v>
      </c>
      <c r="AC1825">
        <v>-22.7150999999999</v>
      </c>
      <c r="AD1825">
        <v>-1.108380833822</v>
      </c>
      <c r="AE1825">
        <v>-0.66870000000000096</v>
      </c>
      <c r="AF1825">
        <v>1.0021402819345</v>
      </c>
      <c r="AG1825">
        <v>-1.108380833822</v>
      </c>
      <c r="AH1825">
        <v>22.648849112095998</v>
      </c>
      <c r="AI1825">
        <v>92.798949925493702</v>
      </c>
      <c r="AJ1825">
        <v>87.466494594963805</v>
      </c>
      <c r="AK1825">
        <v>22.698087129094201</v>
      </c>
      <c r="AL1825">
        <v>89.804584629782397</v>
      </c>
      <c r="AM1825">
        <v>85.539068099490706</v>
      </c>
      <c r="AN1825">
        <v>0.99999999796652095</v>
      </c>
    </row>
    <row r="1826" spans="1:40" x14ac:dyDescent="0.25">
      <c r="A1826" t="str">
        <f>"20190312154250112"</f>
        <v>20190312154250112</v>
      </c>
      <c r="B1826" t="str">
        <f>"1552376570099324"</f>
        <v>1552376570099324</v>
      </c>
      <c r="C1826" t="s">
        <v>40</v>
      </c>
      <c r="D1826">
        <v>4.9385519999999996</v>
      </c>
      <c r="E1826">
        <v>0.48841119999999999</v>
      </c>
      <c r="F1826" t="s">
        <v>50</v>
      </c>
      <c r="G1826">
        <v>-265.37740000000002</v>
      </c>
      <c r="H1826" s="1">
        <v>1.324822E-6</v>
      </c>
      <c r="I1826">
        <v>281.26479999999998</v>
      </c>
      <c r="J1826">
        <v>-242.64009999999999</v>
      </c>
      <c r="K1826">
        <v>1.108276</v>
      </c>
      <c r="L1826">
        <v>281.90410000000003</v>
      </c>
      <c r="M1826">
        <v>-0.99736729999999996</v>
      </c>
      <c r="N1826">
        <v>0</v>
      </c>
      <c r="O1826">
        <v>-7.237557E-2</v>
      </c>
      <c r="P1826">
        <v>-0.99997979999999997</v>
      </c>
      <c r="Q1826">
        <v>-1.8202610000000001E-3</v>
      </c>
      <c r="R1826">
        <v>6.124244E-3</v>
      </c>
      <c r="S1826">
        <v>-3.0002749999999998</v>
      </c>
      <c r="T1826">
        <v>-0.14450170000000001</v>
      </c>
      <c r="U1826">
        <v>-8.5845950000000004E-2</v>
      </c>
      <c r="V1826">
        <v>7.8489180000000006E-2</v>
      </c>
      <c r="W1826">
        <v>2.5094169999999999E-3</v>
      </c>
      <c r="X1826">
        <v>0.99691180000000001</v>
      </c>
      <c r="Y1826">
        <v>4.3686469999999998E-2</v>
      </c>
      <c r="Z1826">
        <v>4.5311350000000004E-3</v>
      </c>
      <c r="AA1826">
        <v>0.99903500000000001</v>
      </c>
      <c r="AB1826">
        <v>29</v>
      </c>
      <c r="AC1826">
        <v>-22.737300000000001</v>
      </c>
      <c r="AD1826">
        <v>-1.1082746751779999</v>
      </c>
      <c r="AE1826">
        <v>-0.63930000000004805</v>
      </c>
      <c r="AF1826">
        <v>1.0056310067656899</v>
      </c>
      <c r="AG1826">
        <v>-1.1082746751779999</v>
      </c>
      <c r="AH1826">
        <v>22.670121229500001</v>
      </c>
      <c r="AI1826">
        <v>92.796046465983494</v>
      </c>
      <c r="AJ1826">
        <v>87.4600636865421</v>
      </c>
      <c r="AK1826">
        <v>22.719462208371802</v>
      </c>
      <c r="AL1826">
        <v>89.856220844920699</v>
      </c>
      <c r="AM1826">
        <v>85.498256730065705</v>
      </c>
      <c r="AN1826">
        <v>0.99999999276499596</v>
      </c>
    </row>
    <row r="1827" spans="1:40" x14ac:dyDescent="0.25">
      <c r="A1827" t="str">
        <f>"20190312154250134"</f>
        <v>20190312154250134</v>
      </c>
      <c r="B1827" t="str">
        <f>"1552376570129580"</f>
        <v>1552376570129580</v>
      </c>
      <c r="C1827" t="s">
        <v>40</v>
      </c>
      <c r="D1827">
        <v>4.9092669999999998</v>
      </c>
      <c r="E1827">
        <v>0.48836800000000002</v>
      </c>
      <c r="F1827" t="s">
        <v>50</v>
      </c>
      <c r="G1827">
        <v>-265.327</v>
      </c>
      <c r="H1827" s="1">
        <v>1.297972E-6</v>
      </c>
      <c r="I1827">
        <v>281.29649999999998</v>
      </c>
      <c r="J1827">
        <v>-242.92930000000001</v>
      </c>
      <c r="K1827">
        <v>1.1081669999999999</v>
      </c>
      <c r="L1827">
        <v>281.88459999999998</v>
      </c>
      <c r="M1827">
        <v>-0.99746670000000004</v>
      </c>
      <c r="N1827">
        <v>0</v>
      </c>
      <c r="O1827">
        <v>-7.0990259999999999E-2</v>
      </c>
      <c r="P1827">
        <v>-0.99995730000000005</v>
      </c>
      <c r="Q1827">
        <v>-3.1367019999999999E-3</v>
      </c>
      <c r="R1827">
        <v>8.7190700000000006E-3</v>
      </c>
      <c r="S1827">
        <v>-3.000305</v>
      </c>
      <c r="T1827">
        <v>-0.14656749999999999</v>
      </c>
      <c r="U1827">
        <v>-8.0352779999999999E-2</v>
      </c>
      <c r="V1827">
        <v>7.968836E-2</v>
      </c>
      <c r="W1827">
        <v>1.195733E-3</v>
      </c>
      <c r="X1827">
        <v>0.99681909999999896</v>
      </c>
      <c r="Y1827">
        <v>4.4124160000000003E-2</v>
      </c>
      <c r="Z1827">
        <v>4.5391880000000004E-3</v>
      </c>
      <c r="AA1827">
        <v>0.99901569999999995</v>
      </c>
      <c r="AB1827">
        <v>29</v>
      </c>
      <c r="AC1827">
        <v>-22.397699999999901</v>
      </c>
      <c r="AD1827">
        <v>-1.10816570202799</v>
      </c>
      <c r="AE1827">
        <v>-0.58809999999999696</v>
      </c>
      <c r="AF1827">
        <v>1.00097006143925</v>
      </c>
      <c r="AG1827">
        <v>-1.10816570202799</v>
      </c>
      <c r="AH1827">
        <v>22.328318484569198</v>
      </c>
      <c r="AI1827">
        <v>92.838440976847096</v>
      </c>
      <c r="AJ1827">
        <v>87.433170497803303</v>
      </c>
      <c r="AK1827">
        <v>22.378198735273699</v>
      </c>
      <c r="AL1827">
        <v>89.931489528754298</v>
      </c>
      <c r="AM1827">
        <v>85.429343796078797</v>
      </c>
      <c r="AN1827">
        <v>0.99999999131085304</v>
      </c>
    </row>
    <row r="1828" spans="1:40" x14ac:dyDescent="0.25">
      <c r="A1828" t="str">
        <f>"20190312154250157"</f>
        <v>20190312154250157</v>
      </c>
      <c r="B1828" t="str">
        <f>"1552376570149103"</f>
        <v>1552376570149103</v>
      </c>
      <c r="C1828" t="s">
        <v>40</v>
      </c>
      <c r="D1828">
        <v>4.8980980000000001</v>
      </c>
      <c r="E1828">
        <v>0.48835149999999999</v>
      </c>
      <c r="F1828" t="s">
        <v>50</v>
      </c>
      <c r="G1828">
        <v>-265.03739999999999</v>
      </c>
      <c r="H1828" s="1">
        <v>1.1438890000000001E-6</v>
      </c>
      <c r="I1828">
        <v>281.34780000000001</v>
      </c>
      <c r="J1828">
        <v>-243.2278</v>
      </c>
      <c r="K1828">
        <v>1.108053</v>
      </c>
      <c r="L1828">
        <v>281.86489999999998</v>
      </c>
      <c r="M1828">
        <v>-0.99757669999999998</v>
      </c>
      <c r="N1828">
        <v>0</v>
      </c>
      <c r="O1828">
        <v>-6.9424860000000005E-2</v>
      </c>
      <c r="P1828">
        <v>-0.99992309999999995</v>
      </c>
      <c r="Q1828">
        <v>-4.1388830000000003E-3</v>
      </c>
      <c r="R1828">
        <v>1.1702860000000001E-2</v>
      </c>
      <c r="S1828">
        <v>-3.0002900000000001</v>
      </c>
      <c r="T1828">
        <v>-0.15038879999999999</v>
      </c>
      <c r="U1828">
        <v>-7.2845460000000001E-2</v>
      </c>
      <c r="V1828">
        <v>8.1095890000000004E-2</v>
      </c>
      <c r="W1828">
        <v>1.9961990000000001E-4</v>
      </c>
      <c r="X1828">
        <v>0.99670630000000005</v>
      </c>
      <c r="Y1828">
        <v>4.5047919999999998E-2</v>
      </c>
      <c r="Z1828">
        <v>4.6025479999999997E-3</v>
      </c>
      <c r="AA1828">
        <v>0.99897420000000003</v>
      </c>
      <c r="AB1828">
        <v>29</v>
      </c>
      <c r="AC1828">
        <v>-21.8095999999999</v>
      </c>
      <c r="AD1828">
        <v>-1.108051856111</v>
      </c>
      <c r="AE1828">
        <v>-0.51709999999997003</v>
      </c>
      <c r="AF1828">
        <v>0.99572322030858795</v>
      </c>
      <c r="AG1828">
        <v>-1.108051856111</v>
      </c>
      <c r="AH1828">
        <v>21.736800398926999</v>
      </c>
      <c r="AI1828">
        <v>92.915123447148403</v>
      </c>
      <c r="AJ1828">
        <v>87.377218250919896</v>
      </c>
      <c r="AK1828">
        <v>21.787788672329398</v>
      </c>
      <c r="AL1828">
        <v>89.988562622328402</v>
      </c>
      <c r="AM1828">
        <v>85.348439684150193</v>
      </c>
      <c r="AN1828">
        <v>1.00000001584134</v>
      </c>
    </row>
    <row r="1829" spans="1:40" x14ac:dyDescent="0.25">
      <c r="A1829" t="str">
        <f>"20190312154250181"</f>
        <v>20190312154250181</v>
      </c>
      <c r="B1829" t="str">
        <f>"1552376570169596"</f>
        <v>1552376570169596</v>
      </c>
      <c r="C1829" t="s">
        <v>40</v>
      </c>
      <c r="D1829">
        <v>4.9141149999999998</v>
      </c>
      <c r="E1829">
        <v>0.48830469999999998</v>
      </c>
      <c r="F1829" t="s">
        <v>50</v>
      </c>
      <c r="G1829">
        <v>-264.89069999999998</v>
      </c>
      <c r="H1829" s="1">
        <v>1.0658189999999999E-6</v>
      </c>
      <c r="I1829">
        <v>281.40280000000001</v>
      </c>
      <c r="J1829">
        <v>-243.53870000000001</v>
      </c>
      <c r="K1829">
        <v>1.1079270000000001</v>
      </c>
      <c r="L1829">
        <v>281.84500000000003</v>
      </c>
      <c r="M1829">
        <v>-0.99769870000000005</v>
      </c>
      <c r="N1829">
        <v>0</v>
      </c>
      <c r="O1829">
        <v>-6.7647399999999996E-2</v>
      </c>
      <c r="P1829">
        <v>-0.99988069999999896</v>
      </c>
      <c r="Q1829">
        <v>-4.3050780000000004E-3</v>
      </c>
      <c r="R1829">
        <v>1.484066E-2</v>
      </c>
      <c r="S1829">
        <v>-3.0003660000000001</v>
      </c>
      <c r="T1829">
        <v>-0.15346779999999999</v>
      </c>
      <c r="U1829">
        <v>-6.3995360000000001E-2</v>
      </c>
      <c r="V1829">
        <v>8.2447160000000005E-2</v>
      </c>
      <c r="W1829" s="1">
        <v>4.1452119999999997E-5</v>
      </c>
      <c r="X1829">
        <v>0.99659540000000002</v>
      </c>
      <c r="Y1829">
        <v>4.6208630000000001E-2</v>
      </c>
      <c r="Z1829">
        <v>4.635793E-3</v>
      </c>
      <c r="AA1829">
        <v>0.99892099999999995</v>
      </c>
      <c r="AB1829">
        <v>29</v>
      </c>
      <c r="AC1829">
        <v>-21.351999999999901</v>
      </c>
      <c r="AD1829">
        <v>-1.1079259341809999</v>
      </c>
      <c r="AE1829">
        <v>-0.44220000000001303</v>
      </c>
      <c r="AF1829">
        <v>1.0005427845985699</v>
      </c>
      <c r="AG1829">
        <v>-1.1079259341809999</v>
      </c>
      <c r="AH1829">
        <v>21.2757428636708</v>
      </c>
      <c r="AI1829">
        <v>92.977677622991806</v>
      </c>
      <c r="AJ1829">
        <v>87.307512399429797</v>
      </c>
      <c r="AK1829">
        <v>21.328052422583799</v>
      </c>
      <c r="AL1829">
        <v>89.997624968384997</v>
      </c>
      <c r="AM1829">
        <v>85.270757302669494</v>
      </c>
      <c r="AN1829">
        <v>0.99999996360575105</v>
      </c>
    </row>
    <row r="1830" spans="1:40" x14ac:dyDescent="0.25">
      <c r="A1830" t="str">
        <f>"20190312154250203"</f>
        <v>20190312154250203</v>
      </c>
      <c r="B1830" t="str">
        <f>"1552376570189116"</f>
        <v>1552376570189116</v>
      </c>
      <c r="C1830" t="s">
        <v>40</v>
      </c>
      <c r="D1830">
        <v>4.9441519999999999</v>
      </c>
      <c r="E1830">
        <v>0.48821179999999997</v>
      </c>
      <c r="F1830" t="s">
        <v>50</v>
      </c>
      <c r="G1830">
        <v>-265.13670000000002</v>
      </c>
      <c r="H1830" s="1">
        <v>1.1967370000000001E-6</v>
      </c>
      <c r="I1830">
        <v>281.44959999999998</v>
      </c>
      <c r="J1830">
        <v>-243.83940000000001</v>
      </c>
      <c r="K1830">
        <v>1.107812</v>
      </c>
      <c r="L1830">
        <v>281.82639999999998</v>
      </c>
      <c r="M1830">
        <v>-0.99782329999999997</v>
      </c>
      <c r="N1830">
        <v>0</v>
      </c>
      <c r="O1830">
        <v>-6.5783049999999996E-2</v>
      </c>
      <c r="P1830">
        <v>-0.99984870000000003</v>
      </c>
      <c r="Q1830">
        <v>-4.1076469999999999E-3</v>
      </c>
      <c r="R1830">
        <v>1.6917599999999901E-2</v>
      </c>
      <c r="S1830">
        <v>-3.0005039999999998</v>
      </c>
      <c r="T1830">
        <v>-0.15391830000000001</v>
      </c>
      <c r="U1830">
        <v>-5.4931639999999997E-2</v>
      </c>
      <c r="V1830">
        <v>8.2656149999999998E-2</v>
      </c>
      <c r="W1830">
        <v>2.5159519999999998E-4</v>
      </c>
      <c r="X1830">
        <v>0.99657810000000002</v>
      </c>
      <c r="Y1830">
        <v>4.7359400000000003E-2</v>
      </c>
      <c r="Z1830">
        <v>4.5835149999999998E-3</v>
      </c>
      <c r="AA1830">
        <v>0.99886739999999996</v>
      </c>
      <c r="AB1830">
        <v>29</v>
      </c>
      <c r="AC1830">
        <v>-21.2973</v>
      </c>
      <c r="AD1830">
        <v>-1.1078108032629901</v>
      </c>
      <c r="AE1830">
        <v>-0.37680000000000202</v>
      </c>
      <c r="AF1830">
        <v>1.02226732474309</v>
      </c>
      <c r="AG1830">
        <v>-1.1078108032629901</v>
      </c>
      <c r="AH1830">
        <v>21.218561881242401</v>
      </c>
      <c r="AI1830">
        <v>92.985214997730196</v>
      </c>
      <c r="AJ1830">
        <v>87.241738182261599</v>
      </c>
      <c r="AK1830">
        <v>21.272039008218599</v>
      </c>
      <c r="AL1830">
        <v>89.985584656827399</v>
      </c>
      <c r="AM1830">
        <v>85.258742101353107</v>
      </c>
      <c r="AN1830">
        <v>1.0000000059162799</v>
      </c>
    </row>
    <row r="1831" spans="1:40" x14ac:dyDescent="0.25">
      <c r="A1831" t="str">
        <f>"20190312154250225"</f>
        <v>20190312154250225</v>
      </c>
      <c r="B1831" t="str">
        <f>"1552376570219372"</f>
        <v>1552376570219372</v>
      </c>
      <c r="C1831" t="s">
        <v>40</v>
      </c>
      <c r="D1831">
        <v>4.9188090000000004</v>
      </c>
      <c r="E1831">
        <v>0.49499729999999997</v>
      </c>
      <c r="F1831" t="s">
        <v>50</v>
      </c>
      <c r="G1831">
        <v>-265.55930000000001</v>
      </c>
      <c r="H1831" s="1">
        <v>1.4215840000000001E-6</v>
      </c>
      <c r="I1831">
        <v>281.46929999999998</v>
      </c>
      <c r="J1831">
        <v>-244.11709999999999</v>
      </c>
      <c r="K1831">
        <v>1.1076979999999901</v>
      </c>
      <c r="L1831">
        <v>281.80990000000003</v>
      </c>
      <c r="M1831">
        <v>-0.99794349999999998</v>
      </c>
      <c r="N1831">
        <v>0</v>
      </c>
      <c r="O1831">
        <v>-6.3928280000000004E-2</v>
      </c>
      <c r="P1831">
        <v>-0.99983060000000001</v>
      </c>
      <c r="Q1831">
        <v>-3.6025330000000002E-3</v>
      </c>
      <c r="R1831">
        <v>1.8055760000000001E-2</v>
      </c>
      <c r="S1831">
        <v>-3.0006560000000002</v>
      </c>
      <c r="T1831">
        <v>-0.15304719999999999</v>
      </c>
      <c r="U1831">
        <v>-4.9346920000000002E-2</v>
      </c>
      <c r="V1831">
        <v>8.1940410000000005E-2</v>
      </c>
      <c r="W1831">
        <v>7.727783E-4</v>
      </c>
      <c r="X1831">
        <v>0.99663690000000005</v>
      </c>
      <c r="Y1831">
        <v>4.7366320000000003E-2</v>
      </c>
      <c r="Z1831">
        <v>4.4633210000000001E-3</v>
      </c>
      <c r="AA1831">
        <v>0.99886759999999997</v>
      </c>
      <c r="AB1831">
        <v>29</v>
      </c>
      <c r="AC1831">
        <v>-21.4422</v>
      </c>
      <c r="AD1831">
        <v>-1.10769657841599</v>
      </c>
      <c r="AE1831">
        <v>-0.34060000000005097</v>
      </c>
      <c r="AF1831">
        <v>1.0281316182246001</v>
      </c>
      <c r="AG1831">
        <v>-1.10769657841599</v>
      </c>
      <c r="AH1831">
        <v>21.363115347422099</v>
      </c>
      <c r="AI1831">
        <v>92.964753858281597</v>
      </c>
      <c r="AJ1831">
        <v>87.244681551829501</v>
      </c>
      <c r="AK1831">
        <v>21.416506336970301</v>
      </c>
      <c r="AL1831">
        <v>89.955723059140396</v>
      </c>
      <c r="AM1831">
        <v>85.299889140334599</v>
      </c>
      <c r="AN1831">
        <v>0.99999996920943901</v>
      </c>
    </row>
    <row r="1832" spans="1:40" x14ac:dyDescent="0.25">
      <c r="A1832" t="str">
        <f>"20190312154250247"</f>
        <v>20190312154250247</v>
      </c>
      <c r="B1832" t="str">
        <f>"1552376570238892"</f>
        <v>1552376570238892</v>
      </c>
      <c r="C1832" t="s">
        <v>40</v>
      </c>
      <c r="D1832">
        <v>4.9345939999999997</v>
      </c>
      <c r="E1832">
        <v>0.50462479999999998</v>
      </c>
      <c r="F1832" t="s">
        <v>41</v>
      </c>
      <c r="G1832">
        <v>-244.88069999999999</v>
      </c>
      <c r="H1832">
        <v>1.0200469999999999</v>
      </c>
      <c r="I1832">
        <v>281.8098</v>
      </c>
      <c r="J1832">
        <v>-244.42410000000001</v>
      </c>
      <c r="K1832">
        <v>1.1075680000000001</v>
      </c>
      <c r="L1832">
        <v>281.79239999999999</v>
      </c>
      <c r="M1832">
        <v>-0.99808160000000001</v>
      </c>
      <c r="N1832">
        <v>0</v>
      </c>
      <c r="O1832">
        <v>-6.173236E-2</v>
      </c>
      <c r="P1832">
        <v>-0.99980080000000005</v>
      </c>
      <c r="Q1832">
        <v>-3.5183469999999998E-3</v>
      </c>
      <c r="R1832">
        <v>1.9653190000000001E-2</v>
      </c>
      <c r="S1832">
        <v>-2.9992679999999998</v>
      </c>
      <c r="T1832">
        <v>-0.34429549999999998</v>
      </c>
      <c r="U1832">
        <v>1.5258789999999999E-4</v>
      </c>
      <c r="V1832">
        <v>8.1340540000000003E-2</v>
      </c>
      <c r="W1832">
        <v>8.7577490000000004E-4</v>
      </c>
      <c r="X1832">
        <v>0.99668599999999996</v>
      </c>
      <c r="Y1832">
        <v>6.0978350000000001E-2</v>
      </c>
      <c r="Z1832">
        <v>1.0548449999999999E-2</v>
      </c>
      <c r="AA1832">
        <v>0.99808339999999995</v>
      </c>
      <c r="AB1832">
        <v>30</v>
      </c>
      <c r="AC1832">
        <v>-0.45659999999998002</v>
      </c>
      <c r="AD1832">
        <v>-8.7521000000000099E-2</v>
      </c>
      <c r="AE1832">
        <v>1.7400000000009099E-2</v>
      </c>
      <c r="AF1832">
        <v>4.3941984062846898E-2</v>
      </c>
      <c r="AG1832">
        <v>-8.7521000000000099E-2</v>
      </c>
      <c r="AH1832">
        <v>0.43856495600738898</v>
      </c>
      <c r="AI1832">
        <v>101.231019087004</v>
      </c>
      <c r="AJ1832">
        <v>84.278349120570297</v>
      </c>
      <c r="AK1832">
        <v>0.44936626936402602</v>
      </c>
      <c r="AL1832">
        <v>89.949821788840794</v>
      </c>
      <c r="AM1832">
        <v>85.3343741125029</v>
      </c>
      <c r="AN1832">
        <v>1.00000001651258</v>
      </c>
    </row>
    <row r="1833" spans="1:40" x14ac:dyDescent="0.25">
      <c r="A1833" t="str">
        <f>"20190312154250271"</f>
        <v>20190312154250271</v>
      </c>
      <c r="B1833" t="str">
        <f>"1552376570259388"</f>
        <v>1552376570259388</v>
      </c>
      <c r="C1833" t="s">
        <v>40</v>
      </c>
      <c r="D1833">
        <v>4.9173869999999997</v>
      </c>
      <c r="E1833">
        <v>0.50941999999999998</v>
      </c>
      <c r="F1833" t="s">
        <v>41</v>
      </c>
      <c r="G1833">
        <v>-245.13659999999999</v>
      </c>
      <c r="H1833">
        <v>0.99642540000000002</v>
      </c>
      <c r="I1833">
        <v>281.8109</v>
      </c>
      <c r="J1833">
        <v>-244.7243</v>
      </c>
      <c r="K1833">
        <v>1.107437</v>
      </c>
      <c r="L1833">
        <v>281.77620000000002</v>
      </c>
      <c r="M1833">
        <v>-0.99822149999999998</v>
      </c>
      <c r="N1833">
        <v>0</v>
      </c>
      <c r="O1833">
        <v>-5.942298E-2</v>
      </c>
      <c r="P1833">
        <v>-0.99978049999999996</v>
      </c>
      <c r="Q1833">
        <v>-3.667006E-3</v>
      </c>
      <c r="R1833">
        <v>2.0635520000000001E-2</v>
      </c>
      <c r="S1833">
        <v>-2.9974370000000001</v>
      </c>
      <c r="T1833">
        <v>-0.46756150000000002</v>
      </c>
      <c r="U1833">
        <v>7.6721189999999995E-2</v>
      </c>
      <c r="V1833">
        <v>8.0013829999999994E-2</v>
      </c>
      <c r="W1833">
        <v>7.5084380000000001E-4</v>
      </c>
      <c r="X1833">
        <v>0.99679340000000005</v>
      </c>
      <c r="Y1833">
        <v>8.3222309999999994E-2</v>
      </c>
      <c r="Z1833">
        <v>1.5660529999999999E-2</v>
      </c>
      <c r="AA1833">
        <v>0.99640790000000001</v>
      </c>
      <c r="AB1833">
        <v>30</v>
      </c>
      <c r="AC1833">
        <v>-0.41229999999998701</v>
      </c>
      <c r="AD1833">
        <v>-0.111011599999999</v>
      </c>
      <c r="AE1833">
        <v>3.4699999999986603E-2</v>
      </c>
      <c r="AF1833">
        <v>5.5167776458783298E-2</v>
      </c>
      <c r="AG1833">
        <v>-0.111011599999999</v>
      </c>
      <c r="AH1833">
        <v>0.38201022880240398</v>
      </c>
      <c r="AI1833">
        <v>106.046018506183</v>
      </c>
      <c r="AJ1833">
        <v>81.782477220566506</v>
      </c>
      <c r="AK1833">
        <v>0.401620310496907</v>
      </c>
      <c r="AL1833">
        <v>89.956979812112095</v>
      </c>
      <c r="AM1833">
        <v>85.410637694635099</v>
      </c>
      <c r="AN1833">
        <v>0.999999929520618</v>
      </c>
    </row>
    <row r="1834" spans="1:40" x14ac:dyDescent="0.25">
      <c r="A1834" t="str">
        <f>"20190312154250292"</f>
        <v>20190312154250292</v>
      </c>
      <c r="B1834" t="str">
        <f>"1552376570278908"</f>
        <v>1552376570278908</v>
      </c>
      <c r="C1834" t="s">
        <v>40</v>
      </c>
      <c r="D1834">
        <v>4.9313260000000003</v>
      </c>
      <c r="E1834">
        <v>0.51192099999999996</v>
      </c>
      <c r="F1834" t="s">
        <v>41</v>
      </c>
      <c r="G1834">
        <v>-245.64449999999999</v>
      </c>
      <c r="H1834">
        <v>0.93388070000000001</v>
      </c>
      <c r="I1834">
        <v>281.81119999999999</v>
      </c>
      <c r="J1834">
        <v>-245.02940000000001</v>
      </c>
      <c r="K1834">
        <v>1.10731</v>
      </c>
      <c r="L1834">
        <v>281.76049999999998</v>
      </c>
      <c r="M1834">
        <v>-0.99836639999999999</v>
      </c>
      <c r="N1834">
        <v>0</v>
      </c>
      <c r="O1834">
        <v>-5.693281E-2</v>
      </c>
      <c r="P1834">
        <v>-0.99974949999999996</v>
      </c>
      <c r="Q1834">
        <v>-3.1814590000000002E-3</v>
      </c>
      <c r="R1834">
        <v>2.2158250000000001E-2</v>
      </c>
      <c r="S1834">
        <v>-2.9962309999999999</v>
      </c>
      <c r="T1834">
        <v>-0.56509100000000001</v>
      </c>
      <c r="U1834">
        <v>0.113678</v>
      </c>
      <c r="V1834">
        <v>7.9048220000000002E-2</v>
      </c>
      <c r="W1834">
        <v>1.2624890000000001E-3</v>
      </c>
      <c r="X1834">
        <v>0.99687000000000003</v>
      </c>
      <c r="Y1834">
        <v>9.2119469999999995E-2</v>
      </c>
      <c r="Z1834">
        <v>1.9246599999999999E-2</v>
      </c>
      <c r="AA1834">
        <v>0.99556199999999995</v>
      </c>
      <c r="AB1834">
        <v>30</v>
      </c>
      <c r="AC1834">
        <v>-0.61509999999998399</v>
      </c>
      <c r="AD1834">
        <v>-0.17342930000000001</v>
      </c>
      <c r="AE1834">
        <v>5.0700000000006101E-2</v>
      </c>
      <c r="AF1834">
        <v>7.9370373268975794E-2</v>
      </c>
      <c r="AG1834">
        <v>-0.17342930000000001</v>
      </c>
      <c r="AH1834">
        <v>0.56648548072735905</v>
      </c>
      <c r="AI1834">
        <v>106.866680992331</v>
      </c>
      <c r="AJ1834">
        <v>82.024199136443798</v>
      </c>
      <c r="AK1834">
        <v>0.59773169409548099</v>
      </c>
      <c r="AL1834">
        <v>89.927664689831701</v>
      </c>
      <c r="AM1834">
        <v>85.466136907304502</v>
      </c>
      <c r="AN1834">
        <v>1.0000000059318199</v>
      </c>
    </row>
    <row r="1835" spans="1:40" x14ac:dyDescent="0.25">
      <c r="A1835" t="str">
        <f>"20190312154250313"</f>
        <v>20190312154250313</v>
      </c>
      <c r="B1835" t="str">
        <f>"1552376570299404"</f>
        <v>1552376570299404</v>
      </c>
      <c r="C1835" t="s">
        <v>40</v>
      </c>
      <c r="D1835">
        <v>4.9248979999999998</v>
      </c>
      <c r="E1835">
        <v>0.51332909999999998</v>
      </c>
      <c r="F1835" t="s">
        <v>41</v>
      </c>
      <c r="G1835">
        <v>-245.91069999999999</v>
      </c>
      <c r="H1835">
        <v>0.92619119999999999</v>
      </c>
      <c r="I1835">
        <v>281.8005</v>
      </c>
      <c r="J1835">
        <v>-245.2979</v>
      </c>
      <c r="K1835">
        <v>1.107213</v>
      </c>
      <c r="L1835">
        <v>281.74740000000003</v>
      </c>
      <c r="M1835">
        <v>-0.99849390000000005</v>
      </c>
      <c r="N1835">
        <v>0</v>
      </c>
      <c r="O1835">
        <v>-5.4649360000000001E-2</v>
      </c>
      <c r="P1835">
        <v>-0.99972810000000001</v>
      </c>
      <c r="Q1835">
        <v>-2.788095E-3</v>
      </c>
      <c r="R1835">
        <v>2.3161069999999999E-2</v>
      </c>
      <c r="S1835">
        <v>-2.995819</v>
      </c>
      <c r="T1835">
        <v>-0.61565449999999999</v>
      </c>
      <c r="U1835">
        <v>0.135437</v>
      </c>
      <c r="V1835">
        <v>7.7770729999999996E-2</v>
      </c>
      <c r="W1835">
        <v>1.6840129999999901E-3</v>
      </c>
      <c r="X1835">
        <v>0.99696980000000002</v>
      </c>
      <c r="Y1835">
        <v>9.653515E-2</v>
      </c>
      <c r="Z1835">
        <v>2.092016E-2</v>
      </c>
      <c r="AA1835">
        <v>0.99510969999999999</v>
      </c>
      <c r="AB1835">
        <v>30</v>
      </c>
      <c r="AC1835">
        <v>-0.61279999999999202</v>
      </c>
      <c r="AD1835">
        <v>-0.18102179999999901</v>
      </c>
      <c r="AE1835">
        <v>5.30999999999721E-2</v>
      </c>
      <c r="AF1835">
        <v>7.9614623548014296E-2</v>
      </c>
      <c r="AG1835">
        <v>-0.18102179999999901</v>
      </c>
      <c r="AH1835">
        <v>0.56044161332263498</v>
      </c>
      <c r="AI1835">
        <v>107.73364875980199</v>
      </c>
      <c r="AJ1835">
        <v>81.914833660625305</v>
      </c>
      <c r="AK1835">
        <v>0.59430815432871997</v>
      </c>
      <c r="AL1835">
        <v>89.903513112240901</v>
      </c>
      <c r="AM1835">
        <v>85.539554785884505</v>
      </c>
      <c r="AN1835">
        <v>0.99999995222827698</v>
      </c>
    </row>
    <row r="1836" spans="1:40" x14ac:dyDescent="0.25">
      <c r="A1836" t="str">
        <f>"20190312154250336"</f>
        <v>20190312154250336</v>
      </c>
      <c r="B1836" t="str">
        <f>"1552376570329660"</f>
        <v>1552376570329660</v>
      </c>
      <c r="C1836" t="s">
        <v>40</v>
      </c>
      <c r="D1836">
        <v>4.9394589999999896</v>
      </c>
      <c r="E1836">
        <v>0.51515290000000002</v>
      </c>
      <c r="F1836" t="s">
        <v>41</v>
      </c>
      <c r="G1836">
        <v>-246.17789999999999</v>
      </c>
      <c r="H1836">
        <v>0.91798900000000005</v>
      </c>
      <c r="I1836">
        <v>281.79079999999999</v>
      </c>
      <c r="J1836">
        <v>-245.61089999999999</v>
      </c>
      <c r="K1836">
        <v>1.1071089999999999</v>
      </c>
      <c r="L1836">
        <v>281.733</v>
      </c>
      <c r="M1836">
        <v>-0.99864109999999995</v>
      </c>
      <c r="N1836">
        <v>0</v>
      </c>
      <c r="O1836">
        <v>-5.1884100000000002E-2</v>
      </c>
      <c r="P1836">
        <v>-0.99967070000000002</v>
      </c>
      <c r="Q1836">
        <v>-2.4181469999999998E-3</v>
      </c>
      <c r="R1836">
        <v>2.5549410000000002E-2</v>
      </c>
      <c r="S1836">
        <v>-2.9956049999999999</v>
      </c>
      <c r="T1836">
        <v>-0.64411759999999996</v>
      </c>
      <c r="U1836">
        <v>0.14761350000000001</v>
      </c>
      <c r="V1836">
        <v>7.7394260000000006E-2</v>
      </c>
      <c r="W1836">
        <v>2.084079E-3</v>
      </c>
      <c r="X1836">
        <v>0.99699839999999995</v>
      </c>
      <c r="Y1836">
        <v>9.7563559999999994E-2</v>
      </c>
      <c r="Z1836">
        <v>2.1388009999999999E-2</v>
      </c>
      <c r="AA1836">
        <v>0.99499950000000004</v>
      </c>
      <c r="AB1836">
        <v>30</v>
      </c>
      <c r="AC1836">
        <v>-0.56700000000000705</v>
      </c>
      <c r="AD1836">
        <v>-0.18912000000000001</v>
      </c>
      <c r="AE1836">
        <v>5.7799999999986001E-2</v>
      </c>
      <c r="AF1836">
        <v>7.8497572476963207E-2</v>
      </c>
      <c r="AG1836">
        <v>-0.18912000000000001</v>
      </c>
      <c r="AH1836">
        <v>0.50737166436576797</v>
      </c>
      <c r="AI1836">
        <v>110.221876966447</v>
      </c>
      <c r="AJ1836">
        <v>81.205261819385896</v>
      </c>
      <c r="AK1836">
        <v>0.54713275270821204</v>
      </c>
      <c r="AL1836">
        <v>89.880590984148995</v>
      </c>
      <c r="AM1836">
        <v>85.561187084817604</v>
      </c>
      <c r="AN1836">
        <v>1.0000000122343899</v>
      </c>
    </row>
    <row r="1837" spans="1:40" x14ac:dyDescent="0.25">
      <c r="A1837" t="str">
        <f>"20190312154250358"</f>
        <v>20190312154250358</v>
      </c>
      <c r="B1837" t="str">
        <f>"1552376570349183"</f>
        <v>1552376570349183</v>
      </c>
      <c r="C1837" t="s">
        <v>40</v>
      </c>
      <c r="D1837">
        <v>4.9551590000000001</v>
      </c>
      <c r="E1837">
        <v>0.51604689999999998</v>
      </c>
      <c r="F1837" t="s">
        <v>41</v>
      </c>
      <c r="G1837">
        <v>-246.45</v>
      </c>
      <c r="H1837">
        <v>0.9186761</v>
      </c>
      <c r="I1837">
        <v>281.77999999999997</v>
      </c>
      <c r="J1837">
        <v>-245.92679999999999</v>
      </c>
      <c r="K1837">
        <v>1.1070169999999999</v>
      </c>
      <c r="L1837">
        <v>281.71949999999998</v>
      </c>
      <c r="M1837">
        <v>-0.99878659999999997</v>
      </c>
      <c r="N1837">
        <v>0</v>
      </c>
      <c r="O1837">
        <v>-4.8999399999999999E-2</v>
      </c>
      <c r="P1837">
        <v>-0.99959489999999995</v>
      </c>
      <c r="Q1837">
        <v>-3.0274759999999999E-3</v>
      </c>
      <c r="R1837">
        <v>2.8304070000000001E-2</v>
      </c>
      <c r="S1837">
        <v>-2.9950709999999998</v>
      </c>
      <c r="T1837">
        <v>-0.67258450000000003</v>
      </c>
      <c r="U1837">
        <v>0.16696169999999999</v>
      </c>
      <c r="V1837">
        <v>7.7259439999999999E-2</v>
      </c>
      <c r="W1837">
        <v>1.5066299999999999E-3</v>
      </c>
      <c r="X1837">
        <v>0.9970099</v>
      </c>
      <c r="Y1837">
        <v>0.1007953</v>
      </c>
      <c r="Z1837">
        <v>2.2030460000000002E-2</v>
      </c>
      <c r="AA1837">
        <v>0.99466319999999997</v>
      </c>
      <c r="AB1837">
        <v>30</v>
      </c>
      <c r="AC1837">
        <v>-0.523200000000002</v>
      </c>
      <c r="AD1837">
        <v>-0.18834089999999901</v>
      </c>
      <c r="AE1837">
        <v>6.0499999999990402E-2</v>
      </c>
      <c r="AF1837">
        <v>7.6306448006546096E-2</v>
      </c>
      <c r="AG1837">
        <v>-0.18834089999999901</v>
      </c>
      <c r="AH1837">
        <v>0.46069562946835402</v>
      </c>
      <c r="AI1837">
        <v>111.965377847377</v>
      </c>
      <c r="AJ1837">
        <v>80.595305593630698</v>
      </c>
      <c r="AK1837">
        <v>0.50352301996177795</v>
      </c>
      <c r="AL1837">
        <v>89.913676428422306</v>
      </c>
      <c r="AM1837">
        <v>85.568939536233103</v>
      </c>
      <c r="AN1837">
        <v>1.00000001585054</v>
      </c>
    </row>
    <row r="1838" spans="1:40" x14ac:dyDescent="0.25">
      <c r="A1838" t="str">
        <f>"20190312154250382"</f>
        <v>20190312154250382</v>
      </c>
      <c r="B1838" t="str">
        <f>"1552376570369676"</f>
        <v>1552376570369676</v>
      </c>
      <c r="C1838" t="s">
        <v>40</v>
      </c>
      <c r="D1838">
        <v>4.9671209999999997</v>
      </c>
      <c r="E1838">
        <v>0.51660070000000002</v>
      </c>
      <c r="F1838" t="s">
        <v>41</v>
      </c>
      <c r="G1838">
        <v>-246.72489999999999</v>
      </c>
      <c r="H1838">
        <v>0.92334179999999999</v>
      </c>
      <c r="I1838">
        <v>281.7679</v>
      </c>
      <c r="J1838">
        <v>-246.23699999999999</v>
      </c>
      <c r="K1838">
        <v>1.106946</v>
      </c>
      <c r="L1838">
        <v>281.70710000000003</v>
      </c>
      <c r="M1838">
        <v>-0.99892460000000005</v>
      </c>
      <c r="N1838">
        <v>0</v>
      </c>
      <c r="O1838">
        <v>-4.6092399999999999E-2</v>
      </c>
      <c r="P1838">
        <v>-0.99949639999999995</v>
      </c>
      <c r="Q1838">
        <v>-3.208518E-3</v>
      </c>
      <c r="R1838">
        <v>3.1574640000000001E-2</v>
      </c>
      <c r="S1838">
        <v>-2.9940030000000002</v>
      </c>
      <c r="T1838">
        <v>-0.68891269999999905</v>
      </c>
      <c r="U1838">
        <v>0.18060300000000001</v>
      </c>
      <c r="V1838">
        <v>7.7619569999999999E-2</v>
      </c>
      <c r="W1838">
        <v>1.356426E-3</v>
      </c>
      <c r="X1838">
        <v>0.99698209999999998</v>
      </c>
      <c r="Y1838">
        <v>0.1022918</v>
      </c>
      <c r="Z1838">
        <v>2.2067349999999999E-2</v>
      </c>
      <c r="AA1838">
        <v>0.99450959999999999</v>
      </c>
      <c r="AB1838">
        <v>30</v>
      </c>
      <c r="AC1838">
        <v>-0.487899999999996</v>
      </c>
      <c r="AD1838">
        <v>-0.1836042</v>
      </c>
      <c r="AE1838">
        <v>6.0799999999971897E-2</v>
      </c>
      <c r="AF1838">
        <v>7.3039022826537806E-2</v>
      </c>
      <c r="AG1838">
        <v>-0.1836042</v>
      </c>
      <c r="AH1838">
        <v>0.42527533461653599</v>
      </c>
      <c r="AI1838">
        <v>113.04977304355999</v>
      </c>
      <c r="AJ1838">
        <v>80.254795486915796</v>
      </c>
      <c r="AK1838">
        <v>0.46893956044068402</v>
      </c>
      <c r="AL1838">
        <v>89.922282489018997</v>
      </c>
      <c r="AM1838">
        <v>85.548244200865298</v>
      </c>
      <c r="AN1838">
        <v>0.99999997262944296</v>
      </c>
    </row>
    <row r="1839" spans="1:40" x14ac:dyDescent="0.25">
      <c r="A1839" t="str">
        <f>"20190312154250404"</f>
        <v>20190312154250404</v>
      </c>
      <c r="B1839" t="str">
        <f>"1552376570399932"</f>
        <v>1552376570399932</v>
      </c>
      <c r="C1839" t="s">
        <v>40</v>
      </c>
      <c r="D1839">
        <v>5.0065080000000002</v>
      </c>
      <c r="E1839">
        <v>0.51750839999999998</v>
      </c>
      <c r="F1839" t="s">
        <v>41</v>
      </c>
      <c r="G1839">
        <v>-247.00069999999999</v>
      </c>
      <c r="H1839">
        <v>0.92774719999999999</v>
      </c>
      <c r="I1839">
        <v>281.75670000000002</v>
      </c>
      <c r="J1839">
        <v>-246.54689999999999</v>
      </c>
      <c r="K1839">
        <v>1.106876</v>
      </c>
      <c r="L1839">
        <v>281.69569999999999</v>
      </c>
      <c r="M1839">
        <v>-0.99905650000000001</v>
      </c>
      <c r="N1839">
        <v>0</v>
      </c>
      <c r="O1839">
        <v>-4.3138669999999997E-2</v>
      </c>
      <c r="P1839">
        <v>-0.99936290000000005</v>
      </c>
      <c r="Q1839">
        <v>-2.7642230000000001E-3</v>
      </c>
      <c r="R1839">
        <v>3.559147E-2</v>
      </c>
      <c r="S1839">
        <v>-2.9931489999999998</v>
      </c>
      <c r="T1839">
        <v>-0.7023298</v>
      </c>
      <c r="U1839">
        <v>0.19354250000000001</v>
      </c>
      <c r="V1839">
        <v>7.8681710000000002E-2</v>
      </c>
      <c r="W1839">
        <v>1.8289720000000001E-3</v>
      </c>
      <c r="X1839">
        <v>0.99689810000000001</v>
      </c>
      <c r="Y1839">
        <v>0.1035464</v>
      </c>
      <c r="Z1839">
        <v>2.1951470000000001E-2</v>
      </c>
      <c r="AA1839">
        <v>0.9943824</v>
      </c>
      <c r="AB1839">
        <v>30</v>
      </c>
      <c r="AC1839">
        <v>-0.45380000000000098</v>
      </c>
      <c r="AD1839">
        <v>-0.17912879999999901</v>
      </c>
      <c r="AE1839">
        <v>6.1000000000035401E-2</v>
      </c>
      <c r="AF1839">
        <v>6.9832184754024001E-2</v>
      </c>
      <c r="AG1839">
        <v>-0.17912879999999901</v>
      </c>
      <c r="AH1839">
        <v>0.39091734283482699</v>
      </c>
      <c r="AI1839">
        <v>114.279468865626</v>
      </c>
      <c r="AJ1839">
        <v>79.871704082716406</v>
      </c>
      <c r="AK1839">
        <v>0.43563749832401</v>
      </c>
      <c r="AL1839">
        <v>89.895207563996905</v>
      </c>
      <c r="AM1839">
        <v>85.487197976216393</v>
      </c>
      <c r="AN1839">
        <v>0.99999998920535504</v>
      </c>
    </row>
    <row r="1840" spans="1:40" x14ac:dyDescent="0.25">
      <c r="A1840" t="str">
        <f>"20190312154250426"</f>
        <v>20190312154250426</v>
      </c>
      <c r="B1840" t="str">
        <f>"1552376570419452"</f>
        <v>1552376570419452</v>
      </c>
      <c r="C1840" t="s">
        <v>40</v>
      </c>
      <c r="D1840">
        <v>4.986586</v>
      </c>
      <c r="E1840">
        <v>0.51795789999999997</v>
      </c>
      <c r="F1840" t="s">
        <v>41</v>
      </c>
      <c r="G1840">
        <v>-247.27789999999999</v>
      </c>
      <c r="H1840">
        <v>0.9324578</v>
      </c>
      <c r="I1840">
        <v>281.74759999999998</v>
      </c>
      <c r="J1840">
        <v>-246.84479999999999</v>
      </c>
      <c r="K1840">
        <v>1.106824</v>
      </c>
      <c r="L1840">
        <v>281.68560000000002</v>
      </c>
      <c r="M1840">
        <v>-0.99917599999999995</v>
      </c>
      <c r="N1840">
        <v>0</v>
      </c>
      <c r="O1840">
        <v>-4.026623E-2</v>
      </c>
      <c r="P1840">
        <v>-0.99920200000000003</v>
      </c>
      <c r="Q1840">
        <v>-2.9718800000000001E-3</v>
      </c>
      <c r="R1840">
        <v>3.9836440000000001E-2</v>
      </c>
      <c r="S1840">
        <v>-2.992432</v>
      </c>
      <c r="T1840">
        <v>-0.71379159999999997</v>
      </c>
      <c r="U1840">
        <v>0.21124270000000001</v>
      </c>
      <c r="V1840">
        <v>8.0049759999999998E-2</v>
      </c>
      <c r="W1840">
        <v>1.646343E-3</v>
      </c>
      <c r="X1840">
        <v>0.99678949999999999</v>
      </c>
      <c r="Y1840">
        <v>0.1064288</v>
      </c>
      <c r="Z1840">
        <v>2.196497E-2</v>
      </c>
      <c r="AA1840">
        <v>0.99407769999999995</v>
      </c>
      <c r="AB1840">
        <v>31</v>
      </c>
      <c r="AC1840">
        <v>-0.43309999999999599</v>
      </c>
      <c r="AD1840">
        <v>-0.174366199999999</v>
      </c>
      <c r="AE1840">
        <v>6.1999999999954897E-2</v>
      </c>
      <c r="AF1840">
        <v>6.8507982171370094E-2</v>
      </c>
      <c r="AG1840">
        <v>-0.174366199999999</v>
      </c>
      <c r="AH1840">
        <v>0.371280891964756</v>
      </c>
      <c r="AI1840">
        <v>114.789283809265</v>
      </c>
      <c r="AJ1840">
        <v>79.545490621800198</v>
      </c>
      <c r="AK1840">
        <v>0.41586826767833301</v>
      </c>
      <c r="AL1840">
        <v>89.905671451000103</v>
      </c>
      <c r="AM1840">
        <v>85.408567775576302</v>
      </c>
      <c r="AN1840">
        <v>0.99999999091578995</v>
      </c>
    </row>
    <row r="1841" spans="1:40" x14ac:dyDescent="0.25">
      <c r="A1841" t="str">
        <f>"20190312154250448"</f>
        <v>20190312154250448</v>
      </c>
      <c r="B1841" t="str">
        <f>"1552376570438975"</f>
        <v>1552376570438975</v>
      </c>
      <c r="C1841" t="s">
        <v>40</v>
      </c>
      <c r="D1841">
        <v>5.0325350000000002</v>
      </c>
      <c r="E1841">
        <v>0.51840439999999999</v>
      </c>
      <c r="F1841" t="s">
        <v>41</v>
      </c>
      <c r="G1841">
        <v>-247.55539999999999</v>
      </c>
      <c r="H1841">
        <v>0.93545869999999998</v>
      </c>
      <c r="I1841">
        <v>281.73930000000001</v>
      </c>
      <c r="J1841">
        <v>-247.1534</v>
      </c>
      <c r="K1841">
        <v>1.1067769999999999</v>
      </c>
      <c r="L1841">
        <v>281.67610000000002</v>
      </c>
      <c r="M1841">
        <v>-0.99929199999999996</v>
      </c>
      <c r="N1841">
        <v>0</v>
      </c>
      <c r="O1841">
        <v>-3.7273630000000002E-2</v>
      </c>
      <c r="P1841">
        <v>-0.99901649999999997</v>
      </c>
      <c r="Q1841">
        <v>-3.265118E-3</v>
      </c>
      <c r="R1841">
        <v>4.4219670000000003E-2</v>
      </c>
      <c r="S1841">
        <v>-2.9912719999999999</v>
      </c>
      <c r="T1841">
        <v>-0.72138910000000001</v>
      </c>
      <c r="U1841">
        <v>0.22564699999999999</v>
      </c>
      <c r="V1841">
        <v>8.1435960000000002E-2</v>
      </c>
      <c r="W1841">
        <v>1.3745459999999999E-3</v>
      </c>
      <c r="X1841">
        <v>0.99667760000000005</v>
      </c>
      <c r="Y1841">
        <v>0.10818800000000001</v>
      </c>
      <c r="Z1841">
        <v>2.1695329999999999E-2</v>
      </c>
      <c r="AA1841">
        <v>0.99389369999999999</v>
      </c>
      <c r="AB1841">
        <v>31</v>
      </c>
      <c r="AC1841">
        <v>-0.40199999999998598</v>
      </c>
      <c r="AD1841">
        <v>-0.17131830000000001</v>
      </c>
      <c r="AE1841">
        <v>6.3199999999994802E-2</v>
      </c>
      <c r="AF1841">
        <v>6.6376053947537594E-2</v>
      </c>
      <c r="AG1841">
        <v>-0.17131830000000001</v>
      </c>
      <c r="AH1841">
        <v>0.33923948751824501</v>
      </c>
      <c r="AI1841">
        <v>116.36344113835401</v>
      </c>
      <c r="AJ1841">
        <v>78.929291405830099</v>
      </c>
      <c r="AK1841">
        <v>0.38579679929229299</v>
      </c>
      <c r="AL1841">
        <v>89.921244288420795</v>
      </c>
      <c r="AM1841">
        <v>85.328885912093199</v>
      </c>
      <c r="AN1841">
        <v>0.99999997164979304</v>
      </c>
    </row>
    <row r="1842" spans="1:40" x14ac:dyDescent="0.25">
      <c r="A1842" t="str">
        <f>"20190312154250470"</f>
        <v>20190312154250470</v>
      </c>
      <c r="B1842" t="str">
        <f>"1552376570459474"</f>
        <v>1552376570459474</v>
      </c>
      <c r="C1842" t="s">
        <v>40</v>
      </c>
      <c r="D1842">
        <v>5.0406979999999999</v>
      </c>
      <c r="E1842">
        <v>0.5188663</v>
      </c>
      <c r="F1842" t="s">
        <v>41</v>
      </c>
      <c r="G1842">
        <v>-248.08760000000001</v>
      </c>
      <c r="H1842">
        <v>0.87887800000000005</v>
      </c>
      <c r="I1842">
        <v>281.7516</v>
      </c>
      <c r="J1842">
        <v>-247.46080000000001</v>
      </c>
      <c r="K1842">
        <v>1.106741</v>
      </c>
      <c r="L1842">
        <v>281.66750000000002</v>
      </c>
      <c r="M1842">
        <v>-0.99939920000000004</v>
      </c>
      <c r="N1842">
        <v>0</v>
      </c>
      <c r="O1842">
        <v>-3.4278280000000001E-2</v>
      </c>
      <c r="P1842">
        <v>-0.99885869999999999</v>
      </c>
      <c r="Q1842">
        <v>-3.7990139999999999E-3</v>
      </c>
      <c r="R1842">
        <v>4.7617739999999999E-2</v>
      </c>
      <c r="S1842">
        <v>-2.9898829999999998</v>
      </c>
      <c r="T1842">
        <v>-0.72929809999999995</v>
      </c>
      <c r="U1842">
        <v>0.2415466</v>
      </c>
      <c r="V1842">
        <v>8.1835969999999994E-2</v>
      </c>
      <c r="W1842">
        <v>8.5384049999999998E-4</v>
      </c>
      <c r="X1842">
        <v>0.99664549999999996</v>
      </c>
      <c r="Y1842">
        <v>0.1104275</v>
      </c>
      <c r="Z1842">
        <v>2.148187E-2</v>
      </c>
      <c r="AA1842">
        <v>0.99365199999999998</v>
      </c>
      <c r="AB1842">
        <v>31</v>
      </c>
      <c r="AC1842">
        <v>-0.62680000000000202</v>
      </c>
      <c r="AD1842">
        <v>-0.22786299999999901</v>
      </c>
      <c r="AE1842">
        <v>8.4099999999977998E-2</v>
      </c>
      <c r="AF1842">
        <v>9.3410017711276203E-2</v>
      </c>
      <c r="AG1842">
        <v>-0.22786299999999901</v>
      </c>
      <c r="AH1842">
        <v>0.55190112739819497</v>
      </c>
      <c r="AI1842">
        <v>112.150245561728</v>
      </c>
      <c r="AJ1842">
        <v>80.393648798757198</v>
      </c>
      <c r="AK1842">
        <v>0.60435240762424403</v>
      </c>
      <c r="AL1842">
        <v>89.951078539662703</v>
      </c>
      <c r="AM1842">
        <v>85.305893366328505</v>
      </c>
      <c r="AN1842">
        <v>1.0000000538498399</v>
      </c>
    </row>
    <row r="1843" spans="1:40" x14ac:dyDescent="0.25">
      <c r="A1843" t="str">
        <f>"20190312154250492"</f>
        <v>20190312154250492</v>
      </c>
      <c r="B1843" t="str">
        <f>"1552376570478988"</f>
        <v>1552376570478988</v>
      </c>
      <c r="C1843" t="s">
        <v>40</v>
      </c>
      <c r="D1843">
        <v>5.0316879999999999</v>
      </c>
      <c r="E1843">
        <v>0.51931459999999996</v>
      </c>
      <c r="F1843" t="s">
        <v>41</v>
      </c>
      <c r="G1843">
        <v>-248.36850000000001</v>
      </c>
      <c r="H1843">
        <v>0.88315779999999999</v>
      </c>
      <c r="I1843">
        <v>281.74540000000002</v>
      </c>
      <c r="J1843">
        <v>-247.77289999999999</v>
      </c>
      <c r="K1843">
        <v>1.1067020000000001</v>
      </c>
      <c r="L1843">
        <v>281.65989999999999</v>
      </c>
      <c r="M1843">
        <v>-0.99949900000000003</v>
      </c>
      <c r="N1843">
        <v>0</v>
      </c>
      <c r="O1843">
        <v>-3.1231910000000002E-2</v>
      </c>
      <c r="P1843">
        <v>-0.99872269999999996</v>
      </c>
      <c r="Q1843">
        <v>-3.6520179999999999E-3</v>
      </c>
      <c r="R1843">
        <v>5.0397869999999997E-2</v>
      </c>
      <c r="S1843">
        <v>-2.9884490000000001</v>
      </c>
      <c r="T1843">
        <v>-0.73595679999999997</v>
      </c>
      <c r="U1843">
        <v>0.25564579999999998</v>
      </c>
      <c r="V1843">
        <v>8.1573339999999994E-2</v>
      </c>
      <c r="W1843">
        <v>1.0035669999999999E-3</v>
      </c>
      <c r="X1843">
        <v>0.99666679999999996</v>
      </c>
      <c r="Y1843">
        <v>0.1120573</v>
      </c>
      <c r="Z1843">
        <v>2.113783E-2</v>
      </c>
      <c r="AA1843">
        <v>0.9934769</v>
      </c>
      <c r="AB1843">
        <v>31</v>
      </c>
      <c r="AC1843">
        <v>-0.595600000000018</v>
      </c>
      <c r="AD1843">
        <v>-0.2235442</v>
      </c>
      <c r="AE1843">
        <v>8.5500000000024501E-2</v>
      </c>
      <c r="AF1843">
        <v>9.1439319084786599E-2</v>
      </c>
      <c r="AG1843">
        <v>-0.2235442</v>
      </c>
      <c r="AH1843">
        <v>0.52076089130366898</v>
      </c>
      <c r="AI1843">
        <v>112.918466637021</v>
      </c>
      <c r="AJ1843">
        <v>80.041073665128906</v>
      </c>
      <c r="AK1843">
        <v>0.57404273738086897</v>
      </c>
      <c r="AL1843">
        <v>89.942499834695596</v>
      </c>
      <c r="AM1843">
        <v>85.320990365402807</v>
      </c>
      <c r="AN1843">
        <v>0.99999996358385801</v>
      </c>
    </row>
    <row r="1844" spans="1:40" x14ac:dyDescent="0.25">
      <c r="A1844" t="str">
        <f>"20190312154250514"</f>
        <v>20190312154250514</v>
      </c>
      <c r="B1844" t="str">
        <f>"1552376570509245"</f>
        <v>1552376570509245</v>
      </c>
      <c r="C1844" t="s">
        <v>40</v>
      </c>
      <c r="D1844">
        <v>5.0282600000000004</v>
      </c>
      <c r="E1844">
        <v>0.519702</v>
      </c>
      <c r="F1844" t="s">
        <v>41</v>
      </c>
      <c r="G1844">
        <v>-248.65100000000001</v>
      </c>
      <c r="H1844">
        <v>0.88929509999999901</v>
      </c>
      <c r="I1844">
        <v>281.73849999999999</v>
      </c>
      <c r="J1844">
        <v>-248.07640000000001</v>
      </c>
      <c r="K1844">
        <v>1.106671</v>
      </c>
      <c r="L1844">
        <v>281.65320000000003</v>
      </c>
      <c r="M1844">
        <v>-0.99958709999999995</v>
      </c>
      <c r="N1844">
        <v>0</v>
      </c>
      <c r="O1844">
        <v>-2.8269579999999999E-2</v>
      </c>
      <c r="P1844">
        <v>-0.99862340000000005</v>
      </c>
      <c r="Q1844">
        <v>-3.6282129999999999E-3</v>
      </c>
      <c r="R1844">
        <v>5.232875E-2</v>
      </c>
      <c r="S1844">
        <v>-2.9876399999999999</v>
      </c>
      <c r="T1844">
        <v>-0.73958349999999995</v>
      </c>
      <c r="U1844">
        <v>0.26724239999999999</v>
      </c>
      <c r="V1844">
        <v>8.0546580000000007E-2</v>
      </c>
      <c r="W1844">
        <v>1.019303E-3</v>
      </c>
      <c r="X1844">
        <v>0.99675029999999998</v>
      </c>
      <c r="Y1844">
        <v>0.11298270000000001</v>
      </c>
      <c r="Z1844">
        <v>2.0632560000000001E-2</v>
      </c>
      <c r="AA1844">
        <v>0.99338269999999995</v>
      </c>
      <c r="AB1844">
        <v>31</v>
      </c>
      <c r="AC1844">
        <v>-0.57459999999997502</v>
      </c>
      <c r="AD1844">
        <v>-0.21737590000000001</v>
      </c>
      <c r="AE1844">
        <v>8.5299999999961004E-2</v>
      </c>
      <c r="AF1844">
        <v>8.9041272652571696E-2</v>
      </c>
      <c r="AG1844">
        <v>-0.21737590000000001</v>
      </c>
      <c r="AH1844">
        <v>0.50170464744642895</v>
      </c>
      <c r="AI1844">
        <v>113.103484326935</v>
      </c>
      <c r="AJ1844">
        <v>79.936081971815995</v>
      </c>
      <c r="AK1844">
        <v>0.55397489420166401</v>
      </c>
      <c r="AL1844">
        <v>89.941598228513399</v>
      </c>
      <c r="AM1844">
        <v>85.380013628497906</v>
      </c>
      <c r="AN1844">
        <v>0.99999997553919495</v>
      </c>
    </row>
    <row r="1845" spans="1:40" x14ac:dyDescent="0.25">
      <c r="A1845" t="str">
        <f>"20190312154250549"</f>
        <v>20190312154250549</v>
      </c>
      <c r="B1845" t="str">
        <f>"1552376570539501"</f>
        <v>1552376570539501</v>
      </c>
      <c r="C1845" t="s">
        <v>40</v>
      </c>
      <c r="D1845">
        <v>5.0442589999999896</v>
      </c>
      <c r="E1845">
        <v>0.52002199999999998</v>
      </c>
      <c r="F1845" t="s">
        <v>41</v>
      </c>
      <c r="G1845">
        <v>-248.93350000000001</v>
      </c>
      <c r="H1845">
        <v>0.89252030000000004</v>
      </c>
      <c r="I1845">
        <v>281.73239999999998</v>
      </c>
      <c r="J1845">
        <v>-248.56180000000001</v>
      </c>
      <c r="K1845">
        <v>1.106619</v>
      </c>
      <c r="L1845">
        <v>281.64429999999999</v>
      </c>
      <c r="M1845">
        <v>-0.99970979999999998</v>
      </c>
      <c r="N1845">
        <v>0</v>
      </c>
      <c r="O1845">
        <v>-2.3546210000000001E-2</v>
      </c>
      <c r="P1845">
        <v>-0.99845430000000002</v>
      </c>
      <c r="Q1845">
        <v>-2.8024259999999998E-3</v>
      </c>
      <c r="R1845">
        <v>5.550944E-2</v>
      </c>
      <c r="S1845">
        <v>-2.9869840000000001</v>
      </c>
      <c r="T1845">
        <v>-0.74623130000000004</v>
      </c>
      <c r="U1845">
        <v>0.27520749999999999</v>
      </c>
      <c r="V1845">
        <v>7.9016639999999999E-2</v>
      </c>
      <c r="W1845">
        <v>1.7989309999999999E-3</v>
      </c>
      <c r="X1845">
        <v>0.99687170000000003</v>
      </c>
      <c r="Y1845">
        <v>0.1110637</v>
      </c>
      <c r="Z1845">
        <v>1.9418810000000002E-2</v>
      </c>
      <c r="AA1845">
        <v>0.99362360000000005</v>
      </c>
      <c r="AB1845">
        <v>31</v>
      </c>
      <c r="AC1845">
        <v>-0.37170000000000403</v>
      </c>
      <c r="AD1845">
        <v>-0.214098699999999</v>
      </c>
      <c r="AE1845">
        <v>8.8099999999997097E-2</v>
      </c>
      <c r="AF1845">
        <v>7.3682212447941903E-2</v>
      </c>
      <c r="AG1845">
        <v>-0.214098699999999</v>
      </c>
      <c r="AH1845">
        <v>0.28119229505252902</v>
      </c>
      <c r="AI1845">
        <v>126.37275551353299</v>
      </c>
      <c r="AJ1845">
        <v>75.316626009820894</v>
      </c>
      <c r="AK1845">
        <v>0.361021368577847</v>
      </c>
      <c r="AL1845">
        <v>89.896928793142393</v>
      </c>
      <c r="AM1845">
        <v>85.467948348434504</v>
      </c>
      <c r="AN1845">
        <v>1.0000000259052599</v>
      </c>
    </row>
    <row r="1846" spans="1:40" x14ac:dyDescent="0.25">
      <c r="A1846" t="str">
        <f>"20190312154250569"</f>
        <v>20190312154250569</v>
      </c>
      <c r="B1846" t="str">
        <f>"1552376570559023"</f>
        <v>1552376570559023</v>
      </c>
      <c r="C1846" t="s">
        <v>40</v>
      </c>
      <c r="D1846">
        <v>5.0214100000000004</v>
      </c>
      <c r="E1846">
        <v>0.53119150000000004</v>
      </c>
      <c r="F1846" t="s">
        <v>41</v>
      </c>
      <c r="G1846">
        <v>-249.49199999999999</v>
      </c>
      <c r="H1846">
        <v>0.87268749999999995</v>
      </c>
      <c r="I1846">
        <v>281.7337</v>
      </c>
      <c r="J1846">
        <v>-248.86189999999999</v>
      </c>
      <c r="K1846">
        <v>1.106595</v>
      </c>
      <c r="L1846">
        <v>281.64</v>
      </c>
      <c r="M1846">
        <v>-0.99977419999999995</v>
      </c>
      <c r="N1846">
        <v>0</v>
      </c>
      <c r="O1846">
        <v>-2.0649219999999999E-2</v>
      </c>
      <c r="P1846">
        <v>-0.99834500000000004</v>
      </c>
      <c r="Q1846">
        <v>-3.5145380000000002E-3</v>
      </c>
      <c r="R1846">
        <v>5.7404379999999998E-2</v>
      </c>
      <c r="S1846">
        <v>-2.9866489999999999</v>
      </c>
      <c r="T1846">
        <v>-0.75096870000000004</v>
      </c>
      <c r="U1846">
        <v>0.28601070000000001</v>
      </c>
      <c r="V1846">
        <v>7.8015409999999993E-2</v>
      </c>
      <c r="W1846">
        <v>1.037423E-3</v>
      </c>
      <c r="X1846">
        <v>0.99695160000000005</v>
      </c>
      <c r="Y1846">
        <v>0.111775</v>
      </c>
      <c r="Z1846">
        <v>1.890934E-2</v>
      </c>
      <c r="AA1846">
        <v>0.99355360000000004</v>
      </c>
      <c r="AB1846">
        <v>32</v>
      </c>
      <c r="AC1846">
        <v>-0.63010000000002697</v>
      </c>
      <c r="AD1846">
        <v>-0.23390749999999999</v>
      </c>
      <c r="AE1846">
        <v>9.3700000000012496E-2</v>
      </c>
      <c r="AF1846">
        <v>9.4015611459772899E-2</v>
      </c>
      <c r="AG1846">
        <v>-0.23390749999999999</v>
      </c>
      <c r="AH1846">
        <v>0.55341646460153404</v>
      </c>
      <c r="AI1846">
        <v>112.621044327804</v>
      </c>
      <c r="AJ1846">
        <v>80.358514177545999</v>
      </c>
      <c r="AK1846">
        <v>0.60812945747305003</v>
      </c>
      <c r="AL1846">
        <v>89.940560029071193</v>
      </c>
      <c r="AM1846">
        <v>85.525497008816203</v>
      </c>
      <c r="AN1846">
        <v>0.99999998659325395</v>
      </c>
    </row>
    <row r="1847" spans="1:40" x14ac:dyDescent="0.25">
      <c r="A1847" t="str">
        <f>"20190312154250594"</f>
        <v>20190312154250594</v>
      </c>
      <c r="B1847" t="str">
        <f>"1552376570589276"</f>
        <v>1552376570589276</v>
      </c>
      <c r="C1847" t="s">
        <v>40</v>
      </c>
      <c r="D1847">
        <v>4.9814780000000001</v>
      </c>
      <c r="E1847">
        <v>0.52980039999999995</v>
      </c>
      <c r="F1847" t="s">
        <v>41</v>
      </c>
      <c r="G1847">
        <v>-249.77379999999999</v>
      </c>
      <c r="H1847">
        <v>0.86153599999999997</v>
      </c>
      <c r="I1847">
        <v>281.75560000000002</v>
      </c>
      <c r="J1847">
        <v>-249.2012</v>
      </c>
      <c r="K1847">
        <v>1.1065640000000001</v>
      </c>
      <c r="L1847">
        <v>281.6361</v>
      </c>
      <c r="M1847">
        <v>-0.99983630000000001</v>
      </c>
      <c r="N1847">
        <v>0</v>
      </c>
      <c r="O1847">
        <v>-1.7401159999999999E-2</v>
      </c>
      <c r="P1847">
        <v>-0.99814080000000005</v>
      </c>
      <c r="Q1847">
        <v>-3.9974529999999998E-3</v>
      </c>
      <c r="R1847">
        <v>6.0821350000000003E-2</v>
      </c>
      <c r="S1847">
        <v>-2.9804379999999999</v>
      </c>
      <c r="T1847">
        <v>-0.80086930000000001</v>
      </c>
      <c r="U1847">
        <v>0.3775635</v>
      </c>
      <c r="V1847">
        <v>7.8185599999999994E-2</v>
      </c>
      <c r="W1847">
        <v>4.8524560000000002E-4</v>
      </c>
      <c r="X1847">
        <v>0.99693869999999896</v>
      </c>
      <c r="Y1847">
        <v>0.13750780000000001</v>
      </c>
      <c r="Z1847">
        <v>2.2662310000000001E-2</v>
      </c>
      <c r="AA1847">
        <v>0.99024140000000005</v>
      </c>
      <c r="AB1847">
        <v>32</v>
      </c>
      <c r="AC1847">
        <v>-0.572599999999994</v>
      </c>
      <c r="AD1847">
        <v>-0.245027999999999</v>
      </c>
      <c r="AE1847">
        <v>0.119500000000016</v>
      </c>
      <c r="AF1847">
        <v>0.11012229591183401</v>
      </c>
      <c r="AG1847">
        <v>-0.245027999999999</v>
      </c>
      <c r="AH1847">
        <v>0.485279702534054</v>
      </c>
      <c r="AI1847">
        <v>116.215734735796</v>
      </c>
      <c r="AJ1847">
        <v>77.214657720280201</v>
      </c>
      <c r="AK1847">
        <v>0.55467290409072001</v>
      </c>
      <c r="AL1847">
        <v>89.972197473932994</v>
      </c>
      <c r="AM1847">
        <v>85.515717896544103</v>
      </c>
      <c r="AN1847">
        <v>0.99999999753417002</v>
      </c>
    </row>
    <row r="1848" spans="1:40" x14ac:dyDescent="0.25">
      <c r="A1848" t="str">
        <f>"20190312154250615"</f>
        <v>20190312154250615</v>
      </c>
      <c r="B1848" t="str">
        <f>"1552376570609772"</f>
        <v>1552376570609772</v>
      </c>
      <c r="C1848" t="s">
        <v>40</v>
      </c>
      <c r="D1848">
        <v>4.9734730000000003</v>
      </c>
      <c r="E1848">
        <v>0.53001419999999999</v>
      </c>
      <c r="F1848" t="s">
        <v>41</v>
      </c>
      <c r="G1848">
        <v>-250.06540000000001</v>
      </c>
      <c r="H1848">
        <v>0.87666250000000001</v>
      </c>
      <c r="I1848">
        <v>281.74590000000001</v>
      </c>
      <c r="J1848">
        <v>-249.52340000000001</v>
      </c>
      <c r="K1848">
        <v>1.1065430000000001</v>
      </c>
      <c r="L1848">
        <v>281.63339999999999</v>
      </c>
      <c r="M1848">
        <v>-0.99988489999999997</v>
      </c>
      <c r="N1848">
        <v>0</v>
      </c>
      <c r="O1848">
        <v>-1.435587E-2</v>
      </c>
      <c r="P1848">
        <v>-0.9979287</v>
      </c>
      <c r="Q1848">
        <v>-3.8743889999999998E-3</v>
      </c>
      <c r="R1848">
        <v>6.4211329999999997E-2</v>
      </c>
      <c r="S1848">
        <v>-2.9794160000000001</v>
      </c>
      <c r="T1848">
        <v>-0.79252539999999905</v>
      </c>
      <c r="U1848">
        <v>0.3777161</v>
      </c>
      <c r="V1848">
        <v>7.8535770000000005E-2</v>
      </c>
      <c r="W1848">
        <v>5.4294290000000002E-4</v>
      </c>
      <c r="X1848">
        <v>0.9969112</v>
      </c>
      <c r="Y1848">
        <v>0.13488639999999999</v>
      </c>
      <c r="Z1848">
        <v>2.1306490000000001E-2</v>
      </c>
      <c r="AA1848">
        <v>0.99063199999999996</v>
      </c>
      <c r="AB1848">
        <v>32</v>
      </c>
      <c r="AC1848">
        <v>-0.54200000000000104</v>
      </c>
      <c r="AD1848">
        <v>-0.22988049999999999</v>
      </c>
      <c r="AE1848">
        <v>0.11250000000001099</v>
      </c>
      <c r="AF1848">
        <v>0.102578720020818</v>
      </c>
      <c r="AG1848">
        <v>-0.22988049999999999</v>
      </c>
      <c r="AH1848">
        <v>0.460851013337993</v>
      </c>
      <c r="AI1848">
        <v>115.961525020631</v>
      </c>
      <c r="AJ1848">
        <v>77.451362963423904</v>
      </c>
      <c r="AK1848">
        <v>0.52512007634065405</v>
      </c>
      <c r="AL1848">
        <v>89.968891663381498</v>
      </c>
      <c r="AM1848">
        <v>85.495592856448397</v>
      </c>
      <c r="AN1848">
        <v>1.0000000513209599</v>
      </c>
    </row>
    <row r="1849" spans="1:40" x14ac:dyDescent="0.25">
      <c r="A1849" t="str">
        <f>"20190312154250637"</f>
        <v>20190312154250637</v>
      </c>
      <c r="B1849" t="str">
        <f>"1552376570629296"</f>
        <v>1552376570629296</v>
      </c>
      <c r="C1849" t="s">
        <v>40</v>
      </c>
      <c r="D1849">
        <v>4.9555350000000002</v>
      </c>
      <c r="E1849">
        <v>0.52974399999999999</v>
      </c>
      <c r="F1849" t="s">
        <v>41</v>
      </c>
      <c r="G1849">
        <v>-250.35570000000001</v>
      </c>
      <c r="H1849">
        <v>0.88515949999999999</v>
      </c>
      <c r="I1849">
        <v>281.74239999999998</v>
      </c>
      <c r="J1849">
        <v>-249.8372</v>
      </c>
      <c r="K1849">
        <v>1.106536</v>
      </c>
      <c r="L1849">
        <v>281.63159999999999</v>
      </c>
      <c r="M1849">
        <v>-0.9999228</v>
      </c>
      <c r="N1849">
        <v>0</v>
      </c>
      <c r="O1849">
        <v>-1.143741E-2</v>
      </c>
      <c r="P1849">
        <v>-0.99768789999999996</v>
      </c>
      <c r="Q1849">
        <v>-3.318241E-3</v>
      </c>
      <c r="R1849">
        <v>6.7881759999999999E-2</v>
      </c>
      <c r="S1849">
        <v>-2.9780579999999999</v>
      </c>
      <c r="T1849">
        <v>-0.79219869999999903</v>
      </c>
      <c r="U1849">
        <v>0.39007570000000003</v>
      </c>
      <c r="V1849">
        <v>7.9296309999999995E-2</v>
      </c>
      <c r="W1849">
        <v>1.038853E-3</v>
      </c>
      <c r="X1849">
        <v>0.99685060000000003</v>
      </c>
      <c r="Y1849">
        <v>0.13615650000000001</v>
      </c>
      <c r="Z1849">
        <v>2.0707099999999999E-2</v>
      </c>
      <c r="AA1849">
        <v>0.99047090000000004</v>
      </c>
      <c r="AB1849">
        <v>32</v>
      </c>
      <c r="AC1849">
        <v>-0.51850000000001695</v>
      </c>
      <c r="AD1849">
        <v>-0.2213765</v>
      </c>
      <c r="AE1849">
        <v>0.110799999999983</v>
      </c>
      <c r="AF1849">
        <v>9.9395471969498606E-2</v>
      </c>
      <c r="AG1849">
        <v>-0.2213765</v>
      </c>
      <c r="AH1849">
        <v>0.44042019699498303</v>
      </c>
      <c r="AI1849">
        <v>116.119489861346</v>
      </c>
      <c r="AJ1849">
        <v>77.282359656248403</v>
      </c>
      <c r="AK1849">
        <v>0.50284884858313905</v>
      </c>
      <c r="AL1849">
        <v>89.940478099916206</v>
      </c>
      <c r="AM1849">
        <v>85.451879005284496</v>
      </c>
      <c r="AN1849">
        <v>1.00000005135776</v>
      </c>
    </row>
    <row r="1850" spans="1:40" x14ac:dyDescent="0.25">
      <c r="A1850" t="str">
        <f>"20190312154250659"</f>
        <v>20190312154250659</v>
      </c>
      <c r="B1850" t="str">
        <f>"1552376570649488"</f>
        <v>1552376570649488</v>
      </c>
      <c r="C1850" t="s">
        <v>40</v>
      </c>
      <c r="D1850">
        <v>4.970529</v>
      </c>
      <c r="E1850">
        <v>0.52900950000000002</v>
      </c>
      <c r="F1850" t="s">
        <v>41</v>
      </c>
      <c r="G1850">
        <v>-250.6463</v>
      </c>
      <c r="H1850">
        <v>0.89133689999999999</v>
      </c>
      <c r="I1850">
        <v>281.74029999999999</v>
      </c>
      <c r="J1850">
        <v>-250.15369999999999</v>
      </c>
      <c r="K1850">
        <v>1.106544</v>
      </c>
      <c r="L1850">
        <v>281.63060000000002</v>
      </c>
      <c r="M1850">
        <v>-0.9999519</v>
      </c>
      <c r="N1850">
        <v>0</v>
      </c>
      <c r="O1850">
        <v>-8.5496819999999994E-3</v>
      </c>
      <c r="P1850">
        <v>-0.99746939999999995</v>
      </c>
      <c r="Q1850">
        <v>-3.18696E-3</v>
      </c>
      <c r="R1850">
        <v>7.1027989999999999E-2</v>
      </c>
      <c r="S1850">
        <v>-2.9771879999999999</v>
      </c>
      <c r="T1850">
        <v>-0.79179719999999998</v>
      </c>
      <c r="U1850">
        <v>0.39865109999999998</v>
      </c>
      <c r="V1850">
        <v>7.9562040000000001E-2</v>
      </c>
      <c r="W1850">
        <v>1.120392E-3</v>
      </c>
      <c r="X1850">
        <v>0.99682930000000003</v>
      </c>
      <c r="Y1850">
        <v>0.13623929999999901</v>
      </c>
      <c r="Z1850">
        <v>1.9957909999999999E-2</v>
      </c>
      <c r="AA1850">
        <v>0.99047490000000005</v>
      </c>
      <c r="AB1850">
        <v>32</v>
      </c>
      <c r="AC1850">
        <v>-0.49260000000000997</v>
      </c>
      <c r="AD1850">
        <v>-0.21520709999999901</v>
      </c>
      <c r="AE1850">
        <v>0.109699999999975</v>
      </c>
      <c r="AF1850">
        <v>9.6381112608952504E-2</v>
      </c>
      <c r="AG1850">
        <v>-0.21520709999999901</v>
      </c>
      <c r="AH1850">
        <v>0.41599681398532301</v>
      </c>
      <c r="AI1850">
        <v>116.747144781733</v>
      </c>
      <c r="AJ1850">
        <v>76.955460029636399</v>
      </c>
      <c r="AK1850">
        <v>0.478180681337179</v>
      </c>
      <c r="AL1850">
        <v>89.935806254430602</v>
      </c>
      <c r="AM1850">
        <v>85.436604957817806</v>
      </c>
      <c r="AN1850">
        <v>1.0000000134128399</v>
      </c>
    </row>
    <row r="1851" spans="1:40" x14ac:dyDescent="0.25">
      <c r="A1851" t="str">
        <f>"20190312154250681"</f>
        <v>20190312154250681</v>
      </c>
      <c r="B1851" t="str">
        <f>"1552376570669009"</f>
        <v>1552376570669009</v>
      </c>
      <c r="C1851" t="s">
        <v>40</v>
      </c>
      <c r="D1851">
        <v>4.9807300000000003</v>
      </c>
      <c r="E1851">
        <v>0.52893129999999999</v>
      </c>
      <c r="F1851" t="s">
        <v>41</v>
      </c>
      <c r="G1851">
        <v>-250.93819999999999</v>
      </c>
      <c r="H1851">
        <v>0.89833019999999997</v>
      </c>
      <c r="I1851">
        <v>281.73680000000002</v>
      </c>
      <c r="J1851">
        <v>-250.47819999999999</v>
      </c>
      <c r="K1851">
        <v>1.106565</v>
      </c>
      <c r="L1851">
        <v>281.63049999999998</v>
      </c>
      <c r="M1851">
        <v>-0.99997250000000004</v>
      </c>
      <c r="N1851">
        <v>0</v>
      </c>
      <c r="O1851">
        <v>-5.6560780000000001E-3</v>
      </c>
      <c r="P1851">
        <v>-0.99728879999999998</v>
      </c>
      <c r="Q1851">
        <v>-3.5848820000000002E-3</v>
      </c>
      <c r="R1851">
        <v>7.3499690000000006E-2</v>
      </c>
      <c r="S1851">
        <v>-2.9764249999999999</v>
      </c>
      <c r="T1851">
        <v>-0.78988369999999997</v>
      </c>
      <c r="U1851">
        <v>0.40246579999999998</v>
      </c>
      <c r="V1851">
        <v>7.9145179999999996E-2</v>
      </c>
      <c r="W1851">
        <v>7.2032629999999997E-4</v>
      </c>
      <c r="X1851">
        <v>0.99686280000000005</v>
      </c>
      <c r="Y1851">
        <v>0.13482379999999999</v>
      </c>
      <c r="Z1851">
        <v>1.897896E-2</v>
      </c>
      <c r="AA1851">
        <v>0.99068780000000001</v>
      </c>
      <c r="AB1851">
        <v>32</v>
      </c>
      <c r="AC1851">
        <v>-0.46000000000000801</v>
      </c>
      <c r="AD1851">
        <v>-0.2082348</v>
      </c>
      <c r="AE1851">
        <v>0.10630000000003199</v>
      </c>
      <c r="AF1851">
        <v>9.1165306721110201E-2</v>
      </c>
      <c r="AG1851">
        <v>-0.2082348</v>
      </c>
      <c r="AH1851">
        <v>0.384577677533463</v>
      </c>
      <c r="AI1851">
        <v>117.783068361369</v>
      </c>
      <c r="AJ1851">
        <v>76.664025657314596</v>
      </c>
      <c r="AK1851">
        <v>0.44673575538300803</v>
      </c>
      <c r="AL1851">
        <v>89.958728337926203</v>
      </c>
      <c r="AM1851">
        <v>85.460566281107404</v>
      </c>
      <c r="AN1851">
        <v>0.99999996020552395</v>
      </c>
    </row>
    <row r="1852" spans="1:40" x14ac:dyDescent="0.25">
      <c r="A1852" t="str">
        <f>"20190312154250704"</f>
        <v>20190312154250704</v>
      </c>
      <c r="B1852" t="str">
        <f>"1552376570689505"</f>
        <v>1552376570689505</v>
      </c>
      <c r="C1852" t="s">
        <v>40</v>
      </c>
      <c r="D1852">
        <v>4.9804300000000001</v>
      </c>
      <c r="E1852">
        <v>0.52903120000000003</v>
      </c>
      <c r="F1852" t="s">
        <v>41</v>
      </c>
      <c r="G1852">
        <v>-251.23179999999999</v>
      </c>
      <c r="H1852">
        <v>0.90690159999999997</v>
      </c>
      <c r="I1852">
        <v>281.73480000000001</v>
      </c>
      <c r="J1852">
        <v>-250.79599999999999</v>
      </c>
      <c r="K1852">
        <v>1.1066229999999999</v>
      </c>
      <c r="L1852">
        <v>281.63130000000001</v>
      </c>
      <c r="M1852">
        <v>-0.99998370000000003</v>
      </c>
      <c r="N1852">
        <v>0</v>
      </c>
      <c r="O1852">
        <v>-2.899371E-3</v>
      </c>
      <c r="P1852">
        <v>-0.99710200000000004</v>
      </c>
      <c r="Q1852">
        <v>-4.1741879999999997E-3</v>
      </c>
      <c r="R1852">
        <v>7.5960459999999994E-2</v>
      </c>
      <c r="S1852">
        <v>-2.975098</v>
      </c>
      <c r="T1852">
        <v>-0.78809709999999999</v>
      </c>
      <c r="U1852">
        <v>0.41015629999999997</v>
      </c>
      <c r="V1852">
        <v>7.8854079999999993E-2</v>
      </c>
      <c r="W1852">
        <v>2.5350250000000002E-4</v>
      </c>
      <c r="X1852">
        <v>0.9968861</v>
      </c>
      <c r="Y1852">
        <v>0.13478099999999901</v>
      </c>
      <c r="Z1852">
        <v>1.822211E-2</v>
      </c>
      <c r="AA1852">
        <v>0.99070789999999997</v>
      </c>
      <c r="AB1852">
        <v>32</v>
      </c>
      <c r="AC1852">
        <v>-0.43580000000000002</v>
      </c>
      <c r="AD1852">
        <v>-0.19972139999999899</v>
      </c>
      <c r="AE1852">
        <v>0.103499999999996</v>
      </c>
      <c r="AF1852">
        <v>8.7389043061833593E-2</v>
      </c>
      <c r="AG1852">
        <v>-0.19972139999999899</v>
      </c>
      <c r="AH1852">
        <v>0.36327438713903298</v>
      </c>
      <c r="AI1852">
        <v>118.125941341656</v>
      </c>
      <c r="AJ1852">
        <v>76.473968723616295</v>
      </c>
      <c r="AK1852">
        <v>0.42366704240059</v>
      </c>
      <c r="AL1852">
        <v>89.985475375965095</v>
      </c>
      <c r="AM1852">
        <v>85.477298422339899</v>
      </c>
      <c r="AN1852">
        <v>0.99999996328468599</v>
      </c>
    </row>
    <row r="1853" spans="1:40" x14ac:dyDescent="0.25">
      <c r="A1853" t="str">
        <f>"20190312154250725"</f>
        <v>20190312154250725</v>
      </c>
      <c r="B1853" t="str">
        <f>"1552376570719760"</f>
        <v>1552376570719760</v>
      </c>
      <c r="C1853" t="s">
        <v>40</v>
      </c>
      <c r="D1853">
        <v>4.9821140000000002</v>
      </c>
      <c r="E1853">
        <v>0.52880419999999995</v>
      </c>
      <c r="F1853" t="s">
        <v>41</v>
      </c>
      <c r="G1853">
        <v>-251.52510000000001</v>
      </c>
      <c r="H1853">
        <v>0.91274739999999999</v>
      </c>
      <c r="I1853">
        <v>281.73390000000001</v>
      </c>
      <c r="J1853">
        <v>-251.11109999999999</v>
      </c>
      <c r="K1853">
        <v>1.1067209999999901</v>
      </c>
      <c r="L1853">
        <v>281.63290000000001</v>
      </c>
      <c r="M1853">
        <v>-0.99998640000000005</v>
      </c>
      <c r="N1853">
        <v>0</v>
      </c>
      <c r="O1853">
        <v>-2.4476020000000002E-4</v>
      </c>
      <c r="P1853">
        <v>-0.99692539999999996</v>
      </c>
      <c r="Q1853">
        <v>-5.4873119999999899E-3</v>
      </c>
      <c r="R1853">
        <v>7.8167710000000001E-2</v>
      </c>
      <c r="S1853">
        <v>-2.9734950000000002</v>
      </c>
      <c r="T1853">
        <v>-0.79073519999999997</v>
      </c>
      <c r="U1853">
        <v>0.41888429999999999</v>
      </c>
      <c r="V1853">
        <v>7.8408790000000006E-2</v>
      </c>
      <c r="W1853">
        <v>-7.4100109999999996E-4</v>
      </c>
      <c r="X1853">
        <v>0.99692099999999995</v>
      </c>
      <c r="Y1853">
        <v>0.13512299999999999</v>
      </c>
      <c r="Z1853">
        <v>1.764083E-2</v>
      </c>
      <c r="AA1853">
        <v>0.99067179999999999</v>
      </c>
      <c r="AB1853">
        <v>32</v>
      </c>
      <c r="AC1853">
        <v>-0.41400000000001502</v>
      </c>
      <c r="AD1853">
        <v>-0.193973599999999</v>
      </c>
      <c r="AE1853">
        <v>0.10099999999999899</v>
      </c>
      <c r="AF1853">
        <v>8.3749051718900694E-2</v>
      </c>
      <c r="AG1853">
        <v>-0.193973599999999</v>
      </c>
      <c r="AH1853">
        <v>0.34292364226183802</v>
      </c>
      <c r="AI1853">
        <v>118.788658752336</v>
      </c>
      <c r="AJ1853">
        <v>76.275829148225696</v>
      </c>
      <c r="AK1853">
        <v>0.40278565712162601</v>
      </c>
      <c r="AL1853">
        <v>90.042456240216097</v>
      </c>
      <c r="AM1853">
        <v>85.502889902789605</v>
      </c>
      <c r="AN1853">
        <v>0.99999998383644695</v>
      </c>
    </row>
    <row r="1854" spans="1:40" x14ac:dyDescent="0.25">
      <c r="A1854" t="str">
        <f>"20190312154250749"</f>
        <v>20190312154250749</v>
      </c>
      <c r="B1854" t="str">
        <f>"1552376570738826"</f>
        <v>1552376570738826</v>
      </c>
      <c r="C1854" t="s">
        <v>40</v>
      </c>
      <c r="D1854">
        <v>5.0092780000000001</v>
      </c>
      <c r="E1854">
        <v>0.52896339999999997</v>
      </c>
      <c r="F1854" t="s">
        <v>41</v>
      </c>
      <c r="G1854">
        <v>-251.8193</v>
      </c>
      <c r="H1854">
        <v>0.91984869999999996</v>
      </c>
      <c r="I1854">
        <v>281.73439999999999</v>
      </c>
      <c r="J1854">
        <v>-251.45740000000001</v>
      </c>
      <c r="K1854">
        <v>1.1068910000000001</v>
      </c>
      <c r="L1854">
        <v>281.63560000000001</v>
      </c>
      <c r="M1854">
        <v>-0.99997959999999997</v>
      </c>
      <c r="N1854">
        <v>0</v>
      </c>
      <c r="O1854">
        <v>2.5856490000000002E-3</v>
      </c>
      <c r="P1854">
        <v>-0.99667249999999996</v>
      </c>
      <c r="Q1854">
        <v>-7.1949179999999998E-3</v>
      </c>
      <c r="R1854">
        <v>8.1194429999999998E-2</v>
      </c>
      <c r="S1854">
        <v>-2.9716800000000001</v>
      </c>
      <c r="T1854">
        <v>-0.78382869999999905</v>
      </c>
      <c r="U1854">
        <v>0.4244385</v>
      </c>
      <c r="V1854">
        <v>7.8607640000000006E-2</v>
      </c>
      <c r="W1854">
        <v>-1.8214850000000001E-3</v>
      </c>
      <c r="X1854">
        <v>0.99690400000000001</v>
      </c>
      <c r="Y1854">
        <v>0.13441310000000001</v>
      </c>
      <c r="Z1854">
        <v>1.6677770000000001E-2</v>
      </c>
      <c r="AA1854">
        <v>0.99078500000000003</v>
      </c>
      <c r="AB1854">
        <v>32</v>
      </c>
      <c r="AC1854">
        <v>-0.36189999999999101</v>
      </c>
      <c r="AD1854">
        <v>-0.18704229999999999</v>
      </c>
      <c r="AE1854">
        <v>9.8799999999982901E-2</v>
      </c>
      <c r="AF1854">
        <v>7.8379541109967199E-2</v>
      </c>
      <c r="AG1854">
        <v>-0.18704229999999999</v>
      </c>
      <c r="AH1854">
        <v>0.29005059380702802</v>
      </c>
      <c r="AI1854">
        <v>121.903581596363</v>
      </c>
      <c r="AJ1854">
        <v>74.878295918202994</v>
      </c>
      <c r="AK1854">
        <v>0.35391739349982299</v>
      </c>
      <c r="AL1854">
        <v>90.104363457311706</v>
      </c>
      <c r="AM1854">
        <v>85.491455322519599</v>
      </c>
      <c r="AN1854">
        <v>1.00000003204498</v>
      </c>
    </row>
    <row r="1855" spans="1:40" x14ac:dyDescent="0.25">
      <c r="A1855" t="str">
        <f>"20190312154250771"</f>
        <v>20190312154250771</v>
      </c>
      <c r="B1855" t="str">
        <f>"1552376570759323"</f>
        <v>1552376570759323</v>
      </c>
      <c r="C1855" t="s">
        <v>40</v>
      </c>
      <c r="D1855">
        <v>4.9890460000000001</v>
      </c>
      <c r="E1855">
        <v>0.52887359999999894</v>
      </c>
      <c r="F1855" t="s">
        <v>41</v>
      </c>
      <c r="G1855">
        <v>-252.37899999999999</v>
      </c>
      <c r="H1855">
        <v>0.86394459999999995</v>
      </c>
      <c r="I1855">
        <v>281.77080000000001</v>
      </c>
      <c r="J1855">
        <v>-251.77250000000001</v>
      </c>
      <c r="K1855">
        <v>1.107011</v>
      </c>
      <c r="L1855">
        <v>281.63889999999998</v>
      </c>
      <c r="M1855">
        <v>-0.99996660000000004</v>
      </c>
      <c r="N1855">
        <v>0</v>
      </c>
      <c r="O1855">
        <v>5.1307540000000004E-3</v>
      </c>
      <c r="P1855">
        <v>-0.99643689999999996</v>
      </c>
      <c r="Q1855">
        <v>-8.0106799999999992E-3</v>
      </c>
      <c r="R1855">
        <v>8.3962079999999994E-2</v>
      </c>
      <c r="S1855">
        <v>-2.9689030000000001</v>
      </c>
      <c r="T1855">
        <v>-0.78265810000000002</v>
      </c>
      <c r="U1855">
        <v>0.43554690000000001</v>
      </c>
      <c r="V1855">
        <v>7.8837359999999995E-2</v>
      </c>
      <c r="W1855">
        <v>-2.118048E-3</v>
      </c>
      <c r="X1855">
        <v>0.99688520000000003</v>
      </c>
      <c r="Y1855">
        <v>0.135703399999999</v>
      </c>
      <c r="Z1855">
        <v>1.617449E-2</v>
      </c>
      <c r="AA1855">
        <v>0.99061750000000004</v>
      </c>
      <c r="AB1855">
        <v>32</v>
      </c>
      <c r="AC1855">
        <v>-0.60650000000001103</v>
      </c>
      <c r="AD1855">
        <v>-0.24306639999999999</v>
      </c>
      <c r="AE1855">
        <v>0.13190000000002999</v>
      </c>
      <c r="AF1855">
        <v>0.111661701984065</v>
      </c>
      <c r="AG1855">
        <v>-0.24306639999999999</v>
      </c>
      <c r="AH1855">
        <v>0.52643369008694096</v>
      </c>
      <c r="AI1855">
        <v>114.307455990395</v>
      </c>
      <c r="AJ1855">
        <v>78.024497720223494</v>
      </c>
      <c r="AK1855">
        <v>0.59049304869531805</v>
      </c>
      <c r="AL1855">
        <v>90.121355306951799</v>
      </c>
      <c r="AM1855">
        <v>85.478249360734907</v>
      </c>
      <c r="AN1855">
        <v>0.99999995871906899</v>
      </c>
    </row>
    <row r="1856" spans="1:40" x14ac:dyDescent="0.25">
      <c r="A1856" t="str">
        <f>"20190312154250794"</f>
        <v>20190312154250794</v>
      </c>
      <c r="B1856" t="str">
        <f>"1552376570789578"</f>
        <v>1552376570789578</v>
      </c>
      <c r="C1856" t="s">
        <v>40</v>
      </c>
      <c r="D1856">
        <v>4.9894119999999997</v>
      </c>
      <c r="E1856">
        <v>0.52877280000000004</v>
      </c>
      <c r="F1856" t="s">
        <v>41</v>
      </c>
      <c r="G1856">
        <v>-252.6728</v>
      </c>
      <c r="H1856">
        <v>0.87038519999999897</v>
      </c>
      <c r="I1856">
        <v>281.77370000000002</v>
      </c>
      <c r="J1856">
        <v>-252.11600000000001</v>
      </c>
      <c r="K1856">
        <v>1.107127</v>
      </c>
      <c r="L1856">
        <v>281.64339999999999</v>
      </c>
      <c r="M1856">
        <v>-0.99994490000000003</v>
      </c>
      <c r="N1856">
        <v>0</v>
      </c>
      <c r="O1856">
        <v>7.8378839999999998E-3</v>
      </c>
      <c r="P1856">
        <v>-0.99622940000000004</v>
      </c>
      <c r="Q1856">
        <v>-8.2172900000000004E-3</v>
      </c>
      <c r="R1856">
        <v>8.6368899999999998E-2</v>
      </c>
      <c r="S1856">
        <v>-2.9670260000000002</v>
      </c>
      <c r="T1856">
        <v>-0.77981519999999904</v>
      </c>
      <c r="U1856">
        <v>0.4440308</v>
      </c>
      <c r="V1856">
        <v>7.8549110000000005E-2</v>
      </c>
      <c r="W1856">
        <v>-1.716626E-3</v>
      </c>
      <c r="X1856">
        <v>0.99690880000000004</v>
      </c>
      <c r="Y1856">
        <v>0.13599330000000001</v>
      </c>
      <c r="Z1856">
        <v>1.5465680000000001E-2</v>
      </c>
      <c r="AA1856">
        <v>0.99058900000000005</v>
      </c>
      <c r="AB1856">
        <v>32</v>
      </c>
      <c r="AC1856">
        <v>-0.55680000000000895</v>
      </c>
      <c r="AD1856">
        <v>-0.2367418</v>
      </c>
      <c r="AE1856">
        <v>0.130300000000033</v>
      </c>
      <c r="AF1856">
        <v>0.10750586430412</v>
      </c>
      <c r="AG1856">
        <v>-0.2367418</v>
      </c>
      <c r="AH1856">
        <v>0.47618824415451599</v>
      </c>
      <c r="AI1856">
        <v>115.871290645561</v>
      </c>
      <c r="AJ1856">
        <v>77.277992799725794</v>
      </c>
      <c r="AK1856">
        <v>0.54254901584831605</v>
      </c>
      <c r="AL1856">
        <v>90.098355469911397</v>
      </c>
      <c r="AM1856">
        <v>85.494820090967593</v>
      </c>
      <c r="AN1856">
        <v>1.00000003250202</v>
      </c>
    </row>
    <row r="1857" spans="1:40" x14ac:dyDescent="0.25">
      <c r="A1857" t="str">
        <f>"20190312154250815"</f>
        <v>20190312154250815</v>
      </c>
      <c r="B1857" t="str">
        <f>"1552376570809098"</f>
        <v>1552376570809098</v>
      </c>
      <c r="C1857" t="s">
        <v>40</v>
      </c>
      <c r="D1857">
        <v>5.0093610000000002</v>
      </c>
      <c r="E1857">
        <v>0.52880649999999996</v>
      </c>
      <c r="F1857" t="s">
        <v>41</v>
      </c>
      <c r="G1857">
        <v>-252.96950000000001</v>
      </c>
      <c r="H1857">
        <v>0.884486199999999</v>
      </c>
      <c r="I1857">
        <v>281.77359999999999</v>
      </c>
      <c r="J1857">
        <v>-252.42910000000001</v>
      </c>
      <c r="K1857">
        <v>1.107259</v>
      </c>
      <c r="L1857">
        <v>281.64839999999998</v>
      </c>
      <c r="M1857">
        <v>-0.99991859999999999</v>
      </c>
      <c r="N1857">
        <v>0</v>
      </c>
      <c r="O1857">
        <v>1.026207E-2</v>
      </c>
      <c r="P1857">
        <v>-0.99606660000000002</v>
      </c>
      <c r="Q1857">
        <v>-8.7381969999999996E-3</v>
      </c>
      <c r="R1857">
        <v>8.8176859999999996E-2</v>
      </c>
      <c r="S1857">
        <v>-2.9658359999999999</v>
      </c>
      <c r="T1857">
        <v>-0.77359860000000003</v>
      </c>
      <c r="U1857">
        <v>0.4515381</v>
      </c>
      <c r="V1857">
        <v>7.7942289999999997E-2</v>
      </c>
      <c r="W1857">
        <v>-1.6299039999999999E-3</v>
      </c>
      <c r="X1857">
        <v>0.99695650000000002</v>
      </c>
      <c r="Y1857">
        <v>0.13623940000000001</v>
      </c>
      <c r="Z1857">
        <v>1.4762559999999999E-2</v>
      </c>
      <c r="AA1857">
        <v>0.99056599999999995</v>
      </c>
      <c r="AB1857">
        <v>32</v>
      </c>
      <c r="AC1857">
        <v>-0.54040000000000499</v>
      </c>
      <c r="AD1857">
        <v>-0.22277279999999999</v>
      </c>
      <c r="AE1857">
        <v>0.125200000000006</v>
      </c>
      <c r="AF1857">
        <v>0.10303061238903601</v>
      </c>
      <c r="AG1857">
        <v>-0.22277279999999999</v>
      </c>
      <c r="AH1857">
        <v>0.46642956478367897</v>
      </c>
      <c r="AI1857">
        <v>115.002960645697</v>
      </c>
      <c r="AJ1857">
        <v>77.543835991757206</v>
      </c>
      <c r="AK1857">
        <v>0.52706694680409605</v>
      </c>
      <c r="AL1857">
        <v>90.093386665292897</v>
      </c>
      <c r="AM1857">
        <v>85.529695615879305</v>
      </c>
      <c r="AN1857">
        <v>0.99999996002487002</v>
      </c>
    </row>
    <row r="1858" spans="1:40" x14ac:dyDescent="0.25">
      <c r="A1858" t="str">
        <f>"20190312154250839"</f>
        <v>20190312154250839</v>
      </c>
      <c r="B1858" t="str">
        <f>"1552376570829594"</f>
        <v>1552376570829594</v>
      </c>
      <c r="C1858" t="s">
        <v>40</v>
      </c>
      <c r="D1858">
        <v>5.0240720000000003</v>
      </c>
      <c r="E1858">
        <v>0.52858539999999998</v>
      </c>
      <c r="F1858" t="s">
        <v>41</v>
      </c>
      <c r="G1858">
        <v>-253.2628</v>
      </c>
      <c r="H1858">
        <v>0.89026369999999899</v>
      </c>
      <c r="I1858">
        <v>281.77719999999999</v>
      </c>
      <c r="J1858">
        <v>-252.762</v>
      </c>
      <c r="K1858">
        <v>1.1073809999999999</v>
      </c>
      <c r="L1858">
        <v>281.65440000000001</v>
      </c>
      <c r="M1858">
        <v>-0.99988429999999995</v>
      </c>
      <c r="N1858">
        <v>0</v>
      </c>
      <c r="O1858">
        <v>1.2809279999999999E-2</v>
      </c>
      <c r="P1858">
        <v>-0.99591700000000005</v>
      </c>
      <c r="Q1858">
        <v>-9.7786360000000003E-3</v>
      </c>
      <c r="R1858">
        <v>8.9743740000000002E-2</v>
      </c>
      <c r="S1858">
        <v>-2.964493</v>
      </c>
      <c r="T1858">
        <v>-0.77162109999999995</v>
      </c>
      <c r="U1858">
        <v>0.45819090000000001</v>
      </c>
      <c r="V1858">
        <v>7.6968809999999999E-2</v>
      </c>
      <c r="W1858">
        <v>-2.0295130000000002E-3</v>
      </c>
      <c r="X1858">
        <v>0.99703149999999996</v>
      </c>
      <c r="Y1858">
        <v>0.1360635</v>
      </c>
      <c r="Z1858">
        <v>1.4059459999999999E-2</v>
      </c>
      <c r="AA1858">
        <v>0.99060029999999999</v>
      </c>
      <c r="AB1858">
        <v>32</v>
      </c>
      <c r="AC1858">
        <v>-0.50079999999999802</v>
      </c>
      <c r="AD1858">
        <v>-0.21711730000000001</v>
      </c>
      <c r="AE1858">
        <v>0.12279999999998301</v>
      </c>
      <c r="AF1858">
        <v>9.8849126546181304E-2</v>
      </c>
      <c r="AG1858">
        <v>-0.21711730000000001</v>
      </c>
      <c r="AH1858">
        <v>0.42668227788284202</v>
      </c>
      <c r="AI1858">
        <v>116.3685847484</v>
      </c>
      <c r="AJ1858">
        <v>76.956437589599005</v>
      </c>
      <c r="AK1858">
        <v>0.48884439041224897</v>
      </c>
      <c r="AL1858">
        <v>90.1162826017149</v>
      </c>
      <c r="AM1858">
        <v>85.585637285527397</v>
      </c>
      <c r="AN1858">
        <v>1.0000000643140301</v>
      </c>
    </row>
    <row r="1859" spans="1:40" x14ac:dyDescent="0.25">
      <c r="A1859" t="str">
        <f>"20190312154250860"</f>
        <v>20190312154250860</v>
      </c>
      <c r="B1859" t="str">
        <f>"1552376570848778"</f>
        <v>1552376570848778</v>
      </c>
      <c r="C1859" t="s">
        <v>40</v>
      </c>
      <c r="D1859">
        <v>4.9539460000000002</v>
      </c>
      <c r="E1859">
        <v>0.52857359999999998</v>
      </c>
      <c r="F1859" t="s">
        <v>41</v>
      </c>
      <c r="G1859">
        <v>-253.55779999999999</v>
      </c>
      <c r="H1859">
        <v>0.90040019999999998</v>
      </c>
      <c r="I1859">
        <v>281.77850000000001</v>
      </c>
      <c r="J1859">
        <v>-253.07740000000001</v>
      </c>
      <c r="K1859">
        <v>1.1074900000000001</v>
      </c>
      <c r="L1859">
        <v>281.661</v>
      </c>
      <c r="M1859">
        <v>-0.99984629999999997</v>
      </c>
      <c r="N1859">
        <v>0</v>
      </c>
      <c r="O1859">
        <v>1.5192590000000001E-2</v>
      </c>
      <c r="P1859">
        <v>-0.99577749999999998</v>
      </c>
      <c r="Q1859">
        <v>-1.021381E-2</v>
      </c>
      <c r="R1859">
        <v>9.1231469999999995E-2</v>
      </c>
      <c r="S1859">
        <v>-2.963165</v>
      </c>
      <c r="T1859">
        <v>-0.77068599999999998</v>
      </c>
      <c r="U1859">
        <v>0.46136470000000002</v>
      </c>
      <c r="V1859">
        <v>7.608268E-2</v>
      </c>
      <c r="W1859">
        <v>-1.8995959999999999E-3</v>
      </c>
      <c r="X1859">
        <v>0.99709970000000003</v>
      </c>
      <c r="Y1859">
        <v>0.13492789999999999</v>
      </c>
      <c r="Z1859">
        <v>1.329754E-2</v>
      </c>
      <c r="AA1859">
        <v>0.99076620000000004</v>
      </c>
      <c r="AB1859">
        <v>32</v>
      </c>
      <c r="AC1859">
        <v>-0.48039999999997401</v>
      </c>
      <c r="AD1859">
        <v>-0.20708979999999899</v>
      </c>
      <c r="AE1859">
        <v>0.117500000000006</v>
      </c>
      <c r="AF1859">
        <v>9.3749682720869004E-2</v>
      </c>
      <c r="AG1859">
        <v>-0.20708979999999899</v>
      </c>
      <c r="AH1859">
        <v>0.41020491686379701</v>
      </c>
      <c r="AI1859">
        <v>116.20434416453701</v>
      </c>
      <c r="AJ1859">
        <v>77.126517156618704</v>
      </c>
      <c r="AK1859">
        <v>0.46898108927070598</v>
      </c>
      <c r="AL1859">
        <v>90.108838899341507</v>
      </c>
      <c r="AM1859">
        <v>85.6365590408993</v>
      </c>
      <c r="AN1859">
        <v>0.99999999720051702</v>
      </c>
    </row>
    <row r="1860" spans="1:40" x14ac:dyDescent="0.25">
      <c r="A1860" t="str">
        <f>"20190312154250881"</f>
        <v>20190312154250881</v>
      </c>
      <c r="B1860" t="str">
        <f>"1552376570879034"</f>
        <v>1552376570879034</v>
      </c>
      <c r="C1860" t="s">
        <v>40</v>
      </c>
      <c r="D1860">
        <v>5.0206390000000001</v>
      </c>
      <c r="E1860">
        <v>0.52858749999999999</v>
      </c>
      <c r="F1860" t="s">
        <v>41</v>
      </c>
      <c r="G1860">
        <v>-253.8511</v>
      </c>
      <c r="H1860">
        <v>0.90662160000000003</v>
      </c>
      <c r="I1860">
        <v>281.78289999999998</v>
      </c>
      <c r="J1860">
        <v>-253.38849999999999</v>
      </c>
      <c r="K1860">
        <v>1.1075809999999999</v>
      </c>
      <c r="L1860">
        <v>281.66820000000001</v>
      </c>
      <c r="M1860">
        <v>-0.99980380000000002</v>
      </c>
      <c r="N1860">
        <v>0</v>
      </c>
      <c r="O1860">
        <v>1.7505739999999999E-2</v>
      </c>
      <c r="P1860">
        <v>-0.99569339999999995</v>
      </c>
      <c r="Q1860">
        <v>-1.0320299999999999E-2</v>
      </c>
      <c r="R1860">
        <v>9.2132049999999993E-2</v>
      </c>
      <c r="S1860">
        <v>-2.9621729999999999</v>
      </c>
      <c r="T1860">
        <v>-0.768966699999999</v>
      </c>
      <c r="U1860">
        <v>0.46609499999999998</v>
      </c>
      <c r="V1860">
        <v>7.4679809999999999E-2</v>
      </c>
      <c r="W1860">
        <v>-1.4918469999999999E-3</v>
      </c>
      <c r="X1860">
        <v>0.99720640000000005</v>
      </c>
      <c r="Y1860">
        <v>0.13434119999999999</v>
      </c>
      <c r="Z1860">
        <v>1.261017E-2</v>
      </c>
      <c r="AA1860">
        <v>0.99085489999999998</v>
      </c>
      <c r="AB1860">
        <v>32</v>
      </c>
      <c r="AC1860">
        <v>-0.462600000000008</v>
      </c>
      <c r="AD1860">
        <v>-0.20095939999999901</v>
      </c>
      <c r="AE1860">
        <v>0.11469999999997001</v>
      </c>
      <c r="AF1860">
        <v>9.0495240412032801E-2</v>
      </c>
      <c r="AG1860">
        <v>-0.20095939999999901</v>
      </c>
      <c r="AH1860">
        <v>0.39441594041335298</v>
      </c>
      <c r="AI1860">
        <v>116.40933903366199</v>
      </c>
      <c r="AJ1860">
        <v>77.077651102789204</v>
      </c>
      <c r="AK1860">
        <v>0.45181633772777802</v>
      </c>
      <c r="AL1860">
        <v>90.085476572595596</v>
      </c>
      <c r="AM1860">
        <v>85.717169843490097</v>
      </c>
      <c r="AN1860">
        <v>0.99999995191503199</v>
      </c>
    </row>
    <row r="1861" spans="1:40" x14ac:dyDescent="0.25">
      <c r="A1861" t="str">
        <f>"20190312154250904"</f>
        <v>20190312154250904</v>
      </c>
      <c r="B1861" t="str">
        <f>"1552376570899530"</f>
        <v>1552376570899530</v>
      </c>
      <c r="C1861" t="s">
        <v>40</v>
      </c>
      <c r="D1861">
        <v>5.0619500000000004</v>
      </c>
      <c r="E1861">
        <v>0.52858660000000002</v>
      </c>
      <c r="F1861" t="s">
        <v>41</v>
      </c>
      <c r="G1861">
        <v>-254.14429999999999</v>
      </c>
      <c r="H1861">
        <v>0.91228779999999998</v>
      </c>
      <c r="I1861">
        <v>281.78809999999999</v>
      </c>
      <c r="J1861">
        <v>-253.7157</v>
      </c>
      <c r="K1861">
        <v>1.107666</v>
      </c>
      <c r="L1861">
        <v>281.6764</v>
      </c>
      <c r="M1861">
        <v>-0.9997547</v>
      </c>
      <c r="N1861">
        <v>0</v>
      </c>
      <c r="O1861">
        <v>1.9896090000000002E-2</v>
      </c>
      <c r="P1861">
        <v>-0.99561230000000001</v>
      </c>
      <c r="Q1861">
        <v>-1.084477E-2</v>
      </c>
      <c r="R1861">
        <v>9.2946299999999996E-2</v>
      </c>
      <c r="S1861">
        <v>-2.9616699999999998</v>
      </c>
      <c r="T1861">
        <v>-0.7651348</v>
      </c>
      <c r="U1861">
        <v>0.46902470000000002</v>
      </c>
      <c r="V1861">
        <v>7.3111060000000005E-2</v>
      </c>
      <c r="W1861">
        <v>-1.5233340000000001E-3</v>
      </c>
      <c r="X1861">
        <v>0.99732259999999995</v>
      </c>
      <c r="Y1861">
        <v>0.133108</v>
      </c>
      <c r="Z1861">
        <v>1.179113E-2</v>
      </c>
      <c r="AA1861">
        <v>0.99103140000000001</v>
      </c>
      <c r="AB1861">
        <v>32</v>
      </c>
      <c r="AC1861">
        <v>-0.42859999999998799</v>
      </c>
      <c r="AD1861">
        <v>-0.195378199999999</v>
      </c>
      <c r="AE1861">
        <v>0.11169999999998401</v>
      </c>
      <c r="AF1861">
        <v>8.6348010302446002E-2</v>
      </c>
      <c r="AG1861">
        <v>-0.195378199999999</v>
      </c>
      <c r="AH1861">
        <v>0.360575202201873</v>
      </c>
      <c r="AI1861">
        <v>117.78709776277501</v>
      </c>
      <c r="AJ1861">
        <v>76.532822774312606</v>
      </c>
      <c r="AK1861">
        <v>0.41909795556808999</v>
      </c>
      <c r="AL1861">
        <v>90.0872806464061</v>
      </c>
      <c r="AM1861">
        <v>85.807298952261604</v>
      </c>
      <c r="AN1861">
        <v>0.99999995805577802</v>
      </c>
    </row>
    <row r="1862" spans="1:40" x14ac:dyDescent="0.25">
      <c r="A1862" t="str">
        <f>"20190312154250928"</f>
        <v>20190312154250928</v>
      </c>
      <c r="B1862" t="str">
        <f>"1552376570919054"</f>
        <v>1552376570919054</v>
      </c>
      <c r="C1862" t="s">
        <v>40</v>
      </c>
      <c r="D1862">
        <v>5.067939</v>
      </c>
      <c r="E1862">
        <v>0.52862559999999903</v>
      </c>
      <c r="F1862" t="s">
        <v>41</v>
      </c>
      <c r="G1862">
        <v>-254.43889999999999</v>
      </c>
      <c r="H1862">
        <v>0.92082640000000004</v>
      </c>
      <c r="I1862">
        <v>281.7919</v>
      </c>
      <c r="J1862">
        <v>-254.0635</v>
      </c>
      <c r="K1862">
        <v>1.1077429999999999</v>
      </c>
      <c r="L1862">
        <v>281.6859</v>
      </c>
      <c r="M1862">
        <v>-0.99969730000000001</v>
      </c>
      <c r="N1862">
        <v>0</v>
      </c>
      <c r="O1862">
        <v>2.2391600000000001E-2</v>
      </c>
      <c r="P1862">
        <v>-0.99547110000000005</v>
      </c>
      <c r="Q1862">
        <v>-1.089272E-2</v>
      </c>
      <c r="R1862">
        <v>9.4439889999999999E-2</v>
      </c>
      <c r="S1862">
        <v>-2.9608310000000002</v>
      </c>
      <c r="T1862">
        <v>-0.76479969999999997</v>
      </c>
      <c r="U1862">
        <v>0.4719238</v>
      </c>
      <c r="V1862">
        <v>7.2120130000000005E-2</v>
      </c>
      <c r="W1862">
        <v>-1.104369E-3</v>
      </c>
      <c r="X1862">
        <v>0.99739529999999998</v>
      </c>
      <c r="Y1862">
        <v>0.13175029999999999</v>
      </c>
      <c r="Z1862">
        <v>1.0987159999999999E-2</v>
      </c>
      <c r="AA1862">
        <v>0.99122200000000005</v>
      </c>
      <c r="AB1862">
        <v>32</v>
      </c>
      <c r="AC1862">
        <v>-0.37539999999998402</v>
      </c>
      <c r="AD1862">
        <v>-0.18691659999999899</v>
      </c>
      <c r="AE1862">
        <v>0.105999999999994</v>
      </c>
      <c r="AF1862">
        <v>7.9348028595155495E-2</v>
      </c>
      <c r="AG1862">
        <v>-0.18691659999999899</v>
      </c>
      <c r="AH1862">
        <v>0.30715374558827002</v>
      </c>
      <c r="AI1862">
        <v>120.506639807704</v>
      </c>
      <c r="AJ1862">
        <v>75.515270347706505</v>
      </c>
      <c r="AK1862">
        <v>0.36820829489081502</v>
      </c>
      <c r="AL1862">
        <v>90.063275698205402</v>
      </c>
      <c r="AM1862">
        <v>85.864227698626607</v>
      </c>
      <c r="AN1862">
        <v>0.99999995862209601</v>
      </c>
    </row>
    <row r="1863" spans="1:40" x14ac:dyDescent="0.25">
      <c r="A1863" t="str">
        <f>"20190312154250948"</f>
        <v>20190312154250948</v>
      </c>
      <c r="B1863" t="str">
        <f>"1552376570939240"</f>
        <v>1552376570939240</v>
      </c>
      <c r="C1863" t="s">
        <v>40</v>
      </c>
      <c r="D1863">
        <v>5.1230560000000001</v>
      </c>
      <c r="E1863">
        <v>0.52863760000000004</v>
      </c>
      <c r="F1863" t="s">
        <v>41</v>
      </c>
      <c r="G1863">
        <v>-254.9973</v>
      </c>
      <c r="H1863">
        <v>0.86708569999999996</v>
      </c>
      <c r="I1863">
        <v>281.83620000000002</v>
      </c>
      <c r="J1863">
        <v>-254.3672</v>
      </c>
      <c r="K1863">
        <v>1.1077980000000001</v>
      </c>
      <c r="L1863">
        <v>281.69499999999999</v>
      </c>
      <c r="M1863">
        <v>-0.99964359999999997</v>
      </c>
      <c r="N1863">
        <v>0</v>
      </c>
      <c r="O1863">
        <v>2.4528589999999999E-2</v>
      </c>
      <c r="P1863">
        <v>-0.99530640000000004</v>
      </c>
      <c r="Q1863">
        <v>-1.1669000000000001E-2</v>
      </c>
      <c r="R1863">
        <v>9.6068769999999998E-2</v>
      </c>
      <c r="S1863">
        <v>-2.9600979999999999</v>
      </c>
      <c r="T1863">
        <v>-0.76287439999999995</v>
      </c>
      <c r="U1863">
        <v>0.47653200000000001</v>
      </c>
      <c r="V1863">
        <v>7.1618360000000006E-2</v>
      </c>
      <c r="W1863">
        <v>-1.523347E-3</v>
      </c>
      <c r="X1863">
        <v>0.99743090000000001</v>
      </c>
      <c r="Y1863">
        <v>0.1312749</v>
      </c>
      <c r="Z1863">
        <v>1.036378E-2</v>
      </c>
      <c r="AA1863">
        <v>0.99129179999999995</v>
      </c>
      <c r="AB1863">
        <v>32</v>
      </c>
      <c r="AC1863">
        <v>-0.630099999999998</v>
      </c>
      <c r="AD1863">
        <v>-0.24071229999999999</v>
      </c>
      <c r="AE1863">
        <v>0.141200000000026</v>
      </c>
      <c r="AF1863">
        <v>0.11036461326829899</v>
      </c>
      <c r="AG1863">
        <v>-0.24071229999999999</v>
      </c>
      <c r="AH1863">
        <v>0.55609720125726603</v>
      </c>
      <c r="AI1863">
        <v>113.00507301525001</v>
      </c>
      <c r="AJ1863">
        <v>78.774779517545696</v>
      </c>
      <c r="AK1863">
        <v>0.61592763899610403</v>
      </c>
      <c r="AL1863">
        <v>90.087281391503595</v>
      </c>
      <c r="AM1863">
        <v>85.893049278894793</v>
      </c>
      <c r="AN1863">
        <v>0.99999995517498996</v>
      </c>
    </row>
    <row r="1864" spans="1:40" x14ac:dyDescent="0.25">
      <c r="A1864" t="str">
        <f>"20190312154250972"</f>
        <v>20190312154250972</v>
      </c>
      <c r="B1864" t="str">
        <f>"1552376570959732"</f>
        <v>1552376570959732</v>
      </c>
      <c r="C1864" t="s">
        <v>40</v>
      </c>
      <c r="D1864">
        <v>5.0661440000000004</v>
      </c>
      <c r="E1864">
        <v>0.528532</v>
      </c>
      <c r="F1864" t="s">
        <v>41</v>
      </c>
      <c r="G1864">
        <v>-255.28880000000001</v>
      </c>
      <c r="H1864">
        <v>0.86997440000000004</v>
      </c>
      <c r="I1864">
        <v>281.8451</v>
      </c>
      <c r="J1864">
        <v>-254.69489999999999</v>
      </c>
      <c r="K1864">
        <v>1.1078539999999999</v>
      </c>
      <c r="L1864">
        <v>281.70549999999997</v>
      </c>
      <c r="M1864">
        <v>-0.99958179999999996</v>
      </c>
      <c r="N1864">
        <v>0</v>
      </c>
      <c r="O1864">
        <v>2.6799079999999999E-2</v>
      </c>
      <c r="P1864">
        <v>-0.99509259999999999</v>
      </c>
      <c r="Q1864">
        <v>-1.2974579999999999E-2</v>
      </c>
      <c r="R1864">
        <v>9.8093710000000001E-2</v>
      </c>
      <c r="S1864">
        <v>-2.95871</v>
      </c>
      <c r="T1864">
        <v>-0.76342919999999903</v>
      </c>
      <c r="U1864">
        <v>0.48156739999999998</v>
      </c>
      <c r="V1864">
        <v>7.1377699999999905E-2</v>
      </c>
      <c r="W1864">
        <v>-2.4904269999999999E-3</v>
      </c>
      <c r="X1864">
        <v>0.99744619999999995</v>
      </c>
      <c r="Y1864">
        <v>0.13082149999999901</v>
      </c>
      <c r="Z1864">
        <v>9.745086E-3</v>
      </c>
      <c r="AA1864">
        <v>0.99135799999999996</v>
      </c>
      <c r="AB1864">
        <v>32</v>
      </c>
      <c r="AC1864">
        <v>-0.59390000000001897</v>
      </c>
      <c r="AD1864">
        <v>-0.2378796</v>
      </c>
      <c r="AE1864">
        <v>0.13960000000002901</v>
      </c>
      <c r="AF1864">
        <v>0.107317387221547</v>
      </c>
      <c r="AG1864">
        <v>-0.2378796</v>
      </c>
      <c r="AH1864">
        <v>0.51858683710750297</v>
      </c>
      <c r="AI1864">
        <v>114.189135304269</v>
      </c>
      <c r="AJ1864">
        <v>78.308134806057396</v>
      </c>
      <c r="AK1864">
        <v>0.58054804565805196</v>
      </c>
      <c r="AL1864">
        <v>90.142691110907904</v>
      </c>
      <c r="AM1864">
        <v>85.906865499175098</v>
      </c>
      <c r="AN1864">
        <v>0.99999995008918396</v>
      </c>
    </row>
    <row r="1865" spans="1:40" x14ac:dyDescent="0.25">
      <c r="A1865" t="str">
        <f>"20190312154250995"</f>
        <v>20190312154250995</v>
      </c>
      <c r="B1865" t="str">
        <f>"1552376570989012"</f>
        <v>1552376570989012</v>
      </c>
      <c r="C1865" t="s">
        <v>40</v>
      </c>
      <c r="D1865">
        <v>5.2843650000000002</v>
      </c>
      <c r="E1865">
        <v>0.52914459999999996</v>
      </c>
      <c r="F1865" t="s">
        <v>41</v>
      </c>
      <c r="G1865">
        <v>-255.5823</v>
      </c>
      <c r="H1865">
        <v>0.87809400000000004</v>
      </c>
      <c r="I1865">
        <v>281.85199999999998</v>
      </c>
      <c r="J1865">
        <v>-255.0453</v>
      </c>
      <c r="K1865">
        <v>1.10791</v>
      </c>
      <c r="L1865">
        <v>281.71749999999997</v>
      </c>
      <c r="M1865">
        <v>-0.9995115</v>
      </c>
      <c r="N1865">
        <v>0</v>
      </c>
      <c r="O1865">
        <v>2.9184990000000001E-2</v>
      </c>
      <c r="P1865">
        <v>-0.99479810000000002</v>
      </c>
      <c r="Q1865">
        <v>-1.403123E-2</v>
      </c>
      <c r="R1865">
        <v>0.10089620000000001</v>
      </c>
      <c r="S1865">
        <v>-2.9567869999999998</v>
      </c>
      <c r="T1865">
        <v>-0.76539409999999997</v>
      </c>
      <c r="U1865">
        <v>0.48699949999999997</v>
      </c>
      <c r="V1865">
        <v>7.1803329999999999E-2</v>
      </c>
      <c r="W1865">
        <v>-3.2345989999999999E-3</v>
      </c>
      <c r="X1865">
        <v>0.99741360000000001</v>
      </c>
      <c r="Y1865">
        <v>0.1304023</v>
      </c>
      <c r="Z1865">
        <v>9.1181649999999993E-3</v>
      </c>
      <c r="AA1865">
        <v>0.9914193</v>
      </c>
      <c r="AB1865">
        <v>32</v>
      </c>
      <c r="AC1865">
        <v>-0.53700000000000603</v>
      </c>
      <c r="AD1865">
        <v>-0.22981599999999899</v>
      </c>
      <c r="AE1865">
        <v>0.13450000000005899</v>
      </c>
      <c r="AF1865">
        <v>0.101309613225308</v>
      </c>
      <c r="AG1865">
        <v>-0.22981599999999899</v>
      </c>
      <c r="AH1865">
        <v>0.461211371748946</v>
      </c>
      <c r="AI1865">
        <v>115.951479908794</v>
      </c>
      <c r="AJ1865">
        <v>77.611173120043404</v>
      </c>
      <c r="AK1865">
        <v>0.52516184269080901</v>
      </c>
      <c r="AL1865">
        <v>90.185329187776105</v>
      </c>
      <c r="AM1865">
        <v>85.882407448363296</v>
      </c>
      <c r="AN1865">
        <v>1.0000000351473599</v>
      </c>
    </row>
    <row r="1866" spans="1:40" x14ac:dyDescent="0.25">
      <c r="A1866" t="str">
        <f>"20190312154251018"</f>
        <v>20190312154251018</v>
      </c>
      <c r="B1866" t="str">
        <f>"1552376571009508"</f>
        <v>1552376571009508</v>
      </c>
      <c r="C1866" t="s">
        <v>40</v>
      </c>
      <c r="D1866">
        <v>4.0218669999999896</v>
      </c>
      <c r="E1866">
        <v>0.53033889999999995</v>
      </c>
      <c r="F1866" t="s">
        <v>41</v>
      </c>
      <c r="G1866">
        <v>-255.87799999999999</v>
      </c>
      <c r="H1866">
        <v>0.89173189999999902</v>
      </c>
      <c r="I1866">
        <v>281.85890000000001</v>
      </c>
      <c r="J1866">
        <v>-255.3672</v>
      </c>
      <c r="K1866">
        <v>1.1079639999999999</v>
      </c>
      <c r="L1866">
        <v>281.72919999999999</v>
      </c>
      <c r="M1866">
        <v>-0.99944379999999999</v>
      </c>
      <c r="N1866">
        <v>0</v>
      </c>
      <c r="O1866">
        <v>3.1333479999999997E-2</v>
      </c>
      <c r="P1866">
        <v>-0.99452830000000003</v>
      </c>
      <c r="Q1866">
        <v>-1.515639E-2</v>
      </c>
      <c r="R1866">
        <v>0.1033628</v>
      </c>
      <c r="S1866">
        <v>-2.9540860000000002</v>
      </c>
      <c r="T1866">
        <v>-0.76685309999999995</v>
      </c>
      <c r="U1866">
        <v>0.50073239999999997</v>
      </c>
      <c r="V1866">
        <v>7.2129159999999998E-2</v>
      </c>
      <c r="W1866">
        <v>-4.108558E-3</v>
      </c>
      <c r="X1866">
        <v>0.99738680000000002</v>
      </c>
      <c r="Y1866">
        <v>0.13287550000000001</v>
      </c>
      <c r="Z1866">
        <v>8.9093109999999996E-3</v>
      </c>
      <c r="AA1866">
        <v>0.99109270000000005</v>
      </c>
      <c r="AB1866">
        <v>32</v>
      </c>
      <c r="AC1866">
        <v>-0.51079999999998904</v>
      </c>
      <c r="AD1866">
        <v>-0.21623210000000001</v>
      </c>
      <c r="AE1866">
        <v>0.129700000000013</v>
      </c>
      <c r="AF1866">
        <v>9.7257218167771498E-2</v>
      </c>
      <c r="AG1866">
        <v>-0.21623210000000001</v>
      </c>
      <c r="AH1866">
        <v>0.44046300429443003</v>
      </c>
      <c r="AI1866">
        <v>115.61180163881301</v>
      </c>
      <c r="AJ1866">
        <v>77.548497804273694</v>
      </c>
      <c r="AK1866">
        <v>0.50022289602558001</v>
      </c>
      <c r="AL1866">
        <v>90.235403704419596</v>
      </c>
      <c r="AM1866">
        <v>85.863676536805997</v>
      </c>
      <c r="AN1866">
        <v>0.99999996239269096</v>
      </c>
    </row>
    <row r="1867" spans="1:40" x14ac:dyDescent="0.25">
      <c r="A1867" t="str">
        <f>"20190312154251262"</f>
        <v>20190312154251262</v>
      </c>
      <c r="B1867" t="str">
        <f>"1552376571259054"</f>
        <v>1552376571259054</v>
      </c>
      <c r="C1867" t="s">
        <v>40</v>
      </c>
      <c r="D1867">
        <v>5.2751950000000001</v>
      </c>
      <c r="E1867">
        <v>0.50899150000000004</v>
      </c>
      <c r="F1867" t="s">
        <v>41</v>
      </c>
      <c r="G1867">
        <v>-259.45850000000002</v>
      </c>
      <c r="H1867">
        <v>0.79601549999999999</v>
      </c>
      <c r="I1867">
        <v>281.9871</v>
      </c>
      <c r="J1867">
        <v>-259.07389999999998</v>
      </c>
      <c r="K1867">
        <v>1.1070469999999999</v>
      </c>
      <c r="L1867">
        <v>281.8972</v>
      </c>
      <c r="M1867">
        <v>-0.99875020000000003</v>
      </c>
      <c r="N1867">
        <v>0</v>
      </c>
      <c r="O1867">
        <v>4.9934760000000002E-2</v>
      </c>
      <c r="P1867">
        <v>-0.99303759999999996</v>
      </c>
      <c r="Q1867">
        <v>-7.2033979999999997E-3</v>
      </c>
      <c r="R1867">
        <v>0.11757819999999999</v>
      </c>
      <c r="S1867">
        <v>-2.958313</v>
      </c>
      <c r="T1867">
        <v>-1.266108</v>
      </c>
      <c r="U1867">
        <v>0.43847659999999999</v>
      </c>
      <c r="V1867">
        <v>6.7826670000000006E-2</v>
      </c>
      <c r="W1867">
        <v>-5.3223289999999998E-3</v>
      </c>
      <c r="X1867">
        <v>0.99768290000000004</v>
      </c>
      <c r="Y1867">
        <v>9.3315439999999999E-2</v>
      </c>
      <c r="Z1867">
        <v>-1.312625E-3</v>
      </c>
      <c r="AA1867">
        <v>0.99563570000000001</v>
      </c>
      <c r="AB1867">
        <v>35</v>
      </c>
      <c r="AC1867">
        <v>-0.38460000000003403</v>
      </c>
      <c r="AD1867">
        <v>-0.31103149999999902</v>
      </c>
      <c r="AE1867">
        <v>8.9899999999999994E-2</v>
      </c>
      <c r="AF1867">
        <v>4.3566049453816397E-2</v>
      </c>
      <c r="AG1867">
        <v>-0.31103149999999902</v>
      </c>
      <c r="AH1867">
        <v>0.23986227848227401</v>
      </c>
      <c r="AI1867">
        <v>141.910637357029</v>
      </c>
      <c r="AJ1867">
        <v>79.705622367998302</v>
      </c>
      <c r="AK1867">
        <v>0.39518667398581397</v>
      </c>
      <c r="AL1867">
        <v>90.304948435733806</v>
      </c>
      <c r="AM1867">
        <v>86.110776921308698</v>
      </c>
      <c r="AN1867">
        <v>0.99999997665084095</v>
      </c>
    </row>
    <row r="1868" spans="1:40" x14ac:dyDescent="0.25">
      <c r="A1868" t="str">
        <f>"20190312154251285"</f>
        <v>20190312154251285</v>
      </c>
      <c r="B1868" t="str">
        <f>"1552376571279550"</f>
        <v>1552376571279550</v>
      </c>
      <c r="C1868" t="s">
        <v>40</v>
      </c>
      <c r="D1868">
        <v>5.6417310000000001</v>
      </c>
      <c r="E1868">
        <v>0.4895582</v>
      </c>
      <c r="F1868" t="s">
        <v>41</v>
      </c>
      <c r="G1868">
        <v>-259.79349999999999</v>
      </c>
      <c r="H1868">
        <v>0.84633599999999998</v>
      </c>
      <c r="I1868">
        <v>281.98899999999998</v>
      </c>
      <c r="J1868">
        <v>-259.42989999999998</v>
      </c>
      <c r="K1868">
        <v>1.107151</v>
      </c>
      <c r="L1868">
        <v>281.9162</v>
      </c>
      <c r="M1868">
        <v>-0.99868869999999998</v>
      </c>
      <c r="N1868">
        <v>0</v>
      </c>
      <c r="O1868">
        <v>5.1157710000000002E-2</v>
      </c>
      <c r="P1868">
        <v>-0.99317370000000005</v>
      </c>
      <c r="Q1868">
        <v>-6.1684189999999996E-3</v>
      </c>
      <c r="R1868">
        <v>0.1164809</v>
      </c>
      <c r="S1868">
        <v>-2.9683839999999999</v>
      </c>
      <c r="T1868">
        <v>-1.0754220000000001</v>
      </c>
      <c r="U1868">
        <v>0.37884519999999999</v>
      </c>
      <c r="V1868">
        <v>6.550504E-2</v>
      </c>
      <c r="W1868">
        <v>-4.4513829999999997E-3</v>
      </c>
      <c r="X1868">
        <v>0.99784229999999996</v>
      </c>
      <c r="Y1868">
        <v>7.4242699999999995E-2</v>
      </c>
      <c r="Z1868">
        <v>-4.8902800000000003E-3</v>
      </c>
      <c r="AA1868">
        <v>0.99722820000000001</v>
      </c>
      <c r="AB1868">
        <v>35</v>
      </c>
      <c r="AC1868">
        <v>-0.36360000000001902</v>
      </c>
      <c r="AD1868">
        <v>-0.26081499999999902</v>
      </c>
      <c r="AE1868">
        <v>7.2800000000029202E-2</v>
      </c>
      <c r="AF1868">
        <v>3.6196878928098801E-2</v>
      </c>
      <c r="AG1868">
        <v>-0.26081499999999902</v>
      </c>
      <c r="AH1868">
        <v>0.245431648663128</v>
      </c>
      <c r="AI1868">
        <v>136.43276782635601</v>
      </c>
      <c r="AJ1868">
        <v>81.610352989264598</v>
      </c>
      <c r="AK1868">
        <v>0.35996023729661603</v>
      </c>
      <c r="AL1868">
        <v>90.255046303638807</v>
      </c>
      <c r="AM1868">
        <v>86.244111093809494</v>
      </c>
      <c r="AN1868">
        <v>0.99999999037265197</v>
      </c>
    </row>
    <row r="1869" spans="1:40" x14ac:dyDescent="0.25">
      <c r="A1869" t="str">
        <f>"20190312154251307"</f>
        <v>20190312154251307</v>
      </c>
      <c r="B1869" t="str">
        <f>"1552376571299070"</f>
        <v>1552376571299070</v>
      </c>
      <c r="C1869" t="s">
        <v>40</v>
      </c>
      <c r="D1869">
        <v>5.1581440000000001</v>
      </c>
      <c r="E1869">
        <v>0.49104209999999898</v>
      </c>
      <c r="F1869" t="s">
        <v>41</v>
      </c>
      <c r="G1869">
        <v>-260.18619999999999</v>
      </c>
      <c r="H1869">
        <v>1.014726</v>
      </c>
      <c r="I1869">
        <v>281.98020000000002</v>
      </c>
      <c r="J1869">
        <v>-259.78429999999997</v>
      </c>
      <c r="K1869">
        <v>1.10727999999999</v>
      </c>
      <c r="L1869">
        <v>281.9357</v>
      </c>
      <c r="M1869">
        <v>-0.9986256</v>
      </c>
      <c r="N1869">
        <v>0</v>
      </c>
      <c r="O1869">
        <v>5.2378170000000002E-2</v>
      </c>
      <c r="P1869">
        <v>-0.99327619999999905</v>
      </c>
      <c r="Q1869">
        <v>-5.762713E-3</v>
      </c>
      <c r="R1869">
        <v>0.11562550000000001</v>
      </c>
      <c r="S1869">
        <v>-2.9888309999999998</v>
      </c>
      <c r="T1869">
        <v>-0.36541590000000002</v>
      </c>
      <c r="U1869">
        <v>0.2519226</v>
      </c>
      <c r="V1869">
        <v>6.3427810000000001E-2</v>
      </c>
      <c r="W1869">
        <v>-4.0586670000000002E-3</v>
      </c>
      <c r="X1869">
        <v>0.99797820000000004</v>
      </c>
      <c r="Y1869">
        <v>3.1833199999999999E-2</v>
      </c>
      <c r="Z1869">
        <v>-4.4278260000000002E-3</v>
      </c>
      <c r="AA1869">
        <v>0.99948340000000002</v>
      </c>
      <c r="AB1869">
        <v>35</v>
      </c>
      <c r="AC1869">
        <v>-0.40190000000001103</v>
      </c>
      <c r="AD1869">
        <v>-9.2553999999999803E-2</v>
      </c>
      <c r="AE1869">
        <v>4.4500000000027698E-2</v>
      </c>
      <c r="AF1869">
        <v>2.2223752993367998E-2</v>
      </c>
      <c r="AG1869">
        <v>-9.2553999999999803E-2</v>
      </c>
      <c r="AH1869">
        <v>0.383582611410831</v>
      </c>
      <c r="AI1869">
        <v>103.543633902444</v>
      </c>
      <c r="AJ1869">
        <v>86.684142253108007</v>
      </c>
      <c r="AK1869">
        <v>0.39521609012015502</v>
      </c>
      <c r="AL1869">
        <v>90.232545122469006</v>
      </c>
      <c r="AM1869">
        <v>86.363383107221594</v>
      </c>
      <c r="AN1869">
        <v>1.00000002376722</v>
      </c>
    </row>
    <row r="1870" spans="1:40" x14ac:dyDescent="0.25">
      <c r="A1870" t="str">
        <f>"20190312154251330"</f>
        <v>20190312154251330</v>
      </c>
      <c r="B1870" t="str">
        <f>"1552376571319566"</f>
        <v>1552376571319566</v>
      </c>
      <c r="C1870" t="s">
        <v>40</v>
      </c>
      <c r="D1870">
        <v>5.2187910000000004</v>
      </c>
      <c r="E1870">
        <v>0.49134820000000001</v>
      </c>
      <c r="F1870" t="s">
        <v>41</v>
      </c>
      <c r="G1870">
        <v>-260.51490000000001</v>
      </c>
      <c r="H1870">
        <v>1.0382960000000001</v>
      </c>
      <c r="I1870">
        <v>282.00049999999999</v>
      </c>
      <c r="J1870">
        <v>-260.13940000000002</v>
      </c>
      <c r="K1870">
        <v>1.107413</v>
      </c>
      <c r="L1870">
        <v>281.95549999999997</v>
      </c>
      <c r="M1870">
        <v>-0.99855950000000004</v>
      </c>
      <c r="N1870">
        <v>0</v>
      </c>
      <c r="O1870">
        <v>5.362049E-2</v>
      </c>
      <c r="P1870">
        <v>-0.99336449999999998</v>
      </c>
      <c r="Q1870">
        <v>-5.8116409999999898E-3</v>
      </c>
      <c r="R1870">
        <v>0.1148634</v>
      </c>
      <c r="S1870">
        <v>-2.987854</v>
      </c>
      <c r="T1870">
        <v>-0.28215000000000001</v>
      </c>
      <c r="U1870">
        <v>0.26470949999999999</v>
      </c>
      <c r="V1870">
        <v>6.1421009999999998E-2</v>
      </c>
      <c r="W1870">
        <v>-4.0267109999999997E-3</v>
      </c>
      <c r="X1870">
        <v>0.99810379999999999</v>
      </c>
      <c r="Y1870">
        <v>3.479401E-2</v>
      </c>
      <c r="Z1870">
        <v>-3.4016620000000002E-3</v>
      </c>
      <c r="AA1870">
        <v>0.99938870000000002</v>
      </c>
      <c r="AB1870">
        <v>35</v>
      </c>
      <c r="AC1870">
        <v>-0.37549999999998801</v>
      </c>
      <c r="AD1870">
        <v>-6.9117000000000095E-2</v>
      </c>
      <c r="AE1870">
        <v>4.5000000000015902E-2</v>
      </c>
      <c r="AF1870">
        <v>2.3999139450846099E-2</v>
      </c>
      <c r="AG1870">
        <v>-6.9117000000000095E-2</v>
      </c>
      <c r="AH1870">
        <v>0.36517556438314402</v>
      </c>
      <c r="AI1870">
        <v>100.695089013442</v>
      </c>
      <c r="AJ1870">
        <v>86.2399595799411</v>
      </c>
      <c r="AK1870">
        <v>0.37243296202931397</v>
      </c>
      <c r="AL1870">
        <v>90.230714174820307</v>
      </c>
      <c r="AM1870">
        <v>86.478590217977796</v>
      </c>
      <c r="AN1870">
        <v>0.99999997522266804</v>
      </c>
    </row>
    <row r="1871" spans="1:40" x14ac:dyDescent="0.25">
      <c r="A1871" t="str">
        <f>"20190312154251350"</f>
        <v>20190312154251350</v>
      </c>
      <c r="B1871" t="str">
        <f>"1552376571339087"</f>
        <v>1552376571339087</v>
      </c>
      <c r="C1871" t="s">
        <v>40</v>
      </c>
      <c r="D1871">
        <v>5.2213079999999996</v>
      </c>
      <c r="E1871">
        <v>0.49184</v>
      </c>
      <c r="F1871" t="s">
        <v>41</v>
      </c>
      <c r="G1871">
        <v>-261.14679999999998</v>
      </c>
      <c r="H1871">
        <v>1.0243660000000001</v>
      </c>
      <c r="I1871">
        <v>282.04509999999999</v>
      </c>
      <c r="J1871">
        <v>-260.4683</v>
      </c>
      <c r="K1871">
        <v>1.1075170000000001</v>
      </c>
      <c r="L1871">
        <v>281.9742</v>
      </c>
      <c r="M1871">
        <v>-0.9984963</v>
      </c>
      <c r="N1871">
        <v>0</v>
      </c>
      <c r="O1871">
        <v>5.478044E-2</v>
      </c>
      <c r="P1871">
        <v>-0.99345859999999997</v>
      </c>
      <c r="Q1871">
        <v>-5.12431E-3</v>
      </c>
      <c r="R1871">
        <v>0.1140781</v>
      </c>
      <c r="S1871">
        <v>-2.987854</v>
      </c>
      <c r="T1871">
        <v>-0.24625710000000001</v>
      </c>
      <c r="U1871">
        <v>0.26620480000000002</v>
      </c>
      <c r="V1871">
        <v>5.9475119999999999E-2</v>
      </c>
      <c r="W1871">
        <v>-3.2223709999999999E-3</v>
      </c>
      <c r="X1871">
        <v>0.99822460000000002</v>
      </c>
      <c r="Y1871">
        <v>3.411575E-2</v>
      </c>
      <c r="Z1871">
        <v>-3.0932899999999998E-3</v>
      </c>
      <c r="AA1871">
        <v>0.99941310000000005</v>
      </c>
      <c r="AB1871">
        <v>36</v>
      </c>
      <c r="AC1871">
        <v>-0.678499999999985</v>
      </c>
      <c r="AD1871">
        <v>-8.3151000000000197E-2</v>
      </c>
      <c r="AE1871">
        <v>7.0899999999994606E-2</v>
      </c>
      <c r="AF1871">
        <v>3.3132692034618098E-2</v>
      </c>
      <c r="AG1871">
        <v>-8.3151000000000197E-2</v>
      </c>
      <c r="AH1871">
        <v>0.67139055201365705</v>
      </c>
      <c r="AI1871">
        <v>97.051575446955894</v>
      </c>
      <c r="AJ1871">
        <v>87.174782108238503</v>
      </c>
      <c r="AK1871">
        <v>0.67733089211674402</v>
      </c>
      <c r="AL1871">
        <v>90.184628575481796</v>
      </c>
      <c r="AM1871">
        <v>86.590296765384807</v>
      </c>
      <c r="AN1871">
        <v>1.0000000128095099</v>
      </c>
    </row>
    <row r="1872" spans="1:40" x14ac:dyDescent="0.25">
      <c r="A1872" t="str">
        <f>"20190312154251373"</f>
        <v>20190312154251373</v>
      </c>
      <c r="B1872" t="str">
        <f>"1552376571359582"</f>
        <v>1552376571359582</v>
      </c>
      <c r="C1872" t="s">
        <v>40</v>
      </c>
      <c r="D1872">
        <v>5.235074</v>
      </c>
      <c r="E1872">
        <v>0.49238019999999999</v>
      </c>
      <c r="F1872" t="s">
        <v>41</v>
      </c>
      <c r="G1872">
        <v>-261.47219999999999</v>
      </c>
      <c r="H1872">
        <v>1.032702</v>
      </c>
      <c r="I1872">
        <v>282.06470000000002</v>
      </c>
      <c r="J1872">
        <v>-260.83999999999997</v>
      </c>
      <c r="K1872">
        <v>1.10761</v>
      </c>
      <c r="L1872">
        <v>281.99590000000001</v>
      </c>
      <c r="M1872">
        <v>-0.99842330000000001</v>
      </c>
      <c r="N1872">
        <v>0</v>
      </c>
      <c r="O1872">
        <v>5.6090330000000001E-2</v>
      </c>
      <c r="P1872">
        <v>-0.99349869999999996</v>
      </c>
      <c r="Q1872">
        <v>-4.9430619999999998E-3</v>
      </c>
      <c r="R1872">
        <v>0.1137373</v>
      </c>
      <c r="S1872">
        <v>-2.9877009999999999</v>
      </c>
      <c r="T1872">
        <v>-0.2226977</v>
      </c>
      <c r="U1872">
        <v>0.26895140000000001</v>
      </c>
      <c r="V1872">
        <v>5.7824229999999997E-2</v>
      </c>
      <c r="W1872">
        <v>-2.8857930000000002E-3</v>
      </c>
      <c r="X1872">
        <v>0.99832259999999995</v>
      </c>
      <c r="Y1872">
        <v>3.3712640000000002E-2</v>
      </c>
      <c r="Z1872">
        <v>-2.9102609999999999E-3</v>
      </c>
      <c r="AA1872">
        <v>0.99942730000000002</v>
      </c>
      <c r="AB1872">
        <v>36</v>
      </c>
      <c r="AC1872">
        <v>-0.63220000000001098</v>
      </c>
      <c r="AD1872">
        <v>-7.4907999999999905E-2</v>
      </c>
      <c r="AE1872">
        <v>6.8800000000010103E-2</v>
      </c>
      <c r="AF1872">
        <v>3.2776520480175202E-2</v>
      </c>
      <c r="AG1872">
        <v>-7.4907999999999905E-2</v>
      </c>
      <c r="AH1872">
        <v>0.62637279849748095</v>
      </c>
      <c r="AI1872">
        <v>96.810391512749504</v>
      </c>
      <c r="AJ1872">
        <v>87.004587279212402</v>
      </c>
      <c r="AK1872">
        <v>0.63168694102090905</v>
      </c>
      <c r="AL1872">
        <v>90.165343990342393</v>
      </c>
      <c r="AM1872">
        <v>86.685052742746905</v>
      </c>
      <c r="AN1872">
        <v>0.99999999152354502</v>
      </c>
    </row>
    <row r="1873" spans="1:40" x14ac:dyDescent="0.25">
      <c r="A1873" t="str">
        <f>"20190312154251386"</f>
        <v>20190312154251386</v>
      </c>
      <c r="B1873" t="str">
        <f>"1552376571379104"</f>
        <v>1552376571379104</v>
      </c>
      <c r="C1873" t="s">
        <v>40</v>
      </c>
      <c r="D1873">
        <v>5.2157580000000001</v>
      </c>
      <c r="E1873">
        <v>0.49236039999999998</v>
      </c>
      <c r="F1873" t="s">
        <v>41</v>
      </c>
      <c r="G1873">
        <v>-261.79860000000002</v>
      </c>
      <c r="H1873">
        <v>1.0403249999999999</v>
      </c>
      <c r="I1873">
        <v>282.08359999999999</v>
      </c>
      <c r="J1873">
        <v>-261.05509999999998</v>
      </c>
      <c r="K1873">
        <v>1.1076440000000001</v>
      </c>
      <c r="L1873">
        <v>282.00850000000003</v>
      </c>
      <c r="M1873">
        <v>-0.9983805</v>
      </c>
      <c r="N1873">
        <v>0</v>
      </c>
      <c r="O1873">
        <v>5.6843829999999998E-2</v>
      </c>
      <c r="P1873">
        <v>-0.99348689999999995</v>
      </c>
      <c r="Q1873">
        <v>-4.9216210000000002E-3</v>
      </c>
      <c r="R1873">
        <v>0.1138417</v>
      </c>
      <c r="S1873">
        <v>-2.9873349999999999</v>
      </c>
      <c r="T1873">
        <v>-0.20974309999999999</v>
      </c>
      <c r="U1873">
        <v>0.27261350000000001</v>
      </c>
      <c r="V1873">
        <v>5.7176070000000002E-2</v>
      </c>
      <c r="W1873">
        <v>-2.7704779999999998E-3</v>
      </c>
      <c r="X1873">
        <v>0.99836029999999998</v>
      </c>
      <c r="Y1873">
        <v>3.4178260000000002E-2</v>
      </c>
      <c r="Z1873">
        <v>-2.7778500000000001E-3</v>
      </c>
      <c r="AA1873">
        <v>0.99941190000000002</v>
      </c>
      <c r="AB1873">
        <v>36</v>
      </c>
      <c r="AC1873">
        <v>-0.74350000000004002</v>
      </c>
      <c r="AD1873">
        <v>-6.7319000000000101E-2</v>
      </c>
      <c r="AE1873">
        <v>7.5099999999963502E-2</v>
      </c>
      <c r="AF1873">
        <v>3.2451716729322802E-2</v>
      </c>
      <c r="AG1873">
        <v>-6.7319000000000101E-2</v>
      </c>
      <c r="AH1873">
        <v>0.740556953034749</v>
      </c>
      <c r="AI1873">
        <v>95.189141777403407</v>
      </c>
      <c r="AJ1873">
        <v>87.490864639321302</v>
      </c>
      <c r="AK1873">
        <v>0.74431818624012602</v>
      </c>
      <c r="AL1873">
        <v>90.158736894370506</v>
      </c>
      <c r="AM1873">
        <v>86.722252484492799</v>
      </c>
      <c r="AN1873">
        <v>1.0000000335725401</v>
      </c>
    </row>
    <row r="1874" spans="1:40" x14ac:dyDescent="0.25">
      <c r="A1874" t="str">
        <f>"20190312154251409"</f>
        <v>20190312154251409</v>
      </c>
      <c r="B1874" t="str">
        <f>"1552376571399599"</f>
        <v>1552376571399599</v>
      </c>
      <c r="C1874" t="s">
        <v>40</v>
      </c>
      <c r="D1874">
        <v>5.2038349999999998</v>
      </c>
      <c r="E1874">
        <v>0.49243300000000001</v>
      </c>
      <c r="F1874" t="s">
        <v>50</v>
      </c>
      <c r="G1874">
        <v>-277.65750000000003</v>
      </c>
      <c r="H1874" s="1">
        <v>2.585737E-6</v>
      </c>
      <c r="I1874">
        <v>283.52730000000003</v>
      </c>
      <c r="J1874">
        <v>-261.41329999999999</v>
      </c>
      <c r="K1874">
        <v>1.1076820000000001</v>
      </c>
      <c r="L1874">
        <v>282.02999999999997</v>
      </c>
      <c r="M1874">
        <v>-0.998309</v>
      </c>
      <c r="N1874">
        <v>0</v>
      </c>
      <c r="O1874">
        <v>5.8078749999999998E-2</v>
      </c>
      <c r="P1874">
        <v>-0.99348259999999999</v>
      </c>
      <c r="Q1874">
        <v>-5.0533430000000001E-3</v>
      </c>
      <c r="R1874">
        <v>0.1138729</v>
      </c>
      <c r="S1874">
        <v>-2.9873660000000002</v>
      </c>
      <c r="T1874">
        <v>-0.19930529999999999</v>
      </c>
      <c r="U1874">
        <v>0.2732849</v>
      </c>
      <c r="V1874">
        <v>5.5972719999999997E-2</v>
      </c>
      <c r="W1874">
        <v>-2.7427520000000002E-3</v>
      </c>
      <c r="X1874">
        <v>0.99842850000000005</v>
      </c>
      <c r="Y1874">
        <v>3.3163390000000001E-2</v>
      </c>
      <c r="Z1874">
        <v>-2.7555280000000001E-3</v>
      </c>
      <c r="AA1874">
        <v>0.99944619999999995</v>
      </c>
      <c r="AB1874">
        <v>36</v>
      </c>
      <c r="AC1874">
        <v>-16.244199999999999</v>
      </c>
      <c r="AD1874">
        <v>-1.107679414263</v>
      </c>
      <c r="AE1874">
        <v>1.49730000000005</v>
      </c>
      <c r="AF1874">
        <v>0.54879660807818298</v>
      </c>
      <c r="AG1874">
        <v>-1.107679414263</v>
      </c>
      <c r="AH1874">
        <v>16.228916263397299</v>
      </c>
      <c r="AI1874">
        <v>93.902354868551697</v>
      </c>
      <c r="AJ1874">
        <v>88.063225439798998</v>
      </c>
      <c r="AK1874">
        <v>16.2759286827566</v>
      </c>
      <c r="AL1874">
        <v>90.157148315777405</v>
      </c>
      <c r="AM1874">
        <v>86.791310269527997</v>
      </c>
      <c r="AN1874">
        <v>0.99999996884248998</v>
      </c>
    </row>
    <row r="1875" spans="1:40" x14ac:dyDescent="0.25">
      <c r="A1875" t="str">
        <f>"20190312154251430"</f>
        <v>20190312154251430</v>
      </c>
      <c r="B1875" t="str">
        <f>"1552376571419118"</f>
        <v>1552376571419118</v>
      </c>
      <c r="C1875" t="s">
        <v>40</v>
      </c>
      <c r="D1875">
        <v>5.2610849999999996</v>
      </c>
      <c r="E1875">
        <v>0.49190270000000003</v>
      </c>
      <c r="F1875" t="s">
        <v>41</v>
      </c>
      <c r="G1875">
        <v>-262.44779999999997</v>
      </c>
      <c r="H1875">
        <v>1.0408820000000001</v>
      </c>
      <c r="I1875">
        <v>282.12490000000003</v>
      </c>
      <c r="J1875">
        <v>-261.77210000000002</v>
      </c>
      <c r="K1875">
        <v>1.1077090000000001</v>
      </c>
      <c r="L1875">
        <v>282.05180000000001</v>
      </c>
      <c r="M1875">
        <v>-0.99823779999999995</v>
      </c>
      <c r="N1875">
        <v>0</v>
      </c>
      <c r="O1875">
        <v>5.9280810000000003E-2</v>
      </c>
      <c r="P1875">
        <v>-0.99343720000000002</v>
      </c>
      <c r="Q1875">
        <v>-5.6314210000000002E-3</v>
      </c>
      <c r="R1875">
        <v>0.11424090000000001</v>
      </c>
      <c r="S1875">
        <v>-2.987244</v>
      </c>
      <c r="T1875">
        <v>-0.1928667</v>
      </c>
      <c r="U1875">
        <v>0.27416990000000002</v>
      </c>
      <c r="V1875">
        <v>5.5139319999999999E-2</v>
      </c>
      <c r="W1875">
        <v>-3.161681E-3</v>
      </c>
      <c r="X1875">
        <v>0.99847359999999996</v>
      </c>
      <c r="Y1875">
        <v>3.2258059999999998E-2</v>
      </c>
      <c r="Z1875">
        <v>-2.7730599999999999E-3</v>
      </c>
      <c r="AA1875">
        <v>0.99947569999999997</v>
      </c>
      <c r="AB1875">
        <v>36</v>
      </c>
      <c r="AC1875">
        <v>-0.67569999999994901</v>
      </c>
      <c r="AD1875">
        <v>-6.6827000000000095E-2</v>
      </c>
      <c r="AE1875">
        <v>7.3100000000010795E-2</v>
      </c>
      <c r="AF1875">
        <v>3.2600074462230802E-2</v>
      </c>
      <c r="AG1875">
        <v>-6.6827000000000095E-2</v>
      </c>
      <c r="AH1875">
        <v>0.67234479157364702</v>
      </c>
      <c r="AI1875">
        <v>95.669593155757795</v>
      </c>
      <c r="AJ1875">
        <v>87.224065698913705</v>
      </c>
      <c r="AK1875">
        <v>0.67644373863622498</v>
      </c>
      <c r="AL1875">
        <v>90.181151290980793</v>
      </c>
      <c r="AM1875">
        <v>86.839130597314494</v>
      </c>
      <c r="AN1875">
        <v>0.99999993536688203</v>
      </c>
    </row>
    <row r="1876" spans="1:40" x14ac:dyDescent="0.25">
      <c r="A1876" t="str">
        <f>"20190312154251451"</f>
        <v>20190312154251451</v>
      </c>
      <c r="B1876" t="str">
        <f>"1552376571439614"</f>
        <v>1552376571439614</v>
      </c>
      <c r="C1876" t="s">
        <v>40</v>
      </c>
      <c r="D1876">
        <v>5.2264559999999998</v>
      </c>
      <c r="E1876">
        <v>0.49152649999999998</v>
      </c>
      <c r="F1876" t="s">
        <v>41</v>
      </c>
      <c r="G1876">
        <v>-262.7756</v>
      </c>
      <c r="H1876">
        <v>1.0436510000000001</v>
      </c>
      <c r="I1876">
        <v>282.1431</v>
      </c>
      <c r="J1876">
        <v>-262.10759999999999</v>
      </c>
      <c r="K1876">
        <v>1.107723</v>
      </c>
      <c r="L1876">
        <v>282.0727</v>
      </c>
      <c r="M1876">
        <v>-0.9981719</v>
      </c>
      <c r="N1876">
        <v>0</v>
      </c>
      <c r="O1876">
        <v>6.0376699999999901E-2</v>
      </c>
      <c r="P1876">
        <v>-0.99340740000000005</v>
      </c>
      <c r="Q1876">
        <v>-4.7612359999999899E-3</v>
      </c>
      <c r="R1876">
        <v>0.1145384</v>
      </c>
      <c r="S1876">
        <v>-2.9875790000000002</v>
      </c>
      <c r="T1876">
        <v>-0.19082679999999999</v>
      </c>
      <c r="U1876">
        <v>0.27096559999999997</v>
      </c>
      <c r="V1876">
        <v>5.4344629999999998E-2</v>
      </c>
      <c r="W1876">
        <v>-2.1454479999999999E-3</v>
      </c>
      <c r="X1876">
        <v>0.99851999999999996</v>
      </c>
      <c r="Y1876">
        <v>3.009272E-2</v>
      </c>
      <c r="Z1876">
        <v>-2.882187E-3</v>
      </c>
      <c r="AA1876">
        <v>0.99954299999999996</v>
      </c>
      <c r="AB1876">
        <v>36</v>
      </c>
      <c r="AC1876">
        <v>-0.66800000000000603</v>
      </c>
      <c r="AD1876">
        <v>-6.4071999999999907E-2</v>
      </c>
      <c r="AE1876">
        <v>7.0400000000006402E-2</v>
      </c>
      <c r="AF1876">
        <v>2.96698173600651E-2</v>
      </c>
      <c r="AG1876">
        <v>-6.4071999999999907E-2</v>
      </c>
      <c r="AH1876">
        <v>0.66498130333558902</v>
      </c>
      <c r="AI1876">
        <v>95.498113615114505</v>
      </c>
      <c r="AJ1876">
        <v>87.445298681668902</v>
      </c>
      <c r="AK1876">
        <v>0.66871941278242997</v>
      </c>
      <c r="AL1876">
        <v>90.122925201745204</v>
      </c>
      <c r="AM1876">
        <v>86.884740406605204</v>
      </c>
      <c r="AN1876">
        <v>1.00000006607847</v>
      </c>
    </row>
    <row r="1877" spans="1:40" x14ac:dyDescent="0.25">
      <c r="A1877" t="str">
        <f>"20190312154251474"</f>
        <v>20190312154251474</v>
      </c>
      <c r="B1877" t="str">
        <f>"1552376571468894"</f>
        <v>1552376571468894</v>
      </c>
      <c r="C1877" t="s">
        <v>40</v>
      </c>
      <c r="D1877">
        <v>5.2391379999999996</v>
      </c>
      <c r="E1877">
        <v>0.49153629999999998</v>
      </c>
      <c r="F1877" t="s">
        <v>41</v>
      </c>
      <c r="G1877">
        <v>-263.10430000000002</v>
      </c>
      <c r="H1877">
        <v>1.0455239999999999</v>
      </c>
      <c r="I1877">
        <v>282.1626</v>
      </c>
      <c r="J1877">
        <v>-262.4708</v>
      </c>
      <c r="K1877">
        <v>1.107747</v>
      </c>
      <c r="L1877">
        <v>282.09559999999999</v>
      </c>
      <c r="M1877">
        <v>-0.99810100000000002</v>
      </c>
      <c r="N1877">
        <v>0</v>
      </c>
      <c r="O1877">
        <v>6.1529729999999998E-2</v>
      </c>
      <c r="P1877">
        <v>-0.99338300000000002</v>
      </c>
      <c r="Q1877">
        <v>-3.7971340000000002E-3</v>
      </c>
      <c r="R1877">
        <v>0.1147859</v>
      </c>
      <c r="S1877">
        <v>-2.9880070000000001</v>
      </c>
      <c r="T1877">
        <v>-0.18658730000000001</v>
      </c>
      <c r="U1877">
        <v>0.26882929999999999</v>
      </c>
      <c r="V1877">
        <v>5.344289E-2</v>
      </c>
      <c r="W1877">
        <v>-1.029779E-3</v>
      </c>
      <c r="X1877">
        <v>0.99857039999999997</v>
      </c>
      <c r="Y1877">
        <v>2.821943E-2</v>
      </c>
      <c r="Z1877">
        <v>-2.9478949999999999E-3</v>
      </c>
      <c r="AA1877">
        <v>0.99959739999999997</v>
      </c>
      <c r="AB1877">
        <v>37</v>
      </c>
      <c r="AC1877">
        <v>-0.63350000000002604</v>
      </c>
      <c r="AD1877">
        <v>-6.2223000000000098E-2</v>
      </c>
      <c r="AE1877">
        <v>6.7000000000007207E-2</v>
      </c>
      <c r="AF1877">
        <v>2.76301915073008E-2</v>
      </c>
      <c r="AG1877">
        <v>-6.2223000000000098E-2</v>
      </c>
      <c r="AH1877">
        <v>0.63040767890647798</v>
      </c>
      <c r="AI1877">
        <v>95.631623504777707</v>
      </c>
      <c r="AJ1877">
        <v>87.490384589585602</v>
      </c>
      <c r="AK1877">
        <v>0.63407331660935196</v>
      </c>
      <c r="AL1877">
        <v>90.059001999581795</v>
      </c>
      <c r="AM1877">
        <v>86.936486917618694</v>
      </c>
      <c r="AN1877">
        <v>1.00000002334625</v>
      </c>
    </row>
    <row r="1878" spans="1:40" x14ac:dyDescent="0.25">
      <c r="A1878" t="str">
        <f>"20190312154251497"</f>
        <v>20190312154251497</v>
      </c>
      <c r="B1878" t="str">
        <f>"1552376571489394"</f>
        <v>1552376571489394</v>
      </c>
      <c r="C1878" t="s">
        <v>40</v>
      </c>
      <c r="D1878">
        <v>5.267531</v>
      </c>
      <c r="E1878">
        <v>0.4915139</v>
      </c>
      <c r="F1878" t="s">
        <v>41</v>
      </c>
      <c r="G1878">
        <v>-263.43700000000001</v>
      </c>
      <c r="H1878">
        <v>1.049911</v>
      </c>
      <c r="I1878">
        <v>282.18299999999999</v>
      </c>
      <c r="J1878">
        <v>-262.85770000000002</v>
      </c>
      <c r="K1878">
        <v>1.1077629999999901</v>
      </c>
      <c r="L1878">
        <v>282.12049999999999</v>
      </c>
      <c r="M1878">
        <v>-0.99802670000000004</v>
      </c>
      <c r="N1878">
        <v>0</v>
      </c>
      <c r="O1878">
        <v>6.2716480000000005E-2</v>
      </c>
      <c r="P1878">
        <v>-0.99331979999999997</v>
      </c>
      <c r="Q1878">
        <v>-2.8918049999999999E-3</v>
      </c>
      <c r="R1878">
        <v>0.1153588</v>
      </c>
      <c r="S1878">
        <v>-2.9881289999999998</v>
      </c>
      <c r="T1878">
        <v>-0.17898539999999999</v>
      </c>
      <c r="U1878">
        <v>0.26968379999999997</v>
      </c>
      <c r="V1878">
        <v>5.2834270000000003E-2</v>
      </c>
      <c r="W1878" s="1">
        <v>2.6365510000000001E-5</v>
      </c>
      <c r="X1878">
        <v>0.99860329999999997</v>
      </c>
      <c r="Y1878">
        <v>2.730931E-2</v>
      </c>
      <c r="Z1878">
        <v>-2.925707E-3</v>
      </c>
      <c r="AA1878">
        <v>0.99962280000000003</v>
      </c>
      <c r="AB1878">
        <v>37</v>
      </c>
      <c r="AC1878">
        <v>-0.57929999999998905</v>
      </c>
      <c r="AD1878">
        <v>-5.7851999999999702E-2</v>
      </c>
      <c r="AE1878">
        <v>6.25E-2</v>
      </c>
      <c r="AF1878">
        <v>2.5790878439601699E-2</v>
      </c>
      <c r="AG1878">
        <v>-5.7851999999999702E-2</v>
      </c>
      <c r="AH1878">
        <v>0.57639705134371799</v>
      </c>
      <c r="AI1878">
        <v>95.725795392357696</v>
      </c>
      <c r="AJ1878">
        <v>87.438009990069304</v>
      </c>
      <c r="AK1878">
        <v>0.57986686757601402</v>
      </c>
      <c r="AL1878">
        <v>89.998489367560794</v>
      </c>
      <c r="AM1878">
        <v>86.9714091840397</v>
      </c>
      <c r="AN1878">
        <v>1.0000000057762299</v>
      </c>
    </row>
    <row r="1879" spans="1:40" x14ac:dyDescent="0.25">
      <c r="A1879" t="str">
        <f>"20190312154251509"</f>
        <v>20190312154251509</v>
      </c>
      <c r="B1879" t="str">
        <f>"1552376571499150"</f>
        <v>1552376571499150</v>
      </c>
      <c r="C1879" t="s">
        <v>40</v>
      </c>
      <c r="D1879">
        <v>5.2327430000000001</v>
      </c>
      <c r="E1879">
        <v>0.49147869999999999</v>
      </c>
      <c r="F1879" t="s">
        <v>41</v>
      </c>
      <c r="G1879">
        <v>-263.77879999999999</v>
      </c>
      <c r="H1879">
        <v>1.054155</v>
      </c>
      <c r="I1879">
        <v>282.20420000000001</v>
      </c>
      <c r="J1879">
        <v>-263.06799999999998</v>
      </c>
      <c r="K1879">
        <v>1.107772</v>
      </c>
      <c r="L1879">
        <v>282.13409999999999</v>
      </c>
      <c r="M1879">
        <v>-0.99798679999999995</v>
      </c>
      <c r="N1879">
        <v>0</v>
      </c>
      <c r="O1879">
        <v>6.3344570000000003E-2</v>
      </c>
      <c r="P1879">
        <v>-0.99322339999999998</v>
      </c>
      <c r="Q1879">
        <v>-3.0086359999999999E-3</v>
      </c>
      <c r="R1879">
        <v>0.11618239999999901</v>
      </c>
      <c r="S1879">
        <v>-2.988159</v>
      </c>
      <c r="T1879">
        <v>-0.17400160000000001</v>
      </c>
      <c r="U1879">
        <v>0.27114870000000002</v>
      </c>
      <c r="V1879">
        <v>5.3033690000000001E-2</v>
      </c>
      <c r="W1879" s="1">
        <v>-1.3923850000000001E-5</v>
      </c>
      <c r="X1879">
        <v>0.9985927</v>
      </c>
      <c r="Y1879">
        <v>2.7163179999999999E-2</v>
      </c>
      <c r="Z1879">
        <v>-2.8848799999999998E-3</v>
      </c>
      <c r="AA1879">
        <v>0.99962689999999998</v>
      </c>
      <c r="AB1879">
        <v>37</v>
      </c>
      <c r="AC1879">
        <v>-0.71080000000000598</v>
      </c>
      <c r="AD1879">
        <v>-5.3616999999999998E-2</v>
      </c>
      <c r="AE1879">
        <v>7.0100000000024906E-2</v>
      </c>
      <c r="AF1879">
        <v>2.4793958626402199E-2</v>
      </c>
      <c r="AG1879">
        <v>-5.3616999999999998E-2</v>
      </c>
      <c r="AH1879">
        <v>0.709813060780353</v>
      </c>
      <c r="AI1879">
        <v>94.317112920884497</v>
      </c>
      <c r="AJ1879">
        <v>87.999456585050098</v>
      </c>
      <c r="AK1879">
        <v>0.71226687717999404</v>
      </c>
      <c r="AL1879">
        <v>90.000797777858295</v>
      </c>
      <c r="AM1879">
        <v>86.959967129878294</v>
      </c>
      <c r="AN1879">
        <v>0.99999997648108896</v>
      </c>
    </row>
    <row r="1880" spans="1:40" x14ac:dyDescent="0.25">
      <c r="A1880" t="str">
        <f>"20190312154251530"</f>
        <v>20190312154251530</v>
      </c>
      <c r="B1880" t="str">
        <f>"1552376571519646"</f>
        <v>1552376571519646</v>
      </c>
      <c r="C1880" t="s">
        <v>40</v>
      </c>
      <c r="D1880">
        <v>5.29603</v>
      </c>
      <c r="E1880">
        <v>0.49138189999999998</v>
      </c>
      <c r="F1880" t="s">
        <v>41</v>
      </c>
      <c r="G1880">
        <v>-264.096</v>
      </c>
      <c r="H1880">
        <v>1.0480229999999999</v>
      </c>
      <c r="I1880">
        <v>282.22829999999999</v>
      </c>
      <c r="J1880">
        <v>-263.40589999999997</v>
      </c>
      <c r="K1880">
        <v>1.1077920000000001</v>
      </c>
      <c r="L1880">
        <v>282.15629999999999</v>
      </c>
      <c r="M1880">
        <v>-0.99792440000000004</v>
      </c>
      <c r="N1880">
        <v>0</v>
      </c>
      <c r="O1880">
        <v>6.4314220000000005E-2</v>
      </c>
      <c r="P1880">
        <v>-0.99310030000000005</v>
      </c>
      <c r="Q1880">
        <v>-3.161376E-3</v>
      </c>
      <c r="R1880">
        <v>0.1172247</v>
      </c>
      <c r="S1880">
        <v>-2.9880070000000001</v>
      </c>
      <c r="T1880">
        <v>-0.17378829999999901</v>
      </c>
      <c r="U1880">
        <v>0.27337650000000002</v>
      </c>
      <c r="V1880">
        <v>5.3111209999999999E-2</v>
      </c>
      <c r="W1880" s="1">
        <v>-5.0588630000000001E-5</v>
      </c>
      <c r="X1880">
        <v>0.99858860000000005</v>
      </c>
      <c r="Y1880">
        <v>2.693748E-2</v>
      </c>
      <c r="Z1880">
        <v>-2.9439879999999998E-3</v>
      </c>
      <c r="AA1880">
        <v>0.99963279999999999</v>
      </c>
      <c r="AB1880">
        <v>37</v>
      </c>
      <c r="AC1880">
        <v>-0.69010000000002902</v>
      </c>
      <c r="AD1880">
        <v>-5.97690000000001E-2</v>
      </c>
      <c r="AE1880">
        <v>7.2000000000002701E-2</v>
      </c>
      <c r="AF1880">
        <v>2.7265141127659799E-2</v>
      </c>
      <c r="AG1880">
        <v>-5.97690000000001E-2</v>
      </c>
      <c r="AH1880">
        <v>0.68819524844667201</v>
      </c>
      <c r="AI1880">
        <v>94.959749167440194</v>
      </c>
      <c r="AJ1880">
        <v>87.731223879262998</v>
      </c>
      <c r="AK1880">
        <v>0.69132367330092803</v>
      </c>
      <c r="AL1880">
        <v>90.002898514998407</v>
      </c>
      <c r="AM1880">
        <v>86.955519353257401</v>
      </c>
      <c r="AN1880">
        <v>0.99999999761841596</v>
      </c>
    </row>
    <row r="1881" spans="1:40" x14ac:dyDescent="0.25">
      <c r="A1881" t="str">
        <f>"20190312154251551"</f>
        <v>20190312154251551</v>
      </c>
      <c r="B1881" t="str">
        <f>"1552376571539167"</f>
        <v>1552376571539167</v>
      </c>
      <c r="C1881" t="s">
        <v>40</v>
      </c>
      <c r="D1881">
        <v>5.2711769999999998</v>
      </c>
      <c r="E1881">
        <v>0.49122909999999997</v>
      </c>
      <c r="F1881" t="s">
        <v>41</v>
      </c>
      <c r="G1881">
        <v>-264.42860000000002</v>
      </c>
      <c r="H1881">
        <v>1.0483439999999999</v>
      </c>
      <c r="I1881">
        <v>282.25060000000002</v>
      </c>
      <c r="J1881">
        <v>-263.76830000000001</v>
      </c>
      <c r="K1881">
        <v>1.1078159999999999</v>
      </c>
      <c r="L1881">
        <v>282.18049999999999</v>
      </c>
      <c r="M1881">
        <v>-0.99785970000000002</v>
      </c>
      <c r="N1881">
        <v>0</v>
      </c>
      <c r="O1881">
        <v>6.5305360000000007E-2</v>
      </c>
      <c r="P1881">
        <v>-0.99295639999999996</v>
      </c>
      <c r="Q1881">
        <v>-3.6622920000000002E-3</v>
      </c>
      <c r="R1881">
        <v>0.1184244</v>
      </c>
      <c r="S1881">
        <v>-2.987762</v>
      </c>
      <c r="T1881">
        <v>-0.1736453</v>
      </c>
      <c r="U1881">
        <v>0.27557369999999998</v>
      </c>
      <c r="V1881">
        <v>5.3324999999999997E-2</v>
      </c>
      <c r="W1881">
        <v>-4.363174E-4</v>
      </c>
      <c r="X1881">
        <v>0.9985771</v>
      </c>
      <c r="Y1881">
        <v>2.668295E-2</v>
      </c>
      <c r="Z1881">
        <v>-3.0063210000000002E-3</v>
      </c>
      <c r="AA1881">
        <v>0.99963950000000001</v>
      </c>
      <c r="AB1881">
        <v>37</v>
      </c>
      <c r="AC1881">
        <v>-0.66030000000000599</v>
      </c>
      <c r="AD1881">
        <v>-5.94719999999999E-2</v>
      </c>
      <c r="AE1881">
        <v>7.0100000000024906E-2</v>
      </c>
      <c r="AF1881">
        <v>2.66154807530729E-2</v>
      </c>
      <c r="AG1881">
        <v>-5.94719999999999E-2</v>
      </c>
      <c r="AH1881">
        <v>0.65818849522499201</v>
      </c>
      <c r="AI1881">
        <v>95.1588661570147</v>
      </c>
      <c r="AJ1881">
        <v>87.684364971610705</v>
      </c>
      <c r="AK1881">
        <v>0.66140562278095005</v>
      </c>
      <c r="AL1881">
        <v>90.024999146708197</v>
      </c>
      <c r="AM1881">
        <v>86.943252380627101</v>
      </c>
      <c r="AN1881">
        <v>0.99999998532114098</v>
      </c>
    </row>
    <row r="1882" spans="1:40" x14ac:dyDescent="0.25">
      <c r="A1882" t="str">
        <f>"20190312154251574"</f>
        <v>20190312154251574</v>
      </c>
      <c r="B1882" t="str">
        <f>"1552376571569422"</f>
        <v>1552376571569422</v>
      </c>
      <c r="C1882" t="s">
        <v>40</v>
      </c>
      <c r="D1882">
        <v>5.2491849999999998</v>
      </c>
      <c r="E1882">
        <v>0.49112620000000001</v>
      </c>
      <c r="F1882" t="s">
        <v>41</v>
      </c>
      <c r="G1882">
        <v>-264.7629</v>
      </c>
      <c r="H1882">
        <v>1.0494709999999901</v>
      </c>
      <c r="I1882">
        <v>282.27319999999997</v>
      </c>
      <c r="J1882">
        <v>-264.13069999999999</v>
      </c>
      <c r="K1882">
        <v>1.107836</v>
      </c>
      <c r="L1882">
        <v>282.20490000000001</v>
      </c>
      <c r="M1882">
        <v>-0.99779720000000005</v>
      </c>
      <c r="N1882">
        <v>0</v>
      </c>
      <c r="O1882">
        <v>6.6247609999999998E-2</v>
      </c>
      <c r="P1882">
        <v>-0.99281260000000005</v>
      </c>
      <c r="Q1882">
        <v>-3.2534299999999999E-3</v>
      </c>
      <c r="R1882">
        <v>0.1196361</v>
      </c>
      <c r="S1882">
        <v>-2.987457</v>
      </c>
      <c r="T1882">
        <v>-0.17532130000000001</v>
      </c>
      <c r="U1882">
        <v>0.2782288</v>
      </c>
      <c r="V1882">
        <v>5.3601839999999998E-2</v>
      </c>
      <c r="W1882" s="1">
        <v>7.8711080000000005E-5</v>
      </c>
      <c r="X1882">
        <v>0.99856239999999996</v>
      </c>
      <c r="Y1882">
        <v>2.6632090000000001E-2</v>
      </c>
      <c r="Z1882">
        <v>-3.0918930000000001E-3</v>
      </c>
      <c r="AA1882">
        <v>0.99964050000000004</v>
      </c>
      <c r="AB1882">
        <v>37</v>
      </c>
      <c r="AC1882">
        <v>-0.63220000000001098</v>
      </c>
      <c r="AD1882">
        <v>-5.8365000000000201E-2</v>
      </c>
      <c r="AE1882">
        <v>6.8299999999965097E-2</v>
      </c>
      <c r="AF1882">
        <v>2.6048515427042299E-2</v>
      </c>
      <c r="AG1882">
        <v>-5.8365000000000201E-2</v>
      </c>
      <c r="AH1882">
        <v>0.63002809246722602</v>
      </c>
      <c r="AI1882">
        <v>95.288209708761698</v>
      </c>
      <c r="AJ1882">
        <v>87.632454058170097</v>
      </c>
      <c r="AK1882">
        <v>0.63326171183709201</v>
      </c>
      <c r="AL1882">
        <v>89.995490187378394</v>
      </c>
      <c r="AM1882">
        <v>86.927368272099301</v>
      </c>
      <c r="AN1882">
        <v>1.0000000150702799</v>
      </c>
    </row>
    <row r="1883" spans="1:40" x14ac:dyDescent="0.25">
      <c r="A1883" t="str">
        <f>"20190312154251598"</f>
        <v>20190312154251598</v>
      </c>
      <c r="B1883" t="str">
        <f>"1552376571588946"</f>
        <v>1552376571588946</v>
      </c>
      <c r="C1883" t="s">
        <v>40</v>
      </c>
      <c r="D1883">
        <v>5.2833819999999996</v>
      </c>
      <c r="E1883">
        <v>0.49099350000000003</v>
      </c>
      <c r="F1883" t="s">
        <v>41</v>
      </c>
      <c r="G1883">
        <v>-265.09910000000002</v>
      </c>
      <c r="H1883">
        <v>1.0514059999999901</v>
      </c>
      <c r="I1883">
        <v>282.29629999999997</v>
      </c>
      <c r="J1883">
        <v>-264.5385</v>
      </c>
      <c r="K1883">
        <v>1.1078680000000001</v>
      </c>
      <c r="L1883">
        <v>282.2328</v>
      </c>
      <c r="M1883">
        <v>-0.9977298</v>
      </c>
      <c r="N1883">
        <v>0</v>
      </c>
      <c r="O1883">
        <v>6.7249260000000005E-2</v>
      </c>
      <c r="P1883">
        <v>-0.99276750000000002</v>
      </c>
      <c r="Q1883">
        <v>-2.2477529999999999E-3</v>
      </c>
      <c r="R1883">
        <v>0.1200329</v>
      </c>
      <c r="S1883">
        <v>-2.987244</v>
      </c>
      <c r="T1883">
        <v>-0.17421110000000001</v>
      </c>
      <c r="U1883">
        <v>0.28128049999999999</v>
      </c>
      <c r="V1883">
        <v>5.3001E-2</v>
      </c>
      <c r="W1883">
        <v>1.1962089999999999E-3</v>
      </c>
      <c r="X1883">
        <v>0.99859370000000003</v>
      </c>
      <c r="Y1883">
        <v>2.6648270000000002E-2</v>
      </c>
      <c r="Z1883">
        <v>-3.129967E-3</v>
      </c>
      <c r="AA1883">
        <v>0.99963999999999997</v>
      </c>
      <c r="AB1883">
        <v>37</v>
      </c>
      <c r="AC1883">
        <v>-0.56060000000002197</v>
      </c>
      <c r="AD1883">
        <v>-5.64620000000002E-2</v>
      </c>
      <c r="AE1883">
        <v>6.3499999999976298E-2</v>
      </c>
      <c r="AF1883">
        <v>2.5401662562511002E-2</v>
      </c>
      <c r="AG1883">
        <v>-5.64620000000002E-2</v>
      </c>
      <c r="AH1883">
        <v>0.55801252104622101</v>
      </c>
      <c r="AI1883">
        <v>95.771821241972802</v>
      </c>
      <c r="AJ1883">
        <v>87.393599711693994</v>
      </c>
      <c r="AK1883">
        <v>0.56143670662800405</v>
      </c>
      <c r="AL1883">
        <v>89.931462253612395</v>
      </c>
      <c r="AM1883">
        <v>86.961840533110603</v>
      </c>
      <c r="AN1883">
        <v>0.99999995729832902</v>
      </c>
    </row>
    <row r="1884" spans="1:40" x14ac:dyDescent="0.25">
      <c r="A1884" t="str">
        <f>"20190312154251623"</f>
        <v>20190312154251623</v>
      </c>
      <c r="B1884" t="str">
        <f>"1552376571609438"</f>
        <v>1552376571609438</v>
      </c>
      <c r="C1884" t="s">
        <v>40</v>
      </c>
      <c r="D1884">
        <v>5.272494</v>
      </c>
      <c r="E1884">
        <v>0.49083599999999999</v>
      </c>
      <c r="F1884" t="s">
        <v>51</v>
      </c>
      <c r="G1884">
        <v>-283.81279999999998</v>
      </c>
      <c r="H1884" s="1">
        <v>6.8290829999999997E-6</v>
      </c>
      <c r="I1884">
        <v>284.04700000000003</v>
      </c>
      <c r="J1884">
        <v>-264.93329999999997</v>
      </c>
      <c r="K1884">
        <v>1.1078969999999999</v>
      </c>
      <c r="L1884">
        <v>282.2602</v>
      </c>
      <c r="M1884">
        <v>-0.99766779999999999</v>
      </c>
      <c r="N1884">
        <v>0</v>
      </c>
      <c r="O1884">
        <v>6.8158570000000002E-2</v>
      </c>
      <c r="P1884">
        <v>-0.99269370000000001</v>
      </c>
      <c r="Q1884">
        <v>-1.9844530000000002E-3</v>
      </c>
      <c r="R1884">
        <v>0.1206464</v>
      </c>
      <c r="S1884">
        <v>-2.987457</v>
      </c>
      <c r="T1884">
        <v>-0.17171500000000001</v>
      </c>
      <c r="U1884">
        <v>0.28118900000000002</v>
      </c>
      <c r="V1884">
        <v>5.2708629999999999E-2</v>
      </c>
      <c r="W1884">
        <v>1.558605E-3</v>
      </c>
      <c r="X1884">
        <v>0.99860870000000002</v>
      </c>
      <c r="Y1884">
        <v>2.57012E-2</v>
      </c>
      <c r="Z1884">
        <v>-3.164053E-3</v>
      </c>
      <c r="AA1884">
        <v>0.99966469999999996</v>
      </c>
      <c r="AB1884">
        <v>37</v>
      </c>
      <c r="AC1884">
        <v>-18.8795</v>
      </c>
      <c r="AD1884">
        <v>-1.1078901709169999</v>
      </c>
      <c r="AE1884">
        <v>1.7868000000000199</v>
      </c>
      <c r="AF1884">
        <v>0.49414987064943999</v>
      </c>
      <c r="AG1884">
        <v>-1.1078901709169999</v>
      </c>
      <c r="AH1884">
        <v>18.892899720368298</v>
      </c>
      <c r="AI1884">
        <v>93.354868462755505</v>
      </c>
      <c r="AJ1884">
        <v>88.501752041509903</v>
      </c>
      <c r="AK1884">
        <v>18.931805634153601</v>
      </c>
      <c r="AL1884">
        <v>89.910698473837201</v>
      </c>
      <c r="AM1884">
        <v>86.978614127069093</v>
      </c>
      <c r="AN1884">
        <v>0.99999998232085596</v>
      </c>
    </row>
    <row r="1885" spans="1:40" x14ac:dyDescent="0.25">
      <c r="A1885" t="str">
        <f>"20190312154251643"</f>
        <v>20190312154251643</v>
      </c>
      <c r="B1885" t="str">
        <f>"1552376571639695"</f>
        <v>1552376571639695</v>
      </c>
      <c r="C1885" t="s">
        <v>40</v>
      </c>
      <c r="D1885">
        <v>5.2249699999999999</v>
      </c>
      <c r="E1885">
        <v>0.46656130000000001</v>
      </c>
      <c r="F1885" t="s">
        <v>51</v>
      </c>
      <c r="G1885">
        <v>-284.2208</v>
      </c>
      <c r="H1885" s="1">
        <v>6.6415809999999998E-6</v>
      </c>
      <c r="I1885">
        <v>284.07870000000003</v>
      </c>
      <c r="J1885">
        <v>-265.28899999999999</v>
      </c>
      <c r="K1885">
        <v>1.107928</v>
      </c>
      <c r="L1885">
        <v>282.2851</v>
      </c>
      <c r="M1885">
        <v>-0.99761489999999997</v>
      </c>
      <c r="N1885">
        <v>0</v>
      </c>
      <c r="O1885">
        <v>6.8924639999999995E-2</v>
      </c>
      <c r="P1885">
        <v>-0.99271520000000002</v>
      </c>
      <c r="Q1885">
        <v>-2.3895539999999999E-3</v>
      </c>
      <c r="R1885">
        <v>0.1204612</v>
      </c>
      <c r="S1885">
        <v>-2.9875180000000001</v>
      </c>
      <c r="T1885">
        <v>-0.17160500000000001</v>
      </c>
      <c r="U1885">
        <v>0.28167720000000002</v>
      </c>
      <c r="V1885">
        <v>5.1754639999999998E-2</v>
      </c>
      <c r="W1885">
        <v>1.2372170000000001E-3</v>
      </c>
      <c r="X1885">
        <v>0.99865910000000002</v>
      </c>
      <c r="Y1885">
        <v>2.509573E-2</v>
      </c>
      <c r="Z1885">
        <v>-3.2229950000000002E-3</v>
      </c>
      <c r="AA1885">
        <v>0.99967989999999995</v>
      </c>
      <c r="AB1885">
        <v>38</v>
      </c>
      <c r="AC1885">
        <v>-18.931799999999999</v>
      </c>
      <c r="AD1885">
        <v>-1.107921358419</v>
      </c>
      <c r="AE1885">
        <v>1.7936000000000201</v>
      </c>
      <c r="AF1885">
        <v>0.48281910864941202</v>
      </c>
      <c r="AG1885">
        <v>-1.107921358419</v>
      </c>
      <c r="AH1885">
        <v>18.9460919875328</v>
      </c>
      <c r="AI1885">
        <v>93.345622692112002</v>
      </c>
      <c r="AJ1885">
        <v>88.540199684429993</v>
      </c>
      <c r="AK1885">
        <v>18.984599169542001</v>
      </c>
      <c r="AL1885">
        <v>89.929112672006994</v>
      </c>
      <c r="AM1885">
        <v>87.033350002672194</v>
      </c>
      <c r="AN1885">
        <v>1.00000003574012</v>
      </c>
    </row>
    <row r="1886" spans="1:40" x14ac:dyDescent="0.25">
      <c r="A1886" t="str">
        <f>"20190312154251664"</f>
        <v>20190312154251664</v>
      </c>
      <c r="B1886" t="str">
        <f>"1552376571659214"</f>
        <v>1552376571659214</v>
      </c>
      <c r="C1886" t="s">
        <v>40</v>
      </c>
      <c r="D1886">
        <v>5.1594709999999999</v>
      </c>
      <c r="E1886">
        <v>0.4639838</v>
      </c>
      <c r="F1886" t="s">
        <v>51</v>
      </c>
      <c r="G1886">
        <v>-286.14359999999999</v>
      </c>
      <c r="H1886" s="1">
        <v>6.0314259999999998E-6</v>
      </c>
      <c r="I1886">
        <v>282.9051</v>
      </c>
      <c r="J1886">
        <v>-265.6465</v>
      </c>
      <c r="K1886">
        <v>1.1079589999999999</v>
      </c>
      <c r="L1886">
        <v>282.31040000000002</v>
      </c>
      <c r="M1886">
        <v>-0.99756460000000002</v>
      </c>
      <c r="N1886">
        <v>0</v>
      </c>
      <c r="O1886">
        <v>6.9644150000000002E-2</v>
      </c>
      <c r="P1886">
        <v>-0.99273400000000001</v>
      </c>
      <c r="Q1886">
        <v>-2.7167179999999999E-3</v>
      </c>
      <c r="R1886">
        <v>0.1202988</v>
      </c>
      <c r="S1886">
        <v>-3.0107729999999999</v>
      </c>
      <c r="T1886">
        <v>-0.15995039999999999</v>
      </c>
      <c r="U1886">
        <v>8.950806E-2</v>
      </c>
      <c r="V1886">
        <v>5.087026E-2</v>
      </c>
      <c r="W1886">
        <v>9.8830860000000001E-4</v>
      </c>
      <c r="X1886">
        <v>0.99870479999999995</v>
      </c>
      <c r="Y1886">
        <v>-3.9815910000000003E-2</v>
      </c>
      <c r="Z1886">
        <v>-4.7499710000000004E-3</v>
      </c>
      <c r="AA1886">
        <v>0.99919579999999997</v>
      </c>
      <c r="AB1886">
        <v>38</v>
      </c>
      <c r="AC1886">
        <v>-20.4970999999999</v>
      </c>
      <c r="AD1886">
        <v>-1.1079529685739999</v>
      </c>
      <c r="AE1886">
        <v>0.59469999999998802</v>
      </c>
      <c r="AF1886">
        <v>-0.83182907832643604</v>
      </c>
      <c r="AG1886">
        <v>-1.1079529685739999</v>
      </c>
      <c r="AH1886">
        <v>20.429107342463499</v>
      </c>
      <c r="AI1886">
        <v>93.101775001351498</v>
      </c>
      <c r="AJ1886">
        <v>92.331672231007303</v>
      </c>
      <c r="AK1886">
        <v>20.476032970427099</v>
      </c>
      <c r="AL1886">
        <v>89.9433740802112</v>
      </c>
      <c r="AM1886">
        <v>87.084088881801804</v>
      </c>
      <c r="AN1886">
        <v>1.00000001882469</v>
      </c>
    </row>
    <row r="1887" spans="1:40" x14ac:dyDescent="0.25">
      <c r="A1887" t="str">
        <f>"20190312154251687"</f>
        <v>20190312154251687</v>
      </c>
      <c r="B1887" t="str">
        <f>"1552376571679711"</f>
        <v>1552376571679711</v>
      </c>
      <c r="C1887" t="s">
        <v>40</v>
      </c>
      <c r="D1887">
        <v>5.1109679999999997</v>
      </c>
      <c r="E1887">
        <v>0.46339789999999997</v>
      </c>
      <c r="F1887" t="s">
        <v>51</v>
      </c>
      <c r="G1887">
        <v>-287.0598</v>
      </c>
      <c r="H1887" s="1">
        <v>5.6469409999999997E-6</v>
      </c>
      <c r="I1887">
        <v>282.7996</v>
      </c>
      <c r="J1887">
        <v>-266.0462</v>
      </c>
      <c r="K1887">
        <v>1.1080049999999999</v>
      </c>
      <c r="L1887">
        <v>282.33879999999999</v>
      </c>
      <c r="M1887">
        <v>-0.99751199999999995</v>
      </c>
      <c r="N1887">
        <v>0</v>
      </c>
      <c r="O1887">
        <v>7.0391830000000002E-2</v>
      </c>
      <c r="P1887">
        <v>-0.99269569999999996</v>
      </c>
      <c r="Q1887">
        <v>-3.1440629999999999E-3</v>
      </c>
      <c r="R1887">
        <v>0.1206052</v>
      </c>
      <c r="S1887">
        <v>-3.0131839999999999</v>
      </c>
      <c r="T1887">
        <v>-0.15590699999999999</v>
      </c>
      <c r="U1887">
        <v>6.8847660000000005E-2</v>
      </c>
      <c r="V1887">
        <v>5.0429269999999998E-2</v>
      </c>
      <c r="W1887">
        <v>6.4117099999999995E-4</v>
      </c>
      <c r="X1887">
        <v>0.99872740000000004</v>
      </c>
      <c r="Y1887">
        <v>-4.7430449999999999E-2</v>
      </c>
      <c r="Z1887">
        <v>-4.8623999999999898E-3</v>
      </c>
      <c r="AA1887">
        <v>0.99886269999999999</v>
      </c>
      <c r="AB1887">
        <v>38</v>
      </c>
      <c r="AC1887">
        <v>-21.0136</v>
      </c>
      <c r="AD1887">
        <v>-1.107999353059</v>
      </c>
      <c r="AE1887">
        <v>0.46080000000000598</v>
      </c>
      <c r="AF1887">
        <v>-1.0167144497043701</v>
      </c>
      <c r="AG1887">
        <v>-1.107999353059</v>
      </c>
      <c r="AH1887">
        <v>20.935732253131501</v>
      </c>
      <c r="AI1887">
        <v>93.025926871870098</v>
      </c>
      <c r="AJ1887">
        <v>92.780304768298606</v>
      </c>
      <c r="AK1887">
        <v>20.989670216881201</v>
      </c>
      <c r="AL1887">
        <v>89.9632636041692</v>
      </c>
      <c r="AM1887">
        <v>87.109388911719293</v>
      </c>
      <c r="AN1887">
        <v>0.99999997094187099</v>
      </c>
    </row>
    <row r="1888" spans="1:40" x14ac:dyDescent="0.25">
      <c r="A1888" t="str">
        <f>"20190312154251709"</f>
        <v>20190312154251709</v>
      </c>
      <c r="B1888" t="str">
        <f>"1552376571699230"</f>
        <v>1552376571699230</v>
      </c>
      <c r="C1888" t="s">
        <v>40</v>
      </c>
      <c r="D1888">
        <v>5.0529229999999998</v>
      </c>
      <c r="E1888">
        <v>0.46317560000000002</v>
      </c>
      <c r="F1888" t="s">
        <v>51</v>
      </c>
      <c r="G1888">
        <v>-287.2679</v>
      </c>
      <c r="H1888" s="1">
        <v>5.55536799999999E-6</v>
      </c>
      <c r="I1888">
        <v>282.79610000000002</v>
      </c>
      <c r="J1888">
        <v>-266.41750000000002</v>
      </c>
      <c r="K1888">
        <v>1.108047</v>
      </c>
      <c r="L1888">
        <v>282.36559999999997</v>
      </c>
      <c r="M1888">
        <v>-0.99746639999999998</v>
      </c>
      <c r="N1888">
        <v>0</v>
      </c>
      <c r="O1888">
        <v>7.1029049999999996E-2</v>
      </c>
      <c r="P1888">
        <v>-0.99271180000000003</v>
      </c>
      <c r="Q1888">
        <v>-3.5560240000000001E-3</v>
      </c>
      <c r="R1888">
        <v>0.12046179999999999</v>
      </c>
      <c r="S1888">
        <v>-3.0137019999999999</v>
      </c>
      <c r="T1888">
        <v>-0.1573476</v>
      </c>
      <c r="U1888">
        <v>6.4941410000000005E-2</v>
      </c>
      <c r="V1888">
        <v>4.9646349999999999E-2</v>
      </c>
      <c r="W1888">
        <v>2.988019E-4</v>
      </c>
      <c r="X1888">
        <v>0.99876679999999995</v>
      </c>
      <c r="Y1888">
        <v>-4.936012E-2</v>
      </c>
      <c r="Z1888">
        <v>-4.9900389999999999E-3</v>
      </c>
      <c r="AA1888">
        <v>0.99876860000000001</v>
      </c>
      <c r="AB1888">
        <v>38</v>
      </c>
      <c r="AC1888">
        <v>-20.850399999999901</v>
      </c>
      <c r="AD1888">
        <v>-1.1080414446319999</v>
      </c>
      <c r="AE1888">
        <v>0.43050000000005101</v>
      </c>
      <c r="AF1888">
        <v>-1.0486228747227</v>
      </c>
      <c r="AG1888">
        <v>-1.1080414446319999</v>
      </c>
      <c r="AH1888">
        <v>20.769683371488</v>
      </c>
      <c r="AI1888">
        <v>93.049899163752002</v>
      </c>
      <c r="AJ1888">
        <v>92.890303690779504</v>
      </c>
      <c r="AK1888">
        <v>20.8256359597559</v>
      </c>
      <c r="AL1888">
        <v>89.982879911709006</v>
      </c>
      <c r="AM1888">
        <v>87.154303696666105</v>
      </c>
      <c r="AN1888">
        <v>0.99999998506656795</v>
      </c>
    </row>
    <row r="1889" spans="1:40" x14ac:dyDescent="0.25">
      <c r="A1889" t="str">
        <f>"20190312154251731"</f>
        <v>20190312154251731</v>
      </c>
      <c r="B1889" t="str">
        <f>"1552376571719726"</f>
        <v>1552376571719726</v>
      </c>
      <c r="C1889" t="s">
        <v>40</v>
      </c>
      <c r="D1889">
        <v>5.0206929999999996</v>
      </c>
      <c r="E1889">
        <v>0.46319680000000002</v>
      </c>
      <c r="F1889" t="s">
        <v>51</v>
      </c>
      <c r="G1889">
        <v>-287.53949999999998</v>
      </c>
      <c r="H1889" s="1">
        <v>5.4325229999999997E-6</v>
      </c>
      <c r="I1889">
        <v>282.80759999999998</v>
      </c>
      <c r="J1889">
        <v>-266.7928</v>
      </c>
      <c r="K1889">
        <v>1.108088</v>
      </c>
      <c r="L1889">
        <v>282.39280000000002</v>
      </c>
      <c r="M1889">
        <v>-0.99742430000000004</v>
      </c>
      <c r="N1889">
        <v>0</v>
      </c>
      <c r="O1889">
        <v>7.161613E-2</v>
      </c>
      <c r="P1889">
        <v>-0.99271810000000005</v>
      </c>
      <c r="Q1889">
        <v>-3.8632250000000001E-3</v>
      </c>
      <c r="R1889">
        <v>0.1204003</v>
      </c>
      <c r="S1889">
        <v>-3.0137939999999999</v>
      </c>
      <c r="T1889">
        <v>-0.1581012</v>
      </c>
      <c r="U1889">
        <v>6.3079830000000003E-2</v>
      </c>
      <c r="V1889">
        <v>4.8996249999999998E-2</v>
      </c>
      <c r="W1889" s="1">
        <v>5.7156310000000001E-5</v>
      </c>
      <c r="X1889">
        <v>0.99879899999999999</v>
      </c>
      <c r="Y1889">
        <v>-5.0561219999999997E-2</v>
      </c>
      <c r="Z1889">
        <v>-5.0759899999999998E-3</v>
      </c>
      <c r="AA1889">
        <v>0.99870809999999999</v>
      </c>
      <c r="AB1889">
        <v>38</v>
      </c>
      <c r="AC1889">
        <v>-20.746699999999901</v>
      </c>
      <c r="AD1889">
        <v>-1.1080825674770001</v>
      </c>
      <c r="AE1889">
        <v>0.41479999999995598</v>
      </c>
      <c r="AF1889">
        <v>-1.06902696028279</v>
      </c>
      <c r="AG1889">
        <v>-1.1080825674770001</v>
      </c>
      <c r="AH1889">
        <v>20.6642099084726</v>
      </c>
      <c r="AI1889">
        <v>93.065356075987197</v>
      </c>
      <c r="AJ1889">
        <v>92.961457440726903</v>
      </c>
      <c r="AK1889">
        <v>20.7214921460684</v>
      </c>
      <c r="AL1889">
        <v>89.996725184790705</v>
      </c>
      <c r="AM1889">
        <v>87.191597345916705</v>
      </c>
      <c r="AN1889">
        <v>1.00000003909095</v>
      </c>
    </row>
    <row r="1890" spans="1:40" x14ac:dyDescent="0.25">
      <c r="A1890" t="str">
        <f>"20190312154251753"</f>
        <v>20190312154251753</v>
      </c>
      <c r="B1890" t="str">
        <f>"1552376571749006"</f>
        <v>1552376571749006</v>
      </c>
      <c r="C1890" t="s">
        <v>40</v>
      </c>
      <c r="D1890">
        <v>4.9265369999999997</v>
      </c>
      <c r="E1890">
        <v>0.46324910000000002</v>
      </c>
      <c r="F1890" t="s">
        <v>51</v>
      </c>
      <c r="G1890">
        <v>-288.14859999999999</v>
      </c>
      <c r="H1890" s="1">
        <v>5.1559680000000002E-6</v>
      </c>
      <c r="I1890">
        <v>282.83890000000002</v>
      </c>
      <c r="J1890">
        <v>-267.17149999999998</v>
      </c>
      <c r="K1890">
        <v>1.1081270000000001</v>
      </c>
      <c r="L1890">
        <v>282.42039999999997</v>
      </c>
      <c r="M1890">
        <v>-0.99738479999999996</v>
      </c>
      <c r="N1890">
        <v>0</v>
      </c>
      <c r="O1890">
        <v>7.2159870000000001E-2</v>
      </c>
      <c r="P1890">
        <v>-0.99265890000000001</v>
      </c>
      <c r="Q1890">
        <v>-4.4656690000000002E-3</v>
      </c>
      <c r="R1890">
        <v>0.12086520000000001</v>
      </c>
      <c r="S1890">
        <v>-3.0137330000000002</v>
      </c>
      <c r="T1890">
        <v>-0.15637290000000001</v>
      </c>
      <c r="U1890">
        <v>6.2957760000000001E-2</v>
      </c>
      <c r="V1890">
        <v>4.8918730000000001E-2</v>
      </c>
      <c r="W1890">
        <v>-4.8417369999999998E-4</v>
      </c>
      <c r="X1890">
        <v>0.99880270000000004</v>
      </c>
      <c r="Y1890">
        <v>-5.1147829999999998E-2</v>
      </c>
      <c r="Z1890">
        <v>-5.0640149999999998E-3</v>
      </c>
      <c r="AA1890">
        <v>0.99867830000000002</v>
      </c>
      <c r="AB1890">
        <v>38</v>
      </c>
      <c r="AC1890">
        <v>-20.9771</v>
      </c>
      <c r="AD1890">
        <v>-1.108121844032</v>
      </c>
      <c r="AE1890">
        <v>0.418500000000051</v>
      </c>
      <c r="AF1890">
        <v>-1.0932587826939499</v>
      </c>
      <c r="AG1890">
        <v>-1.108121844032</v>
      </c>
      <c r="AH1890">
        <v>20.8943298858097</v>
      </c>
      <c r="AI1890">
        <v>93.031673688053104</v>
      </c>
      <c r="AJ1890">
        <v>92.9951688056737</v>
      </c>
      <c r="AK1890">
        <v>20.952235445512699</v>
      </c>
      <c r="AL1890">
        <v>90.027741109117997</v>
      </c>
      <c r="AM1890">
        <v>87.196043967464604</v>
      </c>
      <c r="AN1890">
        <v>1.0000000550481301</v>
      </c>
    </row>
    <row r="1891" spans="1:40" x14ac:dyDescent="0.25">
      <c r="A1891" t="str">
        <f>"20190312154251776"</f>
        <v>20190312154251776</v>
      </c>
      <c r="B1891" t="str">
        <f>"1552376571769502"</f>
        <v>1552376571769502</v>
      </c>
      <c r="C1891" t="s">
        <v>40</v>
      </c>
      <c r="D1891">
        <v>4.9296430000000004</v>
      </c>
      <c r="E1891">
        <v>0.4631094</v>
      </c>
      <c r="F1891" t="s">
        <v>51</v>
      </c>
      <c r="G1891">
        <v>-288.84519999999998</v>
      </c>
      <c r="H1891" s="1">
        <v>4.8368279999999999E-6</v>
      </c>
      <c r="I1891">
        <v>282.88830000000002</v>
      </c>
      <c r="J1891">
        <v>-267.5693</v>
      </c>
      <c r="K1891">
        <v>1.1081780000000001</v>
      </c>
      <c r="L1891">
        <v>282.44959999999998</v>
      </c>
      <c r="M1891">
        <v>-0.99734730000000005</v>
      </c>
      <c r="N1891">
        <v>0</v>
      </c>
      <c r="O1891">
        <v>7.2674139999999998E-2</v>
      </c>
      <c r="P1891">
        <v>-0.99253639999999999</v>
      </c>
      <c r="Q1891">
        <v>-4.6238690000000001E-3</v>
      </c>
      <c r="R1891">
        <v>0.1218622</v>
      </c>
      <c r="S1891">
        <v>-3.0135800000000001</v>
      </c>
      <c r="T1891">
        <v>-0.15407680000000001</v>
      </c>
      <c r="U1891">
        <v>6.5063480000000007E-2</v>
      </c>
      <c r="V1891">
        <v>4.9406760000000001E-2</v>
      </c>
      <c r="W1891">
        <v>-5.8286079999999999E-4</v>
      </c>
      <c r="X1891">
        <v>0.99877859999999996</v>
      </c>
      <c r="Y1891">
        <v>-5.0968609999999998E-2</v>
      </c>
      <c r="Z1891">
        <v>-5.0115819999999997E-3</v>
      </c>
      <c r="AA1891">
        <v>0.99868769999999996</v>
      </c>
      <c r="AB1891">
        <v>39</v>
      </c>
      <c r="AC1891">
        <v>-21.275899999999901</v>
      </c>
      <c r="AD1891">
        <v>-1.108173163172</v>
      </c>
      <c r="AE1891">
        <v>0.438700000000039</v>
      </c>
      <c r="AF1891">
        <v>-1.10568243603405</v>
      </c>
      <c r="AG1891">
        <v>-1.108173163172</v>
      </c>
      <c r="AH1891">
        <v>21.194048785537898</v>
      </c>
      <c r="AI1891">
        <v>92.989041172422901</v>
      </c>
      <c r="AJ1891">
        <v>92.986383501384907</v>
      </c>
      <c r="AK1891">
        <v>21.251783109487299</v>
      </c>
      <c r="AL1891">
        <v>90.033395464781293</v>
      </c>
      <c r="AM1891">
        <v>87.1680478320189</v>
      </c>
      <c r="AN1891">
        <v>1.00000002973918</v>
      </c>
    </row>
    <row r="1892" spans="1:40" x14ac:dyDescent="0.25">
      <c r="A1892" t="str">
        <f>"20190312154251798"</f>
        <v>20190312154251798</v>
      </c>
      <c r="B1892" t="str">
        <f>"1552376571789022"</f>
        <v>1552376571789022</v>
      </c>
      <c r="C1892" t="s">
        <v>40</v>
      </c>
      <c r="D1892">
        <v>4.8827540000000003</v>
      </c>
      <c r="E1892">
        <v>0.46282980000000001</v>
      </c>
      <c r="F1892" t="s">
        <v>51</v>
      </c>
      <c r="G1892">
        <v>-289.30419999999998</v>
      </c>
      <c r="H1892" s="1">
        <v>4.623904E-6</v>
      </c>
      <c r="I1892">
        <v>282.93380000000002</v>
      </c>
      <c r="J1892">
        <v>-267.96370000000002</v>
      </c>
      <c r="K1892">
        <v>1.1082320000000001</v>
      </c>
      <c r="L1892">
        <v>282.4787</v>
      </c>
      <c r="M1892">
        <v>-0.99731479999999995</v>
      </c>
      <c r="N1892">
        <v>0</v>
      </c>
      <c r="O1892">
        <v>7.3115730000000004E-2</v>
      </c>
      <c r="P1892">
        <v>-0.99241080000000004</v>
      </c>
      <c r="Q1892">
        <v>-4.8015469999999998E-3</v>
      </c>
      <c r="R1892">
        <v>0.1228737</v>
      </c>
      <c r="S1892">
        <v>-3.0136409999999998</v>
      </c>
      <c r="T1892">
        <v>-0.1536536</v>
      </c>
      <c r="U1892">
        <v>6.7138669999999998E-2</v>
      </c>
      <c r="V1892">
        <v>4.9982470000000001E-2</v>
      </c>
      <c r="W1892">
        <v>-7.0406539999999995E-4</v>
      </c>
      <c r="X1892">
        <v>0.99874989999999997</v>
      </c>
      <c r="Y1892">
        <v>-5.0724520000000002E-2</v>
      </c>
      <c r="Z1892">
        <v>-5.0139E-3</v>
      </c>
      <c r="AA1892">
        <v>0.99870009999999998</v>
      </c>
      <c r="AB1892">
        <v>39</v>
      </c>
      <c r="AC1892">
        <v>-21.340499999999899</v>
      </c>
      <c r="AD1892">
        <v>-1.108227376096</v>
      </c>
      <c r="AE1892">
        <v>0.45510000000001499</v>
      </c>
      <c r="AF1892">
        <v>-1.10348331042236</v>
      </c>
      <c r="AG1892">
        <v>-1.108227376096</v>
      </c>
      <c r="AH1892">
        <v>21.259349502798798</v>
      </c>
      <c r="AI1892">
        <v>92.980062758998699</v>
      </c>
      <c r="AJ1892">
        <v>92.971316107975198</v>
      </c>
      <c r="AK1892">
        <v>21.316795833700201</v>
      </c>
      <c r="AL1892">
        <v>90.040339977120695</v>
      </c>
      <c r="AM1892">
        <v>87.135021110772101</v>
      </c>
      <c r="AN1892">
        <v>1.00000005288269</v>
      </c>
    </row>
    <row r="1893" spans="1:40" x14ac:dyDescent="0.25">
      <c r="A1893" t="str">
        <f>"20190312154251822"</f>
        <v>20190312154251822</v>
      </c>
      <c r="B1893" t="str">
        <f>"1552376571809518"</f>
        <v>1552376571809518</v>
      </c>
      <c r="C1893" t="s">
        <v>40</v>
      </c>
      <c r="D1893">
        <v>4.8757900000000003</v>
      </c>
      <c r="E1893">
        <v>0.4625359</v>
      </c>
      <c r="F1893" t="s">
        <v>51</v>
      </c>
      <c r="G1893">
        <v>-290.43310000000002</v>
      </c>
      <c r="H1893" s="1">
        <v>2.4249120000000002E-6</v>
      </c>
      <c r="I1893">
        <v>282.98809999999997</v>
      </c>
      <c r="J1893">
        <v>-268.36360000000002</v>
      </c>
      <c r="K1893">
        <v>1.108293</v>
      </c>
      <c r="L1893">
        <v>282.50839999999999</v>
      </c>
      <c r="M1893">
        <v>-0.9972879</v>
      </c>
      <c r="N1893">
        <v>0</v>
      </c>
      <c r="O1893">
        <v>7.3480240000000002E-2</v>
      </c>
      <c r="P1893">
        <v>-0.99222469999999996</v>
      </c>
      <c r="Q1893">
        <v>-4.7862080000000001E-3</v>
      </c>
      <c r="R1893">
        <v>0.1243686</v>
      </c>
      <c r="S1893">
        <v>-3.0137330000000002</v>
      </c>
      <c r="T1893">
        <v>-0.14864279999999999</v>
      </c>
      <c r="U1893">
        <v>6.8328860000000005E-2</v>
      </c>
      <c r="V1893">
        <v>5.1122019999999997E-2</v>
      </c>
      <c r="W1893">
        <v>-6.3168250000000001E-4</v>
      </c>
      <c r="X1893">
        <v>0.99869220000000003</v>
      </c>
      <c r="Y1893">
        <v>-5.070591E-2</v>
      </c>
      <c r="Z1893">
        <v>-4.867873E-3</v>
      </c>
      <c r="AA1893">
        <v>0.99870179999999997</v>
      </c>
      <c r="AB1893">
        <v>39</v>
      </c>
      <c r="AC1893">
        <v>-22.069500000000001</v>
      </c>
      <c r="AD1893">
        <v>-1.1082905750880001</v>
      </c>
      <c r="AE1893">
        <v>0.47969999999997898</v>
      </c>
      <c r="AF1893">
        <v>-1.1404085528152701</v>
      </c>
      <c r="AG1893">
        <v>-1.1082905750880001</v>
      </c>
      <c r="AH1893">
        <v>21.989657843123201</v>
      </c>
      <c r="AI1893">
        <v>92.881430872811293</v>
      </c>
      <c r="AJ1893">
        <v>92.968764329617102</v>
      </c>
      <c r="AK1893">
        <v>22.047083519681099</v>
      </c>
      <c r="AL1893">
        <v>90.036192744186806</v>
      </c>
      <c r="AM1893">
        <v>87.069646044697905</v>
      </c>
      <c r="AN1893">
        <v>0.99999998514624999</v>
      </c>
    </row>
    <row r="1894" spans="1:40" x14ac:dyDescent="0.25">
      <c r="A1894" t="str">
        <f>"20190312154251844"</f>
        <v>20190312154251844</v>
      </c>
      <c r="B1894" t="str">
        <f>"1552376571838799"</f>
        <v>1552376571838799</v>
      </c>
      <c r="C1894" t="s">
        <v>40</v>
      </c>
      <c r="D1894">
        <v>4.8628030000000004</v>
      </c>
      <c r="E1894">
        <v>0.46216659999999998</v>
      </c>
      <c r="F1894" t="s">
        <v>51</v>
      </c>
      <c r="G1894">
        <v>-291.60910000000001</v>
      </c>
      <c r="H1894" s="1">
        <v>2.6278920000000001E-6</v>
      </c>
      <c r="I1894">
        <v>283.05250000000001</v>
      </c>
      <c r="J1894">
        <v>-268.74669999999998</v>
      </c>
      <c r="K1894">
        <v>1.1083750000000001</v>
      </c>
      <c r="L1894">
        <v>282.53680000000003</v>
      </c>
      <c r="M1894">
        <v>-0.9972683</v>
      </c>
      <c r="N1894">
        <v>0</v>
      </c>
      <c r="O1894">
        <v>7.3741780000000007E-2</v>
      </c>
      <c r="P1894">
        <v>-0.99207540000000005</v>
      </c>
      <c r="Q1894">
        <v>-5.2434219999999898E-3</v>
      </c>
      <c r="R1894">
        <v>0.12553510000000001</v>
      </c>
      <c r="S1894">
        <v>-3.0139770000000001</v>
      </c>
      <c r="T1894">
        <v>-0.14369889999999999</v>
      </c>
      <c r="U1894">
        <v>7.0556640000000004E-2</v>
      </c>
      <c r="V1894">
        <v>5.2034190000000001E-2</v>
      </c>
      <c r="W1894">
        <v>-1.031325E-3</v>
      </c>
      <c r="X1894">
        <v>0.9986448</v>
      </c>
      <c r="Y1894">
        <v>-5.024199E-2</v>
      </c>
      <c r="Z1894">
        <v>-4.7070899999999997E-3</v>
      </c>
      <c r="AA1894">
        <v>0.998726</v>
      </c>
      <c r="AB1894">
        <v>39</v>
      </c>
      <c r="AC1894">
        <v>-22.862400000000001</v>
      </c>
      <c r="AD1894">
        <v>-1.1083723721080001</v>
      </c>
      <c r="AE1894">
        <v>0.51569999999998095</v>
      </c>
      <c r="AF1894">
        <v>-1.16888753749511</v>
      </c>
      <c r="AG1894">
        <v>-1.1083723721080001</v>
      </c>
      <c r="AH1894">
        <v>22.784657867637701</v>
      </c>
      <c r="AI1894">
        <v>92.781337833172003</v>
      </c>
      <c r="AJ1894">
        <v>92.936785885007296</v>
      </c>
      <c r="AK1894">
        <v>22.841528441325199</v>
      </c>
      <c r="AL1894">
        <v>90.059090578593597</v>
      </c>
      <c r="AM1894">
        <v>87.017312020658693</v>
      </c>
      <c r="AN1894">
        <v>1.0000000285636199</v>
      </c>
    </row>
    <row r="1895" spans="1:40" x14ac:dyDescent="0.25">
      <c r="A1895" t="str">
        <f>"20190312154251865"</f>
        <v>20190312154251865</v>
      </c>
      <c r="B1895" t="str">
        <f>"1552376571859295"</f>
        <v>1552376571859295</v>
      </c>
      <c r="C1895" t="s">
        <v>40</v>
      </c>
      <c r="D1895">
        <v>4.8145790000000002</v>
      </c>
      <c r="E1895">
        <v>0.46196949999999998</v>
      </c>
      <c r="F1895" t="s">
        <v>51</v>
      </c>
      <c r="G1895">
        <v>-293.02839999999998</v>
      </c>
      <c r="H1895" s="1">
        <v>2.8743609999999999E-6</v>
      </c>
      <c r="I1895">
        <v>283.11309999999997</v>
      </c>
      <c r="J1895">
        <v>-269.11959999999999</v>
      </c>
      <c r="K1895">
        <v>1.1084529999999999</v>
      </c>
      <c r="L1895">
        <v>282.56450000000001</v>
      </c>
      <c r="M1895">
        <v>-0.99725540000000001</v>
      </c>
      <c r="N1895">
        <v>0</v>
      </c>
      <c r="O1895">
        <v>7.3914160000000007E-2</v>
      </c>
      <c r="P1895">
        <v>-0.99203189999999997</v>
      </c>
      <c r="Q1895">
        <v>-5.6334599999999999E-3</v>
      </c>
      <c r="R1895">
        <v>0.12586120000000001</v>
      </c>
      <c r="S1895">
        <v>-3.0141909999999998</v>
      </c>
      <c r="T1895">
        <v>-0.13758709999999999</v>
      </c>
      <c r="U1895">
        <v>7.1533200000000005E-2</v>
      </c>
      <c r="V1895">
        <v>5.218971E-2</v>
      </c>
      <c r="W1895">
        <v>-1.361257E-3</v>
      </c>
      <c r="X1895">
        <v>0.99863619999999997</v>
      </c>
      <c r="Y1895">
        <v>-5.0104570000000001E-2</v>
      </c>
      <c r="Z1895">
        <v>-4.5114630000000003E-3</v>
      </c>
      <c r="AA1895">
        <v>0.9987338</v>
      </c>
      <c r="AB1895">
        <v>39</v>
      </c>
      <c r="AC1895">
        <v>-23.9087999999999</v>
      </c>
      <c r="AD1895">
        <v>-1.108450125639</v>
      </c>
      <c r="AE1895">
        <v>0.54859999999996401</v>
      </c>
      <c r="AF1895">
        <v>-1.2175002443787</v>
      </c>
      <c r="AG1895">
        <v>-1.108450125639</v>
      </c>
      <c r="AH1895">
        <v>23.832749422812501</v>
      </c>
      <c r="AI1895">
        <v>92.659418301034407</v>
      </c>
      <c r="AJ1895">
        <v>92.924422906952202</v>
      </c>
      <c r="AK1895">
        <v>23.889556579741299</v>
      </c>
      <c r="AL1895">
        <v>90.0779943097466</v>
      </c>
      <c r="AM1895">
        <v>87.008387803871798</v>
      </c>
      <c r="AN1895">
        <v>0.99999993940047005</v>
      </c>
    </row>
    <row r="1896" spans="1:40" x14ac:dyDescent="0.25">
      <c r="A1896" t="str">
        <f>"20190312154251888"</f>
        <v>20190312154251888</v>
      </c>
      <c r="B1896" t="str">
        <f>"1552376571878814"</f>
        <v>1552376571878814</v>
      </c>
      <c r="C1896" t="s">
        <v>40</v>
      </c>
      <c r="D1896">
        <v>4.7732260000000002</v>
      </c>
      <c r="E1896">
        <v>0.45941140000000003</v>
      </c>
      <c r="F1896" t="s">
        <v>51</v>
      </c>
      <c r="G1896">
        <v>-293.85160000000002</v>
      </c>
      <c r="H1896" s="1">
        <v>3.017228E-6</v>
      </c>
      <c r="I1896">
        <v>283.14909999999998</v>
      </c>
      <c r="J1896">
        <v>-269.52370000000002</v>
      </c>
      <c r="K1896">
        <v>1.10854599999999</v>
      </c>
      <c r="L1896">
        <v>282.59460000000001</v>
      </c>
      <c r="M1896">
        <v>-0.99724849999999998</v>
      </c>
      <c r="N1896">
        <v>0</v>
      </c>
      <c r="O1896">
        <v>7.4002219999999994E-2</v>
      </c>
      <c r="P1896">
        <v>-0.99204340000000002</v>
      </c>
      <c r="Q1896">
        <v>-5.8078510000000002E-3</v>
      </c>
      <c r="R1896">
        <v>0.12576289999999901</v>
      </c>
      <c r="S1896">
        <v>-3.0143430000000002</v>
      </c>
      <c r="T1896">
        <v>-0.135098</v>
      </c>
      <c r="U1896">
        <v>7.1258539999999995E-2</v>
      </c>
      <c r="V1896">
        <v>5.200304E-2</v>
      </c>
      <c r="W1896">
        <v>-1.4640390000000001E-3</v>
      </c>
      <c r="X1896">
        <v>0.99864580000000003</v>
      </c>
      <c r="Y1896">
        <v>-5.0289300000000002E-2</v>
      </c>
      <c r="Z1896">
        <v>-4.4377849999999996E-3</v>
      </c>
      <c r="AA1896">
        <v>0.99872479999999997</v>
      </c>
      <c r="AB1896">
        <v>39</v>
      </c>
      <c r="AC1896">
        <v>-24.3279</v>
      </c>
      <c r="AD1896">
        <v>-1.1085429827719999</v>
      </c>
      <c r="AE1896">
        <v>0.55449999999996102</v>
      </c>
      <c r="AF1896">
        <v>-1.24477301314241</v>
      </c>
      <c r="AG1896">
        <v>-1.1085429827719999</v>
      </c>
      <c r="AH1896">
        <v>24.2518993734794</v>
      </c>
      <c r="AI1896">
        <v>92.613705807996794</v>
      </c>
      <c r="AJ1896">
        <v>92.938232099465196</v>
      </c>
      <c r="AK1896">
        <v>24.3091125016993</v>
      </c>
      <c r="AL1896">
        <v>90.083883290177994</v>
      </c>
      <c r="AM1896">
        <v>87.019097349725698</v>
      </c>
      <c r="AN1896">
        <v>0.99999994671853598</v>
      </c>
    </row>
    <row r="1897" spans="1:40" x14ac:dyDescent="0.25">
      <c r="A1897" t="str">
        <f>"20190312154251910"</f>
        <v>20190312154251910</v>
      </c>
      <c r="B1897" t="str">
        <f>"1552376571899314"</f>
        <v>1552376571899314</v>
      </c>
      <c r="C1897" t="s">
        <v>40</v>
      </c>
      <c r="D1897">
        <v>4.7908189999999999</v>
      </c>
      <c r="E1897">
        <v>0.45922679999999999</v>
      </c>
      <c r="F1897" t="s">
        <v>51</v>
      </c>
      <c r="G1897">
        <v>-309.5385</v>
      </c>
      <c r="H1897" s="1">
        <v>2.388013E-6</v>
      </c>
      <c r="I1897">
        <v>283.29640000000001</v>
      </c>
      <c r="J1897">
        <v>-269.90839999999997</v>
      </c>
      <c r="K1897">
        <v>1.1086499999999999</v>
      </c>
      <c r="L1897">
        <v>282.62310000000002</v>
      </c>
      <c r="M1897">
        <v>-0.99725090000000005</v>
      </c>
      <c r="N1897">
        <v>0</v>
      </c>
      <c r="O1897">
        <v>7.3966589999999999E-2</v>
      </c>
      <c r="P1897">
        <v>-0.9921103</v>
      </c>
      <c r="Q1897">
        <v>-6.0883259999999998E-3</v>
      </c>
      <c r="R1897">
        <v>0.1252209</v>
      </c>
      <c r="S1897">
        <v>-3.0169069999999998</v>
      </c>
      <c r="T1897">
        <v>-8.3578470000000002E-2</v>
      </c>
      <c r="U1897">
        <v>5.2917480000000003E-2</v>
      </c>
      <c r="V1897">
        <v>5.149339E-2</v>
      </c>
      <c r="W1897">
        <v>-1.6679129999999901E-3</v>
      </c>
      <c r="X1897">
        <v>0.99867189999999995</v>
      </c>
      <c r="Y1897">
        <v>-5.641641E-2</v>
      </c>
      <c r="Z1897">
        <v>-2.8281090000000001E-3</v>
      </c>
      <c r="AA1897">
        <v>0.99840329999999999</v>
      </c>
      <c r="AB1897">
        <v>39</v>
      </c>
      <c r="AC1897">
        <v>-39.630099999999999</v>
      </c>
      <c r="AD1897">
        <v>-1.1086476119869999</v>
      </c>
      <c r="AE1897">
        <v>0.67329999999998302</v>
      </c>
      <c r="AF1897">
        <v>-2.2581097844389801</v>
      </c>
      <c r="AG1897">
        <v>-1.1086476119869999</v>
      </c>
      <c r="AH1897">
        <v>39.540406951197298</v>
      </c>
      <c r="AI1897">
        <v>91.603446845197695</v>
      </c>
      <c r="AJ1897">
        <v>93.268549572114907</v>
      </c>
      <c r="AK1897">
        <v>39.620347565265398</v>
      </c>
      <c r="AL1897">
        <v>90.095564423865596</v>
      </c>
      <c r="AM1897">
        <v>87.048336442493294</v>
      </c>
      <c r="AN1897">
        <v>0.99999995749853698</v>
      </c>
    </row>
    <row r="1898" spans="1:40" x14ac:dyDescent="0.25">
      <c r="A1898" t="str">
        <f>"20190312154251931"</f>
        <v>20190312154251931</v>
      </c>
      <c r="B1898" t="str">
        <f>"1552376571918830"</f>
        <v>1552376571918830</v>
      </c>
      <c r="C1898" t="s">
        <v>40</v>
      </c>
      <c r="D1898">
        <v>4.755363</v>
      </c>
      <c r="E1898">
        <v>0.45889489999999999</v>
      </c>
      <c r="F1898" t="s">
        <v>51</v>
      </c>
      <c r="G1898">
        <v>-308.7534</v>
      </c>
      <c r="H1898" s="1">
        <v>2.5302619999999999E-6</v>
      </c>
      <c r="I1898">
        <v>283.26240000000001</v>
      </c>
      <c r="J1898">
        <v>-270.2842</v>
      </c>
      <c r="K1898">
        <v>1.108752</v>
      </c>
      <c r="L1898">
        <v>282.6508</v>
      </c>
      <c r="M1898">
        <v>-0.99726020000000004</v>
      </c>
      <c r="N1898">
        <v>0</v>
      </c>
      <c r="O1898">
        <v>7.3838459999999995E-2</v>
      </c>
      <c r="P1898">
        <v>-0.99217250000000001</v>
      </c>
      <c r="Q1898">
        <v>-6.1597040000000002E-3</v>
      </c>
      <c r="R1898">
        <v>0.1247239</v>
      </c>
      <c r="S1898">
        <v>-3.017029</v>
      </c>
      <c r="T1898">
        <v>-8.6106779999999994E-2</v>
      </c>
      <c r="U1898">
        <v>4.9652099999999998E-2</v>
      </c>
      <c r="V1898">
        <v>5.1121920000000001E-2</v>
      </c>
      <c r="W1898">
        <v>-1.6603500000000001E-3</v>
      </c>
      <c r="X1898">
        <v>0.998691</v>
      </c>
      <c r="Y1898">
        <v>-5.7365720000000002E-2</v>
      </c>
      <c r="Z1898">
        <v>-2.9234529999999999E-3</v>
      </c>
      <c r="AA1898">
        <v>0.99834900000000004</v>
      </c>
      <c r="AB1898">
        <v>40</v>
      </c>
      <c r="AC1898">
        <v>-38.469200000000001</v>
      </c>
      <c r="AD1898">
        <v>-1.108749469738</v>
      </c>
      <c r="AE1898">
        <v>0.61160000000000903</v>
      </c>
      <c r="AF1898">
        <v>-2.22875348371335</v>
      </c>
      <c r="AG1898">
        <v>-1.108749469738</v>
      </c>
      <c r="AH1898">
        <v>38.3774734675088</v>
      </c>
      <c r="AI1898">
        <v>91.652068942241499</v>
      </c>
      <c r="AJ1898">
        <v>93.323691896719794</v>
      </c>
      <c r="AK1898">
        <v>38.458121862971304</v>
      </c>
      <c r="AL1898">
        <v>90.095131094983699</v>
      </c>
      <c r="AM1898">
        <v>87.069648251895202</v>
      </c>
      <c r="AN1898">
        <v>0.99999996047380302</v>
      </c>
    </row>
    <row r="1899" spans="1:40" x14ac:dyDescent="0.25">
      <c r="A1899" t="str">
        <f>"20190312154251953"</f>
        <v>20190312154251953</v>
      </c>
      <c r="B1899" t="str">
        <f>"1552376571949086"</f>
        <v>1552376571949086</v>
      </c>
      <c r="C1899" t="s">
        <v>40</v>
      </c>
      <c r="D1899">
        <v>4.7823099999999998</v>
      </c>
      <c r="E1899">
        <v>0.45850590000000002</v>
      </c>
      <c r="F1899" t="s">
        <v>51</v>
      </c>
      <c r="G1899">
        <v>-308.39449999999999</v>
      </c>
      <c r="H1899" s="1">
        <v>2.597413E-6</v>
      </c>
      <c r="I1899">
        <v>283.22250000000003</v>
      </c>
      <c r="J1899">
        <v>-270.68259999999998</v>
      </c>
      <c r="K1899">
        <v>1.108865</v>
      </c>
      <c r="L1899">
        <v>282.68020000000001</v>
      </c>
      <c r="M1899">
        <v>-0.99727840000000001</v>
      </c>
      <c r="N1899">
        <v>0</v>
      </c>
      <c r="O1899">
        <v>7.3586840000000001E-2</v>
      </c>
      <c r="P1899">
        <v>-0.99232330000000002</v>
      </c>
      <c r="Q1899">
        <v>-6.6653099999999998E-3</v>
      </c>
      <c r="R1899">
        <v>0.1234929</v>
      </c>
      <c r="S1899">
        <v>-3.0174259999999999</v>
      </c>
      <c r="T1899">
        <v>-8.778656E-2</v>
      </c>
      <c r="U1899">
        <v>4.5257569999999997E-2</v>
      </c>
      <c r="V1899">
        <v>5.0135520000000003E-2</v>
      </c>
      <c r="W1899">
        <v>-2.0735469999999998E-3</v>
      </c>
      <c r="X1899">
        <v>0.99874030000000003</v>
      </c>
      <c r="Y1899">
        <v>-5.8567080000000001E-2</v>
      </c>
      <c r="Z1899">
        <v>-2.9903009999999999E-3</v>
      </c>
      <c r="AA1899">
        <v>0.99827900000000003</v>
      </c>
      <c r="AB1899">
        <v>40</v>
      </c>
      <c r="AC1899">
        <v>-37.7119</v>
      </c>
      <c r="AD1899">
        <v>-1.108862402587</v>
      </c>
      <c r="AE1899">
        <v>0.542300000000011</v>
      </c>
      <c r="AF1899">
        <v>-2.2323690453928999</v>
      </c>
      <c r="AG1899">
        <v>-1.108862402587</v>
      </c>
      <c r="AH1899">
        <v>37.617044707288002</v>
      </c>
      <c r="AI1899">
        <v>91.685492844476499</v>
      </c>
      <c r="AJ1899">
        <v>93.396212820040503</v>
      </c>
      <c r="AK1899">
        <v>37.699537131015397</v>
      </c>
      <c r="AL1899">
        <v>90.118805573483598</v>
      </c>
      <c r="AM1899">
        <v>87.126235441276094</v>
      </c>
      <c r="AN1899">
        <v>1.00000002840346</v>
      </c>
    </row>
    <row r="1900" spans="1:40" x14ac:dyDescent="0.25">
      <c r="A1900" t="str">
        <f>"20190312154251977"</f>
        <v>20190312154251977</v>
      </c>
      <c r="B1900" t="str">
        <f>"1552376571969582"</f>
        <v>1552376571969582</v>
      </c>
      <c r="C1900" t="s">
        <v>40</v>
      </c>
      <c r="D1900">
        <v>4.7168359999999998</v>
      </c>
      <c r="E1900">
        <v>0.45951009999999998</v>
      </c>
      <c r="F1900" t="s">
        <v>51</v>
      </c>
      <c r="G1900">
        <v>-307.48599999999999</v>
      </c>
      <c r="H1900" s="1">
        <v>2.7649540000000002E-6</v>
      </c>
      <c r="I1900">
        <v>283.14949999999999</v>
      </c>
      <c r="J1900">
        <v>-271.09589999999997</v>
      </c>
      <c r="K1900">
        <v>1.1089899999999999</v>
      </c>
      <c r="L1900">
        <v>282.71039999999999</v>
      </c>
      <c r="M1900">
        <v>-0.99730719999999995</v>
      </c>
      <c r="N1900">
        <v>0</v>
      </c>
      <c r="O1900">
        <v>7.3188139999999999E-2</v>
      </c>
      <c r="P1900">
        <v>-0.99240360000000005</v>
      </c>
      <c r="Q1900">
        <v>-7.2058030000000002E-3</v>
      </c>
      <c r="R1900">
        <v>0.1228147</v>
      </c>
      <c r="S1900">
        <v>-3.0178219999999998</v>
      </c>
      <c r="T1900">
        <v>-9.0925220000000001E-2</v>
      </c>
      <c r="U1900">
        <v>3.8482669999999997E-2</v>
      </c>
      <c r="V1900">
        <v>4.9853210000000002E-2</v>
      </c>
      <c r="W1900">
        <v>-2.504952E-3</v>
      </c>
      <c r="X1900">
        <v>0.99875340000000001</v>
      </c>
      <c r="Y1900">
        <v>-6.0405880000000002E-2</v>
      </c>
      <c r="Z1900">
        <v>-3.1125670000000001E-3</v>
      </c>
      <c r="AA1900">
        <v>0.99816910000000003</v>
      </c>
      <c r="AB1900">
        <v>40</v>
      </c>
      <c r="AC1900">
        <v>-36.390099999999997</v>
      </c>
      <c r="AD1900">
        <v>-1.1089872350459999</v>
      </c>
      <c r="AE1900">
        <v>0.43909999999999599</v>
      </c>
      <c r="AF1900">
        <v>-2.2233658569966801</v>
      </c>
      <c r="AG1900">
        <v>-1.1089872350459999</v>
      </c>
      <c r="AH1900">
        <v>36.290943051341202</v>
      </c>
      <c r="AI1900">
        <v>91.747039754747902</v>
      </c>
      <c r="AJ1900">
        <v>93.505845971072006</v>
      </c>
      <c r="AK1900">
        <v>36.3758952601478</v>
      </c>
      <c r="AL1900">
        <v>90.143523329635897</v>
      </c>
      <c r="AM1900">
        <v>87.142427952980896</v>
      </c>
      <c r="AN1900">
        <v>0.99999998567169301</v>
      </c>
    </row>
    <row r="1901" spans="1:40" x14ac:dyDescent="0.25">
      <c r="A1901" t="str">
        <f>"20190312154251999"</f>
        <v>20190312154251999</v>
      </c>
      <c r="B1901" t="str">
        <f>"1552376571989102"</f>
        <v>1552376571989102</v>
      </c>
      <c r="C1901" t="s">
        <v>40</v>
      </c>
      <c r="D1901">
        <v>4.7229539999999997</v>
      </c>
      <c r="E1901">
        <v>0.45921230000000002</v>
      </c>
      <c r="F1901" t="s">
        <v>51</v>
      </c>
      <c r="G1901">
        <v>-297.30869999999999</v>
      </c>
      <c r="H1901" s="1">
        <v>3.6363109999999999E-6</v>
      </c>
      <c r="I1901">
        <v>283.0822</v>
      </c>
      <c r="J1901">
        <v>-271.49160000000001</v>
      </c>
      <c r="K1901">
        <v>1.109129</v>
      </c>
      <c r="L1901">
        <v>282.73899999999998</v>
      </c>
      <c r="M1901">
        <v>-0.99734509999999998</v>
      </c>
      <c r="N1901">
        <v>0</v>
      </c>
      <c r="O1901">
        <v>7.2662950000000004E-2</v>
      </c>
      <c r="P1901">
        <v>-0.9925254</v>
      </c>
      <c r="Q1901">
        <v>-7.767716E-3</v>
      </c>
      <c r="R1901">
        <v>0.1217916</v>
      </c>
      <c r="S1901">
        <v>-3.0167540000000002</v>
      </c>
      <c r="T1901">
        <v>-0.12763039999999901</v>
      </c>
      <c r="U1901">
        <v>4.278564E-2</v>
      </c>
      <c r="V1901">
        <v>4.9350989999999997E-2</v>
      </c>
      <c r="W1901">
        <v>-2.9510029999999998E-3</v>
      </c>
      <c r="X1901">
        <v>0.99877720000000003</v>
      </c>
      <c r="Y1901">
        <v>-5.8395620000000002E-2</v>
      </c>
      <c r="Z1901">
        <v>-4.304904E-3</v>
      </c>
      <c r="AA1901">
        <v>0.99828419999999896</v>
      </c>
      <c r="AB1901">
        <v>40</v>
      </c>
      <c r="AC1901">
        <v>-25.8170999999999</v>
      </c>
      <c r="AD1901">
        <v>-1.1091253636889999</v>
      </c>
      <c r="AE1901">
        <v>0.34319999999996698</v>
      </c>
      <c r="AF1901">
        <v>-1.5308504328613299</v>
      </c>
      <c r="AG1901">
        <v>-1.1091253636889999</v>
      </c>
      <c r="AH1901">
        <v>25.726317474900299</v>
      </c>
      <c r="AI1901">
        <v>92.464280860544505</v>
      </c>
      <c r="AJ1901">
        <v>93.405382971637906</v>
      </c>
      <c r="AK1901">
        <v>25.7956793463465</v>
      </c>
      <c r="AL1901">
        <v>90.169080252162402</v>
      </c>
      <c r="AM1901">
        <v>87.171235365810105</v>
      </c>
      <c r="AN1901">
        <v>1.0000000619362599</v>
      </c>
    </row>
    <row r="1902" spans="1:40" x14ac:dyDescent="0.25">
      <c r="A1902" t="str">
        <f>"20190312154252022"</f>
        <v>20190312154252022</v>
      </c>
      <c r="B1902" t="str">
        <f>"1552376572019359"</f>
        <v>1552376572019359</v>
      </c>
      <c r="C1902" t="s">
        <v>40</v>
      </c>
      <c r="D1902">
        <v>4.7194649999999996</v>
      </c>
      <c r="E1902">
        <v>0.45885369999999998</v>
      </c>
      <c r="F1902" t="s">
        <v>51</v>
      </c>
      <c r="G1902">
        <v>-297.6515</v>
      </c>
      <c r="H1902" s="1">
        <v>3.6985959999999999E-6</v>
      </c>
      <c r="I1902">
        <v>283.06529999999998</v>
      </c>
      <c r="J1902">
        <v>-271.8999</v>
      </c>
      <c r="K1902">
        <v>1.109289</v>
      </c>
      <c r="L1902">
        <v>282.76830000000001</v>
      </c>
      <c r="M1902">
        <v>-0.99739560000000005</v>
      </c>
      <c r="N1902">
        <v>0</v>
      </c>
      <c r="O1902">
        <v>7.1960109999999994E-2</v>
      </c>
      <c r="P1902">
        <v>-0.99265979999999998</v>
      </c>
      <c r="Q1902">
        <v>-8.3249940000000005E-3</v>
      </c>
      <c r="R1902">
        <v>0.1206536</v>
      </c>
      <c r="S1902">
        <v>-3.0169679999999999</v>
      </c>
      <c r="T1902">
        <v>-0.127913</v>
      </c>
      <c r="U1902">
        <v>3.7628170000000002E-2</v>
      </c>
      <c r="V1902">
        <v>4.8911589999999998E-2</v>
      </c>
      <c r="W1902">
        <v>-3.3779040000000001E-3</v>
      </c>
      <c r="X1902">
        <v>0.99879739999999995</v>
      </c>
      <c r="Y1902">
        <v>-5.9398609999999998E-2</v>
      </c>
      <c r="Z1902">
        <v>-4.3057540000000002E-3</v>
      </c>
      <c r="AA1902">
        <v>0.99822500000000003</v>
      </c>
      <c r="AB1902">
        <v>40</v>
      </c>
      <c r="AC1902">
        <v>-25.7516</v>
      </c>
      <c r="AD1902">
        <v>-1.1092853014040001</v>
      </c>
      <c r="AE1902">
        <v>0.29699999999996801</v>
      </c>
      <c r="AF1902">
        <v>-1.55399679982434</v>
      </c>
      <c r="AG1902">
        <v>-1.1092853014040001</v>
      </c>
      <c r="AH1902">
        <v>25.658604986576801</v>
      </c>
      <c r="AI1902">
        <v>92.470975481002696</v>
      </c>
      <c r="AJ1902">
        <v>93.465848306077206</v>
      </c>
      <c r="AK1902">
        <v>25.729543909501398</v>
      </c>
      <c r="AL1902">
        <v>90.193540010846206</v>
      </c>
      <c r="AM1902">
        <v>87.196437716760599</v>
      </c>
      <c r="AN1902">
        <v>1.0000000000592599</v>
      </c>
    </row>
    <row r="1903" spans="1:40" x14ac:dyDescent="0.25">
      <c r="A1903" t="str">
        <f>"20190312154252043"</f>
        <v>20190312154252043</v>
      </c>
      <c r="B1903" t="str">
        <f>"1552376572038879"</f>
        <v>1552376572038879</v>
      </c>
      <c r="C1903" t="s">
        <v>40</v>
      </c>
      <c r="D1903">
        <v>4.7141029999999997</v>
      </c>
      <c r="E1903">
        <v>0.45875500000000002</v>
      </c>
      <c r="F1903" t="s">
        <v>51</v>
      </c>
      <c r="G1903">
        <v>-297.98480000000001</v>
      </c>
      <c r="H1903" s="1">
        <v>3.7600590000000001E-6</v>
      </c>
      <c r="I1903">
        <v>283.0385</v>
      </c>
      <c r="J1903">
        <v>-272.28120000000001</v>
      </c>
      <c r="K1903">
        <v>1.1094550000000001</v>
      </c>
      <c r="L1903">
        <v>282.79520000000002</v>
      </c>
      <c r="M1903">
        <v>-0.99745349999999999</v>
      </c>
      <c r="N1903">
        <v>0</v>
      </c>
      <c r="O1903">
        <v>7.1145260000000002E-2</v>
      </c>
      <c r="P1903">
        <v>-0.99274300000000004</v>
      </c>
      <c r="Q1903">
        <v>-9.1531200000000007E-3</v>
      </c>
      <c r="R1903">
        <v>0.1199088</v>
      </c>
      <c r="S1903">
        <v>-3.017334</v>
      </c>
      <c r="T1903">
        <v>-0.12831529999999999</v>
      </c>
      <c r="U1903">
        <v>3.125E-2</v>
      </c>
      <c r="V1903">
        <v>4.8980860000000001E-2</v>
      </c>
      <c r="W1903">
        <v>-4.0740809999999898E-3</v>
      </c>
      <c r="X1903">
        <v>0.9987914</v>
      </c>
      <c r="Y1903">
        <v>-6.0693270000000001E-2</v>
      </c>
      <c r="Z1903">
        <v>-4.3118260000000004E-3</v>
      </c>
      <c r="AA1903">
        <v>0.99814709999999995</v>
      </c>
      <c r="AB1903">
        <v>40</v>
      </c>
      <c r="AC1903">
        <v>-25.703599999999899</v>
      </c>
      <c r="AD1903">
        <v>-1.1094512399409999</v>
      </c>
      <c r="AE1903">
        <v>0.24329999999997601</v>
      </c>
      <c r="AF1903">
        <v>-1.5830794693677399</v>
      </c>
      <c r="AG1903">
        <v>-1.1094512399409999</v>
      </c>
      <c r="AH1903">
        <v>25.608069140818301</v>
      </c>
      <c r="AI1903">
        <v>92.476026387796907</v>
      </c>
      <c r="AJ1903">
        <v>93.537497876350102</v>
      </c>
      <c r="AK1903">
        <v>25.6809312093832</v>
      </c>
      <c r="AL1903">
        <v>90.233428294369403</v>
      </c>
      <c r="AM1903">
        <v>87.192456740734997</v>
      </c>
      <c r="AN1903">
        <v>0.99999999174814702</v>
      </c>
    </row>
    <row r="1904" spans="1:40" x14ac:dyDescent="0.25">
      <c r="A1904" t="str">
        <f>"20190312154252066"</f>
        <v>20190312154252066</v>
      </c>
      <c r="B1904" t="str">
        <f>"1552376572059375"</f>
        <v>1552376572059375</v>
      </c>
      <c r="C1904" t="s">
        <v>40</v>
      </c>
      <c r="D1904">
        <v>4.6941739999999896</v>
      </c>
      <c r="E1904">
        <v>0.4585747</v>
      </c>
      <c r="F1904" t="s">
        <v>51</v>
      </c>
      <c r="G1904">
        <v>-298.03410000000002</v>
      </c>
      <c r="H1904" s="1">
        <v>3.7691149999999998E-6</v>
      </c>
      <c r="I1904">
        <v>283.03489999999999</v>
      </c>
      <c r="J1904">
        <v>-272.69170000000003</v>
      </c>
      <c r="K1904">
        <v>1.1096440000000001</v>
      </c>
      <c r="L1904">
        <v>282.82369999999997</v>
      </c>
      <c r="M1904">
        <v>-0.99752730000000001</v>
      </c>
      <c r="N1904">
        <v>0</v>
      </c>
      <c r="O1904">
        <v>7.0091570000000006E-2</v>
      </c>
      <c r="P1904">
        <v>-0.99286810000000003</v>
      </c>
      <c r="Q1904">
        <v>-9.8726409999999997E-3</v>
      </c>
      <c r="R1904">
        <v>0.1188089</v>
      </c>
      <c r="S1904">
        <v>-3.0173649999999999</v>
      </c>
      <c r="T1904">
        <v>-0.1299902</v>
      </c>
      <c r="U1904">
        <v>2.8076170000000001E-2</v>
      </c>
      <c r="V1904">
        <v>4.893252E-2</v>
      </c>
      <c r="W1904">
        <v>-4.6438720000000003E-3</v>
      </c>
      <c r="X1904">
        <v>0.99879130000000005</v>
      </c>
      <c r="Y1904">
        <v>-6.0686690000000001E-2</v>
      </c>
      <c r="Z1904">
        <v>-4.3226439999999996E-3</v>
      </c>
      <c r="AA1904">
        <v>0.99814749999999997</v>
      </c>
      <c r="AB1904">
        <v>40</v>
      </c>
      <c r="AC1904">
        <v>-25.342400000000001</v>
      </c>
      <c r="AD1904">
        <v>-1.109640230885</v>
      </c>
      <c r="AE1904">
        <v>0.21120000000001901</v>
      </c>
      <c r="AF1904">
        <v>-1.56263586169111</v>
      </c>
      <c r="AG1904">
        <v>-1.109640230885</v>
      </c>
      <c r="AH1904">
        <v>25.246474464919199</v>
      </c>
      <c r="AI1904">
        <v>92.511859961717306</v>
      </c>
      <c r="AJ1904">
        <v>93.541816049166997</v>
      </c>
      <c r="AK1904">
        <v>25.319115410812799</v>
      </c>
      <c r="AL1904">
        <v>90.266075220150896</v>
      </c>
      <c r="AM1904">
        <v>87.195222843425498</v>
      </c>
      <c r="AN1904">
        <v>1.00000000900819</v>
      </c>
    </row>
    <row r="1905" spans="1:40" x14ac:dyDescent="0.25">
      <c r="A1905" t="str">
        <f>"20190312154252078"</f>
        <v>20190312154252078</v>
      </c>
      <c r="B1905" t="str">
        <f>"1552376572069136"</f>
        <v>1552376572069136</v>
      </c>
      <c r="C1905" t="s">
        <v>40</v>
      </c>
      <c r="D1905">
        <v>4.7184229999999996</v>
      </c>
      <c r="E1905">
        <v>0.45843210000000001</v>
      </c>
      <c r="F1905" t="s">
        <v>51</v>
      </c>
      <c r="G1905">
        <v>-298.19459999999998</v>
      </c>
      <c r="H1905" s="1">
        <v>3.7988470000000002E-6</v>
      </c>
      <c r="I1905">
        <v>283.02050000000003</v>
      </c>
      <c r="J1905">
        <v>-272.91489999999999</v>
      </c>
      <c r="K1905">
        <v>1.10975</v>
      </c>
      <c r="L1905">
        <v>282.839</v>
      </c>
      <c r="M1905">
        <v>-0.99757379999999996</v>
      </c>
      <c r="N1905">
        <v>0</v>
      </c>
      <c r="O1905">
        <v>6.9421330000000003E-2</v>
      </c>
      <c r="P1905">
        <v>-0.99293629999999999</v>
      </c>
      <c r="Q1905">
        <v>-1.0205260000000001E-2</v>
      </c>
      <c r="R1905">
        <v>0.1182088</v>
      </c>
      <c r="S1905">
        <v>-3.0174560000000001</v>
      </c>
      <c r="T1905">
        <v>-0.1312904</v>
      </c>
      <c r="U1905">
        <v>2.3284909999999999E-2</v>
      </c>
      <c r="V1905">
        <v>4.9001820000000001E-2</v>
      </c>
      <c r="W1905">
        <v>-4.8920350000000003E-3</v>
      </c>
      <c r="X1905">
        <v>0.99878670000000003</v>
      </c>
      <c r="Y1905">
        <v>-6.1598460000000001E-2</v>
      </c>
      <c r="Z1905">
        <v>-4.3565160000000004E-3</v>
      </c>
      <c r="AA1905">
        <v>0.99809150000000002</v>
      </c>
      <c r="AB1905">
        <v>40</v>
      </c>
      <c r="AC1905">
        <v>-25.279699999999899</v>
      </c>
      <c r="AD1905">
        <v>-1.1097462011529999</v>
      </c>
      <c r="AE1905">
        <v>0.181500000000028</v>
      </c>
      <c r="AF1905">
        <v>-1.5708850594069299</v>
      </c>
      <c r="AG1905">
        <v>-1.1097462011529999</v>
      </c>
      <c r="AH1905">
        <v>25.182782262157701</v>
      </c>
      <c r="AI1905">
        <v>92.518369589544903</v>
      </c>
      <c r="AJ1905">
        <v>93.5694472857259</v>
      </c>
      <c r="AK1905">
        <v>25.256122801492801</v>
      </c>
      <c r="AL1905">
        <v>90.280294079195002</v>
      </c>
      <c r="AM1905">
        <v>87.191244057968106</v>
      </c>
      <c r="AN1905">
        <v>0.99999999123332195</v>
      </c>
    </row>
    <row r="1906" spans="1:40" x14ac:dyDescent="0.25">
      <c r="A1906" t="str">
        <f>"20190312154252099"</f>
        <v>20190312154252099</v>
      </c>
      <c r="B1906" t="str">
        <f>"1552376572089631"</f>
        <v>1552376572089631</v>
      </c>
      <c r="C1906" t="s">
        <v>40</v>
      </c>
      <c r="D1906">
        <v>4.7048389999999998</v>
      </c>
      <c r="E1906">
        <v>0.4584048</v>
      </c>
      <c r="F1906" t="s">
        <v>51</v>
      </c>
      <c r="G1906">
        <v>-298.20420000000001</v>
      </c>
      <c r="H1906" s="1">
        <v>3.8015559999999998E-6</v>
      </c>
      <c r="I1906">
        <v>283.00900000000001</v>
      </c>
      <c r="J1906">
        <v>-273.29570000000001</v>
      </c>
      <c r="K1906">
        <v>1.109937</v>
      </c>
      <c r="L1906">
        <v>282.8646</v>
      </c>
      <c r="M1906">
        <v>-0.99765979999999999</v>
      </c>
      <c r="N1906">
        <v>0</v>
      </c>
      <c r="O1906">
        <v>6.8165970000000006E-2</v>
      </c>
      <c r="P1906">
        <v>-0.99304409999999999</v>
      </c>
      <c r="Q1906">
        <v>-1.116667E-2</v>
      </c>
      <c r="R1906">
        <v>0.1172134</v>
      </c>
      <c r="S1906">
        <v>-3.0175779999999999</v>
      </c>
      <c r="T1906">
        <v>-0.1324176</v>
      </c>
      <c r="U1906">
        <v>2.029419E-2</v>
      </c>
      <c r="V1906">
        <v>4.926233E-2</v>
      </c>
      <c r="W1906">
        <v>-5.7070519999999998E-3</v>
      </c>
      <c r="X1906">
        <v>0.99876960000000004</v>
      </c>
      <c r="Y1906">
        <v>-6.133135E-2</v>
      </c>
      <c r="Z1906">
        <v>-4.3329320000000003E-3</v>
      </c>
      <c r="AA1906">
        <v>0.998108</v>
      </c>
      <c r="AB1906">
        <v>40</v>
      </c>
      <c r="AC1906">
        <v>-24.9085</v>
      </c>
      <c r="AD1906">
        <v>-1.109933198444</v>
      </c>
      <c r="AE1906">
        <v>0.14440000000001799</v>
      </c>
      <c r="AF1906">
        <v>-1.55079279602979</v>
      </c>
      <c r="AG1906">
        <v>-1.109933198444</v>
      </c>
      <c r="AH1906">
        <v>24.811140257590498</v>
      </c>
      <c r="AI1906">
        <v>92.556452527267496</v>
      </c>
      <c r="AJ1906">
        <v>93.576556421858498</v>
      </c>
      <c r="AK1906">
        <v>24.884324199846301</v>
      </c>
      <c r="AL1906">
        <v>90.326991758069994</v>
      </c>
      <c r="AM1906">
        <v>87.176287612016694</v>
      </c>
      <c r="AN1906">
        <v>1.00000003074185</v>
      </c>
    </row>
    <row r="1907" spans="1:40" x14ac:dyDescent="0.25">
      <c r="A1907" t="str">
        <f>"20190312154252121"</f>
        <v>20190312154252121</v>
      </c>
      <c r="B1907" t="str">
        <f>"1552376572109151"</f>
        <v>1552376572109151</v>
      </c>
      <c r="C1907" t="s">
        <v>40</v>
      </c>
      <c r="D1907">
        <v>4.7366409999999997</v>
      </c>
      <c r="E1907">
        <v>0.458453</v>
      </c>
      <c r="F1907" t="s">
        <v>51</v>
      </c>
      <c r="G1907">
        <v>-298.1986</v>
      </c>
      <c r="H1907" s="1">
        <v>3.8007899999999998E-6</v>
      </c>
      <c r="I1907">
        <v>283.00630000000001</v>
      </c>
      <c r="J1907">
        <v>-273.69569999999999</v>
      </c>
      <c r="K1907">
        <v>1.1101289999999999</v>
      </c>
      <c r="L1907">
        <v>282.89069999999998</v>
      </c>
      <c r="M1907">
        <v>-0.99775979999999997</v>
      </c>
      <c r="N1907">
        <v>0</v>
      </c>
      <c r="O1907">
        <v>6.6674490000000003E-2</v>
      </c>
      <c r="P1907">
        <v>-0.99318779999999995</v>
      </c>
      <c r="Q1907">
        <v>-1.203069E-2</v>
      </c>
      <c r="R1907">
        <v>0.1159023</v>
      </c>
      <c r="S1907">
        <v>-3.017487</v>
      </c>
      <c r="T1907">
        <v>-0.13449059999999999</v>
      </c>
      <c r="U1907">
        <v>1.7181399999999999E-2</v>
      </c>
      <c r="V1907">
        <v>4.9442130000000001E-2</v>
      </c>
      <c r="W1907">
        <v>-6.417229E-3</v>
      </c>
      <c r="X1907">
        <v>0.99875630000000004</v>
      </c>
      <c r="Y1907">
        <v>-6.0866699999999899E-2</v>
      </c>
      <c r="Z1907">
        <v>-4.3242009999999997E-3</v>
      </c>
      <c r="AA1907">
        <v>0.99813649999999998</v>
      </c>
      <c r="AB1907">
        <v>40</v>
      </c>
      <c r="AC1907">
        <v>-24.5029</v>
      </c>
      <c r="AD1907">
        <v>-1.1101251992100001</v>
      </c>
      <c r="AE1907">
        <v>0.115600000000029</v>
      </c>
      <c r="AF1907">
        <v>-1.51528977607964</v>
      </c>
      <c r="AG1907">
        <v>-1.1101251992100001</v>
      </c>
      <c r="AH1907">
        <v>24.4059865746562</v>
      </c>
      <c r="AI1907">
        <v>92.599349551174598</v>
      </c>
      <c r="AJ1907">
        <v>93.552751667492402</v>
      </c>
      <c r="AK1907">
        <v>24.4781670421972</v>
      </c>
      <c r="AL1907">
        <v>90.367682688716698</v>
      </c>
      <c r="AM1907">
        <v>87.165960585288701</v>
      </c>
      <c r="AN1907">
        <v>0.99999992591832998</v>
      </c>
    </row>
    <row r="1908" spans="1:40" x14ac:dyDescent="0.25">
      <c r="A1908" t="str">
        <f>"20190312154252134"</f>
        <v>20190312154252134</v>
      </c>
      <c r="B1908" t="str">
        <f>"1552376572129647"</f>
        <v>1552376572129647</v>
      </c>
      <c r="C1908" t="s">
        <v>40</v>
      </c>
      <c r="D1908">
        <v>5.0141019999999896</v>
      </c>
      <c r="E1908">
        <v>0.47941729999999999</v>
      </c>
      <c r="F1908" t="s">
        <v>51</v>
      </c>
      <c r="G1908">
        <v>-298.22669999999999</v>
      </c>
      <c r="H1908" s="1">
        <v>3.8063190000000002E-6</v>
      </c>
      <c r="I1908">
        <v>283.00020000000001</v>
      </c>
      <c r="J1908">
        <v>-273.91919999999999</v>
      </c>
      <c r="K1908">
        <v>1.1102339999999999</v>
      </c>
      <c r="L1908">
        <v>282.9051</v>
      </c>
      <c r="M1908">
        <v>-0.99781949999999997</v>
      </c>
      <c r="N1908">
        <v>0</v>
      </c>
      <c r="O1908">
        <v>6.5767389999999995E-2</v>
      </c>
      <c r="P1908">
        <v>-0.99332299999999996</v>
      </c>
      <c r="Q1908">
        <v>-1.2198199999999999E-2</v>
      </c>
      <c r="R1908">
        <v>0.11472019999999999</v>
      </c>
      <c r="S1908">
        <v>-3.017334</v>
      </c>
      <c r="T1908">
        <v>-0.13654649999999999</v>
      </c>
      <c r="U1908">
        <v>1.345825E-2</v>
      </c>
      <c r="V1908">
        <v>4.9163430000000001E-2</v>
      </c>
      <c r="W1908">
        <v>-6.5010249999999997E-3</v>
      </c>
      <c r="X1908">
        <v>0.99876960000000004</v>
      </c>
      <c r="Y1908">
        <v>-6.1187289999999998E-2</v>
      </c>
      <c r="Z1908">
        <v>-4.3567959999999996E-3</v>
      </c>
      <c r="AA1908">
        <v>0.99811680000000003</v>
      </c>
      <c r="AB1908">
        <v>41</v>
      </c>
      <c r="AC1908">
        <v>-24.307500000000001</v>
      </c>
      <c r="AD1908">
        <v>-1.110230193681</v>
      </c>
      <c r="AE1908">
        <v>9.51000000000021E-2</v>
      </c>
      <c r="AF1908">
        <v>-1.5006409145430699</v>
      </c>
      <c r="AG1908">
        <v>-1.110230193681</v>
      </c>
      <c r="AH1908">
        <v>24.2106205549252</v>
      </c>
      <c r="AI1908">
        <v>92.620560021626105</v>
      </c>
      <c r="AJ1908">
        <v>93.546812674004201</v>
      </c>
      <c r="AK1908">
        <v>24.282476848376199</v>
      </c>
      <c r="AL1908">
        <v>90.372483915039297</v>
      </c>
      <c r="AM1908">
        <v>87.181947404034602</v>
      </c>
      <c r="AN1908">
        <v>1.0000000100297799</v>
      </c>
    </row>
    <row r="1909" spans="1:40" x14ac:dyDescent="0.25">
      <c r="A1909" t="str">
        <f>"20190312154252155"</f>
        <v>20190312154252155</v>
      </c>
      <c r="B1909" t="str">
        <f>"1552376572149167"</f>
        <v>1552376572149167</v>
      </c>
      <c r="C1909" t="s">
        <v>40</v>
      </c>
      <c r="D1909">
        <v>4.8115119999999996</v>
      </c>
      <c r="E1909">
        <v>0.51940359999999997</v>
      </c>
      <c r="F1909" t="s">
        <v>51</v>
      </c>
      <c r="G1909">
        <v>-291.11770000000001</v>
      </c>
      <c r="H1909" s="1">
        <v>2.4665960000000001E-6</v>
      </c>
      <c r="I1909">
        <v>283.90039999999999</v>
      </c>
      <c r="J1909">
        <v>-274.30169999999998</v>
      </c>
      <c r="K1909">
        <v>1.110411</v>
      </c>
      <c r="L1909">
        <v>282.92910000000001</v>
      </c>
      <c r="M1909">
        <v>-0.99792780000000003</v>
      </c>
      <c r="N1909">
        <v>0</v>
      </c>
      <c r="O1909">
        <v>6.4095009999999994E-2</v>
      </c>
      <c r="P1909">
        <v>-0.99350139999999998</v>
      </c>
      <c r="Q1909">
        <v>-1.2631359999999999E-2</v>
      </c>
      <c r="R1909">
        <v>0.11311839999999999</v>
      </c>
      <c r="S1909">
        <v>-2.9977719999999999</v>
      </c>
      <c r="T1909">
        <v>-0.19351779999999999</v>
      </c>
      <c r="U1909">
        <v>0.17349239999999999</v>
      </c>
      <c r="V1909">
        <v>4.9231089999999998E-2</v>
      </c>
      <c r="W1909">
        <v>-6.7914500000000001E-3</v>
      </c>
      <c r="X1909">
        <v>0.99876430000000005</v>
      </c>
      <c r="Y1909">
        <v>-6.185121E-3</v>
      </c>
      <c r="Z1909">
        <v>-4.3251269999999998E-3</v>
      </c>
      <c r="AA1909">
        <v>0.99997150000000001</v>
      </c>
      <c r="AB1909">
        <v>41</v>
      </c>
      <c r="AC1909">
        <v>-16.815999999999999</v>
      </c>
      <c r="AD1909">
        <v>-1.1104085334039999</v>
      </c>
      <c r="AE1909">
        <v>0.97129999999998495</v>
      </c>
      <c r="AF1909">
        <v>-0.108066509429076</v>
      </c>
      <c r="AG1909">
        <v>-1.1104085334039999</v>
      </c>
      <c r="AH1909">
        <v>16.770795145297299</v>
      </c>
      <c r="AI1909">
        <v>93.787994592734805</v>
      </c>
      <c r="AJ1909">
        <v>90.369193538417704</v>
      </c>
      <c r="AK1909">
        <v>16.807862900650001</v>
      </c>
      <c r="AL1909">
        <v>90.389124422668303</v>
      </c>
      <c r="AM1909">
        <v>87.178060440220904</v>
      </c>
      <c r="AN1909">
        <v>0.99999997548509001</v>
      </c>
    </row>
    <row r="1910" spans="1:40" x14ac:dyDescent="0.25">
      <c r="A1910" t="str">
        <f>"20190312154252177"</f>
        <v>20190312154252177</v>
      </c>
      <c r="B1910" t="str">
        <f>"1552376572169663"</f>
        <v>1552376572169663</v>
      </c>
      <c r="C1910" t="s">
        <v>40</v>
      </c>
      <c r="D1910">
        <v>4.8805820000000004</v>
      </c>
      <c r="E1910">
        <v>0.53065509999999905</v>
      </c>
      <c r="F1910" t="s">
        <v>41</v>
      </c>
      <c r="G1910">
        <v>-275.21080000000001</v>
      </c>
      <c r="H1910">
        <v>0.94451790000000002</v>
      </c>
      <c r="I1910">
        <v>283.0736</v>
      </c>
      <c r="J1910">
        <v>-274.71319999999997</v>
      </c>
      <c r="K1910">
        <v>1.1105910000000001</v>
      </c>
      <c r="L1910">
        <v>282.95400000000001</v>
      </c>
      <c r="M1910">
        <v>-0.99805060000000001</v>
      </c>
      <c r="N1910">
        <v>0</v>
      </c>
      <c r="O1910">
        <v>6.2141269999999998E-2</v>
      </c>
      <c r="P1910">
        <v>-0.99378940000000004</v>
      </c>
      <c r="Q1910">
        <v>-1.3107290000000001E-2</v>
      </c>
      <c r="R1910">
        <v>0.11050450000000001</v>
      </c>
      <c r="S1910">
        <v>-2.9592900000000002</v>
      </c>
      <c r="T1910">
        <v>-0.54011569999999998</v>
      </c>
      <c r="U1910">
        <v>0.46984860000000001</v>
      </c>
      <c r="V1910">
        <v>4.8563740000000001E-2</v>
      </c>
      <c r="W1910">
        <v>-7.1183260000000003E-3</v>
      </c>
      <c r="X1910">
        <v>0.99879470000000004</v>
      </c>
      <c r="Y1910">
        <v>9.4607140000000006E-2</v>
      </c>
      <c r="Z1910">
        <v>-2.650782E-3</v>
      </c>
      <c r="AA1910">
        <v>0.99551120000000004</v>
      </c>
      <c r="AB1910">
        <v>41</v>
      </c>
      <c r="AC1910">
        <v>-0.49760000000003302</v>
      </c>
      <c r="AD1910">
        <v>-0.166073099999999</v>
      </c>
      <c r="AE1910">
        <v>0.11959999999999101</v>
      </c>
      <c r="AF1910">
        <v>8.0020339493071205E-2</v>
      </c>
      <c r="AG1910">
        <v>-0.166073099999999</v>
      </c>
      <c r="AH1910">
        <v>0.45604676418284001</v>
      </c>
      <c r="AI1910">
        <v>109.731813908417</v>
      </c>
      <c r="AJ1910">
        <v>80.047894222067995</v>
      </c>
      <c r="AK1910">
        <v>0.491896513911041</v>
      </c>
      <c r="AL1910">
        <v>90.407853489534105</v>
      </c>
      <c r="AM1910">
        <v>87.216337137371397</v>
      </c>
      <c r="AN1910">
        <v>0.99999998007795898</v>
      </c>
    </row>
    <row r="1911" spans="1:40" x14ac:dyDescent="0.25">
      <c r="A1911" t="str">
        <f>"20190312154252190"</f>
        <v>20190312154252190</v>
      </c>
      <c r="B1911" t="str">
        <f>"1552376572179423"</f>
        <v>1552376572179423</v>
      </c>
      <c r="C1911" t="s">
        <v>40</v>
      </c>
      <c r="D1911">
        <v>4.8684409999999998</v>
      </c>
      <c r="E1911">
        <v>0.53340829999999995</v>
      </c>
      <c r="F1911" t="s">
        <v>41</v>
      </c>
      <c r="G1911">
        <v>-275.565</v>
      </c>
      <c r="H1911">
        <v>0.92241609999999996</v>
      </c>
      <c r="I1911">
        <v>283.1121</v>
      </c>
      <c r="J1911">
        <v>-274.94080000000002</v>
      </c>
      <c r="K1911">
        <v>1.1106910000000001</v>
      </c>
      <c r="L1911">
        <v>282.96749999999997</v>
      </c>
      <c r="M1911">
        <v>-0.99812000000000001</v>
      </c>
      <c r="N1911">
        <v>0</v>
      </c>
      <c r="O1911">
        <v>6.1008189999999997E-2</v>
      </c>
      <c r="P1911">
        <v>-0.99397959999999996</v>
      </c>
      <c r="Q1911">
        <v>-1.3276970000000001E-2</v>
      </c>
      <c r="R1911">
        <v>0.10875749999999999</v>
      </c>
      <c r="S1911">
        <v>-2.9494319999999998</v>
      </c>
      <c r="T1911">
        <v>-0.65176940000000005</v>
      </c>
      <c r="U1911">
        <v>0.54644780000000004</v>
      </c>
      <c r="V1911">
        <v>4.7943909999999999E-2</v>
      </c>
      <c r="W1911">
        <v>-7.2073659999999998E-3</v>
      </c>
      <c r="X1911">
        <v>0.99882400000000005</v>
      </c>
      <c r="Y1911">
        <v>0.1204597</v>
      </c>
      <c r="Z1911">
        <v>-1.4432049999999901E-4</v>
      </c>
      <c r="AA1911">
        <v>0.9927182</v>
      </c>
      <c r="AB1911">
        <v>41</v>
      </c>
      <c r="AC1911">
        <v>-0.624199999999973</v>
      </c>
      <c r="AD1911">
        <v>-0.1882749</v>
      </c>
      <c r="AE1911">
        <v>0.14460000000002499</v>
      </c>
      <c r="AF1911">
        <v>9.7803843094408802E-2</v>
      </c>
      <c r="AG1911">
        <v>-0.1882749</v>
      </c>
      <c r="AH1911">
        <v>0.58163791940510701</v>
      </c>
      <c r="AI1911">
        <v>107.703929183795</v>
      </c>
      <c r="AJ1911">
        <v>80.454869288673393</v>
      </c>
      <c r="AK1911">
        <v>0.61912494618125902</v>
      </c>
      <c r="AL1911">
        <v>90.412955239314201</v>
      </c>
      <c r="AM1911">
        <v>87.251891331113399</v>
      </c>
      <c r="AN1911">
        <v>0.99999997380337202</v>
      </c>
    </row>
    <row r="1912" spans="1:40" x14ac:dyDescent="0.25">
      <c r="A1912" t="str">
        <f>"20190312154252212"</f>
        <v>20190312154252212</v>
      </c>
      <c r="B1912" t="str">
        <f>"1552376572198943"</f>
        <v>1552376572198943</v>
      </c>
      <c r="C1912" t="s">
        <v>40</v>
      </c>
      <c r="D1912">
        <v>4.8665839999999996</v>
      </c>
      <c r="E1912">
        <v>0.53620909999999999</v>
      </c>
      <c r="F1912" t="s">
        <v>41</v>
      </c>
      <c r="G1912">
        <v>-275.91449999999998</v>
      </c>
      <c r="H1912">
        <v>0.8847545</v>
      </c>
      <c r="I1912">
        <v>283.1533</v>
      </c>
      <c r="J1912">
        <v>-275.34719999999999</v>
      </c>
      <c r="K1912">
        <v>1.1108629999999999</v>
      </c>
      <c r="L1912">
        <v>282.9907</v>
      </c>
      <c r="M1912">
        <v>-0.99824769999999896</v>
      </c>
      <c r="N1912">
        <v>0</v>
      </c>
      <c r="O1912">
        <v>5.8867879999999997E-2</v>
      </c>
      <c r="P1912">
        <v>-0.99431460000000005</v>
      </c>
      <c r="Q1912">
        <v>-1.3711340000000001E-2</v>
      </c>
      <c r="R1912">
        <v>0.105596</v>
      </c>
      <c r="S1912">
        <v>-2.9475709999999999</v>
      </c>
      <c r="T1912">
        <v>-0.68415899999999996</v>
      </c>
      <c r="U1912">
        <v>0.56164550000000002</v>
      </c>
      <c r="V1912">
        <v>4.6913839999999998E-2</v>
      </c>
      <c r="W1912">
        <v>-7.49922E-3</v>
      </c>
      <c r="X1912">
        <v>0.99887079999999995</v>
      </c>
      <c r="Y1912">
        <v>0.12727260000000001</v>
      </c>
      <c r="Z1912">
        <v>1.1068289999999999E-3</v>
      </c>
      <c r="AA1912">
        <v>0.99186719999999895</v>
      </c>
      <c r="AB1912">
        <v>41</v>
      </c>
      <c r="AC1912">
        <v>-0.56729999999998804</v>
      </c>
      <c r="AD1912">
        <v>-0.22610849999999999</v>
      </c>
      <c r="AE1912">
        <v>0.162599999999997</v>
      </c>
      <c r="AF1912">
        <v>0.112418799743233</v>
      </c>
      <c r="AG1912">
        <v>-0.22610849999999999</v>
      </c>
      <c r="AH1912">
        <v>0.50217059340328896</v>
      </c>
      <c r="AI1912">
        <v>113.720052393803</v>
      </c>
      <c r="AJ1912">
        <v>77.381487427556195</v>
      </c>
      <c r="AK1912">
        <v>0.56208393073185303</v>
      </c>
      <c r="AL1912">
        <v>90.429677678416098</v>
      </c>
      <c r="AM1912">
        <v>87.310972354802303</v>
      </c>
      <c r="AN1912">
        <v>1.00000001088839</v>
      </c>
    </row>
    <row r="1913" spans="1:40" x14ac:dyDescent="0.25">
      <c r="A1913" t="str">
        <f>"20190312154252235"</f>
        <v>20190312154252235</v>
      </c>
      <c r="B1913" t="str">
        <f>"1552376572229201"</f>
        <v>1552376572229201</v>
      </c>
      <c r="C1913" t="s">
        <v>40</v>
      </c>
      <c r="D1913">
        <v>4.86592</v>
      </c>
      <c r="E1913">
        <v>0.53800300000000001</v>
      </c>
      <c r="F1913" t="s">
        <v>41</v>
      </c>
      <c r="G1913">
        <v>-276.28039999999999</v>
      </c>
      <c r="H1913">
        <v>0.88310869999999997</v>
      </c>
      <c r="I1913">
        <v>283.17239999999998</v>
      </c>
      <c r="J1913">
        <v>-275.75779999999997</v>
      </c>
      <c r="K1913">
        <v>1.1110230000000001</v>
      </c>
      <c r="L1913">
        <v>283.01319999999998</v>
      </c>
      <c r="M1913">
        <v>-0.99837849999999995</v>
      </c>
      <c r="N1913">
        <v>0</v>
      </c>
      <c r="O1913">
        <v>5.6593619999999997E-2</v>
      </c>
      <c r="P1913">
        <v>-0.99468250000000002</v>
      </c>
      <c r="Q1913">
        <v>-1.4436930000000001E-2</v>
      </c>
      <c r="R1913">
        <v>0.1019738</v>
      </c>
      <c r="S1913">
        <v>-2.9463810000000001</v>
      </c>
      <c r="T1913">
        <v>-0.71903050000000002</v>
      </c>
      <c r="U1913">
        <v>0.57351680000000005</v>
      </c>
      <c r="V1913">
        <v>4.5557859999999999E-2</v>
      </c>
      <c r="W1913">
        <v>-8.0856000000000001E-3</v>
      </c>
      <c r="X1913">
        <v>0.99892899999999996</v>
      </c>
      <c r="Y1913">
        <v>0.13304879999999999</v>
      </c>
      <c r="Z1913">
        <v>2.3904970000000001E-3</v>
      </c>
      <c r="AA1913">
        <v>0.99110659999999895</v>
      </c>
      <c r="AB1913">
        <v>41</v>
      </c>
      <c r="AC1913">
        <v>-0.52260000000001094</v>
      </c>
      <c r="AD1913">
        <v>-0.22791429999999899</v>
      </c>
      <c r="AE1913">
        <v>0.15919999999999801</v>
      </c>
      <c r="AF1913">
        <v>0.110190294175478</v>
      </c>
      <c r="AG1913">
        <v>-0.22791429999999899</v>
      </c>
      <c r="AH1913">
        <v>0.45208818940178203</v>
      </c>
      <c r="AI1913">
        <v>116.095515665063</v>
      </c>
      <c r="AJ1913">
        <v>76.302024928591194</v>
      </c>
      <c r="AK1913">
        <v>0.51814144793825301</v>
      </c>
      <c r="AL1913">
        <v>90.463275792986707</v>
      </c>
      <c r="AM1913">
        <v>87.388737745843798</v>
      </c>
      <c r="AN1913">
        <v>1.00000002128806</v>
      </c>
    </row>
    <row r="1914" spans="1:40" x14ac:dyDescent="0.25">
      <c r="A1914" t="str">
        <f>"20190312154252257"</f>
        <v>20190312154252257</v>
      </c>
      <c r="B1914" t="str">
        <f>"1552376572249695"</f>
        <v>1552376572249695</v>
      </c>
      <c r="C1914" t="s">
        <v>40</v>
      </c>
      <c r="D1914">
        <v>4.8641379999999996</v>
      </c>
      <c r="E1914">
        <v>0.53891429999999996</v>
      </c>
      <c r="F1914" t="s">
        <v>41</v>
      </c>
      <c r="G1914">
        <v>-276.649</v>
      </c>
      <c r="H1914">
        <v>0.88566019999999901</v>
      </c>
      <c r="I1914">
        <v>283.18779999999998</v>
      </c>
      <c r="J1914">
        <v>-276.17399999999998</v>
      </c>
      <c r="K1914">
        <v>1.1111770000000001</v>
      </c>
      <c r="L1914">
        <v>283.03500000000003</v>
      </c>
      <c r="M1914">
        <v>-0.99851060000000003</v>
      </c>
      <c r="N1914">
        <v>0</v>
      </c>
      <c r="O1914">
        <v>5.4198379999999997E-2</v>
      </c>
      <c r="P1914">
        <v>-0.99499729999999997</v>
      </c>
      <c r="Q1914">
        <v>-1.4952780000000001E-2</v>
      </c>
      <c r="R1914">
        <v>9.8776879999999997E-2</v>
      </c>
      <c r="S1914">
        <v>-2.946167</v>
      </c>
      <c r="T1914">
        <v>-0.74522639999999996</v>
      </c>
      <c r="U1914">
        <v>0.57632450000000002</v>
      </c>
      <c r="V1914">
        <v>4.474935E-2</v>
      </c>
      <c r="W1914">
        <v>-8.4637919999999995E-3</v>
      </c>
      <c r="X1914">
        <v>0.99896240000000003</v>
      </c>
      <c r="Y1914">
        <v>0.13602800000000001</v>
      </c>
      <c r="Z1914">
        <v>3.431585E-3</v>
      </c>
      <c r="AA1914">
        <v>0.99069910000000005</v>
      </c>
      <c r="AB1914">
        <v>41</v>
      </c>
      <c r="AC1914">
        <v>-0.47499999999996501</v>
      </c>
      <c r="AD1914">
        <v>-0.22551679999999999</v>
      </c>
      <c r="AE1914">
        <v>0.152799999999956</v>
      </c>
      <c r="AF1914">
        <v>0.105317419250574</v>
      </c>
      <c r="AG1914">
        <v>-0.22551679999999999</v>
      </c>
      <c r="AH1914">
        <v>0.40072679114021298</v>
      </c>
      <c r="AI1914">
        <v>118.55882427898599</v>
      </c>
      <c r="AJ1914">
        <v>75.274758180130803</v>
      </c>
      <c r="AK1914">
        <v>0.47173249518914101</v>
      </c>
      <c r="AL1914">
        <v>90.484945346247201</v>
      </c>
      <c r="AM1914">
        <v>87.435102706409793</v>
      </c>
      <c r="AN1914">
        <v>1.0000000083570999</v>
      </c>
    </row>
    <row r="1915" spans="1:40" x14ac:dyDescent="0.25">
      <c r="A1915" t="str">
        <f>"20190312154252278"</f>
        <v>20190312154252278</v>
      </c>
      <c r="B1915" t="str">
        <f>"1552376572269214"</f>
        <v>1552376572269214</v>
      </c>
      <c r="C1915" t="s">
        <v>40</v>
      </c>
      <c r="D1915">
        <v>4.8909029999999998</v>
      </c>
      <c r="E1915">
        <v>0.53951789999999999</v>
      </c>
      <c r="F1915" t="s">
        <v>41</v>
      </c>
      <c r="G1915">
        <v>-277.0206</v>
      </c>
      <c r="H1915">
        <v>0.89340509999999995</v>
      </c>
      <c r="I1915">
        <v>283.2002</v>
      </c>
      <c r="J1915">
        <v>-276.57549999999998</v>
      </c>
      <c r="K1915">
        <v>1.1113040000000001</v>
      </c>
      <c r="L1915">
        <v>283.05509999999998</v>
      </c>
      <c r="M1915">
        <v>-0.99863610000000003</v>
      </c>
      <c r="N1915">
        <v>0</v>
      </c>
      <c r="O1915">
        <v>5.1822920000000001E-2</v>
      </c>
      <c r="P1915">
        <v>-0.99531080000000005</v>
      </c>
      <c r="Q1915">
        <v>-1.5343209999999999E-2</v>
      </c>
      <c r="R1915">
        <v>9.550604E-2</v>
      </c>
      <c r="S1915">
        <v>-2.946625</v>
      </c>
      <c r="T1915">
        <v>-0.75804499999999997</v>
      </c>
      <c r="U1915">
        <v>0.57443239999999995</v>
      </c>
      <c r="V1915">
        <v>4.3846719999999999E-2</v>
      </c>
      <c r="W1915">
        <v>-8.7272619999999995E-3</v>
      </c>
      <c r="X1915">
        <v>0.99900009999999995</v>
      </c>
      <c r="Y1915">
        <v>0.13753589999999999</v>
      </c>
      <c r="Z1915">
        <v>4.2714179999999999E-3</v>
      </c>
      <c r="AA1915">
        <v>0.99048760000000002</v>
      </c>
      <c r="AB1915">
        <v>41</v>
      </c>
      <c r="AC1915">
        <v>-0.44510000000002398</v>
      </c>
      <c r="AD1915">
        <v>-0.21789890000000001</v>
      </c>
      <c r="AE1915">
        <v>0.145100000000013</v>
      </c>
      <c r="AF1915">
        <v>0.100143395335393</v>
      </c>
      <c r="AG1915">
        <v>-0.21789890000000001</v>
      </c>
      <c r="AH1915">
        <v>0.37153357968893103</v>
      </c>
      <c r="AI1915">
        <v>119.521800021692</v>
      </c>
      <c r="AJ1915">
        <v>74.914959291676396</v>
      </c>
      <c r="AK1915">
        <v>0.44220564343637903</v>
      </c>
      <c r="AL1915">
        <v>90.500041652125603</v>
      </c>
      <c r="AM1915">
        <v>87.486866429865501</v>
      </c>
      <c r="AN1915">
        <v>0.99999994987839103</v>
      </c>
    </row>
    <row r="1916" spans="1:40" x14ac:dyDescent="0.25">
      <c r="A1916" t="str">
        <f>"20190312154252301"</f>
        <v>20190312154252301</v>
      </c>
      <c r="B1916" t="str">
        <f>"1552376572289711"</f>
        <v>1552376572289711</v>
      </c>
      <c r="C1916" t="s">
        <v>40</v>
      </c>
      <c r="D1916">
        <v>4.8831480000000003</v>
      </c>
      <c r="E1916">
        <v>0.54012649999999995</v>
      </c>
      <c r="F1916" t="s">
        <v>41</v>
      </c>
      <c r="G1916">
        <v>-277.39210000000003</v>
      </c>
      <c r="H1916">
        <v>0.89925299999999997</v>
      </c>
      <c r="I1916">
        <v>283.21339999999998</v>
      </c>
      <c r="J1916">
        <v>-276.98480000000001</v>
      </c>
      <c r="K1916">
        <v>1.1114139999999999</v>
      </c>
      <c r="L1916">
        <v>283.07459999999998</v>
      </c>
      <c r="M1916">
        <v>-0.99876030000000005</v>
      </c>
      <c r="N1916">
        <v>0</v>
      </c>
      <c r="O1916">
        <v>4.93549E-2</v>
      </c>
      <c r="P1916">
        <v>-0.99564229999999998</v>
      </c>
      <c r="Q1916">
        <v>-1.6069469999999999E-2</v>
      </c>
      <c r="R1916">
        <v>9.1860200000000003E-2</v>
      </c>
      <c r="S1916">
        <v>-2.9476010000000001</v>
      </c>
      <c r="T1916">
        <v>-0.76566389999999995</v>
      </c>
      <c r="U1916">
        <v>0.5703125</v>
      </c>
      <c r="V1916">
        <v>4.2662810000000002E-2</v>
      </c>
      <c r="W1916">
        <v>-9.3295970000000002E-3</v>
      </c>
      <c r="X1916">
        <v>0.99904599999999999</v>
      </c>
      <c r="Y1916">
        <v>0.13842679999999999</v>
      </c>
      <c r="Z1916">
        <v>5.0479030000000003E-3</v>
      </c>
      <c r="AA1916">
        <v>0.99035980000000001</v>
      </c>
      <c r="AB1916">
        <v>41</v>
      </c>
      <c r="AC1916">
        <v>-0.40730000000001998</v>
      </c>
      <c r="AD1916">
        <v>-0.21216099999999899</v>
      </c>
      <c r="AE1916">
        <v>0.138800000000003</v>
      </c>
      <c r="AF1916">
        <v>9.5348774095778605E-2</v>
      </c>
      <c r="AG1916">
        <v>-0.21216099999999899</v>
      </c>
      <c r="AH1916">
        <v>0.33275990993071403</v>
      </c>
      <c r="AI1916">
        <v>121.50473688259299</v>
      </c>
      <c r="AJ1916">
        <v>74.010914122410199</v>
      </c>
      <c r="AK1916">
        <v>0.405996103798626</v>
      </c>
      <c r="AL1916">
        <v>90.534554269704103</v>
      </c>
      <c r="AM1916">
        <v>87.554752518116103</v>
      </c>
      <c r="AN1916">
        <v>1.0000000334266299</v>
      </c>
    </row>
    <row r="1917" spans="1:40" x14ac:dyDescent="0.25">
      <c r="A1917" t="str">
        <f>"20190312154252322"</f>
        <v>20190312154252322</v>
      </c>
      <c r="B1917" t="str">
        <f>"1552376572309231"</f>
        <v>1552376572309231</v>
      </c>
      <c r="C1917" t="s">
        <v>40</v>
      </c>
      <c r="D1917">
        <v>4.9338480000000002</v>
      </c>
      <c r="E1917">
        <v>0.54058030000000001</v>
      </c>
      <c r="F1917" t="s">
        <v>41</v>
      </c>
      <c r="G1917">
        <v>-277.76499999999999</v>
      </c>
      <c r="H1917">
        <v>0.90650900000000001</v>
      </c>
      <c r="I1917">
        <v>283.2242</v>
      </c>
      <c r="J1917">
        <v>-277.37060000000002</v>
      </c>
      <c r="K1917">
        <v>1.111513</v>
      </c>
      <c r="L1917">
        <v>283.09199999999998</v>
      </c>
      <c r="M1917">
        <v>-0.99887309999999996</v>
      </c>
      <c r="N1917">
        <v>0</v>
      </c>
      <c r="O1917">
        <v>4.6998570000000003E-2</v>
      </c>
      <c r="P1917">
        <v>-0.99595480000000003</v>
      </c>
      <c r="Q1917">
        <v>-1.645539E-2</v>
      </c>
      <c r="R1917">
        <v>8.8336070000000003E-2</v>
      </c>
      <c r="S1917">
        <v>-2.9484560000000002</v>
      </c>
      <c r="T1917">
        <v>-0.77442480000000002</v>
      </c>
      <c r="U1917">
        <v>0.56509399999999999</v>
      </c>
      <c r="V1917">
        <v>4.1488129999999998E-2</v>
      </c>
      <c r="W1917">
        <v>-9.6014329999999995E-3</v>
      </c>
      <c r="X1917">
        <v>0.99909289999999995</v>
      </c>
      <c r="Y1917">
        <v>0.13886299999999999</v>
      </c>
      <c r="Z1917">
        <v>5.7604010000000001E-3</v>
      </c>
      <c r="AA1917">
        <v>0.99029489999999998</v>
      </c>
      <c r="AB1917">
        <v>41</v>
      </c>
      <c r="AC1917">
        <v>-0.394399999999961</v>
      </c>
      <c r="AD1917">
        <v>-0.20500399999999999</v>
      </c>
      <c r="AE1917">
        <v>0.132200000000011</v>
      </c>
      <c r="AF1917">
        <v>9.1333393073611893E-2</v>
      </c>
      <c r="AG1917">
        <v>-0.20500399999999999</v>
      </c>
      <c r="AH1917">
        <v>0.32197365209340501</v>
      </c>
      <c r="AI1917">
        <v>121.489239779117</v>
      </c>
      <c r="AJ1917">
        <v>74.163095252575701</v>
      </c>
      <c r="AK1917">
        <v>0.39247351674820502</v>
      </c>
      <c r="AL1917">
        <v>90.550130020211995</v>
      </c>
      <c r="AM1917">
        <v>87.622113205712907</v>
      </c>
      <c r="AN1917">
        <v>1.0000000376384699</v>
      </c>
    </row>
    <row r="1918" spans="1:40" x14ac:dyDescent="0.25">
      <c r="A1918" t="str">
        <f>"20190312154252335"</f>
        <v>20190312154252335</v>
      </c>
      <c r="B1918" t="str">
        <f>"1552376572329728"</f>
        <v>1552376572329728</v>
      </c>
      <c r="C1918" t="s">
        <v>40</v>
      </c>
      <c r="D1918">
        <v>4.9691910000000004</v>
      </c>
      <c r="E1918">
        <v>0.54103880000000004</v>
      </c>
      <c r="F1918" t="s">
        <v>41</v>
      </c>
      <c r="G1918">
        <v>-278.13639999999998</v>
      </c>
      <c r="H1918">
        <v>0.90879909999999997</v>
      </c>
      <c r="I1918">
        <v>283.23719999999997</v>
      </c>
      <c r="J1918">
        <v>-277.62119999999999</v>
      </c>
      <c r="K1918">
        <v>1.111561</v>
      </c>
      <c r="L1918">
        <v>283.1028</v>
      </c>
      <c r="M1918">
        <v>-0.9989439</v>
      </c>
      <c r="N1918">
        <v>0</v>
      </c>
      <c r="O1918">
        <v>4.5456969999999999E-2</v>
      </c>
      <c r="P1918">
        <v>-0.99614570000000002</v>
      </c>
      <c r="Q1918">
        <v>-1.6126410000000001E-2</v>
      </c>
      <c r="R1918">
        <v>8.6219799999999999E-2</v>
      </c>
      <c r="S1918">
        <v>-2.9497680000000002</v>
      </c>
      <c r="T1918">
        <v>-0.7810705</v>
      </c>
      <c r="U1918">
        <v>0.55798340000000002</v>
      </c>
      <c r="V1918">
        <v>4.0905650000000002E-2</v>
      </c>
      <c r="W1918">
        <v>-9.1991150000000008E-3</v>
      </c>
      <c r="X1918">
        <v>0.99912069999999997</v>
      </c>
      <c r="Y1918">
        <v>0.1379349</v>
      </c>
      <c r="Z1918">
        <v>6.0838189999999999E-3</v>
      </c>
      <c r="AA1918">
        <v>0.99042260000000004</v>
      </c>
      <c r="AB1918">
        <v>41</v>
      </c>
      <c r="AC1918">
        <v>-0.515199999999993</v>
      </c>
      <c r="AD1918">
        <v>-0.20276189999999999</v>
      </c>
      <c r="AE1918">
        <v>0.13439999999997099</v>
      </c>
      <c r="AF1918">
        <v>9.6802762326183706E-2</v>
      </c>
      <c r="AG1918">
        <v>-0.20276189999999999</v>
      </c>
      <c r="AH1918">
        <v>0.45481905794125499</v>
      </c>
      <c r="AI1918">
        <v>113.55917052308899</v>
      </c>
      <c r="AJ1918">
        <v>77.984574672255903</v>
      </c>
      <c r="AK1918">
        <v>0.50729038858641895</v>
      </c>
      <c r="AL1918">
        <v>90.527077880607806</v>
      </c>
      <c r="AM1918">
        <v>87.655525614690404</v>
      </c>
      <c r="AN1918">
        <v>1.00000003454359</v>
      </c>
    </row>
    <row r="1919" spans="1:40" x14ac:dyDescent="0.25">
      <c r="A1919" t="str">
        <f>"20190312154252348"</f>
        <v>20190312154252348</v>
      </c>
      <c r="B1919" t="str">
        <f>"1552376572339486"</f>
        <v>1552376572339486</v>
      </c>
      <c r="C1919" t="s">
        <v>40</v>
      </c>
      <c r="D1919">
        <v>4.9489729999999996</v>
      </c>
      <c r="E1919">
        <v>0.54119709999999999</v>
      </c>
      <c r="F1919" t="s">
        <v>41</v>
      </c>
      <c r="G1919">
        <v>-278.49489999999997</v>
      </c>
      <c r="H1919">
        <v>0.87902669999999905</v>
      </c>
      <c r="I1919">
        <v>283.267</v>
      </c>
      <c r="J1919">
        <v>-277.85719999999998</v>
      </c>
      <c r="K1919">
        <v>1.111612</v>
      </c>
      <c r="L1919">
        <v>283.11270000000002</v>
      </c>
      <c r="M1919">
        <v>-0.99900880000000003</v>
      </c>
      <c r="N1919">
        <v>0</v>
      </c>
      <c r="O1919">
        <v>4.4000360000000002E-2</v>
      </c>
      <c r="P1919">
        <v>-0.99630929999999995</v>
      </c>
      <c r="Q1919">
        <v>-1.6522680000000001E-2</v>
      </c>
      <c r="R1919">
        <v>8.4233329999999995E-2</v>
      </c>
      <c r="S1919">
        <v>-2.9509280000000002</v>
      </c>
      <c r="T1919">
        <v>-0.78538540000000001</v>
      </c>
      <c r="U1919">
        <v>0.55459590000000003</v>
      </c>
      <c r="V1919">
        <v>4.0373779999999998E-2</v>
      </c>
      <c r="W1919">
        <v>-9.5275519999999999E-3</v>
      </c>
      <c r="X1919">
        <v>0.99913920000000001</v>
      </c>
      <c r="Y1919">
        <v>0.13812199999999999</v>
      </c>
      <c r="Z1919">
        <v>6.5156950000000002E-3</v>
      </c>
      <c r="AA1919">
        <v>0.99039379999999999</v>
      </c>
      <c r="AB1919">
        <v>42</v>
      </c>
      <c r="AC1919">
        <v>-0.63769999999999505</v>
      </c>
      <c r="AD1919">
        <v>-0.23258529999999999</v>
      </c>
      <c r="AE1919">
        <v>0.15429999999997701</v>
      </c>
      <c r="AF1919">
        <v>0.112014361185206</v>
      </c>
      <c r="AG1919">
        <v>-0.23258529999999999</v>
      </c>
      <c r="AH1919">
        <v>0.57199125310485599</v>
      </c>
      <c r="AI1919">
        <v>111.754180928129</v>
      </c>
      <c r="AJ1919">
        <v>78.919857938338097</v>
      </c>
      <c r="AK1919">
        <v>0.62754851009008294</v>
      </c>
      <c r="AL1919">
        <v>90.545896789444299</v>
      </c>
      <c r="AM1919">
        <v>87.686018759329102</v>
      </c>
      <c r="AN1919">
        <v>0.99999997866762003</v>
      </c>
    </row>
    <row r="1920" spans="1:40" x14ac:dyDescent="0.25">
      <c r="A1920" t="str">
        <f>"20190312154252360"</f>
        <v>20190312154252360</v>
      </c>
      <c r="B1920" t="str">
        <f>"1552376572349248"</f>
        <v>1552376572349248</v>
      </c>
      <c r="C1920" t="s">
        <v>40</v>
      </c>
      <c r="D1920">
        <v>4.9129370000000003</v>
      </c>
      <c r="E1920">
        <v>0.54133330000000002</v>
      </c>
      <c r="F1920" t="s">
        <v>41</v>
      </c>
      <c r="G1920">
        <v>-278.85309999999998</v>
      </c>
      <c r="H1920">
        <v>0.84565059999999903</v>
      </c>
      <c r="I1920">
        <v>283.29820000000001</v>
      </c>
      <c r="J1920">
        <v>-278.08969999999999</v>
      </c>
      <c r="K1920">
        <v>1.1116520000000001</v>
      </c>
      <c r="L1920">
        <v>283.12189999999998</v>
      </c>
      <c r="M1920">
        <v>-0.99907069999999998</v>
      </c>
      <c r="N1920">
        <v>0</v>
      </c>
      <c r="O1920">
        <v>4.2560180000000003E-2</v>
      </c>
      <c r="P1920">
        <v>-0.99647359999999896</v>
      </c>
      <c r="Q1920">
        <v>-1.668269E-2</v>
      </c>
      <c r="R1920">
        <v>8.2233719999999996E-2</v>
      </c>
      <c r="S1920">
        <v>-2.9515989999999999</v>
      </c>
      <c r="T1920">
        <v>-0.78831669999999998</v>
      </c>
      <c r="U1920">
        <v>0.54940800000000001</v>
      </c>
      <c r="V1920">
        <v>3.9810419999999999E-2</v>
      </c>
      <c r="W1920">
        <v>-9.624769E-3</v>
      </c>
      <c r="X1920">
        <v>0.99916090000000002</v>
      </c>
      <c r="Y1920">
        <v>0.13776620000000001</v>
      </c>
      <c r="Z1920">
        <v>6.866329E-3</v>
      </c>
      <c r="AA1920">
        <v>0.99044100000000002</v>
      </c>
      <c r="AB1920">
        <v>42</v>
      </c>
      <c r="AC1920">
        <v>-0.76339999999998998</v>
      </c>
      <c r="AD1920">
        <v>-0.2660014</v>
      </c>
      <c r="AE1920">
        <v>0.17630000000002599</v>
      </c>
      <c r="AF1920">
        <v>0.12880261419616301</v>
      </c>
      <c r="AG1920">
        <v>-0.2660014</v>
      </c>
      <c r="AH1920">
        <v>0.69060874089280999</v>
      </c>
      <c r="AI1920">
        <v>110.738688224681</v>
      </c>
      <c r="AJ1920">
        <v>79.435377181283798</v>
      </c>
      <c r="AK1920">
        <v>0.75119058249107395</v>
      </c>
      <c r="AL1920">
        <v>90.551467154309094</v>
      </c>
      <c r="AM1920">
        <v>87.7183222867517</v>
      </c>
      <c r="AN1920">
        <v>1.00000000490384</v>
      </c>
    </row>
    <row r="1921" spans="1:40" x14ac:dyDescent="0.25">
      <c r="A1921" t="str">
        <f>"20190312154252378"</f>
        <v>20190312154252378</v>
      </c>
      <c r="B1921" t="str">
        <f>"1552376572369743"</f>
        <v>1552376572369743</v>
      </c>
      <c r="C1921" t="s">
        <v>40</v>
      </c>
      <c r="D1921">
        <v>4.9649390000000002</v>
      </c>
      <c r="E1921">
        <v>0.54161949999999903</v>
      </c>
      <c r="F1921" t="s">
        <v>41</v>
      </c>
      <c r="G1921">
        <v>-278.87630000000001</v>
      </c>
      <c r="H1921">
        <v>0.90100499999999994</v>
      </c>
      <c r="I1921">
        <v>283.26710000000003</v>
      </c>
      <c r="J1921">
        <v>-278.4117</v>
      </c>
      <c r="K1921">
        <v>1.111707</v>
      </c>
      <c r="L1921">
        <v>283.1343</v>
      </c>
      <c r="M1921">
        <v>-0.99915319999999996</v>
      </c>
      <c r="N1921">
        <v>0</v>
      </c>
      <c r="O1921">
        <v>4.0561729999999997E-2</v>
      </c>
      <c r="P1921">
        <v>-0.99665720000000002</v>
      </c>
      <c r="Q1921">
        <v>-1.6780949999999999E-2</v>
      </c>
      <c r="R1921">
        <v>7.9955810000000002E-2</v>
      </c>
      <c r="S1921">
        <v>-2.9524840000000001</v>
      </c>
      <c r="T1921">
        <v>-0.79081239999999997</v>
      </c>
      <c r="U1921">
        <v>0.54437259999999998</v>
      </c>
      <c r="V1921">
        <v>3.9526239999999997E-2</v>
      </c>
      <c r="W1921">
        <v>-9.6370740000000007E-3</v>
      </c>
      <c r="X1921">
        <v>0.99917199999999995</v>
      </c>
      <c r="Y1921">
        <v>0.13796530000000001</v>
      </c>
      <c r="Z1921">
        <v>7.4327969999999997E-3</v>
      </c>
      <c r="AA1921">
        <v>0.99040919999999999</v>
      </c>
      <c r="AB1921">
        <v>42</v>
      </c>
      <c r="AC1921">
        <v>-0.464600000000018</v>
      </c>
      <c r="AD1921">
        <v>-0.210702</v>
      </c>
      <c r="AE1921">
        <v>0.132800000000031</v>
      </c>
      <c r="AF1921">
        <v>9.5657137175068394E-2</v>
      </c>
      <c r="AG1921">
        <v>-0.210702</v>
      </c>
      <c r="AH1921">
        <v>0.39457946706017499</v>
      </c>
      <c r="AI1921">
        <v>117.427463751717</v>
      </c>
      <c r="AJ1921">
        <v>76.372798213133095</v>
      </c>
      <c r="AK1921">
        <v>0.45742603393556602</v>
      </c>
      <c r="AL1921">
        <v>90.552172246740795</v>
      </c>
      <c r="AM1921">
        <v>87.734617770220197</v>
      </c>
      <c r="AN1921">
        <v>0.99999994121390701</v>
      </c>
    </row>
    <row r="1922" spans="1:40" x14ac:dyDescent="0.25">
      <c r="A1922" t="str">
        <f>"20190312154252400"</f>
        <v>20190312154252400</v>
      </c>
      <c r="B1922" t="str">
        <f>"1552376572389263"</f>
        <v>1552376572389263</v>
      </c>
      <c r="C1922" t="s">
        <v>40</v>
      </c>
      <c r="D1922">
        <v>4.9500679999999999</v>
      </c>
      <c r="E1922">
        <v>0.54191679999999998</v>
      </c>
      <c r="F1922" t="s">
        <v>41</v>
      </c>
      <c r="G1922">
        <v>-279.24340000000001</v>
      </c>
      <c r="H1922">
        <v>0.88791350000000002</v>
      </c>
      <c r="I1922">
        <v>283.28620000000001</v>
      </c>
      <c r="J1922">
        <v>-278.8329</v>
      </c>
      <c r="K1922">
        <v>1.1117680000000001</v>
      </c>
      <c r="L1922">
        <v>283.14949999999999</v>
      </c>
      <c r="M1922">
        <v>-0.99925549999999996</v>
      </c>
      <c r="N1922">
        <v>0</v>
      </c>
      <c r="O1922">
        <v>3.7945079999999999E-2</v>
      </c>
      <c r="P1922">
        <v>-0.99687049999999999</v>
      </c>
      <c r="Q1922">
        <v>-1.6320709999999999E-2</v>
      </c>
      <c r="R1922">
        <v>7.7350849999999999E-2</v>
      </c>
      <c r="S1922">
        <v>-2.95343</v>
      </c>
      <c r="T1922">
        <v>-0.79475620000000002</v>
      </c>
      <c r="U1922">
        <v>0.53924559999999999</v>
      </c>
      <c r="V1922">
        <v>3.9528750000000001E-2</v>
      </c>
      <c r="W1922">
        <v>-9.0704329999999993E-3</v>
      </c>
      <c r="X1922">
        <v>0.99917730000000005</v>
      </c>
      <c r="Y1922">
        <v>0.1386907</v>
      </c>
      <c r="Z1922">
        <v>8.2473630000000006E-3</v>
      </c>
      <c r="AA1922">
        <v>0.9903014</v>
      </c>
      <c r="AB1922">
        <v>42</v>
      </c>
      <c r="AC1922">
        <v>-0.41050000000001302</v>
      </c>
      <c r="AD1922">
        <v>-0.22385450000000001</v>
      </c>
      <c r="AE1922">
        <v>0.136700000000018</v>
      </c>
      <c r="AF1922">
        <v>9.5468683765848106E-2</v>
      </c>
      <c r="AG1922">
        <v>-0.22385450000000001</v>
      </c>
      <c r="AH1922">
        <v>0.32767593964233299</v>
      </c>
      <c r="AI1922">
        <v>123.26036793898</v>
      </c>
      <c r="AJ1922">
        <v>73.756469764105105</v>
      </c>
      <c r="AK1922">
        <v>0.40816250216147898</v>
      </c>
      <c r="AL1922">
        <v>90.519704637054602</v>
      </c>
      <c r="AM1922">
        <v>87.734486068193405</v>
      </c>
      <c r="AN1922">
        <v>1.0000000358333201</v>
      </c>
    </row>
    <row r="1923" spans="1:40" x14ac:dyDescent="0.25">
      <c r="A1923" t="str">
        <f>"20190312154252413"</f>
        <v>20190312154252413</v>
      </c>
      <c r="B1923" t="str">
        <f>"1552376572399023"</f>
        <v>1552376572399023</v>
      </c>
      <c r="C1923" t="s">
        <v>40</v>
      </c>
      <c r="D1923">
        <v>4.9482339999999896</v>
      </c>
      <c r="E1923">
        <v>0.54213120000000004</v>
      </c>
      <c r="F1923" t="s">
        <v>41</v>
      </c>
      <c r="G1923">
        <v>-279.6216</v>
      </c>
      <c r="H1923">
        <v>0.89932719999999899</v>
      </c>
      <c r="I1923">
        <v>283.29259999999999</v>
      </c>
      <c r="J1923">
        <v>-279.07010000000002</v>
      </c>
      <c r="K1923">
        <v>1.111788</v>
      </c>
      <c r="L1923">
        <v>283.1576</v>
      </c>
      <c r="M1923">
        <v>-0.99930980000000003</v>
      </c>
      <c r="N1923">
        <v>0</v>
      </c>
      <c r="O1923">
        <v>3.6474289999999999E-2</v>
      </c>
      <c r="P1923">
        <v>-0.99697789999999997</v>
      </c>
      <c r="Q1923">
        <v>-1.5833449999999999E-2</v>
      </c>
      <c r="R1923">
        <v>7.6058210000000001E-2</v>
      </c>
      <c r="S1923">
        <v>-2.9549560000000001</v>
      </c>
      <c r="T1923">
        <v>-0.79612229999999995</v>
      </c>
      <c r="U1923">
        <v>0.5344238</v>
      </c>
      <c r="V1923">
        <v>3.9700409999999998E-2</v>
      </c>
      <c r="W1923">
        <v>-8.5264529999999998E-3</v>
      </c>
      <c r="X1923">
        <v>0.99917529999999999</v>
      </c>
      <c r="Y1923">
        <v>0.13844110000000001</v>
      </c>
      <c r="Z1923">
        <v>8.6107819999999904E-3</v>
      </c>
      <c r="AA1923">
        <v>0.99033329999999997</v>
      </c>
      <c r="AB1923">
        <v>42</v>
      </c>
      <c r="AC1923">
        <v>-0.55149999999997501</v>
      </c>
      <c r="AD1923">
        <v>-0.21246080000000001</v>
      </c>
      <c r="AE1923">
        <v>0.13499999999998999</v>
      </c>
      <c r="AF1923">
        <v>0.100694718821899</v>
      </c>
      <c r="AG1923">
        <v>-0.21246080000000001</v>
      </c>
      <c r="AH1923">
        <v>0.48776044500194299</v>
      </c>
      <c r="AI1923">
        <v>113.10255382640599</v>
      </c>
      <c r="AJ1923">
        <v>78.335554148904293</v>
      </c>
      <c r="AK1923">
        <v>0.54146954636780398</v>
      </c>
      <c r="AL1923">
        <v>90.488535665514306</v>
      </c>
      <c r="AM1923">
        <v>87.724653475516106</v>
      </c>
      <c r="AN1923">
        <v>1.0000000515425</v>
      </c>
    </row>
    <row r="1924" spans="1:40" x14ac:dyDescent="0.25">
      <c r="A1924" t="str">
        <f>"20190312154252436"</f>
        <v>20190312154252436</v>
      </c>
      <c r="B1924" t="str">
        <f>"1552376572429279"</f>
        <v>1552376572429279</v>
      </c>
      <c r="C1924" t="s">
        <v>40</v>
      </c>
      <c r="D1924">
        <v>4.9232009999999997</v>
      </c>
      <c r="E1924">
        <v>0.54257149999999998</v>
      </c>
      <c r="F1924" t="s">
        <v>41</v>
      </c>
      <c r="G1924">
        <v>-279.98180000000002</v>
      </c>
      <c r="H1924">
        <v>0.86614539999999995</v>
      </c>
      <c r="I1924">
        <v>283.32209999999998</v>
      </c>
      <c r="J1924">
        <v>-279.48230000000001</v>
      </c>
      <c r="K1924">
        <v>1.111829</v>
      </c>
      <c r="L1924">
        <v>283.17090000000002</v>
      </c>
      <c r="M1924">
        <v>-0.99939889999999998</v>
      </c>
      <c r="N1924">
        <v>0</v>
      </c>
      <c r="O1924">
        <v>3.3927869999999999E-2</v>
      </c>
      <c r="P1924">
        <v>-0.99714329999999995</v>
      </c>
      <c r="Q1924">
        <v>-1.5607569999999999E-2</v>
      </c>
      <c r="R1924">
        <v>7.3905330000000005E-2</v>
      </c>
      <c r="S1924">
        <v>-2.9558110000000002</v>
      </c>
      <c r="T1924">
        <v>-0.7964021</v>
      </c>
      <c r="U1924">
        <v>0.53271480000000004</v>
      </c>
      <c r="V1924">
        <v>4.0087329999999997E-2</v>
      </c>
      <c r="W1924">
        <v>-8.2092780000000004E-3</v>
      </c>
      <c r="X1924">
        <v>0.99916240000000001</v>
      </c>
      <c r="Y1924">
        <v>0.14020829999999901</v>
      </c>
      <c r="Z1924">
        <v>9.5114819999999999E-3</v>
      </c>
      <c r="AA1924">
        <v>0.99007639999999997</v>
      </c>
      <c r="AB1924">
        <v>42</v>
      </c>
      <c r="AC1924">
        <v>-0.49950000000001099</v>
      </c>
      <c r="AD1924">
        <v>-0.2456836</v>
      </c>
      <c r="AE1924">
        <v>0.15119999999996001</v>
      </c>
      <c r="AF1924">
        <v>0.109826045809982</v>
      </c>
      <c r="AG1924">
        <v>-0.2456836</v>
      </c>
      <c r="AH1924">
        <v>0.41284768981734499</v>
      </c>
      <c r="AI1924">
        <v>119.902947903059</v>
      </c>
      <c r="AJ1924">
        <v>75.103140503931598</v>
      </c>
      <c r="AK1924">
        <v>0.49281376465632099</v>
      </c>
      <c r="AL1924">
        <v>90.470362291855807</v>
      </c>
      <c r="AM1924">
        <v>87.702471977607004</v>
      </c>
      <c r="AN1924">
        <v>0.99999994392278302</v>
      </c>
    </row>
    <row r="1925" spans="1:40" x14ac:dyDescent="0.25">
      <c r="A1925" t="str">
        <f>"20190312154252458"</f>
        <v>20190312154252458</v>
      </c>
      <c r="B1925" t="str">
        <f>"1552376572449774"</f>
        <v>1552376572449774</v>
      </c>
      <c r="C1925" t="s">
        <v>40</v>
      </c>
      <c r="D1925">
        <v>4.9157549999999999</v>
      </c>
      <c r="E1925">
        <v>0.54281349999999995</v>
      </c>
      <c r="F1925" t="s">
        <v>41</v>
      </c>
      <c r="G1925">
        <v>-280.36020000000002</v>
      </c>
      <c r="H1925">
        <v>0.87449869999999996</v>
      </c>
      <c r="I1925">
        <v>283.32870000000003</v>
      </c>
      <c r="J1925">
        <v>-279.90460000000002</v>
      </c>
      <c r="K1925">
        <v>1.111856</v>
      </c>
      <c r="L1925">
        <v>283.18329999999997</v>
      </c>
      <c r="M1925">
        <v>-0.9994826</v>
      </c>
      <c r="N1925">
        <v>0</v>
      </c>
      <c r="O1925">
        <v>3.1342170000000003E-2</v>
      </c>
      <c r="P1925">
        <v>-0.99732739999999998</v>
      </c>
      <c r="Q1925">
        <v>-1.5110230000000001E-2</v>
      </c>
      <c r="R1925">
        <v>7.1480509999999997E-2</v>
      </c>
      <c r="S1925">
        <v>-2.9567260000000002</v>
      </c>
      <c r="T1925">
        <v>-0.7994791</v>
      </c>
      <c r="U1925">
        <v>0.5304565</v>
      </c>
      <c r="V1925">
        <v>4.0238679999999999E-2</v>
      </c>
      <c r="W1925">
        <v>-7.6294429999999996E-3</v>
      </c>
      <c r="X1925">
        <v>0.99916090000000002</v>
      </c>
      <c r="Y1925">
        <v>0.14180999999999999</v>
      </c>
      <c r="Z1925">
        <v>1.0436300000000001E-2</v>
      </c>
      <c r="AA1925">
        <v>0.98983889999999997</v>
      </c>
      <c r="AB1925">
        <v>42</v>
      </c>
      <c r="AC1925">
        <v>-0.455600000000003</v>
      </c>
      <c r="AD1925">
        <v>-0.23735729999999999</v>
      </c>
      <c r="AE1925">
        <v>0.14540000000005099</v>
      </c>
      <c r="AF1925">
        <v>0.10514777040158101</v>
      </c>
      <c r="AG1925">
        <v>-0.23735729999999999</v>
      </c>
      <c r="AH1925">
        <v>0.36903056154034197</v>
      </c>
      <c r="AI1925">
        <v>121.739775249885</v>
      </c>
      <c r="AJ1925">
        <v>74.096172982757906</v>
      </c>
      <c r="AK1925">
        <v>0.45119629523577998</v>
      </c>
      <c r="AL1925">
        <v>90.437139154624305</v>
      </c>
      <c r="AM1925">
        <v>87.6938035340646</v>
      </c>
      <c r="AN1925">
        <v>0.99999993192871806</v>
      </c>
    </row>
    <row r="1926" spans="1:40" x14ac:dyDescent="0.25">
      <c r="A1926" t="str">
        <f>"20190312154252479"</f>
        <v>20190312154252479</v>
      </c>
      <c r="B1926" t="str">
        <f>"1552376572469299"</f>
        <v>1552376572469299</v>
      </c>
      <c r="C1926" t="s">
        <v>40</v>
      </c>
      <c r="D1926">
        <v>4.8677910000000004</v>
      </c>
      <c r="E1926">
        <v>0.543041199999999</v>
      </c>
      <c r="F1926" t="s">
        <v>41</v>
      </c>
      <c r="G1926">
        <v>-280.7405</v>
      </c>
      <c r="H1926">
        <v>0.88589409999999902</v>
      </c>
      <c r="I1926">
        <v>283.33179999999999</v>
      </c>
      <c r="J1926">
        <v>-280.29570000000001</v>
      </c>
      <c r="K1926">
        <v>1.111872</v>
      </c>
      <c r="L1926">
        <v>283.19400000000002</v>
      </c>
      <c r="M1926">
        <v>-0.99955369999999999</v>
      </c>
      <c r="N1926">
        <v>0</v>
      </c>
      <c r="O1926">
        <v>2.897798E-2</v>
      </c>
      <c r="P1926">
        <v>-0.99751310000000004</v>
      </c>
      <c r="Q1926">
        <v>-1.468178E-2</v>
      </c>
      <c r="R1926">
        <v>6.8935479999999993E-2</v>
      </c>
      <c r="S1926">
        <v>-2.9582820000000001</v>
      </c>
      <c r="T1926">
        <v>-0.799732</v>
      </c>
      <c r="U1926">
        <v>0.52532959999999995</v>
      </c>
      <c r="V1926">
        <v>4.0049189999999998E-2</v>
      </c>
      <c r="W1926">
        <v>-7.1350279999999999E-3</v>
      </c>
      <c r="X1926">
        <v>0.99917219999999995</v>
      </c>
      <c r="Y1926">
        <v>0.14229749999999999</v>
      </c>
      <c r="Z1926">
        <v>1.1122180000000001E-2</v>
      </c>
      <c r="AA1926">
        <v>0.98976149999999996</v>
      </c>
      <c r="AB1926">
        <v>42</v>
      </c>
      <c r="AC1926">
        <v>-0.44479999999998598</v>
      </c>
      <c r="AD1926">
        <v>-0.22597790000000001</v>
      </c>
      <c r="AE1926">
        <v>0.13779999999997</v>
      </c>
      <c r="AF1926">
        <v>0.10105369609800301</v>
      </c>
      <c r="AG1926">
        <v>-0.22597790000000001</v>
      </c>
      <c r="AH1926">
        <v>0.363095525906796</v>
      </c>
      <c r="AI1926">
        <v>120.94593619653899</v>
      </c>
      <c r="AJ1926">
        <v>74.447498208732796</v>
      </c>
      <c r="AK1926">
        <v>0.43944990808624601</v>
      </c>
      <c r="AL1926">
        <v>90.408810473823294</v>
      </c>
      <c r="AM1926">
        <v>87.704678047934195</v>
      </c>
      <c r="AN1926">
        <v>0.99999996574852701</v>
      </c>
    </row>
    <row r="1927" spans="1:40" x14ac:dyDescent="0.25">
      <c r="A1927" t="str">
        <f>"20190312154252513"</f>
        <v>20190312154252513</v>
      </c>
      <c r="B1927" t="str">
        <f>"1552376572499551"</f>
        <v>1552376572499551</v>
      </c>
      <c r="C1927" t="s">
        <v>40</v>
      </c>
      <c r="D1927">
        <v>4.8484999999999996</v>
      </c>
      <c r="E1927">
        <v>0.54333069999999895</v>
      </c>
      <c r="F1927" t="s">
        <v>41</v>
      </c>
      <c r="G1927">
        <v>-281.11840000000001</v>
      </c>
      <c r="H1927">
        <v>0.88958999999999999</v>
      </c>
      <c r="I1927">
        <v>283.33879999999999</v>
      </c>
      <c r="J1927">
        <v>-280.92540000000002</v>
      </c>
      <c r="K1927">
        <v>1.111845</v>
      </c>
      <c r="L1927">
        <v>283.20920000000001</v>
      </c>
      <c r="M1927">
        <v>-0.99965349999999997</v>
      </c>
      <c r="N1927">
        <v>0</v>
      </c>
      <c r="O1927">
        <v>2.5271459999999999E-2</v>
      </c>
      <c r="P1927">
        <v>-0.99791969999999997</v>
      </c>
      <c r="Q1927">
        <v>-1.3088900000000001E-2</v>
      </c>
      <c r="R1927">
        <v>6.3128379999999998E-2</v>
      </c>
      <c r="S1927">
        <v>-2.9598080000000002</v>
      </c>
      <c r="T1927">
        <v>-0.79984429999999995</v>
      </c>
      <c r="U1927">
        <v>0.52001949999999997</v>
      </c>
      <c r="V1927">
        <v>3.7926380000000003E-2</v>
      </c>
      <c r="W1927">
        <v>-5.4628000000000003E-3</v>
      </c>
      <c r="X1927">
        <v>0.99926559999999998</v>
      </c>
      <c r="Y1927">
        <v>0.14396919999999999</v>
      </c>
      <c r="Z1927">
        <v>1.2315609999999999E-2</v>
      </c>
      <c r="AA1927">
        <v>0.98950550000000004</v>
      </c>
      <c r="AB1927">
        <v>42</v>
      </c>
      <c r="AC1927">
        <v>-0.19299999999998299</v>
      </c>
      <c r="AD1927">
        <v>-0.22225500000000001</v>
      </c>
      <c r="AE1927">
        <v>0.12959999999998201</v>
      </c>
      <c r="AF1927">
        <v>6.5141626022509197E-2</v>
      </c>
      <c r="AG1927">
        <v>-0.22225500000000001</v>
      </c>
      <c r="AH1927">
        <v>0.102514948158547</v>
      </c>
      <c r="AI1927">
        <v>151.34368830313699</v>
      </c>
      <c r="AJ1927">
        <v>57.566678563047198</v>
      </c>
      <c r="AK1927">
        <v>0.25327856415773897</v>
      </c>
      <c r="AL1927">
        <v>90.312996942368301</v>
      </c>
      <c r="AM1927">
        <v>87.826424750068099</v>
      </c>
      <c r="AN1927">
        <v>0.99999999591355204</v>
      </c>
    </row>
    <row r="1928" spans="1:40" x14ac:dyDescent="0.25">
      <c r="A1928" t="str">
        <f>"20190312154252535"</f>
        <v>20190312154252535</v>
      </c>
      <c r="B1928" t="str">
        <f>"1552376572529807"</f>
        <v>1552376572529807</v>
      </c>
      <c r="C1928" t="s">
        <v>40</v>
      </c>
      <c r="D1928">
        <v>4.8562919999999998</v>
      </c>
      <c r="E1928">
        <v>0.54332409999999998</v>
      </c>
      <c r="F1928" t="s">
        <v>41</v>
      </c>
      <c r="G1928">
        <v>-281.86110000000002</v>
      </c>
      <c r="H1928">
        <v>0.86038040000000005</v>
      </c>
      <c r="I1928">
        <v>283.36939999999998</v>
      </c>
      <c r="J1928">
        <v>-281.35730000000001</v>
      </c>
      <c r="K1928">
        <v>1.1118129999999999</v>
      </c>
      <c r="L1928">
        <v>283.21839999999997</v>
      </c>
      <c r="M1928">
        <v>-0.99971180000000004</v>
      </c>
      <c r="N1928">
        <v>0</v>
      </c>
      <c r="O1928">
        <v>2.2826659999999999E-2</v>
      </c>
      <c r="P1928">
        <v>-0.99822239999999995</v>
      </c>
      <c r="Q1928">
        <v>-1.3011170000000001E-2</v>
      </c>
      <c r="R1928">
        <v>5.8161820000000003E-2</v>
      </c>
      <c r="S1928">
        <v>-2.9638059999999999</v>
      </c>
      <c r="T1928">
        <v>-0.79658580000000001</v>
      </c>
      <c r="U1928">
        <v>0.50582890000000003</v>
      </c>
      <c r="V1928">
        <v>3.5396360000000002E-2</v>
      </c>
      <c r="W1928">
        <v>-5.3479840000000001E-3</v>
      </c>
      <c r="X1928">
        <v>0.99935909999999994</v>
      </c>
      <c r="Y1928">
        <v>0.14159649999999999</v>
      </c>
      <c r="Z1928">
        <v>1.2585300000000001E-2</v>
      </c>
      <c r="AA1928">
        <v>0.98984439999999996</v>
      </c>
      <c r="AB1928">
        <v>42</v>
      </c>
      <c r="AC1928">
        <v>-0.50380000000001202</v>
      </c>
      <c r="AD1928">
        <v>-0.25143259999999901</v>
      </c>
      <c r="AE1928">
        <v>0.15100000000000999</v>
      </c>
      <c r="AF1928">
        <v>0.11351685183176</v>
      </c>
      <c r="AG1928">
        <v>-0.25143259999999901</v>
      </c>
      <c r="AH1928">
        <v>0.41277830434630403</v>
      </c>
      <c r="AI1928">
        <v>120.42649513237301</v>
      </c>
      <c r="AJ1928">
        <v>74.623385082282098</v>
      </c>
      <c r="AK1928">
        <v>0.49647795170738801</v>
      </c>
      <c r="AL1928">
        <v>90.306418355293204</v>
      </c>
      <c r="AM1928">
        <v>87.971485323617401</v>
      </c>
      <c r="AN1928">
        <v>1.00000005699346</v>
      </c>
    </row>
    <row r="1929" spans="1:40" x14ac:dyDescent="0.25">
      <c r="A1929" t="str">
        <f>"20190312154252557"</f>
        <v>20190312154252557</v>
      </c>
      <c r="B1929" t="str">
        <f>"1552376572549160"</f>
        <v>1552376572549160</v>
      </c>
      <c r="C1929" t="s">
        <v>40</v>
      </c>
      <c r="D1929">
        <v>4.8431160000000002</v>
      </c>
      <c r="E1929">
        <v>0.54346740000000004</v>
      </c>
      <c r="F1929" t="s">
        <v>41</v>
      </c>
      <c r="G1929">
        <v>-282.24470000000002</v>
      </c>
      <c r="H1929">
        <v>0.87306209999999995</v>
      </c>
      <c r="I1929">
        <v>283.36529999999999</v>
      </c>
      <c r="J1929">
        <v>-281.77960000000002</v>
      </c>
      <c r="K1929">
        <v>1.111764</v>
      </c>
      <c r="L1929">
        <v>283.22640000000001</v>
      </c>
      <c r="M1929">
        <v>-0.99976149999999997</v>
      </c>
      <c r="N1929">
        <v>0</v>
      </c>
      <c r="O1929">
        <v>2.0520030000000002E-2</v>
      </c>
      <c r="P1929">
        <v>-0.99845119999999998</v>
      </c>
      <c r="Q1929">
        <v>-1.3062549999999999E-2</v>
      </c>
      <c r="R1929">
        <v>5.4078679999999997E-2</v>
      </c>
      <c r="S1929">
        <v>-2.96637</v>
      </c>
      <c r="T1929">
        <v>-0.79802109999999904</v>
      </c>
      <c r="U1929">
        <v>0.49133300000000002</v>
      </c>
      <c r="V1929">
        <v>3.3614049999999999E-2</v>
      </c>
      <c r="W1929">
        <v>-5.3633709999999996E-3</v>
      </c>
      <c r="X1929">
        <v>0.99942050000000004</v>
      </c>
      <c r="Y1929">
        <v>0.1390295</v>
      </c>
      <c r="Z1929">
        <v>1.286963E-2</v>
      </c>
      <c r="AA1929">
        <v>0.99020459999999999</v>
      </c>
      <c r="AB1929">
        <v>42</v>
      </c>
      <c r="AC1929">
        <v>-0.46510000000000601</v>
      </c>
      <c r="AD1929">
        <v>-0.23870189999999999</v>
      </c>
      <c r="AE1929">
        <v>0.13889999999997801</v>
      </c>
      <c r="AF1929">
        <v>0.104141705454646</v>
      </c>
      <c r="AG1929">
        <v>-0.23870189999999999</v>
      </c>
      <c r="AH1929">
        <v>0.37674335405520898</v>
      </c>
      <c r="AI1929">
        <v>121.41201398563599</v>
      </c>
      <c r="AJ1929">
        <v>74.547810473518297</v>
      </c>
      <c r="AK1929">
        <v>0.45799524746811598</v>
      </c>
      <c r="AL1929">
        <v>90.307299994649995</v>
      </c>
      <c r="AM1929">
        <v>88.073666218371201</v>
      </c>
      <c r="AN1929">
        <v>1.00000000296306</v>
      </c>
    </row>
    <row r="1930" spans="1:40" x14ac:dyDescent="0.25">
      <c r="A1930" t="str">
        <f>"20190312154252580"</f>
        <v>20190312154252580</v>
      </c>
      <c r="B1930" t="str">
        <f>"1552376572569642"</f>
        <v>1552376572569642</v>
      </c>
      <c r="C1930" t="s">
        <v>40</v>
      </c>
      <c r="D1930">
        <v>4.8373460000000001</v>
      </c>
      <c r="E1930">
        <v>0.54363549999999905</v>
      </c>
      <c r="F1930" t="s">
        <v>41</v>
      </c>
      <c r="G1930">
        <v>-282.62799999999999</v>
      </c>
      <c r="H1930">
        <v>0.88328399999999996</v>
      </c>
      <c r="I1930">
        <v>283.3639</v>
      </c>
      <c r="J1930">
        <v>-282.20260000000002</v>
      </c>
      <c r="K1930">
        <v>1.111699</v>
      </c>
      <c r="L1930">
        <v>283.23360000000002</v>
      </c>
      <c r="M1930">
        <v>-0.99980369999999996</v>
      </c>
      <c r="N1930">
        <v>0</v>
      </c>
      <c r="O1930">
        <v>1.8326329999999998E-2</v>
      </c>
      <c r="P1930">
        <v>-0.99861730000000004</v>
      </c>
      <c r="Q1930">
        <v>-1.371203E-2</v>
      </c>
      <c r="R1930">
        <v>5.075139E-2</v>
      </c>
      <c r="S1930">
        <v>-2.9682010000000001</v>
      </c>
      <c r="T1930">
        <v>-0.79944059999999995</v>
      </c>
      <c r="U1930">
        <v>0.48004150000000001</v>
      </c>
      <c r="V1930">
        <v>3.2480000000000002E-2</v>
      </c>
      <c r="W1930">
        <v>-5.9719990000000004E-3</v>
      </c>
      <c r="X1930">
        <v>0.99945459999999997</v>
      </c>
      <c r="Y1930">
        <v>0.1374011</v>
      </c>
      <c r="Z1930">
        <v>1.325016E-2</v>
      </c>
      <c r="AA1930">
        <v>0.99042680000000005</v>
      </c>
      <c r="AB1930">
        <v>42</v>
      </c>
      <c r="AC1930">
        <v>-0.42539999999996703</v>
      </c>
      <c r="AD1930">
        <v>-0.22841499999999901</v>
      </c>
      <c r="AE1930">
        <v>0.13029999999997699</v>
      </c>
      <c r="AF1930">
        <v>9.6932607464810402E-2</v>
      </c>
      <c r="AG1930">
        <v>-0.22841499999999901</v>
      </c>
      <c r="AH1930">
        <v>0.33849645079638802</v>
      </c>
      <c r="AI1930">
        <v>122.972215773811</v>
      </c>
      <c r="AJ1930">
        <v>74.020285947873205</v>
      </c>
      <c r="AK1930">
        <v>0.41970131023941099</v>
      </c>
      <c r="AL1930">
        <v>90.342172352623294</v>
      </c>
      <c r="AM1930">
        <v>88.138672622328798</v>
      </c>
      <c r="AN1930">
        <v>1.0000000563166001</v>
      </c>
    </row>
    <row r="1931" spans="1:40" x14ac:dyDescent="0.25">
      <c r="A1931" t="str">
        <f>"20190312154252601"</f>
        <v>20190312154252601</v>
      </c>
      <c r="B1931" t="str">
        <f>"1552376572589162"</f>
        <v>1552376572589162</v>
      </c>
      <c r="C1931" t="s">
        <v>40</v>
      </c>
      <c r="D1931">
        <v>4.8203659999999999</v>
      </c>
      <c r="E1931">
        <v>0.54380799999999996</v>
      </c>
      <c r="F1931" t="s">
        <v>41</v>
      </c>
      <c r="G1931">
        <v>-283.01170000000002</v>
      </c>
      <c r="H1931">
        <v>0.8928796</v>
      </c>
      <c r="I1931">
        <v>283.36219999999997</v>
      </c>
      <c r="J1931">
        <v>-282.62119999999999</v>
      </c>
      <c r="K1931">
        <v>1.1116159999999999</v>
      </c>
      <c r="L1931">
        <v>283.23989999999998</v>
      </c>
      <c r="M1931">
        <v>-0.99983849999999996</v>
      </c>
      <c r="N1931">
        <v>0</v>
      </c>
      <c r="O1931">
        <v>1.6296100000000001E-2</v>
      </c>
      <c r="P1931">
        <v>-0.99874719999999995</v>
      </c>
      <c r="Q1931">
        <v>-1.4506120000000001E-2</v>
      </c>
      <c r="R1931">
        <v>4.7895109999999998E-2</v>
      </c>
      <c r="S1931">
        <v>-2.9691770000000002</v>
      </c>
      <c r="T1931">
        <v>-0.8029288</v>
      </c>
      <c r="U1931">
        <v>0.47155760000000002</v>
      </c>
      <c r="V1931">
        <v>3.1654389999999998E-2</v>
      </c>
      <c r="W1931">
        <v>-6.7127580000000001E-3</v>
      </c>
      <c r="X1931">
        <v>0.99947629999999998</v>
      </c>
      <c r="Y1931">
        <v>0.136524799999999</v>
      </c>
      <c r="Z1931">
        <v>1.372467E-2</v>
      </c>
      <c r="AA1931">
        <v>0.99054160000000002</v>
      </c>
      <c r="AB1931">
        <v>42</v>
      </c>
      <c r="AC1931">
        <v>-0.39050000000003099</v>
      </c>
      <c r="AD1931">
        <v>-0.218736399999999</v>
      </c>
      <c r="AE1931">
        <v>0.122299999999995</v>
      </c>
      <c r="AF1931">
        <v>9.0158512103278493E-2</v>
      </c>
      <c r="AG1931">
        <v>-0.218736399999999</v>
      </c>
      <c r="AH1931">
        <v>0.305227151151374</v>
      </c>
      <c r="AI1931">
        <v>124.49992661834899</v>
      </c>
      <c r="AJ1931">
        <v>73.543824376837506</v>
      </c>
      <c r="AK1931">
        <v>0.38618361408741902</v>
      </c>
      <c r="AL1931">
        <v>90.384615603213106</v>
      </c>
      <c r="AM1931">
        <v>88.185993088478</v>
      </c>
      <c r="AN1931">
        <v>0.99999996789396295</v>
      </c>
    </row>
    <row r="1932" spans="1:40" x14ac:dyDescent="0.25">
      <c r="A1932" t="str">
        <f>"20190312154252625"</f>
        <v>20190312154252625</v>
      </c>
      <c r="B1932" t="str">
        <f>"1552376572619419"</f>
        <v>1552376572619419</v>
      </c>
      <c r="C1932" t="s">
        <v>40</v>
      </c>
      <c r="D1932">
        <v>4.831696</v>
      </c>
      <c r="E1932">
        <v>0.54410069999999999</v>
      </c>
      <c r="F1932" t="s">
        <v>41</v>
      </c>
      <c r="G1932">
        <v>-283.39580000000001</v>
      </c>
      <c r="H1932">
        <v>0.90134190000000003</v>
      </c>
      <c r="I1932">
        <v>283.36130000000003</v>
      </c>
      <c r="J1932">
        <v>-283.05860000000001</v>
      </c>
      <c r="K1932">
        <v>1.1115139999999999</v>
      </c>
      <c r="L1932">
        <v>283.2457</v>
      </c>
      <c r="M1932">
        <v>-0.99986759999999997</v>
      </c>
      <c r="N1932">
        <v>0</v>
      </c>
      <c r="O1932">
        <v>1.434299E-2</v>
      </c>
      <c r="P1932">
        <v>-0.99882499999999996</v>
      </c>
      <c r="Q1932">
        <v>-1.5716150000000002E-2</v>
      </c>
      <c r="R1932">
        <v>4.5848809999999997E-2</v>
      </c>
      <c r="S1932">
        <v>-2.9697879999999999</v>
      </c>
      <c r="T1932">
        <v>-0.8062935</v>
      </c>
      <c r="U1932">
        <v>0.46481319999999998</v>
      </c>
      <c r="V1932">
        <v>3.1563870000000001E-2</v>
      </c>
      <c r="W1932">
        <v>-7.8339020000000002E-3</v>
      </c>
      <c r="X1932">
        <v>0.999471</v>
      </c>
      <c r="Y1932">
        <v>0.1361416</v>
      </c>
      <c r="Z1932">
        <v>1.4246490000000001E-2</v>
      </c>
      <c r="AA1932">
        <v>0.99058690000000005</v>
      </c>
      <c r="AB1932">
        <v>43</v>
      </c>
      <c r="AC1932">
        <v>-0.337199999999995</v>
      </c>
      <c r="AD1932">
        <v>-0.210172099999999</v>
      </c>
      <c r="AE1932">
        <v>0.115600000000029</v>
      </c>
      <c r="AF1932">
        <v>8.2182458960439395E-2</v>
      </c>
      <c r="AG1932">
        <v>-0.210172099999999</v>
      </c>
      <c r="AH1932">
        <v>0.251421775359636</v>
      </c>
      <c r="AI1932">
        <v>128.469387532594</v>
      </c>
      <c r="AJ1932">
        <v>71.898938484903695</v>
      </c>
      <c r="AK1932">
        <v>0.337844901255273</v>
      </c>
      <c r="AL1932">
        <v>90.448854129044904</v>
      </c>
      <c r="AM1932">
        <v>88.191167449617694</v>
      </c>
      <c r="AN1932">
        <v>0.99999996387545997</v>
      </c>
    </row>
    <row r="1933" spans="1:40" x14ac:dyDescent="0.25">
      <c r="A1933" t="str">
        <f>"20190312154252648"</f>
        <v>20190312154252648</v>
      </c>
      <c r="B1933" t="str">
        <f>"1552376572639914"</f>
        <v>1552376572639914</v>
      </c>
      <c r="C1933" t="s">
        <v>40</v>
      </c>
      <c r="D1933">
        <v>4.8270249999999999</v>
      </c>
      <c r="E1933">
        <v>0.54426929999999996</v>
      </c>
      <c r="F1933" t="s">
        <v>41</v>
      </c>
      <c r="G1933">
        <v>-283.78190000000001</v>
      </c>
      <c r="H1933">
        <v>0.9138889</v>
      </c>
      <c r="I1933">
        <v>283.35840000000002</v>
      </c>
      <c r="J1933">
        <v>-283.4973</v>
      </c>
      <c r="K1933">
        <v>1.1114040000000001</v>
      </c>
      <c r="L1933">
        <v>283.25080000000003</v>
      </c>
      <c r="M1933">
        <v>-0.9998901</v>
      </c>
      <c r="N1933">
        <v>0</v>
      </c>
      <c r="O1933">
        <v>1.257102E-2</v>
      </c>
      <c r="P1933">
        <v>-0.99888160000000004</v>
      </c>
      <c r="Q1933">
        <v>-1.6396009999999999E-2</v>
      </c>
      <c r="R1933">
        <v>4.4347869999999998E-2</v>
      </c>
      <c r="S1933">
        <v>-2.9695130000000001</v>
      </c>
      <c r="T1933">
        <v>-0.81141839999999998</v>
      </c>
      <c r="U1933">
        <v>0.46200560000000002</v>
      </c>
      <c r="V1933">
        <v>3.1833559999999997E-2</v>
      </c>
      <c r="W1933">
        <v>-8.36928199999999E-3</v>
      </c>
      <c r="X1933">
        <v>0.99945810000000002</v>
      </c>
      <c r="Y1933">
        <v>0.1368511</v>
      </c>
      <c r="Z1933">
        <v>1.4903319999999999E-2</v>
      </c>
      <c r="AA1933">
        <v>0.99047949999999996</v>
      </c>
      <c r="AB1933">
        <v>43</v>
      </c>
      <c r="AC1933">
        <v>-0.28460000000001101</v>
      </c>
      <c r="AD1933">
        <v>-0.197515099999999</v>
      </c>
      <c r="AE1933">
        <v>0.10759999999999</v>
      </c>
      <c r="AF1933">
        <v>7.3176284287262902E-2</v>
      </c>
      <c r="AG1933">
        <v>-0.197515099999999</v>
      </c>
      <c r="AH1933">
        <v>0.20115921547622301</v>
      </c>
      <c r="AI1933">
        <v>132.698594816824</v>
      </c>
      <c r="AJ1933">
        <v>70.009981155627102</v>
      </c>
      <c r="AK1933">
        <v>0.29125935741381698</v>
      </c>
      <c r="AL1933">
        <v>90.479530154972394</v>
      </c>
      <c r="AM1933">
        <v>88.175699177861702</v>
      </c>
      <c r="AN1933">
        <v>0.99999995703953803</v>
      </c>
    </row>
    <row r="1934" spans="1:40" x14ac:dyDescent="0.25">
      <c r="A1934" t="str">
        <f>"20190312154252669"</f>
        <v>20190312154252669</v>
      </c>
      <c r="B1934" t="str">
        <f>"1552376572659018"</f>
        <v>1552376572659018</v>
      </c>
      <c r="C1934" t="s">
        <v>40</v>
      </c>
      <c r="D1934">
        <v>4.842168</v>
      </c>
      <c r="E1934">
        <v>0.5444137</v>
      </c>
      <c r="F1934" t="s">
        <v>41</v>
      </c>
      <c r="G1934">
        <v>-284.16919999999999</v>
      </c>
      <c r="H1934">
        <v>0.92713069999999997</v>
      </c>
      <c r="I1934">
        <v>283.35489999999999</v>
      </c>
      <c r="J1934">
        <v>-283.90300000000002</v>
      </c>
      <c r="K1934">
        <v>1.1113189999999999</v>
      </c>
      <c r="L1934">
        <v>283.25490000000002</v>
      </c>
      <c r="M1934">
        <v>-0.9999053</v>
      </c>
      <c r="N1934">
        <v>0</v>
      </c>
      <c r="O1934">
        <v>1.1122669999999999E-2</v>
      </c>
      <c r="P1934">
        <v>-0.99892639999999999</v>
      </c>
      <c r="Q1934">
        <v>-1.6634860000000001E-2</v>
      </c>
      <c r="R1934">
        <v>4.3236999999999998E-2</v>
      </c>
      <c r="S1934">
        <v>-2.9696039999999999</v>
      </c>
      <c r="T1934">
        <v>-0.81459780000000004</v>
      </c>
      <c r="U1934">
        <v>0.45877079999999998</v>
      </c>
      <c r="V1934">
        <v>3.216691E-2</v>
      </c>
      <c r="W1934">
        <v>-8.3833209999999991E-3</v>
      </c>
      <c r="X1934">
        <v>0.99944730000000004</v>
      </c>
      <c r="Y1934">
        <v>0.13712929999999901</v>
      </c>
      <c r="Z1934">
        <v>1.5385390000000001E-2</v>
      </c>
      <c r="AA1934">
        <v>0.99043369999999997</v>
      </c>
      <c r="AB1934">
        <v>43</v>
      </c>
      <c r="AC1934">
        <v>-0.26619999999996902</v>
      </c>
      <c r="AD1934">
        <v>-0.1841883</v>
      </c>
      <c r="AE1934">
        <v>9.9999999999965894E-2</v>
      </c>
      <c r="AF1934">
        <v>6.8354964722695893E-2</v>
      </c>
      <c r="AG1934">
        <v>-0.1841883</v>
      </c>
      <c r="AH1934">
        <v>0.188297006709923</v>
      </c>
      <c r="AI1934">
        <v>132.59759405328899</v>
      </c>
      <c r="AJ1934">
        <v>70.048255553861097</v>
      </c>
      <c r="AK1934">
        <v>0.27212771596264801</v>
      </c>
      <c r="AL1934">
        <v>90.480334563102303</v>
      </c>
      <c r="AM1934">
        <v>88.156588938382797</v>
      </c>
      <c r="AN1934">
        <v>0.99999994782361201</v>
      </c>
    </row>
    <row r="1935" spans="1:40" x14ac:dyDescent="0.25">
      <c r="A1935" t="str">
        <f>"20190312154252692"</f>
        <v>20190312154252692</v>
      </c>
      <c r="B1935" t="str">
        <f>"1552376572679525"</f>
        <v>1552376572679525</v>
      </c>
      <c r="C1935" t="s">
        <v>40</v>
      </c>
      <c r="D1935">
        <v>4.8228569999999999</v>
      </c>
      <c r="E1935">
        <v>0.54454209999999903</v>
      </c>
      <c r="F1935" t="s">
        <v>41</v>
      </c>
      <c r="G1935">
        <v>-284.89640000000003</v>
      </c>
      <c r="H1935">
        <v>0.83823840000000005</v>
      </c>
      <c r="I1935">
        <v>283.40769999999998</v>
      </c>
      <c r="J1935">
        <v>-284.3304</v>
      </c>
      <c r="K1935">
        <v>1.111254</v>
      </c>
      <c r="L1935">
        <v>283.25869999999998</v>
      </c>
      <c r="M1935">
        <v>-0.99991640000000004</v>
      </c>
      <c r="N1935">
        <v>0</v>
      </c>
      <c r="O1935">
        <v>9.7743199999999995E-3</v>
      </c>
      <c r="P1935">
        <v>-0.99897990000000003</v>
      </c>
      <c r="Q1935">
        <v>-1.618153E-2</v>
      </c>
      <c r="R1935">
        <v>4.215957E-2</v>
      </c>
      <c r="S1935">
        <v>-2.96991</v>
      </c>
      <c r="T1935">
        <v>-0.81641549999999996</v>
      </c>
      <c r="U1935">
        <v>0.45593260000000002</v>
      </c>
      <c r="V1935">
        <v>3.2429329999999999E-2</v>
      </c>
      <c r="W1935">
        <v>-7.5622129999999999E-3</v>
      </c>
      <c r="X1935">
        <v>0.99944540000000004</v>
      </c>
      <c r="Y1935">
        <v>0.13744389999999901</v>
      </c>
      <c r="Z1935">
        <v>1.5822010000000001E-2</v>
      </c>
      <c r="AA1935">
        <v>0.99038320000000002</v>
      </c>
      <c r="AB1935">
        <v>43</v>
      </c>
      <c r="AC1935">
        <v>-0.56600000000003003</v>
      </c>
      <c r="AD1935">
        <v>-0.27301560000000002</v>
      </c>
      <c r="AE1935">
        <v>0.14899999999999999</v>
      </c>
      <c r="AF1935">
        <v>0.117823103541916</v>
      </c>
      <c r="AG1935">
        <v>-0.27301560000000002</v>
      </c>
      <c r="AH1935">
        <v>0.46602604430800798</v>
      </c>
      <c r="AI1935">
        <v>119.595121210256</v>
      </c>
      <c r="AJ1935">
        <v>75.811510756420105</v>
      </c>
      <c r="AK1935">
        <v>0.55281106677144098</v>
      </c>
      <c r="AL1935">
        <v>90.433287027994197</v>
      </c>
      <c r="AM1935">
        <v>88.141557229010999</v>
      </c>
      <c r="AN1935">
        <v>0.99999997804543195</v>
      </c>
    </row>
    <row r="1936" spans="1:40" x14ac:dyDescent="0.25">
      <c r="A1936" t="str">
        <f>"20190312154252713"</f>
        <v>20190312154252713</v>
      </c>
      <c r="B1936" t="str">
        <f>"1552376572699033"</f>
        <v>1552376572699033</v>
      </c>
      <c r="C1936" t="s">
        <v>40</v>
      </c>
      <c r="D1936">
        <v>4.8591139999999999</v>
      </c>
      <c r="E1936">
        <v>0.5446877</v>
      </c>
      <c r="F1936" t="s">
        <v>41</v>
      </c>
      <c r="G1936">
        <v>-285.28250000000003</v>
      </c>
      <c r="H1936">
        <v>0.84971589999999997</v>
      </c>
      <c r="I1936">
        <v>283.40410000000003</v>
      </c>
      <c r="J1936">
        <v>-284.74759999999998</v>
      </c>
      <c r="K1936">
        <v>1.111199</v>
      </c>
      <c r="L1936">
        <v>283.26190000000003</v>
      </c>
      <c r="M1936">
        <v>-0.99992320000000001</v>
      </c>
      <c r="N1936">
        <v>0</v>
      </c>
      <c r="O1936">
        <v>8.6126060000000001E-3</v>
      </c>
      <c r="P1936">
        <v>-0.99900469999999997</v>
      </c>
      <c r="Q1936">
        <v>-1.5681509999999999E-2</v>
      </c>
      <c r="R1936">
        <v>4.1763389999999997E-2</v>
      </c>
      <c r="S1936">
        <v>-2.9707029999999999</v>
      </c>
      <c r="T1936">
        <v>-0.81600269999999897</v>
      </c>
      <c r="U1936">
        <v>0.45330809999999999</v>
      </c>
      <c r="V1936">
        <v>3.318699E-2</v>
      </c>
      <c r="W1936">
        <v>-6.6138409999999996E-3</v>
      </c>
      <c r="X1936">
        <v>0.99942730000000002</v>
      </c>
      <c r="Y1936">
        <v>0.13765549999999999</v>
      </c>
      <c r="Z1936">
        <v>1.6151120000000001E-2</v>
      </c>
      <c r="AA1936">
        <v>0.99034849999999996</v>
      </c>
      <c r="AB1936">
        <v>43</v>
      </c>
      <c r="AC1936">
        <v>-0.53490000000005</v>
      </c>
      <c r="AD1936">
        <v>-0.26148310000000002</v>
      </c>
      <c r="AE1936">
        <v>0.14220000000000199</v>
      </c>
      <c r="AF1936">
        <v>0.112482162285842</v>
      </c>
      <c r="AG1936">
        <v>-0.26148310000000002</v>
      </c>
      <c r="AH1936">
        <v>0.43828233474471401</v>
      </c>
      <c r="AI1936">
        <v>120.022801093729</v>
      </c>
      <c r="AJ1936">
        <v>75.606085069625706</v>
      </c>
      <c r="AK1936">
        <v>0.52260602117406396</v>
      </c>
      <c r="AL1936">
        <v>90.378947929477803</v>
      </c>
      <c r="AM1936">
        <v>88.098134757936407</v>
      </c>
      <c r="AN1936">
        <v>1.00000002359166</v>
      </c>
    </row>
    <row r="1937" spans="1:40" x14ac:dyDescent="0.25">
      <c r="A1937" t="str">
        <f>"20190312154252737"</f>
        <v>20190312154252737</v>
      </c>
      <c r="B1937" t="str">
        <f>"1552376572729293"</f>
        <v>1552376572729293</v>
      </c>
      <c r="C1937" t="s">
        <v>40</v>
      </c>
      <c r="D1937">
        <v>4.883108</v>
      </c>
      <c r="E1937">
        <v>0.54488099999999995</v>
      </c>
      <c r="F1937" t="s">
        <v>41</v>
      </c>
      <c r="G1937">
        <v>-285.66739999999999</v>
      </c>
      <c r="H1937">
        <v>0.85870769999999996</v>
      </c>
      <c r="I1937">
        <v>283.40219999999999</v>
      </c>
      <c r="J1937">
        <v>-285.1848</v>
      </c>
      <c r="K1937">
        <v>1.111143</v>
      </c>
      <c r="L1937">
        <v>283.26490000000001</v>
      </c>
      <c r="M1937">
        <v>-0.9999266</v>
      </c>
      <c r="N1937">
        <v>0</v>
      </c>
      <c r="O1937">
        <v>7.5544619999999996E-3</v>
      </c>
      <c r="P1937">
        <v>-0.99897360000000002</v>
      </c>
      <c r="Q1937">
        <v>-1.7038480000000002E-2</v>
      </c>
      <c r="R1937">
        <v>4.1972580000000002E-2</v>
      </c>
      <c r="S1937">
        <v>-2.9712519999999998</v>
      </c>
      <c r="T1937">
        <v>-0.81568219999999902</v>
      </c>
      <c r="U1937">
        <v>0.45245360000000001</v>
      </c>
      <c r="V1937">
        <v>3.4454909999999998E-2</v>
      </c>
      <c r="W1937">
        <v>-7.4318780000000003E-3</v>
      </c>
      <c r="X1937">
        <v>0.99937860000000001</v>
      </c>
      <c r="Y1937">
        <v>0.13833909999999999</v>
      </c>
      <c r="Z1937">
        <v>1.651768E-2</v>
      </c>
      <c r="AA1937">
        <v>0.99024719999999999</v>
      </c>
      <c r="AB1937">
        <v>43</v>
      </c>
      <c r="AC1937">
        <v>-0.48259999999998998</v>
      </c>
      <c r="AD1937">
        <v>-0.25243529999999997</v>
      </c>
      <c r="AE1937">
        <v>0.13729999999998199</v>
      </c>
      <c r="AF1937">
        <v>0.106654036449968</v>
      </c>
      <c r="AG1937">
        <v>-0.25243529999999997</v>
      </c>
      <c r="AH1937">
        <v>0.385936001170677</v>
      </c>
      <c r="AI1937">
        <v>122.229578251989</v>
      </c>
      <c r="AJ1937">
        <v>74.551776707115394</v>
      </c>
      <c r="AK1937">
        <v>0.47333419607796601</v>
      </c>
      <c r="AL1937">
        <v>90.425819171747406</v>
      </c>
      <c r="AM1937">
        <v>88.025433678924003</v>
      </c>
      <c r="AN1937">
        <v>0.999999979885837</v>
      </c>
    </row>
    <row r="1938" spans="1:40" x14ac:dyDescent="0.25">
      <c r="A1938" t="str">
        <f>"20190312154252758"</f>
        <v>20190312154252758</v>
      </c>
      <c r="B1938" t="str">
        <f>"1552376572749469"</f>
        <v>1552376572749469</v>
      </c>
      <c r="C1938" t="s">
        <v>40</v>
      </c>
      <c r="D1938">
        <v>4.9152230000000001</v>
      </c>
      <c r="E1938">
        <v>0.54497340000000005</v>
      </c>
      <c r="F1938" t="s">
        <v>41</v>
      </c>
      <c r="G1938">
        <v>-286.05329999999998</v>
      </c>
      <c r="H1938">
        <v>0.87091659999999904</v>
      </c>
      <c r="I1938">
        <v>283.39760000000001</v>
      </c>
      <c r="J1938">
        <v>-285.6071</v>
      </c>
      <c r="K1938">
        <v>1.1110880000000001</v>
      </c>
      <c r="L1938">
        <v>283.26729999999998</v>
      </c>
      <c r="M1938">
        <v>-0.99992749999999997</v>
      </c>
      <c r="N1938">
        <v>0</v>
      </c>
      <c r="O1938">
        <v>6.6725780000000002E-3</v>
      </c>
      <c r="P1938">
        <v>-0.99893189999999998</v>
      </c>
      <c r="Q1938">
        <v>-1.8226280000000001E-2</v>
      </c>
      <c r="R1938">
        <v>4.2465419999999997E-2</v>
      </c>
      <c r="S1938">
        <v>-2.9700009999999999</v>
      </c>
      <c r="T1938">
        <v>-0.82151659999999904</v>
      </c>
      <c r="U1938">
        <v>0.4536133</v>
      </c>
      <c r="V1938">
        <v>3.582888E-2</v>
      </c>
      <c r="W1938">
        <v>-8.0624019999999998E-3</v>
      </c>
      <c r="X1938">
        <v>0.99932540000000003</v>
      </c>
      <c r="Y1938">
        <v>0.1395062</v>
      </c>
      <c r="Z1938">
        <v>1.7033489999999998E-2</v>
      </c>
      <c r="AA1938">
        <v>0.99007469999999997</v>
      </c>
      <c r="AB1938">
        <v>43</v>
      </c>
      <c r="AC1938">
        <v>-0.446199999999976</v>
      </c>
      <c r="AD1938">
        <v>-0.24017139999999901</v>
      </c>
      <c r="AE1938">
        <v>0.130300000000033</v>
      </c>
      <c r="AF1938">
        <v>0.10049239203312101</v>
      </c>
      <c r="AG1938">
        <v>-0.24017139999999901</v>
      </c>
      <c r="AH1938">
        <v>0.35286057510472701</v>
      </c>
      <c r="AI1938">
        <v>123.20922639643599</v>
      </c>
      <c r="AJ1938">
        <v>74.103392343968693</v>
      </c>
      <c r="AK1938">
        <v>0.43851066999303101</v>
      </c>
      <c r="AL1938">
        <v>90.461946619871696</v>
      </c>
      <c r="AM1938">
        <v>87.946650127764798</v>
      </c>
      <c r="AN1938">
        <v>0.99999998302661097</v>
      </c>
    </row>
    <row r="1939" spans="1:40" x14ac:dyDescent="0.25">
      <c r="A1939" t="str">
        <f>"20190312154252780"</f>
        <v>20190312154252780</v>
      </c>
      <c r="B1939" t="str">
        <f>"1552376572769960"</f>
        <v>1552376572769960</v>
      </c>
      <c r="C1939" t="s">
        <v>40</v>
      </c>
      <c r="D1939">
        <v>4.9028600000000004</v>
      </c>
      <c r="E1939">
        <v>0.54506639999999995</v>
      </c>
      <c r="F1939" t="s">
        <v>41</v>
      </c>
      <c r="G1939">
        <v>-286.43759999999997</v>
      </c>
      <c r="H1939">
        <v>0.88005129999999998</v>
      </c>
      <c r="I1939">
        <v>283.39490000000001</v>
      </c>
      <c r="J1939">
        <v>-286.0324</v>
      </c>
      <c r="K1939">
        <v>1.11103</v>
      </c>
      <c r="L1939">
        <v>283.26949999999999</v>
      </c>
      <c r="M1939">
        <v>-0.99992619999999999</v>
      </c>
      <c r="N1939">
        <v>0</v>
      </c>
      <c r="O1939">
        <v>5.9065810000000002E-3</v>
      </c>
      <c r="P1939">
        <v>-0.99888160000000004</v>
      </c>
      <c r="Q1939">
        <v>-1.9514500000000001E-2</v>
      </c>
      <c r="R1939">
        <v>4.3068120000000001E-2</v>
      </c>
      <c r="S1939">
        <v>-2.9687809999999999</v>
      </c>
      <c r="T1939">
        <v>-0.82593209999999995</v>
      </c>
      <c r="U1939">
        <v>0.4555054</v>
      </c>
      <c r="V1939">
        <v>3.7196720000000003E-2</v>
      </c>
      <c r="W1939">
        <v>-8.7867359999999999E-3</v>
      </c>
      <c r="X1939">
        <v>0.99926930000000003</v>
      </c>
      <c r="Y1939">
        <v>0.1408094</v>
      </c>
      <c r="Z1939">
        <v>1.7512550000000002E-2</v>
      </c>
      <c r="AA1939">
        <v>0.98988180000000003</v>
      </c>
      <c r="AB1939">
        <v>43</v>
      </c>
      <c r="AC1939">
        <v>-0.40519999999997902</v>
      </c>
      <c r="AD1939">
        <v>-0.23097869999999901</v>
      </c>
      <c r="AE1939">
        <v>0.125400000000013</v>
      </c>
      <c r="AF1939">
        <v>9.4871220976118206E-2</v>
      </c>
      <c r="AG1939">
        <v>-0.23097869999999901</v>
      </c>
      <c r="AH1939">
        <v>0.31308996617262402</v>
      </c>
      <c r="AI1939">
        <v>125.223511241116</v>
      </c>
      <c r="AJ1939">
        <v>73.142359895917593</v>
      </c>
      <c r="AK1939">
        <v>0.40047101685535802</v>
      </c>
      <c r="AL1939">
        <v>90.503449382869206</v>
      </c>
      <c r="AM1939">
        <v>87.868210767863104</v>
      </c>
      <c r="AN1939">
        <v>0.99999996831538995</v>
      </c>
    </row>
    <row r="1940" spans="1:40" x14ac:dyDescent="0.25">
      <c r="A1940" t="str">
        <f>"20190312154252803"</f>
        <v>20190312154252803</v>
      </c>
      <c r="B1940" t="str">
        <f>"1552376572789480"</f>
        <v>1552376572789480</v>
      </c>
      <c r="C1940" t="s">
        <v>40</v>
      </c>
      <c r="D1940">
        <v>4.9330870000000004</v>
      </c>
      <c r="E1940">
        <v>0.5451471</v>
      </c>
      <c r="F1940" t="s">
        <v>41</v>
      </c>
      <c r="G1940">
        <v>-286.8218</v>
      </c>
      <c r="H1940">
        <v>0.89018419999999898</v>
      </c>
      <c r="I1940">
        <v>283.39150000000001</v>
      </c>
      <c r="J1940">
        <v>-286.44380000000001</v>
      </c>
      <c r="K1940">
        <v>1.110968</v>
      </c>
      <c r="L1940">
        <v>283.2713</v>
      </c>
      <c r="M1940">
        <v>-0.99992420000000004</v>
      </c>
      <c r="N1940">
        <v>0</v>
      </c>
      <c r="O1940">
        <v>5.261936E-3</v>
      </c>
      <c r="P1940">
        <v>-0.99887320000000002</v>
      </c>
      <c r="Q1940">
        <v>-1.941269E-2</v>
      </c>
      <c r="R1940">
        <v>4.3311559999999999E-2</v>
      </c>
      <c r="S1940">
        <v>-2.967346</v>
      </c>
      <c r="T1940">
        <v>-0.8301946</v>
      </c>
      <c r="U1940">
        <v>0.45852660000000001</v>
      </c>
      <c r="V1940">
        <v>3.8079399999999999E-2</v>
      </c>
      <c r="W1940">
        <v>-8.16569199999999E-3</v>
      </c>
      <c r="X1940">
        <v>0.99924139999999995</v>
      </c>
      <c r="Y1940">
        <v>0.14236589999999999</v>
      </c>
      <c r="Z1940">
        <v>1.7994840000000002E-2</v>
      </c>
      <c r="AA1940">
        <v>0.98965049999999999</v>
      </c>
      <c r="AB1940">
        <v>43</v>
      </c>
      <c r="AC1940">
        <v>-0.37799999999998501</v>
      </c>
      <c r="AD1940">
        <v>-0.2207838</v>
      </c>
      <c r="AE1940">
        <v>0.12020000000001101</v>
      </c>
      <c r="AF1940">
        <v>9.0248048981647705E-2</v>
      </c>
      <c r="AG1940">
        <v>-0.2207838</v>
      </c>
      <c r="AH1940">
        <v>0.28906695951575301</v>
      </c>
      <c r="AI1940">
        <v>126.09484662560401</v>
      </c>
      <c r="AJ1940">
        <v>72.661393414080493</v>
      </c>
      <c r="AK1940">
        <v>0.37476646564375998</v>
      </c>
      <c r="AL1940">
        <v>90.467864865770593</v>
      </c>
      <c r="AM1940">
        <v>87.817610776524802</v>
      </c>
      <c r="AN1940">
        <v>1.00000004735207</v>
      </c>
    </row>
    <row r="1941" spans="1:40" x14ac:dyDescent="0.25">
      <c r="A1941" t="str">
        <f>"20190312154252826"</f>
        <v>20190312154252826</v>
      </c>
      <c r="B1941" t="str">
        <f>"1552376572819736"</f>
        <v>1552376572819736</v>
      </c>
      <c r="C1941" t="s">
        <v>40</v>
      </c>
      <c r="D1941">
        <v>4.9406059999999998</v>
      </c>
      <c r="E1941">
        <v>0.54524010000000001</v>
      </c>
      <c r="F1941" t="s">
        <v>41</v>
      </c>
      <c r="G1941">
        <v>-287.2047</v>
      </c>
      <c r="H1941">
        <v>0.89799419999999996</v>
      </c>
      <c r="I1941">
        <v>283.3895</v>
      </c>
      <c r="J1941">
        <v>-286.88499999999999</v>
      </c>
      <c r="K1941">
        <v>1.1108830000000001</v>
      </c>
      <c r="L1941">
        <v>283.27300000000002</v>
      </c>
      <c r="M1941">
        <v>-0.99992130000000001</v>
      </c>
      <c r="N1941">
        <v>0</v>
      </c>
      <c r="O1941">
        <v>4.6520470000000003E-3</v>
      </c>
      <c r="P1941">
        <v>-0.99887139999999996</v>
      </c>
      <c r="Q1941">
        <v>-1.9210149999999999E-2</v>
      </c>
      <c r="R1941">
        <v>4.344158E-2</v>
      </c>
      <c r="S1941">
        <v>-2.9673159999999998</v>
      </c>
      <c r="T1941">
        <v>-0.83056240000000003</v>
      </c>
      <c r="U1941">
        <v>0.45983889999999999</v>
      </c>
      <c r="V1941">
        <v>3.8813859999999999E-2</v>
      </c>
      <c r="W1941">
        <v>-7.4499529999999996E-3</v>
      </c>
      <c r="X1941">
        <v>0.99921870000000002</v>
      </c>
      <c r="Y1941">
        <v>0.1433344</v>
      </c>
      <c r="Z1941">
        <v>1.8300899999999998E-2</v>
      </c>
      <c r="AA1941">
        <v>0.98950510000000003</v>
      </c>
      <c r="AB1941">
        <v>43</v>
      </c>
      <c r="AC1941">
        <v>-0.31970000000001098</v>
      </c>
      <c r="AD1941">
        <v>-0.21288879999999999</v>
      </c>
      <c r="AE1941">
        <v>0.11650000000003</v>
      </c>
      <c r="AF1941">
        <v>8.2656069447025193E-2</v>
      </c>
      <c r="AG1941">
        <v>-0.21288879999999999</v>
      </c>
      <c r="AH1941">
        <v>0.23014817581828501</v>
      </c>
      <c r="AI1941">
        <v>131.04170665303201</v>
      </c>
      <c r="AJ1941">
        <v>70.244612552960504</v>
      </c>
      <c r="AK1941">
        <v>0.32422499874987398</v>
      </c>
      <c r="AL1941">
        <v>90.426854807100995</v>
      </c>
      <c r="AM1941">
        <v>87.775509141486907</v>
      </c>
      <c r="AN1941">
        <v>1.0000000139787399</v>
      </c>
    </row>
    <row r="1942" spans="1:40" x14ac:dyDescent="0.25">
      <c r="A1942" t="str">
        <f>"20190312154252850"</f>
        <v>20190312154252850</v>
      </c>
      <c r="B1942" t="str">
        <f>"1552376572839256"</f>
        <v>1552376572839256</v>
      </c>
      <c r="C1942" t="s">
        <v>40</v>
      </c>
      <c r="D1942">
        <v>4.9490249999999998</v>
      </c>
      <c r="E1942">
        <v>0.54525690000000004</v>
      </c>
      <c r="F1942" t="s">
        <v>41</v>
      </c>
      <c r="G1942">
        <v>-287.59019999999998</v>
      </c>
      <c r="H1942">
        <v>0.91337009999999996</v>
      </c>
      <c r="I1942">
        <v>283.38249999999999</v>
      </c>
      <c r="J1942">
        <v>-287.33139999999997</v>
      </c>
      <c r="K1942">
        <v>1.1107929999999999</v>
      </c>
      <c r="L1942">
        <v>283.27449999999999</v>
      </c>
      <c r="M1942">
        <v>-0.99991790000000003</v>
      </c>
      <c r="N1942">
        <v>0</v>
      </c>
      <c r="O1942">
        <v>4.10269E-3</v>
      </c>
      <c r="P1942">
        <v>-0.99883230000000001</v>
      </c>
      <c r="Q1942">
        <v>-2.063396E-2</v>
      </c>
      <c r="R1942">
        <v>4.3682970000000002E-2</v>
      </c>
      <c r="S1942">
        <v>-2.967346</v>
      </c>
      <c r="T1942">
        <v>-0.83102389999999904</v>
      </c>
      <c r="U1942">
        <v>0.46038820000000003</v>
      </c>
      <c r="V1942">
        <v>3.9604180000000003E-2</v>
      </c>
      <c r="W1942">
        <v>-8.4082589999999995E-3</v>
      </c>
      <c r="X1942">
        <v>0.99918010000000002</v>
      </c>
      <c r="Y1942">
        <v>0.14400370000000001</v>
      </c>
      <c r="Z1942">
        <v>1.8551789999999999E-2</v>
      </c>
      <c r="AA1942">
        <v>0.98940320000000004</v>
      </c>
      <c r="AB1942">
        <v>42</v>
      </c>
      <c r="AC1942">
        <v>-0.25880000000000702</v>
      </c>
      <c r="AD1942">
        <v>-0.19742290000000001</v>
      </c>
      <c r="AE1942">
        <v>0.108000000000004</v>
      </c>
      <c r="AF1942">
        <v>7.1500556943013396E-2</v>
      </c>
      <c r="AG1942">
        <v>-0.19742290000000001</v>
      </c>
      <c r="AH1942">
        <v>0.17333412137043799</v>
      </c>
      <c r="AI1942">
        <v>136.476372355423</v>
      </c>
      <c r="AJ1942">
        <v>67.5837870188154</v>
      </c>
      <c r="AK1942">
        <v>0.27227348148292502</v>
      </c>
      <c r="AL1942">
        <v>90.481763415584794</v>
      </c>
      <c r="AM1942">
        <v>87.730173815090296</v>
      </c>
      <c r="AN1942">
        <v>1.0000000310644399</v>
      </c>
    </row>
    <row r="1943" spans="1:40" x14ac:dyDescent="0.25">
      <c r="A1943" t="str">
        <f>"20190312154252871"</f>
        <v>20190312154252871</v>
      </c>
      <c r="B1943" t="str">
        <f>"1552376572859753"</f>
        <v>1552376572859753</v>
      </c>
      <c r="C1943" t="s">
        <v>40</v>
      </c>
      <c r="D1943">
        <v>4.9883689999999996</v>
      </c>
      <c r="E1943">
        <v>0.54525380000000001</v>
      </c>
      <c r="F1943" t="s">
        <v>41</v>
      </c>
      <c r="G1943">
        <v>-288.3152</v>
      </c>
      <c r="H1943">
        <v>0.8335091</v>
      </c>
      <c r="I1943">
        <v>283.4273</v>
      </c>
      <c r="J1943">
        <v>-287.74180000000001</v>
      </c>
      <c r="K1943">
        <v>1.110716</v>
      </c>
      <c r="L1943">
        <v>283.27569999999997</v>
      </c>
      <c r="M1943">
        <v>-0.99991479999999999</v>
      </c>
      <c r="N1943">
        <v>0</v>
      </c>
      <c r="O1943">
        <v>3.6407660000000001E-3</v>
      </c>
      <c r="P1943">
        <v>-0.99876200000000004</v>
      </c>
      <c r="Q1943">
        <v>-2.2760590000000001E-2</v>
      </c>
      <c r="R1943">
        <v>4.4236350000000001E-2</v>
      </c>
      <c r="S1943">
        <v>-2.9660639999999998</v>
      </c>
      <c r="T1943">
        <v>-0.83598909999999904</v>
      </c>
      <c r="U1943">
        <v>0.4602966</v>
      </c>
      <c r="V1943">
        <v>4.0620990000000003E-2</v>
      </c>
      <c r="W1943">
        <v>-1.015341E-2</v>
      </c>
      <c r="X1943">
        <v>0.99912299999999998</v>
      </c>
      <c r="Y1943">
        <v>0.14439649999999901</v>
      </c>
      <c r="Z1943">
        <v>1.884723E-2</v>
      </c>
      <c r="AA1943">
        <v>0.98934040000000001</v>
      </c>
      <c r="AB1943">
        <v>42</v>
      </c>
      <c r="AC1943">
        <v>-0.57339999999999203</v>
      </c>
      <c r="AD1943">
        <v>-0.27720689999999998</v>
      </c>
      <c r="AE1943">
        <v>0.15160000000002999</v>
      </c>
      <c r="AF1943">
        <v>0.12270622206957001</v>
      </c>
      <c r="AG1943">
        <v>-0.27720689999999998</v>
      </c>
      <c r="AH1943">
        <v>0.47104836090239999</v>
      </c>
      <c r="AI1943">
        <v>119.660833327826</v>
      </c>
      <c r="AJ1943">
        <v>75.399166833823898</v>
      </c>
      <c r="AK1943">
        <v>0.56016697568763796</v>
      </c>
      <c r="AL1943">
        <v>90.581757558305398</v>
      </c>
      <c r="AM1943">
        <v>87.6718280109924</v>
      </c>
      <c r="AN1943">
        <v>0.99999996284610304</v>
      </c>
    </row>
    <row r="1944" spans="1:40" x14ac:dyDescent="0.25">
      <c r="A1944" t="str">
        <f>"20190312154252891"</f>
        <v>20190312154252891</v>
      </c>
      <c r="B1944" t="str">
        <f>"1552376572879273"</f>
        <v>1552376572879273</v>
      </c>
      <c r="C1944" t="s">
        <v>40</v>
      </c>
      <c r="D1944">
        <v>5.0183879999999998</v>
      </c>
      <c r="E1944">
        <v>0.54527349999999997</v>
      </c>
      <c r="F1944" t="s">
        <v>41</v>
      </c>
      <c r="G1944">
        <v>-288.69560000000001</v>
      </c>
      <c r="H1944">
        <v>0.83947809999999901</v>
      </c>
      <c r="I1944">
        <v>283.42419999999998</v>
      </c>
      <c r="J1944">
        <v>-288.13630000000001</v>
      </c>
      <c r="K1944">
        <v>1.1106549999999999</v>
      </c>
      <c r="L1944">
        <v>283.27670000000001</v>
      </c>
      <c r="M1944">
        <v>-0.99991209999999997</v>
      </c>
      <c r="N1944">
        <v>0</v>
      </c>
      <c r="O1944">
        <v>3.2228650000000001E-3</v>
      </c>
      <c r="P1944">
        <v>-0.99870709999999996</v>
      </c>
      <c r="Q1944">
        <v>-2.4122230000000001E-2</v>
      </c>
      <c r="R1944">
        <v>4.4750129999999999E-2</v>
      </c>
      <c r="S1944">
        <v>-2.9640499999999999</v>
      </c>
      <c r="T1944">
        <v>-0.84296009999999999</v>
      </c>
      <c r="U1944">
        <v>0.46112059999999999</v>
      </c>
      <c r="V1944">
        <v>4.1552279999999997E-2</v>
      </c>
      <c r="W1944">
        <v>-1.118661E-2</v>
      </c>
      <c r="X1944">
        <v>0.99907369999999995</v>
      </c>
      <c r="Y1944">
        <v>0.1450438</v>
      </c>
      <c r="Z1944">
        <v>1.921604E-2</v>
      </c>
      <c r="AA1944">
        <v>0.98923859999999997</v>
      </c>
      <c r="AB1944">
        <v>42</v>
      </c>
      <c r="AC1944">
        <v>-0.55930000000000701</v>
      </c>
      <c r="AD1944">
        <v>-0.2711769</v>
      </c>
      <c r="AE1944">
        <v>0.14749999999997901</v>
      </c>
      <c r="AF1944">
        <v>0.119443608464308</v>
      </c>
      <c r="AG1944">
        <v>-0.2711769</v>
      </c>
      <c r="AH1944">
        <v>0.45890760204455999</v>
      </c>
      <c r="AI1944">
        <v>119.763740018475</v>
      </c>
      <c r="AJ1944">
        <v>75.410858650873195</v>
      </c>
      <c r="AK1944">
        <v>0.54625989593862101</v>
      </c>
      <c r="AL1944">
        <v>90.640958911950506</v>
      </c>
      <c r="AM1944">
        <v>87.618394971386905</v>
      </c>
      <c r="AN1944">
        <v>0.99999999512408999</v>
      </c>
    </row>
    <row r="1945" spans="1:40" x14ac:dyDescent="0.25">
      <c r="A1945" t="str">
        <f>"20190312154252915"</f>
        <v>20190312154252915</v>
      </c>
      <c r="B1945" t="str">
        <f>"1552376572909528"</f>
        <v>1552376572909528</v>
      </c>
      <c r="C1945" t="s">
        <v>40</v>
      </c>
      <c r="D1945">
        <v>5.0324900000000001</v>
      </c>
      <c r="E1945">
        <v>0.54529640000000001</v>
      </c>
      <c r="F1945" t="s">
        <v>41</v>
      </c>
      <c r="G1945">
        <v>-289.07429999999999</v>
      </c>
      <c r="H1945">
        <v>0.84245969999999903</v>
      </c>
      <c r="I1945">
        <v>283.42349999999999</v>
      </c>
      <c r="J1945">
        <v>-288.56279999999998</v>
      </c>
      <c r="K1945">
        <v>1.110603</v>
      </c>
      <c r="L1945">
        <v>283.27760000000001</v>
      </c>
      <c r="M1945">
        <v>-0.99990919999999905</v>
      </c>
      <c r="N1945">
        <v>0</v>
      </c>
      <c r="O1945">
        <v>2.790837E-3</v>
      </c>
      <c r="P1945">
        <v>-0.99871520000000003</v>
      </c>
      <c r="Q1945">
        <v>-2.2951200000000001E-2</v>
      </c>
      <c r="R1945">
        <v>4.5182729999999997E-2</v>
      </c>
      <c r="S1945">
        <v>-2.9626459999999999</v>
      </c>
      <c r="T1945">
        <v>-0.84715830000000003</v>
      </c>
      <c r="U1945">
        <v>0.46343990000000002</v>
      </c>
      <c r="V1945">
        <v>4.2411860000000003E-2</v>
      </c>
      <c r="W1945">
        <v>-9.7009520000000005E-3</v>
      </c>
      <c r="X1945">
        <v>0.99905310000000003</v>
      </c>
      <c r="Y1945">
        <v>0.14617849999999999</v>
      </c>
      <c r="Z1945">
        <v>1.959429E-2</v>
      </c>
      <c r="AA1945">
        <v>0.98906419999999995</v>
      </c>
      <c r="AB1945">
        <v>42</v>
      </c>
      <c r="AC1945">
        <v>-0.51150000000001195</v>
      </c>
      <c r="AD1945">
        <v>-0.26814329999999997</v>
      </c>
      <c r="AE1945">
        <v>0.14589999999998299</v>
      </c>
      <c r="AF1945">
        <v>0.115195978379875</v>
      </c>
      <c r="AG1945">
        <v>-0.26814329999999997</v>
      </c>
      <c r="AH1945">
        <v>0.40817256797874202</v>
      </c>
      <c r="AI1945">
        <v>122.302689403511</v>
      </c>
      <c r="AJ1945">
        <v>74.239675123562705</v>
      </c>
      <c r="AK1945">
        <v>0.50177264574720304</v>
      </c>
      <c r="AL1945">
        <v>90.555832333251203</v>
      </c>
      <c r="AM1945">
        <v>87.569135834893899</v>
      </c>
      <c r="AN1945">
        <v>0.99999998547898705</v>
      </c>
    </row>
    <row r="1946" spans="1:40" x14ac:dyDescent="0.25">
      <c r="A1946" t="str">
        <f>"20190312154252937"</f>
        <v>20190312154252937</v>
      </c>
      <c r="B1946" t="str">
        <f>"1552376572929048"</f>
        <v>1552376572929048</v>
      </c>
      <c r="C1946" t="s">
        <v>40</v>
      </c>
      <c r="D1946">
        <v>5.050611</v>
      </c>
      <c r="E1946">
        <v>0.54530299999999998</v>
      </c>
      <c r="F1946" t="s">
        <v>41</v>
      </c>
      <c r="G1946">
        <v>-289.45690000000002</v>
      </c>
      <c r="H1946">
        <v>0.8560101</v>
      </c>
      <c r="I1946">
        <v>283.41849999999999</v>
      </c>
      <c r="J1946">
        <v>-288.99239999999998</v>
      </c>
      <c r="K1946">
        <v>1.1105659999999999</v>
      </c>
      <c r="L1946">
        <v>283.27839999999998</v>
      </c>
      <c r="M1946">
        <v>-0.99990650000000003</v>
      </c>
      <c r="N1946">
        <v>0</v>
      </c>
      <c r="O1946">
        <v>2.3687389999999999E-3</v>
      </c>
      <c r="P1946">
        <v>-0.99875170000000002</v>
      </c>
      <c r="Q1946">
        <v>-2.11895E-2</v>
      </c>
      <c r="R1946">
        <v>4.5236989999999998E-2</v>
      </c>
      <c r="S1946">
        <v>-2.963409</v>
      </c>
      <c r="T1946">
        <v>-0.84385540000000003</v>
      </c>
      <c r="U1946">
        <v>0.4657288</v>
      </c>
      <c r="V1946">
        <v>4.2883280000000003E-2</v>
      </c>
      <c r="W1946">
        <v>-7.6612519999999899E-3</v>
      </c>
      <c r="X1946">
        <v>0.99905069999999996</v>
      </c>
      <c r="Y1946">
        <v>0.14728920000000001</v>
      </c>
      <c r="Z1946">
        <v>1.978624E-2</v>
      </c>
      <c r="AA1946">
        <v>0.98889550000000004</v>
      </c>
      <c r="AB1946">
        <v>42</v>
      </c>
      <c r="AC1946">
        <v>-0.46450000000004299</v>
      </c>
      <c r="AD1946">
        <v>-0.254555899999999</v>
      </c>
      <c r="AE1946">
        <v>0.14010000000001799</v>
      </c>
      <c r="AF1946">
        <v>0.108994693504551</v>
      </c>
      <c r="AG1946">
        <v>-0.254555899999999</v>
      </c>
      <c r="AH1946">
        <v>0.36449171814033998</v>
      </c>
      <c r="AI1946">
        <v>123.786893394137</v>
      </c>
      <c r="AJ1946">
        <v>73.351651297619995</v>
      </c>
      <c r="AK1946">
        <v>0.45774748719120001</v>
      </c>
      <c r="AL1946">
        <v>90.438961705805497</v>
      </c>
      <c r="AM1946">
        <v>87.5421431385288</v>
      </c>
      <c r="AN1946">
        <v>0.99999998582812699</v>
      </c>
    </row>
    <row r="1947" spans="1:40" x14ac:dyDescent="0.25">
      <c r="A1947" t="str">
        <f>"20190312154252959"</f>
        <v>20190312154252959</v>
      </c>
      <c r="B1947" t="str">
        <f>"1552376572949553"</f>
        <v>1552376572949553</v>
      </c>
      <c r="C1947" t="s">
        <v>40</v>
      </c>
      <c r="D1947">
        <v>5.0803539999999998</v>
      </c>
      <c r="E1947">
        <v>0.54528529999999997</v>
      </c>
      <c r="F1947" t="s">
        <v>41</v>
      </c>
      <c r="G1947">
        <v>-289.83969999999999</v>
      </c>
      <c r="H1947">
        <v>0.87078609999999901</v>
      </c>
      <c r="I1947">
        <v>283.4119</v>
      </c>
      <c r="J1947">
        <v>-289.40730000000002</v>
      </c>
      <c r="K1947">
        <v>1.1105309999999999</v>
      </c>
      <c r="L1947">
        <v>283.279</v>
      </c>
      <c r="M1947">
        <v>-0.99990409999999996</v>
      </c>
      <c r="N1947">
        <v>0</v>
      </c>
      <c r="O1947">
        <v>1.966827E-3</v>
      </c>
      <c r="P1947">
        <v>-0.99879410000000002</v>
      </c>
      <c r="Q1947">
        <v>-1.9602540000000002E-2</v>
      </c>
      <c r="R1947">
        <v>4.5015970000000002E-2</v>
      </c>
      <c r="S1947">
        <v>-2.9648439999999998</v>
      </c>
      <c r="T1947">
        <v>-0.83910010000000002</v>
      </c>
      <c r="U1947">
        <v>0.46615600000000001</v>
      </c>
      <c r="V1947">
        <v>4.3060040000000001E-2</v>
      </c>
      <c r="W1947">
        <v>-5.8394900000000001E-3</v>
      </c>
      <c r="X1947">
        <v>0.99905540000000004</v>
      </c>
      <c r="Y1947">
        <v>0.147785</v>
      </c>
      <c r="Z1947">
        <v>1.9848950000000001E-2</v>
      </c>
      <c r="AA1947">
        <v>0.98882029999999999</v>
      </c>
      <c r="AB1947">
        <v>42</v>
      </c>
      <c r="AC1947">
        <v>-0.43239999999997197</v>
      </c>
      <c r="AD1947">
        <v>-0.23974490000000001</v>
      </c>
      <c r="AE1947">
        <v>0.13290000000000601</v>
      </c>
      <c r="AF1947">
        <v>0.103092357109173</v>
      </c>
      <c r="AG1947">
        <v>-0.23974490000000001</v>
      </c>
      <c r="AH1947">
        <v>0.337783164133165</v>
      </c>
      <c r="AI1947">
        <v>124.170494841494</v>
      </c>
      <c r="AJ1947">
        <v>73.027665659003503</v>
      </c>
      <c r="AK1947">
        <v>0.42685257073390998</v>
      </c>
      <c r="AL1947">
        <v>90.334580039903202</v>
      </c>
      <c r="AM1947">
        <v>87.532036229383905</v>
      </c>
      <c r="AN1947">
        <v>0.99999997947871</v>
      </c>
    </row>
    <row r="1948" spans="1:40" x14ac:dyDescent="0.25">
      <c r="A1948" t="str">
        <f>"20190312154252980"</f>
        <v>20190312154252980</v>
      </c>
      <c r="B1948" t="str">
        <f>"1552376572969065"</f>
        <v>1552376572969065</v>
      </c>
      <c r="C1948" t="s">
        <v>40</v>
      </c>
      <c r="D1948">
        <v>5.0994210000000004</v>
      </c>
      <c r="E1948">
        <v>0.54528399999999999</v>
      </c>
      <c r="F1948" t="s">
        <v>41</v>
      </c>
      <c r="G1948">
        <v>-290.22039999999998</v>
      </c>
      <c r="H1948">
        <v>0.88171029999999995</v>
      </c>
      <c r="I1948">
        <v>283.40679999999998</v>
      </c>
      <c r="J1948">
        <v>-289.8032</v>
      </c>
      <c r="K1948">
        <v>1.1105149999999999</v>
      </c>
      <c r="L1948">
        <v>283.27940000000001</v>
      </c>
      <c r="M1948">
        <v>-0.99990199999999996</v>
      </c>
      <c r="N1948">
        <v>0</v>
      </c>
      <c r="O1948">
        <v>1.58547299999999E-3</v>
      </c>
      <c r="P1948">
        <v>-0.99884530000000005</v>
      </c>
      <c r="Q1948">
        <v>-1.9084340000000002E-2</v>
      </c>
      <c r="R1948">
        <v>4.4090839999999999E-2</v>
      </c>
      <c r="S1948">
        <v>-2.966278</v>
      </c>
      <c r="T1948">
        <v>-0.834821699999999</v>
      </c>
      <c r="U1948">
        <v>0.46521000000000001</v>
      </c>
      <c r="V1948">
        <v>4.2514089999999997E-2</v>
      </c>
      <c r="W1948">
        <v>-5.1256749999999997E-3</v>
      </c>
      <c r="X1948">
        <v>0.99908269999999999</v>
      </c>
      <c r="Y1948">
        <v>0.14782529999999999</v>
      </c>
      <c r="Z1948">
        <v>1.9853059999999999E-2</v>
      </c>
      <c r="AA1948">
        <v>0.98881419999999998</v>
      </c>
      <c r="AB1948">
        <v>42</v>
      </c>
      <c r="AC1948">
        <v>-0.41719999999997898</v>
      </c>
      <c r="AD1948">
        <v>-0.228804699999999</v>
      </c>
      <c r="AE1948">
        <v>0.12739999999996501</v>
      </c>
      <c r="AF1948">
        <v>9.9393270551893204E-2</v>
      </c>
      <c r="AG1948">
        <v>-0.228804699999999</v>
      </c>
      <c r="AH1948">
        <v>0.32734298358712399</v>
      </c>
      <c r="AI1948">
        <v>123.775552250673</v>
      </c>
      <c r="AJ1948">
        <v>73.109796380765502</v>
      </c>
      <c r="AK1948">
        <v>0.41156292578026499</v>
      </c>
      <c r="AL1948">
        <v>90.293680836226997</v>
      </c>
      <c r="AM1948">
        <v>87.563355614163996</v>
      </c>
      <c r="AN1948">
        <v>0.99999998091601106</v>
      </c>
    </row>
    <row r="1949" spans="1:40" x14ac:dyDescent="0.25">
      <c r="A1949" t="str">
        <f>"20190312154253004"</f>
        <v>20190312154253004</v>
      </c>
      <c r="B1949" t="str">
        <f>"1552376572989560"</f>
        <v>1552376572989560</v>
      </c>
      <c r="C1949" t="s">
        <v>40</v>
      </c>
      <c r="D1949">
        <v>5.1180960000000004</v>
      </c>
      <c r="E1949">
        <v>0.54525080000000004</v>
      </c>
      <c r="F1949" t="s">
        <v>41</v>
      </c>
      <c r="G1949">
        <v>-290.59829999999999</v>
      </c>
      <c r="H1949">
        <v>0.88700400000000001</v>
      </c>
      <c r="I1949">
        <v>283.40309999999999</v>
      </c>
      <c r="J1949">
        <v>-290.23419999999999</v>
      </c>
      <c r="K1949">
        <v>1.110492</v>
      </c>
      <c r="L1949">
        <v>283.27960000000002</v>
      </c>
      <c r="M1949">
        <v>-0.99989989999999995</v>
      </c>
      <c r="N1949">
        <v>0</v>
      </c>
      <c r="O1949">
        <v>1.1709239999999901E-3</v>
      </c>
      <c r="P1949">
        <v>-0.9988629</v>
      </c>
      <c r="Q1949">
        <v>-1.9191059999999999E-2</v>
      </c>
      <c r="R1949">
        <v>4.3643189999999998E-2</v>
      </c>
      <c r="S1949">
        <v>-2.9671630000000002</v>
      </c>
      <c r="T1949">
        <v>-0.83414630000000001</v>
      </c>
      <c r="U1949">
        <v>0.46148679999999997</v>
      </c>
      <c r="V1949">
        <v>4.248014E-2</v>
      </c>
      <c r="W1949">
        <v>-5.0461560000000004E-3</v>
      </c>
      <c r="X1949">
        <v>0.99908459999999999</v>
      </c>
      <c r="Y1949">
        <v>0.14700460000000001</v>
      </c>
      <c r="Z1949">
        <v>1.9834910000000001E-2</v>
      </c>
      <c r="AA1949">
        <v>0.98893690000000001</v>
      </c>
      <c r="AB1949">
        <v>42</v>
      </c>
      <c r="AC1949">
        <v>-0.36410000000000697</v>
      </c>
      <c r="AD1949">
        <v>-0.22348799999999899</v>
      </c>
      <c r="AE1949">
        <v>0.123499999999978</v>
      </c>
      <c r="AF1949">
        <v>9.1990949100207803E-2</v>
      </c>
      <c r="AG1949">
        <v>-0.22348799999999899</v>
      </c>
      <c r="AH1949">
        <v>0.27225336810065798</v>
      </c>
      <c r="AI1949">
        <v>127.871794223816</v>
      </c>
      <c r="AJ1949">
        <v>71.330543311223195</v>
      </c>
      <c r="AK1949">
        <v>0.36404823485701598</v>
      </c>
      <c r="AL1949">
        <v>90.289124659359899</v>
      </c>
      <c r="AM1949">
        <v>87.565303700090794</v>
      </c>
      <c r="AN1949">
        <v>1.0000000319709701</v>
      </c>
    </row>
    <row r="1950" spans="1:40" x14ac:dyDescent="0.25">
      <c r="A1950" t="str">
        <f>"20190312154253028"</f>
        <v>20190312154253028</v>
      </c>
      <c r="B1950" t="str">
        <f>"1552376573019816"</f>
        <v>1552376573019816</v>
      </c>
      <c r="C1950" t="s">
        <v>40</v>
      </c>
      <c r="D1950">
        <v>5.1263489999999896</v>
      </c>
      <c r="E1950">
        <v>0.54523409999999894</v>
      </c>
      <c r="F1950" t="s">
        <v>41</v>
      </c>
      <c r="G1950">
        <v>-290.97919999999999</v>
      </c>
      <c r="H1950">
        <v>0.90085760000000004</v>
      </c>
      <c r="I1950">
        <v>283.39530000000002</v>
      </c>
      <c r="J1950">
        <v>-290.69729999999998</v>
      </c>
      <c r="K1950">
        <v>1.1104750000000001</v>
      </c>
      <c r="L1950">
        <v>283.27969999999999</v>
      </c>
      <c r="M1950">
        <v>-0.99989790000000001</v>
      </c>
      <c r="N1950">
        <v>0</v>
      </c>
      <c r="O1950">
        <v>7.2693689999999995E-4</v>
      </c>
      <c r="P1950">
        <v>-0.99886509999999995</v>
      </c>
      <c r="Q1950">
        <v>-1.908147E-2</v>
      </c>
      <c r="R1950">
        <v>4.3640440000000003E-2</v>
      </c>
      <c r="S1950">
        <v>-2.967285</v>
      </c>
      <c r="T1950">
        <v>-0.83492860000000002</v>
      </c>
      <c r="U1950">
        <v>0.4598083</v>
      </c>
      <c r="V1950">
        <v>4.2920170000000001E-2</v>
      </c>
      <c r="W1950">
        <v>-4.7637540000000003E-3</v>
      </c>
      <c r="X1950">
        <v>0.99906709999999999</v>
      </c>
      <c r="Y1950">
        <v>0.1468689</v>
      </c>
      <c r="Z1950">
        <v>1.9956109999999999E-2</v>
      </c>
      <c r="AA1950">
        <v>0.98895469999999996</v>
      </c>
      <c r="AB1950">
        <v>42</v>
      </c>
      <c r="AC1950">
        <v>-0.28190000000000698</v>
      </c>
      <c r="AD1950">
        <v>-0.20961740000000001</v>
      </c>
      <c r="AE1950">
        <v>0.115600000000029</v>
      </c>
      <c r="AF1950">
        <v>7.8322723341110401E-2</v>
      </c>
      <c r="AG1950">
        <v>-0.20961740000000001</v>
      </c>
      <c r="AH1950">
        <v>0.191392586437065</v>
      </c>
      <c r="AI1950">
        <v>135.38787031241699</v>
      </c>
      <c r="AJ1950">
        <v>67.744371612226203</v>
      </c>
      <c r="AK1950">
        <v>0.29445717093899698</v>
      </c>
      <c r="AL1950">
        <v>90.272944044194006</v>
      </c>
      <c r="AM1950">
        <v>87.540071714586404</v>
      </c>
      <c r="AN1950">
        <v>0.99999995232370398</v>
      </c>
    </row>
    <row r="1951" spans="1:40" x14ac:dyDescent="0.25">
      <c r="A1951" t="str">
        <f>"20190312154253051"</f>
        <v>20190312154253051</v>
      </c>
      <c r="B1951" t="str">
        <f>"1552376573039336"</f>
        <v>1552376573039336</v>
      </c>
      <c r="C1951" t="s">
        <v>40</v>
      </c>
      <c r="D1951">
        <v>5.142436</v>
      </c>
      <c r="E1951">
        <v>0.54523549999999998</v>
      </c>
      <c r="F1951" t="s">
        <v>41</v>
      </c>
      <c r="G1951">
        <v>-291.69940000000003</v>
      </c>
      <c r="H1951">
        <v>0.82833899999999905</v>
      </c>
      <c r="I1951">
        <v>283.43529999999998</v>
      </c>
      <c r="J1951">
        <v>-291.1103</v>
      </c>
      <c r="K1951">
        <v>1.1104750000000001</v>
      </c>
      <c r="L1951">
        <v>283.27969999999999</v>
      </c>
      <c r="M1951">
        <v>-0.99989609999999995</v>
      </c>
      <c r="N1951">
        <v>0</v>
      </c>
      <c r="O1951">
        <v>3.3187050000000001E-4</v>
      </c>
      <c r="P1951">
        <v>-0.99887159999999997</v>
      </c>
      <c r="Q1951">
        <v>-1.8357559999999998E-2</v>
      </c>
      <c r="R1951">
        <v>4.3799530000000003E-2</v>
      </c>
      <c r="S1951">
        <v>-2.9673769999999999</v>
      </c>
      <c r="T1951">
        <v>-0.83554580000000001</v>
      </c>
      <c r="U1951">
        <v>0.45959470000000002</v>
      </c>
      <c r="V1951">
        <v>4.3472709999999998E-2</v>
      </c>
      <c r="W1951">
        <v>-3.9089540000000001E-3</v>
      </c>
      <c r="X1951">
        <v>0.99904700000000002</v>
      </c>
      <c r="Y1951">
        <v>0.14715159999999999</v>
      </c>
      <c r="Z1951">
        <v>2.0117179999999998E-2</v>
      </c>
      <c r="AA1951">
        <v>0.98890940000000005</v>
      </c>
      <c r="AB1951">
        <v>42</v>
      </c>
      <c r="AC1951">
        <v>-0.58910000000003004</v>
      </c>
      <c r="AD1951">
        <v>-0.282136</v>
      </c>
      <c r="AE1951">
        <v>0.15559999999999199</v>
      </c>
      <c r="AF1951">
        <v>0.12796677451643099</v>
      </c>
      <c r="AG1951">
        <v>-0.282136</v>
      </c>
      <c r="AH1951">
        <v>0.485132977971655</v>
      </c>
      <c r="AI1951">
        <v>119.350364751581</v>
      </c>
      <c r="AJ1951">
        <v>75.223283753010605</v>
      </c>
      <c r="AK1951">
        <v>0.57561291176604601</v>
      </c>
      <c r="AL1951">
        <v>90.223967129640698</v>
      </c>
      <c r="AM1951">
        <v>87.508393006139201</v>
      </c>
      <c r="AN1951">
        <v>1.00000003232255</v>
      </c>
    </row>
    <row r="1952" spans="1:40" x14ac:dyDescent="0.25">
      <c r="A1952" t="str">
        <f>"20190312154253072"</f>
        <v>20190312154253072</v>
      </c>
      <c r="B1952" t="str">
        <f>"1552376573059833"</f>
        <v>1552376573059833</v>
      </c>
      <c r="C1952" t="s">
        <v>40</v>
      </c>
      <c r="D1952">
        <v>5.168634</v>
      </c>
      <c r="E1952">
        <v>0.54523279999999996</v>
      </c>
      <c r="F1952" t="s">
        <v>41</v>
      </c>
      <c r="G1952">
        <v>-292.07760000000002</v>
      </c>
      <c r="H1952">
        <v>0.83857950000000003</v>
      </c>
      <c r="I1952">
        <v>283.42989999999998</v>
      </c>
      <c r="J1952">
        <v>-291.50740000000002</v>
      </c>
      <c r="K1952">
        <v>1.110473</v>
      </c>
      <c r="L1952">
        <v>283.27940000000001</v>
      </c>
      <c r="M1952">
        <v>-0.99989459999999997</v>
      </c>
      <c r="N1952">
        <v>0</v>
      </c>
      <c r="O1952" s="1">
        <v>-4.6662239999999998E-5</v>
      </c>
      <c r="P1952">
        <v>-0.99887409999999999</v>
      </c>
      <c r="Q1952">
        <v>-1.7835179999999999E-2</v>
      </c>
      <c r="R1952">
        <v>4.3959640000000001E-2</v>
      </c>
      <c r="S1952">
        <v>-2.9678650000000002</v>
      </c>
      <c r="T1952">
        <v>-0.83427260000000003</v>
      </c>
      <c r="U1952">
        <v>0.46008300000000002</v>
      </c>
      <c r="V1952">
        <v>4.4010050000000002E-2</v>
      </c>
      <c r="W1952">
        <v>-3.2772080000000002E-3</v>
      </c>
      <c r="X1952">
        <v>0.99902570000000002</v>
      </c>
      <c r="Y1952">
        <v>0.14764550000000001</v>
      </c>
      <c r="Z1952">
        <v>2.0255789999999999E-2</v>
      </c>
      <c r="AA1952">
        <v>0.98883290000000001</v>
      </c>
      <c r="AB1952">
        <v>42</v>
      </c>
      <c r="AC1952">
        <v>-0.57019999999999904</v>
      </c>
      <c r="AD1952">
        <v>-0.27189350000000001</v>
      </c>
      <c r="AE1952">
        <v>0.150499999999965</v>
      </c>
      <c r="AF1952">
        <v>0.12413883074583899</v>
      </c>
      <c r="AG1952">
        <v>-0.27189350000000001</v>
      </c>
      <c r="AH1952">
        <v>0.47023638940165402</v>
      </c>
      <c r="AI1952">
        <v>119.20751738566599</v>
      </c>
      <c r="AJ1952">
        <v>75.211729720317393</v>
      </c>
      <c r="AK1952">
        <v>0.55718828645144602</v>
      </c>
      <c r="AL1952">
        <v>90.187770525554399</v>
      </c>
      <c r="AM1952">
        <v>87.477581576437402</v>
      </c>
      <c r="AN1952">
        <v>0.99999998692688297</v>
      </c>
    </row>
    <row r="1953" spans="1:40" x14ac:dyDescent="0.25">
      <c r="A1953" t="str">
        <f>"20190312154253093"</f>
        <v>20190312154253093</v>
      </c>
      <c r="B1953" t="str">
        <f>"1552376573089113"</f>
        <v>1552376573089113</v>
      </c>
      <c r="C1953" t="s">
        <v>40</v>
      </c>
      <c r="D1953">
        <v>5.1721599999999999</v>
      </c>
      <c r="E1953">
        <v>0.54526940000000002</v>
      </c>
      <c r="F1953" t="s">
        <v>41</v>
      </c>
      <c r="G1953">
        <v>-292.4538</v>
      </c>
      <c r="H1953">
        <v>0.84478779999999998</v>
      </c>
      <c r="I1953">
        <v>283.42669999999998</v>
      </c>
      <c r="J1953">
        <v>-291.90170000000001</v>
      </c>
      <c r="K1953">
        <v>1.1104719999999999</v>
      </c>
      <c r="L1953">
        <v>283.27910000000003</v>
      </c>
      <c r="M1953">
        <v>-0.99989320000000004</v>
      </c>
      <c r="N1953">
        <v>0</v>
      </c>
      <c r="O1953">
        <v>-4.216736E-4</v>
      </c>
      <c r="P1953">
        <v>-0.99887159999999997</v>
      </c>
      <c r="Q1953">
        <v>-1.7486680000000001E-2</v>
      </c>
      <c r="R1953">
        <v>4.4160270000000001E-2</v>
      </c>
      <c r="S1953">
        <v>-2.9682309999999998</v>
      </c>
      <c r="T1953">
        <v>-0.83330609999999905</v>
      </c>
      <c r="U1953">
        <v>0.46096799999999999</v>
      </c>
      <c r="V1953">
        <v>4.4584779999999997E-2</v>
      </c>
      <c r="W1953">
        <v>-2.8346420000000001E-3</v>
      </c>
      <c r="X1953">
        <v>0.99900160000000005</v>
      </c>
      <c r="Y1953">
        <v>0.14826230000000001</v>
      </c>
      <c r="Z1953">
        <v>2.0417540000000001E-2</v>
      </c>
      <c r="AA1953">
        <v>0.98873730000000004</v>
      </c>
      <c r="AB1953">
        <v>42</v>
      </c>
      <c r="AC1953">
        <v>-0.55209999999999504</v>
      </c>
      <c r="AD1953">
        <v>-0.26568419999999898</v>
      </c>
      <c r="AE1953">
        <v>0.14759999999995399</v>
      </c>
      <c r="AF1953">
        <v>0.121560045343033</v>
      </c>
      <c r="AG1953">
        <v>-0.26568419999999898</v>
      </c>
      <c r="AH1953">
        <v>0.453929848035172</v>
      </c>
      <c r="AI1953">
        <v>119.482784736456</v>
      </c>
      <c r="AJ1953">
        <v>75.0082546675808</v>
      </c>
      <c r="AK1953">
        <v>0.539830756525297</v>
      </c>
      <c r="AL1953">
        <v>90.162413237724493</v>
      </c>
      <c r="AM1953">
        <v>87.444622974986601</v>
      </c>
      <c r="AN1953">
        <v>1.0000000173027299</v>
      </c>
    </row>
    <row r="1954" spans="1:40" x14ac:dyDescent="0.25">
      <c r="A1954" t="str">
        <f>"20190312154253106"</f>
        <v>20190312154253106</v>
      </c>
      <c r="B1954" t="str">
        <f>"1552376573099848"</f>
        <v>1552376573099848</v>
      </c>
      <c r="C1954" t="s">
        <v>40</v>
      </c>
      <c r="D1954">
        <v>5.2012559999999999</v>
      </c>
      <c r="E1954">
        <v>0.54528909999999997</v>
      </c>
      <c r="F1954" t="s">
        <v>41</v>
      </c>
      <c r="G1954">
        <v>-292.82909999999998</v>
      </c>
      <c r="H1954">
        <v>0.84997500000000004</v>
      </c>
      <c r="I1954">
        <v>283.42349999999999</v>
      </c>
      <c r="J1954">
        <v>-292.16390000000001</v>
      </c>
      <c r="K1954">
        <v>1.1104719999999999</v>
      </c>
      <c r="L1954">
        <v>283.27870000000001</v>
      </c>
      <c r="M1954">
        <v>-0.99989209999999995</v>
      </c>
      <c r="N1954">
        <v>0</v>
      </c>
      <c r="O1954">
        <v>-6.7054129999999997E-4</v>
      </c>
      <c r="P1954">
        <v>-0.99887689999999996</v>
      </c>
      <c r="Q1954">
        <v>-1.7267500000000002E-2</v>
      </c>
      <c r="R1954">
        <v>4.4123889999999999E-2</v>
      </c>
      <c r="S1954">
        <v>-2.9683839999999999</v>
      </c>
      <c r="T1954">
        <v>-0.83378430000000003</v>
      </c>
      <c r="U1954">
        <v>0.46182250000000002</v>
      </c>
      <c r="V1954">
        <v>4.4796669999999997E-2</v>
      </c>
      <c r="W1954">
        <v>-2.5591709999999998E-3</v>
      </c>
      <c r="X1954">
        <v>0.99899289999999996</v>
      </c>
      <c r="Y1954">
        <v>0.1487453</v>
      </c>
      <c r="Z1954">
        <v>2.0561780000000002E-2</v>
      </c>
      <c r="AA1954">
        <v>0.98866180000000004</v>
      </c>
      <c r="AB1954">
        <v>42</v>
      </c>
      <c r="AC1954">
        <v>-0.66519999999997004</v>
      </c>
      <c r="AD1954">
        <v>-0.26049699999999898</v>
      </c>
      <c r="AE1954">
        <v>0.144799999999975</v>
      </c>
      <c r="AF1954">
        <v>0.126695530923364</v>
      </c>
      <c r="AG1954">
        <v>-0.26049699999999898</v>
      </c>
      <c r="AH1954">
        <v>0.58015718797539995</v>
      </c>
      <c r="AI1954">
        <v>113.685747315865</v>
      </c>
      <c r="AJ1954">
        <v>77.681069812912796</v>
      </c>
      <c r="AK1954">
        <v>0.64845416748177098</v>
      </c>
      <c r="AL1954">
        <v>90.146629849691294</v>
      </c>
      <c r="AM1954">
        <v>87.432472381075101</v>
      </c>
      <c r="AN1954">
        <v>1.00000005262485</v>
      </c>
    </row>
    <row r="1955" spans="1:40" x14ac:dyDescent="0.25">
      <c r="A1955" t="str">
        <f>"20190312154253118"</f>
        <v>20190312154253118</v>
      </c>
      <c r="B1955" t="str">
        <f>"1552376573109609"</f>
        <v>1552376573109609</v>
      </c>
      <c r="C1955" t="s">
        <v>40</v>
      </c>
      <c r="D1955">
        <v>5.1894150000000003</v>
      </c>
      <c r="E1955">
        <v>0.54529609999999995</v>
      </c>
      <c r="F1955" t="s">
        <v>41</v>
      </c>
      <c r="G1955">
        <v>-292.85599999999999</v>
      </c>
      <c r="H1955">
        <v>0.91618869999999997</v>
      </c>
      <c r="I1955">
        <v>283.38659999999999</v>
      </c>
      <c r="J1955">
        <v>-292.38830000000002</v>
      </c>
      <c r="K1955">
        <v>1.110473</v>
      </c>
      <c r="L1955">
        <v>283.27839999999998</v>
      </c>
      <c r="M1955">
        <v>-0.99989130000000004</v>
      </c>
      <c r="N1955">
        <v>0</v>
      </c>
      <c r="O1955">
        <v>-8.8345419999999995E-4</v>
      </c>
      <c r="P1955">
        <v>-0.998892</v>
      </c>
      <c r="Q1955">
        <v>-1.738344E-2</v>
      </c>
      <c r="R1955">
        <v>4.3736169999999998E-2</v>
      </c>
      <c r="S1955">
        <v>-2.9685670000000002</v>
      </c>
      <c r="T1955">
        <v>-0.83340319999999901</v>
      </c>
      <c r="U1955">
        <v>0.46209719999999999</v>
      </c>
      <c r="V1955">
        <v>4.4621870000000001E-2</v>
      </c>
      <c r="W1955">
        <v>-2.6327299999999998E-3</v>
      </c>
      <c r="X1955">
        <v>0.99900049999999996</v>
      </c>
      <c r="Y1955">
        <v>0.14902290000000001</v>
      </c>
      <c r="Z1955">
        <v>2.064771E-2</v>
      </c>
      <c r="AA1955">
        <v>0.98861810000000006</v>
      </c>
      <c r="AB1955">
        <v>42</v>
      </c>
      <c r="AC1955">
        <v>-0.46769999999997902</v>
      </c>
      <c r="AD1955">
        <v>-0.19428429999999999</v>
      </c>
      <c r="AE1955">
        <v>0.10820000000001</v>
      </c>
      <c r="AF1955">
        <v>9.3326829430862193E-2</v>
      </c>
      <c r="AG1955">
        <v>-0.19428429999999999</v>
      </c>
      <c r="AH1955">
        <v>0.40179298117169998</v>
      </c>
      <c r="AI1955">
        <v>115.220639915375</v>
      </c>
      <c r="AJ1955">
        <v>76.923448888849293</v>
      </c>
      <c r="AK1955">
        <v>0.455953820070574</v>
      </c>
      <c r="AL1955">
        <v>90.150844488721205</v>
      </c>
      <c r="AM1955">
        <v>87.442497170425597</v>
      </c>
      <c r="AN1955">
        <v>1.00000002077489</v>
      </c>
    </row>
    <row r="1956" spans="1:40" x14ac:dyDescent="0.25">
      <c r="A1956" t="str">
        <f>"20190312154253131"</f>
        <v>20190312154253131</v>
      </c>
      <c r="B1956" t="str">
        <f>"1552376573119369"</f>
        <v>1552376573119369</v>
      </c>
      <c r="C1956" t="s">
        <v>40</v>
      </c>
      <c r="D1956">
        <v>5.1714209999999996</v>
      </c>
      <c r="E1956">
        <v>0.54530959999999995</v>
      </c>
      <c r="F1956" t="s">
        <v>41</v>
      </c>
      <c r="G1956">
        <v>-293.21359999999999</v>
      </c>
      <c r="H1956">
        <v>0.87860450000000001</v>
      </c>
      <c r="I1956">
        <v>283.40679999999998</v>
      </c>
      <c r="J1956">
        <v>-292.6198</v>
      </c>
      <c r="K1956">
        <v>1.110473</v>
      </c>
      <c r="L1956">
        <v>283.27800000000002</v>
      </c>
      <c r="M1956">
        <v>-0.99989050000000002</v>
      </c>
      <c r="N1956">
        <v>0</v>
      </c>
      <c r="O1956">
        <v>-1.10304E-3</v>
      </c>
      <c r="P1956">
        <v>-0.99890440000000003</v>
      </c>
      <c r="Q1956">
        <v>-1.7037759999999999E-2</v>
      </c>
      <c r="R1956">
        <v>4.3586760000000002E-2</v>
      </c>
      <c r="S1956">
        <v>-2.968658</v>
      </c>
      <c r="T1956">
        <v>-0.8341963</v>
      </c>
      <c r="U1956">
        <v>0.46066279999999998</v>
      </c>
      <c r="V1956">
        <v>4.4691219999999997E-2</v>
      </c>
      <c r="W1956">
        <v>-2.2453019999999998E-3</v>
      </c>
      <c r="X1956">
        <v>0.99899830000000001</v>
      </c>
      <c r="Y1956">
        <v>0.14875969999999999</v>
      </c>
      <c r="Z1956">
        <v>2.0690879999999998E-2</v>
      </c>
      <c r="AA1956">
        <v>0.98865689999999995</v>
      </c>
      <c r="AB1956">
        <v>42</v>
      </c>
      <c r="AC1956">
        <v>-0.593799999999987</v>
      </c>
      <c r="AD1956">
        <v>-0.23186850000000001</v>
      </c>
      <c r="AE1956">
        <v>0.12879999999995501</v>
      </c>
      <c r="AF1956">
        <v>0.11299943099241801</v>
      </c>
      <c r="AG1956">
        <v>-0.23186850000000001</v>
      </c>
      <c r="AH1956">
        <v>0.51819533340040702</v>
      </c>
      <c r="AI1956">
        <v>113.613998856001</v>
      </c>
      <c r="AJ1956">
        <v>77.698461455372296</v>
      </c>
      <c r="AK1956">
        <v>0.57884218596679604</v>
      </c>
      <c r="AL1956">
        <v>90.128646439645706</v>
      </c>
      <c r="AM1956">
        <v>87.438522031156793</v>
      </c>
      <c r="AN1956">
        <v>0.99999997496452397</v>
      </c>
    </row>
    <row r="1957" spans="1:40" x14ac:dyDescent="0.25">
      <c r="A1957" t="str">
        <f>"20190312154253149"</f>
        <v>20190312154253149</v>
      </c>
      <c r="B1957" t="str">
        <f>"1552376573139866"</f>
        <v>1552376573139866</v>
      </c>
      <c r="C1957" t="s">
        <v>40</v>
      </c>
      <c r="D1957">
        <v>5.1630060000000002</v>
      </c>
      <c r="E1957">
        <v>0.54533209999999999</v>
      </c>
      <c r="F1957" t="s">
        <v>41</v>
      </c>
      <c r="G1957">
        <v>-293.57170000000002</v>
      </c>
      <c r="H1957">
        <v>0.84324339999999998</v>
      </c>
      <c r="I1957">
        <v>283.42579999999998</v>
      </c>
      <c r="J1957">
        <v>-292.959</v>
      </c>
      <c r="K1957">
        <v>1.1104810000000001</v>
      </c>
      <c r="L1957">
        <v>283.2774</v>
      </c>
      <c r="M1957">
        <v>-0.99988929999999998</v>
      </c>
      <c r="N1957">
        <v>0</v>
      </c>
      <c r="O1957">
        <v>-1.4246249999999999E-3</v>
      </c>
      <c r="P1957">
        <v>-0.99893829999999995</v>
      </c>
      <c r="Q1957">
        <v>-1.67285E-2</v>
      </c>
      <c r="R1957">
        <v>4.2924110000000001E-2</v>
      </c>
      <c r="S1957">
        <v>-2.9689939999999999</v>
      </c>
      <c r="T1957">
        <v>-0.83348440000000001</v>
      </c>
      <c r="U1957">
        <v>0.46069339999999998</v>
      </c>
      <c r="V1957">
        <v>4.4349390000000002E-2</v>
      </c>
      <c r="W1957">
        <v>-1.881815E-3</v>
      </c>
      <c r="X1957">
        <v>0.99901430000000002</v>
      </c>
      <c r="Y1957">
        <v>0.14905769999999999</v>
      </c>
      <c r="Z1957">
        <v>2.0800510000000001E-2</v>
      </c>
      <c r="AA1957">
        <v>0.98860970000000004</v>
      </c>
      <c r="AB1957">
        <v>42</v>
      </c>
      <c r="AC1957">
        <v>-0.61270000000001801</v>
      </c>
      <c r="AD1957">
        <v>-0.26723760000000002</v>
      </c>
      <c r="AE1957">
        <v>0.14839999999998099</v>
      </c>
      <c r="AF1957">
        <v>0.12653485882517301</v>
      </c>
      <c r="AG1957">
        <v>-0.26723760000000002</v>
      </c>
      <c r="AH1957">
        <v>0.51919082655216597</v>
      </c>
      <c r="AI1957">
        <v>116.56880483633699</v>
      </c>
      <c r="AJ1957">
        <v>76.303148132001596</v>
      </c>
      <c r="AK1957">
        <v>0.59748315434628596</v>
      </c>
      <c r="AL1957">
        <v>90.107820121972495</v>
      </c>
      <c r="AM1957">
        <v>87.458128883845305</v>
      </c>
      <c r="AN1957">
        <v>0.999999990612778</v>
      </c>
    </row>
    <row r="1958" spans="1:40" x14ac:dyDescent="0.25">
      <c r="A1958" t="str">
        <f>"20190312154253162"</f>
        <v>20190312154253162</v>
      </c>
      <c r="B1958" t="str">
        <f>"1552376573159385"</f>
        <v>1552376573159385</v>
      </c>
      <c r="C1958" t="s">
        <v>40</v>
      </c>
      <c r="D1958">
        <v>5.2106159999999999</v>
      </c>
      <c r="E1958">
        <v>0.54534959999999999</v>
      </c>
      <c r="F1958" t="s">
        <v>41</v>
      </c>
      <c r="G1958">
        <v>-293.94029999999998</v>
      </c>
      <c r="H1958">
        <v>0.83507109999999996</v>
      </c>
      <c r="I1958">
        <v>283.42930000000001</v>
      </c>
      <c r="J1958">
        <v>-293.20249999999999</v>
      </c>
      <c r="K1958">
        <v>1.1104860000000001</v>
      </c>
      <c r="L1958">
        <v>283.27679999999998</v>
      </c>
      <c r="M1958">
        <v>-0.99988849999999996</v>
      </c>
      <c r="N1958">
        <v>0</v>
      </c>
      <c r="O1958">
        <v>-1.6550219999999999E-3</v>
      </c>
      <c r="P1958">
        <v>-0.99894380000000005</v>
      </c>
      <c r="Q1958">
        <v>-1.7006799999999999E-2</v>
      </c>
      <c r="R1958">
        <v>4.2687839999999998E-2</v>
      </c>
      <c r="S1958">
        <v>-2.9694820000000002</v>
      </c>
      <c r="T1958">
        <v>-0.83345029999999998</v>
      </c>
      <c r="U1958">
        <v>0.45861819999999998</v>
      </c>
      <c r="V1958">
        <v>4.4343639999999997E-2</v>
      </c>
      <c r="W1958">
        <v>-2.1258480000000001E-3</v>
      </c>
      <c r="X1958">
        <v>0.99901410000000002</v>
      </c>
      <c r="Y1958">
        <v>0.14859620000000001</v>
      </c>
      <c r="Z1958">
        <v>2.0797400000000001E-2</v>
      </c>
      <c r="AA1958">
        <v>0.98867919999999998</v>
      </c>
      <c r="AB1958">
        <v>42</v>
      </c>
      <c r="AC1958">
        <v>-0.73779999999999202</v>
      </c>
      <c r="AD1958">
        <v>-0.27541490000000002</v>
      </c>
      <c r="AE1958">
        <v>0.152500000000031</v>
      </c>
      <c r="AF1958">
        <v>0.135599775770604</v>
      </c>
      <c r="AG1958">
        <v>-0.27541490000000002</v>
      </c>
      <c r="AH1958">
        <v>0.65060173345689998</v>
      </c>
      <c r="AI1958">
        <v>112.50999323165701</v>
      </c>
      <c r="AJ1958">
        <v>78.226837080264502</v>
      </c>
      <c r="AK1958">
        <v>0.71939091035970903</v>
      </c>
      <c r="AL1958">
        <v>90.121802207005501</v>
      </c>
      <c r="AM1958">
        <v>87.458457502950694</v>
      </c>
      <c r="AN1958">
        <v>1.0000000248184799</v>
      </c>
    </row>
    <row r="1959" spans="1:40" x14ac:dyDescent="0.25">
      <c r="A1959" t="str">
        <f>"20190312154253181"</f>
        <v>20190312154253181</v>
      </c>
      <c r="B1959" t="str">
        <f>"1552376573169145"</f>
        <v>1552376573169145</v>
      </c>
      <c r="C1959" t="s">
        <v>40</v>
      </c>
      <c r="D1959">
        <v>5.1967679999999996</v>
      </c>
      <c r="E1959">
        <v>0.54555819999999999</v>
      </c>
      <c r="F1959" t="s">
        <v>41</v>
      </c>
      <c r="G1959">
        <v>-293.96499999999997</v>
      </c>
      <c r="H1959">
        <v>0.89613500000000001</v>
      </c>
      <c r="I1959">
        <v>283.39479999999998</v>
      </c>
      <c r="J1959">
        <v>-293.54950000000002</v>
      </c>
      <c r="K1959">
        <v>1.1104909999999999</v>
      </c>
      <c r="L1959">
        <v>283.27600000000001</v>
      </c>
      <c r="M1959">
        <v>-0.99988719999999998</v>
      </c>
      <c r="N1959">
        <v>0</v>
      </c>
      <c r="O1959">
        <v>-1.9834689999999999E-3</v>
      </c>
      <c r="P1959">
        <v>-0.99896839999999998</v>
      </c>
      <c r="Q1959">
        <v>-1.6788640000000001E-2</v>
      </c>
      <c r="R1959">
        <v>4.2197970000000001E-2</v>
      </c>
      <c r="S1959">
        <v>-2.96936</v>
      </c>
      <c r="T1959">
        <v>-0.83478159999999901</v>
      </c>
      <c r="U1959">
        <v>0.45828249999999998</v>
      </c>
      <c r="V1959">
        <v>4.4181600000000001E-2</v>
      </c>
      <c r="W1959">
        <v>-1.8634490000000001E-3</v>
      </c>
      <c r="X1959">
        <v>0.99902179999999996</v>
      </c>
      <c r="Y1959">
        <v>0.14877989999999999</v>
      </c>
      <c r="Z1959">
        <v>2.094567E-2</v>
      </c>
      <c r="AA1959">
        <v>0.98864850000000004</v>
      </c>
      <c r="AB1959">
        <v>42</v>
      </c>
      <c r="AC1959">
        <v>-0.41549999999995102</v>
      </c>
      <c r="AD1959">
        <v>-0.21435599999999899</v>
      </c>
      <c r="AE1959">
        <v>0.118799999999964</v>
      </c>
      <c r="AF1959">
        <v>9.6003487804978499E-2</v>
      </c>
      <c r="AG1959">
        <v>-0.21435599999999899</v>
      </c>
      <c r="AH1959">
        <v>0.33326715354789199</v>
      </c>
      <c r="AI1959">
        <v>121.718651935045</v>
      </c>
      <c r="AJ1959">
        <v>73.930020014772296</v>
      </c>
      <c r="AK1959">
        <v>0.40771578340878001</v>
      </c>
      <c r="AL1959">
        <v>90.106767822528099</v>
      </c>
      <c r="AM1959">
        <v>87.467752157928302</v>
      </c>
      <c r="AN1959">
        <v>1.0000000215479801</v>
      </c>
    </row>
    <row r="1960" spans="1:40" x14ac:dyDescent="0.25">
      <c r="A1960" t="str">
        <f>"20190312154253205"</f>
        <v>20190312154253205</v>
      </c>
      <c r="B1960" t="str">
        <f>"1552376573199401"</f>
        <v>1552376573199401</v>
      </c>
      <c r="C1960" t="s">
        <v>40</v>
      </c>
      <c r="D1960">
        <v>5.1992529999999997</v>
      </c>
      <c r="E1960">
        <v>0.54620500000000005</v>
      </c>
      <c r="F1960" t="s">
        <v>41</v>
      </c>
      <c r="G1960">
        <v>-294.3279</v>
      </c>
      <c r="H1960">
        <v>0.87605499999999903</v>
      </c>
      <c r="I1960">
        <v>283.39580000000001</v>
      </c>
      <c r="J1960">
        <v>-293.98579999999998</v>
      </c>
      <c r="K1960">
        <v>1.1104969999999901</v>
      </c>
      <c r="L1960">
        <v>283.2747</v>
      </c>
      <c r="M1960">
        <v>-0.99988549999999998</v>
      </c>
      <c r="N1960">
        <v>0</v>
      </c>
      <c r="O1960">
        <v>-2.3965750000000002E-3</v>
      </c>
      <c r="P1960">
        <v>-0.99898659999999995</v>
      </c>
      <c r="Q1960">
        <v>-1.665115E-2</v>
      </c>
      <c r="R1960">
        <v>4.1818210000000001E-2</v>
      </c>
      <c r="S1960">
        <v>-2.9687809999999999</v>
      </c>
      <c r="T1960">
        <v>-0.89407719999999902</v>
      </c>
      <c r="U1960">
        <v>0.45581050000000001</v>
      </c>
      <c r="V1960">
        <v>4.4214459999999997E-2</v>
      </c>
      <c r="W1960">
        <v>-1.6776359999999999E-3</v>
      </c>
      <c r="X1960">
        <v>0.99902060000000004</v>
      </c>
      <c r="Y1960">
        <v>0.1476191</v>
      </c>
      <c r="Z1960">
        <v>2.2329680000000001E-2</v>
      </c>
      <c r="AA1960">
        <v>0.98879220000000001</v>
      </c>
      <c r="AB1960">
        <v>42</v>
      </c>
      <c r="AC1960">
        <v>-0.342100000000016</v>
      </c>
      <c r="AD1960">
        <v>-0.23444200000000001</v>
      </c>
      <c r="AE1960">
        <v>0.121100000000012</v>
      </c>
      <c r="AF1960">
        <v>8.6019848812348795E-2</v>
      </c>
      <c r="AG1960">
        <v>-0.23444200000000001</v>
      </c>
      <c r="AH1960">
        <v>0.24116167492458199</v>
      </c>
      <c r="AI1960">
        <v>132.47824240190201</v>
      </c>
      <c r="AJ1960">
        <v>70.369213863331197</v>
      </c>
      <c r="AK1960">
        <v>0.34716194953670998</v>
      </c>
      <c r="AL1960">
        <v>90.096121512630504</v>
      </c>
      <c r="AM1960">
        <v>87.465868216622695</v>
      </c>
      <c r="AN1960">
        <v>0.99999994607999798</v>
      </c>
    </row>
    <row r="1961" spans="1:40" x14ac:dyDescent="0.25">
      <c r="A1961" t="str">
        <f>"20190312154253216"</f>
        <v>20190312154253216</v>
      </c>
      <c r="B1961" t="str">
        <f>"1552376573209161"</f>
        <v>1552376573209161</v>
      </c>
      <c r="C1961" t="s">
        <v>40</v>
      </c>
      <c r="D1961">
        <v>5.2137949999999904</v>
      </c>
      <c r="E1961">
        <v>0.54634649999999996</v>
      </c>
      <c r="F1961" t="s">
        <v>41</v>
      </c>
      <c r="G1961">
        <v>-294.70639999999997</v>
      </c>
      <c r="H1961">
        <v>0.89396640000000005</v>
      </c>
      <c r="I1961">
        <v>283.38659999999999</v>
      </c>
      <c r="J1961">
        <v>-294.21039999999999</v>
      </c>
      <c r="K1961">
        <v>1.1104989999999999</v>
      </c>
      <c r="L1961">
        <v>283.274</v>
      </c>
      <c r="M1961">
        <v>-0.99988460000000001</v>
      </c>
      <c r="N1961">
        <v>0</v>
      </c>
      <c r="O1961">
        <v>-2.6091320000000001E-3</v>
      </c>
      <c r="P1961">
        <v>-0.99898819999999999</v>
      </c>
      <c r="Q1961">
        <v>-1.6711009999999998E-2</v>
      </c>
      <c r="R1961">
        <v>4.1752869999999997E-2</v>
      </c>
      <c r="S1961">
        <v>-2.9689939999999999</v>
      </c>
      <c r="T1961">
        <v>-0.89210029999999996</v>
      </c>
      <c r="U1961">
        <v>0.459198</v>
      </c>
      <c r="V1961">
        <v>4.4361240000000003E-2</v>
      </c>
      <c r="W1961">
        <v>-1.7161360000000001E-3</v>
      </c>
      <c r="X1961">
        <v>0.99901410000000002</v>
      </c>
      <c r="Y1961">
        <v>0.14888680000000001</v>
      </c>
      <c r="Z1961">
        <v>2.2526500000000001E-2</v>
      </c>
      <c r="AA1961">
        <v>0.98859759999999997</v>
      </c>
      <c r="AB1961">
        <v>42</v>
      </c>
      <c r="AC1961">
        <v>-0.49599999999998001</v>
      </c>
      <c r="AD1961">
        <v>-0.21653259999999899</v>
      </c>
      <c r="AE1961">
        <v>0.112599999999986</v>
      </c>
      <c r="AF1961">
        <v>9.6418758314650799E-2</v>
      </c>
      <c r="AG1961">
        <v>-0.21653259999999899</v>
      </c>
      <c r="AH1961">
        <v>0.41964683955584198</v>
      </c>
      <c r="AI1961">
        <v>116.69712071263901</v>
      </c>
      <c r="AJ1961">
        <v>77.060205438100596</v>
      </c>
      <c r="AK1961">
        <v>0.481961008554536</v>
      </c>
      <c r="AL1961">
        <v>90.098327396328798</v>
      </c>
      <c r="AM1961">
        <v>87.457450087702099</v>
      </c>
      <c r="AN1961">
        <v>1.00000001836795</v>
      </c>
    </row>
    <row r="1962" spans="1:40" x14ac:dyDescent="0.25">
      <c r="A1962" t="str">
        <f>"20190312154253231"</f>
        <v>20190312154253231</v>
      </c>
      <c r="B1962" t="str">
        <f>"1552376573219897"</f>
        <v>1552376573219897</v>
      </c>
      <c r="C1962" t="s">
        <v>40</v>
      </c>
      <c r="D1962">
        <v>5.2313589999999897</v>
      </c>
      <c r="E1962">
        <v>0.54634649999999996</v>
      </c>
      <c r="F1962" t="s">
        <v>41</v>
      </c>
      <c r="G1962">
        <v>-295.06099999999998</v>
      </c>
      <c r="H1962">
        <v>0.8542651</v>
      </c>
      <c r="I1962">
        <v>283.4058</v>
      </c>
      <c r="J1962">
        <v>-294.46379999999999</v>
      </c>
      <c r="K1962">
        <v>1.1105039999999999</v>
      </c>
      <c r="L1962">
        <v>283.27319999999997</v>
      </c>
      <c r="M1962">
        <v>-0.99988379999999999</v>
      </c>
      <c r="N1962">
        <v>0</v>
      </c>
      <c r="O1962">
        <v>-2.8488749999999998E-3</v>
      </c>
      <c r="P1962">
        <v>-0.99898549999999997</v>
      </c>
      <c r="Q1962">
        <v>-1.6597649999999999E-2</v>
      </c>
      <c r="R1962">
        <v>4.1864730000000003E-2</v>
      </c>
      <c r="S1962">
        <v>-2.9688720000000002</v>
      </c>
      <c r="T1962">
        <v>-0.89430569999999898</v>
      </c>
      <c r="U1962">
        <v>0.45986939999999998</v>
      </c>
      <c r="V1962">
        <v>4.4712549999999997E-2</v>
      </c>
      <c r="W1962">
        <v>-1.5801840000000001E-3</v>
      </c>
      <c r="X1962">
        <v>0.99899859999999896</v>
      </c>
      <c r="Y1962">
        <v>0.14928829999999901</v>
      </c>
      <c r="Z1962">
        <v>2.2709469999999999E-2</v>
      </c>
      <c r="AA1962">
        <v>0.98853290000000005</v>
      </c>
      <c r="AB1962">
        <v>42</v>
      </c>
      <c r="AC1962">
        <v>-0.59719999999998596</v>
      </c>
      <c r="AD1962">
        <v>-0.25623889999999999</v>
      </c>
      <c r="AE1962">
        <v>0.132600000000024</v>
      </c>
      <c r="AF1962">
        <v>0.114255066788195</v>
      </c>
      <c r="AG1962">
        <v>-0.25623889999999999</v>
      </c>
      <c r="AH1962">
        <v>0.50773771321960803</v>
      </c>
      <c r="AI1962">
        <v>116.213603693254</v>
      </c>
      <c r="AJ1962">
        <v>77.318104075420493</v>
      </c>
      <c r="AK1962">
        <v>0.58009497462524395</v>
      </c>
      <c r="AL1962">
        <v>90.090537915720404</v>
      </c>
      <c r="AM1962">
        <v>87.437301899878506</v>
      </c>
      <c r="AN1962">
        <v>0.99999995595546698</v>
      </c>
    </row>
    <row r="1963" spans="1:40" x14ac:dyDescent="0.25">
      <c r="A1963" t="str">
        <f>"20190312154253252"</f>
        <v>20190312154253252</v>
      </c>
      <c r="B1963" t="str">
        <f>"1552376573239417"</f>
        <v>1552376573239417</v>
      </c>
      <c r="C1963" t="s">
        <v>40</v>
      </c>
      <c r="D1963">
        <v>5.1874630000000002</v>
      </c>
      <c r="E1963">
        <v>0.54998519999999995</v>
      </c>
      <c r="F1963" t="s">
        <v>41</v>
      </c>
      <c r="G1963">
        <v>-295.41890000000001</v>
      </c>
      <c r="H1963">
        <v>0.82295300000000005</v>
      </c>
      <c r="I1963">
        <v>283.42169999999999</v>
      </c>
      <c r="J1963">
        <v>-294.84859999999998</v>
      </c>
      <c r="K1963">
        <v>1.110517</v>
      </c>
      <c r="L1963">
        <v>283.27179999999998</v>
      </c>
      <c r="M1963">
        <v>-0.9998821</v>
      </c>
      <c r="N1963">
        <v>0</v>
      </c>
      <c r="O1963">
        <v>-3.2129960000000001E-3</v>
      </c>
      <c r="P1963">
        <v>-0.99898540000000002</v>
      </c>
      <c r="Q1963">
        <v>-1.6406830000000001E-2</v>
      </c>
      <c r="R1963">
        <v>4.1943569999999999E-2</v>
      </c>
      <c r="S1963">
        <v>-2.9688720000000002</v>
      </c>
      <c r="T1963">
        <v>-0.89375830000000001</v>
      </c>
      <c r="U1963">
        <v>0.4609375</v>
      </c>
      <c r="V1963">
        <v>4.5154970000000003E-2</v>
      </c>
      <c r="W1963">
        <v>-1.359468E-3</v>
      </c>
      <c r="X1963">
        <v>0.99897910000000001</v>
      </c>
      <c r="Y1963">
        <v>0.1499587</v>
      </c>
      <c r="Z1963">
        <v>2.290041E-2</v>
      </c>
      <c r="AA1963">
        <v>0.98842699999999994</v>
      </c>
      <c r="AB1963">
        <v>41</v>
      </c>
      <c r="AC1963">
        <v>-0.570300000000031</v>
      </c>
      <c r="AD1963">
        <v>-0.28756399999999899</v>
      </c>
      <c r="AE1963">
        <v>0.149900000000002</v>
      </c>
      <c r="AF1963">
        <v>0.122579815345598</v>
      </c>
      <c r="AG1963">
        <v>-0.28756399999999899</v>
      </c>
      <c r="AH1963">
        <v>0.46033765662454501</v>
      </c>
      <c r="AI1963">
        <v>121.117109597596</v>
      </c>
      <c r="AJ1963">
        <v>75.089140023676293</v>
      </c>
      <c r="AK1963">
        <v>0.55644372881068405</v>
      </c>
      <c r="AL1963">
        <v>90.077891800372498</v>
      </c>
      <c r="AM1963">
        <v>87.411928473215994</v>
      </c>
      <c r="AN1963">
        <v>1.00000003085287</v>
      </c>
    </row>
    <row r="1964" spans="1:40" x14ac:dyDescent="0.25">
      <c r="A1964" t="str">
        <f>"20190312154253273"</f>
        <v>20190312154253273</v>
      </c>
      <c r="B1964" t="str">
        <f>"1552376573269676"</f>
        <v>1552376573269676</v>
      </c>
      <c r="C1964" t="s">
        <v>40</v>
      </c>
      <c r="D1964">
        <v>5.2207330000000001</v>
      </c>
      <c r="E1964">
        <v>0.54979359999999999</v>
      </c>
      <c r="F1964" t="s">
        <v>41</v>
      </c>
      <c r="G1964">
        <v>-295.78919999999999</v>
      </c>
      <c r="H1964">
        <v>0.82316730000000005</v>
      </c>
      <c r="I1964">
        <v>283.42700000000002</v>
      </c>
      <c r="J1964">
        <v>-295.2491</v>
      </c>
      <c r="K1964">
        <v>1.1105240000000001</v>
      </c>
      <c r="L1964">
        <v>283.27010000000001</v>
      </c>
      <c r="M1964">
        <v>-0.99988049999999995</v>
      </c>
      <c r="N1964">
        <v>0</v>
      </c>
      <c r="O1964">
        <v>-3.591402E-3</v>
      </c>
      <c r="P1964">
        <v>-0.99897619999999998</v>
      </c>
      <c r="Q1964">
        <v>-1.6562739999999999E-2</v>
      </c>
      <c r="R1964">
        <v>4.2102550000000002E-2</v>
      </c>
      <c r="S1964">
        <v>-2.9675600000000002</v>
      </c>
      <c r="T1964">
        <v>-0.90666590000000002</v>
      </c>
      <c r="U1964">
        <v>0.48965449999999999</v>
      </c>
      <c r="V1964">
        <v>4.5692030000000002E-2</v>
      </c>
      <c r="W1964">
        <v>-1.489006E-3</v>
      </c>
      <c r="X1964">
        <v>0.99895449999999997</v>
      </c>
      <c r="Y1964">
        <v>0.159111</v>
      </c>
      <c r="Z1964">
        <v>2.4680939999999998E-2</v>
      </c>
      <c r="AA1964">
        <v>0.9869521</v>
      </c>
      <c r="AB1964">
        <v>41</v>
      </c>
      <c r="AC1964">
        <v>-0.54009999999999503</v>
      </c>
      <c r="AD1964">
        <v>-0.28735670000000002</v>
      </c>
      <c r="AE1964">
        <v>0.15690000000000701</v>
      </c>
      <c r="AF1964">
        <v>0.12595859812712101</v>
      </c>
      <c r="AG1964">
        <v>-0.28735670000000002</v>
      </c>
      <c r="AH1964">
        <v>0.42784736881056101</v>
      </c>
      <c r="AI1964">
        <v>122.79339075866601</v>
      </c>
      <c r="AJ1964">
        <v>73.595530193934493</v>
      </c>
      <c r="AK1964">
        <v>0.53055896229840505</v>
      </c>
      <c r="AL1964">
        <v>90.085313787931696</v>
      </c>
      <c r="AM1964">
        <v>87.381124909366903</v>
      </c>
      <c r="AN1964">
        <v>1.00000003590731</v>
      </c>
    </row>
    <row r="1965" spans="1:40" x14ac:dyDescent="0.25">
      <c r="A1965" t="str">
        <f>"20190312154253296"</f>
        <v>20190312154253296</v>
      </c>
      <c r="B1965" t="str">
        <f>"1552376573289194"</f>
        <v>1552376573289194</v>
      </c>
      <c r="C1965" t="s">
        <v>40</v>
      </c>
      <c r="D1965">
        <v>5.185136</v>
      </c>
      <c r="E1965">
        <v>0.54962029999999995</v>
      </c>
      <c r="F1965" t="s">
        <v>41</v>
      </c>
      <c r="G1965">
        <v>-296.16230000000002</v>
      </c>
      <c r="H1965">
        <v>0.83232619999999902</v>
      </c>
      <c r="I1965">
        <v>283.42099999999999</v>
      </c>
      <c r="J1965">
        <v>-295.66430000000003</v>
      </c>
      <c r="K1965">
        <v>1.110533</v>
      </c>
      <c r="L1965">
        <v>283.26830000000001</v>
      </c>
      <c r="M1965">
        <v>-0.99987859999999995</v>
      </c>
      <c r="N1965">
        <v>0</v>
      </c>
      <c r="O1965">
        <v>-3.9843200000000004E-3</v>
      </c>
      <c r="P1965">
        <v>-0.99898240000000005</v>
      </c>
      <c r="Q1965">
        <v>-1.6684870000000001E-2</v>
      </c>
      <c r="R1965">
        <v>4.1905289999999998E-2</v>
      </c>
      <c r="S1965">
        <v>-2.9675289999999999</v>
      </c>
      <c r="T1965">
        <v>-0.90406050000000004</v>
      </c>
      <c r="U1965">
        <v>0.48880000000000001</v>
      </c>
      <c r="V1965">
        <v>4.5887539999999997E-2</v>
      </c>
      <c r="W1965">
        <v>-1.5882839999999999E-3</v>
      </c>
      <c r="X1965">
        <v>0.99894539999999998</v>
      </c>
      <c r="Y1965">
        <v>0.159240299999999</v>
      </c>
      <c r="Z1965">
        <v>2.474929E-2</v>
      </c>
      <c r="AA1965">
        <v>0.98692959999999996</v>
      </c>
      <c r="AB1965">
        <v>41</v>
      </c>
      <c r="AC1965">
        <v>-0.49799999999999001</v>
      </c>
      <c r="AD1965">
        <v>-0.27820679999999998</v>
      </c>
      <c r="AE1965">
        <v>0.15269999999998099</v>
      </c>
      <c r="AF1965">
        <v>0.120351023070635</v>
      </c>
      <c r="AG1965">
        <v>-0.27820679999999998</v>
      </c>
      <c r="AH1965">
        <v>0.38699161561585399</v>
      </c>
      <c r="AI1965">
        <v>124.468283294713</v>
      </c>
      <c r="AJ1965">
        <v>72.724761060146605</v>
      </c>
      <c r="AK1965">
        <v>0.49157492091985</v>
      </c>
      <c r="AL1965">
        <v>90.091002003526498</v>
      </c>
      <c r="AM1965">
        <v>87.369910873980402</v>
      </c>
      <c r="AN1965">
        <v>1.00000005057723</v>
      </c>
    </row>
    <row r="1966" spans="1:40" x14ac:dyDescent="0.25">
      <c r="A1966" t="str">
        <f>"20190312154253317"</f>
        <v>20190312154253317</v>
      </c>
      <c r="B1966" t="str">
        <f>"1552376573309689"</f>
        <v>1552376573309689</v>
      </c>
      <c r="C1966" t="s">
        <v>40</v>
      </c>
      <c r="D1966">
        <v>5.2250040000000002</v>
      </c>
      <c r="E1966">
        <v>0.54961689999999996</v>
      </c>
      <c r="F1966" t="s">
        <v>41</v>
      </c>
      <c r="G1966">
        <v>-296.5367</v>
      </c>
      <c r="H1966">
        <v>0.84564689999999998</v>
      </c>
      <c r="I1966">
        <v>283.4117</v>
      </c>
      <c r="J1966">
        <v>-296.06650000000002</v>
      </c>
      <c r="K1966">
        <v>1.1105370000000001</v>
      </c>
      <c r="L1966">
        <v>283.2663</v>
      </c>
      <c r="M1966">
        <v>-0.99987680000000001</v>
      </c>
      <c r="N1966">
        <v>0</v>
      </c>
      <c r="O1966">
        <v>-4.3651669999999997E-3</v>
      </c>
      <c r="P1966">
        <v>-0.99901399999999996</v>
      </c>
      <c r="Q1966">
        <v>-1.6438589999999999E-2</v>
      </c>
      <c r="R1966">
        <v>4.124067E-2</v>
      </c>
      <c r="S1966">
        <v>-2.96759</v>
      </c>
      <c r="T1966">
        <v>-0.90106120000000001</v>
      </c>
      <c r="U1966">
        <v>0.4869385</v>
      </c>
      <c r="V1966">
        <v>4.5603030000000003E-2</v>
      </c>
      <c r="W1966">
        <v>-1.3235600000000001E-3</v>
      </c>
      <c r="X1966">
        <v>0.99895880000000004</v>
      </c>
      <c r="Y1966">
        <v>0.15904769999999999</v>
      </c>
      <c r="Z1966">
        <v>2.4755349999999999E-2</v>
      </c>
      <c r="AA1966">
        <v>0.98696050000000002</v>
      </c>
      <c r="AB1966">
        <v>41</v>
      </c>
      <c r="AC1966">
        <v>-0.47019999999997703</v>
      </c>
      <c r="AD1966">
        <v>-0.26489009999999902</v>
      </c>
      <c r="AE1966">
        <v>0.14539999999999501</v>
      </c>
      <c r="AF1966">
        <v>0.114332534231637</v>
      </c>
      <c r="AG1966">
        <v>-0.26489009999999902</v>
      </c>
      <c r="AH1966">
        <v>0.36409345179467401</v>
      </c>
      <c r="AI1966">
        <v>124.765093101899</v>
      </c>
      <c r="AJ1966">
        <v>72.566681439265693</v>
      </c>
      <c r="AK1966">
        <v>0.46454572982818298</v>
      </c>
      <c r="AL1966">
        <v>90.075834421333894</v>
      </c>
      <c r="AM1966">
        <v>87.386230169400307</v>
      </c>
      <c r="AN1966">
        <v>1.00000003612684</v>
      </c>
    </row>
    <row r="1967" spans="1:40" x14ac:dyDescent="0.25">
      <c r="A1967" t="str">
        <f>"20190312154253330"</f>
        <v>20190312154253330</v>
      </c>
      <c r="B1967" t="str">
        <f>"1552376573319449"</f>
        <v>1552376573319449</v>
      </c>
      <c r="C1967" t="s">
        <v>40</v>
      </c>
      <c r="D1967">
        <v>5.2103289999999998</v>
      </c>
      <c r="E1967">
        <v>0.54970469999999905</v>
      </c>
      <c r="F1967" t="s">
        <v>41</v>
      </c>
      <c r="G1967">
        <v>-296.90910000000002</v>
      </c>
      <c r="H1967">
        <v>0.85491469999999903</v>
      </c>
      <c r="I1967">
        <v>283.40410000000003</v>
      </c>
      <c r="J1967">
        <v>-296.30860000000001</v>
      </c>
      <c r="K1967">
        <v>1.1105430000000001</v>
      </c>
      <c r="L1967">
        <v>283.26510000000002</v>
      </c>
      <c r="M1967">
        <v>-0.99987559999999998</v>
      </c>
      <c r="N1967">
        <v>0</v>
      </c>
      <c r="O1967">
        <v>-4.5943349999999997E-3</v>
      </c>
      <c r="P1967">
        <v>-0.99902029999999997</v>
      </c>
      <c r="Q1967">
        <v>-1.671388E-2</v>
      </c>
      <c r="R1967">
        <v>4.0980639999999999E-2</v>
      </c>
      <c r="S1967">
        <v>-2.96814</v>
      </c>
      <c r="T1967">
        <v>-0.90040679999999995</v>
      </c>
      <c r="U1967">
        <v>0.4845276</v>
      </c>
      <c r="V1967">
        <v>4.5572429999999997E-2</v>
      </c>
      <c r="W1967">
        <v>-1.5890609999999999E-3</v>
      </c>
      <c r="X1967">
        <v>0.99895979999999995</v>
      </c>
      <c r="Y1967">
        <v>0.15848970000000001</v>
      </c>
      <c r="Z1967">
        <v>2.472065E-2</v>
      </c>
      <c r="AA1967">
        <v>0.98705109999999996</v>
      </c>
      <c r="AB1967">
        <v>41</v>
      </c>
      <c r="AC1967">
        <v>-0.60050000000001003</v>
      </c>
      <c r="AD1967">
        <v>-0.25562829999999997</v>
      </c>
      <c r="AE1967">
        <v>0.13900000000001</v>
      </c>
      <c r="AF1967">
        <v>0.12095387767831101</v>
      </c>
      <c r="AG1967">
        <v>-0.25562829999999997</v>
      </c>
      <c r="AH1967">
        <v>0.51182237252575502</v>
      </c>
      <c r="AI1967">
        <v>115.922494178101</v>
      </c>
      <c r="AJ1967">
        <v>76.703796035070397</v>
      </c>
      <c r="AK1967">
        <v>0.58475448634807603</v>
      </c>
      <c r="AL1967">
        <v>90.091046524570203</v>
      </c>
      <c r="AM1967">
        <v>87.387984211270705</v>
      </c>
      <c r="AN1967">
        <v>1.0000000267535001</v>
      </c>
    </row>
    <row r="1968" spans="1:40" x14ac:dyDescent="0.25">
      <c r="A1968" t="str">
        <f>"20190312154253350"</f>
        <v>20190312154253350</v>
      </c>
      <c r="B1968" t="str">
        <f>"1552376573338970"</f>
        <v>1552376573338970</v>
      </c>
      <c r="C1968" t="s">
        <v>40</v>
      </c>
      <c r="D1968">
        <v>5.2323820000000003</v>
      </c>
      <c r="E1968">
        <v>0.54975450000000003</v>
      </c>
      <c r="F1968" t="s">
        <v>41</v>
      </c>
      <c r="G1968">
        <v>-297.26350000000002</v>
      </c>
      <c r="H1968">
        <v>0.82032129999999903</v>
      </c>
      <c r="I1968">
        <v>283.42099999999999</v>
      </c>
      <c r="J1968">
        <v>-296.67430000000002</v>
      </c>
      <c r="K1968">
        <v>1.110549</v>
      </c>
      <c r="L1968">
        <v>283.26319999999998</v>
      </c>
      <c r="M1968">
        <v>-0.99987389999999998</v>
      </c>
      <c r="N1968">
        <v>0</v>
      </c>
      <c r="O1968">
        <v>-4.940697E-3</v>
      </c>
      <c r="P1968">
        <v>-0.99904289999999996</v>
      </c>
      <c r="Q1968">
        <v>-1.6308710000000001E-2</v>
      </c>
      <c r="R1968">
        <v>4.0590649999999999E-2</v>
      </c>
      <c r="S1968">
        <v>-2.9679570000000002</v>
      </c>
      <c r="T1968">
        <v>-0.90201810000000004</v>
      </c>
      <c r="U1968">
        <v>0.48419190000000001</v>
      </c>
      <c r="V1968">
        <v>4.5527940000000003E-2</v>
      </c>
      <c r="W1968">
        <v>-1.171173E-3</v>
      </c>
      <c r="X1968">
        <v>0.99896240000000003</v>
      </c>
      <c r="Y1968">
        <v>0.1586823</v>
      </c>
      <c r="Z1968">
        <v>2.4895440000000001E-2</v>
      </c>
      <c r="AA1968">
        <v>0.9870158</v>
      </c>
      <c r="AB1968">
        <v>41</v>
      </c>
      <c r="AC1968">
        <v>-0.58920000000000505</v>
      </c>
      <c r="AD1968">
        <v>-0.29022769999999998</v>
      </c>
      <c r="AE1968">
        <v>0.15780000000000799</v>
      </c>
      <c r="AF1968">
        <v>0.131042124133358</v>
      </c>
      <c r="AG1968">
        <v>-0.29022769999999998</v>
      </c>
      <c r="AH1968">
        <v>0.47979065786560399</v>
      </c>
      <c r="AI1968">
        <v>120.26491151705901</v>
      </c>
      <c r="AJ1968">
        <v>74.723750694000302</v>
      </c>
      <c r="AK1968">
        <v>0.57585000783171103</v>
      </c>
      <c r="AL1968">
        <v>90.067103283924894</v>
      </c>
      <c r="AM1968">
        <v>87.390537442673306</v>
      </c>
      <c r="AN1968">
        <v>1.0000000207902899</v>
      </c>
    </row>
    <row r="1969" spans="1:40" x14ac:dyDescent="0.25">
      <c r="A1969" t="str">
        <f>"20190312154253372"</f>
        <v>20190312154253372</v>
      </c>
      <c r="B1969" t="str">
        <f>"1552376573359470"</f>
        <v>1552376573359470</v>
      </c>
      <c r="C1969" t="s">
        <v>40</v>
      </c>
      <c r="D1969">
        <v>5.2035970000000002</v>
      </c>
      <c r="E1969">
        <v>0.54980899999999999</v>
      </c>
      <c r="F1969" t="s">
        <v>41</v>
      </c>
      <c r="G1969">
        <v>-297.6309</v>
      </c>
      <c r="H1969">
        <v>0.8190923</v>
      </c>
      <c r="I1969">
        <v>283.41919999999999</v>
      </c>
      <c r="J1969">
        <v>-297.07780000000002</v>
      </c>
      <c r="K1969">
        <v>1.1105560000000001</v>
      </c>
      <c r="L1969">
        <v>283.26080000000002</v>
      </c>
      <c r="M1969">
        <v>-0.99987170000000003</v>
      </c>
      <c r="N1969">
        <v>0</v>
      </c>
      <c r="O1969">
        <v>-5.3225729999999997E-3</v>
      </c>
      <c r="P1969">
        <v>-0.99905429999999995</v>
      </c>
      <c r="Q1969">
        <v>-1.632099E-2</v>
      </c>
      <c r="R1969">
        <v>4.0303140000000001E-2</v>
      </c>
      <c r="S1969">
        <v>-2.9684750000000002</v>
      </c>
      <c r="T1969">
        <v>-0.90453530000000004</v>
      </c>
      <c r="U1969">
        <v>0.48330689999999998</v>
      </c>
      <c r="V1969">
        <v>4.5621889999999998E-2</v>
      </c>
      <c r="W1969">
        <v>-1.171949E-3</v>
      </c>
      <c r="X1969">
        <v>0.99895809999999996</v>
      </c>
      <c r="Y1969">
        <v>0.1586902</v>
      </c>
      <c r="Z1969">
        <v>2.507268E-2</v>
      </c>
      <c r="AA1969">
        <v>0.98701000000000005</v>
      </c>
      <c r="AB1969">
        <v>41</v>
      </c>
      <c r="AC1969">
        <v>-0.55309999999997195</v>
      </c>
      <c r="AD1969">
        <v>-0.29146369999999899</v>
      </c>
      <c r="AE1969">
        <v>0.15839999999997101</v>
      </c>
      <c r="AF1969">
        <v>0.12839139236373701</v>
      </c>
      <c r="AG1969">
        <v>-0.29146369999999899</v>
      </c>
      <c r="AH1969">
        <v>0.43946406624067802</v>
      </c>
      <c r="AI1969">
        <v>122.48135140395399</v>
      </c>
      <c r="AJ1969">
        <v>73.714040684439198</v>
      </c>
      <c r="AK1969">
        <v>0.54273760102611202</v>
      </c>
      <c r="AL1969">
        <v>90.067147746342698</v>
      </c>
      <c r="AM1969">
        <v>87.3851488654728</v>
      </c>
      <c r="AN1969">
        <v>1.00000000793362</v>
      </c>
    </row>
    <row r="1970" spans="1:40" x14ac:dyDescent="0.25">
      <c r="A1970" t="str">
        <f>"20190312154253395"</f>
        <v>20190312154253395</v>
      </c>
      <c r="B1970" t="str">
        <f>"1552376573389722"</f>
        <v>1552376573389722</v>
      </c>
      <c r="C1970" t="s">
        <v>40</v>
      </c>
      <c r="D1970">
        <v>5.2349579999999998</v>
      </c>
      <c r="E1970">
        <v>0.54976979999999998</v>
      </c>
      <c r="F1970" t="s">
        <v>41</v>
      </c>
      <c r="G1970">
        <v>-298.00200000000001</v>
      </c>
      <c r="H1970">
        <v>0.82857169999999902</v>
      </c>
      <c r="I1970">
        <v>283.41140000000001</v>
      </c>
      <c r="J1970">
        <v>-297.49400000000003</v>
      </c>
      <c r="K1970">
        <v>1.110562</v>
      </c>
      <c r="L1970">
        <v>283.25819999999999</v>
      </c>
      <c r="M1970">
        <v>-0.99986929999999996</v>
      </c>
      <c r="N1970">
        <v>0</v>
      </c>
      <c r="O1970">
        <v>-5.7169430000000004E-3</v>
      </c>
      <c r="P1970">
        <v>-0.99906079999999997</v>
      </c>
      <c r="Q1970">
        <v>-1.621595E-2</v>
      </c>
      <c r="R1970">
        <v>4.0187309999999997E-2</v>
      </c>
      <c r="S1970">
        <v>-2.9685670000000002</v>
      </c>
      <c r="T1970">
        <v>-0.9058155</v>
      </c>
      <c r="U1970">
        <v>0.48297119999999999</v>
      </c>
      <c r="V1970">
        <v>4.5900040000000003E-2</v>
      </c>
      <c r="W1970">
        <v>-1.0573430000000001E-3</v>
      </c>
      <c r="X1970">
        <v>0.99894550000000004</v>
      </c>
      <c r="Y1970">
        <v>0.158917899999999</v>
      </c>
      <c r="Z1970">
        <v>2.5256870000000001E-2</v>
      </c>
      <c r="AA1970">
        <v>0.98696870000000003</v>
      </c>
      <c r="AB1970">
        <v>41</v>
      </c>
      <c r="AC1970">
        <v>-0.50799999999998102</v>
      </c>
      <c r="AD1970">
        <v>-0.28199030000000003</v>
      </c>
      <c r="AE1970">
        <v>0.15320000000002601</v>
      </c>
      <c r="AF1970">
        <v>0.121722007247598</v>
      </c>
      <c r="AG1970">
        <v>-0.28199030000000003</v>
      </c>
      <c r="AH1970">
        <v>0.39542820993373301</v>
      </c>
      <c r="AI1970">
        <v>124.27701841934</v>
      </c>
      <c r="AJ1970">
        <v>72.890416308531002</v>
      </c>
      <c r="AK1970">
        <v>0.50069775868668598</v>
      </c>
      <c r="AL1970">
        <v>90.060581301364493</v>
      </c>
      <c r="AM1970">
        <v>87.369195693704299</v>
      </c>
      <c r="AN1970">
        <v>1.0000000218082301</v>
      </c>
    </row>
    <row r="1971" spans="1:40" x14ac:dyDescent="0.25">
      <c r="A1971" t="str">
        <f>"20190312154253406"</f>
        <v>20190312154253406</v>
      </c>
      <c r="B1971" t="str">
        <f>"1552376573399480"</f>
        <v>1552376573399480</v>
      </c>
      <c r="C1971" t="s">
        <v>40</v>
      </c>
      <c r="D1971">
        <v>5.2203559999999998</v>
      </c>
      <c r="E1971">
        <v>0.54973590000000006</v>
      </c>
      <c r="F1971" t="s">
        <v>41</v>
      </c>
      <c r="G1971">
        <v>-298.37430000000001</v>
      </c>
      <c r="H1971">
        <v>0.8418542</v>
      </c>
      <c r="I1971">
        <v>283.40129999999999</v>
      </c>
      <c r="J1971">
        <v>-297.71069999999997</v>
      </c>
      <c r="K1971">
        <v>1.1105640000000001</v>
      </c>
      <c r="L1971">
        <v>283.2568</v>
      </c>
      <c r="M1971">
        <v>-0.99986790000000003</v>
      </c>
      <c r="N1971">
        <v>0</v>
      </c>
      <c r="O1971">
        <v>-5.9222320000000004E-3</v>
      </c>
      <c r="P1971">
        <v>-0.99907179999999995</v>
      </c>
      <c r="Q1971">
        <v>-1.6148650000000001E-2</v>
      </c>
      <c r="R1971">
        <v>3.9933610000000001E-2</v>
      </c>
      <c r="S1971">
        <v>-2.9687190000000001</v>
      </c>
      <c r="T1971">
        <v>-0.90623920000000002</v>
      </c>
      <c r="U1971">
        <v>0.48223880000000002</v>
      </c>
      <c r="V1971">
        <v>4.5851389999999999E-2</v>
      </c>
      <c r="W1971">
        <v>-9.8578490000000006E-4</v>
      </c>
      <c r="X1971">
        <v>0.99894780000000005</v>
      </c>
      <c r="Y1971">
        <v>0.15886220000000001</v>
      </c>
      <c r="Z1971">
        <v>2.532007E-2</v>
      </c>
      <c r="AA1971">
        <v>0.98697599999999996</v>
      </c>
      <c r="AB1971">
        <v>41</v>
      </c>
      <c r="AC1971">
        <v>-0.66360000000003005</v>
      </c>
      <c r="AD1971">
        <v>-0.268709799999999</v>
      </c>
      <c r="AE1971">
        <v>0.144499999999993</v>
      </c>
      <c r="AF1971">
        <v>0.12833750227618801</v>
      </c>
      <c r="AG1971">
        <v>-0.268709799999999</v>
      </c>
      <c r="AH1971">
        <v>0.57302857892340897</v>
      </c>
      <c r="AI1971">
        <v>114.58851002409899</v>
      </c>
      <c r="AJ1971">
        <v>77.376152976469001</v>
      </c>
      <c r="AK1971">
        <v>0.64578419256707797</v>
      </c>
      <c r="AL1971">
        <v>90.056481322610395</v>
      </c>
      <c r="AM1971">
        <v>87.371986245558901</v>
      </c>
      <c r="AN1971">
        <v>1.0000000144308201</v>
      </c>
    </row>
    <row r="1972" spans="1:40" x14ac:dyDescent="0.25">
      <c r="A1972" t="str">
        <f>"20190312154253419"</f>
        <v>20190312154253419</v>
      </c>
      <c r="B1972" t="str">
        <f>"1552376573409241"</f>
        <v>1552376573409241</v>
      </c>
      <c r="C1972" t="s">
        <v>40</v>
      </c>
      <c r="D1972">
        <v>5.2253629999999998</v>
      </c>
      <c r="E1972">
        <v>0.5497225</v>
      </c>
      <c r="F1972" t="s">
        <v>41</v>
      </c>
      <c r="G1972">
        <v>-298.39800000000002</v>
      </c>
      <c r="H1972">
        <v>0.90067389999999903</v>
      </c>
      <c r="I1972">
        <v>283.36829999999998</v>
      </c>
      <c r="J1972">
        <v>-297.93349999999998</v>
      </c>
      <c r="K1972">
        <v>1.1105659999999999</v>
      </c>
      <c r="L1972">
        <v>283.25529999999998</v>
      </c>
      <c r="M1972">
        <v>-0.9998667</v>
      </c>
      <c r="N1972">
        <v>0</v>
      </c>
      <c r="O1972">
        <v>-6.1335959999999998E-3</v>
      </c>
      <c r="P1972">
        <v>-0.99907259999999998</v>
      </c>
      <c r="Q1972">
        <v>-1.5978490000000001E-2</v>
      </c>
      <c r="R1972">
        <v>3.9988500000000003E-2</v>
      </c>
      <c r="S1972">
        <v>-2.9689030000000001</v>
      </c>
      <c r="T1972">
        <v>-0.90667520000000001</v>
      </c>
      <c r="U1972">
        <v>0.48104859999999999</v>
      </c>
      <c r="V1972">
        <v>4.6117409999999998E-2</v>
      </c>
      <c r="W1972">
        <v>-8.1190099999999996E-4</v>
      </c>
      <c r="X1972">
        <v>0.99893569999999998</v>
      </c>
      <c r="Y1972">
        <v>0.158668</v>
      </c>
      <c r="Z1972">
        <v>2.5364939999999999E-2</v>
      </c>
      <c r="AA1972">
        <v>0.9870061</v>
      </c>
      <c r="AB1972">
        <v>41</v>
      </c>
      <c r="AC1972">
        <v>-0.46449999999998598</v>
      </c>
      <c r="AD1972">
        <v>-0.2098921</v>
      </c>
      <c r="AE1972">
        <v>0.112999999999999</v>
      </c>
      <c r="AF1972">
        <v>9.7124159451638895E-2</v>
      </c>
      <c r="AG1972">
        <v>-0.2098921</v>
      </c>
      <c r="AH1972">
        <v>0.38883958841773503</v>
      </c>
      <c r="AI1972">
        <v>117.641110489702</v>
      </c>
      <c r="AJ1972">
        <v>75.975647503483998</v>
      </c>
      <c r="AK1972">
        <v>0.45242018247694399</v>
      </c>
      <c r="AL1972">
        <v>90.046518505620497</v>
      </c>
      <c r="AM1972">
        <v>87.3567286595908</v>
      </c>
      <c r="AN1972">
        <v>1.0000000037114101</v>
      </c>
    </row>
    <row r="1973" spans="1:40" x14ac:dyDescent="0.25">
      <c r="A1973" t="str">
        <f>"20190312154253431"</f>
        <v>20190312154253431</v>
      </c>
      <c r="B1973" t="str">
        <f>"1552376573419001"</f>
        <v>1552376573419001</v>
      </c>
      <c r="C1973" t="s">
        <v>40</v>
      </c>
      <c r="D1973">
        <v>5.2208480000000002</v>
      </c>
      <c r="E1973">
        <v>0.54974350000000005</v>
      </c>
      <c r="F1973" t="s">
        <v>41</v>
      </c>
      <c r="G1973">
        <v>-298.74880000000002</v>
      </c>
      <c r="H1973">
        <v>0.86160249999999905</v>
      </c>
      <c r="I1973">
        <v>283.38749999999999</v>
      </c>
      <c r="J1973">
        <v>-298.16460000000001</v>
      </c>
      <c r="K1973">
        <v>1.1105689999999999</v>
      </c>
      <c r="L1973">
        <v>283.25369999999998</v>
      </c>
      <c r="M1973">
        <v>-0.99986529999999996</v>
      </c>
      <c r="N1973">
        <v>0</v>
      </c>
      <c r="O1973">
        <v>-6.3527059999999996E-3</v>
      </c>
      <c r="P1973">
        <v>-0.99906569999999995</v>
      </c>
      <c r="Q1973">
        <v>-1.6306399999999999E-2</v>
      </c>
      <c r="R1973">
        <v>4.002402E-2</v>
      </c>
      <c r="S1973">
        <v>-2.9689939999999999</v>
      </c>
      <c r="T1973">
        <v>-0.90658970000000005</v>
      </c>
      <c r="U1973">
        <v>0.48114010000000001</v>
      </c>
      <c r="V1973">
        <v>4.6371879999999997E-2</v>
      </c>
      <c r="W1973">
        <v>-1.136368E-3</v>
      </c>
      <c r="X1973">
        <v>0.99892360000000002</v>
      </c>
      <c r="Y1973">
        <v>0.15889110000000001</v>
      </c>
      <c r="Z1973">
        <v>2.5459989999999998E-2</v>
      </c>
      <c r="AA1973">
        <v>0.98696779999999995</v>
      </c>
      <c r="AB1973">
        <v>41</v>
      </c>
      <c r="AC1973">
        <v>-0.58420000000000905</v>
      </c>
      <c r="AD1973">
        <v>-0.24896650000000001</v>
      </c>
      <c r="AE1973">
        <v>0.133800000000007</v>
      </c>
      <c r="AF1973">
        <v>0.117271848817785</v>
      </c>
      <c r="AG1973">
        <v>-0.24896650000000001</v>
      </c>
      <c r="AH1973">
        <v>0.49748854263708697</v>
      </c>
      <c r="AI1973">
        <v>115.970540845638</v>
      </c>
      <c r="AJ1973">
        <v>76.735941071855905</v>
      </c>
      <c r="AK1973">
        <v>0.56853483156493001</v>
      </c>
      <c r="AL1973">
        <v>90.065109104346803</v>
      </c>
      <c r="AM1973">
        <v>87.342132133573898</v>
      </c>
      <c r="AN1973">
        <v>1.00000000061196</v>
      </c>
    </row>
    <row r="1974" spans="1:40" x14ac:dyDescent="0.25">
      <c r="A1974" t="str">
        <f>"20190312154253451"</f>
        <v>20190312154253451</v>
      </c>
      <c r="B1974" t="str">
        <f>"1552376573439497"</f>
        <v>1552376573439497</v>
      </c>
      <c r="C1974" t="s">
        <v>40</v>
      </c>
      <c r="D1974">
        <v>5.2239469999999999</v>
      </c>
      <c r="E1974">
        <v>0.54966870000000001</v>
      </c>
      <c r="F1974" t="s">
        <v>41</v>
      </c>
      <c r="G1974">
        <v>-299.1001</v>
      </c>
      <c r="H1974">
        <v>0.82437780000000005</v>
      </c>
      <c r="I1974">
        <v>283.40550000000002</v>
      </c>
      <c r="J1974">
        <v>-298.52390000000003</v>
      </c>
      <c r="K1974">
        <v>1.1105700000000001</v>
      </c>
      <c r="L1974">
        <v>283.25110000000001</v>
      </c>
      <c r="M1974">
        <v>-0.9998631</v>
      </c>
      <c r="N1974">
        <v>0</v>
      </c>
      <c r="O1974">
        <v>-6.6934019999999898E-3</v>
      </c>
      <c r="P1974">
        <v>-0.99906870000000003</v>
      </c>
      <c r="Q1974">
        <v>-1.6467030000000001E-2</v>
      </c>
      <c r="R1974">
        <v>3.9886150000000002E-2</v>
      </c>
      <c r="S1974">
        <v>-2.96875</v>
      </c>
      <c r="T1974">
        <v>-0.90816450000000004</v>
      </c>
      <c r="U1974">
        <v>0.48117070000000001</v>
      </c>
      <c r="V1974">
        <v>4.6574490000000003E-2</v>
      </c>
      <c r="W1974">
        <v>-1.2928010000000001E-3</v>
      </c>
      <c r="X1974">
        <v>0.99891399999999997</v>
      </c>
      <c r="Y1974">
        <v>0.1591948</v>
      </c>
      <c r="Z1974">
        <v>2.565073E-2</v>
      </c>
      <c r="AA1974">
        <v>0.98691390000000001</v>
      </c>
      <c r="AB1974">
        <v>41</v>
      </c>
      <c r="AC1974">
        <v>-0.57619999999997096</v>
      </c>
      <c r="AD1974">
        <v>-0.28619220000000001</v>
      </c>
      <c r="AE1974">
        <v>0.154400000000009</v>
      </c>
      <c r="AF1974">
        <v>0.128643502762774</v>
      </c>
      <c r="AG1974">
        <v>-0.28619220000000001</v>
      </c>
      <c r="AH1974">
        <v>0.46753884826139003</v>
      </c>
      <c r="AI1974">
        <v>120.548742693506</v>
      </c>
      <c r="AJ1974">
        <v>74.615737450023403</v>
      </c>
      <c r="AK1974">
        <v>0.56306988978057004</v>
      </c>
      <c r="AL1974">
        <v>90.074072060429799</v>
      </c>
      <c r="AM1974">
        <v>87.330510407832705</v>
      </c>
      <c r="AN1974">
        <v>1.00000001692459</v>
      </c>
    </row>
    <row r="1975" spans="1:40" x14ac:dyDescent="0.25">
      <c r="A1975" t="str">
        <f>"20190312154253473"</f>
        <v>20190312154253473</v>
      </c>
      <c r="B1975" t="str">
        <f>"1552376573469753"</f>
        <v>1552376573469753</v>
      </c>
      <c r="C1975" t="s">
        <v>40</v>
      </c>
      <c r="D1975">
        <v>5.2238709999999999</v>
      </c>
      <c r="E1975">
        <v>0.54940049999999996</v>
      </c>
      <c r="F1975" t="s">
        <v>41</v>
      </c>
      <c r="G1975">
        <v>-299.46510000000001</v>
      </c>
      <c r="H1975">
        <v>0.82241699999999995</v>
      </c>
      <c r="I1975">
        <v>283.40370000000001</v>
      </c>
      <c r="J1975">
        <v>-298.9316</v>
      </c>
      <c r="K1975">
        <v>1.1105719999999999</v>
      </c>
      <c r="L1975">
        <v>283.24799999999999</v>
      </c>
      <c r="M1975">
        <v>-0.99986019999999998</v>
      </c>
      <c r="N1975">
        <v>0</v>
      </c>
      <c r="O1975">
        <v>-7.0805769999999898E-3</v>
      </c>
      <c r="P1975">
        <v>-0.9990926</v>
      </c>
      <c r="Q1975">
        <v>-1.612624E-2</v>
      </c>
      <c r="R1975">
        <v>3.9418660000000001E-2</v>
      </c>
      <c r="S1975">
        <v>-2.9686279999999998</v>
      </c>
      <c r="T1975">
        <v>-0.90885070000000001</v>
      </c>
      <c r="U1975">
        <v>0.48074339999999999</v>
      </c>
      <c r="V1975">
        <v>4.6493590000000001E-2</v>
      </c>
      <c r="W1975">
        <v>-9.4842750000000001E-4</v>
      </c>
      <c r="X1975">
        <v>0.99891810000000003</v>
      </c>
      <c r="Y1975">
        <v>0.15940599999999999</v>
      </c>
      <c r="Z1975">
        <v>2.5817179999999999E-2</v>
      </c>
      <c r="AA1975">
        <v>0.98687550000000002</v>
      </c>
      <c r="AB1975">
        <v>41</v>
      </c>
      <c r="AC1975">
        <v>-0.53350000000000297</v>
      </c>
      <c r="AD1975">
        <v>-0.288154999999999</v>
      </c>
      <c r="AE1975">
        <v>0.15570000000002401</v>
      </c>
      <c r="AF1975">
        <v>0.12568549819475999</v>
      </c>
      <c r="AG1975">
        <v>-0.288154999999999</v>
      </c>
      <c r="AH1975">
        <v>0.41958530798640797</v>
      </c>
      <c r="AI1975">
        <v>123.34012251729401</v>
      </c>
      <c r="AJ1975">
        <v>73.324573413462105</v>
      </c>
      <c r="AK1975">
        <v>0.52429188355296297</v>
      </c>
      <c r="AL1975">
        <v>90.0543409031376</v>
      </c>
      <c r="AM1975">
        <v>87.335151549545003</v>
      </c>
      <c r="AN1975">
        <v>0.99999996196670904</v>
      </c>
    </row>
    <row r="1976" spans="1:40" x14ac:dyDescent="0.25">
      <c r="A1976" t="str">
        <f>"20190312154253495"</f>
        <v>20190312154253495</v>
      </c>
      <c r="B1976" t="str">
        <f>"1552376573489273"</f>
        <v>1552376573489273</v>
      </c>
      <c r="C1976" t="s">
        <v>40</v>
      </c>
      <c r="D1976">
        <v>5.215821</v>
      </c>
      <c r="E1976">
        <v>0.54921140000000002</v>
      </c>
      <c r="F1976" t="s">
        <v>41</v>
      </c>
      <c r="G1976">
        <v>-299.83510000000001</v>
      </c>
      <c r="H1976">
        <v>0.83428289999999905</v>
      </c>
      <c r="I1976">
        <v>283.39359999999999</v>
      </c>
      <c r="J1976">
        <v>-299.32679999999999</v>
      </c>
      <c r="K1976">
        <v>1.1105719999999999</v>
      </c>
      <c r="L1976">
        <v>283.24489999999997</v>
      </c>
      <c r="M1976">
        <v>-0.99985749999999995</v>
      </c>
      <c r="N1976">
        <v>0</v>
      </c>
      <c r="O1976">
        <v>-7.4558280000000003E-3</v>
      </c>
      <c r="P1976">
        <v>-0.99909740000000002</v>
      </c>
      <c r="Q1976">
        <v>-1.6162360000000001E-2</v>
      </c>
      <c r="R1976">
        <v>3.928384E-2</v>
      </c>
      <c r="S1976">
        <v>-2.9692379999999998</v>
      </c>
      <c r="T1976">
        <v>-0.90805170000000002</v>
      </c>
      <c r="U1976">
        <v>0.47692869999999998</v>
      </c>
      <c r="V1976">
        <v>4.67336E-2</v>
      </c>
      <c r="W1976">
        <v>-9.8201629999999994E-4</v>
      </c>
      <c r="X1976">
        <v>0.99890690000000004</v>
      </c>
      <c r="Y1976">
        <v>0.15854379999999901</v>
      </c>
      <c r="Z1976">
        <v>2.577635E-2</v>
      </c>
      <c r="AA1976">
        <v>0.98701539999999999</v>
      </c>
      <c r="AB1976">
        <v>41</v>
      </c>
      <c r="AC1976">
        <v>-0.50830000000001896</v>
      </c>
      <c r="AD1976">
        <v>-0.27628909999999901</v>
      </c>
      <c r="AE1976">
        <v>0.14870000000001901</v>
      </c>
      <c r="AF1976">
        <v>0.119863906442535</v>
      </c>
      <c r="AG1976">
        <v>-0.27628909999999901</v>
      </c>
      <c r="AH1976">
        <v>0.39867387529700299</v>
      </c>
      <c r="AI1976">
        <v>123.571157360043</v>
      </c>
      <c r="AJ1976">
        <v>73.266251219244495</v>
      </c>
      <c r="AK1976">
        <v>0.499643754780148</v>
      </c>
      <c r="AL1976">
        <v>90.056265398767295</v>
      </c>
      <c r="AM1976">
        <v>87.321385018224206</v>
      </c>
      <c r="AN1976">
        <v>0.99999999429629105</v>
      </c>
    </row>
    <row r="1977" spans="1:40" x14ac:dyDescent="0.25">
      <c r="A1977" t="str">
        <f>"20190312154253517"</f>
        <v>20190312154253517</v>
      </c>
      <c r="B1977" t="str">
        <f>"1552376573509769"</f>
        <v>1552376573509769</v>
      </c>
      <c r="C1977" t="s">
        <v>40</v>
      </c>
      <c r="D1977">
        <v>5.2066239999999997</v>
      </c>
      <c r="E1977">
        <v>0.54912799999999995</v>
      </c>
      <c r="F1977" t="s">
        <v>41</v>
      </c>
      <c r="G1977">
        <v>-300.20339999999999</v>
      </c>
      <c r="H1977">
        <v>0.84264589999999995</v>
      </c>
      <c r="I1977">
        <v>283.38499999999999</v>
      </c>
      <c r="J1977">
        <v>-299.73719999999997</v>
      </c>
      <c r="K1977">
        <v>1.1105750000000001</v>
      </c>
      <c r="L1977">
        <v>283.24149999999997</v>
      </c>
      <c r="M1977">
        <v>-0.99985460000000004</v>
      </c>
      <c r="N1977">
        <v>0</v>
      </c>
      <c r="O1977">
        <v>-7.8465719999999996E-3</v>
      </c>
      <c r="P1977">
        <v>-0.99908200000000003</v>
      </c>
      <c r="Q1977">
        <v>-1.6649270000000001E-2</v>
      </c>
      <c r="R1977">
        <v>3.9479210000000001E-2</v>
      </c>
      <c r="S1977">
        <v>-2.96936</v>
      </c>
      <c r="T1977">
        <v>-0.90755680000000005</v>
      </c>
      <c r="U1977">
        <v>0.47412109999999902</v>
      </c>
      <c r="V1977">
        <v>4.7319809999999997E-2</v>
      </c>
      <c r="W1977">
        <v>-1.4671720000000001E-3</v>
      </c>
      <c r="X1977">
        <v>0.99887870000000001</v>
      </c>
      <c r="Y1977">
        <v>0.15802559999999999</v>
      </c>
      <c r="Z1977">
        <v>2.580284E-2</v>
      </c>
      <c r="AA1977">
        <v>0.98709789999999997</v>
      </c>
      <c r="AB1977">
        <v>41</v>
      </c>
      <c r="AC1977">
        <v>-0.46620000000001399</v>
      </c>
      <c r="AD1977">
        <v>-0.26792909999999998</v>
      </c>
      <c r="AE1977">
        <v>0.143500000000017</v>
      </c>
      <c r="AF1977">
        <v>0.11304720499793799</v>
      </c>
      <c r="AG1977">
        <v>-0.26792909999999998</v>
      </c>
      <c r="AH1977">
        <v>0.35726962509686599</v>
      </c>
      <c r="AI1977">
        <v>125.56460679500999</v>
      </c>
      <c r="AJ1977">
        <v>72.441594290278005</v>
      </c>
      <c r="AK1977">
        <v>0.46065959037179599</v>
      </c>
      <c r="AL1977">
        <v>90.084062794657697</v>
      </c>
      <c r="AM1977">
        <v>87.2877588093057</v>
      </c>
      <c r="AN1977">
        <v>0.99999998716290095</v>
      </c>
    </row>
    <row r="1978" spans="1:40" x14ac:dyDescent="0.25">
      <c r="A1978" t="str">
        <f>"20190312154253539"</f>
        <v>20190312154253539</v>
      </c>
      <c r="B1978" t="str">
        <f>"1552376573529293"</f>
        <v>1552376573529293</v>
      </c>
      <c r="C1978" t="s">
        <v>40</v>
      </c>
      <c r="D1978">
        <v>5.2199660000000003</v>
      </c>
      <c r="E1978">
        <v>0.54893859999999906</v>
      </c>
      <c r="F1978" t="s">
        <v>41</v>
      </c>
      <c r="G1978">
        <v>-300.57279999999997</v>
      </c>
      <c r="H1978">
        <v>0.8546376</v>
      </c>
      <c r="I1978">
        <v>283.37529999999998</v>
      </c>
      <c r="J1978">
        <v>-300.13740000000001</v>
      </c>
      <c r="K1978">
        <v>1.1105769999999999</v>
      </c>
      <c r="L1978">
        <v>283.238</v>
      </c>
      <c r="M1978">
        <v>-0.9998513</v>
      </c>
      <c r="N1978">
        <v>0</v>
      </c>
      <c r="O1978">
        <v>-8.2295770000000001E-3</v>
      </c>
      <c r="P1978">
        <v>-0.9990658</v>
      </c>
      <c r="Q1978">
        <v>-1.7071079999999999E-2</v>
      </c>
      <c r="R1978">
        <v>3.9704209999999997E-2</v>
      </c>
      <c r="S1978">
        <v>-2.9688720000000002</v>
      </c>
      <c r="T1978">
        <v>-0.90933750000000002</v>
      </c>
      <c r="U1978">
        <v>0.47427370000000002</v>
      </c>
      <c r="V1978">
        <v>4.7927640000000001E-2</v>
      </c>
      <c r="W1978">
        <v>-1.887973E-3</v>
      </c>
      <c r="X1978">
        <v>0.99884899999999999</v>
      </c>
      <c r="Y1978">
        <v>0.15841279999999999</v>
      </c>
      <c r="Z1978">
        <v>2.602689E-2</v>
      </c>
      <c r="AA1978">
        <v>0.98702990000000002</v>
      </c>
      <c r="AB1978">
        <v>41</v>
      </c>
      <c r="AC1978">
        <v>-0.43539999999995799</v>
      </c>
      <c r="AD1978">
        <v>-0.25593939999999998</v>
      </c>
      <c r="AE1978">
        <v>0.13729999999998199</v>
      </c>
      <c r="AF1978">
        <v>0.10719042326493899</v>
      </c>
      <c r="AG1978">
        <v>-0.25593939999999998</v>
      </c>
      <c r="AH1978">
        <v>0.33041138641975198</v>
      </c>
      <c r="AI1978">
        <v>126.382991251429</v>
      </c>
      <c r="AJ1978">
        <v>72.026157425144802</v>
      </c>
      <c r="AK1978">
        <v>0.43147010045645001</v>
      </c>
      <c r="AL1978">
        <v>90.108172951814296</v>
      </c>
      <c r="AM1978">
        <v>87.252891139571105</v>
      </c>
      <c r="AN1978">
        <v>0.99999997395950802</v>
      </c>
    </row>
    <row r="1979" spans="1:40" x14ac:dyDescent="0.25">
      <c r="A1979" t="str">
        <f>"20190312154253562"</f>
        <v>20190312154253562</v>
      </c>
      <c r="B1979" t="str">
        <f>"1552376573559544"</f>
        <v>1552376573559544</v>
      </c>
      <c r="C1979" t="s">
        <v>40</v>
      </c>
      <c r="D1979">
        <v>5.1586600000000002</v>
      </c>
      <c r="E1979">
        <v>0.54881440000000004</v>
      </c>
      <c r="F1979" t="s">
        <v>41</v>
      </c>
      <c r="G1979">
        <v>-300.94069999999999</v>
      </c>
      <c r="H1979">
        <v>0.86410830000000005</v>
      </c>
      <c r="I1979">
        <v>283.36630000000002</v>
      </c>
      <c r="J1979">
        <v>-300.55560000000003</v>
      </c>
      <c r="K1979">
        <v>1.1105769999999999</v>
      </c>
      <c r="L1979">
        <v>283.23419999999999</v>
      </c>
      <c r="M1979">
        <v>-0.99984799999999996</v>
      </c>
      <c r="N1979">
        <v>0</v>
      </c>
      <c r="O1979">
        <v>-8.6329909999999996E-3</v>
      </c>
      <c r="P1979">
        <v>-0.99906660000000003</v>
      </c>
      <c r="Q1979">
        <v>-1.7388290000000001E-2</v>
      </c>
      <c r="R1979">
        <v>3.954908E-2</v>
      </c>
      <c r="S1979">
        <v>-2.9684140000000001</v>
      </c>
      <c r="T1979">
        <v>-0.91081570000000001</v>
      </c>
      <c r="U1979">
        <v>0.4735413</v>
      </c>
      <c r="V1979">
        <v>4.8175889999999999E-2</v>
      </c>
      <c r="W1979">
        <v>-2.2047939999999999E-3</v>
      </c>
      <c r="X1979">
        <v>0.99883650000000002</v>
      </c>
      <c r="Y1979">
        <v>0.1585464</v>
      </c>
      <c r="Z1979">
        <v>2.6211890000000002E-2</v>
      </c>
      <c r="AA1979">
        <v>0.98700359999999998</v>
      </c>
      <c r="AB1979">
        <v>41</v>
      </c>
      <c r="AC1979">
        <v>-0.38509999999996503</v>
      </c>
      <c r="AD1979">
        <v>-0.24646870000000001</v>
      </c>
      <c r="AE1979">
        <v>0.13210000000003599</v>
      </c>
      <c r="AF1979">
        <v>9.91005375296381E-2</v>
      </c>
      <c r="AG1979">
        <v>-0.24646870000000001</v>
      </c>
      <c r="AH1979">
        <v>0.280971490027697</v>
      </c>
      <c r="AI1979">
        <v>129.59937860135301</v>
      </c>
      <c r="AJ1979">
        <v>70.571910530355197</v>
      </c>
      <c r="AK1979">
        <v>0.386668740431312</v>
      </c>
      <c r="AL1979">
        <v>90.126325484954407</v>
      </c>
      <c r="AM1979">
        <v>87.238649448535597</v>
      </c>
      <c r="AN1979">
        <v>1.0000000656130601</v>
      </c>
    </row>
    <row r="1980" spans="1:40" x14ac:dyDescent="0.25">
      <c r="A1980" t="str">
        <f>"20190312154253584"</f>
        <v>20190312154253584</v>
      </c>
      <c r="B1980" t="str">
        <f>"1552376573579066"</f>
        <v>1552376573579066</v>
      </c>
      <c r="C1980" t="s">
        <v>40</v>
      </c>
      <c r="D1980">
        <v>5.1822030000000003</v>
      </c>
      <c r="E1980">
        <v>0.54869119999999905</v>
      </c>
      <c r="F1980" t="s">
        <v>41</v>
      </c>
      <c r="G1980">
        <v>-301.31029999999998</v>
      </c>
      <c r="H1980">
        <v>0.87886369999999903</v>
      </c>
      <c r="I1980">
        <v>283.3546</v>
      </c>
      <c r="J1980">
        <v>-300.95920000000001</v>
      </c>
      <c r="K1980">
        <v>1.1105830000000001</v>
      </c>
      <c r="L1980">
        <v>283.23039999999997</v>
      </c>
      <c r="M1980">
        <v>-0.99984450000000002</v>
      </c>
      <c r="N1980">
        <v>0</v>
      </c>
      <c r="O1980">
        <v>-9.0277259999999998E-3</v>
      </c>
      <c r="P1980">
        <v>-0.99907080000000004</v>
      </c>
      <c r="Q1980">
        <v>-1.7571340000000001E-2</v>
      </c>
      <c r="R1980">
        <v>3.9357209999999997E-2</v>
      </c>
      <c r="S1980">
        <v>-2.9682010000000001</v>
      </c>
      <c r="T1980">
        <v>-0.91126249999999998</v>
      </c>
      <c r="U1980">
        <v>0.4727478</v>
      </c>
      <c r="V1980">
        <v>4.8378450000000003E-2</v>
      </c>
      <c r="W1980">
        <v>-2.3879190000000001E-3</v>
      </c>
      <c r="X1980">
        <v>0.9988262</v>
      </c>
      <c r="Y1980">
        <v>0.15865789999999999</v>
      </c>
      <c r="Z1980">
        <v>2.6360950000000001E-2</v>
      </c>
      <c r="AA1980">
        <v>0.98698160000000001</v>
      </c>
      <c r="AB1980">
        <v>41</v>
      </c>
      <c r="AC1980">
        <v>-0.35109999999997399</v>
      </c>
      <c r="AD1980">
        <v>-0.23171929999999999</v>
      </c>
      <c r="AE1980">
        <v>0.12420000000002999</v>
      </c>
      <c r="AF1980">
        <v>9.18189750559395E-2</v>
      </c>
      <c r="AG1980">
        <v>-0.23171929999999999</v>
      </c>
      <c r="AH1980">
        <v>0.25229365246493202</v>
      </c>
      <c r="AI1980">
        <v>130.79651324586899</v>
      </c>
      <c r="AJ1980">
        <v>70.001685453000604</v>
      </c>
      <c r="AK1980">
        <v>0.35465003206951701</v>
      </c>
      <c r="AL1980">
        <v>90.136817813665601</v>
      </c>
      <c r="AM1980">
        <v>87.227028627030805</v>
      </c>
      <c r="AN1980">
        <v>0.99999997719399603</v>
      </c>
    </row>
    <row r="1981" spans="1:40" x14ac:dyDescent="0.25">
      <c r="A1981" t="str">
        <f>"20190312154253607"</f>
        <v>20190312154253607</v>
      </c>
      <c r="B1981" t="str">
        <f>"1552376573599561"</f>
        <v>1552376573599561</v>
      </c>
      <c r="C1981" t="s">
        <v>40</v>
      </c>
      <c r="D1981">
        <v>5.1806510000000001</v>
      </c>
      <c r="E1981">
        <v>0.54862080000000002</v>
      </c>
      <c r="F1981" t="s">
        <v>41</v>
      </c>
      <c r="G1981">
        <v>-301.67790000000002</v>
      </c>
      <c r="H1981">
        <v>0.88965879999999997</v>
      </c>
      <c r="I1981">
        <v>283.34469999999999</v>
      </c>
      <c r="J1981">
        <v>-301.37150000000003</v>
      </c>
      <c r="K1981">
        <v>1.1105929999999999</v>
      </c>
      <c r="L1981">
        <v>283.22629999999998</v>
      </c>
      <c r="M1981">
        <v>-0.99984070000000003</v>
      </c>
      <c r="N1981">
        <v>0</v>
      </c>
      <c r="O1981">
        <v>-9.4391830000000003E-3</v>
      </c>
      <c r="P1981">
        <v>-0.99908649999999999</v>
      </c>
      <c r="Q1981">
        <v>-1.7690979999999999E-2</v>
      </c>
      <c r="R1981">
        <v>3.8903720000000003E-2</v>
      </c>
      <c r="S1981">
        <v>-2.9681700000000002</v>
      </c>
      <c r="T1981">
        <v>-0.91234199999999999</v>
      </c>
      <c r="U1981">
        <v>0.4714661</v>
      </c>
      <c r="V1981">
        <v>4.8336230000000001E-2</v>
      </c>
      <c r="W1981">
        <v>-2.5079939999999999E-3</v>
      </c>
      <c r="X1981">
        <v>0.99882800000000005</v>
      </c>
      <c r="Y1981">
        <v>0.15861459999999999</v>
      </c>
      <c r="Z1981">
        <v>2.650839E-2</v>
      </c>
      <c r="AA1981">
        <v>0.98698470000000005</v>
      </c>
      <c r="AB1981">
        <v>41</v>
      </c>
      <c r="AC1981">
        <v>-0.30639999999999601</v>
      </c>
      <c r="AD1981">
        <v>-0.2209342</v>
      </c>
      <c r="AE1981">
        <v>0.118400000000008</v>
      </c>
      <c r="AF1981">
        <v>8.3509110343731693E-2</v>
      </c>
      <c r="AG1981">
        <v>-0.2209342</v>
      </c>
      <c r="AH1981">
        <v>0.210184638272471</v>
      </c>
      <c r="AI1981">
        <v>134.32949438873399</v>
      </c>
      <c r="AJ1981">
        <v>68.331427137458107</v>
      </c>
      <c r="AK1981">
        <v>0.31616969242128601</v>
      </c>
      <c r="AL1981">
        <v>90.143697617954601</v>
      </c>
      <c r="AM1981">
        <v>87.229449819280205</v>
      </c>
      <c r="AN1981">
        <v>1.00000002737425</v>
      </c>
    </row>
    <row r="1982" spans="1:40" x14ac:dyDescent="0.25">
      <c r="A1982" t="str">
        <f>"20190312154253629"</f>
        <v>20190312154253629</v>
      </c>
      <c r="B1982" t="str">
        <f>"1552376573619085"</f>
        <v>1552376573619085</v>
      </c>
      <c r="C1982" t="s">
        <v>40</v>
      </c>
      <c r="D1982">
        <v>5.1976009999999997</v>
      </c>
      <c r="E1982">
        <v>0.54851850000000002</v>
      </c>
      <c r="F1982" t="s">
        <v>41</v>
      </c>
      <c r="G1982">
        <v>-302.0462</v>
      </c>
      <c r="H1982">
        <v>0.90300270000000005</v>
      </c>
      <c r="I1982">
        <v>283.33300000000003</v>
      </c>
      <c r="J1982">
        <v>-301.7654</v>
      </c>
      <c r="K1982">
        <v>1.110608</v>
      </c>
      <c r="L1982">
        <v>283.22219999999999</v>
      </c>
      <c r="M1982">
        <v>-0.99983690000000003</v>
      </c>
      <c r="N1982">
        <v>0</v>
      </c>
      <c r="O1982">
        <v>-9.8466439999999999E-3</v>
      </c>
      <c r="P1982">
        <v>-0.99911729999999999</v>
      </c>
      <c r="Q1982">
        <v>-1.7216749999999999E-2</v>
      </c>
      <c r="R1982">
        <v>3.8322179999999997E-2</v>
      </c>
      <c r="S1982">
        <v>-2.9683229999999998</v>
      </c>
      <c r="T1982">
        <v>-0.91334490000000002</v>
      </c>
      <c r="U1982">
        <v>0.46871950000000001</v>
      </c>
      <c r="V1982">
        <v>4.8161700000000002E-2</v>
      </c>
      <c r="W1982">
        <v>-2.0342659999999999E-3</v>
      </c>
      <c r="X1982">
        <v>0.99883750000000004</v>
      </c>
      <c r="Y1982">
        <v>0.158105299999999</v>
      </c>
      <c r="Z1982">
        <v>2.6582499999999998E-2</v>
      </c>
      <c r="AA1982">
        <v>0.98706439999999995</v>
      </c>
      <c r="AB1982">
        <v>41</v>
      </c>
      <c r="AC1982">
        <v>-0.28079999999999899</v>
      </c>
      <c r="AD1982">
        <v>-0.20760529999999999</v>
      </c>
      <c r="AE1982">
        <v>0.110799999999983</v>
      </c>
      <c r="AF1982">
        <v>7.7095604247594096E-2</v>
      </c>
      <c r="AG1982">
        <v>-0.20760529999999999</v>
      </c>
      <c r="AH1982">
        <v>0.189884614242052</v>
      </c>
      <c r="AI1982">
        <v>135.37033343314101</v>
      </c>
      <c r="AJ1982">
        <v>67.902212676256198</v>
      </c>
      <c r="AK1982">
        <v>0.29171880211642998</v>
      </c>
      <c r="AL1982">
        <v>90.116554934323403</v>
      </c>
      <c r="AM1982">
        <v>87.239464293562307</v>
      </c>
      <c r="AN1982">
        <v>1.00000001949564</v>
      </c>
    </row>
    <row r="1983" spans="1:40" x14ac:dyDescent="0.25">
      <c r="A1983" t="str">
        <f>"20190312154253652"</f>
        <v>20190312154253652</v>
      </c>
      <c r="B1983" t="str">
        <f>"1552376573639577"</f>
        <v>1552376573639577</v>
      </c>
      <c r="C1983" t="s">
        <v>40</v>
      </c>
      <c r="D1983">
        <v>5.2063940000000004</v>
      </c>
      <c r="E1983">
        <v>0.54839659999999901</v>
      </c>
      <c r="F1983" t="s">
        <v>41</v>
      </c>
      <c r="G1983">
        <v>-302.73480000000001</v>
      </c>
      <c r="H1983">
        <v>0.81279809999999997</v>
      </c>
      <c r="I1983">
        <v>283.37459999999999</v>
      </c>
      <c r="J1983">
        <v>-302.17590000000001</v>
      </c>
      <c r="K1983">
        <v>1.1106210000000001</v>
      </c>
      <c r="L1983">
        <v>283.21769999999998</v>
      </c>
      <c r="M1983">
        <v>-0.99983230000000001</v>
      </c>
      <c r="N1983">
        <v>0</v>
      </c>
      <c r="O1983">
        <v>-1.029213E-2</v>
      </c>
      <c r="P1983">
        <v>-0.99912299999999998</v>
      </c>
      <c r="Q1983">
        <v>-1.706218E-2</v>
      </c>
      <c r="R1983">
        <v>3.8240639999999999E-2</v>
      </c>
      <c r="S1983">
        <v>-2.9690859999999999</v>
      </c>
      <c r="T1983">
        <v>-0.91210219999999997</v>
      </c>
      <c r="U1983">
        <v>0.46545409999999998</v>
      </c>
      <c r="V1983">
        <v>4.8524989999999997E-2</v>
      </c>
      <c r="W1983">
        <v>-1.8798199999999999E-3</v>
      </c>
      <c r="X1983">
        <v>0.99882020000000005</v>
      </c>
      <c r="Y1983">
        <v>0.157476799999999</v>
      </c>
      <c r="Z1983">
        <v>2.65828E-2</v>
      </c>
      <c r="AA1983">
        <v>0.98716490000000001</v>
      </c>
      <c r="AB1983">
        <v>41</v>
      </c>
      <c r="AC1983">
        <v>-0.55889999999999396</v>
      </c>
      <c r="AD1983">
        <v>-0.297822899999999</v>
      </c>
      <c r="AE1983">
        <v>0.15690000000000701</v>
      </c>
      <c r="AF1983">
        <v>0.12875495837217499</v>
      </c>
      <c r="AG1983">
        <v>-0.297822899999999</v>
      </c>
      <c r="AH1983">
        <v>0.44114211905837503</v>
      </c>
      <c r="AI1983">
        <v>122.946390165284</v>
      </c>
      <c r="AJ1983">
        <v>73.729201762423102</v>
      </c>
      <c r="AK1983">
        <v>0.54761545657253397</v>
      </c>
      <c r="AL1983">
        <v>90.107705815661603</v>
      </c>
      <c r="AM1983">
        <v>87.218625688559996</v>
      </c>
      <c r="AN1983">
        <v>1.0000000001528799</v>
      </c>
    </row>
    <row r="1984" spans="1:40" x14ac:dyDescent="0.25">
      <c r="A1984" t="str">
        <f>"20190312154253674"</f>
        <v>20190312154253674</v>
      </c>
      <c r="B1984" t="str">
        <f>"1552376573669833"</f>
        <v>1552376573669833</v>
      </c>
      <c r="C1984" t="s">
        <v>40</v>
      </c>
      <c r="D1984">
        <v>5.2312459999999996</v>
      </c>
      <c r="E1984">
        <v>0.54822349999999997</v>
      </c>
      <c r="F1984" t="s">
        <v>41</v>
      </c>
      <c r="G1984">
        <v>-303.10180000000003</v>
      </c>
      <c r="H1984">
        <v>0.82642780000000005</v>
      </c>
      <c r="I1984">
        <v>283.36219999999997</v>
      </c>
      <c r="J1984">
        <v>-302.57760000000002</v>
      </c>
      <c r="K1984">
        <v>1.1106389999999999</v>
      </c>
      <c r="L1984">
        <v>283.21319999999997</v>
      </c>
      <c r="M1984">
        <v>-0.99982760000000004</v>
      </c>
      <c r="N1984">
        <v>0</v>
      </c>
      <c r="O1984">
        <v>-1.074814E-2</v>
      </c>
      <c r="P1984">
        <v>-0.99911819999999896</v>
      </c>
      <c r="Q1984">
        <v>-1.7323160000000001E-2</v>
      </c>
      <c r="R1984">
        <v>3.8244559999999997E-2</v>
      </c>
      <c r="S1984">
        <v>-2.9692989999999999</v>
      </c>
      <c r="T1984">
        <v>-0.91132089999999999</v>
      </c>
      <c r="U1984">
        <v>0.46374510000000002</v>
      </c>
      <c r="V1984">
        <v>4.8984729999999997E-2</v>
      </c>
      <c r="W1984">
        <v>-2.140893E-3</v>
      </c>
      <c r="X1984">
        <v>0.99879720000000005</v>
      </c>
      <c r="Y1984">
        <v>0.15735869999999999</v>
      </c>
      <c r="Z1984">
        <v>2.6678799999999999E-2</v>
      </c>
      <c r="AA1984">
        <v>0.98718110000000003</v>
      </c>
      <c r="AB1984">
        <v>41</v>
      </c>
      <c r="AC1984">
        <v>-0.52420000000000699</v>
      </c>
      <c r="AD1984">
        <v>-0.284211199999999</v>
      </c>
      <c r="AE1984">
        <v>0.14899999999999999</v>
      </c>
      <c r="AF1984">
        <v>0.121562890604729</v>
      </c>
      <c r="AG1984">
        <v>-0.284211199999999</v>
      </c>
      <c r="AH1984">
        <v>0.41082868584204202</v>
      </c>
      <c r="AI1984">
        <v>123.559041331556</v>
      </c>
      <c r="AJ1984">
        <v>73.516683408642606</v>
      </c>
      <c r="AK1984">
        <v>0.51413398223451101</v>
      </c>
      <c r="AL1984">
        <v>90.122664231045505</v>
      </c>
      <c r="AM1984">
        <v>87.192251548975193</v>
      </c>
      <c r="AN1984">
        <v>0.99999996696192395</v>
      </c>
    </row>
    <row r="1985" spans="1:40" x14ac:dyDescent="0.25">
      <c r="A1985" t="str">
        <f>"20190312154253697"</f>
        <v>20190312154253697</v>
      </c>
      <c r="B1985" t="str">
        <f>"1552376573689357"</f>
        <v>1552376573689357</v>
      </c>
      <c r="C1985" t="s">
        <v>40</v>
      </c>
      <c r="D1985">
        <v>5.2348530000000002</v>
      </c>
      <c r="E1985">
        <v>0.5481393</v>
      </c>
      <c r="F1985" t="s">
        <v>41</v>
      </c>
      <c r="G1985">
        <v>-303.4674</v>
      </c>
      <c r="H1985">
        <v>0.837584</v>
      </c>
      <c r="I1985">
        <v>283.35180000000003</v>
      </c>
      <c r="J1985">
        <v>-302.98820000000001</v>
      </c>
      <c r="K1985">
        <v>1.11066</v>
      </c>
      <c r="L1985">
        <v>283.20830000000001</v>
      </c>
      <c r="M1985">
        <v>-0.99982219999999999</v>
      </c>
      <c r="N1985">
        <v>0</v>
      </c>
      <c r="O1985">
        <v>-1.124035E-2</v>
      </c>
      <c r="P1985">
        <v>-0.99910100000000002</v>
      </c>
      <c r="Q1985">
        <v>-1.7002900000000001E-2</v>
      </c>
      <c r="R1985">
        <v>3.8840810000000003E-2</v>
      </c>
      <c r="S1985">
        <v>-2.9691770000000002</v>
      </c>
      <c r="T1985">
        <v>-0.91116200000000003</v>
      </c>
      <c r="U1985">
        <v>0.46179199999999998</v>
      </c>
      <c r="V1985">
        <v>5.0072150000000003E-2</v>
      </c>
      <c r="W1985">
        <v>-1.8202050000000001E-3</v>
      </c>
      <c r="X1985">
        <v>0.99874399999999997</v>
      </c>
      <c r="Y1985">
        <v>0.15720229999999999</v>
      </c>
      <c r="Z1985">
        <v>2.6800210000000001E-2</v>
      </c>
      <c r="AA1985">
        <v>0.98720269999999999</v>
      </c>
      <c r="AB1985">
        <v>40</v>
      </c>
      <c r="AC1985">
        <v>-0.47919999999999102</v>
      </c>
      <c r="AD1985">
        <v>-0.27307599999999999</v>
      </c>
      <c r="AE1985">
        <v>0.143500000000017</v>
      </c>
      <c r="AF1985">
        <v>0.114696709000508</v>
      </c>
      <c r="AG1985">
        <v>-0.27307599999999999</v>
      </c>
      <c r="AH1985">
        <v>0.36791326745437902</v>
      </c>
      <c r="AI1985">
        <v>125.321167420264</v>
      </c>
      <c r="AJ1985">
        <v>72.6851682226539</v>
      </c>
      <c r="AK1985">
        <v>0.47231981665022799</v>
      </c>
      <c r="AL1985">
        <v>90.104290116154402</v>
      </c>
      <c r="AM1985">
        <v>87.129872343052398</v>
      </c>
      <c r="AN1985">
        <v>1.0000000554439299</v>
      </c>
    </row>
    <row r="1986" spans="1:40" x14ac:dyDescent="0.25">
      <c r="A1986" t="str">
        <f>"20190312154253718"</f>
        <v>20190312154253718</v>
      </c>
      <c r="B1986" t="str">
        <f>"1552376573709850"</f>
        <v>1552376573709850</v>
      </c>
      <c r="C1986" t="s">
        <v>40</v>
      </c>
      <c r="D1986">
        <v>5.2151829999999997</v>
      </c>
      <c r="E1986">
        <v>0.5480003</v>
      </c>
      <c r="F1986" t="s">
        <v>41</v>
      </c>
      <c r="G1986">
        <v>-303.83390000000003</v>
      </c>
      <c r="H1986">
        <v>0.85159430000000003</v>
      </c>
      <c r="I1986">
        <v>283.34039999999999</v>
      </c>
      <c r="J1986">
        <v>-303.38479999999998</v>
      </c>
      <c r="K1986">
        <v>1.1106929999999999</v>
      </c>
      <c r="L1986">
        <v>283.20339999999999</v>
      </c>
      <c r="M1986">
        <v>-0.99981640000000005</v>
      </c>
      <c r="N1986">
        <v>0</v>
      </c>
      <c r="O1986">
        <v>-1.1748979999999999E-2</v>
      </c>
      <c r="P1986">
        <v>-0.99909689999999995</v>
      </c>
      <c r="Q1986">
        <v>-1.6443280000000001E-2</v>
      </c>
      <c r="R1986">
        <v>3.9184440000000001E-2</v>
      </c>
      <c r="S1986">
        <v>-2.9692080000000001</v>
      </c>
      <c r="T1986">
        <v>-0.90955569999999997</v>
      </c>
      <c r="U1986">
        <v>0.46279910000000002</v>
      </c>
      <c r="V1986">
        <v>5.092315E-2</v>
      </c>
      <c r="W1986">
        <v>-1.2598049999999999E-3</v>
      </c>
      <c r="X1986">
        <v>0.99870179999999997</v>
      </c>
      <c r="Y1986">
        <v>0.15799750000000001</v>
      </c>
      <c r="Z1986">
        <v>2.7024019999999999E-2</v>
      </c>
      <c r="AA1986">
        <v>0.98706970000000005</v>
      </c>
      <c r="AB1986">
        <v>40</v>
      </c>
      <c r="AC1986">
        <v>-0.44910000000004402</v>
      </c>
      <c r="AD1986">
        <v>-0.25909869999999902</v>
      </c>
      <c r="AE1986">
        <v>0.13700000000000001</v>
      </c>
      <c r="AF1986">
        <v>0.10905830783585301</v>
      </c>
      <c r="AG1986">
        <v>-0.25909869999999902</v>
      </c>
      <c r="AH1986">
        <v>0.34300950216871401</v>
      </c>
      <c r="AI1986">
        <v>125.74858963194301</v>
      </c>
      <c r="AJ1986">
        <v>72.362174894417805</v>
      </c>
      <c r="AK1986">
        <v>0.4434877331198</v>
      </c>
      <c r="AL1986">
        <v>90.072181527172205</v>
      </c>
      <c r="AM1986">
        <v>87.081053685234906</v>
      </c>
      <c r="AN1986">
        <v>1.0000000198189001</v>
      </c>
    </row>
    <row r="1987" spans="1:40" x14ac:dyDescent="0.25">
      <c r="A1987" t="str">
        <f>"20190312154253740"</f>
        <v>20190312154253740</v>
      </c>
      <c r="B1987" t="str">
        <f>"1552376573729369"</f>
        <v>1552376573729369</v>
      </c>
      <c r="C1987" t="s">
        <v>40</v>
      </c>
      <c r="D1987">
        <v>5.2115489999999998</v>
      </c>
      <c r="E1987">
        <v>0.54789869999999996</v>
      </c>
      <c r="F1987" t="s">
        <v>41</v>
      </c>
      <c r="G1987">
        <v>-304.19850000000002</v>
      </c>
      <c r="H1987">
        <v>0.86201749999999899</v>
      </c>
      <c r="I1987">
        <v>283.3304</v>
      </c>
      <c r="J1987">
        <v>-303.7724</v>
      </c>
      <c r="K1987">
        <v>1.1107340000000001</v>
      </c>
      <c r="L1987">
        <v>283.19839999999999</v>
      </c>
      <c r="M1987">
        <v>-0.99980999999999998</v>
      </c>
      <c r="N1987">
        <v>0</v>
      </c>
      <c r="O1987">
        <v>-1.228454E-2</v>
      </c>
      <c r="P1987">
        <v>-0.99908589999999997</v>
      </c>
      <c r="Q1987">
        <v>-1.598484E-2</v>
      </c>
      <c r="R1987">
        <v>3.9652010000000001E-2</v>
      </c>
      <c r="S1987">
        <v>-2.9696349999999998</v>
      </c>
      <c r="T1987">
        <v>-0.90755240000000004</v>
      </c>
      <c r="U1987">
        <v>0.46292109999999898</v>
      </c>
      <c r="V1987">
        <v>5.1924940000000003E-2</v>
      </c>
      <c r="W1987">
        <v>-7.9972820000000005E-4</v>
      </c>
      <c r="X1987">
        <v>0.9986507</v>
      </c>
      <c r="Y1987">
        <v>0.1585308</v>
      </c>
      <c r="Z1987">
        <v>2.720175E-2</v>
      </c>
      <c r="AA1987">
        <v>0.98697919999999995</v>
      </c>
      <c r="AB1987">
        <v>40</v>
      </c>
      <c r="AC1987">
        <v>-0.42610000000001902</v>
      </c>
      <c r="AD1987">
        <v>-0.24871650000000001</v>
      </c>
      <c r="AE1987">
        <v>0.132000000000005</v>
      </c>
      <c r="AF1987">
        <v>0.104681899195329</v>
      </c>
      <c r="AG1987">
        <v>-0.24871650000000001</v>
      </c>
      <c r="AH1987">
        <v>0.32378792228633602</v>
      </c>
      <c r="AI1987">
        <v>126.162952100585</v>
      </c>
      <c r="AJ1987">
        <v>72.083777403289304</v>
      </c>
      <c r="AK1987">
        <v>0.42149355393634802</v>
      </c>
      <c r="AL1987">
        <v>90.045821054136994</v>
      </c>
      <c r="AM1987">
        <v>87.023580696497504</v>
      </c>
      <c r="AN1987">
        <v>1.0000000297848399</v>
      </c>
    </row>
    <row r="1988" spans="1:40" x14ac:dyDescent="0.25">
      <c r="A1988" t="str">
        <f>"20190312154253762"</f>
        <v>20190312154253762</v>
      </c>
      <c r="B1988" t="str">
        <f>"1552376573759626"</f>
        <v>1552376573759626</v>
      </c>
      <c r="C1988" t="s">
        <v>40</v>
      </c>
      <c r="D1988">
        <v>5.1899410000000001</v>
      </c>
      <c r="E1988">
        <v>0.54775699999999905</v>
      </c>
      <c r="F1988" t="s">
        <v>41</v>
      </c>
      <c r="G1988">
        <v>-304.56180000000001</v>
      </c>
      <c r="H1988">
        <v>0.86999699999999902</v>
      </c>
      <c r="I1988">
        <v>283.32159999999999</v>
      </c>
      <c r="J1988">
        <v>-304.17</v>
      </c>
      <c r="K1988">
        <v>1.1107769999999999</v>
      </c>
      <c r="L1988">
        <v>283.19299999999998</v>
      </c>
      <c r="M1988">
        <v>-0.99980259999999999</v>
      </c>
      <c r="N1988">
        <v>0</v>
      </c>
      <c r="O1988">
        <v>-1.287746E-2</v>
      </c>
      <c r="P1988">
        <v>-0.99910310000000002</v>
      </c>
      <c r="Q1988">
        <v>-1.596618E-2</v>
      </c>
      <c r="R1988">
        <v>3.9222079999999999E-2</v>
      </c>
      <c r="S1988">
        <v>-2.96991</v>
      </c>
      <c r="T1988">
        <v>-0.90573179999999998</v>
      </c>
      <c r="U1988">
        <v>0.46325680000000002</v>
      </c>
      <c r="V1988">
        <v>5.2087479999999999E-2</v>
      </c>
      <c r="W1988">
        <v>-7.7924739999999998E-4</v>
      </c>
      <c r="X1988">
        <v>0.99864219999999904</v>
      </c>
      <c r="Y1988">
        <v>0.159186299999999</v>
      </c>
      <c r="Z1988">
        <v>2.742E-2</v>
      </c>
      <c r="AA1988">
        <v>0.98686770000000001</v>
      </c>
      <c r="AB1988">
        <v>40</v>
      </c>
      <c r="AC1988">
        <v>-0.39179999999998899</v>
      </c>
      <c r="AD1988">
        <v>-0.24077999999999999</v>
      </c>
      <c r="AE1988">
        <v>0.12860000000000499</v>
      </c>
      <c r="AF1988">
        <v>9.9658015424260601E-2</v>
      </c>
      <c r="AG1988">
        <v>-0.24077999999999999</v>
      </c>
      <c r="AH1988">
        <v>0.290923993700763</v>
      </c>
      <c r="AI1988">
        <v>128.060010373414</v>
      </c>
      <c r="AJ1988">
        <v>71.090751224183904</v>
      </c>
      <c r="AK1988">
        <v>0.39056817400948501</v>
      </c>
      <c r="AL1988">
        <v>90.044647592707904</v>
      </c>
      <c r="AM1988">
        <v>87.014255112372695</v>
      </c>
      <c r="AN1988">
        <v>0.99999997821005004</v>
      </c>
    </row>
    <row r="1989" spans="1:40" x14ac:dyDescent="0.25">
      <c r="A1989" t="str">
        <f>"20190312154253785"</f>
        <v>20190312154253785</v>
      </c>
      <c r="B1989" t="str">
        <f>"1552376573779145"</f>
        <v>1552376573779145</v>
      </c>
      <c r="C1989" t="s">
        <v>40</v>
      </c>
      <c r="D1989">
        <v>5.1968350000000001</v>
      </c>
      <c r="E1989">
        <v>0.54762900000000003</v>
      </c>
      <c r="F1989" t="s">
        <v>41</v>
      </c>
      <c r="G1989">
        <v>-304.92559999999997</v>
      </c>
      <c r="H1989">
        <v>0.88057039999999998</v>
      </c>
      <c r="I1989">
        <v>283.3107</v>
      </c>
      <c r="J1989">
        <v>-304.56099999999998</v>
      </c>
      <c r="K1989">
        <v>1.1108180000000001</v>
      </c>
      <c r="L1989">
        <v>283.18740000000003</v>
      </c>
      <c r="M1989">
        <v>-0.99979439999999997</v>
      </c>
      <c r="N1989">
        <v>0</v>
      </c>
      <c r="O1989">
        <v>-1.3508839999999999E-2</v>
      </c>
      <c r="P1989">
        <v>-0.99914320000000001</v>
      </c>
      <c r="Q1989">
        <v>-1.5700180000000001E-2</v>
      </c>
      <c r="R1989">
        <v>3.8298600000000002E-2</v>
      </c>
      <c r="S1989">
        <v>-2.9701230000000001</v>
      </c>
      <c r="T1989">
        <v>-0.90498809999999996</v>
      </c>
      <c r="U1989">
        <v>0.46112059999999999</v>
      </c>
      <c r="V1989">
        <v>5.1794699999999999E-2</v>
      </c>
      <c r="W1989">
        <v>-5.1120259999999998E-4</v>
      </c>
      <c r="X1989">
        <v>0.99865760000000003</v>
      </c>
      <c r="Y1989">
        <v>0.1590935</v>
      </c>
      <c r="Z1989">
        <v>2.7571399999999999E-2</v>
      </c>
      <c r="AA1989">
        <v>0.98687849999999999</v>
      </c>
      <c r="AB1989">
        <v>40</v>
      </c>
      <c r="AC1989">
        <v>-0.36459999999999498</v>
      </c>
      <c r="AD1989">
        <v>-0.2302476</v>
      </c>
      <c r="AE1989">
        <v>0.123299999999972</v>
      </c>
      <c r="AF1989">
        <v>9.4423109927046098E-2</v>
      </c>
      <c r="AG1989">
        <v>-0.2302476</v>
      </c>
      <c r="AH1989">
        <v>0.26725678765866101</v>
      </c>
      <c r="AI1989">
        <v>129.08744458402401</v>
      </c>
      <c r="AJ1989">
        <v>70.541440204266607</v>
      </c>
      <c r="AK1989">
        <v>0.365179232081565</v>
      </c>
      <c r="AL1989">
        <v>90.029289753400803</v>
      </c>
      <c r="AM1989">
        <v>87.031053361458504</v>
      </c>
      <c r="AN1989">
        <v>0.99999997715697397</v>
      </c>
    </row>
    <row r="1990" spans="1:40" x14ac:dyDescent="0.25">
      <c r="A1990" t="str">
        <f>"20190312154253807"</f>
        <v>20190312154253807</v>
      </c>
      <c r="B1990" t="str">
        <f>"1552376573799641"</f>
        <v>1552376573799641</v>
      </c>
      <c r="C1990" t="s">
        <v>40</v>
      </c>
      <c r="D1990">
        <v>5.1893699999999896</v>
      </c>
      <c r="E1990">
        <v>0.54748019999999997</v>
      </c>
      <c r="F1990" t="s">
        <v>41</v>
      </c>
      <c r="G1990">
        <v>-305.28840000000002</v>
      </c>
      <c r="H1990">
        <v>0.8895921</v>
      </c>
      <c r="I1990">
        <v>283.29930000000002</v>
      </c>
      <c r="J1990">
        <v>-304.98439999999999</v>
      </c>
      <c r="K1990">
        <v>1.1108750000000001</v>
      </c>
      <c r="L1990">
        <v>283.18099999999998</v>
      </c>
      <c r="M1990">
        <v>-0.99978409999999995</v>
      </c>
      <c r="N1990">
        <v>0</v>
      </c>
      <c r="O1990">
        <v>-1.424575E-2</v>
      </c>
      <c r="P1990">
        <v>-0.99923790000000001</v>
      </c>
      <c r="Q1990">
        <v>-1.4745940000000001E-2</v>
      </c>
      <c r="R1990">
        <v>3.6145679999999999E-2</v>
      </c>
      <c r="S1990">
        <v>-2.9708559999999999</v>
      </c>
      <c r="T1990">
        <v>-0.90358130000000003</v>
      </c>
      <c r="U1990">
        <v>0.45724490000000001</v>
      </c>
      <c r="V1990">
        <v>5.0377959999999999E-2</v>
      </c>
      <c r="W1990">
        <v>4.4471419999999998E-4</v>
      </c>
      <c r="X1990">
        <v>0.99873009999999995</v>
      </c>
      <c r="Y1990">
        <v>0.15854260000000001</v>
      </c>
      <c r="Z1990">
        <v>2.7663119999999999E-2</v>
      </c>
      <c r="AA1990">
        <v>0.98696450000000002</v>
      </c>
      <c r="AB1990">
        <v>40</v>
      </c>
      <c r="AC1990">
        <v>-0.30400000000003002</v>
      </c>
      <c r="AD1990">
        <v>-0.2212829</v>
      </c>
      <c r="AE1990">
        <v>0.118300000000033</v>
      </c>
      <c r="AF1990">
        <v>8.3976501061984496E-2</v>
      </c>
      <c r="AG1990">
        <v>-0.2212829</v>
      </c>
      <c r="AH1990">
        <v>0.207020813174665</v>
      </c>
      <c r="AI1990">
        <v>134.72661590370501</v>
      </c>
      <c r="AJ1990">
        <v>67.920419932562297</v>
      </c>
      <c r="AK1990">
        <v>0.31444521247829998</v>
      </c>
      <c r="AL1990">
        <v>89.974519751764205</v>
      </c>
      <c r="AM1990">
        <v>87.112332819312996</v>
      </c>
      <c r="AN1990">
        <v>0.99999997463524504</v>
      </c>
    </row>
    <row r="1991" spans="1:40" x14ac:dyDescent="0.25">
      <c r="A1991" t="str">
        <f>"20190312154253829"</f>
        <v>20190312154253829</v>
      </c>
      <c r="B1991" t="str">
        <f>"1552376573819163"</f>
        <v>1552376573819163</v>
      </c>
      <c r="C1991" t="s">
        <v>40</v>
      </c>
      <c r="D1991">
        <v>5.1651069999999999</v>
      </c>
      <c r="E1991">
        <v>0.54740610000000001</v>
      </c>
      <c r="F1991" t="s">
        <v>41</v>
      </c>
      <c r="G1991">
        <v>-305.65440000000001</v>
      </c>
      <c r="H1991">
        <v>0.90809709999999999</v>
      </c>
      <c r="I1991">
        <v>283.28269999999998</v>
      </c>
      <c r="J1991">
        <v>-305.37270000000001</v>
      </c>
      <c r="K1991">
        <v>1.1109249999999999</v>
      </c>
      <c r="L1991">
        <v>283.1748</v>
      </c>
      <c r="M1991">
        <v>-0.99977360000000004</v>
      </c>
      <c r="N1991">
        <v>0</v>
      </c>
      <c r="O1991">
        <v>-1.497509E-2</v>
      </c>
      <c r="P1991">
        <v>-0.99936239999999998</v>
      </c>
      <c r="Q1991">
        <v>-1.3650310000000001E-2</v>
      </c>
      <c r="R1991">
        <v>3.2993059999999998E-2</v>
      </c>
      <c r="S1991">
        <v>-2.9727480000000002</v>
      </c>
      <c r="T1991">
        <v>-0.89972770000000002</v>
      </c>
      <c r="U1991">
        <v>0.44967649999999998</v>
      </c>
      <c r="V1991">
        <v>4.795398E-2</v>
      </c>
      <c r="W1991">
        <v>1.540486E-3</v>
      </c>
      <c r="X1991">
        <v>0.99884839999999997</v>
      </c>
      <c r="Y1991">
        <v>0.1568243</v>
      </c>
      <c r="Z1991">
        <v>2.750033E-2</v>
      </c>
      <c r="AA1991">
        <v>0.9872436</v>
      </c>
      <c r="AB1991">
        <v>40</v>
      </c>
      <c r="AC1991">
        <v>-0.28170000000000001</v>
      </c>
      <c r="AD1991">
        <v>-0.20282789999999901</v>
      </c>
      <c r="AE1991">
        <v>0.107899999999972</v>
      </c>
      <c r="AF1991">
        <v>7.7203688312714194E-2</v>
      </c>
      <c r="AG1991">
        <v>-0.20282789999999901</v>
      </c>
      <c r="AH1991">
        <v>0.19286133115065701</v>
      </c>
      <c r="AI1991">
        <v>134.314538516037</v>
      </c>
      <c r="AJ1991">
        <v>68.183441956904005</v>
      </c>
      <c r="AK1991">
        <v>0.290336114806098</v>
      </c>
      <c r="AL1991">
        <v>89.911736622575404</v>
      </c>
      <c r="AM1991">
        <v>87.251382053706806</v>
      </c>
      <c r="AN1991">
        <v>1.00000004173875</v>
      </c>
    </row>
    <row r="1992" spans="1:40" x14ac:dyDescent="0.25">
      <c r="A1992" t="str">
        <f>"20190312154253853"</f>
        <v>20190312154253853</v>
      </c>
      <c r="B1992" t="str">
        <f>"1552376573849417"</f>
        <v>1552376573849417</v>
      </c>
      <c r="C1992" t="s">
        <v>40</v>
      </c>
      <c r="D1992">
        <v>5.1685489999999996</v>
      </c>
      <c r="E1992">
        <v>0.54727490000000001</v>
      </c>
      <c r="F1992" t="s">
        <v>41</v>
      </c>
      <c r="G1992">
        <v>-306.33600000000001</v>
      </c>
      <c r="H1992">
        <v>0.82078580000000001</v>
      </c>
      <c r="I1992">
        <v>283.31709999999998</v>
      </c>
      <c r="J1992">
        <v>-305.78309999999999</v>
      </c>
      <c r="K1992">
        <v>1.1109770000000001</v>
      </c>
      <c r="L1992">
        <v>283.16789999999997</v>
      </c>
      <c r="M1992">
        <v>-0.99976089999999995</v>
      </c>
      <c r="N1992">
        <v>0</v>
      </c>
      <c r="O1992">
        <v>-1.5792520000000001E-2</v>
      </c>
      <c r="P1992">
        <v>-0.99949120000000002</v>
      </c>
      <c r="Q1992">
        <v>-1.3208589999999999E-2</v>
      </c>
      <c r="R1992">
        <v>2.903911E-2</v>
      </c>
      <c r="S1992">
        <v>-2.9751590000000001</v>
      </c>
      <c r="T1992">
        <v>-0.89605990000000002</v>
      </c>
      <c r="U1992">
        <v>0.43954470000000001</v>
      </c>
      <c r="V1992">
        <v>4.4818289999999997E-2</v>
      </c>
      <c r="W1992">
        <v>1.9806060000000002E-3</v>
      </c>
      <c r="X1992">
        <v>0.99899320000000003</v>
      </c>
      <c r="Y1992">
        <v>0.154362</v>
      </c>
      <c r="Z1992">
        <v>2.7257150000000001E-2</v>
      </c>
      <c r="AA1992">
        <v>0.98763829999999997</v>
      </c>
      <c r="AB1992">
        <v>40</v>
      </c>
      <c r="AC1992">
        <v>-0.55290000000002204</v>
      </c>
      <c r="AD1992">
        <v>-0.29019119999999998</v>
      </c>
      <c r="AE1992">
        <v>0.14920000000000699</v>
      </c>
      <c r="AF1992">
        <v>0.12565046288502699</v>
      </c>
      <c r="AG1992">
        <v>-0.29019119999999998</v>
      </c>
      <c r="AH1992">
        <v>0.43800642419923802</v>
      </c>
      <c r="AI1992">
        <v>122.490664651514</v>
      </c>
      <c r="AJ1992">
        <v>73.993455989362204</v>
      </c>
      <c r="AK1992">
        <v>0.54023013523910701</v>
      </c>
      <c r="AL1992">
        <v>89.886519562011202</v>
      </c>
      <c r="AM1992">
        <v>87.431235657448894</v>
      </c>
      <c r="AN1992">
        <v>1.00000000778244</v>
      </c>
    </row>
    <row r="1993" spans="1:40" x14ac:dyDescent="0.25">
      <c r="A1993" t="str">
        <f>"20190312154253875"</f>
        <v>20190312154253875</v>
      </c>
      <c r="B1993" t="str">
        <f>"1552376573869913"</f>
        <v>1552376573869913</v>
      </c>
      <c r="C1993" t="s">
        <v>40</v>
      </c>
      <c r="D1993">
        <v>5.1334920000000004</v>
      </c>
      <c r="E1993">
        <v>0.54718769999999906</v>
      </c>
      <c r="F1993" t="s">
        <v>41</v>
      </c>
      <c r="G1993">
        <v>-306.69920000000002</v>
      </c>
      <c r="H1993">
        <v>0.8360573</v>
      </c>
      <c r="I1993">
        <v>283.29919999999998</v>
      </c>
      <c r="J1993">
        <v>-306.19470000000001</v>
      </c>
      <c r="K1993">
        <v>1.1110120000000001</v>
      </c>
      <c r="L1993">
        <v>283.16059999999999</v>
      </c>
      <c r="M1993">
        <v>-0.99974719999999995</v>
      </c>
      <c r="N1993">
        <v>0</v>
      </c>
      <c r="O1993">
        <v>-1.6648219999999998E-2</v>
      </c>
      <c r="P1993">
        <v>-0.9995735</v>
      </c>
      <c r="Q1993">
        <v>-1.329266E-2</v>
      </c>
      <c r="R1993">
        <v>2.6009830000000001E-2</v>
      </c>
      <c r="S1993">
        <v>-2.977325</v>
      </c>
      <c r="T1993">
        <v>-0.89337619999999895</v>
      </c>
      <c r="U1993">
        <v>0.42663570000000001</v>
      </c>
      <c r="V1993">
        <v>4.2645780000000001E-2</v>
      </c>
      <c r="W1993">
        <v>1.894298E-3</v>
      </c>
      <c r="X1993">
        <v>0.99908850000000005</v>
      </c>
      <c r="Y1993">
        <v>0.151062</v>
      </c>
      <c r="Z1993">
        <v>2.6936080000000001E-2</v>
      </c>
      <c r="AA1993">
        <v>0.98815719999999996</v>
      </c>
      <c r="AB1993">
        <v>40</v>
      </c>
      <c r="AC1993">
        <v>-0.50450000000000705</v>
      </c>
      <c r="AD1993">
        <v>-0.2749547</v>
      </c>
      <c r="AE1993">
        <v>0.138599999999996</v>
      </c>
      <c r="AF1993">
        <v>0.115172025501937</v>
      </c>
      <c r="AG1993">
        <v>-0.2749547</v>
      </c>
      <c r="AH1993">
        <v>0.39345587727447001</v>
      </c>
      <c r="AI1993">
        <v>123.84884176034799</v>
      </c>
      <c r="AJ1993">
        <v>73.684241880829404</v>
      </c>
      <c r="AK1993">
        <v>0.49363165404189002</v>
      </c>
      <c r="AL1993">
        <v>89.891464658985399</v>
      </c>
      <c r="AM1993">
        <v>87.555831270138398</v>
      </c>
      <c r="AN1993">
        <v>1.00000004087448</v>
      </c>
    </row>
    <row r="1994" spans="1:40" x14ac:dyDescent="0.25">
      <c r="A1994" t="str">
        <f>"20190312154253897"</f>
        <v>20190312154253897</v>
      </c>
      <c r="B1994" t="str">
        <f>"1552376573889437"</f>
        <v>1552376573889437</v>
      </c>
      <c r="C1994" t="s">
        <v>40</v>
      </c>
      <c r="D1994">
        <v>5.1354620000000004</v>
      </c>
      <c r="E1994">
        <v>0.54720550000000001</v>
      </c>
      <c r="F1994" t="s">
        <v>41</v>
      </c>
      <c r="G1994">
        <v>-307.06209999999999</v>
      </c>
      <c r="H1994">
        <v>0.8511417</v>
      </c>
      <c r="I1994">
        <v>283.28250000000003</v>
      </c>
      <c r="J1994">
        <v>-306.5838</v>
      </c>
      <c r="K1994">
        <v>1.111046</v>
      </c>
      <c r="L1994">
        <v>283.1533</v>
      </c>
      <c r="M1994">
        <v>-0.99973290000000004</v>
      </c>
      <c r="N1994">
        <v>0</v>
      </c>
      <c r="O1994">
        <v>-1.7481449999999999E-2</v>
      </c>
      <c r="P1994">
        <v>-0.99963769999999996</v>
      </c>
      <c r="Q1994">
        <v>-1.338525E-2</v>
      </c>
      <c r="R1994">
        <v>2.335251E-2</v>
      </c>
      <c r="S1994">
        <v>-2.9785460000000001</v>
      </c>
      <c r="T1994">
        <v>-0.8924339</v>
      </c>
      <c r="U1994">
        <v>0.41799930000000002</v>
      </c>
      <c r="V1994">
        <v>4.0822650000000002E-2</v>
      </c>
      <c r="W1994">
        <v>1.7989309999999999E-3</v>
      </c>
      <c r="X1994">
        <v>0.99916479999999996</v>
      </c>
      <c r="Y1994">
        <v>0.149085299999999</v>
      </c>
      <c r="Z1994">
        <v>2.685835E-2</v>
      </c>
      <c r="AA1994">
        <v>0.98845950000000005</v>
      </c>
      <c r="AB1994">
        <v>40</v>
      </c>
      <c r="AC1994">
        <v>-0.47829999999999001</v>
      </c>
      <c r="AD1994">
        <v>-0.25990429999999998</v>
      </c>
      <c r="AE1994">
        <v>0.12920000000002499</v>
      </c>
      <c r="AF1994">
        <v>0.107860072558919</v>
      </c>
      <c r="AG1994">
        <v>-0.25990429999999998</v>
      </c>
      <c r="AH1994">
        <v>0.37325128320654999</v>
      </c>
      <c r="AI1994">
        <v>123.78071385307</v>
      </c>
      <c r="AJ1994">
        <v>73.882058854553705</v>
      </c>
      <c r="AK1994">
        <v>0.46744043559178899</v>
      </c>
      <c r="AL1994">
        <v>89.896928791630003</v>
      </c>
      <c r="AM1994">
        <v>87.660380554000497</v>
      </c>
      <c r="AN1994">
        <v>1.0000000112323999</v>
      </c>
    </row>
    <row r="1995" spans="1:40" x14ac:dyDescent="0.25">
      <c r="A1995" t="str">
        <f>"20190312154253918"</f>
        <v>20190312154253918</v>
      </c>
      <c r="B1995" t="str">
        <f>"1552376573909930"</f>
        <v>1552376573909930</v>
      </c>
      <c r="C1995" t="s">
        <v>40</v>
      </c>
      <c r="D1995">
        <v>5.1046930000000001</v>
      </c>
      <c r="E1995">
        <v>0.54724099999999998</v>
      </c>
      <c r="F1995" t="s">
        <v>41</v>
      </c>
      <c r="G1995">
        <v>-307.42219999999998</v>
      </c>
      <c r="H1995">
        <v>0.86005739999999997</v>
      </c>
      <c r="I1995">
        <v>283.26929999999999</v>
      </c>
      <c r="J1995">
        <v>-306.97039999999998</v>
      </c>
      <c r="K1995">
        <v>1.1110770000000001</v>
      </c>
      <c r="L1995">
        <v>283.14580000000001</v>
      </c>
      <c r="M1995">
        <v>-0.99971779999999999</v>
      </c>
      <c r="N1995">
        <v>0</v>
      </c>
      <c r="O1995">
        <v>-1.8325629999999999E-2</v>
      </c>
      <c r="P1995">
        <v>-0.99968670000000004</v>
      </c>
      <c r="Q1995">
        <v>-1.255467E-2</v>
      </c>
      <c r="R1995">
        <v>2.1655629999999999E-2</v>
      </c>
      <c r="S1995">
        <v>-2.9795229999999999</v>
      </c>
      <c r="T1995">
        <v>-0.89195249999999904</v>
      </c>
      <c r="U1995">
        <v>0.41180420000000001</v>
      </c>
      <c r="V1995">
        <v>3.9968700000000003E-2</v>
      </c>
      <c r="W1995">
        <v>2.6262410000000001E-3</v>
      </c>
      <c r="X1995">
        <v>0.99919749999999996</v>
      </c>
      <c r="Y1995">
        <v>0.1478835</v>
      </c>
      <c r="Z1995">
        <v>2.6910770000000001E-2</v>
      </c>
      <c r="AA1995">
        <v>0.98863860000000003</v>
      </c>
      <c r="AB1995">
        <v>40</v>
      </c>
      <c r="AC1995">
        <v>-0.45179999999999099</v>
      </c>
      <c r="AD1995">
        <v>-0.25101960000000001</v>
      </c>
      <c r="AE1995">
        <v>0.123499999999978</v>
      </c>
      <c r="AF1995">
        <v>0.10235925220933199</v>
      </c>
      <c r="AG1995">
        <v>-0.25101960000000001</v>
      </c>
      <c r="AH1995">
        <v>0.34916933829288399</v>
      </c>
      <c r="AI1995">
        <v>124.60074554433599</v>
      </c>
      <c r="AJ1995">
        <v>73.661461543890695</v>
      </c>
      <c r="AK1995">
        <v>0.442049186065198</v>
      </c>
      <c r="AL1995">
        <v>89.849527304612096</v>
      </c>
      <c r="AM1995">
        <v>87.709344157206104</v>
      </c>
      <c r="AN1995">
        <v>1.00000001906386</v>
      </c>
    </row>
    <row r="1996" spans="1:40" x14ac:dyDescent="0.25">
      <c r="A1996" t="str">
        <f>"20190312154253941"</f>
        <v>20190312154253941</v>
      </c>
      <c r="B1996" t="str">
        <f>"1552376573929449"</f>
        <v>1552376573929449</v>
      </c>
      <c r="C1996" t="s">
        <v>40</v>
      </c>
      <c r="D1996">
        <v>5.1184810000000001</v>
      </c>
      <c r="E1996">
        <v>0.54724569999999995</v>
      </c>
      <c r="F1996" t="s">
        <v>41</v>
      </c>
      <c r="G1996">
        <v>-307.78219999999999</v>
      </c>
      <c r="H1996">
        <v>0.86904939999999997</v>
      </c>
      <c r="I1996">
        <v>283.25729999999999</v>
      </c>
      <c r="J1996">
        <v>-307.3596</v>
      </c>
      <c r="K1996">
        <v>1.111105</v>
      </c>
      <c r="L1996">
        <v>283.1379</v>
      </c>
      <c r="M1996">
        <v>-0.99970190000000003</v>
      </c>
      <c r="N1996">
        <v>0</v>
      </c>
      <c r="O1996">
        <v>-1.9186149999999999E-2</v>
      </c>
      <c r="P1996">
        <v>-0.99970490000000001</v>
      </c>
      <c r="Q1996">
        <v>-1.1228780000000001E-2</v>
      </c>
      <c r="R1996">
        <v>2.155487E-2</v>
      </c>
      <c r="S1996">
        <v>-2.980896</v>
      </c>
      <c r="T1996">
        <v>-0.88889169999999995</v>
      </c>
      <c r="U1996">
        <v>0.40789789999999998</v>
      </c>
      <c r="V1996">
        <v>4.0725560000000001E-2</v>
      </c>
      <c r="W1996">
        <v>3.9518419999999997E-3</v>
      </c>
      <c r="X1996">
        <v>0.99916260000000001</v>
      </c>
      <c r="Y1996">
        <v>0.1474356</v>
      </c>
      <c r="Z1996">
        <v>2.699783E-2</v>
      </c>
      <c r="AA1996">
        <v>0.98870309999999995</v>
      </c>
      <c r="AB1996">
        <v>40</v>
      </c>
      <c r="AC1996">
        <v>-0.42259999999998799</v>
      </c>
      <c r="AD1996">
        <v>-0.24205559999999901</v>
      </c>
      <c r="AE1996">
        <v>0.11939999999998401</v>
      </c>
      <c r="AF1996">
        <v>9.7779568433396205E-2</v>
      </c>
      <c r="AG1996">
        <v>-0.24205559999999901</v>
      </c>
      <c r="AH1996">
        <v>0.32230747853686598</v>
      </c>
      <c r="AI1996">
        <v>125.703472246619</v>
      </c>
      <c r="AJ1996">
        <v>73.123589662655505</v>
      </c>
      <c r="AK1996">
        <v>0.41476965681589301</v>
      </c>
      <c r="AL1996">
        <v>89.773575552883699</v>
      </c>
      <c r="AM1996">
        <v>87.665933661463995</v>
      </c>
      <c r="AN1996">
        <v>1.0000000447656301</v>
      </c>
    </row>
    <row r="1997" spans="1:40" x14ac:dyDescent="0.25">
      <c r="A1997" t="str">
        <f>"20190312154253963"</f>
        <v>20190312154253963</v>
      </c>
      <c r="B1997" t="str">
        <f>"1552376573959705"</f>
        <v>1552376573959705</v>
      </c>
      <c r="C1997" t="s">
        <v>40</v>
      </c>
      <c r="D1997">
        <v>5.0661100000000001</v>
      </c>
      <c r="E1997">
        <v>0.54730489999999998</v>
      </c>
      <c r="F1997" t="s">
        <v>41</v>
      </c>
      <c r="G1997">
        <v>-308.14210000000003</v>
      </c>
      <c r="H1997">
        <v>0.87917019999999901</v>
      </c>
      <c r="I1997">
        <v>283.24509999999998</v>
      </c>
      <c r="J1997">
        <v>-307.7629</v>
      </c>
      <c r="K1997">
        <v>1.1111249999999999</v>
      </c>
      <c r="L1997">
        <v>283.12939999999998</v>
      </c>
      <c r="M1997">
        <v>-0.99968429999999997</v>
      </c>
      <c r="N1997">
        <v>0</v>
      </c>
      <c r="O1997">
        <v>-2.008414E-2</v>
      </c>
      <c r="P1997">
        <v>-0.99967819999999996</v>
      </c>
      <c r="Q1997">
        <v>-1.106475E-2</v>
      </c>
      <c r="R1997">
        <v>2.2833340000000001E-2</v>
      </c>
      <c r="S1997">
        <v>-2.9821469999999999</v>
      </c>
      <c r="T1997">
        <v>-0.88390270000000004</v>
      </c>
      <c r="U1997">
        <v>0.4083252</v>
      </c>
      <c r="V1997">
        <v>4.290004E-2</v>
      </c>
      <c r="W1997">
        <v>4.116349E-3</v>
      </c>
      <c r="X1997">
        <v>0.99907089999999998</v>
      </c>
      <c r="Y1997">
        <v>0.14841099999999999</v>
      </c>
      <c r="Z1997">
        <v>2.7242019999999999E-2</v>
      </c>
      <c r="AA1997">
        <v>0.9885505</v>
      </c>
      <c r="AB1997">
        <v>40</v>
      </c>
      <c r="AC1997">
        <v>-0.37920000000002502</v>
      </c>
      <c r="AD1997">
        <v>-0.23195479999999999</v>
      </c>
      <c r="AE1997">
        <v>0.11570000000000299</v>
      </c>
      <c r="AF1997">
        <v>9.1852099337163998E-2</v>
      </c>
      <c r="AG1997">
        <v>-0.23195479999999999</v>
      </c>
      <c r="AH1997">
        <v>0.280711018898613</v>
      </c>
      <c r="AI1997">
        <v>128.14390443362501</v>
      </c>
      <c r="AJ1997">
        <v>71.881266858687297</v>
      </c>
      <c r="AK1997">
        <v>0.3755509466461</v>
      </c>
      <c r="AL1997">
        <v>89.764149911715293</v>
      </c>
      <c r="AM1997">
        <v>87.541233370470096</v>
      </c>
      <c r="AN1997">
        <v>1.0000000104939499</v>
      </c>
    </row>
    <row r="1998" spans="1:40" x14ac:dyDescent="0.25">
      <c r="A1998" t="str">
        <f>"20190312154253988"</f>
        <v>20190312154253988</v>
      </c>
      <c r="B1998" t="str">
        <f>"1552376573979229"</f>
        <v>1552376573979229</v>
      </c>
      <c r="C1998" t="s">
        <v>40</v>
      </c>
      <c r="D1998">
        <v>5.0509570000000004</v>
      </c>
      <c r="E1998">
        <v>0.54736409999999902</v>
      </c>
      <c r="F1998" t="s">
        <v>41</v>
      </c>
      <c r="G1998">
        <v>-308.50279999999998</v>
      </c>
      <c r="H1998">
        <v>0.89207669999999994</v>
      </c>
      <c r="I1998">
        <v>283.23169999999999</v>
      </c>
      <c r="J1998">
        <v>-308.18259999999998</v>
      </c>
      <c r="K1998">
        <v>1.1111420000000001</v>
      </c>
      <c r="L1998">
        <v>283.12009999999998</v>
      </c>
      <c r="M1998">
        <v>-0.99966509999999997</v>
      </c>
      <c r="N1998">
        <v>0</v>
      </c>
      <c r="O1998">
        <v>-2.1020939999999998E-2</v>
      </c>
      <c r="P1998">
        <v>-0.99965939999999998</v>
      </c>
      <c r="Q1998">
        <v>-1.0723369999999999E-2</v>
      </c>
      <c r="R1998">
        <v>2.379686E-2</v>
      </c>
      <c r="S1998">
        <v>-2.9818120000000001</v>
      </c>
      <c r="T1998">
        <v>-0.88288029999999995</v>
      </c>
      <c r="U1998">
        <v>0.41131590000000001</v>
      </c>
      <c r="V1998">
        <v>4.4798249999999998E-2</v>
      </c>
      <c r="W1998">
        <v>4.4577619999999997E-3</v>
      </c>
      <c r="X1998">
        <v>0.99898609999999999</v>
      </c>
      <c r="Y1998">
        <v>0.150224</v>
      </c>
      <c r="Z1998">
        <v>2.7745099999999901E-2</v>
      </c>
      <c r="AA1998">
        <v>0.98826259999999999</v>
      </c>
      <c r="AB1998">
        <v>40</v>
      </c>
      <c r="AC1998">
        <v>-0.32019999999999899</v>
      </c>
      <c r="AD1998">
        <v>-0.21906529999999999</v>
      </c>
      <c r="AE1998">
        <v>0.111600000000009</v>
      </c>
      <c r="AF1998">
        <v>8.3469737408108299E-2</v>
      </c>
      <c r="AG1998">
        <v>-0.21906529999999999</v>
      </c>
      <c r="AH1998">
        <v>0.22420705740979199</v>
      </c>
      <c r="AI1998">
        <v>132.479398588788</v>
      </c>
      <c r="AJ1998">
        <v>69.580273536511598</v>
      </c>
      <c r="AK1998">
        <v>0.32438496777660097</v>
      </c>
      <c r="AL1998">
        <v>89.744588203221099</v>
      </c>
      <c r="AM1998">
        <v>87.432364490204193</v>
      </c>
      <c r="AN1998">
        <v>0.99999999141915996</v>
      </c>
    </row>
    <row r="1999" spans="1:40" x14ac:dyDescent="0.25">
      <c r="A1999" t="str">
        <f>"20190312154254009"</f>
        <v>20190312154254009</v>
      </c>
      <c r="B1999" t="str">
        <f>"1552376573999721"</f>
        <v>1552376573999721</v>
      </c>
      <c r="C1999" t="s">
        <v>40</v>
      </c>
      <c r="D1999">
        <v>5.0319070000000004</v>
      </c>
      <c r="E1999">
        <v>0.54740979999999995</v>
      </c>
      <c r="F1999" t="s">
        <v>41</v>
      </c>
      <c r="G1999">
        <v>-308.86489999999998</v>
      </c>
      <c r="H1999">
        <v>0.90940690000000002</v>
      </c>
      <c r="I1999">
        <v>283.21510000000001</v>
      </c>
      <c r="J1999">
        <v>-308.56380000000001</v>
      </c>
      <c r="K1999">
        <v>1.1111549999999999</v>
      </c>
      <c r="L1999">
        <v>283.11130000000003</v>
      </c>
      <c r="M1999">
        <v>-0.99964699999999995</v>
      </c>
      <c r="N1999">
        <v>0</v>
      </c>
      <c r="O1999">
        <v>-2.1868229999999999E-2</v>
      </c>
      <c r="P1999">
        <v>-0.99964459999999999</v>
      </c>
      <c r="Q1999">
        <v>-9.5746170000000005E-3</v>
      </c>
      <c r="R1999">
        <v>2.4882330000000001E-2</v>
      </c>
      <c r="S1999">
        <v>-2.9816590000000001</v>
      </c>
      <c r="T1999">
        <v>-0.88161809999999996</v>
      </c>
      <c r="U1999">
        <v>0.41427609999999898</v>
      </c>
      <c r="V1999">
        <v>4.6726980000000001E-2</v>
      </c>
      <c r="W1999">
        <v>5.6059710000000004E-3</v>
      </c>
      <c r="X1999">
        <v>0.99889190000000005</v>
      </c>
      <c r="Y1999">
        <v>0.15194289999999999</v>
      </c>
      <c r="Z1999">
        <v>2.8198669999999999E-2</v>
      </c>
      <c r="AA1999">
        <v>0.9879869</v>
      </c>
      <c r="AB1999">
        <v>40</v>
      </c>
      <c r="AC1999">
        <v>-0.30109999999996201</v>
      </c>
      <c r="AD1999">
        <v>-0.20174810000000001</v>
      </c>
      <c r="AE1999">
        <v>0.10379999999997799</v>
      </c>
      <c r="AF1999">
        <v>7.8757881672505706E-2</v>
      </c>
      <c r="AG1999">
        <v>-0.20174810000000001</v>
      </c>
      <c r="AH1999">
        <v>0.21320620110455399</v>
      </c>
      <c r="AI1999">
        <v>131.593325610748</v>
      </c>
      <c r="AJ1999">
        <v>69.725885728151297</v>
      </c>
      <c r="AK1999">
        <v>0.303911144857483</v>
      </c>
      <c r="AL1999">
        <v>89.678799817616195</v>
      </c>
      <c r="AM1999">
        <v>87.321723742613798</v>
      </c>
      <c r="AN1999">
        <v>0.99999993272818899</v>
      </c>
    </row>
    <row r="2000" spans="1:40" x14ac:dyDescent="0.25">
      <c r="A2000" t="str">
        <f>"20190312154254021"</f>
        <v>20190312154254021</v>
      </c>
      <c r="B2000" t="str">
        <f>"1552376574009481"</f>
        <v>1552376574009481</v>
      </c>
      <c r="C2000" t="s">
        <v>40</v>
      </c>
      <c r="D2000">
        <v>4.9973080000000003</v>
      </c>
      <c r="E2000">
        <v>0.5474405</v>
      </c>
      <c r="F2000" t="s">
        <v>41</v>
      </c>
      <c r="G2000">
        <v>-309.5403</v>
      </c>
      <c r="H2000">
        <v>0.8236713</v>
      </c>
      <c r="I2000">
        <v>283.24849999999998</v>
      </c>
      <c r="J2000">
        <v>-308.78050000000002</v>
      </c>
      <c r="K2000">
        <v>1.1111599999999999</v>
      </c>
      <c r="L2000">
        <v>283.10610000000003</v>
      </c>
      <c r="M2000">
        <v>-0.99963659999999999</v>
      </c>
      <c r="N2000">
        <v>0</v>
      </c>
      <c r="O2000">
        <v>-2.2341920000000001E-2</v>
      </c>
      <c r="P2000">
        <v>-0.9996467</v>
      </c>
      <c r="Q2000">
        <v>-9.0598999999999992E-3</v>
      </c>
      <c r="R2000">
        <v>2.4990459999999999E-2</v>
      </c>
      <c r="S2000">
        <v>-2.9822389999999999</v>
      </c>
      <c r="T2000">
        <v>-0.87800689999999904</v>
      </c>
      <c r="U2000">
        <v>0.41867070000000001</v>
      </c>
      <c r="V2000">
        <v>4.7307580000000002E-2</v>
      </c>
      <c r="W2000">
        <v>6.1195149999999999E-3</v>
      </c>
      <c r="X2000">
        <v>0.99886160000000002</v>
      </c>
      <c r="Y2000">
        <v>0.1537789</v>
      </c>
      <c r="Z2000">
        <v>2.8479440000000002E-2</v>
      </c>
      <c r="AA2000">
        <v>0.98769479999999998</v>
      </c>
      <c r="AB2000">
        <v>40</v>
      </c>
      <c r="AC2000">
        <v>-0.75979999999998404</v>
      </c>
      <c r="AD2000">
        <v>-0.28748869999999899</v>
      </c>
      <c r="AE2000">
        <v>0.14239999999995201</v>
      </c>
      <c r="AF2000">
        <v>0.13998113742537599</v>
      </c>
      <c r="AG2000">
        <v>-0.28748869999999899</v>
      </c>
      <c r="AH2000">
        <v>0.66451951241007601</v>
      </c>
      <c r="AI2000">
        <v>112.944685896642</v>
      </c>
      <c r="AJ2000">
        <v>78.104547871030604</v>
      </c>
      <c r="AK2000">
        <v>0.73744874658264703</v>
      </c>
      <c r="AL2000">
        <v>89.649375420922794</v>
      </c>
      <c r="AM2000">
        <v>87.288412401974995</v>
      </c>
      <c r="AN2000">
        <v>0.99999997577192501</v>
      </c>
    </row>
    <row r="2001" spans="1:40" x14ac:dyDescent="0.25">
      <c r="A2001" t="str">
        <f>"20190312154254041"</f>
        <v>20190312154254041</v>
      </c>
      <c r="B2001" t="str">
        <f>"1552376574029001"</f>
        <v>1552376574029001</v>
      </c>
      <c r="C2001" t="s">
        <v>40</v>
      </c>
      <c r="D2001">
        <v>4.988359</v>
      </c>
      <c r="E2001">
        <v>0.53122740000000002</v>
      </c>
      <c r="F2001" t="s">
        <v>41</v>
      </c>
      <c r="G2001">
        <v>-309.56290000000001</v>
      </c>
      <c r="H2001">
        <v>0.88139389999999995</v>
      </c>
      <c r="I2001">
        <v>283.21629999999999</v>
      </c>
      <c r="J2001">
        <v>-309.14980000000003</v>
      </c>
      <c r="K2001">
        <v>1.1111660000000001</v>
      </c>
      <c r="L2001">
        <v>283.09710000000001</v>
      </c>
      <c r="M2001">
        <v>-0.99961829999999996</v>
      </c>
      <c r="N2001">
        <v>0</v>
      </c>
      <c r="O2001">
        <v>-2.3140210000000001E-2</v>
      </c>
      <c r="P2001">
        <v>-0.99967249999999996</v>
      </c>
      <c r="Q2001">
        <v>-7.2247919999999998E-3</v>
      </c>
      <c r="R2001">
        <v>2.454605E-2</v>
      </c>
      <c r="S2001">
        <v>-2.982666</v>
      </c>
      <c r="T2001">
        <v>-0.875911</v>
      </c>
      <c r="U2001">
        <v>0.41976930000000001</v>
      </c>
      <c r="V2001">
        <v>4.7657529999999997E-2</v>
      </c>
      <c r="W2001">
        <v>7.9505259999999994E-3</v>
      </c>
      <c r="X2001">
        <v>0.9988321</v>
      </c>
      <c r="Y2001">
        <v>0.15486269999999999</v>
      </c>
      <c r="Z2001">
        <v>2.8793429999999998E-2</v>
      </c>
      <c r="AA2001">
        <v>0.98751630000000001</v>
      </c>
      <c r="AB2001">
        <v>40</v>
      </c>
      <c r="AC2001">
        <v>-0.41309999999998498</v>
      </c>
      <c r="AD2001">
        <v>-0.22977209999999901</v>
      </c>
      <c r="AE2001">
        <v>0.119199999999978</v>
      </c>
      <c r="AF2001">
        <v>0.100131343415418</v>
      </c>
      <c r="AG2001">
        <v>-0.22977209999999901</v>
      </c>
      <c r="AH2001">
        <v>0.31909787833480202</v>
      </c>
      <c r="AI2001">
        <v>124.490485348289</v>
      </c>
      <c r="AJ2001">
        <v>72.578399487093904</v>
      </c>
      <c r="AK2001">
        <v>0.40576466064747202</v>
      </c>
      <c r="AL2001">
        <v>89.544463619484702</v>
      </c>
      <c r="AM2001">
        <v>87.2683035963055</v>
      </c>
      <c r="AN2001">
        <v>1.00000000750989</v>
      </c>
    </row>
    <row r="2002" spans="1:40" x14ac:dyDescent="0.25">
      <c r="A2002" t="str">
        <f>"20190312154254055"</f>
        <v>20190312154254055</v>
      </c>
      <c r="B2002" t="str">
        <f>"1552376574049497"</f>
        <v>1552376574049497</v>
      </c>
      <c r="C2002" t="s">
        <v>40</v>
      </c>
      <c r="D2002">
        <v>4.9475930000000004</v>
      </c>
      <c r="E2002">
        <v>0.52139150000000001</v>
      </c>
      <c r="F2002" t="s">
        <v>41</v>
      </c>
      <c r="G2002">
        <v>-309.93740000000003</v>
      </c>
      <c r="H2002">
        <v>0.93202280000000004</v>
      </c>
      <c r="I2002">
        <v>283.17579999999998</v>
      </c>
      <c r="J2002">
        <v>-309.3897</v>
      </c>
      <c r="K2002">
        <v>1.1111610000000001</v>
      </c>
      <c r="L2002">
        <v>283.09109999999998</v>
      </c>
      <c r="M2002">
        <v>-0.99960669999999996</v>
      </c>
      <c r="N2002">
        <v>0</v>
      </c>
      <c r="O2002">
        <v>-2.3643399999999998E-2</v>
      </c>
      <c r="P2002">
        <v>-0.99969969999999997</v>
      </c>
      <c r="Q2002">
        <v>-6.20771E-3</v>
      </c>
      <c r="R2002">
        <v>2.3710060000000002E-2</v>
      </c>
      <c r="S2002">
        <v>-2.9887700000000001</v>
      </c>
      <c r="T2002">
        <v>-0.67994330000000003</v>
      </c>
      <c r="U2002">
        <v>0.297821</v>
      </c>
      <c r="V2002">
        <v>4.732314E-2</v>
      </c>
      <c r="W2002">
        <v>8.9632919999999994E-3</v>
      </c>
      <c r="X2002">
        <v>0.99883940000000004</v>
      </c>
      <c r="Y2002">
        <v>0.11904480000000001</v>
      </c>
      <c r="Z2002">
        <v>1.8638829999999999E-2</v>
      </c>
      <c r="AA2002">
        <v>0.99271390000000004</v>
      </c>
      <c r="AB2002">
        <v>40</v>
      </c>
      <c r="AC2002">
        <v>-0.54770000000001995</v>
      </c>
      <c r="AD2002">
        <v>-0.179138199999999</v>
      </c>
      <c r="AE2002">
        <v>8.4699999999997999E-2</v>
      </c>
      <c r="AF2002">
        <v>8.8392199236796296E-2</v>
      </c>
      <c r="AG2002">
        <v>-0.179138199999999</v>
      </c>
      <c r="AH2002">
        <v>0.49393813822809202</v>
      </c>
      <c r="AI2002">
        <v>109.64666561191299</v>
      </c>
      <c r="AJ2002">
        <v>79.854088108617006</v>
      </c>
      <c r="AK2002">
        <v>0.53280255252897502</v>
      </c>
      <c r="AL2002">
        <v>89.4864343125749</v>
      </c>
      <c r="AM2002">
        <v>87.287461664874897</v>
      </c>
      <c r="AN2002">
        <v>0.99999998358764797</v>
      </c>
    </row>
    <row r="2003" spans="1:40" x14ac:dyDescent="0.25">
      <c r="A2003" t="str">
        <f>"20190312154254076"</f>
        <v>20190312154254076</v>
      </c>
      <c r="B2003" t="str">
        <f>"1552376574069018"</f>
        <v>1552376574069018</v>
      </c>
      <c r="C2003" t="s">
        <v>40</v>
      </c>
      <c r="D2003">
        <v>5.0472449999999904</v>
      </c>
      <c r="E2003">
        <v>0.51313419999999998</v>
      </c>
      <c r="F2003" t="s">
        <v>41</v>
      </c>
      <c r="G2003">
        <v>-310.2998</v>
      </c>
      <c r="H2003">
        <v>0.95140219999999998</v>
      </c>
      <c r="I2003">
        <v>283.15899999999999</v>
      </c>
      <c r="J2003">
        <v>-309.76569999999998</v>
      </c>
      <c r="K2003">
        <v>1.111137</v>
      </c>
      <c r="L2003">
        <v>283.08150000000001</v>
      </c>
      <c r="M2003">
        <v>-0.99958880000000006</v>
      </c>
      <c r="N2003">
        <v>0</v>
      </c>
      <c r="O2003">
        <v>-2.4392090000000002E-2</v>
      </c>
      <c r="P2003">
        <v>-0.99974200000000002</v>
      </c>
      <c r="Q2003">
        <v>-4.9380830000000002E-3</v>
      </c>
      <c r="R2003">
        <v>2.2177519999999999E-2</v>
      </c>
      <c r="S2003">
        <v>-2.99234</v>
      </c>
      <c r="T2003">
        <v>-0.52523640000000005</v>
      </c>
      <c r="U2003">
        <v>0.2229614</v>
      </c>
      <c r="V2003">
        <v>4.6538339999999997E-2</v>
      </c>
      <c r="W2003">
        <v>1.0224469999999999E-2</v>
      </c>
      <c r="X2003">
        <v>0.99886419999999998</v>
      </c>
      <c r="Y2003">
        <v>9.6767110000000003E-2</v>
      </c>
      <c r="Z2003">
        <v>1.2661149999999999E-2</v>
      </c>
      <c r="AA2003">
        <v>0.99522650000000001</v>
      </c>
      <c r="AB2003">
        <v>40</v>
      </c>
      <c r="AC2003">
        <v>-0.534100000000023</v>
      </c>
      <c r="AD2003">
        <v>-0.15973480000000001</v>
      </c>
      <c r="AE2003">
        <v>7.7499999999986302E-2</v>
      </c>
      <c r="AF2003">
        <v>8.3216459595627595E-2</v>
      </c>
      <c r="AG2003">
        <v>-0.15973480000000001</v>
      </c>
      <c r="AH2003">
        <v>0.48919675340246899</v>
      </c>
      <c r="AI2003">
        <v>107.84339161693801</v>
      </c>
      <c r="AJ2003">
        <v>80.345920363642605</v>
      </c>
      <c r="AK2003">
        <v>0.52129996069267703</v>
      </c>
      <c r="AL2003">
        <v>89.414170827606696</v>
      </c>
      <c r="AM2003">
        <v>87.332446611259599</v>
      </c>
      <c r="AN2003">
        <v>1.0000000234591799</v>
      </c>
    </row>
    <row r="2004" spans="1:40" x14ac:dyDescent="0.25">
      <c r="A2004" t="str">
        <f>"20190312154254099"</f>
        <v>20190312154254099</v>
      </c>
      <c r="B2004" t="str">
        <f>"1552376574089513"</f>
        <v>1552376574089513</v>
      </c>
      <c r="C2004" t="s">
        <v>40</v>
      </c>
      <c r="D2004">
        <v>5.0573940000000004</v>
      </c>
      <c r="E2004">
        <v>0.50819539999999996</v>
      </c>
      <c r="F2004" t="s">
        <v>41</v>
      </c>
      <c r="G2004">
        <v>-310.6662</v>
      </c>
      <c r="H2004">
        <v>0.97980809999999996</v>
      </c>
      <c r="I2004">
        <v>283.12869999999998</v>
      </c>
      <c r="J2004">
        <v>-310.1653</v>
      </c>
      <c r="K2004">
        <v>1.111094</v>
      </c>
      <c r="L2004">
        <v>283.07100000000003</v>
      </c>
      <c r="M2004">
        <v>-0.99957099999999999</v>
      </c>
      <c r="N2004">
        <v>0</v>
      </c>
      <c r="O2004">
        <v>-2.511625E-2</v>
      </c>
      <c r="P2004">
        <v>-0.99978250000000002</v>
      </c>
      <c r="Q2004">
        <v>-4.2950820000000004E-3</v>
      </c>
      <c r="R2004">
        <v>2.041051E-2</v>
      </c>
      <c r="S2004">
        <v>-2.9951479999999999</v>
      </c>
      <c r="T2004">
        <v>-0.43688440000000001</v>
      </c>
      <c r="U2004">
        <v>0.15628049999999999</v>
      </c>
      <c r="V2004">
        <v>4.5496420000000003E-2</v>
      </c>
      <c r="W2004">
        <v>1.085529E-2</v>
      </c>
      <c r="X2004">
        <v>0.9989055</v>
      </c>
      <c r="Y2004">
        <v>7.6106939999999998E-2</v>
      </c>
      <c r="Z2004">
        <v>9.1602799999999998E-3</v>
      </c>
      <c r="AA2004">
        <v>0.99705759999999999</v>
      </c>
      <c r="AB2004">
        <v>40</v>
      </c>
      <c r="AC2004">
        <v>-0.50090000000000101</v>
      </c>
      <c r="AD2004">
        <v>-0.13128590000000001</v>
      </c>
      <c r="AE2004">
        <v>5.7700000000011097E-2</v>
      </c>
      <c r="AF2004">
        <v>6.5802736350624197E-2</v>
      </c>
      <c r="AG2004">
        <v>-0.13128590000000001</v>
      </c>
      <c r="AH2004">
        <v>0.46759137707241299</v>
      </c>
      <c r="AI2004">
        <v>105.537579226969</v>
      </c>
      <c r="AJ2004">
        <v>81.989539827183293</v>
      </c>
      <c r="AK2004">
        <v>0.49010986886872099</v>
      </c>
      <c r="AL2004">
        <v>89.378025469299303</v>
      </c>
      <c r="AM2004">
        <v>87.3921932034729</v>
      </c>
      <c r="AN2004">
        <v>0.99999997974202504</v>
      </c>
    </row>
    <row r="2005" spans="1:40" x14ac:dyDescent="0.25">
      <c r="A2005" t="str">
        <f>"20190312154254120"</f>
        <v>20190312154254120</v>
      </c>
      <c r="B2005" t="str">
        <f>"1552376574109034"</f>
        <v>1552376574109034</v>
      </c>
      <c r="C2005" t="s">
        <v>40</v>
      </c>
      <c r="D2005">
        <v>4.9968870000000001</v>
      </c>
      <c r="E2005">
        <v>0.50573199999999996</v>
      </c>
      <c r="F2005" t="s">
        <v>41</v>
      </c>
      <c r="G2005">
        <v>-311.0274</v>
      </c>
      <c r="H2005">
        <v>0.99746409999999996</v>
      </c>
      <c r="I2005">
        <v>283.10359999999997</v>
      </c>
      <c r="J2005">
        <v>-310.53789999999998</v>
      </c>
      <c r="K2005">
        <v>1.11104</v>
      </c>
      <c r="L2005">
        <v>283.06110000000001</v>
      </c>
      <c r="M2005">
        <v>-0.99955579999999999</v>
      </c>
      <c r="N2005">
        <v>0</v>
      </c>
      <c r="O2005">
        <v>-2.571054E-2</v>
      </c>
      <c r="P2005">
        <v>-0.99982910000000003</v>
      </c>
      <c r="Q2005">
        <v>-4.0433609999999997E-3</v>
      </c>
      <c r="R2005">
        <v>1.804416E-2</v>
      </c>
      <c r="S2005">
        <v>-2.9966430000000002</v>
      </c>
      <c r="T2005">
        <v>-0.39505030000000002</v>
      </c>
      <c r="U2005">
        <v>0.1133728</v>
      </c>
      <c r="V2005">
        <v>4.372736E-2</v>
      </c>
      <c r="W2005">
        <v>1.109369E-2</v>
      </c>
      <c r="X2005">
        <v>0.99898189999999998</v>
      </c>
      <c r="Y2005">
        <v>6.2724539999999995E-2</v>
      </c>
      <c r="Z2005">
        <v>7.4894200000000001E-3</v>
      </c>
      <c r="AA2005">
        <v>0.99800279999999997</v>
      </c>
      <c r="AB2005">
        <v>40</v>
      </c>
      <c r="AC2005">
        <v>-0.48950000000001997</v>
      </c>
      <c r="AD2005">
        <v>-0.11357589999999999</v>
      </c>
      <c r="AE2005">
        <v>4.2499999999961298E-2</v>
      </c>
      <c r="AF2005">
        <v>5.2279274740791797E-2</v>
      </c>
      <c r="AG2005">
        <v>-0.11357589999999999</v>
      </c>
      <c r="AH2005">
        <v>0.46348041362870801</v>
      </c>
      <c r="AI2005">
        <v>103.685512698678</v>
      </c>
      <c r="AJ2005">
        <v>83.564400558867206</v>
      </c>
      <c r="AK2005">
        <v>0.48004864487431997</v>
      </c>
      <c r="AL2005">
        <v>89.364365341741404</v>
      </c>
      <c r="AM2005">
        <v>87.493653369840601</v>
      </c>
      <c r="AN2005">
        <v>0.99999999424899699</v>
      </c>
    </row>
    <row r="2006" spans="1:40" x14ac:dyDescent="0.25">
      <c r="A2006" t="str">
        <f>"20190312154254134"</f>
        <v>20190312154254134</v>
      </c>
      <c r="B2006" t="str">
        <f>"1552376574129531"</f>
        <v>1552376574129531</v>
      </c>
      <c r="C2006" t="s">
        <v>40</v>
      </c>
      <c r="D2006">
        <v>4.9583349999999999</v>
      </c>
      <c r="E2006">
        <v>0.50432520000000003</v>
      </c>
      <c r="F2006" t="s">
        <v>41</v>
      </c>
      <c r="G2006">
        <v>-311.38409999999999</v>
      </c>
      <c r="H2006">
        <v>1.0068239999999999</v>
      </c>
      <c r="I2006">
        <v>283.08589999999998</v>
      </c>
      <c r="J2006">
        <v>-310.7749</v>
      </c>
      <c r="K2006">
        <v>1.1109929999999999</v>
      </c>
      <c r="L2006">
        <v>283.05470000000003</v>
      </c>
      <c r="M2006">
        <v>-0.99954739999999997</v>
      </c>
      <c r="N2006">
        <v>0</v>
      </c>
      <c r="O2006">
        <v>-2.6038249999999999E-2</v>
      </c>
      <c r="P2006">
        <v>-0.99984899999999999</v>
      </c>
      <c r="Q2006">
        <v>-3.8823E-3</v>
      </c>
      <c r="R2006">
        <v>1.6943719999999999E-2</v>
      </c>
      <c r="S2006">
        <v>-2.9974370000000001</v>
      </c>
      <c r="T2006">
        <v>-0.3691509</v>
      </c>
      <c r="U2006">
        <v>8.7463379999999993E-2</v>
      </c>
      <c r="V2006">
        <v>4.2956300000000003E-2</v>
      </c>
      <c r="W2006">
        <v>1.124532E-2</v>
      </c>
      <c r="X2006">
        <v>0.9990137</v>
      </c>
      <c r="Y2006">
        <v>5.457857E-2</v>
      </c>
      <c r="Z2006">
        <v>6.5418830000000001E-3</v>
      </c>
      <c r="AA2006">
        <v>0.99848809999999999</v>
      </c>
      <c r="AB2006">
        <v>39</v>
      </c>
      <c r="AC2006">
        <v>-0.60919999999998697</v>
      </c>
      <c r="AD2006">
        <v>-0.104169</v>
      </c>
      <c r="AE2006">
        <v>3.1199999999955701E-2</v>
      </c>
      <c r="AF2006">
        <v>4.5720416092670101E-2</v>
      </c>
      <c r="AG2006">
        <v>-0.104169</v>
      </c>
      <c r="AH2006">
        <v>0.59094761277887398</v>
      </c>
      <c r="AI2006">
        <v>99.9678958244141</v>
      </c>
      <c r="AJ2006">
        <v>85.575955061704903</v>
      </c>
      <c r="AK2006">
        <v>0.60179782157942097</v>
      </c>
      <c r="AL2006">
        <v>89.355677068107994</v>
      </c>
      <c r="AM2006">
        <v>87.537872066877497</v>
      </c>
      <c r="AN2006">
        <v>1.00000003685964</v>
      </c>
    </row>
    <row r="2007" spans="1:40" x14ac:dyDescent="0.25">
      <c r="A2007" t="str">
        <f>"20190312154254146"</f>
        <v>20190312154254146</v>
      </c>
      <c r="B2007" t="str">
        <f>"1552376574139290"</f>
        <v>1552376574139290</v>
      </c>
      <c r="C2007" t="s">
        <v>40</v>
      </c>
      <c r="D2007">
        <v>4.9762690000000003</v>
      </c>
      <c r="E2007">
        <v>0.50389030000000001</v>
      </c>
      <c r="F2007" t="s">
        <v>41</v>
      </c>
      <c r="G2007">
        <v>-311.73200000000003</v>
      </c>
      <c r="H2007">
        <v>0.99851749999999995</v>
      </c>
      <c r="I2007">
        <v>283.07839999999999</v>
      </c>
      <c r="J2007">
        <v>-311.00139999999999</v>
      </c>
      <c r="K2007">
        <v>1.1109439999999999</v>
      </c>
      <c r="L2007">
        <v>283.04860000000002</v>
      </c>
      <c r="M2007">
        <v>-0.99954019999999999</v>
      </c>
      <c r="N2007">
        <v>0</v>
      </c>
      <c r="O2007">
        <v>-2.6316200000000001E-2</v>
      </c>
      <c r="P2007">
        <v>-0.99987440000000005</v>
      </c>
      <c r="Q2007">
        <v>-3.4559019999999998E-3</v>
      </c>
      <c r="R2007">
        <v>1.547723E-2</v>
      </c>
      <c r="S2007">
        <v>-2.997833</v>
      </c>
      <c r="T2007">
        <v>-0.35228979999999999</v>
      </c>
      <c r="U2007">
        <v>7.3852539999999994E-2</v>
      </c>
      <c r="V2007">
        <v>4.1769679999999997E-2</v>
      </c>
      <c r="W2007">
        <v>1.1662519999999999E-2</v>
      </c>
      <c r="X2007">
        <v>0.99905920000000004</v>
      </c>
      <c r="Y2007">
        <v>5.0402839999999997E-2</v>
      </c>
      <c r="Z2007">
        <v>6.0327499999999999E-3</v>
      </c>
      <c r="AA2007">
        <v>0.99871080000000001</v>
      </c>
      <c r="AB2007">
        <v>39</v>
      </c>
      <c r="AC2007">
        <v>-0.730600000000038</v>
      </c>
      <c r="AD2007">
        <v>-0.1124265</v>
      </c>
      <c r="AE2007">
        <v>2.9799999999966E-2</v>
      </c>
      <c r="AF2007">
        <v>4.7886416414574903E-2</v>
      </c>
      <c r="AG2007">
        <v>-0.1124265</v>
      </c>
      <c r="AH2007">
        <v>0.71271371387579996</v>
      </c>
      <c r="AI2007">
        <v>98.944375525563601</v>
      </c>
      <c r="AJ2007">
        <v>86.156139556039804</v>
      </c>
      <c r="AK2007">
        <v>0.72311386705408698</v>
      </c>
      <c r="AL2007">
        <v>89.331771678705906</v>
      </c>
      <c r="AM2007">
        <v>87.605914256016803</v>
      </c>
      <c r="AN2007">
        <v>1.0000000028223399</v>
      </c>
    </row>
    <row r="2008" spans="1:40" x14ac:dyDescent="0.25">
      <c r="A2008" t="str">
        <f>"20190312154254165"</f>
        <v>20190312154254165</v>
      </c>
      <c r="B2008" t="str">
        <f>"1552376574159785"</f>
        <v>1552376574159785</v>
      </c>
      <c r="C2008" t="s">
        <v>40</v>
      </c>
      <c r="D2008">
        <v>4.9898259999999999</v>
      </c>
      <c r="E2008">
        <v>0.50316430000000001</v>
      </c>
      <c r="F2008" t="s">
        <v>41</v>
      </c>
      <c r="G2008">
        <v>-311.74509999999998</v>
      </c>
      <c r="H2008">
        <v>1.025393</v>
      </c>
      <c r="I2008">
        <v>283.06509999999997</v>
      </c>
      <c r="J2008">
        <v>-311.32310000000001</v>
      </c>
      <c r="K2008">
        <v>1.110852</v>
      </c>
      <c r="L2008">
        <v>283.03980000000001</v>
      </c>
      <c r="M2008">
        <v>-0.99953250000000005</v>
      </c>
      <c r="N2008">
        <v>0</v>
      </c>
      <c r="O2008">
        <v>-2.6616689999999998E-2</v>
      </c>
      <c r="P2008">
        <v>-0.99992210000000004</v>
      </c>
      <c r="Q2008">
        <v>-2.9347420000000002E-3</v>
      </c>
      <c r="R2008">
        <v>1.216219E-2</v>
      </c>
      <c r="S2008">
        <v>-2.9981990000000001</v>
      </c>
      <c r="T2008">
        <v>-0.3449275</v>
      </c>
      <c r="U2008">
        <v>6.6284179999999998E-2</v>
      </c>
      <c r="V2008">
        <v>3.8759309999999998E-2</v>
      </c>
      <c r="W2008">
        <v>1.2168409999999999E-2</v>
      </c>
      <c r="X2008">
        <v>0.99917449999999997</v>
      </c>
      <c r="Y2008">
        <v>4.8214559999999997E-2</v>
      </c>
      <c r="Z2008">
        <v>5.8159459999999998E-3</v>
      </c>
      <c r="AA2008">
        <v>0.99882009999999999</v>
      </c>
      <c r="AB2008">
        <v>39</v>
      </c>
      <c r="AC2008">
        <v>-0.42199999999996801</v>
      </c>
      <c r="AD2008">
        <v>-8.5458999999999896E-2</v>
      </c>
      <c r="AE2008">
        <v>2.52999999999588E-2</v>
      </c>
      <c r="AF2008">
        <v>3.50906329896091E-2</v>
      </c>
      <c r="AG2008">
        <v>-8.5458999999999896E-2</v>
      </c>
      <c r="AH2008">
        <v>0.40464200586578197</v>
      </c>
      <c r="AI2008">
        <v>101.882104683599</v>
      </c>
      <c r="AJ2008">
        <v>85.043698546394594</v>
      </c>
      <c r="AK2008">
        <v>0.41505390748153997</v>
      </c>
      <c r="AL2008">
        <v>89.302784269215493</v>
      </c>
      <c r="AM2008">
        <v>87.778534197064502</v>
      </c>
      <c r="AN2008">
        <v>1.0000000178819199</v>
      </c>
    </row>
    <row r="2009" spans="1:40" x14ac:dyDescent="0.25">
      <c r="A2009" t="str">
        <f>"20190312154254188"</f>
        <v>20190312154254188</v>
      </c>
      <c r="B2009" t="str">
        <f>"1552376574179309"</f>
        <v>1552376574179309</v>
      </c>
      <c r="C2009" t="s">
        <v>40</v>
      </c>
      <c r="D2009">
        <v>4.9472100000000001</v>
      </c>
      <c r="E2009">
        <v>0.50282759999999904</v>
      </c>
      <c r="F2009" t="s">
        <v>41</v>
      </c>
      <c r="G2009">
        <v>-312.09609999999998</v>
      </c>
      <c r="H2009">
        <v>1.024427</v>
      </c>
      <c r="I2009">
        <v>283.0532</v>
      </c>
      <c r="J2009">
        <v>-311.71629999999999</v>
      </c>
      <c r="K2009">
        <v>1.110733</v>
      </c>
      <c r="L2009">
        <v>283.029</v>
      </c>
      <c r="M2009">
        <v>-0.99952549999999996</v>
      </c>
      <c r="N2009">
        <v>0</v>
      </c>
      <c r="O2009">
        <v>-2.6871119999999998E-2</v>
      </c>
      <c r="P2009">
        <v>-0.99995670000000003</v>
      </c>
      <c r="Q2009">
        <v>-3.4322599999999999E-3</v>
      </c>
      <c r="R2009">
        <v>8.6495229999999992E-3</v>
      </c>
      <c r="S2009">
        <v>-2.9986269999999999</v>
      </c>
      <c r="T2009">
        <v>-0.33533879999999999</v>
      </c>
      <c r="U2009">
        <v>5.0903320000000002E-2</v>
      </c>
      <c r="V2009">
        <v>3.5506969999999999E-2</v>
      </c>
      <c r="W2009">
        <v>1.165394E-2</v>
      </c>
      <c r="X2009">
        <v>0.99930149999999995</v>
      </c>
      <c r="Y2009">
        <v>4.3399319999999998E-2</v>
      </c>
      <c r="Z2009">
        <v>5.4146840000000003E-3</v>
      </c>
      <c r="AA2009">
        <v>0.99904309999999996</v>
      </c>
      <c r="AB2009">
        <v>39</v>
      </c>
      <c r="AC2009">
        <v>-0.37979999999998798</v>
      </c>
      <c r="AD2009">
        <v>-8.6305999999999994E-2</v>
      </c>
      <c r="AE2009">
        <v>2.42000000000075E-2</v>
      </c>
      <c r="AF2009">
        <v>3.2715524527783202E-2</v>
      </c>
      <c r="AG2009">
        <v>-8.6305999999999994E-2</v>
      </c>
      <c r="AH2009">
        <v>0.36047349437647402</v>
      </c>
      <c r="AI2009">
        <v>103.411405954114</v>
      </c>
      <c r="AJ2009">
        <v>84.814208968868101</v>
      </c>
      <c r="AK2009">
        <v>0.37210236673409403</v>
      </c>
      <c r="AL2009">
        <v>89.3322633237578</v>
      </c>
      <c r="AM2009">
        <v>87.9650345529612</v>
      </c>
      <c r="AN2009">
        <v>1.0000000235691699</v>
      </c>
    </row>
    <row r="2010" spans="1:40" x14ac:dyDescent="0.25">
      <c r="A2010" t="str">
        <f>"20190312154254200"</f>
        <v>20190312154254200</v>
      </c>
      <c r="B2010" t="str">
        <f>"1552376574189066"</f>
        <v>1552376574189066</v>
      </c>
      <c r="C2010" t="s">
        <v>40</v>
      </c>
      <c r="D2010">
        <v>4.9539589999999896</v>
      </c>
      <c r="E2010">
        <v>0.50277039999999995</v>
      </c>
      <c r="F2010" t="s">
        <v>41</v>
      </c>
      <c r="G2010">
        <v>-312.45</v>
      </c>
      <c r="H2010">
        <v>1.0298240000000001</v>
      </c>
      <c r="I2010">
        <v>283.0385</v>
      </c>
      <c r="J2010">
        <v>-311.95049999999998</v>
      </c>
      <c r="K2010">
        <v>1.110663</v>
      </c>
      <c r="L2010">
        <v>283.02260000000001</v>
      </c>
      <c r="M2010">
        <v>-0.99952359999999896</v>
      </c>
      <c r="N2010">
        <v>0</v>
      </c>
      <c r="O2010">
        <v>-2.6942649999999999E-2</v>
      </c>
      <c r="P2010">
        <v>-0.99997349999999996</v>
      </c>
      <c r="Q2010">
        <v>-3.7182489999999999E-3</v>
      </c>
      <c r="R2010">
        <v>6.249915E-3</v>
      </c>
      <c r="S2010">
        <v>-2.9986570000000001</v>
      </c>
      <c r="T2010">
        <v>-0.33076860000000002</v>
      </c>
      <c r="U2010">
        <v>3.8146970000000002E-2</v>
      </c>
      <c r="V2010">
        <v>3.3182580000000003E-2</v>
      </c>
      <c r="W2010">
        <v>1.135832E-2</v>
      </c>
      <c r="X2010">
        <v>0.99938479999999996</v>
      </c>
      <c r="Y2010">
        <v>3.9257750000000001E-2</v>
      </c>
      <c r="Z2010">
        <v>5.1215540000000004E-3</v>
      </c>
      <c r="AA2010">
        <v>0.99921599999999999</v>
      </c>
      <c r="AB2010">
        <v>39</v>
      </c>
      <c r="AC2010">
        <v>-0.49950000000001099</v>
      </c>
      <c r="AD2010">
        <v>-8.08389999999998E-2</v>
      </c>
      <c r="AE2010">
        <v>1.5899999999987799E-2</v>
      </c>
      <c r="AF2010">
        <v>2.86051347302471E-2</v>
      </c>
      <c r="AG2010">
        <v>-8.08389999999998E-2</v>
      </c>
      <c r="AH2010">
        <v>0.48616927319228498</v>
      </c>
      <c r="AI2010">
        <v>99.424618346875206</v>
      </c>
      <c r="AJ2010">
        <v>86.632724010981903</v>
      </c>
      <c r="AK2010">
        <v>0.49367373826268102</v>
      </c>
      <c r="AL2010">
        <v>89.349202231660996</v>
      </c>
      <c r="AM2010">
        <v>88.098306489776306</v>
      </c>
      <c r="AN2010">
        <v>1.0000000367598501</v>
      </c>
    </row>
    <row r="2011" spans="1:40" x14ac:dyDescent="0.25">
      <c r="A2011" t="str">
        <f>"20190312154254212"</f>
        <v>20190312154254212</v>
      </c>
      <c r="B2011" t="str">
        <f>"1552376574209562"</f>
        <v>1552376574209562</v>
      </c>
      <c r="C2011" t="s">
        <v>40</v>
      </c>
      <c r="D2011">
        <v>4.97384</v>
      </c>
      <c r="E2011">
        <v>0.50293620000000006</v>
      </c>
      <c r="F2011" t="s">
        <v>41</v>
      </c>
      <c r="G2011">
        <v>-312.79509999999999</v>
      </c>
      <c r="H2011">
        <v>1.018173</v>
      </c>
      <c r="I2011">
        <v>283.03149999999999</v>
      </c>
      <c r="J2011">
        <v>-312.15730000000002</v>
      </c>
      <c r="K2011">
        <v>1.1106049999999901</v>
      </c>
      <c r="L2011">
        <v>283.017</v>
      </c>
      <c r="M2011">
        <v>-0.99952280000000004</v>
      </c>
      <c r="N2011">
        <v>0</v>
      </c>
      <c r="O2011">
        <v>-2.6975829999999999E-2</v>
      </c>
      <c r="P2011">
        <v>-0.99998290000000001</v>
      </c>
      <c r="Q2011">
        <v>-4.093719E-3</v>
      </c>
      <c r="R2011">
        <v>4.1940179999999999E-3</v>
      </c>
      <c r="S2011">
        <v>-2.9986570000000001</v>
      </c>
      <c r="T2011">
        <v>-0.32849620000000002</v>
      </c>
      <c r="U2011">
        <v>3.0334469999999999E-2</v>
      </c>
      <c r="V2011">
        <v>3.116292E-2</v>
      </c>
      <c r="W2011">
        <v>1.097449E-2</v>
      </c>
      <c r="X2011">
        <v>0.99945410000000001</v>
      </c>
      <c r="Y2011">
        <v>3.6708360000000002E-2</v>
      </c>
      <c r="Z2011">
        <v>4.9510320000000002E-3</v>
      </c>
      <c r="AA2011">
        <v>0.99931380000000003</v>
      </c>
      <c r="AB2011">
        <v>39</v>
      </c>
      <c r="AC2011">
        <v>-0.63779999999996995</v>
      </c>
      <c r="AD2011">
        <v>-9.2431999999999806E-2</v>
      </c>
      <c r="AE2011">
        <v>1.4499999999998099E-2</v>
      </c>
      <c r="AF2011">
        <v>3.1050056103459001E-2</v>
      </c>
      <c r="AG2011">
        <v>-9.2431999999999806E-2</v>
      </c>
      <c r="AH2011">
        <v>0.62407612044579497</v>
      </c>
      <c r="AI2011">
        <v>98.414578832312998</v>
      </c>
      <c r="AJ2011">
        <v>87.151675365703795</v>
      </c>
      <c r="AK2011">
        <v>0.63164767451380799</v>
      </c>
      <c r="AL2011">
        <v>89.371195438559795</v>
      </c>
      <c r="AM2011">
        <v>88.2140995619215</v>
      </c>
      <c r="AN2011">
        <v>1.0000000325102401</v>
      </c>
    </row>
    <row r="2012" spans="1:40" x14ac:dyDescent="0.25">
      <c r="A2012" t="str">
        <f>"20190312154254232"</f>
        <v>20190312154254232</v>
      </c>
      <c r="B2012" t="str">
        <f>"1552376574229081"</f>
        <v>1552376574229081</v>
      </c>
      <c r="C2012" t="s">
        <v>40</v>
      </c>
      <c r="D2012">
        <v>3.187252</v>
      </c>
      <c r="E2012">
        <v>0.51006309999999999</v>
      </c>
      <c r="F2012" t="s">
        <v>41</v>
      </c>
      <c r="G2012">
        <v>-313.13869999999997</v>
      </c>
      <c r="H2012">
        <v>1.003889</v>
      </c>
      <c r="I2012">
        <v>283.02550000000002</v>
      </c>
      <c r="J2012">
        <v>-312.50110000000001</v>
      </c>
      <c r="K2012">
        <v>1.110498</v>
      </c>
      <c r="L2012">
        <v>283.0077</v>
      </c>
      <c r="M2012">
        <v>-0.99952410000000003</v>
      </c>
      <c r="N2012">
        <v>0</v>
      </c>
      <c r="O2012">
        <v>-2.693541E-2</v>
      </c>
      <c r="P2012">
        <v>-0.99999059999999995</v>
      </c>
      <c r="Q2012">
        <v>-4.2896920000000003E-3</v>
      </c>
      <c r="R2012">
        <v>1.012811E-3</v>
      </c>
      <c r="S2012">
        <v>-2.9986269999999999</v>
      </c>
      <c r="T2012">
        <v>-0.326134599999999</v>
      </c>
      <c r="U2012">
        <v>2.5512699999999999E-2</v>
      </c>
      <c r="V2012">
        <v>2.794582E-2</v>
      </c>
      <c r="W2012">
        <v>1.0766599999999999E-2</v>
      </c>
      <c r="X2012">
        <v>0.99955150000000004</v>
      </c>
      <c r="Y2012">
        <v>3.5076540000000003E-2</v>
      </c>
      <c r="Z2012">
        <v>4.8228560000000004E-3</v>
      </c>
      <c r="AA2012">
        <v>0.99937299999999996</v>
      </c>
      <c r="AB2012">
        <v>39</v>
      </c>
      <c r="AC2012">
        <v>-0.63759999999996297</v>
      </c>
      <c r="AD2012">
        <v>-0.106608999999999</v>
      </c>
      <c r="AE2012">
        <v>1.7800000000022399E-2</v>
      </c>
      <c r="AF2012">
        <v>3.4019164825839401E-2</v>
      </c>
      <c r="AG2012">
        <v>-0.106608999999999</v>
      </c>
      <c r="AH2012">
        <v>0.61958094928809204</v>
      </c>
      <c r="AI2012">
        <v>99.748669195309503</v>
      </c>
      <c r="AJ2012">
        <v>86.857231702491902</v>
      </c>
      <c r="AK2012">
        <v>0.62960569817718504</v>
      </c>
      <c r="AL2012">
        <v>89.383107369233699</v>
      </c>
      <c r="AM2012">
        <v>88.398521197573601</v>
      </c>
      <c r="AN2012">
        <v>1.00000004484164</v>
      </c>
    </row>
    <row r="2013" spans="1:40" x14ac:dyDescent="0.25">
      <c r="A2013" t="str">
        <f>"20190312154254336"</f>
        <v>20190312154254336</v>
      </c>
      <c r="B2013" t="str">
        <f>"1552376574329610"</f>
        <v>1552376574329610</v>
      </c>
      <c r="C2013" t="s">
        <v>40</v>
      </c>
      <c r="D2013">
        <v>4.5464949999999904</v>
      </c>
      <c r="E2013">
        <v>0.50995630000000003</v>
      </c>
      <c r="F2013" t="s">
        <v>41</v>
      </c>
      <c r="G2013">
        <v>-314.80590000000001</v>
      </c>
      <c r="H2013">
        <v>0.8262758</v>
      </c>
      <c r="I2013">
        <v>282.99740000000003</v>
      </c>
      <c r="J2013">
        <v>-314.32049999999998</v>
      </c>
      <c r="K2013">
        <v>1.109923</v>
      </c>
      <c r="L2013">
        <v>282.96120000000002</v>
      </c>
      <c r="M2013">
        <v>-0.99957390000000002</v>
      </c>
      <c r="N2013">
        <v>0</v>
      </c>
      <c r="O2013">
        <v>-2.5020420000000002E-2</v>
      </c>
      <c r="P2013">
        <v>-0.99999919999999998</v>
      </c>
      <c r="Q2013" s="1">
        <v>-3.6487360000000003E-5</v>
      </c>
      <c r="R2013">
        <v>1.3512210000000001E-3</v>
      </c>
      <c r="S2013">
        <v>-2.9992369999999999</v>
      </c>
      <c r="T2013">
        <v>-1.1197680000000001</v>
      </c>
      <c r="U2013">
        <v>0.114624</v>
      </c>
      <c r="V2013">
        <v>2.638925E-2</v>
      </c>
      <c r="W2013">
        <v>1.4961459999999999E-2</v>
      </c>
      <c r="X2013">
        <v>0.99953979999999998</v>
      </c>
      <c r="Y2013">
        <v>5.761778E-2</v>
      </c>
      <c r="Z2013">
        <v>1.9436720000000001E-2</v>
      </c>
      <c r="AA2013">
        <v>0.99814950000000002</v>
      </c>
      <c r="AB2013">
        <v>39</v>
      </c>
      <c r="AC2013">
        <v>-0.48540000000002598</v>
      </c>
      <c r="AD2013">
        <v>-0.28364719999999999</v>
      </c>
      <c r="AE2013">
        <v>3.6200000000007997E-2</v>
      </c>
      <c r="AF2013">
        <v>3.6082028429029897E-2</v>
      </c>
      <c r="AG2013">
        <v>-0.28364719999999999</v>
      </c>
      <c r="AH2013">
        <v>0.36156131486959397</v>
      </c>
      <c r="AI2013">
        <v>127.976629513923</v>
      </c>
      <c r="AJ2013">
        <v>84.301033770564004</v>
      </c>
      <c r="AK2013">
        <v>0.460960118940482</v>
      </c>
      <c r="AL2013">
        <v>89.142739523585902</v>
      </c>
      <c r="AM2013">
        <v>88.487662529318001</v>
      </c>
      <c r="AN2013">
        <v>1.0000000247924601</v>
      </c>
    </row>
    <row r="2014" spans="1:40" x14ac:dyDescent="0.25">
      <c r="A2014" t="str">
        <f>"20190312154254355"</f>
        <v>20190312154254355</v>
      </c>
      <c r="B2014" t="str">
        <f>"1552376574349130"</f>
        <v>1552376574349130</v>
      </c>
      <c r="C2014" t="s">
        <v>40</v>
      </c>
      <c r="D2014">
        <v>4.8581949999999896</v>
      </c>
      <c r="E2014">
        <v>0.50709529999999903</v>
      </c>
      <c r="F2014" t="s">
        <v>41</v>
      </c>
      <c r="G2014">
        <v>-315.16149999999999</v>
      </c>
      <c r="H2014">
        <v>0.84484169999999903</v>
      </c>
      <c r="I2014">
        <v>282.97730000000001</v>
      </c>
      <c r="J2014">
        <v>-314.64600000000002</v>
      </c>
      <c r="K2014">
        <v>1.109823</v>
      </c>
      <c r="L2014">
        <v>282.95359999999999</v>
      </c>
      <c r="M2014">
        <v>-0.99958930000000001</v>
      </c>
      <c r="N2014">
        <v>0</v>
      </c>
      <c r="O2014">
        <v>-2.440763E-2</v>
      </c>
      <c r="P2014">
        <v>-0.99999320000000003</v>
      </c>
      <c r="Q2014">
        <v>4.5254550000000001E-4</v>
      </c>
      <c r="R2014">
        <v>3.7041980000000001E-3</v>
      </c>
      <c r="S2014">
        <v>-2.9998779999999998</v>
      </c>
      <c r="T2014">
        <v>-0.94557519999999995</v>
      </c>
      <c r="U2014">
        <v>5.6610109999999998E-2</v>
      </c>
      <c r="V2014">
        <v>2.8132870000000001E-2</v>
      </c>
      <c r="W2014">
        <v>1.5438250000000001E-2</v>
      </c>
      <c r="X2014">
        <v>0.99948499999999996</v>
      </c>
      <c r="Y2014">
        <v>4.0138109999999998E-2</v>
      </c>
      <c r="Z2014">
        <v>1.368689E-2</v>
      </c>
      <c r="AA2014">
        <v>0.9991004</v>
      </c>
      <c r="AB2014">
        <v>39</v>
      </c>
      <c r="AC2014">
        <v>-0.51550000000003104</v>
      </c>
      <c r="AD2014">
        <v>-0.26498129999999998</v>
      </c>
      <c r="AE2014">
        <v>2.3700000000019299E-2</v>
      </c>
      <c r="AF2014">
        <v>2.8707312964611001E-2</v>
      </c>
      <c r="AG2014">
        <v>-0.26498129999999998</v>
      </c>
      <c r="AH2014">
        <v>0.40736031021831998</v>
      </c>
      <c r="AI2014">
        <v>122.978515324607</v>
      </c>
      <c r="AJ2014">
        <v>85.968941792069401</v>
      </c>
      <c r="AK2014">
        <v>0.48680758160540599</v>
      </c>
      <c r="AL2014">
        <v>89.115418319027697</v>
      </c>
      <c r="AM2014">
        <v>88.387700434427202</v>
      </c>
      <c r="AN2014">
        <v>1.0000000315812401</v>
      </c>
    </row>
    <row r="2015" spans="1:40" x14ac:dyDescent="0.25">
      <c r="A2015" t="str">
        <f>"20190312154254368"</f>
        <v>20190312154254368</v>
      </c>
      <c r="B2015" t="str">
        <f>"1552376574358890"</f>
        <v>1552376574358890</v>
      </c>
      <c r="C2015" t="s">
        <v>40</v>
      </c>
      <c r="D2015">
        <v>5.9397679999999999</v>
      </c>
      <c r="E2015">
        <v>0.49382150000000002</v>
      </c>
      <c r="F2015" t="s">
        <v>41</v>
      </c>
      <c r="G2015">
        <v>-315.5154</v>
      </c>
      <c r="H2015">
        <v>0.85896919999999899</v>
      </c>
      <c r="I2015">
        <v>282.96620000000001</v>
      </c>
      <c r="J2015">
        <v>-314.88170000000002</v>
      </c>
      <c r="K2015">
        <v>1.109753</v>
      </c>
      <c r="L2015">
        <v>282.94819999999999</v>
      </c>
      <c r="M2015">
        <v>-0.99960079999999996</v>
      </c>
      <c r="N2015">
        <v>0</v>
      </c>
      <c r="O2015">
        <v>-2.3930360000000001E-2</v>
      </c>
      <c r="P2015">
        <v>-0.99998549999999997</v>
      </c>
      <c r="Q2015">
        <v>2.7594160000000002E-4</v>
      </c>
      <c r="R2015">
        <v>5.4030939999999998E-3</v>
      </c>
      <c r="S2015">
        <v>-3.0002439999999999</v>
      </c>
      <c r="T2015">
        <v>-0.86573159999999905</v>
      </c>
      <c r="U2015">
        <v>4.2663569999999998E-2</v>
      </c>
      <c r="V2015">
        <v>2.9356139999999999E-2</v>
      </c>
      <c r="W2015">
        <v>1.52523E-2</v>
      </c>
      <c r="X2015">
        <v>0.99945269999999997</v>
      </c>
      <c r="Y2015">
        <v>3.5712099999999997E-2</v>
      </c>
      <c r="Z2015">
        <v>1.181656E-2</v>
      </c>
      <c r="AA2015">
        <v>0.99929230000000002</v>
      </c>
      <c r="AB2015">
        <v>39</v>
      </c>
      <c r="AC2015">
        <v>-0.63369999999997595</v>
      </c>
      <c r="AD2015">
        <v>-0.2507838</v>
      </c>
      <c r="AE2015">
        <v>1.80000000000291E-2</v>
      </c>
      <c r="AF2015">
        <v>2.8674073080705499E-2</v>
      </c>
      <c r="AG2015">
        <v>-0.2507838</v>
      </c>
      <c r="AH2015">
        <v>0.54742257717555798</v>
      </c>
      <c r="AI2015">
        <v>114.583630970596</v>
      </c>
      <c r="AJ2015">
        <v>87.001579085940904</v>
      </c>
      <c r="AK2015">
        <v>0.60281522443532198</v>
      </c>
      <c r="AL2015">
        <v>89.126073746252302</v>
      </c>
      <c r="AM2015">
        <v>88.317579733750307</v>
      </c>
      <c r="AN2015">
        <v>1.0000000575741299</v>
      </c>
    </row>
    <row r="2016" spans="1:40" x14ac:dyDescent="0.25">
      <c r="A2016" t="str">
        <f>"20190312154254380"</f>
        <v>20190312154254380</v>
      </c>
      <c r="B2016" t="str">
        <f>"1552376574369626"</f>
        <v>1552376574369626</v>
      </c>
      <c r="C2016" t="s">
        <v>40</v>
      </c>
      <c r="D2016">
        <v>4.8023879999999997</v>
      </c>
      <c r="E2016">
        <v>0.49400830000000001</v>
      </c>
      <c r="F2016" t="s">
        <v>41</v>
      </c>
      <c r="G2016">
        <v>-315.93540000000002</v>
      </c>
      <c r="H2016">
        <v>1.014289</v>
      </c>
      <c r="I2016">
        <v>282.93369999999999</v>
      </c>
      <c r="J2016">
        <v>-315.0992</v>
      </c>
      <c r="K2016">
        <v>1.1096969999999999</v>
      </c>
      <c r="L2016">
        <v>282.9434</v>
      </c>
      <c r="M2016">
        <v>-0.9996121</v>
      </c>
      <c r="N2016">
        <v>0</v>
      </c>
      <c r="O2016">
        <v>-2.345235E-2</v>
      </c>
      <c r="P2016">
        <v>-0.99997659999999999</v>
      </c>
      <c r="Q2016">
        <v>2.2641480000000001E-4</v>
      </c>
      <c r="R2016">
        <v>6.8269730000000001E-3</v>
      </c>
      <c r="S2016">
        <v>-3.0003660000000001</v>
      </c>
      <c r="T2016">
        <v>-0.27182889999999998</v>
      </c>
      <c r="U2016">
        <v>-4.1137699999999902E-2</v>
      </c>
      <c r="V2016">
        <v>3.0303389999999999E-2</v>
      </c>
      <c r="W2016">
        <v>1.519509E-2</v>
      </c>
      <c r="X2016">
        <v>0.99942520000000001</v>
      </c>
      <c r="Y2016">
        <v>9.6115869999999996E-3</v>
      </c>
      <c r="Z2016">
        <v>2.5548049999999998E-3</v>
      </c>
      <c r="AA2016">
        <v>0.99995049999999996</v>
      </c>
      <c r="AB2016">
        <v>39</v>
      </c>
      <c r="AC2016">
        <v>-0.83620000000001904</v>
      </c>
      <c r="AD2016">
        <v>-9.5407999999999896E-2</v>
      </c>
      <c r="AE2016">
        <v>-9.7000000000093695E-3</v>
      </c>
      <c r="AF2016">
        <v>9.7883276712584198E-3</v>
      </c>
      <c r="AG2016">
        <v>-9.5407999999999896E-2</v>
      </c>
      <c r="AH2016">
        <v>0.82545304419031396</v>
      </c>
      <c r="AI2016">
        <v>96.592679007783204</v>
      </c>
      <c r="AJ2016">
        <v>89.320611168433999</v>
      </c>
      <c r="AK2016">
        <v>0.83100615279651002</v>
      </c>
      <c r="AL2016">
        <v>89.129351931080194</v>
      </c>
      <c r="AM2016">
        <v>88.263277163400801</v>
      </c>
      <c r="AN2016">
        <v>0.99999995830031896</v>
      </c>
    </row>
    <row r="2017" spans="1:40" x14ac:dyDescent="0.25">
      <c r="A2017" t="str">
        <f>"20190312154254394"</f>
        <v>20190312154254394</v>
      </c>
      <c r="B2017" t="str">
        <f>"1552376574389145"</f>
        <v>1552376574389145</v>
      </c>
      <c r="C2017" t="s">
        <v>40</v>
      </c>
      <c r="D2017">
        <v>4.753927</v>
      </c>
      <c r="E2017">
        <v>0.49506240000000001</v>
      </c>
      <c r="F2017" t="s">
        <v>50</v>
      </c>
      <c r="G2017">
        <v>-330.5299</v>
      </c>
      <c r="H2017" s="1">
        <v>-1.1740539999999999E-6</v>
      </c>
      <c r="I2017">
        <v>282.76909999999998</v>
      </c>
      <c r="J2017">
        <v>-315.31270000000001</v>
      </c>
      <c r="K2017">
        <v>1.1096429999999999</v>
      </c>
      <c r="L2017">
        <v>282.93880000000001</v>
      </c>
      <c r="M2017">
        <v>-0.9996235</v>
      </c>
      <c r="N2017">
        <v>0</v>
      </c>
      <c r="O2017">
        <v>-2.2969079999999999E-2</v>
      </c>
      <c r="P2017">
        <v>-0.99996600000000002</v>
      </c>
      <c r="Q2017" s="1">
        <v>-2.7704979999999998E-5</v>
      </c>
      <c r="R2017">
        <v>8.2469810000000005E-3</v>
      </c>
      <c r="S2017">
        <v>-3.0003660000000001</v>
      </c>
      <c r="T2017">
        <v>-0.21577070000000001</v>
      </c>
      <c r="U2017">
        <v>-3.3874509999999997E-2</v>
      </c>
      <c r="V2017">
        <v>3.1240980000000002E-2</v>
      </c>
      <c r="W2017">
        <v>1.4932859999999999E-2</v>
      </c>
      <c r="X2017">
        <v>0.99940030000000002</v>
      </c>
      <c r="Y2017">
        <v>1.159454E-2</v>
      </c>
      <c r="Z2017">
        <v>2.0660169999999999E-3</v>
      </c>
      <c r="AA2017">
        <v>0.9999306</v>
      </c>
      <c r="AB2017">
        <v>39</v>
      </c>
      <c r="AC2017">
        <v>-15.217199999999901</v>
      </c>
      <c r="AD2017">
        <v>-1.109644174054</v>
      </c>
      <c r="AE2017">
        <v>-0.16970000000003399</v>
      </c>
      <c r="AF2017">
        <v>0.178957773539104</v>
      </c>
      <c r="AG2017">
        <v>-1.109644174054</v>
      </c>
      <c r="AH2017">
        <v>15.1366055956093</v>
      </c>
      <c r="AI2017">
        <v>94.192484339594799</v>
      </c>
      <c r="AJ2017">
        <v>89.322632319035193</v>
      </c>
      <c r="AK2017">
        <v>15.1782793832091</v>
      </c>
      <c r="AL2017">
        <v>89.144378322793798</v>
      </c>
      <c r="AM2017">
        <v>88.209532650625107</v>
      </c>
      <c r="AN2017">
        <v>0.99999997438961397</v>
      </c>
    </row>
    <row r="2018" spans="1:40" x14ac:dyDescent="0.25">
      <c r="A2018" t="str">
        <f>"20190312154254410"</f>
        <v>20190312154254410</v>
      </c>
      <c r="B2018" t="str">
        <f>"1552376574398906"</f>
        <v>1552376574398906</v>
      </c>
      <c r="C2018" t="s">
        <v>40</v>
      </c>
      <c r="D2018">
        <v>4.688974</v>
      </c>
      <c r="E2018">
        <v>0.49415680000000001</v>
      </c>
      <c r="F2018" t="s">
        <v>50</v>
      </c>
      <c r="G2018">
        <v>-341.92739999999998</v>
      </c>
      <c r="H2018" s="1">
        <v>-5.1111959999999896E-7</v>
      </c>
      <c r="I2018">
        <v>282.7747</v>
      </c>
      <c r="J2018">
        <v>-315.60820000000001</v>
      </c>
      <c r="K2018">
        <v>1.1095759999999999</v>
      </c>
      <c r="L2018">
        <v>282.93259999999998</v>
      </c>
      <c r="M2018">
        <v>-0.99963930000000001</v>
      </c>
      <c r="N2018">
        <v>0</v>
      </c>
      <c r="O2018">
        <v>-2.2270829999999998E-2</v>
      </c>
      <c r="P2018">
        <v>-0.99992899999999996</v>
      </c>
      <c r="Q2018">
        <v>-8.731969E-4</v>
      </c>
      <c r="R2018">
        <v>1.190078E-2</v>
      </c>
      <c r="S2018">
        <v>-3.0002439999999999</v>
      </c>
      <c r="T2018">
        <v>-0.1250887</v>
      </c>
      <c r="U2018">
        <v>-1.849365E-2</v>
      </c>
      <c r="V2018">
        <v>3.4195799999999998E-2</v>
      </c>
      <c r="W2018">
        <v>1.407226E-2</v>
      </c>
      <c r="X2018">
        <v>0.99931610000000004</v>
      </c>
      <c r="Y2018">
        <v>1.60772E-2</v>
      </c>
      <c r="Z2018">
        <v>1.263157E-3</v>
      </c>
      <c r="AA2018">
        <v>0.99986989999999998</v>
      </c>
      <c r="AB2018">
        <v>39</v>
      </c>
      <c r="AC2018">
        <v>-26.319199999999899</v>
      </c>
      <c r="AD2018">
        <v>-1.1095765111196001</v>
      </c>
      <c r="AE2018">
        <v>-0.157899999999983</v>
      </c>
      <c r="AF2018">
        <v>0.42759568301567802</v>
      </c>
      <c r="AG2018">
        <v>-1.1095765111196001</v>
      </c>
      <c r="AH2018">
        <v>26.269499647038501</v>
      </c>
      <c r="AI2018">
        <v>92.418313266369694</v>
      </c>
      <c r="AJ2018">
        <v>89.067463600580894</v>
      </c>
      <c r="AK2018">
        <v>26.296399179505801</v>
      </c>
      <c r="AL2018">
        <v>89.193692300050003</v>
      </c>
      <c r="AM2018">
        <v>88.040148844073599</v>
      </c>
      <c r="AN2018">
        <v>1.00000002447917</v>
      </c>
    </row>
    <row r="2019" spans="1:40" x14ac:dyDescent="0.25">
      <c r="A2019" t="str">
        <f>"20190312154254433"</f>
        <v>20190312154254433</v>
      </c>
      <c r="B2019" t="str">
        <f>"1552376574429161"</f>
        <v>1552376574429161</v>
      </c>
      <c r="C2019" t="s">
        <v>40</v>
      </c>
      <c r="D2019">
        <v>4.6606120000000004</v>
      </c>
      <c r="E2019">
        <v>0.49403580000000002</v>
      </c>
      <c r="F2019" t="s">
        <v>50</v>
      </c>
      <c r="G2019">
        <v>-349.24639999999999</v>
      </c>
      <c r="H2019" s="1">
        <v>3.3836620000000001E-6</v>
      </c>
      <c r="I2019">
        <v>282.77379999999999</v>
      </c>
      <c r="J2019">
        <v>-315.99</v>
      </c>
      <c r="K2019">
        <v>1.1095120000000001</v>
      </c>
      <c r="L2019">
        <v>282.92489999999998</v>
      </c>
      <c r="M2019">
        <v>-0.99965999999999999</v>
      </c>
      <c r="N2019">
        <v>0</v>
      </c>
      <c r="O2019">
        <v>-2.1325529999999999E-2</v>
      </c>
      <c r="P2019">
        <v>-0.99988100000000002</v>
      </c>
      <c r="Q2019">
        <v>-1.171531E-3</v>
      </c>
      <c r="R2019">
        <v>1.539245E-2</v>
      </c>
      <c r="S2019">
        <v>-3.0003359999999999</v>
      </c>
      <c r="T2019">
        <v>-9.8967669999999994E-2</v>
      </c>
      <c r="U2019">
        <v>-1.416016E-2</v>
      </c>
      <c r="V2019">
        <v>3.6742230000000001E-2</v>
      </c>
      <c r="W2019">
        <v>1.3758050000000001E-2</v>
      </c>
      <c r="X2019">
        <v>0.99923010000000001</v>
      </c>
      <c r="Y2019">
        <v>1.6588680000000001E-2</v>
      </c>
      <c r="Z2019">
        <v>9.7678649999999897E-4</v>
      </c>
      <c r="AA2019">
        <v>0.99986189999999997</v>
      </c>
      <c r="AB2019">
        <v>39</v>
      </c>
      <c r="AC2019">
        <v>-33.2563999999999</v>
      </c>
      <c r="AD2019">
        <v>-1.1095086163379999</v>
      </c>
      <c r="AE2019">
        <v>-0.151099999999985</v>
      </c>
      <c r="AF2019">
        <v>0.55760394048078898</v>
      </c>
      <c r="AG2019">
        <v>-1.1095086163379999</v>
      </c>
      <c r="AH2019">
        <v>33.2150889745744</v>
      </c>
      <c r="AI2019">
        <v>91.912913340161495</v>
      </c>
      <c r="AJ2019">
        <v>89.038227726238304</v>
      </c>
      <c r="AK2019">
        <v>33.238292181053197</v>
      </c>
      <c r="AL2019">
        <v>89.211696957347897</v>
      </c>
      <c r="AM2019">
        <v>87.894152012787799</v>
      </c>
      <c r="AN2019">
        <v>1.0000000340755899</v>
      </c>
    </row>
    <row r="2020" spans="1:40" x14ac:dyDescent="0.25">
      <c r="A2020" t="str">
        <f>"20190312154254456"</f>
        <v>20190312154254456</v>
      </c>
      <c r="B2020" t="str">
        <f>"1552376574449660"</f>
        <v>1552376574449660</v>
      </c>
      <c r="C2020" t="s">
        <v>40</v>
      </c>
      <c r="D2020">
        <v>4.607081</v>
      </c>
      <c r="E2020">
        <v>0.49381599999999998</v>
      </c>
      <c r="F2020" t="s">
        <v>50</v>
      </c>
      <c r="G2020">
        <v>-362.02949999999998</v>
      </c>
      <c r="H2020" s="1">
        <v>-4.5678980000000002E-7</v>
      </c>
      <c r="I2020">
        <v>282.86590000000001</v>
      </c>
      <c r="J2020">
        <v>-316.39589999999998</v>
      </c>
      <c r="K2020">
        <v>1.1094550000000001</v>
      </c>
      <c r="L2020">
        <v>282.91719999999998</v>
      </c>
      <c r="M2020">
        <v>-0.99968179999999995</v>
      </c>
      <c r="N2020">
        <v>0</v>
      </c>
      <c r="O2020">
        <v>-2.0282049999999999E-2</v>
      </c>
      <c r="P2020">
        <v>-0.99982819999999994</v>
      </c>
      <c r="Q2020">
        <v>-7.6452460000000003E-4</v>
      </c>
      <c r="R2020">
        <v>1.85297E-2</v>
      </c>
      <c r="S2020">
        <v>-3.0003660000000001</v>
      </c>
      <c r="T2020">
        <v>-7.2306159999999994E-2</v>
      </c>
      <c r="U2020">
        <v>-3.8452149999999999E-3</v>
      </c>
      <c r="V2020">
        <v>3.8837339999999998E-2</v>
      </c>
      <c r="W2020">
        <v>1.4149500000000001E-2</v>
      </c>
      <c r="X2020">
        <v>0.99914539999999996</v>
      </c>
      <c r="Y2020">
        <v>1.8991589999999999E-2</v>
      </c>
      <c r="Z2020">
        <v>7.1754329999999995E-4</v>
      </c>
      <c r="AA2020">
        <v>0.99981940000000002</v>
      </c>
      <c r="AB2020">
        <v>39</v>
      </c>
      <c r="AC2020">
        <v>-45.633600000000001</v>
      </c>
      <c r="AD2020">
        <v>-1.1094554567897901</v>
      </c>
      <c r="AE2020">
        <v>-5.1299999999969197E-2</v>
      </c>
      <c r="AF2020">
        <v>0.87384110972280404</v>
      </c>
      <c r="AG2020">
        <v>-1.1094554567897901</v>
      </c>
      <c r="AH2020">
        <v>45.598299096656199</v>
      </c>
      <c r="AI2020">
        <v>91.393536918268495</v>
      </c>
      <c r="AJ2020">
        <v>88.902123966762503</v>
      </c>
      <c r="AK2020">
        <v>45.620164074713301</v>
      </c>
      <c r="AL2020">
        <v>89.189266345122704</v>
      </c>
      <c r="AM2020">
        <v>87.774001685312498</v>
      </c>
      <c r="AN2020">
        <v>1.00000003883484</v>
      </c>
    </row>
    <row r="2021" spans="1:40" x14ac:dyDescent="0.25">
      <c r="A2021" t="str">
        <f>"20190312154254479"</f>
        <v>20190312154254479</v>
      </c>
      <c r="B2021" t="str">
        <f>"1552376574469178"</f>
        <v>1552376574469178</v>
      </c>
      <c r="C2021" t="s">
        <v>40</v>
      </c>
      <c r="D2021">
        <v>4.6036659999999996</v>
      </c>
      <c r="E2021">
        <v>0.49317179999999999</v>
      </c>
      <c r="F2021" t="s">
        <v>50</v>
      </c>
      <c r="G2021">
        <v>-370.70839999999998</v>
      </c>
      <c r="H2021" s="1">
        <v>-1.159805E-6</v>
      </c>
      <c r="I2021">
        <v>282.99560000000002</v>
      </c>
      <c r="J2021">
        <v>-316.79820000000001</v>
      </c>
      <c r="K2021">
        <v>1.109405</v>
      </c>
      <c r="L2021">
        <v>282.91000000000003</v>
      </c>
      <c r="M2021">
        <v>-0.99970289999999995</v>
      </c>
      <c r="N2021">
        <v>0</v>
      </c>
      <c r="O2021">
        <v>-1.9214829999999999E-2</v>
      </c>
      <c r="P2021">
        <v>-0.99977530000000003</v>
      </c>
      <c r="Q2021">
        <v>5.1371380000000001E-4</v>
      </c>
      <c r="R2021">
        <v>2.1190759999999999E-2</v>
      </c>
      <c r="S2021">
        <v>-3.000397</v>
      </c>
      <c r="T2021">
        <v>-6.1289910000000003E-2</v>
      </c>
      <c r="U2021">
        <v>4.333496E-3</v>
      </c>
      <c r="V2021">
        <v>4.0434680000000001E-2</v>
      </c>
      <c r="W2021">
        <v>1.5413929999999999E-2</v>
      </c>
      <c r="X2021">
        <v>0.99906329999999999</v>
      </c>
      <c r="Y2021">
        <v>2.06527E-2</v>
      </c>
      <c r="Z2021">
        <v>6.0340969999999998E-4</v>
      </c>
      <c r="AA2021">
        <v>0.99978659999999997</v>
      </c>
      <c r="AB2021">
        <v>39</v>
      </c>
      <c r="AC2021">
        <v>-53.910199999999897</v>
      </c>
      <c r="AD2021">
        <v>-1.109406159805</v>
      </c>
      <c r="AE2021">
        <v>8.5599999999999399E-2</v>
      </c>
      <c r="AF2021">
        <v>1.1211012562553599</v>
      </c>
      <c r="AG2021">
        <v>-1.109406159805</v>
      </c>
      <c r="AH2021">
        <v>53.8757841900199</v>
      </c>
      <c r="AI2021">
        <v>91.179408481862396</v>
      </c>
      <c r="AJ2021">
        <v>88.807904102149195</v>
      </c>
      <c r="AK2021">
        <v>53.898866148962703</v>
      </c>
      <c r="AL2021">
        <v>89.116811903515497</v>
      </c>
      <c r="AM2021">
        <v>87.682356273146198</v>
      </c>
      <c r="AN2021">
        <v>1.0000000149958099</v>
      </c>
    </row>
    <row r="2022" spans="1:40" x14ac:dyDescent="0.25">
      <c r="A2022" t="str">
        <f>"20190312154254499"</f>
        <v>20190312154254499</v>
      </c>
      <c r="B2022" t="str">
        <f>"1552376574489674"</f>
        <v>1552376574489674</v>
      </c>
      <c r="C2022" t="s">
        <v>40</v>
      </c>
      <c r="D2022">
        <v>4.5880510000000001</v>
      </c>
      <c r="E2022">
        <v>0.49229519999999999</v>
      </c>
      <c r="F2022" t="s">
        <v>50</v>
      </c>
      <c r="G2022">
        <v>-382.48820000000001</v>
      </c>
      <c r="H2022" s="1">
        <v>-2.127013E-7</v>
      </c>
      <c r="I2022">
        <v>283.07100000000003</v>
      </c>
      <c r="J2022">
        <v>-317.154</v>
      </c>
      <c r="K2022">
        <v>1.1093599999999999</v>
      </c>
      <c r="L2022">
        <v>282.904</v>
      </c>
      <c r="M2022">
        <v>-0.99972119999999998</v>
      </c>
      <c r="N2022">
        <v>0</v>
      </c>
      <c r="O2022">
        <v>-1.8235910000000001E-2</v>
      </c>
      <c r="P2022">
        <v>-0.99973069999999997</v>
      </c>
      <c r="Q2022">
        <v>9.3436799999999998E-4</v>
      </c>
      <c r="R2022">
        <v>2.3186689999999999E-2</v>
      </c>
      <c r="S2022">
        <v>-3.0004879999999998</v>
      </c>
      <c r="T2022">
        <v>-5.0673719999999998E-2</v>
      </c>
      <c r="U2022">
        <v>7.3547359999999997E-3</v>
      </c>
      <c r="V2022">
        <v>4.1453869999999997E-2</v>
      </c>
      <c r="W2022">
        <v>1.5823009999999998E-2</v>
      </c>
      <c r="X2022">
        <v>0.99901510000000004</v>
      </c>
      <c r="Y2022">
        <v>2.0683119999999999E-2</v>
      </c>
      <c r="Z2022">
        <v>4.8261879999999998E-4</v>
      </c>
      <c r="AA2022">
        <v>0.99978599999999995</v>
      </c>
      <c r="AB2022">
        <v>39</v>
      </c>
      <c r="AC2022">
        <v>-65.334199999999996</v>
      </c>
      <c r="AD2022">
        <v>-1.1093602127013</v>
      </c>
      <c r="AE2022">
        <v>0.166999999999973</v>
      </c>
      <c r="AF2022">
        <v>1.35814328991157</v>
      </c>
      <c r="AG2022">
        <v>-1.1093602127013</v>
      </c>
      <c r="AH2022">
        <v>65.301460391998106</v>
      </c>
      <c r="AI2022">
        <v>90.973053366455403</v>
      </c>
      <c r="AJ2022">
        <v>88.808531065880601</v>
      </c>
      <c r="AK2022">
        <v>65.325002584042494</v>
      </c>
      <c r="AL2022">
        <v>89.093370455663703</v>
      </c>
      <c r="AM2022">
        <v>87.6238897448074</v>
      </c>
      <c r="AN2022">
        <v>0.99999998050572303</v>
      </c>
    </row>
    <row r="2023" spans="1:40" x14ac:dyDescent="0.25">
      <c r="A2023" t="str">
        <f>"20190312154254521"</f>
        <v>20190312154254521</v>
      </c>
      <c r="B2023" t="str">
        <f>"1552376574509194"</f>
        <v>1552376574509194</v>
      </c>
      <c r="C2023" t="s">
        <v>40</v>
      </c>
      <c r="D2023">
        <v>4.575151</v>
      </c>
      <c r="E2023">
        <v>0.49140410000000001</v>
      </c>
      <c r="F2023" t="s">
        <v>50</v>
      </c>
      <c r="G2023">
        <v>-392.98320000000001</v>
      </c>
      <c r="H2023" s="1">
        <v>5.0704899999999998E-8</v>
      </c>
      <c r="I2023">
        <v>283.07060000000001</v>
      </c>
      <c r="J2023">
        <v>-317.53739999999999</v>
      </c>
      <c r="K2023">
        <v>1.109291</v>
      </c>
      <c r="L2023">
        <v>282.89800000000002</v>
      </c>
      <c r="M2023">
        <v>-0.99974090000000004</v>
      </c>
      <c r="N2023">
        <v>0</v>
      </c>
      <c r="O2023">
        <v>-1.713081E-2</v>
      </c>
      <c r="P2023">
        <v>-0.99970409999999998</v>
      </c>
      <c r="Q2023">
        <v>-3.6249589999999999E-4</v>
      </c>
      <c r="R2023">
        <v>2.4329090000000001E-2</v>
      </c>
      <c r="S2023">
        <v>-3.000702</v>
      </c>
      <c r="T2023">
        <v>-4.3899420000000001E-2</v>
      </c>
      <c r="U2023">
        <v>6.5917969999999999E-3</v>
      </c>
      <c r="V2023">
        <v>4.1490340000000001E-2</v>
      </c>
      <c r="W2023">
        <v>1.4516619999999999E-2</v>
      </c>
      <c r="X2023">
        <v>0.99903350000000002</v>
      </c>
      <c r="Y2023">
        <v>1.9325220000000001E-2</v>
      </c>
      <c r="Z2023">
        <v>3.9197880000000002E-4</v>
      </c>
      <c r="AA2023">
        <v>0.99981319999999996</v>
      </c>
      <c r="AB2023">
        <v>39</v>
      </c>
      <c r="AC2023">
        <v>-75.445800000000006</v>
      </c>
      <c r="AD2023">
        <v>-1.1092909492951</v>
      </c>
      <c r="AE2023">
        <v>0.172600000000045</v>
      </c>
      <c r="AF2023">
        <v>1.46485086831125</v>
      </c>
      <c r="AG2023">
        <v>-1.1092909492951</v>
      </c>
      <c r="AH2023">
        <v>75.415465823227507</v>
      </c>
      <c r="AI2023">
        <v>90.842547642452402</v>
      </c>
      <c r="AJ2023">
        <v>88.887241247121395</v>
      </c>
      <c r="AK2023">
        <v>75.437847263896501</v>
      </c>
      <c r="AL2023">
        <v>89.168229773691195</v>
      </c>
      <c r="AM2023">
        <v>87.6218454569442</v>
      </c>
      <c r="AN2023">
        <v>1.00000005734589</v>
      </c>
    </row>
    <row r="2024" spans="1:40" x14ac:dyDescent="0.25">
      <c r="A2024" t="str">
        <f>"20190312154254544"</f>
        <v>20190312154254544</v>
      </c>
      <c r="B2024" t="str">
        <f>"1552376574539450"</f>
        <v>1552376574539450</v>
      </c>
      <c r="C2024" t="s">
        <v>40</v>
      </c>
      <c r="D2024">
        <v>4.5943719999999999</v>
      </c>
      <c r="E2024">
        <v>0.49040689999999998</v>
      </c>
      <c r="F2024" t="s">
        <v>50</v>
      </c>
      <c r="G2024">
        <v>-390.96539999999999</v>
      </c>
      <c r="H2024" s="1">
        <v>-1.023069E-6</v>
      </c>
      <c r="I2024">
        <v>282.96820000000002</v>
      </c>
      <c r="J2024">
        <v>-317.92180000000002</v>
      </c>
      <c r="K2024">
        <v>1.109208</v>
      </c>
      <c r="L2024">
        <v>282.89249999999998</v>
      </c>
      <c r="M2024">
        <v>-0.9997606</v>
      </c>
      <c r="N2024">
        <v>0</v>
      </c>
      <c r="O2024">
        <v>-1.59514999999999E-2</v>
      </c>
      <c r="P2024">
        <v>-0.99967439999999996</v>
      </c>
      <c r="Q2024">
        <v>-1.5130160000000001E-3</v>
      </c>
      <c r="R2024">
        <v>2.5481199999999999E-2</v>
      </c>
      <c r="S2024">
        <v>-3.0007929999999998</v>
      </c>
      <c r="T2024">
        <v>-4.5333619999999998E-2</v>
      </c>
      <c r="U2024">
        <v>2.8686520000000002E-3</v>
      </c>
      <c r="V2024">
        <v>4.1462690000000003E-2</v>
      </c>
      <c r="W2024">
        <v>1.335564E-2</v>
      </c>
      <c r="X2024">
        <v>0.99905080000000002</v>
      </c>
      <c r="Y2024">
        <v>1.6905380000000001E-2</v>
      </c>
      <c r="Z2024">
        <v>3.6867809999999998E-4</v>
      </c>
      <c r="AA2024">
        <v>0.999857</v>
      </c>
      <c r="AB2024">
        <v>39</v>
      </c>
      <c r="AC2024">
        <v>-73.043599999999898</v>
      </c>
      <c r="AD2024">
        <v>-1.1092090230689999</v>
      </c>
      <c r="AE2024">
        <v>7.5700000000040193E-2</v>
      </c>
      <c r="AF2024">
        <v>1.24068993646762</v>
      </c>
      <c r="AG2024">
        <v>-1.1092090230689999</v>
      </c>
      <c r="AH2024">
        <v>73.016259021630802</v>
      </c>
      <c r="AI2024">
        <v>90.870202578392295</v>
      </c>
      <c r="AJ2024">
        <v>89.026525630444695</v>
      </c>
      <c r="AK2024">
        <v>73.035222582594997</v>
      </c>
      <c r="AL2024">
        <v>89.234755455316702</v>
      </c>
      <c r="AM2024">
        <v>87.623469595885396</v>
      </c>
      <c r="AN2024">
        <v>1.00000001438124</v>
      </c>
    </row>
    <row r="2025" spans="1:40" x14ac:dyDescent="0.25">
      <c r="A2025" t="str">
        <f>"20190312154254567"</f>
        <v>20190312154254567</v>
      </c>
      <c r="B2025" t="str">
        <f>"1552376574558970"</f>
        <v>1552376574558970</v>
      </c>
      <c r="C2025" t="s">
        <v>40</v>
      </c>
      <c r="D2025">
        <v>4.6302240000000001</v>
      </c>
      <c r="E2025">
        <v>0.49005290000000001</v>
      </c>
      <c r="F2025" t="s">
        <v>50</v>
      </c>
      <c r="G2025">
        <v>-387.61309999999997</v>
      </c>
      <c r="H2025" s="1">
        <v>2.5145109999999999E-6</v>
      </c>
      <c r="I2025">
        <v>282.86130000000003</v>
      </c>
      <c r="J2025">
        <v>-318.3175</v>
      </c>
      <c r="K2025">
        <v>1.1091120000000001</v>
      </c>
      <c r="L2025">
        <v>282.88729999999998</v>
      </c>
      <c r="M2025">
        <v>-0.99978049999999996</v>
      </c>
      <c r="N2025">
        <v>0</v>
      </c>
      <c r="O2025">
        <v>-1.464179E-2</v>
      </c>
      <c r="P2025">
        <v>-0.99965660000000001</v>
      </c>
      <c r="Q2025">
        <v>-2.8260160000000002E-3</v>
      </c>
      <c r="R2025">
        <v>2.6052280000000001E-2</v>
      </c>
      <c r="S2025">
        <v>-3.0009459999999999</v>
      </c>
      <c r="T2025">
        <v>-4.7762989999999998E-2</v>
      </c>
      <c r="U2025">
        <v>-1.34277299999999E-3</v>
      </c>
      <c r="V2025">
        <v>4.072336E-2</v>
      </c>
      <c r="W2025">
        <v>1.2033E-2</v>
      </c>
      <c r="X2025">
        <v>0.99909800000000004</v>
      </c>
      <c r="Y2025">
        <v>1.4192379999999999E-2</v>
      </c>
      <c r="Z2025">
        <v>3.45979E-4</v>
      </c>
      <c r="AA2025">
        <v>0.99989919999999999</v>
      </c>
      <c r="AB2025">
        <v>39</v>
      </c>
      <c r="AC2025">
        <v>-69.295599999999894</v>
      </c>
      <c r="AD2025">
        <v>-1.109109485489</v>
      </c>
      <c r="AE2025">
        <v>-2.5999999999953598E-2</v>
      </c>
      <c r="AF2025">
        <v>0.988475132591357</v>
      </c>
      <c r="AG2025">
        <v>-1.109109485489</v>
      </c>
      <c r="AH2025">
        <v>69.270805319631705</v>
      </c>
      <c r="AI2025">
        <v>90.917203077287795</v>
      </c>
      <c r="AJ2025">
        <v>89.182460643720404</v>
      </c>
      <c r="AK2025">
        <v>69.286735213667498</v>
      </c>
      <c r="AL2025">
        <v>89.310543245907397</v>
      </c>
      <c r="AM2025">
        <v>87.665908866821596</v>
      </c>
      <c r="AN2025">
        <v>0.99999999937134398</v>
      </c>
    </row>
    <row r="2026" spans="1:40" x14ac:dyDescent="0.25">
      <c r="A2026" t="str">
        <f>"20190312154254589"</f>
        <v>20190312154254589</v>
      </c>
      <c r="B2026" t="str">
        <f>"1552376574579471"</f>
        <v>1552376574579471</v>
      </c>
      <c r="C2026" t="s">
        <v>40</v>
      </c>
      <c r="D2026">
        <v>4.5955649999999997</v>
      </c>
      <c r="E2026">
        <v>0.48957270000000003</v>
      </c>
      <c r="F2026" t="s">
        <v>50</v>
      </c>
      <c r="G2026">
        <v>-386.86149999999998</v>
      </c>
      <c r="H2026" s="1">
        <v>2.1145869999999999E-6</v>
      </c>
      <c r="I2026">
        <v>282.83159999999998</v>
      </c>
      <c r="J2026">
        <v>-318.68509999999998</v>
      </c>
      <c r="K2026">
        <v>1.109013</v>
      </c>
      <c r="L2026">
        <v>282.88319999999999</v>
      </c>
      <c r="M2026">
        <v>-0.99979910000000005</v>
      </c>
      <c r="N2026">
        <v>0</v>
      </c>
      <c r="O2026">
        <v>-1.3313399999999901E-2</v>
      </c>
      <c r="P2026">
        <v>-0.99964470000000005</v>
      </c>
      <c r="Q2026">
        <v>-4.5168389999999999E-3</v>
      </c>
      <c r="R2026">
        <v>2.6272489999999999E-2</v>
      </c>
      <c r="S2026">
        <v>-3.0009160000000001</v>
      </c>
      <c r="T2026">
        <v>-4.8557759999999998E-2</v>
      </c>
      <c r="U2026">
        <v>-2.4414060000000001E-3</v>
      </c>
      <c r="V2026">
        <v>3.9613339999999997E-2</v>
      </c>
      <c r="W2026">
        <v>1.033413E-2</v>
      </c>
      <c r="X2026">
        <v>0.99916170000000004</v>
      </c>
      <c r="Y2026">
        <v>1.249803E-2</v>
      </c>
      <c r="Z2026">
        <v>3.1653749999999999E-4</v>
      </c>
      <c r="AA2026">
        <v>0.99992190000000003</v>
      </c>
      <c r="AB2026">
        <v>39</v>
      </c>
      <c r="AC2026">
        <v>-68.176400000000001</v>
      </c>
      <c r="AD2026">
        <v>-1.1090108854130001</v>
      </c>
      <c r="AE2026">
        <v>-5.1600000000007598E-2</v>
      </c>
      <c r="AF2026">
        <v>0.85593967719429098</v>
      </c>
      <c r="AG2026">
        <v>-1.1090108854130001</v>
      </c>
      <c r="AH2026">
        <v>68.153009562935296</v>
      </c>
      <c r="AI2026">
        <v>90.932182258051398</v>
      </c>
      <c r="AJ2026">
        <v>89.2804550654877</v>
      </c>
      <c r="AK2026">
        <v>68.167406070353806</v>
      </c>
      <c r="AL2026">
        <v>89.407887460367405</v>
      </c>
      <c r="AM2026">
        <v>87.7296076134553</v>
      </c>
      <c r="AN2026">
        <v>1.00000005684784</v>
      </c>
    </row>
    <row r="2027" spans="1:40" x14ac:dyDescent="0.25">
      <c r="A2027" t="str">
        <f>"20190312154254610"</f>
        <v>20190312154254610</v>
      </c>
      <c r="B2027" t="str">
        <f>"1552376574598986"</f>
        <v>1552376574598986</v>
      </c>
      <c r="C2027" t="s">
        <v>40</v>
      </c>
      <c r="D2027">
        <v>4.6064619999999996</v>
      </c>
      <c r="E2027">
        <v>0.48914849999999999</v>
      </c>
      <c r="F2027" t="s">
        <v>50</v>
      </c>
      <c r="G2027">
        <v>-382.21589999999998</v>
      </c>
      <c r="H2027" s="1">
        <v>-3.5758850000000003E-7</v>
      </c>
      <c r="I2027">
        <v>282.76620000000003</v>
      </c>
      <c r="J2027">
        <v>-319.06920000000002</v>
      </c>
      <c r="K2027">
        <v>1.1088990000000001</v>
      </c>
      <c r="L2027">
        <v>282.87939999999998</v>
      </c>
      <c r="M2027">
        <v>-0.99981830000000005</v>
      </c>
      <c r="N2027">
        <v>0</v>
      </c>
      <c r="O2027">
        <v>-1.179698E-2</v>
      </c>
      <c r="P2027">
        <v>-0.99964280000000005</v>
      </c>
      <c r="Q2027">
        <v>-6.5779790000000003E-3</v>
      </c>
      <c r="R2027">
        <v>2.5913490000000001E-2</v>
      </c>
      <c r="S2027">
        <v>-3.001007</v>
      </c>
      <c r="T2027">
        <v>-5.2386519999999999E-2</v>
      </c>
      <c r="U2027">
        <v>-5.5236819999999898E-3</v>
      </c>
      <c r="V2027">
        <v>3.7734549999999999E-2</v>
      </c>
      <c r="W2027">
        <v>8.2676109999999994E-3</v>
      </c>
      <c r="X2027">
        <v>0.99925359999999996</v>
      </c>
      <c r="Y2027">
        <v>9.9544909999999993E-3</v>
      </c>
      <c r="Z2027">
        <v>2.928125E-4</v>
      </c>
      <c r="AA2027">
        <v>0.99995040000000002</v>
      </c>
      <c r="AB2027">
        <v>38</v>
      </c>
      <c r="AC2027">
        <v>-63.146699999999903</v>
      </c>
      <c r="AD2027">
        <v>-1.1088993575885</v>
      </c>
      <c r="AE2027">
        <v>-0.11319999999994899</v>
      </c>
      <c r="AF2027">
        <v>0.631636975040342</v>
      </c>
      <c r="AG2027">
        <v>-1.1088993575885</v>
      </c>
      <c r="AH2027">
        <v>63.124174382062797</v>
      </c>
      <c r="AI2027">
        <v>91.006358337213697</v>
      </c>
      <c r="AJ2027">
        <v>89.426702599563697</v>
      </c>
      <c r="AK2027">
        <v>63.137073217488997</v>
      </c>
      <c r="AL2027">
        <v>89.526295387989805</v>
      </c>
      <c r="AM2027">
        <v>87.837382189429903</v>
      </c>
      <c r="AN2027">
        <v>1.0000000033841501</v>
      </c>
    </row>
    <row r="2028" spans="1:40" x14ac:dyDescent="0.25">
      <c r="A2028" t="str">
        <f>"20190312154254634"</f>
        <v>20190312154254634</v>
      </c>
      <c r="B2028" t="str">
        <f>"1552376574629242"</f>
        <v>1552376574629242</v>
      </c>
      <c r="C2028" t="s">
        <v>40</v>
      </c>
      <c r="D2028">
        <v>4.6580729999999999</v>
      </c>
      <c r="E2028">
        <v>0.48862519999999998</v>
      </c>
      <c r="F2028" t="s">
        <v>50</v>
      </c>
      <c r="G2028">
        <v>-376.86900000000003</v>
      </c>
      <c r="H2028" s="1">
        <v>2.1185410000000002E-6</v>
      </c>
      <c r="I2028">
        <v>282.68959999999998</v>
      </c>
      <c r="J2028">
        <v>-319.46129999999999</v>
      </c>
      <c r="K2028">
        <v>1.108781</v>
      </c>
      <c r="L2028">
        <v>282.87639999999999</v>
      </c>
      <c r="M2028">
        <v>-0.99983639999999996</v>
      </c>
      <c r="N2028">
        <v>0</v>
      </c>
      <c r="O2028">
        <v>-1.013293E-2</v>
      </c>
      <c r="P2028">
        <v>-0.99962980000000001</v>
      </c>
      <c r="Q2028">
        <v>-7.9990400000000007E-3</v>
      </c>
      <c r="R2028">
        <v>2.6007010000000001E-2</v>
      </c>
      <c r="S2028">
        <v>-3.0009459999999999</v>
      </c>
      <c r="T2028">
        <v>-5.7573560000000003E-2</v>
      </c>
      <c r="U2028">
        <v>-9.8571779999999994E-3</v>
      </c>
      <c r="V2028">
        <v>3.6161560000000002E-2</v>
      </c>
      <c r="W2028">
        <v>6.8404779999999997E-3</v>
      </c>
      <c r="X2028">
        <v>0.9993225</v>
      </c>
      <c r="Y2028">
        <v>6.8463810000000003E-3</v>
      </c>
      <c r="Z2028">
        <v>2.6006979999999998E-4</v>
      </c>
      <c r="AA2028">
        <v>0.99997650000000005</v>
      </c>
      <c r="AB2028">
        <v>38</v>
      </c>
      <c r="AC2028">
        <v>-57.407699999999998</v>
      </c>
      <c r="AD2028">
        <v>-1.1087788814590001</v>
      </c>
      <c r="AE2028">
        <v>-0.18680000000000499</v>
      </c>
      <c r="AF2028">
        <v>0.39483581875854201</v>
      </c>
      <c r="AG2028">
        <v>-1.1087788814590001</v>
      </c>
      <c r="AH2028">
        <v>57.385238625529603</v>
      </c>
      <c r="AI2028">
        <v>91.106886455080598</v>
      </c>
      <c r="AJ2028">
        <v>89.605785920179201</v>
      </c>
      <c r="AK2028">
        <v>57.397307411068603</v>
      </c>
      <c r="AL2028">
        <v>89.608066406416796</v>
      </c>
      <c r="AM2028">
        <v>87.927594806571605</v>
      </c>
      <c r="AN2028">
        <v>0.99999995478357495</v>
      </c>
    </row>
    <row r="2029" spans="1:40" x14ac:dyDescent="0.25">
      <c r="A2029" t="str">
        <f>"20190312154254657"</f>
        <v>20190312154254657</v>
      </c>
      <c r="B2029" t="str">
        <f>"1552376574649756"</f>
        <v>1552376574649756</v>
      </c>
      <c r="C2029" t="s">
        <v>40</v>
      </c>
      <c r="D2029">
        <v>4.664415</v>
      </c>
      <c r="E2029">
        <v>0.48830839999999998</v>
      </c>
      <c r="F2029" t="s">
        <v>50</v>
      </c>
      <c r="G2029">
        <v>-374.43819999999999</v>
      </c>
      <c r="H2029" s="1">
        <v>8.2501619999999899E-7</v>
      </c>
      <c r="I2029">
        <v>282.62150000000003</v>
      </c>
      <c r="J2029">
        <v>-319.8571</v>
      </c>
      <c r="K2029">
        <v>1.10867</v>
      </c>
      <c r="L2029">
        <v>282.8741</v>
      </c>
      <c r="M2029">
        <v>-0.9998532</v>
      </c>
      <c r="N2029">
        <v>0</v>
      </c>
      <c r="O2029">
        <v>-8.3336750000000005E-3</v>
      </c>
      <c r="P2029">
        <v>-0.99961390000000006</v>
      </c>
      <c r="Q2029">
        <v>-9.4560730000000006E-3</v>
      </c>
      <c r="R2029">
        <v>2.6133460000000001E-2</v>
      </c>
      <c r="S2029">
        <v>-3.0010379999999999</v>
      </c>
      <c r="T2029">
        <v>-6.0525179999999998E-2</v>
      </c>
      <c r="U2029">
        <v>-1.3916019999999999E-2</v>
      </c>
      <c r="V2029">
        <v>3.4485549999999997E-2</v>
      </c>
      <c r="W2029">
        <v>5.3799529999999998E-3</v>
      </c>
      <c r="X2029">
        <v>0.99939069999999997</v>
      </c>
      <c r="Y2029">
        <v>3.6952159999999999E-3</v>
      </c>
      <c r="Z2029">
        <v>2.0533159999999999E-4</v>
      </c>
      <c r="AA2029">
        <v>0.99999309999999997</v>
      </c>
      <c r="AB2029">
        <v>38</v>
      </c>
      <c r="AC2029">
        <v>-54.5810999999999</v>
      </c>
      <c r="AD2029">
        <v>-1.1086691749838</v>
      </c>
      <c r="AE2029">
        <v>-0.25259999999997201</v>
      </c>
      <c r="AF2029">
        <v>0.202237464915206</v>
      </c>
      <c r="AG2029">
        <v>-1.1086691749838</v>
      </c>
      <c r="AH2029">
        <v>54.558799563715397</v>
      </c>
      <c r="AI2029">
        <v>91.164118120468999</v>
      </c>
      <c r="AJ2029">
        <v>89.787618125375801</v>
      </c>
      <c r="AK2029">
        <v>54.5704375753525</v>
      </c>
      <c r="AL2029">
        <v>89.691749907230204</v>
      </c>
      <c r="AM2029">
        <v>88.023703041094805</v>
      </c>
      <c r="AN2029">
        <v>0.99999998414978697</v>
      </c>
    </row>
    <row r="2030" spans="1:40" x14ac:dyDescent="0.25">
      <c r="A2030" t="str">
        <f>"20190312154254679"</f>
        <v>20190312154254679</v>
      </c>
      <c r="B2030" t="str">
        <f>"1552376574669258"</f>
        <v>1552376574669258</v>
      </c>
      <c r="C2030" t="s">
        <v>40</v>
      </c>
      <c r="D2030">
        <v>4.6922119999999996</v>
      </c>
      <c r="E2030">
        <v>0.4880835</v>
      </c>
      <c r="F2030" t="s">
        <v>50</v>
      </c>
      <c r="G2030">
        <v>-371.88499999999999</v>
      </c>
      <c r="H2030" s="1">
        <v>-5.3369249999999997E-7</v>
      </c>
      <c r="I2030">
        <v>282.59739999999999</v>
      </c>
      <c r="J2030">
        <v>-320.24419999999998</v>
      </c>
      <c r="K2030">
        <v>1.1085719999999999</v>
      </c>
      <c r="L2030">
        <v>282.87270000000001</v>
      </c>
      <c r="M2030">
        <v>-0.99986699999999995</v>
      </c>
      <c r="N2030">
        <v>0</v>
      </c>
      <c r="O2030">
        <v>-6.4609949999999998E-3</v>
      </c>
      <c r="P2030">
        <v>-0.99958270000000005</v>
      </c>
      <c r="Q2030">
        <v>-1.0572069999999999E-2</v>
      </c>
      <c r="R2030">
        <v>2.688639E-2</v>
      </c>
      <c r="S2030">
        <v>-3.001007</v>
      </c>
      <c r="T2030">
        <v>-6.3948870000000005E-2</v>
      </c>
      <c r="U2030">
        <v>-1.596069E-2</v>
      </c>
      <c r="V2030">
        <v>3.3363129999999998E-2</v>
      </c>
      <c r="W2030">
        <v>4.2593989999999997E-3</v>
      </c>
      <c r="X2030">
        <v>0.99943419999999905</v>
      </c>
      <c r="Y2030">
        <v>1.141644E-3</v>
      </c>
      <c r="Z2030">
        <v>1.4983809999999999E-4</v>
      </c>
      <c r="AA2030">
        <v>0.99999930000000004</v>
      </c>
      <c r="AB2030">
        <v>38</v>
      </c>
      <c r="AC2030">
        <v>-51.640799999999999</v>
      </c>
      <c r="AD2030">
        <v>-1.1085725336925001</v>
      </c>
      <c r="AE2030">
        <v>-0.27530000000001498</v>
      </c>
      <c r="AF2030">
        <v>5.8367216251799497E-2</v>
      </c>
      <c r="AG2030">
        <v>-1.1085725336925001</v>
      </c>
      <c r="AH2030">
        <v>51.617714398986799</v>
      </c>
      <c r="AI2030">
        <v>91.230328091428007</v>
      </c>
      <c r="AJ2030">
        <v>89.935212285805704</v>
      </c>
      <c r="AK2030">
        <v>51.629650198018602</v>
      </c>
      <c r="AL2030">
        <v>89.7559536713472</v>
      </c>
      <c r="AM2030">
        <v>88.088061267528104</v>
      </c>
      <c r="AN2030">
        <v>0.99999998052643801</v>
      </c>
    </row>
    <row r="2031" spans="1:40" x14ac:dyDescent="0.25">
      <c r="A2031" t="str">
        <f>"20190312154254700"</f>
        <v>20190312154254700</v>
      </c>
      <c r="B2031" t="str">
        <f>"1552376574689754"</f>
        <v>1552376574689754</v>
      </c>
      <c r="C2031" t="s">
        <v>40</v>
      </c>
      <c r="D2031">
        <v>4.6977279999999997</v>
      </c>
      <c r="E2031">
        <v>0.48785780000000001</v>
      </c>
      <c r="F2031" t="s">
        <v>50</v>
      </c>
      <c r="G2031">
        <v>-370.87639999999999</v>
      </c>
      <c r="H2031" s="1">
        <v>-1.070395E-6</v>
      </c>
      <c r="I2031">
        <v>282.6121</v>
      </c>
      <c r="J2031">
        <v>-320.60250000000002</v>
      </c>
      <c r="K2031">
        <v>1.108487</v>
      </c>
      <c r="L2031">
        <v>282.87200000000001</v>
      </c>
      <c r="M2031">
        <v>-0.99987720000000002</v>
      </c>
      <c r="N2031">
        <v>0</v>
      </c>
      <c r="O2031">
        <v>-4.6397699999999997E-3</v>
      </c>
      <c r="P2031">
        <v>-0.99954180000000004</v>
      </c>
      <c r="Q2031">
        <v>-1.051234E-2</v>
      </c>
      <c r="R2031">
        <v>2.8391550000000002E-2</v>
      </c>
      <c r="S2031">
        <v>-3.0009769999999998</v>
      </c>
      <c r="T2031">
        <v>-6.5705180000000002E-2</v>
      </c>
      <c r="U2031">
        <v>-1.544189E-2</v>
      </c>
      <c r="V2031">
        <v>3.3048920000000002E-2</v>
      </c>
      <c r="W2031">
        <v>4.3123270000000003E-3</v>
      </c>
      <c r="X2031">
        <v>0.99944440000000001</v>
      </c>
      <c r="Y2031">
        <v>-5.0626209999999998E-4</v>
      </c>
      <c r="Z2031" s="1">
        <v>9.604239E-5</v>
      </c>
      <c r="AA2031">
        <v>0.99999990000000005</v>
      </c>
      <c r="AB2031">
        <v>38</v>
      </c>
      <c r="AC2031">
        <v>-50.273899999999898</v>
      </c>
      <c r="AD2031">
        <v>-1.108488070395</v>
      </c>
      <c r="AE2031">
        <v>-0.25990000000001601</v>
      </c>
      <c r="AF2031">
        <v>-2.65988018640257E-2</v>
      </c>
      <c r="AG2031">
        <v>-1.108488070395</v>
      </c>
      <c r="AH2031">
        <v>50.250135930185301</v>
      </c>
      <c r="AI2031">
        <v>91.263705640785801</v>
      </c>
      <c r="AJ2031">
        <v>90.030328255165202</v>
      </c>
      <c r="AK2031">
        <v>50.262367774514701</v>
      </c>
      <c r="AL2031">
        <v>89.752921089318505</v>
      </c>
      <c r="AM2031">
        <v>88.106073818445395</v>
      </c>
      <c r="AN2031">
        <v>0.99999996798433999</v>
      </c>
    </row>
    <row r="2032" spans="1:40" x14ac:dyDescent="0.25">
      <c r="A2032" t="str">
        <f>"20190312154254722"</f>
        <v>20190312154254722</v>
      </c>
      <c r="B2032" t="str">
        <f>"1552376574719034"</f>
        <v>1552376574719034</v>
      </c>
      <c r="C2032" t="s">
        <v>40</v>
      </c>
      <c r="D2032">
        <v>4.7315699999999996</v>
      </c>
      <c r="E2032">
        <v>0.4875797</v>
      </c>
      <c r="F2032" t="s">
        <v>50</v>
      </c>
      <c r="G2032">
        <v>-372.2398</v>
      </c>
      <c r="H2032" s="1">
        <v>-3.44855E-7</v>
      </c>
      <c r="I2032">
        <v>282.65089999999998</v>
      </c>
      <c r="J2032">
        <v>-320.98509999999999</v>
      </c>
      <c r="K2032">
        <v>1.108411</v>
      </c>
      <c r="L2032">
        <v>282.87209999999999</v>
      </c>
      <c r="M2032">
        <v>-0.99988449999999995</v>
      </c>
      <c r="N2032">
        <v>0</v>
      </c>
      <c r="O2032">
        <v>-2.626101E-3</v>
      </c>
      <c r="P2032">
        <v>-0.99945090000000003</v>
      </c>
      <c r="Q2032">
        <v>-9.7433899999999993E-3</v>
      </c>
      <c r="R2032">
        <v>3.16783E-2</v>
      </c>
      <c r="S2032">
        <v>-3.001099</v>
      </c>
      <c r="T2032">
        <v>-6.4423919999999996E-2</v>
      </c>
      <c r="U2032">
        <v>-1.2847900000000001E-2</v>
      </c>
      <c r="V2032">
        <v>3.4326990000000002E-2</v>
      </c>
      <c r="W2032">
        <v>5.0661990000000004E-3</v>
      </c>
      <c r="X2032">
        <v>0.9993978</v>
      </c>
      <c r="Y2032">
        <v>-1.654864E-3</v>
      </c>
      <c r="Z2032" s="1">
        <v>3.8613199999999998E-5</v>
      </c>
      <c r="AA2032">
        <v>0.99999859999999896</v>
      </c>
      <c r="AB2032">
        <v>38</v>
      </c>
      <c r="AC2032">
        <v>-51.2547</v>
      </c>
      <c r="AD2032">
        <v>-1.1084113448549999</v>
      </c>
      <c r="AE2032">
        <v>-0.22120000000001</v>
      </c>
      <c r="AF2032">
        <v>-8.6543661692731699E-2</v>
      </c>
      <c r="AG2032">
        <v>-1.1084113448549999</v>
      </c>
      <c r="AH2032">
        <v>51.231145633138198</v>
      </c>
      <c r="AI2032">
        <v>91.239427584659495</v>
      </c>
      <c r="AJ2032">
        <v>90.0967884239288</v>
      </c>
      <c r="AK2032">
        <v>51.2432078269754</v>
      </c>
      <c r="AL2032">
        <v>89.709726933236794</v>
      </c>
      <c r="AM2032">
        <v>88.032796601851103</v>
      </c>
      <c r="AN2032">
        <v>0.99999998562980297</v>
      </c>
    </row>
    <row r="2033" spans="1:40" x14ac:dyDescent="0.25">
      <c r="A2033" t="str">
        <f>"20190312154254745"</f>
        <v>20190312154254745</v>
      </c>
      <c r="B2033" t="str">
        <f>"1552376574739534"</f>
        <v>1552376574739534</v>
      </c>
      <c r="C2033" t="s">
        <v>40</v>
      </c>
      <c r="D2033">
        <v>4.7311680000000003</v>
      </c>
      <c r="E2033">
        <v>0.48744500000000002</v>
      </c>
      <c r="F2033" t="s">
        <v>50</v>
      </c>
      <c r="G2033">
        <v>-375.12459999999999</v>
      </c>
      <c r="H2033" s="1">
        <v>1.1902470000000001E-6</v>
      </c>
      <c r="I2033">
        <v>282.77850000000001</v>
      </c>
      <c r="J2033">
        <v>-321.37090000000001</v>
      </c>
      <c r="K2033">
        <v>1.1083459999999901</v>
      </c>
      <c r="L2033">
        <v>282.87299999999999</v>
      </c>
      <c r="M2033">
        <v>-0.99988770000000005</v>
      </c>
      <c r="N2033">
        <v>0</v>
      </c>
      <c r="O2033">
        <v>-5.4407459999999996E-4</v>
      </c>
      <c r="P2033">
        <v>-0.99933050000000001</v>
      </c>
      <c r="Q2033">
        <v>-8.7475279999999992E-3</v>
      </c>
      <c r="R2033">
        <v>3.5528530000000003E-2</v>
      </c>
      <c r="S2033">
        <v>-3.0012509999999999</v>
      </c>
      <c r="T2033">
        <v>-6.1445359999999997E-2</v>
      </c>
      <c r="U2033">
        <v>-5.1879880000000001E-3</v>
      </c>
      <c r="V2033">
        <v>3.6101689999999999E-2</v>
      </c>
      <c r="W2033">
        <v>6.0456069999999997E-3</v>
      </c>
      <c r="X2033">
        <v>0.99932980000000005</v>
      </c>
      <c r="Y2033">
        <v>-1.1843369999999999E-3</v>
      </c>
      <c r="Z2033" s="1">
        <v>-9.8328289999999999E-7</v>
      </c>
      <c r="AA2033">
        <v>0.99999930000000004</v>
      </c>
      <c r="AB2033">
        <v>38</v>
      </c>
      <c r="AC2033">
        <v>-53.753699999999903</v>
      </c>
      <c r="AD2033">
        <v>-1.10834480975299</v>
      </c>
      <c r="AE2033">
        <v>-9.4499999999982195E-2</v>
      </c>
      <c r="AF2033">
        <v>-6.5222953946414197E-2</v>
      </c>
      <c r="AG2033">
        <v>-1.10834480975299</v>
      </c>
      <c r="AH2033">
        <v>53.7309003213701</v>
      </c>
      <c r="AI2033">
        <v>91.181711604406601</v>
      </c>
      <c r="AJ2033">
        <v>90.069550261221295</v>
      </c>
      <c r="AK2033">
        <v>53.742369984920103</v>
      </c>
      <c r="AL2033">
        <v>89.653610112200397</v>
      </c>
      <c r="AM2033">
        <v>87.931038049528595</v>
      </c>
      <c r="AN2033">
        <v>0.99999996527644597</v>
      </c>
    </row>
    <row r="2034" spans="1:40" x14ac:dyDescent="0.25">
      <c r="A2034" t="str">
        <f>"20190312154254767"</f>
        <v>20190312154254767</v>
      </c>
      <c r="B2034" t="str">
        <f>"1552376574759053"</f>
        <v>1552376574759053</v>
      </c>
      <c r="C2034" t="s">
        <v>40</v>
      </c>
      <c r="D2034">
        <v>4.7627620000000004</v>
      </c>
      <c r="E2034">
        <v>0.48729729999999999</v>
      </c>
      <c r="F2034" t="s">
        <v>50</v>
      </c>
      <c r="G2034">
        <v>-378.8759</v>
      </c>
      <c r="H2034" s="1">
        <v>3.1864979999999998E-6</v>
      </c>
      <c r="I2034">
        <v>282.97590000000002</v>
      </c>
      <c r="J2034">
        <v>-321.74790000000002</v>
      </c>
      <c r="K2034">
        <v>1.1083000000000001</v>
      </c>
      <c r="L2034">
        <v>282.87470000000002</v>
      </c>
      <c r="M2034">
        <v>-0.99988679999999996</v>
      </c>
      <c r="N2034">
        <v>0</v>
      </c>
      <c r="O2034">
        <v>1.5229449999999999E-3</v>
      </c>
      <c r="P2034">
        <v>-0.99916389999999999</v>
      </c>
      <c r="Q2034">
        <v>-8.8971580000000005E-3</v>
      </c>
      <c r="R2034">
        <v>3.9903760000000003E-2</v>
      </c>
      <c r="S2034">
        <v>-3.0012819999999998</v>
      </c>
      <c r="T2034">
        <v>-5.7846309999999998E-2</v>
      </c>
      <c r="U2034">
        <v>5.3710939999999999E-3</v>
      </c>
      <c r="V2034">
        <v>3.8411000000000001E-2</v>
      </c>
      <c r="W2034">
        <v>5.875379E-3</v>
      </c>
      <c r="X2034">
        <v>0.99924469999999999</v>
      </c>
      <c r="Y2034">
        <v>2.6671479999999998E-4</v>
      </c>
      <c r="Z2034" s="1">
        <v>-2.6783499999999999E-5</v>
      </c>
      <c r="AA2034">
        <v>0.99999990000000005</v>
      </c>
      <c r="AB2034">
        <v>38</v>
      </c>
      <c r="AC2034">
        <v>-57.127999999999901</v>
      </c>
      <c r="AD2034">
        <v>-1.1082968135019999</v>
      </c>
      <c r="AE2034">
        <v>0.10120000000000499</v>
      </c>
      <c r="AF2034">
        <v>1.4181994101654201E-2</v>
      </c>
      <c r="AG2034">
        <v>-1.1082968135019999</v>
      </c>
      <c r="AH2034">
        <v>57.1065947756043</v>
      </c>
      <c r="AI2034">
        <v>91.111828807294202</v>
      </c>
      <c r="AJ2034">
        <v>89.985771023581506</v>
      </c>
      <c r="AK2034">
        <v>57.117350164558999</v>
      </c>
      <c r="AL2034">
        <v>89.663363625862402</v>
      </c>
      <c r="AM2034">
        <v>87.798632148047901</v>
      </c>
      <c r="AN2034">
        <v>0.99999994773874001</v>
      </c>
    </row>
    <row r="2035" spans="1:40" x14ac:dyDescent="0.25">
      <c r="A2035" t="str">
        <f>"20190312154254790"</f>
        <v>20190312154254790</v>
      </c>
      <c r="B2035" t="str">
        <f>"1552376574779546"</f>
        <v>1552376574779546</v>
      </c>
      <c r="C2035" t="s">
        <v>40</v>
      </c>
      <c r="D2035">
        <v>4.7930619999999999</v>
      </c>
      <c r="E2035">
        <v>0.48709259999999899</v>
      </c>
      <c r="F2035" t="s">
        <v>50</v>
      </c>
      <c r="G2035">
        <v>-379.31380000000001</v>
      </c>
      <c r="H2035" s="1">
        <v>3.4195219999999998E-6</v>
      </c>
      <c r="I2035">
        <v>283.2072</v>
      </c>
      <c r="J2035">
        <v>-322.12279999999998</v>
      </c>
      <c r="K2035">
        <v>1.1082689999999999</v>
      </c>
      <c r="L2035">
        <v>282.87720000000002</v>
      </c>
      <c r="M2035">
        <v>-0.99988169999999998</v>
      </c>
      <c r="N2035">
        <v>0</v>
      </c>
      <c r="O2035">
        <v>3.5908279999999999E-3</v>
      </c>
      <c r="P2035">
        <v>-0.99902080000000004</v>
      </c>
      <c r="Q2035">
        <v>-8.9651669999999996E-3</v>
      </c>
      <c r="R2035">
        <v>4.3329949999999999E-2</v>
      </c>
      <c r="S2035">
        <v>-3.0012819999999998</v>
      </c>
      <c r="T2035">
        <v>-5.7782649999999998E-2</v>
      </c>
      <c r="U2035">
        <v>1.7333979999999999E-2</v>
      </c>
      <c r="V2035">
        <v>3.9771309999999997E-2</v>
      </c>
      <c r="W2035">
        <v>5.7933639999999996E-3</v>
      </c>
      <c r="X2035">
        <v>0.99919199999999997</v>
      </c>
      <c r="Y2035">
        <v>2.184484E-3</v>
      </c>
      <c r="Z2035" s="1">
        <v>-4.8107009999999999E-5</v>
      </c>
      <c r="AA2035">
        <v>0.99999760000000004</v>
      </c>
      <c r="AB2035">
        <v>38</v>
      </c>
      <c r="AC2035">
        <v>-57.191000000000003</v>
      </c>
      <c r="AD2035">
        <v>-1.1082655804779999</v>
      </c>
      <c r="AE2035">
        <v>0.32999999999998397</v>
      </c>
      <c r="AF2035">
        <v>0.12456507992709399</v>
      </c>
      <c r="AG2035">
        <v>-1.1082655804779999</v>
      </c>
      <c r="AH2035">
        <v>57.170348453603403</v>
      </c>
      <c r="AI2035">
        <v>91.110555367936001</v>
      </c>
      <c r="AJ2035">
        <v>89.875161823329904</v>
      </c>
      <c r="AK2035">
        <v>57.181225164930098</v>
      </c>
      <c r="AL2035">
        <v>89.6680628323181</v>
      </c>
      <c r="AM2035">
        <v>87.720632328322907</v>
      </c>
      <c r="AN2035">
        <v>0.99999998651477595</v>
      </c>
    </row>
    <row r="2036" spans="1:40" x14ac:dyDescent="0.25">
      <c r="A2036" t="str">
        <f>"20190312154254811"</f>
        <v>20190312154254811</v>
      </c>
      <c r="B2036" t="str">
        <f>"1552376574799070"</f>
        <v>1552376574799070</v>
      </c>
      <c r="C2036" t="s">
        <v>40</v>
      </c>
      <c r="D2036">
        <v>4.8144999999999998</v>
      </c>
      <c r="E2036">
        <v>0.48687170000000002</v>
      </c>
      <c r="F2036" t="s">
        <v>50</v>
      </c>
      <c r="G2036">
        <v>-379.82659999999998</v>
      </c>
      <c r="H2036" s="1">
        <v>3.692455E-6</v>
      </c>
      <c r="I2036">
        <v>283.37709999999998</v>
      </c>
      <c r="J2036">
        <v>-322.50139999999999</v>
      </c>
      <c r="K2036">
        <v>1.108247</v>
      </c>
      <c r="L2036">
        <v>282.88049999999998</v>
      </c>
      <c r="M2036">
        <v>-0.99987190000000004</v>
      </c>
      <c r="N2036">
        <v>0</v>
      </c>
      <c r="O2036">
        <v>5.6738960000000003E-3</v>
      </c>
      <c r="P2036">
        <v>-0.99890919999999905</v>
      </c>
      <c r="Q2036">
        <v>-8.9915610000000003E-3</v>
      </c>
      <c r="R2036">
        <v>4.5819159999999998E-2</v>
      </c>
      <c r="S2036">
        <v>-3.001312</v>
      </c>
      <c r="T2036">
        <v>-5.7643529999999998E-2</v>
      </c>
      <c r="U2036">
        <v>2.600098E-2</v>
      </c>
      <c r="V2036">
        <v>4.0179340000000001E-2</v>
      </c>
      <c r="W2036">
        <v>5.7599869999999899E-3</v>
      </c>
      <c r="X2036">
        <v>0.99917590000000001</v>
      </c>
      <c r="Y2036">
        <v>2.988915E-3</v>
      </c>
      <c r="Z2036" s="1">
        <v>-8.0272930000000004E-5</v>
      </c>
      <c r="AA2036">
        <v>0.99999550000000004</v>
      </c>
      <c r="AB2036">
        <v>38</v>
      </c>
      <c r="AC2036">
        <v>-57.325200000000002</v>
      </c>
      <c r="AD2036">
        <v>-1.108243307545</v>
      </c>
      <c r="AE2036">
        <v>0.49659999999999999</v>
      </c>
      <c r="AF2036">
        <v>0.17123435451146801</v>
      </c>
      <c r="AG2036">
        <v>-1.108243307545</v>
      </c>
      <c r="AH2036">
        <v>57.305678734880701</v>
      </c>
      <c r="AI2036">
        <v>91.107908812952402</v>
      </c>
      <c r="AJ2036">
        <v>89.828795734765194</v>
      </c>
      <c r="AK2036">
        <v>57.316649759892996</v>
      </c>
      <c r="AL2036">
        <v>89.669975235868705</v>
      </c>
      <c r="AM2036">
        <v>87.697235352320504</v>
      </c>
      <c r="AN2036">
        <v>1.0000000179769399</v>
      </c>
    </row>
    <row r="2037" spans="1:40" x14ac:dyDescent="0.25">
      <c r="A2037" t="str">
        <f>"20190312154254836"</f>
        <v>20190312154254836</v>
      </c>
      <c r="B2037" t="str">
        <f>"1552376574829322"</f>
        <v>1552376574829322</v>
      </c>
      <c r="C2037" t="s">
        <v>40</v>
      </c>
      <c r="D2037">
        <v>5.0402930000000001</v>
      </c>
      <c r="E2037">
        <v>0.48687530000000001</v>
      </c>
      <c r="F2037" t="s">
        <v>50</v>
      </c>
      <c r="G2037">
        <v>-380.41500000000002</v>
      </c>
      <c r="H2037" s="1">
        <v>-1.3159589999999999E-6</v>
      </c>
      <c r="I2037">
        <v>283.49529999999999</v>
      </c>
      <c r="J2037">
        <v>-322.90499999999997</v>
      </c>
      <c r="K2037">
        <v>1.1082379999999901</v>
      </c>
      <c r="L2037">
        <v>282.88490000000002</v>
      </c>
      <c r="M2037">
        <v>-0.99985710000000005</v>
      </c>
      <c r="N2037">
        <v>0</v>
      </c>
      <c r="O2037">
        <v>7.8783640000000005E-3</v>
      </c>
      <c r="P2037">
        <v>-0.99881330000000002</v>
      </c>
      <c r="Q2037">
        <v>-8.8609469999999992E-3</v>
      </c>
      <c r="R2037">
        <v>4.7891570000000001E-2</v>
      </c>
      <c r="S2037">
        <v>-3.0012819999999998</v>
      </c>
      <c r="T2037">
        <v>-5.7433249999999998E-2</v>
      </c>
      <c r="U2037">
        <v>3.1860350000000003E-2</v>
      </c>
      <c r="V2037">
        <v>4.005032E-2</v>
      </c>
      <c r="W2037">
        <v>5.8868230000000002E-3</v>
      </c>
      <c r="X2037">
        <v>0.99918030000000002</v>
      </c>
      <c r="Y2037">
        <v>2.7367950000000002E-3</v>
      </c>
      <c r="Z2037">
        <v>-1.2457549999999999E-4</v>
      </c>
      <c r="AA2037">
        <v>0.9999962</v>
      </c>
      <c r="AB2037">
        <v>38</v>
      </c>
      <c r="AC2037">
        <v>-57.51</v>
      </c>
      <c r="AD2037">
        <v>-1.1082393159589901</v>
      </c>
      <c r="AE2037">
        <v>0.61039999999996997</v>
      </c>
      <c r="AF2037">
        <v>0.15718728545882801</v>
      </c>
      <c r="AG2037">
        <v>-1.1082393159589901</v>
      </c>
      <c r="AH2037">
        <v>57.491677301880998</v>
      </c>
      <c r="AI2037">
        <v>91.104322192502806</v>
      </c>
      <c r="AJ2037">
        <v>89.843348706602399</v>
      </c>
      <c r="AK2037">
        <v>57.502572648602097</v>
      </c>
      <c r="AL2037">
        <v>89.662707931579803</v>
      </c>
      <c r="AM2037">
        <v>87.7046319419849</v>
      </c>
      <c r="AN2037">
        <v>0.99999997736261204</v>
      </c>
    </row>
    <row r="2038" spans="1:40" x14ac:dyDescent="0.25">
      <c r="A2038" t="str">
        <f>"20190312154254857"</f>
        <v>20190312154254857</v>
      </c>
      <c r="B2038" t="str">
        <f>"1552376574849822"</f>
        <v>1552376574849822</v>
      </c>
      <c r="C2038" t="s">
        <v>40</v>
      </c>
      <c r="D2038">
        <v>4.830158</v>
      </c>
      <c r="E2038">
        <v>0.52037739999999999</v>
      </c>
      <c r="F2038" t="s">
        <v>50</v>
      </c>
      <c r="G2038">
        <v>-380.27</v>
      </c>
      <c r="H2038" s="1">
        <v>-1.3931329999999999E-6</v>
      </c>
      <c r="I2038">
        <v>283.6123</v>
      </c>
      <c r="J2038">
        <v>-323.27510000000001</v>
      </c>
      <c r="K2038">
        <v>1.1082379999999901</v>
      </c>
      <c r="L2038">
        <v>282.88959999999997</v>
      </c>
      <c r="M2038">
        <v>-0.99983940000000004</v>
      </c>
      <c r="N2038">
        <v>0</v>
      </c>
      <c r="O2038">
        <v>9.8741590000000004E-3</v>
      </c>
      <c r="P2038">
        <v>-0.99872749999999999</v>
      </c>
      <c r="Q2038">
        <v>-9.4577719999999997E-3</v>
      </c>
      <c r="R2038">
        <v>4.9541200000000001E-2</v>
      </c>
      <c r="S2038">
        <v>-3.0012210000000001</v>
      </c>
      <c r="T2038">
        <v>-5.7980900000000002E-2</v>
      </c>
      <c r="U2038">
        <v>3.805542E-2</v>
      </c>
      <c r="V2038">
        <v>3.9703290000000002E-2</v>
      </c>
      <c r="W2038">
        <v>5.2879249999999997E-3</v>
      </c>
      <c r="X2038">
        <v>0.99919749999999996</v>
      </c>
      <c r="Y2038">
        <v>2.8051920000000002E-3</v>
      </c>
      <c r="Z2038">
        <v>-1.6365719999999901E-4</v>
      </c>
      <c r="AA2038">
        <v>0.99999610000000005</v>
      </c>
      <c r="AB2038">
        <v>38</v>
      </c>
      <c r="AC2038">
        <v>-56.994899999999902</v>
      </c>
      <c r="AD2038">
        <v>-1.1082393931329999</v>
      </c>
      <c r="AE2038">
        <v>0.72270000000003098</v>
      </c>
      <c r="AF2038">
        <v>0.15976470932006601</v>
      </c>
      <c r="AG2038">
        <v>-1.1082393931329999</v>
      </c>
      <c r="AH2038">
        <v>56.977718448628302</v>
      </c>
      <c r="AI2038">
        <v>91.114280924720902</v>
      </c>
      <c r="AJ2038">
        <v>89.839343873037905</v>
      </c>
      <c r="AK2038">
        <v>56.988719225176403</v>
      </c>
      <c r="AL2038">
        <v>89.697022796670296</v>
      </c>
      <c r="AM2038">
        <v>87.724539091586493</v>
      </c>
      <c r="AN2038">
        <v>0.99999997869693902</v>
      </c>
    </row>
    <row r="2039" spans="1:40" x14ac:dyDescent="0.25">
      <c r="A2039" t="str">
        <f>"20190312154254880"</f>
        <v>20190312154254880</v>
      </c>
      <c r="B2039" t="str">
        <f>"1552376574869338"</f>
        <v>1552376574869338</v>
      </c>
      <c r="C2039" t="s">
        <v>40</v>
      </c>
      <c r="D2039">
        <v>4.9015459999999997</v>
      </c>
      <c r="E2039">
        <v>0.53037609999999902</v>
      </c>
      <c r="F2039" t="s">
        <v>41</v>
      </c>
      <c r="G2039">
        <v>-324.15570000000002</v>
      </c>
      <c r="H2039">
        <v>0.98536800000000002</v>
      </c>
      <c r="I2039">
        <v>282.97800000000001</v>
      </c>
      <c r="J2039">
        <v>-323.66059999999999</v>
      </c>
      <c r="K2039">
        <v>1.1082529999999999</v>
      </c>
      <c r="L2039">
        <v>282.8954</v>
      </c>
      <c r="M2039">
        <v>-0.99981739999999997</v>
      </c>
      <c r="N2039">
        <v>0</v>
      </c>
      <c r="O2039">
        <v>1.191154E-2</v>
      </c>
      <c r="P2039">
        <v>-0.99864160000000002</v>
      </c>
      <c r="Q2039">
        <v>-1.016124E-2</v>
      </c>
      <c r="R2039">
        <v>5.111023E-2</v>
      </c>
      <c r="S2039">
        <v>-2.9850460000000001</v>
      </c>
      <c r="T2039">
        <v>-0.416576</v>
      </c>
      <c r="U2039">
        <v>0.29891970000000001</v>
      </c>
      <c r="V2039">
        <v>3.9233360000000002E-2</v>
      </c>
      <c r="W2039">
        <v>4.584599E-3</v>
      </c>
      <c r="X2039">
        <v>0.99921950000000004</v>
      </c>
      <c r="Y2039">
        <v>8.7059230000000001E-2</v>
      </c>
      <c r="Z2039">
        <v>4.3804530000000003E-3</v>
      </c>
      <c r="AA2039">
        <v>0.99619349999999995</v>
      </c>
      <c r="AB2039">
        <v>38</v>
      </c>
      <c r="AC2039">
        <v>-0.49510000000003601</v>
      </c>
      <c r="AD2039">
        <v>-0.12288499999999999</v>
      </c>
      <c r="AE2039">
        <v>8.2600000000013496E-2</v>
      </c>
      <c r="AF2039">
        <v>7.2359146904191499E-2</v>
      </c>
      <c r="AG2039">
        <v>-0.12288499999999999</v>
      </c>
      <c r="AH2039">
        <v>0.46799881604990401</v>
      </c>
      <c r="AI2039">
        <v>104.54695641809199</v>
      </c>
      <c r="AJ2039">
        <v>81.210868206137803</v>
      </c>
      <c r="AK2039">
        <v>0.489243764589611</v>
      </c>
      <c r="AL2039">
        <v>89.737320891145103</v>
      </c>
      <c r="AM2039">
        <v>87.751493199460796</v>
      </c>
      <c r="AN2039">
        <v>0.99999994213256305</v>
      </c>
    </row>
    <row r="2040" spans="1:40" x14ac:dyDescent="0.25">
      <c r="A2040" t="str">
        <f>"20190312154254901"</f>
        <v>20190312154254901</v>
      </c>
      <c r="B2040" t="str">
        <f>"1552376574889834"</f>
        <v>1552376574889834</v>
      </c>
      <c r="C2040" t="s">
        <v>40</v>
      </c>
      <c r="D2040">
        <v>4.870317</v>
      </c>
      <c r="E2040">
        <v>0.53375950000000005</v>
      </c>
      <c r="F2040" t="s">
        <v>41</v>
      </c>
      <c r="G2040">
        <v>-324.48149999999998</v>
      </c>
      <c r="H2040">
        <v>0.96028089999999999</v>
      </c>
      <c r="I2040">
        <v>283.00049999999999</v>
      </c>
      <c r="J2040">
        <v>-324.0204</v>
      </c>
      <c r="K2040">
        <v>1.108276</v>
      </c>
      <c r="L2040">
        <v>282.90140000000002</v>
      </c>
      <c r="M2040">
        <v>-0.9997935</v>
      </c>
      <c r="N2040">
        <v>0</v>
      </c>
      <c r="O2040">
        <v>1.376515E-2</v>
      </c>
      <c r="P2040">
        <v>-0.99852370000000001</v>
      </c>
      <c r="Q2040">
        <v>-1.041682E-2</v>
      </c>
      <c r="R2040">
        <v>5.3311579999999997E-2</v>
      </c>
      <c r="S2040">
        <v>-2.9792179999999999</v>
      </c>
      <c r="T2040">
        <v>-0.53707240000000001</v>
      </c>
      <c r="U2040">
        <v>0.37911990000000001</v>
      </c>
      <c r="V2040">
        <v>3.9582109999999997E-2</v>
      </c>
      <c r="W2040">
        <v>4.3252020000000002E-3</v>
      </c>
      <c r="X2040">
        <v>0.99920699999999996</v>
      </c>
      <c r="Y2040">
        <v>0.111026</v>
      </c>
      <c r="Z2040">
        <v>7.4368780000000001E-3</v>
      </c>
      <c r="AA2040">
        <v>0.9937897</v>
      </c>
      <c r="AB2040">
        <v>38</v>
      </c>
      <c r="AC2040">
        <v>-0.46109999999998702</v>
      </c>
      <c r="AD2040">
        <v>-0.14799509999999899</v>
      </c>
      <c r="AE2040">
        <v>9.9099999999964397E-2</v>
      </c>
      <c r="AF2040">
        <v>8.44292418427455E-2</v>
      </c>
      <c r="AG2040">
        <v>-0.14799509999999899</v>
      </c>
      <c r="AH2040">
        <v>0.42096878604020399</v>
      </c>
      <c r="AI2040">
        <v>109.01877613426601</v>
      </c>
      <c r="AJ2040">
        <v>78.659253019639905</v>
      </c>
      <c r="AK2040">
        <v>0.45414267066893599</v>
      </c>
      <c r="AL2040">
        <v>89.752183417057907</v>
      </c>
      <c r="AM2040">
        <v>87.731498395484095</v>
      </c>
      <c r="AN2040">
        <v>1.0000000398266899</v>
      </c>
    </row>
    <row r="2041" spans="1:40" x14ac:dyDescent="0.25">
      <c r="A2041" t="str">
        <f>"20190312154254923"</f>
        <v>20190312154254923</v>
      </c>
      <c r="B2041" t="str">
        <f>"1552376574909354"</f>
        <v>1552376574909354</v>
      </c>
      <c r="C2041" t="s">
        <v>40</v>
      </c>
      <c r="D2041">
        <v>4.8842930000000004</v>
      </c>
      <c r="E2041">
        <v>0.53582430000000003</v>
      </c>
      <c r="F2041" t="s">
        <v>41</v>
      </c>
      <c r="G2041">
        <v>-324.81439999999998</v>
      </c>
      <c r="H2041">
        <v>0.95027759999999994</v>
      </c>
      <c r="I2041">
        <v>283.01089999999999</v>
      </c>
      <c r="J2041">
        <v>-324.39530000000002</v>
      </c>
      <c r="K2041">
        <v>1.1083160000000001</v>
      </c>
      <c r="L2041">
        <v>282.9083</v>
      </c>
      <c r="M2041">
        <v>-0.99976609999999999</v>
      </c>
      <c r="N2041">
        <v>0</v>
      </c>
      <c r="O2041">
        <v>1.5638989999999998E-2</v>
      </c>
      <c r="P2041">
        <v>-0.99842529999999996</v>
      </c>
      <c r="Q2041">
        <v>-1.0301319999999999E-2</v>
      </c>
      <c r="R2041">
        <v>5.5143159999999997E-2</v>
      </c>
      <c r="S2041">
        <v>-2.9763489999999999</v>
      </c>
      <c r="T2041">
        <v>-0.59223780000000004</v>
      </c>
      <c r="U2041">
        <v>0.41052250000000001</v>
      </c>
      <c r="V2041">
        <v>3.9542130000000002E-2</v>
      </c>
      <c r="W2041">
        <v>4.4401190000000002E-3</v>
      </c>
      <c r="X2041">
        <v>0.99920799999999999</v>
      </c>
      <c r="Y2041">
        <v>0.1191335</v>
      </c>
      <c r="Z2041">
        <v>8.616907E-3</v>
      </c>
      <c r="AA2041">
        <v>0.99284079999999997</v>
      </c>
      <c r="AB2041">
        <v>38</v>
      </c>
      <c r="AC2041">
        <v>-0.41909999999995701</v>
      </c>
      <c r="AD2041">
        <v>-0.1580384</v>
      </c>
      <c r="AE2041">
        <v>0.102599999999995</v>
      </c>
      <c r="AF2041">
        <v>8.4672982088083604E-2</v>
      </c>
      <c r="AG2041">
        <v>-0.1580384</v>
      </c>
      <c r="AH2041">
        <v>0.37089542257755398</v>
      </c>
      <c r="AI2041">
        <v>112.55858062984299</v>
      </c>
      <c r="AJ2041">
        <v>77.140137548598702</v>
      </c>
      <c r="AK2041">
        <v>0.41195760007460902</v>
      </c>
      <c r="AL2041">
        <v>89.745599074928904</v>
      </c>
      <c r="AM2041">
        <v>87.733789576138093</v>
      </c>
      <c r="AN2041">
        <v>0.99999996098283395</v>
      </c>
    </row>
    <row r="2042" spans="1:40" x14ac:dyDescent="0.25">
      <c r="A2042" t="str">
        <f>"20190312154254946"</f>
        <v>20190312154254946</v>
      </c>
      <c r="B2042" t="str">
        <f>"1552376574939610"</f>
        <v>1552376574939610</v>
      </c>
      <c r="C2042" t="s">
        <v>40</v>
      </c>
      <c r="D2042">
        <v>4.8849150000000003</v>
      </c>
      <c r="E2042">
        <v>0.53795919999999997</v>
      </c>
      <c r="F2042" t="s">
        <v>41</v>
      </c>
      <c r="G2042">
        <v>-325.15010000000001</v>
      </c>
      <c r="H2042">
        <v>0.94667760000000001</v>
      </c>
      <c r="I2042">
        <v>283.01780000000002</v>
      </c>
      <c r="J2042">
        <v>-324.7799</v>
      </c>
      <c r="K2042">
        <v>1.108365</v>
      </c>
      <c r="L2042">
        <v>282.91609999999997</v>
      </c>
      <c r="M2042">
        <v>-0.9997355</v>
      </c>
      <c r="N2042">
        <v>0</v>
      </c>
      <c r="O2042">
        <v>1.7493350000000001E-2</v>
      </c>
      <c r="P2042">
        <v>-0.99833349999999998</v>
      </c>
      <c r="Q2042">
        <v>-9.6310349999999996E-3</v>
      </c>
      <c r="R2042">
        <v>5.6902080000000001E-2</v>
      </c>
      <c r="S2042">
        <v>-2.9743650000000001</v>
      </c>
      <c r="T2042">
        <v>-0.63697340000000002</v>
      </c>
      <c r="U2042">
        <v>0.43029790000000001</v>
      </c>
      <c r="V2042">
        <v>3.9451769999999997E-2</v>
      </c>
      <c r="W2042">
        <v>5.1105439999999999E-3</v>
      </c>
      <c r="X2042">
        <v>0.9992084</v>
      </c>
      <c r="Y2042">
        <v>0.12348820000000001</v>
      </c>
      <c r="Z2042">
        <v>9.3242099999999994E-3</v>
      </c>
      <c r="AA2042">
        <v>0.99230220000000002</v>
      </c>
      <c r="AB2042">
        <v>38</v>
      </c>
      <c r="AC2042">
        <v>-0.37020000000001102</v>
      </c>
      <c r="AD2042">
        <v>-0.16168740000000001</v>
      </c>
      <c r="AE2042">
        <v>0.10170000000005</v>
      </c>
      <c r="AF2042">
        <v>8.0864661962626094E-2</v>
      </c>
      <c r="AG2042">
        <v>-0.16168740000000001</v>
      </c>
      <c r="AH2042">
        <v>0.31589256291079298</v>
      </c>
      <c r="AI2042">
        <v>116.374705840647</v>
      </c>
      <c r="AJ2042">
        <v>75.641316112190097</v>
      </c>
      <c r="AK2042">
        <v>0.36396431167827298</v>
      </c>
      <c r="AL2042">
        <v>89.707186121188101</v>
      </c>
      <c r="AM2042">
        <v>87.738963747450597</v>
      </c>
      <c r="AN2042">
        <v>0.99999999322333399</v>
      </c>
    </row>
    <row r="2043" spans="1:40" x14ac:dyDescent="0.25">
      <c r="A2043" t="str">
        <f>"20190312154254958"</f>
        <v>20190312154254958</v>
      </c>
      <c r="B2043" t="str">
        <f>"1552376574949370"</f>
        <v>1552376574949370</v>
      </c>
      <c r="C2043" t="s">
        <v>40</v>
      </c>
      <c r="D2043">
        <v>4.8645809999999896</v>
      </c>
      <c r="E2043">
        <v>0.53841510000000004</v>
      </c>
      <c r="F2043" t="s">
        <v>41</v>
      </c>
      <c r="G2043">
        <v>-325.48759999999999</v>
      </c>
      <c r="H2043">
        <v>0.94775160000000003</v>
      </c>
      <c r="I2043">
        <v>283.02350000000001</v>
      </c>
      <c r="J2043">
        <v>-324.97250000000003</v>
      </c>
      <c r="K2043">
        <v>1.1083940000000001</v>
      </c>
      <c r="L2043">
        <v>282.9203</v>
      </c>
      <c r="M2043">
        <v>-0.99971949999999998</v>
      </c>
      <c r="N2043">
        <v>0</v>
      </c>
      <c r="O2043">
        <v>1.8385930000000002E-2</v>
      </c>
      <c r="P2043">
        <v>-0.99829590000000001</v>
      </c>
      <c r="Q2043">
        <v>-9.1795950000000005E-3</v>
      </c>
      <c r="R2043">
        <v>5.7629739999999999E-2</v>
      </c>
      <c r="S2043">
        <v>-2.972839</v>
      </c>
      <c r="T2043">
        <v>-0.67464799999999903</v>
      </c>
      <c r="U2043">
        <v>0.45059199999999999</v>
      </c>
      <c r="V2043">
        <v>3.9289610000000003E-2</v>
      </c>
      <c r="W2043">
        <v>5.5635329999999998E-3</v>
      </c>
      <c r="X2043">
        <v>0.9992124</v>
      </c>
      <c r="Y2043">
        <v>0.12890650000000001</v>
      </c>
      <c r="Z2043">
        <v>1.0267790000000001E-2</v>
      </c>
      <c r="AA2043">
        <v>0.99160360000000003</v>
      </c>
      <c r="AB2043">
        <v>38</v>
      </c>
      <c r="AC2043">
        <v>-0.51509999999996103</v>
      </c>
      <c r="AD2043">
        <v>-0.16064239999999999</v>
      </c>
      <c r="AE2043">
        <v>0.103200000000015</v>
      </c>
      <c r="AF2043">
        <v>8.5697556509692893E-2</v>
      </c>
      <c r="AG2043">
        <v>-0.16064239999999999</v>
      </c>
      <c r="AH2043">
        <v>0.47270882457076202</v>
      </c>
      <c r="AI2043">
        <v>108.489069088324</v>
      </c>
      <c r="AJ2043">
        <v>79.724430054109206</v>
      </c>
      <c r="AK2043">
        <v>0.50656064266439305</v>
      </c>
      <c r="AL2043">
        <v>89.681231402873095</v>
      </c>
      <c r="AM2043">
        <v>87.748256782980604</v>
      </c>
      <c r="AN2043">
        <v>1.00000002333357</v>
      </c>
    </row>
    <row r="2044" spans="1:40" x14ac:dyDescent="0.25">
      <c r="A2044" t="str">
        <f>"20190312154254969"</f>
        <v>20190312154254969</v>
      </c>
      <c r="B2044" t="str">
        <f>"1552376574960106"</f>
        <v>1552376574960106</v>
      </c>
      <c r="C2044" t="s">
        <v>40</v>
      </c>
      <c r="D2044">
        <v>4.8845960000000002</v>
      </c>
      <c r="E2044">
        <v>0.53879239999999995</v>
      </c>
      <c r="F2044" t="s">
        <v>41</v>
      </c>
      <c r="G2044">
        <v>-325.80930000000001</v>
      </c>
      <c r="H2044">
        <v>0.91597839999999997</v>
      </c>
      <c r="I2044">
        <v>283.04880000000003</v>
      </c>
      <c r="J2044">
        <v>-325.16579999999999</v>
      </c>
      <c r="K2044">
        <v>1.108425</v>
      </c>
      <c r="L2044">
        <v>282.9246</v>
      </c>
      <c r="M2044">
        <v>-0.9997028</v>
      </c>
      <c r="N2044">
        <v>0</v>
      </c>
      <c r="O2044">
        <v>1.9272350000000001E-2</v>
      </c>
      <c r="P2044">
        <v>-0.99824659999999998</v>
      </c>
      <c r="Q2044">
        <v>-8.9992430000000005E-3</v>
      </c>
      <c r="R2044">
        <v>5.8506870000000002E-2</v>
      </c>
      <c r="S2044">
        <v>-2.972534</v>
      </c>
      <c r="T2044">
        <v>-0.68351459999999997</v>
      </c>
      <c r="U2044">
        <v>0.4556885</v>
      </c>
      <c r="V2044">
        <v>3.9281910000000003E-2</v>
      </c>
      <c r="W2044">
        <v>5.7437740000000001E-3</v>
      </c>
      <c r="X2044">
        <v>0.99921170000000004</v>
      </c>
      <c r="Y2044">
        <v>0.12963669999999999</v>
      </c>
      <c r="Z2044">
        <v>1.028162E-2</v>
      </c>
      <c r="AA2044">
        <v>0.99150819999999995</v>
      </c>
      <c r="AB2044">
        <v>38</v>
      </c>
      <c r="AC2044">
        <v>-0.64350000000001695</v>
      </c>
      <c r="AD2044">
        <v>-0.1924466</v>
      </c>
      <c r="AE2044">
        <v>0.12420000000002999</v>
      </c>
      <c r="AF2044">
        <v>0.102901023884343</v>
      </c>
      <c r="AG2044">
        <v>-0.1924466</v>
      </c>
      <c r="AH2044">
        <v>0.59451185368604897</v>
      </c>
      <c r="AI2044">
        <v>107.69074262664201</v>
      </c>
      <c r="AJ2044">
        <v>80.180255691098694</v>
      </c>
      <c r="AK2044">
        <v>0.63329981741764996</v>
      </c>
      <c r="AL2044">
        <v>89.670904195073305</v>
      </c>
      <c r="AM2044">
        <v>87.748696051237502</v>
      </c>
      <c r="AN2044">
        <v>1.0000000404049401</v>
      </c>
    </row>
    <row r="2045" spans="1:40" x14ac:dyDescent="0.25">
      <c r="A2045" t="str">
        <f>"20190312154254981"</f>
        <v>20190312154254981</v>
      </c>
      <c r="B2045" t="str">
        <f>"1552376574969868"</f>
        <v>1552376574969868</v>
      </c>
      <c r="C2045" t="s">
        <v>40</v>
      </c>
      <c r="D2045">
        <v>4.8718000000000004</v>
      </c>
      <c r="E2045">
        <v>0.53917349999999997</v>
      </c>
      <c r="F2045" t="s">
        <v>41</v>
      </c>
      <c r="G2045">
        <v>-326.13189999999997</v>
      </c>
      <c r="H2045">
        <v>0.88388339999999999</v>
      </c>
      <c r="I2045">
        <v>283.07440000000003</v>
      </c>
      <c r="J2045">
        <v>-325.36959999999999</v>
      </c>
      <c r="K2045">
        <v>1.1084670000000001</v>
      </c>
      <c r="L2045">
        <v>282.92930000000001</v>
      </c>
      <c r="M2045">
        <v>-0.99968509999999999</v>
      </c>
      <c r="N2045">
        <v>0</v>
      </c>
      <c r="O2045">
        <v>2.0173380000000001E-2</v>
      </c>
      <c r="P2045">
        <v>-0.99820869999999995</v>
      </c>
      <c r="Q2045">
        <v>-9.1329129999999994E-3</v>
      </c>
      <c r="R2045">
        <v>5.9127739999999998E-2</v>
      </c>
      <c r="S2045">
        <v>-2.9720759999999999</v>
      </c>
      <c r="T2045">
        <v>-0.6907179</v>
      </c>
      <c r="U2045">
        <v>0.46038820000000003</v>
      </c>
      <c r="V2045">
        <v>3.9001550000000003E-2</v>
      </c>
      <c r="W2045">
        <v>5.6121690000000002E-3</v>
      </c>
      <c r="X2045">
        <v>0.99922339999999998</v>
      </c>
      <c r="Y2045">
        <v>0.13024649999999999</v>
      </c>
      <c r="Z2045">
        <v>1.025181E-2</v>
      </c>
      <c r="AA2045">
        <v>0.99142859999999999</v>
      </c>
      <c r="AB2045">
        <v>38</v>
      </c>
      <c r="AC2045">
        <v>-0.76229999999998199</v>
      </c>
      <c r="AD2045">
        <v>-0.22458359999999999</v>
      </c>
      <c r="AE2045">
        <v>0.145100000000013</v>
      </c>
      <c r="AF2045">
        <v>0.119667023240805</v>
      </c>
      <c r="AG2045">
        <v>-0.22458359999999999</v>
      </c>
      <c r="AH2045">
        <v>0.70594119985312398</v>
      </c>
      <c r="AI2045">
        <v>107.414502060766</v>
      </c>
      <c r="AJ2045">
        <v>80.379012048511001</v>
      </c>
      <c r="AK2045">
        <v>0.75040720111839498</v>
      </c>
      <c r="AL2045">
        <v>89.6784447176843</v>
      </c>
      <c r="AM2045">
        <v>87.764773684013093</v>
      </c>
      <c r="AN2045">
        <v>1.0000000102254201</v>
      </c>
    </row>
    <row r="2046" spans="1:40" x14ac:dyDescent="0.25">
      <c r="A2046" t="str">
        <f>"20190312154255003"</f>
        <v>20190312154255003</v>
      </c>
      <c r="B2046" t="str">
        <f>"1552376574989386"</f>
        <v>1552376574989386</v>
      </c>
      <c r="C2046" t="s">
        <v>40</v>
      </c>
      <c r="D2046">
        <v>4.8753260000000003</v>
      </c>
      <c r="E2046">
        <v>0.54021229999999998</v>
      </c>
      <c r="F2046" t="s">
        <v>41</v>
      </c>
      <c r="G2046">
        <v>-326.1497</v>
      </c>
      <c r="H2046">
        <v>0.92517340000000003</v>
      </c>
      <c r="I2046">
        <v>283.05149999999998</v>
      </c>
      <c r="J2046">
        <v>-325.72230000000002</v>
      </c>
      <c r="K2046">
        <v>1.108528</v>
      </c>
      <c r="L2046">
        <v>282.93790000000001</v>
      </c>
      <c r="M2046">
        <v>-0.99965349999999997</v>
      </c>
      <c r="N2046">
        <v>0</v>
      </c>
      <c r="O2046">
        <v>2.168782E-2</v>
      </c>
      <c r="P2046">
        <v>-0.9981719</v>
      </c>
      <c r="Q2046">
        <v>-9.0578519999999999E-3</v>
      </c>
      <c r="R2046">
        <v>5.9759890000000003E-2</v>
      </c>
      <c r="S2046">
        <v>-2.9714659999999999</v>
      </c>
      <c r="T2046">
        <v>-0.69819449999999905</v>
      </c>
      <c r="U2046">
        <v>0.46466059999999998</v>
      </c>
      <c r="V2046">
        <v>3.8120269999999998E-2</v>
      </c>
      <c r="W2046">
        <v>5.692753E-3</v>
      </c>
      <c r="X2046">
        <v>0.99925699999999995</v>
      </c>
      <c r="Y2046">
        <v>0.13014880000000001</v>
      </c>
      <c r="Z2046">
        <v>1.000088E-2</v>
      </c>
      <c r="AA2046">
        <v>0.99144410000000005</v>
      </c>
      <c r="AB2046">
        <v>38</v>
      </c>
      <c r="AC2046">
        <v>-0.42739999999997702</v>
      </c>
      <c r="AD2046">
        <v>-0.18335459999999901</v>
      </c>
      <c r="AE2046">
        <v>0.113599999999962</v>
      </c>
      <c r="AF2046">
        <v>8.9003432101740096E-2</v>
      </c>
      <c r="AG2046">
        <v>-0.18335459999999901</v>
      </c>
      <c r="AH2046">
        <v>0.366724553584996</v>
      </c>
      <c r="AI2046">
        <v>115.91392105836201</v>
      </c>
      <c r="AJ2046">
        <v>76.3581743832396</v>
      </c>
      <c r="AK2046">
        <v>0.41955621610120802</v>
      </c>
      <c r="AL2046">
        <v>89.673827536206403</v>
      </c>
      <c r="AM2046">
        <v>87.815304796315502</v>
      </c>
      <c r="AN2046">
        <v>1.0000000572352901</v>
      </c>
    </row>
    <row r="2047" spans="1:40" x14ac:dyDescent="0.25">
      <c r="A2047" t="str">
        <f>"20190312154255014"</f>
        <v>20190312154255014</v>
      </c>
      <c r="B2047" t="str">
        <f>"1552376575009883"</f>
        <v>1552376575009883</v>
      </c>
      <c r="C2047" t="s">
        <v>40</v>
      </c>
      <c r="D2047">
        <v>4.8980790000000001</v>
      </c>
      <c r="E2047">
        <v>0.54073819999999995</v>
      </c>
      <c r="F2047" t="s">
        <v>41</v>
      </c>
      <c r="G2047">
        <v>-326.48570000000001</v>
      </c>
      <c r="H2047">
        <v>0.92581869999999999</v>
      </c>
      <c r="I2047">
        <v>283.06</v>
      </c>
      <c r="J2047">
        <v>-325.92649999999998</v>
      </c>
      <c r="K2047">
        <v>1.1085640000000001</v>
      </c>
      <c r="L2047">
        <v>282.94310000000002</v>
      </c>
      <c r="M2047">
        <v>-0.99963489999999999</v>
      </c>
      <c r="N2047">
        <v>0</v>
      </c>
      <c r="O2047">
        <v>2.2533330000000001E-2</v>
      </c>
      <c r="P2047">
        <v>-0.99813810000000003</v>
      </c>
      <c r="Q2047">
        <v>-9.2914859999999998E-3</v>
      </c>
      <c r="R2047">
        <v>6.028737E-2</v>
      </c>
      <c r="S2047">
        <v>-2.9706730000000001</v>
      </c>
      <c r="T2047">
        <v>-0.71088790000000002</v>
      </c>
      <c r="U2047">
        <v>0.47366330000000001</v>
      </c>
      <c r="V2047">
        <v>3.7801689999999999E-2</v>
      </c>
      <c r="W2047">
        <v>5.4610140000000001E-3</v>
      </c>
      <c r="X2047">
        <v>0.99927029999999994</v>
      </c>
      <c r="Y2047">
        <v>0.1321464</v>
      </c>
      <c r="Z2047">
        <v>1.0214350000000001E-2</v>
      </c>
      <c r="AA2047">
        <v>0.99117759999999999</v>
      </c>
      <c r="AB2047">
        <v>38</v>
      </c>
      <c r="AC2047">
        <v>-0.559200000000032</v>
      </c>
      <c r="AD2047">
        <v>-0.182745299999999</v>
      </c>
      <c r="AE2047">
        <v>0.116899999999986</v>
      </c>
      <c r="AF2047">
        <v>9.4589408745244796E-2</v>
      </c>
      <c r="AG2047">
        <v>-0.182745299999999</v>
      </c>
      <c r="AH2047">
        <v>0.50955245373025604</v>
      </c>
      <c r="AI2047">
        <v>109.423407213969</v>
      </c>
      <c r="AJ2047">
        <v>79.483754968796404</v>
      </c>
      <c r="AK2047">
        <v>0.54953316917306205</v>
      </c>
      <c r="AL2047">
        <v>89.687105378637497</v>
      </c>
      <c r="AM2047">
        <v>87.833574140915303</v>
      </c>
      <c r="AN2047">
        <v>0.999999961451426</v>
      </c>
    </row>
    <row r="2048" spans="1:40" x14ac:dyDescent="0.25">
      <c r="A2048" t="str">
        <f>"20190312154255027"</f>
        <v>20190312154255027</v>
      </c>
      <c r="B2048" t="str">
        <f>"1552376575019643"</f>
        <v>1552376575019643</v>
      </c>
      <c r="C2048" t="s">
        <v>40</v>
      </c>
      <c r="D2048">
        <v>4.8700039999999998</v>
      </c>
      <c r="E2048">
        <v>0.54087369999999901</v>
      </c>
      <c r="F2048" t="s">
        <v>41</v>
      </c>
      <c r="G2048">
        <v>-326.80739999999997</v>
      </c>
      <c r="H2048">
        <v>0.89480590000000004</v>
      </c>
      <c r="I2048">
        <v>283.08530000000002</v>
      </c>
      <c r="J2048">
        <v>-326.1377</v>
      </c>
      <c r="K2048">
        <v>1.1086049999999901</v>
      </c>
      <c r="L2048">
        <v>282.94850000000002</v>
      </c>
      <c r="M2048">
        <v>-0.99961509999999998</v>
      </c>
      <c r="N2048">
        <v>0</v>
      </c>
      <c r="O2048">
        <v>2.3390669999999999E-2</v>
      </c>
      <c r="P2048">
        <v>-0.99809990000000004</v>
      </c>
      <c r="Q2048">
        <v>-9.5740470000000005E-3</v>
      </c>
      <c r="R2048">
        <v>6.0868850000000002E-2</v>
      </c>
      <c r="S2048">
        <v>-2.9699399999999998</v>
      </c>
      <c r="T2048">
        <v>-0.72069729999999999</v>
      </c>
      <c r="U2048">
        <v>0.47918699999999997</v>
      </c>
      <c r="V2048">
        <v>3.7525040000000003E-2</v>
      </c>
      <c r="W2048">
        <v>5.1806380000000004E-3</v>
      </c>
      <c r="X2048">
        <v>0.99928220000000001</v>
      </c>
      <c r="Y2048">
        <v>0.13304769999999999</v>
      </c>
      <c r="Z2048">
        <v>1.025596E-2</v>
      </c>
      <c r="AA2048">
        <v>0.99105659999999896</v>
      </c>
      <c r="AB2048">
        <v>38</v>
      </c>
      <c r="AC2048">
        <v>-0.66969999999997698</v>
      </c>
      <c r="AD2048">
        <v>-0.21379909999999899</v>
      </c>
      <c r="AE2048">
        <v>0.13679999999999301</v>
      </c>
      <c r="AF2048">
        <v>0.110304379858782</v>
      </c>
      <c r="AG2048">
        <v>-0.21379909999999899</v>
      </c>
      <c r="AH2048">
        <v>0.61276647930351102</v>
      </c>
      <c r="AI2048">
        <v>108.95189576068699</v>
      </c>
      <c r="AJ2048">
        <v>79.7954454073394</v>
      </c>
      <c r="AK2048">
        <v>0.65830074398777705</v>
      </c>
      <c r="AL2048">
        <v>89.703169962250698</v>
      </c>
      <c r="AM2048">
        <v>87.849439677099696</v>
      </c>
      <c r="AN2048">
        <v>0.99999994143696203</v>
      </c>
    </row>
    <row r="2049" spans="1:40" x14ac:dyDescent="0.25">
      <c r="A2049" t="str">
        <f>"20190312154255046"</f>
        <v>20190312154255046</v>
      </c>
      <c r="B2049" t="str">
        <f>"1552376575039162"</f>
        <v>1552376575039162</v>
      </c>
      <c r="C2049" t="s">
        <v>40</v>
      </c>
      <c r="D2049">
        <v>4.887683</v>
      </c>
      <c r="E2049">
        <v>0.54146430000000001</v>
      </c>
      <c r="F2049" t="s">
        <v>41</v>
      </c>
      <c r="G2049">
        <v>-326.82780000000002</v>
      </c>
      <c r="H2049">
        <v>0.94015459999999995</v>
      </c>
      <c r="I2049">
        <v>283.0607</v>
      </c>
      <c r="J2049">
        <v>-326.4692</v>
      </c>
      <c r="K2049">
        <v>1.108662</v>
      </c>
      <c r="L2049">
        <v>282.95749999999998</v>
      </c>
      <c r="M2049">
        <v>-0.99958429999999998</v>
      </c>
      <c r="N2049">
        <v>0</v>
      </c>
      <c r="O2049">
        <v>2.4677500000000002E-2</v>
      </c>
      <c r="P2049">
        <v>-0.99805809999999995</v>
      </c>
      <c r="Q2049">
        <v>-9.8446220000000008E-3</v>
      </c>
      <c r="R2049">
        <v>6.1512039999999997E-2</v>
      </c>
      <c r="S2049">
        <v>-2.96936</v>
      </c>
      <c r="T2049">
        <v>-0.72478959999999903</v>
      </c>
      <c r="U2049">
        <v>0.48211670000000001</v>
      </c>
      <c r="V2049">
        <v>3.6880969999999999E-2</v>
      </c>
      <c r="W2049">
        <v>4.9136129999999998E-3</v>
      </c>
      <c r="X2049">
        <v>0.99930759999999996</v>
      </c>
      <c r="Y2049">
        <v>0.1327652</v>
      </c>
      <c r="Z2049">
        <v>9.9726750000000003E-3</v>
      </c>
      <c r="AA2049">
        <v>0.99109729999999996</v>
      </c>
      <c r="AB2049">
        <v>38</v>
      </c>
      <c r="AC2049">
        <v>-0.35860000000002401</v>
      </c>
      <c r="AD2049">
        <v>-0.168507399999999</v>
      </c>
      <c r="AE2049">
        <v>0.103200000000015</v>
      </c>
      <c r="AF2049">
        <v>7.8342574593380995E-2</v>
      </c>
      <c r="AG2049">
        <v>-0.168507399999999</v>
      </c>
      <c r="AH2049">
        <v>0.29988506444810498</v>
      </c>
      <c r="AI2049">
        <v>118.531203123737</v>
      </c>
      <c r="AJ2049">
        <v>75.359148432662806</v>
      </c>
      <c r="AK2049">
        <v>0.35279364326433599</v>
      </c>
      <c r="AL2049">
        <v>89.718469584148707</v>
      </c>
      <c r="AM2049">
        <v>87.886371237491403</v>
      </c>
      <c r="AN2049">
        <v>1.0000000144793</v>
      </c>
    </row>
    <row r="2050" spans="1:40" x14ac:dyDescent="0.25">
      <c r="A2050" t="str">
        <f>"20190312154255059"</f>
        <v>20190312154255059</v>
      </c>
      <c r="B2050" t="str">
        <f>"1552376575049899"</f>
        <v>1552376575049899</v>
      </c>
      <c r="C2050" t="s">
        <v>40</v>
      </c>
      <c r="D2050">
        <v>4.8679220000000001</v>
      </c>
      <c r="E2050">
        <v>0.54145180000000004</v>
      </c>
      <c r="F2050" t="s">
        <v>41</v>
      </c>
      <c r="G2050">
        <v>-327.16199999999998</v>
      </c>
      <c r="H2050">
        <v>0.93830049999999998</v>
      </c>
      <c r="I2050">
        <v>283.072</v>
      </c>
      <c r="J2050">
        <v>-326.67880000000002</v>
      </c>
      <c r="K2050">
        <v>1.1087009999999999</v>
      </c>
      <c r="L2050">
        <v>282.96339999999998</v>
      </c>
      <c r="M2050">
        <v>-0.99956489999999998</v>
      </c>
      <c r="N2050">
        <v>0</v>
      </c>
      <c r="O2050">
        <v>2.5456449999999999E-2</v>
      </c>
      <c r="P2050">
        <v>-0.99804409999999999</v>
      </c>
      <c r="Q2050">
        <v>-9.9292359999999993E-3</v>
      </c>
      <c r="R2050">
        <v>6.172449E-2</v>
      </c>
      <c r="S2050">
        <v>-2.9684750000000002</v>
      </c>
      <c r="T2050">
        <v>-0.72986589999999996</v>
      </c>
      <c r="U2050">
        <v>0.48892210000000003</v>
      </c>
      <c r="V2050">
        <v>3.6314150000000003E-2</v>
      </c>
      <c r="W2050">
        <v>4.8320749999999999E-3</v>
      </c>
      <c r="X2050">
        <v>0.99932869999999996</v>
      </c>
      <c r="Y2050">
        <v>0.134190899999999</v>
      </c>
      <c r="Z2050">
        <v>1.002599E-2</v>
      </c>
      <c r="AA2050">
        <v>0.99090480000000003</v>
      </c>
      <c r="AB2050">
        <v>37</v>
      </c>
      <c r="AC2050">
        <v>-0.48320000000001001</v>
      </c>
      <c r="AD2050">
        <v>-0.17040050000000001</v>
      </c>
      <c r="AE2050">
        <v>0.108600000000024</v>
      </c>
      <c r="AF2050">
        <v>8.6073328352801695E-2</v>
      </c>
      <c r="AG2050">
        <v>-0.17040050000000001</v>
      </c>
      <c r="AH2050">
        <v>0.43438483120445998</v>
      </c>
      <c r="AI2050">
        <v>111.046651366042</v>
      </c>
      <c r="AJ2050">
        <v>78.792027361981994</v>
      </c>
      <c r="AK2050">
        <v>0.47448406699751899</v>
      </c>
      <c r="AL2050">
        <v>89.723141407331099</v>
      </c>
      <c r="AM2050">
        <v>87.918870505850705</v>
      </c>
      <c r="AN2050">
        <v>0.99999995854135804</v>
      </c>
    </row>
    <row r="2051" spans="1:40" x14ac:dyDescent="0.25">
      <c r="A2051" t="str">
        <f>"20190312154255082"</f>
        <v>20190312154255082</v>
      </c>
      <c r="B2051" t="str">
        <f>"1552376575069418"</f>
        <v>1552376575069418</v>
      </c>
      <c r="C2051" t="s">
        <v>40</v>
      </c>
      <c r="D2051">
        <v>4.8559650000000003</v>
      </c>
      <c r="E2051">
        <v>0.54163159999999999</v>
      </c>
      <c r="F2051" t="s">
        <v>41</v>
      </c>
      <c r="G2051">
        <v>-327.48349999999999</v>
      </c>
      <c r="H2051">
        <v>0.91062129999999997</v>
      </c>
      <c r="I2051">
        <v>283.09649999999999</v>
      </c>
      <c r="J2051">
        <v>-327.04390000000001</v>
      </c>
      <c r="K2051">
        <v>1.1087670000000001</v>
      </c>
      <c r="L2051">
        <v>282.97399999999999</v>
      </c>
      <c r="M2051">
        <v>-0.99953060000000005</v>
      </c>
      <c r="N2051">
        <v>0</v>
      </c>
      <c r="O2051">
        <v>2.677216E-2</v>
      </c>
      <c r="P2051">
        <v>-0.99800350000000004</v>
      </c>
      <c r="Q2051">
        <v>-9.9127199999999999E-3</v>
      </c>
      <c r="R2051">
        <v>6.2377870000000002E-2</v>
      </c>
      <c r="S2051">
        <v>-2.9683839999999999</v>
      </c>
      <c r="T2051">
        <v>-0.73060659999999999</v>
      </c>
      <c r="U2051">
        <v>0.4898071</v>
      </c>
      <c r="V2051">
        <v>3.5652089999999997E-2</v>
      </c>
      <c r="W2051">
        <v>4.8521010000000002E-3</v>
      </c>
      <c r="X2051">
        <v>0.99935249999999998</v>
      </c>
      <c r="Y2051">
        <v>0.1332392</v>
      </c>
      <c r="Z2051">
        <v>9.6046529999999995E-3</v>
      </c>
      <c r="AA2051">
        <v>0.99103739999999996</v>
      </c>
      <c r="AB2051">
        <v>37</v>
      </c>
      <c r="AC2051">
        <v>-0.439599999999984</v>
      </c>
      <c r="AD2051">
        <v>-0.19814570000000001</v>
      </c>
      <c r="AE2051">
        <v>0.122500000000002</v>
      </c>
      <c r="AF2051">
        <v>9.3128445658501396E-2</v>
      </c>
      <c r="AG2051">
        <v>-0.19814570000000001</v>
      </c>
      <c r="AH2051">
        <v>0.37249645970555401</v>
      </c>
      <c r="AI2051">
        <v>117.29626860171</v>
      </c>
      <c r="AJ2051">
        <v>75.963129583849494</v>
      </c>
      <c r="AK2051">
        <v>0.43207434350170498</v>
      </c>
      <c r="AL2051">
        <v>89.721994004756795</v>
      </c>
      <c r="AM2051">
        <v>87.956828698135894</v>
      </c>
      <c r="AN2051">
        <v>1.00000001683086</v>
      </c>
    </row>
    <row r="2052" spans="1:40" x14ac:dyDescent="0.25">
      <c r="A2052" t="str">
        <f>"20190312154255095"</f>
        <v>20190312154255095</v>
      </c>
      <c r="B2052" t="str">
        <f>"1552376575089914"</f>
        <v>1552376575089914</v>
      </c>
      <c r="C2052" t="s">
        <v>40</v>
      </c>
      <c r="D2052">
        <v>4.8193929999999998</v>
      </c>
      <c r="E2052">
        <v>0.54184149999999998</v>
      </c>
      <c r="F2052" t="s">
        <v>41</v>
      </c>
      <c r="G2052">
        <v>-327.82060000000001</v>
      </c>
      <c r="H2052">
        <v>0.91714549999999995</v>
      </c>
      <c r="I2052">
        <v>283.10329999999999</v>
      </c>
      <c r="J2052">
        <v>-327.27390000000003</v>
      </c>
      <c r="K2052">
        <v>1.108811</v>
      </c>
      <c r="L2052">
        <v>282.98090000000002</v>
      </c>
      <c r="M2052">
        <v>-0.99950890000000003</v>
      </c>
      <c r="N2052">
        <v>0</v>
      </c>
      <c r="O2052">
        <v>2.7569719999999999E-2</v>
      </c>
      <c r="P2052">
        <v>-0.99798109999999995</v>
      </c>
      <c r="Q2052">
        <v>-1.0003700000000001E-2</v>
      </c>
      <c r="R2052">
        <v>6.2720479999999995E-2</v>
      </c>
      <c r="S2052">
        <v>-2.9678339999999999</v>
      </c>
      <c r="T2052">
        <v>-0.73210839999999999</v>
      </c>
      <c r="U2052">
        <v>0.49404910000000002</v>
      </c>
      <c r="V2052">
        <v>3.5196900000000003E-2</v>
      </c>
      <c r="W2052">
        <v>4.7634110000000004E-3</v>
      </c>
      <c r="X2052">
        <v>0.99936899999999995</v>
      </c>
      <c r="Y2052">
        <v>0.13384960000000001</v>
      </c>
      <c r="Z2052">
        <v>9.5058620000000003E-3</v>
      </c>
      <c r="AA2052">
        <v>0.99095610000000001</v>
      </c>
      <c r="AB2052">
        <v>37</v>
      </c>
      <c r="AC2052">
        <v>-0.54669999999998697</v>
      </c>
      <c r="AD2052">
        <v>-0.19166549999999999</v>
      </c>
      <c r="AE2052">
        <v>0.12239999999997001</v>
      </c>
      <c r="AF2052">
        <v>9.6038695338464E-2</v>
      </c>
      <c r="AG2052">
        <v>-0.19166549999999999</v>
      </c>
      <c r="AH2052">
        <v>0.49225202538636598</v>
      </c>
      <c r="AI2052">
        <v>110.914816171479</v>
      </c>
      <c r="AJ2052">
        <v>78.960234946635396</v>
      </c>
      <c r="AK2052">
        <v>0.53690888555651906</v>
      </c>
      <c r="AL2052">
        <v>89.727075609214594</v>
      </c>
      <c r="AM2052">
        <v>87.982926586625297</v>
      </c>
      <c r="AN2052">
        <v>0.99999995500748096</v>
      </c>
    </row>
    <row r="2053" spans="1:40" x14ac:dyDescent="0.25">
      <c r="A2053" t="str">
        <f>"20190312154255114"</f>
        <v>20190312154255114</v>
      </c>
      <c r="B2053" t="str">
        <f>"1552376575099675"</f>
        <v>1552376575099675</v>
      </c>
      <c r="C2053" t="s">
        <v>40</v>
      </c>
      <c r="D2053">
        <v>4.8812509999999998</v>
      </c>
      <c r="E2053">
        <v>0.5420604</v>
      </c>
      <c r="F2053" t="s">
        <v>41</v>
      </c>
      <c r="G2053">
        <v>-328.1438</v>
      </c>
      <c r="H2053">
        <v>0.89274390000000003</v>
      </c>
      <c r="I2053">
        <v>283.1266</v>
      </c>
      <c r="J2053">
        <v>-327.58269999999999</v>
      </c>
      <c r="K2053">
        <v>1.108867</v>
      </c>
      <c r="L2053">
        <v>282.99040000000002</v>
      </c>
      <c r="M2053">
        <v>-0.99947969999999997</v>
      </c>
      <c r="N2053">
        <v>0</v>
      </c>
      <c r="O2053">
        <v>2.8605809999999999E-2</v>
      </c>
      <c r="P2053">
        <v>-0.9979557</v>
      </c>
      <c r="Q2053">
        <v>-9.786365E-3</v>
      </c>
      <c r="R2053">
        <v>6.3154730000000006E-2</v>
      </c>
      <c r="S2053">
        <v>-2.9674680000000002</v>
      </c>
      <c r="T2053">
        <v>-0.736985</v>
      </c>
      <c r="U2053">
        <v>0.49652099999999999</v>
      </c>
      <c r="V2053">
        <v>3.4595840000000003E-2</v>
      </c>
      <c r="W2053">
        <v>4.9832289999999996E-3</v>
      </c>
      <c r="X2053">
        <v>0.99938890000000002</v>
      </c>
      <c r="Y2053">
        <v>0.1336415</v>
      </c>
      <c r="Z2053">
        <v>9.2911369999999997E-3</v>
      </c>
      <c r="AA2053">
        <v>0.99098620000000004</v>
      </c>
      <c r="AB2053">
        <v>37</v>
      </c>
      <c r="AC2053">
        <v>-0.56110000000001004</v>
      </c>
      <c r="AD2053">
        <v>-0.21612310000000001</v>
      </c>
      <c r="AE2053">
        <v>0.13619999999997301</v>
      </c>
      <c r="AF2053">
        <v>0.10533380455493201</v>
      </c>
      <c r="AG2053">
        <v>-0.21612310000000001</v>
      </c>
      <c r="AH2053">
        <v>0.495363289937093</v>
      </c>
      <c r="AI2053">
        <v>113.110409224626</v>
      </c>
      <c r="AJ2053">
        <v>77.995453226549301</v>
      </c>
      <c r="AK2053">
        <v>0.55062618331580204</v>
      </c>
      <c r="AL2053">
        <v>89.714480810854596</v>
      </c>
      <c r="AM2053">
        <v>88.017384012848296</v>
      </c>
      <c r="AN2053">
        <v>0.99999993907988904</v>
      </c>
    </row>
    <row r="2054" spans="1:40" x14ac:dyDescent="0.25">
      <c r="A2054" t="str">
        <f>"20190312154255137"</f>
        <v>20190312154255137</v>
      </c>
      <c r="B2054" t="str">
        <f>"1552376575129325"</f>
        <v>1552376575129325</v>
      </c>
      <c r="C2054" t="s">
        <v>40</v>
      </c>
      <c r="D2054">
        <v>4.773644</v>
      </c>
      <c r="E2054">
        <v>0.54240559999999904</v>
      </c>
      <c r="F2054" t="s">
        <v>41</v>
      </c>
      <c r="G2054">
        <v>-328.47449999999998</v>
      </c>
      <c r="H2054">
        <v>0.88658210000000004</v>
      </c>
      <c r="I2054">
        <v>283.14109999999999</v>
      </c>
      <c r="J2054">
        <v>-327.97019999999998</v>
      </c>
      <c r="K2054">
        <v>1.1089329999999999</v>
      </c>
      <c r="L2054">
        <v>283.0027</v>
      </c>
      <c r="M2054">
        <v>-0.99944370000000005</v>
      </c>
      <c r="N2054">
        <v>0</v>
      </c>
      <c r="O2054">
        <v>2.984765E-2</v>
      </c>
      <c r="P2054">
        <v>-0.99794170000000004</v>
      </c>
      <c r="Q2054">
        <v>-9.4499430000000006E-3</v>
      </c>
      <c r="R2054">
        <v>6.3430150000000005E-2</v>
      </c>
      <c r="S2054">
        <v>-2.9672550000000002</v>
      </c>
      <c r="T2054">
        <v>-0.73958979999999996</v>
      </c>
      <c r="U2054">
        <v>0.50009159999999997</v>
      </c>
      <c r="V2054">
        <v>3.3630130000000001E-2</v>
      </c>
      <c r="W2054">
        <v>5.323688E-3</v>
      </c>
      <c r="X2054">
        <v>0.99942019999999998</v>
      </c>
      <c r="Y2054">
        <v>0.1335991</v>
      </c>
      <c r="Z2054">
        <v>9.0152470000000005E-3</v>
      </c>
      <c r="AA2054">
        <v>0.9909945</v>
      </c>
      <c r="AB2054">
        <v>37</v>
      </c>
      <c r="AC2054">
        <v>-0.50429999999999997</v>
      </c>
      <c r="AD2054">
        <v>-0.22235089999999899</v>
      </c>
      <c r="AE2054">
        <v>0.13839999999999</v>
      </c>
      <c r="AF2054">
        <v>0.104408888887489</v>
      </c>
      <c r="AG2054">
        <v>-0.22235089999999899</v>
      </c>
      <c r="AH2054">
        <v>0.43039713673901597</v>
      </c>
      <c r="AI2054">
        <v>116.659236041383</v>
      </c>
      <c r="AJ2054">
        <v>76.364180335224006</v>
      </c>
      <c r="AK2054">
        <v>0.49556314847118399</v>
      </c>
      <c r="AL2054">
        <v>89.694973714998497</v>
      </c>
      <c r="AM2054">
        <v>88.072744832079294</v>
      </c>
      <c r="AN2054">
        <v>1.0000000317328801</v>
      </c>
    </row>
    <row r="2055" spans="1:40" x14ac:dyDescent="0.25">
      <c r="A2055" t="str">
        <f>"20190312154255149"</f>
        <v>20190312154255149</v>
      </c>
      <c r="B2055" t="str">
        <f>"1552376575139080"</f>
        <v>1552376575139080</v>
      </c>
      <c r="C2055" t="s">
        <v>40</v>
      </c>
      <c r="D2055">
        <v>4.7541229999999999</v>
      </c>
      <c r="E2055">
        <v>0.54253079999999998</v>
      </c>
      <c r="F2055" t="s">
        <v>41</v>
      </c>
      <c r="G2055">
        <v>-328.81199999999899</v>
      </c>
      <c r="H2055">
        <v>0.89741340000000003</v>
      </c>
      <c r="I2055">
        <v>283.14589999999998</v>
      </c>
      <c r="J2055">
        <v>-328.18509999999998</v>
      </c>
      <c r="K2055">
        <v>1.1089709999999999</v>
      </c>
      <c r="L2055">
        <v>283.00979999999998</v>
      </c>
      <c r="M2055">
        <v>-0.99942350000000002</v>
      </c>
      <c r="N2055">
        <v>0</v>
      </c>
      <c r="O2055">
        <v>3.0514320000000001E-2</v>
      </c>
      <c r="P2055">
        <v>-0.99793370000000003</v>
      </c>
      <c r="Q2055">
        <v>-9.5124909999999997E-3</v>
      </c>
      <c r="R2055">
        <v>6.3545959999999999E-2</v>
      </c>
      <c r="S2055">
        <v>-2.967041</v>
      </c>
      <c r="T2055">
        <v>-0.74556679999999997</v>
      </c>
      <c r="U2055">
        <v>0.50473020000000002</v>
      </c>
      <c r="V2055">
        <v>3.3078900000000001E-2</v>
      </c>
      <c r="W2055">
        <v>5.2631290000000001E-3</v>
      </c>
      <c r="X2055">
        <v>0.99943890000000002</v>
      </c>
      <c r="Y2055">
        <v>0.1344033</v>
      </c>
      <c r="Z2055">
        <v>9.0207269999999992E-3</v>
      </c>
      <c r="AA2055">
        <v>0.99088569999999998</v>
      </c>
      <c r="AB2055">
        <v>37</v>
      </c>
      <c r="AC2055">
        <v>-0.62689999999997703</v>
      </c>
      <c r="AD2055">
        <v>-0.21155759999999901</v>
      </c>
      <c r="AE2055">
        <v>0.136099999999999</v>
      </c>
      <c r="AF2055">
        <v>0.105437901639043</v>
      </c>
      <c r="AG2055">
        <v>-0.21155759999999901</v>
      </c>
      <c r="AH2055">
        <v>0.56889038359825606</v>
      </c>
      <c r="AI2055">
        <v>110.084962311298</v>
      </c>
      <c r="AJ2055">
        <v>79.499970665052501</v>
      </c>
      <c r="AK2055">
        <v>0.61604386026514002</v>
      </c>
      <c r="AL2055">
        <v>89.698443533414306</v>
      </c>
      <c r="AM2055">
        <v>88.104346590732007</v>
      </c>
      <c r="AN2055">
        <v>1.00000001449264</v>
      </c>
    </row>
    <row r="2056" spans="1:40" x14ac:dyDescent="0.25">
      <c r="A2056" t="str">
        <f>"20190312154255162"</f>
        <v>20190312154255162</v>
      </c>
      <c r="B2056" t="str">
        <f>"1552376575149816"</f>
        <v>1552376575149816</v>
      </c>
      <c r="C2056" t="s">
        <v>40</v>
      </c>
      <c r="D2056">
        <v>4.7675349999999996</v>
      </c>
      <c r="E2056">
        <v>0.54264380000000001</v>
      </c>
      <c r="F2056" t="s">
        <v>41</v>
      </c>
      <c r="G2056">
        <v>-329.13299999999998</v>
      </c>
      <c r="H2056">
        <v>0.87001659999999903</v>
      </c>
      <c r="I2056">
        <v>283.17180000000002</v>
      </c>
      <c r="J2056">
        <v>-328.40789999999998</v>
      </c>
      <c r="K2056">
        <v>1.109013</v>
      </c>
      <c r="L2056">
        <v>283.0172</v>
      </c>
      <c r="M2056">
        <v>-0.99940320000000005</v>
      </c>
      <c r="N2056">
        <v>0</v>
      </c>
      <c r="O2056">
        <v>3.11781E-2</v>
      </c>
      <c r="P2056">
        <v>-0.99790749999999995</v>
      </c>
      <c r="Q2056">
        <v>-9.8815710000000005E-3</v>
      </c>
      <c r="R2056">
        <v>6.3900709999999999E-2</v>
      </c>
      <c r="S2056">
        <v>-2.966888</v>
      </c>
      <c r="T2056">
        <v>-0.74789799999999995</v>
      </c>
      <c r="U2056">
        <v>0.50622559999999905</v>
      </c>
      <c r="V2056">
        <v>3.2768739999999998E-2</v>
      </c>
      <c r="W2056">
        <v>4.8950159999999899E-3</v>
      </c>
      <c r="X2056">
        <v>0.99945099999999998</v>
      </c>
      <c r="Y2056">
        <v>0.134244899999999</v>
      </c>
      <c r="Z2056">
        <v>8.8653020000000003E-3</v>
      </c>
      <c r="AA2056">
        <v>0.99090849999999997</v>
      </c>
      <c r="AB2056">
        <v>37</v>
      </c>
      <c r="AC2056">
        <v>-0.72510000000005403</v>
      </c>
      <c r="AD2056">
        <v>-0.2389964</v>
      </c>
      <c r="AE2056">
        <v>0.154600000000016</v>
      </c>
      <c r="AF2056">
        <v>0.119497460992377</v>
      </c>
      <c r="AG2056">
        <v>-0.2389964</v>
      </c>
      <c r="AH2056">
        <v>0.66089131711126003</v>
      </c>
      <c r="AI2056">
        <v>109.588463459349</v>
      </c>
      <c r="AJ2056">
        <v>79.750936655551001</v>
      </c>
      <c r="AK2056">
        <v>0.71286482269055795</v>
      </c>
      <c r="AL2056">
        <v>89.719535129917205</v>
      </c>
      <c r="AM2056">
        <v>88.122130870321797</v>
      </c>
      <c r="AN2056">
        <v>1.00000002645191</v>
      </c>
    </row>
    <row r="2057" spans="1:40" x14ac:dyDescent="0.25">
      <c r="A2057" t="str">
        <f>"20190312154255181"</f>
        <v>20190312154255181</v>
      </c>
      <c r="B2057" t="str">
        <f>"1552376575169336"</f>
        <v>1552376575169336</v>
      </c>
      <c r="C2057" t="s">
        <v>40</v>
      </c>
      <c r="D2057">
        <v>4.7415399999999996</v>
      </c>
      <c r="E2057">
        <v>0.54278340000000003</v>
      </c>
      <c r="F2057" t="s">
        <v>41</v>
      </c>
      <c r="G2057">
        <v>-329.15440000000001</v>
      </c>
      <c r="H2057">
        <v>0.92002899999999999</v>
      </c>
      <c r="I2057">
        <v>283.1454</v>
      </c>
      <c r="J2057">
        <v>-328.69740000000002</v>
      </c>
      <c r="K2057">
        <v>1.1090690000000001</v>
      </c>
      <c r="L2057">
        <v>283.02699999999999</v>
      </c>
      <c r="M2057">
        <v>-0.99937699999999996</v>
      </c>
      <c r="N2057">
        <v>0</v>
      </c>
      <c r="O2057">
        <v>3.2005350000000002E-2</v>
      </c>
      <c r="P2057">
        <v>-0.99788449999999995</v>
      </c>
      <c r="Q2057">
        <v>-9.9660879999999997E-3</v>
      </c>
      <c r="R2057">
        <v>6.4245040000000003E-2</v>
      </c>
      <c r="S2057">
        <v>-2.9663089999999999</v>
      </c>
      <c r="T2057">
        <v>-0.75089910000000004</v>
      </c>
      <c r="U2057">
        <v>0.50823969999999996</v>
      </c>
      <c r="V2057">
        <v>3.228557E-2</v>
      </c>
      <c r="W2057">
        <v>4.8120480000000002E-3</v>
      </c>
      <c r="X2057">
        <v>0.99946710000000005</v>
      </c>
      <c r="Y2057">
        <v>0.1341147</v>
      </c>
      <c r="Z2057">
        <v>8.6804940000000004E-3</v>
      </c>
      <c r="AA2057">
        <v>0.99092780000000003</v>
      </c>
      <c r="AB2057">
        <v>37</v>
      </c>
      <c r="AC2057">
        <v>-0.45699999999999302</v>
      </c>
      <c r="AD2057">
        <v>-0.18904000000000001</v>
      </c>
      <c r="AE2057">
        <v>0.118400000000008</v>
      </c>
      <c r="AF2057">
        <v>8.9379535426231199E-2</v>
      </c>
      <c r="AG2057">
        <v>-0.18904000000000001</v>
      </c>
      <c r="AH2057">
        <v>0.39691206143215402</v>
      </c>
      <c r="AI2057">
        <v>114.921543019187</v>
      </c>
      <c r="AJ2057">
        <v>77.309405273461095</v>
      </c>
      <c r="AK2057">
        <v>0.44862457295976399</v>
      </c>
      <c r="AL2057">
        <v>89.724288894425698</v>
      </c>
      <c r="AM2057">
        <v>88.149830154660705</v>
      </c>
      <c r="AN2057">
        <v>0.99999999890929403</v>
      </c>
    </row>
    <row r="2058" spans="1:40" x14ac:dyDescent="0.25">
      <c r="A2058" t="str">
        <f>"20190312154255194"</f>
        <v>20190312154255194</v>
      </c>
      <c r="B2058" t="str">
        <f>"1552376575189832"</f>
        <v>1552376575189832</v>
      </c>
      <c r="C2058" t="s">
        <v>40</v>
      </c>
      <c r="D2058">
        <v>4.7110349999999999</v>
      </c>
      <c r="E2058">
        <v>0.54304300000000005</v>
      </c>
      <c r="F2058" t="s">
        <v>41</v>
      </c>
      <c r="G2058">
        <v>-329.48169999999999</v>
      </c>
      <c r="H2058">
        <v>0.90962449999999995</v>
      </c>
      <c r="I2058">
        <v>283.16210000000001</v>
      </c>
      <c r="J2058">
        <v>-328.93079999999998</v>
      </c>
      <c r="K2058">
        <v>1.109119</v>
      </c>
      <c r="L2058">
        <v>283.0351</v>
      </c>
      <c r="M2058">
        <v>-0.99935640000000003</v>
      </c>
      <c r="N2058">
        <v>0</v>
      </c>
      <c r="O2058">
        <v>3.2638309999999997E-2</v>
      </c>
      <c r="P2058">
        <v>-0.99785829999999998</v>
      </c>
      <c r="Q2058">
        <v>-1.00526E-2</v>
      </c>
      <c r="R2058">
        <v>6.4635559999999995E-2</v>
      </c>
      <c r="S2058">
        <v>-2.965973</v>
      </c>
      <c r="T2058">
        <v>-0.75415399999999999</v>
      </c>
      <c r="U2058">
        <v>0.51083369999999995</v>
      </c>
      <c r="V2058">
        <v>3.2043009999999997E-2</v>
      </c>
      <c r="W2058">
        <v>4.7266950000000004E-3</v>
      </c>
      <c r="X2058">
        <v>0.99947529999999996</v>
      </c>
      <c r="Y2058">
        <v>0.1343338</v>
      </c>
      <c r="Z2058">
        <v>8.5875139999999992E-3</v>
      </c>
      <c r="AA2058">
        <v>0.99089890000000003</v>
      </c>
      <c r="AB2058">
        <v>37</v>
      </c>
      <c r="AC2058">
        <v>-0.55090000000001205</v>
      </c>
      <c r="AD2058">
        <v>-0.19949449999999899</v>
      </c>
      <c r="AE2058">
        <v>0.12700000000000899</v>
      </c>
      <c r="AF2058">
        <v>9.6885951548150606E-2</v>
      </c>
      <c r="AG2058">
        <v>-0.19949449999999899</v>
      </c>
      <c r="AH2058">
        <v>0.49332471106987102</v>
      </c>
      <c r="AI2058">
        <v>111.64355745650801</v>
      </c>
      <c r="AJ2058">
        <v>78.888873591665003</v>
      </c>
      <c r="AK2058">
        <v>0.54088280957136403</v>
      </c>
      <c r="AL2058">
        <v>89.729179313151405</v>
      </c>
      <c r="AM2058">
        <v>88.163735898142903</v>
      </c>
      <c r="AN2058">
        <v>0.99999998572278603</v>
      </c>
    </row>
    <row r="2059" spans="1:40" x14ac:dyDescent="0.25">
      <c r="A2059" t="str">
        <f>"20190312154255207"</f>
        <v>20190312154255207</v>
      </c>
      <c r="B2059" t="str">
        <f>"1552376575199592"</f>
        <v>1552376575199592</v>
      </c>
      <c r="C2059" t="s">
        <v>40</v>
      </c>
      <c r="D2059">
        <v>4.7309929999999998</v>
      </c>
      <c r="E2059">
        <v>0.543145199999999</v>
      </c>
      <c r="F2059" t="s">
        <v>41</v>
      </c>
      <c r="G2059">
        <v>-329.80349999999999</v>
      </c>
      <c r="H2059">
        <v>0.88605330000000004</v>
      </c>
      <c r="I2059">
        <v>283.18650000000002</v>
      </c>
      <c r="J2059">
        <v>-329.13699999999898</v>
      </c>
      <c r="K2059">
        <v>1.109165</v>
      </c>
      <c r="L2059">
        <v>283.04230000000001</v>
      </c>
      <c r="M2059">
        <v>-0.99933899999999998</v>
      </c>
      <c r="N2059">
        <v>0</v>
      </c>
      <c r="O2059">
        <v>3.3173969999999997E-2</v>
      </c>
      <c r="P2059">
        <v>-0.99782210000000005</v>
      </c>
      <c r="Q2059">
        <v>-9.8936709999999997E-3</v>
      </c>
      <c r="R2059">
        <v>6.5218170000000006E-2</v>
      </c>
      <c r="S2059">
        <v>-2.9655459999999998</v>
      </c>
      <c r="T2059">
        <v>-0.75806560000000001</v>
      </c>
      <c r="U2059">
        <v>0.51358029999999999</v>
      </c>
      <c r="V2059">
        <v>3.2090599999999997E-2</v>
      </c>
      <c r="W2059">
        <v>4.8859560000000003E-3</v>
      </c>
      <c r="X2059">
        <v>0.99947299999999994</v>
      </c>
      <c r="Y2059">
        <v>0.13469110000000001</v>
      </c>
      <c r="Z2059">
        <v>8.5423229999999992E-3</v>
      </c>
      <c r="AA2059">
        <v>0.99085080000000003</v>
      </c>
      <c r="AB2059">
        <v>37</v>
      </c>
      <c r="AC2059">
        <v>-0.66650000000004095</v>
      </c>
      <c r="AD2059">
        <v>-0.223111699999999</v>
      </c>
      <c r="AE2059">
        <v>0.14420000000001201</v>
      </c>
      <c r="AF2059">
        <v>0.11021000317705799</v>
      </c>
      <c r="AG2059">
        <v>-0.223111699999999</v>
      </c>
      <c r="AH2059">
        <v>0.60604195617984102</v>
      </c>
      <c r="AI2059">
        <v>109.910652703306</v>
      </c>
      <c r="AJ2059">
        <v>79.693272292259195</v>
      </c>
      <c r="AK2059">
        <v>0.65514267768743795</v>
      </c>
      <c r="AL2059">
        <v>89.720054222436104</v>
      </c>
      <c r="AM2059">
        <v>88.161006336890196</v>
      </c>
      <c r="AN2059">
        <v>0.99999997845169597</v>
      </c>
    </row>
    <row r="2060" spans="1:40" x14ac:dyDescent="0.25">
      <c r="A2060" t="str">
        <f>"20190312154255226"</f>
        <v>20190312154255226</v>
      </c>
      <c r="B2060" t="str">
        <f>"1552376575220087"</f>
        <v>1552376575220087</v>
      </c>
      <c r="C2060" t="s">
        <v>40</v>
      </c>
      <c r="D2060">
        <v>4.7108860000000004</v>
      </c>
      <c r="E2060">
        <v>0.54339340000000003</v>
      </c>
      <c r="F2060" t="s">
        <v>41</v>
      </c>
      <c r="G2060">
        <v>-329.8245</v>
      </c>
      <c r="H2060">
        <v>0.93315650000000006</v>
      </c>
      <c r="I2060">
        <v>283.16219999999998</v>
      </c>
      <c r="J2060">
        <v>-329.45370000000003</v>
      </c>
      <c r="K2060">
        <v>1.1092500000000001</v>
      </c>
      <c r="L2060">
        <v>283.05360000000002</v>
      </c>
      <c r="M2060">
        <v>-0.99931380000000003</v>
      </c>
      <c r="N2060">
        <v>0</v>
      </c>
      <c r="O2060">
        <v>3.3922189999999998E-2</v>
      </c>
      <c r="P2060">
        <v>-0.99775329999999995</v>
      </c>
      <c r="Q2060">
        <v>-9.0722330000000007E-3</v>
      </c>
      <c r="R2060">
        <v>6.6379469999999996E-2</v>
      </c>
      <c r="S2060">
        <v>-2.965271</v>
      </c>
      <c r="T2060">
        <v>-0.7591755</v>
      </c>
      <c r="U2060">
        <v>0.51596070000000005</v>
      </c>
      <c r="V2060">
        <v>3.2506470000000003E-2</v>
      </c>
      <c r="W2060">
        <v>5.7070580000000001E-3</v>
      </c>
      <c r="X2060">
        <v>0.99945519999999999</v>
      </c>
      <c r="Y2060">
        <v>0.1347497</v>
      </c>
      <c r="Z2060">
        <v>8.3751420000000004E-3</v>
      </c>
      <c r="AA2060">
        <v>0.99084419999999995</v>
      </c>
      <c r="AB2060">
        <v>37</v>
      </c>
      <c r="AC2060">
        <v>-0.37079999999997398</v>
      </c>
      <c r="AD2060">
        <v>-0.17609349999999999</v>
      </c>
      <c r="AE2060">
        <v>0.108599999999967</v>
      </c>
      <c r="AF2060">
        <v>7.94540286357589E-2</v>
      </c>
      <c r="AG2060">
        <v>-0.17609349999999999</v>
      </c>
      <c r="AH2060">
        <v>0.30990027279505999</v>
      </c>
      <c r="AI2060">
        <v>118.829422826971</v>
      </c>
      <c r="AJ2060">
        <v>75.619920348015398</v>
      </c>
      <c r="AK2060">
        <v>0.36518494285382902</v>
      </c>
      <c r="AL2060">
        <v>89.673007877945594</v>
      </c>
      <c r="AM2060">
        <v>88.137157895148505</v>
      </c>
      <c r="AN2060">
        <v>0.99999996895495702</v>
      </c>
    </row>
    <row r="2061" spans="1:40" x14ac:dyDescent="0.25">
      <c r="A2061" t="str">
        <f>"20190312154255240"</f>
        <v>20190312154255240</v>
      </c>
      <c r="B2061" t="str">
        <f>"1552376575229850"</f>
        <v>1552376575229850</v>
      </c>
      <c r="C2061" t="s">
        <v>40</v>
      </c>
      <c r="D2061">
        <v>4.8497469999999998</v>
      </c>
      <c r="E2061">
        <v>0.54362809999999995</v>
      </c>
      <c r="F2061" t="s">
        <v>41</v>
      </c>
      <c r="G2061">
        <v>-330.15410000000003</v>
      </c>
      <c r="H2061">
        <v>0.92963390000000001</v>
      </c>
      <c r="I2061">
        <v>283.17669999999998</v>
      </c>
      <c r="J2061">
        <v>-329.68</v>
      </c>
      <c r="K2061">
        <v>1.109318</v>
      </c>
      <c r="L2061">
        <v>283.06169999999997</v>
      </c>
      <c r="M2061">
        <v>-0.99929780000000001</v>
      </c>
      <c r="N2061">
        <v>0</v>
      </c>
      <c r="O2061">
        <v>3.4393189999999997E-2</v>
      </c>
      <c r="P2061">
        <v>-0.99771310000000002</v>
      </c>
      <c r="Q2061">
        <v>-9.0298089999999998E-3</v>
      </c>
      <c r="R2061">
        <v>6.6985169999999997E-2</v>
      </c>
      <c r="S2061">
        <v>-2.965271</v>
      </c>
      <c r="T2061">
        <v>-0.76043359999999904</v>
      </c>
      <c r="U2061">
        <v>0.51986690000000002</v>
      </c>
      <c r="V2061">
        <v>3.2641120000000003E-2</v>
      </c>
      <c r="W2061">
        <v>5.7514039999999999E-3</v>
      </c>
      <c r="X2061">
        <v>0.99945059999999997</v>
      </c>
      <c r="Y2061">
        <v>0.1355304</v>
      </c>
      <c r="Z2061">
        <v>8.3677449999999994E-3</v>
      </c>
      <c r="AA2061">
        <v>0.99073789999999995</v>
      </c>
      <c r="AB2061">
        <v>37</v>
      </c>
      <c r="AC2061">
        <v>-0.474100000000021</v>
      </c>
      <c r="AD2061">
        <v>-0.17968410000000001</v>
      </c>
      <c r="AE2061">
        <v>0.115000000000009</v>
      </c>
      <c r="AF2061">
        <v>8.6843231707676397E-2</v>
      </c>
      <c r="AG2061">
        <v>-0.17968410000000001</v>
      </c>
      <c r="AH2061">
        <v>0.420702802434329</v>
      </c>
      <c r="AI2061">
        <v>112.698864890274</v>
      </c>
      <c r="AJ2061">
        <v>78.336587083087096</v>
      </c>
      <c r="AK2061">
        <v>0.46563824012031202</v>
      </c>
      <c r="AL2061">
        <v>89.670467011580399</v>
      </c>
      <c r="AM2061">
        <v>88.129438400514999</v>
      </c>
      <c r="AN2061">
        <v>1.0000000116015899</v>
      </c>
    </row>
    <row r="2062" spans="1:40" x14ac:dyDescent="0.25">
      <c r="A2062" t="str">
        <f>"20190312154255260"</f>
        <v>20190312154255260</v>
      </c>
      <c r="B2062" t="str">
        <f>"1552376575249367"</f>
        <v>1552376575249367</v>
      </c>
      <c r="C2062" t="s">
        <v>40</v>
      </c>
      <c r="D2062">
        <v>4.7182060000000003</v>
      </c>
      <c r="E2062">
        <v>0.54385660000000002</v>
      </c>
      <c r="F2062" t="s">
        <v>41</v>
      </c>
      <c r="G2062">
        <v>-330.47379999999998</v>
      </c>
      <c r="H2062">
        <v>0.90518929999999997</v>
      </c>
      <c r="I2062">
        <v>283.202</v>
      </c>
      <c r="J2062">
        <v>-330.01609999999999</v>
      </c>
      <c r="K2062">
        <v>1.1094360000000001</v>
      </c>
      <c r="L2062">
        <v>283.07400000000001</v>
      </c>
      <c r="M2062">
        <v>-0.99927650000000001</v>
      </c>
      <c r="N2062">
        <v>0</v>
      </c>
      <c r="O2062">
        <v>3.5008520000000001E-2</v>
      </c>
      <c r="P2062">
        <v>-0.99761529999999998</v>
      </c>
      <c r="Q2062">
        <v>-9.5582299999999992E-3</v>
      </c>
      <c r="R2062">
        <v>6.8355289999999999E-2</v>
      </c>
      <c r="S2062">
        <v>-2.964874</v>
      </c>
      <c r="T2062">
        <v>-0.76253219999999899</v>
      </c>
      <c r="U2062">
        <v>0.52291869999999996</v>
      </c>
      <c r="V2062">
        <v>3.3395910000000001E-2</v>
      </c>
      <c r="W2062">
        <v>5.2245059999999899E-3</v>
      </c>
      <c r="X2062">
        <v>0.9994286</v>
      </c>
      <c r="Y2062">
        <v>0.13592199999999999</v>
      </c>
      <c r="Z2062">
        <v>8.2854269999999997E-3</v>
      </c>
      <c r="AA2062">
        <v>0.99068489999999998</v>
      </c>
      <c r="AB2062">
        <v>37</v>
      </c>
      <c r="AC2062">
        <v>-0.45769999999998801</v>
      </c>
      <c r="AD2062">
        <v>-0.2042467</v>
      </c>
      <c r="AE2062">
        <v>0.12799999999998499</v>
      </c>
      <c r="AF2062">
        <v>9.4451947004652897E-2</v>
      </c>
      <c r="AG2062">
        <v>-0.2042467</v>
      </c>
      <c r="AH2062">
        <v>0.38989157928877499</v>
      </c>
      <c r="AI2062">
        <v>116.98195237981</v>
      </c>
      <c r="AJ2062">
        <v>76.3823359020667</v>
      </c>
      <c r="AK2062">
        <v>0.45017033260106698</v>
      </c>
      <c r="AL2062">
        <v>89.700656510641394</v>
      </c>
      <c r="AM2062">
        <v>88.086173426939197</v>
      </c>
      <c r="AN2062">
        <v>1.00000005438281</v>
      </c>
    </row>
    <row r="2063" spans="1:40" x14ac:dyDescent="0.25">
      <c r="A2063" t="str">
        <f>"20190312154255283"</f>
        <v>20190312154255283</v>
      </c>
      <c r="B2063" t="str">
        <f>"1552376575269865"</f>
        <v>1552376575269865</v>
      </c>
      <c r="C2063" t="s">
        <v>40</v>
      </c>
      <c r="D2063">
        <v>4.6894519999999904</v>
      </c>
      <c r="E2063">
        <v>0.54408100000000004</v>
      </c>
      <c r="F2063" t="s">
        <v>41</v>
      </c>
      <c r="G2063">
        <v>-330.80439999999999</v>
      </c>
      <c r="H2063">
        <v>0.9054198</v>
      </c>
      <c r="I2063">
        <v>283.21440000000001</v>
      </c>
      <c r="J2063">
        <v>-330.38220000000001</v>
      </c>
      <c r="K2063">
        <v>1.1095630000000001</v>
      </c>
      <c r="L2063">
        <v>283.0874</v>
      </c>
      <c r="M2063">
        <v>-0.99925779999999997</v>
      </c>
      <c r="N2063">
        <v>0</v>
      </c>
      <c r="O2063">
        <v>3.5540429999999998E-2</v>
      </c>
      <c r="P2063">
        <v>-0.99749270000000001</v>
      </c>
      <c r="Q2063">
        <v>-1.0244059999999999E-2</v>
      </c>
      <c r="R2063">
        <v>7.0023370000000001E-2</v>
      </c>
      <c r="S2063">
        <v>-2.9636230000000001</v>
      </c>
      <c r="T2063">
        <v>-0.76703580000000005</v>
      </c>
      <c r="U2063">
        <v>0.52783199999999997</v>
      </c>
      <c r="V2063">
        <v>3.4532199999999902E-2</v>
      </c>
      <c r="W2063">
        <v>4.5416830000000004E-3</v>
      </c>
      <c r="X2063">
        <v>0.99939330000000004</v>
      </c>
      <c r="Y2063">
        <v>0.13700279999999901</v>
      </c>
      <c r="Z2063">
        <v>8.3375050000000003E-3</v>
      </c>
      <c r="AA2063">
        <v>0.99053559999999996</v>
      </c>
      <c r="AB2063">
        <v>37</v>
      </c>
      <c r="AC2063">
        <v>-0.42219999999997498</v>
      </c>
      <c r="AD2063">
        <v>-0.204143199999999</v>
      </c>
      <c r="AE2063">
        <v>0.12700000000000899</v>
      </c>
      <c r="AF2063">
        <v>9.2155308462591998E-2</v>
      </c>
      <c r="AG2063">
        <v>-0.204143199999999</v>
      </c>
      <c r="AH2063">
        <v>0.351160398524335</v>
      </c>
      <c r="AI2063">
        <v>119.348984316461</v>
      </c>
      <c r="AJ2063">
        <v>75.295404805595098</v>
      </c>
      <c r="AK2063">
        <v>0.41651011089269502</v>
      </c>
      <c r="AL2063">
        <v>89.739779846442204</v>
      </c>
      <c r="AM2063">
        <v>88.021036892791301</v>
      </c>
      <c r="AN2063">
        <v>1.0000000339031001</v>
      </c>
    </row>
    <row r="2064" spans="1:40" x14ac:dyDescent="0.25">
      <c r="A2064" t="str">
        <f>"20190312154255305"</f>
        <v>20190312154255305</v>
      </c>
      <c r="B2064" t="str">
        <f>"1552376575299144"</f>
        <v>1552376575299144</v>
      </c>
      <c r="C2064" t="s">
        <v>40</v>
      </c>
      <c r="D2064">
        <v>4.740443</v>
      </c>
      <c r="E2064">
        <v>0.54437679999999999</v>
      </c>
      <c r="F2064" t="s">
        <v>41</v>
      </c>
      <c r="G2064">
        <v>-331.13760000000002</v>
      </c>
      <c r="H2064">
        <v>0.91279030000000005</v>
      </c>
      <c r="I2064">
        <v>283.22410000000002</v>
      </c>
      <c r="J2064">
        <v>-330.7561</v>
      </c>
      <c r="K2064">
        <v>1.1096999999999999</v>
      </c>
      <c r="L2064">
        <v>283.10109999999997</v>
      </c>
      <c r="M2064">
        <v>-0.99924400000000002</v>
      </c>
      <c r="N2064">
        <v>0</v>
      </c>
      <c r="O2064">
        <v>3.5928960000000003E-2</v>
      </c>
      <c r="P2064">
        <v>-0.99740280000000003</v>
      </c>
      <c r="Q2064">
        <v>-1.0414939999999999E-2</v>
      </c>
      <c r="R2064">
        <v>7.1270669999999994E-2</v>
      </c>
      <c r="S2064">
        <v>-2.962097</v>
      </c>
      <c r="T2064">
        <v>-0.77172850000000004</v>
      </c>
      <c r="U2064">
        <v>0.5346069</v>
      </c>
      <c r="V2064">
        <v>3.539171E-2</v>
      </c>
      <c r="W2064">
        <v>4.3757459999999998E-3</v>
      </c>
      <c r="X2064">
        <v>0.99936400000000003</v>
      </c>
      <c r="Y2064">
        <v>0.13881399999999999</v>
      </c>
      <c r="Z2064">
        <v>8.5212139999999992E-3</v>
      </c>
      <c r="AA2064">
        <v>0.99028179999999999</v>
      </c>
      <c r="AB2064">
        <v>37</v>
      </c>
      <c r="AC2064">
        <v>-0.38150000000001599</v>
      </c>
      <c r="AD2064">
        <v>-0.19690969999999899</v>
      </c>
      <c r="AE2064">
        <v>0.123000000000047</v>
      </c>
      <c r="AF2064">
        <v>8.7980555858596099E-2</v>
      </c>
      <c r="AG2064">
        <v>-0.19690969999999899</v>
      </c>
      <c r="AH2064">
        <v>0.31069579693712002</v>
      </c>
      <c r="AI2064">
        <v>121.37453899182501</v>
      </c>
      <c r="AJ2064">
        <v>74.1893281042544</v>
      </c>
      <c r="AK2064">
        <v>0.37821407482756297</v>
      </c>
      <c r="AL2064">
        <v>89.749287437545107</v>
      </c>
      <c r="AM2064">
        <v>87.971761522305101</v>
      </c>
      <c r="AN2064">
        <v>1.00000006239288</v>
      </c>
    </row>
    <row r="2065" spans="1:40" x14ac:dyDescent="0.25">
      <c r="A2065" t="str">
        <f>"20190312154255327"</f>
        <v>20190312154255327</v>
      </c>
      <c r="B2065" t="str">
        <f>"1552376575319640"</f>
        <v>1552376575319640</v>
      </c>
      <c r="C2065" t="s">
        <v>40</v>
      </c>
      <c r="D2065">
        <v>4.734667</v>
      </c>
      <c r="E2065">
        <v>0.544494699999999</v>
      </c>
      <c r="F2065" t="s">
        <v>41</v>
      </c>
      <c r="G2065">
        <v>-331.47160000000002</v>
      </c>
      <c r="H2065">
        <v>0.92212989999999995</v>
      </c>
      <c r="I2065">
        <v>283.23160000000001</v>
      </c>
      <c r="J2065">
        <v>-331.12009999999998</v>
      </c>
      <c r="K2065">
        <v>1.109831</v>
      </c>
      <c r="L2065">
        <v>283.11450000000002</v>
      </c>
      <c r="M2065">
        <v>-0.99923580000000001</v>
      </c>
      <c r="N2065">
        <v>0</v>
      </c>
      <c r="O2065">
        <v>3.6160789999999998E-2</v>
      </c>
      <c r="P2065">
        <v>-0.99730319999999995</v>
      </c>
      <c r="Q2065">
        <v>-1.1536100000000001E-2</v>
      </c>
      <c r="R2065">
        <v>7.2482240000000003E-2</v>
      </c>
      <c r="S2065">
        <v>-2.961182</v>
      </c>
      <c r="T2065">
        <v>-0.77627519999999905</v>
      </c>
      <c r="U2065">
        <v>0.53991699999999998</v>
      </c>
      <c r="V2065">
        <v>3.6371399999999998E-2</v>
      </c>
      <c r="W2065">
        <v>3.2599550000000001E-3</v>
      </c>
      <c r="X2065">
        <v>0.99933300000000003</v>
      </c>
      <c r="Y2065">
        <v>0.1402775</v>
      </c>
      <c r="Z2065">
        <v>8.6991050000000004E-3</v>
      </c>
      <c r="AA2065">
        <v>0.99007400000000001</v>
      </c>
      <c r="AB2065">
        <v>37</v>
      </c>
      <c r="AC2065">
        <v>-0.351500000000044</v>
      </c>
      <c r="AD2065">
        <v>-0.18770109999999901</v>
      </c>
      <c r="AE2065">
        <v>0.117099999999993</v>
      </c>
      <c r="AF2065">
        <v>8.3006271335842305E-2</v>
      </c>
      <c r="AG2065">
        <v>-0.18770109999999901</v>
      </c>
      <c r="AH2065">
        <v>0.28289446995374601</v>
      </c>
      <c r="AI2065">
        <v>122.483341693247</v>
      </c>
      <c r="AJ2065">
        <v>73.647372709727705</v>
      </c>
      <c r="AK2065">
        <v>0.34950110894344899</v>
      </c>
      <c r="AL2065">
        <v>89.813218001682401</v>
      </c>
      <c r="AM2065">
        <v>87.915601415491807</v>
      </c>
      <c r="AN2065">
        <v>0.99999997546677999</v>
      </c>
    </row>
    <row r="2066" spans="1:40" x14ac:dyDescent="0.25">
      <c r="A2066" t="str">
        <f>"20190312154255360"</f>
        <v>20190312154255360</v>
      </c>
      <c r="B2066" t="str">
        <f>"1552376575349899"</f>
        <v>1552376575349899</v>
      </c>
      <c r="C2066" t="s">
        <v>40</v>
      </c>
      <c r="D2066">
        <v>4.7565369999999998</v>
      </c>
      <c r="E2066">
        <v>0.54474109999999998</v>
      </c>
      <c r="F2066" t="s">
        <v>41</v>
      </c>
      <c r="G2066">
        <v>-331.80419999999998</v>
      </c>
      <c r="H2066">
        <v>0.92928809999999995</v>
      </c>
      <c r="I2066">
        <v>283.2405</v>
      </c>
      <c r="J2066">
        <v>-331.65870000000001</v>
      </c>
      <c r="K2066">
        <v>1.1100369999999999</v>
      </c>
      <c r="L2066">
        <v>283.13420000000002</v>
      </c>
      <c r="M2066">
        <v>-0.99923439999999997</v>
      </c>
      <c r="N2066">
        <v>0</v>
      </c>
      <c r="O2066">
        <v>3.6201539999999997E-2</v>
      </c>
      <c r="P2066">
        <v>-0.99722460000000002</v>
      </c>
      <c r="Q2066">
        <v>-1.243318E-2</v>
      </c>
      <c r="R2066">
        <v>7.3408100000000004E-2</v>
      </c>
      <c r="S2066">
        <v>-2.9595639999999999</v>
      </c>
      <c r="T2066">
        <v>-0.78103339999999999</v>
      </c>
      <c r="U2066">
        <v>0.54391480000000003</v>
      </c>
      <c r="V2066">
        <v>3.7256560000000001E-2</v>
      </c>
      <c r="W2066">
        <v>2.3725650000000001E-3</v>
      </c>
      <c r="X2066">
        <v>0.99930289999999999</v>
      </c>
      <c r="Y2066">
        <v>0.14154229999999901</v>
      </c>
      <c r="Z2066">
        <v>8.9066359999999904E-3</v>
      </c>
      <c r="AA2066">
        <v>0.98989210000000005</v>
      </c>
      <c r="AB2066">
        <v>37</v>
      </c>
      <c r="AC2066">
        <v>-0.14549999999996999</v>
      </c>
      <c r="AD2066">
        <v>-0.18074889999999999</v>
      </c>
      <c r="AE2066">
        <v>0.106299999999976</v>
      </c>
      <c r="AF2066">
        <v>5.03260341929129E-2</v>
      </c>
      <c r="AG2066">
        <v>-0.18074889999999999</v>
      </c>
      <c r="AH2066">
        <v>7.4397242046252199E-2</v>
      </c>
      <c r="AI2066">
        <v>153.57568768827201</v>
      </c>
      <c r="AJ2066">
        <v>55.923603541991199</v>
      </c>
      <c r="AK2066">
        <v>0.20183613203013201</v>
      </c>
      <c r="AL2066">
        <v>89.864061909053106</v>
      </c>
      <c r="AM2066">
        <v>87.864856163398798</v>
      </c>
      <c r="AN2066">
        <v>0.99999998313806104</v>
      </c>
    </row>
    <row r="2067" spans="1:40" x14ac:dyDescent="0.25">
      <c r="A2067" t="str">
        <f>"20190312154255382"</f>
        <v>20190312154255382</v>
      </c>
      <c r="B2067" t="str">
        <f>"1552376575369416"</f>
        <v>1552376575369416</v>
      </c>
      <c r="C2067" t="s">
        <v>40</v>
      </c>
      <c r="D2067">
        <v>4.7740600000000004</v>
      </c>
      <c r="E2067">
        <v>0.54486239999999997</v>
      </c>
      <c r="F2067" t="s">
        <v>41</v>
      </c>
      <c r="G2067">
        <v>-332.44830000000002</v>
      </c>
      <c r="H2067">
        <v>0.90013559999999904</v>
      </c>
      <c r="I2067">
        <v>283.28070000000002</v>
      </c>
      <c r="J2067">
        <v>-332.01080000000002</v>
      </c>
      <c r="K2067">
        <v>1.110168</v>
      </c>
      <c r="L2067">
        <v>283.14690000000002</v>
      </c>
      <c r="M2067">
        <v>-0.99923960000000001</v>
      </c>
      <c r="N2067">
        <v>0</v>
      </c>
      <c r="O2067">
        <v>3.6061559999999999E-2</v>
      </c>
      <c r="P2067">
        <v>-0.99721159999999998</v>
      </c>
      <c r="Q2067">
        <v>-1.2631979999999999E-2</v>
      </c>
      <c r="R2067">
        <v>7.3551740000000004E-2</v>
      </c>
      <c r="S2067">
        <v>-2.9581909999999998</v>
      </c>
      <c r="T2067">
        <v>-0.78635390000000005</v>
      </c>
      <c r="U2067">
        <v>0.54818730000000004</v>
      </c>
      <c r="V2067">
        <v>3.7539780000000002E-2</v>
      </c>
      <c r="W2067">
        <v>2.1813539999999999E-3</v>
      </c>
      <c r="X2067">
        <v>0.99929270000000003</v>
      </c>
      <c r="Y2067">
        <v>0.14304120000000001</v>
      </c>
      <c r="Z2067">
        <v>9.1986940000000003E-3</v>
      </c>
      <c r="AA2067">
        <v>0.98967400000000005</v>
      </c>
      <c r="AB2067">
        <v>37</v>
      </c>
      <c r="AC2067">
        <v>-0.4375</v>
      </c>
      <c r="AD2067">
        <v>-0.21003240000000001</v>
      </c>
      <c r="AE2067">
        <v>0.133800000000007</v>
      </c>
      <c r="AF2067">
        <v>9.7405284279250604E-2</v>
      </c>
      <c r="AG2067">
        <v>-0.21003240000000001</v>
      </c>
      <c r="AH2067">
        <v>0.36509419552042799</v>
      </c>
      <c r="AI2067">
        <v>119.06708071</v>
      </c>
      <c r="AJ2067">
        <v>75.061721412732297</v>
      </c>
      <c r="AK2067">
        <v>0.43231374030672498</v>
      </c>
      <c r="AL2067">
        <v>89.875017516413095</v>
      </c>
      <c r="AM2067">
        <v>87.848618305729303</v>
      </c>
      <c r="AN2067">
        <v>0.99999994683050397</v>
      </c>
    </row>
    <row r="2068" spans="1:40" x14ac:dyDescent="0.25">
      <c r="A2068" t="str">
        <f>"20190312154255404"</f>
        <v>20190312154255404</v>
      </c>
      <c r="B2068" t="str">
        <f>"1552376575399672"</f>
        <v>1552376575399672</v>
      </c>
      <c r="C2068" t="s">
        <v>40</v>
      </c>
      <c r="D2068">
        <v>4.7745009999999999</v>
      </c>
      <c r="E2068">
        <v>0.54499119999999901</v>
      </c>
      <c r="F2068" t="s">
        <v>41</v>
      </c>
      <c r="G2068">
        <v>-332.77859999999998</v>
      </c>
      <c r="H2068">
        <v>0.90549109999999999</v>
      </c>
      <c r="I2068">
        <v>283.28949999999998</v>
      </c>
      <c r="J2068">
        <v>-332.38029999999998</v>
      </c>
      <c r="K2068">
        <v>1.110312</v>
      </c>
      <c r="L2068">
        <v>283.16000000000003</v>
      </c>
      <c r="M2068">
        <v>-0.99924979999999997</v>
      </c>
      <c r="N2068">
        <v>0</v>
      </c>
      <c r="O2068">
        <v>3.5774689999999998E-2</v>
      </c>
      <c r="P2068">
        <v>-0.99722189999999999</v>
      </c>
      <c r="Q2068">
        <v>-1.2346060000000001E-2</v>
      </c>
      <c r="R2068">
        <v>7.3458919999999997E-2</v>
      </c>
      <c r="S2068">
        <v>-2.9578549999999999</v>
      </c>
      <c r="T2068">
        <v>-0.7885025</v>
      </c>
      <c r="U2068">
        <v>0.54952999999999996</v>
      </c>
      <c r="V2068">
        <v>3.7732679999999998E-2</v>
      </c>
      <c r="W2068">
        <v>2.4755609999999998E-3</v>
      </c>
      <c r="X2068">
        <v>0.99928479999999997</v>
      </c>
      <c r="Y2068">
        <v>0.14372699999999999</v>
      </c>
      <c r="Z2068">
        <v>9.3871860000000005E-3</v>
      </c>
      <c r="AA2068">
        <v>0.98957280000000003</v>
      </c>
      <c r="AB2068">
        <v>37</v>
      </c>
      <c r="AC2068">
        <v>-0.39830000000000598</v>
      </c>
      <c r="AD2068">
        <v>-0.2048209</v>
      </c>
      <c r="AE2068">
        <v>0.12949999999994999</v>
      </c>
      <c r="AF2068">
        <v>9.2939223713707997E-2</v>
      </c>
      <c r="AG2068">
        <v>-0.2048209</v>
      </c>
      <c r="AH2068">
        <v>0.32496101970763602</v>
      </c>
      <c r="AI2068">
        <v>121.215720380506</v>
      </c>
      <c r="AJ2068">
        <v>74.039409864601296</v>
      </c>
      <c r="AK2068">
        <v>0.39520749576740499</v>
      </c>
      <c r="AL2068">
        <v>89.858160657546904</v>
      </c>
      <c r="AM2068">
        <v>87.837556714415598</v>
      </c>
      <c r="AN2068">
        <v>0.99999999752664304</v>
      </c>
    </row>
    <row r="2069" spans="1:40" x14ac:dyDescent="0.25">
      <c r="A2069" t="str">
        <f>"20190312154255427"</f>
        <v>20190312154255427</v>
      </c>
      <c r="B2069" t="str">
        <f>"1552376575419195"</f>
        <v>1552376575419195</v>
      </c>
      <c r="C2069" t="s">
        <v>40</v>
      </c>
      <c r="D2069">
        <v>4.8059760000000002</v>
      </c>
      <c r="E2069">
        <v>0.54511980000000004</v>
      </c>
      <c r="F2069" t="s">
        <v>41</v>
      </c>
      <c r="G2069">
        <v>-333.11059999999998</v>
      </c>
      <c r="H2069">
        <v>0.91541790000000001</v>
      </c>
      <c r="I2069">
        <v>283.29640000000001</v>
      </c>
      <c r="J2069">
        <v>-332.7568</v>
      </c>
      <c r="K2069">
        <v>1.110471</v>
      </c>
      <c r="L2069">
        <v>283.17309999999998</v>
      </c>
      <c r="M2069">
        <v>-0.99926579999999998</v>
      </c>
      <c r="N2069">
        <v>0</v>
      </c>
      <c r="O2069">
        <v>3.5327959999999999E-2</v>
      </c>
      <c r="P2069">
        <v>-0.9972879</v>
      </c>
      <c r="Q2069">
        <v>-1.215109E-2</v>
      </c>
      <c r="R2069">
        <v>7.2590100000000005E-2</v>
      </c>
      <c r="S2069">
        <v>-2.958008</v>
      </c>
      <c r="T2069">
        <v>-0.78958419999999996</v>
      </c>
      <c r="U2069">
        <v>0.5505371</v>
      </c>
      <c r="V2069">
        <v>3.7307689999999998E-2</v>
      </c>
      <c r="W2069">
        <v>2.6796469999999998E-3</v>
      </c>
      <c r="X2069">
        <v>0.99930019999999997</v>
      </c>
      <c r="Y2069">
        <v>0.14443729999999999</v>
      </c>
      <c r="Z2069">
        <v>9.6073370000000005E-3</v>
      </c>
      <c r="AA2069">
        <v>0.98946730000000005</v>
      </c>
      <c r="AB2069">
        <v>37</v>
      </c>
      <c r="AC2069">
        <v>-0.35379999999997802</v>
      </c>
      <c r="AD2069">
        <v>-0.19505310000000001</v>
      </c>
      <c r="AE2069">
        <v>0.123300000000028</v>
      </c>
      <c r="AF2069">
        <v>8.71128760663306E-2</v>
      </c>
      <c r="AG2069">
        <v>-0.19505310000000001</v>
      </c>
      <c r="AH2069">
        <v>0.28161178931869402</v>
      </c>
      <c r="AI2069">
        <v>123.49243601296401</v>
      </c>
      <c r="AJ2069">
        <v>72.811239905977402</v>
      </c>
      <c r="AK2069">
        <v>0.35346791209306999</v>
      </c>
      <c r="AL2069">
        <v>89.846467347504699</v>
      </c>
      <c r="AM2069">
        <v>87.8619228898974</v>
      </c>
      <c r="AN2069">
        <v>0.999999966980609</v>
      </c>
    </row>
    <row r="2070" spans="1:40" x14ac:dyDescent="0.25">
      <c r="A2070" t="str">
        <f>"20190312154255449"</f>
        <v>20190312154255449</v>
      </c>
      <c r="B2070" t="str">
        <f>"1552376575439688"</f>
        <v>1552376575439688</v>
      </c>
      <c r="C2070" t="s">
        <v>40</v>
      </c>
      <c r="D2070">
        <v>4.79291</v>
      </c>
      <c r="E2070">
        <v>0.54520579999999996</v>
      </c>
      <c r="F2070" t="s">
        <v>41</v>
      </c>
      <c r="G2070">
        <v>-333.44330000000002</v>
      </c>
      <c r="H2070">
        <v>0.92705179999999998</v>
      </c>
      <c r="I2070">
        <v>283.30070000000001</v>
      </c>
      <c r="J2070">
        <v>-333.12060000000002</v>
      </c>
      <c r="K2070">
        <v>1.1106199999999999</v>
      </c>
      <c r="L2070">
        <v>283.18549999999999</v>
      </c>
      <c r="M2070">
        <v>-0.99928640000000002</v>
      </c>
      <c r="N2070">
        <v>0</v>
      </c>
      <c r="O2070">
        <v>3.474402E-2</v>
      </c>
      <c r="P2070">
        <v>-0.99733419999999895</v>
      </c>
      <c r="Q2070">
        <v>-1.232315E-2</v>
      </c>
      <c r="R2070">
        <v>7.1922829999999993E-2</v>
      </c>
      <c r="S2070">
        <v>-2.9585569999999999</v>
      </c>
      <c r="T2070">
        <v>-0.79054250000000004</v>
      </c>
      <c r="U2070">
        <v>0.54876709999999995</v>
      </c>
      <c r="V2070">
        <v>3.7222520000000002E-2</v>
      </c>
      <c r="W2070">
        <v>2.5170460000000002E-3</v>
      </c>
      <c r="X2070">
        <v>0.99930379999999996</v>
      </c>
      <c r="Y2070">
        <v>0.14438380000000001</v>
      </c>
      <c r="Z2070">
        <v>9.7622409999999996E-3</v>
      </c>
      <c r="AA2070">
        <v>0.98947359999999895</v>
      </c>
      <c r="AB2070">
        <v>37</v>
      </c>
      <c r="AC2070">
        <v>-0.32269999999999699</v>
      </c>
      <c r="AD2070">
        <v>-0.18356819999999999</v>
      </c>
      <c r="AE2070">
        <v>0.115200000000015</v>
      </c>
      <c r="AF2070">
        <v>8.0742936431473206E-2</v>
      </c>
      <c r="AG2070">
        <v>-0.18356819999999999</v>
      </c>
      <c r="AH2070">
        <v>0.25369422917091999</v>
      </c>
      <c r="AI2070">
        <v>124.586310151459</v>
      </c>
      <c r="AJ2070">
        <v>72.345354765273498</v>
      </c>
      <c r="AK2070">
        <v>0.32338439626773002</v>
      </c>
      <c r="AL2070">
        <v>89.855783730478805</v>
      </c>
      <c r="AM2070">
        <v>87.866807085091395</v>
      </c>
      <c r="AN2070">
        <v>0.99999996810507696</v>
      </c>
    </row>
    <row r="2071" spans="1:40" x14ac:dyDescent="0.25">
      <c r="A2071" t="str">
        <f>"20190312154255470"</f>
        <v>20190312154255470</v>
      </c>
      <c r="B2071" t="str">
        <f>"1552376575459207"</f>
        <v>1552376575459207</v>
      </c>
      <c r="C2071" t="s">
        <v>40</v>
      </c>
      <c r="D2071">
        <v>4.8003</v>
      </c>
      <c r="E2071">
        <v>0.54527869999999901</v>
      </c>
      <c r="F2071" t="s">
        <v>41</v>
      </c>
      <c r="G2071">
        <v>-334.06630000000001</v>
      </c>
      <c r="H2071">
        <v>0.85744929999999997</v>
      </c>
      <c r="I2071">
        <v>283.36070000000001</v>
      </c>
      <c r="J2071">
        <v>-333.4708</v>
      </c>
      <c r="K2071">
        <v>1.110752</v>
      </c>
      <c r="L2071">
        <v>283.19709999999998</v>
      </c>
      <c r="M2071">
        <v>-0.99931009999999998</v>
      </c>
      <c r="N2071">
        <v>0</v>
      </c>
      <c r="O2071">
        <v>3.4059029999999997E-2</v>
      </c>
      <c r="P2071">
        <v>-0.99744600000000005</v>
      </c>
      <c r="Q2071">
        <v>-1.218969E-2</v>
      </c>
      <c r="R2071">
        <v>7.0377190000000006E-2</v>
      </c>
      <c r="S2071">
        <v>-2.9587400000000001</v>
      </c>
      <c r="T2071">
        <v>-0.79211069999999995</v>
      </c>
      <c r="U2071">
        <v>0.54757690000000003</v>
      </c>
      <c r="V2071">
        <v>3.6357760000000003E-2</v>
      </c>
      <c r="W2071">
        <v>2.6591430000000001E-3</v>
      </c>
      <c r="X2071">
        <v>0.99933530000000004</v>
      </c>
      <c r="Y2071">
        <v>0.1446201</v>
      </c>
      <c r="Z2071">
        <v>9.9899729999999992E-3</v>
      </c>
      <c r="AA2071">
        <v>0.98943680000000001</v>
      </c>
      <c r="AB2071">
        <v>37</v>
      </c>
      <c r="AC2071">
        <v>-0.59550000000001502</v>
      </c>
      <c r="AD2071">
        <v>-0.25330269999999899</v>
      </c>
      <c r="AE2071">
        <v>0.16360000000003</v>
      </c>
      <c r="AF2071">
        <v>0.122595806617353</v>
      </c>
      <c r="AG2071">
        <v>-0.25330269999999899</v>
      </c>
      <c r="AH2071">
        <v>0.51421778069452495</v>
      </c>
      <c r="AI2071">
        <v>115.602261036271</v>
      </c>
      <c r="AJ2071">
        <v>76.590315673066698</v>
      </c>
      <c r="AK2071">
        <v>0.58618419938603905</v>
      </c>
      <c r="AL2071">
        <v>89.847642149391007</v>
      </c>
      <c r="AM2071">
        <v>87.916387208661106</v>
      </c>
      <c r="AN2071">
        <v>0.99999999978990095</v>
      </c>
    </row>
    <row r="2072" spans="1:40" x14ac:dyDescent="0.25">
      <c r="A2072" t="str">
        <f>"20190312154255494"</f>
        <v>20190312154255494</v>
      </c>
      <c r="B2072" t="str">
        <f>"1552376575489464"</f>
        <v>1552376575489464</v>
      </c>
      <c r="C2072" t="s">
        <v>40</v>
      </c>
      <c r="D2072">
        <v>4.8403119999999999</v>
      </c>
      <c r="E2072">
        <v>0.54538719999999996</v>
      </c>
      <c r="F2072" t="s">
        <v>41</v>
      </c>
      <c r="G2072">
        <v>-334.39479999999998</v>
      </c>
      <c r="H2072">
        <v>0.86330580000000001</v>
      </c>
      <c r="I2072">
        <v>283.36709999999999</v>
      </c>
      <c r="J2072">
        <v>-333.858</v>
      </c>
      <c r="K2072">
        <v>1.1108800000000001</v>
      </c>
      <c r="L2072">
        <v>283.20940000000002</v>
      </c>
      <c r="M2072">
        <v>-0.99933930000000004</v>
      </c>
      <c r="N2072">
        <v>0</v>
      </c>
      <c r="O2072">
        <v>3.3189349999999999E-2</v>
      </c>
      <c r="P2072">
        <v>-0.99754940000000003</v>
      </c>
      <c r="Q2072">
        <v>-1.247843E-2</v>
      </c>
      <c r="R2072">
        <v>6.8845719999999999E-2</v>
      </c>
      <c r="S2072">
        <v>-2.9596559999999998</v>
      </c>
      <c r="T2072">
        <v>-0.79261879999999996</v>
      </c>
      <c r="U2072">
        <v>0.54318239999999995</v>
      </c>
      <c r="V2072">
        <v>3.5692889999999998E-2</v>
      </c>
      <c r="W2072">
        <v>2.3778100000000002E-3</v>
      </c>
      <c r="X2072">
        <v>0.99936000000000003</v>
      </c>
      <c r="Y2072">
        <v>0.14399289999999901</v>
      </c>
      <c r="Z2072">
        <v>1.0139219999999999E-2</v>
      </c>
      <c r="AA2072">
        <v>0.98952669999999998</v>
      </c>
      <c r="AB2072">
        <v>37</v>
      </c>
      <c r="AC2072">
        <v>-0.53679999999997097</v>
      </c>
      <c r="AD2072">
        <v>-0.247574199999999</v>
      </c>
      <c r="AE2072">
        <v>0.157699999999977</v>
      </c>
      <c r="AF2072">
        <v>0.11690415712549999</v>
      </c>
      <c r="AG2072">
        <v>-0.247574199999999</v>
      </c>
      <c r="AH2072">
        <v>0.45303096503324303</v>
      </c>
      <c r="AI2072">
        <v>117.88556028221301</v>
      </c>
      <c r="AJ2072">
        <v>75.530543004136902</v>
      </c>
      <c r="AK2072">
        <v>0.52933601968675303</v>
      </c>
      <c r="AL2072">
        <v>89.863761397265904</v>
      </c>
      <c r="AM2072">
        <v>87.954507830539498</v>
      </c>
      <c r="AN2072">
        <v>1.00000002298847</v>
      </c>
    </row>
    <row r="2073" spans="1:40" x14ac:dyDescent="0.25">
      <c r="A2073" t="str">
        <f>"20190312154255517"</f>
        <v>20190312154255517</v>
      </c>
      <c r="B2073" t="str">
        <f>"1552376575509960"</f>
        <v>1552376575509960</v>
      </c>
      <c r="C2073" t="s">
        <v>40</v>
      </c>
      <c r="D2073">
        <v>4.8650270000000004</v>
      </c>
      <c r="E2073">
        <v>0.54547909999999999</v>
      </c>
      <c r="F2073" t="s">
        <v>41</v>
      </c>
      <c r="G2073">
        <v>-334.72660000000002</v>
      </c>
      <c r="H2073">
        <v>0.87766730000000004</v>
      </c>
      <c r="I2073">
        <v>283.3682</v>
      </c>
      <c r="J2073">
        <v>-334.22399999999999</v>
      </c>
      <c r="K2073">
        <v>1.110976</v>
      </c>
      <c r="L2073">
        <v>283.22070000000002</v>
      </c>
      <c r="M2073">
        <v>-0.99936919999999996</v>
      </c>
      <c r="N2073">
        <v>0</v>
      </c>
      <c r="O2073">
        <v>3.227853E-2</v>
      </c>
      <c r="P2073">
        <v>-0.99766759999999999</v>
      </c>
      <c r="Q2073">
        <v>-1.291224E-2</v>
      </c>
      <c r="R2073">
        <v>6.7029439999999996E-2</v>
      </c>
      <c r="S2073">
        <v>-2.9601139999999999</v>
      </c>
      <c r="T2073">
        <v>-0.79479960000000005</v>
      </c>
      <c r="U2073">
        <v>0.54067989999999999</v>
      </c>
      <c r="V2073">
        <v>3.4784699999999898E-2</v>
      </c>
      <c r="W2073">
        <v>1.9472269999999999E-3</v>
      </c>
      <c r="X2073">
        <v>0.99939290000000003</v>
      </c>
      <c r="Y2073">
        <v>0.14400589999999999</v>
      </c>
      <c r="Z2073">
        <v>1.04051E-2</v>
      </c>
      <c r="AA2073">
        <v>0.98952209999999996</v>
      </c>
      <c r="AB2073">
        <v>37</v>
      </c>
      <c r="AC2073">
        <v>-0.50260000000002902</v>
      </c>
      <c r="AD2073">
        <v>-0.23330869999999901</v>
      </c>
      <c r="AE2073">
        <v>0.14749999999997901</v>
      </c>
      <c r="AF2073">
        <v>0.109477989333436</v>
      </c>
      <c r="AG2073">
        <v>-0.23330869999999901</v>
      </c>
      <c r="AH2073">
        <v>0.42314810180532197</v>
      </c>
      <c r="AI2073">
        <v>118.09277894264601</v>
      </c>
      <c r="AJ2073">
        <v>75.494358839525603</v>
      </c>
      <c r="AK2073">
        <v>0.49545201150628998</v>
      </c>
      <c r="AL2073">
        <v>89.888432037049199</v>
      </c>
      <c r="AM2073">
        <v>88.006577517617401</v>
      </c>
      <c r="AN2073">
        <v>0.99999996780874401</v>
      </c>
    </row>
    <row r="2074" spans="1:40" x14ac:dyDescent="0.25">
      <c r="A2074" t="str">
        <f>"20190312154255538"</f>
        <v>20190312154255538</v>
      </c>
      <c r="B2074" t="str">
        <f>"1552376575529479"</f>
        <v>1552376575529479</v>
      </c>
      <c r="C2074" t="s">
        <v>40</v>
      </c>
      <c r="D2074">
        <v>4.8848690000000001</v>
      </c>
      <c r="E2074">
        <v>0.54554859999999905</v>
      </c>
      <c r="F2074" t="s">
        <v>41</v>
      </c>
      <c r="G2074">
        <v>-335.05590000000001</v>
      </c>
      <c r="H2074">
        <v>0.88703659999999995</v>
      </c>
      <c r="I2074">
        <v>283.37180000000001</v>
      </c>
      <c r="J2074">
        <v>-334.57240000000002</v>
      </c>
      <c r="K2074">
        <v>1.111049</v>
      </c>
      <c r="L2074">
        <v>283.23110000000003</v>
      </c>
      <c r="M2074">
        <v>-0.99939900000000004</v>
      </c>
      <c r="N2074">
        <v>0</v>
      </c>
      <c r="O2074">
        <v>3.1346140000000002E-2</v>
      </c>
      <c r="P2074">
        <v>-0.99782769999999998</v>
      </c>
      <c r="Q2074">
        <v>-1.282721E-2</v>
      </c>
      <c r="R2074">
        <v>6.4619289999999996E-2</v>
      </c>
      <c r="S2074">
        <v>-2.9606629999999998</v>
      </c>
      <c r="T2074">
        <v>-0.79707629999999996</v>
      </c>
      <c r="U2074">
        <v>0.53656009999999998</v>
      </c>
      <c r="V2074">
        <v>3.3302520000000002E-2</v>
      </c>
      <c r="W2074">
        <v>2.0335349999999999E-3</v>
      </c>
      <c r="X2074">
        <v>0.99944319999999998</v>
      </c>
      <c r="Y2074">
        <v>0.14352619999999999</v>
      </c>
      <c r="Z2074">
        <v>1.06146E-2</v>
      </c>
      <c r="AA2074">
        <v>0.98958959999999996</v>
      </c>
      <c r="AB2074">
        <v>36</v>
      </c>
      <c r="AC2074">
        <v>-0.48349999999999199</v>
      </c>
      <c r="AD2074">
        <v>-0.224012399999999</v>
      </c>
      <c r="AE2074">
        <v>0.14069999999998101</v>
      </c>
      <c r="AF2074">
        <v>0.104744302295721</v>
      </c>
      <c r="AG2074">
        <v>-0.224012399999999</v>
      </c>
      <c r="AH2074">
        <v>0.40710639566413998</v>
      </c>
      <c r="AI2074">
        <v>118.05312502382699</v>
      </c>
      <c r="AJ2074">
        <v>75.5713328668283</v>
      </c>
      <c r="AK2074">
        <v>0.47632818687101097</v>
      </c>
      <c r="AL2074">
        <v>89.883486941062301</v>
      </c>
      <c r="AM2074">
        <v>88.091549243062403</v>
      </c>
      <c r="AN2074">
        <v>0.99999995156459198</v>
      </c>
    </row>
    <row r="2075" spans="1:40" x14ac:dyDescent="0.25">
      <c r="A2075" t="str">
        <f>"20190312154255560"</f>
        <v>20190312154255560</v>
      </c>
      <c r="B2075" t="str">
        <f>"1552376575549976"</f>
        <v>1552376575549976</v>
      </c>
      <c r="C2075" t="s">
        <v>40</v>
      </c>
      <c r="D2075">
        <v>4.9400250000000003</v>
      </c>
      <c r="E2075">
        <v>0.5135111</v>
      </c>
      <c r="F2075" t="s">
        <v>41</v>
      </c>
      <c r="G2075">
        <v>-335.38319999999999</v>
      </c>
      <c r="H2075">
        <v>0.89264639999999995</v>
      </c>
      <c r="I2075">
        <v>283.37650000000002</v>
      </c>
      <c r="J2075">
        <v>-334.92660000000001</v>
      </c>
      <c r="K2075">
        <v>1.111119</v>
      </c>
      <c r="L2075">
        <v>283.24130000000002</v>
      </c>
      <c r="M2075">
        <v>-0.99942960000000003</v>
      </c>
      <c r="N2075">
        <v>0</v>
      </c>
      <c r="O2075">
        <v>3.0352469999999999E-2</v>
      </c>
      <c r="P2075">
        <v>-0.99798229999999999</v>
      </c>
      <c r="Q2075">
        <v>-1.3501269999999999E-2</v>
      </c>
      <c r="R2075">
        <v>6.2042470000000002E-2</v>
      </c>
      <c r="S2075">
        <v>-2.9619450000000001</v>
      </c>
      <c r="T2075">
        <v>-0.79787649999999999</v>
      </c>
      <c r="U2075">
        <v>0.53015140000000005</v>
      </c>
      <c r="V2075">
        <v>3.1716710000000002E-2</v>
      </c>
      <c r="W2075">
        <v>1.3583340000000001E-3</v>
      </c>
      <c r="X2075">
        <v>0.99949600000000005</v>
      </c>
      <c r="Y2075">
        <v>0.14235989999999901</v>
      </c>
      <c r="Z2075">
        <v>1.0729809999999999E-2</v>
      </c>
      <c r="AA2075">
        <v>0.98975679999999999</v>
      </c>
      <c r="AB2075">
        <v>36</v>
      </c>
      <c r="AC2075">
        <v>-0.45659999999998002</v>
      </c>
      <c r="AD2075">
        <v>-0.21847259999999999</v>
      </c>
      <c r="AE2075">
        <v>0.13519999999999699</v>
      </c>
      <c r="AF2075">
        <v>0.1001889079259</v>
      </c>
      <c r="AG2075">
        <v>-0.21847259999999999</v>
      </c>
      <c r="AH2075">
        <v>0.38042059935947198</v>
      </c>
      <c r="AI2075">
        <v>119.04583527903399</v>
      </c>
      <c r="AJ2075">
        <v>75.245419337857797</v>
      </c>
      <c r="AK2075">
        <v>0.44998658495466798</v>
      </c>
      <c r="AL2075">
        <v>89.922173172596402</v>
      </c>
      <c r="AM2075">
        <v>88.182459931726498</v>
      </c>
      <c r="AN2075">
        <v>1.0000000243902301</v>
      </c>
    </row>
    <row r="2076" spans="1:40" x14ac:dyDescent="0.25">
      <c r="A2076" t="str">
        <f>"20190312154255583"</f>
        <v>20190312154255583</v>
      </c>
      <c r="B2076" t="str">
        <f>"1552376575569496"</f>
        <v>1552376575569496</v>
      </c>
      <c r="C2076" t="s">
        <v>40</v>
      </c>
      <c r="D2076">
        <v>4.8822340000000004</v>
      </c>
      <c r="E2076">
        <v>0.50458899999999995</v>
      </c>
      <c r="F2076" t="s">
        <v>41</v>
      </c>
      <c r="G2076">
        <v>-335.73099999999999</v>
      </c>
      <c r="H2076">
        <v>0.94170880000000001</v>
      </c>
      <c r="I2076">
        <v>283.31569999999999</v>
      </c>
      <c r="J2076">
        <v>-335.291</v>
      </c>
      <c r="K2076">
        <v>1.11117</v>
      </c>
      <c r="L2076">
        <v>283.25139999999999</v>
      </c>
      <c r="M2076">
        <v>-0.99946120000000005</v>
      </c>
      <c r="N2076">
        <v>0</v>
      </c>
      <c r="O2076">
        <v>2.9301460000000001E-2</v>
      </c>
      <c r="P2076">
        <v>-0.99813160000000001</v>
      </c>
      <c r="Q2076">
        <v>-1.3773550000000001E-2</v>
      </c>
      <c r="R2076">
        <v>5.9531290000000001E-2</v>
      </c>
      <c r="S2076">
        <v>-2.9805299999999999</v>
      </c>
      <c r="T2076">
        <v>-0.62786649999999999</v>
      </c>
      <c r="U2076">
        <v>0.27395629999999999</v>
      </c>
      <c r="V2076">
        <v>3.0253599999999999E-2</v>
      </c>
      <c r="W2076">
        <v>1.083199E-3</v>
      </c>
      <c r="X2076">
        <v>0.99954160000000003</v>
      </c>
      <c r="Y2076">
        <v>6.1605809999999997E-2</v>
      </c>
      <c r="Z2076">
        <v>3.1423619999999998E-4</v>
      </c>
      <c r="AA2076">
        <v>0.99810049999999995</v>
      </c>
      <c r="AB2076">
        <v>36</v>
      </c>
      <c r="AC2076">
        <v>-0.439999999999997</v>
      </c>
      <c r="AD2076">
        <v>-0.16946119999999901</v>
      </c>
      <c r="AE2076">
        <v>6.4300000000002897E-2</v>
      </c>
      <c r="AF2076">
        <v>4.4862870619249998E-2</v>
      </c>
      <c r="AG2076">
        <v>-0.16946119999999901</v>
      </c>
      <c r="AH2076">
        <v>0.38568243117360002</v>
      </c>
      <c r="AI2076">
        <v>113.578258674762</v>
      </c>
      <c r="AJ2076">
        <v>83.365129011862294</v>
      </c>
      <c r="AK2076">
        <v>0.42365164130641397</v>
      </c>
      <c r="AL2076">
        <v>89.937937252563003</v>
      </c>
      <c r="AM2076">
        <v>88.266330735406598</v>
      </c>
      <c r="AN2076">
        <v>0.99999993188179404</v>
      </c>
    </row>
    <row r="2077" spans="1:40" x14ac:dyDescent="0.25">
      <c r="A2077" t="str">
        <f>"20190312154255605"</f>
        <v>20190312154255605</v>
      </c>
      <c r="B2077" t="str">
        <f>"1552376575599752"</f>
        <v>1552376575599752</v>
      </c>
      <c r="C2077" t="s">
        <v>40</v>
      </c>
      <c r="D2077">
        <v>4.8994210000000002</v>
      </c>
      <c r="E2077">
        <v>0.46012910000000001</v>
      </c>
      <c r="F2077" t="s">
        <v>41</v>
      </c>
      <c r="G2077">
        <v>-336.06869999999998</v>
      </c>
      <c r="H2077">
        <v>0.96710529999999995</v>
      </c>
      <c r="I2077">
        <v>283.30290000000002</v>
      </c>
      <c r="J2077">
        <v>-335.65910000000002</v>
      </c>
      <c r="K2077">
        <v>1.1112139999999999</v>
      </c>
      <c r="L2077">
        <v>283.26119999999997</v>
      </c>
      <c r="M2077">
        <v>-0.99949219999999905</v>
      </c>
      <c r="N2077">
        <v>0</v>
      </c>
      <c r="O2077">
        <v>2.8224989999999998E-2</v>
      </c>
      <c r="P2077">
        <v>-0.99822149999999998</v>
      </c>
      <c r="Q2077">
        <v>-1.454811E-2</v>
      </c>
      <c r="R2077">
        <v>5.7813530000000002E-2</v>
      </c>
      <c r="S2077">
        <v>-2.9862060000000001</v>
      </c>
      <c r="T2077">
        <v>-0.55319209999999996</v>
      </c>
      <c r="U2077">
        <v>0.19781489999999999</v>
      </c>
      <c r="V2077">
        <v>2.9612050000000001E-2</v>
      </c>
      <c r="W2077">
        <v>3.0643149999999997E-4</v>
      </c>
      <c r="X2077">
        <v>0.99956140000000004</v>
      </c>
      <c r="Y2077">
        <v>3.7744119999999999E-2</v>
      </c>
      <c r="Z2077">
        <v>-1.7150220000000001E-3</v>
      </c>
      <c r="AA2077">
        <v>0.99928589999999995</v>
      </c>
      <c r="AB2077">
        <v>36</v>
      </c>
      <c r="AC2077">
        <v>-0.409599999999954</v>
      </c>
      <c r="AD2077">
        <v>-0.14410869999999901</v>
      </c>
      <c r="AE2077">
        <v>4.17000000000484E-2</v>
      </c>
      <c r="AF2077">
        <v>2.6833685703145701E-2</v>
      </c>
      <c r="AG2077">
        <v>-0.14410869999999901</v>
      </c>
      <c r="AH2077">
        <v>0.36579876292163199</v>
      </c>
      <c r="AI2077">
        <v>111.449888985516</v>
      </c>
      <c r="AJ2077">
        <v>85.804501830050498</v>
      </c>
      <c r="AK2077">
        <v>0.39407626046122302</v>
      </c>
      <c r="AL2077">
        <v>89.9824427677122</v>
      </c>
      <c r="AM2077">
        <v>88.303106343299206</v>
      </c>
      <c r="AN2077">
        <v>0.99999997988771305</v>
      </c>
    </row>
    <row r="2078" spans="1:40" x14ac:dyDescent="0.25">
      <c r="A2078" t="str">
        <f>"20190312154255628"</f>
        <v>20190312154255628</v>
      </c>
      <c r="B2078" t="str">
        <f>"1552376575619272"</f>
        <v>1552376575619272</v>
      </c>
      <c r="C2078" t="s">
        <v>40</v>
      </c>
      <c r="D2078">
        <v>4.8434470000000003</v>
      </c>
      <c r="E2078">
        <v>0.45783970000000002</v>
      </c>
      <c r="F2078" t="s">
        <v>50</v>
      </c>
      <c r="G2078">
        <v>-355.86470000000003</v>
      </c>
      <c r="H2078" s="1">
        <v>1.5840880000000001E-6</v>
      </c>
      <c r="I2078">
        <v>282.26569999999998</v>
      </c>
      <c r="J2078">
        <v>-336.02050000000003</v>
      </c>
      <c r="K2078">
        <v>1.111243</v>
      </c>
      <c r="L2078">
        <v>283.2704</v>
      </c>
      <c r="M2078">
        <v>-0.99952160000000001</v>
      </c>
      <c r="N2078">
        <v>0</v>
      </c>
      <c r="O2078">
        <v>2.7162909999999998E-2</v>
      </c>
      <c r="P2078">
        <v>-0.99832339999999997</v>
      </c>
      <c r="Q2078">
        <v>-1.3863199999999999E-2</v>
      </c>
      <c r="R2078">
        <v>5.6197759999999999E-2</v>
      </c>
      <c r="S2078">
        <v>-3.0115660000000002</v>
      </c>
      <c r="T2078">
        <v>-0.16562270000000001</v>
      </c>
      <c r="U2078">
        <v>-0.14837649999999999</v>
      </c>
      <c r="V2078">
        <v>2.905454E-2</v>
      </c>
      <c r="W2078">
        <v>9.8878529999999994E-4</v>
      </c>
      <c r="X2078">
        <v>0.9995773</v>
      </c>
      <c r="Y2078">
        <v>-7.6168189999999997E-2</v>
      </c>
      <c r="Z2078">
        <v>-3.5836919999999999E-3</v>
      </c>
      <c r="AA2078">
        <v>0.99708859999999999</v>
      </c>
      <c r="AB2078">
        <v>36</v>
      </c>
      <c r="AC2078">
        <v>-19.844200000000001</v>
      </c>
      <c r="AD2078">
        <v>-1.1112414159120001</v>
      </c>
      <c r="AE2078">
        <v>-1.0047000000000099</v>
      </c>
      <c r="AF2078">
        <v>-1.5386019618448099</v>
      </c>
      <c r="AG2078">
        <v>-1.1112414159120001</v>
      </c>
      <c r="AH2078">
        <v>19.747815670616401</v>
      </c>
      <c r="AI2078">
        <v>93.211018433368494</v>
      </c>
      <c r="AJ2078">
        <v>94.4550581588489</v>
      </c>
      <c r="AK2078">
        <v>19.838809874639001</v>
      </c>
      <c r="AL2078">
        <v>89.943346764043199</v>
      </c>
      <c r="AM2078">
        <v>88.335062300469204</v>
      </c>
      <c r="AN2078">
        <v>0.99999996133313396</v>
      </c>
    </row>
    <row r="2079" spans="1:40" x14ac:dyDescent="0.25">
      <c r="A2079" t="str">
        <f>"20190312154255650"</f>
        <v>20190312154255650</v>
      </c>
      <c r="B2079" t="str">
        <f>"1552376575639769"</f>
        <v>1552376575639769</v>
      </c>
      <c r="C2079" t="s">
        <v>40</v>
      </c>
      <c r="D2079">
        <v>4.8221119999999997</v>
      </c>
      <c r="E2079">
        <v>0.45761279999999999</v>
      </c>
      <c r="F2079" t="s">
        <v>50</v>
      </c>
      <c r="G2079">
        <v>-358.0872</v>
      </c>
      <c r="H2079" s="1">
        <v>2.7668330000000002E-6</v>
      </c>
      <c r="I2079">
        <v>282.01839999999999</v>
      </c>
      <c r="J2079">
        <v>-336.38549999999998</v>
      </c>
      <c r="K2079">
        <v>1.1112649999999999</v>
      </c>
      <c r="L2079">
        <v>283.27929999999998</v>
      </c>
      <c r="M2079">
        <v>-0.9995503</v>
      </c>
      <c r="N2079">
        <v>0</v>
      </c>
      <c r="O2079">
        <v>2.6087289999999999E-2</v>
      </c>
      <c r="P2079">
        <v>-0.99840709999999999</v>
      </c>
      <c r="Q2079">
        <v>-1.3173610000000001E-2</v>
      </c>
      <c r="R2079">
        <v>5.48605E-2</v>
      </c>
      <c r="S2079">
        <v>-3.012543</v>
      </c>
      <c r="T2079">
        <v>-0.15170600000000001</v>
      </c>
      <c r="U2079">
        <v>-0.170929</v>
      </c>
      <c r="V2079">
        <v>2.8789410000000001E-2</v>
      </c>
      <c r="W2079">
        <v>1.6749530000000001E-3</v>
      </c>
      <c r="X2079">
        <v>0.99958409999999998</v>
      </c>
      <c r="Y2079">
        <v>-8.2539689999999999E-2</v>
      </c>
      <c r="Z2079">
        <v>-3.387386E-3</v>
      </c>
      <c r="AA2079">
        <v>0.99658199999999997</v>
      </c>
      <c r="AB2079">
        <v>36</v>
      </c>
      <c r="AC2079">
        <v>-21.701699999999999</v>
      </c>
      <c r="AD2079">
        <v>-1.1112622331669999</v>
      </c>
      <c r="AE2079">
        <v>-1.2608999999999899</v>
      </c>
      <c r="AF2079">
        <v>-1.8219101095361401</v>
      </c>
      <c r="AG2079">
        <v>-1.1112622331669999</v>
      </c>
      <c r="AH2079">
        <v>21.604956271358301</v>
      </c>
      <c r="AI2079">
        <v>92.934047988043204</v>
      </c>
      <c r="AJ2079">
        <v>94.820253552960494</v>
      </c>
      <c r="AK2079">
        <v>21.7100989331094</v>
      </c>
      <c r="AL2079">
        <v>89.904032217755898</v>
      </c>
      <c r="AM2079">
        <v>88.350258058749404</v>
      </c>
      <c r="AN2079">
        <v>1.0000000042842501</v>
      </c>
    </row>
    <row r="2080" spans="1:40" x14ac:dyDescent="0.25">
      <c r="A2080" t="str">
        <f>"20190312154255671"</f>
        <v>20190312154255671</v>
      </c>
      <c r="B2080" t="str">
        <f>"1552376575659981"</f>
        <v>1552376575659981</v>
      </c>
      <c r="C2080" t="s">
        <v>40</v>
      </c>
      <c r="D2080">
        <v>4.8737519999999996</v>
      </c>
      <c r="E2080">
        <v>0.45721040000000002</v>
      </c>
      <c r="F2080" t="s">
        <v>50</v>
      </c>
      <c r="G2080">
        <v>-359.54329999999999</v>
      </c>
      <c r="H2080" s="1">
        <v>3.5416659999999998E-6</v>
      </c>
      <c r="I2080">
        <v>281.92140000000001</v>
      </c>
      <c r="J2080">
        <v>-336.72519999999997</v>
      </c>
      <c r="K2080">
        <v>1.1112820000000001</v>
      </c>
      <c r="L2080">
        <v>283.28719999999998</v>
      </c>
      <c r="M2080">
        <v>-0.99957600000000002</v>
      </c>
      <c r="N2080">
        <v>0</v>
      </c>
      <c r="O2080">
        <v>2.5085449999999999E-2</v>
      </c>
      <c r="P2080">
        <v>-0.99847540000000001</v>
      </c>
      <c r="Q2080">
        <v>-1.217207E-2</v>
      </c>
      <c r="R2080">
        <v>5.3840880000000001E-2</v>
      </c>
      <c r="S2080">
        <v>-3.012543</v>
      </c>
      <c r="T2080">
        <v>-0.14456150000000001</v>
      </c>
      <c r="U2080">
        <v>-0.17663570000000001</v>
      </c>
      <c r="V2080">
        <v>2.8767750000000002E-2</v>
      </c>
      <c r="W2080">
        <v>2.6739250000000002E-3</v>
      </c>
      <c r="X2080">
        <v>0.99958250000000004</v>
      </c>
      <c r="Y2080">
        <v>-8.3435170000000003E-2</v>
      </c>
      <c r="Z2080">
        <v>-3.201317E-3</v>
      </c>
      <c r="AA2080">
        <v>0.99650810000000001</v>
      </c>
      <c r="AB2080">
        <v>36</v>
      </c>
      <c r="AC2080">
        <v>-22.818100000000001</v>
      </c>
      <c r="AD2080">
        <v>-1.1112784583340001</v>
      </c>
      <c r="AE2080">
        <v>-1.3657999999999699</v>
      </c>
      <c r="AF2080">
        <v>-1.93326592364335</v>
      </c>
      <c r="AG2080">
        <v>-1.1112784583340001</v>
      </c>
      <c r="AH2080">
        <v>22.722949387844402</v>
      </c>
      <c r="AI2080">
        <v>92.789788304608095</v>
      </c>
      <c r="AJ2080">
        <v>94.863007136765006</v>
      </c>
      <c r="AK2080">
        <v>22.832102089514599</v>
      </c>
      <c r="AL2080">
        <v>89.846795193122801</v>
      </c>
      <c r="AM2080">
        <v>88.3514959361857</v>
      </c>
      <c r="AN2080">
        <v>0.99999995381060802</v>
      </c>
    </row>
    <row r="2081" spans="1:40" x14ac:dyDescent="0.25">
      <c r="A2081" t="str">
        <f>"20190312154255696"</f>
        <v>20190312154255696</v>
      </c>
      <c r="B2081" t="str">
        <f>"1552376575689252"</f>
        <v>1552376575689252</v>
      </c>
      <c r="C2081" t="s">
        <v>40</v>
      </c>
      <c r="D2081">
        <v>4.8576449999999998</v>
      </c>
      <c r="E2081">
        <v>0.45721610000000001</v>
      </c>
      <c r="F2081" t="s">
        <v>50</v>
      </c>
      <c r="G2081">
        <v>-360.57330000000002</v>
      </c>
      <c r="H2081" s="1">
        <v>-1.2317260000000001E-6</v>
      </c>
      <c r="I2081">
        <v>281.84039999999999</v>
      </c>
      <c r="J2081">
        <v>-337.11</v>
      </c>
      <c r="K2081">
        <v>1.111299</v>
      </c>
      <c r="L2081">
        <v>283.29570000000001</v>
      </c>
      <c r="M2081">
        <v>-0.99960400000000005</v>
      </c>
      <c r="N2081">
        <v>0</v>
      </c>
      <c r="O2081">
        <v>2.3947510000000002E-2</v>
      </c>
      <c r="P2081">
        <v>-0.99850209999999995</v>
      </c>
      <c r="Q2081">
        <v>-1.2168399999999999E-2</v>
      </c>
      <c r="R2081">
        <v>5.3341369999999999E-2</v>
      </c>
      <c r="S2081">
        <v>-3.0126949999999999</v>
      </c>
      <c r="T2081">
        <v>-0.1403867</v>
      </c>
      <c r="U2081">
        <v>-0.18276980000000001</v>
      </c>
      <c r="V2081">
        <v>2.9405319999999999E-2</v>
      </c>
      <c r="W2081">
        <v>2.6753549999999999E-3</v>
      </c>
      <c r="X2081">
        <v>0.99956400000000001</v>
      </c>
      <c r="Y2081">
        <v>-8.4326899999999899E-2</v>
      </c>
      <c r="Z2081">
        <v>-3.0764130000000001E-3</v>
      </c>
      <c r="AA2081">
        <v>0.99643340000000002</v>
      </c>
      <c r="AB2081">
        <v>36</v>
      </c>
      <c r="AC2081">
        <v>-23.4633</v>
      </c>
      <c r="AD2081">
        <v>-1.1113002317259999</v>
      </c>
      <c r="AE2081">
        <v>-1.45530000000002</v>
      </c>
      <c r="AF2081">
        <v>-2.0123345803901298</v>
      </c>
      <c r="AG2081">
        <v>-1.1113002317259999</v>
      </c>
      <c r="AH2081">
        <v>23.3694914995889</v>
      </c>
      <c r="AI2081">
        <v>92.712538844922605</v>
      </c>
      <c r="AJ2081">
        <v>94.921569078994693</v>
      </c>
      <c r="AK2081">
        <v>23.482282930282299</v>
      </c>
      <c r="AL2081">
        <v>89.846713268509902</v>
      </c>
      <c r="AM2081">
        <v>88.314950359110497</v>
      </c>
      <c r="AN2081">
        <v>1.0000000102323301</v>
      </c>
    </row>
    <row r="2082" spans="1:40" x14ac:dyDescent="0.25">
      <c r="A2082" t="str">
        <f>"20190312154255717"</f>
        <v>20190312154255717</v>
      </c>
      <c r="B2082" t="str">
        <f>"1552376575709748"</f>
        <v>1552376575709748</v>
      </c>
      <c r="C2082" t="s">
        <v>40</v>
      </c>
      <c r="D2082">
        <v>4.8800489999999996</v>
      </c>
      <c r="E2082">
        <v>0.45722740000000001</v>
      </c>
      <c r="F2082" t="s">
        <v>50</v>
      </c>
      <c r="G2082">
        <v>-360.82190000000003</v>
      </c>
      <c r="H2082" s="1">
        <v>-1.0993969999999999E-6</v>
      </c>
      <c r="I2082">
        <v>281.84589999999997</v>
      </c>
      <c r="J2082">
        <v>-337.47340000000003</v>
      </c>
      <c r="K2082">
        <v>1.1113120000000001</v>
      </c>
      <c r="L2082">
        <v>283.30340000000001</v>
      </c>
      <c r="M2082">
        <v>-0.9996294</v>
      </c>
      <c r="N2082">
        <v>0</v>
      </c>
      <c r="O2082">
        <v>2.2865139999999999E-2</v>
      </c>
      <c r="P2082">
        <v>-0.99854430000000005</v>
      </c>
      <c r="Q2082">
        <v>-1.3063379999999999E-2</v>
      </c>
      <c r="R2082">
        <v>5.2334949999999998E-2</v>
      </c>
      <c r="S2082">
        <v>-3.0126040000000001</v>
      </c>
      <c r="T2082">
        <v>-0.14119089999999901</v>
      </c>
      <c r="U2082">
        <v>-0.18420410000000001</v>
      </c>
      <c r="V2082">
        <v>2.9482749999999999E-2</v>
      </c>
      <c r="W2082">
        <v>1.7774729999999999E-3</v>
      </c>
      <c r="X2082">
        <v>0.99956369999999894</v>
      </c>
      <c r="Y2082">
        <v>-8.3722959999999999E-2</v>
      </c>
      <c r="Z2082">
        <v>-3.029271E-3</v>
      </c>
      <c r="AA2082">
        <v>0.9964845</v>
      </c>
      <c r="AB2082">
        <v>36</v>
      </c>
      <c r="AC2082">
        <v>-23.348500000000001</v>
      </c>
      <c r="AD2082">
        <v>-1.111313099397</v>
      </c>
      <c r="AE2082">
        <v>-1.45750000000003</v>
      </c>
      <c r="AF2082">
        <v>-1.9865608646796999</v>
      </c>
      <c r="AG2082">
        <v>-1.111313099397</v>
      </c>
      <c r="AH2082">
        <v>23.2565826545619</v>
      </c>
      <c r="AI2082">
        <v>92.725879632381293</v>
      </c>
      <c r="AJ2082">
        <v>94.882313507608401</v>
      </c>
      <c r="AK2082">
        <v>23.367714429152802</v>
      </c>
      <c r="AL2082">
        <v>89.898158244374301</v>
      </c>
      <c r="AM2082">
        <v>88.310515352862197</v>
      </c>
      <c r="AN2082">
        <v>0.99999999115775895</v>
      </c>
    </row>
    <row r="2083" spans="1:40" x14ac:dyDescent="0.25">
      <c r="A2083" t="str">
        <f>"20190312154255739"</f>
        <v>20190312154255739</v>
      </c>
      <c r="B2083" t="str">
        <f>"1552376575729269"</f>
        <v>1552376575729269</v>
      </c>
      <c r="C2083" t="s">
        <v>40</v>
      </c>
      <c r="D2083">
        <v>4.8865499999999997</v>
      </c>
      <c r="E2083">
        <v>0.45725939999999998</v>
      </c>
      <c r="F2083" t="s">
        <v>50</v>
      </c>
      <c r="G2083">
        <v>-360.72030000000001</v>
      </c>
      <c r="H2083" s="1">
        <v>-1.153497E-6</v>
      </c>
      <c r="I2083">
        <v>281.85849999999999</v>
      </c>
      <c r="J2083">
        <v>-337.81490000000002</v>
      </c>
      <c r="K2083">
        <v>1.111327</v>
      </c>
      <c r="L2083">
        <v>283.31020000000001</v>
      </c>
      <c r="M2083">
        <v>-0.9996526</v>
      </c>
      <c r="N2083">
        <v>0</v>
      </c>
      <c r="O2083">
        <v>2.182972E-2</v>
      </c>
      <c r="P2083">
        <v>-0.99859520000000002</v>
      </c>
      <c r="Q2083">
        <v>-1.385804E-2</v>
      </c>
      <c r="R2083">
        <v>5.1145759999999998E-2</v>
      </c>
      <c r="S2083">
        <v>-3.0123289999999998</v>
      </c>
      <c r="T2083">
        <v>-0.1440042</v>
      </c>
      <c r="U2083">
        <v>-0.18722530000000001</v>
      </c>
      <c r="V2083">
        <v>2.9329850000000001E-2</v>
      </c>
      <c r="W2083">
        <v>9.8067909999999996E-4</v>
      </c>
      <c r="X2083">
        <v>0.99956929999999999</v>
      </c>
      <c r="Y2083">
        <v>-8.3688509999999994E-2</v>
      </c>
      <c r="Z2083">
        <v>-3.0394950000000001E-3</v>
      </c>
      <c r="AA2083">
        <v>0.99648729999999996</v>
      </c>
      <c r="AB2083">
        <v>36</v>
      </c>
      <c r="AC2083">
        <v>-22.905399999999901</v>
      </c>
      <c r="AD2083">
        <v>-1.1113281534970001</v>
      </c>
      <c r="AE2083">
        <v>-1.45170000000001</v>
      </c>
      <c r="AF2083">
        <v>-1.94686239968179</v>
      </c>
      <c r="AG2083">
        <v>-1.1113281534970001</v>
      </c>
      <c r="AH2083">
        <v>22.814755495490399</v>
      </c>
      <c r="AI2083">
        <v>92.778644427721801</v>
      </c>
      <c r="AJ2083">
        <v>94.877432118554793</v>
      </c>
      <c r="AK2083">
        <v>22.924624136222199</v>
      </c>
      <c r="AL2083">
        <v>89.943811217150994</v>
      </c>
      <c r="AM2083">
        <v>88.319281533291402</v>
      </c>
      <c r="AN2083">
        <v>0.99999999366750403</v>
      </c>
    </row>
    <row r="2084" spans="1:40" x14ac:dyDescent="0.25">
      <c r="A2084" t="str">
        <f>"20190312154255761"</f>
        <v>20190312154255761</v>
      </c>
      <c r="B2084" t="str">
        <f>"1552376575749764"</f>
        <v>1552376575749764</v>
      </c>
      <c r="C2084" t="s">
        <v>40</v>
      </c>
      <c r="D2084">
        <v>4.8812620000000004</v>
      </c>
      <c r="E2084">
        <v>0.45734940000000002</v>
      </c>
      <c r="F2084" t="s">
        <v>50</v>
      </c>
      <c r="G2084">
        <v>-360.79039999999998</v>
      </c>
      <c r="H2084" s="1">
        <v>-1.116193E-6</v>
      </c>
      <c r="I2084">
        <v>281.8553</v>
      </c>
      <c r="J2084">
        <v>-338.1696</v>
      </c>
      <c r="K2084">
        <v>1.1113519999999999</v>
      </c>
      <c r="L2084">
        <v>283.3168</v>
      </c>
      <c r="M2084">
        <v>-0.99967629999999996</v>
      </c>
      <c r="N2084">
        <v>0</v>
      </c>
      <c r="O2084">
        <v>2.0717309999999999E-2</v>
      </c>
      <c r="P2084">
        <v>-0.99860680000000002</v>
      </c>
      <c r="Q2084">
        <v>-1.4496429999999999E-2</v>
      </c>
      <c r="R2084">
        <v>5.074037E-2</v>
      </c>
      <c r="S2084">
        <v>-3.0119929999999999</v>
      </c>
      <c r="T2084">
        <v>-0.1456906</v>
      </c>
      <c r="U2084">
        <v>-0.19073490000000001</v>
      </c>
      <c r="V2084">
        <v>3.003813E-2</v>
      </c>
      <c r="W2084">
        <v>3.421942E-4</v>
      </c>
      <c r="X2084">
        <v>0.99954869999999996</v>
      </c>
      <c r="Y2084">
        <v>-8.3741460000000004E-2</v>
      </c>
      <c r="Z2084">
        <v>-3.0228220000000001E-3</v>
      </c>
      <c r="AA2084">
        <v>0.99648289999999995</v>
      </c>
      <c r="AB2084">
        <v>36</v>
      </c>
      <c r="AC2084">
        <v>-22.6207999999999</v>
      </c>
      <c r="AD2084">
        <v>-1.1113531161929999</v>
      </c>
      <c r="AE2084">
        <v>-1.4615</v>
      </c>
      <c r="AF2084">
        <v>-1.9252517764199699</v>
      </c>
      <c r="AG2084">
        <v>-1.1113531161929999</v>
      </c>
      <c r="AH2084">
        <v>22.531503433603099</v>
      </c>
      <c r="AI2084">
        <v>92.813556076991802</v>
      </c>
      <c r="AJ2084">
        <v>94.883895523122703</v>
      </c>
      <c r="AK2084">
        <v>22.640899874562098</v>
      </c>
      <c r="AL2084">
        <v>89.980393716281696</v>
      </c>
      <c r="AM2084">
        <v>88.278682913841607</v>
      </c>
      <c r="AN2084">
        <v>1.0000000050112201</v>
      </c>
    </row>
    <row r="2085" spans="1:40" x14ac:dyDescent="0.25">
      <c r="A2085" t="str">
        <f>"20190312154255784"</f>
        <v>20190312154255784</v>
      </c>
      <c r="B2085" t="str">
        <f>"1552376575779704"</f>
        <v>1552376575779704</v>
      </c>
      <c r="C2085" t="s">
        <v>40</v>
      </c>
      <c r="D2085">
        <v>5.1119789999999998</v>
      </c>
      <c r="E2085">
        <v>0.45749139999999999</v>
      </c>
      <c r="F2085" t="s">
        <v>50</v>
      </c>
      <c r="G2085">
        <v>-360.94209999999998</v>
      </c>
      <c r="H2085" s="1">
        <v>-1.035467E-6</v>
      </c>
      <c r="I2085">
        <v>281.87139999999999</v>
      </c>
      <c r="J2085">
        <v>-338.53059999999999</v>
      </c>
      <c r="K2085">
        <v>1.111391</v>
      </c>
      <c r="L2085">
        <v>283.32319999999999</v>
      </c>
      <c r="M2085">
        <v>-0.99970040000000004</v>
      </c>
      <c r="N2085">
        <v>0</v>
      </c>
      <c r="O2085">
        <v>1.9527039999999999E-2</v>
      </c>
      <c r="P2085">
        <v>-0.99862430000000002</v>
      </c>
      <c r="Q2085">
        <v>-1.4180099999999999E-2</v>
      </c>
      <c r="R2085">
        <v>5.048387E-2</v>
      </c>
      <c r="S2085">
        <v>-3.0117799999999999</v>
      </c>
      <c r="T2085">
        <v>-0.14698269999999999</v>
      </c>
      <c r="U2085">
        <v>-0.1911621</v>
      </c>
      <c r="V2085">
        <v>3.0970330000000001E-2</v>
      </c>
      <c r="W2085">
        <v>6.5976779999999996E-4</v>
      </c>
      <c r="X2085">
        <v>0.99952010000000002</v>
      </c>
      <c r="Y2085">
        <v>-8.2700650000000001E-2</v>
      </c>
      <c r="Z2085">
        <v>-2.9664330000000001E-3</v>
      </c>
      <c r="AA2085">
        <v>0.99656999999999996</v>
      </c>
      <c r="AB2085">
        <v>36</v>
      </c>
      <c r="AC2085">
        <v>-22.411499999999901</v>
      </c>
      <c r="AD2085">
        <v>-1.1113920354669999</v>
      </c>
      <c r="AE2085">
        <v>-1.45179999999999</v>
      </c>
      <c r="AF2085">
        <v>-1.88458585315378</v>
      </c>
      <c r="AG2085">
        <v>-1.1113920354669999</v>
      </c>
      <c r="AH2085">
        <v>22.3242032836303</v>
      </c>
      <c r="AI2085">
        <v>92.839984980717702</v>
      </c>
      <c r="AJ2085">
        <v>94.825408529870103</v>
      </c>
      <c r="AK2085">
        <v>22.431159317860899</v>
      </c>
      <c r="AL2085">
        <v>89.962198087367995</v>
      </c>
      <c r="AM2085">
        <v>88.225246648841704</v>
      </c>
      <c r="AN2085">
        <v>1.00000001346893</v>
      </c>
    </row>
    <row r="2086" spans="1:40" x14ac:dyDescent="0.25">
      <c r="A2086" t="str">
        <f>"20190312154255807"</f>
        <v>20190312154255807</v>
      </c>
      <c r="B2086" t="str">
        <f>"1552376575799228"</f>
        <v>1552376575799228</v>
      </c>
      <c r="C2086" t="s">
        <v>40</v>
      </c>
      <c r="D2086">
        <v>4.8745620000000001</v>
      </c>
      <c r="E2086">
        <v>0.45754879999999998</v>
      </c>
      <c r="F2086" t="s">
        <v>50</v>
      </c>
      <c r="G2086">
        <v>-361.827</v>
      </c>
      <c r="H2086" s="1">
        <v>-5.6454389999999996E-7</v>
      </c>
      <c r="I2086">
        <v>281.84570000000002</v>
      </c>
      <c r="J2086">
        <v>-338.9024</v>
      </c>
      <c r="K2086">
        <v>1.111461</v>
      </c>
      <c r="L2086">
        <v>283.32920000000001</v>
      </c>
      <c r="M2086">
        <v>-0.99972510000000003</v>
      </c>
      <c r="N2086">
        <v>0</v>
      </c>
      <c r="O2086">
        <v>1.8217850000000001E-2</v>
      </c>
      <c r="P2086">
        <v>-0.99860550000000003</v>
      </c>
      <c r="Q2086">
        <v>-1.357014E-2</v>
      </c>
      <c r="R2086">
        <v>5.1018929999999997E-2</v>
      </c>
      <c r="S2086">
        <v>-3.011749</v>
      </c>
      <c r="T2086">
        <v>-0.14368020000000001</v>
      </c>
      <c r="U2086">
        <v>-0.1910095</v>
      </c>
      <c r="V2086">
        <v>3.2812609999999999E-2</v>
      </c>
      <c r="W2086">
        <v>1.275841E-3</v>
      </c>
      <c r="X2086">
        <v>0.99946069999999998</v>
      </c>
      <c r="Y2086">
        <v>-8.1354259999999998E-2</v>
      </c>
      <c r="Z2086">
        <v>-2.805451E-3</v>
      </c>
      <c r="AA2086">
        <v>0.99668129999999999</v>
      </c>
      <c r="AB2086">
        <v>36</v>
      </c>
      <c r="AC2086">
        <v>-22.924600000000002</v>
      </c>
      <c r="AD2086">
        <v>-1.1114615645438899</v>
      </c>
      <c r="AE2086">
        <v>-1.48349999999999</v>
      </c>
      <c r="AF2086">
        <v>-1.8964967830631401</v>
      </c>
      <c r="AG2086">
        <v>-1.1114615645438899</v>
      </c>
      <c r="AH2086">
        <v>22.8403001724663</v>
      </c>
      <c r="AI2086">
        <v>92.776407347754201</v>
      </c>
      <c r="AJ2086">
        <v>94.746547471911001</v>
      </c>
      <c r="AK2086">
        <v>22.945835326394</v>
      </c>
      <c r="AL2086">
        <v>89.926899675026405</v>
      </c>
      <c r="AM2086">
        <v>88.1196368644122</v>
      </c>
      <c r="AN2086">
        <v>0.99999999299487896</v>
      </c>
    </row>
    <row r="2087" spans="1:40" x14ac:dyDescent="0.25">
      <c r="A2087" t="str">
        <f>"20190312154255829"</f>
        <v>20190312154255829</v>
      </c>
      <c r="B2087" t="str">
        <f>"1552376575819720"</f>
        <v>1552376575819720</v>
      </c>
      <c r="C2087" t="s">
        <v>40</v>
      </c>
      <c r="D2087">
        <v>4.8375190000000003</v>
      </c>
      <c r="E2087">
        <v>0.45757150000000002</v>
      </c>
      <c r="F2087" t="s">
        <v>50</v>
      </c>
      <c r="G2087">
        <v>-363.1567</v>
      </c>
      <c r="H2087" s="1">
        <v>1.43071E-7</v>
      </c>
      <c r="I2087">
        <v>281.80779999999999</v>
      </c>
      <c r="J2087">
        <v>-339.25170000000003</v>
      </c>
      <c r="K2087">
        <v>1.1115489999999999</v>
      </c>
      <c r="L2087">
        <v>283.33429999999998</v>
      </c>
      <c r="M2087">
        <v>-0.99974870000000005</v>
      </c>
      <c r="N2087">
        <v>0</v>
      </c>
      <c r="O2087">
        <v>1.688019E-2</v>
      </c>
      <c r="P2087">
        <v>-0.99861160000000004</v>
      </c>
      <c r="Q2087">
        <v>-1.246801E-2</v>
      </c>
      <c r="R2087">
        <v>5.1185880000000003E-2</v>
      </c>
      <c r="S2087">
        <v>-3.0119319999999998</v>
      </c>
      <c r="T2087">
        <v>-0.13802249999999999</v>
      </c>
      <c r="U2087">
        <v>-0.1889343</v>
      </c>
      <c r="V2087">
        <v>3.4313059999999999E-2</v>
      </c>
      <c r="W2087">
        <v>2.3849629999999999E-3</v>
      </c>
      <c r="X2087">
        <v>0.99940830000000003</v>
      </c>
      <c r="Y2087">
        <v>-7.9344940000000003E-2</v>
      </c>
      <c r="Z2087">
        <v>-2.5877999999999999E-3</v>
      </c>
      <c r="AA2087">
        <v>0.9968439</v>
      </c>
      <c r="AB2087">
        <v>36</v>
      </c>
      <c r="AC2087">
        <v>-23.904999999999902</v>
      </c>
      <c r="AD2087">
        <v>-1.111548856929</v>
      </c>
      <c r="AE2087">
        <v>-1.52649999999999</v>
      </c>
      <c r="AF2087">
        <v>-1.9257006223251201</v>
      </c>
      <c r="AG2087">
        <v>-1.111548856929</v>
      </c>
      <c r="AH2087">
        <v>23.8245205911625</v>
      </c>
      <c r="AI2087">
        <v>92.662564744369902</v>
      </c>
      <c r="AJ2087">
        <v>94.621086682716694</v>
      </c>
      <c r="AK2087">
        <v>23.928051428122799</v>
      </c>
      <c r="AL2087">
        <v>89.863351557917497</v>
      </c>
      <c r="AM2087">
        <v>88.033614915568805</v>
      </c>
      <c r="AN2087">
        <v>1.0000000121219801</v>
      </c>
    </row>
    <row r="2088" spans="1:40" x14ac:dyDescent="0.25">
      <c r="A2088" t="str">
        <f>"20190312154255850"</f>
        <v>20190312154255850</v>
      </c>
      <c r="B2088" t="str">
        <f>"1552376575839244"</f>
        <v>1552376575839244</v>
      </c>
      <c r="C2088" t="s">
        <v>40</v>
      </c>
      <c r="D2088">
        <v>4.8497659999999998</v>
      </c>
      <c r="E2088">
        <v>0.45767859999999999</v>
      </c>
      <c r="F2088" t="s">
        <v>50</v>
      </c>
      <c r="G2088">
        <v>-364.67309999999998</v>
      </c>
      <c r="H2088" s="1">
        <v>9.4998019999999997E-7</v>
      </c>
      <c r="I2088">
        <v>281.74669999999998</v>
      </c>
      <c r="J2088">
        <v>-339.59829999999999</v>
      </c>
      <c r="K2088">
        <v>1.1116410000000001</v>
      </c>
      <c r="L2088">
        <v>283.33870000000002</v>
      </c>
      <c r="M2088">
        <v>-0.99977199999999999</v>
      </c>
      <c r="N2088">
        <v>0</v>
      </c>
      <c r="O2088">
        <v>1.5437970000000001E-2</v>
      </c>
      <c r="P2088">
        <v>-0.99865060000000005</v>
      </c>
      <c r="Q2088">
        <v>-1.2315939999999999E-2</v>
      </c>
      <c r="R2088">
        <v>5.0454249999999999E-2</v>
      </c>
      <c r="S2088">
        <v>-3.012146</v>
      </c>
      <c r="T2088">
        <v>-0.13170599999999999</v>
      </c>
      <c r="U2088">
        <v>-0.18811040000000001</v>
      </c>
      <c r="V2088">
        <v>3.502152E-2</v>
      </c>
      <c r="W2088">
        <v>2.5451789999999998E-3</v>
      </c>
      <c r="X2088">
        <v>0.99938329999999997</v>
      </c>
      <c r="Y2088">
        <v>-7.7642779999999995E-2</v>
      </c>
      <c r="Z2088">
        <v>-2.3691860000000001E-3</v>
      </c>
      <c r="AA2088">
        <v>0.99697840000000004</v>
      </c>
      <c r="AB2088">
        <v>36</v>
      </c>
      <c r="AC2088">
        <v>-25.0747999999999</v>
      </c>
      <c r="AD2088">
        <v>-1.11164005001979</v>
      </c>
      <c r="AE2088">
        <v>-1.59200000000004</v>
      </c>
      <c r="AF2088">
        <v>-1.97509009407055</v>
      </c>
      <c r="AG2088">
        <v>-1.11164005001979</v>
      </c>
      <c r="AH2088">
        <v>24.9982965228428</v>
      </c>
      <c r="AI2088">
        <v>92.5382876847017</v>
      </c>
      <c r="AJ2088">
        <v>94.517497078111006</v>
      </c>
      <c r="AK2088">
        <v>25.100827745803102</v>
      </c>
      <c r="AL2088">
        <v>89.854171825206706</v>
      </c>
      <c r="AM2088">
        <v>87.992997765234307</v>
      </c>
      <c r="AN2088">
        <v>0.99999998255907097</v>
      </c>
    </row>
    <row r="2089" spans="1:40" x14ac:dyDescent="0.25">
      <c r="A2089" t="str">
        <f>"20190312154255873"</f>
        <v>20190312154255873</v>
      </c>
      <c r="B2089" t="str">
        <f>"1552376575859753"</f>
        <v>1552376575859753</v>
      </c>
      <c r="C2089" t="s">
        <v>40</v>
      </c>
      <c r="D2089">
        <v>4.8338279999999996</v>
      </c>
      <c r="E2089">
        <v>0.45769389999999999</v>
      </c>
      <c r="F2089" t="s">
        <v>50</v>
      </c>
      <c r="G2089">
        <v>-365.85399999999998</v>
      </c>
      <c r="H2089" s="1">
        <v>1.5784100000000001E-6</v>
      </c>
      <c r="I2089">
        <v>281.68729999999999</v>
      </c>
      <c r="J2089">
        <v>-339.95159999999998</v>
      </c>
      <c r="K2089">
        <v>1.111729</v>
      </c>
      <c r="L2089">
        <v>283.34269999999998</v>
      </c>
      <c r="M2089">
        <v>-0.99979499999999999</v>
      </c>
      <c r="N2089">
        <v>0</v>
      </c>
      <c r="O2089">
        <v>1.386473E-2</v>
      </c>
      <c r="P2089">
        <v>-0.99868520000000005</v>
      </c>
      <c r="Q2089">
        <v>-1.207476E-2</v>
      </c>
      <c r="R2089">
        <v>4.9820959999999997E-2</v>
      </c>
      <c r="S2089">
        <v>-3.0120239999999998</v>
      </c>
      <c r="T2089">
        <v>-0.12752620000000001</v>
      </c>
      <c r="U2089">
        <v>-0.18945310000000001</v>
      </c>
      <c r="V2089">
        <v>3.5958909999999997E-2</v>
      </c>
      <c r="W2089">
        <v>2.795517E-3</v>
      </c>
      <c r="X2089">
        <v>0.99934940000000005</v>
      </c>
      <c r="Y2089">
        <v>-7.6527070000000003E-2</v>
      </c>
      <c r="Z2089">
        <v>-2.2040100000000002E-3</v>
      </c>
      <c r="AA2089">
        <v>0.99706510000000004</v>
      </c>
      <c r="AB2089">
        <v>36</v>
      </c>
      <c r="AC2089">
        <v>-25.9024</v>
      </c>
      <c r="AD2089">
        <v>-1.1117274215899999</v>
      </c>
      <c r="AE2089">
        <v>-1.65539999999998</v>
      </c>
      <c r="AF2089">
        <v>-2.0107208221172299</v>
      </c>
      <c r="AG2089">
        <v>-1.1117274215899999</v>
      </c>
      <c r="AH2089">
        <v>25.829568072412801</v>
      </c>
      <c r="AI2089">
        <v>92.457115230868496</v>
      </c>
      <c r="AJ2089">
        <v>94.4512531185608</v>
      </c>
      <c r="AK2089">
        <v>25.9315545791573</v>
      </c>
      <c r="AL2089">
        <v>89.839828472240598</v>
      </c>
      <c r="AM2089">
        <v>87.939253982554604</v>
      </c>
      <c r="AN2089">
        <v>1.00000004070202</v>
      </c>
    </row>
    <row r="2090" spans="1:40" x14ac:dyDescent="0.25">
      <c r="A2090" t="str">
        <f>"20190312154255886"</f>
        <v>20190312154255886</v>
      </c>
      <c r="B2090" t="str">
        <f>"1552376575879982"</f>
        <v>1552376575879982</v>
      </c>
      <c r="C2090" t="s">
        <v>40</v>
      </c>
      <c r="D2090">
        <v>4.7701529999999996</v>
      </c>
      <c r="E2090">
        <v>0.4457951</v>
      </c>
      <c r="F2090" t="s">
        <v>50</v>
      </c>
      <c r="G2090">
        <v>-366.71609999999998</v>
      </c>
      <c r="H2090" s="1">
        <v>2.0371759999999999E-6</v>
      </c>
      <c r="I2090">
        <v>281.64240000000001</v>
      </c>
      <c r="J2090">
        <v>-340.17720000000003</v>
      </c>
      <c r="K2090">
        <v>1.111785</v>
      </c>
      <c r="L2090">
        <v>283.34480000000002</v>
      </c>
      <c r="M2090">
        <v>-0.99980910000000001</v>
      </c>
      <c r="N2090">
        <v>0</v>
      </c>
      <c r="O2090">
        <v>1.2813440000000001E-2</v>
      </c>
      <c r="P2090">
        <v>-0.99873190000000001</v>
      </c>
      <c r="Q2090">
        <v>-1.1669779999999999E-2</v>
      </c>
      <c r="R2090">
        <v>4.8974990000000003E-2</v>
      </c>
      <c r="S2090">
        <v>-3.0119929999999999</v>
      </c>
      <c r="T2090">
        <v>-0.12511040000000001</v>
      </c>
      <c r="U2090">
        <v>-0.19134519999999999</v>
      </c>
      <c r="V2090">
        <v>3.6161239999999997E-2</v>
      </c>
      <c r="W2090">
        <v>3.2051190000000002E-3</v>
      </c>
      <c r="X2090">
        <v>0.99934080000000003</v>
      </c>
      <c r="Y2090">
        <v>-7.6107430000000004E-2</v>
      </c>
      <c r="Z2090">
        <v>-2.1099560000000001E-3</v>
      </c>
      <c r="AA2090">
        <v>0.99709740000000002</v>
      </c>
      <c r="AB2090">
        <v>36</v>
      </c>
      <c r="AC2090">
        <v>-26.538899999999899</v>
      </c>
      <c r="AD2090">
        <v>-1.1117829628239999</v>
      </c>
      <c r="AE2090">
        <v>-1.7024000000000099</v>
      </c>
      <c r="AF2090">
        <v>-2.0387884268423799</v>
      </c>
      <c r="AG2090">
        <v>-1.1117829628239999</v>
      </c>
      <c r="AH2090">
        <v>26.4686430344853</v>
      </c>
      <c r="AI2090">
        <v>92.398129938226603</v>
      </c>
      <c r="AJ2090">
        <v>94.404599372356799</v>
      </c>
      <c r="AK2090">
        <v>26.570317719080101</v>
      </c>
      <c r="AL2090">
        <v>89.816359888776404</v>
      </c>
      <c r="AM2090">
        <v>87.927651046265396</v>
      </c>
      <c r="AN2090">
        <v>0.99999997130538998</v>
      </c>
    </row>
    <row r="2091" spans="1:40" x14ac:dyDescent="0.25">
      <c r="A2091" t="str">
        <f>"20190312154255908"</f>
        <v>20190312154255908</v>
      </c>
      <c r="B2091" t="str">
        <f>"1552376575899502"</f>
        <v>1552376575899502</v>
      </c>
      <c r="C2091" t="s">
        <v>40</v>
      </c>
      <c r="D2091">
        <v>4.8108490000000002</v>
      </c>
      <c r="E2091">
        <v>0.44441180000000002</v>
      </c>
      <c r="F2091" t="s">
        <v>50</v>
      </c>
      <c r="G2091">
        <v>-397.46</v>
      </c>
      <c r="H2091">
        <v>8.0000740000000001E-2</v>
      </c>
      <c r="I2091">
        <v>277.9171</v>
      </c>
      <c r="J2091">
        <v>-340.50470000000001</v>
      </c>
      <c r="K2091">
        <v>1.111864</v>
      </c>
      <c r="L2091">
        <v>283.34750000000003</v>
      </c>
      <c r="M2091">
        <v>-0.99982850000000001</v>
      </c>
      <c r="N2091">
        <v>0</v>
      </c>
      <c r="O2091">
        <v>1.1205079999999999E-2</v>
      </c>
      <c r="P2091">
        <v>-0.99879660000000003</v>
      </c>
      <c r="Q2091">
        <v>-1.1232509999999999E-2</v>
      </c>
      <c r="R2091">
        <v>4.7743979999999998E-2</v>
      </c>
      <c r="S2091">
        <v>-3.0171809999999999</v>
      </c>
      <c r="T2091">
        <v>-5.4345850000000001E-2</v>
      </c>
      <c r="U2091">
        <v>-0.2858887</v>
      </c>
      <c r="V2091">
        <v>3.6534780000000003E-2</v>
      </c>
      <c r="W2091">
        <v>3.6485749999999998E-3</v>
      </c>
      <c r="X2091">
        <v>0.99932569999999998</v>
      </c>
      <c r="Y2091">
        <v>-0.10546270000000001</v>
      </c>
      <c r="Z2091">
        <v>-1.14901E-3</v>
      </c>
      <c r="AA2091">
        <v>0.99442260000000005</v>
      </c>
      <c r="AB2091">
        <v>36</v>
      </c>
      <c r="AC2091">
        <v>-56.955299999999902</v>
      </c>
      <c r="AD2091">
        <v>-1.0318632599999999</v>
      </c>
      <c r="AE2091">
        <v>-5.4304000000000103</v>
      </c>
      <c r="AF2091">
        <v>-6.0663438842092203</v>
      </c>
      <c r="AG2091">
        <v>-1.0318632599999999</v>
      </c>
      <c r="AH2091">
        <v>56.872369997156298</v>
      </c>
      <c r="AI2091">
        <v>91.033569473443805</v>
      </c>
      <c r="AJ2091">
        <v>96.088486069661002</v>
      </c>
      <c r="AK2091">
        <v>57.204298256357099</v>
      </c>
      <c r="AL2091">
        <v>89.790951582947102</v>
      </c>
      <c r="AM2091">
        <v>87.9062313495089</v>
      </c>
      <c r="AN2091">
        <v>0.99999997846483402</v>
      </c>
    </row>
    <row r="2092" spans="1:40" x14ac:dyDescent="0.25">
      <c r="A2092" t="str">
        <f>"20190312154255929"</f>
        <v>20190312154255929</v>
      </c>
      <c r="B2092" t="str">
        <f>"1552376575919998"</f>
        <v>1552376575919998</v>
      </c>
      <c r="C2092" t="s">
        <v>40</v>
      </c>
      <c r="D2092">
        <v>4.7334699999999996</v>
      </c>
      <c r="E2092">
        <v>0.44410830000000001</v>
      </c>
      <c r="F2092" t="s">
        <v>51</v>
      </c>
      <c r="G2092">
        <v>-400.45650000000001</v>
      </c>
      <c r="H2092">
        <v>8.0001879999999997E-2</v>
      </c>
      <c r="I2092">
        <v>277.37619999999998</v>
      </c>
      <c r="J2092">
        <v>-340.84710000000001</v>
      </c>
      <c r="K2092">
        <v>1.111934</v>
      </c>
      <c r="L2092">
        <v>283.34960000000001</v>
      </c>
      <c r="M2092">
        <v>-0.99984660000000003</v>
      </c>
      <c r="N2092">
        <v>0</v>
      </c>
      <c r="O2092">
        <v>9.4394400000000003E-3</v>
      </c>
      <c r="P2092">
        <v>-0.99889410000000001</v>
      </c>
      <c r="Q2092">
        <v>-1.0878789999999999E-2</v>
      </c>
      <c r="R2092">
        <v>4.5742690000000003E-2</v>
      </c>
      <c r="S2092">
        <v>-3.017395</v>
      </c>
      <c r="T2092">
        <v>-5.1934000000000001E-2</v>
      </c>
      <c r="U2092">
        <v>-0.300537099999999</v>
      </c>
      <c r="V2092">
        <v>3.6295319999999999E-2</v>
      </c>
      <c r="W2092">
        <v>4.006201E-3</v>
      </c>
      <c r="X2092">
        <v>0.99933309999999997</v>
      </c>
      <c r="Y2092">
        <v>-0.10848339999999899</v>
      </c>
      <c r="Z2092">
        <v>-1.0933E-3</v>
      </c>
      <c r="AA2092">
        <v>0.99409769999999997</v>
      </c>
      <c r="AB2092">
        <v>36</v>
      </c>
      <c r="AC2092">
        <v>-59.609400000000001</v>
      </c>
      <c r="AD2092">
        <v>-1.03193212</v>
      </c>
      <c r="AE2092">
        <v>-5.9734000000000202</v>
      </c>
      <c r="AF2092">
        <v>-6.5339357275636898</v>
      </c>
      <c r="AG2092">
        <v>-1.03193212</v>
      </c>
      <c r="AH2092">
        <v>59.532687991895401</v>
      </c>
      <c r="AI2092">
        <v>90.987131920732594</v>
      </c>
      <c r="AJ2092">
        <v>96.263357684186502</v>
      </c>
      <c r="AK2092">
        <v>59.899066265949401</v>
      </c>
      <c r="AL2092">
        <v>89.770460981937902</v>
      </c>
      <c r="AM2092">
        <v>87.919957837416803</v>
      </c>
      <c r="AN2092">
        <v>1.0000000223279799</v>
      </c>
    </row>
    <row r="2093" spans="1:40" x14ac:dyDescent="0.25">
      <c r="A2093" t="str">
        <f>"20190312154255942"</f>
        <v>20190312154255942</v>
      </c>
      <c r="B2093" t="str">
        <f>"1552376575929758"</f>
        <v>1552376575929758</v>
      </c>
      <c r="C2093" t="s">
        <v>40</v>
      </c>
      <c r="D2093">
        <v>4.7436730000000003</v>
      </c>
      <c r="E2093">
        <v>0.44385980000000003</v>
      </c>
      <c r="F2093" t="s">
        <v>51</v>
      </c>
      <c r="G2093">
        <v>-404.18369999999999</v>
      </c>
      <c r="H2093">
        <v>8.0001279999999994E-2</v>
      </c>
      <c r="I2093">
        <v>276.86009999999999</v>
      </c>
      <c r="J2093">
        <v>-341.05599999999998</v>
      </c>
      <c r="K2093">
        <v>1.1119669999999999</v>
      </c>
      <c r="L2093">
        <v>283.35050000000001</v>
      </c>
      <c r="M2093">
        <v>-0.99985659999999998</v>
      </c>
      <c r="N2093">
        <v>0</v>
      </c>
      <c r="O2093">
        <v>8.3269539999999993E-3</v>
      </c>
      <c r="P2093">
        <v>-0.99897119999999995</v>
      </c>
      <c r="Q2093">
        <v>-1.073878E-2</v>
      </c>
      <c r="R2093">
        <v>4.406011E-2</v>
      </c>
      <c r="S2093">
        <v>-3.0168759999999999</v>
      </c>
      <c r="T2093">
        <v>-4.9153450000000001E-2</v>
      </c>
      <c r="U2093">
        <v>-0.30911250000000001</v>
      </c>
      <c r="V2093">
        <v>3.5722950000000003E-2</v>
      </c>
      <c r="W2093">
        <v>4.1459119999999999E-3</v>
      </c>
      <c r="X2093">
        <v>0.99935309999999999</v>
      </c>
      <c r="Y2093">
        <v>-0.110192899999999</v>
      </c>
      <c r="Z2093">
        <v>-1.030609E-3</v>
      </c>
      <c r="AA2093">
        <v>0.99390970000000001</v>
      </c>
      <c r="AB2093">
        <v>36</v>
      </c>
      <c r="AC2093">
        <v>-63.127699999999997</v>
      </c>
      <c r="AD2093">
        <v>-1.0319657200000001</v>
      </c>
      <c r="AE2093">
        <v>-6.4904000000000197</v>
      </c>
      <c r="AF2093">
        <v>-7.0140387659481602</v>
      </c>
      <c r="AG2093">
        <v>-1.0319657200000001</v>
      </c>
      <c r="AH2093">
        <v>63.054785684275402</v>
      </c>
      <c r="AI2093">
        <v>90.931882425439198</v>
      </c>
      <c r="AJ2093">
        <v>96.347328767831499</v>
      </c>
      <c r="AK2093">
        <v>63.452089727190099</v>
      </c>
      <c r="AL2093">
        <v>89.762456052081603</v>
      </c>
      <c r="AM2093">
        <v>87.952772490992402</v>
      </c>
      <c r="AN2093">
        <v>0.99999996811131098</v>
      </c>
    </row>
    <row r="2094" spans="1:40" x14ac:dyDescent="0.25">
      <c r="A2094" t="str">
        <f>"20190312154255955"</f>
        <v>20190312154255955</v>
      </c>
      <c r="B2094" t="str">
        <f>"1552376575949278"</f>
        <v>1552376575949278</v>
      </c>
      <c r="C2094" t="s">
        <v>40</v>
      </c>
      <c r="D2094">
        <v>4.706658</v>
      </c>
      <c r="E2094">
        <v>0.44356719999999999</v>
      </c>
      <c r="F2094" t="s">
        <v>51</v>
      </c>
      <c r="G2094">
        <v>-404.74900000000002</v>
      </c>
      <c r="H2094">
        <v>8.0001180000000005E-2</v>
      </c>
      <c r="I2094">
        <v>276.67599999999999</v>
      </c>
      <c r="J2094">
        <v>-341.24489999999997</v>
      </c>
      <c r="K2094">
        <v>1.1119969999999999</v>
      </c>
      <c r="L2094">
        <v>283.35120000000001</v>
      </c>
      <c r="M2094">
        <v>-0.99986470000000005</v>
      </c>
      <c r="N2094">
        <v>0</v>
      </c>
      <c r="O2094">
        <v>7.3095699999999996E-3</v>
      </c>
      <c r="P2094">
        <v>-0.99903039999999999</v>
      </c>
      <c r="Q2094">
        <v>-1.074573E-2</v>
      </c>
      <c r="R2094">
        <v>4.2699899999999999E-2</v>
      </c>
      <c r="S2094">
        <v>-3.0164490000000002</v>
      </c>
      <c r="T2094">
        <v>-4.8873069999999998E-2</v>
      </c>
      <c r="U2094">
        <v>-0.31610110000000002</v>
      </c>
      <c r="V2094">
        <v>3.5379099999999997E-2</v>
      </c>
      <c r="W2094">
        <v>4.1397140000000001E-3</v>
      </c>
      <c r="X2094">
        <v>0.99936539999999996</v>
      </c>
      <c r="Y2094">
        <v>-0.11147410000000001</v>
      </c>
      <c r="Z2094">
        <v>-1.0186609999999999E-3</v>
      </c>
      <c r="AA2094">
        <v>0.99376679999999995</v>
      </c>
      <c r="AB2094">
        <v>36</v>
      </c>
      <c r="AC2094">
        <v>-63.504100000000001</v>
      </c>
      <c r="AD2094">
        <v>-1.0319958199999999</v>
      </c>
      <c r="AE2094">
        <v>-6.67520000000001</v>
      </c>
      <c r="AF2094">
        <v>-7.1373953861033304</v>
      </c>
      <c r="AG2094">
        <v>-1.0319958199999999</v>
      </c>
      <c r="AH2094">
        <v>63.437034943921098</v>
      </c>
      <c r="AI2094">
        <v>90.926164836088901</v>
      </c>
      <c r="AJ2094">
        <v>96.419436886608196</v>
      </c>
      <c r="AK2094">
        <v>63.8456328243862</v>
      </c>
      <c r="AL2094">
        <v>89.762811184396398</v>
      </c>
      <c r="AM2094">
        <v>87.972486414587195</v>
      </c>
      <c r="AN2094">
        <v>1.00000001033298</v>
      </c>
    </row>
    <row r="2095" spans="1:40" x14ac:dyDescent="0.25">
      <c r="A2095" t="str">
        <f>"20190312154255974"</f>
        <v>20190312154255974</v>
      </c>
      <c r="B2095" t="str">
        <f>"1552376575969520"</f>
        <v>1552376575969520</v>
      </c>
      <c r="C2095" t="s">
        <v>40</v>
      </c>
      <c r="D2095">
        <v>4.7036619999999996</v>
      </c>
      <c r="E2095">
        <v>0.44344090000000003</v>
      </c>
      <c r="F2095" t="s">
        <v>51</v>
      </c>
      <c r="G2095">
        <v>-405.3415</v>
      </c>
      <c r="H2095">
        <v>8.000119E-2</v>
      </c>
      <c r="I2095">
        <v>276.4975</v>
      </c>
      <c r="J2095">
        <v>-341.55880000000002</v>
      </c>
      <c r="K2095">
        <v>1.112039</v>
      </c>
      <c r="L2095">
        <v>283.35180000000003</v>
      </c>
      <c r="M2095">
        <v>-0.99987559999999998</v>
      </c>
      <c r="N2095">
        <v>0</v>
      </c>
      <c r="O2095">
        <v>5.5940419999999996E-3</v>
      </c>
      <c r="P2095">
        <v>-0.99915960000000004</v>
      </c>
      <c r="Q2095">
        <v>-1.089565E-2</v>
      </c>
      <c r="R2095">
        <v>3.9514500000000001E-2</v>
      </c>
      <c r="S2095">
        <v>-3.0161440000000002</v>
      </c>
      <c r="T2095">
        <v>-4.8561809999999997E-2</v>
      </c>
      <c r="U2095">
        <v>-0.32250980000000001</v>
      </c>
      <c r="V2095">
        <v>3.3907609999999998E-2</v>
      </c>
      <c r="W2095">
        <v>3.9856969999999999E-3</v>
      </c>
      <c r="X2095">
        <v>0.999417</v>
      </c>
      <c r="Y2095">
        <v>-0.111868</v>
      </c>
      <c r="Z2095">
        <v>-9.8777710000000005E-4</v>
      </c>
      <c r="AA2095">
        <v>0.99372260000000001</v>
      </c>
      <c r="AB2095">
        <v>36</v>
      </c>
      <c r="AC2095">
        <v>-63.782699999999899</v>
      </c>
      <c r="AD2095">
        <v>-1.0320378100000001</v>
      </c>
      <c r="AE2095">
        <v>-6.8543000000000198</v>
      </c>
      <c r="AF2095">
        <v>-7.2091687576825096</v>
      </c>
      <c r="AG2095">
        <v>-1.0320378100000001</v>
      </c>
      <c r="AH2095">
        <v>63.726860555391497</v>
      </c>
      <c r="AI2095">
        <v>90.921927823691803</v>
      </c>
      <c r="AJ2095">
        <v>96.454206639566493</v>
      </c>
      <c r="AK2095">
        <v>64.141639926527702</v>
      </c>
      <c r="AL2095">
        <v>89.771635773338602</v>
      </c>
      <c r="AM2095">
        <v>88.056849099527398</v>
      </c>
      <c r="AN2095">
        <v>0.99999997584274303</v>
      </c>
    </row>
    <row r="2096" spans="1:40" x14ac:dyDescent="0.25">
      <c r="A2096" t="str">
        <f>"20190312154255987"</f>
        <v>20190312154255987</v>
      </c>
      <c r="B2096" t="str">
        <f>"1552376575979279"</f>
        <v>1552376575979279</v>
      </c>
      <c r="C2096" t="s">
        <v>40</v>
      </c>
      <c r="D2096">
        <v>4.6999610000000001</v>
      </c>
      <c r="E2096">
        <v>0.44359110000000002</v>
      </c>
      <c r="F2096" t="s">
        <v>51</v>
      </c>
      <c r="G2096">
        <v>-405.97859999999997</v>
      </c>
      <c r="H2096">
        <v>8.0001279999999994E-2</v>
      </c>
      <c r="I2096">
        <v>276.23630000000003</v>
      </c>
      <c r="J2096">
        <v>-341.77</v>
      </c>
      <c r="K2096">
        <v>1.112063</v>
      </c>
      <c r="L2096">
        <v>283.35210000000001</v>
      </c>
      <c r="M2096">
        <v>-0.99988140000000003</v>
      </c>
      <c r="N2096">
        <v>0</v>
      </c>
      <c r="O2096">
        <v>4.4290739999999999E-3</v>
      </c>
      <c r="P2096">
        <v>-0.99921700000000002</v>
      </c>
      <c r="Q2096">
        <v>-1.110629E-2</v>
      </c>
      <c r="R2096">
        <v>3.7977419999999998E-2</v>
      </c>
      <c r="S2096">
        <v>-3.0151370000000002</v>
      </c>
      <c r="T2096">
        <v>-4.830396E-2</v>
      </c>
      <c r="U2096">
        <v>-0.33303829999999901</v>
      </c>
      <c r="V2096">
        <v>3.3535299999999997E-2</v>
      </c>
      <c r="W2096">
        <v>3.7735059999999998E-3</v>
      </c>
      <c r="X2096">
        <v>0.99943040000000005</v>
      </c>
      <c r="Y2096">
        <v>-0.1141744</v>
      </c>
      <c r="Z2096">
        <v>-9.8248290000000011E-4</v>
      </c>
      <c r="AA2096">
        <v>0.99346020000000002</v>
      </c>
      <c r="AB2096">
        <v>36</v>
      </c>
      <c r="AC2096">
        <v>-64.208599999999905</v>
      </c>
      <c r="AD2096">
        <v>-1.03206172</v>
      </c>
      <c r="AE2096">
        <v>-7.1157999999999699</v>
      </c>
      <c r="AF2096">
        <v>-7.39825755115747</v>
      </c>
      <c r="AG2096">
        <v>-1.03206172</v>
      </c>
      <c r="AH2096">
        <v>64.1600749789297</v>
      </c>
      <c r="AI2096">
        <v>90.915499812200693</v>
      </c>
      <c r="AJ2096">
        <v>96.577689778521204</v>
      </c>
      <c r="AK2096">
        <v>64.593456228081095</v>
      </c>
      <c r="AL2096">
        <v>89.7837935169769</v>
      </c>
      <c r="AM2096">
        <v>88.078194810529396</v>
      </c>
      <c r="AN2096">
        <v>0.99999999006889095</v>
      </c>
    </row>
    <row r="2097" spans="1:40" x14ac:dyDescent="0.25">
      <c r="A2097" t="str">
        <f>"20190312154256008"</f>
        <v>20190312154256008</v>
      </c>
      <c r="B2097" t="str">
        <f>"1552376575999775"</f>
        <v>1552376575999775</v>
      </c>
      <c r="C2097" t="s">
        <v>40</v>
      </c>
      <c r="D2097">
        <v>4.6685400000000001</v>
      </c>
      <c r="E2097">
        <v>0.44358130000000001</v>
      </c>
      <c r="F2097" t="s">
        <v>51</v>
      </c>
      <c r="G2097">
        <v>-404.42660000000001</v>
      </c>
      <c r="H2097">
        <v>8.0001249999999996E-2</v>
      </c>
      <c r="I2097">
        <v>276.35840000000002</v>
      </c>
      <c r="J2097">
        <v>-342.09730000000002</v>
      </c>
      <c r="K2097">
        <v>1.1120909999999999</v>
      </c>
      <c r="L2097">
        <v>283.35169999999999</v>
      </c>
      <c r="M2097">
        <v>-0.999888</v>
      </c>
      <c r="N2097">
        <v>0</v>
      </c>
      <c r="O2097">
        <v>2.6124999999999998E-3</v>
      </c>
      <c r="P2097">
        <v>-0.9993126</v>
      </c>
      <c r="Q2097">
        <v>-1.1844500000000001E-2</v>
      </c>
      <c r="R2097">
        <v>3.5131669999999997E-2</v>
      </c>
      <c r="S2097">
        <v>-3.014618</v>
      </c>
      <c r="T2097">
        <v>-4.9655909999999998E-2</v>
      </c>
      <c r="U2097">
        <v>-0.33648679999999997</v>
      </c>
      <c r="V2097">
        <v>3.2507939999999999E-2</v>
      </c>
      <c r="W2097">
        <v>3.0310749999999998E-3</v>
      </c>
      <c r="X2097">
        <v>0.99946690000000005</v>
      </c>
      <c r="Y2097">
        <v>-0.11351020000000001</v>
      </c>
      <c r="Z2097">
        <v>-9.7479990000000002E-4</v>
      </c>
      <c r="AA2097">
        <v>0.99353639999999999</v>
      </c>
      <c r="AB2097">
        <v>36</v>
      </c>
      <c r="AC2097">
        <v>-62.329299999999897</v>
      </c>
      <c r="AD2097">
        <v>-1.0320897499999999</v>
      </c>
      <c r="AE2097">
        <v>-6.9932999999999703</v>
      </c>
      <c r="AF2097">
        <v>-7.1541918939900198</v>
      </c>
      <c r="AG2097">
        <v>-1.0320897499999999</v>
      </c>
      <c r="AH2097">
        <v>62.293947283995301</v>
      </c>
      <c r="AI2097">
        <v>90.942995635416196</v>
      </c>
      <c r="AJ2097">
        <v>96.551470822227301</v>
      </c>
      <c r="AK2097">
        <v>62.711909069404598</v>
      </c>
      <c r="AL2097">
        <v>89.826331932464996</v>
      </c>
      <c r="AM2097">
        <v>88.137095505992306</v>
      </c>
      <c r="AN2097">
        <v>1.0000000188871501</v>
      </c>
    </row>
    <row r="2098" spans="1:40" x14ac:dyDescent="0.25">
      <c r="A2098" t="str">
        <f>"20190312154256021"</f>
        <v>20190312154256021</v>
      </c>
      <c r="B2098" t="str">
        <f>"1552376576009534"</f>
        <v>1552376576009534</v>
      </c>
      <c r="C2098" t="s">
        <v>40</v>
      </c>
      <c r="D2098">
        <v>4.6516669999999998</v>
      </c>
      <c r="E2098">
        <v>0.4436947</v>
      </c>
      <c r="F2098" t="s">
        <v>51</v>
      </c>
      <c r="G2098">
        <v>-400.21969999999999</v>
      </c>
      <c r="H2098">
        <v>8.0001970000000006E-2</v>
      </c>
      <c r="I2098">
        <v>276.69369999999998</v>
      </c>
      <c r="J2098">
        <v>-342.31569999999999</v>
      </c>
      <c r="K2098">
        <v>1.1121019999999999</v>
      </c>
      <c r="L2098">
        <v>283.35109999999997</v>
      </c>
      <c r="M2098">
        <v>-0.99989030000000001</v>
      </c>
      <c r="N2098">
        <v>0</v>
      </c>
      <c r="O2098">
        <v>1.4023320000000001E-3</v>
      </c>
      <c r="P2098">
        <v>-0.99934800000000001</v>
      </c>
      <c r="Q2098">
        <v>-1.21999E-2</v>
      </c>
      <c r="R2098">
        <v>3.3981020000000001E-2</v>
      </c>
      <c r="S2098">
        <v>-3.013611</v>
      </c>
      <c r="T2098">
        <v>-5.3513169999999999E-2</v>
      </c>
      <c r="U2098">
        <v>-0.34521479999999999</v>
      </c>
      <c r="V2098">
        <v>3.2568149999999997E-2</v>
      </c>
      <c r="W2098">
        <v>2.6744020000000002E-3</v>
      </c>
      <c r="X2098">
        <v>0.99946590000000002</v>
      </c>
      <c r="Y2098">
        <v>-0.1151828</v>
      </c>
      <c r="Z2098">
        <v>-1.044068E-3</v>
      </c>
      <c r="AA2098">
        <v>0.9933438</v>
      </c>
      <c r="AB2098">
        <v>35</v>
      </c>
      <c r="AC2098">
        <v>-57.904000000000003</v>
      </c>
      <c r="AD2098">
        <v>-1.0321000300000001</v>
      </c>
      <c r="AE2098">
        <v>-6.6573999999999902</v>
      </c>
      <c r="AF2098">
        <v>-6.7364906071035602</v>
      </c>
      <c r="AG2098">
        <v>-1.0321000300000001</v>
      </c>
      <c r="AH2098">
        <v>57.876458303395403</v>
      </c>
      <c r="AI2098">
        <v>91.014787195074902</v>
      </c>
      <c r="AJ2098">
        <v>96.6390293974071</v>
      </c>
      <c r="AK2098">
        <v>58.276324197020102</v>
      </c>
      <c r="AL2098">
        <v>89.846767864045006</v>
      </c>
      <c r="AM2098">
        <v>88.133645675361095</v>
      </c>
      <c r="AN2098">
        <v>0.99999996104164401</v>
      </c>
    </row>
    <row r="2099" spans="1:40" x14ac:dyDescent="0.25">
      <c r="A2099" t="str">
        <f>"20190312154256040"</f>
        <v>20190312154256040</v>
      </c>
      <c r="B2099" t="str">
        <f>"1552376576030030"</f>
        <v>1552376576030030</v>
      </c>
      <c r="C2099" t="s">
        <v>40</v>
      </c>
      <c r="D2099">
        <v>4.6426439999999998</v>
      </c>
      <c r="E2099">
        <v>0.44389339999999999</v>
      </c>
      <c r="F2099" t="s">
        <v>50</v>
      </c>
      <c r="G2099">
        <v>-399.2987</v>
      </c>
      <c r="H2099">
        <v>8.0000189999999999E-2</v>
      </c>
      <c r="I2099">
        <v>276.77300000000002</v>
      </c>
      <c r="J2099">
        <v>-342.6071</v>
      </c>
      <c r="K2099">
        <v>1.112109</v>
      </c>
      <c r="L2099">
        <v>283.35000000000002</v>
      </c>
      <c r="M2099">
        <v>-0.99989130000000004</v>
      </c>
      <c r="N2099">
        <v>0</v>
      </c>
      <c r="O2099">
        <v>-2.0825069999999999E-4</v>
      </c>
      <c r="P2099">
        <v>-0.9994075</v>
      </c>
      <c r="Q2099">
        <v>-1.1369310000000001E-2</v>
      </c>
      <c r="R2099">
        <v>3.2485760000000002E-2</v>
      </c>
      <c r="S2099">
        <v>-3.013153</v>
      </c>
      <c r="T2099">
        <v>-5.4575560000000002E-2</v>
      </c>
      <c r="U2099">
        <v>-0.34783940000000002</v>
      </c>
      <c r="V2099">
        <v>3.2678899999999997E-2</v>
      </c>
      <c r="W2099">
        <v>3.503141E-3</v>
      </c>
      <c r="X2099">
        <v>0.99945969999999995</v>
      </c>
      <c r="Y2099">
        <v>-0.11445329999999999</v>
      </c>
      <c r="Z2099">
        <v>-1.029241E-3</v>
      </c>
      <c r="AA2099">
        <v>0.99342810000000004</v>
      </c>
      <c r="AB2099">
        <v>35</v>
      </c>
      <c r="AC2099">
        <v>-56.691600000000001</v>
      </c>
      <c r="AD2099">
        <v>-1.03210881</v>
      </c>
      <c r="AE2099">
        <v>-6.5770000000000497</v>
      </c>
      <c r="AF2099">
        <v>-6.5630460984820598</v>
      </c>
      <c r="AG2099">
        <v>-1.03210881</v>
      </c>
      <c r="AH2099">
        <v>56.6744335037802</v>
      </c>
      <c r="AI2099">
        <v>91.036384518596094</v>
      </c>
      <c r="AJ2099">
        <v>96.605576975012795</v>
      </c>
      <c r="AK2099">
        <v>57.062511648725099</v>
      </c>
      <c r="AL2099">
        <v>89.799284382526693</v>
      </c>
      <c r="AM2099">
        <v>88.127291925238296</v>
      </c>
      <c r="AN2099">
        <v>0.99999993721308</v>
      </c>
    </row>
    <row r="2100" spans="1:40" x14ac:dyDescent="0.25">
      <c r="A2100" t="str">
        <f>"20190312154256063"</f>
        <v>20190312154256063</v>
      </c>
      <c r="B2100" t="str">
        <f>"1552376576059311"</f>
        <v>1552376576059311</v>
      </c>
      <c r="C2100" t="s">
        <v>40</v>
      </c>
      <c r="D2100">
        <v>4.6236839999999999</v>
      </c>
      <c r="E2100">
        <v>0.44414890000000001</v>
      </c>
      <c r="F2100" t="s">
        <v>51</v>
      </c>
      <c r="G2100">
        <v>-401.84879999999998</v>
      </c>
      <c r="H2100">
        <v>8.0001740000000002E-2</v>
      </c>
      <c r="I2100">
        <v>276.44920000000002</v>
      </c>
      <c r="J2100">
        <v>-342.9699</v>
      </c>
      <c r="K2100">
        <v>1.1121110000000001</v>
      </c>
      <c r="L2100">
        <v>283.34800000000001</v>
      </c>
      <c r="M2100">
        <v>-0.99988920000000003</v>
      </c>
      <c r="N2100">
        <v>0</v>
      </c>
      <c r="O2100">
        <v>-2.1970050000000001E-3</v>
      </c>
      <c r="P2100">
        <v>-0.99946219999999997</v>
      </c>
      <c r="Q2100">
        <v>-1.0355939999999999E-2</v>
      </c>
      <c r="R2100">
        <v>3.112115E-2</v>
      </c>
      <c r="S2100">
        <v>-3.0126040000000001</v>
      </c>
      <c r="T2100">
        <v>-5.2485469999999999E-2</v>
      </c>
      <c r="U2100">
        <v>-0.3509216</v>
      </c>
      <c r="V2100">
        <v>3.329791E-2</v>
      </c>
      <c r="W2100">
        <v>4.5149810000000004E-3</v>
      </c>
      <c r="X2100">
        <v>0.99943519999999997</v>
      </c>
      <c r="Y2100">
        <v>-0.1135028</v>
      </c>
      <c r="Z2100">
        <v>-9.4716769999999997E-4</v>
      </c>
      <c r="AA2100">
        <v>0.99353720000000001</v>
      </c>
      <c r="AB2100">
        <v>35</v>
      </c>
      <c r="AC2100">
        <v>-58.878899999999902</v>
      </c>
      <c r="AD2100">
        <v>-1.0321092599999999</v>
      </c>
      <c r="AE2100">
        <v>-6.8987999999999898</v>
      </c>
      <c r="AF2100">
        <v>-6.7673607850189299</v>
      </c>
      <c r="AG2100">
        <v>-1.0321092599999999</v>
      </c>
      <c r="AH2100">
        <v>58.876069874784498</v>
      </c>
      <c r="AI2100">
        <v>90.997735626696397</v>
      </c>
      <c r="AJ2100">
        <v>96.5569430708195</v>
      </c>
      <c r="AK2100">
        <v>59.272708942815299</v>
      </c>
      <c r="AL2100">
        <v>89.741309746437807</v>
      </c>
      <c r="AM2100">
        <v>88.091797967865205</v>
      </c>
      <c r="AN2100">
        <v>0.99999992743141597</v>
      </c>
    </row>
    <row r="2101" spans="1:40" x14ac:dyDescent="0.25">
      <c r="A2101" t="str">
        <f>"20190312154256074"</f>
        <v>20190312154256074</v>
      </c>
      <c r="B2101" t="str">
        <f>"1552376576069071"</f>
        <v>1552376576069071</v>
      </c>
      <c r="C2101" t="s">
        <v>40</v>
      </c>
      <c r="D2101">
        <v>4.6233060000000004</v>
      </c>
      <c r="E2101">
        <v>0.4441425</v>
      </c>
      <c r="F2101" t="s">
        <v>51</v>
      </c>
      <c r="G2101">
        <v>-405.37990000000002</v>
      </c>
      <c r="H2101">
        <v>8.0001219999999998E-2</v>
      </c>
      <c r="I2101">
        <v>276.03640000000001</v>
      </c>
      <c r="J2101">
        <v>-343.15269999999998</v>
      </c>
      <c r="K2101">
        <v>1.1121080000000001</v>
      </c>
      <c r="L2101">
        <v>283.3467</v>
      </c>
      <c r="M2101">
        <v>-0.99988650000000001</v>
      </c>
      <c r="N2101">
        <v>0</v>
      </c>
      <c r="O2101">
        <v>-3.1877170000000001E-3</v>
      </c>
      <c r="P2101">
        <v>-0.99948760000000003</v>
      </c>
      <c r="Q2101">
        <v>-9.3763140000000002E-3</v>
      </c>
      <c r="R2101">
        <v>3.0604389999999999E-2</v>
      </c>
      <c r="S2101">
        <v>-3.012054</v>
      </c>
      <c r="T2101">
        <v>-4.9812080000000002E-2</v>
      </c>
      <c r="U2101">
        <v>-0.35287479999999999</v>
      </c>
      <c r="V2101">
        <v>3.3767129999999999E-2</v>
      </c>
      <c r="W2101">
        <v>5.4948690000000003E-3</v>
      </c>
      <c r="X2101">
        <v>0.99941460000000004</v>
      </c>
      <c r="Y2101">
        <v>-0.1131766</v>
      </c>
      <c r="Z2101">
        <v>-8.8004339999999998E-4</v>
      </c>
      <c r="AA2101">
        <v>0.99357450000000003</v>
      </c>
      <c r="AB2101">
        <v>35</v>
      </c>
      <c r="AC2101">
        <v>-62.227200000000003</v>
      </c>
      <c r="AD2101">
        <v>-1.0321067799999999</v>
      </c>
      <c r="AE2101">
        <v>-7.3102999999999803</v>
      </c>
      <c r="AF2101">
        <v>-7.1099493257058199</v>
      </c>
      <c r="AG2101">
        <v>-1.0321067799999999</v>
      </c>
      <c r="AH2101">
        <v>62.233302214860899</v>
      </c>
      <c r="AI2101">
        <v>90.943993889108299</v>
      </c>
      <c r="AJ2101">
        <v>96.517595133142905</v>
      </c>
      <c r="AK2101">
        <v>62.6466322190239</v>
      </c>
      <c r="AL2101">
        <v>89.685165605950104</v>
      </c>
      <c r="AM2101">
        <v>88.064888841120506</v>
      </c>
      <c r="AN2101">
        <v>0.99999997767346105</v>
      </c>
    </row>
    <row r="2102" spans="1:40" x14ac:dyDescent="0.25">
      <c r="A2102" t="str">
        <f>"20190312154256088"</f>
        <v>20190312154256088</v>
      </c>
      <c r="B2102" t="str">
        <f>"1552376576079807"</f>
        <v>1552376576079807</v>
      </c>
      <c r="C2102" t="s">
        <v>40</v>
      </c>
      <c r="D2102">
        <v>4.6379530000000004</v>
      </c>
      <c r="E2102">
        <v>0.44416040000000001</v>
      </c>
      <c r="F2102" t="s">
        <v>51</v>
      </c>
      <c r="G2102">
        <v>-415.3175</v>
      </c>
      <c r="H2102" s="1">
        <v>5.0846819999999997E-6</v>
      </c>
      <c r="I2102">
        <v>274.85469999999998</v>
      </c>
      <c r="J2102">
        <v>-343.35739999999998</v>
      </c>
      <c r="K2102">
        <v>1.1121049999999999</v>
      </c>
      <c r="L2102">
        <v>283.3451</v>
      </c>
      <c r="M2102">
        <v>-0.99988239999999995</v>
      </c>
      <c r="N2102">
        <v>0</v>
      </c>
      <c r="O2102">
        <v>-4.2916209999999998E-3</v>
      </c>
      <c r="P2102">
        <v>-0.99950740000000005</v>
      </c>
      <c r="Q2102">
        <v>-9.1737050000000007E-3</v>
      </c>
      <c r="R2102">
        <v>3.001815E-2</v>
      </c>
      <c r="S2102">
        <v>-3.0119630000000002</v>
      </c>
      <c r="T2102">
        <v>-4.6416159999999998E-2</v>
      </c>
      <c r="U2102">
        <v>-0.3544312</v>
      </c>
      <c r="V2102">
        <v>3.4283580000000001E-2</v>
      </c>
      <c r="W2102">
        <v>5.6965690000000003E-3</v>
      </c>
      <c r="X2102">
        <v>0.9993959</v>
      </c>
      <c r="Y2102">
        <v>-0.1125917</v>
      </c>
      <c r="Z2102">
        <v>-7.9861129999999995E-4</v>
      </c>
      <c r="AA2102">
        <v>0.993641</v>
      </c>
      <c r="AB2102">
        <v>35</v>
      </c>
      <c r="AC2102">
        <v>-71.960099999999997</v>
      </c>
      <c r="AD2102">
        <v>-1.112099915318</v>
      </c>
      <c r="AE2102">
        <v>-8.4904000000000206</v>
      </c>
      <c r="AF2102">
        <v>-8.1795360765855296</v>
      </c>
      <c r="AG2102">
        <v>-1.112099915318</v>
      </c>
      <c r="AH2102">
        <v>71.9789234083065</v>
      </c>
      <c r="AI2102">
        <v>90.879510003391303</v>
      </c>
      <c r="AJ2102">
        <v>96.483162465174701</v>
      </c>
      <c r="AK2102">
        <v>72.450721125939594</v>
      </c>
      <c r="AL2102">
        <v>89.673608869983696</v>
      </c>
      <c r="AM2102">
        <v>88.035278649124507</v>
      </c>
      <c r="AN2102">
        <v>0.99999998984639904</v>
      </c>
    </row>
    <row r="2103" spans="1:40" x14ac:dyDescent="0.25">
      <c r="A2103" t="str">
        <f>"20190312154256102"</f>
        <v>20190312154256102</v>
      </c>
      <c r="B2103" t="str">
        <f>"1552376576089567"</f>
        <v>1552376576089567</v>
      </c>
      <c r="C2103" t="s">
        <v>40</v>
      </c>
      <c r="D2103">
        <v>4.6414739999999997</v>
      </c>
      <c r="E2103">
        <v>0.44417659999999998</v>
      </c>
      <c r="F2103" t="s">
        <v>51</v>
      </c>
      <c r="G2103">
        <v>-417.67809999999997</v>
      </c>
      <c r="H2103" s="1">
        <v>5.6920599999999998E-6</v>
      </c>
      <c r="I2103">
        <v>274.55739999999997</v>
      </c>
      <c r="J2103">
        <v>-343.57760000000002</v>
      </c>
      <c r="K2103">
        <v>1.1120969999999999</v>
      </c>
      <c r="L2103">
        <v>283.34300000000002</v>
      </c>
      <c r="M2103">
        <v>-0.99987669999999995</v>
      </c>
      <c r="N2103">
        <v>0</v>
      </c>
      <c r="O2103">
        <v>-5.4600219999999897E-3</v>
      </c>
      <c r="P2103">
        <v>-0.9995404</v>
      </c>
      <c r="Q2103">
        <v>-8.6065900000000008E-3</v>
      </c>
      <c r="R2103">
        <v>2.907185E-2</v>
      </c>
      <c r="S2103">
        <v>-3.011749</v>
      </c>
      <c r="T2103">
        <v>-4.506636E-2</v>
      </c>
      <c r="U2103">
        <v>-0.35610960000000003</v>
      </c>
      <c r="V2103">
        <v>3.4503109999999997E-2</v>
      </c>
      <c r="W2103">
        <v>6.2606569999999898E-3</v>
      </c>
      <c r="X2103">
        <v>0.99938499999999997</v>
      </c>
      <c r="Y2103">
        <v>-0.1119858</v>
      </c>
      <c r="Z2103">
        <v>-7.5348119999999895E-4</v>
      </c>
      <c r="AA2103">
        <v>0.99370950000000002</v>
      </c>
      <c r="AB2103">
        <v>35</v>
      </c>
      <c r="AC2103">
        <v>-74.100499999999897</v>
      </c>
      <c r="AD2103">
        <v>-1.1120913079400001</v>
      </c>
      <c r="AE2103">
        <v>-8.7856000000000396</v>
      </c>
      <c r="AF2103">
        <v>-8.3789737054662794</v>
      </c>
      <c r="AG2103">
        <v>-1.1120913079400001</v>
      </c>
      <c r="AH2103">
        <v>74.130904466029705</v>
      </c>
      <c r="AI2103">
        <v>90.854033661070304</v>
      </c>
      <c r="AJ2103">
        <v>96.448739821470198</v>
      </c>
      <c r="AK2103">
        <v>74.611225324247997</v>
      </c>
      <c r="AL2103">
        <v>89.641288440494506</v>
      </c>
      <c r="AM2103">
        <v>88.022686243097198</v>
      </c>
      <c r="AN2103">
        <v>1.00000001932537</v>
      </c>
    </row>
    <row r="2104" spans="1:40" x14ac:dyDescent="0.25">
      <c r="A2104" t="str">
        <f>"20190312154256120"</f>
        <v>20190312154256120</v>
      </c>
      <c r="B2104" t="str">
        <f>"1552376576109087"</f>
        <v>1552376576109087</v>
      </c>
      <c r="C2104" t="s">
        <v>40</v>
      </c>
      <c r="D2104">
        <v>4.6416829999999996</v>
      </c>
      <c r="E2104">
        <v>0.44422119999999998</v>
      </c>
      <c r="F2104" t="s">
        <v>51</v>
      </c>
      <c r="G2104">
        <v>-421.22890000000001</v>
      </c>
      <c r="H2104" s="1">
        <v>6.0328080000000003E-6</v>
      </c>
      <c r="I2104">
        <v>274.09539999999998</v>
      </c>
      <c r="J2104">
        <v>-343.86059999999998</v>
      </c>
      <c r="K2104">
        <v>1.1120909999999999</v>
      </c>
      <c r="L2104">
        <v>283.33999999999997</v>
      </c>
      <c r="M2104">
        <v>-0.99986750000000002</v>
      </c>
      <c r="N2104">
        <v>0</v>
      </c>
      <c r="O2104">
        <v>-6.9445359999999899E-3</v>
      </c>
      <c r="P2104">
        <v>-0.99957779999999996</v>
      </c>
      <c r="Q2104">
        <v>-8.3948330000000008E-3</v>
      </c>
      <c r="R2104">
        <v>2.78255E-2</v>
      </c>
      <c r="S2104">
        <v>-3.0114749999999999</v>
      </c>
      <c r="T2104">
        <v>-4.3129210000000001E-2</v>
      </c>
      <c r="U2104">
        <v>-0.35864259999999998</v>
      </c>
      <c r="V2104">
        <v>3.4740140000000003E-2</v>
      </c>
      <c r="W2104">
        <v>6.4690299999999997E-3</v>
      </c>
      <c r="X2104">
        <v>0.99937549999999997</v>
      </c>
      <c r="Y2104">
        <v>-0.1113464</v>
      </c>
      <c r="Z2104">
        <v>-6.9538140000000004E-4</v>
      </c>
      <c r="AA2104">
        <v>0.99378140000000004</v>
      </c>
      <c r="AB2104">
        <v>35</v>
      </c>
      <c r="AC2104">
        <v>-77.368300000000005</v>
      </c>
      <c r="AD2104">
        <v>-1.1120849671919999</v>
      </c>
      <c r="AE2104">
        <v>-9.2445999999999895</v>
      </c>
      <c r="AF2104">
        <v>-8.70525857763473</v>
      </c>
      <c r="AG2104">
        <v>-1.1120849671919999</v>
      </c>
      <c r="AH2104">
        <v>77.414870901938897</v>
      </c>
      <c r="AI2104">
        <v>90.817858413678593</v>
      </c>
      <c r="AJ2104">
        <v>96.415925823480805</v>
      </c>
      <c r="AK2104">
        <v>77.910721320249607</v>
      </c>
      <c r="AL2104">
        <v>89.629349319677203</v>
      </c>
      <c r="AM2104">
        <v>88.0090944464514</v>
      </c>
      <c r="AN2104">
        <v>1.0000000578382999</v>
      </c>
    </row>
    <row r="2105" spans="1:40" x14ac:dyDescent="0.25">
      <c r="A2105" t="str">
        <f>"20190312154256142"</f>
        <v>20190312154256142</v>
      </c>
      <c r="B2105" t="str">
        <f>"1552376576129583"</f>
        <v>1552376576129583</v>
      </c>
      <c r="C2105" t="s">
        <v>40</v>
      </c>
      <c r="D2105">
        <v>4.6466209999999997</v>
      </c>
      <c r="E2105">
        <v>0.44433279999999997</v>
      </c>
      <c r="F2105" t="s">
        <v>51</v>
      </c>
      <c r="G2105">
        <v>-427.00740000000002</v>
      </c>
      <c r="H2105" s="1">
        <v>4.9517350000000003E-6</v>
      </c>
      <c r="I2105">
        <v>273.33940000000001</v>
      </c>
      <c r="J2105">
        <v>-344.20740000000001</v>
      </c>
      <c r="K2105">
        <v>1.1120749999999999</v>
      </c>
      <c r="L2105">
        <v>283.33589999999998</v>
      </c>
      <c r="M2105">
        <v>-0.99985369999999996</v>
      </c>
      <c r="N2105">
        <v>0</v>
      </c>
      <c r="O2105">
        <v>-8.7302999999999999E-3</v>
      </c>
      <c r="P2105">
        <v>-0.9996294</v>
      </c>
      <c r="Q2105">
        <v>-7.90129E-3</v>
      </c>
      <c r="R2105">
        <v>2.6055539999999999E-2</v>
      </c>
      <c r="S2105">
        <v>-3.0109859999999999</v>
      </c>
      <c r="T2105">
        <v>-4.0271880000000003E-2</v>
      </c>
      <c r="U2105">
        <v>-0.36215209999999998</v>
      </c>
      <c r="V2105">
        <v>3.4753819999999998E-2</v>
      </c>
      <c r="W2105">
        <v>6.9563460000000004E-3</v>
      </c>
      <c r="X2105">
        <v>0.99937169999999997</v>
      </c>
      <c r="Y2105">
        <v>-0.1107339</v>
      </c>
      <c r="Z2105">
        <v>-6.215007E-4</v>
      </c>
      <c r="AA2105">
        <v>0.99384989999999995</v>
      </c>
      <c r="AB2105">
        <v>35</v>
      </c>
      <c r="AC2105">
        <v>-82.8</v>
      </c>
      <c r="AD2105">
        <v>-1.1120700482650001</v>
      </c>
      <c r="AE2105">
        <v>-9.9964999999999602</v>
      </c>
      <c r="AF2105">
        <v>-9.2715234714449899</v>
      </c>
      <c r="AG2105">
        <v>-1.1120700482650001</v>
      </c>
      <c r="AH2105">
        <v>82.869391965091793</v>
      </c>
      <c r="AI2105">
        <v>90.764070851642202</v>
      </c>
      <c r="AJ2105">
        <v>96.383770393052302</v>
      </c>
      <c r="AK2105">
        <v>83.393848525762493</v>
      </c>
      <c r="AL2105">
        <v>89.601427521479707</v>
      </c>
      <c r="AM2105">
        <v>88.008303530279093</v>
      </c>
      <c r="AN2105">
        <v>1.0000000067575701</v>
      </c>
    </row>
    <row r="2106" spans="1:40" x14ac:dyDescent="0.25">
      <c r="A2106" t="str">
        <f>"20190312154256156"</f>
        <v>20190312154256156</v>
      </c>
      <c r="B2106" t="str">
        <f>"1552376576149103"</f>
        <v>1552376576149103</v>
      </c>
      <c r="C2106" t="s">
        <v>40</v>
      </c>
      <c r="D2106">
        <v>4.6471169999999997</v>
      </c>
      <c r="E2106">
        <v>0.4444478</v>
      </c>
      <c r="F2106" t="s">
        <v>51</v>
      </c>
      <c r="G2106">
        <v>-429.95769999999999</v>
      </c>
      <c r="H2106">
        <v>4.640536E-2</v>
      </c>
      <c r="I2106">
        <v>272.90179999999998</v>
      </c>
      <c r="J2106">
        <v>-344.42689999999999</v>
      </c>
      <c r="K2106">
        <v>1.1120589999999999</v>
      </c>
      <c r="L2106">
        <v>283.3329</v>
      </c>
      <c r="M2106">
        <v>-0.99984329999999999</v>
      </c>
      <c r="N2106">
        <v>0</v>
      </c>
      <c r="O2106">
        <v>-9.8369909999999998E-3</v>
      </c>
      <c r="P2106">
        <v>-0.9996642</v>
      </c>
      <c r="Q2106">
        <v>-7.6752859999999999E-3</v>
      </c>
      <c r="R2106">
        <v>2.4747379999999999E-2</v>
      </c>
      <c r="S2106">
        <v>-3.0103759999999999</v>
      </c>
      <c r="T2106">
        <v>-3.7411689999999997E-2</v>
      </c>
      <c r="U2106">
        <v>-0.36630249999999998</v>
      </c>
      <c r="V2106">
        <v>3.4551390000000001E-2</v>
      </c>
      <c r="W2106">
        <v>7.1771169999999898E-3</v>
      </c>
      <c r="X2106">
        <v>0.99937710000000002</v>
      </c>
      <c r="Y2106">
        <v>-0.1110095</v>
      </c>
      <c r="Z2106">
        <v>-5.6543930000000004E-4</v>
      </c>
      <c r="AA2106">
        <v>0.99381920000000001</v>
      </c>
      <c r="AB2106">
        <v>35</v>
      </c>
      <c r="AC2106">
        <v>-85.530799999999999</v>
      </c>
      <c r="AD2106">
        <v>-1.0656536399999901</v>
      </c>
      <c r="AE2106">
        <v>-10.431100000000001</v>
      </c>
      <c r="AF2106">
        <v>-9.5876718191096497</v>
      </c>
      <c r="AG2106">
        <v>-1.0656536399999901</v>
      </c>
      <c r="AH2106">
        <v>85.616186732304598</v>
      </c>
      <c r="AI2106">
        <v>90.708687016029899</v>
      </c>
      <c r="AJ2106">
        <v>96.389608948596901</v>
      </c>
      <c r="AK2106">
        <v>86.157939269531298</v>
      </c>
      <c r="AL2106">
        <v>89.588777935304094</v>
      </c>
      <c r="AM2106">
        <v>88.019905960542502</v>
      </c>
      <c r="AN2106">
        <v>0.99999994878188503</v>
      </c>
    </row>
    <row r="2107" spans="1:40" x14ac:dyDescent="0.25">
      <c r="A2107" t="str">
        <f>"20190312154256174"</f>
        <v>20190312154256174</v>
      </c>
      <c r="B2107" t="str">
        <f>"1552376576169598"</f>
        <v>1552376576169598</v>
      </c>
      <c r="C2107" t="s">
        <v>40</v>
      </c>
      <c r="D2107">
        <v>4.6053470000000001</v>
      </c>
      <c r="E2107">
        <v>0.44451889999999999</v>
      </c>
      <c r="F2107" t="s">
        <v>51</v>
      </c>
      <c r="G2107">
        <v>-433.29199999999997</v>
      </c>
      <c r="H2107">
        <v>8.0001909999999996E-2</v>
      </c>
      <c r="I2107">
        <v>272.42349999999999</v>
      </c>
      <c r="J2107">
        <v>-344.71350000000001</v>
      </c>
      <c r="K2107">
        <v>1.112036</v>
      </c>
      <c r="L2107">
        <v>283.32870000000003</v>
      </c>
      <c r="M2107">
        <v>-0.99982850000000001</v>
      </c>
      <c r="N2107">
        <v>0</v>
      </c>
      <c r="O2107">
        <v>-1.125458E-2</v>
      </c>
      <c r="P2107">
        <v>-0.99970930000000002</v>
      </c>
      <c r="Q2107">
        <v>-7.4274090000000003E-3</v>
      </c>
      <c r="R2107">
        <v>2.2944309999999999E-2</v>
      </c>
      <c r="S2107">
        <v>-3.0098880000000001</v>
      </c>
      <c r="T2107">
        <v>-3.4956099999999997E-2</v>
      </c>
      <c r="U2107">
        <v>-0.36950680000000002</v>
      </c>
      <c r="V2107">
        <v>3.416549E-2</v>
      </c>
      <c r="W2107">
        <v>7.4179129999999999E-3</v>
      </c>
      <c r="X2107">
        <v>0.99938859999999996</v>
      </c>
      <c r="Y2107">
        <v>-0.11066330000000001</v>
      </c>
      <c r="Z2107">
        <v>-5.0997960000000002E-4</v>
      </c>
      <c r="AA2107">
        <v>0.99385780000000001</v>
      </c>
      <c r="AB2107">
        <v>35</v>
      </c>
      <c r="AC2107">
        <v>-88.578499999999906</v>
      </c>
      <c r="AD2107">
        <v>-1.03203409</v>
      </c>
      <c r="AE2107">
        <v>-10.905200000000001</v>
      </c>
      <c r="AF2107">
        <v>-9.9061628633522698</v>
      </c>
      <c r="AG2107">
        <v>-1.03203409</v>
      </c>
      <c r="AH2107">
        <v>88.683776560810898</v>
      </c>
      <c r="AI2107">
        <v>90.662613797349593</v>
      </c>
      <c r="AJ2107">
        <v>96.373637025700802</v>
      </c>
      <c r="AK2107">
        <v>89.241298635362895</v>
      </c>
      <c r="AL2107">
        <v>89.574980968922603</v>
      </c>
      <c r="AM2107">
        <v>88.042026576560303</v>
      </c>
      <c r="AN2107">
        <v>0.99999993997508596</v>
      </c>
    </row>
    <row r="2108" spans="1:40" x14ac:dyDescent="0.25">
      <c r="A2108" t="str">
        <f>"20190312154256198"</f>
        <v>20190312154256198</v>
      </c>
      <c r="B2108" t="str">
        <f>"1552376576189119"</f>
        <v>1552376576189119</v>
      </c>
      <c r="C2108" t="s">
        <v>40</v>
      </c>
      <c r="D2108">
        <v>4.6010660000000003</v>
      </c>
      <c r="E2108">
        <v>0.44461840000000002</v>
      </c>
      <c r="F2108" t="s">
        <v>42</v>
      </c>
      <c r="G2108">
        <v>-451.7758</v>
      </c>
      <c r="H2108">
        <v>-0.05</v>
      </c>
      <c r="I2108">
        <v>270.01609999999999</v>
      </c>
      <c r="J2108">
        <v>-345.09059999999999</v>
      </c>
      <c r="K2108">
        <v>1.111998</v>
      </c>
      <c r="L2108">
        <v>283.32260000000002</v>
      </c>
      <c r="M2108">
        <v>-0.99980650000000004</v>
      </c>
      <c r="N2108">
        <v>0</v>
      </c>
      <c r="O2108">
        <v>-1.3067179999999999E-2</v>
      </c>
      <c r="P2108">
        <v>-0.99975539999999996</v>
      </c>
      <c r="Q2108">
        <v>-7.4510979999999997E-3</v>
      </c>
      <c r="R2108">
        <v>2.0827439999999999E-2</v>
      </c>
      <c r="S2108">
        <v>-3.0091860000000001</v>
      </c>
      <c r="T2108">
        <v>-3.2661200000000001E-2</v>
      </c>
      <c r="U2108">
        <v>-0.37417600000000001</v>
      </c>
      <c r="V2108">
        <v>3.3861950000000002E-2</v>
      </c>
      <c r="W2108">
        <v>7.3845350000000002E-3</v>
      </c>
      <c r="X2108">
        <v>0.99939920000000004</v>
      </c>
      <c r="Y2108">
        <v>-0.1104094</v>
      </c>
      <c r="Z2108">
        <v>-4.556025E-4</v>
      </c>
      <c r="AA2108">
        <v>0.99388609999999999</v>
      </c>
      <c r="AB2108">
        <v>35</v>
      </c>
      <c r="AC2108">
        <v>-106.68519999999999</v>
      </c>
      <c r="AD2108">
        <v>-1.1619979999999901</v>
      </c>
      <c r="AE2108">
        <v>-13.3065</v>
      </c>
      <c r="AF2108">
        <v>-11.9097469760595</v>
      </c>
      <c r="AG2108">
        <v>-1.1619979999999901</v>
      </c>
      <c r="AH2108">
        <v>106.837506348017</v>
      </c>
      <c r="AI2108">
        <v>90.619306375000505</v>
      </c>
      <c r="AJ2108">
        <v>96.360805006410104</v>
      </c>
      <c r="AK2108">
        <v>107.505558344899</v>
      </c>
      <c r="AL2108">
        <v>89.576893449261505</v>
      </c>
      <c r="AM2108">
        <v>88.0594292094422</v>
      </c>
      <c r="AN2108">
        <v>0.99999996198780305</v>
      </c>
    </row>
    <row r="2109" spans="1:40" x14ac:dyDescent="0.25">
      <c r="A2109" t="str">
        <f>"20190312154256213"</f>
        <v>20190312154256213</v>
      </c>
      <c r="B2109" t="str">
        <f>"1552376576199855"</f>
        <v>1552376576199855</v>
      </c>
      <c r="C2109" t="s">
        <v>40</v>
      </c>
      <c r="D2109">
        <v>4.6175680000000003</v>
      </c>
      <c r="E2109">
        <v>0.44470359999999998</v>
      </c>
      <c r="F2109" t="s">
        <v>42</v>
      </c>
      <c r="G2109">
        <v>-455.69740000000002</v>
      </c>
      <c r="H2109">
        <v>-0.05</v>
      </c>
      <c r="I2109">
        <v>269.36489999999998</v>
      </c>
      <c r="J2109">
        <v>-345.32440000000003</v>
      </c>
      <c r="K2109">
        <v>1.111961</v>
      </c>
      <c r="L2109">
        <v>283.31849999999997</v>
      </c>
      <c r="M2109">
        <v>-0.9997916</v>
      </c>
      <c r="N2109">
        <v>0</v>
      </c>
      <c r="O2109">
        <v>-1.4162299999999999E-2</v>
      </c>
      <c r="P2109">
        <v>-0.99979419999999997</v>
      </c>
      <c r="Q2109">
        <v>-7.3332639999999999E-3</v>
      </c>
      <c r="R2109">
        <v>1.892071E-2</v>
      </c>
      <c r="S2109">
        <v>-3.0084230000000001</v>
      </c>
      <c r="T2109">
        <v>-3.1605479999999998E-2</v>
      </c>
      <c r="U2109">
        <v>-0.3796387</v>
      </c>
      <c r="V2109">
        <v>3.305085E-2</v>
      </c>
      <c r="W2109">
        <v>7.4942050000000003E-3</v>
      </c>
      <c r="X2109">
        <v>0.99942560000000003</v>
      </c>
      <c r="Y2109">
        <v>-0.1111288</v>
      </c>
      <c r="Z2109">
        <v>-4.3324740000000002E-4</v>
      </c>
      <c r="AA2109">
        <v>0.99380590000000002</v>
      </c>
      <c r="AB2109">
        <v>35</v>
      </c>
      <c r="AC2109">
        <v>-110.373</v>
      </c>
      <c r="AD2109">
        <v>-1.161961</v>
      </c>
      <c r="AE2109">
        <v>-13.9535999999999</v>
      </c>
      <c r="AF2109">
        <v>-12.3875444417849</v>
      </c>
      <c r="AG2109">
        <v>-1.161961</v>
      </c>
      <c r="AH2109">
        <v>110.54750544321701</v>
      </c>
      <c r="AI2109">
        <v>90.598466417103793</v>
      </c>
      <c r="AJ2109">
        <v>96.393681088527302</v>
      </c>
      <c r="AK2109">
        <v>111.245459998962</v>
      </c>
      <c r="AL2109">
        <v>89.570609674420496</v>
      </c>
      <c r="AM2109">
        <v>88.105927694570397</v>
      </c>
      <c r="AN2109">
        <v>1.0000000258648301</v>
      </c>
    </row>
    <row r="2110" spans="1:40" x14ac:dyDescent="0.25">
      <c r="A2110" t="str">
        <f>"20190312154256226"</f>
        <v>20190312154256226</v>
      </c>
      <c r="B2110" t="str">
        <f>"1552376576219374"</f>
        <v>1552376576219374</v>
      </c>
      <c r="C2110" t="s">
        <v>40</v>
      </c>
      <c r="D2110">
        <v>4.5834919999999997</v>
      </c>
      <c r="E2110">
        <v>0.44485829999999998</v>
      </c>
      <c r="F2110" t="s">
        <v>42</v>
      </c>
      <c r="G2110">
        <v>-459.79050000000001</v>
      </c>
      <c r="H2110">
        <v>-0.05</v>
      </c>
      <c r="I2110">
        <v>268.67849999999999</v>
      </c>
      <c r="J2110">
        <v>-345.52809999999999</v>
      </c>
      <c r="K2110">
        <v>1.111934</v>
      </c>
      <c r="L2110">
        <v>283.31479999999999</v>
      </c>
      <c r="M2110">
        <v>-0.9997779</v>
      </c>
      <c r="N2110">
        <v>0</v>
      </c>
      <c r="O2110">
        <v>-1.509859E-2</v>
      </c>
      <c r="P2110">
        <v>-0.99981500000000001</v>
      </c>
      <c r="Q2110">
        <v>-7.4831119999999897E-3</v>
      </c>
      <c r="R2110">
        <v>1.7727380000000001E-2</v>
      </c>
      <c r="S2110">
        <v>-3.00766</v>
      </c>
      <c r="T2110">
        <v>-3.053117E-2</v>
      </c>
      <c r="U2110">
        <v>-0.38467410000000002</v>
      </c>
      <c r="V2110">
        <v>3.2795070000000003E-2</v>
      </c>
      <c r="W2110">
        <v>7.33876199999999E-3</v>
      </c>
      <c r="X2110">
        <v>0.99943510000000002</v>
      </c>
      <c r="Y2110">
        <v>-0.1118671</v>
      </c>
      <c r="Z2110">
        <v>-4.1285399999999999E-4</v>
      </c>
      <c r="AA2110">
        <v>0.99372309999999997</v>
      </c>
      <c r="AB2110">
        <v>35</v>
      </c>
      <c r="AC2110">
        <v>-114.2624</v>
      </c>
      <c r="AD2110">
        <v>-1.161934</v>
      </c>
      <c r="AE2110">
        <v>-14.6363</v>
      </c>
      <c r="AF2110">
        <v>-12.9079303622841</v>
      </c>
      <c r="AG2110">
        <v>-1.161934</v>
      </c>
      <c r="AH2110">
        <v>114.458738836259</v>
      </c>
      <c r="AI2110">
        <v>90.577957844818002</v>
      </c>
      <c r="AJ2110">
        <v>96.434269593291205</v>
      </c>
      <c r="AK2110">
        <v>115.190136959919</v>
      </c>
      <c r="AL2110">
        <v>89.579516113664695</v>
      </c>
      <c r="AM2110">
        <v>88.120593188378507</v>
      </c>
      <c r="AN2110">
        <v>0.99999994657800195</v>
      </c>
    </row>
    <row r="2111" spans="1:40" x14ac:dyDescent="0.25">
      <c r="A2111" t="str">
        <f>"20190312154256242"</f>
        <v>20190312154256242</v>
      </c>
      <c r="B2111" t="str">
        <f>"1552376576229135"</f>
        <v>1552376576229135</v>
      </c>
      <c r="C2111" t="s">
        <v>40</v>
      </c>
      <c r="D2111">
        <v>4.5519410000000002</v>
      </c>
      <c r="E2111">
        <v>0.44495170000000001</v>
      </c>
      <c r="F2111" t="s">
        <v>42</v>
      </c>
      <c r="G2111">
        <v>-461.26650000000001</v>
      </c>
      <c r="H2111">
        <v>-0.05</v>
      </c>
      <c r="I2111">
        <v>268.41820000000001</v>
      </c>
      <c r="J2111">
        <v>-345.77100000000002</v>
      </c>
      <c r="K2111">
        <v>1.111896</v>
      </c>
      <c r="L2111">
        <v>283.31009999999998</v>
      </c>
      <c r="M2111">
        <v>-0.99976100000000001</v>
      </c>
      <c r="N2111">
        <v>0</v>
      </c>
      <c r="O2111">
        <v>-1.618168E-2</v>
      </c>
      <c r="P2111">
        <v>-0.9998513</v>
      </c>
      <c r="Q2111">
        <v>-7.307755E-3</v>
      </c>
      <c r="R2111">
        <v>1.562742E-2</v>
      </c>
      <c r="S2111">
        <v>-3.0072019999999999</v>
      </c>
      <c r="T2111">
        <v>-3.0190229999999998E-2</v>
      </c>
      <c r="U2111">
        <v>-0.38705440000000002</v>
      </c>
      <c r="V2111">
        <v>3.1778460000000001E-2</v>
      </c>
      <c r="W2111">
        <v>7.5042190000000003E-3</v>
      </c>
      <c r="X2111">
        <v>0.99946679999999999</v>
      </c>
      <c r="Y2111">
        <v>-0.11158360000000001</v>
      </c>
      <c r="Z2111">
        <v>-3.9604499999999998E-4</v>
      </c>
      <c r="AA2111">
        <v>0.99375500000000005</v>
      </c>
      <c r="AB2111">
        <v>35</v>
      </c>
      <c r="AC2111">
        <v>-115.49550000000001</v>
      </c>
      <c r="AD2111">
        <v>-1.16189599999999</v>
      </c>
      <c r="AE2111">
        <v>-14.8918999999999</v>
      </c>
      <c r="AF2111">
        <v>-13.019540463732399</v>
      </c>
      <c r="AG2111">
        <v>-1.16189599999999</v>
      </c>
      <c r="AH2111">
        <v>115.70985770655101</v>
      </c>
      <c r="AI2111">
        <v>90.571706569062201</v>
      </c>
      <c r="AJ2111">
        <v>96.419853421919797</v>
      </c>
      <c r="AK2111">
        <v>116.445822624394</v>
      </c>
      <c r="AL2111">
        <v>89.570035901889696</v>
      </c>
      <c r="AM2111">
        <v>88.178870533108295</v>
      </c>
      <c r="AN2111">
        <v>1.0000000340624999</v>
      </c>
    </row>
    <row r="2112" spans="1:40" x14ac:dyDescent="0.25">
      <c r="A2112" t="str">
        <f>"20190312154256265"</f>
        <v>20190312154256265</v>
      </c>
      <c r="B2112" t="str">
        <f>"1552376576259391"</f>
        <v>1552376576259391</v>
      </c>
      <c r="C2112" t="s">
        <v>40</v>
      </c>
      <c r="D2112">
        <v>4.5874079999999999</v>
      </c>
      <c r="E2112">
        <v>0.44923380000000002</v>
      </c>
      <c r="F2112" t="s">
        <v>42</v>
      </c>
      <c r="G2112">
        <v>-467.42320000000001</v>
      </c>
      <c r="H2112">
        <v>-0.05</v>
      </c>
      <c r="I2112">
        <v>267.4196</v>
      </c>
      <c r="J2112">
        <v>-346.12509999999997</v>
      </c>
      <c r="K2112">
        <v>1.1118429999999999</v>
      </c>
      <c r="L2112">
        <v>283.30279999999999</v>
      </c>
      <c r="M2112">
        <v>-0.99973520000000005</v>
      </c>
      <c r="N2112">
        <v>0</v>
      </c>
      <c r="O2112">
        <v>-1.7705680000000001E-2</v>
      </c>
      <c r="P2112">
        <v>-0.99988460000000001</v>
      </c>
      <c r="Q2112">
        <v>-7.3391029999999996E-3</v>
      </c>
      <c r="R2112">
        <v>1.33058E-2</v>
      </c>
      <c r="S2112">
        <v>-3.0063780000000002</v>
      </c>
      <c r="T2112">
        <v>-2.8713820000000001E-2</v>
      </c>
      <c r="U2112">
        <v>-0.3927002</v>
      </c>
      <c r="V2112">
        <v>3.0982659999999999E-2</v>
      </c>
      <c r="W2112">
        <v>7.4613049999999997E-3</v>
      </c>
      <c r="X2112">
        <v>0.99949200000000005</v>
      </c>
      <c r="Y2112">
        <v>-0.1119391</v>
      </c>
      <c r="Z2112">
        <v>-3.6394010000000002E-4</v>
      </c>
      <c r="AA2112">
        <v>0.99371500000000001</v>
      </c>
      <c r="AB2112">
        <v>35</v>
      </c>
      <c r="AC2112">
        <v>-121.29810000000001</v>
      </c>
      <c r="AD2112">
        <v>-1.161843</v>
      </c>
      <c r="AE2112">
        <v>-15.883199999999899</v>
      </c>
      <c r="AF2112">
        <v>-13.7315736962226</v>
      </c>
      <c r="AG2112">
        <v>-1.161843</v>
      </c>
      <c r="AH2112">
        <v>121.54937102508001</v>
      </c>
      <c r="AI2112">
        <v>90.544189928909702</v>
      </c>
      <c r="AJ2112">
        <v>96.445443539408998</v>
      </c>
      <c r="AK2112">
        <v>122.32806543031801</v>
      </c>
      <c r="AL2112">
        <v>89.572494716032693</v>
      </c>
      <c r="AM2112">
        <v>88.224490647070994</v>
      </c>
      <c r="AN2112">
        <v>0.99999992717848596</v>
      </c>
    </row>
    <row r="2113" spans="1:40" x14ac:dyDescent="0.25">
      <c r="A2113" t="str">
        <f>"20190312154256288"</f>
        <v>20190312154256288</v>
      </c>
      <c r="B2113" t="str">
        <f>"1552376576279887"</f>
        <v>1552376576279887</v>
      </c>
      <c r="C2113" t="s">
        <v>40</v>
      </c>
      <c r="D2113">
        <v>4.5723010000000004</v>
      </c>
      <c r="E2113">
        <v>0.44975710000000002</v>
      </c>
      <c r="F2113" t="s">
        <v>52</v>
      </c>
      <c r="G2113">
        <v>-454.9742</v>
      </c>
      <c r="H2113">
        <v>0.53333569999999997</v>
      </c>
      <c r="I2113">
        <v>270.08670000000001</v>
      </c>
      <c r="J2113">
        <v>-346.48349999999999</v>
      </c>
      <c r="K2113">
        <v>1.111783</v>
      </c>
      <c r="L2113">
        <v>283.29489999999998</v>
      </c>
      <c r="M2113">
        <v>-0.99970840000000005</v>
      </c>
      <c r="N2113">
        <v>0</v>
      </c>
      <c r="O2113">
        <v>-1.9172769999999999E-2</v>
      </c>
      <c r="P2113">
        <v>-0.99990809999999997</v>
      </c>
      <c r="Q2113">
        <v>-6.8129970000000003E-3</v>
      </c>
      <c r="R2113">
        <v>1.172573E-2</v>
      </c>
      <c r="S2113">
        <v>-3.005096</v>
      </c>
      <c r="T2113">
        <v>-1.5971059999999999E-2</v>
      </c>
      <c r="U2113">
        <v>-0.36486819999999998</v>
      </c>
      <c r="V2113">
        <v>3.0869319999999999E-2</v>
      </c>
      <c r="W2113">
        <v>7.9772269999999999E-3</v>
      </c>
      <c r="X2113">
        <v>0.99949160000000004</v>
      </c>
      <c r="Y2113">
        <v>-0.10147299999999999</v>
      </c>
      <c r="Z2113">
        <v>-1.671586E-4</v>
      </c>
      <c r="AA2113">
        <v>0.99483829999999995</v>
      </c>
      <c r="AB2113">
        <v>35</v>
      </c>
      <c r="AC2113">
        <v>-108.4907</v>
      </c>
      <c r="AD2113">
        <v>-0.5784473</v>
      </c>
      <c r="AE2113">
        <v>-13.2081999999999</v>
      </c>
      <c r="AF2113">
        <v>-11.1251685517826</v>
      </c>
      <c r="AG2113">
        <v>-0.5784473</v>
      </c>
      <c r="AH2113">
        <v>108.720973064007</v>
      </c>
      <c r="AI2113">
        <v>90.303254410523493</v>
      </c>
      <c r="AJ2113">
        <v>95.842610144580405</v>
      </c>
      <c r="AK2113">
        <v>109.29022811106699</v>
      </c>
      <c r="AL2113">
        <v>89.542933715118096</v>
      </c>
      <c r="AM2113">
        <v>88.230980929372095</v>
      </c>
      <c r="AN2113">
        <v>1.0000000047692099</v>
      </c>
    </row>
    <row r="2114" spans="1:40" x14ac:dyDescent="0.25">
      <c r="A2114" t="str">
        <f>"20190312154256311"</f>
        <v>20190312154256311</v>
      </c>
      <c r="B2114" t="str">
        <f>"1552376576299407"</f>
        <v>1552376576299407</v>
      </c>
      <c r="C2114" t="s">
        <v>40</v>
      </c>
      <c r="D2114">
        <v>4.5555909999999997</v>
      </c>
      <c r="E2114">
        <v>0.44961810000000002</v>
      </c>
      <c r="F2114" t="s">
        <v>52</v>
      </c>
      <c r="G2114">
        <v>-454.98910000000001</v>
      </c>
      <c r="H2114">
        <v>0.38501449999999998</v>
      </c>
      <c r="I2114">
        <v>270.08679999999998</v>
      </c>
      <c r="J2114">
        <v>-346.83429999999998</v>
      </c>
      <c r="K2114">
        <v>1.111713</v>
      </c>
      <c r="L2114">
        <v>283.28680000000003</v>
      </c>
      <c r="M2114">
        <v>-0.99968170000000001</v>
      </c>
      <c r="N2114">
        <v>0</v>
      </c>
      <c r="O2114">
        <v>-2.0517779999999999E-2</v>
      </c>
      <c r="P2114">
        <v>-0.99993339999999997</v>
      </c>
      <c r="Q2114">
        <v>-5.8811339999999997E-3</v>
      </c>
      <c r="R2114">
        <v>9.9522489999999998E-3</v>
      </c>
      <c r="S2114">
        <v>-3.0044249999999999</v>
      </c>
      <c r="T2114">
        <v>-2.0123240000000001E-2</v>
      </c>
      <c r="U2114">
        <v>-0.36572270000000001</v>
      </c>
      <c r="V2114">
        <v>3.0439959999999999E-2</v>
      </c>
      <c r="W2114">
        <v>8.8974910000000004E-3</v>
      </c>
      <c r="X2114">
        <v>0.99949699999999997</v>
      </c>
      <c r="Y2114">
        <v>-0.10043920000000001</v>
      </c>
      <c r="Z2114">
        <v>-1.9824029999999999E-4</v>
      </c>
      <c r="AA2114">
        <v>0.99494320000000003</v>
      </c>
      <c r="AB2114">
        <v>35</v>
      </c>
      <c r="AC2114">
        <v>-108.15479999999999</v>
      </c>
      <c r="AD2114">
        <v>-0.72669849999999903</v>
      </c>
      <c r="AE2114">
        <v>-13.2</v>
      </c>
      <c r="AF2114">
        <v>-10.9773967756975</v>
      </c>
      <c r="AG2114">
        <v>-0.72669849999999903</v>
      </c>
      <c r="AH2114">
        <v>108.398069226893</v>
      </c>
      <c r="AI2114">
        <v>90.382149507161003</v>
      </c>
      <c r="AJ2114">
        <v>95.782589625866294</v>
      </c>
      <c r="AK2114">
        <v>108.95491151297099</v>
      </c>
      <c r="AL2114">
        <v>89.490204593365107</v>
      </c>
      <c r="AM2114">
        <v>88.255580246174702</v>
      </c>
      <c r="AN2114">
        <v>1.00000000475994</v>
      </c>
    </row>
    <row r="2115" spans="1:40" x14ac:dyDescent="0.25">
      <c r="A2115" t="str">
        <f>"20190312154256342"</f>
        <v>20190312154256342</v>
      </c>
      <c r="B2115" t="str">
        <f>"1552376576329663"</f>
        <v>1552376576329663</v>
      </c>
      <c r="C2115" t="s">
        <v>40</v>
      </c>
      <c r="D2115">
        <v>4.5723250000000002</v>
      </c>
      <c r="E2115">
        <v>0.45003939999999998</v>
      </c>
      <c r="F2115" t="s">
        <v>52</v>
      </c>
      <c r="G2115">
        <v>-453.34039999999999</v>
      </c>
      <c r="H2115">
        <v>0.47891620000000001</v>
      </c>
      <c r="I2115">
        <v>270.08670000000001</v>
      </c>
      <c r="J2115">
        <v>-347.31939999999997</v>
      </c>
      <c r="K2115">
        <v>1.1116060000000001</v>
      </c>
      <c r="L2115">
        <v>283.2749</v>
      </c>
      <c r="M2115">
        <v>-0.99964520000000001</v>
      </c>
      <c r="N2115">
        <v>0</v>
      </c>
      <c r="O2115">
        <v>-2.2229450000000001E-2</v>
      </c>
      <c r="P2115">
        <v>-0.99994839999999996</v>
      </c>
      <c r="Q2115">
        <v>-5.6063719999999897E-3</v>
      </c>
      <c r="R2115">
        <v>8.48608E-3</v>
      </c>
      <c r="S2115">
        <v>-3.0038149999999999</v>
      </c>
      <c r="T2115">
        <v>-1.7846580000000001E-2</v>
      </c>
      <c r="U2115">
        <v>-0.3722839</v>
      </c>
      <c r="V2115">
        <v>3.0687389999999998E-2</v>
      </c>
      <c r="W2115">
        <v>9.1568780000000002E-3</v>
      </c>
      <c r="X2115">
        <v>0.99948709999999996</v>
      </c>
      <c r="Y2115">
        <v>-0.1009012</v>
      </c>
      <c r="Z2115">
        <v>-1.6706919999999901E-4</v>
      </c>
      <c r="AA2115">
        <v>0.99489640000000001</v>
      </c>
      <c r="AB2115">
        <v>35</v>
      </c>
      <c r="AC2115">
        <v>-106.021</v>
      </c>
      <c r="AD2115">
        <v>-0.63268979999999897</v>
      </c>
      <c r="AE2115">
        <v>-13.188199999999901</v>
      </c>
      <c r="AF2115">
        <v>-10.827518417743001</v>
      </c>
      <c r="AG2115">
        <v>-0.63268979999999897</v>
      </c>
      <c r="AH2115">
        <v>106.284266730781</v>
      </c>
      <c r="AI2115">
        <v>90.339310606122297</v>
      </c>
      <c r="AJ2115">
        <v>95.816837157148697</v>
      </c>
      <c r="AK2115">
        <v>106.836233581915</v>
      </c>
      <c r="AL2115">
        <v>89.475342212139907</v>
      </c>
      <c r="AM2115">
        <v>88.241392259621193</v>
      </c>
      <c r="AN2115">
        <v>1.00000001369306</v>
      </c>
    </row>
    <row r="2116" spans="1:40" x14ac:dyDescent="0.25">
      <c r="A2116" t="str">
        <f>"20190312154256364"</f>
        <v>20190312154256364</v>
      </c>
      <c r="B2116" t="str">
        <f>"1552376576359918"</f>
        <v>1552376576359918</v>
      </c>
      <c r="C2116" t="s">
        <v>40</v>
      </c>
      <c r="D2116">
        <v>4.5918359999999998</v>
      </c>
      <c r="E2116">
        <v>0.45083760000000001</v>
      </c>
      <c r="F2116" t="s">
        <v>52</v>
      </c>
      <c r="G2116">
        <v>-453.35140000000001</v>
      </c>
      <c r="H2116">
        <v>0.39950469999999999</v>
      </c>
      <c r="I2116">
        <v>270.08679999999998</v>
      </c>
      <c r="J2116">
        <v>-347.67840000000001</v>
      </c>
      <c r="K2116">
        <v>1.1115250000000001</v>
      </c>
      <c r="L2116">
        <v>283.26569999999998</v>
      </c>
      <c r="M2116">
        <v>-0.99961880000000003</v>
      </c>
      <c r="N2116">
        <v>0</v>
      </c>
      <c r="O2116">
        <v>-2.339391E-2</v>
      </c>
      <c r="P2116">
        <v>-0.99996350000000001</v>
      </c>
      <c r="Q2116">
        <v>-4.7294049999999999E-3</v>
      </c>
      <c r="R2116">
        <v>7.1521859999999996E-3</v>
      </c>
      <c r="S2116">
        <v>-3.0032040000000002</v>
      </c>
      <c r="T2116">
        <v>-2.01689E-2</v>
      </c>
      <c r="U2116">
        <v>-0.37353520000000001</v>
      </c>
      <c r="V2116">
        <v>3.0517949999999999E-2</v>
      </c>
      <c r="W2116">
        <v>1.0021820000000001E-2</v>
      </c>
      <c r="X2116">
        <v>0.99948400000000004</v>
      </c>
      <c r="Y2116">
        <v>-0.10017479999999999</v>
      </c>
      <c r="Z2116">
        <v>-1.786286E-4</v>
      </c>
      <c r="AA2116">
        <v>0.99496980000000002</v>
      </c>
      <c r="AB2116">
        <v>35</v>
      </c>
      <c r="AC2116">
        <v>-105.67299999999901</v>
      </c>
      <c r="AD2116">
        <v>-0.71202030000000005</v>
      </c>
      <c r="AE2116">
        <v>-13.178900000000001</v>
      </c>
      <c r="AF2116">
        <v>-10.7024436187587</v>
      </c>
      <c r="AG2116">
        <v>-0.71202030000000005</v>
      </c>
      <c r="AH2116">
        <v>105.947676505765</v>
      </c>
      <c r="AI2116">
        <v>90.383100301507397</v>
      </c>
      <c r="AJ2116">
        <v>95.768241206159303</v>
      </c>
      <c r="AK2116">
        <v>106.48924560391301</v>
      </c>
      <c r="AL2116">
        <v>89.4257824124807</v>
      </c>
      <c r="AM2116">
        <v>88.251090919907497</v>
      </c>
      <c r="AN2116">
        <v>1.0000000242021501</v>
      </c>
    </row>
    <row r="2117" spans="1:40" x14ac:dyDescent="0.25">
      <c r="A2117" t="str">
        <f>"20190312154256387"</f>
        <v>20190312154256387</v>
      </c>
      <c r="B2117" t="str">
        <f>"1552376576379443"</f>
        <v>1552376576379443</v>
      </c>
      <c r="C2117" t="s">
        <v>40</v>
      </c>
      <c r="D2117">
        <v>4.5318579999999997</v>
      </c>
      <c r="E2117">
        <v>0.45106000000000002</v>
      </c>
      <c r="F2117" t="s">
        <v>52</v>
      </c>
      <c r="G2117">
        <v>-454.2799</v>
      </c>
      <c r="H2117">
        <v>0.396287</v>
      </c>
      <c r="I2117">
        <v>270.08679999999998</v>
      </c>
      <c r="J2117">
        <v>-348.02379999999999</v>
      </c>
      <c r="K2117">
        <v>1.1114360000000001</v>
      </c>
      <c r="L2117">
        <v>283.25650000000002</v>
      </c>
      <c r="M2117">
        <v>-0.99959480000000001</v>
      </c>
      <c r="N2117">
        <v>0</v>
      </c>
      <c r="O2117">
        <v>-2.4396319999999999E-2</v>
      </c>
      <c r="P2117">
        <v>-0.99997480000000005</v>
      </c>
      <c r="Q2117">
        <v>-4.1145870000000003E-3</v>
      </c>
      <c r="R2117">
        <v>5.7978200000000004E-3</v>
      </c>
      <c r="S2117">
        <v>-3.0026860000000002</v>
      </c>
      <c r="T2117">
        <v>-2.0146009999999999E-2</v>
      </c>
      <c r="U2117">
        <v>-0.37121579999999998</v>
      </c>
      <c r="V2117">
        <v>3.016715E-2</v>
      </c>
      <c r="W2117">
        <v>1.062403E-2</v>
      </c>
      <c r="X2117">
        <v>0.99948840000000005</v>
      </c>
      <c r="Y2117">
        <v>-9.8441089999999995E-2</v>
      </c>
      <c r="Z2117">
        <v>-1.6597629999999999E-4</v>
      </c>
      <c r="AA2117">
        <v>0.99514290000000005</v>
      </c>
      <c r="AB2117">
        <v>35</v>
      </c>
      <c r="AC2117">
        <v>-106.2561</v>
      </c>
      <c r="AD2117">
        <v>-0.71514899999999904</v>
      </c>
      <c r="AE2117">
        <v>-13.169700000000001</v>
      </c>
      <c r="AF2117">
        <v>-10.5727711111807</v>
      </c>
      <c r="AG2117">
        <v>-0.71514899999999904</v>
      </c>
      <c r="AH2117">
        <v>106.54104133428</v>
      </c>
      <c r="AI2117">
        <v>90.382708217813203</v>
      </c>
      <c r="AJ2117">
        <v>95.6672835571121</v>
      </c>
      <c r="AK2117">
        <v>107.06674747863801</v>
      </c>
      <c r="AL2117">
        <v>89.3912764646645</v>
      </c>
      <c r="AM2117">
        <v>88.271189745358797</v>
      </c>
      <c r="AN2117">
        <v>0.99999999434356102</v>
      </c>
    </row>
    <row r="2118" spans="1:40" x14ac:dyDescent="0.25">
      <c r="A2118" t="str">
        <f>"20190312154256409"</f>
        <v>20190312154256409</v>
      </c>
      <c r="B2118" t="str">
        <f>"1552376576399935"</f>
        <v>1552376576399935</v>
      </c>
      <c r="C2118" t="s">
        <v>40</v>
      </c>
      <c r="D2118">
        <v>4.5767740000000003</v>
      </c>
      <c r="E2118">
        <v>0.45151010000000003</v>
      </c>
      <c r="F2118" t="s">
        <v>52</v>
      </c>
      <c r="G2118">
        <v>-453.93209999999999</v>
      </c>
      <c r="H2118">
        <v>0.40925980000000001</v>
      </c>
      <c r="I2118">
        <v>270.08670000000001</v>
      </c>
      <c r="J2118">
        <v>-348.37009999999998</v>
      </c>
      <c r="K2118">
        <v>1.1113249999999999</v>
      </c>
      <c r="L2118">
        <v>283.24709999999999</v>
      </c>
      <c r="M2118">
        <v>-0.99957390000000002</v>
      </c>
      <c r="N2118">
        <v>0</v>
      </c>
      <c r="O2118">
        <v>-2.5246649999999999E-2</v>
      </c>
      <c r="P2118">
        <v>-0.99998200000000004</v>
      </c>
      <c r="Q2118">
        <v>-4.319074E-3</v>
      </c>
      <c r="R2118">
        <v>4.1754879999999998E-3</v>
      </c>
      <c r="S2118">
        <v>-3.002167</v>
      </c>
      <c r="T2118">
        <v>-1.9904140000000001E-2</v>
      </c>
      <c r="U2118">
        <v>-0.37332149999999997</v>
      </c>
      <c r="V2118">
        <v>2.9399160000000001E-2</v>
      </c>
      <c r="W2118">
        <v>1.040423E-2</v>
      </c>
      <c r="X2118">
        <v>0.9995136</v>
      </c>
      <c r="Y2118">
        <v>-9.8302979999999998E-2</v>
      </c>
      <c r="Z2118">
        <v>-1.579381E-4</v>
      </c>
      <c r="AA2118">
        <v>0.9951565</v>
      </c>
      <c r="AB2118">
        <v>35</v>
      </c>
      <c r="AC2118">
        <v>-105.562</v>
      </c>
      <c r="AD2118">
        <v>-0.70206519999999895</v>
      </c>
      <c r="AE2118">
        <v>-13.1603999999999</v>
      </c>
      <c r="AF2118">
        <v>-10.4903744325874</v>
      </c>
      <c r="AG2118">
        <v>-0.70206519999999895</v>
      </c>
      <c r="AH2118">
        <v>105.85602623249601</v>
      </c>
      <c r="AI2118">
        <v>90.378142952839497</v>
      </c>
      <c r="AJ2118">
        <v>95.659555592738997</v>
      </c>
      <c r="AK2118">
        <v>106.37687314927</v>
      </c>
      <c r="AL2118">
        <v>89.403870775188395</v>
      </c>
      <c r="AM2118">
        <v>88.315218248728897</v>
      </c>
      <c r="AN2118">
        <v>0.99999999759777902</v>
      </c>
    </row>
    <row r="2119" spans="1:40" x14ac:dyDescent="0.25">
      <c r="A2119" t="str">
        <f>"20190312154256431"</f>
        <v>20190312154256431</v>
      </c>
      <c r="B2119" t="str">
        <f>"1552376576419455"</f>
        <v>1552376576419455</v>
      </c>
      <c r="C2119" t="s">
        <v>40</v>
      </c>
      <c r="D2119">
        <v>4.5933760000000001</v>
      </c>
      <c r="E2119">
        <v>0.4520189</v>
      </c>
      <c r="F2119" t="s">
        <v>52</v>
      </c>
      <c r="G2119">
        <v>-453.76530000000002</v>
      </c>
      <c r="H2119">
        <v>0.32698539999999998</v>
      </c>
      <c r="I2119">
        <v>270.08679999999998</v>
      </c>
      <c r="J2119">
        <v>-348.7047</v>
      </c>
      <c r="K2119">
        <v>1.1111960000000001</v>
      </c>
      <c r="L2119">
        <v>283.23790000000002</v>
      </c>
      <c r="M2119">
        <v>-0.99955669999999996</v>
      </c>
      <c r="N2119">
        <v>0</v>
      </c>
      <c r="O2119">
        <v>-2.5912749999999998E-2</v>
      </c>
      <c r="P2119">
        <v>-0.99998410000000004</v>
      </c>
      <c r="Q2119">
        <v>-4.3038870000000002E-3</v>
      </c>
      <c r="R2119">
        <v>3.6350179999999998E-3</v>
      </c>
      <c r="S2119">
        <v>-3.0014949999999998</v>
      </c>
      <c r="T2119">
        <v>-2.2336479999999999E-2</v>
      </c>
      <c r="U2119">
        <v>-0.37478640000000002</v>
      </c>
      <c r="V2119">
        <v>2.95283E-2</v>
      </c>
      <c r="W2119">
        <v>1.040518E-2</v>
      </c>
      <c r="X2119">
        <v>0.9995098</v>
      </c>
      <c r="Y2119">
        <v>-9.8144930000000005E-2</v>
      </c>
      <c r="Z2119">
        <v>-1.71753499999999E-4</v>
      </c>
      <c r="AA2119">
        <v>0.9951721</v>
      </c>
      <c r="AB2119">
        <v>35</v>
      </c>
      <c r="AC2119">
        <v>-105.06059999999999</v>
      </c>
      <c r="AD2119">
        <v>-0.78421059999999898</v>
      </c>
      <c r="AE2119">
        <v>-13.1511</v>
      </c>
      <c r="AF2119">
        <v>-10.423409544273101</v>
      </c>
      <c r="AG2119">
        <v>-0.78421059999999898</v>
      </c>
      <c r="AH2119">
        <v>105.36035196274599</v>
      </c>
      <c r="AI2119">
        <v>90.4243803070257</v>
      </c>
      <c r="AJ2119">
        <v>95.649946438269296</v>
      </c>
      <c r="AK2119">
        <v>105.877600173533</v>
      </c>
      <c r="AL2119">
        <v>89.403816351199495</v>
      </c>
      <c r="AM2119">
        <v>88.307815468478694</v>
      </c>
      <c r="AN2119">
        <v>1.0000000142838801</v>
      </c>
    </row>
    <row r="2120" spans="1:40" x14ac:dyDescent="0.25">
      <c r="A2120" t="str">
        <f>"20190312154256453"</f>
        <v>20190312154256453</v>
      </c>
      <c r="B2120" t="str">
        <f>"1552376576449711"</f>
        <v>1552376576449711</v>
      </c>
      <c r="C2120" t="s">
        <v>40</v>
      </c>
      <c r="D2120">
        <v>4.6168259999999997</v>
      </c>
      <c r="E2120">
        <v>0.4522719</v>
      </c>
      <c r="F2120" t="s">
        <v>52</v>
      </c>
      <c r="G2120">
        <v>-454.69260000000003</v>
      </c>
      <c r="H2120">
        <v>0.17333319999999999</v>
      </c>
      <c r="I2120">
        <v>270.08679999999998</v>
      </c>
      <c r="J2120">
        <v>-349.05239999999998</v>
      </c>
      <c r="K2120">
        <v>1.1110580000000001</v>
      </c>
      <c r="L2120">
        <v>283.22829999999999</v>
      </c>
      <c r="M2120">
        <v>-0.9995425</v>
      </c>
      <c r="N2120">
        <v>0</v>
      </c>
      <c r="O2120">
        <v>-2.6463960000000002E-2</v>
      </c>
      <c r="P2120">
        <v>-0.99998779999999998</v>
      </c>
      <c r="Q2120">
        <v>-4.2732079999999997E-3</v>
      </c>
      <c r="R2120">
        <v>2.55661E-3</v>
      </c>
      <c r="S2120">
        <v>-3.001312</v>
      </c>
      <c r="T2120">
        <v>-2.6557560000000001E-2</v>
      </c>
      <c r="U2120">
        <v>-0.37240600000000001</v>
      </c>
      <c r="V2120">
        <v>2.9005340000000001E-2</v>
      </c>
      <c r="W2120">
        <v>1.0419960000000001E-2</v>
      </c>
      <c r="X2120">
        <v>0.999525</v>
      </c>
      <c r="Y2120">
        <v>-9.6825549999999996E-2</v>
      </c>
      <c r="Z2120">
        <v>-1.935626E-4</v>
      </c>
      <c r="AA2120">
        <v>0.9953014</v>
      </c>
      <c r="AB2120">
        <v>35</v>
      </c>
      <c r="AC2120">
        <v>-105.64019999999999</v>
      </c>
      <c r="AD2120">
        <v>-0.93772479999999903</v>
      </c>
      <c r="AE2120">
        <v>-13.141500000000001</v>
      </c>
      <c r="AF2120">
        <v>-10.340136277372</v>
      </c>
      <c r="AG2120">
        <v>-0.93772479999999903</v>
      </c>
      <c r="AH2120">
        <v>105.942786489323</v>
      </c>
      <c r="AI2120">
        <v>90.504727140389505</v>
      </c>
      <c r="AJ2120">
        <v>95.574477102283197</v>
      </c>
      <c r="AK2120">
        <v>106.45032529380801</v>
      </c>
      <c r="AL2120">
        <v>89.402969498269499</v>
      </c>
      <c r="AM2120">
        <v>88.337793146854096</v>
      </c>
      <c r="AN2120">
        <v>1.00000005546995</v>
      </c>
    </row>
    <row r="2121" spans="1:40" x14ac:dyDescent="0.25">
      <c r="A2121" t="str">
        <f>"20190312154256477"</f>
        <v>20190312154256477</v>
      </c>
      <c r="B2121" t="str">
        <f>"1552376576469234"</f>
        <v>1552376576469234</v>
      </c>
      <c r="C2121" t="s">
        <v>40</v>
      </c>
      <c r="D2121">
        <v>4.6126060000000004</v>
      </c>
      <c r="E2121">
        <v>0.45762730000000001</v>
      </c>
      <c r="F2121" t="s">
        <v>52</v>
      </c>
      <c r="G2121">
        <v>-454.57580000000002</v>
      </c>
      <c r="H2121">
        <v>0.25115589999999999</v>
      </c>
      <c r="I2121">
        <v>270.08679999999998</v>
      </c>
      <c r="J2121">
        <v>-349.41379999999998</v>
      </c>
      <c r="K2121">
        <v>1.1109089999999999</v>
      </c>
      <c r="L2121">
        <v>283.21820000000002</v>
      </c>
      <c r="M2121">
        <v>-0.99953170000000002</v>
      </c>
      <c r="N2121">
        <v>0</v>
      </c>
      <c r="O2121">
        <v>-2.6868969999999999E-2</v>
      </c>
      <c r="P2121">
        <v>-0.99998920000000002</v>
      </c>
      <c r="Q2121">
        <v>-3.9921999999999996E-3</v>
      </c>
      <c r="R2121">
        <v>2.452578E-3</v>
      </c>
      <c r="S2121">
        <v>-3.0008849999999998</v>
      </c>
      <c r="T2121">
        <v>-2.4453639999999999E-2</v>
      </c>
      <c r="U2121">
        <v>-0.3737183</v>
      </c>
      <c r="V2121">
        <v>2.9309709999999999E-2</v>
      </c>
      <c r="W2121">
        <v>1.068554E-2</v>
      </c>
      <c r="X2121">
        <v>0.99951330000000005</v>
      </c>
      <c r="Y2121">
        <v>-9.6868609999999994E-2</v>
      </c>
      <c r="Z2121">
        <v>-1.751399E-4</v>
      </c>
      <c r="AA2121">
        <v>0.99529710000000005</v>
      </c>
      <c r="AB2121">
        <v>35</v>
      </c>
      <c r="AC2121">
        <v>-105.16200000000001</v>
      </c>
      <c r="AD2121">
        <v>-0.85975309999999905</v>
      </c>
      <c r="AE2121">
        <v>-13.131399999999999</v>
      </c>
      <c r="AF2121">
        <v>-10.300082567087999</v>
      </c>
      <c r="AG2121">
        <v>-0.85975309999999905</v>
      </c>
      <c r="AH2121">
        <v>105.469948346503</v>
      </c>
      <c r="AI2121">
        <v>90.464832990283497</v>
      </c>
      <c r="AJ2121">
        <v>95.577757351031806</v>
      </c>
      <c r="AK2121">
        <v>105.975189929039</v>
      </c>
      <c r="AL2121">
        <v>89.387752028140895</v>
      </c>
      <c r="AM2121">
        <v>88.320340927557893</v>
      </c>
      <c r="AN2121">
        <v>1.0000000383711301</v>
      </c>
    </row>
    <row r="2122" spans="1:40" x14ac:dyDescent="0.25">
      <c r="A2122" t="str">
        <f>"20190312154256499"</f>
        <v>20190312154256499</v>
      </c>
      <c r="B2122" t="str">
        <f>"1552376576489727"</f>
        <v>1552376576489727</v>
      </c>
      <c r="C2122" t="s">
        <v>40</v>
      </c>
      <c r="D2122">
        <v>4.6188479999999998</v>
      </c>
      <c r="E2122">
        <v>0.45756469999999999</v>
      </c>
      <c r="F2122" t="s">
        <v>51</v>
      </c>
      <c r="G2122">
        <v>-401.9572</v>
      </c>
      <c r="H2122">
        <v>8.0001639999999999E-2</v>
      </c>
      <c r="I2122">
        <v>277.39490000000001</v>
      </c>
      <c r="J2122">
        <v>-349.75779999999997</v>
      </c>
      <c r="K2122">
        <v>1.110776</v>
      </c>
      <c r="L2122">
        <v>283.20859999999999</v>
      </c>
      <c r="M2122">
        <v>-0.99952580000000002</v>
      </c>
      <c r="N2122">
        <v>0</v>
      </c>
      <c r="O2122">
        <v>-2.7091110000000002E-2</v>
      </c>
      <c r="P2122">
        <v>-0.99998989999999999</v>
      </c>
      <c r="Q2122">
        <v>-4.067434E-3</v>
      </c>
      <c r="R2122">
        <v>1.9835059999999999E-3</v>
      </c>
      <c r="S2122">
        <v>-3.00061</v>
      </c>
      <c r="T2122">
        <v>-5.8872220000000003E-2</v>
      </c>
      <c r="U2122">
        <v>-0.33255000000000001</v>
      </c>
      <c r="V2122">
        <v>2.9066539999999998E-2</v>
      </c>
      <c r="W2122">
        <v>1.05959E-2</v>
      </c>
      <c r="X2122">
        <v>0.99952129999999995</v>
      </c>
      <c r="Y2122">
        <v>-8.317281E-2</v>
      </c>
      <c r="Z2122">
        <v>-2.8369389999999999E-4</v>
      </c>
      <c r="AA2122">
        <v>0.99653510000000001</v>
      </c>
      <c r="AB2122">
        <v>35</v>
      </c>
      <c r="AC2122">
        <v>-52.199399999999997</v>
      </c>
      <c r="AD2122">
        <v>-1.0307743599999999</v>
      </c>
      <c r="AE2122">
        <v>-5.8136999999999803</v>
      </c>
      <c r="AF2122">
        <v>-4.3955815264482796</v>
      </c>
      <c r="AG2122">
        <v>-1.0307743599999999</v>
      </c>
      <c r="AH2122">
        <v>52.317602836876802</v>
      </c>
      <c r="AI2122">
        <v>91.124747860290896</v>
      </c>
      <c r="AJ2122">
        <v>94.802555221031</v>
      </c>
      <c r="AK2122">
        <v>52.512048135014403</v>
      </c>
      <c r="AL2122">
        <v>89.392888278788703</v>
      </c>
      <c r="AM2122">
        <v>88.334281774158896</v>
      </c>
      <c r="AN2122">
        <v>0.99999998299903503</v>
      </c>
    </row>
    <row r="2123" spans="1:40" x14ac:dyDescent="0.25">
      <c r="A2123" t="str">
        <f>"20190312154256521"</f>
        <v>20190312154256521</v>
      </c>
      <c r="B2123" t="str">
        <f>"1552376576509247"</f>
        <v>1552376576509247</v>
      </c>
      <c r="C2123" t="s">
        <v>40</v>
      </c>
      <c r="D2123">
        <v>4.5965230000000004</v>
      </c>
      <c r="E2123">
        <v>0.45767079999999999</v>
      </c>
      <c r="F2123" t="s">
        <v>51</v>
      </c>
      <c r="G2123">
        <v>-400.9264</v>
      </c>
      <c r="H2123">
        <v>8.0001790000000003E-2</v>
      </c>
      <c r="I2123">
        <v>277.50630000000001</v>
      </c>
      <c r="J2123">
        <v>-350.08530000000002</v>
      </c>
      <c r="K2123">
        <v>1.110644</v>
      </c>
      <c r="L2123">
        <v>283.19959999999998</v>
      </c>
      <c r="M2123">
        <v>-0.99952439999999998</v>
      </c>
      <c r="N2123">
        <v>0</v>
      </c>
      <c r="O2123">
        <v>-2.7144580000000001E-2</v>
      </c>
      <c r="P2123">
        <v>-0.99998830000000005</v>
      </c>
      <c r="Q2123">
        <v>-4.49235E-3</v>
      </c>
      <c r="R2123">
        <v>1.814055E-3</v>
      </c>
      <c r="S2123">
        <v>-3.0004879999999998</v>
      </c>
      <c r="T2123">
        <v>-6.0443879999999998E-2</v>
      </c>
      <c r="U2123">
        <v>-0.33438109999999999</v>
      </c>
      <c r="V2123">
        <v>2.8954270000000001E-2</v>
      </c>
      <c r="W2123">
        <v>1.015724E-2</v>
      </c>
      <c r="X2123">
        <v>0.99952909999999995</v>
      </c>
      <c r="Y2123">
        <v>-8.3723980000000003E-2</v>
      </c>
      <c r="Z2123">
        <v>-2.957301E-4</v>
      </c>
      <c r="AA2123">
        <v>0.99648890000000001</v>
      </c>
      <c r="AB2123">
        <v>34</v>
      </c>
      <c r="AC2123">
        <v>-50.841099999999898</v>
      </c>
      <c r="AD2123">
        <v>-1.0306422099999999</v>
      </c>
      <c r="AE2123">
        <v>-5.6932999999999598</v>
      </c>
      <c r="AF2123">
        <v>-4.3092446350507698</v>
      </c>
      <c r="AG2123">
        <v>-1.0306422099999999</v>
      </c>
      <c r="AH2123">
        <v>50.956239761978502</v>
      </c>
      <c r="AI2123">
        <v>91.154587775178499</v>
      </c>
      <c r="AJ2123">
        <v>94.833862510549395</v>
      </c>
      <c r="AK2123">
        <v>51.1485110572144</v>
      </c>
      <c r="AL2123">
        <v>89.4180229919954</v>
      </c>
      <c r="AM2123">
        <v>88.340724976466504</v>
      </c>
      <c r="AN2123">
        <v>0.99999997051122902</v>
      </c>
    </row>
    <row r="2124" spans="1:40" x14ac:dyDescent="0.25">
      <c r="A2124" t="str">
        <f>"20190312154256544"</f>
        <v>20190312154256544</v>
      </c>
      <c r="B2124" t="str">
        <f>"1552376576539503"</f>
        <v>1552376576539503</v>
      </c>
      <c r="C2124" t="s">
        <v>40</v>
      </c>
      <c r="D2124">
        <v>4.6566710000000002</v>
      </c>
      <c r="E2124">
        <v>0.45792959999999999</v>
      </c>
      <c r="F2124" t="s">
        <v>51</v>
      </c>
      <c r="G2124">
        <v>-400.16019999999997</v>
      </c>
      <c r="H2124">
        <v>8.0001890000000006E-2</v>
      </c>
      <c r="I2124">
        <v>277.62200000000001</v>
      </c>
      <c r="J2124">
        <v>-350.44110000000001</v>
      </c>
      <c r="K2124">
        <v>1.110484</v>
      </c>
      <c r="L2124">
        <v>283.19</v>
      </c>
      <c r="M2124">
        <v>-0.99952790000000002</v>
      </c>
      <c r="N2124">
        <v>0</v>
      </c>
      <c r="O2124">
        <v>-2.702162E-2</v>
      </c>
      <c r="P2124">
        <v>-0.99998589999999998</v>
      </c>
      <c r="Q2124">
        <v>-5.0540400000000001E-3</v>
      </c>
      <c r="R2124">
        <v>1.7358709999999999E-3</v>
      </c>
      <c r="S2124">
        <v>-3.0003660000000001</v>
      </c>
      <c r="T2124">
        <v>-6.1753629999999997E-2</v>
      </c>
      <c r="U2124">
        <v>-0.334198</v>
      </c>
      <c r="V2124">
        <v>2.8757149999999999E-2</v>
      </c>
      <c r="W2124">
        <v>9.5798140000000007E-3</v>
      </c>
      <c r="X2124">
        <v>0.99954050000000005</v>
      </c>
      <c r="Y2124">
        <v>-8.3790420000000004E-2</v>
      </c>
      <c r="Z2124">
        <v>-3.0535229999999999E-4</v>
      </c>
      <c r="AA2124">
        <v>0.99648329999999996</v>
      </c>
      <c r="AB2124">
        <v>34</v>
      </c>
      <c r="AC2124">
        <v>-49.719099999999898</v>
      </c>
      <c r="AD2124">
        <v>-1.0304821099999999</v>
      </c>
      <c r="AE2124">
        <v>-5.5679999999999801</v>
      </c>
      <c r="AF2124">
        <v>-4.2205415676114404</v>
      </c>
      <c r="AG2124">
        <v>-1.0304821099999999</v>
      </c>
      <c r="AH2124">
        <v>49.830273144823302</v>
      </c>
      <c r="AI2124">
        <v>91.180473254730799</v>
      </c>
      <c r="AJ2124">
        <v>94.841302789683297</v>
      </c>
      <c r="AK2124">
        <v>50.019306134638299</v>
      </c>
      <c r="AL2124">
        <v>89.451108681886893</v>
      </c>
      <c r="AM2124">
        <v>88.352033817159395</v>
      </c>
      <c r="AN2124">
        <v>0.99999997882632297</v>
      </c>
    </row>
    <row r="2125" spans="1:40" x14ac:dyDescent="0.25">
      <c r="A2125" t="str">
        <f>"20190312154256566"</f>
        <v>20190312154256566</v>
      </c>
      <c r="B2125" t="str">
        <f>"1552376576559023"</f>
        <v>1552376576559023</v>
      </c>
      <c r="C2125" t="s">
        <v>40</v>
      </c>
      <c r="D2125">
        <v>4.8569380000000004</v>
      </c>
      <c r="E2125">
        <v>0.47602349999999999</v>
      </c>
      <c r="F2125" t="s">
        <v>50</v>
      </c>
      <c r="G2125">
        <v>-397.33550000000002</v>
      </c>
      <c r="H2125">
        <v>8.0000779999999994E-2</v>
      </c>
      <c r="I2125">
        <v>277.99560000000002</v>
      </c>
      <c r="J2125">
        <v>-350.7851</v>
      </c>
      <c r="K2125">
        <v>1.1103179999999999</v>
      </c>
      <c r="L2125">
        <v>283.18090000000001</v>
      </c>
      <c r="M2125">
        <v>-0.99953590000000003</v>
      </c>
      <c r="N2125">
        <v>0</v>
      </c>
      <c r="O2125">
        <v>-2.6718990000000001E-2</v>
      </c>
      <c r="P2125">
        <v>-0.99998549999999997</v>
      </c>
      <c r="Q2125">
        <v>-5.0005910000000004E-3</v>
      </c>
      <c r="R2125">
        <v>1.947741E-3</v>
      </c>
      <c r="S2125">
        <v>-3.000305</v>
      </c>
      <c r="T2125">
        <v>-6.5930370000000002E-2</v>
      </c>
      <c r="U2125">
        <v>-0.33233639999999998</v>
      </c>
      <c r="V2125">
        <v>2.8669960000000001E-2</v>
      </c>
      <c r="W2125">
        <v>9.6179600000000001E-3</v>
      </c>
      <c r="X2125">
        <v>0.99954270000000001</v>
      </c>
      <c r="Y2125">
        <v>-8.3481949999999999E-2</v>
      </c>
      <c r="Z2125">
        <v>-3.292608E-4</v>
      </c>
      <c r="AA2125">
        <v>0.99650930000000004</v>
      </c>
      <c r="AB2125">
        <v>34</v>
      </c>
      <c r="AC2125">
        <v>-46.550400000000003</v>
      </c>
      <c r="AD2125">
        <v>-1.0303172199999999</v>
      </c>
      <c r="AE2125">
        <v>-5.1852999999999803</v>
      </c>
      <c r="AF2125">
        <v>-3.9376301923680801</v>
      </c>
      <c r="AG2125">
        <v>-1.0303172199999999</v>
      </c>
      <c r="AH2125">
        <v>46.6497650323887</v>
      </c>
      <c r="AI2125">
        <v>91.2607599053634</v>
      </c>
      <c r="AJ2125">
        <v>94.824805965654406</v>
      </c>
      <c r="AK2125">
        <v>46.826990749809603</v>
      </c>
      <c r="AL2125">
        <v>89.448923010295005</v>
      </c>
      <c r="AM2125">
        <v>88.357031225913801</v>
      </c>
      <c r="AN2125">
        <v>1.0000000404421201</v>
      </c>
    </row>
    <row r="2126" spans="1:40" x14ac:dyDescent="0.25">
      <c r="A2126" t="str">
        <f>"20190312154256600"</f>
        <v>20190312154256600</v>
      </c>
      <c r="B2126" t="str">
        <f>"1552376576589282"</f>
        <v>1552376576589282</v>
      </c>
      <c r="C2126" t="s">
        <v>40</v>
      </c>
      <c r="D2126">
        <v>4.7248250000000001</v>
      </c>
      <c r="E2126">
        <v>0.4971566</v>
      </c>
      <c r="F2126" t="s">
        <v>51</v>
      </c>
      <c r="G2126">
        <v>-419.8691</v>
      </c>
      <c r="H2126" s="1">
        <v>4.6544330000000001E-6</v>
      </c>
      <c r="I2126">
        <v>278.87810000000002</v>
      </c>
      <c r="J2126">
        <v>-351.28750000000002</v>
      </c>
      <c r="K2126">
        <v>1.110077</v>
      </c>
      <c r="L2126">
        <v>283.16820000000001</v>
      </c>
      <c r="M2126">
        <v>-0.99955649999999996</v>
      </c>
      <c r="N2126">
        <v>0</v>
      </c>
      <c r="O2126">
        <v>-2.593991E-2</v>
      </c>
      <c r="P2126">
        <v>-0.99998149999999997</v>
      </c>
      <c r="Q2126">
        <v>-4.722759E-3</v>
      </c>
      <c r="R2126">
        <v>3.8735340000000001E-3</v>
      </c>
      <c r="S2126">
        <v>-3.0001530000000001</v>
      </c>
      <c r="T2126">
        <v>-4.8218249999999997E-2</v>
      </c>
      <c r="U2126">
        <v>-0.1868591</v>
      </c>
      <c r="V2126">
        <v>2.9822120000000001E-2</v>
      </c>
      <c r="W2126">
        <v>9.8725779999999999E-3</v>
      </c>
      <c r="X2126">
        <v>0.99950649999999996</v>
      </c>
      <c r="Y2126">
        <v>-3.6247990000000001E-2</v>
      </c>
      <c r="Z2126">
        <v>1.2541270000000001E-4</v>
      </c>
      <c r="AA2126">
        <v>0.99934279999999998</v>
      </c>
      <c r="AB2126">
        <v>34</v>
      </c>
      <c r="AC2126">
        <v>-68.581599999999895</v>
      </c>
      <c r="AD2126">
        <v>-1.1100723455670001</v>
      </c>
      <c r="AE2126">
        <v>-4.29009999999999</v>
      </c>
      <c r="AF2126">
        <v>-2.5088105160004699</v>
      </c>
      <c r="AG2126">
        <v>-1.1100723455670001</v>
      </c>
      <c r="AH2126">
        <v>68.651898222518199</v>
      </c>
      <c r="AI2126">
        <v>90.9257501122311</v>
      </c>
      <c r="AJ2126">
        <v>92.092881929165699</v>
      </c>
      <c r="AK2126">
        <v>68.706691962083198</v>
      </c>
      <c r="AL2126">
        <v>89.434333778242006</v>
      </c>
      <c r="AM2126">
        <v>88.290981760733104</v>
      </c>
      <c r="AN2126">
        <v>1.0000000350899501</v>
      </c>
    </row>
    <row r="2127" spans="1:40" x14ac:dyDescent="0.25">
      <c r="A2127" t="str">
        <f>"20190312154256621"</f>
        <v>20190312154256621</v>
      </c>
      <c r="B2127" t="str">
        <f>"1552376576609775"</f>
        <v>1552376576609775</v>
      </c>
      <c r="C2127" t="s">
        <v>40</v>
      </c>
      <c r="D2127">
        <v>4.7045769999999996</v>
      </c>
      <c r="E2127">
        <v>0.50285089999999999</v>
      </c>
      <c r="F2127" t="s">
        <v>51</v>
      </c>
      <c r="G2127">
        <v>-408.0342</v>
      </c>
      <c r="H2127" s="1">
        <v>5.1880430000000003E-6</v>
      </c>
      <c r="I2127">
        <v>282.92919999999998</v>
      </c>
      <c r="J2127">
        <v>-351.62220000000002</v>
      </c>
      <c r="K2127">
        <v>1.109923</v>
      </c>
      <c r="L2127">
        <v>283.16019999999997</v>
      </c>
      <c r="M2127">
        <v>-0.99957439999999997</v>
      </c>
      <c r="N2127">
        <v>0</v>
      </c>
      <c r="O2127">
        <v>-2.5246959999999999E-2</v>
      </c>
      <c r="P2127">
        <v>-0.99997290000000005</v>
      </c>
      <c r="Q2127">
        <v>-4.9149409999999999E-3</v>
      </c>
      <c r="R2127">
        <v>5.5362980000000003E-3</v>
      </c>
      <c r="S2127">
        <v>-2.9998469999999999</v>
      </c>
      <c r="T2127">
        <v>-5.8682680000000001E-2</v>
      </c>
      <c r="U2127">
        <v>-1.2634279999999999E-2</v>
      </c>
      <c r="V2127">
        <v>3.0794559999999999E-2</v>
      </c>
      <c r="W2127">
        <v>9.6646869999999999E-3</v>
      </c>
      <c r="X2127">
        <v>0.99947900000000001</v>
      </c>
      <c r="Y2127">
        <v>2.1030320000000002E-2</v>
      </c>
      <c r="Z2127">
        <v>6.9951159999999998E-4</v>
      </c>
      <c r="AA2127">
        <v>0.99977859999999996</v>
      </c>
      <c r="AB2127">
        <v>34</v>
      </c>
      <c r="AC2127">
        <v>-56.4119999999999</v>
      </c>
      <c r="AD2127">
        <v>-1.1099178119569999</v>
      </c>
      <c r="AE2127">
        <v>-0.23099999999999399</v>
      </c>
      <c r="AF2127">
        <v>1.1929954777971301</v>
      </c>
      <c r="AG2127">
        <v>-1.1099178119569999</v>
      </c>
      <c r="AH2127">
        <v>56.378022860030597</v>
      </c>
      <c r="AI2127">
        <v>91.127587694243601</v>
      </c>
      <c r="AJ2127">
        <v>88.787765110780498</v>
      </c>
      <c r="AK2127">
        <v>56.401565735052699</v>
      </c>
      <c r="AL2127">
        <v>89.446245598842793</v>
      </c>
      <c r="AM2127">
        <v>88.235240233228097</v>
      </c>
      <c r="AN2127">
        <v>0.99999999127070005</v>
      </c>
    </row>
    <row r="2128" spans="1:40" x14ac:dyDescent="0.25">
      <c r="A2128" t="str">
        <f>"20190312154256643"</f>
        <v>20190312154256643</v>
      </c>
      <c r="B2128" t="str">
        <f>"1552376576639055"</f>
        <v>1552376576639055</v>
      </c>
      <c r="C2128" t="s">
        <v>40</v>
      </c>
      <c r="D2128">
        <v>4.7152880000000001</v>
      </c>
      <c r="E2128">
        <v>0.50715359999999998</v>
      </c>
      <c r="F2128" t="s">
        <v>51</v>
      </c>
      <c r="G2128">
        <v>-405.90289999999999</v>
      </c>
      <c r="H2128" s="1">
        <v>5.9452299999999998E-6</v>
      </c>
      <c r="I2128">
        <v>283.83890000000002</v>
      </c>
      <c r="J2128">
        <v>-351.97179999999997</v>
      </c>
      <c r="K2128">
        <v>1.1097900000000001</v>
      </c>
      <c r="L2128">
        <v>283.15219999999999</v>
      </c>
      <c r="M2128">
        <v>-0.99959569999999998</v>
      </c>
      <c r="N2128">
        <v>0</v>
      </c>
      <c r="O2128">
        <v>-2.4393640000000001E-2</v>
      </c>
      <c r="P2128">
        <v>-0.99995670000000003</v>
      </c>
      <c r="Q2128">
        <v>-4.8442049999999999E-3</v>
      </c>
      <c r="R2128">
        <v>7.9697499999999994E-3</v>
      </c>
      <c r="S2128">
        <v>-2.999603</v>
      </c>
      <c r="T2128">
        <v>-6.1335090000000002E-2</v>
      </c>
      <c r="U2128">
        <v>3.7506100000000001E-2</v>
      </c>
      <c r="V2128">
        <v>3.2376729999999999E-2</v>
      </c>
      <c r="W2128">
        <v>9.7190439999999996E-3</v>
      </c>
      <c r="X2128">
        <v>0.99942850000000005</v>
      </c>
      <c r="Y2128">
        <v>3.688052E-2</v>
      </c>
      <c r="Z2128">
        <v>8.7576549999999998E-4</v>
      </c>
      <c r="AA2128">
        <v>0.99931930000000002</v>
      </c>
      <c r="AB2128">
        <v>34</v>
      </c>
      <c r="AC2128">
        <v>-53.931100000000001</v>
      </c>
      <c r="AD2128">
        <v>-1.10978405477</v>
      </c>
      <c r="AE2128">
        <v>0.68670000000002995</v>
      </c>
      <c r="AF2128">
        <v>2.0013645065085601</v>
      </c>
      <c r="AG2128">
        <v>-1.10978405477</v>
      </c>
      <c r="AH2128">
        <v>53.8754857644482</v>
      </c>
      <c r="AI2128">
        <v>91.179258819296194</v>
      </c>
      <c r="AJ2128">
        <v>87.872556794258998</v>
      </c>
      <c r="AK2128">
        <v>53.924067417910898</v>
      </c>
      <c r="AL2128">
        <v>89.443131041586497</v>
      </c>
      <c r="AM2128">
        <v>88.144538140338</v>
      </c>
      <c r="AN2128">
        <v>1.000000019537</v>
      </c>
    </row>
    <row r="2129" spans="1:40" x14ac:dyDescent="0.25">
      <c r="A2129" t="str">
        <f>"20190312154256667"</f>
        <v>20190312154256667</v>
      </c>
      <c r="B2129" t="str">
        <f>"1552376576659566"</f>
        <v>1552376576659566</v>
      </c>
      <c r="C2129" t="s">
        <v>40</v>
      </c>
      <c r="D2129">
        <v>4.7150299999999996</v>
      </c>
      <c r="E2129">
        <v>0.50876290000000002</v>
      </c>
      <c r="F2129" t="s">
        <v>51</v>
      </c>
      <c r="G2129">
        <v>-406.22269999999997</v>
      </c>
      <c r="H2129" s="1">
        <v>5.6497609999999997E-6</v>
      </c>
      <c r="I2129">
        <v>284.58240000000001</v>
      </c>
      <c r="J2129">
        <v>-352.32249999999999</v>
      </c>
      <c r="K2129">
        <v>1.10968</v>
      </c>
      <c r="L2129">
        <v>283.14449999999999</v>
      </c>
      <c r="M2129">
        <v>-0.99961880000000003</v>
      </c>
      <c r="N2129">
        <v>0</v>
      </c>
      <c r="O2129">
        <v>-2.3424170000000001E-2</v>
      </c>
      <c r="P2129">
        <v>-0.99993319999999997</v>
      </c>
      <c r="Q2129">
        <v>-4.5029470000000002E-3</v>
      </c>
      <c r="R2129">
        <v>1.0659129999999999E-2</v>
      </c>
      <c r="S2129">
        <v>-2.9992070000000002</v>
      </c>
      <c r="T2129">
        <v>-6.1353329999999998E-2</v>
      </c>
      <c r="U2129">
        <v>7.9071039999999995E-2</v>
      </c>
      <c r="V2129">
        <v>3.4098759999999999E-2</v>
      </c>
      <c r="W2129">
        <v>1.0043760000000001E-2</v>
      </c>
      <c r="X2129">
        <v>0.99936800000000003</v>
      </c>
      <c r="Y2129">
        <v>4.9750820000000001E-2</v>
      </c>
      <c r="Z2129">
        <v>9.8782150000000001E-4</v>
      </c>
      <c r="AA2129">
        <v>0.99876120000000002</v>
      </c>
      <c r="AB2129">
        <v>34</v>
      </c>
      <c r="AC2129">
        <v>-53.900199999999899</v>
      </c>
      <c r="AD2129">
        <v>-1.1096743502390001</v>
      </c>
      <c r="AE2129">
        <v>1.4379000000000099</v>
      </c>
      <c r="AF2129">
        <v>2.6990644878443302</v>
      </c>
      <c r="AG2129">
        <v>-1.1096743502390001</v>
      </c>
      <c r="AH2129">
        <v>53.8289232361901</v>
      </c>
      <c r="AI2129">
        <v>91.179494368157194</v>
      </c>
      <c r="AJ2129">
        <v>87.129506067989396</v>
      </c>
      <c r="AK2129">
        <v>53.907970681901602</v>
      </c>
      <c r="AL2129">
        <v>89.424525266476806</v>
      </c>
      <c r="AM2129">
        <v>88.045807556001094</v>
      </c>
      <c r="AN2129">
        <v>1.00000000098623</v>
      </c>
    </row>
    <row r="2130" spans="1:40" x14ac:dyDescent="0.25">
      <c r="A2130" t="str">
        <f>"20190312154256688"</f>
        <v>20190312154256688</v>
      </c>
      <c r="B2130" t="str">
        <f>"1552376576679071"</f>
        <v>1552376576679071</v>
      </c>
      <c r="C2130" t="s">
        <v>40</v>
      </c>
      <c r="D2130">
        <v>4.7300579999999997</v>
      </c>
      <c r="E2130">
        <v>0.50984609999999997</v>
      </c>
      <c r="F2130" t="s">
        <v>51</v>
      </c>
      <c r="G2130">
        <v>-407.83510000000001</v>
      </c>
      <c r="H2130" s="1">
        <v>4.849451E-6</v>
      </c>
      <c r="I2130">
        <v>284.99509999999998</v>
      </c>
      <c r="J2130">
        <v>-352.65620000000001</v>
      </c>
      <c r="K2130">
        <v>1.109604</v>
      </c>
      <c r="L2130">
        <v>283.1377</v>
      </c>
      <c r="M2130">
        <v>-0.99964200000000003</v>
      </c>
      <c r="N2130">
        <v>0</v>
      </c>
      <c r="O2130">
        <v>-2.241978E-2</v>
      </c>
      <c r="P2130">
        <v>-0.99989700000000004</v>
      </c>
      <c r="Q2130">
        <v>-3.7898889999999998E-3</v>
      </c>
      <c r="R2130">
        <v>1.384911E-2</v>
      </c>
      <c r="S2130">
        <v>-2.9988709999999998</v>
      </c>
      <c r="T2130">
        <v>-5.9946300000000001E-2</v>
      </c>
      <c r="U2130">
        <v>9.9975590000000003E-2</v>
      </c>
      <c r="V2130">
        <v>3.6286230000000003E-2</v>
      </c>
      <c r="W2130">
        <v>1.074085E-2</v>
      </c>
      <c r="X2130">
        <v>0.9992837</v>
      </c>
      <c r="Y2130">
        <v>5.5704999999999998E-2</v>
      </c>
      <c r="Z2130">
        <v>1.0046059999999999E-3</v>
      </c>
      <c r="AA2130">
        <v>0.99844679999999997</v>
      </c>
      <c r="AB2130">
        <v>34</v>
      </c>
      <c r="AC2130">
        <v>-55.178899999999999</v>
      </c>
      <c r="AD2130">
        <v>-1.1095991505489999</v>
      </c>
      <c r="AE2130">
        <v>1.85739999999998</v>
      </c>
      <c r="AF2130">
        <v>3.0929144569528102</v>
      </c>
      <c r="AG2130">
        <v>-1.1095991505489999</v>
      </c>
      <c r="AH2130">
        <v>55.101124223621198</v>
      </c>
      <c r="AI2130">
        <v>91.151825463613605</v>
      </c>
      <c r="AJ2130">
        <v>86.787267372055197</v>
      </c>
      <c r="AK2130">
        <v>55.199014672545303</v>
      </c>
      <c r="AL2130">
        <v>89.384582783801207</v>
      </c>
      <c r="AM2130">
        <v>87.9203756054754</v>
      </c>
      <c r="AN2130">
        <v>0.99999998471601204</v>
      </c>
    </row>
    <row r="2131" spans="1:40" x14ac:dyDescent="0.25">
      <c r="A2131" t="str">
        <f>"20190312154256711"</f>
        <v>20190312154256711</v>
      </c>
      <c r="B2131" t="str">
        <f>"1552376576699567"</f>
        <v>1552376576699567</v>
      </c>
      <c r="C2131" t="s">
        <v>40</v>
      </c>
      <c r="D2131">
        <v>4.7165619999999997</v>
      </c>
      <c r="E2131">
        <v>0.51054049999999995</v>
      </c>
      <c r="F2131" t="s">
        <v>51</v>
      </c>
      <c r="G2131">
        <v>-410.51740000000001</v>
      </c>
      <c r="H2131" s="1">
        <v>2.2277560000000001E-6</v>
      </c>
      <c r="I2131">
        <v>285.4144</v>
      </c>
      <c r="J2131">
        <v>-352.99369999999999</v>
      </c>
      <c r="K2131">
        <v>1.1095459999999999</v>
      </c>
      <c r="L2131">
        <v>283.13119999999998</v>
      </c>
      <c r="M2131">
        <v>-0.99966529999999998</v>
      </c>
      <c r="N2131">
        <v>0</v>
      </c>
      <c r="O2131">
        <v>-2.1355639999999999E-2</v>
      </c>
      <c r="P2131">
        <v>-0.99985979999999997</v>
      </c>
      <c r="Q2131">
        <v>-1.5774109999999999E-3</v>
      </c>
      <c r="R2131">
        <v>1.668246E-2</v>
      </c>
      <c r="S2131">
        <v>-2.9984739999999999</v>
      </c>
      <c r="T2131">
        <v>-5.7501669999999998E-2</v>
      </c>
      <c r="U2131">
        <v>0.117981</v>
      </c>
      <c r="V2131">
        <v>3.80606E-2</v>
      </c>
      <c r="W2131">
        <v>1.293939E-2</v>
      </c>
      <c r="X2131">
        <v>0.99919159999999996</v>
      </c>
      <c r="Y2131">
        <v>6.0633960000000001E-2</v>
      </c>
      <c r="Z2131">
        <v>9.9051390000000003E-4</v>
      </c>
      <c r="AA2131">
        <v>0.99815960000000004</v>
      </c>
      <c r="AB2131">
        <v>34</v>
      </c>
      <c r="AC2131">
        <v>-57.523699999999998</v>
      </c>
      <c r="AD2131">
        <v>-1.109543772244</v>
      </c>
      <c r="AE2131">
        <v>2.2832000000000199</v>
      </c>
      <c r="AF2131">
        <v>3.5099617966696002</v>
      </c>
      <c r="AG2131">
        <v>-1.109543772244</v>
      </c>
      <c r="AH2131">
        <v>57.4404772662051</v>
      </c>
      <c r="AI2131">
        <v>91.1045513731505</v>
      </c>
      <c r="AJ2131">
        <v>86.503228048340603</v>
      </c>
      <c r="AK2131">
        <v>57.558312586159403</v>
      </c>
      <c r="AL2131">
        <v>89.258606833681895</v>
      </c>
      <c r="AM2131">
        <v>87.818578580251</v>
      </c>
      <c r="AN2131">
        <v>0.99999994529824399</v>
      </c>
    </row>
    <row r="2132" spans="1:40" x14ac:dyDescent="0.25">
      <c r="A2132" t="str">
        <f>"20190312154256733"</f>
        <v>20190312154256733</v>
      </c>
      <c r="B2132" t="str">
        <f>"1552376576719087"</f>
        <v>1552376576719087</v>
      </c>
      <c r="C2132" t="s">
        <v>40</v>
      </c>
      <c r="D2132">
        <v>4.7258829999999996</v>
      </c>
      <c r="E2132">
        <v>0.51101459999999999</v>
      </c>
      <c r="F2132" t="s">
        <v>51</v>
      </c>
      <c r="G2132">
        <v>-417.77449999999999</v>
      </c>
      <c r="H2132" s="1">
        <v>3.4657410000000002E-6</v>
      </c>
      <c r="I2132">
        <v>285.97840000000002</v>
      </c>
      <c r="J2132">
        <v>-353.3417</v>
      </c>
      <c r="K2132">
        <v>1.1095170000000001</v>
      </c>
      <c r="L2132">
        <v>283.12479999999999</v>
      </c>
      <c r="M2132">
        <v>-0.99968869999999999</v>
      </c>
      <c r="N2132">
        <v>0</v>
      </c>
      <c r="O2132">
        <v>-2.0234519999999999E-2</v>
      </c>
      <c r="P2132">
        <v>-0.99981469999999995</v>
      </c>
      <c r="Q2132">
        <v>1.740959E-3</v>
      </c>
      <c r="R2132">
        <v>1.9174710000000001E-2</v>
      </c>
      <c r="S2132">
        <v>-2.998138</v>
      </c>
      <c r="T2132">
        <v>-5.1351069999999999E-2</v>
      </c>
      <c r="U2132">
        <v>0.1317749</v>
      </c>
      <c r="V2132">
        <v>3.9439399999999999E-2</v>
      </c>
      <c r="W2132">
        <v>1.6245909999999999E-2</v>
      </c>
      <c r="X2132">
        <v>0.99908989999999998</v>
      </c>
      <c r="Y2132">
        <v>6.4105679999999998E-2</v>
      </c>
      <c r="Z2132">
        <v>8.9511989999999997E-4</v>
      </c>
      <c r="AA2132">
        <v>0.99794269999999996</v>
      </c>
      <c r="AB2132">
        <v>34</v>
      </c>
      <c r="AC2132">
        <v>-64.432799999999901</v>
      </c>
      <c r="AD2132">
        <v>-1.1095135342589999</v>
      </c>
      <c r="AE2132">
        <v>2.8536000000000201</v>
      </c>
      <c r="AF2132">
        <v>4.15569150464448</v>
      </c>
      <c r="AG2132">
        <v>-1.1095135342589999</v>
      </c>
      <c r="AH2132">
        <v>64.3428164509249</v>
      </c>
      <c r="AI2132">
        <v>90.985844401998705</v>
      </c>
      <c r="AJ2132">
        <v>86.304586201724703</v>
      </c>
      <c r="AK2132">
        <v>64.486423540167607</v>
      </c>
      <c r="AL2132">
        <v>89.069136983777696</v>
      </c>
      <c r="AM2132">
        <v>87.739404139305705</v>
      </c>
      <c r="AN2132">
        <v>1.0000000120730399</v>
      </c>
    </row>
    <row r="2133" spans="1:40" x14ac:dyDescent="0.25">
      <c r="A2133" t="str">
        <f>"20190312154256757"</f>
        <v>20190312154256757</v>
      </c>
      <c r="B2133" t="str">
        <f>"1552376576749343"</f>
        <v>1552376576749343</v>
      </c>
      <c r="C2133" t="s">
        <v>40</v>
      </c>
      <c r="D2133">
        <v>4.7411629999999896</v>
      </c>
      <c r="E2133">
        <v>0.51151689999999905</v>
      </c>
      <c r="F2133" t="s">
        <v>51</v>
      </c>
      <c r="G2133">
        <v>-433.10680000000002</v>
      </c>
      <c r="H2133" s="1">
        <v>3.3925000000000001E-6</v>
      </c>
      <c r="I2133">
        <v>286.9298</v>
      </c>
      <c r="J2133">
        <v>-353.6857</v>
      </c>
      <c r="K2133">
        <v>1.109507</v>
      </c>
      <c r="L2133">
        <v>283.11900000000003</v>
      </c>
      <c r="M2133">
        <v>-0.99971069999999995</v>
      </c>
      <c r="N2133">
        <v>0</v>
      </c>
      <c r="O2133">
        <v>-1.9116359999999999E-2</v>
      </c>
      <c r="P2133">
        <v>-0.99975990000000003</v>
      </c>
      <c r="Q2133">
        <v>4.4365359999999996E-3</v>
      </c>
      <c r="R2133">
        <v>2.1465910000000001E-2</v>
      </c>
      <c r="S2133">
        <v>-2.9978940000000001</v>
      </c>
      <c r="T2133">
        <v>-4.1700010000000003E-2</v>
      </c>
      <c r="U2133">
        <v>0.14300539999999901</v>
      </c>
      <c r="V2133">
        <v>4.0618719999999997E-2</v>
      </c>
      <c r="W2133">
        <v>1.893009E-2</v>
      </c>
      <c r="X2133">
        <v>0.99899539999999998</v>
      </c>
      <c r="Y2133">
        <v>6.6727439999999999E-2</v>
      </c>
      <c r="Z2133">
        <v>7.29582E-4</v>
      </c>
      <c r="AA2133">
        <v>0.99777099999999996</v>
      </c>
      <c r="AB2133">
        <v>34</v>
      </c>
      <c r="AC2133">
        <v>-79.421099999999996</v>
      </c>
      <c r="AD2133">
        <v>-1.1095036075</v>
      </c>
      <c r="AE2133">
        <v>3.8107999999999702</v>
      </c>
      <c r="AF2133">
        <v>5.3274702985503897</v>
      </c>
      <c r="AG2133">
        <v>-1.1095036075</v>
      </c>
      <c r="AH2133">
        <v>79.318283544414399</v>
      </c>
      <c r="AI2133">
        <v>90.799599379948503</v>
      </c>
      <c r="AJ2133">
        <v>86.157458496271005</v>
      </c>
      <c r="AK2133">
        <v>79.504735975092103</v>
      </c>
      <c r="AL2133">
        <v>88.915320969048594</v>
      </c>
      <c r="AM2133">
        <v>87.671660942117398</v>
      </c>
      <c r="AN2133">
        <v>1.0000000189714999</v>
      </c>
    </row>
    <row r="2134" spans="1:40" x14ac:dyDescent="0.25">
      <c r="A2134" t="str">
        <f>"20190312154256778"</f>
        <v>20190312154256778</v>
      </c>
      <c r="B2134" t="str">
        <f>"1552376576769843"</f>
        <v>1552376576769843</v>
      </c>
      <c r="C2134" t="s">
        <v>40</v>
      </c>
      <c r="D2134">
        <v>4.7459550000000004</v>
      </c>
      <c r="E2134">
        <v>0.51167459999999998</v>
      </c>
      <c r="F2134" t="s">
        <v>50</v>
      </c>
      <c r="G2134">
        <v>-450.3895</v>
      </c>
      <c r="H2134" s="1">
        <v>-1.4810699999999999E-6</v>
      </c>
      <c r="I2134">
        <v>288.08390000000003</v>
      </c>
      <c r="J2134">
        <v>-354.0181</v>
      </c>
      <c r="K2134">
        <v>1.109499</v>
      </c>
      <c r="L2134">
        <v>283.11380000000003</v>
      </c>
      <c r="M2134">
        <v>-0.99973100000000004</v>
      </c>
      <c r="N2134">
        <v>0</v>
      </c>
      <c r="O2134">
        <v>-1.8034720000000001E-2</v>
      </c>
      <c r="P2134">
        <v>-0.99968959999999996</v>
      </c>
      <c r="Q2134">
        <v>7.6771319999999997E-3</v>
      </c>
      <c r="R2134">
        <v>2.3709049999999999E-2</v>
      </c>
      <c r="S2134">
        <v>-2.9975890000000001</v>
      </c>
      <c r="T2134">
        <v>-3.4392119999999998E-2</v>
      </c>
      <c r="U2134">
        <v>0.15390009999999901</v>
      </c>
      <c r="V2134">
        <v>4.1787810000000002E-2</v>
      </c>
      <c r="W2134">
        <v>2.2160450000000002E-2</v>
      </c>
      <c r="X2134">
        <v>0.99888069999999896</v>
      </c>
      <c r="Y2134">
        <v>6.9272619999999993E-2</v>
      </c>
      <c r="Z2134">
        <v>6.0392829999999999E-4</v>
      </c>
      <c r="AA2134">
        <v>0.99759759999999997</v>
      </c>
      <c r="AB2134">
        <v>34</v>
      </c>
      <c r="AC2134">
        <v>-96.371399999999994</v>
      </c>
      <c r="AD2134">
        <v>-1.10950048107</v>
      </c>
      <c r="AE2134">
        <v>4.9701000000000004</v>
      </c>
      <c r="AF2134">
        <v>6.7066209992226398</v>
      </c>
      <c r="AG2134">
        <v>-1.10950048107</v>
      </c>
      <c r="AH2134">
        <v>96.2533551217997</v>
      </c>
      <c r="AI2134">
        <v>90.658814946518206</v>
      </c>
      <c r="AJ2134">
        <v>86.014258002339105</v>
      </c>
      <c r="AK2134">
        <v>96.493098865918796</v>
      </c>
      <c r="AL2134">
        <v>88.730195772255001</v>
      </c>
      <c r="AM2134">
        <v>87.604448810364104</v>
      </c>
      <c r="AN2134">
        <v>0.99999997972064303</v>
      </c>
    </row>
    <row r="2135" spans="1:40" x14ac:dyDescent="0.25">
      <c r="A2135" t="str">
        <f>"20190312154256811"</f>
        <v>20190312154256811</v>
      </c>
      <c r="B2135" t="str">
        <f>"1552376576799119"</f>
        <v>1552376576799119</v>
      </c>
      <c r="C2135" t="s">
        <v>40</v>
      </c>
      <c r="D2135">
        <v>4.7568679999999999</v>
      </c>
      <c r="E2135">
        <v>0.51161440000000002</v>
      </c>
      <c r="F2135" t="s">
        <v>49</v>
      </c>
      <c r="G2135">
        <v>-475.02159999999998</v>
      </c>
      <c r="H2135">
        <v>7.5905700000000006E-2</v>
      </c>
      <c r="I2135">
        <v>289.64229999999998</v>
      </c>
      <c r="J2135">
        <v>-354.51530000000002</v>
      </c>
      <c r="K2135">
        <v>1.109494</v>
      </c>
      <c r="L2135">
        <v>283.10660000000001</v>
      </c>
      <c r="M2135">
        <v>-0.99975879999999995</v>
      </c>
      <c r="N2135">
        <v>0</v>
      </c>
      <c r="O2135">
        <v>-1.6425970000000002E-2</v>
      </c>
      <c r="P2135">
        <v>-0.99956540000000005</v>
      </c>
      <c r="Q2135">
        <v>1.15817E-2</v>
      </c>
      <c r="R2135">
        <v>2.7116479999999998E-2</v>
      </c>
      <c r="S2135">
        <v>-2.9972840000000001</v>
      </c>
      <c r="T2135">
        <v>-2.5602340000000001E-2</v>
      </c>
      <c r="U2135">
        <v>0.16171259999999901</v>
      </c>
      <c r="V2135">
        <v>4.3595370000000001E-2</v>
      </c>
      <c r="W2135">
        <v>2.6050790000000001E-2</v>
      </c>
      <c r="X2135">
        <v>0.99870959999999998</v>
      </c>
      <c r="Y2135">
        <v>7.0268140000000007E-2</v>
      </c>
      <c r="Z2135">
        <v>4.4011560000000003E-4</v>
      </c>
      <c r="AA2135">
        <v>0.99752799999999997</v>
      </c>
      <c r="AB2135">
        <v>34</v>
      </c>
      <c r="AC2135">
        <v>-120.506299999999</v>
      </c>
      <c r="AD2135">
        <v>-1.0335882999999999</v>
      </c>
      <c r="AE2135">
        <v>6.5356999999999603</v>
      </c>
      <c r="AF2135">
        <v>8.5138368023681998</v>
      </c>
      <c r="AG2135">
        <v>-1.0335882999999999</v>
      </c>
      <c r="AH2135">
        <v>120.37384235203299</v>
      </c>
      <c r="AI2135">
        <v>90.490731464139003</v>
      </c>
      <c r="AJ2135">
        <v>85.954304334051699</v>
      </c>
      <c r="AK2135">
        <v>120.678977640944</v>
      </c>
      <c r="AL2135">
        <v>88.507230853066801</v>
      </c>
      <c r="AM2135">
        <v>87.5005286779774</v>
      </c>
      <c r="AN2135">
        <v>1.00000003253861</v>
      </c>
    </row>
    <row r="2136" spans="1:40" x14ac:dyDescent="0.25">
      <c r="A2136" t="str">
        <f>"20190312154256833"</f>
        <v>20190312154256833</v>
      </c>
      <c r="B2136" t="str">
        <f>"1552376576819615"</f>
        <v>1552376576819615</v>
      </c>
      <c r="C2136" t="s">
        <v>40</v>
      </c>
      <c r="D2136">
        <v>4.7546599999999897</v>
      </c>
      <c r="E2136">
        <v>0.51161690000000004</v>
      </c>
      <c r="F2136" t="s">
        <v>53</v>
      </c>
      <c r="G2136">
        <v>-550.05700000000002</v>
      </c>
      <c r="H2136">
        <v>0.40294619999999998</v>
      </c>
      <c r="I2136">
        <v>294.28960000000001</v>
      </c>
      <c r="J2136">
        <v>-354.85019999999997</v>
      </c>
      <c r="K2136">
        <v>1.1094949999999999</v>
      </c>
      <c r="L2136">
        <v>283.10219999999998</v>
      </c>
      <c r="M2136">
        <v>-0.99977579999999999</v>
      </c>
      <c r="N2136">
        <v>0</v>
      </c>
      <c r="O2136">
        <v>-1.534801E-2</v>
      </c>
      <c r="P2136">
        <v>-0.99948769999999998</v>
      </c>
      <c r="Q2136">
        <v>1.3757459999999999E-2</v>
      </c>
      <c r="R2136">
        <v>2.8900390000000001E-2</v>
      </c>
      <c r="S2136">
        <v>-2.9967959999999998</v>
      </c>
      <c r="T2136">
        <v>-1.082695E-2</v>
      </c>
      <c r="U2136">
        <v>0.1713867</v>
      </c>
      <c r="V2136">
        <v>4.430626E-2</v>
      </c>
      <c r="W2136">
        <v>2.8219589999999999E-2</v>
      </c>
      <c r="X2136">
        <v>0.99861940000000005</v>
      </c>
      <c r="Y2136">
        <v>7.2414010000000001E-2</v>
      </c>
      <c r="Z2136">
        <v>1.8611769999999999E-4</v>
      </c>
      <c r="AA2136">
        <v>0.99737469999999995</v>
      </c>
      <c r="AB2136">
        <v>34</v>
      </c>
      <c r="AC2136">
        <v>-195.20679999999999</v>
      </c>
      <c r="AD2136">
        <v>-0.70654879999999998</v>
      </c>
      <c r="AE2136">
        <v>11.1874</v>
      </c>
      <c r="AF2136">
        <v>14.182251522987601</v>
      </c>
      <c r="AG2136">
        <v>-0.70654879999999998</v>
      </c>
      <c r="AH2136">
        <v>195.00953316153701</v>
      </c>
      <c r="AI2136">
        <v>90.207043491993602</v>
      </c>
      <c r="AJ2136">
        <v>85.840433689067098</v>
      </c>
      <c r="AK2136">
        <v>195.525838428962</v>
      </c>
      <c r="AL2136">
        <v>88.382921997186997</v>
      </c>
      <c r="AM2136">
        <v>87.459594747426706</v>
      </c>
      <c r="AN2136">
        <v>1.0000000479956499</v>
      </c>
    </row>
    <row r="2137" spans="1:40" x14ac:dyDescent="0.25">
      <c r="A2137" t="str">
        <f>"20190312154256856"</f>
        <v>20190312154256856</v>
      </c>
      <c r="B2137" t="str">
        <f>"1552376576849909"</f>
        <v>1552376576849909</v>
      </c>
      <c r="C2137" t="s">
        <v>40</v>
      </c>
      <c r="D2137">
        <v>4.753279</v>
      </c>
      <c r="E2137">
        <v>0.48041529999999999</v>
      </c>
      <c r="F2137" t="s">
        <v>53</v>
      </c>
      <c r="G2137">
        <v>-548.64980000000003</v>
      </c>
      <c r="H2137">
        <v>0.92318889999999998</v>
      </c>
      <c r="I2137">
        <v>294.55</v>
      </c>
      <c r="J2137">
        <v>-355.19779999999997</v>
      </c>
      <c r="K2137">
        <v>1.1094949999999999</v>
      </c>
      <c r="L2137">
        <v>283.09800000000001</v>
      </c>
      <c r="M2137">
        <v>-0.99979249999999997</v>
      </c>
      <c r="N2137">
        <v>0</v>
      </c>
      <c r="O2137">
        <v>-1.423408E-2</v>
      </c>
      <c r="P2137">
        <v>-0.9994324</v>
      </c>
      <c r="Q2137">
        <v>1.450691E-2</v>
      </c>
      <c r="R2137">
        <v>3.0411219999999999E-2</v>
      </c>
      <c r="S2137">
        <v>-2.9964599999999999</v>
      </c>
      <c r="T2137">
        <v>-2.8792620000000001E-3</v>
      </c>
      <c r="U2137">
        <v>0.17700199999999999</v>
      </c>
      <c r="V2137">
        <v>4.4705330000000001E-2</v>
      </c>
      <c r="W2137">
        <v>2.8962680000000001E-2</v>
      </c>
      <c r="X2137">
        <v>0.99858029999999998</v>
      </c>
      <c r="Y2137">
        <v>7.317237E-2</v>
      </c>
      <c r="Z2137" s="1">
        <v>4.8792580000000003E-5</v>
      </c>
      <c r="AA2137">
        <v>0.99731930000000002</v>
      </c>
      <c r="AB2137">
        <v>34</v>
      </c>
      <c r="AC2137">
        <v>-193.452</v>
      </c>
      <c r="AD2137">
        <v>-0.1863061</v>
      </c>
      <c r="AE2137">
        <v>11.4519999999999</v>
      </c>
      <c r="AF2137">
        <v>14.204730079311</v>
      </c>
      <c r="AG2137">
        <v>-0.1863061</v>
      </c>
      <c r="AH2137">
        <v>193.269192660248</v>
      </c>
      <c r="AI2137">
        <v>90.0550829391684</v>
      </c>
      <c r="AJ2137">
        <v>85.796482930208199</v>
      </c>
      <c r="AK2137">
        <v>193.79058258370901</v>
      </c>
      <c r="AL2137">
        <v>88.340328600886494</v>
      </c>
      <c r="AM2137">
        <v>87.436643266164197</v>
      </c>
      <c r="AN2137">
        <v>1.00000000945564</v>
      </c>
    </row>
    <row r="2138" spans="1:40" x14ac:dyDescent="0.25">
      <c r="A2138" t="str">
        <f>"20190312154256879"</f>
        <v>20190312154256879</v>
      </c>
      <c r="B2138" t="str">
        <f>"1552376576869396"</f>
        <v>1552376576869396</v>
      </c>
      <c r="C2138" t="s">
        <v>40</v>
      </c>
      <c r="D2138">
        <v>4.7291930000000004</v>
      </c>
      <c r="E2138">
        <v>0.4753153</v>
      </c>
      <c r="F2138" t="s">
        <v>54</v>
      </c>
      <c r="G2138">
        <v>-551.06330000000003</v>
      </c>
      <c r="H2138">
        <v>4.3474050000000002</v>
      </c>
      <c r="I2138">
        <v>278.87020000000001</v>
      </c>
      <c r="J2138">
        <v>-355.53539999999998</v>
      </c>
      <c r="K2138">
        <v>1.1094949999999999</v>
      </c>
      <c r="L2138">
        <v>283.09429999999998</v>
      </c>
      <c r="M2138">
        <v>-0.99980720000000001</v>
      </c>
      <c r="N2138">
        <v>0</v>
      </c>
      <c r="O2138">
        <v>-1.3154509999999999E-2</v>
      </c>
      <c r="P2138">
        <v>-0.99937010000000004</v>
      </c>
      <c r="Q2138">
        <v>1.5239849999999999E-2</v>
      </c>
      <c r="R2138">
        <v>3.2053760000000001E-2</v>
      </c>
      <c r="S2138">
        <v>-3.0029300000000001</v>
      </c>
      <c r="T2138">
        <v>4.9643519999999997E-2</v>
      </c>
      <c r="U2138">
        <v>-6.4819340000000003E-2</v>
      </c>
      <c r="V2138">
        <v>4.5270390000000001E-2</v>
      </c>
      <c r="W2138">
        <v>2.9690020000000001E-2</v>
      </c>
      <c r="X2138">
        <v>0.99853349999999996</v>
      </c>
      <c r="Y2138">
        <v>-8.4262750000000004E-3</v>
      </c>
      <c r="Z2138">
        <v>-1.477994E-4</v>
      </c>
      <c r="AA2138">
        <v>0.99996450000000003</v>
      </c>
      <c r="AB2138">
        <v>34</v>
      </c>
      <c r="AC2138">
        <v>-195.52789999999999</v>
      </c>
      <c r="AD2138">
        <v>3.2379099999999998</v>
      </c>
      <c r="AE2138">
        <v>-4.22409999999996</v>
      </c>
      <c r="AF2138">
        <v>-1.6509348431841699</v>
      </c>
      <c r="AG2138">
        <v>3.2379099999999998</v>
      </c>
      <c r="AH2138">
        <v>195.512960207064</v>
      </c>
      <c r="AI2138">
        <v>89.051239327346593</v>
      </c>
      <c r="AJ2138">
        <v>90.483800923145793</v>
      </c>
      <c r="AK2138">
        <v>195.54673931301801</v>
      </c>
      <c r="AL2138">
        <v>88.298637187847604</v>
      </c>
      <c r="AM2138">
        <v>87.404165865277307</v>
      </c>
      <c r="AN2138">
        <v>1.0000000280603001</v>
      </c>
    </row>
    <row r="2139" spans="1:40" x14ac:dyDescent="0.25">
      <c r="A2139" t="str">
        <f>"20190312154256900"</f>
        <v>20190312154256900</v>
      </c>
      <c r="B2139" t="str">
        <f>"1552376576889887"</f>
        <v>1552376576889887</v>
      </c>
      <c r="C2139" t="s">
        <v>40</v>
      </c>
      <c r="D2139">
        <v>4.7161790000000003</v>
      </c>
      <c r="E2139">
        <v>0.47338639999999998</v>
      </c>
      <c r="F2139" t="s">
        <v>54</v>
      </c>
      <c r="G2139">
        <v>-511.95979999999997</v>
      </c>
      <c r="H2139">
        <v>3.6422479999999999</v>
      </c>
      <c r="I2139">
        <v>277.85090000000002</v>
      </c>
      <c r="J2139">
        <v>-355.8621</v>
      </c>
      <c r="K2139">
        <v>1.1094930000000001</v>
      </c>
      <c r="L2139">
        <v>283.09120000000001</v>
      </c>
      <c r="M2139">
        <v>-0.99982040000000005</v>
      </c>
      <c r="N2139">
        <v>0</v>
      </c>
      <c r="O2139">
        <v>-1.211359E-2</v>
      </c>
      <c r="P2139">
        <v>-0.9993514</v>
      </c>
      <c r="Q2139">
        <v>1.4372680000000001E-2</v>
      </c>
      <c r="R2139">
        <v>3.3024659999999997E-2</v>
      </c>
      <c r="S2139">
        <v>-3.0043950000000001</v>
      </c>
      <c r="T2139">
        <v>4.8647280000000001E-2</v>
      </c>
      <c r="U2139">
        <v>-0.10070800000000001</v>
      </c>
      <c r="V2139">
        <v>4.5198929999999998E-2</v>
      </c>
      <c r="W2139">
        <v>2.8819689999999999E-2</v>
      </c>
      <c r="X2139">
        <v>0.99856219999999996</v>
      </c>
      <c r="Y2139">
        <v>-2.1389680000000001E-2</v>
      </c>
      <c r="Z2139" s="1">
        <v>-2.2971739999999998E-5</v>
      </c>
      <c r="AA2139">
        <v>0.99977119999999997</v>
      </c>
      <c r="AB2139">
        <v>34</v>
      </c>
      <c r="AC2139">
        <v>-156.09769999999901</v>
      </c>
      <c r="AD2139">
        <v>2.5327549999999999</v>
      </c>
      <c r="AE2139">
        <v>-5.2402999999999897</v>
      </c>
      <c r="AF2139">
        <v>-3.3479306138055001</v>
      </c>
      <c r="AG2139">
        <v>2.5327549999999999</v>
      </c>
      <c r="AH2139">
        <v>156.108678212152</v>
      </c>
      <c r="AI2139">
        <v>89.070710924411998</v>
      </c>
      <c r="AJ2139">
        <v>91.228585725206699</v>
      </c>
      <c r="AK2139">
        <v>156.16511422347199</v>
      </c>
      <c r="AL2139">
        <v>88.3485247177573</v>
      </c>
      <c r="AM2139">
        <v>87.408332225906705</v>
      </c>
      <c r="AN2139">
        <v>0.99999999253684002</v>
      </c>
    </row>
    <row r="2140" spans="1:40" x14ac:dyDescent="0.25">
      <c r="A2140" t="str">
        <f>"20190312154256924"</f>
        <v>20190312154256924</v>
      </c>
      <c r="B2140" t="str">
        <f>"1552376576919167"</f>
        <v>1552376576919167</v>
      </c>
      <c r="C2140" t="s">
        <v>40</v>
      </c>
      <c r="D2140">
        <v>4.6699929999999998</v>
      </c>
      <c r="E2140">
        <v>0.47160730000000001</v>
      </c>
      <c r="F2140" t="s">
        <v>54</v>
      </c>
      <c r="G2140">
        <v>-511.9597</v>
      </c>
      <c r="H2140">
        <v>3.3267169999999999</v>
      </c>
      <c r="I2140">
        <v>277.202</v>
      </c>
      <c r="J2140">
        <v>-356.21440000000001</v>
      </c>
      <c r="K2140">
        <v>1.10949599999999</v>
      </c>
      <c r="L2140">
        <v>283.08800000000002</v>
      </c>
      <c r="M2140">
        <v>-0.99983339999999998</v>
      </c>
      <c r="N2140">
        <v>0</v>
      </c>
      <c r="O2140">
        <v>-1.099642E-2</v>
      </c>
      <c r="P2140">
        <v>-0.99927710000000003</v>
      </c>
      <c r="Q2140">
        <v>1.5239239999999999E-2</v>
      </c>
      <c r="R2140">
        <v>3.4829510000000001E-2</v>
      </c>
      <c r="S2140">
        <v>-3.0050659999999998</v>
      </c>
      <c r="T2140">
        <v>4.2685750000000001E-2</v>
      </c>
      <c r="U2140">
        <v>-0.1133728</v>
      </c>
      <c r="V2140">
        <v>4.5888480000000002E-2</v>
      </c>
      <c r="W2140">
        <v>2.968001E-2</v>
      </c>
      <c r="X2140">
        <v>0.99850550000000005</v>
      </c>
      <c r="Y2140">
        <v>-2.6706779999999999E-2</v>
      </c>
      <c r="Z2140" s="1">
        <v>3.3460110000000002E-5</v>
      </c>
      <c r="AA2140">
        <v>0.99964330000000001</v>
      </c>
      <c r="AB2140">
        <v>34</v>
      </c>
      <c r="AC2140">
        <v>-155.74529999999999</v>
      </c>
      <c r="AD2140">
        <v>2.2172209999999999</v>
      </c>
      <c r="AE2140">
        <v>-5.8859999999999602</v>
      </c>
      <c r="AF2140">
        <v>-4.17197720086138</v>
      </c>
      <c r="AG2140">
        <v>2.2172209999999999</v>
      </c>
      <c r="AH2140">
        <v>155.76908846218799</v>
      </c>
      <c r="AI2140">
        <v>89.184797844828296</v>
      </c>
      <c r="AJ2140">
        <v>91.534191131347697</v>
      </c>
      <c r="AK2140">
        <v>155.84072119657401</v>
      </c>
      <c r="AL2140">
        <v>88.299210829391498</v>
      </c>
      <c r="AM2140">
        <v>87.368699969222902</v>
      </c>
      <c r="AN2140">
        <v>0.99999994456027796</v>
      </c>
    </row>
    <row r="2141" spans="1:40" x14ac:dyDescent="0.25">
      <c r="A2141" t="str">
        <f>"20190312154256946"</f>
        <v>20190312154256946</v>
      </c>
      <c r="B2141" t="str">
        <f>"1552376576939663"</f>
        <v>1552376576939663</v>
      </c>
      <c r="C2141" t="s">
        <v>40</v>
      </c>
      <c r="D2141">
        <v>4.7013809999999996</v>
      </c>
      <c r="E2141">
        <v>0.47073949999999998</v>
      </c>
      <c r="F2141" t="s">
        <v>54</v>
      </c>
      <c r="G2141">
        <v>-511.95960000000002</v>
      </c>
      <c r="H2141">
        <v>2.9469650000000001</v>
      </c>
      <c r="I2141">
        <v>276.72199999999998</v>
      </c>
      <c r="J2141">
        <v>-356.54820000000001</v>
      </c>
      <c r="K2141">
        <v>1.1095029999999999</v>
      </c>
      <c r="L2141">
        <v>283.08539999999999</v>
      </c>
      <c r="M2141">
        <v>-0.99984450000000002</v>
      </c>
      <c r="N2141">
        <v>0</v>
      </c>
      <c r="O2141">
        <v>-9.9465390000000008E-3</v>
      </c>
      <c r="P2141">
        <v>-0.99922029999999995</v>
      </c>
      <c r="Q2141">
        <v>1.5849060000000002E-2</v>
      </c>
      <c r="R2141">
        <v>3.6165490000000002E-2</v>
      </c>
      <c r="S2141">
        <v>-3.00589</v>
      </c>
      <c r="T2141">
        <v>3.5464759999999998E-2</v>
      </c>
      <c r="U2141">
        <v>-0.1228638</v>
      </c>
      <c r="V2141">
        <v>4.6176229999999999E-2</v>
      </c>
      <c r="W2141">
        <v>3.0285320000000001E-2</v>
      </c>
      <c r="X2141">
        <v>0.99847410000000003</v>
      </c>
      <c r="Y2141">
        <v>-3.089747E-2</v>
      </c>
      <c r="Z2141" s="1">
        <v>6.488288E-5</v>
      </c>
      <c r="AA2141">
        <v>0.99952260000000004</v>
      </c>
      <c r="AB2141">
        <v>34</v>
      </c>
      <c r="AC2141">
        <v>-155.41139999999999</v>
      </c>
      <c r="AD2141">
        <v>1.8374619999999999</v>
      </c>
      <c r="AE2141">
        <v>-6.3634000000000102</v>
      </c>
      <c r="AF2141">
        <v>-4.8164435272772304</v>
      </c>
      <c r="AG2141">
        <v>1.8374619999999999</v>
      </c>
      <c r="AH2141">
        <v>155.445317913796</v>
      </c>
      <c r="AI2141">
        <v>89.323084011149106</v>
      </c>
      <c r="AJ2141">
        <v>91.7747309969767</v>
      </c>
      <c r="AK2141">
        <v>155.53077269843999</v>
      </c>
      <c r="AL2141">
        <v>88.264513592359293</v>
      </c>
      <c r="AM2141">
        <v>87.352140301519299</v>
      </c>
      <c r="AN2141">
        <v>0.99999998659766198</v>
      </c>
    </row>
    <row r="2142" spans="1:40" x14ac:dyDescent="0.25">
      <c r="A2142" t="str">
        <f>"20190312154256959"</f>
        <v>20190312154256959</v>
      </c>
      <c r="B2142" t="str">
        <f>"1552376576949424"</f>
        <v>1552376576949424</v>
      </c>
      <c r="C2142" t="s">
        <v>40</v>
      </c>
      <c r="D2142">
        <v>4.896236</v>
      </c>
      <c r="E2142">
        <v>0.47032849999999998</v>
      </c>
      <c r="F2142" t="s">
        <v>54</v>
      </c>
      <c r="G2142">
        <v>-511.95960000000002</v>
      </c>
      <c r="H2142">
        <v>2.8887770000000002</v>
      </c>
      <c r="I2142">
        <v>276.57159999999999</v>
      </c>
      <c r="J2142">
        <v>-356.75069999999999</v>
      </c>
      <c r="K2142">
        <v>1.1095120000000001</v>
      </c>
      <c r="L2142">
        <v>283.084</v>
      </c>
      <c r="M2142">
        <v>-0.99985060000000003</v>
      </c>
      <c r="N2142">
        <v>0</v>
      </c>
      <c r="O2142">
        <v>-9.3173419999999993E-3</v>
      </c>
      <c r="P2142">
        <v>-0.99916669999999996</v>
      </c>
      <c r="Q2142">
        <v>1.6294449999999999E-2</v>
      </c>
      <c r="R2142">
        <v>3.7426090000000002E-2</v>
      </c>
      <c r="S2142">
        <v>-3.006348</v>
      </c>
      <c r="T2142">
        <v>3.4420609999999997E-2</v>
      </c>
      <c r="U2142">
        <v>-0.12600710000000001</v>
      </c>
      <c r="V2142">
        <v>4.6808250000000003E-2</v>
      </c>
      <c r="W2142">
        <v>3.0727150000000002E-2</v>
      </c>
      <c r="X2142">
        <v>0.99843119999999996</v>
      </c>
      <c r="Y2142">
        <v>-3.2563420000000003E-2</v>
      </c>
      <c r="Z2142" s="1">
        <v>7.9694689999999994E-5</v>
      </c>
      <c r="AA2142">
        <v>0.99946970000000002</v>
      </c>
      <c r="AB2142">
        <v>34</v>
      </c>
      <c r="AC2142">
        <v>-155.2089</v>
      </c>
      <c r="AD2142">
        <v>1.7792650000000001</v>
      </c>
      <c r="AE2142">
        <v>-6.5124000000000102</v>
      </c>
      <c r="AF2142">
        <v>-5.06516508840323</v>
      </c>
      <c r="AG2142">
        <v>1.7792650000000001</v>
      </c>
      <c r="AH2142">
        <v>155.242480569619</v>
      </c>
      <c r="AI2142">
        <v>89.343699615590296</v>
      </c>
      <c r="AJ2142">
        <v>91.868751805764504</v>
      </c>
      <c r="AK2142">
        <v>155.33528077909901</v>
      </c>
      <c r="AL2142">
        <v>88.239186860909598</v>
      </c>
      <c r="AM2142">
        <v>87.315836188465894</v>
      </c>
      <c r="AN2142">
        <v>1.0000000155743101</v>
      </c>
    </row>
    <row r="2143" spans="1:40" x14ac:dyDescent="0.25">
      <c r="A2143" t="str">
        <f>"20190312154256972"</f>
        <v>20190312154256972</v>
      </c>
      <c r="B2143" t="str">
        <f>"1552376576959184"</f>
        <v>1552376576959184</v>
      </c>
      <c r="C2143" t="s">
        <v>40</v>
      </c>
      <c r="D2143">
        <v>4.6732180000000003</v>
      </c>
      <c r="E2143">
        <v>0.46987600000000002</v>
      </c>
      <c r="F2143" t="s">
        <v>54</v>
      </c>
      <c r="G2143">
        <v>-511.9597</v>
      </c>
      <c r="H2143">
        <v>3.073763</v>
      </c>
      <c r="I2143">
        <v>276.61849999999998</v>
      </c>
      <c r="J2143">
        <v>-356.94580000000002</v>
      </c>
      <c r="K2143">
        <v>1.1095219999999999</v>
      </c>
      <c r="L2143">
        <v>283.08280000000002</v>
      </c>
      <c r="M2143">
        <v>-0.99985610000000003</v>
      </c>
      <c r="N2143">
        <v>0</v>
      </c>
      <c r="O2143">
        <v>-8.7154599999999995E-3</v>
      </c>
      <c r="P2143">
        <v>-0.99913090000000004</v>
      </c>
      <c r="Q2143">
        <v>1.6731739999999998E-2</v>
      </c>
      <c r="R2143">
        <v>3.8179329999999997E-2</v>
      </c>
      <c r="S2143">
        <v>-3.006561</v>
      </c>
      <c r="T2143">
        <v>3.8051130000000002E-2</v>
      </c>
      <c r="U2143">
        <v>-0.1252441</v>
      </c>
      <c r="V2143">
        <v>4.6960469999999997E-2</v>
      </c>
      <c r="W2143">
        <v>3.1162280000000001E-2</v>
      </c>
      <c r="X2143">
        <v>0.99841049999999998</v>
      </c>
      <c r="Y2143">
        <v>-3.29085E-2</v>
      </c>
      <c r="Z2143" s="1">
        <v>9.7890349999999997E-5</v>
      </c>
      <c r="AA2143">
        <v>0.99945839999999997</v>
      </c>
      <c r="AB2143">
        <v>34</v>
      </c>
      <c r="AC2143">
        <v>-155.01389999999901</v>
      </c>
      <c r="AD2143">
        <v>1.9642409999999999</v>
      </c>
      <c r="AE2143">
        <v>-6.4643000000000299</v>
      </c>
      <c r="AF2143">
        <v>-5.11207448738132</v>
      </c>
      <c r="AG2143">
        <v>1.9642409999999999</v>
      </c>
      <c r="AH2143">
        <v>155.03950603502801</v>
      </c>
      <c r="AI2143">
        <v>89.274536002752498</v>
      </c>
      <c r="AJ2143">
        <v>91.888513594093695</v>
      </c>
      <c r="AK2143">
        <v>155.13619816102201</v>
      </c>
      <c r="AL2143">
        <v>88.214243686087599</v>
      </c>
      <c r="AM2143">
        <v>87.307064391243799</v>
      </c>
      <c r="AN2143">
        <v>0.99999994997383301</v>
      </c>
    </row>
    <row r="2144" spans="1:40" x14ac:dyDescent="0.25">
      <c r="A2144" t="str">
        <f>"20190312154256991"</f>
        <v>20190312154256991</v>
      </c>
      <c r="B2144" t="str">
        <f>"1552376576979679"</f>
        <v>1552376576979679</v>
      </c>
      <c r="C2144" t="s">
        <v>40</v>
      </c>
      <c r="D2144">
        <v>4.6804180000000004</v>
      </c>
      <c r="E2144">
        <v>0.46933900000000001</v>
      </c>
      <c r="F2144" t="s">
        <v>54</v>
      </c>
      <c r="G2144">
        <v>-511.9597</v>
      </c>
      <c r="H2144">
        <v>3.2445200000000001</v>
      </c>
      <c r="I2144">
        <v>276.55509999999998</v>
      </c>
      <c r="J2144">
        <v>-357.22</v>
      </c>
      <c r="K2144">
        <v>1.1095459999999999</v>
      </c>
      <c r="L2144">
        <v>283.0813</v>
      </c>
      <c r="M2144">
        <v>-0.99986299999999995</v>
      </c>
      <c r="N2144">
        <v>0</v>
      </c>
      <c r="O2144">
        <v>-7.8822890000000007E-3</v>
      </c>
      <c r="P2144">
        <v>-0.99905909999999998</v>
      </c>
      <c r="Q2144">
        <v>1.7434470000000001E-2</v>
      </c>
      <c r="R2144">
        <v>3.9710599999999999E-2</v>
      </c>
      <c r="S2144">
        <v>-3.0067750000000002</v>
      </c>
      <c r="T2144">
        <v>4.1413659999999998E-2</v>
      </c>
      <c r="U2144">
        <v>-0.12661739999999999</v>
      </c>
      <c r="V2144">
        <v>4.7659350000000003E-2</v>
      </c>
      <c r="W2144">
        <v>3.1860979999999997E-2</v>
      </c>
      <c r="X2144">
        <v>0.9983554</v>
      </c>
      <c r="Y2144">
        <v>-3.4193479999999998E-2</v>
      </c>
      <c r="Z2144">
        <v>1.2684640000000001E-4</v>
      </c>
      <c r="AA2144">
        <v>0.99941519999999995</v>
      </c>
      <c r="AB2144">
        <v>34</v>
      </c>
      <c r="AC2144">
        <v>-154.739699999999</v>
      </c>
      <c r="AD2144">
        <v>2.1349740000000001</v>
      </c>
      <c r="AE2144">
        <v>-6.52620000000001</v>
      </c>
      <c r="AF2144">
        <v>-5.3051568523274799</v>
      </c>
      <c r="AG2144">
        <v>2.1349740000000001</v>
      </c>
      <c r="AH2144">
        <v>154.75693109888201</v>
      </c>
      <c r="AI2144">
        <v>89.210080991998595</v>
      </c>
      <c r="AJ2144">
        <v>91.963363519836093</v>
      </c>
      <c r="AK2144">
        <v>154.86255366082699</v>
      </c>
      <c r="AL2144">
        <v>88.174191359742096</v>
      </c>
      <c r="AM2144">
        <v>87.266897016011697</v>
      </c>
      <c r="AN2144">
        <v>1.00000002019907</v>
      </c>
    </row>
    <row r="2145" spans="1:40" x14ac:dyDescent="0.25">
      <c r="A2145" t="str">
        <f>"20190312154257011"</f>
        <v>20190312154257011</v>
      </c>
      <c r="B2145" t="str">
        <f>"1552376576999201"</f>
        <v>1552376576999201</v>
      </c>
      <c r="C2145" t="s">
        <v>40</v>
      </c>
      <c r="D2145">
        <v>4.6800050000000004</v>
      </c>
      <c r="E2145">
        <v>0.46867920000000002</v>
      </c>
      <c r="F2145" t="s">
        <v>54</v>
      </c>
      <c r="G2145">
        <v>-511.9597</v>
      </c>
      <c r="H2145">
        <v>3.2507869999999999</v>
      </c>
      <c r="I2145">
        <v>276.58139999999997</v>
      </c>
      <c r="J2145">
        <v>-357.5324</v>
      </c>
      <c r="K2145">
        <v>1.109564</v>
      </c>
      <c r="L2145">
        <v>283.07979999999998</v>
      </c>
      <c r="M2145">
        <v>-0.99986989999999998</v>
      </c>
      <c r="N2145">
        <v>0</v>
      </c>
      <c r="O2145">
        <v>-6.9518080000000003E-3</v>
      </c>
      <c r="P2145">
        <v>-0.99899020000000005</v>
      </c>
      <c r="Q2145">
        <v>1.8188610000000001E-2</v>
      </c>
      <c r="R2145">
        <v>4.1082649999999998E-2</v>
      </c>
      <c r="S2145">
        <v>-3.00705</v>
      </c>
      <c r="T2145">
        <v>4.1612150000000001E-2</v>
      </c>
      <c r="U2145">
        <v>-0.12631229999999999</v>
      </c>
      <c r="V2145">
        <v>4.8101610000000003E-2</v>
      </c>
      <c r="W2145">
        <v>3.2612090000000003E-2</v>
      </c>
      <c r="X2145">
        <v>0.99830989999999997</v>
      </c>
      <c r="Y2145">
        <v>-3.5018250000000001E-2</v>
      </c>
      <c r="Z2145">
        <v>1.4601680000000001E-4</v>
      </c>
      <c r="AA2145">
        <v>0.99938669999999996</v>
      </c>
      <c r="AB2145">
        <v>33</v>
      </c>
      <c r="AC2145">
        <v>-154.4273</v>
      </c>
      <c r="AD2145">
        <v>2.1412230000000001</v>
      </c>
      <c r="AE2145">
        <v>-6.4984000000000002</v>
      </c>
      <c r="AF2145">
        <v>-5.4235394078158601</v>
      </c>
      <c r="AG2145">
        <v>2.1412230000000001</v>
      </c>
      <c r="AH2145">
        <v>154.439108956512</v>
      </c>
      <c r="AI2145">
        <v>89.206162113147798</v>
      </c>
      <c r="AJ2145">
        <v>92.0112669141282</v>
      </c>
      <c r="AK2145">
        <v>154.54914425814599</v>
      </c>
      <c r="AL2145">
        <v>88.131133482065394</v>
      </c>
      <c r="AM2145">
        <v>87.241448361802597</v>
      </c>
      <c r="AN2145">
        <v>0.99999998486838404</v>
      </c>
    </row>
    <row r="2146" spans="1:40" x14ac:dyDescent="0.25">
      <c r="A2146" t="str">
        <f>"20190312154257035"</f>
        <v>20190312154257035</v>
      </c>
      <c r="B2146" t="str">
        <f>"1552376577029459"</f>
        <v>1552376577029459</v>
      </c>
      <c r="C2146" t="s">
        <v>40</v>
      </c>
      <c r="D2146">
        <v>4.6427880000000004</v>
      </c>
      <c r="E2146">
        <v>0.46781089999999997</v>
      </c>
      <c r="F2146" t="s">
        <v>54</v>
      </c>
      <c r="G2146">
        <v>-511.9597</v>
      </c>
      <c r="H2146">
        <v>3.2727490000000001</v>
      </c>
      <c r="I2146">
        <v>276.53140000000002</v>
      </c>
      <c r="J2146">
        <v>-357.88420000000002</v>
      </c>
      <c r="K2146">
        <v>1.109594</v>
      </c>
      <c r="L2146">
        <v>283.07839999999999</v>
      </c>
      <c r="M2146">
        <v>-0.9998766</v>
      </c>
      <c r="N2146">
        <v>0</v>
      </c>
      <c r="O2146">
        <v>-5.92948E-3</v>
      </c>
      <c r="P2146">
        <v>-0.99891039999999998</v>
      </c>
      <c r="Q2146">
        <v>1.873696E-2</v>
      </c>
      <c r="R2146">
        <v>4.2744980000000002E-2</v>
      </c>
      <c r="S2146">
        <v>-3.0075379999999998</v>
      </c>
      <c r="T2146">
        <v>4.2130470000000003E-2</v>
      </c>
      <c r="U2146">
        <v>-0.12753299999999901</v>
      </c>
      <c r="V2146">
        <v>4.8741739999999999E-2</v>
      </c>
      <c r="W2146">
        <v>3.3157289999999999E-2</v>
      </c>
      <c r="X2146">
        <v>0.99826090000000001</v>
      </c>
      <c r="Y2146">
        <v>-3.6437850000000001E-2</v>
      </c>
      <c r="Z2146">
        <v>1.7206249999999999E-4</v>
      </c>
      <c r="AA2146">
        <v>0.99933590000000005</v>
      </c>
      <c r="AB2146">
        <v>33</v>
      </c>
      <c r="AC2146">
        <v>-154.07549999999901</v>
      </c>
      <c r="AD2146">
        <v>2.1631549999999899</v>
      </c>
      <c r="AE2146">
        <v>-6.5469999999999597</v>
      </c>
      <c r="AF2146">
        <v>-5.6320924624638797</v>
      </c>
      <c r="AG2146">
        <v>2.1631549999999899</v>
      </c>
      <c r="AH2146">
        <v>154.08129907907701</v>
      </c>
      <c r="AI2146">
        <v>89.196211271878994</v>
      </c>
      <c r="AJ2146">
        <v>92.093385291169099</v>
      </c>
      <c r="AK2146">
        <v>154.19937234293701</v>
      </c>
      <c r="AL2146">
        <v>88.099878935201005</v>
      </c>
      <c r="AM2146">
        <v>87.204658766467603</v>
      </c>
      <c r="AN2146">
        <v>0.99999999378358995</v>
      </c>
    </row>
    <row r="2147" spans="1:40" x14ac:dyDescent="0.25">
      <c r="A2147" t="str">
        <f>"20190312154257048"</f>
        <v>20190312154257048</v>
      </c>
      <c r="B2147" t="str">
        <f>"1552376577039216"</f>
        <v>1552376577039216</v>
      </c>
      <c r="C2147" t="s">
        <v>40</v>
      </c>
      <c r="D2147">
        <v>4.653181</v>
      </c>
      <c r="E2147">
        <v>0.46750760000000002</v>
      </c>
      <c r="F2147" t="s">
        <v>54</v>
      </c>
      <c r="G2147">
        <v>-511.9597</v>
      </c>
      <c r="H2147">
        <v>3.2364109999999999</v>
      </c>
      <c r="I2147">
        <v>276.42880000000002</v>
      </c>
      <c r="J2147">
        <v>-358.07889999999998</v>
      </c>
      <c r="K2147">
        <v>1.10961</v>
      </c>
      <c r="L2147">
        <v>283.07780000000002</v>
      </c>
      <c r="M2147">
        <v>-0.99987979999999999</v>
      </c>
      <c r="N2147">
        <v>0</v>
      </c>
      <c r="O2147">
        <v>-5.3731050000000004E-3</v>
      </c>
      <c r="P2147">
        <v>-0.9988764</v>
      </c>
      <c r="Q2147">
        <v>1.906511E-2</v>
      </c>
      <c r="R2147">
        <v>4.3391329999999999E-2</v>
      </c>
      <c r="S2147">
        <v>-3.008057</v>
      </c>
      <c r="T2147">
        <v>4.1523930000000001E-2</v>
      </c>
      <c r="U2147">
        <v>-0.12982179999999999</v>
      </c>
      <c r="V2147">
        <v>4.8831979999999997E-2</v>
      </c>
      <c r="W2147">
        <v>3.3484229999999997E-2</v>
      </c>
      <c r="X2147">
        <v>0.99824559999999996</v>
      </c>
      <c r="Y2147">
        <v>-3.7745510000000003E-2</v>
      </c>
      <c r="Z2147">
        <v>1.8625139999999999E-4</v>
      </c>
      <c r="AA2147">
        <v>0.99928740000000005</v>
      </c>
      <c r="AB2147">
        <v>33</v>
      </c>
      <c r="AC2147">
        <v>-153.88079999999999</v>
      </c>
      <c r="AD2147">
        <v>2.1268009999999999</v>
      </c>
      <c r="AE2147">
        <v>-6.649</v>
      </c>
      <c r="AF2147">
        <v>-5.8208889982871401</v>
      </c>
      <c r="AG2147">
        <v>2.1268009999999999</v>
      </c>
      <c r="AH2147">
        <v>153.88496704546</v>
      </c>
      <c r="AI2147">
        <v>89.208747300180406</v>
      </c>
      <c r="AJ2147">
        <v>92.166250866399494</v>
      </c>
      <c r="AK2147">
        <v>154.00970460917799</v>
      </c>
      <c r="AL2147">
        <v>88.081136289625903</v>
      </c>
      <c r="AM2147">
        <v>87.199448874374497</v>
      </c>
      <c r="AN2147">
        <v>1.0000000169243799</v>
      </c>
    </row>
    <row r="2148" spans="1:40" x14ac:dyDescent="0.25">
      <c r="A2148" t="str">
        <f>"20190312154257069"</f>
        <v>20190312154257069</v>
      </c>
      <c r="B2148" t="str">
        <f>"1552376577059711"</f>
        <v>1552376577059711</v>
      </c>
      <c r="C2148" t="s">
        <v>40</v>
      </c>
      <c r="D2148">
        <v>4.6511719999999999</v>
      </c>
      <c r="E2148">
        <v>0.46699849999999998</v>
      </c>
      <c r="F2148" t="s">
        <v>54</v>
      </c>
      <c r="G2148">
        <v>-511.9597</v>
      </c>
      <c r="H2148">
        <v>3.260983</v>
      </c>
      <c r="I2148">
        <v>276.41359999999997</v>
      </c>
      <c r="J2148">
        <v>-358.38990000000001</v>
      </c>
      <c r="K2148">
        <v>1.1096299999999999</v>
      </c>
      <c r="L2148">
        <v>283.07709999999997</v>
      </c>
      <c r="M2148">
        <v>-0.99988410000000005</v>
      </c>
      <c r="N2148">
        <v>0</v>
      </c>
      <c r="O2148">
        <v>-4.5107319999999999E-3</v>
      </c>
      <c r="P2148">
        <v>-0.99883029999999995</v>
      </c>
      <c r="Q2148">
        <v>1.925719E-2</v>
      </c>
      <c r="R2148">
        <v>4.4352170000000003E-2</v>
      </c>
      <c r="S2148">
        <v>-3.0082399999999998</v>
      </c>
      <c r="T2148">
        <v>4.2059060000000002E-2</v>
      </c>
      <c r="U2148">
        <v>-0.13027949999999999</v>
      </c>
      <c r="V2148">
        <v>4.8929680000000003E-2</v>
      </c>
      <c r="W2148">
        <v>3.3674849999999999E-2</v>
      </c>
      <c r="X2148">
        <v>0.99823439999999997</v>
      </c>
      <c r="Y2148">
        <v>-3.8756239999999997E-2</v>
      </c>
      <c r="Z2148">
        <v>2.0775279999999999E-4</v>
      </c>
      <c r="AA2148">
        <v>0.99924869999999999</v>
      </c>
      <c r="AB2148">
        <v>33</v>
      </c>
      <c r="AC2148">
        <v>-153.56979999999999</v>
      </c>
      <c r="AD2148">
        <v>2.1513529999999998</v>
      </c>
      <c r="AE2148">
        <v>-6.6634999999999902</v>
      </c>
      <c r="AF2148">
        <v>-5.9694774250465796</v>
      </c>
      <c r="AG2148">
        <v>2.1513529999999998</v>
      </c>
      <c r="AH2148">
        <v>153.568216513723</v>
      </c>
      <c r="AI2148">
        <v>89.197995626093601</v>
      </c>
      <c r="AJ2148">
        <v>92.226070973060104</v>
      </c>
      <c r="AK2148">
        <v>153.69925212461001</v>
      </c>
      <c r="AL2148">
        <v>88.070208398362894</v>
      </c>
      <c r="AM2148">
        <v>87.193823218089904</v>
      </c>
      <c r="AN2148">
        <v>1.0000000132253899</v>
      </c>
    </row>
    <row r="2149" spans="1:40" x14ac:dyDescent="0.25">
      <c r="A2149" t="str">
        <f>"20190312154257082"</f>
        <v>20190312154257082</v>
      </c>
      <c r="B2149" t="str">
        <f>"1552376577079232"</f>
        <v>1552376577079232</v>
      </c>
      <c r="C2149" t="s">
        <v>40</v>
      </c>
      <c r="D2149">
        <v>4.6779479999999998</v>
      </c>
      <c r="E2149">
        <v>0.4665087</v>
      </c>
      <c r="F2149" t="s">
        <v>54</v>
      </c>
      <c r="G2149">
        <v>-511.9597</v>
      </c>
      <c r="H2149">
        <v>3.2445550000000001</v>
      </c>
      <c r="I2149">
        <v>276.37090000000001</v>
      </c>
      <c r="J2149">
        <v>-358.59179999999998</v>
      </c>
      <c r="K2149">
        <v>1.1096469999999901</v>
      </c>
      <c r="L2149">
        <v>283.07670000000002</v>
      </c>
      <c r="M2149">
        <v>-0.99988639999999995</v>
      </c>
      <c r="N2149">
        <v>0</v>
      </c>
      <c r="O2149">
        <v>-3.9678630000000003E-3</v>
      </c>
      <c r="P2149">
        <v>-0.9988165</v>
      </c>
      <c r="Q2149">
        <v>1.8874800000000001E-2</v>
      </c>
      <c r="R2149">
        <v>4.482502E-2</v>
      </c>
      <c r="S2149">
        <v>-3.0085449999999998</v>
      </c>
      <c r="T2149">
        <v>4.1826250000000002E-2</v>
      </c>
      <c r="U2149">
        <v>-0.1313782</v>
      </c>
      <c r="V2149">
        <v>4.8858369999999998E-2</v>
      </c>
      <c r="W2149">
        <v>3.3292160000000001E-2</v>
      </c>
      <c r="X2149">
        <v>0.99825070000000005</v>
      </c>
      <c r="Y2149">
        <v>-3.9658480000000003E-2</v>
      </c>
      <c r="Z2149">
        <v>2.203924E-4</v>
      </c>
      <c r="AA2149">
        <v>0.99921329999999997</v>
      </c>
      <c r="AB2149">
        <v>33</v>
      </c>
      <c r="AC2149">
        <v>-153.36789999999999</v>
      </c>
      <c r="AD2149">
        <v>2.1349079999999998</v>
      </c>
      <c r="AE2149">
        <v>-6.7058000000000098</v>
      </c>
      <c r="AF2149">
        <v>-6.0959610704487597</v>
      </c>
      <c r="AG2149">
        <v>2.1349079999999998</v>
      </c>
      <c r="AH2149">
        <v>153.36364217810501</v>
      </c>
      <c r="AI2149">
        <v>89.203091298622795</v>
      </c>
      <c r="AJ2149">
        <v>92.276217933385695</v>
      </c>
      <c r="AK2149">
        <v>153.499593861596</v>
      </c>
      <c r="AL2149">
        <v>88.092147166315698</v>
      </c>
      <c r="AM2149">
        <v>87.197952092004002</v>
      </c>
      <c r="AN2149">
        <v>0.99999998414350599</v>
      </c>
    </row>
    <row r="2150" spans="1:40" x14ac:dyDescent="0.25">
      <c r="A2150" t="str">
        <f>"20190312154257101"</f>
        <v>20190312154257101</v>
      </c>
      <c r="B2150" t="str">
        <f>"1552376577089967"</f>
        <v>1552376577089967</v>
      </c>
      <c r="C2150" t="s">
        <v>40</v>
      </c>
      <c r="D2150">
        <v>4.6698550000000001</v>
      </c>
      <c r="E2150">
        <v>0.46638309999999999</v>
      </c>
      <c r="F2150" t="s">
        <v>54</v>
      </c>
      <c r="G2150">
        <v>-511.9597</v>
      </c>
      <c r="H2150">
        <v>3.1269740000000001</v>
      </c>
      <c r="I2150">
        <v>276.25400000000002</v>
      </c>
      <c r="J2150">
        <v>-358.87380000000002</v>
      </c>
      <c r="K2150">
        <v>1.109661</v>
      </c>
      <c r="L2150">
        <v>283.07639999999998</v>
      </c>
      <c r="M2150">
        <v>-0.99988920000000003</v>
      </c>
      <c r="N2150">
        <v>0</v>
      </c>
      <c r="O2150">
        <v>-3.2261490000000002E-3</v>
      </c>
      <c r="P2150">
        <v>-0.99883920000000004</v>
      </c>
      <c r="Q2150">
        <v>1.7618209999999999E-2</v>
      </c>
      <c r="R2150">
        <v>4.483438E-2</v>
      </c>
      <c r="S2150">
        <v>-3.0088200000000001</v>
      </c>
      <c r="T2150">
        <v>3.9578080000000002E-2</v>
      </c>
      <c r="U2150">
        <v>-0.1338501</v>
      </c>
      <c r="V2150">
        <v>4.8122570000000003E-2</v>
      </c>
      <c r="W2150">
        <v>3.2037330000000003E-2</v>
      </c>
      <c r="X2150">
        <v>0.99832750000000003</v>
      </c>
      <c r="Y2150">
        <v>-4.1215149999999999E-2</v>
      </c>
      <c r="Z2150">
        <v>2.2850910000000001E-4</v>
      </c>
      <c r="AA2150">
        <v>0.99915030000000005</v>
      </c>
      <c r="AB2150">
        <v>33</v>
      </c>
      <c r="AC2150">
        <v>-153.08589999999899</v>
      </c>
      <c r="AD2150">
        <v>2.0173130000000001</v>
      </c>
      <c r="AE2150">
        <v>-6.8223999999999503</v>
      </c>
      <c r="AF2150">
        <v>-6.32733784070036</v>
      </c>
      <c r="AG2150">
        <v>2.0173130000000001</v>
      </c>
      <c r="AH2150">
        <v>153.080585732771</v>
      </c>
      <c r="AI2150">
        <v>89.245637587777495</v>
      </c>
      <c r="AJ2150">
        <v>92.366880875373894</v>
      </c>
      <c r="AK2150">
        <v>153.22457532712801</v>
      </c>
      <c r="AL2150">
        <v>88.164082023295194</v>
      </c>
      <c r="AM2150">
        <v>87.240296774467893</v>
      </c>
      <c r="AN2150">
        <v>0.99999998475659102</v>
      </c>
    </row>
    <row r="2151" spans="1:40" x14ac:dyDescent="0.25">
      <c r="A2151" t="str">
        <f>"20190312154257126"</f>
        <v>20190312154257126</v>
      </c>
      <c r="B2151" t="str">
        <f>"1552376577119248"</f>
        <v>1552376577119248</v>
      </c>
      <c r="C2151" t="s">
        <v>40</v>
      </c>
      <c r="D2151">
        <v>4.6311559999999998</v>
      </c>
      <c r="E2151">
        <v>0.4657193</v>
      </c>
      <c r="F2151" t="s">
        <v>54</v>
      </c>
      <c r="G2151">
        <v>-511.95960000000002</v>
      </c>
      <c r="H2151">
        <v>2.9560379999999999</v>
      </c>
      <c r="I2151">
        <v>276.21510000000001</v>
      </c>
      <c r="J2151">
        <v>-359.2251</v>
      </c>
      <c r="K2151">
        <v>1.109688</v>
      </c>
      <c r="L2151">
        <v>283.07619999999997</v>
      </c>
      <c r="M2151">
        <v>-0.99989159999999999</v>
      </c>
      <c r="N2151">
        <v>0</v>
      </c>
      <c r="O2151">
        <v>-2.3405959999999999E-3</v>
      </c>
      <c r="P2151">
        <v>-0.99884899999999999</v>
      </c>
      <c r="Q2151">
        <v>1.6319859999999999E-2</v>
      </c>
      <c r="R2151">
        <v>4.5104749999999999E-2</v>
      </c>
      <c r="S2151">
        <v>-3.0088810000000001</v>
      </c>
      <c r="T2151">
        <v>3.6291839999999999E-2</v>
      </c>
      <c r="U2151">
        <v>-0.13485720000000001</v>
      </c>
      <c r="V2151">
        <v>4.7503179999999999E-2</v>
      </c>
      <c r="W2151">
        <v>3.0740489999999999E-2</v>
      </c>
      <c r="X2151">
        <v>0.99839789999999995</v>
      </c>
      <c r="Y2151">
        <v>-4.2433239999999997E-2</v>
      </c>
      <c r="Z2151">
        <v>2.2754949999999999E-4</v>
      </c>
      <c r="AA2151">
        <v>0.99909930000000002</v>
      </c>
      <c r="AB2151">
        <v>33</v>
      </c>
      <c r="AC2151">
        <v>-152.7345</v>
      </c>
      <c r="AD2151">
        <v>1.8463499999999999</v>
      </c>
      <c r="AE2151">
        <v>-6.8610999999999596</v>
      </c>
      <c r="AF2151">
        <v>-6.5026053223458904</v>
      </c>
      <c r="AG2151">
        <v>1.8463499999999999</v>
      </c>
      <c r="AH2151">
        <v>152.727868387081</v>
      </c>
      <c r="AI2151">
        <v>89.308003372667599</v>
      </c>
      <c r="AJ2151">
        <v>92.437976530390003</v>
      </c>
      <c r="AK2151">
        <v>152.877384417586</v>
      </c>
      <c r="AL2151">
        <v>88.238422055406602</v>
      </c>
      <c r="AM2151">
        <v>87.275955113811605</v>
      </c>
      <c r="AN2151">
        <v>0.99999994827997996</v>
      </c>
    </row>
    <row r="2152" spans="1:40" x14ac:dyDescent="0.25">
      <c r="A2152" t="str">
        <f>"20190312154257147"</f>
        <v>20190312154257147</v>
      </c>
      <c r="B2152" t="str">
        <f>"1552376577139743"</f>
        <v>1552376577139743</v>
      </c>
      <c r="C2152" t="s">
        <v>40</v>
      </c>
      <c r="D2152">
        <v>4.6751189999999996</v>
      </c>
      <c r="E2152">
        <v>0.46552179999999999</v>
      </c>
      <c r="F2152" t="s">
        <v>54</v>
      </c>
      <c r="G2152">
        <v>-511.95949999999999</v>
      </c>
      <c r="H2152">
        <v>2.6126969999999998</v>
      </c>
      <c r="I2152">
        <v>275.99459999999999</v>
      </c>
      <c r="J2152">
        <v>-359.55259999999998</v>
      </c>
      <c r="K2152">
        <v>1.109728</v>
      </c>
      <c r="L2152">
        <v>283.0763</v>
      </c>
      <c r="M2152">
        <v>-0.99989320000000004</v>
      </c>
      <c r="N2152">
        <v>0</v>
      </c>
      <c r="O2152">
        <v>-1.5656400000000001E-3</v>
      </c>
      <c r="P2152">
        <v>-0.99886470000000005</v>
      </c>
      <c r="Q2152">
        <v>1.4790090000000001E-2</v>
      </c>
      <c r="R2152">
        <v>4.5282969999999999E-2</v>
      </c>
      <c r="S2152">
        <v>-3.0093079999999999</v>
      </c>
      <c r="T2152">
        <v>2.9615160000000001E-2</v>
      </c>
      <c r="U2152">
        <v>-0.13952639999999999</v>
      </c>
      <c r="V2152">
        <v>4.6901480000000002E-2</v>
      </c>
      <c r="W2152">
        <v>2.9213389999999999E-2</v>
      </c>
      <c r="X2152">
        <v>0.99847229999999998</v>
      </c>
      <c r="Y2152">
        <v>-4.4748910000000003E-2</v>
      </c>
      <c r="Z2152">
        <v>2.0466709999999999E-4</v>
      </c>
      <c r="AA2152">
        <v>0.99899819999999995</v>
      </c>
      <c r="AB2152">
        <v>33</v>
      </c>
      <c r="AC2152">
        <v>-152.40690000000001</v>
      </c>
      <c r="AD2152">
        <v>1.502969</v>
      </c>
      <c r="AE2152">
        <v>-7.0817000000000103</v>
      </c>
      <c r="AF2152">
        <v>-6.8423877952041403</v>
      </c>
      <c r="AG2152">
        <v>1.502969</v>
      </c>
      <c r="AH2152">
        <v>152.40301242976</v>
      </c>
      <c r="AI2152">
        <v>89.435546996622605</v>
      </c>
      <c r="AJ2152">
        <v>92.570663409186594</v>
      </c>
      <c r="AK2152">
        <v>152.56393867562701</v>
      </c>
      <c r="AL2152">
        <v>88.325957967142301</v>
      </c>
      <c r="AM2152">
        <v>87.310608411361002</v>
      </c>
      <c r="AN2152">
        <v>1.0000000524243799</v>
      </c>
    </row>
    <row r="2153" spans="1:40" x14ac:dyDescent="0.25">
      <c r="A2153" t="str">
        <f>"20190312154257169"</f>
        <v>20190312154257169</v>
      </c>
      <c r="B2153" t="str">
        <f>"1552376577159267"</f>
        <v>1552376577159267</v>
      </c>
      <c r="C2153" t="s">
        <v>40</v>
      </c>
      <c r="D2153">
        <v>3.5353379999999999</v>
      </c>
      <c r="E2153">
        <v>0.44893709999999998</v>
      </c>
      <c r="F2153" t="s">
        <v>54</v>
      </c>
      <c r="G2153">
        <v>-511.95940000000002</v>
      </c>
      <c r="H2153">
        <v>2.4384519999999998</v>
      </c>
      <c r="I2153">
        <v>275.95760000000001</v>
      </c>
      <c r="J2153">
        <v>-359.87619999999998</v>
      </c>
      <c r="K2153">
        <v>1.109775</v>
      </c>
      <c r="L2153">
        <v>283.07650000000001</v>
      </c>
      <c r="M2153">
        <v>-0.99989419999999996</v>
      </c>
      <c r="N2153">
        <v>0</v>
      </c>
      <c r="O2153">
        <v>-8.6261300000000003E-4</v>
      </c>
      <c r="P2153">
        <v>-0.99886569999999997</v>
      </c>
      <c r="Q2153">
        <v>1.3797709999999999E-2</v>
      </c>
      <c r="R2153">
        <v>4.557779E-2</v>
      </c>
      <c r="S2153">
        <v>-3.0093990000000002</v>
      </c>
      <c r="T2153">
        <v>2.6238319999999999E-2</v>
      </c>
      <c r="U2153">
        <v>-0.14056399999999999</v>
      </c>
      <c r="V2153">
        <v>4.648907E-2</v>
      </c>
      <c r="W2153">
        <v>2.822436E-2</v>
      </c>
      <c r="X2153">
        <v>0.99851999999999996</v>
      </c>
      <c r="Y2153">
        <v>-4.5793970000000003E-2</v>
      </c>
      <c r="Z2153">
        <v>1.9200399999999999E-4</v>
      </c>
      <c r="AA2153">
        <v>0.99895089999999997</v>
      </c>
      <c r="AB2153">
        <v>33</v>
      </c>
      <c r="AC2153">
        <v>-152.08320000000001</v>
      </c>
      <c r="AD2153">
        <v>1.3286770000000001</v>
      </c>
      <c r="AE2153">
        <v>-7.1188999999999902</v>
      </c>
      <c r="AF2153">
        <v>-6.9871624321061798</v>
      </c>
      <c r="AG2153">
        <v>1.3286770000000001</v>
      </c>
      <c r="AH2153">
        <v>152.077702700853</v>
      </c>
      <c r="AI2153">
        <v>89.4999567334403</v>
      </c>
      <c r="AJ2153">
        <v>92.630586709100101</v>
      </c>
      <c r="AK2153">
        <v>152.24392756426201</v>
      </c>
      <c r="AL2153">
        <v>88.382648540945098</v>
      </c>
      <c r="AM2153">
        <v>87.334349433144894</v>
      </c>
      <c r="AN2153">
        <v>1.00000001926343</v>
      </c>
    </row>
    <row r="2154" spans="1:40" x14ac:dyDescent="0.25">
      <c r="A2154" t="str">
        <f>"20190312154257269"</f>
        <v>20190312154257269</v>
      </c>
      <c r="B2154" t="str">
        <f>"1552376577259231"</f>
        <v>1552376577259231</v>
      </c>
      <c r="C2154" t="s">
        <v>40</v>
      </c>
      <c r="D2154">
        <v>3.5859610000000002</v>
      </c>
      <c r="E2154">
        <v>0.46927489999999999</v>
      </c>
      <c r="F2154" t="s">
        <v>50</v>
      </c>
      <c r="G2154">
        <v>-368.12950000000001</v>
      </c>
      <c r="H2154" s="1">
        <v>2.78931E-6</v>
      </c>
      <c r="I2154">
        <v>282.25819999999999</v>
      </c>
      <c r="J2154">
        <v>-361.36340000000001</v>
      </c>
      <c r="K2154">
        <v>1.1100760000000001</v>
      </c>
      <c r="L2154">
        <v>283.07929999999999</v>
      </c>
      <c r="M2154">
        <v>-0.99989380000000005</v>
      </c>
      <c r="N2154">
        <v>0</v>
      </c>
      <c r="O2154">
        <v>1.4200300000000001E-3</v>
      </c>
      <c r="P2154">
        <v>-0.99849200000000005</v>
      </c>
      <c r="Q2154">
        <v>1.232833E-2</v>
      </c>
      <c r="R2154">
        <v>5.3499770000000002E-2</v>
      </c>
      <c r="S2154">
        <v>-3.022675</v>
      </c>
      <c r="T2154">
        <v>-0.40644360000000002</v>
      </c>
      <c r="U2154">
        <v>-0.29968260000000002</v>
      </c>
      <c r="V2154">
        <v>5.2109320000000001E-2</v>
      </c>
      <c r="W2154">
        <v>2.6761500000000001E-2</v>
      </c>
      <c r="X2154">
        <v>0.99828269999999997</v>
      </c>
      <c r="Y2154">
        <v>-9.9177660000000001E-2</v>
      </c>
      <c r="Z2154">
        <v>-6.8117219999999897E-3</v>
      </c>
      <c r="AA2154">
        <v>0.9950464</v>
      </c>
      <c r="AB2154">
        <v>33</v>
      </c>
      <c r="AC2154">
        <v>-6.76609999999999</v>
      </c>
      <c r="AD2154">
        <v>-1.11007321069</v>
      </c>
      <c r="AE2154">
        <v>-0.82110000000000105</v>
      </c>
      <c r="AF2154">
        <v>-0.80924202568630499</v>
      </c>
      <c r="AG2154">
        <v>-1.11007321069</v>
      </c>
      <c r="AH2154">
        <v>6.5901154810539202</v>
      </c>
      <c r="AI2154">
        <v>99.491459586739396</v>
      </c>
      <c r="AJ2154">
        <v>97.000664563394906</v>
      </c>
      <c r="AK2154">
        <v>6.7317722215516902</v>
      </c>
      <c r="AL2154">
        <v>88.466495845406499</v>
      </c>
      <c r="AM2154">
        <v>87.011931749434098</v>
      </c>
      <c r="AN2154">
        <v>0.99999995411620002</v>
      </c>
    </row>
    <row r="2155" spans="1:40" x14ac:dyDescent="0.25">
      <c r="A2155" t="str">
        <f>"20190312154257292"</f>
        <v>20190312154257292</v>
      </c>
      <c r="B2155" t="str">
        <f>"1552376577279728"</f>
        <v>1552376577279728</v>
      </c>
      <c r="C2155" t="s">
        <v>40</v>
      </c>
      <c r="D2155">
        <v>4.7101439999999997</v>
      </c>
      <c r="E2155">
        <v>0.46609879999999998</v>
      </c>
      <c r="F2155" t="s">
        <v>41</v>
      </c>
      <c r="G2155">
        <v>-362.26769999999999</v>
      </c>
      <c r="H2155">
        <v>0.82848750000000004</v>
      </c>
      <c r="I2155">
        <v>283.03579999999999</v>
      </c>
      <c r="J2155">
        <v>-361.68720000000002</v>
      </c>
      <c r="K2155">
        <v>1.110147</v>
      </c>
      <c r="L2155">
        <v>283.08</v>
      </c>
      <c r="M2155">
        <v>-0.99989349999999999</v>
      </c>
      <c r="N2155">
        <v>0</v>
      </c>
      <c r="O2155">
        <v>1.67633E-3</v>
      </c>
      <c r="P2155">
        <v>-0.99848749999999997</v>
      </c>
      <c r="Q2155">
        <v>1.085817E-2</v>
      </c>
      <c r="R2155">
        <v>5.390176E-2</v>
      </c>
      <c r="S2155">
        <v>-3.0240170000000002</v>
      </c>
      <c r="T2155">
        <v>-0.94166550000000004</v>
      </c>
      <c r="U2155">
        <v>-0.14657590000000001</v>
      </c>
      <c r="V2155">
        <v>5.2249039999999997E-2</v>
      </c>
      <c r="W2155">
        <v>2.5296679999999998E-2</v>
      </c>
      <c r="X2155">
        <v>0.99831369999999997</v>
      </c>
      <c r="Y2155">
        <v>-4.7752500000000003E-2</v>
      </c>
      <c r="Z2155">
        <v>-7.7686949999999999E-3</v>
      </c>
      <c r="AA2155">
        <v>0.99882899999999997</v>
      </c>
      <c r="AB2155">
        <v>33</v>
      </c>
      <c r="AC2155">
        <v>-0.58049999999997204</v>
      </c>
      <c r="AD2155">
        <v>-0.28165949999999901</v>
      </c>
      <c r="AE2155">
        <v>-4.4199999999989303E-2</v>
      </c>
      <c r="AF2155">
        <v>-3.6605205015555697E-2</v>
      </c>
      <c r="AG2155">
        <v>-0.28165949999999901</v>
      </c>
      <c r="AH2155">
        <v>0.470336455912853</v>
      </c>
      <c r="AI2155">
        <v>120.83894955722999</v>
      </c>
      <c r="AJ2155">
        <v>94.450228024097001</v>
      </c>
      <c r="AK2155">
        <v>0.54944371571175898</v>
      </c>
      <c r="AL2155">
        <v>88.550452465344407</v>
      </c>
      <c r="AM2155">
        <v>87.004027326221305</v>
      </c>
      <c r="AN2155">
        <v>1.00000006390381</v>
      </c>
    </row>
    <row r="2156" spans="1:40" x14ac:dyDescent="0.25">
      <c r="A2156" t="str">
        <f>"20190312154257314"</f>
        <v>20190312154257314</v>
      </c>
      <c r="B2156" t="str">
        <f>"1552376577309983"</f>
        <v>1552376577309983</v>
      </c>
      <c r="C2156" t="s">
        <v>40</v>
      </c>
      <c r="D2156">
        <v>4.573499</v>
      </c>
      <c r="E2156">
        <v>0.46444839999999998</v>
      </c>
      <c r="F2156" t="s">
        <v>41</v>
      </c>
      <c r="G2156">
        <v>-362.57549999999998</v>
      </c>
      <c r="H2156">
        <v>0.85964229999999997</v>
      </c>
      <c r="I2156">
        <v>283.03219999999999</v>
      </c>
      <c r="J2156">
        <v>-362.02210000000002</v>
      </c>
      <c r="K2156">
        <v>1.1102190000000001</v>
      </c>
      <c r="L2156">
        <v>283.08080000000001</v>
      </c>
      <c r="M2156">
        <v>-0.99989320000000004</v>
      </c>
      <c r="N2156">
        <v>0</v>
      </c>
      <c r="O2156">
        <v>1.860853E-3</v>
      </c>
      <c r="P2156">
        <v>-0.99850760000000005</v>
      </c>
      <c r="Q2156">
        <v>1.003298E-2</v>
      </c>
      <c r="R2156">
        <v>5.3682550000000002E-2</v>
      </c>
      <c r="S2156">
        <v>-3.0226139999999999</v>
      </c>
      <c r="T2156">
        <v>-0.85235139999999998</v>
      </c>
      <c r="U2156">
        <v>-0.1627808</v>
      </c>
      <c r="V2156">
        <v>5.1840049999999999E-2</v>
      </c>
      <c r="W2156">
        <v>2.4478679999999999E-2</v>
      </c>
      <c r="X2156">
        <v>0.99835529999999995</v>
      </c>
      <c r="Y2156">
        <v>-5.3482370000000001E-2</v>
      </c>
      <c r="Z2156">
        <v>-7.9059190000000008E-3</v>
      </c>
      <c r="AA2156">
        <v>0.99853749999999997</v>
      </c>
      <c r="AB2156">
        <v>33</v>
      </c>
      <c r="AC2156">
        <v>-0.55339999999995304</v>
      </c>
      <c r="AD2156">
        <v>-0.25057669999999999</v>
      </c>
      <c r="AE2156">
        <v>-4.8600000000021702E-2</v>
      </c>
      <c r="AF2156">
        <v>-4.1239479385779397E-2</v>
      </c>
      <c r="AG2156">
        <v>-0.25057669999999999</v>
      </c>
      <c r="AH2156">
        <v>0.459767098487257</v>
      </c>
      <c r="AI2156">
        <v>118.494376401498</v>
      </c>
      <c r="AJ2156">
        <v>95.125512050536003</v>
      </c>
      <c r="AK2156">
        <v>0.52523819557824603</v>
      </c>
      <c r="AL2156">
        <v>88.5973347742882</v>
      </c>
      <c r="AM2156">
        <v>87.027560327676795</v>
      </c>
      <c r="AN2156">
        <v>0.99999995079831605</v>
      </c>
    </row>
    <row r="2157" spans="1:40" x14ac:dyDescent="0.25">
      <c r="A2157" t="str">
        <f>"20190312154257338"</f>
        <v>20190312154257338</v>
      </c>
      <c r="B2157" t="str">
        <f>"1552376577329503"</f>
        <v>1552376577329503</v>
      </c>
      <c r="C2157" t="s">
        <v>40</v>
      </c>
      <c r="D2157">
        <v>5.4918829999999996</v>
      </c>
      <c r="E2157">
        <v>0.45941310000000002</v>
      </c>
      <c r="F2157" t="s">
        <v>41</v>
      </c>
      <c r="G2157">
        <v>-362.89260000000002</v>
      </c>
      <c r="H2157">
        <v>0.9134177</v>
      </c>
      <c r="I2157">
        <v>283.03370000000001</v>
      </c>
      <c r="J2157">
        <v>-362.3569</v>
      </c>
      <c r="K2157">
        <v>1.1102860000000001</v>
      </c>
      <c r="L2157">
        <v>283.08159999999998</v>
      </c>
      <c r="M2157">
        <v>-0.99989300000000003</v>
      </c>
      <c r="N2157">
        <v>0</v>
      </c>
      <c r="O2157">
        <v>1.9766089999999998E-3</v>
      </c>
      <c r="P2157">
        <v>-0.99856160000000005</v>
      </c>
      <c r="Q2157">
        <v>9.4209110000000006E-3</v>
      </c>
      <c r="R2157">
        <v>5.2786779999999998E-2</v>
      </c>
      <c r="S2157">
        <v>-3.0201720000000001</v>
      </c>
      <c r="T2157">
        <v>-0.68277069999999995</v>
      </c>
      <c r="U2157">
        <v>-0.16439819999999999</v>
      </c>
      <c r="V2157">
        <v>5.0824469999999997E-2</v>
      </c>
      <c r="W2157">
        <v>2.3872319999999999E-2</v>
      </c>
      <c r="X2157">
        <v>0.99842229999999998</v>
      </c>
      <c r="Y2157">
        <v>-5.4895649999999997E-2</v>
      </c>
      <c r="Z2157">
        <v>-6.5644700000000002E-3</v>
      </c>
      <c r="AA2157">
        <v>0.99847050000000004</v>
      </c>
      <c r="AB2157">
        <v>33</v>
      </c>
      <c r="AC2157">
        <v>-0.53570000000001905</v>
      </c>
      <c r="AD2157">
        <v>-0.1968683</v>
      </c>
      <c r="AE2157">
        <v>-4.7899999999970001E-2</v>
      </c>
      <c r="AF2157">
        <v>-4.3174267359559398E-2</v>
      </c>
      <c r="AG2157">
        <v>-0.1968683</v>
      </c>
      <c r="AH2157">
        <v>0.47232122821878902</v>
      </c>
      <c r="AI2157">
        <v>112.542344807094</v>
      </c>
      <c r="AJ2157">
        <v>95.222818231736099</v>
      </c>
      <c r="AK2157">
        <v>0.513525547108447</v>
      </c>
      <c r="AL2157">
        <v>88.632086940530499</v>
      </c>
      <c r="AM2157">
        <v>87.085886181482195</v>
      </c>
      <c r="AN2157">
        <v>1.00000005177512</v>
      </c>
    </row>
    <row r="2158" spans="1:40" x14ac:dyDescent="0.25">
      <c r="A2158" t="str">
        <f>"20190312154257358"</f>
        <v>20190312154257358</v>
      </c>
      <c r="B2158" t="str">
        <f>"1552376577350003"</f>
        <v>1552376577350003</v>
      </c>
      <c r="C2158" t="s">
        <v>40</v>
      </c>
      <c r="D2158">
        <v>4.5764339999999999</v>
      </c>
      <c r="E2158">
        <v>0.46203739999999999</v>
      </c>
      <c r="F2158" t="s">
        <v>50</v>
      </c>
      <c r="G2158">
        <v>-381.5204</v>
      </c>
      <c r="H2158" s="1">
        <v>-7.2768199999999996E-7</v>
      </c>
      <c r="I2158">
        <v>281.95710000000003</v>
      </c>
      <c r="J2158">
        <v>-362.6764</v>
      </c>
      <c r="K2158">
        <v>1.1103320000000001</v>
      </c>
      <c r="L2158">
        <v>283.08229999999998</v>
      </c>
      <c r="M2158">
        <v>-0.99989280000000003</v>
      </c>
      <c r="N2158">
        <v>0</v>
      </c>
      <c r="O2158">
        <v>2.037849E-3</v>
      </c>
      <c r="P2158">
        <v>-0.99869430000000003</v>
      </c>
      <c r="Q2158">
        <v>7.9352759999999998E-3</v>
      </c>
      <c r="R2158">
        <v>5.0463559999999998E-2</v>
      </c>
      <c r="S2158">
        <v>-3.01532</v>
      </c>
      <c r="T2158">
        <v>-0.17469989999999999</v>
      </c>
      <c r="U2158">
        <v>-0.17694089999999901</v>
      </c>
      <c r="V2158">
        <v>4.8436130000000001E-2</v>
      </c>
      <c r="W2158">
        <v>2.2392140000000001E-2</v>
      </c>
      <c r="X2158">
        <v>0.99857530000000005</v>
      </c>
      <c r="Y2158">
        <v>-6.0509779999999999E-2</v>
      </c>
      <c r="Z2158">
        <v>-1.8678029999999999E-3</v>
      </c>
      <c r="AA2158">
        <v>0.99816579999999999</v>
      </c>
      <c r="AB2158">
        <v>33</v>
      </c>
      <c r="AC2158">
        <v>-18.843999999999902</v>
      </c>
      <c r="AD2158">
        <v>-1.1103327276820001</v>
      </c>
      <c r="AE2158">
        <v>-1.12519999999994</v>
      </c>
      <c r="AF2158">
        <v>-1.1595913110521601</v>
      </c>
      <c r="AG2158">
        <v>-1.1103327276820001</v>
      </c>
      <c r="AH2158">
        <v>18.7767094503286</v>
      </c>
      <c r="AI2158">
        <v>93.377739519015293</v>
      </c>
      <c r="AJ2158">
        <v>93.533921421469401</v>
      </c>
      <c r="AK2158">
        <v>18.8452197800103</v>
      </c>
      <c r="AL2158">
        <v>88.716917705735398</v>
      </c>
      <c r="AM2158">
        <v>87.223031207132394</v>
      </c>
      <c r="AN2158">
        <v>1.00000004819662</v>
      </c>
    </row>
    <row r="2159" spans="1:40" x14ac:dyDescent="0.25">
      <c r="A2159" t="str">
        <f>"20190312154257391"</f>
        <v>20190312154257391</v>
      </c>
      <c r="B2159" t="str">
        <f>"1552376577390015"</f>
        <v>1552376577390015</v>
      </c>
      <c r="C2159" t="s">
        <v>40</v>
      </c>
      <c r="D2159">
        <v>4.6212039999999996</v>
      </c>
      <c r="E2159">
        <v>0.4656748</v>
      </c>
      <c r="F2159" t="s">
        <v>50</v>
      </c>
      <c r="G2159">
        <v>-395.19159999999999</v>
      </c>
      <c r="H2159" s="1">
        <v>1.22594E-6</v>
      </c>
      <c r="I2159">
        <v>281.37329999999997</v>
      </c>
      <c r="J2159">
        <v>-363.15410000000003</v>
      </c>
      <c r="K2159">
        <v>1.1103700000000001</v>
      </c>
      <c r="L2159">
        <v>283.08330000000001</v>
      </c>
      <c r="M2159">
        <v>-0.99989300000000003</v>
      </c>
      <c r="N2159">
        <v>0</v>
      </c>
      <c r="O2159">
        <v>2.0715400000000002E-3</v>
      </c>
      <c r="P2159">
        <v>-0.99890999999999996</v>
      </c>
      <c r="Q2159">
        <v>5.0168039999999997E-3</v>
      </c>
      <c r="R2159">
        <v>4.6408890000000001E-2</v>
      </c>
      <c r="S2159">
        <v>-3.0127259999999998</v>
      </c>
      <c r="T2159">
        <v>-0.1028785</v>
      </c>
      <c r="U2159">
        <v>-0.15835569999999999</v>
      </c>
      <c r="V2159">
        <v>4.4343870000000001E-2</v>
      </c>
      <c r="W2159">
        <v>1.9478820000000001E-2</v>
      </c>
      <c r="X2159">
        <v>0.9988264</v>
      </c>
      <c r="Y2159">
        <v>-5.4525700000000003E-2</v>
      </c>
      <c r="Z2159">
        <v>-1.0007359999999999E-3</v>
      </c>
      <c r="AA2159">
        <v>0.99851190000000001</v>
      </c>
      <c r="AB2159">
        <v>33</v>
      </c>
      <c r="AC2159">
        <v>-32.037499999999902</v>
      </c>
      <c r="AD2159">
        <v>-1.1103687740599999</v>
      </c>
      <c r="AE2159">
        <v>-1.7100000000000299</v>
      </c>
      <c r="AF2159">
        <v>-1.7742450743072999</v>
      </c>
      <c r="AG2159">
        <v>-1.1103687740599999</v>
      </c>
      <c r="AH2159">
        <v>31.9955644787971</v>
      </c>
      <c r="AI2159">
        <v>91.984539123799294</v>
      </c>
      <c r="AJ2159">
        <v>93.173963306382504</v>
      </c>
      <c r="AK2159">
        <v>32.063951888608003</v>
      </c>
      <c r="AL2159">
        <v>88.883875224838903</v>
      </c>
      <c r="AM2159">
        <v>87.457967353785605</v>
      </c>
      <c r="AN2159">
        <v>0.99999999028606401</v>
      </c>
    </row>
    <row r="2160" spans="1:40" x14ac:dyDescent="0.25">
      <c r="A2160" t="str">
        <f>"20190312154257415"</f>
        <v>20190312154257415</v>
      </c>
      <c r="B2160" t="str">
        <f>"1552376577409539"</f>
        <v>1552376577409539</v>
      </c>
      <c r="C2160" t="s">
        <v>40</v>
      </c>
      <c r="D2160">
        <v>4.5757349999999999</v>
      </c>
      <c r="E2160">
        <v>0.46638279999999899</v>
      </c>
      <c r="F2160" t="s">
        <v>50</v>
      </c>
      <c r="G2160">
        <v>-395.56810000000002</v>
      </c>
      <c r="H2160" s="1">
        <v>1.426277E-6</v>
      </c>
      <c r="I2160">
        <v>281.56880000000001</v>
      </c>
      <c r="J2160">
        <v>-363.49329999999998</v>
      </c>
      <c r="K2160">
        <v>1.110376</v>
      </c>
      <c r="L2160">
        <v>283.08409999999998</v>
      </c>
      <c r="M2160">
        <v>-0.99989309999999998</v>
      </c>
      <c r="N2160">
        <v>0</v>
      </c>
      <c r="O2160">
        <v>2.0721419999999999E-3</v>
      </c>
      <c r="P2160">
        <v>-0.9990116</v>
      </c>
      <c r="Q2160">
        <v>2.5355669999999999E-3</v>
      </c>
      <c r="R2160">
        <v>4.4381770000000001E-2</v>
      </c>
      <c r="S2160">
        <v>-3.010284</v>
      </c>
      <c r="T2160">
        <v>-0.10311969999999999</v>
      </c>
      <c r="U2160">
        <v>-0.14065549999999999</v>
      </c>
      <c r="V2160">
        <v>4.231447E-2</v>
      </c>
      <c r="W2160">
        <v>1.6998249999999999E-2</v>
      </c>
      <c r="X2160">
        <v>0.99895970000000001</v>
      </c>
      <c r="Y2160">
        <v>-4.8714349999999997E-2</v>
      </c>
      <c r="Z2160">
        <v>-9.0460750000000004E-4</v>
      </c>
      <c r="AA2160">
        <v>0.99881229999999999</v>
      </c>
      <c r="AB2160">
        <v>33</v>
      </c>
      <c r="AC2160">
        <v>-32.074800000000003</v>
      </c>
      <c r="AD2160">
        <v>-1.110374573723</v>
      </c>
      <c r="AE2160">
        <v>-1.5152999999999599</v>
      </c>
      <c r="AF2160">
        <v>-1.5798780992100501</v>
      </c>
      <c r="AG2160">
        <v>-1.110374573723</v>
      </c>
      <c r="AH2160">
        <v>32.033286855275698</v>
      </c>
      <c r="AI2160">
        <v>91.982849040827503</v>
      </c>
      <c r="AJ2160">
        <v>92.823533505199805</v>
      </c>
      <c r="AK2160">
        <v>32.091438317014003</v>
      </c>
      <c r="AL2160">
        <v>89.026025077950294</v>
      </c>
      <c r="AM2160">
        <v>87.574484647910296</v>
      </c>
      <c r="AN2160">
        <v>0.99999996854926598</v>
      </c>
    </row>
    <row r="2161" spans="1:40" x14ac:dyDescent="0.25">
      <c r="A2161" t="str">
        <f>"20190312154257436"</f>
        <v>20190312154257436</v>
      </c>
      <c r="B2161" t="str">
        <f>"1552376577430035"</f>
        <v>1552376577430035</v>
      </c>
      <c r="C2161" t="s">
        <v>40</v>
      </c>
      <c r="D2161">
        <v>4.6131650000000004</v>
      </c>
      <c r="E2161">
        <v>0.46687319999999999</v>
      </c>
      <c r="F2161" t="s">
        <v>50</v>
      </c>
      <c r="G2161">
        <v>-393.50279999999998</v>
      </c>
      <c r="H2161" s="1">
        <v>3.2724070000000001E-7</v>
      </c>
      <c r="I2161">
        <v>281.67329999999998</v>
      </c>
      <c r="J2161">
        <v>-363.81549999999999</v>
      </c>
      <c r="K2161">
        <v>1.110385</v>
      </c>
      <c r="L2161">
        <v>283.08479999999997</v>
      </c>
      <c r="M2161">
        <v>-0.99989309999999998</v>
      </c>
      <c r="N2161">
        <v>0</v>
      </c>
      <c r="O2161">
        <v>2.069595E-3</v>
      </c>
      <c r="P2161">
        <v>-0.99906240000000002</v>
      </c>
      <c r="Q2161">
        <v>8.7179059999999999E-4</v>
      </c>
      <c r="R2161">
        <v>4.3285999999999998E-2</v>
      </c>
      <c r="S2161">
        <v>-3.0095830000000001</v>
      </c>
      <c r="T2161">
        <v>-0.1113567</v>
      </c>
      <c r="U2161">
        <v>-0.14147950000000001</v>
      </c>
      <c r="V2161">
        <v>4.1220130000000001E-2</v>
      </c>
      <c r="W2161">
        <v>1.5333360000000001E-2</v>
      </c>
      <c r="X2161">
        <v>0.99903240000000004</v>
      </c>
      <c r="Y2161">
        <v>-4.899038E-2</v>
      </c>
      <c r="Z2161">
        <v>-9.820473000000001E-4</v>
      </c>
      <c r="AA2161">
        <v>0.99879879999999999</v>
      </c>
      <c r="AB2161">
        <v>33</v>
      </c>
      <c r="AC2161">
        <v>-29.6873</v>
      </c>
      <c r="AD2161">
        <v>-1.1103846727593001</v>
      </c>
      <c r="AE2161">
        <v>-1.41149999999998</v>
      </c>
      <c r="AF2161">
        <v>-1.4708910236249599</v>
      </c>
      <c r="AG2161">
        <v>-1.1103846727593001</v>
      </c>
      <c r="AH2161">
        <v>29.642939095065699</v>
      </c>
      <c r="AI2161">
        <v>92.142586316641797</v>
      </c>
      <c r="AJ2161">
        <v>92.840702883231003</v>
      </c>
      <c r="AK2161">
        <v>29.700173614284701</v>
      </c>
      <c r="AL2161">
        <v>89.121428733700995</v>
      </c>
      <c r="AM2161">
        <v>87.637313219149206</v>
      </c>
      <c r="AN2161">
        <v>0.99999997364793203</v>
      </c>
    </row>
    <row r="2162" spans="1:40" x14ac:dyDescent="0.25">
      <c r="A2162" t="str">
        <f>"20190312154257459"</f>
        <v>20190312154257459</v>
      </c>
      <c r="B2162" t="str">
        <f>"1552376577449566"</f>
        <v>1552376577449566</v>
      </c>
      <c r="C2162" t="s">
        <v>40</v>
      </c>
      <c r="D2162">
        <v>4.6106490000000004</v>
      </c>
      <c r="E2162">
        <v>0.4670513</v>
      </c>
      <c r="F2162" t="s">
        <v>50</v>
      </c>
      <c r="G2162">
        <v>-393.05149999999998</v>
      </c>
      <c r="H2162" s="1">
        <v>8.70906E-8</v>
      </c>
      <c r="I2162">
        <v>281.71690000000001</v>
      </c>
      <c r="J2162">
        <v>-364.14019999999999</v>
      </c>
      <c r="K2162">
        <v>1.110398</v>
      </c>
      <c r="L2162">
        <v>283.08550000000002</v>
      </c>
      <c r="M2162">
        <v>-0.99989320000000004</v>
      </c>
      <c r="N2162">
        <v>0</v>
      </c>
      <c r="O2162">
        <v>2.0686120000000001E-3</v>
      </c>
      <c r="P2162">
        <v>-0.99906839999999997</v>
      </c>
      <c r="Q2162">
        <v>5.8243610000000001E-4</v>
      </c>
      <c r="R2162">
        <v>4.3155529999999998E-2</v>
      </c>
      <c r="S2162">
        <v>-3.0090029999999999</v>
      </c>
      <c r="T2162">
        <v>-0.1142818</v>
      </c>
      <c r="U2162">
        <v>-0.1407776</v>
      </c>
      <c r="V2162">
        <v>4.1090399999999999E-2</v>
      </c>
      <c r="W2162">
        <v>1.5041570000000001E-2</v>
      </c>
      <c r="X2162">
        <v>0.99904219999999999</v>
      </c>
      <c r="Y2162">
        <v>-4.876424E-2</v>
      </c>
      <c r="Z2162">
        <v>-1.0036960000000001E-3</v>
      </c>
      <c r="AA2162">
        <v>0.99880979999999997</v>
      </c>
      <c r="AB2162">
        <v>33</v>
      </c>
      <c r="AC2162">
        <v>-28.911299999999901</v>
      </c>
      <c r="AD2162">
        <v>-1.1103979129093999</v>
      </c>
      <c r="AE2162">
        <v>-1.36860000000001</v>
      </c>
      <c r="AF2162">
        <v>-1.4263103442691201</v>
      </c>
      <c r="AG2162">
        <v>-1.1103979129093999</v>
      </c>
      <c r="AH2162">
        <v>28.8659217567604</v>
      </c>
      <c r="AI2162">
        <v>92.200253716324696</v>
      </c>
      <c r="AJ2162">
        <v>92.828773428528507</v>
      </c>
      <c r="AK2162">
        <v>28.9224615755743</v>
      </c>
      <c r="AL2162">
        <v>89.138149015345704</v>
      </c>
      <c r="AM2162">
        <v>87.6447638725042</v>
      </c>
      <c r="AN2162">
        <v>0.99999999359053204</v>
      </c>
    </row>
    <row r="2163" spans="1:40" x14ac:dyDescent="0.25">
      <c r="A2163" t="str">
        <f>"20190312154257481"</f>
        <v>20190312154257481</v>
      </c>
      <c r="B2163" t="str">
        <f>"1552376577470047"</f>
        <v>1552376577470047</v>
      </c>
      <c r="C2163" t="s">
        <v>40</v>
      </c>
      <c r="D2163">
        <v>4.6118199999999998</v>
      </c>
      <c r="E2163">
        <v>0.46740720000000002</v>
      </c>
      <c r="F2163" t="s">
        <v>50</v>
      </c>
      <c r="G2163">
        <v>-394.75940000000003</v>
      </c>
      <c r="H2163" s="1">
        <v>9.9593380000000007E-7</v>
      </c>
      <c r="I2163">
        <v>281.66719999999998</v>
      </c>
      <c r="J2163">
        <v>-364.45620000000002</v>
      </c>
      <c r="K2163">
        <v>1.110412</v>
      </c>
      <c r="L2163">
        <v>283.08609999999999</v>
      </c>
      <c r="M2163">
        <v>-0.99989309999999998</v>
      </c>
      <c r="N2163">
        <v>0</v>
      </c>
      <c r="O2163">
        <v>2.0716770000000001E-3</v>
      </c>
      <c r="P2163">
        <v>-0.99905160000000004</v>
      </c>
      <c r="Q2163">
        <v>7.5186039999999995E-4</v>
      </c>
      <c r="R2163">
        <v>4.3537989999999999E-2</v>
      </c>
      <c r="S2163">
        <v>-3.0088810000000001</v>
      </c>
      <c r="T2163">
        <v>-0.1091162</v>
      </c>
      <c r="U2163">
        <v>-0.13937379999999999</v>
      </c>
      <c r="V2163">
        <v>4.146967E-2</v>
      </c>
      <c r="W2163">
        <v>1.5207480000000001E-2</v>
      </c>
      <c r="X2163">
        <v>0.99902400000000002</v>
      </c>
      <c r="Y2163">
        <v>-4.830773E-2</v>
      </c>
      <c r="Z2163">
        <v>-9.5024930000000001E-4</v>
      </c>
      <c r="AA2163">
        <v>0.99883200000000005</v>
      </c>
      <c r="AB2163">
        <v>33</v>
      </c>
      <c r="AC2163">
        <v>-30.3032</v>
      </c>
      <c r="AD2163">
        <v>-1.1104110040661901</v>
      </c>
      <c r="AE2163">
        <v>-1.4189000000000001</v>
      </c>
      <c r="AF2163">
        <v>-1.4796994751644601</v>
      </c>
      <c r="AG2163">
        <v>-1.1104110040661901</v>
      </c>
      <c r="AH2163">
        <v>30.2596533166389</v>
      </c>
      <c r="AI2163">
        <v>92.099082230500301</v>
      </c>
      <c r="AJ2163">
        <v>92.799538201377402</v>
      </c>
      <c r="AK2163">
        <v>30.316153152699499</v>
      </c>
      <c r="AL2163">
        <v>89.128641970408296</v>
      </c>
      <c r="AM2163">
        <v>87.623006288978303</v>
      </c>
      <c r="AN2163">
        <v>0.99999997677692898</v>
      </c>
    </row>
    <row r="2164" spans="1:40" x14ac:dyDescent="0.25">
      <c r="A2164" t="str">
        <f>"20190312154257504"</f>
        <v>20190312154257504</v>
      </c>
      <c r="B2164" t="str">
        <f>"1552376577499328"</f>
        <v>1552376577499328</v>
      </c>
      <c r="C2164" t="s">
        <v>40</v>
      </c>
      <c r="D2164">
        <v>4.6134909999999998</v>
      </c>
      <c r="E2164">
        <v>0.46768599999999999</v>
      </c>
      <c r="F2164" t="s">
        <v>50</v>
      </c>
      <c r="G2164">
        <v>-396.5172</v>
      </c>
      <c r="H2164" s="1">
        <v>1.9313449999999998E-6</v>
      </c>
      <c r="I2164">
        <v>281.64519999999999</v>
      </c>
      <c r="J2164">
        <v>-364.78410000000002</v>
      </c>
      <c r="K2164">
        <v>1.1104149999999999</v>
      </c>
      <c r="L2164">
        <v>283.08690000000001</v>
      </c>
      <c r="M2164">
        <v>-0.99989329999999998</v>
      </c>
      <c r="N2164">
        <v>0</v>
      </c>
      <c r="O2164">
        <v>2.078707E-3</v>
      </c>
      <c r="P2164">
        <v>-0.99901200000000001</v>
      </c>
      <c r="Q2164" s="1">
        <v>5.8619309999999997E-5</v>
      </c>
      <c r="R2164">
        <v>4.444584E-2</v>
      </c>
      <c r="S2164">
        <v>-3.0088499999999998</v>
      </c>
      <c r="T2164">
        <v>-0.10420939999999999</v>
      </c>
      <c r="U2164">
        <v>-0.13522339999999999</v>
      </c>
      <c r="V2164">
        <v>4.2370240000000003E-2</v>
      </c>
      <c r="W2164">
        <v>1.451043E-2</v>
      </c>
      <c r="X2164">
        <v>0.99899660000000001</v>
      </c>
      <c r="Y2164">
        <v>-4.694396E-2</v>
      </c>
      <c r="Z2164">
        <v>-8.8422730000000001E-4</v>
      </c>
      <c r="AA2164">
        <v>0.99889709999999998</v>
      </c>
      <c r="AB2164">
        <v>33</v>
      </c>
      <c r="AC2164">
        <v>-31.733099999999901</v>
      </c>
      <c r="AD2164">
        <v>-1.110413068655</v>
      </c>
      <c r="AE2164">
        <v>-1.44170000000002</v>
      </c>
      <c r="AF2164">
        <v>-1.5058275724960299</v>
      </c>
      <c r="AG2164">
        <v>-1.110413068655</v>
      </c>
      <c r="AH2164">
        <v>31.691309472928701</v>
      </c>
      <c r="AI2164">
        <v>92.004472375098899</v>
      </c>
      <c r="AJ2164">
        <v>92.7203900257432</v>
      </c>
      <c r="AK2164">
        <v>31.746490041736401</v>
      </c>
      <c r="AL2164">
        <v>89.168584422821795</v>
      </c>
      <c r="AM2164">
        <v>87.571381273138698</v>
      </c>
      <c r="AN2164">
        <v>0.99999999831400099</v>
      </c>
    </row>
    <row r="2165" spans="1:40" x14ac:dyDescent="0.25">
      <c r="A2165" t="str">
        <f>"20190312154257528"</f>
        <v>20190312154257528</v>
      </c>
      <c r="B2165" t="str">
        <f>"1552376577519823"</f>
        <v>1552376577519823</v>
      </c>
      <c r="C2165" t="s">
        <v>40</v>
      </c>
      <c r="D2165">
        <v>4.636533</v>
      </c>
      <c r="E2165">
        <v>0.46803919999999999</v>
      </c>
      <c r="F2165" t="s">
        <v>50</v>
      </c>
      <c r="G2165">
        <v>-397.8415</v>
      </c>
      <c r="H2165" s="1">
        <v>2.6360829999999998E-6</v>
      </c>
      <c r="I2165">
        <v>281.66149999999999</v>
      </c>
      <c r="J2165">
        <v>-365.13459999999998</v>
      </c>
      <c r="K2165">
        <v>1.110414</v>
      </c>
      <c r="L2165">
        <v>283.08760000000001</v>
      </c>
      <c r="M2165">
        <v>-0.99989320000000004</v>
      </c>
      <c r="N2165">
        <v>0</v>
      </c>
      <c r="O2165">
        <v>2.088922E-3</v>
      </c>
      <c r="P2165">
        <v>-0.99894660000000002</v>
      </c>
      <c r="Q2165">
        <v>-6.2859989999999996E-4</v>
      </c>
      <c r="R2165">
        <v>4.5885229999999999E-2</v>
      </c>
      <c r="S2165">
        <v>-3.008759</v>
      </c>
      <c r="T2165">
        <v>-0.1010654</v>
      </c>
      <c r="U2165">
        <v>-0.12973019999999999</v>
      </c>
      <c r="V2165">
        <v>4.379926E-2</v>
      </c>
      <c r="W2165">
        <v>1.3819079999999999E-2</v>
      </c>
      <c r="X2165">
        <v>0.99894479999999997</v>
      </c>
      <c r="Y2165">
        <v>-4.5138030000000003E-2</v>
      </c>
      <c r="Z2165">
        <v>-8.2766030000000002E-4</v>
      </c>
      <c r="AA2165">
        <v>0.99898039999999999</v>
      </c>
      <c r="AB2165">
        <v>33</v>
      </c>
      <c r="AC2165">
        <v>-32.706899999999997</v>
      </c>
      <c r="AD2165">
        <v>-1.1104113639169999</v>
      </c>
      <c r="AE2165">
        <v>-1.4261000000000099</v>
      </c>
      <c r="AF2165">
        <v>-1.4927089265840701</v>
      </c>
      <c r="AG2165">
        <v>-1.1104113639169999</v>
      </c>
      <c r="AH2165">
        <v>32.666268704788997</v>
      </c>
      <c r="AI2165">
        <v>91.944854894818604</v>
      </c>
      <c r="AJ2165">
        <v>92.616352295942406</v>
      </c>
      <c r="AK2165">
        <v>32.719203908868202</v>
      </c>
      <c r="AL2165">
        <v>89.208199858614407</v>
      </c>
      <c r="AM2165">
        <v>87.489444386535894</v>
      </c>
      <c r="AN2165">
        <v>1.0000000277978101</v>
      </c>
    </row>
    <row r="2166" spans="1:40" x14ac:dyDescent="0.25">
      <c r="A2166" t="str">
        <f>"20190312154257550"</f>
        <v>20190312154257550</v>
      </c>
      <c r="B2166" t="str">
        <f>"1552376577539343"</f>
        <v>1552376577539343</v>
      </c>
      <c r="C2166" t="s">
        <v>40</v>
      </c>
      <c r="D2166">
        <v>4.6599890000000004</v>
      </c>
      <c r="E2166">
        <v>0.46816000000000002</v>
      </c>
      <c r="F2166" t="s">
        <v>50</v>
      </c>
      <c r="G2166">
        <v>-397.15640000000002</v>
      </c>
      <c r="H2166" s="1">
        <v>2.2714700000000002E-6</v>
      </c>
      <c r="I2166">
        <v>281.78059999999999</v>
      </c>
      <c r="J2166">
        <v>-365.45139999999998</v>
      </c>
      <c r="K2166">
        <v>1.1104130000000001</v>
      </c>
      <c r="L2166">
        <v>283.08819999999997</v>
      </c>
      <c r="M2166">
        <v>-0.99989320000000004</v>
      </c>
      <c r="N2166">
        <v>0</v>
      </c>
      <c r="O2166">
        <v>2.0997009999999998E-3</v>
      </c>
      <c r="P2166">
        <v>-0.99887499999999996</v>
      </c>
      <c r="Q2166">
        <v>-1.35844E-3</v>
      </c>
      <c r="R2166">
        <v>4.7403420000000002E-2</v>
      </c>
      <c r="S2166">
        <v>-3.0087280000000001</v>
      </c>
      <c r="T2166">
        <v>-0.10433290000000001</v>
      </c>
      <c r="U2166">
        <v>-0.1228027</v>
      </c>
      <c r="V2166">
        <v>4.5306899999999997E-2</v>
      </c>
      <c r="W2166">
        <v>1.308482E-2</v>
      </c>
      <c r="X2166">
        <v>0.99888739999999998</v>
      </c>
      <c r="Y2166">
        <v>-4.2852660000000001E-2</v>
      </c>
      <c r="Z2166">
        <v>-8.152306E-4</v>
      </c>
      <c r="AA2166">
        <v>0.99908110000000006</v>
      </c>
      <c r="AB2166">
        <v>32</v>
      </c>
      <c r="AC2166">
        <v>-31.704999999999998</v>
      </c>
      <c r="AD2166">
        <v>-1.11041072852999</v>
      </c>
      <c r="AE2166">
        <v>-1.3075999999999699</v>
      </c>
      <c r="AF2166">
        <v>-1.3724944238161001</v>
      </c>
      <c r="AG2166">
        <v>-1.11041072852999</v>
      </c>
      <c r="AH2166">
        <v>31.663411062062998</v>
      </c>
      <c r="AI2166">
        <v>92.006611767690202</v>
      </c>
      <c r="AJ2166">
        <v>92.4820112362288</v>
      </c>
      <c r="AK2166">
        <v>31.7125898187867</v>
      </c>
      <c r="AL2166">
        <v>89.2502736306147</v>
      </c>
      <c r="AM2166">
        <v>87.402994394050395</v>
      </c>
      <c r="AN2166">
        <v>0.99999998279040103</v>
      </c>
    </row>
    <row r="2167" spans="1:40" x14ac:dyDescent="0.25">
      <c r="A2167" t="str">
        <f>"20190312154257570"</f>
        <v>20190312154257570</v>
      </c>
      <c r="B2167" t="str">
        <f>"1552376577559839"</f>
        <v>1552376577559839</v>
      </c>
      <c r="C2167" t="s">
        <v>40</v>
      </c>
      <c r="D2167">
        <v>4.6864650000000001</v>
      </c>
      <c r="E2167">
        <v>0.46819559999999999</v>
      </c>
      <c r="F2167" t="s">
        <v>50</v>
      </c>
      <c r="G2167">
        <v>-397.67110000000002</v>
      </c>
      <c r="H2167" s="1">
        <v>2.5453879999999999E-6</v>
      </c>
      <c r="I2167">
        <v>281.8356</v>
      </c>
      <c r="J2167">
        <v>-365.75450000000001</v>
      </c>
      <c r="K2167">
        <v>1.110411</v>
      </c>
      <c r="L2167">
        <v>283.08890000000002</v>
      </c>
      <c r="M2167">
        <v>-0.99989340000000004</v>
      </c>
      <c r="N2167">
        <v>0</v>
      </c>
      <c r="O2167">
        <v>2.1103139999999999E-3</v>
      </c>
      <c r="P2167">
        <v>-0.99884300000000004</v>
      </c>
      <c r="Q2167">
        <v>-2.1933650000000001E-3</v>
      </c>
      <c r="R2167">
        <v>4.8043170000000003E-2</v>
      </c>
      <c r="S2167">
        <v>-3.0087890000000002</v>
      </c>
      <c r="T2167">
        <v>-0.1036938</v>
      </c>
      <c r="U2167">
        <v>-0.11697390000000001</v>
      </c>
      <c r="V2167">
        <v>4.5935770000000001E-2</v>
      </c>
      <c r="W2167">
        <v>1.224661E-2</v>
      </c>
      <c r="X2167">
        <v>0.99886929999999996</v>
      </c>
      <c r="Y2167">
        <v>-4.0931389999999998E-2</v>
      </c>
      <c r="Z2167">
        <v>-7.7753550000000005E-4</v>
      </c>
      <c r="AA2167">
        <v>0.99916170000000004</v>
      </c>
      <c r="AB2167">
        <v>32</v>
      </c>
      <c r="AC2167">
        <v>-31.916599999999999</v>
      </c>
      <c r="AD2167">
        <v>-1.1104084546119899</v>
      </c>
      <c r="AE2167">
        <v>-1.2533000000000201</v>
      </c>
      <c r="AF2167">
        <v>-1.31906413770895</v>
      </c>
      <c r="AG2167">
        <v>-1.1104084546119899</v>
      </c>
      <c r="AH2167">
        <v>31.875360948887401</v>
      </c>
      <c r="AI2167">
        <v>91.993441319359405</v>
      </c>
      <c r="AJ2167">
        <v>92.369658229802297</v>
      </c>
      <c r="AK2167">
        <v>31.921960665932101</v>
      </c>
      <c r="AL2167">
        <v>89.298303376375003</v>
      </c>
      <c r="AM2167">
        <v>87.366950107842698</v>
      </c>
      <c r="AN2167">
        <v>0.99999997645223704</v>
      </c>
    </row>
    <row r="2168" spans="1:40" x14ac:dyDescent="0.25">
      <c r="A2168" t="str">
        <f>"20190312154257593"</f>
        <v>20190312154257593</v>
      </c>
      <c r="B2168" t="str">
        <f>"1552376577590096"</f>
        <v>1552376577590096</v>
      </c>
      <c r="C2168" t="s">
        <v>40</v>
      </c>
      <c r="D2168">
        <v>4.717244</v>
      </c>
      <c r="E2168">
        <v>0.46817730000000002</v>
      </c>
      <c r="F2168" t="s">
        <v>50</v>
      </c>
      <c r="G2168">
        <v>-397.81380000000001</v>
      </c>
      <c r="H2168" s="1">
        <v>2.621308E-6</v>
      </c>
      <c r="I2168">
        <v>281.86689999999999</v>
      </c>
      <c r="J2168">
        <v>-366.07670000000002</v>
      </c>
      <c r="K2168">
        <v>1.110412</v>
      </c>
      <c r="L2168">
        <v>283.08949999999999</v>
      </c>
      <c r="M2168">
        <v>-0.99989320000000004</v>
      </c>
      <c r="N2168">
        <v>0</v>
      </c>
      <c r="O2168">
        <v>2.1219490000000001E-3</v>
      </c>
      <c r="P2168">
        <v>-0.99881169999999997</v>
      </c>
      <c r="Q2168">
        <v>-3.1426679999999999E-3</v>
      </c>
      <c r="R2168">
        <v>4.8635369999999997E-2</v>
      </c>
      <c r="S2168">
        <v>-3.008759</v>
      </c>
      <c r="T2168">
        <v>-0.1042117</v>
      </c>
      <c r="U2168">
        <v>-0.1146851</v>
      </c>
      <c r="V2168">
        <v>4.6516479999999999E-2</v>
      </c>
      <c r="W2168">
        <v>1.1292999999999999E-2</v>
      </c>
      <c r="X2168">
        <v>0.99885369999999996</v>
      </c>
      <c r="Y2168">
        <v>-4.0184619999999997E-2</v>
      </c>
      <c r="Z2168">
        <v>-7.6891440000000002E-4</v>
      </c>
      <c r="AA2168">
        <v>0.99919199999999997</v>
      </c>
      <c r="AB2168">
        <v>32</v>
      </c>
      <c r="AC2168">
        <v>-31.737100000000002</v>
      </c>
      <c r="AD2168">
        <v>-1.110409378692</v>
      </c>
      <c r="AE2168">
        <v>-1.2225999999999999</v>
      </c>
      <c r="AF2168">
        <v>-1.2883739805077801</v>
      </c>
      <c r="AG2168">
        <v>-1.110409378692</v>
      </c>
      <c r="AH2168">
        <v>31.695691438209899</v>
      </c>
      <c r="AI2168">
        <v>92.004793948576605</v>
      </c>
      <c r="AJ2168">
        <v>92.327690996172393</v>
      </c>
      <c r="AK2168">
        <v>31.741294432460599</v>
      </c>
      <c r="AL2168">
        <v>89.352945017414896</v>
      </c>
      <c r="AM2168">
        <v>87.333669818586202</v>
      </c>
      <c r="AN2168">
        <v>1.0000000143821399</v>
      </c>
    </row>
    <row r="2169" spans="1:40" x14ac:dyDescent="0.25">
      <c r="A2169" t="str">
        <f>"20190312154257616"</f>
        <v>20190312154257616</v>
      </c>
      <c r="B2169" t="str">
        <f>"1552376577609619"</f>
        <v>1552376577609619</v>
      </c>
      <c r="C2169" t="s">
        <v>40</v>
      </c>
      <c r="D2169">
        <v>4.7156669999999998</v>
      </c>
      <c r="E2169">
        <v>0.46811760000000002</v>
      </c>
      <c r="F2169" t="s">
        <v>50</v>
      </c>
      <c r="G2169">
        <v>-398.5213</v>
      </c>
      <c r="H2169" s="1">
        <v>2.9978089999999999E-6</v>
      </c>
      <c r="I2169">
        <v>281.87419999999997</v>
      </c>
      <c r="J2169">
        <v>-366.41239999999999</v>
      </c>
      <c r="K2169">
        <v>1.1104160000000001</v>
      </c>
      <c r="L2169">
        <v>283.09030000000001</v>
      </c>
      <c r="M2169">
        <v>-0.99989340000000004</v>
      </c>
      <c r="N2169">
        <v>0</v>
      </c>
      <c r="O2169">
        <v>2.1337679999999999E-3</v>
      </c>
      <c r="P2169">
        <v>-0.99882800000000005</v>
      </c>
      <c r="Q2169">
        <v>-4.4799410000000003E-3</v>
      </c>
      <c r="R2169">
        <v>4.8196299999999997E-2</v>
      </c>
      <c r="S2169">
        <v>-3.0086979999999999</v>
      </c>
      <c r="T2169">
        <v>-0.10297190000000001</v>
      </c>
      <c r="U2169">
        <v>-0.11270139999999999</v>
      </c>
      <c r="V2169">
        <v>4.6065490000000001E-2</v>
      </c>
      <c r="W2169">
        <v>9.9526830000000004E-3</v>
      </c>
      <c r="X2169">
        <v>0.99888889999999997</v>
      </c>
      <c r="Y2169">
        <v>-3.9540329999999999E-2</v>
      </c>
      <c r="Z2169">
        <v>-7.4918300000000005E-4</v>
      </c>
      <c r="AA2169">
        <v>0.99921769999999999</v>
      </c>
      <c r="AB2169">
        <v>32</v>
      </c>
      <c r="AC2169">
        <v>-32.108899999999998</v>
      </c>
      <c r="AD2169">
        <v>-1.1104130021909999</v>
      </c>
      <c r="AE2169">
        <v>-1.2161000000000399</v>
      </c>
      <c r="AF2169">
        <v>-1.2830849967501801</v>
      </c>
      <c r="AG2169">
        <v>-1.1104130021909999</v>
      </c>
      <c r="AH2169">
        <v>32.067934573537897</v>
      </c>
      <c r="AI2169">
        <v>91.981598278458904</v>
      </c>
      <c r="AJ2169">
        <v>92.291265808713305</v>
      </c>
      <c r="AK2169">
        <v>32.112797323762202</v>
      </c>
      <c r="AL2169">
        <v>89.429743888627598</v>
      </c>
      <c r="AM2169">
        <v>87.359576771027804</v>
      </c>
      <c r="AN2169">
        <v>1.0000000599055201</v>
      </c>
    </row>
    <row r="2170" spans="1:40" x14ac:dyDescent="0.25">
      <c r="A2170" t="str">
        <f>"20190312154257637"</f>
        <v>20190312154257637</v>
      </c>
      <c r="B2170" t="str">
        <f>"1552376577630072"</f>
        <v>1552376577630072</v>
      </c>
      <c r="C2170" t="s">
        <v>40</v>
      </c>
      <c r="D2170">
        <v>4.7256799999999997</v>
      </c>
      <c r="E2170">
        <v>0.46807389999999999</v>
      </c>
      <c r="F2170" t="s">
        <v>50</v>
      </c>
      <c r="G2170">
        <v>-398.19380000000001</v>
      </c>
      <c r="H2170" s="1">
        <v>2.8235250000000002E-6</v>
      </c>
      <c r="I2170">
        <v>281.8827</v>
      </c>
      <c r="J2170">
        <v>-366.72809999999998</v>
      </c>
      <c r="K2170">
        <v>1.110409</v>
      </c>
      <c r="L2170">
        <v>283.09100000000001</v>
      </c>
      <c r="M2170">
        <v>-0.99989340000000004</v>
      </c>
      <c r="N2170">
        <v>0</v>
      </c>
      <c r="O2170">
        <v>2.1455799999999998E-3</v>
      </c>
      <c r="P2170">
        <v>-0.99887309999999996</v>
      </c>
      <c r="Q2170">
        <v>-5.627936E-3</v>
      </c>
      <c r="R2170">
        <v>4.7126649999999999E-2</v>
      </c>
      <c r="S2170">
        <v>-3.008575</v>
      </c>
      <c r="T2170">
        <v>-0.1051168</v>
      </c>
      <c r="U2170">
        <v>-0.1143188</v>
      </c>
      <c r="V2170">
        <v>4.4983750000000003E-2</v>
      </c>
      <c r="W2170">
        <v>8.8021260000000004E-3</v>
      </c>
      <c r="X2170">
        <v>0.99894890000000003</v>
      </c>
      <c r="Y2170">
        <v>-4.008871E-2</v>
      </c>
      <c r="Z2170">
        <v>-7.7478859999999998E-4</v>
      </c>
      <c r="AA2170">
        <v>0.99919579999999997</v>
      </c>
      <c r="AB2170">
        <v>32</v>
      </c>
      <c r="AC2170">
        <v>-31.465699999999998</v>
      </c>
      <c r="AD2170">
        <v>-1.110406176475</v>
      </c>
      <c r="AE2170">
        <v>-1.2082999999999999</v>
      </c>
      <c r="AF2170">
        <v>-1.2742319178172801</v>
      </c>
      <c r="AG2170">
        <v>-1.110406176475</v>
      </c>
      <c r="AH2170">
        <v>31.423958801828899</v>
      </c>
      <c r="AI2170">
        <v>92.022117931522999</v>
      </c>
      <c r="AJ2170">
        <v>92.322054191214406</v>
      </c>
      <c r="AK2170">
        <v>31.469379651276501</v>
      </c>
      <c r="AL2170">
        <v>89.495668796760199</v>
      </c>
      <c r="AM2170">
        <v>87.421650894014903</v>
      </c>
      <c r="AN2170">
        <v>0.99999995999869495</v>
      </c>
    </row>
    <row r="2171" spans="1:40" x14ac:dyDescent="0.25">
      <c r="A2171" t="str">
        <f>"20190312154257660"</f>
        <v>20190312154257660</v>
      </c>
      <c r="B2171" t="str">
        <f>"1552376577649588"</f>
        <v>1552376577649588</v>
      </c>
      <c r="C2171" t="s">
        <v>40</v>
      </c>
      <c r="D2171">
        <v>4.7566839999999999</v>
      </c>
      <c r="E2171">
        <v>0.46800629999999999</v>
      </c>
      <c r="F2171" t="s">
        <v>50</v>
      </c>
      <c r="G2171">
        <v>-397.91699999999997</v>
      </c>
      <c r="H2171" s="1">
        <v>2.6762260000000002E-6</v>
      </c>
      <c r="I2171">
        <v>281.87</v>
      </c>
      <c r="J2171">
        <v>-367.04500000000002</v>
      </c>
      <c r="K2171">
        <v>1.110414</v>
      </c>
      <c r="L2171">
        <v>283.0917</v>
      </c>
      <c r="M2171">
        <v>-0.99989349999999999</v>
      </c>
      <c r="N2171">
        <v>0</v>
      </c>
      <c r="O2171">
        <v>2.1575129999999998E-3</v>
      </c>
      <c r="P2171">
        <v>-0.99891589999999997</v>
      </c>
      <c r="Q2171">
        <v>-6.5852480000000001E-3</v>
      </c>
      <c r="R2171">
        <v>4.6089940000000003E-2</v>
      </c>
      <c r="S2171">
        <v>-3.0083310000000001</v>
      </c>
      <c r="T2171">
        <v>-0.1071048</v>
      </c>
      <c r="U2171">
        <v>-0.11776730000000001</v>
      </c>
      <c r="V2171">
        <v>4.3935019999999998E-2</v>
      </c>
      <c r="W2171">
        <v>7.8418099999999994E-3</v>
      </c>
      <c r="X2171">
        <v>0.99900359999999999</v>
      </c>
      <c r="Y2171">
        <v>-4.124564E-2</v>
      </c>
      <c r="Z2171">
        <v>-8.1048359999999996E-4</v>
      </c>
      <c r="AA2171">
        <v>0.9991487</v>
      </c>
      <c r="AB2171">
        <v>32</v>
      </c>
      <c r="AC2171">
        <v>-30.8719999999999</v>
      </c>
      <c r="AD2171">
        <v>-1.1104113237739901</v>
      </c>
      <c r="AE2171">
        <v>-1.22169999999999</v>
      </c>
      <c r="AF2171">
        <v>-1.2866488837833401</v>
      </c>
      <c r="AG2171">
        <v>-1.1104113237739901</v>
      </c>
      <c r="AH2171">
        <v>30.829469874212201</v>
      </c>
      <c r="AI2171">
        <v>92.060986745162694</v>
      </c>
      <c r="AJ2171">
        <v>92.389817118957694</v>
      </c>
      <c r="AK2171">
        <v>30.876280400706701</v>
      </c>
      <c r="AL2171">
        <v>89.550692772112399</v>
      </c>
      <c r="AM2171">
        <v>87.481820716435493</v>
      </c>
      <c r="AN2171">
        <v>0.99999998638971799</v>
      </c>
    </row>
    <row r="2172" spans="1:40" x14ac:dyDescent="0.25">
      <c r="A2172" t="str">
        <f>"20190312154257682"</f>
        <v>20190312154257682</v>
      </c>
      <c r="B2172" t="str">
        <f>"1552376577669653"</f>
        <v>1552376577669653</v>
      </c>
      <c r="C2172" t="s">
        <v>40</v>
      </c>
      <c r="D2172">
        <v>4.7673439999999996</v>
      </c>
      <c r="E2172">
        <v>0.46797250000000001</v>
      </c>
      <c r="F2172" t="s">
        <v>50</v>
      </c>
      <c r="G2172">
        <v>-397.70400000000001</v>
      </c>
      <c r="H2172" s="1">
        <v>2.5628930000000001E-6</v>
      </c>
      <c r="I2172">
        <v>281.85379999999998</v>
      </c>
      <c r="J2172">
        <v>-367.36860000000001</v>
      </c>
      <c r="K2172">
        <v>1.110422</v>
      </c>
      <c r="L2172">
        <v>283.0924</v>
      </c>
      <c r="M2172">
        <v>-0.99989340000000004</v>
      </c>
      <c r="N2172">
        <v>0</v>
      </c>
      <c r="O2172">
        <v>2.1695109999999998E-3</v>
      </c>
      <c r="P2172">
        <v>-0.99897270000000005</v>
      </c>
      <c r="Q2172">
        <v>-6.6020250000000001E-3</v>
      </c>
      <c r="R2172">
        <v>4.4835560000000003E-2</v>
      </c>
      <c r="S2172">
        <v>-3.0081790000000002</v>
      </c>
      <c r="T2172">
        <v>-0.10895059999999999</v>
      </c>
      <c r="U2172">
        <v>-0.121459999999999</v>
      </c>
      <c r="V2172">
        <v>4.266851E-2</v>
      </c>
      <c r="W2172">
        <v>7.8227360000000003E-3</v>
      </c>
      <c r="X2172">
        <v>0.99905869999999997</v>
      </c>
      <c r="Y2172">
        <v>-4.2482359999999997E-2</v>
      </c>
      <c r="Z2172">
        <v>-8.472776E-4</v>
      </c>
      <c r="AA2172">
        <v>0.99909689999999995</v>
      </c>
      <c r="AB2172">
        <v>32</v>
      </c>
      <c r="AC2172">
        <v>-30.3354</v>
      </c>
      <c r="AD2172">
        <v>-1.110419437107</v>
      </c>
      <c r="AE2172">
        <v>-1.2386000000000099</v>
      </c>
      <c r="AF2172">
        <v>-1.30267437245372</v>
      </c>
      <c r="AG2172">
        <v>-1.110419437107</v>
      </c>
      <c r="AH2172">
        <v>30.292120086399098</v>
      </c>
      <c r="AI2172">
        <v>92.097416882330094</v>
      </c>
      <c r="AJ2172">
        <v>92.462415462090902</v>
      </c>
      <c r="AK2172">
        <v>30.340443819690201</v>
      </c>
      <c r="AL2172">
        <v>89.551785690047197</v>
      </c>
      <c r="AM2172">
        <v>87.554457265740993</v>
      </c>
      <c r="AN2172">
        <v>1.00000004149491</v>
      </c>
    </row>
    <row r="2173" spans="1:40" x14ac:dyDescent="0.25">
      <c r="A2173" t="str">
        <f>"20190312154257705"</f>
        <v>20190312154257705</v>
      </c>
      <c r="B2173" t="str">
        <f>"1552376577699904"</f>
        <v>1552376577699904</v>
      </c>
      <c r="C2173" t="s">
        <v>40</v>
      </c>
      <c r="D2173">
        <v>4.7995989999999997</v>
      </c>
      <c r="E2173">
        <v>0.46784130000000002</v>
      </c>
      <c r="F2173" t="s">
        <v>50</v>
      </c>
      <c r="G2173">
        <v>-398.4221</v>
      </c>
      <c r="H2173" s="1">
        <v>2.9450120000000001E-6</v>
      </c>
      <c r="I2173">
        <v>281.79939999999999</v>
      </c>
      <c r="J2173">
        <v>-367.6918</v>
      </c>
      <c r="K2173">
        <v>1.1104309999999999</v>
      </c>
      <c r="L2173">
        <v>283.09309999999999</v>
      </c>
      <c r="M2173">
        <v>-0.99989349999999999</v>
      </c>
      <c r="N2173">
        <v>0</v>
      </c>
      <c r="O2173">
        <v>2.1811560000000001E-3</v>
      </c>
      <c r="P2173">
        <v>-0.9990175</v>
      </c>
      <c r="Q2173">
        <v>-6.1163939999999998E-3</v>
      </c>
      <c r="R2173">
        <v>4.3895650000000001E-2</v>
      </c>
      <c r="S2173">
        <v>-3.0079959999999999</v>
      </c>
      <c r="T2173">
        <v>-0.1075609</v>
      </c>
      <c r="U2173">
        <v>-0.1252441</v>
      </c>
      <c r="V2173">
        <v>4.1716830000000003E-2</v>
      </c>
      <c r="W2173">
        <v>8.30528E-3</v>
      </c>
      <c r="X2173">
        <v>0.99909499999999996</v>
      </c>
      <c r="Y2173">
        <v>-4.3751119999999998E-2</v>
      </c>
      <c r="Z2173">
        <v>-8.5959000000000003E-4</v>
      </c>
      <c r="AA2173">
        <v>0.99904210000000004</v>
      </c>
      <c r="AB2173">
        <v>32</v>
      </c>
      <c r="AC2173">
        <v>-30.7303</v>
      </c>
      <c r="AD2173">
        <v>-1.1104280549879999</v>
      </c>
      <c r="AE2173">
        <v>-1.2937000000000001</v>
      </c>
      <c r="AF2173">
        <v>-1.3589602090711901</v>
      </c>
      <c r="AG2173">
        <v>-1.1104280549879999</v>
      </c>
      <c r="AH2173">
        <v>30.6874068163768</v>
      </c>
      <c r="AI2173">
        <v>92.070324261955506</v>
      </c>
      <c r="AJ2173">
        <v>92.535627943995095</v>
      </c>
      <c r="AK2173">
        <v>30.737546428252099</v>
      </c>
      <c r="AL2173">
        <v>89.524137059123603</v>
      </c>
      <c r="AM2173">
        <v>87.609025485391001</v>
      </c>
      <c r="AN2173">
        <v>1.00000004530306</v>
      </c>
    </row>
    <row r="2174" spans="1:40" x14ac:dyDescent="0.25">
      <c r="A2174" t="str">
        <f>"20190312154257728"</f>
        <v>20190312154257728</v>
      </c>
      <c r="B2174" t="str">
        <f>"1552376577719420"</f>
        <v>1552376577719420</v>
      </c>
      <c r="C2174" t="s">
        <v>40</v>
      </c>
      <c r="D2174">
        <v>4.7407110000000001</v>
      </c>
      <c r="E2174">
        <v>0.4367858</v>
      </c>
      <c r="F2174" t="s">
        <v>50</v>
      </c>
      <c r="G2174">
        <v>-399.22030000000001</v>
      </c>
      <c r="H2174" s="1">
        <v>3.3697769999999999E-6</v>
      </c>
      <c r="I2174">
        <v>281.73880000000003</v>
      </c>
      <c r="J2174">
        <v>-368.0213</v>
      </c>
      <c r="K2174">
        <v>1.11043799999999</v>
      </c>
      <c r="L2174">
        <v>283.09379999999999</v>
      </c>
      <c r="M2174">
        <v>-0.99989349999999999</v>
      </c>
      <c r="N2174">
        <v>0</v>
      </c>
      <c r="O2174">
        <v>2.1921520000000002E-3</v>
      </c>
      <c r="P2174">
        <v>-0.99906649999999997</v>
      </c>
      <c r="Q2174">
        <v>-5.564416E-3</v>
      </c>
      <c r="R2174">
        <v>4.2843069999999997E-2</v>
      </c>
      <c r="S2174">
        <v>-3.0079959999999999</v>
      </c>
      <c r="T2174">
        <v>-0.1059411</v>
      </c>
      <c r="U2174">
        <v>-0.1292114</v>
      </c>
      <c r="V2174">
        <v>4.0653269999999998E-2</v>
      </c>
      <c r="W2174">
        <v>8.8545759999999994E-3</v>
      </c>
      <c r="X2174">
        <v>0.99913410000000002</v>
      </c>
      <c r="Y2174">
        <v>-4.507742E-2</v>
      </c>
      <c r="Z2174">
        <v>-8.7035429999999896E-4</v>
      </c>
      <c r="AA2174">
        <v>0.99898310000000001</v>
      </c>
      <c r="AB2174">
        <v>32</v>
      </c>
      <c r="AC2174">
        <v>-31.199000000000002</v>
      </c>
      <c r="AD2174">
        <v>-1.1104346302229899</v>
      </c>
      <c r="AE2174">
        <v>-1.35499999999996</v>
      </c>
      <c r="AF2174">
        <v>-1.42159933662962</v>
      </c>
      <c r="AG2174">
        <v>-1.1104346302229899</v>
      </c>
      <c r="AH2174">
        <v>31.156559832537098</v>
      </c>
      <c r="AI2174">
        <v>92.039065247136804</v>
      </c>
      <c r="AJ2174">
        <v>92.612457502981002</v>
      </c>
      <c r="AK2174">
        <v>31.208736442547099</v>
      </c>
      <c r="AL2174">
        <v>89.492663546749299</v>
      </c>
      <c r="AM2174">
        <v>87.670005794121295</v>
      </c>
      <c r="AN2174">
        <v>1.0000000208303199</v>
      </c>
    </row>
    <row r="2175" spans="1:40" x14ac:dyDescent="0.25">
      <c r="A2175" t="str">
        <f>"20190312154257750"</f>
        <v>20190312154257750</v>
      </c>
      <c r="B2175" t="str">
        <f>"1552376577739916"</f>
        <v>1552376577739916</v>
      </c>
      <c r="C2175" t="s">
        <v>40</v>
      </c>
      <c r="D2175">
        <v>4.7796510000000003</v>
      </c>
      <c r="E2175">
        <v>0.43360080000000001</v>
      </c>
      <c r="F2175" t="s">
        <v>54</v>
      </c>
      <c r="G2175">
        <v>-512.82539999999995</v>
      </c>
      <c r="H2175">
        <v>0.85782000000000003</v>
      </c>
      <c r="I2175">
        <v>265.09300000000002</v>
      </c>
      <c r="J2175">
        <v>-368.33800000000002</v>
      </c>
      <c r="K2175">
        <v>1.1104400000000001</v>
      </c>
      <c r="L2175">
        <v>283.09449999999998</v>
      </c>
      <c r="M2175">
        <v>-0.99989349999999999</v>
      </c>
      <c r="N2175">
        <v>0</v>
      </c>
      <c r="O2175">
        <v>2.2029039999999999E-3</v>
      </c>
      <c r="P2175">
        <v>-0.9990831</v>
      </c>
      <c r="Q2175">
        <v>-6.2457290000000002E-3</v>
      </c>
      <c r="R2175">
        <v>4.2358159999999999E-2</v>
      </c>
      <c r="S2175">
        <v>-3.0188290000000002</v>
      </c>
      <c r="T2175">
        <v>-5.2648779999999997E-3</v>
      </c>
      <c r="U2175">
        <v>-0.37527470000000002</v>
      </c>
      <c r="V2175">
        <v>4.0157520000000002E-2</v>
      </c>
      <c r="W2175">
        <v>8.1698629999999994E-3</v>
      </c>
      <c r="X2175">
        <v>0.99915989999999999</v>
      </c>
      <c r="Y2175">
        <v>-0.12554760000000001</v>
      </c>
      <c r="Z2175">
        <v>-1.128863E-4</v>
      </c>
      <c r="AA2175">
        <v>0.99208759999999996</v>
      </c>
      <c r="AB2175">
        <v>32</v>
      </c>
      <c r="AC2175">
        <v>-144.48739999999901</v>
      </c>
      <c r="AD2175">
        <v>-0.25261999999999901</v>
      </c>
      <c r="AE2175">
        <v>-18.001499999999901</v>
      </c>
      <c r="AF2175">
        <v>-18.319726167843999</v>
      </c>
      <c r="AG2175">
        <v>-0.25261999999999901</v>
      </c>
      <c r="AH2175">
        <v>144.446954834612</v>
      </c>
      <c r="AI2175">
        <v>90.099406896634093</v>
      </c>
      <c r="AJ2175">
        <v>97.228043354334105</v>
      </c>
      <c r="AK2175">
        <v>145.604254555702</v>
      </c>
      <c r="AL2175">
        <v>89.531896095048296</v>
      </c>
      <c r="AM2175">
        <v>87.698447742864403</v>
      </c>
      <c r="AN2175">
        <v>0.99999993942099696</v>
      </c>
    </row>
    <row r="2176" spans="1:40" x14ac:dyDescent="0.25">
      <c r="A2176" t="str">
        <f>"20190312154257772"</f>
        <v>20190312154257772</v>
      </c>
      <c r="B2176" t="str">
        <f>"1552376577759437"</f>
        <v>1552376577759437</v>
      </c>
      <c r="C2176" t="s">
        <v>40</v>
      </c>
      <c r="D2176">
        <v>4.7794840000000001</v>
      </c>
      <c r="E2176">
        <v>0.43252350000000001</v>
      </c>
      <c r="F2176" t="s">
        <v>54</v>
      </c>
      <c r="G2176">
        <v>-512.8252</v>
      </c>
      <c r="H2176">
        <v>0.15213889999999999</v>
      </c>
      <c r="I2176">
        <v>263.8313</v>
      </c>
      <c r="J2176">
        <v>-368.64350000000002</v>
      </c>
      <c r="K2176">
        <v>1.1104369999999999</v>
      </c>
      <c r="L2176">
        <v>283.09519999999998</v>
      </c>
      <c r="M2176">
        <v>-0.99989360000000005</v>
      </c>
      <c r="N2176">
        <v>0</v>
      </c>
      <c r="O2176">
        <v>2.2132369999999998E-3</v>
      </c>
      <c r="P2176">
        <v>-0.99907000000000001</v>
      </c>
      <c r="Q2176">
        <v>-7.179871E-3</v>
      </c>
      <c r="R2176">
        <v>4.251742E-2</v>
      </c>
      <c r="S2176">
        <v>-3.0196839999999998</v>
      </c>
      <c r="T2176">
        <v>-2.0026209999999999E-2</v>
      </c>
      <c r="U2176">
        <v>-0.4025879</v>
      </c>
      <c r="V2176">
        <v>4.030649E-2</v>
      </c>
      <c r="W2176">
        <v>7.2324290000000003E-3</v>
      </c>
      <c r="X2176">
        <v>0.99916119999999997</v>
      </c>
      <c r="Y2176">
        <v>-0.13434270000000001</v>
      </c>
      <c r="Z2176">
        <v>-4.5812099999999997E-4</v>
      </c>
      <c r="AA2176">
        <v>0.9909348</v>
      </c>
      <c r="AB2176">
        <v>32</v>
      </c>
      <c r="AC2176">
        <v>-144.18169999999901</v>
      </c>
      <c r="AD2176">
        <v>-0.95829810000000004</v>
      </c>
      <c r="AE2176">
        <v>-19.2638999999999</v>
      </c>
      <c r="AF2176">
        <v>-19.582144378263301</v>
      </c>
      <c r="AG2176">
        <v>-0.95829810000000004</v>
      </c>
      <c r="AH2176">
        <v>144.132451338045</v>
      </c>
      <c r="AI2176">
        <v>90.377470946138999</v>
      </c>
      <c r="AJ2176">
        <v>97.736955478351007</v>
      </c>
      <c r="AK2176">
        <v>145.45976159204201</v>
      </c>
      <c r="AL2176">
        <v>89.585608735081607</v>
      </c>
      <c r="AM2176">
        <v>87.689922044298299</v>
      </c>
      <c r="AN2176">
        <v>1.0000000123754</v>
      </c>
    </row>
    <row r="2177" spans="1:40" x14ac:dyDescent="0.25">
      <c r="A2177" t="str">
        <f>"20190312154257794"</f>
        <v>20190312154257794</v>
      </c>
      <c r="B2177" t="str">
        <f>"1552376577789693"</f>
        <v>1552376577789693</v>
      </c>
      <c r="C2177" t="s">
        <v>40</v>
      </c>
      <c r="D2177">
        <v>4.772405</v>
      </c>
      <c r="E2177">
        <v>0.43204700000000001</v>
      </c>
      <c r="F2177" t="s">
        <v>42</v>
      </c>
      <c r="G2177">
        <v>-470.4083</v>
      </c>
      <c r="H2177">
        <v>-0.05</v>
      </c>
      <c r="I2177">
        <v>269.23820000000001</v>
      </c>
      <c r="J2177">
        <v>-368.96910000000003</v>
      </c>
      <c r="K2177">
        <v>1.110425</v>
      </c>
      <c r="L2177">
        <v>283.09589999999997</v>
      </c>
      <c r="M2177">
        <v>-0.9998937</v>
      </c>
      <c r="N2177">
        <v>0</v>
      </c>
      <c r="O2177">
        <v>2.2247040000000001E-3</v>
      </c>
      <c r="P2177">
        <v>-0.99899249999999995</v>
      </c>
      <c r="Q2177">
        <v>-8.2697810000000004E-3</v>
      </c>
      <c r="R2177">
        <v>4.4110030000000001E-2</v>
      </c>
      <c r="S2177">
        <v>-3.0200200000000001</v>
      </c>
      <c r="T2177">
        <v>-3.4437660000000002E-2</v>
      </c>
      <c r="U2177">
        <v>-0.41122439999999999</v>
      </c>
      <c r="V2177">
        <v>4.1887519999999998E-2</v>
      </c>
      <c r="W2177">
        <v>6.1376340000000003E-3</v>
      </c>
      <c r="X2177">
        <v>0.99910350000000003</v>
      </c>
      <c r="Y2177">
        <v>-0.1371165</v>
      </c>
      <c r="Z2177">
        <v>-8.0341750000000002E-4</v>
      </c>
      <c r="AA2177">
        <v>0.99055459999999995</v>
      </c>
      <c r="AB2177">
        <v>32</v>
      </c>
      <c r="AC2177">
        <v>-101.439199999999</v>
      </c>
      <c r="AD2177">
        <v>-1.160425</v>
      </c>
      <c r="AE2177">
        <v>-13.8576999999999</v>
      </c>
      <c r="AF2177">
        <v>-14.081552309386501</v>
      </c>
      <c r="AG2177">
        <v>-1.160425</v>
      </c>
      <c r="AH2177">
        <v>101.395090497588</v>
      </c>
      <c r="AI2177">
        <v>90.6494652427197</v>
      </c>
      <c r="AJ2177">
        <v>97.906553355580797</v>
      </c>
      <c r="AK2177">
        <v>102.374806855187</v>
      </c>
      <c r="AL2177">
        <v>89.648337274478493</v>
      </c>
      <c r="AM2177">
        <v>87.5992743168147</v>
      </c>
      <c r="AN2177">
        <v>1.00000001929755</v>
      </c>
    </row>
    <row r="2178" spans="1:40" x14ac:dyDescent="0.25">
      <c r="A2178" t="str">
        <f>"20190312154257817"</f>
        <v>20190312154257817</v>
      </c>
      <c r="B2178" t="str">
        <f>"1552376577809212"</f>
        <v>1552376577809212</v>
      </c>
      <c r="C2178" t="s">
        <v>40</v>
      </c>
      <c r="D2178">
        <v>4.7976260000000002</v>
      </c>
      <c r="E2178">
        <v>0.43183870000000002</v>
      </c>
      <c r="F2178" t="s">
        <v>42</v>
      </c>
      <c r="G2178">
        <v>-446.68790000000001</v>
      </c>
      <c r="H2178">
        <v>-0.05</v>
      </c>
      <c r="I2178">
        <v>272.53399999999999</v>
      </c>
      <c r="J2178">
        <v>-369.28809999999999</v>
      </c>
      <c r="K2178">
        <v>1.1104229999999999</v>
      </c>
      <c r="L2178">
        <v>283.09660000000002</v>
      </c>
      <c r="M2178">
        <v>-0.99989349999999999</v>
      </c>
      <c r="N2178">
        <v>0</v>
      </c>
      <c r="O2178">
        <v>2.2359900000000002E-3</v>
      </c>
      <c r="P2178">
        <v>-0.9989749</v>
      </c>
      <c r="Q2178">
        <v>-8.6929390000000002E-3</v>
      </c>
      <c r="R2178">
        <v>4.4425249999999999E-2</v>
      </c>
      <c r="S2178">
        <v>-3.0207820000000001</v>
      </c>
      <c r="T2178">
        <v>-4.5103549999999999E-2</v>
      </c>
      <c r="U2178">
        <v>-0.41052250000000001</v>
      </c>
      <c r="V2178">
        <v>4.219146E-2</v>
      </c>
      <c r="W2178">
        <v>5.7108740000000003E-3</v>
      </c>
      <c r="X2178">
        <v>0.99909320000000001</v>
      </c>
      <c r="Y2178">
        <v>-0.13686180000000001</v>
      </c>
      <c r="Z2178">
        <v>-1.0502529999999999E-3</v>
      </c>
      <c r="AA2178">
        <v>0.99058959999999996</v>
      </c>
      <c r="AB2178">
        <v>32</v>
      </c>
      <c r="AC2178">
        <v>-77.399799999999999</v>
      </c>
      <c r="AD2178">
        <v>-1.160423</v>
      </c>
      <c r="AE2178">
        <v>-10.5626</v>
      </c>
      <c r="AF2178">
        <v>-10.7332882764507</v>
      </c>
      <c r="AG2178">
        <v>-1.160423</v>
      </c>
      <c r="AH2178">
        <v>77.358915515128103</v>
      </c>
      <c r="AI2178">
        <v>90.851248066357698</v>
      </c>
      <c r="AJ2178">
        <v>97.899165568144298</v>
      </c>
      <c r="AK2178">
        <v>78.108590234628196</v>
      </c>
      <c r="AL2178">
        <v>89.672789236585899</v>
      </c>
      <c r="AM2178">
        <v>87.581850117250298</v>
      </c>
      <c r="AN2178">
        <v>0.99999997783250705</v>
      </c>
    </row>
    <row r="2179" spans="1:40" x14ac:dyDescent="0.25">
      <c r="A2179" t="str">
        <f>"20190312154257838"</f>
        <v>20190312154257838</v>
      </c>
      <c r="B2179" t="str">
        <f>"1552376577829708"</f>
        <v>1552376577829708</v>
      </c>
      <c r="C2179" t="s">
        <v>40</v>
      </c>
      <c r="D2179">
        <v>4.8183590000000001</v>
      </c>
      <c r="E2179">
        <v>0.43157689999999999</v>
      </c>
      <c r="F2179" t="s">
        <v>51</v>
      </c>
      <c r="G2179">
        <v>-432.51600000000002</v>
      </c>
      <c r="H2179">
        <v>8.0001359999999994E-2</v>
      </c>
      <c r="I2179">
        <v>274.4846</v>
      </c>
      <c r="J2179">
        <v>-369.60579999999999</v>
      </c>
      <c r="K2179">
        <v>1.110425</v>
      </c>
      <c r="L2179">
        <v>283.09739999999999</v>
      </c>
      <c r="M2179">
        <v>-0.99989360000000005</v>
      </c>
      <c r="N2179">
        <v>0</v>
      </c>
      <c r="O2179">
        <v>2.246802E-3</v>
      </c>
      <c r="P2179">
        <v>-0.99897089999999999</v>
      </c>
      <c r="Q2179">
        <v>-8.2154089999999999E-3</v>
      </c>
      <c r="R2179">
        <v>4.4607849999999998E-2</v>
      </c>
      <c r="S2179">
        <v>-3.0209350000000001</v>
      </c>
      <c r="T2179">
        <v>-4.923201E-2</v>
      </c>
      <c r="U2179">
        <v>-0.41146850000000001</v>
      </c>
      <c r="V2179">
        <v>4.2363480000000002E-2</v>
      </c>
      <c r="W2179">
        <v>6.1848409999999999E-3</v>
      </c>
      <c r="X2179">
        <v>0.9990831</v>
      </c>
      <c r="Y2179">
        <v>-0.1371675</v>
      </c>
      <c r="Z2179">
        <v>-1.1489460000000001E-3</v>
      </c>
      <c r="AA2179">
        <v>0.99054719999999996</v>
      </c>
      <c r="AB2179">
        <v>32</v>
      </c>
      <c r="AC2179">
        <v>-62.910199999999897</v>
      </c>
      <c r="AD2179">
        <v>-1.03042364</v>
      </c>
      <c r="AE2179">
        <v>-8.6127999999999894</v>
      </c>
      <c r="AF2179">
        <v>-8.7518349533482898</v>
      </c>
      <c r="AG2179">
        <v>-1.03042364</v>
      </c>
      <c r="AH2179">
        <v>62.874130336858002</v>
      </c>
      <c r="AI2179">
        <v>90.929953445653297</v>
      </c>
      <c r="AJ2179">
        <v>97.924431852948999</v>
      </c>
      <c r="AK2179">
        <v>63.488681302612697</v>
      </c>
      <c r="AL2179">
        <v>89.645632446941704</v>
      </c>
      <c r="AM2179">
        <v>87.571978268763303</v>
      </c>
      <c r="AN2179">
        <v>0.99999997870075696</v>
      </c>
    </row>
    <row r="2180" spans="1:40" x14ac:dyDescent="0.25">
      <c r="A2180" t="str">
        <f>"20190312154257860"</f>
        <v>20190312154257860</v>
      </c>
      <c r="B2180" t="str">
        <f>"1552376577849228"</f>
        <v>1552376577849228</v>
      </c>
      <c r="C2180" t="s">
        <v>40</v>
      </c>
      <c r="D2180">
        <v>4.8375120000000003</v>
      </c>
      <c r="E2180">
        <v>0.43144480000000002</v>
      </c>
      <c r="F2180" t="s">
        <v>51</v>
      </c>
      <c r="G2180">
        <v>-432.90300000000002</v>
      </c>
      <c r="H2180">
        <v>8.0001359999999994E-2</v>
      </c>
      <c r="I2180">
        <v>274.44330000000002</v>
      </c>
      <c r="J2180">
        <v>-369.92219999999998</v>
      </c>
      <c r="K2180">
        <v>1.1104320000000001</v>
      </c>
      <c r="L2180">
        <v>283.09809999999999</v>
      </c>
      <c r="M2180">
        <v>-0.99989360000000005</v>
      </c>
      <c r="N2180">
        <v>0</v>
      </c>
      <c r="O2180">
        <v>2.2576150000000001E-3</v>
      </c>
      <c r="P2180">
        <v>-0.99898209999999998</v>
      </c>
      <c r="Q2180">
        <v>-7.7815609999999898E-3</v>
      </c>
      <c r="R2180">
        <v>4.4431529999999997E-2</v>
      </c>
      <c r="S2180">
        <v>-3.0211489999999999</v>
      </c>
      <c r="T2180">
        <v>-4.9181700000000002E-2</v>
      </c>
      <c r="U2180">
        <v>-0.41305540000000002</v>
      </c>
      <c r="V2180">
        <v>4.2176289999999998E-2</v>
      </c>
      <c r="W2180">
        <v>6.6158930000000003E-3</v>
      </c>
      <c r="X2180">
        <v>0.99908830000000004</v>
      </c>
      <c r="Y2180">
        <v>-0.13767960000000001</v>
      </c>
      <c r="Z2180">
        <v>-1.1519760000000001E-3</v>
      </c>
      <c r="AA2180">
        <v>0.99047609999999997</v>
      </c>
      <c r="AB2180">
        <v>32</v>
      </c>
      <c r="AC2180">
        <v>-62.980800000000002</v>
      </c>
      <c r="AD2180">
        <v>-1.0304306399999901</v>
      </c>
      <c r="AE2180">
        <v>-8.6547999999999607</v>
      </c>
      <c r="AF2180">
        <v>-8.7946685534235396</v>
      </c>
      <c r="AG2180">
        <v>-1.0304306399999901</v>
      </c>
      <c r="AH2180">
        <v>62.944561311356999</v>
      </c>
      <c r="AI2180">
        <v>90.928852710838697</v>
      </c>
      <c r="AJ2180">
        <v>97.9539239780174</v>
      </c>
      <c r="AK2180">
        <v>63.564343628701202</v>
      </c>
      <c r="AL2180">
        <v>89.620934495779494</v>
      </c>
      <c r="AM2180">
        <v>87.582706693548104</v>
      </c>
      <c r="AN2180">
        <v>1.00000002033762</v>
      </c>
    </row>
    <row r="2181" spans="1:40" x14ac:dyDescent="0.25">
      <c r="A2181" t="str">
        <f>"20190312154257883"</f>
        <v>20190312154257883</v>
      </c>
      <c r="B2181" t="str">
        <f>"1552376577879374"</f>
        <v>1552376577879374</v>
      </c>
      <c r="C2181" t="s">
        <v>40</v>
      </c>
      <c r="D2181">
        <v>4.8417500000000002</v>
      </c>
      <c r="E2181">
        <v>0.4313768</v>
      </c>
      <c r="F2181" t="s">
        <v>51</v>
      </c>
      <c r="G2181">
        <v>-432.3098</v>
      </c>
      <c r="H2181">
        <v>8.0001370000000002E-2</v>
      </c>
      <c r="I2181">
        <v>274.53550000000001</v>
      </c>
      <c r="J2181">
        <v>-370.23719999999997</v>
      </c>
      <c r="K2181">
        <v>1.1104339999999999</v>
      </c>
      <c r="L2181">
        <v>283.09870000000001</v>
      </c>
      <c r="M2181">
        <v>-0.9998937</v>
      </c>
      <c r="N2181">
        <v>0</v>
      </c>
      <c r="O2181">
        <v>2.2684250000000001E-3</v>
      </c>
      <c r="P2181">
        <v>-0.99898869999999895</v>
      </c>
      <c r="Q2181">
        <v>-7.255938E-3</v>
      </c>
      <c r="R2181">
        <v>4.4372500000000002E-2</v>
      </c>
      <c r="S2181">
        <v>-3.021118</v>
      </c>
      <c r="T2181">
        <v>-4.989851E-2</v>
      </c>
      <c r="U2181">
        <v>-0.41464230000000002</v>
      </c>
      <c r="V2181">
        <v>4.210643E-2</v>
      </c>
      <c r="W2181">
        <v>7.1384930000000001E-3</v>
      </c>
      <c r="X2181">
        <v>0.99908759999999996</v>
      </c>
      <c r="Y2181">
        <v>-0.13820170000000001</v>
      </c>
      <c r="Z2181">
        <v>-1.173203E-3</v>
      </c>
      <c r="AA2181">
        <v>0.99040340000000004</v>
      </c>
      <c r="AB2181">
        <v>32</v>
      </c>
      <c r="AC2181">
        <v>-62.072600000000001</v>
      </c>
      <c r="AD2181">
        <v>-1.03043263</v>
      </c>
      <c r="AE2181">
        <v>-8.5631999999999895</v>
      </c>
      <c r="AF2181">
        <v>-8.7016464387131691</v>
      </c>
      <c r="AG2181">
        <v>-1.03043263</v>
      </c>
      <c r="AH2181">
        <v>62.036236930923899</v>
      </c>
      <c r="AI2181">
        <v>90.942381528590204</v>
      </c>
      <c r="AJ2181">
        <v>97.984622429801902</v>
      </c>
      <c r="AK2181">
        <v>62.652016206177002</v>
      </c>
      <c r="AL2181">
        <v>89.590990993386299</v>
      </c>
      <c r="AM2181">
        <v>87.5867042252695</v>
      </c>
      <c r="AN2181">
        <v>0.99999997100170701</v>
      </c>
    </row>
    <row r="2182" spans="1:40" x14ac:dyDescent="0.25">
      <c r="A2182" t="str">
        <f>"20190312154257906"</f>
        <v>20190312154257906</v>
      </c>
      <c r="B2182" t="str">
        <f>"1552376577899873"</f>
        <v>1552376577899873</v>
      </c>
      <c r="C2182" t="s">
        <v>40</v>
      </c>
      <c r="D2182">
        <v>4.7821939999999996</v>
      </c>
      <c r="E2182">
        <v>0.43145739999999999</v>
      </c>
      <c r="F2182" t="s">
        <v>51</v>
      </c>
      <c r="G2182">
        <v>-431.9667</v>
      </c>
      <c r="H2182">
        <v>8.0001349999999999E-2</v>
      </c>
      <c r="I2182">
        <v>274.60840000000002</v>
      </c>
      <c r="J2182">
        <v>-370.56220000000002</v>
      </c>
      <c r="K2182">
        <v>1.110439</v>
      </c>
      <c r="L2182">
        <v>283.09949999999998</v>
      </c>
      <c r="M2182">
        <v>-0.9998937</v>
      </c>
      <c r="N2182">
        <v>0</v>
      </c>
      <c r="O2182">
        <v>2.2797130000000001E-3</v>
      </c>
      <c r="P2182">
        <v>-0.99901119999999999</v>
      </c>
      <c r="Q2182">
        <v>-7.1465890000000001E-3</v>
      </c>
      <c r="R2182">
        <v>4.3882209999999998E-2</v>
      </c>
      <c r="S2182">
        <v>-3.021118</v>
      </c>
      <c r="T2182">
        <v>-5.0430660000000002E-2</v>
      </c>
      <c r="U2182">
        <v>-0.41552729999999999</v>
      </c>
      <c r="V2182">
        <v>4.1604839999999997E-2</v>
      </c>
      <c r="W2182">
        <v>7.2448259999999898E-3</v>
      </c>
      <c r="X2182">
        <v>0.99910790000000005</v>
      </c>
      <c r="Y2182">
        <v>-0.13849719999999999</v>
      </c>
      <c r="Z2182">
        <v>-1.1883309999999999E-3</v>
      </c>
      <c r="AA2182">
        <v>0.99036210000000002</v>
      </c>
      <c r="AB2182">
        <v>32</v>
      </c>
      <c r="AC2182">
        <v>-61.404499999999899</v>
      </c>
      <c r="AD2182">
        <v>-1.0304376500000001</v>
      </c>
      <c r="AE2182">
        <v>-8.4910999999999603</v>
      </c>
      <c r="AF2182">
        <v>-8.6286927799518196</v>
      </c>
      <c r="AG2182">
        <v>-1.0304376500000001</v>
      </c>
      <c r="AH2182">
        <v>61.368023731781904</v>
      </c>
      <c r="AI2182">
        <v>90.952601118955599</v>
      </c>
      <c r="AJ2182">
        <v>98.003643432632401</v>
      </c>
      <c r="AK2182">
        <v>61.9802426389723</v>
      </c>
      <c r="AL2182">
        <v>89.584898425124393</v>
      </c>
      <c r="AM2182">
        <v>87.615467457126201</v>
      </c>
      <c r="AN2182">
        <v>1.0000000230288</v>
      </c>
    </row>
    <row r="2183" spans="1:40" x14ac:dyDescent="0.25">
      <c r="A2183" t="str">
        <f>"20190312154257918"</f>
        <v>20190312154257918</v>
      </c>
      <c r="B2183" t="str">
        <f>"1552376577909631"</f>
        <v>1552376577909631</v>
      </c>
      <c r="C2183" t="s">
        <v>40</v>
      </c>
      <c r="D2183">
        <v>4.787598</v>
      </c>
      <c r="E2183">
        <v>0.4313382</v>
      </c>
      <c r="F2183" t="s">
        <v>51</v>
      </c>
      <c r="G2183">
        <v>-431.51229999999998</v>
      </c>
      <c r="H2183">
        <v>8.0001379999999997E-2</v>
      </c>
      <c r="I2183">
        <v>274.6986</v>
      </c>
      <c r="J2183">
        <v>-370.73360000000002</v>
      </c>
      <c r="K2183">
        <v>1.110441</v>
      </c>
      <c r="L2183">
        <v>283.09989999999999</v>
      </c>
      <c r="M2183">
        <v>-0.99989380000000005</v>
      </c>
      <c r="N2183">
        <v>0</v>
      </c>
      <c r="O2183">
        <v>2.2859199999999999E-3</v>
      </c>
      <c r="P2183">
        <v>-0.99903010000000003</v>
      </c>
      <c r="Q2183">
        <v>-6.7729349999999999E-3</v>
      </c>
      <c r="R2183">
        <v>4.3512429999999998E-2</v>
      </c>
      <c r="S2183">
        <v>-3.0209350000000001</v>
      </c>
      <c r="T2183">
        <v>-5.1072600000000003E-2</v>
      </c>
      <c r="U2183">
        <v>-0.41638180000000002</v>
      </c>
      <c r="V2183">
        <v>4.1228819999999999E-2</v>
      </c>
      <c r="W2183">
        <v>7.6167489999999999E-3</v>
      </c>
      <c r="X2183">
        <v>0.99912069999999997</v>
      </c>
      <c r="Y2183">
        <v>-0.13878579999999999</v>
      </c>
      <c r="Z2183">
        <v>-1.206038E-3</v>
      </c>
      <c r="AA2183">
        <v>0.99032169999999997</v>
      </c>
      <c r="AB2183">
        <v>32</v>
      </c>
      <c r="AC2183">
        <v>-60.778699999999901</v>
      </c>
      <c r="AD2183">
        <v>-1.0304396199999999</v>
      </c>
      <c r="AE2183">
        <v>-8.4012999999999902</v>
      </c>
      <c r="AF2183">
        <v>-8.5378196122237693</v>
      </c>
      <c r="AG2183">
        <v>-1.0304396199999999</v>
      </c>
      <c r="AH2183">
        <v>60.742202282515699</v>
      </c>
      <c r="AI2183">
        <v>90.962421973199696</v>
      </c>
      <c r="AJ2183">
        <v>98.000980305069902</v>
      </c>
      <c r="AK2183">
        <v>61.347952758599803</v>
      </c>
      <c r="AL2183">
        <v>89.563588209684198</v>
      </c>
      <c r="AM2183">
        <v>87.637024299836497</v>
      </c>
      <c r="AN2183">
        <v>1.0000000018162001</v>
      </c>
    </row>
    <row r="2184" spans="1:40" x14ac:dyDescent="0.25">
      <c r="A2184" t="str">
        <f>"20190312154257933"</f>
        <v>20190312154257933</v>
      </c>
      <c r="B2184" t="str">
        <f>"1552376577919391"</f>
        <v>1552376577919391</v>
      </c>
      <c r="C2184" t="s">
        <v>40</v>
      </c>
      <c r="D2184">
        <v>4.8079910000000003</v>
      </c>
      <c r="E2184">
        <v>0.43112709999999999</v>
      </c>
      <c r="F2184" t="s">
        <v>51</v>
      </c>
      <c r="G2184">
        <v>-434.16910000000001</v>
      </c>
      <c r="H2184">
        <v>8.0001340000000004E-2</v>
      </c>
      <c r="I2184">
        <v>274.31380000000001</v>
      </c>
      <c r="J2184">
        <v>-370.93889999999999</v>
      </c>
      <c r="K2184">
        <v>1.1104459999999901</v>
      </c>
      <c r="L2184">
        <v>283.1003</v>
      </c>
      <c r="M2184">
        <v>-0.99989380000000005</v>
      </c>
      <c r="N2184">
        <v>0</v>
      </c>
      <c r="O2184">
        <v>2.29356E-3</v>
      </c>
      <c r="P2184">
        <v>-0.99904340000000003</v>
      </c>
      <c r="Q2184">
        <v>-6.724285E-3</v>
      </c>
      <c r="R2184">
        <v>4.3210409999999998E-2</v>
      </c>
      <c r="S2184">
        <v>-3.020813</v>
      </c>
      <c r="T2184">
        <v>-4.9069759999999997E-2</v>
      </c>
      <c r="U2184">
        <v>-0.41839599999999999</v>
      </c>
      <c r="V2184">
        <v>4.091914E-2</v>
      </c>
      <c r="W2184">
        <v>7.6634779999999996E-3</v>
      </c>
      <c r="X2184">
        <v>0.9991331</v>
      </c>
      <c r="Y2184">
        <v>-0.13944819999999999</v>
      </c>
      <c r="Z2184">
        <v>-1.164219E-3</v>
      </c>
      <c r="AA2184">
        <v>0.99022869999999996</v>
      </c>
      <c r="AB2184">
        <v>32</v>
      </c>
      <c r="AC2184">
        <v>-63.230200000000004</v>
      </c>
      <c r="AD2184">
        <v>-1.0304446599999999</v>
      </c>
      <c r="AE2184">
        <v>-8.7864999999999895</v>
      </c>
      <c r="AF2184">
        <v>-8.9291876486204096</v>
      </c>
      <c r="AG2184">
        <v>-1.0304446599999999</v>
      </c>
      <c r="AH2184">
        <v>63.193414051758097</v>
      </c>
      <c r="AI2184">
        <v>90.925006981398894</v>
      </c>
      <c r="AJ2184">
        <v>98.042612879142197</v>
      </c>
      <c r="AK2184">
        <v>63.829458620440597</v>
      </c>
      <c r="AL2184">
        <v>89.560910768655006</v>
      </c>
      <c r="AM2184">
        <v>87.654782383169504</v>
      </c>
      <c r="AN2184">
        <v>1.0000000282145001</v>
      </c>
    </row>
    <row r="2185" spans="1:40" x14ac:dyDescent="0.25">
      <c r="A2185" t="str">
        <f>"20190312154257951"</f>
        <v>20190312154257951</v>
      </c>
      <c r="B2185" t="str">
        <f>"1552376577939886"</f>
        <v>1552376577939886</v>
      </c>
      <c r="C2185" t="s">
        <v>40</v>
      </c>
      <c r="D2185">
        <v>4.766483</v>
      </c>
      <c r="E2185">
        <v>0.43090210000000001</v>
      </c>
      <c r="F2185" t="s">
        <v>42</v>
      </c>
      <c r="G2185">
        <v>-443.26479999999998</v>
      </c>
      <c r="H2185">
        <v>-0.05</v>
      </c>
      <c r="I2185">
        <v>273.02499999999998</v>
      </c>
      <c r="J2185">
        <v>-371.19819999999999</v>
      </c>
      <c r="K2185">
        <v>1.1104480000000001</v>
      </c>
      <c r="L2185">
        <v>283.101</v>
      </c>
      <c r="M2185">
        <v>-0.99989380000000005</v>
      </c>
      <c r="N2185">
        <v>0</v>
      </c>
      <c r="O2185">
        <v>2.3031699999999998E-3</v>
      </c>
      <c r="P2185">
        <v>-0.99910010000000005</v>
      </c>
      <c r="Q2185">
        <v>-6.1548150000000001E-3</v>
      </c>
      <c r="R2185">
        <v>4.1969569999999998E-2</v>
      </c>
      <c r="S2185">
        <v>-3.0207519999999999</v>
      </c>
      <c r="T2185">
        <v>-4.8467040000000003E-2</v>
      </c>
      <c r="U2185">
        <v>-0.42080689999999998</v>
      </c>
      <c r="V2185">
        <v>3.9668660000000001E-2</v>
      </c>
      <c r="W2185">
        <v>8.2313719999999903E-3</v>
      </c>
      <c r="X2185">
        <v>0.99917900000000004</v>
      </c>
      <c r="Y2185">
        <v>-0.140236</v>
      </c>
      <c r="Z2185">
        <v>-1.1563249999999999E-3</v>
      </c>
      <c r="AA2185">
        <v>0.99011740000000004</v>
      </c>
      <c r="AB2185">
        <v>32</v>
      </c>
      <c r="AC2185">
        <v>-72.066599999999994</v>
      </c>
      <c r="AD2185">
        <v>-1.1604479999999999</v>
      </c>
      <c r="AE2185">
        <v>-10.076000000000001</v>
      </c>
      <c r="AF2185">
        <v>-10.2393680436845</v>
      </c>
      <c r="AG2185">
        <v>-1.1604479999999999</v>
      </c>
      <c r="AH2185">
        <v>72.024882516923</v>
      </c>
      <c r="AI2185">
        <v>90.913869097657795</v>
      </c>
      <c r="AJ2185">
        <v>98.091196363541499</v>
      </c>
      <c r="AK2185">
        <v>72.758332849724496</v>
      </c>
      <c r="AL2185">
        <v>89.528371806368696</v>
      </c>
      <c r="AM2185">
        <v>87.726479660660104</v>
      </c>
      <c r="AN2185">
        <v>1.00000001605609</v>
      </c>
    </row>
    <row r="2186" spans="1:40" x14ac:dyDescent="0.25">
      <c r="A2186" t="str">
        <f>"20190312154257974"</f>
        <v>20190312154257974</v>
      </c>
      <c r="B2186" t="str">
        <f>"1552376577959406"</f>
        <v>1552376577959406</v>
      </c>
      <c r="C2186" t="s">
        <v>40</v>
      </c>
      <c r="D2186">
        <v>4.7519130000000001</v>
      </c>
      <c r="E2186">
        <v>0.4306413</v>
      </c>
      <c r="F2186" t="s">
        <v>42</v>
      </c>
      <c r="G2186">
        <v>-446.56049999999999</v>
      </c>
      <c r="H2186">
        <v>-0.05</v>
      </c>
      <c r="I2186">
        <v>272.46629999999999</v>
      </c>
      <c r="J2186">
        <v>-371.51889999999997</v>
      </c>
      <c r="K2186">
        <v>1.1104510000000001</v>
      </c>
      <c r="L2186">
        <v>283.10169999999999</v>
      </c>
      <c r="M2186">
        <v>-0.99989380000000005</v>
      </c>
      <c r="N2186">
        <v>0</v>
      </c>
      <c r="O2186">
        <v>2.3146389999999998E-3</v>
      </c>
      <c r="P2186">
        <v>-0.99916249999999995</v>
      </c>
      <c r="Q2186">
        <v>-6.3930749999999998E-3</v>
      </c>
      <c r="R2186">
        <v>4.0416599999999997E-2</v>
      </c>
      <c r="S2186">
        <v>-3.0203250000000001</v>
      </c>
      <c r="T2186">
        <v>-4.6507720000000002E-2</v>
      </c>
      <c r="U2186">
        <v>-0.42620849999999999</v>
      </c>
      <c r="V2186">
        <v>3.8104060000000002E-2</v>
      </c>
      <c r="W2186">
        <v>7.99057699999999E-3</v>
      </c>
      <c r="X2186">
        <v>0.99924179999999996</v>
      </c>
      <c r="Y2186">
        <v>-0.1420042</v>
      </c>
      <c r="Z2186">
        <v>-1.123324E-3</v>
      </c>
      <c r="AA2186">
        <v>0.98986540000000001</v>
      </c>
      <c r="AB2186">
        <v>32</v>
      </c>
      <c r="AC2186">
        <v>-75.041600000000003</v>
      </c>
      <c r="AD2186">
        <v>-1.1604509999999999</v>
      </c>
      <c r="AE2186">
        <v>-10.635400000000001</v>
      </c>
      <c r="AF2186">
        <v>-10.806550325688701</v>
      </c>
      <c r="AG2186">
        <v>-1.1604509999999999</v>
      </c>
      <c r="AH2186">
        <v>74.999197245817598</v>
      </c>
      <c r="AI2186">
        <v>90.877398144902401</v>
      </c>
      <c r="AJ2186">
        <v>98.199252264343201</v>
      </c>
      <c r="AK2186">
        <v>75.782634976504298</v>
      </c>
      <c r="AL2186">
        <v>89.542168776985704</v>
      </c>
      <c r="AM2186">
        <v>87.816199715089596</v>
      </c>
      <c r="AN2186">
        <v>0.99999997178825695</v>
      </c>
    </row>
    <row r="2187" spans="1:40" x14ac:dyDescent="0.25">
      <c r="A2187" t="str">
        <f>"20190312154257996"</f>
        <v>20190312154257996</v>
      </c>
      <c r="B2187" t="str">
        <f>"1552376577989194"</f>
        <v>1552376577989194</v>
      </c>
      <c r="C2187" t="s">
        <v>40</v>
      </c>
      <c r="D2187">
        <v>4.7273329999999998</v>
      </c>
      <c r="E2187">
        <v>0.43026769999999998</v>
      </c>
      <c r="F2187" t="s">
        <v>42</v>
      </c>
      <c r="G2187">
        <v>-446.53750000000002</v>
      </c>
      <c r="H2187">
        <v>-0.05</v>
      </c>
      <c r="I2187">
        <v>272.33760000000001</v>
      </c>
      <c r="J2187">
        <v>-371.83659999999998</v>
      </c>
      <c r="K2187">
        <v>1.110449</v>
      </c>
      <c r="L2187">
        <v>283.10239999999999</v>
      </c>
      <c r="M2187">
        <v>-0.99989380000000005</v>
      </c>
      <c r="N2187">
        <v>0</v>
      </c>
      <c r="O2187">
        <v>2.325573E-3</v>
      </c>
      <c r="P2187">
        <v>-0.99923010000000001</v>
      </c>
      <c r="Q2187">
        <v>-6.2493610000000002E-3</v>
      </c>
      <c r="R2187">
        <v>3.8732030000000001E-2</v>
      </c>
      <c r="S2187">
        <v>-3.019714</v>
      </c>
      <c r="T2187">
        <v>-4.671144E-2</v>
      </c>
      <c r="U2187">
        <v>-0.43328860000000002</v>
      </c>
      <c r="V2187">
        <v>3.6408320000000001E-2</v>
      </c>
      <c r="W2187">
        <v>8.1317170000000001E-3</v>
      </c>
      <c r="X2187">
        <v>0.99930390000000002</v>
      </c>
      <c r="Y2187">
        <v>-0.14431659999999999</v>
      </c>
      <c r="Z2187">
        <v>-1.1462460000000001E-3</v>
      </c>
      <c r="AA2187">
        <v>0.98953089999999999</v>
      </c>
      <c r="AB2187">
        <v>32</v>
      </c>
      <c r="AC2187">
        <v>-74.700900000000004</v>
      </c>
      <c r="AD2187">
        <v>-1.1604490000000001</v>
      </c>
      <c r="AE2187">
        <v>-10.7647999999999</v>
      </c>
      <c r="AF2187">
        <v>-10.935925850434201</v>
      </c>
      <c r="AG2187">
        <v>-1.1604490000000001</v>
      </c>
      <c r="AH2187">
        <v>74.658010800426496</v>
      </c>
      <c r="AI2187">
        <v>90.881105896411697</v>
      </c>
      <c r="AJ2187">
        <v>98.333436660804495</v>
      </c>
      <c r="AK2187">
        <v>75.463631590087203</v>
      </c>
      <c r="AL2187">
        <v>89.534081795025003</v>
      </c>
      <c r="AM2187">
        <v>87.913426740423702</v>
      </c>
      <c r="AN2187">
        <v>0.99999998757090003</v>
      </c>
    </row>
    <row r="2188" spans="1:40" x14ac:dyDescent="0.25">
      <c r="A2188" t="str">
        <f>"20190312154258017"</f>
        <v>20190312154258017</v>
      </c>
      <c r="B2188" t="str">
        <f>"1552376578009689"</f>
        <v>1552376578009689</v>
      </c>
      <c r="C2188" t="s">
        <v>40</v>
      </c>
      <c r="D2188">
        <v>4.706169</v>
      </c>
      <c r="E2188">
        <v>0.43008400000000002</v>
      </c>
      <c r="F2188" t="s">
        <v>42</v>
      </c>
      <c r="G2188">
        <v>-448.9067</v>
      </c>
      <c r="H2188">
        <v>-0.05</v>
      </c>
      <c r="I2188">
        <v>271.84539999999998</v>
      </c>
      <c r="J2188">
        <v>-372.13900000000001</v>
      </c>
      <c r="K2188">
        <v>1.110447</v>
      </c>
      <c r="L2188">
        <v>283.10320000000002</v>
      </c>
      <c r="M2188">
        <v>-0.9998939</v>
      </c>
      <c r="N2188">
        <v>0</v>
      </c>
      <c r="O2188">
        <v>2.3359079999999998E-3</v>
      </c>
      <c r="P2188">
        <v>-0.99928510000000004</v>
      </c>
      <c r="Q2188">
        <v>-6.4179789999999999E-3</v>
      </c>
      <c r="R2188">
        <v>3.7262259999999998E-2</v>
      </c>
      <c r="S2188">
        <v>-3.019104</v>
      </c>
      <c r="T2188">
        <v>-4.5458789999999999E-2</v>
      </c>
      <c r="U2188">
        <v>-0.44097900000000001</v>
      </c>
      <c r="V2188">
        <v>3.4928260000000003E-2</v>
      </c>
      <c r="W2188">
        <v>7.9605370000000002E-3</v>
      </c>
      <c r="X2188">
        <v>0.99935810000000003</v>
      </c>
      <c r="Y2188">
        <v>-0.14682400000000001</v>
      </c>
      <c r="Z2188">
        <v>-1.1344619999999999E-3</v>
      </c>
      <c r="AA2188">
        <v>0.98916199999999999</v>
      </c>
      <c r="AB2188">
        <v>32</v>
      </c>
      <c r="AC2188">
        <v>-76.767699999999905</v>
      </c>
      <c r="AD2188">
        <v>-1.160447</v>
      </c>
      <c r="AE2188">
        <v>-11.2578</v>
      </c>
      <c r="AF2188">
        <v>-11.4345522710564</v>
      </c>
      <c r="AG2188">
        <v>-1.160447</v>
      </c>
      <c r="AH2188">
        <v>76.724027966747798</v>
      </c>
      <c r="AI2188">
        <v>90.857065073847807</v>
      </c>
      <c r="AJ2188">
        <v>98.476674532242001</v>
      </c>
      <c r="AK2188">
        <v>77.580101123429998</v>
      </c>
      <c r="AL2188">
        <v>89.543890002001802</v>
      </c>
      <c r="AM2188">
        <v>87.998287493336704</v>
      </c>
      <c r="AN2188">
        <v>0.99999998276578195</v>
      </c>
    </row>
    <row r="2189" spans="1:40" x14ac:dyDescent="0.25">
      <c r="A2189" t="str">
        <f>"20190312154258039"</f>
        <v>20190312154258039</v>
      </c>
      <c r="B2189" t="str">
        <f>"1552376578029210"</f>
        <v>1552376578029210</v>
      </c>
      <c r="C2189" t="s">
        <v>40</v>
      </c>
      <c r="D2189">
        <v>4.6811629999999997</v>
      </c>
      <c r="E2189">
        <v>0.42987940000000002</v>
      </c>
      <c r="F2189" t="s">
        <v>42</v>
      </c>
      <c r="G2189">
        <v>-450.45100000000002</v>
      </c>
      <c r="H2189">
        <v>-0.05</v>
      </c>
      <c r="I2189">
        <v>271.50880000000001</v>
      </c>
      <c r="J2189">
        <v>-372.45710000000003</v>
      </c>
      <c r="K2189">
        <v>1.110444</v>
      </c>
      <c r="L2189">
        <v>283.10390000000001</v>
      </c>
      <c r="M2189">
        <v>-0.9998939</v>
      </c>
      <c r="N2189">
        <v>0</v>
      </c>
      <c r="O2189">
        <v>2.3470190000000001E-3</v>
      </c>
      <c r="P2189">
        <v>-0.99931110000000001</v>
      </c>
      <c r="Q2189">
        <v>-6.7936369999999999E-3</v>
      </c>
      <c r="R2189">
        <v>3.64856E-2</v>
      </c>
      <c r="S2189">
        <v>-3.018494</v>
      </c>
      <c r="T2189">
        <v>-4.4728759999999999E-2</v>
      </c>
      <c r="U2189">
        <v>-0.4468994</v>
      </c>
      <c r="V2189">
        <v>3.4140339999999998E-2</v>
      </c>
      <c r="W2189">
        <v>7.5819399999999997E-3</v>
      </c>
      <c r="X2189">
        <v>0.99938830000000001</v>
      </c>
      <c r="Y2189">
        <v>-0.14876259999999999</v>
      </c>
      <c r="Z2189">
        <v>-1.1307589999999901E-3</v>
      </c>
      <c r="AA2189">
        <v>0.98887230000000004</v>
      </c>
      <c r="AB2189">
        <v>32</v>
      </c>
      <c r="AC2189">
        <v>-77.993899999999897</v>
      </c>
      <c r="AD2189">
        <v>-1.160444</v>
      </c>
      <c r="AE2189">
        <v>-11.5951</v>
      </c>
      <c r="AF2189">
        <v>-11.775589699481699</v>
      </c>
      <c r="AG2189">
        <v>-1.160444</v>
      </c>
      <c r="AH2189">
        <v>77.949585519305501</v>
      </c>
      <c r="AI2189">
        <v>90.843338238927402</v>
      </c>
      <c r="AJ2189">
        <v>98.590530953370404</v>
      </c>
      <c r="AK2189">
        <v>78.842558467360703</v>
      </c>
      <c r="AL2189">
        <v>89.565582680225603</v>
      </c>
      <c r="AM2189">
        <v>88.043466178188794</v>
      </c>
      <c r="AN2189">
        <v>1.00000001140318</v>
      </c>
    </row>
    <row r="2190" spans="1:40" x14ac:dyDescent="0.25">
      <c r="A2190" t="str">
        <f>"20190312154258053"</f>
        <v>20190312154258053</v>
      </c>
      <c r="B2190" t="str">
        <f>"1552376578039946"</f>
        <v>1552376578039946</v>
      </c>
      <c r="C2190" t="s">
        <v>40</v>
      </c>
      <c r="D2190">
        <v>4.6467309999999999</v>
      </c>
      <c r="E2190">
        <v>0.42986750000000001</v>
      </c>
      <c r="F2190" t="s">
        <v>42</v>
      </c>
      <c r="G2190">
        <v>-449.96269999999998</v>
      </c>
      <c r="H2190">
        <v>-0.05</v>
      </c>
      <c r="I2190">
        <v>271.5204</v>
      </c>
      <c r="J2190">
        <v>-372.63319999999999</v>
      </c>
      <c r="K2190">
        <v>1.110444</v>
      </c>
      <c r="L2190">
        <v>283.10430000000002</v>
      </c>
      <c r="M2190">
        <v>-0.99989380000000005</v>
      </c>
      <c r="N2190">
        <v>0</v>
      </c>
      <c r="O2190">
        <v>2.353291E-3</v>
      </c>
      <c r="P2190">
        <v>-0.99932279999999996</v>
      </c>
      <c r="Q2190">
        <v>-6.9799399999999996E-3</v>
      </c>
      <c r="R2190">
        <v>3.6128029999999998E-2</v>
      </c>
      <c r="S2190">
        <v>-3.0181879999999999</v>
      </c>
      <c r="T2190">
        <v>-4.5189500000000001E-2</v>
      </c>
      <c r="U2190">
        <v>-0.45108029999999999</v>
      </c>
      <c r="V2190">
        <v>3.3776430000000003E-2</v>
      </c>
      <c r="W2190">
        <v>7.3940719999999998E-3</v>
      </c>
      <c r="X2190">
        <v>0.99940200000000001</v>
      </c>
      <c r="Y2190">
        <v>-0.1501229</v>
      </c>
      <c r="Z2190">
        <v>-1.1526240000000001E-3</v>
      </c>
      <c r="AA2190">
        <v>0.98866670000000001</v>
      </c>
      <c r="AB2190">
        <v>32</v>
      </c>
      <c r="AC2190">
        <v>-77.329499999999996</v>
      </c>
      <c r="AD2190">
        <v>-1.160444</v>
      </c>
      <c r="AE2190">
        <v>-11.5839</v>
      </c>
      <c r="AF2190">
        <v>-11.763274671244901</v>
      </c>
      <c r="AG2190">
        <v>-1.160444</v>
      </c>
      <c r="AH2190">
        <v>77.285000533402993</v>
      </c>
      <c r="AI2190">
        <v>90.850445504896697</v>
      </c>
      <c r="AJ2190">
        <v>98.654363169038703</v>
      </c>
      <c r="AK2190">
        <v>78.183710379569504</v>
      </c>
      <c r="AL2190">
        <v>89.576346994549198</v>
      </c>
      <c r="AM2190">
        <v>88.064331901225799</v>
      </c>
      <c r="AN2190">
        <v>0.99999993856414104</v>
      </c>
    </row>
    <row r="2191" spans="1:40" x14ac:dyDescent="0.25">
      <c r="A2191" t="str">
        <f>"20190312154258073"</f>
        <v>20190312154258073</v>
      </c>
      <c r="B2191" t="str">
        <f>"1552376578069225"</f>
        <v>1552376578069225</v>
      </c>
      <c r="C2191" t="s">
        <v>40</v>
      </c>
      <c r="D2191">
        <v>4.6133100000000002</v>
      </c>
      <c r="E2191">
        <v>0.42959950000000002</v>
      </c>
      <c r="F2191" t="s">
        <v>42</v>
      </c>
      <c r="G2191">
        <v>-448.56659999999999</v>
      </c>
      <c r="H2191">
        <v>-0.05</v>
      </c>
      <c r="I2191">
        <v>271.7269</v>
      </c>
      <c r="J2191">
        <v>-372.91570000000002</v>
      </c>
      <c r="K2191">
        <v>1.1104430000000001</v>
      </c>
      <c r="L2191">
        <v>283.10500000000002</v>
      </c>
      <c r="M2191">
        <v>-0.99989380000000005</v>
      </c>
      <c r="N2191">
        <v>0</v>
      </c>
      <c r="O2191">
        <v>2.3629089999999998E-3</v>
      </c>
      <c r="P2191">
        <v>-0.99933919999999998</v>
      </c>
      <c r="Q2191">
        <v>-7.1316770000000003E-3</v>
      </c>
      <c r="R2191">
        <v>3.5646480000000001E-2</v>
      </c>
      <c r="S2191">
        <v>-3.0180660000000001</v>
      </c>
      <c r="T2191">
        <v>-4.6123270000000001E-2</v>
      </c>
      <c r="U2191">
        <v>-0.45220949999999999</v>
      </c>
      <c r="V2191">
        <v>3.328536E-2</v>
      </c>
      <c r="W2191">
        <v>7.2395810000000001E-3</v>
      </c>
      <c r="X2191">
        <v>0.99941970000000002</v>
      </c>
      <c r="Y2191">
        <v>-0.1504993</v>
      </c>
      <c r="Z2191">
        <v>-1.1794590000000001E-3</v>
      </c>
      <c r="AA2191">
        <v>0.98860939999999997</v>
      </c>
      <c r="AB2191">
        <v>31</v>
      </c>
      <c r="AC2191">
        <v>-75.650899999999893</v>
      </c>
      <c r="AD2191">
        <v>-1.1604429999999999</v>
      </c>
      <c r="AE2191">
        <v>-11.3781</v>
      </c>
      <c r="AF2191">
        <v>-11.5541843636392</v>
      </c>
      <c r="AG2191">
        <v>-1.1604429999999999</v>
      </c>
      <c r="AH2191">
        <v>75.606404010938604</v>
      </c>
      <c r="AI2191">
        <v>90.869243784646201</v>
      </c>
      <c r="AJ2191">
        <v>98.688728690901698</v>
      </c>
      <c r="AK2191">
        <v>76.492967858035698</v>
      </c>
      <c r="AL2191">
        <v>89.585198952974096</v>
      </c>
      <c r="AM2191">
        <v>88.092487077521994</v>
      </c>
      <c r="AN2191">
        <v>1.00000003173573</v>
      </c>
    </row>
    <row r="2192" spans="1:40" x14ac:dyDescent="0.25">
      <c r="A2192" t="str">
        <f>"20190312154258096"</f>
        <v>20190312154258096</v>
      </c>
      <c r="B2192" t="str">
        <f>"1552376578089265"</f>
        <v>1552376578089265</v>
      </c>
      <c r="C2192" t="s">
        <v>40</v>
      </c>
      <c r="D2192">
        <v>4.6273730000000004</v>
      </c>
      <c r="E2192">
        <v>0.42941550000000001</v>
      </c>
      <c r="F2192" t="s">
        <v>42</v>
      </c>
      <c r="G2192">
        <v>-449.8141</v>
      </c>
      <c r="H2192">
        <v>-0.05</v>
      </c>
      <c r="I2192">
        <v>271.5</v>
      </c>
      <c r="J2192">
        <v>-373.2448</v>
      </c>
      <c r="K2192">
        <v>1.1104430000000001</v>
      </c>
      <c r="L2192">
        <v>283.10579999999999</v>
      </c>
      <c r="M2192">
        <v>-0.99989380000000005</v>
      </c>
      <c r="N2192">
        <v>0</v>
      </c>
      <c r="O2192">
        <v>2.3742030000000001E-3</v>
      </c>
      <c r="P2192">
        <v>-0.99934829999999997</v>
      </c>
      <c r="Q2192">
        <v>-7.567598E-3</v>
      </c>
      <c r="R2192">
        <v>3.5293369999999998E-2</v>
      </c>
      <c r="S2192">
        <v>-3.0179140000000002</v>
      </c>
      <c r="T2192">
        <v>-4.5542119999999998E-2</v>
      </c>
      <c r="U2192">
        <v>-0.45544430000000002</v>
      </c>
      <c r="V2192">
        <v>3.2920810000000002E-2</v>
      </c>
      <c r="W2192">
        <v>6.7999469999999998E-3</v>
      </c>
      <c r="X2192">
        <v>0.99943479999999996</v>
      </c>
      <c r="Y2192">
        <v>-0.1515542</v>
      </c>
      <c r="Z2192">
        <v>-1.1726499999999999E-3</v>
      </c>
      <c r="AA2192">
        <v>0.98844829999999995</v>
      </c>
      <c r="AB2192">
        <v>31</v>
      </c>
      <c r="AC2192">
        <v>-76.569299999999998</v>
      </c>
      <c r="AD2192">
        <v>-1.1604429999999999</v>
      </c>
      <c r="AE2192">
        <v>-11.605799999999901</v>
      </c>
      <c r="AF2192">
        <v>-11.7849310749371</v>
      </c>
      <c r="AG2192">
        <v>-1.1604429999999999</v>
      </c>
      <c r="AH2192">
        <v>76.524344796793102</v>
      </c>
      <c r="AI2192">
        <v>90.858666281926006</v>
      </c>
      <c r="AJ2192">
        <v>98.754906083662604</v>
      </c>
      <c r="AK2192">
        <v>77.435176599370706</v>
      </c>
      <c r="AL2192">
        <v>89.610388721402302</v>
      </c>
      <c r="AM2192">
        <v>88.113391962071404</v>
      </c>
      <c r="AN2192">
        <v>0.99999996923064804</v>
      </c>
    </row>
    <row r="2193" spans="1:40" x14ac:dyDescent="0.25">
      <c r="A2193" t="str">
        <f>"20190312154258109"</f>
        <v>20190312154258109</v>
      </c>
      <c r="B2193" t="str">
        <f>"1552376578099987"</f>
        <v>1552376578099987</v>
      </c>
      <c r="C2193" t="s">
        <v>40</v>
      </c>
      <c r="D2193">
        <v>4.6014559999999998</v>
      </c>
      <c r="E2193">
        <v>0.42937910000000001</v>
      </c>
      <c r="F2193" t="s">
        <v>42</v>
      </c>
      <c r="G2193">
        <v>-450.4051</v>
      </c>
      <c r="H2193">
        <v>-0.05</v>
      </c>
      <c r="I2193">
        <v>271.39440000000002</v>
      </c>
      <c r="J2193">
        <v>-373.43459999999999</v>
      </c>
      <c r="K2193">
        <v>1.1104419999999999</v>
      </c>
      <c r="L2193">
        <v>283.10629999999998</v>
      </c>
      <c r="M2193">
        <v>-0.99989399999999995</v>
      </c>
      <c r="N2193">
        <v>0</v>
      </c>
      <c r="O2193">
        <v>2.380774E-3</v>
      </c>
      <c r="P2193">
        <v>-0.99934999999999996</v>
      </c>
      <c r="Q2193">
        <v>-7.5568429999999997E-3</v>
      </c>
      <c r="R2193">
        <v>3.5255139999999997E-2</v>
      </c>
      <c r="S2193">
        <v>-3.017792</v>
      </c>
      <c r="T2193">
        <v>-4.5385719999999997E-2</v>
      </c>
      <c r="U2193">
        <v>-0.45803830000000001</v>
      </c>
      <c r="V2193">
        <v>3.2876059999999999E-2</v>
      </c>
      <c r="W2193">
        <v>6.8085300000000001E-3</v>
      </c>
      <c r="X2193">
        <v>0.99943630000000006</v>
      </c>
      <c r="Y2193">
        <v>-0.15239720000000001</v>
      </c>
      <c r="Z2193">
        <v>-1.174996E-3</v>
      </c>
      <c r="AA2193">
        <v>0.98831860000000005</v>
      </c>
      <c r="AB2193">
        <v>31</v>
      </c>
      <c r="AC2193">
        <v>-76.970500000000001</v>
      </c>
      <c r="AD2193">
        <v>-1.160442</v>
      </c>
      <c r="AE2193">
        <v>-11.711899999999901</v>
      </c>
      <c r="AF2193">
        <v>-11.892493086617201</v>
      </c>
      <c r="AG2193">
        <v>-1.160442</v>
      </c>
      <c r="AH2193">
        <v>76.925306148174997</v>
      </c>
      <c r="AI2193">
        <v>90.854113890052403</v>
      </c>
      <c r="AJ2193">
        <v>98.788235174599293</v>
      </c>
      <c r="AK2193">
        <v>77.847805000790203</v>
      </c>
      <c r="AL2193">
        <v>89.609896973622796</v>
      </c>
      <c r="AM2193">
        <v>88.115957447090594</v>
      </c>
      <c r="AN2193">
        <v>1.00000005457978</v>
      </c>
    </row>
    <row r="2194" spans="1:40" x14ac:dyDescent="0.25">
      <c r="A2194" t="str">
        <f>"20190312154258129"</f>
        <v>20190312154258129</v>
      </c>
      <c r="B2194" t="str">
        <f>"1552376578119507"</f>
        <v>1552376578119507</v>
      </c>
      <c r="C2194" t="s">
        <v>40</v>
      </c>
      <c r="D2194">
        <v>4.5602869999999998</v>
      </c>
      <c r="E2194">
        <v>0.4292532</v>
      </c>
      <c r="F2194" t="s">
        <v>42</v>
      </c>
      <c r="G2194">
        <v>-451.14089999999999</v>
      </c>
      <c r="H2194">
        <v>-0.05</v>
      </c>
      <c r="I2194">
        <v>271.298</v>
      </c>
      <c r="J2194">
        <v>-373.71109999999999</v>
      </c>
      <c r="K2194">
        <v>1.1104419999999999</v>
      </c>
      <c r="L2194">
        <v>283.1069</v>
      </c>
      <c r="M2194">
        <v>-0.99989399999999995</v>
      </c>
      <c r="N2194">
        <v>0</v>
      </c>
      <c r="O2194">
        <v>2.390391E-3</v>
      </c>
      <c r="P2194">
        <v>-0.99935130000000005</v>
      </c>
      <c r="Q2194">
        <v>-7.6451389999999996E-3</v>
      </c>
      <c r="R2194">
        <v>3.5198380000000001E-2</v>
      </c>
      <c r="S2194">
        <v>-3.0178219999999998</v>
      </c>
      <c r="T2194">
        <v>-4.506719E-2</v>
      </c>
      <c r="U2194">
        <v>-0.45858759999999998</v>
      </c>
      <c r="V2194">
        <v>3.2809720000000001E-2</v>
      </c>
      <c r="W2194">
        <v>6.7174569999999996E-3</v>
      </c>
      <c r="X2194">
        <v>0.99943910000000002</v>
      </c>
      <c r="Y2194">
        <v>-0.152581299999999</v>
      </c>
      <c r="Z2194">
        <v>-1.1682330000000001E-3</v>
      </c>
      <c r="AA2194">
        <v>0.98829029999999995</v>
      </c>
      <c r="AB2194">
        <v>31</v>
      </c>
      <c r="AC2194">
        <v>-77.4298</v>
      </c>
      <c r="AD2194">
        <v>-1.160442</v>
      </c>
      <c r="AE2194">
        <v>-11.8088999999999</v>
      </c>
      <c r="AF2194">
        <v>-11.991340683241001</v>
      </c>
      <c r="AG2194">
        <v>-1.160442</v>
      </c>
      <c r="AH2194">
        <v>77.384361670250499</v>
      </c>
      <c r="AI2194">
        <v>90.849001675914295</v>
      </c>
      <c r="AJ2194">
        <v>98.808393683786605</v>
      </c>
      <c r="AK2194">
        <v>78.3165264048978</v>
      </c>
      <c r="AL2194">
        <v>89.615115192629304</v>
      </c>
      <c r="AM2194">
        <v>88.1197617543082</v>
      </c>
      <c r="AN2194">
        <v>1.00000005828191</v>
      </c>
    </row>
    <row r="2195" spans="1:40" x14ac:dyDescent="0.25">
      <c r="A2195" t="str">
        <f>"20190312154258151"</f>
        <v>20190312154258151</v>
      </c>
      <c r="B2195" t="str">
        <f>"1552376578140003"</f>
        <v>1552376578140003</v>
      </c>
      <c r="C2195" t="s">
        <v>40</v>
      </c>
      <c r="D2195">
        <v>4.4983879999999896</v>
      </c>
      <c r="E2195">
        <v>0.42906250000000001</v>
      </c>
      <c r="F2195" t="s">
        <v>42</v>
      </c>
      <c r="G2195">
        <v>-450.90679999999998</v>
      </c>
      <c r="H2195">
        <v>-0.05</v>
      </c>
      <c r="I2195">
        <v>271.34570000000002</v>
      </c>
      <c r="J2195">
        <v>-374.02120000000002</v>
      </c>
      <c r="K2195">
        <v>1.1104480000000001</v>
      </c>
      <c r="L2195">
        <v>283.10759999999999</v>
      </c>
      <c r="M2195">
        <v>-0.99989410000000001</v>
      </c>
      <c r="N2195">
        <v>0</v>
      </c>
      <c r="O2195">
        <v>2.4012019999999999E-3</v>
      </c>
      <c r="P2195">
        <v>-0.99935030000000002</v>
      </c>
      <c r="Q2195">
        <v>-7.0893429999999997E-3</v>
      </c>
      <c r="R2195">
        <v>3.5342060000000002E-2</v>
      </c>
      <c r="S2195">
        <v>-3.017792</v>
      </c>
      <c r="T2195">
        <v>-4.536486E-2</v>
      </c>
      <c r="U2195">
        <v>-0.45977780000000001</v>
      </c>
      <c r="V2195">
        <v>3.2942539999999999E-2</v>
      </c>
      <c r="W2195">
        <v>7.270098E-3</v>
      </c>
      <c r="X2195">
        <v>0.99943079999999995</v>
      </c>
      <c r="Y2195">
        <v>-0.1529741</v>
      </c>
      <c r="Z2195">
        <v>-1.1790220000000001E-3</v>
      </c>
      <c r="AA2195">
        <v>0.98822949999999998</v>
      </c>
      <c r="AB2195">
        <v>31</v>
      </c>
      <c r="AC2195">
        <v>-76.885599999999897</v>
      </c>
      <c r="AD2195">
        <v>-1.1604479999999999</v>
      </c>
      <c r="AE2195">
        <v>-11.761899999999899</v>
      </c>
      <c r="AF2195">
        <v>-11.9438443255123</v>
      </c>
      <c r="AG2195">
        <v>-1.1604479999999999</v>
      </c>
      <c r="AH2195">
        <v>76.840028511018701</v>
      </c>
      <c r="AI2195">
        <v>90.8549573831434</v>
      </c>
      <c r="AJ2195">
        <v>98.835226467981798</v>
      </c>
      <c r="AK2195">
        <v>77.771408875028996</v>
      </c>
      <c r="AL2195">
        <v>89.583450396252601</v>
      </c>
      <c r="AM2195">
        <v>88.112140021508694</v>
      </c>
      <c r="AN2195">
        <v>0.99999999462761002</v>
      </c>
    </row>
    <row r="2196" spans="1:40" x14ac:dyDescent="0.25">
      <c r="A2196" t="str">
        <f>"20190312154258174"</f>
        <v>20190312154258174</v>
      </c>
      <c r="B2196" t="str">
        <f>"1552376578169283"</f>
        <v>1552376578169283</v>
      </c>
      <c r="C2196" t="s">
        <v>40</v>
      </c>
      <c r="D2196">
        <v>4.4968059999999896</v>
      </c>
      <c r="E2196">
        <v>0.4287279</v>
      </c>
      <c r="F2196" t="s">
        <v>42</v>
      </c>
      <c r="G2196">
        <v>-454.24799999999999</v>
      </c>
      <c r="H2196">
        <v>-0.05</v>
      </c>
      <c r="I2196">
        <v>270.86099999999999</v>
      </c>
      <c r="J2196">
        <v>-374.33519999999999</v>
      </c>
      <c r="K2196">
        <v>1.1104499999999999</v>
      </c>
      <c r="L2196">
        <v>283.10840000000002</v>
      </c>
      <c r="M2196">
        <v>-0.99989399999999995</v>
      </c>
      <c r="N2196">
        <v>0</v>
      </c>
      <c r="O2196">
        <v>2.4123119999999998E-3</v>
      </c>
      <c r="P2196">
        <v>-0.99934659999999997</v>
      </c>
      <c r="Q2196">
        <v>-5.9962089999999997E-3</v>
      </c>
      <c r="R2196">
        <v>3.5643469999999997E-2</v>
      </c>
      <c r="S2196">
        <v>-3.0179749999999999</v>
      </c>
      <c r="T2196">
        <v>-4.3653730000000002E-2</v>
      </c>
      <c r="U2196">
        <v>-0.46069339999999998</v>
      </c>
      <c r="V2196">
        <v>3.3232820000000003E-2</v>
      </c>
      <c r="W2196">
        <v>8.3591599999999992E-3</v>
      </c>
      <c r="X2196">
        <v>0.99941270000000004</v>
      </c>
      <c r="Y2196">
        <v>-0.1532704</v>
      </c>
      <c r="Z2196">
        <v>-1.1367510000000001E-3</v>
      </c>
      <c r="AA2196">
        <v>0.98818360000000005</v>
      </c>
      <c r="AB2196">
        <v>31</v>
      </c>
      <c r="AC2196">
        <v>-79.912800000000004</v>
      </c>
      <c r="AD2196">
        <v>-1.16045</v>
      </c>
      <c r="AE2196">
        <v>-12.247400000000001</v>
      </c>
      <c r="AF2196">
        <v>-12.4375962810976</v>
      </c>
      <c r="AG2196">
        <v>-1.16045</v>
      </c>
      <c r="AH2196">
        <v>79.866564675557896</v>
      </c>
      <c r="AI2196">
        <v>90.822528338703904</v>
      </c>
      <c r="AJ2196">
        <v>98.851556398512997</v>
      </c>
      <c r="AK2196">
        <v>80.837544486019297</v>
      </c>
      <c r="AL2196">
        <v>89.521049843568093</v>
      </c>
      <c r="AM2196">
        <v>88.095482484109297</v>
      </c>
      <c r="AN2196">
        <v>1.0000000204011701</v>
      </c>
    </row>
    <row r="2197" spans="1:40" x14ac:dyDescent="0.25">
      <c r="A2197" t="str">
        <f>"20190312154258196"</f>
        <v>20190312154258196</v>
      </c>
      <c r="B2197" t="str">
        <f>"1552376578189778"</f>
        <v>1552376578189778</v>
      </c>
      <c r="C2197" t="s">
        <v>40</v>
      </c>
      <c r="D2197">
        <v>4.4911830000000004</v>
      </c>
      <c r="E2197">
        <v>0.42848120000000001</v>
      </c>
      <c r="F2197" t="s">
        <v>42</v>
      </c>
      <c r="G2197">
        <v>-462.26260000000002</v>
      </c>
      <c r="H2197">
        <v>-0.05</v>
      </c>
      <c r="I2197">
        <v>269.63479999999998</v>
      </c>
      <c r="J2197">
        <v>-374.64800000000002</v>
      </c>
      <c r="K2197">
        <v>1.110457</v>
      </c>
      <c r="L2197">
        <v>283.10919999999999</v>
      </c>
      <c r="M2197">
        <v>-0.99989399999999995</v>
      </c>
      <c r="N2197">
        <v>0</v>
      </c>
      <c r="O2197">
        <v>2.4231259999999998E-3</v>
      </c>
      <c r="P2197">
        <v>-0.99933850000000002</v>
      </c>
      <c r="Q2197">
        <v>-5.405778E-3</v>
      </c>
      <c r="R2197">
        <v>3.5964570000000001E-2</v>
      </c>
      <c r="S2197">
        <v>-3.0181879999999999</v>
      </c>
      <c r="T2197">
        <v>-3.9833550000000002E-2</v>
      </c>
      <c r="U2197">
        <v>-0.46249390000000001</v>
      </c>
      <c r="V2197">
        <v>3.354327E-2</v>
      </c>
      <c r="W2197">
        <v>8.9461239999999997E-3</v>
      </c>
      <c r="X2197">
        <v>0.99939719999999999</v>
      </c>
      <c r="Y2197">
        <v>-0.15384919999999999</v>
      </c>
      <c r="Z2197">
        <v>-1.0411019999999999E-3</v>
      </c>
      <c r="AA2197">
        <v>0.98809380000000002</v>
      </c>
      <c r="AB2197">
        <v>31</v>
      </c>
      <c r="AC2197">
        <v>-87.614599999999996</v>
      </c>
      <c r="AD2197">
        <v>-1.1604570000000001</v>
      </c>
      <c r="AE2197">
        <v>-13.474399999999999</v>
      </c>
      <c r="AF2197">
        <v>-13.684338349613499</v>
      </c>
      <c r="AG2197">
        <v>-1.1604570000000001</v>
      </c>
      <c r="AH2197">
        <v>87.566682269900994</v>
      </c>
      <c r="AI2197">
        <v>90.750150945871596</v>
      </c>
      <c r="AJ2197">
        <v>98.8819648390553</v>
      </c>
      <c r="AK2197">
        <v>88.637078134792702</v>
      </c>
      <c r="AL2197">
        <v>89.487418000922403</v>
      </c>
      <c r="AM2197">
        <v>88.077674607219194</v>
      </c>
      <c r="AN2197">
        <v>0.99999997373237703</v>
      </c>
    </row>
    <row r="2198" spans="1:40" x14ac:dyDescent="0.25">
      <c r="A2198" t="str">
        <f>"20190312154258219"</f>
        <v>20190312154258219</v>
      </c>
      <c r="B2198" t="str">
        <f>"1552376578209299"</f>
        <v>1552376578209299</v>
      </c>
      <c r="C2198" t="s">
        <v>40</v>
      </c>
      <c r="D2198">
        <v>4.4881960000000003</v>
      </c>
      <c r="E2198">
        <v>0.42826019999999998</v>
      </c>
      <c r="F2198" t="s">
        <v>42</v>
      </c>
      <c r="G2198">
        <v>-466.99790000000002</v>
      </c>
      <c r="H2198">
        <v>-0.05</v>
      </c>
      <c r="I2198">
        <v>268.9323</v>
      </c>
      <c r="J2198">
        <v>-374.95760000000001</v>
      </c>
      <c r="K2198">
        <v>1.1104590000000001</v>
      </c>
      <c r="L2198">
        <v>283.10989999999998</v>
      </c>
      <c r="M2198">
        <v>-0.99989399999999995</v>
      </c>
      <c r="N2198">
        <v>0</v>
      </c>
      <c r="O2198">
        <v>2.4339380000000001E-3</v>
      </c>
      <c r="P2198">
        <v>-0.99934979999999995</v>
      </c>
      <c r="Q2198">
        <v>-4.1964350000000001E-3</v>
      </c>
      <c r="R2198">
        <v>3.581024E-2</v>
      </c>
      <c r="S2198">
        <v>-3.018494</v>
      </c>
      <c r="T2198">
        <v>-3.793001E-2</v>
      </c>
      <c r="U2198">
        <v>-0.46337889999999998</v>
      </c>
      <c r="V2198">
        <v>3.3378150000000002E-2</v>
      </c>
      <c r="W2198">
        <v>1.015199E-2</v>
      </c>
      <c r="X2198">
        <v>0.99939129999999998</v>
      </c>
      <c r="Y2198">
        <v>-0.1541293</v>
      </c>
      <c r="Z2198">
        <v>-9.9311819999999993E-4</v>
      </c>
      <c r="AA2198">
        <v>0.98805019999999999</v>
      </c>
      <c r="AB2198">
        <v>31</v>
      </c>
      <c r="AC2198">
        <v>-92.040300000000002</v>
      </c>
      <c r="AD2198">
        <v>-1.1604589999999999</v>
      </c>
      <c r="AE2198">
        <v>-14.177599999999901</v>
      </c>
      <c r="AF2198">
        <v>-14.399365512839699</v>
      </c>
      <c r="AG2198">
        <v>-1.1604589999999999</v>
      </c>
      <c r="AH2198">
        <v>91.991231841422007</v>
      </c>
      <c r="AI2198">
        <v>90.714047661159199</v>
      </c>
      <c r="AJ2198">
        <v>98.896305584407898</v>
      </c>
      <c r="AK2198">
        <v>93.118607850231996</v>
      </c>
      <c r="AL2198">
        <v>89.418323866575193</v>
      </c>
      <c r="AM2198">
        <v>88.0871191085795</v>
      </c>
      <c r="AN2198">
        <v>1.0000000671570299</v>
      </c>
    </row>
    <row r="2199" spans="1:40" x14ac:dyDescent="0.25">
      <c r="A2199" t="str">
        <f>"20190312154258241"</f>
        <v>20190312154258241</v>
      </c>
      <c r="B2199" t="str">
        <f>"1552376578229795"</f>
        <v>1552376578229795</v>
      </c>
      <c r="C2199" t="s">
        <v>40</v>
      </c>
      <c r="D2199">
        <v>4.519755</v>
      </c>
      <c r="E2199">
        <v>0.42817850000000002</v>
      </c>
      <c r="F2199" t="s">
        <v>42</v>
      </c>
      <c r="G2199">
        <v>-476.02249999999998</v>
      </c>
      <c r="H2199">
        <v>-0.05</v>
      </c>
      <c r="I2199">
        <v>267.52370000000002</v>
      </c>
      <c r="J2199">
        <v>-375.2731</v>
      </c>
      <c r="K2199">
        <v>1.11046</v>
      </c>
      <c r="L2199">
        <v>283.11070000000001</v>
      </c>
      <c r="M2199">
        <v>-0.99989399999999995</v>
      </c>
      <c r="N2199">
        <v>0</v>
      </c>
      <c r="O2199">
        <v>2.4455800000000001E-3</v>
      </c>
      <c r="P2199">
        <v>-0.99936769999999997</v>
      </c>
      <c r="Q2199">
        <v>-3.5348720000000001E-3</v>
      </c>
      <c r="R2199">
        <v>3.5383350000000001E-2</v>
      </c>
      <c r="S2199">
        <v>-3.0185240000000002</v>
      </c>
      <c r="T2199">
        <v>-3.4659620000000002E-2</v>
      </c>
      <c r="U2199">
        <v>-0.46551510000000001</v>
      </c>
      <c r="V2199">
        <v>3.2939789999999997E-2</v>
      </c>
      <c r="W2199">
        <v>1.080999E-2</v>
      </c>
      <c r="X2199">
        <v>0.99939889999999998</v>
      </c>
      <c r="Y2199">
        <v>-0.1548243</v>
      </c>
      <c r="Z2199">
        <v>-9.1153719999999998E-4</v>
      </c>
      <c r="AA2199">
        <v>0.98794159999999998</v>
      </c>
      <c r="AB2199">
        <v>31</v>
      </c>
      <c r="AC2199">
        <v>-100.749399999999</v>
      </c>
      <c r="AD2199">
        <v>-1.16046</v>
      </c>
      <c r="AE2199">
        <v>-15.5869999999999</v>
      </c>
      <c r="AF2199">
        <v>-15.831318222880199</v>
      </c>
      <c r="AG2199">
        <v>-1.16046</v>
      </c>
      <c r="AH2199">
        <v>100.697928088086</v>
      </c>
      <c r="AI2199">
        <v>90.6522462240723</v>
      </c>
      <c r="AJ2199">
        <v>98.934675819143706</v>
      </c>
      <c r="AK2199">
        <v>101.94140486239699</v>
      </c>
      <c r="AL2199">
        <v>89.380621147557903</v>
      </c>
      <c r="AM2199">
        <v>88.112237293224197</v>
      </c>
      <c r="AN2199">
        <v>1.0000000234851201</v>
      </c>
    </row>
    <row r="2200" spans="1:40" x14ac:dyDescent="0.25">
      <c r="A2200" t="str">
        <f>"20190312154258263"</f>
        <v>20190312154258263</v>
      </c>
      <c r="B2200" t="str">
        <f>"1552376578260052"</f>
        <v>1552376578260052</v>
      </c>
      <c r="C2200" t="s">
        <v>40</v>
      </c>
      <c r="D2200">
        <v>4.6208460000000002</v>
      </c>
      <c r="E2200">
        <v>0.46375080000000002</v>
      </c>
      <c r="F2200" t="s">
        <v>42</v>
      </c>
      <c r="G2200">
        <v>-482.96379999999999</v>
      </c>
      <c r="H2200">
        <v>-0.05</v>
      </c>
      <c r="I2200">
        <v>266.43220000000002</v>
      </c>
      <c r="J2200">
        <v>-375.58600000000001</v>
      </c>
      <c r="K2200">
        <v>1.1104639999999999</v>
      </c>
      <c r="L2200">
        <v>283.11149999999998</v>
      </c>
      <c r="M2200">
        <v>-0.99989399999999995</v>
      </c>
      <c r="N2200">
        <v>0</v>
      </c>
      <c r="O2200">
        <v>2.4573989999999999E-3</v>
      </c>
      <c r="P2200">
        <v>-0.99940110000000004</v>
      </c>
      <c r="Q2200">
        <v>-2.827544E-3</v>
      </c>
      <c r="R2200">
        <v>3.448963E-2</v>
      </c>
      <c r="S2200">
        <v>-3.0183719999999998</v>
      </c>
      <c r="T2200">
        <v>-3.2525539999999999E-2</v>
      </c>
      <c r="U2200">
        <v>-0.4674683</v>
      </c>
      <c r="V2200">
        <v>3.2034069999999998E-2</v>
      </c>
      <c r="W2200">
        <v>1.1514709999999999E-2</v>
      </c>
      <c r="X2200">
        <v>0.99942050000000004</v>
      </c>
      <c r="Y2200">
        <v>-0.155469</v>
      </c>
      <c r="Z2200">
        <v>-8.5899499999999998E-4</v>
      </c>
      <c r="AA2200">
        <v>0.98784039999999995</v>
      </c>
      <c r="AB2200">
        <v>31</v>
      </c>
      <c r="AC2200">
        <v>-107.377799999999</v>
      </c>
      <c r="AD2200">
        <v>-1.1604639999999999</v>
      </c>
      <c r="AE2200">
        <v>-16.679299999999898</v>
      </c>
      <c r="AF2200">
        <v>-16.941214825124099</v>
      </c>
      <c r="AG2200">
        <v>-1.1604639999999999</v>
      </c>
      <c r="AH2200">
        <v>107.324243900749</v>
      </c>
      <c r="AI2200">
        <v>90.611921389797402</v>
      </c>
      <c r="AJ2200">
        <v>98.970168908343794</v>
      </c>
      <c r="AK2200">
        <v>108.659305930572</v>
      </c>
      <c r="AL2200">
        <v>89.340241169694806</v>
      </c>
      <c r="AM2200">
        <v>88.164147276577694</v>
      </c>
      <c r="AN2200">
        <v>1.0000000530036901</v>
      </c>
    </row>
    <row r="2201" spans="1:40" x14ac:dyDescent="0.25">
      <c r="A2201" t="str">
        <f>"20190312154258286"</f>
        <v>20190312154258286</v>
      </c>
      <c r="B2201" t="str">
        <f>"1552376578280079"</f>
        <v>1552376578280079</v>
      </c>
      <c r="C2201" t="s">
        <v>40</v>
      </c>
      <c r="D2201">
        <v>4.5251760000000001</v>
      </c>
      <c r="E2201">
        <v>0.51462220000000003</v>
      </c>
      <c r="F2201" t="s">
        <v>50</v>
      </c>
      <c r="G2201">
        <v>-463.28960000000001</v>
      </c>
      <c r="H2201">
        <v>8.0000799999999997E-2</v>
      </c>
      <c r="I2201">
        <v>277.66890000000001</v>
      </c>
      <c r="J2201">
        <v>-375.89819999999997</v>
      </c>
      <c r="K2201">
        <v>1.11046</v>
      </c>
      <c r="L2201">
        <v>283.1123</v>
      </c>
      <c r="M2201">
        <v>-0.99989410000000001</v>
      </c>
      <c r="N2201">
        <v>0</v>
      </c>
      <c r="O2201">
        <v>2.4685079999999999E-3</v>
      </c>
      <c r="P2201">
        <v>-0.99944180000000005</v>
      </c>
      <c r="Q2201">
        <v>-2.1421180000000001E-3</v>
      </c>
      <c r="R2201">
        <v>3.334351E-2</v>
      </c>
      <c r="S2201">
        <v>-3.0081479999999998</v>
      </c>
      <c r="T2201">
        <v>-3.5343890000000003E-2</v>
      </c>
      <c r="U2201">
        <v>-0.18667600000000001</v>
      </c>
      <c r="V2201">
        <v>3.0876750000000001E-2</v>
      </c>
      <c r="W2201">
        <v>1.2197019999999999E-2</v>
      </c>
      <c r="X2201">
        <v>0.99944880000000003</v>
      </c>
      <c r="Y2201">
        <v>-6.4396869999999995E-2</v>
      </c>
      <c r="Z2201">
        <v>-4.0691330000000001E-4</v>
      </c>
      <c r="AA2201">
        <v>0.99792429999999999</v>
      </c>
      <c r="AB2201">
        <v>31</v>
      </c>
      <c r="AC2201">
        <v>-87.391400000000004</v>
      </c>
      <c r="AD2201">
        <v>-1.0304591999999999</v>
      </c>
      <c r="AE2201">
        <v>-5.4433999999999898</v>
      </c>
      <c r="AF2201">
        <v>-5.6583483040507199</v>
      </c>
      <c r="AG2201">
        <v>-1.0304591999999999</v>
      </c>
      <c r="AH2201">
        <v>87.365595292269205</v>
      </c>
      <c r="AI2201">
        <v>90.674347856900894</v>
      </c>
      <c r="AJ2201">
        <v>93.705661356151793</v>
      </c>
      <c r="AK2201">
        <v>87.554702857501496</v>
      </c>
      <c r="AL2201">
        <v>89.301144918493804</v>
      </c>
      <c r="AM2201">
        <v>88.230479685361303</v>
      </c>
      <c r="AN2201">
        <v>1.0000000224044401</v>
      </c>
    </row>
    <row r="2202" spans="1:40" x14ac:dyDescent="0.25">
      <c r="A2202" t="str">
        <f>"20190312154258309"</f>
        <v>20190312154258309</v>
      </c>
      <c r="B2202" t="str">
        <f>"1552376578299599"</f>
        <v>1552376578299599</v>
      </c>
      <c r="C2202" t="s">
        <v>40</v>
      </c>
      <c r="D2202">
        <v>4.5037979999999997</v>
      </c>
      <c r="E2202">
        <v>0.52511079999999999</v>
      </c>
      <c r="F2202" t="s">
        <v>50</v>
      </c>
      <c r="G2202">
        <v>-454.90519999999998</v>
      </c>
      <c r="H2202" s="1">
        <v>8.9083179999999996E-7</v>
      </c>
      <c r="I2202">
        <v>288.7955</v>
      </c>
      <c r="J2202">
        <v>-376.2054</v>
      </c>
      <c r="K2202">
        <v>1.110466</v>
      </c>
      <c r="L2202">
        <v>283.113</v>
      </c>
      <c r="M2202">
        <v>-0.99989410000000001</v>
      </c>
      <c r="N2202">
        <v>0</v>
      </c>
      <c r="O2202">
        <v>2.4796190000000002E-3</v>
      </c>
      <c r="P2202">
        <v>-0.99946990000000002</v>
      </c>
      <c r="Q2202">
        <v>-1.9422840000000001E-3</v>
      </c>
      <c r="R2202">
        <v>3.2503079999999997E-2</v>
      </c>
      <c r="S2202">
        <v>-2.994354</v>
      </c>
      <c r="T2202">
        <v>-4.2086239999999997E-2</v>
      </c>
      <c r="U2202">
        <v>0.2153931</v>
      </c>
      <c r="V2202">
        <v>3.0025340000000001E-2</v>
      </c>
      <c r="W2202">
        <v>1.2393940000000001E-2</v>
      </c>
      <c r="X2202">
        <v>0.99947229999999998</v>
      </c>
      <c r="Y2202">
        <v>6.9267410000000001E-2</v>
      </c>
      <c r="Z2202">
        <v>4.5132389999999998E-4</v>
      </c>
      <c r="AA2202">
        <v>0.99759810000000004</v>
      </c>
      <c r="AB2202">
        <v>31</v>
      </c>
      <c r="AC2202">
        <v>-78.699799999999897</v>
      </c>
      <c r="AD2202">
        <v>-1.1104651091681901</v>
      </c>
      <c r="AE2202">
        <v>5.6825000000000001</v>
      </c>
      <c r="AF2202">
        <v>5.4862303180754601</v>
      </c>
      <c r="AG2202">
        <v>-1.1104651091681901</v>
      </c>
      <c r="AH2202">
        <v>78.698062683852996</v>
      </c>
      <c r="AI2202">
        <v>90.806458617533394</v>
      </c>
      <c r="AJ2202">
        <v>86.0122256710698</v>
      </c>
      <c r="AK2202">
        <v>78.896875261655893</v>
      </c>
      <c r="AL2202">
        <v>89.289861368254805</v>
      </c>
      <c r="AM2202">
        <v>88.279283953500197</v>
      </c>
      <c r="AN2202">
        <v>1.00000000462906</v>
      </c>
    </row>
    <row r="2203" spans="1:40" x14ac:dyDescent="0.25">
      <c r="A2203" t="str">
        <f>"20190312154258330"</f>
        <v>20190312154258330</v>
      </c>
      <c r="B2203" t="str">
        <f>"1552376578320096"</f>
        <v>1552376578320096</v>
      </c>
      <c r="C2203" t="s">
        <v>40</v>
      </c>
      <c r="D2203">
        <v>4.4963150000000001</v>
      </c>
      <c r="E2203">
        <v>0.52933669999999899</v>
      </c>
      <c r="F2203" t="s">
        <v>51</v>
      </c>
      <c r="G2203">
        <v>-435.61989999999997</v>
      </c>
      <c r="H2203" s="1">
        <v>4.3267889999999997E-6</v>
      </c>
      <c r="I2203">
        <v>288.99040000000002</v>
      </c>
      <c r="J2203">
        <v>-376.505</v>
      </c>
      <c r="K2203">
        <v>1.110465</v>
      </c>
      <c r="L2203">
        <v>283.11380000000003</v>
      </c>
      <c r="M2203">
        <v>-0.99989410000000001</v>
      </c>
      <c r="N2203">
        <v>0</v>
      </c>
      <c r="O2203">
        <v>2.4899570000000001E-3</v>
      </c>
      <c r="P2203">
        <v>-0.99948250000000005</v>
      </c>
      <c r="Q2203">
        <v>-2.408182E-3</v>
      </c>
      <c r="R2203">
        <v>3.2081249999999999E-2</v>
      </c>
      <c r="S2203">
        <v>-2.9918520000000002</v>
      </c>
      <c r="T2203">
        <v>-5.5917979999999999E-2</v>
      </c>
      <c r="U2203">
        <v>0.29595949999999999</v>
      </c>
      <c r="V2203">
        <v>2.9593040000000001E-2</v>
      </c>
      <c r="W2203">
        <v>1.192476E-2</v>
      </c>
      <c r="X2203">
        <v>0.99949089999999996</v>
      </c>
      <c r="Y2203">
        <v>9.5946770000000001E-2</v>
      </c>
      <c r="Z2203">
        <v>8.4794299999999998E-4</v>
      </c>
      <c r="AA2203">
        <v>0.99538610000000005</v>
      </c>
      <c r="AB2203">
        <v>31</v>
      </c>
      <c r="AC2203">
        <v>-59.114899999999899</v>
      </c>
      <c r="AD2203">
        <v>-1.1104606732110001</v>
      </c>
      <c r="AE2203">
        <v>5.8765999999999901</v>
      </c>
      <c r="AF2203">
        <v>5.7273718567518603</v>
      </c>
      <c r="AG2203">
        <v>-1.1104606732110001</v>
      </c>
      <c r="AH2203">
        <v>59.108697222865302</v>
      </c>
      <c r="AI2203">
        <v>91.071259252413896</v>
      </c>
      <c r="AJ2203">
        <v>84.465569185333194</v>
      </c>
      <c r="AK2203">
        <v>59.395908938887601</v>
      </c>
      <c r="AL2203">
        <v>89.316745388943801</v>
      </c>
      <c r="AM2203">
        <v>88.304075513812904</v>
      </c>
      <c r="AN2203">
        <v>1.00000000355015</v>
      </c>
    </row>
    <row r="2204" spans="1:40" x14ac:dyDescent="0.25">
      <c r="A2204" t="str">
        <f>"20190312154258353"</f>
        <v>20190312154258353</v>
      </c>
      <c r="B2204" t="str">
        <f>"1552376578349375"</f>
        <v>1552376578349375</v>
      </c>
      <c r="C2204" t="s">
        <v>40</v>
      </c>
      <c r="D2204">
        <v>4.4798210000000003</v>
      </c>
      <c r="E2204">
        <v>0.5323888</v>
      </c>
      <c r="F2204" t="s">
        <v>51</v>
      </c>
      <c r="G2204">
        <v>-419.65170000000001</v>
      </c>
      <c r="H2204" s="1">
        <v>3.6359519999999999E-6</v>
      </c>
      <c r="I2204">
        <v>287.84030000000001</v>
      </c>
      <c r="J2204">
        <v>-376.8202</v>
      </c>
      <c r="K2204">
        <v>1.1104620000000001</v>
      </c>
      <c r="L2204">
        <v>283.1146</v>
      </c>
      <c r="M2204">
        <v>-0.99989419999999996</v>
      </c>
      <c r="N2204">
        <v>0</v>
      </c>
      <c r="O2204">
        <v>2.500239E-3</v>
      </c>
      <c r="P2204">
        <v>-0.99947450000000004</v>
      </c>
      <c r="Q2204">
        <v>-2.8711219999999998E-3</v>
      </c>
      <c r="R2204">
        <v>3.2292500000000002E-2</v>
      </c>
      <c r="S2204">
        <v>-2.990875</v>
      </c>
      <c r="T2204">
        <v>-7.697582E-2</v>
      </c>
      <c r="U2204">
        <v>0.3276367</v>
      </c>
      <c r="V2204">
        <v>2.9794020000000001E-2</v>
      </c>
      <c r="W2204">
        <v>1.145845E-2</v>
      </c>
      <c r="X2204">
        <v>0.9994904</v>
      </c>
      <c r="Y2204">
        <v>0.1063741</v>
      </c>
      <c r="Z2204">
        <v>1.3004119999999999E-3</v>
      </c>
      <c r="AA2204">
        <v>0.99432529999999997</v>
      </c>
      <c r="AB2204">
        <v>31</v>
      </c>
      <c r="AC2204">
        <v>-42.831499999999998</v>
      </c>
      <c r="AD2204">
        <v>-1.1104583640479999</v>
      </c>
      <c r="AE2204">
        <v>4.7257000000000096</v>
      </c>
      <c r="AF2204">
        <v>4.6155201491964597</v>
      </c>
      <c r="AG2204">
        <v>-1.1104583640479999</v>
      </c>
      <c r="AH2204">
        <v>42.8147500920468</v>
      </c>
      <c r="AI2204">
        <v>91.4771557230453</v>
      </c>
      <c r="AJ2204">
        <v>83.847155661408607</v>
      </c>
      <c r="AK2204">
        <v>43.077128147897099</v>
      </c>
      <c r="AL2204">
        <v>89.343464820887803</v>
      </c>
      <c r="AM2204">
        <v>88.292563648675994</v>
      </c>
      <c r="AN2204">
        <v>1.00000001969816</v>
      </c>
    </row>
    <row r="2205" spans="1:40" x14ac:dyDescent="0.25">
      <c r="A2205" t="str">
        <f>"20190312154258386"</f>
        <v>20190312154258386</v>
      </c>
      <c r="B2205" t="str">
        <f>"1552376578379631"</f>
        <v>1552376578379631</v>
      </c>
      <c r="C2205" t="s">
        <v>40</v>
      </c>
      <c r="D2205">
        <v>4.4365880000000004</v>
      </c>
      <c r="E2205">
        <v>0.5342365</v>
      </c>
      <c r="F2205" t="s">
        <v>51</v>
      </c>
      <c r="G2205">
        <v>-413.53129999999999</v>
      </c>
      <c r="H2205" s="1">
        <v>2.5852409999999999E-6</v>
      </c>
      <c r="I2205">
        <v>287.44060000000002</v>
      </c>
      <c r="J2205">
        <v>-377.27879999999999</v>
      </c>
      <c r="K2205">
        <v>1.1104620000000001</v>
      </c>
      <c r="L2205">
        <v>283.1157</v>
      </c>
      <c r="M2205">
        <v>-0.99989410000000001</v>
      </c>
      <c r="N2205">
        <v>0</v>
      </c>
      <c r="O2205">
        <v>2.5161290000000002E-3</v>
      </c>
      <c r="P2205">
        <v>-0.99946120000000005</v>
      </c>
      <c r="Q2205">
        <v>-3.1484640000000001E-3</v>
      </c>
      <c r="R2205">
        <v>3.2672380000000001E-2</v>
      </c>
      <c r="S2205">
        <v>-2.9898989999999999</v>
      </c>
      <c r="T2205">
        <v>-9.0440270000000003E-2</v>
      </c>
      <c r="U2205">
        <v>0.35232540000000001</v>
      </c>
      <c r="V2205">
        <v>3.0157920000000001E-2</v>
      </c>
      <c r="W2205">
        <v>1.1176180000000001E-2</v>
      </c>
      <c r="X2205">
        <v>0.99948269999999995</v>
      </c>
      <c r="Y2205">
        <v>0.11447889999999999</v>
      </c>
      <c r="Z2205">
        <v>1.6492189999999999E-3</v>
      </c>
      <c r="AA2205">
        <v>0.99342430000000004</v>
      </c>
      <c r="AB2205">
        <v>31</v>
      </c>
      <c r="AC2205">
        <v>-36.252499999999998</v>
      </c>
      <c r="AD2205">
        <v>-1.1104594147589999</v>
      </c>
      <c r="AE2205">
        <v>4.3249000000000102</v>
      </c>
      <c r="AF2205">
        <v>4.2297479985359896</v>
      </c>
      <c r="AG2205">
        <v>-1.1104594147589999</v>
      </c>
      <c r="AH2205">
        <v>36.229751944958402</v>
      </c>
      <c r="AI2205">
        <v>91.743757551211402</v>
      </c>
      <c r="AJ2205">
        <v>83.340982324900097</v>
      </c>
      <c r="AK2205">
        <v>36.492722757231498</v>
      </c>
      <c r="AL2205">
        <v>89.3596387474458</v>
      </c>
      <c r="AM2205">
        <v>88.271708524342401</v>
      </c>
      <c r="AN2205">
        <v>1.0000000373686999</v>
      </c>
    </row>
    <row r="2206" spans="1:40" x14ac:dyDescent="0.25">
      <c r="A2206" t="str">
        <f>"20190312154258409"</f>
        <v>20190312154258409</v>
      </c>
      <c r="B2206" t="str">
        <f>"1552376578400127"</f>
        <v>1552376578400127</v>
      </c>
      <c r="C2206" t="s">
        <v>40</v>
      </c>
      <c r="D2206">
        <v>4.5109729999999999</v>
      </c>
      <c r="E2206">
        <v>0.5351245</v>
      </c>
      <c r="F2206" t="s">
        <v>51</v>
      </c>
      <c r="G2206">
        <v>-411.50529999999998</v>
      </c>
      <c r="H2206" s="1">
        <v>2.23562E-6</v>
      </c>
      <c r="I2206">
        <v>287.32889999999998</v>
      </c>
      <c r="J2206">
        <v>-377.59109999999998</v>
      </c>
      <c r="K2206">
        <v>1.1104609999999999</v>
      </c>
      <c r="L2206">
        <v>283.11649999999997</v>
      </c>
      <c r="M2206">
        <v>-0.99989410000000001</v>
      </c>
      <c r="N2206">
        <v>0</v>
      </c>
      <c r="O2206">
        <v>2.5272379999999998E-3</v>
      </c>
      <c r="P2206">
        <v>-0.9994442</v>
      </c>
      <c r="Q2206">
        <v>-3.821446E-3</v>
      </c>
      <c r="R2206">
        <v>3.3116359999999997E-2</v>
      </c>
      <c r="S2206">
        <v>-2.9893190000000001</v>
      </c>
      <c r="T2206">
        <v>-9.698677E-2</v>
      </c>
      <c r="U2206">
        <v>0.367981</v>
      </c>
      <c r="V2206">
        <v>3.0590920000000001E-2</v>
      </c>
      <c r="W2206">
        <v>1.049959E-2</v>
      </c>
      <c r="X2206">
        <v>0.9994769</v>
      </c>
      <c r="Y2206">
        <v>0.1196068</v>
      </c>
      <c r="Z2206">
        <v>1.8508190000000001E-3</v>
      </c>
      <c r="AA2206">
        <v>0.99281960000000002</v>
      </c>
      <c r="AB2206">
        <v>31</v>
      </c>
      <c r="AC2206">
        <v>-33.914199999999902</v>
      </c>
      <c r="AD2206">
        <v>-1.1104587643799999</v>
      </c>
      <c r="AE2206">
        <v>4.2123999999999997</v>
      </c>
      <c r="AF2206">
        <v>4.1223160334703302</v>
      </c>
      <c r="AG2206">
        <v>-1.1104587643799999</v>
      </c>
      <c r="AH2206">
        <v>33.888957625962298</v>
      </c>
      <c r="AI2206">
        <v>91.863048779256701</v>
      </c>
      <c r="AJ2206">
        <v>83.064508106169697</v>
      </c>
      <c r="AK2206">
        <v>34.156815675959301</v>
      </c>
      <c r="AL2206">
        <v>89.398406788543795</v>
      </c>
      <c r="AM2206">
        <v>88.246899348315196</v>
      </c>
      <c r="AN2206">
        <v>1.00000005970511</v>
      </c>
    </row>
    <row r="2207" spans="1:40" x14ac:dyDescent="0.25">
      <c r="A2207" t="str">
        <f>"20190312154258430"</f>
        <v>20190312154258430</v>
      </c>
      <c r="B2207" t="str">
        <f>"1552376578419647"</f>
        <v>1552376578419647</v>
      </c>
      <c r="C2207" t="s">
        <v>40</v>
      </c>
      <c r="D2207">
        <v>4.4434230000000001</v>
      </c>
      <c r="E2207">
        <v>0.53584370000000003</v>
      </c>
      <c r="F2207" t="s">
        <v>51</v>
      </c>
      <c r="G2207">
        <v>-409.38150000000002</v>
      </c>
      <c r="H2207" s="1">
        <v>3.7250680000000001E-6</v>
      </c>
      <c r="I2207">
        <v>287.11779999999999</v>
      </c>
      <c r="J2207">
        <v>-377.88979999999998</v>
      </c>
      <c r="K2207">
        <v>1.1104590000000001</v>
      </c>
      <c r="L2207">
        <v>283.1173</v>
      </c>
      <c r="M2207">
        <v>-0.99989430000000001</v>
      </c>
      <c r="N2207">
        <v>0</v>
      </c>
      <c r="O2207">
        <v>2.53769E-3</v>
      </c>
      <c r="P2207">
        <v>-0.99943749999999998</v>
      </c>
      <c r="Q2207">
        <v>-4.0591510000000004E-3</v>
      </c>
      <c r="R2207">
        <v>3.3299490000000001E-2</v>
      </c>
      <c r="S2207">
        <v>-2.9888309999999998</v>
      </c>
      <c r="T2207">
        <v>-0.1044017</v>
      </c>
      <c r="U2207">
        <v>0.37619019999999997</v>
      </c>
      <c r="V2207">
        <v>3.0763619999999998E-2</v>
      </c>
      <c r="W2207">
        <v>1.025832E-2</v>
      </c>
      <c r="X2207">
        <v>0.99947399999999997</v>
      </c>
      <c r="Y2207">
        <v>0.1222897</v>
      </c>
      <c r="Z2207">
        <v>2.0385199999999998E-3</v>
      </c>
      <c r="AA2207">
        <v>0.99249240000000005</v>
      </c>
      <c r="AB2207">
        <v>31</v>
      </c>
      <c r="AC2207">
        <v>-31.491700000000002</v>
      </c>
      <c r="AD2207">
        <v>-1.110455274932</v>
      </c>
      <c r="AE2207">
        <v>4.0004999999999802</v>
      </c>
      <c r="AF2207">
        <v>3.91577121712454</v>
      </c>
      <c r="AG2207">
        <v>-1.110455274932</v>
      </c>
      <c r="AH2207">
        <v>31.463251618304</v>
      </c>
      <c r="AI2207">
        <v>92.005880132752196</v>
      </c>
      <c r="AJ2207">
        <v>82.905709563286905</v>
      </c>
      <c r="AK2207">
        <v>31.7254247810679</v>
      </c>
      <c r="AL2207">
        <v>89.412231223592102</v>
      </c>
      <c r="AM2207">
        <v>88.237003394273103</v>
      </c>
      <c r="AN2207">
        <v>0.99999995506036199</v>
      </c>
    </row>
    <row r="2208" spans="1:40" x14ac:dyDescent="0.25">
      <c r="A2208" t="str">
        <f>"20190312154258452"</f>
        <v>20190312154258452</v>
      </c>
      <c r="B2208" t="str">
        <f>"1552376578449904"</f>
        <v>1552376578449904</v>
      </c>
      <c r="C2208" t="s">
        <v>40</v>
      </c>
      <c r="D2208">
        <v>4.4645239999999999</v>
      </c>
      <c r="E2208">
        <v>0.53671880000000005</v>
      </c>
      <c r="F2208" t="s">
        <v>51</v>
      </c>
      <c r="G2208">
        <v>-408.67579999999998</v>
      </c>
      <c r="H2208" s="1">
        <v>4.0507680000000002E-6</v>
      </c>
      <c r="I2208">
        <v>287.05610000000001</v>
      </c>
      <c r="J2208">
        <v>-378.1986</v>
      </c>
      <c r="K2208">
        <v>1.11046</v>
      </c>
      <c r="L2208">
        <v>283.11810000000003</v>
      </c>
      <c r="M2208">
        <v>-0.99989430000000001</v>
      </c>
      <c r="N2208">
        <v>0</v>
      </c>
      <c r="O2208">
        <v>2.5486810000000001E-3</v>
      </c>
      <c r="P2208">
        <v>-0.9994345</v>
      </c>
      <c r="Q2208">
        <v>-4.4641849999999999E-3</v>
      </c>
      <c r="R2208">
        <v>3.3327009999999997E-2</v>
      </c>
      <c r="S2208">
        <v>-2.9885250000000001</v>
      </c>
      <c r="T2208">
        <v>-0.107796699999999</v>
      </c>
      <c r="U2208">
        <v>0.38235469999999999</v>
      </c>
      <c r="V2208">
        <v>3.0779879999999999E-2</v>
      </c>
      <c r="W2208">
        <v>9.8496929999999996E-3</v>
      </c>
      <c r="X2208">
        <v>0.99947770000000002</v>
      </c>
      <c r="Y2208">
        <v>0.1242999</v>
      </c>
      <c r="Z2208">
        <v>2.1404089999999998E-3</v>
      </c>
      <c r="AA2208">
        <v>0.99224239999999997</v>
      </c>
      <c r="AB2208">
        <v>31</v>
      </c>
      <c r="AC2208">
        <v>-30.4771999999999</v>
      </c>
      <c r="AD2208">
        <v>-1.1104559492319901</v>
      </c>
      <c r="AE2208">
        <v>3.9379999999999802</v>
      </c>
      <c r="AF2208">
        <v>3.8552685525216699</v>
      </c>
      <c r="AG2208">
        <v>-1.1104559492319901</v>
      </c>
      <c r="AH2208">
        <v>30.447381914190601</v>
      </c>
      <c r="AI2208">
        <v>92.072195541054498</v>
      </c>
      <c r="AJ2208">
        <v>82.783571776054501</v>
      </c>
      <c r="AK2208">
        <v>30.710572665709499</v>
      </c>
      <c r="AL2208">
        <v>89.435645061534302</v>
      </c>
      <c r="AM2208">
        <v>88.2360786831388</v>
      </c>
      <c r="AN2208">
        <v>1.0000000451311399</v>
      </c>
    </row>
    <row r="2209" spans="1:40" x14ac:dyDescent="0.25">
      <c r="A2209" t="str">
        <f>"20190312154258475"</f>
        <v>20190312154258475</v>
      </c>
      <c r="B2209" t="str">
        <f>"1552376578469429"</f>
        <v>1552376578469429</v>
      </c>
      <c r="C2209" t="s">
        <v>40</v>
      </c>
      <c r="D2209">
        <v>4.4648149999999998</v>
      </c>
      <c r="E2209">
        <v>0.53727170000000002</v>
      </c>
      <c r="F2209" t="s">
        <v>51</v>
      </c>
      <c r="G2209">
        <v>-407.37689999999998</v>
      </c>
      <c r="H2209" s="1">
        <v>4.6549049999999996E-6</v>
      </c>
      <c r="I2209">
        <v>286.91989999999998</v>
      </c>
      <c r="J2209">
        <v>-378.50630000000001</v>
      </c>
      <c r="K2209">
        <v>1.1104689999999999</v>
      </c>
      <c r="L2209">
        <v>283.1189</v>
      </c>
      <c r="M2209">
        <v>-0.99989419999999996</v>
      </c>
      <c r="N2209">
        <v>0</v>
      </c>
      <c r="O2209">
        <v>2.5591390000000002E-3</v>
      </c>
      <c r="P2209">
        <v>-0.99944500000000003</v>
      </c>
      <c r="Q2209">
        <v>-4.3314119999999998E-3</v>
      </c>
      <c r="R2209">
        <v>3.303147E-2</v>
      </c>
      <c r="S2209">
        <v>-2.988159</v>
      </c>
      <c r="T2209">
        <v>-0.1137218</v>
      </c>
      <c r="U2209">
        <v>0.3893433</v>
      </c>
      <c r="V2209">
        <v>3.04741E-2</v>
      </c>
      <c r="W2209">
        <v>9.9793850000000003E-3</v>
      </c>
      <c r="X2209">
        <v>0.99948570000000003</v>
      </c>
      <c r="Y2209">
        <v>0.12657660000000001</v>
      </c>
      <c r="Z2209">
        <v>2.300645E-3</v>
      </c>
      <c r="AA2209">
        <v>0.99195409999999995</v>
      </c>
      <c r="AB2209">
        <v>31</v>
      </c>
      <c r="AC2209">
        <v>-28.8705999999999</v>
      </c>
      <c r="AD2209">
        <v>-1.110464345095</v>
      </c>
      <c r="AE2209">
        <v>3.8009999999999802</v>
      </c>
      <c r="AF2209">
        <v>3.7216838971029702</v>
      </c>
      <c r="AG2209">
        <v>-1.110464345095</v>
      </c>
      <c r="AH2209">
        <v>28.838296093524001</v>
      </c>
      <c r="AI2209">
        <v>92.1870559456938</v>
      </c>
      <c r="AJ2209">
        <v>82.646421836277796</v>
      </c>
      <c r="AK2209">
        <v>29.0986491725895</v>
      </c>
      <c r="AL2209">
        <v>89.428213844677799</v>
      </c>
      <c r="AM2209">
        <v>88.253605267467407</v>
      </c>
      <c r="AN2209">
        <v>0.99999996170013805</v>
      </c>
    </row>
    <row r="2210" spans="1:40" x14ac:dyDescent="0.25">
      <c r="A2210" t="str">
        <f>"20190312154258498"</f>
        <v>20190312154258498</v>
      </c>
      <c r="B2210" t="str">
        <f>"1552376578489922"</f>
        <v>1552376578489922</v>
      </c>
      <c r="C2210" t="s">
        <v>40</v>
      </c>
      <c r="D2210">
        <v>4.4772309999999997</v>
      </c>
      <c r="E2210">
        <v>0.53765790000000002</v>
      </c>
      <c r="F2210" t="s">
        <v>51</v>
      </c>
      <c r="G2210">
        <v>-407.25310000000002</v>
      </c>
      <c r="H2210" s="1">
        <v>4.7144570000000002E-6</v>
      </c>
      <c r="I2210">
        <v>286.89749999999998</v>
      </c>
      <c r="J2210">
        <v>-378.81659999999999</v>
      </c>
      <c r="K2210">
        <v>1.110471</v>
      </c>
      <c r="L2210">
        <v>283.11970000000002</v>
      </c>
      <c r="M2210">
        <v>-0.99989419999999996</v>
      </c>
      <c r="N2210">
        <v>0</v>
      </c>
      <c r="O2210">
        <v>2.5699519999999999E-3</v>
      </c>
      <c r="P2210">
        <v>-0.99945640000000002</v>
      </c>
      <c r="Q2210">
        <v>-4.0919820000000001E-3</v>
      </c>
      <c r="R2210">
        <v>3.2714010000000002E-2</v>
      </c>
      <c r="S2210">
        <v>-2.9882200000000001</v>
      </c>
      <c r="T2210">
        <v>-0.1154327</v>
      </c>
      <c r="U2210">
        <v>0.39279170000000002</v>
      </c>
      <c r="V2210">
        <v>3.0145829999999998E-2</v>
      </c>
      <c r="W2210">
        <v>1.021588E-2</v>
      </c>
      <c r="X2210">
        <v>0.99949330000000003</v>
      </c>
      <c r="Y2210">
        <v>0.1276852</v>
      </c>
      <c r="Z2210">
        <v>2.355907E-3</v>
      </c>
      <c r="AA2210">
        <v>0.99181189999999997</v>
      </c>
      <c r="AB2210">
        <v>31</v>
      </c>
      <c r="AC2210">
        <v>-28.436499999999999</v>
      </c>
      <c r="AD2210">
        <v>-1.1104662855429901</v>
      </c>
      <c r="AE2210">
        <v>3.7777999999999499</v>
      </c>
      <c r="AF2210">
        <v>3.6991563585426799</v>
      </c>
      <c r="AG2210">
        <v>-1.1104662855429901</v>
      </c>
      <c r="AH2210">
        <v>28.403552755476401</v>
      </c>
      <c r="AI2210">
        <v>92.220167202396297</v>
      </c>
      <c r="AJ2210">
        <v>82.579808522239006</v>
      </c>
      <c r="AK2210">
        <v>28.6649385533862</v>
      </c>
      <c r="AL2210">
        <v>89.414663007978405</v>
      </c>
      <c r="AM2210">
        <v>88.272419269401198</v>
      </c>
      <c r="AN2210">
        <v>0.99999999600772604</v>
      </c>
    </row>
    <row r="2211" spans="1:40" x14ac:dyDescent="0.25">
      <c r="A2211" t="str">
        <f>"20190312154258520"</f>
        <v>20190312154258520</v>
      </c>
      <c r="B2211" t="str">
        <f>"1552376578509440"</f>
        <v>1552376578509440</v>
      </c>
      <c r="C2211" t="s">
        <v>40</v>
      </c>
      <c r="D2211">
        <v>4.4624879999999996</v>
      </c>
      <c r="E2211">
        <v>0.53792289999999998</v>
      </c>
      <c r="F2211" t="s">
        <v>51</v>
      </c>
      <c r="G2211">
        <v>-407.34780000000001</v>
      </c>
      <c r="H2211" s="1">
        <v>4.6743960000000004E-6</v>
      </c>
      <c r="I2211">
        <v>286.88810000000001</v>
      </c>
      <c r="J2211">
        <v>-379.1155</v>
      </c>
      <c r="K2211">
        <v>1.1104799999999999</v>
      </c>
      <c r="L2211">
        <v>283.12049999999999</v>
      </c>
      <c r="M2211">
        <v>-0.99989430000000001</v>
      </c>
      <c r="N2211">
        <v>0</v>
      </c>
      <c r="O2211">
        <v>2.580405E-3</v>
      </c>
      <c r="P2211">
        <v>-0.99947989999999998</v>
      </c>
      <c r="Q2211">
        <v>-3.8365029999999998E-3</v>
      </c>
      <c r="R2211">
        <v>3.2023099999999999E-2</v>
      </c>
      <c r="S2211">
        <v>-2.9882200000000001</v>
      </c>
      <c r="T2211">
        <v>-0.1163048</v>
      </c>
      <c r="U2211">
        <v>0.39468379999999997</v>
      </c>
      <c r="V2211">
        <v>2.9444399999999999E-2</v>
      </c>
      <c r="W2211">
        <v>1.0468119999999999E-2</v>
      </c>
      <c r="X2211">
        <v>0.99951159999999994</v>
      </c>
      <c r="Y2211">
        <v>0.1282903</v>
      </c>
      <c r="Z2211">
        <v>2.3849090000000002E-3</v>
      </c>
      <c r="AA2211">
        <v>0.9917338</v>
      </c>
      <c r="AB2211">
        <v>31</v>
      </c>
      <c r="AC2211">
        <v>-28.232299999999999</v>
      </c>
      <c r="AD2211">
        <v>-1.1104753256040001</v>
      </c>
      <c r="AE2211">
        <v>3.7676000000000101</v>
      </c>
      <c r="AF2211">
        <v>3.6891215629606302</v>
      </c>
      <c r="AG2211">
        <v>-1.1104753256040001</v>
      </c>
      <c r="AH2211">
        <v>28.199064811795299</v>
      </c>
      <c r="AI2211">
        <v>92.236100091007799</v>
      </c>
      <c r="AJ2211">
        <v>82.546651468219395</v>
      </c>
      <c r="AK2211">
        <v>28.461026503183401</v>
      </c>
      <c r="AL2211">
        <v>89.400209947733501</v>
      </c>
      <c r="AM2211">
        <v>88.312623796956004</v>
      </c>
      <c r="AN2211">
        <v>0.99999999638112702</v>
      </c>
    </row>
    <row r="2212" spans="1:40" x14ac:dyDescent="0.25">
      <c r="A2212" t="str">
        <f>"20190312154258542"</f>
        <v>20190312154258542</v>
      </c>
      <c r="B2212" t="str">
        <f>"1552376578539696"</f>
        <v>1552376578539696</v>
      </c>
      <c r="C2212" t="s">
        <v>40</v>
      </c>
      <c r="D2212">
        <v>4.4537230000000001</v>
      </c>
      <c r="E2212">
        <v>0.53836359999999905</v>
      </c>
      <c r="F2212" t="s">
        <v>51</v>
      </c>
      <c r="G2212">
        <v>-407.64830000000001</v>
      </c>
      <c r="H2212" s="1">
        <v>4.5408459999999998E-6</v>
      </c>
      <c r="I2212">
        <v>286.88959999999997</v>
      </c>
      <c r="J2212">
        <v>-379.42419999999998</v>
      </c>
      <c r="K2212">
        <v>1.1104750000000001</v>
      </c>
      <c r="L2212">
        <v>283.12119999999999</v>
      </c>
      <c r="M2212">
        <v>-0.99989430000000001</v>
      </c>
      <c r="N2212">
        <v>0</v>
      </c>
      <c r="O2212">
        <v>2.5915080000000002E-3</v>
      </c>
      <c r="P2212">
        <v>-0.99948179999999998</v>
      </c>
      <c r="Q2212">
        <v>-3.7726130000000002E-3</v>
      </c>
      <c r="R2212">
        <v>3.1973000000000001E-2</v>
      </c>
      <c r="S2212">
        <v>-2.9884949999999999</v>
      </c>
      <c r="T2212">
        <v>-0.11631039999999999</v>
      </c>
      <c r="U2212">
        <v>0.3947754</v>
      </c>
      <c r="V2212">
        <v>2.938319E-2</v>
      </c>
      <c r="W2212">
        <v>1.0529149999999999E-2</v>
      </c>
      <c r="X2212">
        <v>0.99951279999999998</v>
      </c>
      <c r="Y2212">
        <v>0.1282973</v>
      </c>
      <c r="Z2212">
        <v>2.3845070000000001E-3</v>
      </c>
      <c r="AA2212">
        <v>0.99173290000000003</v>
      </c>
      <c r="AB2212">
        <v>31</v>
      </c>
      <c r="AC2212">
        <v>-28.2241</v>
      </c>
      <c r="AD2212">
        <v>-1.110470459154</v>
      </c>
      <c r="AE2212">
        <v>3.7683999999999802</v>
      </c>
      <c r="AF2212">
        <v>3.6896253342823502</v>
      </c>
      <c r="AG2212">
        <v>-1.110470459154</v>
      </c>
      <c r="AH2212">
        <v>28.190896581216201</v>
      </c>
      <c r="AI2212">
        <v>92.236721510936704</v>
      </c>
      <c r="AJ2212">
        <v>82.543509538812302</v>
      </c>
      <c r="AK2212">
        <v>28.452998608246101</v>
      </c>
      <c r="AL2212">
        <v>89.396713017540094</v>
      </c>
      <c r="AM2212">
        <v>88.316131569735504</v>
      </c>
      <c r="AN2212">
        <v>1.00000003610906</v>
      </c>
    </row>
    <row r="2213" spans="1:40" x14ac:dyDescent="0.25">
      <c r="A2213" t="str">
        <f>"20190312154258566"</f>
        <v>20190312154258566</v>
      </c>
      <c r="B2213" t="str">
        <f>"1552376578559215"</f>
        <v>1552376578559215</v>
      </c>
      <c r="C2213" t="s">
        <v>40</v>
      </c>
      <c r="D2213">
        <v>4.4685410000000001</v>
      </c>
      <c r="E2213">
        <v>0.53856210000000004</v>
      </c>
      <c r="F2213" t="s">
        <v>51</v>
      </c>
      <c r="G2213">
        <v>-407.55220000000003</v>
      </c>
      <c r="H2213" s="1">
        <v>4.5877449999999999E-6</v>
      </c>
      <c r="I2213">
        <v>286.86869999999999</v>
      </c>
      <c r="J2213">
        <v>-379.74119999999999</v>
      </c>
      <c r="K2213">
        <v>1.110479</v>
      </c>
      <c r="L2213">
        <v>283.12209999999999</v>
      </c>
      <c r="M2213">
        <v>-0.99989439999999996</v>
      </c>
      <c r="N2213">
        <v>0</v>
      </c>
      <c r="O2213">
        <v>2.6033250000000001E-3</v>
      </c>
      <c r="P2213">
        <v>-0.99949759999999999</v>
      </c>
      <c r="Q2213">
        <v>-3.4410600000000001E-3</v>
      </c>
      <c r="R2213">
        <v>3.151317E-2</v>
      </c>
      <c r="S2213">
        <v>-2.9883120000000001</v>
      </c>
      <c r="T2213">
        <v>-0.1179762</v>
      </c>
      <c r="U2213">
        <v>0.39813229999999999</v>
      </c>
      <c r="V2213">
        <v>2.8911610000000001E-2</v>
      </c>
      <c r="W2213">
        <v>1.085767E-2</v>
      </c>
      <c r="X2213">
        <v>0.99952300000000005</v>
      </c>
      <c r="Y2213">
        <v>0.12938469999999999</v>
      </c>
      <c r="Z2213">
        <v>2.4394989999999999E-3</v>
      </c>
      <c r="AA2213">
        <v>0.99159149999999996</v>
      </c>
      <c r="AB2213">
        <v>31</v>
      </c>
      <c r="AC2213">
        <v>-27.811</v>
      </c>
      <c r="AD2213">
        <v>-1.1104744122550001</v>
      </c>
      <c r="AE2213">
        <v>3.7465999999999999</v>
      </c>
      <c r="AF2213">
        <v>3.6684343120649898</v>
      </c>
      <c r="AG2213">
        <v>-1.1104744122550001</v>
      </c>
      <c r="AH2213">
        <v>27.7771632181379</v>
      </c>
      <c r="AI2213">
        <v>92.269662644523905</v>
      </c>
      <c r="AJ2213">
        <v>82.476681574054396</v>
      </c>
      <c r="AK2213">
        <v>28.040352354585099</v>
      </c>
      <c r="AL2213">
        <v>89.377889109198193</v>
      </c>
      <c r="AM2213">
        <v>88.343158212807396</v>
      </c>
      <c r="AN2213">
        <v>0.99999999885980995</v>
      </c>
    </row>
    <row r="2214" spans="1:40" x14ac:dyDescent="0.25">
      <c r="A2214" t="str">
        <f>"20190312154258588"</f>
        <v>20190312154258588</v>
      </c>
      <c r="B2214" t="str">
        <f>"1552376578579711"</f>
        <v>1552376578579711</v>
      </c>
      <c r="C2214" t="s">
        <v>40</v>
      </c>
      <c r="D2214">
        <v>4.4203900000000003</v>
      </c>
      <c r="E2214">
        <v>0.53887159999999901</v>
      </c>
      <c r="F2214" t="s">
        <v>51</v>
      </c>
      <c r="G2214">
        <v>-408.65660000000003</v>
      </c>
      <c r="H2214" s="1">
        <v>4.0756590000000001E-6</v>
      </c>
      <c r="I2214">
        <v>286.97680000000003</v>
      </c>
      <c r="J2214">
        <v>-380.04390000000001</v>
      </c>
      <c r="K2214">
        <v>1.110484</v>
      </c>
      <c r="L2214">
        <v>283.12290000000002</v>
      </c>
      <c r="M2214">
        <v>-0.99989430000000001</v>
      </c>
      <c r="N2214">
        <v>0</v>
      </c>
      <c r="O2214">
        <v>2.614314E-3</v>
      </c>
      <c r="P2214">
        <v>-0.99950729999999999</v>
      </c>
      <c r="Q2214">
        <v>-3.013946E-3</v>
      </c>
      <c r="R2214">
        <v>3.1240850000000001E-2</v>
      </c>
      <c r="S2214">
        <v>-2.988556</v>
      </c>
      <c r="T2214">
        <v>-0.1147734</v>
      </c>
      <c r="U2214">
        <v>0.39840700000000001</v>
      </c>
      <c r="V2214">
        <v>2.8628219999999999E-2</v>
      </c>
      <c r="W2214">
        <v>1.128155E-2</v>
      </c>
      <c r="X2214">
        <v>0.99952640000000004</v>
      </c>
      <c r="Y2214">
        <v>0.12945789999999999</v>
      </c>
      <c r="Z2214">
        <v>2.3740940000000002E-3</v>
      </c>
      <c r="AA2214">
        <v>0.99158210000000002</v>
      </c>
      <c r="AB2214">
        <v>31</v>
      </c>
      <c r="AC2214">
        <v>-28.6127</v>
      </c>
      <c r="AD2214">
        <v>-1.110479924341</v>
      </c>
      <c r="AE2214">
        <v>3.8538999999999999</v>
      </c>
      <c r="AF2214">
        <v>3.7734939602858502</v>
      </c>
      <c r="AG2214">
        <v>-1.110479924341</v>
      </c>
      <c r="AH2214">
        <v>28.5803957441127</v>
      </c>
      <c r="AI2214">
        <v>92.205960402167506</v>
      </c>
      <c r="AJ2214">
        <v>82.478692344542395</v>
      </c>
      <c r="AK2214">
        <v>28.849808374073699</v>
      </c>
      <c r="AL2214">
        <v>89.353601045416298</v>
      </c>
      <c r="AM2214">
        <v>88.359395142447298</v>
      </c>
      <c r="AN2214">
        <v>0.99999993632386297</v>
      </c>
    </row>
    <row r="2215" spans="1:40" x14ac:dyDescent="0.25">
      <c r="A2215" t="str">
        <f>"20190312154258609"</f>
        <v>20190312154258609</v>
      </c>
      <c r="B2215" t="str">
        <f>"1552376578599232"</f>
        <v>1552376578599232</v>
      </c>
      <c r="C2215" t="s">
        <v>40</v>
      </c>
      <c r="D2215">
        <v>4.4368439999999998</v>
      </c>
      <c r="E2215">
        <v>0.53918089999999996</v>
      </c>
      <c r="F2215" t="s">
        <v>51</v>
      </c>
      <c r="G2215">
        <v>-409.51929999999999</v>
      </c>
      <c r="H2215" s="1">
        <v>3.67405E-6</v>
      </c>
      <c r="I2215">
        <v>287.06909999999999</v>
      </c>
      <c r="J2215">
        <v>-380.33800000000002</v>
      </c>
      <c r="K2215">
        <v>1.1104799999999999</v>
      </c>
      <c r="L2215">
        <v>283.12369999999999</v>
      </c>
      <c r="M2215">
        <v>-0.99989439999999996</v>
      </c>
      <c r="N2215">
        <v>0</v>
      </c>
      <c r="O2215">
        <v>2.6245880000000002E-3</v>
      </c>
      <c r="P2215">
        <v>-0.99951889999999999</v>
      </c>
      <c r="Q2215">
        <v>-2.7827770000000002E-3</v>
      </c>
      <c r="R2215">
        <v>3.0897230000000001E-2</v>
      </c>
      <c r="S2215">
        <v>-2.9886469999999998</v>
      </c>
      <c r="T2215">
        <v>-0.1125968</v>
      </c>
      <c r="U2215">
        <v>0.40011600000000003</v>
      </c>
      <c r="V2215">
        <v>2.827437E-2</v>
      </c>
      <c r="W2215">
        <v>1.150994E-2</v>
      </c>
      <c r="X2215">
        <v>0.99953400000000003</v>
      </c>
      <c r="Y2215">
        <v>0.1300038</v>
      </c>
      <c r="Z2215">
        <v>2.338793E-3</v>
      </c>
      <c r="AA2215">
        <v>0.99151069999999997</v>
      </c>
      <c r="AB2215">
        <v>31</v>
      </c>
      <c r="AC2215">
        <v>-29.181299999999901</v>
      </c>
      <c r="AD2215">
        <v>-1.1104763259499999</v>
      </c>
      <c r="AE2215">
        <v>3.9453999999999998</v>
      </c>
      <c r="AF2215">
        <v>3.8632955487402101</v>
      </c>
      <c r="AG2215">
        <v>-1.1104763259499999</v>
      </c>
      <c r="AH2215">
        <v>29.150100072215299</v>
      </c>
      <c r="AI2215">
        <v>92.162741326707504</v>
      </c>
      <c r="AJ2215">
        <v>82.450521685412099</v>
      </c>
      <c r="AK2215">
        <v>29.425950186656301</v>
      </c>
      <c r="AL2215">
        <v>89.340514498509805</v>
      </c>
      <c r="AM2215">
        <v>88.379674752480298</v>
      </c>
      <c r="AN2215">
        <v>1.0000000679368399</v>
      </c>
    </row>
    <row r="2216" spans="1:40" x14ac:dyDescent="0.25">
      <c r="A2216" t="str">
        <f>"20190312154258631"</f>
        <v>20190312154258631</v>
      </c>
      <c r="B2216" t="str">
        <f>"1552376578619728"</f>
        <v>1552376578619728</v>
      </c>
      <c r="C2216" t="s">
        <v>40</v>
      </c>
      <c r="D2216">
        <v>4.4257410000000004</v>
      </c>
      <c r="E2216">
        <v>0.53946910000000003</v>
      </c>
      <c r="F2216" t="s">
        <v>51</v>
      </c>
      <c r="G2216">
        <v>-409.91289999999998</v>
      </c>
      <c r="H2216" s="1">
        <v>3.4935000000000001E-6</v>
      </c>
      <c r="I2216">
        <v>287.09789999999998</v>
      </c>
      <c r="J2216">
        <v>-380.63589999999999</v>
      </c>
      <c r="K2216">
        <v>1.1104830000000001</v>
      </c>
      <c r="L2216">
        <v>283.12450000000001</v>
      </c>
      <c r="M2216">
        <v>-0.99989439999999996</v>
      </c>
      <c r="N2216">
        <v>0</v>
      </c>
      <c r="O2216">
        <v>2.6348640000000002E-3</v>
      </c>
      <c r="P2216">
        <v>-0.99952589999999997</v>
      </c>
      <c r="Q2216">
        <v>-2.997689E-3</v>
      </c>
      <c r="R2216">
        <v>3.0646159999999999E-2</v>
      </c>
      <c r="S2216">
        <v>-2.9886469999999998</v>
      </c>
      <c r="T2216">
        <v>-0.1122175</v>
      </c>
      <c r="U2216">
        <v>0.4016113</v>
      </c>
      <c r="V2216">
        <v>2.8012829999999999E-2</v>
      </c>
      <c r="W2216">
        <v>1.129204E-2</v>
      </c>
      <c r="X2216">
        <v>0.99954379999999998</v>
      </c>
      <c r="Y2216">
        <v>0.13048129999999999</v>
      </c>
      <c r="Z2216">
        <v>2.3393810000000002E-3</v>
      </c>
      <c r="AA2216">
        <v>0.991448</v>
      </c>
      <c r="AB2216">
        <v>30</v>
      </c>
      <c r="AC2216">
        <v>-29.276999999999902</v>
      </c>
      <c r="AD2216">
        <v>-1.1104795064999999</v>
      </c>
      <c r="AE2216">
        <v>3.9733999999999599</v>
      </c>
      <c r="AF2216">
        <v>3.8907410708027101</v>
      </c>
      <c r="AG2216">
        <v>-1.1104795064999999</v>
      </c>
      <c r="AH2216">
        <v>29.246053705704199</v>
      </c>
      <c r="AI2216">
        <v>92.155516927652599</v>
      </c>
      <c r="AJ2216">
        <v>82.422166748099897</v>
      </c>
      <c r="AK2216">
        <v>29.524611566815299</v>
      </c>
      <c r="AL2216">
        <v>89.353000027511698</v>
      </c>
      <c r="AM2216">
        <v>88.394670731869496</v>
      </c>
      <c r="AN2216">
        <v>1.0000000184652</v>
      </c>
    </row>
    <row r="2217" spans="1:40" x14ac:dyDescent="0.25">
      <c r="A2217" t="str">
        <f>"20190312154258654"</f>
        <v>20190312154258654</v>
      </c>
      <c r="B2217" t="str">
        <f>"1552376578649984"</f>
        <v>1552376578649984</v>
      </c>
      <c r="C2217" t="s">
        <v>40</v>
      </c>
      <c r="D2217">
        <v>4.4006220000000003</v>
      </c>
      <c r="E2217">
        <v>0.5399081</v>
      </c>
      <c r="F2217" t="s">
        <v>51</v>
      </c>
      <c r="G2217">
        <v>-409.95499999999998</v>
      </c>
      <c r="H2217" s="1">
        <v>3.4787779999999999E-6</v>
      </c>
      <c r="I2217">
        <v>287.07889999999998</v>
      </c>
      <c r="J2217">
        <v>-380.94490000000002</v>
      </c>
      <c r="K2217">
        <v>1.1104860000000001</v>
      </c>
      <c r="L2217">
        <v>283.12529999999998</v>
      </c>
      <c r="M2217">
        <v>-0.99989439999999996</v>
      </c>
      <c r="N2217">
        <v>0</v>
      </c>
      <c r="O2217">
        <v>2.6456750000000001E-3</v>
      </c>
      <c r="P2217">
        <v>-0.99954419999999999</v>
      </c>
      <c r="Q2217">
        <v>-2.9324630000000002E-3</v>
      </c>
      <c r="R2217">
        <v>3.0053139999999999E-2</v>
      </c>
      <c r="S2217">
        <v>-2.9887389999999998</v>
      </c>
      <c r="T2217">
        <v>-0.11320040000000001</v>
      </c>
      <c r="U2217">
        <v>0.40310669999999998</v>
      </c>
      <c r="V2217">
        <v>2.7409159999999998E-2</v>
      </c>
      <c r="W2217">
        <v>1.135451E-2</v>
      </c>
      <c r="X2217">
        <v>0.9995598</v>
      </c>
      <c r="Y2217">
        <v>0.13095190000000001</v>
      </c>
      <c r="Z2217">
        <v>2.3681679999999999E-3</v>
      </c>
      <c r="AA2217">
        <v>0.99138590000000004</v>
      </c>
      <c r="AB2217">
        <v>30</v>
      </c>
      <c r="AC2217">
        <v>-29.010099999999898</v>
      </c>
      <c r="AD2217">
        <v>-1.110482521222</v>
      </c>
      <c r="AE2217">
        <v>3.95359999999999</v>
      </c>
      <c r="AF2217">
        <v>3.8712579289316098</v>
      </c>
      <c r="AG2217">
        <v>-1.110482521222</v>
      </c>
      <c r="AH2217">
        <v>28.978771298999</v>
      </c>
      <c r="AI2217">
        <v>92.175227078731893</v>
      </c>
      <c r="AJ2217">
        <v>82.390939403059505</v>
      </c>
      <c r="AK2217">
        <v>29.257289611000299</v>
      </c>
      <c r="AL2217">
        <v>89.349420512464604</v>
      </c>
      <c r="AM2217">
        <v>88.429272814821999</v>
      </c>
      <c r="AN2217">
        <v>0.99999999036264198</v>
      </c>
    </row>
    <row r="2218" spans="1:40" x14ac:dyDescent="0.25">
      <c r="A2218" t="str">
        <f>"20190312154258676"</f>
        <v>20190312154258676</v>
      </c>
      <c r="B2218" t="str">
        <f>"1552376578669504"</f>
        <v>1552376578669504</v>
      </c>
      <c r="C2218" t="s">
        <v>40</v>
      </c>
      <c r="D2218">
        <v>4.3420339999999999</v>
      </c>
      <c r="E2218">
        <v>0.5402768</v>
      </c>
      <c r="F2218" t="s">
        <v>51</v>
      </c>
      <c r="G2218">
        <v>-410.10789999999997</v>
      </c>
      <c r="H2218" s="1">
        <v>2.010029E-6</v>
      </c>
      <c r="I2218">
        <v>287.07400000000001</v>
      </c>
      <c r="J2218">
        <v>-381.24849999999998</v>
      </c>
      <c r="K2218">
        <v>1.110487</v>
      </c>
      <c r="L2218">
        <v>283.12619999999998</v>
      </c>
      <c r="M2218">
        <v>-0.99989439999999996</v>
      </c>
      <c r="N2218">
        <v>0</v>
      </c>
      <c r="O2218">
        <v>2.656308E-3</v>
      </c>
      <c r="P2218">
        <v>-0.99955510000000003</v>
      </c>
      <c r="Q2218">
        <v>-2.9389260000000001E-3</v>
      </c>
      <c r="R2218">
        <v>2.9691019999999999E-2</v>
      </c>
      <c r="S2218">
        <v>-2.988861</v>
      </c>
      <c r="T2218">
        <v>-0.1138115</v>
      </c>
      <c r="U2218">
        <v>0.40469359999999999</v>
      </c>
      <c r="V2218">
        <v>2.703643E-2</v>
      </c>
      <c r="W2218">
        <v>1.1344969999999999E-2</v>
      </c>
      <c r="X2218">
        <v>0.99957010000000002</v>
      </c>
      <c r="Y2218">
        <v>0.1314516</v>
      </c>
      <c r="Z2218">
        <v>2.3898259999999998E-3</v>
      </c>
      <c r="AA2218">
        <v>0.99131970000000003</v>
      </c>
      <c r="AB2218">
        <v>30</v>
      </c>
      <c r="AC2218">
        <v>-28.859399999999901</v>
      </c>
      <c r="AD2218">
        <v>-1.1104849899709901</v>
      </c>
      <c r="AE2218">
        <v>3.94780000000002</v>
      </c>
      <c r="AF2218">
        <v>3.86550049010846</v>
      </c>
      <c r="AG2218">
        <v>-1.1104849899709901</v>
      </c>
      <c r="AH2218">
        <v>28.827886013442001</v>
      </c>
      <c r="AI2218">
        <v>92.186462599792407</v>
      </c>
      <c r="AJ2218">
        <v>82.362824354151698</v>
      </c>
      <c r="AK2218">
        <v>29.107083037569801</v>
      </c>
      <c r="AL2218">
        <v>89.349967175736495</v>
      </c>
      <c r="AM2218">
        <v>88.450638197551001</v>
      </c>
      <c r="AN2218">
        <v>1.0000000308527199</v>
      </c>
    </row>
    <row r="2219" spans="1:40" x14ac:dyDescent="0.25">
      <c r="A2219" t="str">
        <f>"20190312154258699"</f>
        <v>20190312154258699</v>
      </c>
      <c r="B2219" t="str">
        <f>"1552376578689999"</f>
        <v>1552376578689999</v>
      </c>
      <c r="C2219" t="s">
        <v>40</v>
      </c>
      <c r="D2219">
        <v>4.3932129999999896</v>
      </c>
      <c r="E2219">
        <v>0.54049429999999998</v>
      </c>
      <c r="F2219" t="s">
        <v>51</v>
      </c>
      <c r="G2219">
        <v>-411.1096</v>
      </c>
      <c r="H2219" s="1">
        <v>2.1775790000000002E-6</v>
      </c>
      <c r="I2219">
        <v>287.19</v>
      </c>
      <c r="J2219">
        <v>-381.55700000000002</v>
      </c>
      <c r="K2219">
        <v>1.1104849999999999</v>
      </c>
      <c r="L2219">
        <v>283.12700000000001</v>
      </c>
      <c r="M2219">
        <v>-0.99989450000000002</v>
      </c>
      <c r="N2219">
        <v>0</v>
      </c>
      <c r="O2219">
        <v>2.6667639999999999E-3</v>
      </c>
      <c r="P2219">
        <v>-0.99956140000000004</v>
      </c>
      <c r="Q2219">
        <v>-2.8843879999999999E-3</v>
      </c>
      <c r="R2219">
        <v>2.9477529999999998E-2</v>
      </c>
      <c r="S2219">
        <v>-2.9889220000000001</v>
      </c>
      <c r="T2219">
        <v>-0.111153</v>
      </c>
      <c r="U2219">
        <v>0.40676879999999999</v>
      </c>
      <c r="V2219">
        <v>2.6812229999999999E-2</v>
      </c>
      <c r="W2219">
        <v>1.139599E-2</v>
      </c>
      <c r="X2219">
        <v>0.99957560000000001</v>
      </c>
      <c r="Y2219">
        <v>0.13211809999999999</v>
      </c>
      <c r="Z2219">
        <v>2.345832E-3</v>
      </c>
      <c r="AA2219">
        <v>0.99123119999999998</v>
      </c>
      <c r="AB2219">
        <v>30</v>
      </c>
      <c r="AC2219">
        <v>-29.552600000000002</v>
      </c>
      <c r="AD2219">
        <v>-1.1104828224209999</v>
      </c>
      <c r="AE2219">
        <v>4.0629999999999802</v>
      </c>
      <c r="AF2219">
        <v>3.97865409337567</v>
      </c>
      <c r="AG2219">
        <v>-1.1104828224209999</v>
      </c>
      <c r="AH2219">
        <v>29.5224189471983</v>
      </c>
      <c r="AI2219">
        <v>92.134877711972095</v>
      </c>
      <c r="AJ2219">
        <v>82.324651673390093</v>
      </c>
      <c r="AK2219">
        <v>29.809999681105701</v>
      </c>
      <c r="AL2219">
        <v>89.347043783161197</v>
      </c>
      <c r="AM2219">
        <v>88.463488569037196</v>
      </c>
      <c r="AN2219">
        <v>1.0000000721905</v>
      </c>
    </row>
    <row r="2220" spans="1:40" x14ac:dyDescent="0.25">
      <c r="A2220" t="str">
        <f>"20190312154258721"</f>
        <v>20190312154258721</v>
      </c>
      <c r="B2220" t="str">
        <f>"1552376578709521"</f>
        <v>1552376578709521</v>
      </c>
      <c r="C2220" t="s">
        <v>40</v>
      </c>
      <c r="D2220">
        <v>4.4636459999999998</v>
      </c>
      <c r="E2220">
        <v>0.52679960000000003</v>
      </c>
      <c r="F2220" t="s">
        <v>51</v>
      </c>
      <c r="G2220">
        <v>-412.04160000000002</v>
      </c>
      <c r="H2220" s="1">
        <v>2.3344320000000001E-6</v>
      </c>
      <c r="I2220">
        <v>287.28680000000003</v>
      </c>
      <c r="J2220">
        <v>-381.85059999999999</v>
      </c>
      <c r="K2220">
        <v>1.110484</v>
      </c>
      <c r="L2220">
        <v>283.1277</v>
      </c>
      <c r="M2220">
        <v>-0.99989439999999996</v>
      </c>
      <c r="N2220">
        <v>0</v>
      </c>
      <c r="O2220">
        <v>2.6769200000000002E-3</v>
      </c>
      <c r="P2220">
        <v>-0.99956009999999995</v>
      </c>
      <c r="Q2220">
        <v>-2.889132E-3</v>
      </c>
      <c r="R2220">
        <v>2.9517100000000001E-2</v>
      </c>
      <c r="S2220">
        <v>-2.9889830000000002</v>
      </c>
      <c r="T2220">
        <v>-0.10888200000000001</v>
      </c>
      <c r="U2220">
        <v>0.40786739999999999</v>
      </c>
      <c r="V2220">
        <v>2.68417E-2</v>
      </c>
      <c r="W2220">
        <v>1.138788E-2</v>
      </c>
      <c r="X2220">
        <v>0.99957479999999999</v>
      </c>
      <c r="Y2220">
        <v>0.13246629999999901</v>
      </c>
      <c r="Z2220">
        <v>2.3037740000000002E-3</v>
      </c>
      <c r="AA2220">
        <v>0.99118479999999998</v>
      </c>
      <c r="AB2220">
        <v>30</v>
      </c>
      <c r="AC2220">
        <v>-30.190999999999999</v>
      </c>
      <c r="AD2220">
        <v>-1.1104816655679901</v>
      </c>
      <c r="AE2220">
        <v>4.15910000000002</v>
      </c>
      <c r="AF2220">
        <v>4.0728503949431998</v>
      </c>
      <c r="AG2220">
        <v>-1.1104816655679901</v>
      </c>
      <c r="AH2220">
        <v>30.1619801671491</v>
      </c>
      <c r="AI2220">
        <v>92.089574283717994</v>
      </c>
      <c r="AJ2220">
        <v>82.309718216110795</v>
      </c>
      <c r="AK2220">
        <v>30.4559735925918</v>
      </c>
      <c r="AL2220">
        <v>89.347508415850498</v>
      </c>
      <c r="AM2220">
        <v>88.461799330884404</v>
      </c>
      <c r="AN2220">
        <v>0.99999997073241098</v>
      </c>
    </row>
    <row r="2221" spans="1:40" x14ac:dyDescent="0.25">
      <c r="A2221" t="str">
        <f>"20190312154258743"</f>
        <v>20190312154258743</v>
      </c>
      <c r="B2221" t="str">
        <f>"1552376578730016"</f>
        <v>1552376578730016</v>
      </c>
      <c r="C2221" t="s">
        <v>40</v>
      </c>
      <c r="D2221">
        <v>4.4166429999999997</v>
      </c>
      <c r="E2221">
        <v>0.50077749999999999</v>
      </c>
      <c r="F2221" t="s">
        <v>50</v>
      </c>
      <c r="G2221">
        <v>-442.20100000000002</v>
      </c>
      <c r="H2221" s="1">
        <v>-5.6538439999999997E-7</v>
      </c>
      <c r="I2221">
        <v>289.18920000000003</v>
      </c>
      <c r="J2221">
        <v>-382.15660000000003</v>
      </c>
      <c r="K2221">
        <v>1.1104860000000001</v>
      </c>
      <c r="L2221">
        <v>283.12860000000001</v>
      </c>
      <c r="M2221">
        <v>-0.99989450000000002</v>
      </c>
      <c r="N2221">
        <v>0</v>
      </c>
      <c r="O2221">
        <v>2.6875509999999998E-3</v>
      </c>
      <c r="P2221">
        <v>-0.99954140000000002</v>
      </c>
      <c r="Q2221">
        <v>-2.6882550000000001E-3</v>
      </c>
      <c r="R2221">
        <v>3.0164880000000002E-2</v>
      </c>
      <c r="S2221">
        <v>-2.9922789999999999</v>
      </c>
      <c r="T2221">
        <v>-5.5059669999999998E-2</v>
      </c>
      <c r="U2221">
        <v>0.300537099999999</v>
      </c>
      <c r="V2221">
        <v>2.7478880000000001E-2</v>
      </c>
      <c r="W2221">
        <v>1.1585760000000001E-2</v>
      </c>
      <c r="X2221">
        <v>0.99955519999999998</v>
      </c>
      <c r="Y2221">
        <v>9.7244170000000005E-2</v>
      </c>
      <c r="Z2221">
        <v>8.4302699999999999E-4</v>
      </c>
      <c r="AA2221">
        <v>0.99526020000000004</v>
      </c>
      <c r="AB2221">
        <v>30</v>
      </c>
      <c r="AC2221">
        <v>-60.044399999999897</v>
      </c>
      <c r="AD2221">
        <v>-1.1104865653843901</v>
      </c>
      <c r="AE2221">
        <v>6.0606000000000204</v>
      </c>
      <c r="AF2221">
        <v>5.8971925222243398</v>
      </c>
      <c r="AG2221">
        <v>-1.1104865653843901</v>
      </c>
      <c r="AH2221">
        <v>60.040143698442897</v>
      </c>
      <c r="AI2221">
        <v>91.054533364570901</v>
      </c>
      <c r="AJ2221">
        <v>84.390354388976206</v>
      </c>
      <c r="AK2221">
        <v>60.339281694313698</v>
      </c>
      <c r="AL2221">
        <v>89.336169970311502</v>
      </c>
      <c r="AM2221">
        <v>88.425272160945894</v>
      </c>
      <c r="AN2221">
        <v>0.99999995826393495</v>
      </c>
    </row>
    <row r="2222" spans="1:40" x14ac:dyDescent="0.25">
      <c r="A2222" t="str">
        <f>"20190312154258767"</f>
        <v>20190312154258767</v>
      </c>
      <c r="B2222" t="str">
        <f>"1552376578759296"</f>
        <v>1552376578759296</v>
      </c>
      <c r="C2222" t="s">
        <v>40</v>
      </c>
      <c r="D2222">
        <v>4.4665999999999997</v>
      </c>
      <c r="E2222">
        <v>0.49946269999999998</v>
      </c>
      <c r="F2222" t="s">
        <v>50</v>
      </c>
      <c r="G2222">
        <v>-453.97030000000001</v>
      </c>
      <c r="H2222" s="1">
        <v>5.4128080000000003E-7</v>
      </c>
      <c r="I2222">
        <v>285.41050000000001</v>
      </c>
      <c r="J2222">
        <v>-382.46499999999997</v>
      </c>
      <c r="K2222">
        <v>1.1104909999999999</v>
      </c>
      <c r="L2222">
        <v>283.12939999999998</v>
      </c>
      <c r="M2222">
        <v>-0.99989439999999996</v>
      </c>
      <c r="N2222">
        <v>0</v>
      </c>
      <c r="O2222">
        <v>2.6984800000000001E-3</v>
      </c>
      <c r="P2222">
        <v>-0.99951559999999995</v>
      </c>
      <c r="Q2222">
        <v>-2.6903579999999999E-3</v>
      </c>
      <c r="R2222">
        <v>3.1006430000000001E-2</v>
      </c>
      <c r="S2222">
        <v>-2.998383</v>
      </c>
      <c r="T2222">
        <v>-4.6365259999999998E-2</v>
      </c>
      <c r="U2222">
        <v>9.5275879999999993E-2</v>
      </c>
      <c r="V2222">
        <v>2.8309609999999999E-2</v>
      </c>
      <c r="W2222">
        <v>1.1579559999999999E-2</v>
      </c>
      <c r="X2222">
        <v>0.99953210000000003</v>
      </c>
      <c r="Y2222">
        <v>2.9059069999999999E-2</v>
      </c>
      <c r="Z2222">
        <v>1.8288779999999999E-4</v>
      </c>
      <c r="AA2222">
        <v>0.99957770000000001</v>
      </c>
      <c r="AB2222">
        <v>30</v>
      </c>
      <c r="AC2222">
        <v>-71.505300000000005</v>
      </c>
      <c r="AD2222">
        <v>-1.1104904587191999</v>
      </c>
      <c r="AE2222">
        <v>2.2811000000000301</v>
      </c>
      <c r="AF2222">
        <v>2.0876134030641298</v>
      </c>
      <c r="AG2222">
        <v>-1.1104904587191999</v>
      </c>
      <c r="AH2222">
        <v>71.493969875467101</v>
      </c>
      <c r="AI2222">
        <v>90.889504378518197</v>
      </c>
      <c r="AJ2222">
        <v>88.327446915921698</v>
      </c>
      <c r="AK2222">
        <v>71.533062616763104</v>
      </c>
      <c r="AL2222">
        <v>89.3365252354982</v>
      </c>
      <c r="AM2222">
        <v>88.377653242752004</v>
      </c>
      <c r="AN2222">
        <v>0.99999996957927695</v>
      </c>
    </row>
    <row r="2223" spans="1:40" x14ac:dyDescent="0.25">
      <c r="A2223" t="str">
        <f>"20190312154258789"</f>
        <v>20190312154258789</v>
      </c>
      <c r="B2223" t="str">
        <f>"1552376578779792"</f>
        <v>1552376578779792</v>
      </c>
      <c r="C2223" t="s">
        <v>40</v>
      </c>
      <c r="D2223">
        <v>4.5183939999999998</v>
      </c>
      <c r="E2223">
        <v>0.49858740000000001</v>
      </c>
      <c r="F2223" t="s">
        <v>50</v>
      </c>
      <c r="G2223">
        <v>-467.96480000000003</v>
      </c>
      <c r="H2223" s="1">
        <v>2.6573899999999999E-6</v>
      </c>
      <c r="I2223">
        <v>285.62939999999998</v>
      </c>
      <c r="J2223">
        <v>-382.7679</v>
      </c>
      <c r="K2223">
        <v>1.11049</v>
      </c>
      <c r="L2223">
        <v>283.1302</v>
      </c>
      <c r="M2223">
        <v>-0.99989450000000002</v>
      </c>
      <c r="N2223">
        <v>0</v>
      </c>
      <c r="O2223">
        <v>2.7091110000000002E-3</v>
      </c>
      <c r="P2223">
        <v>-0.99949149999999998</v>
      </c>
      <c r="Q2223">
        <v>-2.6738399999999998E-3</v>
      </c>
      <c r="R2223">
        <v>3.1775060000000001E-2</v>
      </c>
      <c r="S2223">
        <v>-2.998596</v>
      </c>
      <c r="T2223">
        <v>-3.8946389999999997E-2</v>
      </c>
      <c r="U2223">
        <v>8.7677000000000005E-2</v>
      </c>
      <c r="V2223">
        <v>2.9067639999999999E-2</v>
      </c>
      <c r="W2223">
        <v>1.1592430000000001E-2</v>
      </c>
      <c r="X2223">
        <v>0.99951020000000002</v>
      </c>
      <c r="Y2223">
        <v>2.6516519999999998E-2</v>
      </c>
      <c r="Z2223">
        <v>1.3697629999999999E-4</v>
      </c>
      <c r="AA2223">
        <v>0.99964839999999999</v>
      </c>
      <c r="AB2223">
        <v>30</v>
      </c>
      <c r="AC2223">
        <v>-85.196899999999999</v>
      </c>
      <c r="AD2223">
        <v>-1.1104873426099999</v>
      </c>
      <c r="AE2223">
        <v>2.4991999999999699</v>
      </c>
      <c r="AF2223">
        <v>2.2679744770474399</v>
      </c>
      <c r="AG2223">
        <v>-1.1104873426099999</v>
      </c>
      <c r="AH2223">
        <v>85.188897901051803</v>
      </c>
      <c r="AI2223">
        <v>90.746577351071707</v>
      </c>
      <c r="AJ2223">
        <v>88.474981118241203</v>
      </c>
      <c r="AK2223">
        <v>85.2263176252644</v>
      </c>
      <c r="AL2223">
        <v>89.335787793571797</v>
      </c>
      <c r="AM2223">
        <v>88.334200283088407</v>
      </c>
      <c r="AN2223">
        <v>0.99999997601625701</v>
      </c>
    </row>
    <row r="2224" spans="1:40" x14ac:dyDescent="0.25">
      <c r="A2224" t="str">
        <f>"20190312154258811"</f>
        <v>20190312154258811</v>
      </c>
      <c r="B2224" t="str">
        <f>"1552376578799312"</f>
        <v>1552376578799312</v>
      </c>
      <c r="C2224" t="s">
        <v>40</v>
      </c>
      <c r="D2224">
        <v>4.4459980000000003</v>
      </c>
      <c r="E2224">
        <v>0.49917479999999997</v>
      </c>
      <c r="F2224" t="s">
        <v>50</v>
      </c>
      <c r="G2224">
        <v>-447.4631</v>
      </c>
      <c r="H2224" s="1">
        <v>2.421744E-6</v>
      </c>
      <c r="I2224">
        <v>284.91250000000002</v>
      </c>
      <c r="J2224">
        <v>-383.0564</v>
      </c>
      <c r="K2224">
        <v>1.1104909999999999</v>
      </c>
      <c r="L2224">
        <v>283.13099999999997</v>
      </c>
      <c r="M2224">
        <v>-0.99989439999999996</v>
      </c>
      <c r="N2224">
        <v>0</v>
      </c>
      <c r="O2224">
        <v>2.7195639999999998E-3</v>
      </c>
      <c r="P2224">
        <v>-0.99946760000000001</v>
      </c>
      <c r="Q2224">
        <v>-3.274767E-3</v>
      </c>
      <c r="R2224">
        <v>3.2467820000000001E-2</v>
      </c>
      <c r="S2224">
        <v>-2.9987180000000002</v>
      </c>
      <c r="T2224">
        <v>-5.1472780000000003E-2</v>
      </c>
      <c r="U2224">
        <v>8.2611080000000003E-2</v>
      </c>
      <c r="V2224">
        <v>2.9750080000000002E-2</v>
      </c>
      <c r="W2224">
        <v>1.098879E-2</v>
      </c>
      <c r="X2224">
        <v>0.99949690000000002</v>
      </c>
      <c r="Y2224">
        <v>2.4816189999999998E-2</v>
      </c>
      <c r="Z2224">
        <v>1.6625489999999999E-4</v>
      </c>
      <c r="AA2224">
        <v>0.99969200000000003</v>
      </c>
      <c r="AB2224">
        <v>30</v>
      </c>
      <c r="AC2224">
        <v>-64.406700000000001</v>
      </c>
      <c r="AD2224">
        <v>-1.1104885782559999</v>
      </c>
      <c r="AE2224">
        <v>1.78150000000005</v>
      </c>
      <c r="AF2224">
        <v>1.60584039752248</v>
      </c>
      <c r="AG2224">
        <v>-1.1104885782559999</v>
      </c>
      <c r="AH2224">
        <v>64.392179280728897</v>
      </c>
      <c r="AI2224">
        <v>90.987701184493005</v>
      </c>
      <c r="AJ2224">
        <v>88.571428837009506</v>
      </c>
      <c r="AK2224">
        <v>64.421771636507202</v>
      </c>
      <c r="AL2224">
        <v>89.370375999353598</v>
      </c>
      <c r="AM2224">
        <v>88.295091356900599</v>
      </c>
      <c r="AN2224">
        <v>0.999999936937638</v>
      </c>
    </row>
    <row r="2225" spans="1:40" x14ac:dyDescent="0.25">
      <c r="A2225" t="str">
        <f>"20190312154259045"</f>
        <v>20190312154259045</v>
      </c>
      <c r="B2225" t="str">
        <f>"1552376579039411"</f>
        <v>1552376579039411</v>
      </c>
      <c r="C2225" t="s">
        <v>40</v>
      </c>
      <c r="D2225">
        <v>4.4359120000000001</v>
      </c>
      <c r="E2225">
        <v>0.56010740000000003</v>
      </c>
      <c r="F2225" t="s">
        <v>50</v>
      </c>
      <c r="G2225">
        <v>-444.65219999999999</v>
      </c>
      <c r="H2225" s="1">
        <v>9.2366410000000005E-7</v>
      </c>
      <c r="I2225">
        <v>284.96409999999997</v>
      </c>
      <c r="J2225">
        <v>-386.19589999999999</v>
      </c>
      <c r="K2225">
        <v>1.1104620000000001</v>
      </c>
      <c r="L2225">
        <v>283.13990000000001</v>
      </c>
      <c r="M2225">
        <v>-0.99989439999999996</v>
      </c>
      <c r="N2225">
        <v>0</v>
      </c>
      <c r="O2225">
        <v>2.9495419999999999E-3</v>
      </c>
      <c r="P2225">
        <v>-0.99944670000000002</v>
      </c>
      <c r="Q2225">
        <v>-3.469335E-3</v>
      </c>
      <c r="R2225">
        <v>3.3084299999999997E-2</v>
      </c>
      <c r="S2225">
        <v>-2.998535</v>
      </c>
      <c r="T2225">
        <v>-5.4059620000000003E-2</v>
      </c>
      <c r="U2225">
        <v>8.9233399999999893E-2</v>
      </c>
      <c r="V2225">
        <v>3.0137690000000002E-2</v>
      </c>
      <c r="W2225">
        <v>1.075659E-2</v>
      </c>
      <c r="X2225">
        <v>0.99948789999999998</v>
      </c>
      <c r="Y2225">
        <v>2.6793299999999999E-2</v>
      </c>
      <c r="Z2225">
        <v>1.8828580000000001E-4</v>
      </c>
      <c r="AA2225">
        <v>0.999641</v>
      </c>
      <c r="AB2225">
        <v>30</v>
      </c>
      <c r="AC2225">
        <v>-58.456299999999999</v>
      </c>
      <c r="AD2225">
        <v>-1.11046107633589</v>
      </c>
      <c r="AE2225">
        <v>1.8241999999999601</v>
      </c>
      <c r="AF2225">
        <v>1.6511600269337201</v>
      </c>
      <c r="AG2225">
        <v>-1.11046107633589</v>
      </c>
      <c r="AH2225">
        <v>58.440358240887001</v>
      </c>
      <c r="AI2225">
        <v>91.088147102688495</v>
      </c>
      <c r="AJ2225">
        <v>88.381609177831507</v>
      </c>
      <c r="AK2225">
        <v>58.474224445988199</v>
      </c>
      <c r="AL2225">
        <v>89.383680919969507</v>
      </c>
      <c r="AM2225">
        <v>88.272876143955102</v>
      </c>
      <c r="AN2225">
        <v>1.0000000234166799</v>
      </c>
    </row>
    <row r="2226" spans="1:40" x14ac:dyDescent="0.25">
      <c r="A2226" t="str">
        <f>"20190312154259068"</f>
        <v>20190312154259068</v>
      </c>
      <c r="B2226" t="str">
        <f>"1552376579059907"</f>
        <v>1552376579059907</v>
      </c>
      <c r="C2226" t="s">
        <v>40</v>
      </c>
      <c r="D2226">
        <v>4.6685720000000002</v>
      </c>
      <c r="E2226">
        <v>0.56264040000000004</v>
      </c>
      <c r="F2226" t="s">
        <v>41</v>
      </c>
      <c r="G2226">
        <v>-386.83850000000001</v>
      </c>
      <c r="H2226">
        <v>0.77120489999999997</v>
      </c>
      <c r="I2226">
        <v>283.25290000000001</v>
      </c>
      <c r="J2226">
        <v>-386.4991</v>
      </c>
      <c r="K2226">
        <v>1.1104459999999901</v>
      </c>
      <c r="L2226">
        <v>283.14089999999999</v>
      </c>
      <c r="M2226">
        <v>-0.99989410000000001</v>
      </c>
      <c r="N2226">
        <v>0</v>
      </c>
      <c r="O2226">
        <v>3.0401099999999999E-3</v>
      </c>
      <c r="P2226">
        <v>-0.99949909999999997</v>
      </c>
      <c r="Q2226">
        <v>-3.656842E-3</v>
      </c>
      <c r="R2226">
        <v>3.1431859999999999E-2</v>
      </c>
      <c r="S2226">
        <v>-2.9789430000000001</v>
      </c>
      <c r="T2226">
        <v>-1.57236</v>
      </c>
      <c r="U2226">
        <v>0.52215579999999995</v>
      </c>
      <c r="V2226">
        <v>2.839473E-2</v>
      </c>
      <c r="W2226">
        <v>1.056491E-2</v>
      </c>
      <c r="X2226">
        <v>0.99954100000000001</v>
      </c>
      <c r="Y2226">
        <v>0.1508717</v>
      </c>
      <c r="Z2226">
        <v>3.5641449999999998E-2</v>
      </c>
      <c r="AA2226">
        <v>0.98791059999999997</v>
      </c>
      <c r="AB2226">
        <v>30</v>
      </c>
      <c r="AC2226">
        <v>-0.33940000000001103</v>
      </c>
      <c r="AD2226">
        <v>-0.33924109999999902</v>
      </c>
      <c r="AE2226">
        <v>0.112000000000023</v>
      </c>
      <c r="AF2226">
        <v>5.8374685635038302E-2</v>
      </c>
      <c r="AG2226">
        <v>-0.33924109999999902</v>
      </c>
      <c r="AH2226">
        <v>0.17872028613145299</v>
      </c>
      <c r="AI2226">
        <v>151.00417659949099</v>
      </c>
      <c r="AJ2226">
        <v>71.911617914730698</v>
      </c>
      <c r="AK2226">
        <v>0.38785702072684902</v>
      </c>
      <c r="AL2226">
        <v>89.394664011557097</v>
      </c>
      <c r="AM2226">
        <v>88.372792346836405</v>
      </c>
      <c r="AN2226">
        <v>1.0000000443480299</v>
      </c>
    </row>
    <row r="2227" spans="1:40" x14ac:dyDescent="0.25">
      <c r="A2227" t="str">
        <f>"20190312154259090"</f>
        <v>20190312154259090</v>
      </c>
      <c r="B2227" t="str">
        <f>"1552376579079429"</f>
        <v>1552376579079429</v>
      </c>
      <c r="C2227" t="s">
        <v>40</v>
      </c>
      <c r="D2227">
        <v>5.390663</v>
      </c>
      <c r="E2227">
        <v>0.56368209999999996</v>
      </c>
      <c r="F2227" t="s">
        <v>50</v>
      </c>
      <c r="G2227">
        <v>-388.76960000000003</v>
      </c>
      <c r="H2227" s="1">
        <v>3.1299310000000001E-6</v>
      </c>
      <c r="I2227">
        <v>283.5539</v>
      </c>
      <c r="J2227">
        <v>-386.78579999999999</v>
      </c>
      <c r="K2227">
        <v>1.11043</v>
      </c>
      <c r="L2227">
        <v>283.14190000000002</v>
      </c>
      <c r="M2227">
        <v>-0.99989380000000005</v>
      </c>
      <c r="N2227">
        <v>0</v>
      </c>
      <c r="O2227">
        <v>3.1555659999999998E-3</v>
      </c>
      <c r="P2227">
        <v>-0.99954690000000002</v>
      </c>
      <c r="Q2227">
        <v>-3.37806E-3</v>
      </c>
      <c r="R2227">
        <v>2.9912330000000001E-2</v>
      </c>
      <c r="S2227">
        <v>-2.9791259999999999</v>
      </c>
      <c r="T2227">
        <v>-1.457014</v>
      </c>
      <c r="U2227">
        <v>0.54187010000000002</v>
      </c>
      <c r="V2227">
        <v>2.6760369999999999E-2</v>
      </c>
      <c r="W2227">
        <v>1.0840509999999999E-2</v>
      </c>
      <c r="X2227">
        <v>0.99958309999999995</v>
      </c>
      <c r="Y2227">
        <v>0.15877149999999901</v>
      </c>
      <c r="Z2227">
        <v>3.5040429999999997E-2</v>
      </c>
      <c r="AA2227">
        <v>0.9866933</v>
      </c>
      <c r="AB2227">
        <v>30</v>
      </c>
      <c r="AC2227">
        <v>-1.98380000000003</v>
      </c>
      <c r="AD2227">
        <v>-1.1104268700689901</v>
      </c>
      <c r="AE2227">
        <v>0.411999999999977</v>
      </c>
      <c r="AF2227">
        <v>0.31201874299846499</v>
      </c>
      <c r="AG2227">
        <v>-1.1104268700689901</v>
      </c>
      <c r="AH2227">
        <v>1.5265675357114401</v>
      </c>
      <c r="AI2227">
        <v>125.476222388514</v>
      </c>
      <c r="AJ2227">
        <v>78.448288811276697</v>
      </c>
      <c r="AK2227">
        <v>1.91332484718138</v>
      </c>
      <c r="AL2227">
        <v>89.378872365794294</v>
      </c>
      <c r="AM2227">
        <v>88.466470557449398</v>
      </c>
      <c r="AN2227">
        <v>1.0000000039326</v>
      </c>
    </row>
    <row r="2228" spans="1:40" x14ac:dyDescent="0.25">
      <c r="A2228" t="str">
        <f>"20190312154259103"</f>
        <v>20190312154259103</v>
      </c>
      <c r="B2228" t="str">
        <f>"1552376579099920"</f>
        <v>1552376579099920</v>
      </c>
      <c r="C2228" t="s">
        <v>40</v>
      </c>
      <c r="D2228">
        <v>4.5475209999999997</v>
      </c>
      <c r="E2228">
        <v>0.55562929999999999</v>
      </c>
      <c r="F2228" t="s">
        <v>50</v>
      </c>
      <c r="G2228">
        <v>-389.17770000000002</v>
      </c>
      <c r="H2228" s="1">
        <v>3.347119E-6</v>
      </c>
      <c r="I2228">
        <v>283.58249999999998</v>
      </c>
      <c r="J2228">
        <v>-386.96530000000001</v>
      </c>
      <c r="K2228">
        <v>1.11042</v>
      </c>
      <c r="L2228">
        <v>283.14249999999998</v>
      </c>
      <c r="M2228">
        <v>-0.9998937</v>
      </c>
      <c r="N2228">
        <v>0</v>
      </c>
      <c r="O2228">
        <v>3.2394759999999998E-3</v>
      </c>
      <c r="P2228">
        <v>-0.99956179999999994</v>
      </c>
      <c r="Q2228">
        <v>-3.1524840000000001E-3</v>
      </c>
      <c r="R2228">
        <v>2.9440480000000002E-2</v>
      </c>
      <c r="S2228">
        <v>-2.9802550000000001</v>
      </c>
      <c r="T2228">
        <v>-1.383556</v>
      </c>
      <c r="U2228">
        <v>0.54904169999999997</v>
      </c>
      <c r="V2228">
        <v>2.6205030000000001E-2</v>
      </c>
      <c r="W2228">
        <v>1.106365E-2</v>
      </c>
      <c r="X2228">
        <v>0.99959529999999996</v>
      </c>
      <c r="Y2228">
        <v>0.162208399999999</v>
      </c>
      <c r="Z2228">
        <v>3.4137399999999998E-2</v>
      </c>
      <c r="AA2228">
        <v>0.98616579999999998</v>
      </c>
      <c r="AB2228">
        <v>30</v>
      </c>
      <c r="AC2228">
        <v>-2.2124000000000001</v>
      </c>
      <c r="AD2228">
        <v>-1.110416652881</v>
      </c>
      <c r="AE2228">
        <v>0.439999999999997</v>
      </c>
      <c r="AF2228">
        <v>0.34840318214482802</v>
      </c>
      <c r="AG2228">
        <v>-1.110416652881</v>
      </c>
      <c r="AH2228">
        <v>1.7819926940559301</v>
      </c>
      <c r="AI2228">
        <v>121.448002786193</v>
      </c>
      <c r="AJ2228">
        <v>78.937463942066103</v>
      </c>
      <c r="AK2228">
        <v>2.1283580248616101</v>
      </c>
      <c r="AL2228">
        <v>89.366086575591297</v>
      </c>
      <c r="AM2228">
        <v>88.498298457824205</v>
      </c>
      <c r="AN2228">
        <v>0.99999993586535396</v>
      </c>
    </row>
    <row r="2229" spans="1:40" x14ac:dyDescent="0.25">
      <c r="A2229" t="str">
        <f>"20190312154259123"</f>
        <v>20190312154259123</v>
      </c>
      <c r="B2229" t="str">
        <f>"1552376579119440"</f>
        <v>1552376579119440</v>
      </c>
      <c r="C2229" t="s">
        <v>40</v>
      </c>
      <c r="D2229">
        <v>4.5485239999999996</v>
      </c>
      <c r="E2229">
        <v>0.55552950000000001</v>
      </c>
      <c r="F2229" t="s">
        <v>41</v>
      </c>
      <c r="G2229">
        <v>-387.68970000000002</v>
      </c>
      <c r="H2229">
        <v>0.90750750000000002</v>
      </c>
      <c r="I2229">
        <v>283.26490000000001</v>
      </c>
      <c r="J2229">
        <v>-387.22379999999998</v>
      </c>
      <c r="K2229">
        <v>1.1104080000000001</v>
      </c>
      <c r="L2229">
        <v>283.14350000000002</v>
      </c>
      <c r="M2229">
        <v>-0.99989309999999998</v>
      </c>
      <c r="N2229">
        <v>0</v>
      </c>
      <c r="O2229">
        <v>3.3759139999999998E-3</v>
      </c>
      <c r="P2229">
        <v>-0.99957609999999997</v>
      </c>
      <c r="Q2229">
        <v>-2.2944580000000001E-3</v>
      </c>
      <c r="R2229">
        <v>2.9030469999999999E-2</v>
      </c>
      <c r="S2229">
        <v>-2.9838559999999998</v>
      </c>
      <c r="T2229">
        <v>-0.83579869999999901</v>
      </c>
      <c r="U2229">
        <v>0.50292970000000004</v>
      </c>
      <c r="V2229">
        <v>2.5659350000000001E-2</v>
      </c>
      <c r="W2229">
        <v>1.191857E-2</v>
      </c>
      <c r="X2229">
        <v>0.99959969999999998</v>
      </c>
      <c r="Y2229">
        <v>0.1571196</v>
      </c>
      <c r="Z2229">
        <v>2.0525040000000001E-2</v>
      </c>
      <c r="AA2229">
        <v>0.98736630000000003</v>
      </c>
      <c r="AB2229">
        <v>30</v>
      </c>
      <c r="AC2229">
        <v>-0.46590000000003301</v>
      </c>
      <c r="AD2229">
        <v>-0.20290050000000001</v>
      </c>
      <c r="AE2229">
        <v>0.121399999999994</v>
      </c>
      <c r="AF2229">
        <v>0.101754382696187</v>
      </c>
      <c r="AG2229">
        <v>-0.20290050000000001</v>
      </c>
      <c r="AH2229">
        <v>0.39597984202591202</v>
      </c>
      <c r="AI2229">
        <v>116.394178709401</v>
      </c>
      <c r="AJ2229">
        <v>75.588592629182401</v>
      </c>
      <c r="AK2229">
        <v>0.45642370949480499</v>
      </c>
      <c r="AL2229">
        <v>89.317100077650593</v>
      </c>
      <c r="AM2229">
        <v>88.529561709317804</v>
      </c>
      <c r="AN2229">
        <v>1.0000000073966699</v>
      </c>
    </row>
    <row r="2230" spans="1:40" x14ac:dyDescent="0.25">
      <c r="A2230" t="str">
        <f>"20190312154259145"</f>
        <v>20190312154259145</v>
      </c>
      <c r="B2230" t="str">
        <f>"1552376579139940"</f>
        <v>1552376579139940</v>
      </c>
      <c r="C2230" t="s">
        <v>40</v>
      </c>
      <c r="D2230">
        <v>4.5647789999999997</v>
      </c>
      <c r="E2230">
        <v>0.55524379999999995</v>
      </c>
      <c r="F2230" t="s">
        <v>41</v>
      </c>
      <c r="G2230">
        <v>-387.95490000000001</v>
      </c>
      <c r="H2230">
        <v>0.90977249999999998</v>
      </c>
      <c r="I2230">
        <v>283.26670000000001</v>
      </c>
      <c r="J2230">
        <v>-387.52420000000001</v>
      </c>
      <c r="K2230">
        <v>1.110393</v>
      </c>
      <c r="L2230">
        <v>283.1447</v>
      </c>
      <c r="M2230">
        <v>-0.99989269999999997</v>
      </c>
      <c r="N2230">
        <v>0</v>
      </c>
      <c r="O2230">
        <v>3.5568449999999999E-3</v>
      </c>
      <c r="P2230">
        <v>-0.99956520000000004</v>
      </c>
      <c r="Q2230">
        <v>-1.7386579999999999E-3</v>
      </c>
      <c r="R2230">
        <v>2.9443649999999998E-2</v>
      </c>
      <c r="S2230">
        <v>-2.9848330000000001</v>
      </c>
      <c r="T2230">
        <v>-0.81916119999999903</v>
      </c>
      <c r="U2230">
        <v>0.50137330000000002</v>
      </c>
      <c r="V2230">
        <v>2.589261E-2</v>
      </c>
      <c r="W2230">
        <v>1.246975E-2</v>
      </c>
      <c r="X2230">
        <v>0.99958689999999994</v>
      </c>
      <c r="Y2230">
        <v>0.1566371</v>
      </c>
      <c r="Z2230">
        <v>2.0012439999999999E-2</v>
      </c>
      <c r="AA2230">
        <v>0.98745349999999998</v>
      </c>
      <c r="AB2230">
        <v>30</v>
      </c>
      <c r="AC2230">
        <v>-0.43070000000000103</v>
      </c>
      <c r="AD2230">
        <v>-0.20062050000000001</v>
      </c>
      <c r="AE2230">
        <v>0.122000000000014</v>
      </c>
      <c r="AF2230">
        <v>0.100317825233639</v>
      </c>
      <c r="AG2230">
        <v>-0.20062050000000001</v>
      </c>
      <c r="AH2230">
        <v>0.35902030781051197</v>
      </c>
      <c r="AI2230">
        <v>118.288470823677</v>
      </c>
      <c r="AJ2230">
        <v>74.388518895728694</v>
      </c>
      <c r="AK2230">
        <v>0.42332946094054402</v>
      </c>
      <c r="AL2230">
        <v>89.285517397849006</v>
      </c>
      <c r="AM2230">
        <v>88.516181436144393</v>
      </c>
      <c r="AN2230">
        <v>0.99999994628463995</v>
      </c>
    </row>
    <row r="2231" spans="1:40" x14ac:dyDescent="0.25">
      <c r="A2231" t="str">
        <f>"20190312154259169"</f>
        <v>20190312154259169</v>
      </c>
      <c r="B2231" t="str">
        <f>"1552376579159456"</f>
        <v>1552376579159456</v>
      </c>
      <c r="C2231" t="s">
        <v>40</v>
      </c>
      <c r="D2231">
        <v>4.5537029999999996</v>
      </c>
      <c r="E2231">
        <v>0.55436269999999999</v>
      </c>
      <c r="F2231" t="s">
        <v>41</v>
      </c>
      <c r="G2231">
        <v>-388.22320000000002</v>
      </c>
      <c r="H2231">
        <v>0.92017150000000003</v>
      </c>
      <c r="I2231">
        <v>283.26209999999998</v>
      </c>
      <c r="J2231">
        <v>-387.82260000000002</v>
      </c>
      <c r="K2231">
        <v>1.1103799999999999</v>
      </c>
      <c r="L2231">
        <v>283.14600000000002</v>
      </c>
      <c r="M2231">
        <v>-0.99989189999999994</v>
      </c>
      <c r="N2231">
        <v>0</v>
      </c>
      <c r="O2231">
        <v>3.7578730000000001E-3</v>
      </c>
      <c r="P2231">
        <v>-0.99954620000000005</v>
      </c>
      <c r="Q2231">
        <v>-1.388004E-3</v>
      </c>
      <c r="R2231">
        <v>3.0097949999999998E-2</v>
      </c>
      <c r="S2231">
        <v>-2.9851380000000001</v>
      </c>
      <c r="T2231">
        <v>-0.8124441</v>
      </c>
      <c r="U2231">
        <v>0.50057980000000002</v>
      </c>
      <c r="V2231">
        <v>2.6346390000000001E-2</v>
      </c>
      <c r="W2231">
        <v>1.28159E-2</v>
      </c>
      <c r="X2231">
        <v>0.99957070000000003</v>
      </c>
      <c r="Y2231">
        <v>0.1562761</v>
      </c>
      <c r="Z2231">
        <v>1.975118E-2</v>
      </c>
      <c r="AA2231">
        <v>0.9875159</v>
      </c>
      <c r="AB2231">
        <v>30</v>
      </c>
      <c r="AC2231">
        <v>-0.40059999999999701</v>
      </c>
      <c r="AD2231">
        <v>-0.190208499999999</v>
      </c>
      <c r="AE2231">
        <v>0.116100000000017</v>
      </c>
      <c r="AF2231">
        <v>9.4864220395719304E-2</v>
      </c>
      <c r="AG2231">
        <v>-0.190208499999999</v>
      </c>
      <c r="AH2231">
        <v>0.33198819770290899</v>
      </c>
      <c r="AI2231">
        <v>118.849866934716</v>
      </c>
      <c r="AJ2231">
        <v>74.052936785723006</v>
      </c>
      <c r="AK2231">
        <v>0.39420129020281403</v>
      </c>
      <c r="AL2231">
        <v>89.265682903533005</v>
      </c>
      <c r="AM2231">
        <v>88.490164302333895</v>
      </c>
      <c r="AN2231">
        <v>0.99999998192866502</v>
      </c>
    </row>
    <row r="2232" spans="1:40" x14ac:dyDescent="0.25">
      <c r="A2232" t="str">
        <f>"20190312154259191"</f>
        <v>20190312154259191</v>
      </c>
      <c r="B2232" t="str">
        <f>"1552376579179952"</f>
        <v>1552376579179952</v>
      </c>
      <c r="C2232" t="s">
        <v>40</v>
      </c>
      <c r="D2232">
        <v>4.6248800000000001</v>
      </c>
      <c r="E2232">
        <v>0.55356119999999898</v>
      </c>
      <c r="F2232" t="s">
        <v>41</v>
      </c>
      <c r="G2232">
        <v>-388.72800000000001</v>
      </c>
      <c r="H2232">
        <v>0.86609519999999995</v>
      </c>
      <c r="I2232">
        <v>283.29640000000001</v>
      </c>
      <c r="J2232">
        <v>-388.12</v>
      </c>
      <c r="K2232">
        <v>1.1103719999999999</v>
      </c>
      <c r="L2232">
        <v>283.14729999999997</v>
      </c>
      <c r="M2232">
        <v>-0.99989119999999998</v>
      </c>
      <c r="N2232">
        <v>0</v>
      </c>
      <c r="O2232">
        <v>3.97212E-3</v>
      </c>
      <c r="P2232">
        <v>-0.99950430000000001</v>
      </c>
      <c r="Q2232">
        <v>-1.257846E-3</v>
      </c>
      <c r="R2232">
        <v>3.1462950000000003E-2</v>
      </c>
      <c r="S2232">
        <v>-2.9853519999999998</v>
      </c>
      <c r="T2232">
        <v>-0.8054557</v>
      </c>
      <c r="U2232">
        <v>0.49551390000000001</v>
      </c>
      <c r="V2232">
        <v>2.7497819999999999E-2</v>
      </c>
      <c r="W2232">
        <v>1.294082E-2</v>
      </c>
      <c r="X2232">
        <v>0.99953809999999998</v>
      </c>
      <c r="Y2232">
        <v>0.15457889999999999</v>
      </c>
      <c r="Z2232">
        <v>1.93084E-2</v>
      </c>
      <c r="AA2232">
        <v>0.9877918</v>
      </c>
      <c r="AB2232">
        <v>29</v>
      </c>
      <c r="AC2232">
        <v>-0.60800000000000398</v>
      </c>
      <c r="AD2232">
        <v>-0.24427679999999999</v>
      </c>
      <c r="AE2232">
        <v>0.14910000000003201</v>
      </c>
      <c r="AF2232">
        <v>0.12730037004946601</v>
      </c>
      <c r="AG2232">
        <v>-0.24427679999999999</v>
      </c>
      <c r="AH2232">
        <v>0.52816709692464603</v>
      </c>
      <c r="AI2232">
        <v>114.209811184855</v>
      </c>
      <c r="AJ2232">
        <v>76.448863221561695</v>
      </c>
      <c r="AK2232">
        <v>0.59568198017631802</v>
      </c>
      <c r="AL2232">
        <v>89.258524937483799</v>
      </c>
      <c r="AM2232">
        <v>88.424160371170501</v>
      </c>
      <c r="AN2232">
        <v>1.00000000413931</v>
      </c>
    </row>
    <row r="2233" spans="1:40" x14ac:dyDescent="0.25">
      <c r="A2233" t="str">
        <f>"20190312154259213"</f>
        <v>20190312154259213</v>
      </c>
      <c r="B2233" t="str">
        <f>"1552376579209232"</f>
        <v>1552376579209232</v>
      </c>
      <c r="C2233" t="s">
        <v>40</v>
      </c>
      <c r="D2233">
        <v>4.6245830000000003</v>
      </c>
      <c r="E2233">
        <v>0.55306999999999995</v>
      </c>
      <c r="F2233" t="s">
        <v>41</v>
      </c>
      <c r="G2233">
        <v>-388.99450000000002</v>
      </c>
      <c r="H2233">
        <v>0.87478140000000004</v>
      </c>
      <c r="I2233">
        <v>283.29230000000001</v>
      </c>
      <c r="J2233">
        <v>-388.40440000000001</v>
      </c>
      <c r="K2233">
        <v>1.110363</v>
      </c>
      <c r="L2233">
        <v>283.14870000000002</v>
      </c>
      <c r="M2233">
        <v>-0.99989030000000001</v>
      </c>
      <c r="N2233">
        <v>0</v>
      </c>
      <c r="O2233">
        <v>4.18403E-3</v>
      </c>
      <c r="P2233">
        <v>-0.9994653</v>
      </c>
      <c r="Q2233">
        <v>-1.0314829999999999E-3</v>
      </c>
      <c r="R2233">
        <v>3.2682490000000002E-2</v>
      </c>
      <c r="S2233">
        <v>-2.9849549999999998</v>
      </c>
      <c r="T2233">
        <v>-0.80418829999999997</v>
      </c>
      <c r="U2233">
        <v>0.49301149999999999</v>
      </c>
      <c r="V2233">
        <v>2.8505760000000002E-2</v>
      </c>
      <c r="W2233">
        <v>1.316254E-2</v>
      </c>
      <c r="X2233">
        <v>0.99950700000000003</v>
      </c>
      <c r="Y2233">
        <v>0.15363879999999999</v>
      </c>
      <c r="Z2233">
        <v>1.910338E-2</v>
      </c>
      <c r="AA2233">
        <v>0.9879424</v>
      </c>
      <c r="AB2233">
        <v>29</v>
      </c>
      <c r="AC2233">
        <v>-0.59010000000000595</v>
      </c>
      <c r="AD2233">
        <v>-0.235581599999999</v>
      </c>
      <c r="AE2233">
        <v>0.14359999999999201</v>
      </c>
      <c r="AF2233">
        <v>0.122671314255228</v>
      </c>
      <c r="AG2233">
        <v>-0.235581599999999</v>
      </c>
      <c r="AH2233">
        <v>0.51343922957383004</v>
      </c>
      <c r="AI2233">
        <v>114.049775838069</v>
      </c>
      <c r="AJ2233">
        <v>76.562746693599095</v>
      </c>
      <c r="AK2233">
        <v>0.57807160807726299</v>
      </c>
      <c r="AL2233">
        <v>89.245820259862796</v>
      </c>
      <c r="AM2233">
        <v>88.366377488655502</v>
      </c>
      <c r="AN2233">
        <v>1.00000003693071</v>
      </c>
    </row>
    <row r="2234" spans="1:40" x14ac:dyDescent="0.25">
      <c r="A2234" t="str">
        <f>"20190312154259237"</f>
        <v>20190312154259237</v>
      </c>
      <c r="B2234" t="str">
        <f>"1552376579229728"</f>
        <v>1552376579229728</v>
      </c>
      <c r="C2234" t="s">
        <v>40</v>
      </c>
      <c r="D2234">
        <v>4.6515440000000003</v>
      </c>
      <c r="E2234">
        <v>0.55262959999999905</v>
      </c>
      <c r="F2234" t="s">
        <v>41</v>
      </c>
      <c r="G2234">
        <v>-389.25880000000001</v>
      </c>
      <c r="H2234">
        <v>0.87899570000000005</v>
      </c>
      <c r="I2234">
        <v>283.28989999999999</v>
      </c>
      <c r="J2234">
        <v>-388.7201</v>
      </c>
      <c r="K2234">
        <v>1.1103609999999999</v>
      </c>
      <c r="L2234">
        <v>283.15030000000002</v>
      </c>
      <c r="M2234">
        <v>-0.99988940000000004</v>
      </c>
      <c r="N2234">
        <v>0</v>
      </c>
      <c r="O2234">
        <v>4.4230069999999996E-3</v>
      </c>
      <c r="P2234">
        <v>-0.99943329999999997</v>
      </c>
      <c r="Q2234">
        <v>-1.1271149999999999E-3</v>
      </c>
      <c r="R2234">
        <v>3.3646490000000001E-2</v>
      </c>
      <c r="S2234">
        <v>-2.9846499999999998</v>
      </c>
      <c r="T2234">
        <v>-0.80822799999999995</v>
      </c>
      <c r="U2234">
        <v>0.49349979999999899</v>
      </c>
      <c r="V2234">
        <v>2.923108E-2</v>
      </c>
      <c r="W2234">
        <v>1.3062890000000001E-2</v>
      </c>
      <c r="X2234">
        <v>0.99948729999999997</v>
      </c>
      <c r="Y2234">
        <v>0.15353620000000001</v>
      </c>
      <c r="Z2234">
        <v>1.9120990000000001E-2</v>
      </c>
      <c r="AA2234">
        <v>0.987958</v>
      </c>
      <c r="AB2234">
        <v>29</v>
      </c>
      <c r="AC2234">
        <v>-0.53870000000000495</v>
      </c>
      <c r="AD2234">
        <v>-0.2313653</v>
      </c>
      <c r="AE2234">
        <v>0.139599999999973</v>
      </c>
      <c r="AF2234">
        <v>0.116993182913337</v>
      </c>
      <c r="AG2234">
        <v>-0.2313653</v>
      </c>
      <c r="AH2234">
        <v>0.45982964574436302</v>
      </c>
      <c r="AI2234">
        <v>115.99475456649201</v>
      </c>
      <c r="AJ2234">
        <v>75.725266037678594</v>
      </c>
      <c r="AK2234">
        <v>0.52788314047492602</v>
      </c>
      <c r="AL2234">
        <v>89.251530231639293</v>
      </c>
      <c r="AM2234">
        <v>88.324800874716004</v>
      </c>
      <c r="AN2234">
        <v>0.99999997899720405</v>
      </c>
    </row>
    <row r="2235" spans="1:40" x14ac:dyDescent="0.25">
      <c r="A2235" t="str">
        <f>"20190312154259258"</f>
        <v>20190312154259258</v>
      </c>
      <c r="B2235" t="str">
        <f>"1552376579249249"</f>
        <v>1552376579249249</v>
      </c>
      <c r="C2235" t="s">
        <v>40</v>
      </c>
      <c r="D2235">
        <v>4.6388540000000003</v>
      </c>
      <c r="E2235">
        <v>0.55243790000000004</v>
      </c>
      <c r="F2235" t="s">
        <v>41</v>
      </c>
      <c r="G2235">
        <v>-389.52640000000002</v>
      </c>
      <c r="H2235">
        <v>0.89204859999999897</v>
      </c>
      <c r="I2235">
        <v>283.28359999999998</v>
      </c>
      <c r="J2235">
        <v>-388.99709999999999</v>
      </c>
      <c r="K2235">
        <v>1.11036</v>
      </c>
      <c r="L2235">
        <v>283.15179999999998</v>
      </c>
      <c r="M2235">
        <v>-0.99988849999999996</v>
      </c>
      <c r="N2235">
        <v>0</v>
      </c>
      <c r="O2235">
        <v>4.6338050000000004E-3</v>
      </c>
      <c r="P2235">
        <v>-0.99941380000000002</v>
      </c>
      <c r="Q2235">
        <v>-1.210488E-3</v>
      </c>
      <c r="R2235">
        <v>3.4220170000000001E-2</v>
      </c>
      <c r="S2235">
        <v>-2.9842219999999999</v>
      </c>
      <c r="T2235">
        <v>-0.80796559999999995</v>
      </c>
      <c r="U2235">
        <v>0.49246220000000002</v>
      </c>
      <c r="V2235">
        <v>2.95943E-2</v>
      </c>
      <c r="W2235">
        <v>1.297563E-2</v>
      </c>
      <c r="X2235">
        <v>0.99947770000000002</v>
      </c>
      <c r="Y2235">
        <v>0.1530427</v>
      </c>
      <c r="Z2235">
        <v>1.899721E-2</v>
      </c>
      <c r="AA2235">
        <v>0.9880369</v>
      </c>
      <c r="AB2235">
        <v>29</v>
      </c>
      <c r="AC2235">
        <v>-0.52930000000003397</v>
      </c>
      <c r="AD2235">
        <v>-0.21831139999999999</v>
      </c>
      <c r="AE2235">
        <v>0.131799999999998</v>
      </c>
      <c r="AF2235">
        <v>0.111487081132722</v>
      </c>
      <c r="AG2235">
        <v>-0.21831139999999999</v>
      </c>
      <c r="AH2235">
        <v>0.45674182094850302</v>
      </c>
      <c r="AI2235">
        <v>114.907451737196</v>
      </c>
      <c r="AJ2235">
        <v>76.282781530088101</v>
      </c>
      <c r="AK2235">
        <v>0.51836505248020803</v>
      </c>
      <c r="AL2235">
        <v>89.2565302496903</v>
      </c>
      <c r="AM2235">
        <v>88.303980961852403</v>
      </c>
      <c r="AN2235">
        <v>0.99999993118183605</v>
      </c>
    </row>
    <row r="2236" spans="1:40" x14ac:dyDescent="0.25">
      <c r="A2236" t="str">
        <f>"20190312154259280"</f>
        <v>20190312154259280</v>
      </c>
      <c r="B2236" t="str">
        <f>"1552376579269745"</f>
        <v>1552376579269745</v>
      </c>
      <c r="C2236" t="s">
        <v>40</v>
      </c>
      <c r="D2236">
        <v>4.6580409999999999</v>
      </c>
      <c r="E2236">
        <v>0.55251839999999997</v>
      </c>
      <c r="F2236" t="s">
        <v>41</v>
      </c>
      <c r="G2236">
        <v>-389.78980000000001</v>
      </c>
      <c r="H2236">
        <v>0.89553189999999905</v>
      </c>
      <c r="I2236">
        <v>283.2826</v>
      </c>
      <c r="J2236">
        <v>-389.2901</v>
      </c>
      <c r="K2236">
        <v>1.1103609999999999</v>
      </c>
      <c r="L2236">
        <v>283.15339999999998</v>
      </c>
      <c r="M2236">
        <v>-0.99988739999999998</v>
      </c>
      <c r="N2236">
        <v>0</v>
      </c>
      <c r="O2236">
        <v>4.855318E-3</v>
      </c>
      <c r="P2236">
        <v>-0.99940439999999997</v>
      </c>
      <c r="Q2236">
        <v>-1.669299E-3</v>
      </c>
      <c r="R2236">
        <v>3.4469409999999999E-2</v>
      </c>
      <c r="S2236">
        <v>-2.9839169999999999</v>
      </c>
      <c r="T2236">
        <v>-0.80866009999999999</v>
      </c>
      <c r="U2236">
        <v>0.49227910000000002</v>
      </c>
      <c r="V2236">
        <v>2.9621829999999998E-2</v>
      </c>
      <c r="W2236">
        <v>1.251409E-2</v>
      </c>
      <c r="X2236">
        <v>0.9994828</v>
      </c>
      <c r="Y2236">
        <v>0.15278810000000001</v>
      </c>
      <c r="Z2236">
        <v>1.8922660000000001E-2</v>
      </c>
      <c r="AA2236">
        <v>0.98807780000000001</v>
      </c>
      <c r="AB2236">
        <v>29</v>
      </c>
      <c r="AC2236">
        <v>-0.49970000000001802</v>
      </c>
      <c r="AD2236">
        <v>-0.2148291</v>
      </c>
      <c r="AE2236">
        <v>0.12920000000002499</v>
      </c>
      <c r="AF2236">
        <v>0.108052362827205</v>
      </c>
      <c r="AG2236">
        <v>-0.2148291</v>
      </c>
      <c r="AH2236">
        <v>0.426442000548029</v>
      </c>
      <c r="AI2236">
        <v>116.028045147813</v>
      </c>
      <c r="AJ2236">
        <v>75.781572298269396</v>
      </c>
      <c r="AK2236">
        <v>0.48957086836407798</v>
      </c>
      <c r="AL2236">
        <v>89.282976715429001</v>
      </c>
      <c r="AM2236">
        <v>88.302412825632203</v>
      </c>
      <c r="AN2236">
        <v>0.99999996137845704</v>
      </c>
    </row>
    <row r="2237" spans="1:40" x14ac:dyDescent="0.25">
      <c r="A2237" t="str">
        <f>"20190312154259301"</f>
        <v>20190312154259301</v>
      </c>
      <c r="B2237" t="str">
        <f>"1552376579289265"</f>
        <v>1552376579289265</v>
      </c>
      <c r="C2237" t="s">
        <v>40</v>
      </c>
      <c r="D2237">
        <v>4.7172099999999997</v>
      </c>
      <c r="E2237">
        <v>0.55272919999999903</v>
      </c>
      <c r="F2237" t="s">
        <v>41</v>
      </c>
      <c r="G2237">
        <v>-390.05419999999998</v>
      </c>
      <c r="H2237">
        <v>0.90225239999999995</v>
      </c>
      <c r="I2237">
        <v>283.27999999999997</v>
      </c>
      <c r="J2237">
        <v>-389.56909999999999</v>
      </c>
      <c r="K2237">
        <v>1.1103620000000001</v>
      </c>
      <c r="L2237">
        <v>283.1549</v>
      </c>
      <c r="M2237">
        <v>-0.99988639999999995</v>
      </c>
      <c r="N2237">
        <v>0</v>
      </c>
      <c r="O2237">
        <v>5.0641820000000004E-3</v>
      </c>
      <c r="P2237">
        <v>-0.99939659999999997</v>
      </c>
      <c r="Q2237">
        <v>-1.6594229999999999E-3</v>
      </c>
      <c r="R2237">
        <v>3.4699720000000003E-2</v>
      </c>
      <c r="S2237">
        <v>-2.9833980000000002</v>
      </c>
      <c r="T2237">
        <v>-0.81255999999999995</v>
      </c>
      <c r="U2237">
        <v>0.49349979999999899</v>
      </c>
      <c r="V2237">
        <v>2.9643599999999999E-2</v>
      </c>
      <c r="W2237">
        <v>1.2520760000000001E-2</v>
      </c>
      <c r="X2237">
        <v>0.99948210000000004</v>
      </c>
      <c r="Y2237">
        <v>0.152953799999999</v>
      </c>
      <c r="Z2237">
        <v>1.8979840000000001E-2</v>
      </c>
      <c r="AA2237">
        <v>0.98805109999999996</v>
      </c>
      <c r="AB2237">
        <v>29</v>
      </c>
      <c r="AC2237">
        <v>-0.48509999999998799</v>
      </c>
      <c r="AD2237">
        <v>-0.20810960000000001</v>
      </c>
      <c r="AE2237">
        <v>0.12509999999997401</v>
      </c>
      <c r="AF2237">
        <v>0.104592287226004</v>
      </c>
      <c r="AG2237">
        <v>-0.20810960000000001</v>
      </c>
      <c r="AH2237">
        <v>0.41424257899725397</v>
      </c>
      <c r="AI2237">
        <v>115.970670153022</v>
      </c>
      <c r="AJ2237">
        <v>75.829537852245494</v>
      </c>
      <c r="AK2237">
        <v>0.47523264451594999</v>
      </c>
      <c r="AL2237">
        <v>89.282594543397195</v>
      </c>
      <c r="AM2237">
        <v>88.301164757971705</v>
      </c>
      <c r="AN2237">
        <v>0.99999999033617304</v>
      </c>
    </row>
    <row r="2238" spans="1:40" x14ac:dyDescent="0.25">
      <c r="A2238" t="str">
        <f>"20190312154259325"</f>
        <v>20190312154259325</v>
      </c>
      <c r="B2238" t="str">
        <f>"1552376579319521"</f>
        <v>1552376579319521</v>
      </c>
      <c r="C2238" t="s">
        <v>40</v>
      </c>
      <c r="D2238">
        <v>4.7598729999999998</v>
      </c>
      <c r="E2238">
        <v>0.55305530000000003</v>
      </c>
      <c r="F2238" t="s">
        <v>41</v>
      </c>
      <c r="G2238">
        <v>-390.31709999999998</v>
      </c>
      <c r="H2238">
        <v>0.90593299999999999</v>
      </c>
      <c r="I2238">
        <v>283.27949999999998</v>
      </c>
      <c r="J2238">
        <v>-389.87130000000002</v>
      </c>
      <c r="K2238">
        <v>1.110357</v>
      </c>
      <c r="L2238">
        <v>283.1567</v>
      </c>
      <c r="M2238">
        <v>-0.99988529999999998</v>
      </c>
      <c r="N2238">
        <v>0</v>
      </c>
      <c r="O2238">
        <v>5.2884769999999998E-3</v>
      </c>
      <c r="P2238">
        <v>-0.99940359999999995</v>
      </c>
      <c r="Q2238">
        <v>-2.2241940000000001E-3</v>
      </c>
      <c r="R2238">
        <v>3.4463760000000003E-2</v>
      </c>
      <c r="S2238">
        <v>-2.983215</v>
      </c>
      <c r="T2238">
        <v>-0.81528069999999997</v>
      </c>
      <c r="U2238">
        <v>0.49609379999999997</v>
      </c>
      <c r="V2238">
        <v>2.9182940000000001E-2</v>
      </c>
      <c r="W2238">
        <v>1.195385E-2</v>
      </c>
      <c r="X2238">
        <v>0.99950260000000002</v>
      </c>
      <c r="Y2238">
        <v>0.15353139999999901</v>
      </c>
      <c r="Z2238">
        <v>1.9058229999999999E-2</v>
      </c>
      <c r="AA2238">
        <v>0.98795999999999995</v>
      </c>
      <c r="AB2238">
        <v>29</v>
      </c>
      <c r="AC2238">
        <v>-0.445799999999962</v>
      </c>
      <c r="AD2238">
        <v>-0.20442399999999999</v>
      </c>
      <c r="AE2238">
        <v>0.12279999999998301</v>
      </c>
      <c r="AF2238">
        <v>0.100749615068848</v>
      </c>
      <c r="AG2238">
        <v>-0.20442399999999999</v>
      </c>
      <c r="AH2238">
        <v>0.37345417691228799</v>
      </c>
      <c r="AI2238">
        <v>117.856137381262</v>
      </c>
      <c r="AJ2238">
        <v>74.9022960847322</v>
      </c>
      <c r="AK2238">
        <v>0.43750163310067303</v>
      </c>
      <c r="AL2238">
        <v>89.315078528664401</v>
      </c>
      <c r="AM2238">
        <v>88.327583740451402</v>
      </c>
      <c r="AN2238">
        <v>0.99999999296181297</v>
      </c>
    </row>
    <row r="2239" spans="1:40" x14ac:dyDescent="0.25">
      <c r="A2239" t="str">
        <f>"20190312154259338"</f>
        <v>20190312154259338</v>
      </c>
      <c r="B2239" t="str">
        <f>"1552376579329281"</f>
        <v>1552376579329281</v>
      </c>
      <c r="C2239" t="s">
        <v>40</v>
      </c>
      <c r="D2239">
        <v>4.7547389999999998</v>
      </c>
      <c r="E2239">
        <v>0.55318959999999995</v>
      </c>
      <c r="F2239" t="s">
        <v>41</v>
      </c>
      <c r="G2239">
        <v>-390.58179999999999</v>
      </c>
      <c r="H2239">
        <v>0.91483650000000005</v>
      </c>
      <c r="I2239">
        <v>283.27569999999997</v>
      </c>
      <c r="J2239">
        <v>-390.04079999999999</v>
      </c>
      <c r="K2239">
        <v>1.110357</v>
      </c>
      <c r="L2239">
        <v>283.15769999999998</v>
      </c>
      <c r="M2239">
        <v>-0.99988460000000001</v>
      </c>
      <c r="N2239">
        <v>0</v>
      </c>
      <c r="O2239">
        <v>5.4140600000000001E-3</v>
      </c>
      <c r="P2239">
        <v>-0.9993997</v>
      </c>
      <c r="Q2239">
        <v>-2.329921E-3</v>
      </c>
      <c r="R2239">
        <v>3.4569839999999998E-2</v>
      </c>
      <c r="S2239">
        <v>-2.9827880000000002</v>
      </c>
      <c r="T2239">
        <v>-0.82079460000000004</v>
      </c>
      <c r="U2239">
        <v>0.49768069999999998</v>
      </c>
      <c r="V2239">
        <v>2.9163459999999999E-2</v>
      </c>
      <c r="W2239">
        <v>1.184609E-2</v>
      </c>
      <c r="X2239">
        <v>0.99950439999999996</v>
      </c>
      <c r="Y2239">
        <v>0.15386279999999999</v>
      </c>
      <c r="Z2239">
        <v>1.9195210000000001E-2</v>
      </c>
      <c r="AA2239">
        <v>0.9879057</v>
      </c>
      <c r="AB2239">
        <v>29</v>
      </c>
      <c r="AC2239">
        <v>-0.54099999999999604</v>
      </c>
      <c r="AD2239">
        <v>-0.19552050000000001</v>
      </c>
      <c r="AE2239">
        <v>0.117999999999994</v>
      </c>
      <c r="AF2239">
        <v>0.1023124060924</v>
      </c>
      <c r="AG2239">
        <v>-0.19552050000000001</v>
      </c>
      <c r="AH2239">
        <v>0.48158570238148701</v>
      </c>
      <c r="AI2239">
        <v>111.65950758652799</v>
      </c>
      <c r="AJ2239">
        <v>78.0058959636238</v>
      </c>
      <c r="AK2239">
        <v>0.52973661672470496</v>
      </c>
      <c r="AL2239">
        <v>89.3212531241428</v>
      </c>
      <c r="AM2239">
        <v>88.328702475284004</v>
      </c>
      <c r="AN2239">
        <v>0.99999994143340798</v>
      </c>
    </row>
    <row r="2240" spans="1:40" x14ac:dyDescent="0.25">
      <c r="A2240" t="str">
        <f>"20190312154259351"</f>
        <v>20190312154259351</v>
      </c>
      <c r="B2240" t="str">
        <f>"1552376579340016"</f>
        <v>1552376579340016</v>
      </c>
      <c r="C2240" t="s">
        <v>40</v>
      </c>
      <c r="D2240">
        <v>4.753069</v>
      </c>
      <c r="E2240">
        <v>0.55337239999999999</v>
      </c>
      <c r="F2240" t="s">
        <v>41</v>
      </c>
      <c r="G2240">
        <v>-390.83319999999998</v>
      </c>
      <c r="H2240">
        <v>0.89188289999999903</v>
      </c>
      <c r="I2240">
        <v>283.29039999999998</v>
      </c>
      <c r="J2240">
        <v>-390.2183</v>
      </c>
      <c r="K2240">
        <v>1.110358</v>
      </c>
      <c r="L2240">
        <v>283.15879999999999</v>
      </c>
      <c r="M2240">
        <v>-0.99988390000000005</v>
      </c>
      <c r="N2240">
        <v>0</v>
      </c>
      <c r="O2240">
        <v>5.545365E-3</v>
      </c>
      <c r="P2240">
        <v>-0.99941720000000001</v>
      </c>
      <c r="Q2240">
        <v>-2.2842919999999998E-3</v>
      </c>
      <c r="R2240">
        <v>3.405557E-2</v>
      </c>
      <c r="S2240">
        <v>-2.9826350000000001</v>
      </c>
      <c r="T2240">
        <v>-0.82228330000000005</v>
      </c>
      <c r="U2240">
        <v>0.49850460000000002</v>
      </c>
      <c r="V2240">
        <v>2.851768E-2</v>
      </c>
      <c r="W2240">
        <v>1.1890909999999999E-2</v>
      </c>
      <c r="X2240">
        <v>0.99952260000000004</v>
      </c>
      <c r="Y2240">
        <v>0.15398770000000001</v>
      </c>
      <c r="Z2240">
        <v>1.921082E-2</v>
      </c>
      <c r="AA2240">
        <v>0.98788600000000004</v>
      </c>
      <c r="AB2240">
        <v>29</v>
      </c>
      <c r="AC2240">
        <v>-0.61489999999997702</v>
      </c>
      <c r="AD2240">
        <v>-0.21847510000000001</v>
      </c>
      <c r="AE2240">
        <v>0.131599999999991</v>
      </c>
      <c r="AF2240">
        <v>0.114380833288402</v>
      </c>
      <c r="AG2240">
        <v>-0.21847510000000001</v>
      </c>
      <c r="AH2240">
        <v>0.54931264605174002</v>
      </c>
      <c r="AI2240">
        <v>111.274589979205</v>
      </c>
      <c r="AJ2240">
        <v>78.237639292757507</v>
      </c>
      <c r="AK2240">
        <v>0.60212849746223096</v>
      </c>
      <c r="AL2240">
        <v>89.318685013333607</v>
      </c>
      <c r="AM2240">
        <v>88.365720235167004</v>
      </c>
      <c r="AN2240">
        <v>1.0000000398619799</v>
      </c>
    </row>
    <row r="2241" spans="1:40" x14ac:dyDescent="0.25">
      <c r="A2241" t="str">
        <f>"20190312154259363"</f>
        <v>20190312154259363</v>
      </c>
      <c r="B2241" t="str">
        <f>"1552376579359536"</f>
        <v>1552376579359536</v>
      </c>
      <c r="C2241" t="s">
        <v>40</v>
      </c>
      <c r="D2241">
        <v>4.7664099999999996</v>
      </c>
      <c r="E2241">
        <v>0.55344930000000003</v>
      </c>
      <c r="F2241" t="s">
        <v>41</v>
      </c>
      <c r="G2241">
        <v>-391.08519999999999</v>
      </c>
      <c r="H2241">
        <v>0.87096949999999995</v>
      </c>
      <c r="I2241">
        <v>283.30399999999997</v>
      </c>
      <c r="J2241">
        <v>-390.37970000000001</v>
      </c>
      <c r="K2241">
        <v>1.110357</v>
      </c>
      <c r="L2241">
        <v>283.15989999999999</v>
      </c>
      <c r="M2241">
        <v>-0.99988330000000003</v>
      </c>
      <c r="N2241">
        <v>0</v>
      </c>
      <c r="O2241">
        <v>5.6642139999999999E-3</v>
      </c>
      <c r="P2241">
        <v>-0.99941849999999999</v>
      </c>
      <c r="Q2241">
        <v>-2.0362050000000001E-3</v>
      </c>
      <c r="R2241">
        <v>3.4040090000000002E-2</v>
      </c>
      <c r="S2241">
        <v>-2.98291</v>
      </c>
      <c r="T2241">
        <v>-0.82377540000000005</v>
      </c>
      <c r="U2241">
        <v>0.4980774</v>
      </c>
      <c r="V2241">
        <v>2.8383519999999999E-2</v>
      </c>
      <c r="W2241">
        <v>1.2137419999999999E-2</v>
      </c>
      <c r="X2241">
        <v>0.99952339999999995</v>
      </c>
      <c r="Y2241">
        <v>0.15371379999999901</v>
      </c>
      <c r="Z2241">
        <v>1.917408E-2</v>
      </c>
      <c r="AA2241">
        <v>0.98792930000000001</v>
      </c>
      <c r="AB2241">
        <v>29</v>
      </c>
      <c r="AC2241">
        <v>-0.70549999999997204</v>
      </c>
      <c r="AD2241">
        <v>-0.2393875</v>
      </c>
      <c r="AE2241">
        <v>0.144100000000037</v>
      </c>
      <c r="AF2241">
        <v>0.126157676370308</v>
      </c>
      <c r="AG2241">
        <v>-0.2393875</v>
      </c>
      <c r="AH2241">
        <v>0.63601029515411101</v>
      </c>
      <c r="AI2241">
        <v>110.263956789581</v>
      </c>
      <c r="AJ2241">
        <v>78.780561905090295</v>
      </c>
      <c r="AK2241">
        <v>0.69118103996378899</v>
      </c>
      <c r="AL2241">
        <v>89.304559973074305</v>
      </c>
      <c r="AM2241">
        <v>88.373405783709998</v>
      </c>
      <c r="AN2241">
        <v>0.99999998415970304</v>
      </c>
    </row>
    <row r="2242" spans="1:40" x14ac:dyDescent="0.25">
      <c r="A2242" t="str">
        <f>"20190312154259381"</f>
        <v>20190312154259381</v>
      </c>
      <c r="B2242" t="str">
        <f>"1552376579369297"</f>
        <v>1552376579369297</v>
      </c>
      <c r="C2242" t="s">
        <v>40</v>
      </c>
      <c r="D2242">
        <v>4.7846979999999997</v>
      </c>
      <c r="E2242">
        <v>0.55347869999999999</v>
      </c>
      <c r="F2242" t="s">
        <v>41</v>
      </c>
      <c r="G2242">
        <v>-391.10129999999998</v>
      </c>
      <c r="H2242">
        <v>0.91089319999999896</v>
      </c>
      <c r="I2242">
        <v>283.28089999999997</v>
      </c>
      <c r="J2242">
        <v>-390.60489999999999</v>
      </c>
      <c r="K2242">
        <v>1.1103620000000001</v>
      </c>
      <c r="L2242">
        <v>283.16129999999998</v>
      </c>
      <c r="M2242">
        <v>-0.99988239999999995</v>
      </c>
      <c r="N2242">
        <v>0</v>
      </c>
      <c r="O2242">
        <v>5.8299750000000003E-3</v>
      </c>
      <c r="P2242">
        <v>-0.99941639999999998</v>
      </c>
      <c r="Q2242">
        <v>-2.2801330000000002E-3</v>
      </c>
      <c r="R2242">
        <v>3.4084110000000001E-2</v>
      </c>
      <c r="S2242">
        <v>-2.9830930000000002</v>
      </c>
      <c r="T2242">
        <v>-0.82452320000000001</v>
      </c>
      <c r="U2242">
        <v>0.49868770000000001</v>
      </c>
      <c r="V2242">
        <v>2.8261769999999999E-2</v>
      </c>
      <c r="W2242">
        <v>1.189139E-2</v>
      </c>
      <c r="X2242">
        <v>0.99952980000000002</v>
      </c>
      <c r="Y2242">
        <v>0.1537335</v>
      </c>
      <c r="Z2242">
        <v>1.914743E-2</v>
      </c>
      <c r="AA2242">
        <v>0.98792679999999999</v>
      </c>
      <c r="AB2242">
        <v>29</v>
      </c>
      <c r="AC2242">
        <v>-0.49639999999999401</v>
      </c>
      <c r="AD2242">
        <v>-0.1994688</v>
      </c>
      <c r="AE2242">
        <v>0.11959999999999101</v>
      </c>
      <c r="AF2242">
        <v>0.101251740421389</v>
      </c>
      <c r="AG2242">
        <v>-0.1994688</v>
      </c>
      <c r="AH2242">
        <v>0.43127275514375002</v>
      </c>
      <c r="AI2242">
        <v>114.240570615449</v>
      </c>
      <c r="AJ2242">
        <v>76.787706669410795</v>
      </c>
      <c r="AK2242">
        <v>0.48583526677370897</v>
      </c>
      <c r="AL2242">
        <v>89.318657466545105</v>
      </c>
      <c r="AM2242">
        <v>88.3803896367411</v>
      </c>
      <c r="AN2242">
        <v>0.99999997694385201</v>
      </c>
    </row>
    <row r="2243" spans="1:40" x14ac:dyDescent="0.25">
      <c r="A2243" t="str">
        <f>"20190312154259403"</f>
        <v>20190312154259403</v>
      </c>
      <c r="B2243" t="str">
        <f>"1552376579399522"</f>
        <v>1552376579399522</v>
      </c>
      <c r="C2243" t="s">
        <v>40</v>
      </c>
      <c r="D2243">
        <v>4.808243</v>
      </c>
      <c r="E2243">
        <v>0.55346909999999905</v>
      </c>
      <c r="F2243" t="s">
        <v>41</v>
      </c>
      <c r="G2243">
        <v>-391.3578</v>
      </c>
      <c r="H2243">
        <v>0.90192169999999905</v>
      </c>
      <c r="I2243">
        <v>283.28739999999999</v>
      </c>
      <c r="J2243">
        <v>-390.88850000000002</v>
      </c>
      <c r="K2243">
        <v>1.110365</v>
      </c>
      <c r="L2243">
        <v>283.16320000000002</v>
      </c>
      <c r="M2243">
        <v>-0.99988109999999997</v>
      </c>
      <c r="N2243">
        <v>0</v>
      </c>
      <c r="O2243">
        <v>6.0385889999999996E-3</v>
      </c>
      <c r="P2243">
        <v>-0.99940320000000005</v>
      </c>
      <c r="Q2243">
        <v>-2.4900600000000001E-3</v>
      </c>
      <c r="R2243">
        <v>3.4453820000000003E-2</v>
      </c>
      <c r="S2243">
        <v>-2.9828190000000001</v>
      </c>
      <c r="T2243">
        <v>-0.8257641</v>
      </c>
      <c r="U2243">
        <v>0.49899290000000002</v>
      </c>
      <c r="V2243">
        <v>2.8422960000000001E-2</v>
      </c>
      <c r="W2243">
        <v>1.1678259999999999E-2</v>
      </c>
      <c r="X2243">
        <v>0.99952779999999997</v>
      </c>
      <c r="Y2243">
        <v>0.1536351</v>
      </c>
      <c r="Z2243">
        <v>1.9107160000000002E-2</v>
      </c>
      <c r="AA2243">
        <v>0.98794289999999996</v>
      </c>
      <c r="AB2243">
        <v>29</v>
      </c>
      <c r="AC2243">
        <v>-0.46929999999997501</v>
      </c>
      <c r="AD2243">
        <v>-0.2084433</v>
      </c>
      <c r="AE2243">
        <v>0.124199999999973</v>
      </c>
      <c r="AF2243">
        <v>0.102471527076754</v>
      </c>
      <c r="AG2243">
        <v>-0.2084433</v>
      </c>
      <c r="AH2243">
        <v>0.39687266327311699</v>
      </c>
      <c r="AI2243">
        <v>116.955019805757</v>
      </c>
      <c r="AJ2243">
        <v>75.522562788730198</v>
      </c>
      <c r="AK2243">
        <v>0.45984446721672001</v>
      </c>
      <c r="AL2243">
        <v>89.330869803044706</v>
      </c>
      <c r="AM2243">
        <v>88.371153951307505</v>
      </c>
      <c r="AN2243">
        <v>1.0000000346923099</v>
      </c>
    </row>
    <row r="2244" spans="1:40" x14ac:dyDescent="0.25">
      <c r="A2244" t="str">
        <f>"20190312154259424"</f>
        <v>20190312154259424</v>
      </c>
      <c r="B2244" t="str">
        <f>"1552376579420022"</f>
        <v>1552376579420022</v>
      </c>
      <c r="C2244" t="s">
        <v>40</v>
      </c>
      <c r="D2244">
        <v>4.8243150000000004</v>
      </c>
      <c r="E2244">
        <v>0.55352270000000003</v>
      </c>
      <c r="F2244" t="s">
        <v>41</v>
      </c>
      <c r="G2244">
        <v>-391.61989999999997</v>
      </c>
      <c r="H2244">
        <v>0.90755719999999995</v>
      </c>
      <c r="I2244">
        <v>283.28620000000001</v>
      </c>
      <c r="J2244">
        <v>-391.17430000000002</v>
      </c>
      <c r="K2244">
        <v>1.110363</v>
      </c>
      <c r="L2244">
        <v>283.1651</v>
      </c>
      <c r="M2244">
        <v>-0.99987999999999999</v>
      </c>
      <c r="N2244">
        <v>0</v>
      </c>
      <c r="O2244">
        <v>6.2488129999999998E-3</v>
      </c>
      <c r="P2244">
        <v>-0.99936899999999995</v>
      </c>
      <c r="Q2244">
        <v>-2.2204540000000002E-3</v>
      </c>
      <c r="R2244">
        <v>3.5450160000000001E-2</v>
      </c>
      <c r="S2244">
        <v>-2.982513</v>
      </c>
      <c r="T2244">
        <v>-0.82690249999999998</v>
      </c>
      <c r="U2244">
        <v>0.49990839999999998</v>
      </c>
      <c r="V2244">
        <v>2.920938E-2</v>
      </c>
      <c r="W2244">
        <v>1.194479E-2</v>
      </c>
      <c r="X2244">
        <v>0.99950190000000005</v>
      </c>
      <c r="Y2244">
        <v>0.153728</v>
      </c>
      <c r="Z2244">
        <v>1.9089709999999999E-2</v>
      </c>
      <c r="AA2244">
        <v>0.98792880000000005</v>
      </c>
      <c r="AB2244">
        <v>29</v>
      </c>
      <c r="AC2244">
        <v>-0.44559999999995598</v>
      </c>
      <c r="AD2244">
        <v>-0.20280579999999901</v>
      </c>
      <c r="AE2244">
        <v>0.121100000000012</v>
      </c>
      <c r="AF2244">
        <v>9.9181213005605395E-2</v>
      </c>
      <c r="AG2244">
        <v>-0.20280579999999901</v>
      </c>
      <c r="AH2244">
        <v>0.37417181402475502</v>
      </c>
      <c r="AI2244">
        <v>117.65090940477999</v>
      </c>
      <c r="AJ2244">
        <v>75.154098403443896</v>
      </c>
      <c r="AK2244">
        <v>0.43700303424287501</v>
      </c>
      <c r="AL2244">
        <v>89.315597640878195</v>
      </c>
      <c r="AM2244">
        <v>88.326068206637601</v>
      </c>
      <c r="AN2244">
        <v>0.99999995699586797</v>
      </c>
    </row>
    <row r="2245" spans="1:40" x14ac:dyDescent="0.25">
      <c r="A2245" t="str">
        <f>"20190312154259447"</f>
        <v>20190312154259447</v>
      </c>
      <c r="B2245" t="str">
        <f>"1552376579439560"</f>
        <v>1552376579439560</v>
      </c>
      <c r="C2245" t="s">
        <v>40</v>
      </c>
      <c r="D2245">
        <v>4.8463469999999997</v>
      </c>
      <c r="E2245">
        <v>0.55361419999999995</v>
      </c>
      <c r="F2245" t="s">
        <v>41</v>
      </c>
      <c r="G2245">
        <v>-391.88220000000001</v>
      </c>
      <c r="H2245">
        <v>0.91415630000000003</v>
      </c>
      <c r="I2245">
        <v>283.28469999999999</v>
      </c>
      <c r="J2245">
        <v>-391.46469999999999</v>
      </c>
      <c r="K2245">
        <v>1.1103689999999999</v>
      </c>
      <c r="L2245">
        <v>283.16719999999998</v>
      </c>
      <c r="M2245">
        <v>-0.99987870000000001</v>
      </c>
      <c r="N2245">
        <v>0</v>
      </c>
      <c r="O2245">
        <v>6.4625539999999997E-3</v>
      </c>
      <c r="P2245">
        <v>-0.99934610000000001</v>
      </c>
      <c r="Q2245">
        <v>-2.0601489999999998E-3</v>
      </c>
      <c r="R2245">
        <v>3.6101769999999998E-2</v>
      </c>
      <c r="S2245">
        <v>-2.9822389999999999</v>
      </c>
      <c r="T2245">
        <v>-0.82667060000000003</v>
      </c>
      <c r="U2245">
        <v>0.50314329999999996</v>
      </c>
      <c r="V2245">
        <v>2.9647420000000001E-2</v>
      </c>
      <c r="W2245">
        <v>1.210166E-2</v>
      </c>
      <c r="X2245">
        <v>0.99948720000000002</v>
      </c>
      <c r="Y2245">
        <v>0.15455459999999999</v>
      </c>
      <c r="Z2245">
        <v>1.9138550000000001E-2</v>
      </c>
      <c r="AA2245">
        <v>0.98779890000000004</v>
      </c>
      <c r="AB2245">
        <v>29</v>
      </c>
      <c r="AC2245">
        <v>-0.41750000000001802</v>
      </c>
      <c r="AD2245">
        <v>-0.19621269999999999</v>
      </c>
      <c r="AE2245">
        <v>0.117500000000006</v>
      </c>
      <c r="AF2245">
        <v>9.5295765407882899E-2</v>
      </c>
      <c r="AG2245">
        <v>-0.19621269999999999</v>
      </c>
      <c r="AH2245">
        <v>0.34719349580710601</v>
      </c>
      <c r="AI2245">
        <v>118.58965710371599</v>
      </c>
      <c r="AJ2245">
        <v>74.651743893619297</v>
      </c>
      <c r="AK2245">
        <v>0.41002930392439402</v>
      </c>
      <c r="AL2245">
        <v>89.306609060313505</v>
      </c>
      <c r="AM2245">
        <v>88.300954631707299</v>
      </c>
      <c r="AN2245">
        <v>1.00000004132562</v>
      </c>
    </row>
    <row r="2246" spans="1:40" x14ac:dyDescent="0.25">
      <c r="A2246" t="str">
        <f>"20190312154259469"</f>
        <v>20190312154259469</v>
      </c>
      <c r="B2246" t="str">
        <f>"1552376579460033"</f>
        <v>1552376579460033</v>
      </c>
      <c r="C2246" t="s">
        <v>40</v>
      </c>
      <c r="D2246">
        <v>4.8262239999999998</v>
      </c>
      <c r="E2246">
        <v>0.5537398</v>
      </c>
      <c r="F2246" t="s">
        <v>41</v>
      </c>
      <c r="G2246">
        <v>-392.14479999999998</v>
      </c>
      <c r="H2246">
        <v>0.92178649999999995</v>
      </c>
      <c r="I2246">
        <v>283.28300000000002</v>
      </c>
      <c r="J2246">
        <v>-391.75420000000003</v>
      </c>
      <c r="K2246">
        <v>1.1103730000000001</v>
      </c>
      <c r="L2246">
        <v>283.16930000000002</v>
      </c>
      <c r="M2246">
        <v>-0.99987729999999997</v>
      </c>
      <c r="N2246">
        <v>0</v>
      </c>
      <c r="O2246">
        <v>6.675818E-3</v>
      </c>
      <c r="P2246">
        <v>-0.99931760000000003</v>
      </c>
      <c r="Q2246">
        <v>-1.44133E-3</v>
      </c>
      <c r="R2246">
        <v>3.6914799999999998E-2</v>
      </c>
      <c r="S2246">
        <v>-2.981995</v>
      </c>
      <c r="T2246">
        <v>-0.82680390000000004</v>
      </c>
      <c r="U2246">
        <v>0.50595089999999998</v>
      </c>
      <c r="V2246">
        <v>3.0247840000000002E-2</v>
      </c>
      <c r="W2246">
        <v>1.2716730000000001E-2</v>
      </c>
      <c r="X2246">
        <v>0.9994615</v>
      </c>
      <c r="Y2246">
        <v>0.15524260000000001</v>
      </c>
      <c r="Z2246">
        <v>1.9176950000000002E-2</v>
      </c>
      <c r="AA2246">
        <v>0.98769019999999996</v>
      </c>
      <c r="AB2246">
        <v>29</v>
      </c>
      <c r="AC2246">
        <v>-0.39059999999994899</v>
      </c>
      <c r="AD2246">
        <v>-0.18858649999999999</v>
      </c>
      <c r="AE2246">
        <v>0.113699999999994</v>
      </c>
      <c r="AF2246">
        <v>9.1439425719359396E-2</v>
      </c>
      <c r="AG2246">
        <v>-0.18858649999999999</v>
      </c>
      <c r="AH2246">
        <v>0.32212598969072398</v>
      </c>
      <c r="AI2246">
        <v>119.38788243607701</v>
      </c>
      <c r="AJ2246">
        <v>74.152754379350895</v>
      </c>
      <c r="AK2246">
        <v>0.38430611469551801</v>
      </c>
      <c r="AL2246">
        <v>89.271365379399001</v>
      </c>
      <c r="AM2246">
        <v>88.266521777764694</v>
      </c>
      <c r="AN2246">
        <v>0.99999996851440298</v>
      </c>
    </row>
    <row r="2247" spans="1:40" x14ac:dyDescent="0.25">
      <c r="A2247" t="str">
        <f>"20190312154259491"</f>
        <v>20190312154259491</v>
      </c>
      <c r="B2247" t="str">
        <f>"1552376579479559"</f>
        <v>1552376579479559</v>
      </c>
      <c r="C2247" t="s">
        <v>40</v>
      </c>
      <c r="D2247">
        <v>4.8264370000000003</v>
      </c>
      <c r="E2247">
        <v>0.5538651</v>
      </c>
      <c r="F2247" t="s">
        <v>41</v>
      </c>
      <c r="G2247">
        <v>-392.63920000000002</v>
      </c>
      <c r="H2247">
        <v>0.86541509999999999</v>
      </c>
      <c r="I2247">
        <v>283.32080000000002</v>
      </c>
      <c r="J2247">
        <v>-392.0378</v>
      </c>
      <c r="K2247">
        <v>1.1103670000000001</v>
      </c>
      <c r="L2247">
        <v>283.17140000000001</v>
      </c>
      <c r="M2247">
        <v>-0.99987599999999999</v>
      </c>
      <c r="N2247">
        <v>0</v>
      </c>
      <c r="O2247">
        <v>6.885146E-3</v>
      </c>
      <c r="P2247">
        <v>-0.99930419999999998</v>
      </c>
      <c r="Q2247">
        <v>-9.1113149999999998E-4</v>
      </c>
      <c r="R2247">
        <v>3.7289049999999997E-2</v>
      </c>
      <c r="S2247">
        <v>-2.982056</v>
      </c>
      <c r="T2247">
        <v>-0.82539219999999902</v>
      </c>
      <c r="U2247">
        <v>0.50933839999999997</v>
      </c>
      <c r="V2247">
        <v>3.0412959999999999E-2</v>
      </c>
      <c r="W2247">
        <v>1.324407E-2</v>
      </c>
      <c r="X2247">
        <v>0.9994497</v>
      </c>
      <c r="Y2247">
        <v>0.15611829999999999</v>
      </c>
      <c r="Z2247">
        <v>1.920496E-2</v>
      </c>
      <c r="AA2247">
        <v>0.98755159999999997</v>
      </c>
      <c r="AB2247">
        <v>29</v>
      </c>
      <c r="AC2247">
        <v>-0.60140000000001204</v>
      </c>
      <c r="AD2247">
        <v>-0.2449519</v>
      </c>
      <c r="AE2247">
        <v>0.14940000000001399</v>
      </c>
      <c r="AF2247">
        <v>0.12562591621359401</v>
      </c>
      <c r="AG2247">
        <v>-0.2449519</v>
      </c>
      <c r="AH2247">
        <v>0.52100586668165505</v>
      </c>
      <c r="AI2247">
        <v>114.562918545117</v>
      </c>
      <c r="AJ2247">
        <v>76.443503821389399</v>
      </c>
      <c r="AK2247">
        <v>0.589262604663505</v>
      </c>
      <c r="AL2247">
        <v>89.241148521265202</v>
      </c>
      <c r="AM2247">
        <v>88.257044145331605</v>
      </c>
      <c r="AN2247">
        <v>1.0000000281781001</v>
      </c>
    </row>
    <row r="2248" spans="1:40" x14ac:dyDescent="0.25">
      <c r="A2248" t="str">
        <f>"20190312154259514"</f>
        <v>20190312154259514</v>
      </c>
      <c r="B2248" t="str">
        <f>"1552376579509811"</f>
        <v>1552376579509811</v>
      </c>
      <c r="C2248" t="s">
        <v>40</v>
      </c>
      <c r="D2248">
        <v>4.8176290000000002</v>
      </c>
      <c r="E2248">
        <v>0.55390530000000004</v>
      </c>
      <c r="F2248" t="s">
        <v>41</v>
      </c>
      <c r="G2248">
        <v>-392.90010000000001</v>
      </c>
      <c r="H2248">
        <v>0.87181810000000004</v>
      </c>
      <c r="I2248">
        <v>283.31950000000001</v>
      </c>
      <c r="J2248">
        <v>-392.32760000000002</v>
      </c>
      <c r="K2248">
        <v>1.1103730000000001</v>
      </c>
      <c r="L2248">
        <v>283.17360000000002</v>
      </c>
      <c r="M2248">
        <v>-0.99987440000000005</v>
      </c>
      <c r="N2248">
        <v>0</v>
      </c>
      <c r="O2248">
        <v>7.0986549999999997E-3</v>
      </c>
      <c r="P2248">
        <v>-0.99928709999999998</v>
      </c>
      <c r="Q2248">
        <v>-9.5467640000000003E-4</v>
      </c>
      <c r="R2248">
        <v>3.7742119999999997E-2</v>
      </c>
      <c r="S2248">
        <v>-2.9822690000000001</v>
      </c>
      <c r="T2248">
        <v>-0.82500459999999998</v>
      </c>
      <c r="U2248">
        <v>0.51119999999999999</v>
      </c>
      <c r="V2248">
        <v>3.0652680000000002E-2</v>
      </c>
      <c r="W2248">
        <v>1.3197820000000001E-2</v>
      </c>
      <c r="X2248">
        <v>0.99944290000000002</v>
      </c>
      <c r="Y2248">
        <v>0.15649540000000001</v>
      </c>
      <c r="Z2248">
        <v>1.9187280000000001E-2</v>
      </c>
      <c r="AA2248">
        <v>0.98749229999999999</v>
      </c>
      <c r="AB2248">
        <v>29</v>
      </c>
      <c r="AC2248">
        <v>-0.57249999999999002</v>
      </c>
      <c r="AD2248">
        <v>-0.23855489999999999</v>
      </c>
      <c r="AE2248">
        <v>0.14589999999998299</v>
      </c>
      <c r="AF2248">
        <v>0.121949180157509</v>
      </c>
      <c r="AG2248">
        <v>-0.23855489999999999</v>
      </c>
      <c r="AH2248">
        <v>0.49312209440062399</v>
      </c>
      <c r="AI2248">
        <v>115.15555671806899</v>
      </c>
      <c r="AJ2248">
        <v>76.109438021943802</v>
      </c>
      <c r="AK2248">
        <v>0.56120356631186596</v>
      </c>
      <c r="AL2248">
        <v>89.243798615784797</v>
      </c>
      <c r="AM2248">
        <v>88.243302507647201</v>
      </c>
      <c r="AN2248">
        <v>0.99999993980216995</v>
      </c>
    </row>
    <row r="2249" spans="1:40" x14ac:dyDescent="0.25">
      <c r="A2249" t="str">
        <f>"20190312154259537"</f>
        <v>20190312154259537</v>
      </c>
      <c r="B2249" t="str">
        <f>"1552376579529330"</f>
        <v>1552376579529330</v>
      </c>
      <c r="C2249" t="s">
        <v>40</v>
      </c>
      <c r="D2249">
        <v>4.7709330000000003</v>
      </c>
      <c r="E2249">
        <v>0.55386069999999998</v>
      </c>
      <c r="F2249" t="s">
        <v>41</v>
      </c>
      <c r="G2249">
        <v>-393.16129999999998</v>
      </c>
      <c r="H2249">
        <v>0.87968359999999901</v>
      </c>
      <c r="I2249">
        <v>283.3177</v>
      </c>
      <c r="J2249">
        <v>-392.61950000000002</v>
      </c>
      <c r="K2249">
        <v>1.110376</v>
      </c>
      <c r="L2249">
        <v>283.17599999999999</v>
      </c>
      <c r="M2249">
        <v>-0.99987289999999995</v>
      </c>
      <c r="N2249">
        <v>0</v>
      </c>
      <c r="O2249">
        <v>7.3140100000000001E-3</v>
      </c>
      <c r="P2249">
        <v>-0.99929480000000004</v>
      </c>
      <c r="Q2249">
        <v>-7.7294369999999905E-4</v>
      </c>
      <c r="R2249">
        <v>3.7542939999999997E-2</v>
      </c>
      <c r="S2249">
        <v>-2.981995</v>
      </c>
      <c r="T2249">
        <v>-0.82514050000000005</v>
      </c>
      <c r="U2249">
        <v>0.5133972</v>
      </c>
      <c r="V2249">
        <v>3.0238359999999999E-2</v>
      </c>
      <c r="W2249">
        <v>1.3376620000000001E-2</v>
      </c>
      <c r="X2249">
        <v>0.99945320000000004</v>
      </c>
      <c r="Y2249">
        <v>0.15699260000000001</v>
      </c>
      <c r="Z2249">
        <v>1.9199859999999999E-2</v>
      </c>
      <c r="AA2249">
        <v>0.98741310000000004</v>
      </c>
      <c r="AB2249">
        <v>29</v>
      </c>
      <c r="AC2249">
        <v>-0.54179999999996598</v>
      </c>
      <c r="AD2249">
        <v>-0.23069239999999999</v>
      </c>
      <c r="AE2249">
        <v>0.14170000000001401</v>
      </c>
      <c r="AF2249">
        <v>0.117751856341612</v>
      </c>
      <c r="AG2249">
        <v>-0.23069239999999999</v>
      </c>
      <c r="AH2249">
        <v>0.464073687483401</v>
      </c>
      <c r="AI2249">
        <v>115.726359793364</v>
      </c>
      <c r="AJ2249">
        <v>75.762508860445195</v>
      </c>
      <c r="AK2249">
        <v>0.53145918987641605</v>
      </c>
      <c r="AL2249">
        <v>89.233553268157706</v>
      </c>
      <c r="AM2249">
        <v>88.267050354798599</v>
      </c>
      <c r="AN2249">
        <v>0.99999999568417697</v>
      </c>
    </row>
    <row r="2250" spans="1:40" x14ac:dyDescent="0.25">
      <c r="A2250" t="str">
        <f>"20190312154259559"</f>
        <v>20190312154259559</v>
      </c>
      <c r="B2250" t="str">
        <f>"1552376579549830"</f>
        <v>1552376579549830</v>
      </c>
      <c r="C2250" t="s">
        <v>40</v>
      </c>
      <c r="D2250">
        <v>4.7861520000000004</v>
      </c>
      <c r="E2250">
        <v>0.55381630000000004</v>
      </c>
      <c r="F2250" t="s">
        <v>41</v>
      </c>
      <c r="G2250">
        <v>-393.42239999999998</v>
      </c>
      <c r="H2250">
        <v>0.88827649999999903</v>
      </c>
      <c r="I2250">
        <v>283.3141</v>
      </c>
      <c r="J2250">
        <v>-392.91149999999999</v>
      </c>
      <c r="K2250">
        <v>1.110379</v>
      </c>
      <c r="L2250">
        <v>283.17829999999998</v>
      </c>
      <c r="M2250">
        <v>-0.99987139999999997</v>
      </c>
      <c r="N2250">
        <v>0</v>
      </c>
      <c r="O2250">
        <v>7.529305E-3</v>
      </c>
      <c r="P2250">
        <v>-0.99929559999999995</v>
      </c>
      <c r="Q2250">
        <v>-6.0409869999999998E-4</v>
      </c>
      <c r="R2250">
        <v>3.752602E-2</v>
      </c>
      <c r="S2250">
        <v>-2.9822690000000001</v>
      </c>
      <c r="T2250">
        <v>-0.82495459999999998</v>
      </c>
      <c r="U2250">
        <v>0.51229859999999905</v>
      </c>
      <c r="V2250">
        <v>3.000616E-2</v>
      </c>
      <c r="W2250">
        <v>1.3543019999999999E-2</v>
      </c>
      <c r="X2250">
        <v>0.99945799999999996</v>
      </c>
      <c r="Y2250">
        <v>0.15644249999999901</v>
      </c>
      <c r="Z2250">
        <v>1.9062369999999999E-2</v>
      </c>
      <c r="AA2250">
        <v>0.98750309999999997</v>
      </c>
      <c r="AB2250">
        <v>29</v>
      </c>
      <c r="AC2250">
        <v>-0.51089999999999203</v>
      </c>
      <c r="AD2250">
        <v>-0.22210250000000001</v>
      </c>
      <c r="AE2250">
        <v>0.13580000000001699</v>
      </c>
      <c r="AF2250">
        <v>0.11215226145337701</v>
      </c>
      <c r="AG2250">
        <v>-0.22210250000000001</v>
      </c>
      <c r="AH2250">
        <v>0.43510471761896102</v>
      </c>
      <c r="AI2250">
        <v>116.303232615494</v>
      </c>
      <c r="AJ2250">
        <v>75.546106006770003</v>
      </c>
      <c r="AK2250">
        <v>0.50122227160176402</v>
      </c>
      <c r="AL2250">
        <v>89.224018419799506</v>
      </c>
      <c r="AM2250">
        <v>88.280357886917201</v>
      </c>
      <c r="AN2250">
        <v>1.0000000383963299</v>
      </c>
    </row>
    <row r="2251" spans="1:40" x14ac:dyDescent="0.25">
      <c r="A2251" t="str">
        <f>"20190312154259582"</f>
        <v>20190312154259582</v>
      </c>
      <c r="B2251" t="str">
        <f>"1552376579569350"</f>
        <v>1552376579569350</v>
      </c>
      <c r="C2251" t="s">
        <v>40</v>
      </c>
      <c r="D2251">
        <v>4.7727849999999998</v>
      </c>
      <c r="E2251">
        <v>0.55377209999999999</v>
      </c>
      <c r="F2251" t="s">
        <v>41</v>
      </c>
      <c r="G2251">
        <v>-393.68329999999997</v>
      </c>
      <c r="H2251">
        <v>0.89710279999999998</v>
      </c>
      <c r="I2251">
        <v>283.31110000000001</v>
      </c>
      <c r="J2251">
        <v>-393.19499999999999</v>
      </c>
      <c r="K2251">
        <v>1.110374</v>
      </c>
      <c r="L2251">
        <v>283.1807</v>
      </c>
      <c r="M2251">
        <v>-0.99986989999999998</v>
      </c>
      <c r="N2251">
        <v>0</v>
      </c>
      <c r="O2251">
        <v>7.7385800000000001E-3</v>
      </c>
      <c r="P2251">
        <v>-0.99931000000000003</v>
      </c>
      <c r="Q2251">
        <v>-4.830398E-4</v>
      </c>
      <c r="R2251">
        <v>3.7140939999999997E-2</v>
      </c>
      <c r="S2251">
        <v>-2.9823909999999998</v>
      </c>
      <c r="T2251">
        <v>-0.82412479999999999</v>
      </c>
      <c r="U2251">
        <v>0.51205440000000002</v>
      </c>
      <c r="V2251">
        <v>2.9411710000000001E-2</v>
      </c>
      <c r="W2251">
        <v>1.366126E-2</v>
      </c>
      <c r="X2251">
        <v>0.99947399999999997</v>
      </c>
      <c r="Y2251">
        <v>0.15617899999999901</v>
      </c>
      <c r="Z2251">
        <v>1.89514E-2</v>
      </c>
      <c r="AA2251">
        <v>0.98754690000000001</v>
      </c>
      <c r="AB2251">
        <v>29</v>
      </c>
      <c r="AC2251">
        <v>-0.48829999999998103</v>
      </c>
      <c r="AD2251">
        <v>-0.21327119999999999</v>
      </c>
      <c r="AE2251">
        <v>0.13040000000000801</v>
      </c>
      <c r="AF2251">
        <v>0.107478942449346</v>
      </c>
      <c r="AG2251">
        <v>-0.21327119999999999</v>
      </c>
      <c r="AH2251">
        <v>0.41533821149906702</v>
      </c>
      <c r="AI2251">
        <v>116.432582293333</v>
      </c>
      <c r="AJ2251">
        <v>75.491572764961305</v>
      </c>
      <c r="AK2251">
        <v>0.47910558100560002</v>
      </c>
      <c r="AL2251">
        <v>89.217243092763098</v>
      </c>
      <c r="AM2251">
        <v>88.314432716477199</v>
      </c>
      <c r="AN2251">
        <v>0.99999997769295501</v>
      </c>
    </row>
    <row r="2252" spans="1:40" x14ac:dyDescent="0.25">
      <c r="A2252" t="str">
        <f>"20190312154259604"</f>
        <v>20190312154259604</v>
      </c>
      <c r="B2252" t="str">
        <f>"1552376579599603"</f>
        <v>1552376579599603</v>
      </c>
      <c r="C2252" t="s">
        <v>40</v>
      </c>
      <c r="D2252">
        <v>4.7127150000000002</v>
      </c>
      <c r="E2252">
        <v>0.55370430000000004</v>
      </c>
      <c r="F2252" t="s">
        <v>41</v>
      </c>
      <c r="G2252">
        <v>-393.94310000000002</v>
      </c>
      <c r="H2252">
        <v>0.90391560000000004</v>
      </c>
      <c r="I2252">
        <v>283.30900000000003</v>
      </c>
      <c r="J2252">
        <v>-393.48250000000002</v>
      </c>
      <c r="K2252">
        <v>1.110371</v>
      </c>
      <c r="L2252">
        <v>283.1832</v>
      </c>
      <c r="M2252">
        <v>-0.99986819999999998</v>
      </c>
      <c r="N2252">
        <v>0</v>
      </c>
      <c r="O2252">
        <v>7.9510139999999993E-3</v>
      </c>
      <c r="P2252">
        <v>-0.99930249999999998</v>
      </c>
      <c r="Q2252" s="1">
        <v>-3.4179540000000003E-5</v>
      </c>
      <c r="R2252">
        <v>3.7345429999999999E-2</v>
      </c>
      <c r="S2252">
        <v>-2.982666</v>
      </c>
      <c r="T2252">
        <v>-0.82327899999999998</v>
      </c>
      <c r="U2252">
        <v>0.51043700000000003</v>
      </c>
      <c r="V2252">
        <v>2.9404349999999999E-2</v>
      </c>
      <c r="W2252">
        <v>1.4107059999999999E-2</v>
      </c>
      <c r="X2252">
        <v>0.99946800000000002</v>
      </c>
      <c r="Y2252">
        <v>0.15547839999999999</v>
      </c>
      <c r="Z2252">
        <v>1.8780379999999999E-2</v>
      </c>
      <c r="AA2252">
        <v>0.98766080000000001</v>
      </c>
      <c r="AB2252">
        <v>29</v>
      </c>
      <c r="AC2252">
        <v>-0.46059999999999901</v>
      </c>
      <c r="AD2252">
        <v>-0.20645540000000001</v>
      </c>
      <c r="AE2252">
        <v>0.125800000000026</v>
      </c>
      <c r="AF2252">
        <v>0.102895580203593</v>
      </c>
      <c r="AG2252">
        <v>-0.20645540000000001</v>
      </c>
      <c r="AH2252">
        <v>0.38887911825809401</v>
      </c>
      <c r="AI2252">
        <v>117.16855183906701</v>
      </c>
      <c r="AJ2252">
        <v>75.179442142710002</v>
      </c>
      <c r="AK2252">
        <v>0.45214853890263501</v>
      </c>
      <c r="AL2252">
        <v>89.191698152043401</v>
      </c>
      <c r="AM2252">
        <v>88.314844159963201</v>
      </c>
      <c r="AN2252">
        <v>0.99999995398238195</v>
      </c>
    </row>
    <row r="2253" spans="1:40" x14ac:dyDescent="0.25">
      <c r="A2253" t="str">
        <f>"20190312154259626"</f>
        <v>20190312154259626</v>
      </c>
      <c r="B2253" t="str">
        <f>"1552376579620102"</f>
        <v>1552376579620102</v>
      </c>
      <c r="C2253" t="s">
        <v>40</v>
      </c>
      <c r="D2253">
        <v>4.7309359999999998</v>
      </c>
      <c r="E2253">
        <v>0.55362159999999905</v>
      </c>
      <c r="F2253" t="s">
        <v>41</v>
      </c>
      <c r="G2253">
        <v>-394.20299999999997</v>
      </c>
      <c r="H2253">
        <v>0.91174230000000001</v>
      </c>
      <c r="I2253">
        <v>283.30689999999998</v>
      </c>
      <c r="J2253">
        <v>-393.7724</v>
      </c>
      <c r="K2253">
        <v>1.1103730000000001</v>
      </c>
      <c r="L2253">
        <v>283.1857</v>
      </c>
      <c r="M2253">
        <v>-0.99986649999999999</v>
      </c>
      <c r="N2253">
        <v>0</v>
      </c>
      <c r="O2253">
        <v>8.1652349999999999E-3</v>
      </c>
      <c r="P2253">
        <v>-0.99928870000000003</v>
      </c>
      <c r="Q2253">
        <v>-2.278909E-4</v>
      </c>
      <c r="R2253">
        <v>3.7710359999999998E-2</v>
      </c>
      <c r="S2253">
        <v>-2.9830019999999999</v>
      </c>
      <c r="T2253">
        <v>-0.82225079999999995</v>
      </c>
      <c r="U2253">
        <v>0.51037600000000005</v>
      </c>
      <c r="V2253">
        <v>2.9555020000000001E-2</v>
      </c>
      <c r="W2253">
        <v>1.391015E-2</v>
      </c>
      <c r="X2253">
        <v>0.99946639999999998</v>
      </c>
      <c r="Y2253">
        <v>0.15525890000000001</v>
      </c>
      <c r="Z2253">
        <v>1.866872E-2</v>
      </c>
      <c r="AA2253">
        <v>0.98769739999999995</v>
      </c>
      <c r="AB2253">
        <v>29</v>
      </c>
      <c r="AC2253">
        <v>-0.43060000000002602</v>
      </c>
      <c r="AD2253">
        <v>-0.19863069999999899</v>
      </c>
      <c r="AE2253">
        <v>0.121199999999987</v>
      </c>
      <c r="AF2253">
        <v>9.8298489843819295E-2</v>
      </c>
      <c r="AG2253">
        <v>-0.19863069999999899</v>
      </c>
      <c r="AH2253">
        <v>0.36049737245929397</v>
      </c>
      <c r="AI2253">
        <v>117.994352147698</v>
      </c>
      <c r="AJ2253">
        <v>74.747688401931498</v>
      </c>
      <c r="AK2253">
        <v>0.423172664096017</v>
      </c>
      <c r="AL2253">
        <v>89.202981438745695</v>
      </c>
      <c r="AM2253">
        <v>88.306211607651903</v>
      </c>
      <c r="AN2253">
        <v>1.0000000381045899</v>
      </c>
    </row>
    <row r="2254" spans="1:40" x14ac:dyDescent="0.25">
      <c r="A2254" t="str">
        <f>"20190312154259648"</f>
        <v>20190312154259648</v>
      </c>
      <c r="B2254" t="str">
        <f>"1552376579639618"</f>
        <v>1552376579639618</v>
      </c>
      <c r="C2254" t="s">
        <v>40</v>
      </c>
      <c r="D2254">
        <v>4.6779479999999998</v>
      </c>
      <c r="E2254">
        <v>0.5536065</v>
      </c>
      <c r="F2254" t="s">
        <v>41</v>
      </c>
      <c r="G2254">
        <v>-394.46300000000002</v>
      </c>
      <c r="H2254">
        <v>0.91990729999999998</v>
      </c>
      <c r="I2254">
        <v>283.30419999999998</v>
      </c>
      <c r="J2254">
        <v>-394.05410000000001</v>
      </c>
      <c r="K2254">
        <v>1.110376</v>
      </c>
      <c r="L2254">
        <v>283.18819999999999</v>
      </c>
      <c r="M2254">
        <v>-0.9998648</v>
      </c>
      <c r="N2254">
        <v>0</v>
      </c>
      <c r="O2254">
        <v>8.3732589999999992E-3</v>
      </c>
      <c r="P2254">
        <v>-0.99928050000000002</v>
      </c>
      <c r="Q2254">
        <v>-4.8678000000000003E-4</v>
      </c>
      <c r="R2254">
        <v>3.7927929999999999E-2</v>
      </c>
      <c r="S2254">
        <v>-2.9826350000000001</v>
      </c>
      <c r="T2254">
        <v>-0.82264380000000004</v>
      </c>
      <c r="U2254">
        <v>0.51095579999999996</v>
      </c>
      <c r="V2254">
        <v>2.9564590000000002E-2</v>
      </c>
      <c r="W2254">
        <v>1.3648860000000001E-2</v>
      </c>
      <c r="X2254">
        <v>0.99946970000000002</v>
      </c>
      <c r="Y2254">
        <v>0.1552617</v>
      </c>
      <c r="Z2254">
        <v>1.862368E-2</v>
      </c>
      <c r="AA2254">
        <v>0.98769779999999996</v>
      </c>
      <c r="AB2254">
        <v>29</v>
      </c>
      <c r="AC2254">
        <v>-0.40890000000001597</v>
      </c>
      <c r="AD2254">
        <v>-0.19046869999999999</v>
      </c>
      <c r="AE2254">
        <v>0.115999999999985</v>
      </c>
      <c r="AF2254">
        <v>9.3746112736215303E-2</v>
      </c>
      <c r="AG2254">
        <v>-0.19046869999999999</v>
      </c>
      <c r="AH2254">
        <v>0.341315659814033</v>
      </c>
      <c r="AI2254">
        <v>118.28533245863299</v>
      </c>
      <c r="AJ2254">
        <v>74.641806055273094</v>
      </c>
      <c r="AK2254">
        <v>0.40194905021299698</v>
      </c>
      <c r="AL2254">
        <v>89.217953658832798</v>
      </c>
      <c r="AM2254">
        <v>88.305669064779394</v>
      </c>
      <c r="AN2254">
        <v>1.0000000187896201</v>
      </c>
    </row>
    <row r="2255" spans="1:40" x14ac:dyDescent="0.25">
      <c r="A2255" t="str">
        <f>"20190312154259669"</f>
        <v>20190312154259669</v>
      </c>
      <c r="B2255" t="str">
        <f>"1552376579660115"</f>
        <v>1552376579660115</v>
      </c>
      <c r="C2255" t="s">
        <v>40</v>
      </c>
      <c r="D2255">
        <v>4.7357610000000001</v>
      </c>
      <c r="E2255">
        <v>0.55348549999999996</v>
      </c>
      <c r="F2255" t="s">
        <v>41</v>
      </c>
      <c r="G2255">
        <v>-394.95139999999998</v>
      </c>
      <c r="H2255">
        <v>0.8625197</v>
      </c>
      <c r="I2255">
        <v>283.34230000000002</v>
      </c>
      <c r="J2255">
        <v>-394.33249999999998</v>
      </c>
      <c r="K2255">
        <v>1.110376</v>
      </c>
      <c r="L2255">
        <v>283.19080000000002</v>
      </c>
      <c r="M2255">
        <v>-0.99986299999999995</v>
      </c>
      <c r="N2255">
        <v>0</v>
      </c>
      <c r="O2255">
        <v>8.5787250000000006E-3</v>
      </c>
      <c r="P2255">
        <v>-0.99925989999999998</v>
      </c>
      <c r="Q2255">
        <v>-3.327839E-4</v>
      </c>
      <c r="R2255">
        <v>3.8463549999999999E-2</v>
      </c>
      <c r="S2255">
        <v>-2.982361</v>
      </c>
      <c r="T2255">
        <v>-0.8237698</v>
      </c>
      <c r="U2255">
        <v>0.51135249999999999</v>
      </c>
      <c r="V2255">
        <v>2.9894899999999999E-2</v>
      </c>
      <c r="W2255">
        <v>1.3799530000000001E-2</v>
      </c>
      <c r="X2255">
        <v>0.99945779999999995</v>
      </c>
      <c r="Y2255">
        <v>0.15519630000000001</v>
      </c>
      <c r="Z2255">
        <v>1.8585589999999999E-2</v>
      </c>
      <c r="AA2255">
        <v>0.98770880000000005</v>
      </c>
      <c r="AB2255">
        <v>29</v>
      </c>
      <c r="AC2255">
        <v>-0.61889999999999601</v>
      </c>
      <c r="AD2255">
        <v>-0.2478563</v>
      </c>
      <c r="AE2255">
        <v>0.151499999999998</v>
      </c>
      <c r="AF2255">
        <v>0.12697166128812801</v>
      </c>
      <c r="AG2255">
        <v>-0.2478563</v>
      </c>
      <c r="AH2255">
        <v>0.53866789783431701</v>
      </c>
      <c r="AI2255">
        <v>114.12544709453699</v>
      </c>
      <c r="AJ2255">
        <v>76.736677049393805</v>
      </c>
      <c r="AK2255">
        <v>0.60639727273232302</v>
      </c>
      <c r="AL2255">
        <v>89.209320086211605</v>
      </c>
      <c r="AM2255">
        <v>88.286730007161296</v>
      </c>
      <c r="AN2255">
        <v>1.0000000130275299</v>
      </c>
    </row>
    <row r="2256" spans="1:40" x14ac:dyDescent="0.25">
      <c r="A2256" t="str">
        <f>"20190312154259692"</f>
        <v>20190312154259692</v>
      </c>
      <c r="B2256" t="str">
        <f>"1552376579679634"</f>
        <v>1552376579679634</v>
      </c>
      <c r="C2256" t="s">
        <v>40</v>
      </c>
      <c r="D2256">
        <v>4.7072880000000001</v>
      </c>
      <c r="E2256">
        <v>0.55339150000000004</v>
      </c>
      <c r="F2256" t="s">
        <v>41</v>
      </c>
      <c r="G2256">
        <v>-395.20929999999998</v>
      </c>
      <c r="H2256">
        <v>0.86831569999999902</v>
      </c>
      <c r="I2256">
        <v>283.3417</v>
      </c>
      <c r="J2256">
        <v>-394.61930000000001</v>
      </c>
      <c r="K2256">
        <v>1.110382</v>
      </c>
      <c r="L2256">
        <v>283.19349999999997</v>
      </c>
      <c r="M2256">
        <v>-0.99986140000000001</v>
      </c>
      <c r="N2256">
        <v>0</v>
      </c>
      <c r="O2256">
        <v>8.7903849999999995E-3</v>
      </c>
      <c r="P2256">
        <v>-0.99924650000000004</v>
      </c>
      <c r="Q2256">
        <v>4.2167309999999999E-4</v>
      </c>
      <c r="R2256">
        <v>3.8816379999999998E-2</v>
      </c>
      <c r="S2256">
        <v>-2.9822389999999999</v>
      </c>
      <c r="T2256">
        <v>-0.82332629999999996</v>
      </c>
      <c r="U2256">
        <v>0.51211549999999995</v>
      </c>
      <c r="V2256">
        <v>3.0036650000000002E-2</v>
      </c>
      <c r="W2256">
        <v>1.4550479999999999E-2</v>
      </c>
      <c r="X2256">
        <v>0.99944290000000002</v>
      </c>
      <c r="Y2256">
        <v>0.1552509</v>
      </c>
      <c r="Z2256">
        <v>1.8526669999999999E-2</v>
      </c>
      <c r="AA2256">
        <v>0.98770139999999995</v>
      </c>
      <c r="AB2256">
        <v>29</v>
      </c>
      <c r="AC2256">
        <v>-0.58999999999997499</v>
      </c>
      <c r="AD2256">
        <v>-0.24206630000000001</v>
      </c>
      <c r="AE2256">
        <v>0.148200000000031</v>
      </c>
      <c r="AF2256">
        <v>0.12345885825910299</v>
      </c>
      <c r="AG2256">
        <v>-0.24206630000000001</v>
      </c>
      <c r="AH2256">
        <v>0.51045433890124403</v>
      </c>
      <c r="AI2256">
        <v>114.74627947905999</v>
      </c>
      <c r="AJ2256">
        <v>76.403503878535901</v>
      </c>
      <c r="AK2256">
        <v>0.57827486144690499</v>
      </c>
      <c r="AL2256">
        <v>89.166289497298806</v>
      </c>
      <c r="AM2256">
        <v>88.278585575073294</v>
      </c>
      <c r="AN2256">
        <v>1.0000000135859299</v>
      </c>
    </row>
    <row r="2257" spans="1:40" x14ac:dyDescent="0.25">
      <c r="A2257" t="str">
        <f>"20190312154259715"</f>
        <v>20190312154259715</v>
      </c>
      <c r="B2257" t="str">
        <f>"1552376579709894"</f>
        <v>1552376579709894</v>
      </c>
      <c r="C2257" t="s">
        <v>40</v>
      </c>
      <c r="D2257">
        <v>4.6647480000000003</v>
      </c>
      <c r="E2257">
        <v>0.55324700000000004</v>
      </c>
      <c r="F2257" t="s">
        <v>41</v>
      </c>
      <c r="G2257">
        <v>-395.46789999999999</v>
      </c>
      <c r="H2257">
        <v>0.87676019999999899</v>
      </c>
      <c r="I2257">
        <v>283.33920000000001</v>
      </c>
      <c r="J2257">
        <v>-394.91770000000002</v>
      </c>
      <c r="K2257">
        <v>1.110385</v>
      </c>
      <c r="L2257">
        <v>283.19639999999998</v>
      </c>
      <c r="M2257">
        <v>-0.99985950000000001</v>
      </c>
      <c r="N2257">
        <v>0</v>
      </c>
      <c r="O2257">
        <v>9.0107469999999995E-3</v>
      </c>
      <c r="P2257">
        <v>-0.99923280000000003</v>
      </c>
      <c r="Q2257">
        <v>7.5992009999999903E-4</v>
      </c>
      <c r="R2257">
        <v>3.9157629999999999E-2</v>
      </c>
      <c r="S2257">
        <v>-2.9827270000000001</v>
      </c>
      <c r="T2257">
        <v>-0.821115699999999</v>
      </c>
      <c r="U2257">
        <v>0.51220699999999997</v>
      </c>
      <c r="V2257">
        <v>3.0157699999999999E-2</v>
      </c>
      <c r="W2257">
        <v>1.488566E-2</v>
      </c>
      <c r="X2257">
        <v>0.9994343</v>
      </c>
      <c r="Y2257">
        <v>0.15507979999999999</v>
      </c>
      <c r="Z2257">
        <v>1.8393670000000001E-2</v>
      </c>
      <c r="AA2257">
        <v>0.98773069999999996</v>
      </c>
      <c r="AB2257">
        <v>29</v>
      </c>
      <c r="AC2257">
        <v>-0.55019999999996105</v>
      </c>
      <c r="AD2257">
        <v>-0.23362479999999999</v>
      </c>
      <c r="AE2257">
        <v>0.14280000000002199</v>
      </c>
      <c r="AF2257">
        <v>0.117917235522978</v>
      </c>
      <c r="AG2257">
        <v>-0.23362479999999999</v>
      </c>
      <c r="AH2257">
        <v>0.471772070668592</v>
      </c>
      <c r="AI2257">
        <v>115.660908351288</v>
      </c>
      <c r="AJ2257">
        <v>75.966703572434199</v>
      </c>
      <c r="AK2257">
        <v>0.53949412255496598</v>
      </c>
      <c r="AL2257">
        <v>89.147083001754893</v>
      </c>
      <c r="AM2257">
        <v>88.271637479185003</v>
      </c>
      <c r="AN2257">
        <v>0.99999999487970703</v>
      </c>
    </row>
    <row r="2258" spans="1:40" x14ac:dyDescent="0.25">
      <c r="A2258" t="str">
        <f>"20190312154259738"</f>
        <v>20190312154259738</v>
      </c>
      <c r="B2258" t="str">
        <f>"1552376579729414"</f>
        <v>1552376579729414</v>
      </c>
      <c r="C2258" t="s">
        <v>40</v>
      </c>
      <c r="D2258">
        <v>4.6337250000000001</v>
      </c>
      <c r="E2258">
        <v>0.55315019999999904</v>
      </c>
      <c r="F2258" t="s">
        <v>41</v>
      </c>
      <c r="G2258">
        <v>-395.72739999999999</v>
      </c>
      <c r="H2258">
        <v>0.88789549999999995</v>
      </c>
      <c r="I2258">
        <v>283.33589999999998</v>
      </c>
      <c r="J2258">
        <v>-395.1918</v>
      </c>
      <c r="K2258">
        <v>1.110387</v>
      </c>
      <c r="L2258">
        <v>283.19909999999999</v>
      </c>
      <c r="M2258">
        <v>-0.99985760000000001</v>
      </c>
      <c r="N2258">
        <v>0</v>
      </c>
      <c r="O2258">
        <v>9.213644E-3</v>
      </c>
      <c r="P2258">
        <v>-0.99922370000000005</v>
      </c>
      <c r="Q2258">
        <v>1.131782E-3</v>
      </c>
      <c r="R2258">
        <v>3.9381529999999998E-2</v>
      </c>
      <c r="S2258">
        <v>-2.9828800000000002</v>
      </c>
      <c r="T2258">
        <v>-0.81960140000000004</v>
      </c>
      <c r="U2258">
        <v>0.51217650000000003</v>
      </c>
      <c r="V2258">
        <v>3.0179149999999998E-2</v>
      </c>
      <c r="W2258">
        <v>1.525468E-2</v>
      </c>
      <c r="X2258">
        <v>0.99942810000000004</v>
      </c>
      <c r="Y2258">
        <v>0.1548948</v>
      </c>
      <c r="Z2258">
        <v>1.8280939999999999E-2</v>
      </c>
      <c r="AA2258">
        <v>0.98776180000000002</v>
      </c>
      <c r="AB2258">
        <v>29</v>
      </c>
      <c r="AC2258">
        <v>-0.53559999999998797</v>
      </c>
      <c r="AD2258">
        <v>-0.22249150000000001</v>
      </c>
      <c r="AE2258">
        <v>0.13679999999999301</v>
      </c>
      <c r="AF2258">
        <v>0.1134763525012</v>
      </c>
      <c r="AG2258">
        <v>-0.22249150000000001</v>
      </c>
      <c r="AH2258">
        <v>0.46199695508403499</v>
      </c>
      <c r="AI2258">
        <v>115.064805453182</v>
      </c>
      <c r="AJ2258">
        <v>76.200115043920206</v>
      </c>
      <c r="AK2258">
        <v>0.52518619237004605</v>
      </c>
      <c r="AL2258">
        <v>89.125937321979094</v>
      </c>
      <c r="AM2258">
        <v>88.270398185424895</v>
      </c>
      <c r="AN2258">
        <v>1.0000000067131101</v>
      </c>
    </row>
    <row r="2259" spans="1:40" x14ac:dyDescent="0.25">
      <c r="A2259" t="str">
        <f>"20190312154259759"</f>
        <v>20190312154259759</v>
      </c>
      <c r="B2259" t="str">
        <f>"1552376579749907"</f>
        <v>1552376579749907</v>
      </c>
      <c r="C2259" t="s">
        <v>40</v>
      </c>
      <c r="D2259">
        <v>4.8377369999999997</v>
      </c>
      <c r="E2259">
        <v>0.55319719999999994</v>
      </c>
      <c r="F2259" t="s">
        <v>41</v>
      </c>
      <c r="G2259">
        <v>-395.98410000000001</v>
      </c>
      <c r="H2259">
        <v>0.89312400000000003</v>
      </c>
      <c r="I2259">
        <v>283.33539999999999</v>
      </c>
      <c r="J2259">
        <v>-395.47269999999997</v>
      </c>
      <c r="K2259">
        <v>1.110393</v>
      </c>
      <c r="L2259">
        <v>283.20190000000002</v>
      </c>
      <c r="M2259">
        <v>-0.99985570000000001</v>
      </c>
      <c r="N2259">
        <v>0</v>
      </c>
      <c r="O2259">
        <v>9.4215489999999995E-3</v>
      </c>
      <c r="P2259">
        <v>-0.99921150000000003</v>
      </c>
      <c r="Q2259">
        <v>1.290083E-3</v>
      </c>
      <c r="R2259">
        <v>3.9682589999999997E-2</v>
      </c>
      <c r="S2259">
        <v>-2.983063</v>
      </c>
      <c r="T2259">
        <v>-0.81800079999999997</v>
      </c>
      <c r="U2259">
        <v>0.51232909999999998</v>
      </c>
      <c r="V2259">
        <v>3.02726E-2</v>
      </c>
      <c r="W2259">
        <v>1.540964E-2</v>
      </c>
      <c r="X2259">
        <v>0.9994229</v>
      </c>
      <c r="Y2259">
        <v>0.1547616</v>
      </c>
      <c r="Z2259">
        <v>1.8171960000000001E-2</v>
      </c>
      <c r="AA2259">
        <v>0.98778469999999996</v>
      </c>
      <c r="AB2259">
        <v>29</v>
      </c>
      <c r="AC2259">
        <v>-0.51140000000003705</v>
      </c>
      <c r="AD2259">
        <v>-0.21726899999999999</v>
      </c>
      <c r="AE2259">
        <v>0.133499999999969</v>
      </c>
      <c r="AF2259">
        <v>0.11007465010177001</v>
      </c>
      <c r="AG2259">
        <v>-0.21726899999999999</v>
      </c>
      <c r="AH2259">
        <v>0.43853086932895402</v>
      </c>
      <c r="AI2259">
        <v>115.666168198432</v>
      </c>
      <c r="AJ2259">
        <v>75.909425665496698</v>
      </c>
      <c r="AK2259">
        <v>0.50162891694003797</v>
      </c>
      <c r="AL2259">
        <v>89.1170577273502</v>
      </c>
      <c r="AM2259">
        <v>88.265036705130896</v>
      </c>
      <c r="AN2259">
        <v>1.0000000101800499</v>
      </c>
    </row>
    <row r="2260" spans="1:40" x14ac:dyDescent="0.25">
      <c r="A2260" t="str">
        <f>"20190312154259782"</f>
        <v>20190312154259782</v>
      </c>
      <c r="B2260" t="str">
        <f>"1552376579769430"</f>
        <v>1552376579769430</v>
      </c>
      <c r="C2260" t="s">
        <v>40</v>
      </c>
      <c r="D2260">
        <v>4.6656110000000002</v>
      </c>
      <c r="E2260">
        <v>0.5531334</v>
      </c>
      <c r="F2260" t="s">
        <v>41</v>
      </c>
      <c r="G2260">
        <v>-396.24099999999999</v>
      </c>
      <c r="H2260">
        <v>0.89964639999999996</v>
      </c>
      <c r="I2260">
        <v>283.33420000000001</v>
      </c>
      <c r="J2260">
        <v>-395.76220000000001</v>
      </c>
      <c r="K2260">
        <v>1.1103889999999901</v>
      </c>
      <c r="L2260">
        <v>283.20490000000001</v>
      </c>
      <c r="M2260">
        <v>-0.99985369999999996</v>
      </c>
      <c r="N2260">
        <v>0</v>
      </c>
      <c r="O2260">
        <v>9.6356519999999998E-3</v>
      </c>
      <c r="P2260">
        <v>-0.99922129999999998</v>
      </c>
      <c r="Q2260">
        <v>1.0032820000000001E-3</v>
      </c>
      <c r="R2260">
        <v>3.9445170000000002E-2</v>
      </c>
      <c r="S2260">
        <v>-2.983063</v>
      </c>
      <c r="T2260">
        <v>-0.81822539999999999</v>
      </c>
      <c r="U2260">
        <v>0.51287839999999996</v>
      </c>
      <c r="V2260">
        <v>2.982083E-2</v>
      </c>
      <c r="W2260">
        <v>1.512023E-2</v>
      </c>
      <c r="X2260">
        <v>0.99944089999999997</v>
      </c>
      <c r="Y2260">
        <v>0.15473310000000001</v>
      </c>
      <c r="Z2260">
        <v>1.8115450000000002E-2</v>
      </c>
      <c r="AA2260">
        <v>0.98779019999999995</v>
      </c>
      <c r="AB2260">
        <v>28</v>
      </c>
      <c r="AC2260">
        <v>-0.47879999999997802</v>
      </c>
      <c r="AD2260">
        <v>-0.210742599999999</v>
      </c>
      <c r="AE2260">
        <v>0.1293</v>
      </c>
      <c r="AF2260">
        <v>0.10561071158565399</v>
      </c>
      <c r="AG2260">
        <v>-0.210742599999999</v>
      </c>
      <c r="AH2260">
        <v>0.40660618555622802</v>
      </c>
      <c r="AI2260">
        <v>116.64068705497399</v>
      </c>
      <c r="AJ2260">
        <v>75.439893964481101</v>
      </c>
      <c r="AK2260">
        <v>0.46999431484750398</v>
      </c>
      <c r="AL2260">
        <v>89.133641629122906</v>
      </c>
      <c r="AM2260">
        <v>88.290943540069506</v>
      </c>
      <c r="AN2260">
        <v>1.00000000792497</v>
      </c>
    </row>
    <row r="2261" spans="1:40" x14ac:dyDescent="0.25">
      <c r="A2261" t="str">
        <f>"20190312154259805"</f>
        <v>20190312154259805</v>
      </c>
      <c r="B2261" t="str">
        <f>"1552376579789507"</f>
        <v>1552376579789507</v>
      </c>
      <c r="C2261" t="s">
        <v>40</v>
      </c>
      <c r="D2261">
        <v>4.7653460000000001</v>
      </c>
      <c r="E2261">
        <v>0.5530891</v>
      </c>
      <c r="F2261" t="s">
        <v>41</v>
      </c>
      <c r="G2261">
        <v>-396.49849999999998</v>
      </c>
      <c r="H2261">
        <v>0.9082403</v>
      </c>
      <c r="I2261">
        <v>283.33120000000002</v>
      </c>
      <c r="J2261">
        <v>-396.04829999999998</v>
      </c>
      <c r="K2261">
        <v>1.110392</v>
      </c>
      <c r="L2261">
        <v>283.2079</v>
      </c>
      <c r="M2261">
        <v>-0.99985159999999995</v>
      </c>
      <c r="N2261">
        <v>0</v>
      </c>
      <c r="O2261">
        <v>9.8473710000000006E-3</v>
      </c>
      <c r="P2261">
        <v>-0.99920949999999997</v>
      </c>
      <c r="Q2261">
        <v>1.1834949999999999E-3</v>
      </c>
      <c r="R2261">
        <v>3.9734360000000003E-2</v>
      </c>
      <c r="S2261">
        <v>-2.9829409999999998</v>
      </c>
      <c r="T2261">
        <v>-0.81880679999999995</v>
      </c>
      <c r="U2261">
        <v>0.51202389999999998</v>
      </c>
      <c r="V2261">
        <v>2.9898460000000002E-2</v>
      </c>
      <c r="W2261">
        <v>1.5297120000000001E-2</v>
      </c>
      <c r="X2261">
        <v>0.99943590000000004</v>
      </c>
      <c r="Y2261">
        <v>0.1542722</v>
      </c>
      <c r="Z2261">
        <v>1.8010660000000001E-2</v>
      </c>
      <c r="AA2261">
        <v>0.98786419999999997</v>
      </c>
      <c r="AB2261">
        <v>28</v>
      </c>
      <c r="AC2261">
        <v>-0.45019999999999499</v>
      </c>
      <c r="AD2261">
        <v>-0.20215169999999999</v>
      </c>
      <c r="AE2261">
        <v>0.123300000000028</v>
      </c>
      <c r="AF2261">
        <v>0.10008813388497501</v>
      </c>
      <c r="AG2261">
        <v>-0.20215169999999999</v>
      </c>
      <c r="AH2261">
        <v>0.38010196255811501</v>
      </c>
      <c r="AI2261">
        <v>117.21694491280201</v>
      </c>
      <c r="AJ2261">
        <v>75.247795502657794</v>
      </c>
      <c r="AK2261">
        <v>0.44199597995682899</v>
      </c>
      <c r="AL2261">
        <v>89.123505416118505</v>
      </c>
      <c r="AM2261">
        <v>88.286488582104198</v>
      </c>
      <c r="AN2261">
        <v>1.00000001899973</v>
      </c>
    </row>
    <row r="2262" spans="1:40" x14ac:dyDescent="0.25">
      <c r="A2262" t="str">
        <f>"20190312154259827"</f>
        <v>20190312154259827</v>
      </c>
      <c r="B2262" t="str">
        <f>"1552376579819761"</f>
        <v>1552376579819761</v>
      </c>
      <c r="C2262" t="s">
        <v>40</v>
      </c>
      <c r="D2262">
        <v>4.804608</v>
      </c>
      <c r="E2262">
        <v>0.55304030000000004</v>
      </c>
      <c r="F2262" t="s">
        <v>41</v>
      </c>
      <c r="G2262">
        <v>-396.75549999999998</v>
      </c>
      <c r="H2262">
        <v>0.91646170000000005</v>
      </c>
      <c r="I2262">
        <v>283.32960000000003</v>
      </c>
      <c r="J2262">
        <v>-396.33479999999997</v>
      </c>
      <c r="K2262">
        <v>1.1103940000000001</v>
      </c>
      <c r="L2262">
        <v>283.21089999999998</v>
      </c>
      <c r="M2262">
        <v>-0.99984969999999995</v>
      </c>
      <c r="N2262">
        <v>0</v>
      </c>
      <c r="O2262">
        <v>1.0059210000000001E-2</v>
      </c>
      <c r="P2262">
        <v>-0.99921369999999998</v>
      </c>
      <c r="Q2262">
        <v>1.3307410000000001E-3</v>
      </c>
      <c r="R2262">
        <v>3.9629959999999999E-2</v>
      </c>
      <c r="S2262">
        <v>-2.98291</v>
      </c>
      <c r="T2262">
        <v>-0.81789780000000001</v>
      </c>
      <c r="U2262">
        <v>0.51266480000000003</v>
      </c>
      <c r="V2262">
        <v>2.9582339999999999E-2</v>
      </c>
      <c r="W2262">
        <v>1.544158E-2</v>
      </c>
      <c r="X2262">
        <v>0.99944310000000003</v>
      </c>
      <c r="Y2262">
        <v>0.15428929999999999</v>
      </c>
      <c r="Z2262">
        <v>1.7936899999999999E-2</v>
      </c>
      <c r="AA2262">
        <v>0.98786289999999999</v>
      </c>
      <c r="AB2262">
        <v>28</v>
      </c>
      <c r="AC2262">
        <v>-0.42070000000001001</v>
      </c>
      <c r="AD2262">
        <v>-0.1939323</v>
      </c>
      <c r="AE2262">
        <v>0.118700000000046</v>
      </c>
      <c r="AF2262">
        <v>9.5637435756664099E-2</v>
      </c>
      <c r="AG2262">
        <v>-0.1939323</v>
      </c>
      <c r="AH2262">
        <v>0.35249216004745199</v>
      </c>
      <c r="AI2262">
        <v>117.96732948976501</v>
      </c>
      <c r="AJ2262">
        <v>74.820068327513496</v>
      </c>
      <c r="AK2262">
        <v>0.41352990097007303</v>
      </c>
      <c r="AL2262">
        <v>89.115227503203599</v>
      </c>
      <c r="AM2262">
        <v>88.304607320146303</v>
      </c>
      <c r="AN2262">
        <v>1.00000003368519</v>
      </c>
    </row>
    <row r="2263" spans="1:40" x14ac:dyDescent="0.25">
      <c r="A2263" t="str">
        <f>"20190312154259850"</f>
        <v>20190312154259850</v>
      </c>
      <c r="B2263" t="str">
        <f>"1552376579840257"</f>
        <v>1552376579840257</v>
      </c>
      <c r="C2263" t="s">
        <v>40</v>
      </c>
      <c r="D2263">
        <v>4.6406150000000004</v>
      </c>
      <c r="E2263">
        <v>0.52766049999999998</v>
      </c>
      <c r="F2263" t="s">
        <v>41</v>
      </c>
      <c r="G2263">
        <v>-397.01260000000002</v>
      </c>
      <c r="H2263">
        <v>0.924597</v>
      </c>
      <c r="I2263">
        <v>283.32769999999999</v>
      </c>
      <c r="J2263">
        <v>-396.60930000000002</v>
      </c>
      <c r="K2263">
        <v>1.1103940000000001</v>
      </c>
      <c r="L2263">
        <v>283.21390000000002</v>
      </c>
      <c r="M2263">
        <v>-0.9998475</v>
      </c>
      <c r="N2263">
        <v>0</v>
      </c>
      <c r="O2263">
        <v>1.0262520000000001E-2</v>
      </c>
      <c r="P2263">
        <v>-0.99919760000000002</v>
      </c>
      <c r="Q2263">
        <v>1.4381999999999999E-3</v>
      </c>
      <c r="R2263">
        <v>4.002932E-2</v>
      </c>
      <c r="S2263">
        <v>-2.9831539999999999</v>
      </c>
      <c r="T2263">
        <v>-0.81770299999999996</v>
      </c>
      <c r="U2263">
        <v>0.51205440000000002</v>
      </c>
      <c r="V2263">
        <v>2.9778720000000002E-2</v>
      </c>
      <c r="W2263">
        <v>1.554647E-2</v>
      </c>
      <c r="X2263">
        <v>0.99943559999999998</v>
      </c>
      <c r="Y2263">
        <v>0.15390290000000001</v>
      </c>
      <c r="Z2263">
        <v>1.7825710000000002E-2</v>
      </c>
      <c r="AA2263">
        <v>0.98792519999999995</v>
      </c>
      <c r="AB2263">
        <v>28</v>
      </c>
      <c r="AC2263">
        <v>-0.40330000000000099</v>
      </c>
      <c r="AD2263">
        <v>-0.18579699999999999</v>
      </c>
      <c r="AE2263">
        <v>0.113799999999969</v>
      </c>
      <c r="AF2263">
        <v>9.1639750544536699E-2</v>
      </c>
      <c r="AG2263">
        <v>-0.18579699999999999</v>
      </c>
      <c r="AH2263">
        <v>0.338000951673599</v>
      </c>
      <c r="AI2263">
        <v>117.94774387982</v>
      </c>
      <c r="AJ2263">
        <v>74.830483452848497</v>
      </c>
      <c r="AK2263">
        <v>0.39643790487429897</v>
      </c>
      <c r="AL2263">
        <v>89.109216990210896</v>
      </c>
      <c r="AM2263">
        <v>88.2933464258264</v>
      </c>
      <c r="AN2263">
        <v>0.99999999172082898</v>
      </c>
    </row>
    <row r="2264" spans="1:40" x14ac:dyDescent="0.25">
      <c r="A2264" t="str">
        <f>"20190312154259871"</f>
        <v>20190312154259871</v>
      </c>
      <c r="B2264" t="str">
        <f>"1552376579859777"</f>
        <v>1552376579859777</v>
      </c>
      <c r="C2264" t="s">
        <v>40</v>
      </c>
      <c r="D2264">
        <v>4.6984149999999998</v>
      </c>
      <c r="E2264">
        <v>0.48865069999999999</v>
      </c>
      <c r="F2264" t="s">
        <v>41</v>
      </c>
      <c r="G2264">
        <v>-397.5129</v>
      </c>
      <c r="H2264">
        <v>0.91407700000000003</v>
      </c>
      <c r="I2264">
        <v>283.30970000000002</v>
      </c>
      <c r="J2264">
        <v>-396.88839999999999</v>
      </c>
      <c r="K2264">
        <v>1.110393</v>
      </c>
      <c r="L2264">
        <v>283.21699999999998</v>
      </c>
      <c r="M2264">
        <v>-0.9998456</v>
      </c>
      <c r="N2264">
        <v>0</v>
      </c>
      <c r="O2264">
        <v>1.046882E-2</v>
      </c>
      <c r="P2264">
        <v>-0.99919100000000005</v>
      </c>
      <c r="Q2264">
        <v>1.1193030000000001E-3</v>
      </c>
      <c r="R2264">
        <v>4.0202740000000001E-2</v>
      </c>
      <c r="S2264">
        <v>-2.990631</v>
      </c>
      <c r="T2264">
        <v>-0.64972959999999902</v>
      </c>
      <c r="U2264">
        <v>0.31658940000000002</v>
      </c>
      <c r="V2264">
        <v>2.974566E-2</v>
      </c>
      <c r="W2264">
        <v>1.522417E-2</v>
      </c>
      <c r="X2264">
        <v>0.99944160000000004</v>
      </c>
      <c r="Y2264">
        <v>9.2952170000000001E-2</v>
      </c>
      <c r="Z2264">
        <v>7.7118669999999999E-3</v>
      </c>
      <c r="AA2264">
        <v>0.99564070000000005</v>
      </c>
      <c r="AB2264">
        <v>28</v>
      </c>
      <c r="AC2264">
        <v>-0.62450000000001105</v>
      </c>
      <c r="AD2264">
        <v>-0.19631599999999999</v>
      </c>
      <c r="AE2264">
        <v>9.2700000000036198E-2</v>
      </c>
      <c r="AF2264">
        <v>7.8560483980952001E-2</v>
      </c>
      <c r="AG2264">
        <v>-0.19631599999999999</v>
      </c>
      <c r="AH2264">
        <v>0.57029459628673096</v>
      </c>
      <c r="AI2264">
        <v>108.83018375879</v>
      </c>
      <c r="AJ2264">
        <v>82.156628846553303</v>
      </c>
      <c r="AK2264">
        <v>0.60823321847229606</v>
      </c>
      <c r="AL2264">
        <v>89.127685653258496</v>
      </c>
      <c r="AM2264">
        <v>88.295250243008695</v>
      </c>
      <c r="AN2264">
        <v>1.00000004572579</v>
      </c>
    </row>
    <row r="2265" spans="1:40" x14ac:dyDescent="0.25">
      <c r="A2265" t="str">
        <f>"20190312154259893"</f>
        <v>20190312154259893</v>
      </c>
      <c r="B2265" t="str">
        <f>"1552376579889597"</f>
        <v>1552376579889597</v>
      </c>
      <c r="C2265" t="s">
        <v>40</v>
      </c>
      <c r="D2265">
        <v>4.6338589999999904</v>
      </c>
      <c r="E2265">
        <v>0.47340349999999998</v>
      </c>
      <c r="F2265" t="s">
        <v>41</v>
      </c>
      <c r="G2265">
        <v>-397.81310000000002</v>
      </c>
      <c r="H2265">
        <v>1.0077119999999999</v>
      </c>
      <c r="I2265">
        <v>283.22289999999998</v>
      </c>
      <c r="J2265">
        <v>-397.16930000000002</v>
      </c>
      <c r="K2265">
        <v>1.1103959999999999</v>
      </c>
      <c r="L2265">
        <v>283.22019999999998</v>
      </c>
      <c r="M2265">
        <v>-0.99984340000000005</v>
      </c>
      <c r="N2265">
        <v>0</v>
      </c>
      <c r="O2265">
        <v>1.067708E-2</v>
      </c>
      <c r="P2265">
        <v>-0.99918379999999996</v>
      </c>
      <c r="Q2265">
        <v>9.7778810000000009E-4</v>
      </c>
      <c r="R2265">
        <v>4.0384370000000003E-2</v>
      </c>
      <c r="S2265">
        <v>-3.0020449999999999</v>
      </c>
      <c r="T2265">
        <v>-0.33350730000000001</v>
      </c>
      <c r="U2265">
        <v>1.7791749999999999E-2</v>
      </c>
      <c r="V2265">
        <v>2.971917E-2</v>
      </c>
      <c r="W2265">
        <v>1.507971E-2</v>
      </c>
      <c r="X2265">
        <v>0.99944449999999996</v>
      </c>
      <c r="Y2265">
        <v>-4.6575169999999999E-3</v>
      </c>
      <c r="Z2265">
        <v>-1.440511E-3</v>
      </c>
      <c r="AA2265">
        <v>0.99998810000000005</v>
      </c>
      <c r="AB2265">
        <v>28</v>
      </c>
      <c r="AC2265">
        <v>-0.64379999999999804</v>
      </c>
      <c r="AD2265">
        <v>-0.102683999999999</v>
      </c>
      <c r="AE2265">
        <v>2.7000000000043599E-3</v>
      </c>
      <c r="AF2265">
        <v>-4.0711769949910697E-3</v>
      </c>
      <c r="AG2265">
        <v>-0.102683999999999</v>
      </c>
      <c r="AH2265">
        <v>0.62782113359492897</v>
      </c>
      <c r="AI2265">
        <v>99.288639938708798</v>
      </c>
      <c r="AJ2265">
        <v>90.371535740839704</v>
      </c>
      <c r="AK2265">
        <v>0.63617604020156804</v>
      </c>
      <c r="AL2265">
        <v>89.135963484009693</v>
      </c>
      <c r="AM2265">
        <v>88.296772452618796</v>
      </c>
      <c r="AN2265">
        <v>0.99999996764971</v>
      </c>
    </row>
    <row r="2266" spans="1:40" x14ac:dyDescent="0.25">
      <c r="A2266" t="str">
        <f>"20190312154259906"</f>
        <v>20190312154259906</v>
      </c>
      <c r="B2266" t="str">
        <f>"1552376579899357"</f>
        <v>1552376579899357</v>
      </c>
      <c r="C2266" t="s">
        <v>40</v>
      </c>
      <c r="D2266">
        <v>4.6194259999999998</v>
      </c>
      <c r="E2266">
        <v>0.47035379999999899</v>
      </c>
      <c r="F2266" t="s">
        <v>51</v>
      </c>
      <c r="G2266">
        <v>-415.49400000000003</v>
      </c>
      <c r="H2266" s="1">
        <v>3.3544379999999998E-6</v>
      </c>
      <c r="I2266">
        <v>282.62430000000001</v>
      </c>
      <c r="J2266">
        <v>-397.33350000000002</v>
      </c>
      <c r="K2266">
        <v>1.1103959999999999</v>
      </c>
      <c r="L2266">
        <v>283.22210000000001</v>
      </c>
      <c r="M2266">
        <v>-0.99984209999999996</v>
      </c>
      <c r="N2266">
        <v>0</v>
      </c>
      <c r="O2266">
        <v>1.079861E-2</v>
      </c>
      <c r="P2266">
        <v>-0.99917670000000003</v>
      </c>
      <c r="Q2266">
        <v>1.0370150000000001E-3</v>
      </c>
      <c r="R2266">
        <v>4.0559980000000002E-2</v>
      </c>
      <c r="S2266">
        <v>-3.0065919999999999</v>
      </c>
      <c r="T2266">
        <v>-0.1821866</v>
      </c>
      <c r="U2266">
        <v>-9.7778320000000002E-2</v>
      </c>
      <c r="V2266">
        <v>2.9773339999999999E-2</v>
      </c>
      <c r="W2266">
        <v>1.5137400000000001E-2</v>
      </c>
      <c r="X2266">
        <v>0.99944200000000005</v>
      </c>
      <c r="Y2266">
        <v>-4.3197279999999998E-2</v>
      </c>
      <c r="Z2266">
        <v>-1.960903E-3</v>
      </c>
      <c r="AA2266">
        <v>0.99906459999999997</v>
      </c>
      <c r="AB2266">
        <v>28</v>
      </c>
      <c r="AC2266">
        <v>-18.160499999999999</v>
      </c>
      <c r="AD2266">
        <v>-1.1103926455619999</v>
      </c>
      <c r="AE2266">
        <v>-0.59780000000000599</v>
      </c>
      <c r="AF2266">
        <v>-0.79093909970298104</v>
      </c>
      <c r="AG2266">
        <v>-1.1103926455619999</v>
      </c>
      <c r="AH2266">
        <v>18.085445577803998</v>
      </c>
      <c r="AI2266">
        <v>93.510033782285603</v>
      </c>
      <c r="AJ2266">
        <v>92.5041469698442</v>
      </c>
      <c r="AK2266">
        <v>18.136755449486198</v>
      </c>
      <c r="AL2266">
        <v>89.132657699491901</v>
      </c>
      <c r="AM2266">
        <v>88.293665497923897</v>
      </c>
      <c r="AN2266">
        <v>0.99999995200875602</v>
      </c>
    </row>
    <row r="2267" spans="1:40" x14ac:dyDescent="0.25">
      <c r="A2267" t="str">
        <f>"20190312154259920"</f>
        <v>20190312154259920</v>
      </c>
      <c r="B2267" t="str">
        <f>"1552376579910093"</f>
        <v>1552376579910093</v>
      </c>
      <c r="C2267" t="s">
        <v>40</v>
      </c>
      <c r="D2267">
        <v>4.6288320000000001</v>
      </c>
      <c r="E2267">
        <v>0.46835769999999999</v>
      </c>
      <c r="F2267" t="s">
        <v>51</v>
      </c>
      <c r="G2267">
        <v>-418.19920000000002</v>
      </c>
      <c r="H2267" s="1">
        <v>3.8552290000000001E-6</v>
      </c>
      <c r="I2267">
        <v>282.38490000000002</v>
      </c>
      <c r="J2267">
        <v>-397.51080000000002</v>
      </c>
      <c r="K2267">
        <v>1.110392</v>
      </c>
      <c r="L2267">
        <v>283.22410000000002</v>
      </c>
      <c r="M2267">
        <v>-0.99984059999999997</v>
      </c>
      <c r="N2267">
        <v>0</v>
      </c>
      <c r="O2267">
        <v>1.0930219999999999E-2</v>
      </c>
      <c r="P2267">
        <v>-0.9991662</v>
      </c>
      <c r="Q2267">
        <v>9.1927869999999996E-4</v>
      </c>
      <c r="R2267">
        <v>4.0820250000000002E-2</v>
      </c>
      <c r="S2267">
        <v>-3.0075379999999998</v>
      </c>
      <c r="T2267">
        <v>-0.16004979999999999</v>
      </c>
      <c r="U2267">
        <v>-0.1206665</v>
      </c>
      <c r="V2267">
        <v>2.990203E-2</v>
      </c>
      <c r="W2267">
        <v>1.501772E-2</v>
      </c>
      <c r="X2267">
        <v>0.99944</v>
      </c>
      <c r="Y2267">
        <v>-5.0921849999999998E-2</v>
      </c>
      <c r="Z2267">
        <v>-1.934535E-3</v>
      </c>
      <c r="AA2267">
        <v>0.9987007</v>
      </c>
      <c r="AB2267">
        <v>28</v>
      </c>
      <c r="AC2267">
        <v>-20.688400000000001</v>
      </c>
      <c r="AD2267">
        <v>-1.110388144771</v>
      </c>
      <c r="AE2267">
        <v>-0.83920000000000505</v>
      </c>
      <c r="AF2267">
        <v>-1.0622461897979401</v>
      </c>
      <c r="AG2267">
        <v>-1.110388144771</v>
      </c>
      <c r="AH2267">
        <v>20.618691950364301</v>
      </c>
      <c r="AI2267">
        <v>93.078524016709594</v>
      </c>
      <c r="AJ2267">
        <v>92.949191105703704</v>
      </c>
      <c r="AK2267">
        <v>20.675874504934701</v>
      </c>
      <c r="AL2267">
        <v>89.1395156696436</v>
      </c>
      <c r="AM2267">
        <v>88.286291129717</v>
      </c>
      <c r="AN2267">
        <v>0.99999998845605897</v>
      </c>
    </row>
    <row r="2268" spans="1:40" x14ac:dyDescent="0.25">
      <c r="A2268" t="str">
        <f>"20190312154259939"</f>
        <v>20190312154259939</v>
      </c>
      <c r="B2268" t="str">
        <f>"1552376579929613"</f>
        <v>1552376579929613</v>
      </c>
      <c r="C2268" t="s">
        <v>40</v>
      </c>
      <c r="D2268">
        <v>4.5936959999999996</v>
      </c>
      <c r="E2268">
        <v>0.46564879999999997</v>
      </c>
      <c r="F2268" t="s">
        <v>51</v>
      </c>
      <c r="G2268">
        <v>-420.58350000000002</v>
      </c>
      <c r="H2268" s="1">
        <v>4.0735029999999999E-6</v>
      </c>
      <c r="I2268">
        <v>282.18669999999997</v>
      </c>
      <c r="J2268">
        <v>-397.7414</v>
      </c>
      <c r="K2268">
        <v>1.1103940000000001</v>
      </c>
      <c r="L2268">
        <v>283.2269</v>
      </c>
      <c r="M2268">
        <v>-0.99983880000000003</v>
      </c>
      <c r="N2268">
        <v>0</v>
      </c>
      <c r="O2268">
        <v>1.1101110000000001E-2</v>
      </c>
      <c r="P2268">
        <v>-0.9991546</v>
      </c>
      <c r="Q2268">
        <v>8.4627610000000001E-4</v>
      </c>
      <c r="R2268">
        <v>4.110511E-2</v>
      </c>
      <c r="S2268">
        <v>-3.0081180000000001</v>
      </c>
      <c r="T2268">
        <v>-0.1447678</v>
      </c>
      <c r="U2268">
        <v>-0.13525390000000001</v>
      </c>
      <c r="V2268">
        <v>3.001616E-2</v>
      </c>
      <c r="W2268">
        <v>1.4941919999999999E-2</v>
      </c>
      <c r="X2268">
        <v>0.99943769999999998</v>
      </c>
      <c r="Y2268">
        <v>-5.5928409999999998E-2</v>
      </c>
      <c r="Z2268">
        <v>-1.87809E-3</v>
      </c>
      <c r="AA2268">
        <v>0.99843300000000001</v>
      </c>
      <c r="AB2268">
        <v>28</v>
      </c>
      <c r="AC2268">
        <v>-22.842099999999999</v>
      </c>
      <c r="AD2268">
        <v>-1.1103899264970001</v>
      </c>
      <c r="AE2268">
        <v>-1.04020000000002</v>
      </c>
      <c r="AF2268">
        <v>-1.2906901116982099</v>
      </c>
      <c r="AG2268">
        <v>-1.1103899264970001</v>
      </c>
      <c r="AH2268">
        <v>22.775434820754</v>
      </c>
      <c r="AI2268">
        <v>92.786715091465496</v>
      </c>
      <c r="AJ2268">
        <v>93.243498255834695</v>
      </c>
      <c r="AK2268">
        <v>22.8389859238039</v>
      </c>
      <c r="AL2268">
        <v>89.143859164341194</v>
      </c>
      <c r="AM2268">
        <v>88.279750215815795</v>
      </c>
      <c r="AN2268">
        <v>0.99999997350785996</v>
      </c>
    </row>
    <row r="2269" spans="1:40" x14ac:dyDescent="0.25">
      <c r="A2269" t="str">
        <f>"20190312154259960"</f>
        <v>20190312154259960</v>
      </c>
      <c r="B2269" t="str">
        <f>"1552376579950109"</f>
        <v>1552376579950109</v>
      </c>
      <c r="C2269" t="s">
        <v>40</v>
      </c>
      <c r="D2269">
        <v>4.5967089999999997</v>
      </c>
      <c r="E2269">
        <v>0.4643311</v>
      </c>
      <c r="F2269" t="s">
        <v>51</v>
      </c>
      <c r="G2269">
        <v>-424.17099999999999</v>
      </c>
      <c r="H2269" s="1">
        <v>3.4654610000000001E-6</v>
      </c>
      <c r="I2269">
        <v>281.86279999999999</v>
      </c>
      <c r="J2269">
        <v>-398.01330000000002</v>
      </c>
      <c r="K2269">
        <v>1.110392</v>
      </c>
      <c r="L2269">
        <v>283.23009999999999</v>
      </c>
      <c r="M2269">
        <v>-0.99983659999999996</v>
      </c>
      <c r="N2269">
        <v>0</v>
      </c>
      <c r="O2269">
        <v>1.130276E-2</v>
      </c>
      <c r="P2269">
        <v>-0.99914360000000002</v>
      </c>
      <c r="Q2269">
        <v>1.016175E-3</v>
      </c>
      <c r="R2269">
        <v>4.1365489999999998E-2</v>
      </c>
      <c r="S2269">
        <v>-3.0090330000000001</v>
      </c>
      <c r="T2269">
        <v>-0.1264188</v>
      </c>
      <c r="U2269">
        <v>-0.155304</v>
      </c>
      <c r="V2269">
        <v>3.00751E-2</v>
      </c>
      <c r="W2269">
        <v>1.5109269999999999E-2</v>
      </c>
      <c r="X2269">
        <v>0.99943349999999997</v>
      </c>
      <c r="Y2269">
        <v>-6.2764360000000005E-2</v>
      </c>
      <c r="Z2269">
        <v>-1.7914199999999999E-3</v>
      </c>
      <c r="AA2269">
        <v>0.99802679999999999</v>
      </c>
      <c r="AB2269">
        <v>28</v>
      </c>
      <c r="AC2269">
        <v>-26.157699999999899</v>
      </c>
      <c r="AD2269">
        <v>-1.1103885345389899</v>
      </c>
      <c r="AE2269">
        <v>-1.3673</v>
      </c>
      <c r="AF2269">
        <v>-1.65991328617232</v>
      </c>
      <c r="AG2269">
        <v>-1.1103885345389899</v>
      </c>
      <c r="AH2269">
        <v>26.0936806976143</v>
      </c>
      <c r="AI2269">
        <v>92.431780757781098</v>
      </c>
      <c r="AJ2269">
        <v>93.639886955411001</v>
      </c>
      <c r="AK2269">
        <v>26.1699913481892</v>
      </c>
      <c r="AL2269">
        <v>89.1342697088173</v>
      </c>
      <c r="AM2269">
        <v>88.276367114603204</v>
      </c>
      <c r="AN2269">
        <v>1.00000006130109</v>
      </c>
    </row>
    <row r="2270" spans="1:40" x14ac:dyDescent="0.25">
      <c r="A2270" t="str">
        <f>"20190312154259983"</f>
        <v>20190312154259983</v>
      </c>
      <c r="B2270" t="str">
        <f>"1552376579979968"</f>
        <v>1552376579979968</v>
      </c>
      <c r="C2270" t="s">
        <v>40</v>
      </c>
      <c r="D2270">
        <v>4.6130740000000001</v>
      </c>
      <c r="E2270">
        <v>0.46323029999999998</v>
      </c>
      <c r="F2270" t="s">
        <v>51</v>
      </c>
      <c r="G2270">
        <v>-427.19200000000001</v>
      </c>
      <c r="H2270" s="1">
        <v>2.9497030000000002E-6</v>
      </c>
      <c r="I2270">
        <v>281.63260000000002</v>
      </c>
      <c r="J2270">
        <v>-398.29969999999997</v>
      </c>
      <c r="K2270">
        <v>1.1104000000000001</v>
      </c>
      <c r="L2270">
        <v>283.23360000000002</v>
      </c>
      <c r="M2270">
        <v>-0.99983420000000001</v>
      </c>
      <c r="N2270">
        <v>0</v>
      </c>
      <c r="O2270">
        <v>1.1514780000000001E-2</v>
      </c>
      <c r="P2270">
        <v>-0.99911519999999998</v>
      </c>
      <c r="Q2270">
        <v>1.2101659999999999E-3</v>
      </c>
      <c r="R2270">
        <v>4.2042700000000002E-2</v>
      </c>
      <c r="S2270">
        <v>-3.0094910000000001</v>
      </c>
      <c r="T2270">
        <v>-0.11452569999999999</v>
      </c>
      <c r="U2270">
        <v>-0.16476440000000001</v>
      </c>
      <c r="V2270">
        <v>3.0540790000000002E-2</v>
      </c>
      <c r="W2270">
        <v>1.5299500000000001E-2</v>
      </c>
      <c r="X2270">
        <v>0.99941639999999998</v>
      </c>
      <c r="Y2270">
        <v>-6.6105449999999996E-2</v>
      </c>
      <c r="Z2270">
        <v>-1.694199E-3</v>
      </c>
      <c r="AA2270">
        <v>0.99781120000000001</v>
      </c>
      <c r="AB2270">
        <v>28</v>
      </c>
      <c r="AC2270">
        <v>-28.892299999999899</v>
      </c>
      <c r="AD2270">
        <v>-1.110397050297</v>
      </c>
      <c r="AE2270">
        <v>-1.60099999999999</v>
      </c>
      <c r="AF2270">
        <v>-1.93077232088226</v>
      </c>
      <c r="AG2270">
        <v>-1.110397050297</v>
      </c>
      <c r="AH2270">
        <v>28.829495163949701</v>
      </c>
      <c r="AI2270">
        <v>92.200789213354</v>
      </c>
      <c r="AJ2270">
        <v>93.831498052831193</v>
      </c>
      <c r="AK2270">
        <v>28.915405146264</v>
      </c>
      <c r="AL2270">
        <v>89.123368999885798</v>
      </c>
      <c r="AM2270">
        <v>88.249664519022701</v>
      </c>
      <c r="AN2270">
        <v>0.99999997757151604</v>
      </c>
    </row>
    <row r="2271" spans="1:40" x14ac:dyDescent="0.25">
      <c r="A2271" t="str">
        <f>"20190312154300007"</f>
        <v>20190312154300007</v>
      </c>
      <c r="B2271" t="str">
        <f>"1552376579999476"</f>
        <v>1552376579999476</v>
      </c>
      <c r="C2271" t="s">
        <v>40</v>
      </c>
      <c r="D2271">
        <v>4.6272250000000001</v>
      </c>
      <c r="E2271">
        <v>0.46267239999999998</v>
      </c>
      <c r="F2271" t="s">
        <v>51</v>
      </c>
      <c r="G2271">
        <v>-431.08670000000001</v>
      </c>
      <c r="H2271" s="1">
        <v>2.9827109999999999E-6</v>
      </c>
      <c r="I2271">
        <v>281.36970000000002</v>
      </c>
      <c r="J2271">
        <v>-398.59140000000002</v>
      </c>
      <c r="K2271">
        <v>1.110403</v>
      </c>
      <c r="L2271">
        <v>283.23719999999997</v>
      </c>
      <c r="M2271">
        <v>-0.99983169999999999</v>
      </c>
      <c r="N2271">
        <v>0</v>
      </c>
      <c r="O2271">
        <v>1.173103E-2</v>
      </c>
      <c r="P2271">
        <v>-0.99910569999999999</v>
      </c>
      <c r="Q2271">
        <v>1.597546E-3</v>
      </c>
      <c r="R2271">
        <v>4.2255139999999997E-2</v>
      </c>
      <c r="S2271">
        <v>-3.009979</v>
      </c>
      <c r="T2271">
        <v>-0.101939</v>
      </c>
      <c r="U2271">
        <v>-0.17111209999999999</v>
      </c>
      <c r="V2271">
        <v>3.053728E-2</v>
      </c>
      <c r="W2271">
        <v>1.568379E-2</v>
      </c>
      <c r="X2271">
        <v>0.99941060000000004</v>
      </c>
      <c r="Y2271">
        <v>-6.8420190000000006E-2</v>
      </c>
      <c r="Z2271">
        <v>-1.5542539999999999E-3</v>
      </c>
      <c r="AA2271">
        <v>0.99765539999999997</v>
      </c>
      <c r="AB2271">
        <v>28</v>
      </c>
      <c r="AC2271">
        <v>-32.495299999999901</v>
      </c>
      <c r="AD2271">
        <v>-1.1104000172890001</v>
      </c>
      <c r="AE2271">
        <v>-1.86749999999995</v>
      </c>
      <c r="AF2271">
        <v>-2.2459987977415401</v>
      </c>
      <c r="AG2271">
        <v>-1.1104000172890001</v>
      </c>
      <c r="AH2271">
        <v>32.433406999605602</v>
      </c>
      <c r="AI2271">
        <v>91.9561488215613</v>
      </c>
      <c r="AJ2271">
        <v>93.961382681294694</v>
      </c>
      <c r="AK2271">
        <v>32.530038247747498</v>
      </c>
      <c r="AL2271">
        <v>89.101348206067797</v>
      </c>
      <c r="AM2271">
        <v>88.249855406481004</v>
      </c>
      <c r="AN2271">
        <v>1.0000000270654601</v>
      </c>
    </row>
    <row r="2272" spans="1:40" x14ac:dyDescent="0.25">
      <c r="A2272" t="str">
        <f>"20190312154300023"</f>
        <v>20190312154300023</v>
      </c>
      <c r="B2272" t="str">
        <f>"1552376580019972"</f>
        <v>1552376580019972</v>
      </c>
      <c r="C2272" t="s">
        <v>40</v>
      </c>
      <c r="D2272">
        <v>4.5894779999999997</v>
      </c>
      <c r="E2272">
        <v>0.46203440000000001</v>
      </c>
      <c r="F2272" t="s">
        <v>51</v>
      </c>
      <c r="G2272">
        <v>-433.678</v>
      </c>
      <c r="H2272" s="1">
        <v>4.1464849999999998E-6</v>
      </c>
      <c r="I2272">
        <v>281.20249999999999</v>
      </c>
      <c r="J2272">
        <v>-398.79719999999998</v>
      </c>
      <c r="K2272">
        <v>1.1104050000000001</v>
      </c>
      <c r="L2272">
        <v>283.2398</v>
      </c>
      <c r="M2272">
        <v>-0.99983010000000005</v>
      </c>
      <c r="N2272">
        <v>0</v>
      </c>
      <c r="O2272">
        <v>1.1883380000000001E-2</v>
      </c>
      <c r="P2272">
        <v>-0.99910500000000002</v>
      </c>
      <c r="Q2272">
        <v>2.0229979999999998E-3</v>
      </c>
      <c r="R2272">
        <v>4.2252829999999998E-2</v>
      </c>
      <c r="S2272">
        <v>-3.0102229999999999</v>
      </c>
      <c r="T2272">
        <v>-9.5265509999999998E-2</v>
      </c>
      <c r="U2272">
        <v>-0.17456050000000001</v>
      </c>
      <c r="V2272">
        <v>3.0382760000000002E-2</v>
      </c>
      <c r="W2272">
        <v>1.6107170000000001E-2</v>
      </c>
      <c r="X2272">
        <v>0.99940850000000003</v>
      </c>
      <c r="Y2272">
        <v>-6.9711800000000004E-2</v>
      </c>
      <c r="Z2272">
        <v>-1.477625E-3</v>
      </c>
      <c r="AA2272">
        <v>0.99756610000000001</v>
      </c>
      <c r="AB2272">
        <v>28</v>
      </c>
      <c r="AC2272">
        <v>-34.880800000000001</v>
      </c>
      <c r="AD2272">
        <v>-1.1104008535149901</v>
      </c>
      <c r="AE2272">
        <v>-2.0373000000000099</v>
      </c>
      <c r="AF2272">
        <v>-2.4492254366613202</v>
      </c>
      <c r="AG2272">
        <v>-1.1104008535149901</v>
      </c>
      <c r="AH2272">
        <v>34.818958131983997</v>
      </c>
      <c r="AI2272">
        <v>91.8220841169842</v>
      </c>
      <c r="AJ2272">
        <v>94.023656174221898</v>
      </c>
      <c r="AK2272">
        <v>34.922650825673699</v>
      </c>
      <c r="AL2272">
        <v>89.077087184465796</v>
      </c>
      <c r="AM2272">
        <v>88.258702093771703</v>
      </c>
      <c r="AN2272">
        <v>0.99999995145143705</v>
      </c>
    </row>
    <row r="2273" spans="1:40" x14ac:dyDescent="0.25">
      <c r="A2273" t="str">
        <f>"20190312154300040"</f>
        <v>20190312154300040</v>
      </c>
      <c r="B2273" t="str">
        <f>"1552376580029732"</f>
        <v>1552376580029732</v>
      </c>
      <c r="C2273" t="s">
        <v>40</v>
      </c>
      <c r="D2273">
        <v>4.5460890000000003</v>
      </c>
      <c r="E2273">
        <v>0.46177800000000002</v>
      </c>
      <c r="F2273" t="s">
        <v>51</v>
      </c>
      <c r="G2273">
        <v>-436.07530000000003</v>
      </c>
      <c r="H2273" s="1">
        <v>5.22574399999999E-6</v>
      </c>
      <c r="I2273">
        <v>281.01780000000002</v>
      </c>
      <c r="J2273">
        <v>-399.00889999999998</v>
      </c>
      <c r="K2273">
        <v>1.110409</v>
      </c>
      <c r="L2273">
        <v>283.24239999999998</v>
      </c>
      <c r="M2273">
        <v>-0.99982800000000005</v>
      </c>
      <c r="N2273">
        <v>0</v>
      </c>
      <c r="O2273">
        <v>1.204056E-2</v>
      </c>
      <c r="P2273">
        <v>-0.99908779999999997</v>
      </c>
      <c r="Q2273">
        <v>2.3311880000000001E-3</v>
      </c>
      <c r="R2273">
        <v>4.2639789999999997E-2</v>
      </c>
      <c r="S2273">
        <v>-3.0104679999999999</v>
      </c>
      <c r="T2273">
        <v>-8.9672569999999993E-2</v>
      </c>
      <c r="U2273">
        <v>-0.1794434</v>
      </c>
      <c r="V2273">
        <v>3.061293E-2</v>
      </c>
      <c r="W2273">
        <v>1.6412779999999998E-2</v>
      </c>
      <c r="X2273">
        <v>0.99939659999999997</v>
      </c>
      <c r="Y2273">
        <v>-7.1480070000000007E-2</v>
      </c>
      <c r="Z2273">
        <v>-1.421722E-3</v>
      </c>
      <c r="AA2273">
        <v>0.99744100000000002</v>
      </c>
      <c r="AB2273">
        <v>28</v>
      </c>
      <c r="AC2273">
        <v>-37.066400000000002</v>
      </c>
      <c r="AD2273">
        <v>-1.110403774256</v>
      </c>
      <c r="AE2273">
        <v>-2.22459999999995</v>
      </c>
      <c r="AF2273">
        <v>-2.6683972244060201</v>
      </c>
      <c r="AG2273">
        <v>-1.110403774256</v>
      </c>
      <c r="AH2273">
        <v>37.003835220464602</v>
      </c>
      <c r="AI2273">
        <v>91.7143557215404</v>
      </c>
      <c r="AJ2273">
        <v>94.124537731572602</v>
      </c>
      <c r="AK2273">
        <v>37.1165348774962</v>
      </c>
      <c r="AL2273">
        <v>89.059574795481197</v>
      </c>
      <c r="AM2273">
        <v>88.245497917750896</v>
      </c>
      <c r="AN2273">
        <v>1.00000004746103</v>
      </c>
    </row>
    <row r="2274" spans="1:40" x14ac:dyDescent="0.25">
      <c r="A2274" t="str">
        <f>"20190312154300064"</f>
        <v>20190312154300064</v>
      </c>
      <c r="B2274" t="str">
        <f>"1552376580059988"</f>
        <v>1552376580059988</v>
      </c>
      <c r="C2274" t="s">
        <v>40</v>
      </c>
      <c r="D2274">
        <v>4.5773970000000004</v>
      </c>
      <c r="E2274">
        <v>0.46123009999999898</v>
      </c>
      <c r="F2274" t="s">
        <v>51</v>
      </c>
      <c r="G2274">
        <v>-436.46210000000002</v>
      </c>
      <c r="H2274" s="1">
        <v>5.3989419999999898E-6</v>
      </c>
      <c r="I2274">
        <v>280.9984</v>
      </c>
      <c r="J2274">
        <v>-399.31259999999997</v>
      </c>
      <c r="K2274">
        <v>1.1104149999999999</v>
      </c>
      <c r="L2274">
        <v>283.24639999999999</v>
      </c>
      <c r="M2274">
        <v>-0.99982550000000003</v>
      </c>
      <c r="N2274">
        <v>0</v>
      </c>
      <c r="O2274">
        <v>1.226557E-2</v>
      </c>
      <c r="P2274">
        <v>-0.99908379999999997</v>
      </c>
      <c r="Q2274">
        <v>2.4883280000000002E-3</v>
      </c>
      <c r="R2274">
        <v>4.27318E-2</v>
      </c>
      <c r="S2274">
        <v>-3.0106510000000002</v>
      </c>
      <c r="T2274">
        <v>-8.9259149999999995E-2</v>
      </c>
      <c r="U2274">
        <v>-0.18038940000000001</v>
      </c>
      <c r="V2274">
        <v>3.0480110000000001E-2</v>
      </c>
      <c r="W2274">
        <v>1.6567249999999999E-2</v>
      </c>
      <c r="X2274">
        <v>0.99939809999999996</v>
      </c>
      <c r="Y2274">
        <v>-7.2013240000000006E-2</v>
      </c>
      <c r="Z2274">
        <v>-1.429631E-3</v>
      </c>
      <c r="AA2274">
        <v>0.99740269999999998</v>
      </c>
      <c r="AB2274">
        <v>28</v>
      </c>
      <c r="AC2274">
        <v>-37.149500000000003</v>
      </c>
      <c r="AD2274">
        <v>-1.110409601058</v>
      </c>
      <c r="AE2274">
        <v>-2.24799999999999</v>
      </c>
      <c r="AF2274">
        <v>-2.7011314232353199</v>
      </c>
      <c r="AG2274">
        <v>-1.110409601058</v>
      </c>
      <c r="AH2274">
        <v>37.086116178182401</v>
      </c>
      <c r="AI2274">
        <v>91.710474341570205</v>
      </c>
      <c r="AJ2274">
        <v>94.165726997059494</v>
      </c>
      <c r="AK2274">
        <v>37.200929203843202</v>
      </c>
      <c r="AL2274">
        <v>89.050723102942698</v>
      </c>
      <c r="AM2274">
        <v>88.253108051064203</v>
      </c>
      <c r="AN2274">
        <v>1.0000000365808901</v>
      </c>
    </row>
    <row r="2275" spans="1:40" x14ac:dyDescent="0.25">
      <c r="A2275" t="str">
        <f>"20190312154300084"</f>
        <v>20190312154300084</v>
      </c>
      <c r="B2275" t="str">
        <f>"1552376580080297"</f>
        <v>1552376580080297</v>
      </c>
      <c r="C2275" t="s">
        <v>40</v>
      </c>
      <c r="D2275">
        <v>4.5717730000000003</v>
      </c>
      <c r="E2275">
        <v>0.4609396</v>
      </c>
      <c r="F2275" t="s">
        <v>51</v>
      </c>
      <c r="G2275">
        <v>-438.9778</v>
      </c>
      <c r="H2275" s="1">
        <v>6.530272E-6</v>
      </c>
      <c r="I2275">
        <v>280.8184</v>
      </c>
      <c r="J2275">
        <v>-399.55</v>
      </c>
      <c r="K2275">
        <v>1.110414</v>
      </c>
      <c r="L2275">
        <v>283.24950000000001</v>
      </c>
      <c r="M2275">
        <v>-0.99982340000000003</v>
      </c>
      <c r="N2275">
        <v>0</v>
      </c>
      <c r="O2275">
        <v>1.2441819999999999E-2</v>
      </c>
      <c r="P2275">
        <v>-0.99908070000000004</v>
      </c>
      <c r="Q2275">
        <v>2.7428470000000001E-3</v>
      </c>
      <c r="R2275">
        <v>4.278059E-2</v>
      </c>
      <c r="S2275">
        <v>-3.0108030000000001</v>
      </c>
      <c r="T2275">
        <v>-8.4286089999999994E-2</v>
      </c>
      <c r="U2275">
        <v>-0.18429570000000001</v>
      </c>
      <c r="V2275">
        <v>3.035266E-2</v>
      </c>
      <c r="W2275">
        <v>1.6819460000000001E-2</v>
      </c>
      <c r="X2275">
        <v>0.9993978</v>
      </c>
      <c r="Y2275">
        <v>-7.3478660000000001E-2</v>
      </c>
      <c r="Z2275">
        <v>-1.3753089999999999E-3</v>
      </c>
      <c r="AA2275">
        <v>0.99729590000000001</v>
      </c>
      <c r="AB2275">
        <v>28</v>
      </c>
      <c r="AC2275">
        <v>-39.427799999999898</v>
      </c>
      <c r="AD2275">
        <v>-1.110407469728</v>
      </c>
      <c r="AE2275">
        <v>-2.43110000000001</v>
      </c>
      <c r="AF2275">
        <v>-2.9192074200645899</v>
      </c>
      <c r="AG2275">
        <v>-1.110407469728</v>
      </c>
      <c r="AH2275">
        <v>39.363394141067197</v>
      </c>
      <c r="AI2275">
        <v>91.6114133288022</v>
      </c>
      <c r="AJ2275">
        <v>94.241317311791903</v>
      </c>
      <c r="AK2275">
        <v>39.487106440143101</v>
      </c>
      <c r="AL2275">
        <v>89.036270553624007</v>
      </c>
      <c r="AM2275">
        <v>88.260407512447799</v>
      </c>
      <c r="AN2275">
        <v>1.0000000704242999</v>
      </c>
    </row>
    <row r="2276" spans="1:40" x14ac:dyDescent="0.25">
      <c r="A2276" t="str">
        <f>"20190312154300106"</f>
        <v>20190312154300106</v>
      </c>
      <c r="B2276" t="str">
        <f>"1552376580099799"</f>
        <v>1552376580099799</v>
      </c>
      <c r="C2276" t="s">
        <v>40</v>
      </c>
      <c r="D2276">
        <v>4.5798350000000001</v>
      </c>
      <c r="E2276">
        <v>0.46043499999999998</v>
      </c>
      <c r="F2276" t="s">
        <v>50</v>
      </c>
      <c r="G2276">
        <v>-440.81889999999999</v>
      </c>
      <c r="H2276" s="1">
        <v>-9.296299E-7</v>
      </c>
      <c r="I2276">
        <v>280.69540000000001</v>
      </c>
      <c r="J2276">
        <v>-399.83440000000002</v>
      </c>
      <c r="K2276">
        <v>1.1104130000000001</v>
      </c>
      <c r="L2276">
        <v>283.25319999999999</v>
      </c>
      <c r="M2276">
        <v>-0.99982059999999995</v>
      </c>
      <c r="N2276">
        <v>0</v>
      </c>
      <c r="O2276">
        <v>1.2652709999999999E-2</v>
      </c>
      <c r="P2276">
        <v>-0.99906640000000002</v>
      </c>
      <c r="Q2276">
        <v>2.6714629999999998E-3</v>
      </c>
      <c r="R2276">
        <v>4.3119709999999999E-2</v>
      </c>
      <c r="S2276">
        <v>-3.0109560000000002</v>
      </c>
      <c r="T2276">
        <v>-8.101535E-2</v>
      </c>
      <c r="U2276">
        <v>-0.18634029999999999</v>
      </c>
      <c r="V2276">
        <v>3.0481149999999999E-2</v>
      </c>
      <c r="W2276">
        <v>1.674461E-2</v>
      </c>
      <c r="X2276">
        <v>0.99939509999999998</v>
      </c>
      <c r="Y2276">
        <v>-7.4362739999999997E-2</v>
      </c>
      <c r="Z2276">
        <v>-1.339416E-3</v>
      </c>
      <c r="AA2276">
        <v>0.99723039999999996</v>
      </c>
      <c r="AB2276">
        <v>28</v>
      </c>
      <c r="AC2276">
        <v>-40.984499999999898</v>
      </c>
      <c r="AD2276">
        <v>-1.1104139296298901</v>
      </c>
      <c r="AE2276">
        <v>-2.5577999999999799</v>
      </c>
      <c r="AF2276">
        <v>-3.0739640106725701</v>
      </c>
      <c r="AG2276">
        <v>-1.1104139296298901</v>
      </c>
      <c r="AH2276">
        <v>40.918931930280202</v>
      </c>
      <c r="AI2276">
        <v>91.550084033657299</v>
      </c>
      <c r="AJ2276">
        <v>94.296176663171906</v>
      </c>
      <c r="AK2276">
        <v>41.049254124148597</v>
      </c>
      <c r="AL2276">
        <v>89.040559702092693</v>
      </c>
      <c r="AM2276">
        <v>88.253043242198402</v>
      </c>
      <c r="AN2276">
        <v>1.00000002418669</v>
      </c>
    </row>
    <row r="2277" spans="1:40" x14ac:dyDescent="0.25">
      <c r="A2277" t="str">
        <f>"20190312154300129"</f>
        <v>20190312154300129</v>
      </c>
      <c r="B2277" t="str">
        <f>"1552376580120282"</f>
        <v>1552376580120282</v>
      </c>
      <c r="C2277" t="s">
        <v>40</v>
      </c>
      <c r="D2277">
        <v>4.5108759999999997</v>
      </c>
      <c r="E2277">
        <v>0.46011869999999999</v>
      </c>
      <c r="F2277" t="s">
        <v>50</v>
      </c>
      <c r="G2277">
        <v>-443.66050000000001</v>
      </c>
      <c r="H2277" s="1">
        <v>5.910438E-7</v>
      </c>
      <c r="I2277">
        <v>280.50069999999999</v>
      </c>
      <c r="J2277">
        <v>-400.1146</v>
      </c>
      <c r="K2277">
        <v>1.110412</v>
      </c>
      <c r="L2277">
        <v>283.25700000000001</v>
      </c>
      <c r="M2277">
        <v>-0.99981810000000004</v>
      </c>
      <c r="N2277">
        <v>0</v>
      </c>
      <c r="O2277">
        <v>1.2860440000000001E-2</v>
      </c>
      <c r="P2277">
        <v>-0.99903770000000003</v>
      </c>
      <c r="Q2277">
        <v>2.9484870000000001E-3</v>
      </c>
      <c r="R2277">
        <v>4.3762919999999997E-2</v>
      </c>
      <c r="S2277">
        <v>-3.0111690000000002</v>
      </c>
      <c r="T2277">
        <v>-7.6293349999999996E-2</v>
      </c>
      <c r="U2277">
        <v>-0.18911739999999999</v>
      </c>
      <c r="V2277">
        <v>3.091702E-2</v>
      </c>
      <c r="W2277">
        <v>1.70178E-2</v>
      </c>
      <c r="X2277">
        <v>0.99937710000000002</v>
      </c>
      <c r="Y2277">
        <v>-7.5484800000000005E-2</v>
      </c>
      <c r="Z2277">
        <v>-1.280705E-3</v>
      </c>
      <c r="AA2277">
        <v>0.99714610000000004</v>
      </c>
      <c r="AB2277">
        <v>28</v>
      </c>
      <c r="AC2277">
        <v>-43.545900000000003</v>
      </c>
      <c r="AD2277">
        <v>-1.1104114089562001</v>
      </c>
      <c r="AE2277">
        <v>-2.7563</v>
      </c>
      <c r="AF2277">
        <v>-3.3140007066499302</v>
      </c>
      <c r="AG2277">
        <v>-1.1104114089562001</v>
      </c>
      <c r="AH2277">
        <v>43.478688600495197</v>
      </c>
      <c r="AI2277">
        <v>91.458741552751803</v>
      </c>
      <c r="AJ2277">
        <v>94.358728969193294</v>
      </c>
      <c r="AK2277">
        <v>43.6189405717246</v>
      </c>
      <c r="AL2277">
        <v>89.024904841182007</v>
      </c>
      <c r="AM2277">
        <v>88.228046277845294</v>
      </c>
      <c r="AN2277">
        <v>1.00000002782346</v>
      </c>
    </row>
    <row r="2278" spans="1:40" x14ac:dyDescent="0.25">
      <c r="A2278" t="str">
        <f>"20190312154300150"</f>
        <v>20190312154300150</v>
      </c>
      <c r="B2278" t="str">
        <f>"1552376580139802"</f>
        <v>1552376580139802</v>
      </c>
      <c r="C2278" t="s">
        <v>40</v>
      </c>
      <c r="D2278">
        <v>4.5186799999999998</v>
      </c>
      <c r="E2278">
        <v>0.45987349999999999</v>
      </c>
      <c r="F2278" t="s">
        <v>50</v>
      </c>
      <c r="G2278">
        <v>-446.41230000000002</v>
      </c>
      <c r="H2278" s="1">
        <v>2.0624529999999999E-6</v>
      </c>
      <c r="I2278">
        <v>280.34010000000001</v>
      </c>
      <c r="J2278">
        <v>-400.38260000000002</v>
      </c>
      <c r="K2278">
        <v>1.1104080000000001</v>
      </c>
      <c r="L2278">
        <v>283.26069999999999</v>
      </c>
      <c r="M2278">
        <v>-0.99981549999999997</v>
      </c>
      <c r="N2278">
        <v>0</v>
      </c>
      <c r="O2278">
        <v>1.3059579999999999E-2</v>
      </c>
      <c r="P2278">
        <v>-0.99902139999999995</v>
      </c>
      <c r="Q2278">
        <v>2.9588840000000002E-3</v>
      </c>
      <c r="R2278">
        <v>4.4133220000000001E-2</v>
      </c>
      <c r="S2278">
        <v>-3.0114139999999998</v>
      </c>
      <c r="T2278">
        <v>-7.222605E-2</v>
      </c>
      <c r="U2278">
        <v>-0.1897278</v>
      </c>
      <c r="V2278">
        <v>3.1088419999999999E-2</v>
      </c>
      <c r="W2278">
        <v>1.7025430000000001E-2</v>
      </c>
      <c r="X2278">
        <v>0.99937160000000003</v>
      </c>
      <c r="Y2278">
        <v>-7.5882409999999997E-2</v>
      </c>
      <c r="Z2278">
        <v>-1.221878E-3</v>
      </c>
      <c r="AA2278">
        <v>0.997116</v>
      </c>
      <c r="AB2278">
        <v>28</v>
      </c>
      <c r="AC2278">
        <v>-46.029699999999899</v>
      </c>
      <c r="AD2278">
        <v>-1.1104059375469999</v>
      </c>
      <c r="AE2278">
        <v>-2.9205999999999701</v>
      </c>
      <c r="AF2278">
        <v>-3.5194991090983301</v>
      </c>
      <c r="AG2278">
        <v>-1.1104059375469999</v>
      </c>
      <c r="AH2278">
        <v>45.960988372038202</v>
      </c>
      <c r="AI2278">
        <v>91.379944002334</v>
      </c>
      <c r="AJ2278">
        <v>94.378923945898194</v>
      </c>
      <c r="AK2278">
        <v>46.108918090318603</v>
      </c>
      <c r="AL2278">
        <v>89.0244675595209</v>
      </c>
      <c r="AM2278">
        <v>88.2182193084017</v>
      </c>
      <c r="AN2278">
        <v>0.99999997500566995</v>
      </c>
    </row>
    <row r="2279" spans="1:40" x14ac:dyDescent="0.25">
      <c r="A2279" t="str">
        <f>"20190312154300172"</f>
        <v>20190312154300172</v>
      </c>
      <c r="B2279" t="str">
        <f>"1552376580170058"</f>
        <v>1552376580170058</v>
      </c>
      <c r="C2279" t="s">
        <v>40</v>
      </c>
      <c r="D2279">
        <v>4.4476620000000002</v>
      </c>
      <c r="E2279">
        <v>0.45954329999999999</v>
      </c>
      <c r="F2279" t="s">
        <v>50</v>
      </c>
      <c r="G2279">
        <v>-447.8039</v>
      </c>
      <c r="H2279" s="1">
        <v>2.8065359999999999E-6</v>
      </c>
      <c r="I2279">
        <v>280.25869999999998</v>
      </c>
      <c r="J2279">
        <v>-400.66559999999998</v>
      </c>
      <c r="K2279">
        <v>1.1104130000000001</v>
      </c>
      <c r="L2279">
        <v>283.26459999999997</v>
      </c>
      <c r="M2279">
        <v>-0.99981279999999995</v>
      </c>
      <c r="N2279">
        <v>0</v>
      </c>
      <c r="O2279">
        <v>1.3269929999999999E-2</v>
      </c>
      <c r="P2279">
        <v>-0.99899559999999998</v>
      </c>
      <c r="Q2279">
        <v>3.3538190000000001E-3</v>
      </c>
      <c r="R2279">
        <v>4.4683580000000001E-2</v>
      </c>
      <c r="S2279">
        <v>-3.011536</v>
      </c>
      <c r="T2279">
        <v>-7.0517300000000005E-2</v>
      </c>
      <c r="U2279">
        <v>-0.19064329999999999</v>
      </c>
      <c r="V2279">
        <v>3.1428970000000001E-2</v>
      </c>
      <c r="W2279">
        <v>1.7416850000000001E-2</v>
      </c>
      <c r="X2279">
        <v>0.99935419999999997</v>
      </c>
      <c r="Y2279">
        <v>-7.6392570000000007E-2</v>
      </c>
      <c r="Z2279">
        <v>-1.203806E-3</v>
      </c>
      <c r="AA2279">
        <v>0.99707710000000005</v>
      </c>
      <c r="AB2279">
        <v>28</v>
      </c>
      <c r="AC2279">
        <v>-47.138300000000001</v>
      </c>
      <c r="AD2279">
        <v>-1.1104101934639901</v>
      </c>
      <c r="AE2279">
        <v>-3.0058999999999898</v>
      </c>
      <c r="AF2279">
        <v>-3.6292135279500402</v>
      </c>
      <c r="AG2279">
        <v>-1.1104101934639901</v>
      </c>
      <c r="AH2279">
        <v>47.068243987516901</v>
      </c>
      <c r="AI2279">
        <v>91.347444334147994</v>
      </c>
      <c r="AJ2279">
        <v>94.409087378688795</v>
      </c>
      <c r="AK2279">
        <v>47.221010087646597</v>
      </c>
      <c r="AL2279">
        <v>89.0020375154795</v>
      </c>
      <c r="AM2279">
        <v>88.198682702495404</v>
      </c>
      <c r="AN2279">
        <v>0.99999997193841095</v>
      </c>
    </row>
    <row r="2280" spans="1:40" x14ac:dyDescent="0.25">
      <c r="A2280" t="str">
        <f>"20190312154300185"</f>
        <v>20190312154300185</v>
      </c>
      <c r="B2280" t="str">
        <f>"1552376580179818"</f>
        <v>1552376580179818</v>
      </c>
      <c r="C2280" t="s">
        <v>40</v>
      </c>
      <c r="D2280">
        <v>4.4480789999999999</v>
      </c>
      <c r="E2280">
        <v>0.4594163</v>
      </c>
      <c r="F2280" t="s">
        <v>50</v>
      </c>
      <c r="G2280">
        <v>-451.6601</v>
      </c>
      <c r="H2280" s="1">
        <v>-4.527382E-7</v>
      </c>
      <c r="I2280">
        <v>280.02690000000001</v>
      </c>
      <c r="J2280">
        <v>-400.82159999999999</v>
      </c>
      <c r="K2280">
        <v>1.1104160000000001</v>
      </c>
      <c r="L2280">
        <v>283.26679999999999</v>
      </c>
      <c r="M2280">
        <v>-0.99981140000000002</v>
      </c>
      <c r="N2280">
        <v>0</v>
      </c>
      <c r="O2280">
        <v>1.3385330000000001E-2</v>
      </c>
      <c r="P2280">
        <v>-0.99899530000000003</v>
      </c>
      <c r="Q2280">
        <v>3.3091599999999998E-3</v>
      </c>
      <c r="R2280">
        <v>4.4697019999999997E-2</v>
      </c>
      <c r="S2280">
        <v>-3.0117799999999999</v>
      </c>
      <c r="T2280">
        <v>-6.5582039999999994E-2</v>
      </c>
      <c r="U2280">
        <v>-0.19122310000000001</v>
      </c>
      <c r="V2280">
        <v>3.1327069999999999E-2</v>
      </c>
      <c r="W2280">
        <v>1.7371089999999999E-2</v>
      </c>
      <c r="X2280">
        <v>0.99935819999999997</v>
      </c>
      <c r="Y2280">
        <v>-7.6696940000000005E-2</v>
      </c>
      <c r="Z2280">
        <v>-1.1253000000000001E-3</v>
      </c>
      <c r="AA2280">
        <v>0.99705379999999999</v>
      </c>
      <c r="AB2280">
        <v>28</v>
      </c>
      <c r="AC2280">
        <v>-50.838500000000003</v>
      </c>
      <c r="AD2280">
        <v>-1.1104164527381899</v>
      </c>
      <c r="AE2280">
        <v>-3.2398999999999698</v>
      </c>
      <c r="AF2280">
        <v>-3.9183054019813301</v>
      </c>
      <c r="AG2280">
        <v>-1.1104164527381899</v>
      </c>
      <c r="AH2280">
        <v>50.766451758252899</v>
      </c>
      <c r="AI2280">
        <v>91.249318355462293</v>
      </c>
      <c r="AJ2280">
        <v>94.413508108254604</v>
      </c>
      <c r="AK2280">
        <v>50.929547082658502</v>
      </c>
      <c r="AL2280">
        <v>89.004659771173195</v>
      </c>
      <c r="AM2280">
        <v>88.204526343264703</v>
      </c>
      <c r="AN2280">
        <v>0.99999997599490598</v>
      </c>
    </row>
    <row r="2281" spans="1:40" x14ac:dyDescent="0.25">
      <c r="A2281" t="str">
        <f>"20190312154300198"</f>
        <v>20190312154300198</v>
      </c>
      <c r="B2281" t="str">
        <f>"1552376580190152"</f>
        <v>1552376580190152</v>
      </c>
      <c r="C2281" t="s">
        <v>40</v>
      </c>
      <c r="D2281">
        <v>4.4295140000000002</v>
      </c>
      <c r="E2281">
        <v>0.45934589999999997</v>
      </c>
      <c r="F2281" t="s">
        <v>50</v>
      </c>
      <c r="G2281">
        <v>-452.3766</v>
      </c>
      <c r="H2281" s="1">
        <v>-6.9209590000000004E-8</v>
      </c>
      <c r="I2281">
        <v>279.9753</v>
      </c>
      <c r="J2281">
        <v>-400.97949999999997</v>
      </c>
      <c r="K2281">
        <v>1.110417</v>
      </c>
      <c r="L2281">
        <v>283.26909999999998</v>
      </c>
      <c r="M2281">
        <v>-0.99980970000000002</v>
      </c>
      <c r="N2281">
        <v>0</v>
      </c>
      <c r="O2281">
        <v>1.3502510000000001E-2</v>
      </c>
      <c r="P2281">
        <v>-0.99898390000000004</v>
      </c>
      <c r="Q2281">
        <v>3.42954E-3</v>
      </c>
      <c r="R2281">
        <v>4.4938440000000003E-2</v>
      </c>
      <c r="S2281">
        <v>-3.0118100000000001</v>
      </c>
      <c r="T2281">
        <v>-6.4869759999999999E-2</v>
      </c>
      <c r="U2281">
        <v>-0.1922913</v>
      </c>
      <c r="V2281">
        <v>3.1451449999999999E-2</v>
      </c>
      <c r="W2281">
        <v>1.7489319999999999E-2</v>
      </c>
      <c r="X2281">
        <v>0.99935229999999997</v>
      </c>
      <c r="Y2281">
        <v>-7.7165670000000006E-2</v>
      </c>
      <c r="Z2281">
        <v>-1.120621E-3</v>
      </c>
      <c r="AA2281">
        <v>0.99701770000000001</v>
      </c>
      <c r="AB2281">
        <v>28</v>
      </c>
      <c r="AC2281">
        <v>-51.397100000000002</v>
      </c>
      <c r="AD2281">
        <v>-1.11041706920959</v>
      </c>
      <c r="AE2281">
        <v>-3.2937999999999699</v>
      </c>
      <c r="AF2281">
        <v>-3.9857055602002398</v>
      </c>
      <c r="AG2281">
        <v>-1.11041706920959</v>
      </c>
      <c r="AH2281">
        <v>51.324076458932801</v>
      </c>
      <c r="AI2281">
        <v>91.235704581236106</v>
      </c>
      <c r="AJ2281">
        <v>94.440541576195898</v>
      </c>
      <c r="AK2281">
        <v>51.490578742548401</v>
      </c>
      <c r="AL2281">
        <v>88.997884730662406</v>
      </c>
      <c r="AM2281">
        <v>88.197391710518801</v>
      </c>
      <c r="AN2281">
        <v>1.00000004476822</v>
      </c>
    </row>
    <row r="2282" spans="1:40" x14ac:dyDescent="0.25">
      <c r="A2282" t="str">
        <f>"20190312154300219"</f>
        <v>20190312154300219</v>
      </c>
      <c r="B2282" t="str">
        <f>"1552376580209671"</f>
        <v>1552376580209671</v>
      </c>
      <c r="C2282" t="s">
        <v>40</v>
      </c>
      <c r="D2282">
        <v>4.4030699999999996</v>
      </c>
      <c r="E2282">
        <v>0.45905849999999998</v>
      </c>
      <c r="F2282" t="s">
        <v>50</v>
      </c>
      <c r="G2282">
        <v>-453.5883</v>
      </c>
      <c r="H2282" s="1">
        <v>5.7821390000000005E-7</v>
      </c>
      <c r="I2282">
        <v>279.91520000000003</v>
      </c>
      <c r="J2282">
        <v>-401.23489999999998</v>
      </c>
      <c r="K2282">
        <v>1.1104149999999999</v>
      </c>
      <c r="L2282">
        <v>283.27269999999999</v>
      </c>
      <c r="M2282">
        <v>-0.99980720000000001</v>
      </c>
      <c r="N2282">
        <v>0</v>
      </c>
      <c r="O2282">
        <v>1.3692060000000001E-2</v>
      </c>
      <c r="P2282">
        <v>-0.9989787</v>
      </c>
      <c r="Q2282">
        <v>3.3630769999999999E-3</v>
      </c>
      <c r="R2282">
        <v>4.5062600000000001E-2</v>
      </c>
      <c r="S2282">
        <v>-3.0119319999999998</v>
      </c>
      <c r="T2282">
        <v>-6.3573000000000005E-2</v>
      </c>
      <c r="U2282">
        <v>-0.19201660000000001</v>
      </c>
      <c r="V2282">
        <v>3.1386190000000001E-2</v>
      </c>
      <c r="W2282">
        <v>1.7420189999999999E-2</v>
      </c>
      <c r="X2282">
        <v>0.99935549999999995</v>
      </c>
      <c r="Y2282">
        <v>-7.7262330000000004E-2</v>
      </c>
      <c r="Z2282">
        <v>-1.1031999999999999E-3</v>
      </c>
      <c r="AA2282">
        <v>0.99701019999999896</v>
      </c>
      <c r="AB2282">
        <v>28</v>
      </c>
      <c r="AC2282">
        <v>-52.353400000000001</v>
      </c>
      <c r="AD2282">
        <v>-1.1104144217860901</v>
      </c>
      <c r="AE2282">
        <v>-3.3574999999999502</v>
      </c>
      <c r="AF2282">
        <v>-4.0722576512148603</v>
      </c>
      <c r="AG2282">
        <v>-1.1104144217860901</v>
      </c>
      <c r="AH2282">
        <v>52.279093635232599</v>
      </c>
      <c r="AI2282">
        <v>91.213112840211494</v>
      </c>
      <c r="AJ2282">
        <v>94.454036398512898</v>
      </c>
      <c r="AK2282">
        <v>52.4492129005518</v>
      </c>
      <c r="AL2282">
        <v>89.001846132231904</v>
      </c>
      <c r="AM2282">
        <v>88.201135318225695</v>
      </c>
      <c r="AN2282">
        <v>0.99999998566130099</v>
      </c>
    </row>
    <row r="2283" spans="1:40" x14ac:dyDescent="0.25">
      <c r="A2283" t="str">
        <f>"20190312154300241"</f>
        <v>20190312154300241</v>
      </c>
      <c r="B2283" t="str">
        <f>"1552376580230168"</f>
        <v>1552376580230168</v>
      </c>
      <c r="C2283" t="s">
        <v>40</v>
      </c>
      <c r="D2283">
        <v>4.3535159999999999</v>
      </c>
      <c r="E2283">
        <v>0.45881719999999998</v>
      </c>
      <c r="F2283" t="s">
        <v>50</v>
      </c>
      <c r="G2283">
        <v>-454.84469999999999</v>
      </c>
      <c r="H2283" s="1">
        <v>1.2509650000000001E-6</v>
      </c>
      <c r="I2283">
        <v>279.82029999999997</v>
      </c>
      <c r="J2283">
        <v>-401.50979999999998</v>
      </c>
      <c r="K2283">
        <v>1.110417</v>
      </c>
      <c r="L2283">
        <v>283.27670000000001</v>
      </c>
      <c r="M2283">
        <v>-0.99980449999999998</v>
      </c>
      <c r="N2283">
        <v>0</v>
      </c>
      <c r="O2283">
        <v>1.3896149999999999E-2</v>
      </c>
      <c r="P2283">
        <v>-0.99895520000000004</v>
      </c>
      <c r="Q2283">
        <v>3.0332649999999998E-3</v>
      </c>
      <c r="R2283">
        <v>4.5603600000000001E-2</v>
      </c>
      <c r="S2283">
        <v>-3.0120239999999998</v>
      </c>
      <c r="T2283">
        <v>-6.2387699999999997E-2</v>
      </c>
      <c r="U2283">
        <v>-0.19396969999999999</v>
      </c>
      <c r="V2283">
        <v>3.1723290000000001E-2</v>
      </c>
      <c r="W2283">
        <v>1.708693E-2</v>
      </c>
      <c r="X2283">
        <v>0.99935059999999998</v>
      </c>
      <c r="Y2283">
        <v>-7.8108280000000002E-2</v>
      </c>
      <c r="Z2283">
        <v>-1.095555E-3</v>
      </c>
      <c r="AA2283">
        <v>0.99694430000000001</v>
      </c>
      <c r="AB2283">
        <v>28</v>
      </c>
      <c r="AC2283">
        <v>-53.334899999999998</v>
      </c>
      <c r="AD2283">
        <v>-1.110415749035</v>
      </c>
      <c r="AE2283">
        <v>-3.4564000000000301</v>
      </c>
      <c r="AF2283">
        <v>-4.1954783370887396</v>
      </c>
      <c r="AG2283">
        <v>-1.110415749035</v>
      </c>
      <c r="AH2283">
        <v>53.258724825076399</v>
      </c>
      <c r="AI2283">
        <v>91.190725334447905</v>
      </c>
      <c r="AJ2283">
        <v>94.504197345591194</v>
      </c>
      <c r="AK2283">
        <v>53.435258318884301</v>
      </c>
      <c r="AL2283">
        <v>89.020943357322295</v>
      </c>
      <c r="AM2283">
        <v>88.181818795547599</v>
      </c>
      <c r="AN2283">
        <v>0.99999997601280399</v>
      </c>
    </row>
    <row r="2284" spans="1:40" x14ac:dyDescent="0.25">
      <c r="A2284" t="str">
        <f>"20190312154300263"</f>
        <v>20190312154300263</v>
      </c>
      <c r="B2284" t="str">
        <f>"1552376580249688"</f>
        <v>1552376580249688</v>
      </c>
      <c r="C2284" t="s">
        <v>40</v>
      </c>
      <c r="D2284">
        <v>4.3635320000000002</v>
      </c>
      <c r="E2284">
        <v>0.45858860000000001</v>
      </c>
      <c r="F2284" t="s">
        <v>50</v>
      </c>
      <c r="G2284">
        <v>-455.5797</v>
      </c>
      <c r="H2284" s="1">
        <v>1.6432640000000001E-6</v>
      </c>
      <c r="I2284">
        <v>279.79329999999999</v>
      </c>
      <c r="J2284">
        <v>-401.77249999999998</v>
      </c>
      <c r="K2284">
        <v>1.110422</v>
      </c>
      <c r="L2284">
        <v>283.28059999999999</v>
      </c>
      <c r="M2284">
        <v>-0.99980179999999996</v>
      </c>
      <c r="N2284">
        <v>0</v>
      </c>
      <c r="O2284">
        <v>1.409153E-2</v>
      </c>
      <c r="P2284">
        <v>-0.99895009999999995</v>
      </c>
      <c r="Q2284">
        <v>3.2424049999999999E-3</v>
      </c>
      <c r="R2284">
        <v>4.569724E-2</v>
      </c>
      <c r="S2284">
        <v>-3.012238</v>
      </c>
      <c r="T2284">
        <v>-6.1861279999999998E-2</v>
      </c>
      <c r="U2284">
        <v>-0.19406129999999999</v>
      </c>
      <c r="V2284">
        <v>3.1621740000000002E-2</v>
      </c>
      <c r="W2284">
        <v>1.729385E-2</v>
      </c>
      <c r="X2284">
        <v>0.99935030000000002</v>
      </c>
      <c r="Y2284">
        <v>-7.8328990000000001E-2</v>
      </c>
      <c r="Z2284">
        <v>-1.0925080000000001E-3</v>
      </c>
      <c r="AA2284">
        <v>0.99692700000000001</v>
      </c>
      <c r="AB2284">
        <v>28</v>
      </c>
      <c r="AC2284">
        <v>-53.807200000000002</v>
      </c>
      <c r="AD2284">
        <v>-1.110420356736</v>
      </c>
      <c r="AE2284">
        <v>-3.4872999999999998</v>
      </c>
      <c r="AF2284">
        <v>-4.2434547729484597</v>
      </c>
      <c r="AG2284">
        <v>-1.110420356736</v>
      </c>
      <c r="AH2284">
        <v>53.729923002956802</v>
      </c>
      <c r="AI2284">
        <v>91.180272138993502</v>
      </c>
      <c r="AJ2284">
        <v>94.5157039384857</v>
      </c>
      <c r="AK2284">
        <v>53.908668761919699</v>
      </c>
      <c r="AL2284">
        <v>89.009086002722796</v>
      </c>
      <c r="AM2284">
        <v>88.187634576945996</v>
      </c>
      <c r="AN2284">
        <v>1.00000001689926</v>
      </c>
    </row>
    <row r="2285" spans="1:40" x14ac:dyDescent="0.25">
      <c r="A2285" t="str">
        <f>"20190312154300285"</f>
        <v>20190312154300285</v>
      </c>
      <c r="B2285" t="str">
        <f>"1552376580279944"</f>
        <v>1552376580279944</v>
      </c>
      <c r="C2285" t="s">
        <v>40</v>
      </c>
      <c r="D2285">
        <v>4.4178680000000004</v>
      </c>
      <c r="E2285">
        <v>0.4860138</v>
      </c>
      <c r="F2285" t="s">
        <v>50</v>
      </c>
      <c r="G2285">
        <v>-457.33260000000001</v>
      </c>
      <c r="H2285" s="1">
        <v>2.581432E-6</v>
      </c>
      <c r="I2285">
        <v>279.6703</v>
      </c>
      <c r="J2285">
        <v>-402.05259999999998</v>
      </c>
      <c r="K2285">
        <v>1.110425</v>
      </c>
      <c r="L2285">
        <v>283.28480000000002</v>
      </c>
      <c r="M2285">
        <v>-0.99979879999999999</v>
      </c>
      <c r="N2285">
        <v>0</v>
      </c>
      <c r="O2285">
        <v>1.4299910000000001E-2</v>
      </c>
      <c r="P2285">
        <v>-0.99894369999999999</v>
      </c>
      <c r="Q2285">
        <v>3.35265E-3</v>
      </c>
      <c r="R2285">
        <v>4.5828639999999997E-2</v>
      </c>
      <c r="S2285">
        <v>-3.0122990000000001</v>
      </c>
      <c r="T2285">
        <v>-6.0203550000000002E-2</v>
      </c>
      <c r="U2285">
        <v>-0.19573969999999999</v>
      </c>
      <c r="V2285">
        <v>3.1544999999999997E-2</v>
      </c>
      <c r="W2285">
        <v>1.7401119999999999E-2</v>
      </c>
      <c r="X2285">
        <v>0.99935079999999998</v>
      </c>
      <c r="Y2285">
        <v>-7.9089469999999995E-2</v>
      </c>
      <c r="Z2285">
        <v>-1.074948E-3</v>
      </c>
      <c r="AA2285">
        <v>0.9968669</v>
      </c>
      <c r="AB2285">
        <v>28</v>
      </c>
      <c r="AC2285">
        <v>-55.28</v>
      </c>
      <c r="AD2285">
        <v>-1.1104224185680001</v>
      </c>
      <c r="AE2285">
        <v>-3.61450000000002</v>
      </c>
      <c r="AF2285">
        <v>-4.4029385834832402</v>
      </c>
      <c r="AG2285">
        <v>-1.1104224185680001</v>
      </c>
      <c r="AH2285">
        <v>55.200476008967101</v>
      </c>
      <c r="AI2285">
        <v>91.148768972903895</v>
      </c>
      <c r="AJ2285">
        <v>94.5604107421143</v>
      </c>
      <c r="AK2285">
        <v>55.3869249709184</v>
      </c>
      <c r="AL2285">
        <v>89.002938896566306</v>
      </c>
      <c r="AM2285">
        <v>88.192030827443006</v>
      </c>
      <c r="AN2285">
        <v>0.99999995373144601</v>
      </c>
    </row>
    <row r="2286" spans="1:40" x14ac:dyDescent="0.25">
      <c r="A2286" t="str">
        <f>"20190312154300308"</f>
        <v>20190312154300308</v>
      </c>
      <c r="B2286" t="str">
        <f>"1552376580300196"</f>
        <v>1552376580300196</v>
      </c>
      <c r="C2286" t="s">
        <v>40</v>
      </c>
      <c r="D2286">
        <v>4.3461650000000001</v>
      </c>
      <c r="E2286">
        <v>0.4976119</v>
      </c>
      <c r="F2286" t="s">
        <v>55</v>
      </c>
      <c r="G2286">
        <v>-757.1481</v>
      </c>
      <c r="H2286">
        <v>-0.1</v>
      </c>
      <c r="I2286">
        <v>286.27370000000002</v>
      </c>
      <c r="J2286">
        <v>-402.33100000000002</v>
      </c>
      <c r="K2286">
        <v>1.11043</v>
      </c>
      <c r="L2286">
        <v>283.28899999999999</v>
      </c>
      <c r="M2286">
        <v>-0.99979589999999996</v>
      </c>
      <c r="N2286">
        <v>0</v>
      </c>
      <c r="O2286">
        <v>1.450692E-2</v>
      </c>
      <c r="P2286">
        <v>-0.99892879999999995</v>
      </c>
      <c r="Q2286">
        <v>3.4539610000000002E-3</v>
      </c>
      <c r="R2286">
        <v>4.6147960000000002E-2</v>
      </c>
      <c r="S2286">
        <v>-3.0020449999999999</v>
      </c>
      <c r="T2286">
        <v>-1.023316E-2</v>
      </c>
      <c r="U2286">
        <v>2.5268550000000001E-2</v>
      </c>
      <c r="V2286">
        <v>3.1657480000000002E-2</v>
      </c>
      <c r="W2286">
        <v>1.749933E-2</v>
      </c>
      <c r="X2286">
        <v>0.99934559999999995</v>
      </c>
      <c r="Y2286">
        <v>-6.0917940000000002E-3</v>
      </c>
      <c r="Z2286" s="1">
        <v>-5.9834460000000002E-5</v>
      </c>
      <c r="AA2286">
        <v>0.99998149999999997</v>
      </c>
      <c r="AB2286">
        <v>28</v>
      </c>
      <c r="AC2286">
        <v>-354.81709999999998</v>
      </c>
      <c r="AD2286">
        <v>-1.2104299999999999</v>
      </c>
      <c r="AE2286">
        <v>2.9847000000000299</v>
      </c>
      <c r="AF2286">
        <v>-2.1634011596914902</v>
      </c>
      <c r="AG2286">
        <v>-1.2104299999999999</v>
      </c>
      <c r="AH2286">
        <v>354.81892896447999</v>
      </c>
      <c r="AI2286">
        <v>90.195454544938798</v>
      </c>
      <c r="AJ2286">
        <v>90.349339366455197</v>
      </c>
      <c r="AK2286">
        <v>354.82758883275</v>
      </c>
      <c r="AL2286">
        <v>88.997311092742706</v>
      </c>
      <c r="AM2286">
        <v>88.185579018754495</v>
      </c>
      <c r="AN2286">
        <v>1.00000002541487</v>
      </c>
    </row>
    <row r="2287" spans="1:40" x14ac:dyDescent="0.25">
      <c r="A2287" t="str">
        <f>"20190312154300341"</f>
        <v>20190312154300341</v>
      </c>
      <c r="B2287" t="str">
        <f>"1552376580329475"</f>
        <v>1552376580329475</v>
      </c>
      <c r="C2287" t="s">
        <v>40</v>
      </c>
      <c r="D2287">
        <v>4.3461119999999998</v>
      </c>
      <c r="E2287">
        <v>0.50446409999999997</v>
      </c>
      <c r="F2287" t="s">
        <v>56</v>
      </c>
      <c r="G2287">
        <v>0</v>
      </c>
      <c r="H2287">
        <v>0</v>
      </c>
      <c r="I2287">
        <v>0</v>
      </c>
      <c r="J2287">
        <v>-402.73219999999998</v>
      </c>
      <c r="K2287">
        <v>1.1104240000000001</v>
      </c>
      <c r="L2287">
        <v>283.29520000000002</v>
      </c>
      <c r="M2287">
        <v>-0.9997916</v>
      </c>
      <c r="N2287">
        <v>0</v>
      </c>
      <c r="O2287">
        <v>1.4805489999999999E-2</v>
      </c>
      <c r="P2287">
        <v>-0.99890109999999999</v>
      </c>
      <c r="Q2287">
        <v>3.368458E-3</v>
      </c>
      <c r="R2287">
        <v>4.6747280000000002E-2</v>
      </c>
      <c r="S2287">
        <v>-2.9977420000000001</v>
      </c>
      <c r="T2287">
        <v>-2.2231339999999999E-3</v>
      </c>
      <c r="U2287">
        <v>0.118866</v>
      </c>
      <c r="V2287">
        <v>3.1958630000000002E-2</v>
      </c>
      <c r="W2287">
        <v>1.7409230000000001E-2</v>
      </c>
      <c r="X2287">
        <v>0.99933760000000005</v>
      </c>
      <c r="Y2287">
        <v>2.4821030000000001E-2</v>
      </c>
      <c r="Z2287" s="1">
        <v>-1.7754E-6</v>
      </c>
      <c r="AA2287">
        <v>0.99969189999999997</v>
      </c>
      <c r="AB2287">
        <v>28</v>
      </c>
      <c r="AC2287">
        <v>-2.9977420000000001</v>
      </c>
      <c r="AD2287">
        <v>-2.2231339999999999E-3</v>
      </c>
      <c r="AE2287">
        <v>0.118866</v>
      </c>
      <c r="AF2287">
        <v>7.4465504079922501E-2</v>
      </c>
      <c r="AG2287">
        <v>-2.2231339999999999E-3</v>
      </c>
      <c r="AH2287">
        <v>2.9991717570990599</v>
      </c>
      <c r="AI2287">
        <v>90.042457364643496</v>
      </c>
      <c r="AJ2287">
        <v>88.577713100059199</v>
      </c>
      <c r="AK2287">
        <v>3.00009687880297</v>
      </c>
      <c r="AL2287">
        <v>89.002474240491594</v>
      </c>
      <c r="AM2287">
        <v>88.1683159170057</v>
      </c>
      <c r="AN2287">
        <v>1.00000003704721</v>
      </c>
    </row>
    <row r="2288" spans="1:40" x14ac:dyDescent="0.25">
      <c r="A2288" t="str">
        <f>"20190312154300362"</f>
        <v>20190312154300362</v>
      </c>
      <c r="B2288" t="str">
        <f>"1552376580349972"</f>
        <v>1552376580349972</v>
      </c>
      <c r="C2288" t="s">
        <v>40</v>
      </c>
      <c r="D2288">
        <v>4.292205</v>
      </c>
      <c r="E2288">
        <v>0.50630520000000001</v>
      </c>
      <c r="F2288" t="s">
        <v>56</v>
      </c>
      <c r="G2288">
        <v>0</v>
      </c>
      <c r="H2288">
        <v>0</v>
      </c>
      <c r="I2288">
        <v>0</v>
      </c>
      <c r="J2288">
        <v>-403.00330000000002</v>
      </c>
      <c r="K2288">
        <v>1.1104240000000001</v>
      </c>
      <c r="L2288">
        <v>283.29939999999999</v>
      </c>
      <c r="M2288">
        <v>-0.99978860000000003</v>
      </c>
      <c r="N2288">
        <v>0</v>
      </c>
      <c r="O2288">
        <v>1.500714E-2</v>
      </c>
      <c r="P2288">
        <v>-0.99889309999999998</v>
      </c>
      <c r="Q2288">
        <v>3.2572629999999998E-3</v>
      </c>
      <c r="R2288">
        <v>4.6930880000000001E-2</v>
      </c>
      <c r="S2288">
        <v>-2.9950260000000002</v>
      </c>
      <c r="T2288">
        <v>1.610637E-3</v>
      </c>
      <c r="U2288">
        <v>0.17544560000000001</v>
      </c>
      <c r="V2288">
        <v>3.1940900000000001E-2</v>
      </c>
      <c r="W2288">
        <v>1.729528E-2</v>
      </c>
      <c r="X2288">
        <v>0.99934009999999995</v>
      </c>
      <c r="Y2288">
        <v>4.348921E-2</v>
      </c>
      <c r="Z2288" s="1">
        <v>-3.6204250000000002E-6</v>
      </c>
      <c r="AA2288">
        <v>0.99905390000000005</v>
      </c>
      <c r="AB2288">
        <v>27</v>
      </c>
      <c r="AC2288">
        <v>-2.9950260000000002</v>
      </c>
      <c r="AD2288">
        <v>1.610637E-3</v>
      </c>
      <c r="AE2288">
        <v>0.17544560000000001</v>
      </c>
      <c r="AF2288">
        <v>0.13047458639486201</v>
      </c>
      <c r="AG2288">
        <v>1.610637E-3</v>
      </c>
      <c r="AH2288">
        <v>2.9973209860206098</v>
      </c>
      <c r="AI2288">
        <v>89.969240736976005</v>
      </c>
      <c r="AJ2288">
        <v>87.5074652747941</v>
      </c>
      <c r="AK2288">
        <v>3.0001598799207398</v>
      </c>
      <c r="AL2288">
        <v>89.009004032464901</v>
      </c>
      <c r="AM2288">
        <v>88.169335983127993</v>
      </c>
      <c r="AN2288">
        <v>0.99999999163554898</v>
      </c>
    </row>
    <row r="2289" spans="1:40" x14ac:dyDescent="0.25">
      <c r="A2289" t="str">
        <f>"20190312154300386"</f>
        <v>20190312154300386</v>
      </c>
      <c r="B2289" t="str">
        <f>"1552376580380228"</f>
        <v>1552376580380228</v>
      </c>
      <c r="C2289" t="s">
        <v>40</v>
      </c>
      <c r="D2289">
        <v>4.2925269999999998</v>
      </c>
      <c r="E2289">
        <v>0.50792799999999905</v>
      </c>
      <c r="F2289" t="s">
        <v>56</v>
      </c>
      <c r="G2289">
        <v>0</v>
      </c>
      <c r="H2289">
        <v>0</v>
      </c>
      <c r="I2289">
        <v>0</v>
      </c>
      <c r="J2289">
        <v>-403.28109999999998</v>
      </c>
      <c r="K2289">
        <v>1.1104240000000001</v>
      </c>
      <c r="L2289">
        <v>283.30380000000002</v>
      </c>
      <c r="M2289">
        <v>-0.99978540000000005</v>
      </c>
      <c r="N2289">
        <v>0</v>
      </c>
      <c r="O2289">
        <v>1.521373E-2</v>
      </c>
      <c r="P2289">
        <v>-0.99888129999999997</v>
      </c>
      <c r="Q2289">
        <v>3.1250509999999998E-3</v>
      </c>
      <c r="R2289">
        <v>4.7181609999999999E-2</v>
      </c>
      <c r="S2289">
        <v>-2.994354</v>
      </c>
      <c r="T2289">
        <v>2.8542279999999999E-3</v>
      </c>
      <c r="U2289">
        <v>0.19073490000000001</v>
      </c>
      <c r="V2289">
        <v>3.1984789999999999E-2</v>
      </c>
      <c r="W2289">
        <v>1.7159879999999999E-2</v>
      </c>
      <c r="X2289">
        <v>0.99934100000000003</v>
      </c>
      <c r="Y2289">
        <v>4.8377499999999997E-2</v>
      </c>
      <c r="Z2289" s="1">
        <v>-8.5470979999999994E-6</v>
      </c>
      <c r="AA2289">
        <v>0.99882910000000003</v>
      </c>
      <c r="AB2289">
        <v>27</v>
      </c>
      <c r="AC2289">
        <v>-2.994354</v>
      </c>
      <c r="AD2289">
        <v>2.8542279999999999E-3</v>
      </c>
      <c r="AE2289">
        <v>0.19073490000000001</v>
      </c>
      <c r="AF2289">
        <v>0.14515289247949201</v>
      </c>
      <c r="AG2289">
        <v>2.8542279999999999E-3</v>
      </c>
      <c r="AH2289">
        <v>2.9969067426241298</v>
      </c>
      <c r="AI2289">
        <v>89.945495905234495</v>
      </c>
      <c r="AJ2289">
        <v>87.227089562067107</v>
      </c>
      <c r="AK2289">
        <v>3.0004212258945602</v>
      </c>
      <c r="AL2289">
        <v>89.016763002709595</v>
      </c>
      <c r="AM2289">
        <v>88.166823832183695</v>
      </c>
      <c r="AN2289">
        <v>0.99999996127697799</v>
      </c>
    </row>
    <row r="2290" spans="1:40" x14ac:dyDescent="0.25">
      <c r="A2290" t="str">
        <f>"20190312154300409"</f>
        <v>20190312154300409</v>
      </c>
      <c r="B2290" t="str">
        <f>"1552376580399748"</f>
        <v>1552376580399748</v>
      </c>
      <c r="C2290" t="s">
        <v>40</v>
      </c>
      <c r="D2290">
        <v>4.2897460000000001</v>
      </c>
      <c r="E2290">
        <v>0.50865289999999996</v>
      </c>
      <c r="F2290" t="s">
        <v>56</v>
      </c>
      <c r="G2290">
        <v>0</v>
      </c>
      <c r="H2290">
        <v>0</v>
      </c>
      <c r="I2290">
        <v>0</v>
      </c>
      <c r="J2290">
        <v>-403.55900000000003</v>
      </c>
      <c r="K2290">
        <v>1.1104229999999999</v>
      </c>
      <c r="L2290">
        <v>283.30829999999997</v>
      </c>
      <c r="M2290">
        <v>-0.99978250000000002</v>
      </c>
      <c r="N2290">
        <v>0</v>
      </c>
      <c r="O2290">
        <v>1.542002E-2</v>
      </c>
      <c r="P2290">
        <v>-0.99886180000000002</v>
      </c>
      <c r="Q2290">
        <v>3.2414380000000001E-3</v>
      </c>
      <c r="R2290">
        <v>4.7591599999999998E-2</v>
      </c>
      <c r="S2290">
        <v>-2.9937130000000001</v>
      </c>
      <c r="T2290">
        <v>3.3601519999999999E-3</v>
      </c>
      <c r="U2290">
        <v>0.2045593</v>
      </c>
      <c r="V2290">
        <v>3.2189049999999997E-2</v>
      </c>
      <c r="W2290">
        <v>1.727335E-2</v>
      </c>
      <c r="X2290">
        <v>0.99933249999999996</v>
      </c>
      <c r="Y2290">
        <v>5.2776879999999998E-2</v>
      </c>
      <c r="Z2290" s="1">
        <v>-1.229773E-5</v>
      </c>
      <c r="AA2290">
        <v>0.99860629999999995</v>
      </c>
      <c r="AB2290">
        <v>27</v>
      </c>
      <c r="AC2290">
        <v>-2.9937130000000001</v>
      </c>
      <c r="AD2290">
        <v>3.3601519999999999E-3</v>
      </c>
      <c r="AE2290">
        <v>0.2045593</v>
      </c>
      <c r="AF2290">
        <v>0.158367109296423</v>
      </c>
      <c r="AG2290">
        <v>3.3601519999999999E-3</v>
      </c>
      <c r="AH2290">
        <v>2.99650785266418</v>
      </c>
      <c r="AI2290">
        <v>89.935840603795597</v>
      </c>
      <c r="AJ2290">
        <v>86.974700776132906</v>
      </c>
      <c r="AK2290">
        <v>3.00069171075712</v>
      </c>
      <c r="AL2290">
        <v>89.010260699745999</v>
      </c>
      <c r="AM2290">
        <v>88.155109258438998</v>
      </c>
      <c r="AN2290">
        <v>0.99999997455818701</v>
      </c>
    </row>
    <row r="2291" spans="1:40" x14ac:dyDescent="0.25">
      <c r="A2291" t="str">
        <f>"20190312154300430"</f>
        <v>20190312154300430</v>
      </c>
      <c r="B2291" t="str">
        <f>"1552376580420244"</f>
        <v>1552376580420244</v>
      </c>
      <c r="C2291" t="s">
        <v>40</v>
      </c>
      <c r="D2291">
        <v>4.2714410000000003</v>
      </c>
      <c r="E2291">
        <v>0.509189</v>
      </c>
      <c r="F2291" t="s">
        <v>53</v>
      </c>
      <c r="G2291">
        <v>-550.52110000000005</v>
      </c>
      <c r="H2291">
        <v>1.286046</v>
      </c>
      <c r="I2291">
        <v>293.69319999999999</v>
      </c>
      <c r="J2291">
        <v>-403.83170000000001</v>
      </c>
      <c r="K2291">
        <v>1.1104229999999999</v>
      </c>
      <c r="L2291">
        <v>283.31270000000001</v>
      </c>
      <c r="M2291">
        <v>-0.99977930000000004</v>
      </c>
      <c r="N2291">
        <v>0</v>
      </c>
      <c r="O2291">
        <v>1.562322E-2</v>
      </c>
      <c r="P2291">
        <v>-0.99885210000000002</v>
      </c>
      <c r="Q2291">
        <v>3.459709E-3</v>
      </c>
      <c r="R2291">
        <v>4.7776899999999997E-2</v>
      </c>
      <c r="S2291">
        <v>-2.9932859999999999</v>
      </c>
      <c r="T2291">
        <v>3.578782E-3</v>
      </c>
      <c r="U2291">
        <v>0.21151729999999999</v>
      </c>
      <c r="V2291">
        <v>3.2171430000000001E-2</v>
      </c>
      <c r="W2291">
        <v>1.7489319999999999E-2</v>
      </c>
      <c r="X2291">
        <v>0.99932929999999998</v>
      </c>
      <c r="Y2291">
        <v>5.4893619999999997E-2</v>
      </c>
      <c r="Z2291" s="1">
        <v>-1.412002E-5</v>
      </c>
      <c r="AA2291">
        <v>0.99849219999999905</v>
      </c>
      <c r="AB2291">
        <v>27</v>
      </c>
      <c r="AC2291">
        <v>-146.68940000000001</v>
      </c>
      <c r="AD2291">
        <v>0.175623</v>
      </c>
      <c r="AE2291">
        <v>10.3804999999999</v>
      </c>
      <c r="AF2291">
        <v>8.0872344311962792</v>
      </c>
      <c r="AG2291">
        <v>0.175623</v>
      </c>
      <c r="AH2291">
        <v>146.833476445668</v>
      </c>
      <c r="AI2291">
        <v>89.931574022830105</v>
      </c>
      <c r="AJ2291">
        <v>86.847471584770304</v>
      </c>
      <c r="AK2291">
        <v>147.05612537158601</v>
      </c>
      <c r="AL2291">
        <v>88.997884649244497</v>
      </c>
      <c r="AM2291">
        <v>88.156112537624196</v>
      </c>
      <c r="AN2291">
        <v>0.999999963530398</v>
      </c>
    </row>
    <row r="2292" spans="1:40" x14ac:dyDescent="0.25">
      <c r="A2292" t="str">
        <f>"20190312154300452"</f>
        <v>20190312154300452</v>
      </c>
      <c r="B2292" t="str">
        <f>"1552376580439764"</f>
        <v>1552376580439764</v>
      </c>
      <c r="C2292" t="s">
        <v>40</v>
      </c>
      <c r="D2292">
        <v>4.3041640000000001</v>
      </c>
      <c r="E2292">
        <v>0.50968400000000003</v>
      </c>
      <c r="F2292" t="s">
        <v>53</v>
      </c>
      <c r="G2292">
        <v>-550.05730000000005</v>
      </c>
      <c r="H2292">
        <v>1.3314029999999999</v>
      </c>
      <c r="I2292">
        <v>293.88040000000001</v>
      </c>
      <c r="J2292">
        <v>-404.09280000000001</v>
      </c>
      <c r="K2292">
        <v>1.1104270000000001</v>
      </c>
      <c r="L2292">
        <v>283.31700000000001</v>
      </c>
      <c r="M2292">
        <v>-0.9997762</v>
      </c>
      <c r="N2292">
        <v>0</v>
      </c>
      <c r="O2292">
        <v>1.5817769999999998E-2</v>
      </c>
      <c r="P2292">
        <v>-0.99886260000000004</v>
      </c>
      <c r="Q2292">
        <v>3.4933590000000001E-3</v>
      </c>
      <c r="R2292">
        <v>4.7555670000000001E-2</v>
      </c>
      <c r="S2292">
        <v>-2.9930729999999999</v>
      </c>
      <c r="T2292">
        <v>4.5249460000000002E-3</v>
      </c>
      <c r="U2292">
        <v>0.21630859999999999</v>
      </c>
      <c r="V2292">
        <v>3.1755489999999997E-2</v>
      </c>
      <c r="W2292">
        <v>1.7520790000000001E-2</v>
      </c>
      <c r="X2292">
        <v>0.99934210000000001</v>
      </c>
      <c r="Y2292">
        <v>5.6294520000000001E-2</v>
      </c>
      <c r="Z2292" s="1">
        <v>-1.861732E-5</v>
      </c>
      <c r="AA2292">
        <v>0.99841420000000003</v>
      </c>
      <c r="AB2292">
        <v>27</v>
      </c>
      <c r="AC2292">
        <v>-145.96449999999999</v>
      </c>
      <c r="AD2292">
        <v>0.22097600000000001</v>
      </c>
      <c r="AE2292">
        <v>10.5634</v>
      </c>
      <c r="AF2292">
        <v>8.2529986041080594</v>
      </c>
      <c r="AG2292">
        <v>0.22097600000000001</v>
      </c>
      <c r="AH2292">
        <v>146.11300774879501</v>
      </c>
      <c r="AI2292">
        <v>89.913485909873501</v>
      </c>
      <c r="AJ2292">
        <v>86.767159321779104</v>
      </c>
      <c r="AK2292">
        <v>146.346068788168</v>
      </c>
      <c r="AL2292">
        <v>88.996081322365399</v>
      </c>
      <c r="AM2292">
        <v>88.179959062890802</v>
      </c>
      <c r="AN2292">
        <v>1.0000000110298799</v>
      </c>
    </row>
    <row r="2293" spans="1:40" x14ac:dyDescent="0.25">
      <c r="A2293" t="str">
        <f>"20190312154300474"</f>
        <v>20190312154300474</v>
      </c>
      <c r="B2293" t="str">
        <f>"1552376580470023"</f>
        <v>1552376580470023</v>
      </c>
      <c r="C2293" t="s">
        <v>40</v>
      </c>
      <c r="D2293">
        <v>4.3178320000000001</v>
      </c>
      <c r="E2293">
        <v>0.51028249999999997</v>
      </c>
      <c r="F2293" t="s">
        <v>53</v>
      </c>
      <c r="G2293">
        <v>-550.05730000000005</v>
      </c>
      <c r="H2293">
        <v>1.3514120000000001</v>
      </c>
      <c r="I2293">
        <v>294.03750000000002</v>
      </c>
      <c r="J2293">
        <v>-404.37009999999998</v>
      </c>
      <c r="K2293">
        <v>1.110428</v>
      </c>
      <c r="L2293">
        <v>283.32170000000002</v>
      </c>
      <c r="M2293">
        <v>-0.99977300000000002</v>
      </c>
      <c r="N2293">
        <v>0</v>
      </c>
      <c r="O2293">
        <v>1.6024299999999998E-2</v>
      </c>
      <c r="P2293">
        <v>-0.99886779999999997</v>
      </c>
      <c r="Q2293">
        <v>3.1636260000000001E-3</v>
      </c>
      <c r="R2293">
        <v>4.7465800000000002E-2</v>
      </c>
      <c r="S2293">
        <v>-2.9929199999999998</v>
      </c>
      <c r="T2293">
        <v>4.9430129999999996E-3</v>
      </c>
      <c r="U2293">
        <v>0.21981809999999999</v>
      </c>
      <c r="V2293">
        <v>3.1458899999999998E-2</v>
      </c>
      <c r="W2293">
        <v>1.7188490000000001E-2</v>
      </c>
      <c r="X2293">
        <v>0.99935719999999995</v>
      </c>
      <c r="Y2293">
        <v>5.725645E-2</v>
      </c>
      <c r="Z2293" s="1">
        <v>-2.079035E-5</v>
      </c>
      <c r="AA2293">
        <v>0.99835949999999996</v>
      </c>
      <c r="AB2293">
        <v>27</v>
      </c>
      <c r="AC2293">
        <v>-145.68719999999999</v>
      </c>
      <c r="AD2293">
        <v>0.240984</v>
      </c>
      <c r="AE2293">
        <v>10.7158</v>
      </c>
      <c r="AF2293">
        <v>8.3796354607158001</v>
      </c>
      <c r="AG2293">
        <v>0.240984</v>
      </c>
      <c r="AH2293">
        <v>145.83982370026001</v>
      </c>
      <c r="AI2293">
        <v>89.9054811111004</v>
      </c>
      <c r="AJ2293">
        <v>86.711526218796607</v>
      </c>
      <c r="AK2293">
        <v>146.08056181664199</v>
      </c>
      <c r="AL2293">
        <v>89.015123527221405</v>
      </c>
      <c r="AM2293">
        <v>88.196973837771907</v>
      </c>
      <c r="AN2293">
        <v>0.99999995988476398</v>
      </c>
    </row>
    <row r="2294" spans="1:40" x14ac:dyDescent="0.25">
      <c r="A2294" t="str">
        <f>"20190312154300497"</f>
        <v>20190312154300497</v>
      </c>
      <c r="B2294" t="str">
        <f>"1552376580489540"</f>
        <v>1552376580489540</v>
      </c>
      <c r="C2294" t="s">
        <v>40</v>
      </c>
      <c r="D2294">
        <v>4.3022169999999997</v>
      </c>
      <c r="E2294">
        <v>0.51063199999999997</v>
      </c>
      <c r="F2294" t="s">
        <v>53</v>
      </c>
      <c r="G2294">
        <v>-550.05730000000005</v>
      </c>
      <c r="H2294">
        <v>1.2627280000000001</v>
      </c>
      <c r="I2294">
        <v>294.22890000000001</v>
      </c>
      <c r="J2294">
        <v>-404.64850000000001</v>
      </c>
      <c r="K2294">
        <v>1.1104309999999999</v>
      </c>
      <c r="L2294">
        <v>283.32639999999998</v>
      </c>
      <c r="M2294">
        <v>-0.99976969999999998</v>
      </c>
      <c r="N2294">
        <v>0</v>
      </c>
      <c r="O2294">
        <v>1.6231309999999999E-2</v>
      </c>
      <c r="P2294">
        <v>-0.99886580000000003</v>
      </c>
      <c r="Q2294">
        <v>3.244743E-3</v>
      </c>
      <c r="R2294">
        <v>4.7505949999999998E-2</v>
      </c>
      <c r="S2294">
        <v>-2.992737</v>
      </c>
      <c r="T2294">
        <v>3.1303170000000001E-3</v>
      </c>
      <c r="U2294">
        <v>0.22406010000000001</v>
      </c>
      <c r="V2294">
        <v>3.1292170000000001E-2</v>
      </c>
      <c r="W2294">
        <v>1.726668E-2</v>
      </c>
      <c r="X2294">
        <v>0.9993611</v>
      </c>
      <c r="Y2294">
        <v>5.8461539999999999E-2</v>
      </c>
      <c r="Z2294" s="1">
        <v>-1.3579520000000001E-5</v>
      </c>
      <c r="AA2294">
        <v>0.9982896</v>
      </c>
      <c r="AB2294">
        <v>27</v>
      </c>
      <c r="AC2294">
        <v>-145.40880000000001</v>
      </c>
      <c r="AD2294">
        <v>0.15229699999999999</v>
      </c>
      <c r="AE2294">
        <v>10.9025</v>
      </c>
      <c r="AF2294">
        <v>8.5406462150629991</v>
      </c>
      <c r="AG2294">
        <v>0.15229699999999999</v>
      </c>
      <c r="AH2294">
        <v>145.566461100222</v>
      </c>
      <c r="AI2294">
        <v>89.940157975246706</v>
      </c>
      <c r="AJ2294">
        <v>86.642202921381397</v>
      </c>
      <c r="AK2294">
        <v>145.81687292419099</v>
      </c>
      <c r="AL2294">
        <v>89.010642918232406</v>
      </c>
      <c r="AM2294">
        <v>88.206530489086504</v>
      </c>
      <c r="AN2294">
        <v>0.99999997316736999</v>
      </c>
    </row>
    <row r="2295" spans="1:40" x14ac:dyDescent="0.25">
      <c r="A2295" t="str">
        <f>"20190312154300518"</f>
        <v>20190312154300518</v>
      </c>
      <c r="B2295" t="str">
        <f>"1552376580510037"</f>
        <v>1552376580510037</v>
      </c>
      <c r="C2295" t="s">
        <v>40</v>
      </c>
      <c r="D2295">
        <v>4.3047519999999997</v>
      </c>
      <c r="E2295">
        <v>0.51089200000000001</v>
      </c>
      <c r="F2295" t="s">
        <v>53</v>
      </c>
      <c r="G2295">
        <v>-550.05730000000005</v>
      </c>
      <c r="H2295">
        <v>1.2507790000000001</v>
      </c>
      <c r="I2295">
        <v>294.36</v>
      </c>
      <c r="J2295">
        <v>-404.91300000000001</v>
      </c>
      <c r="K2295">
        <v>1.1104350000000001</v>
      </c>
      <c r="L2295">
        <v>283.33089999999999</v>
      </c>
      <c r="M2295">
        <v>-0.99976659999999995</v>
      </c>
      <c r="N2295">
        <v>0</v>
      </c>
      <c r="O2295">
        <v>1.6428129999999999E-2</v>
      </c>
      <c r="P2295">
        <v>-0.99885670000000004</v>
      </c>
      <c r="Q2295">
        <v>3.4530139999999999E-3</v>
      </c>
      <c r="R2295">
        <v>4.7682559999999999E-2</v>
      </c>
      <c r="S2295">
        <v>-2.9926149999999998</v>
      </c>
      <c r="T2295">
        <v>2.8902289999999998E-3</v>
      </c>
      <c r="U2295">
        <v>0.22708130000000001</v>
      </c>
      <c r="V2295">
        <v>3.12722E-2</v>
      </c>
      <c r="W2295">
        <v>1.747216E-2</v>
      </c>
      <c r="X2295">
        <v>0.99935819999999997</v>
      </c>
      <c r="Y2295">
        <v>5.9270169999999997E-2</v>
      </c>
      <c r="Z2295" s="1">
        <v>-1.2738240000000001E-5</v>
      </c>
      <c r="AA2295">
        <v>0.99824199999999996</v>
      </c>
      <c r="AB2295">
        <v>27</v>
      </c>
      <c r="AC2295">
        <v>-145.14429999999999</v>
      </c>
      <c r="AD2295">
        <v>0.140344</v>
      </c>
      <c r="AE2295">
        <v>11.0291</v>
      </c>
      <c r="AF2295">
        <v>8.6429191187411192</v>
      </c>
      <c r="AG2295">
        <v>0.140344</v>
      </c>
      <c r="AH2295">
        <v>145.305779050886</v>
      </c>
      <c r="AI2295">
        <v>89.944758361102799</v>
      </c>
      <c r="AJ2295">
        <v>86.596005867863198</v>
      </c>
      <c r="AK2295">
        <v>145.56266407604801</v>
      </c>
      <c r="AL2295">
        <v>88.998868051038002</v>
      </c>
      <c r="AM2295">
        <v>88.207669098874604</v>
      </c>
      <c r="AN2295">
        <v>1.00000001938757</v>
      </c>
    </row>
    <row r="2296" spans="1:40" x14ac:dyDescent="0.25">
      <c r="A2296" t="str">
        <f>"20190312154300540"</f>
        <v>20190312154300540</v>
      </c>
      <c r="B2296" t="str">
        <f>"1552376580529556"</f>
        <v>1552376580529556</v>
      </c>
      <c r="C2296" t="s">
        <v>40</v>
      </c>
      <c r="D2296">
        <v>4.3276669999999999</v>
      </c>
      <c r="E2296">
        <v>0.51110999999999995</v>
      </c>
      <c r="F2296" t="s">
        <v>53</v>
      </c>
      <c r="G2296">
        <v>-550.05730000000005</v>
      </c>
      <c r="H2296">
        <v>1.279372</v>
      </c>
      <c r="I2296">
        <v>294.471</v>
      </c>
      <c r="J2296">
        <v>-405.17320000000001</v>
      </c>
      <c r="K2296">
        <v>1.1104449999999999</v>
      </c>
      <c r="L2296">
        <v>283.33539999999999</v>
      </c>
      <c r="M2296">
        <v>-0.99976350000000003</v>
      </c>
      <c r="N2296">
        <v>0</v>
      </c>
      <c r="O2296">
        <v>1.6622029999999999E-2</v>
      </c>
      <c r="P2296">
        <v>-0.99883900000000003</v>
      </c>
      <c r="Q2296">
        <v>3.458465E-3</v>
      </c>
      <c r="R2296">
        <v>4.8050139999999998E-2</v>
      </c>
      <c r="S2296">
        <v>-2.992432</v>
      </c>
      <c r="T2296">
        <v>3.4847260000000001E-3</v>
      </c>
      <c r="U2296">
        <v>0.2296753</v>
      </c>
      <c r="V2296">
        <v>3.1446149999999999E-2</v>
      </c>
      <c r="W2296">
        <v>1.7475020000000001E-2</v>
      </c>
      <c r="X2296">
        <v>0.99935269999999998</v>
      </c>
      <c r="Y2296">
        <v>5.9941469999999997E-2</v>
      </c>
      <c r="Z2296" s="1">
        <v>-1.5523759999999999E-5</v>
      </c>
      <c r="AA2296">
        <v>0.99820189999999998</v>
      </c>
      <c r="AB2296">
        <v>27</v>
      </c>
      <c r="AC2296">
        <v>-144.88409999999999</v>
      </c>
      <c r="AD2296">
        <v>0.16892699999999899</v>
      </c>
      <c r="AE2296">
        <v>11.1356</v>
      </c>
      <c r="AF2296">
        <v>8.7255447738449998</v>
      </c>
      <c r="AG2296">
        <v>0.16892699999999899</v>
      </c>
      <c r="AH2296">
        <v>145.04899798351801</v>
      </c>
      <c r="AI2296">
        <v>89.933392613206195</v>
      </c>
      <c r="AJ2296">
        <v>86.557472594584297</v>
      </c>
      <c r="AK2296">
        <v>145.31130542375001</v>
      </c>
      <c r="AL2296">
        <v>88.998704168549494</v>
      </c>
      <c r="AM2296">
        <v>88.197695995254094</v>
      </c>
      <c r="AN2296">
        <v>1.0000000278355501</v>
      </c>
    </row>
    <row r="2297" spans="1:40" x14ac:dyDescent="0.25">
      <c r="A2297" t="str">
        <f>"20190312154300575"</f>
        <v>20190312154300575</v>
      </c>
      <c r="B2297" t="str">
        <f>"1552376580569572"</f>
        <v>1552376580569572</v>
      </c>
      <c r="C2297" t="s">
        <v>40</v>
      </c>
      <c r="D2297">
        <v>4.3647109999999998</v>
      </c>
      <c r="E2297">
        <v>0.51146859999999905</v>
      </c>
      <c r="F2297" t="s">
        <v>53</v>
      </c>
      <c r="G2297">
        <v>-549.57330000000002</v>
      </c>
      <c r="H2297">
        <v>1.2544599999999999</v>
      </c>
      <c r="I2297">
        <v>294.55</v>
      </c>
      <c r="J2297">
        <v>-405.5899</v>
      </c>
      <c r="K2297">
        <v>1.1104499999999999</v>
      </c>
      <c r="L2297">
        <v>283.34269999999998</v>
      </c>
      <c r="M2297">
        <v>-0.99975820000000004</v>
      </c>
      <c r="N2297">
        <v>0</v>
      </c>
      <c r="O2297">
        <v>1.6932630000000001E-2</v>
      </c>
      <c r="P2297">
        <v>-0.99878540000000005</v>
      </c>
      <c r="Q2297">
        <v>4.561575E-3</v>
      </c>
      <c r="R2297">
        <v>4.9059419999999999E-2</v>
      </c>
      <c r="S2297">
        <v>-2.9922789999999999</v>
      </c>
      <c r="T2297">
        <v>2.9860730000000001E-3</v>
      </c>
      <c r="U2297">
        <v>0.2323914</v>
      </c>
      <c r="V2297">
        <v>3.2146069999999999E-2</v>
      </c>
      <c r="W2297">
        <v>1.8572999999999999E-2</v>
      </c>
      <c r="X2297">
        <v>0.99931060000000005</v>
      </c>
      <c r="Y2297">
        <v>6.053592E-2</v>
      </c>
      <c r="Z2297" s="1">
        <v>-1.328938E-5</v>
      </c>
      <c r="AA2297">
        <v>0.998166</v>
      </c>
      <c r="AB2297">
        <v>27</v>
      </c>
      <c r="AC2297">
        <v>-143.98339999999999</v>
      </c>
      <c r="AD2297">
        <v>0.14401</v>
      </c>
      <c r="AE2297">
        <v>11.2073</v>
      </c>
      <c r="AF2297">
        <v>8.7674265976437695</v>
      </c>
      <c r="AG2297">
        <v>0.14401</v>
      </c>
      <c r="AH2297">
        <v>144.152397836479</v>
      </c>
      <c r="AI2297">
        <v>89.942866412826803</v>
      </c>
      <c r="AJ2297">
        <v>86.519527140479696</v>
      </c>
      <c r="AK2297">
        <v>144.41884333434999</v>
      </c>
      <c r="AL2297">
        <v>88.935784297219797</v>
      </c>
      <c r="AM2297">
        <v>88.157530576085506</v>
      </c>
      <c r="AN2297">
        <v>1.0000000007089</v>
      </c>
    </row>
    <row r="2298" spans="1:40" x14ac:dyDescent="0.25">
      <c r="A2298" t="str">
        <f>"20190312154300597"</f>
        <v>20190312154300597</v>
      </c>
      <c r="B2298" t="str">
        <f>"1552376580590072"</f>
        <v>1552376580590072</v>
      </c>
      <c r="C2298" t="s">
        <v>40</v>
      </c>
      <c r="D2298">
        <v>4.363289</v>
      </c>
      <c r="E2298">
        <v>0.51159509999999997</v>
      </c>
      <c r="F2298" t="s">
        <v>53</v>
      </c>
      <c r="G2298">
        <v>-546.27560000000005</v>
      </c>
      <c r="H2298">
        <v>1.3744879999999999</v>
      </c>
      <c r="I2298">
        <v>294.55</v>
      </c>
      <c r="J2298">
        <v>-405.8605</v>
      </c>
      <c r="K2298">
        <v>1.1104560000000001</v>
      </c>
      <c r="L2298">
        <v>283.34739999999999</v>
      </c>
      <c r="M2298">
        <v>-0.9997547</v>
      </c>
      <c r="N2298">
        <v>0</v>
      </c>
      <c r="O2298">
        <v>1.7134389999999999E-2</v>
      </c>
      <c r="P2298">
        <v>-0.9987549</v>
      </c>
      <c r="Q2298">
        <v>5.6283879999999998E-3</v>
      </c>
      <c r="R2298">
        <v>4.9563599999999999E-2</v>
      </c>
      <c r="S2298">
        <v>-2.9919129999999998</v>
      </c>
      <c r="T2298">
        <v>5.6170229999999996E-3</v>
      </c>
      <c r="U2298">
        <v>0.23834230000000001</v>
      </c>
      <c r="V2298">
        <v>3.2449260000000001E-2</v>
      </c>
      <c r="W2298">
        <v>1.963662E-2</v>
      </c>
      <c r="X2298">
        <v>0.99928050000000002</v>
      </c>
      <c r="Y2298">
        <v>6.231689E-2</v>
      </c>
      <c r="Z2298" s="1">
        <v>-2.6290599999999999E-5</v>
      </c>
      <c r="AA2298">
        <v>0.99805639999999995</v>
      </c>
      <c r="AB2298">
        <v>27</v>
      </c>
      <c r="AC2298">
        <v>-140.4151</v>
      </c>
      <c r="AD2298">
        <v>0.26403199999999999</v>
      </c>
      <c r="AE2298">
        <v>11.2026</v>
      </c>
      <c r="AF2298">
        <v>8.7947601379774696</v>
      </c>
      <c r="AG2298">
        <v>0.26403199999999999</v>
      </c>
      <c r="AH2298">
        <v>140.58595706480099</v>
      </c>
      <c r="AI2298">
        <v>89.892603877243801</v>
      </c>
      <c r="AJ2298">
        <v>86.420361974300704</v>
      </c>
      <c r="AK2298">
        <v>140.86102669868501</v>
      </c>
      <c r="AL2298">
        <v>88.874832270829103</v>
      </c>
      <c r="AM2298">
        <v>88.140109242140696</v>
      </c>
      <c r="AN2298">
        <v>1.00000003449991</v>
      </c>
    </row>
    <row r="2299" spans="1:40" x14ac:dyDescent="0.25">
      <c r="A2299" t="str">
        <f>"20190312154300620"</f>
        <v>20190312154300620</v>
      </c>
      <c r="B2299" t="str">
        <f>"1552376580609588"</f>
        <v>1552376580609588</v>
      </c>
      <c r="C2299" t="s">
        <v>40</v>
      </c>
      <c r="D2299">
        <v>4.3527779999999998</v>
      </c>
      <c r="E2299">
        <v>0.51172879999999998</v>
      </c>
      <c r="F2299" t="s">
        <v>53</v>
      </c>
      <c r="G2299">
        <v>-545.14160000000004</v>
      </c>
      <c r="H2299">
        <v>1.5136559999999999</v>
      </c>
      <c r="I2299">
        <v>294.55</v>
      </c>
      <c r="J2299">
        <v>-406.13380000000001</v>
      </c>
      <c r="K2299">
        <v>1.110457</v>
      </c>
      <c r="L2299">
        <v>283.35239999999999</v>
      </c>
      <c r="M2299">
        <v>-0.99975130000000001</v>
      </c>
      <c r="N2299">
        <v>0</v>
      </c>
      <c r="O2299">
        <v>1.7338309999999999E-2</v>
      </c>
      <c r="P2299">
        <v>-0.99871469999999996</v>
      </c>
      <c r="Q2299">
        <v>6.8204240000000003E-3</v>
      </c>
      <c r="R2299">
        <v>5.0222290000000003E-2</v>
      </c>
      <c r="S2299">
        <v>-2.9917600000000002</v>
      </c>
      <c r="T2299">
        <v>8.6625809999999904E-3</v>
      </c>
      <c r="U2299">
        <v>0.24063109999999999</v>
      </c>
      <c r="V2299">
        <v>3.2905219999999999E-2</v>
      </c>
      <c r="W2299">
        <v>2.0825139999999999E-2</v>
      </c>
      <c r="X2299">
        <v>0.9992415</v>
      </c>
      <c r="Y2299">
        <v>6.287595E-2</v>
      </c>
      <c r="Z2299" s="1">
        <v>-4.0765079999999999E-5</v>
      </c>
      <c r="AA2299">
        <v>0.99802139999999995</v>
      </c>
      <c r="AB2299">
        <v>27</v>
      </c>
      <c r="AC2299">
        <v>-139.0078</v>
      </c>
      <c r="AD2299">
        <v>0.40319899999999897</v>
      </c>
      <c r="AE2299">
        <v>11.1976</v>
      </c>
      <c r="AF2299">
        <v>8.7854455822161395</v>
      </c>
      <c r="AG2299">
        <v>0.40319899999999897</v>
      </c>
      <c r="AH2299">
        <v>139.179903426218</v>
      </c>
      <c r="AI2299">
        <v>89.834346417551501</v>
      </c>
      <c r="AJ2299">
        <v>86.388113689638004</v>
      </c>
      <c r="AK2299">
        <v>139.457492237753</v>
      </c>
      <c r="AL2299">
        <v>88.806721117266704</v>
      </c>
      <c r="AM2299">
        <v>88.113920218201102</v>
      </c>
      <c r="AN2299">
        <v>1.00000000764075</v>
      </c>
    </row>
    <row r="2300" spans="1:40" x14ac:dyDescent="0.25">
      <c r="A2300" t="str">
        <f>"20190312154300642"</f>
        <v>20190312154300642</v>
      </c>
      <c r="B2300" t="str">
        <f>"1552376580630084"</f>
        <v>1552376580630084</v>
      </c>
      <c r="C2300" t="s">
        <v>40</v>
      </c>
      <c r="D2300">
        <v>4.3815400000000002</v>
      </c>
      <c r="E2300">
        <v>0.51186409999999904</v>
      </c>
      <c r="F2300" t="s">
        <v>53</v>
      </c>
      <c r="G2300">
        <v>-543.49670000000003</v>
      </c>
      <c r="H2300">
        <v>1.653662</v>
      </c>
      <c r="I2300">
        <v>294.55</v>
      </c>
      <c r="J2300">
        <v>-406.4083</v>
      </c>
      <c r="K2300">
        <v>1.1104609999999999</v>
      </c>
      <c r="L2300">
        <v>283.35750000000002</v>
      </c>
      <c r="M2300">
        <v>-0.99974779999999996</v>
      </c>
      <c r="N2300">
        <v>0</v>
      </c>
      <c r="O2300">
        <v>1.754317E-2</v>
      </c>
      <c r="P2300">
        <v>-0.99866690000000002</v>
      </c>
      <c r="Q2300">
        <v>7.7286059999999998E-3</v>
      </c>
      <c r="R2300">
        <v>5.1037369999999999E-2</v>
      </c>
      <c r="S2300">
        <v>-2.9915470000000002</v>
      </c>
      <c r="T2300">
        <v>1.1832000000000001E-2</v>
      </c>
      <c r="U2300">
        <v>0.243866</v>
      </c>
      <c r="V2300">
        <v>3.351676E-2</v>
      </c>
      <c r="W2300">
        <v>2.1729970000000001E-2</v>
      </c>
      <c r="X2300">
        <v>0.99920189999999998</v>
      </c>
      <c r="Y2300">
        <v>6.3749100000000003E-2</v>
      </c>
      <c r="Z2300" s="1">
        <v>-5.6596840000000003E-5</v>
      </c>
      <c r="AA2300">
        <v>0.99796589999999996</v>
      </c>
      <c r="AB2300">
        <v>27</v>
      </c>
      <c r="AC2300">
        <v>-137.08840000000001</v>
      </c>
      <c r="AD2300">
        <v>0.54320099999999905</v>
      </c>
      <c r="AE2300">
        <v>11.1924999999999</v>
      </c>
      <c r="AF2300">
        <v>8.7854386693735194</v>
      </c>
      <c r="AG2300">
        <v>0.54320099999999905</v>
      </c>
      <c r="AH2300">
        <v>137.26152926930999</v>
      </c>
      <c r="AI2300">
        <v>89.773720952335694</v>
      </c>
      <c r="AJ2300">
        <v>86.337773091185298</v>
      </c>
      <c r="AK2300">
        <v>137.54347100931199</v>
      </c>
      <c r="AL2300">
        <v>88.754866427769102</v>
      </c>
      <c r="AM2300">
        <v>88.078817573684901</v>
      </c>
      <c r="AN2300">
        <v>1.00000000088035</v>
      </c>
    </row>
    <row r="2301" spans="1:40" x14ac:dyDescent="0.25">
      <c r="A2301" t="str">
        <f>"20190312154300665"</f>
        <v>20190312154300665</v>
      </c>
      <c r="B2301" t="str">
        <f>"1552376580659364"</f>
        <v>1552376580659364</v>
      </c>
      <c r="C2301" t="s">
        <v>40</v>
      </c>
      <c r="D2301">
        <v>4.4380420000000003</v>
      </c>
      <c r="E2301">
        <v>0.51204819999999995</v>
      </c>
      <c r="F2301" t="s">
        <v>53</v>
      </c>
      <c r="G2301">
        <v>-541.72940000000006</v>
      </c>
      <c r="H2301">
        <v>1.732996</v>
      </c>
      <c r="I2301">
        <v>294.55</v>
      </c>
      <c r="J2301">
        <v>-406.67529999999999</v>
      </c>
      <c r="K2301">
        <v>1.110463</v>
      </c>
      <c r="L2301">
        <v>283.3623</v>
      </c>
      <c r="M2301">
        <v>-0.99974430000000003</v>
      </c>
      <c r="N2301">
        <v>0</v>
      </c>
      <c r="O2301">
        <v>1.774249E-2</v>
      </c>
      <c r="P2301">
        <v>-0.99863230000000003</v>
      </c>
      <c r="Q2301">
        <v>8.0842789999999998E-3</v>
      </c>
      <c r="R2301">
        <v>5.1655260000000001E-2</v>
      </c>
      <c r="S2301">
        <v>-2.9912109999999998</v>
      </c>
      <c r="T2301">
        <v>1.3762709999999999E-2</v>
      </c>
      <c r="U2301">
        <v>0.24740599999999999</v>
      </c>
      <c r="V2301">
        <v>3.3935939999999998E-2</v>
      </c>
      <c r="W2301">
        <v>2.208179E-2</v>
      </c>
      <c r="X2301">
        <v>0.99917999999999996</v>
      </c>
      <c r="Y2301">
        <v>6.4732189999999995E-2</v>
      </c>
      <c r="Z2301" s="1">
        <v>-6.7179000000000002E-5</v>
      </c>
      <c r="AA2301">
        <v>0.99790270000000003</v>
      </c>
      <c r="AB2301">
        <v>27</v>
      </c>
      <c r="AC2301">
        <v>-135.05410000000001</v>
      </c>
      <c r="AD2301">
        <v>0.622533</v>
      </c>
      <c r="AE2301">
        <v>11.1877</v>
      </c>
      <c r="AF2301">
        <v>8.7893215889430092</v>
      </c>
      <c r="AG2301">
        <v>0.622533</v>
      </c>
      <c r="AH2301">
        <v>135.228500376097</v>
      </c>
      <c r="AI2301">
        <v>89.736792464122303</v>
      </c>
      <c r="AJ2301">
        <v>86.281230035729493</v>
      </c>
      <c r="AK2301">
        <v>135.51526495306001</v>
      </c>
      <c r="AL2301">
        <v>88.734703740237507</v>
      </c>
      <c r="AM2301">
        <v>88.054765896971901</v>
      </c>
      <c r="AN2301">
        <v>0.99999996293664295</v>
      </c>
    </row>
    <row r="2302" spans="1:40" x14ac:dyDescent="0.25">
      <c r="A2302" t="str">
        <f>"20190312154300687"</f>
        <v>20190312154300687</v>
      </c>
      <c r="B2302" t="str">
        <f>"1552376580679863"</f>
        <v>1552376580679863</v>
      </c>
      <c r="C2302" t="s">
        <v>40</v>
      </c>
      <c r="D2302">
        <v>4.3941860000000004</v>
      </c>
      <c r="E2302">
        <v>0.51216260000000002</v>
      </c>
      <c r="F2302" t="s">
        <v>53</v>
      </c>
      <c r="G2302">
        <v>-540.18359999999996</v>
      </c>
      <c r="H2302">
        <v>1.7383849999999901</v>
      </c>
      <c r="I2302">
        <v>294.55</v>
      </c>
      <c r="J2302">
        <v>-406.9366</v>
      </c>
      <c r="K2302">
        <v>1.1104620000000001</v>
      </c>
      <c r="L2302">
        <v>283.36720000000003</v>
      </c>
      <c r="M2302">
        <v>-0.99974099999999999</v>
      </c>
      <c r="N2302">
        <v>0</v>
      </c>
      <c r="O2302">
        <v>1.7937350000000001E-2</v>
      </c>
      <c r="P2302">
        <v>-0.99860890000000002</v>
      </c>
      <c r="Q2302">
        <v>8.752213E-3</v>
      </c>
      <c r="R2302">
        <v>5.1999709999999998E-2</v>
      </c>
      <c r="S2302">
        <v>-2.991028</v>
      </c>
      <c r="T2302">
        <v>1.4069440000000001E-2</v>
      </c>
      <c r="U2302">
        <v>0.2506409</v>
      </c>
      <c r="V2302">
        <v>3.4086310000000002E-2</v>
      </c>
      <c r="W2302">
        <v>2.2746809999999999E-2</v>
      </c>
      <c r="X2302">
        <v>0.99916000000000005</v>
      </c>
      <c r="Y2302">
        <v>6.5614480000000003E-2</v>
      </c>
      <c r="Z2302" s="1">
        <v>-6.9834379999999995E-5</v>
      </c>
      <c r="AA2302">
        <v>0.99784510000000004</v>
      </c>
      <c r="AB2302">
        <v>27</v>
      </c>
      <c r="AC2302">
        <v>-133.24699999999899</v>
      </c>
      <c r="AD2302">
        <v>0.62792299999999901</v>
      </c>
      <c r="AE2302">
        <v>11.182799999999901</v>
      </c>
      <c r="AF2302">
        <v>8.7904740692807497</v>
      </c>
      <c r="AG2302">
        <v>0.62792299999999901</v>
      </c>
      <c r="AH2302">
        <v>133.42322527196299</v>
      </c>
      <c r="AI2302">
        <v>89.730937074005993</v>
      </c>
      <c r="AJ2302">
        <v>86.230564727536702</v>
      </c>
      <c r="AK2302">
        <v>133.71396248571</v>
      </c>
      <c r="AL2302">
        <v>88.696591371758998</v>
      </c>
      <c r="AM2302">
        <v>88.046114159694895</v>
      </c>
      <c r="AN2302">
        <v>0.99999999974729603</v>
      </c>
    </row>
    <row r="2303" spans="1:40" x14ac:dyDescent="0.25">
      <c r="A2303" t="str">
        <f>"20190312154300710"</f>
        <v>20190312154300710</v>
      </c>
      <c r="B2303" t="str">
        <f>"1552376580699381"</f>
        <v>1552376580699381</v>
      </c>
      <c r="C2303" t="s">
        <v>40</v>
      </c>
      <c r="D2303">
        <v>4.4374929999999999</v>
      </c>
      <c r="E2303">
        <v>0.51220559999999904</v>
      </c>
      <c r="F2303" t="s">
        <v>53</v>
      </c>
      <c r="G2303">
        <v>-539.31759999999997</v>
      </c>
      <c r="H2303">
        <v>1.7755449999999999</v>
      </c>
      <c r="I2303">
        <v>294.55</v>
      </c>
      <c r="J2303">
        <v>-407.21089999999998</v>
      </c>
      <c r="K2303">
        <v>1.110463</v>
      </c>
      <c r="L2303">
        <v>283.3723</v>
      </c>
      <c r="M2303">
        <v>-0.99973710000000005</v>
      </c>
      <c r="N2303">
        <v>0</v>
      </c>
      <c r="O2303">
        <v>1.81418E-2</v>
      </c>
      <c r="P2303">
        <v>-0.99860329999999997</v>
      </c>
      <c r="Q2303">
        <v>8.4969019999999902E-3</v>
      </c>
      <c r="R2303">
        <v>5.2145660000000003E-2</v>
      </c>
      <c r="S2303">
        <v>-2.9909059999999998</v>
      </c>
      <c r="T2303">
        <v>1.502824E-2</v>
      </c>
      <c r="U2303">
        <v>0.25265500000000002</v>
      </c>
      <c r="V2303">
        <v>3.4027679999999998E-2</v>
      </c>
      <c r="W2303">
        <v>2.248843E-2</v>
      </c>
      <c r="X2303">
        <v>0.9991679</v>
      </c>
      <c r="Y2303">
        <v>6.6080990000000006E-2</v>
      </c>
      <c r="Z2303" s="1">
        <v>-7.4739289999999997E-5</v>
      </c>
      <c r="AA2303">
        <v>0.99781419999999998</v>
      </c>
      <c r="AB2303">
        <v>27</v>
      </c>
      <c r="AC2303">
        <v>-132.10669999999999</v>
      </c>
      <c r="AD2303">
        <v>0.66508199999999995</v>
      </c>
      <c r="AE2303">
        <v>11.1777</v>
      </c>
      <c r="AF2303">
        <v>8.7787501739723108</v>
      </c>
      <c r="AG2303">
        <v>0.66508199999999995</v>
      </c>
      <c r="AH2303">
        <v>132.28442868615599</v>
      </c>
      <c r="AI2303">
        <v>89.712570566360597</v>
      </c>
      <c r="AJ2303">
        <v>86.203265185280898</v>
      </c>
      <c r="AK2303">
        <v>132.57706763051601</v>
      </c>
      <c r="AL2303">
        <v>88.711399311243895</v>
      </c>
      <c r="AM2303">
        <v>88.049487743851799</v>
      </c>
      <c r="AN2303">
        <v>1.0000000524402199</v>
      </c>
    </row>
    <row r="2304" spans="1:40" x14ac:dyDescent="0.25">
      <c r="A2304" t="str">
        <f>"20190312154300731"</f>
        <v>20190312154300731</v>
      </c>
      <c r="B2304" t="str">
        <f>"1552376580719876"</f>
        <v>1552376580719876</v>
      </c>
      <c r="C2304" t="s">
        <v>40</v>
      </c>
      <c r="D2304">
        <v>4.4513740000000004</v>
      </c>
      <c r="E2304">
        <v>0.51223209999999997</v>
      </c>
      <c r="F2304" t="s">
        <v>53</v>
      </c>
      <c r="G2304">
        <v>-539.19479999999999</v>
      </c>
      <c r="H2304">
        <v>1.674248</v>
      </c>
      <c r="I2304">
        <v>294.55</v>
      </c>
      <c r="J2304">
        <v>-407.47059999999999</v>
      </c>
      <c r="K2304">
        <v>1.110463</v>
      </c>
      <c r="L2304">
        <v>283.37729999999999</v>
      </c>
      <c r="M2304">
        <v>-0.99973369999999995</v>
      </c>
      <c r="N2304">
        <v>0</v>
      </c>
      <c r="O2304">
        <v>1.8335400000000002E-2</v>
      </c>
      <c r="P2304">
        <v>-0.99861129999999998</v>
      </c>
      <c r="Q2304">
        <v>8.6721400000000001E-3</v>
      </c>
      <c r="R2304">
        <v>5.1964539999999997E-2</v>
      </c>
      <c r="S2304">
        <v>-2.990875</v>
      </c>
      <c r="T2304">
        <v>1.2777810000000001E-2</v>
      </c>
      <c r="U2304">
        <v>0.25329590000000002</v>
      </c>
      <c r="V2304">
        <v>3.3652939999999999E-2</v>
      </c>
      <c r="W2304">
        <v>2.2661480000000001E-2</v>
      </c>
      <c r="X2304">
        <v>0.99917659999999997</v>
      </c>
      <c r="Y2304">
        <v>6.6101069999999998E-2</v>
      </c>
      <c r="Z2304" s="1">
        <v>-6.2765090000000006E-5</v>
      </c>
      <c r="AA2304">
        <v>0.9978129</v>
      </c>
      <c r="AB2304">
        <v>27</v>
      </c>
      <c r="AC2304">
        <v>-131.7242</v>
      </c>
      <c r="AD2304">
        <v>0.56378499999999998</v>
      </c>
      <c r="AE2304">
        <v>11.172700000000001</v>
      </c>
      <c r="AF2304">
        <v>8.7552091407047108</v>
      </c>
      <c r="AG2304">
        <v>0.56378499999999998</v>
      </c>
      <c r="AH2304">
        <v>131.904528785492</v>
      </c>
      <c r="AI2304">
        <v>89.7556461264425</v>
      </c>
      <c r="AJ2304">
        <v>86.202542900748995</v>
      </c>
      <c r="AK2304">
        <v>132.19597669651901</v>
      </c>
      <c r="AL2304">
        <v>88.701481643251398</v>
      </c>
      <c r="AM2304">
        <v>88.070968807654907</v>
      </c>
      <c r="AN2304">
        <v>0.99999997051699596</v>
      </c>
    </row>
    <row r="2305" spans="1:40" x14ac:dyDescent="0.25">
      <c r="A2305" t="str">
        <f>"20190312154300754"</f>
        <v>20190312154300754</v>
      </c>
      <c r="B2305" t="str">
        <f>"1552376580739396"</f>
        <v>1552376580739396</v>
      </c>
      <c r="C2305" t="s">
        <v>40</v>
      </c>
      <c r="D2305">
        <v>4.5075219999999998</v>
      </c>
      <c r="E2305">
        <v>0.51223640000000004</v>
      </c>
      <c r="F2305" t="s">
        <v>53</v>
      </c>
      <c r="G2305">
        <v>-539.68510000000003</v>
      </c>
      <c r="H2305">
        <v>1.654102</v>
      </c>
      <c r="I2305">
        <v>294.55</v>
      </c>
      <c r="J2305">
        <v>-407.74009999999998</v>
      </c>
      <c r="K2305">
        <v>1.110468</v>
      </c>
      <c r="L2305">
        <v>283.38240000000002</v>
      </c>
      <c r="M2305">
        <v>-0.99973009999999995</v>
      </c>
      <c r="N2305">
        <v>0</v>
      </c>
      <c r="O2305">
        <v>1.8536509999999999E-2</v>
      </c>
      <c r="P2305">
        <v>-0.99863159999999895</v>
      </c>
      <c r="Q2305">
        <v>8.8586410000000004E-3</v>
      </c>
      <c r="R2305">
        <v>5.1543440000000003E-2</v>
      </c>
      <c r="S2305">
        <v>-2.990936</v>
      </c>
      <c r="T2305">
        <v>1.230001E-2</v>
      </c>
      <c r="U2305">
        <v>0.25274659999999999</v>
      </c>
      <c r="V2305">
        <v>3.303072E-2</v>
      </c>
      <c r="W2305">
        <v>2.284597E-2</v>
      </c>
      <c r="X2305">
        <v>0.9991932</v>
      </c>
      <c r="Y2305">
        <v>6.5716689999999994E-2</v>
      </c>
      <c r="Z2305" s="1">
        <v>-5.8803179999999998E-5</v>
      </c>
      <c r="AA2305">
        <v>0.99783829999999996</v>
      </c>
      <c r="AB2305">
        <v>27</v>
      </c>
      <c r="AC2305">
        <v>-131.94499999999999</v>
      </c>
      <c r="AD2305">
        <v>0.54363399999999995</v>
      </c>
      <c r="AE2305">
        <v>11.167599999999901</v>
      </c>
      <c r="AF2305">
        <v>8.7194941977532494</v>
      </c>
      <c r="AG2305">
        <v>0.54363399999999995</v>
      </c>
      <c r="AH2305">
        <v>132.127126945177</v>
      </c>
      <c r="AI2305">
        <v>89.764770835632305</v>
      </c>
      <c r="AJ2305">
        <v>86.224341950722206</v>
      </c>
      <c r="AK2305">
        <v>132.415644059822</v>
      </c>
      <c r="AL2305">
        <v>88.690908457369702</v>
      </c>
      <c r="AM2305">
        <v>88.106640512267305</v>
      </c>
      <c r="AN2305">
        <v>1.00000000886759</v>
      </c>
    </row>
    <row r="2306" spans="1:40" x14ac:dyDescent="0.25">
      <c r="A2306" t="str">
        <f>"20190312154300776"</f>
        <v>20190312154300776</v>
      </c>
      <c r="B2306" t="str">
        <f>"1552376580769652"</f>
        <v>1552376580769652</v>
      </c>
      <c r="C2306" t="s">
        <v>40</v>
      </c>
      <c r="D2306">
        <v>4.4693329999999998</v>
      </c>
      <c r="E2306">
        <v>0.51231019999999905</v>
      </c>
      <c r="F2306" t="s">
        <v>53</v>
      </c>
      <c r="G2306">
        <v>-540.62</v>
      </c>
      <c r="H2306">
        <v>1.624514</v>
      </c>
      <c r="I2306">
        <v>294.55</v>
      </c>
      <c r="J2306">
        <v>-408.00790000000001</v>
      </c>
      <c r="K2306">
        <v>1.1104689999999999</v>
      </c>
      <c r="L2306">
        <v>283.3877</v>
      </c>
      <c r="M2306">
        <v>-0.99972649999999996</v>
      </c>
      <c r="N2306">
        <v>0</v>
      </c>
      <c r="O2306">
        <v>1.8736260000000001E-2</v>
      </c>
      <c r="P2306">
        <v>-0.99863020000000002</v>
      </c>
      <c r="Q2306">
        <v>8.910655E-3</v>
      </c>
      <c r="R2306">
        <v>5.1563060000000001E-2</v>
      </c>
      <c r="S2306">
        <v>-2.991028</v>
      </c>
      <c r="T2306">
        <v>1.157272E-2</v>
      </c>
      <c r="U2306">
        <v>0.25137330000000002</v>
      </c>
      <c r="V2306">
        <v>3.285068E-2</v>
      </c>
      <c r="W2306">
        <v>2.289507E-2</v>
      </c>
      <c r="X2306">
        <v>0.99919800000000003</v>
      </c>
      <c r="Y2306">
        <v>6.5059900000000004E-2</v>
      </c>
      <c r="Z2306" s="1">
        <v>-5.3285989999999997E-5</v>
      </c>
      <c r="AA2306">
        <v>0.99788140000000003</v>
      </c>
      <c r="AB2306">
        <v>27</v>
      </c>
      <c r="AC2306">
        <v>-132.6121</v>
      </c>
      <c r="AD2306">
        <v>0.51404499999999897</v>
      </c>
      <c r="AE2306">
        <v>11.1623</v>
      </c>
      <c r="AF2306">
        <v>8.6753125949208805</v>
      </c>
      <c r="AG2306">
        <v>0.51404499999999897</v>
      </c>
      <c r="AH2306">
        <v>132.79599574679801</v>
      </c>
      <c r="AI2306">
        <v>89.778684479756606</v>
      </c>
      <c r="AJ2306">
        <v>86.262285694045403</v>
      </c>
      <c r="AK2306">
        <v>133.08005777450299</v>
      </c>
      <c r="AL2306">
        <v>88.688094483417203</v>
      </c>
      <c r="AM2306">
        <v>88.116962204809496</v>
      </c>
      <c r="AN2306">
        <v>0.99999999730538303</v>
      </c>
    </row>
    <row r="2307" spans="1:40" x14ac:dyDescent="0.25">
      <c r="A2307" t="str">
        <f>"20190312154300798"</f>
        <v>20190312154300798</v>
      </c>
      <c r="B2307" t="str">
        <f>"1552376580790152"</f>
        <v>1552376580790152</v>
      </c>
      <c r="C2307" t="s">
        <v>40</v>
      </c>
      <c r="D2307">
        <v>4.5000419999999997</v>
      </c>
      <c r="E2307">
        <v>0.51234349999999995</v>
      </c>
      <c r="F2307" t="s">
        <v>53</v>
      </c>
      <c r="G2307">
        <v>-540.37450000000001</v>
      </c>
      <c r="H2307">
        <v>1.543396</v>
      </c>
      <c r="I2307">
        <v>294.55</v>
      </c>
      <c r="J2307">
        <v>-408.28469999999999</v>
      </c>
      <c r="K2307">
        <v>1.110474</v>
      </c>
      <c r="L2307">
        <v>283.3931</v>
      </c>
      <c r="M2307">
        <v>-0.99972269999999996</v>
      </c>
      <c r="N2307">
        <v>0</v>
      </c>
      <c r="O2307">
        <v>1.8942850000000001E-2</v>
      </c>
      <c r="P2307">
        <v>-0.99861009999999995</v>
      </c>
      <c r="Q2307">
        <v>9.2553389999999996E-3</v>
      </c>
      <c r="R2307">
        <v>5.1891470000000002E-2</v>
      </c>
      <c r="S2307">
        <v>-2.9909970000000001</v>
      </c>
      <c r="T2307">
        <v>9.78446E-3</v>
      </c>
      <c r="U2307">
        <v>0.2522278</v>
      </c>
      <c r="V2307">
        <v>3.2973009999999997E-2</v>
      </c>
      <c r="W2307">
        <v>2.323687E-2</v>
      </c>
      <c r="X2307">
        <v>0.99918609999999997</v>
      </c>
      <c r="Y2307">
        <v>6.5137730000000005E-2</v>
      </c>
      <c r="Z2307" s="1">
        <v>-4.4504759999999998E-5</v>
      </c>
      <c r="AA2307">
        <v>0.99787630000000005</v>
      </c>
      <c r="AB2307">
        <v>27</v>
      </c>
      <c r="AC2307">
        <v>-132.0898</v>
      </c>
      <c r="AD2307">
        <v>0.43292199999999997</v>
      </c>
      <c r="AE2307">
        <v>11.1569</v>
      </c>
      <c r="AF2307">
        <v>8.6524032904173094</v>
      </c>
      <c r="AG2307">
        <v>0.43292199999999997</v>
      </c>
      <c r="AH2307">
        <v>132.27604757487501</v>
      </c>
      <c r="AI2307">
        <v>89.812879051356802</v>
      </c>
      <c r="AJ2307">
        <v>86.257516297505902</v>
      </c>
      <c r="AK2307">
        <v>132.559436730052</v>
      </c>
      <c r="AL2307">
        <v>88.668505600300506</v>
      </c>
      <c r="AM2307">
        <v>88.109932694974603</v>
      </c>
      <c r="AN2307">
        <v>1.00000001697453</v>
      </c>
    </row>
    <row r="2308" spans="1:40" x14ac:dyDescent="0.25">
      <c r="A2308" t="str">
        <f>"20190312154300821"</f>
        <v>20190312154300821</v>
      </c>
      <c r="B2308" t="str">
        <f>"1552376580809668"</f>
        <v>1552376580809668</v>
      </c>
      <c r="C2308" t="s">
        <v>40</v>
      </c>
      <c r="D2308">
        <v>4.51539</v>
      </c>
      <c r="E2308">
        <v>0.51238059999999996</v>
      </c>
      <c r="F2308" t="s">
        <v>53</v>
      </c>
      <c r="G2308">
        <v>-540.0104</v>
      </c>
      <c r="H2308">
        <v>1.529347</v>
      </c>
      <c r="I2308">
        <v>294.55</v>
      </c>
      <c r="J2308">
        <v>-408.54570000000001</v>
      </c>
      <c r="K2308">
        <v>1.1104799999999999</v>
      </c>
      <c r="L2308">
        <v>283.39830000000001</v>
      </c>
      <c r="M2308">
        <v>-0.99971900000000002</v>
      </c>
      <c r="N2308">
        <v>0</v>
      </c>
      <c r="O2308">
        <v>1.9137830000000002E-2</v>
      </c>
      <c r="P2308">
        <v>-0.99859430000000005</v>
      </c>
      <c r="Q2308">
        <v>9.5656860000000003E-3</v>
      </c>
      <c r="R2308">
        <v>5.2135460000000002E-2</v>
      </c>
      <c r="S2308">
        <v>-2.990936</v>
      </c>
      <c r="T2308">
        <v>9.5127819999999991E-3</v>
      </c>
      <c r="U2308">
        <v>0.25332640000000001</v>
      </c>
      <c r="V2308">
        <v>3.302223E-2</v>
      </c>
      <c r="W2308">
        <v>2.3544349999999999E-2</v>
      </c>
      <c r="X2308">
        <v>0.99917730000000005</v>
      </c>
      <c r="Y2308">
        <v>6.5308749999999999E-2</v>
      </c>
      <c r="Z2308" s="1">
        <v>-4.2922059999999997E-5</v>
      </c>
      <c r="AA2308">
        <v>0.99786509999999995</v>
      </c>
      <c r="AB2308">
        <v>27</v>
      </c>
      <c r="AC2308">
        <v>-131.46469999999999</v>
      </c>
      <c r="AD2308">
        <v>0.41886699999999999</v>
      </c>
      <c r="AE2308">
        <v>11.1517</v>
      </c>
      <c r="AF2308">
        <v>8.6333749487013698</v>
      </c>
      <c r="AG2308">
        <v>0.41886699999999999</v>
      </c>
      <c r="AH2308">
        <v>131.65273146483801</v>
      </c>
      <c r="AI2308">
        <v>89.818098766745507</v>
      </c>
      <c r="AJ2308">
        <v>86.248093714455507</v>
      </c>
      <c r="AK2308">
        <v>131.936167576299</v>
      </c>
      <c r="AL2308">
        <v>88.650883504565996</v>
      </c>
      <c r="AM2308">
        <v>88.107096715370602</v>
      </c>
      <c r="AN2308">
        <v>1.0000000404631899</v>
      </c>
    </row>
    <row r="2309" spans="1:40" x14ac:dyDescent="0.25">
      <c r="A2309" t="str">
        <f>"20190312154300843"</f>
        <v>20190312154300843</v>
      </c>
      <c r="B2309" t="str">
        <f>"1552376580830164"</f>
        <v>1552376580830164</v>
      </c>
      <c r="C2309" t="s">
        <v>40</v>
      </c>
      <c r="D2309">
        <v>4.5367189999999997</v>
      </c>
      <c r="E2309">
        <v>0.51239679999999999</v>
      </c>
      <c r="F2309" t="s">
        <v>53</v>
      </c>
      <c r="G2309">
        <v>-539.70060000000001</v>
      </c>
      <c r="H2309">
        <v>1.5118259999999999</v>
      </c>
      <c r="I2309">
        <v>294.55</v>
      </c>
      <c r="J2309">
        <v>-408.80650000000003</v>
      </c>
      <c r="K2309">
        <v>1.1104849999999999</v>
      </c>
      <c r="L2309">
        <v>283.40350000000001</v>
      </c>
      <c r="M2309">
        <v>-0.99971509999999997</v>
      </c>
      <c r="N2309">
        <v>0</v>
      </c>
      <c r="O2309">
        <v>1.9332680000000001E-2</v>
      </c>
      <c r="P2309">
        <v>-0.99855139999999998</v>
      </c>
      <c r="Q2309">
        <v>1.020283E-2</v>
      </c>
      <c r="R2309">
        <v>5.2830960000000003E-2</v>
      </c>
      <c r="S2309">
        <v>-2.9908450000000002</v>
      </c>
      <c r="T2309">
        <v>9.1542010000000007E-3</v>
      </c>
      <c r="U2309">
        <v>0.254303</v>
      </c>
      <c r="V2309">
        <v>3.3523959999999998E-2</v>
      </c>
      <c r="W2309">
        <v>2.4178359999999999E-2</v>
      </c>
      <c r="X2309">
        <v>0.99914539999999996</v>
      </c>
      <c r="Y2309">
        <v>6.5440319999999996E-2</v>
      </c>
      <c r="Z2309" s="1">
        <v>-4.0910800000000001E-5</v>
      </c>
      <c r="AA2309">
        <v>0.99785650000000004</v>
      </c>
      <c r="AB2309">
        <v>27</v>
      </c>
      <c r="AC2309">
        <v>-130.89409999999901</v>
      </c>
      <c r="AD2309">
        <v>0.401341</v>
      </c>
      <c r="AE2309">
        <v>11.1465</v>
      </c>
      <c r="AF2309">
        <v>8.6135542500168896</v>
      </c>
      <c r="AG2309">
        <v>0.401341</v>
      </c>
      <c r="AH2309">
        <v>131.08392127013701</v>
      </c>
      <c r="AI2309">
        <v>89.8249549646102</v>
      </c>
      <c r="AJ2309">
        <v>86.240486079466194</v>
      </c>
      <c r="AK2309">
        <v>131.367228816672</v>
      </c>
      <c r="AL2309">
        <v>88.614546992055196</v>
      </c>
      <c r="AM2309">
        <v>88.078296597184206</v>
      </c>
      <c r="AN2309">
        <v>0.99999998966376502</v>
      </c>
    </row>
    <row r="2310" spans="1:40" x14ac:dyDescent="0.25">
      <c r="A2310" t="str">
        <f>"20190312154300865"</f>
        <v>20190312154300865</v>
      </c>
      <c r="B2310" t="str">
        <f>"1552376580859445"</f>
        <v>1552376580859445</v>
      </c>
      <c r="C2310" t="s">
        <v>40</v>
      </c>
      <c r="D2310">
        <v>4.6075739999999996</v>
      </c>
      <c r="E2310">
        <v>0.49882779999999999</v>
      </c>
      <c r="F2310" t="s">
        <v>53</v>
      </c>
      <c r="G2310">
        <v>-538.73969999999997</v>
      </c>
      <c r="H2310">
        <v>1.5377730000000001</v>
      </c>
      <c r="I2310">
        <v>294.55</v>
      </c>
      <c r="J2310">
        <v>-409.07209999999998</v>
      </c>
      <c r="K2310">
        <v>1.110484</v>
      </c>
      <c r="L2310">
        <v>283.40879999999999</v>
      </c>
      <c r="M2310">
        <v>-0.99971140000000003</v>
      </c>
      <c r="N2310">
        <v>0</v>
      </c>
      <c r="O2310">
        <v>1.9531050000000001E-2</v>
      </c>
      <c r="P2310">
        <v>-0.9985252</v>
      </c>
      <c r="Q2310">
        <v>1.057818E-2</v>
      </c>
      <c r="R2310">
        <v>5.3254280000000001E-2</v>
      </c>
      <c r="S2310">
        <v>-2.9906920000000001</v>
      </c>
      <c r="T2310">
        <v>9.8369119999999997E-3</v>
      </c>
      <c r="U2310">
        <v>0.25656129999999999</v>
      </c>
      <c r="V2310">
        <v>3.3749609999999999E-2</v>
      </c>
      <c r="W2310">
        <v>2.4549709999999999E-2</v>
      </c>
      <c r="X2310">
        <v>0.99912880000000004</v>
      </c>
      <c r="Y2310">
        <v>6.5994620000000004E-2</v>
      </c>
      <c r="Z2310" s="1">
        <v>-4.4221760000000001E-5</v>
      </c>
      <c r="AA2310">
        <v>0.99782000000000004</v>
      </c>
      <c r="AB2310">
        <v>27</v>
      </c>
      <c r="AC2310">
        <v>-129.66759999999999</v>
      </c>
      <c r="AD2310">
        <v>0.42728899999999997</v>
      </c>
      <c r="AE2310">
        <v>11.1412</v>
      </c>
      <c r="AF2310">
        <v>8.6061894743390503</v>
      </c>
      <c r="AG2310">
        <v>0.42728899999999997</v>
      </c>
      <c r="AH2310">
        <v>129.85908202377101</v>
      </c>
      <c r="AI2310">
        <v>89.811887003619503</v>
      </c>
      <c r="AJ2310">
        <v>86.208364460732</v>
      </c>
      <c r="AK2310">
        <v>130.14465128161899</v>
      </c>
      <c r="AL2310">
        <v>88.593263959394903</v>
      </c>
      <c r="AM2310">
        <v>88.065339276814896</v>
      </c>
      <c r="AN2310">
        <v>1.0000000417128301</v>
      </c>
    </row>
    <row r="2311" spans="1:40" x14ac:dyDescent="0.25">
      <c r="A2311" t="str">
        <f>"20190312154300888"</f>
        <v>20190312154300888</v>
      </c>
      <c r="B2311" t="str">
        <f>"1552376580879944"</f>
        <v>1552376580879944</v>
      </c>
      <c r="C2311" t="s">
        <v>40</v>
      </c>
      <c r="D2311">
        <v>4.5280959999999997</v>
      </c>
      <c r="E2311">
        <v>0.4809891</v>
      </c>
      <c r="F2311" t="s">
        <v>49</v>
      </c>
      <c r="G2311">
        <v>-504.3492</v>
      </c>
      <c r="H2311">
        <v>7.9981819999999995E-2</v>
      </c>
      <c r="I2311">
        <v>288.11630000000002</v>
      </c>
      <c r="J2311">
        <v>-409.34179999999998</v>
      </c>
      <c r="K2311">
        <v>1.110479</v>
      </c>
      <c r="L2311">
        <v>283.41430000000003</v>
      </c>
      <c r="M2311">
        <v>-0.99970749999999997</v>
      </c>
      <c r="N2311">
        <v>0</v>
      </c>
      <c r="O2311">
        <v>1.9732530000000002E-2</v>
      </c>
      <c r="P2311">
        <v>-0.99851540000000005</v>
      </c>
      <c r="Q2311">
        <v>1.041455E-2</v>
      </c>
      <c r="R2311">
        <v>5.3472430000000001E-2</v>
      </c>
      <c r="S2311">
        <v>-2.9968870000000001</v>
      </c>
      <c r="T2311">
        <v>-3.2413839999999999E-2</v>
      </c>
      <c r="U2311">
        <v>0.14807129999999999</v>
      </c>
      <c r="V2311">
        <v>3.3766570000000003E-2</v>
      </c>
      <c r="W2311">
        <v>2.438382E-2</v>
      </c>
      <c r="X2311">
        <v>0.99913229999999997</v>
      </c>
      <c r="Y2311">
        <v>2.9627569999999999E-2</v>
      </c>
      <c r="Z2311" s="1">
        <v>-5.3150859999999902E-5</v>
      </c>
      <c r="AA2311">
        <v>0.99956100000000003</v>
      </c>
      <c r="AB2311">
        <v>27</v>
      </c>
      <c r="AC2311">
        <v>-95.007400000000004</v>
      </c>
      <c r="AD2311">
        <v>-1.03049718</v>
      </c>
      <c r="AE2311">
        <v>4.7019999999999902</v>
      </c>
      <c r="AF2311">
        <v>2.8258329874440302</v>
      </c>
      <c r="AG2311">
        <v>-1.03049718</v>
      </c>
      <c r="AH2311">
        <v>95.070531983531495</v>
      </c>
      <c r="AI2311">
        <v>90.620747188052903</v>
      </c>
      <c r="AJ2311">
        <v>88.297467740300604</v>
      </c>
      <c r="AK2311">
        <v>95.118101895183997</v>
      </c>
      <c r="AL2311">
        <v>88.602771617000201</v>
      </c>
      <c r="AM2311">
        <v>88.064374577550296</v>
      </c>
      <c r="AN2311">
        <v>1.0000000524153201</v>
      </c>
    </row>
    <row r="2312" spans="1:40" x14ac:dyDescent="0.25">
      <c r="A2312" t="str">
        <f>"20190312154300900"</f>
        <v>20190312154300900</v>
      </c>
      <c r="B2312" t="str">
        <f>"1552376580889701"</f>
        <v>1552376580889701</v>
      </c>
      <c r="C2312" t="s">
        <v>40</v>
      </c>
      <c r="D2312">
        <v>4.4731839999999998</v>
      </c>
      <c r="E2312">
        <v>0.47510330000000001</v>
      </c>
      <c r="F2312" t="s">
        <v>56</v>
      </c>
      <c r="G2312">
        <v>0</v>
      </c>
      <c r="H2312">
        <v>0</v>
      </c>
      <c r="I2312">
        <v>0</v>
      </c>
      <c r="J2312">
        <v>-409.49220000000003</v>
      </c>
      <c r="K2312">
        <v>1.110479</v>
      </c>
      <c r="L2312">
        <v>283.41739999999999</v>
      </c>
      <c r="M2312">
        <v>-0.99970530000000002</v>
      </c>
      <c r="N2312">
        <v>0</v>
      </c>
      <c r="O2312">
        <v>1.984501E-2</v>
      </c>
      <c r="P2312">
        <v>-0.99850649999999996</v>
      </c>
      <c r="Q2312">
        <v>1.0238519999999999E-2</v>
      </c>
      <c r="R2312">
        <v>5.3667199999999998E-2</v>
      </c>
      <c r="S2312">
        <v>-3.0041199999999999</v>
      </c>
      <c r="T2312">
        <v>-4.0143729999999999E-3</v>
      </c>
      <c r="U2312">
        <v>7.59887699999999E-3</v>
      </c>
      <c r="V2312">
        <v>3.3848799999999998E-2</v>
      </c>
      <c r="W2312">
        <v>2.420601E-2</v>
      </c>
      <c r="X2312">
        <v>0.99913379999999996</v>
      </c>
      <c r="Y2312">
        <v>-1.7317869999999999E-2</v>
      </c>
      <c r="Z2312" s="1">
        <v>-3.8090560000000001E-5</v>
      </c>
      <c r="AA2312">
        <v>0.99985000000000002</v>
      </c>
      <c r="AB2312">
        <v>27</v>
      </c>
      <c r="AC2312">
        <v>-3.0041199999999999</v>
      </c>
      <c r="AD2312">
        <v>-4.0143729999999999E-3</v>
      </c>
      <c r="AE2312">
        <v>7.59887699999999E-3</v>
      </c>
      <c r="AF2312">
        <v>-5.2025146353692202E-2</v>
      </c>
      <c r="AG2312">
        <v>-4.0143729999999999E-3</v>
      </c>
      <c r="AH2312">
        <v>3.00367372914963</v>
      </c>
      <c r="AI2312">
        <v>90.076563575448603</v>
      </c>
      <c r="AJ2312">
        <v>90.992292623963706</v>
      </c>
      <c r="AK2312">
        <v>3.00412692844816</v>
      </c>
      <c r="AL2312">
        <v>88.612962329873099</v>
      </c>
      <c r="AM2312">
        <v>88.059667357587301</v>
      </c>
      <c r="AN2312">
        <v>1.000000011242</v>
      </c>
    </row>
    <row r="2313" spans="1:40" x14ac:dyDescent="0.25">
      <c r="A2313" t="str">
        <f>"20190312154300920"</f>
        <v>20190312154300920</v>
      </c>
      <c r="B2313" t="str">
        <f>"1552376580910197"</f>
        <v>1552376580910197</v>
      </c>
      <c r="C2313" t="s">
        <v>40</v>
      </c>
      <c r="D2313">
        <v>4.524877</v>
      </c>
      <c r="E2313">
        <v>0.46931149999999999</v>
      </c>
      <c r="F2313" t="s">
        <v>56</v>
      </c>
      <c r="G2313">
        <v>0</v>
      </c>
      <c r="H2313">
        <v>0</v>
      </c>
      <c r="I2313">
        <v>0</v>
      </c>
      <c r="J2313">
        <v>-409.73320000000001</v>
      </c>
      <c r="K2313">
        <v>1.1104719999999999</v>
      </c>
      <c r="L2313">
        <v>283.42239999999998</v>
      </c>
      <c r="M2313">
        <v>-0.99970170000000003</v>
      </c>
      <c r="N2313">
        <v>0</v>
      </c>
      <c r="O2313">
        <v>2.0025080000000001E-2</v>
      </c>
      <c r="P2313">
        <v>-0.99848630000000005</v>
      </c>
      <c r="Q2313">
        <v>1.018373E-2</v>
      </c>
      <c r="R2313">
        <v>5.4054320000000003E-2</v>
      </c>
      <c r="S2313">
        <v>-3.0065919999999999</v>
      </c>
      <c r="T2313">
        <v>-3.3471579999999998E-3</v>
      </c>
      <c r="U2313">
        <v>-3.8696290000000001E-2</v>
      </c>
      <c r="V2313">
        <v>3.4056259999999998E-2</v>
      </c>
      <c r="W2313">
        <v>2.4148320000000001E-2</v>
      </c>
      <c r="X2313">
        <v>0.99912820000000002</v>
      </c>
      <c r="Y2313">
        <v>-3.2892190000000002E-2</v>
      </c>
      <c r="Z2313" s="1">
        <v>-4.0602480000000002E-5</v>
      </c>
      <c r="AA2313">
        <v>0.99945890000000004</v>
      </c>
      <c r="AB2313">
        <v>27</v>
      </c>
      <c r="AC2313">
        <v>-3.0065919999999999</v>
      </c>
      <c r="AD2313">
        <v>-3.3471579999999998E-3</v>
      </c>
      <c r="AE2313">
        <v>-3.8696290000000001E-2</v>
      </c>
      <c r="AF2313">
        <v>-9.8901538133439701E-2</v>
      </c>
      <c r="AG2313">
        <v>-3.3471579999999998E-3</v>
      </c>
      <c r="AH2313">
        <v>3.0052102981633202</v>
      </c>
      <c r="AI2313">
        <v>90.063780620451197</v>
      </c>
      <c r="AJ2313">
        <v>91.884925080137293</v>
      </c>
      <c r="AK2313">
        <v>3.0068391466619402</v>
      </c>
      <c r="AL2313">
        <v>88.616268764406499</v>
      </c>
      <c r="AM2313">
        <v>88.047773259016694</v>
      </c>
      <c r="AN2313">
        <v>1.0000000651196199</v>
      </c>
    </row>
    <row r="2314" spans="1:40" x14ac:dyDescent="0.25">
      <c r="A2314" t="str">
        <f>"20190312154300934"</f>
        <v>20190312154300934</v>
      </c>
      <c r="B2314" t="str">
        <f>"1552376580929717"</f>
        <v>1552376580929717</v>
      </c>
      <c r="C2314" t="s">
        <v>40</v>
      </c>
      <c r="D2314">
        <v>4.5218429999999996</v>
      </c>
      <c r="E2314">
        <v>0.46604430000000002</v>
      </c>
      <c r="F2314" t="s">
        <v>55</v>
      </c>
      <c r="G2314">
        <v>-654.33330000000001</v>
      </c>
      <c r="H2314">
        <v>-0.1</v>
      </c>
      <c r="I2314">
        <v>276.58109999999999</v>
      </c>
      <c r="J2314">
        <v>-409.89299999999997</v>
      </c>
      <c r="K2314">
        <v>1.110474</v>
      </c>
      <c r="L2314">
        <v>283.42579999999998</v>
      </c>
      <c r="M2314">
        <v>-0.99969940000000002</v>
      </c>
      <c r="N2314">
        <v>0</v>
      </c>
      <c r="O2314">
        <v>2.0144410000000001E-2</v>
      </c>
      <c r="P2314">
        <v>-0.99849019999999999</v>
      </c>
      <c r="Q2314">
        <v>9.7260009999999997E-3</v>
      </c>
      <c r="R2314">
        <v>5.4065340000000003E-2</v>
      </c>
      <c r="S2314">
        <v>-3.0092469999999998</v>
      </c>
      <c r="T2314">
        <v>-1.48920999999999E-2</v>
      </c>
      <c r="U2314">
        <v>-8.4167480000000003E-2</v>
      </c>
      <c r="V2314">
        <v>3.3947579999999998E-2</v>
      </c>
      <c r="W2314">
        <v>2.368926E-2</v>
      </c>
      <c r="X2314">
        <v>0.9991428</v>
      </c>
      <c r="Y2314">
        <v>-4.8090670000000002E-2</v>
      </c>
      <c r="Z2314">
        <v>-2.1865289999999999E-4</v>
      </c>
      <c r="AA2314">
        <v>0.99884300000000004</v>
      </c>
      <c r="AB2314">
        <v>27</v>
      </c>
      <c r="AC2314">
        <v>-244.44030000000001</v>
      </c>
      <c r="AD2314">
        <v>-1.210474</v>
      </c>
      <c r="AE2314">
        <v>-6.84469999999998</v>
      </c>
      <c r="AF2314">
        <v>-11.767609025590501</v>
      </c>
      <c r="AG2314">
        <v>-1.210474</v>
      </c>
      <c r="AH2314">
        <v>244.24680790769401</v>
      </c>
      <c r="AI2314">
        <v>90.283623484885595</v>
      </c>
      <c r="AJ2314">
        <v>92.758330306766794</v>
      </c>
      <c r="AK2314">
        <v>244.533116453747</v>
      </c>
      <c r="AL2314">
        <v>88.642578370928504</v>
      </c>
      <c r="AM2314">
        <v>88.054026802189597</v>
      </c>
      <c r="AN2314">
        <v>0.99999997700952103</v>
      </c>
    </row>
    <row r="2315" spans="1:40" x14ac:dyDescent="0.25">
      <c r="A2315" t="str">
        <f>"20190312154300955"</f>
        <v>20190312154300955</v>
      </c>
      <c r="B2315" t="str">
        <f>"1552376580950212"</f>
        <v>1552376580950212</v>
      </c>
      <c r="C2315" t="s">
        <v>40</v>
      </c>
      <c r="D2315">
        <v>4.5516249999999996</v>
      </c>
      <c r="E2315">
        <v>0.46403480000000003</v>
      </c>
      <c r="F2315" t="s">
        <v>54</v>
      </c>
      <c r="G2315">
        <v>-551.06179999999995</v>
      </c>
      <c r="H2315">
        <v>-2.9353170000000001E-2</v>
      </c>
      <c r="I2315">
        <v>278.24720000000002</v>
      </c>
      <c r="J2315">
        <v>-410.13240000000002</v>
      </c>
      <c r="K2315">
        <v>1.110468</v>
      </c>
      <c r="L2315">
        <v>283.43079999999998</v>
      </c>
      <c r="M2315">
        <v>-0.99969569999999996</v>
      </c>
      <c r="N2315">
        <v>0</v>
      </c>
      <c r="O2315">
        <v>2.0323649999999999E-2</v>
      </c>
      <c r="P2315">
        <v>-0.99847660000000005</v>
      </c>
      <c r="Q2315">
        <v>9.6139859999999997E-3</v>
      </c>
      <c r="R2315">
        <v>5.4332730000000003E-2</v>
      </c>
      <c r="S2315">
        <v>-3.010742</v>
      </c>
      <c r="T2315">
        <v>-2.430761E-2</v>
      </c>
      <c r="U2315">
        <v>-0.1104431</v>
      </c>
      <c r="V2315">
        <v>3.403598E-2</v>
      </c>
      <c r="W2315">
        <v>2.357486E-2</v>
      </c>
      <c r="X2315">
        <v>0.99914250000000004</v>
      </c>
      <c r="Y2315">
        <v>-5.6960240000000002E-2</v>
      </c>
      <c r="Z2315">
        <v>-3.9390729999999997E-4</v>
      </c>
      <c r="AA2315">
        <v>0.99837640000000005</v>
      </c>
      <c r="AB2315">
        <v>27</v>
      </c>
      <c r="AC2315">
        <v>-140.92939999999899</v>
      </c>
      <c r="AD2315">
        <v>-1.1398211700000001</v>
      </c>
      <c r="AE2315">
        <v>-5.1835999999999496</v>
      </c>
      <c r="AF2315">
        <v>-8.0464832490203602</v>
      </c>
      <c r="AG2315">
        <v>-1.1398211700000001</v>
      </c>
      <c r="AH2315">
        <v>140.78572893099999</v>
      </c>
      <c r="AI2315">
        <v>90.463108854034303</v>
      </c>
      <c r="AJ2315">
        <v>93.271130651267896</v>
      </c>
      <c r="AK2315">
        <v>141.02009273720299</v>
      </c>
      <c r="AL2315">
        <v>88.649134841516897</v>
      </c>
      <c r="AM2315">
        <v>88.048962785066195</v>
      </c>
      <c r="AN2315">
        <v>0.99999997863241397</v>
      </c>
    </row>
    <row r="2316" spans="1:40" x14ac:dyDescent="0.25">
      <c r="A2316" t="str">
        <f>"20190312154300966"</f>
        <v>20190312154300966</v>
      </c>
      <c r="B2316" t="str">
        <f>"1552376580959975"</f>
        <v>1552376580959975</v>
      </c>
      <c r="C2316" t="s">
        <v>40</v>
      </c>
      <c r="D2316">
        <v>4.5525890000000002</v>
      </c>
      <c r="E2316">
        <v>0.46334009999999998</v>
      </c>
      <c r="F2316" t="s">
        <v>54</v>
      </c>
      <c r="G2316">
        <v>-511.95859999999999</v>
      </c>
      <c r="H2316">
        <v>6.7627670000000001E-2</v>
      </c>
      <c r="I2316">
        <v>279.18380000000002</v>
      </c>
      <c r="J2316">
        <v>-410.27949999999998</v>
      </c>
      <c r="K2316">
        <v>1.1104670000000001</v>
      </c>
      <c r="L2316">
        <v>283.43389999999999</v>
      </c>
      <c r="M2316">
        <v>-0.99969359999999996</v>
      </c>
      <c r="N2316">
        <v>0</v>
      </c>
      <c r="O2316">
        <v>2.043391E-2</v>
      </c>
      <c r="P2316">
        <v>-0.99847269999999999</v>
      </c>
      <c r="Q2316">
        <v>9.5653100000000005E-3</v>
      </c>
      <c r="R2316">
        <v>5.4413839999999998E-2</v>
      </c>
      <c r="S2316">
        <v>-3.0116879999999999</v>
      </c>
      <c r="T2316">
        <v>-3.084135E-2</v>
      </c>
      <c r="U2316">
        <v>-0.12561040000000001</v>
      </c>
      <c r="V2316">
        <v>3.4006769999999999E-2</v>
      </c>
      <c r="W2316">
        <v>2.352433E-2</v>
      </c>
      <c r="X2316">
        <v>0.9991447</v>
      </c>
      <c r="Y2316">
        <v>-6.2076539999999999E-2</v>
      </c>
      <c r="Z2316">
        <v>-5.2689260000000004E-4</v>
      </c>
      <c r="AA2316">
        <v>0.99807129999999999</v>
      </c>
      <c r="AB2316">
        <v>26</v>
      </c>
      <c r="AC2316">
        <v>-101.67910000000001</v>
      </c>
      <c r="AD2316">
        <v>-1.0428393300000001</v>
      </c>
      <c r="AE2316">
        <v>-4.2500999999999696</v>
      </c>
      <c r="AF2316">
        <v>-6.3264524681715697</v>
      </c>
      <c r="AG2316">
        <v>-1.0428393300000001</v>
      </c>
      <c r="AH2316">
        <v>101.56034679336901</v>
      </c>
      <c r="AI2316">
        <v>90.5871643461101</v>
      </c>
      <c r="AJ2316">
        <v>93.564494173859401</v>
      </c>
      <c r="AK2316">
        <v>101.762544953876</v>
      </c>
      <c r="AL2316">
        <v>88.652030819856293</v>
      </c>
      <c r="AM2316">
        <v>88.050640180229493</v>
      </c>
      <c r="AN2316">
        <v>0.99999999302293496</v>
      </c>
    </row>
    <row r="2317" spans="1:40" x14ac:dyDescent="0.25">
      <c r="A2317" t="str">
        <f>"20190312154300980"</f>
        <v>20190312154300980</v>
      </c>
      <c r="B2317" t="str">
        <f>"1552376580969733"</f>
        <v>1552376580969733</v>
      </c>
      <c r="C2317" t="s">
        <v>40</v>
      </c>
      <c r="D2317">
        <v>4.5578640000000004</v>
      </c>
      <c r="E2317">
        <v>0.46267049999999998</v>
      </c>
      <c r="F2317" t="s">
        <v>54</v>
      </c>
      <c r="G2317">
        <v>-511.95859999999999</v>
      </c>
      <c r="H2317">
        <v>1.775819E-2</v>
      </c>
      <c r="I2317">
        <v>279.01229999999998</v>
      </c>
      <c r="J2317">
        <v>-410.42899999999997</v>
      </c>
      <c r="K2317">
        <v>1.1104639999999999</v>
      </c>
      <c r="L2317">
        <v>283.43709999999999</v>
      </c>
      <c r="M2317">
        <v>-0.99969129999999995</v>
      </c>
      <c r="N2317">
        <v>0</v>
      </c>
      <c r="O2317">
        <v>2.0545730000000002E-2</v>
      </c>
      <c r="P2317">
        <v>-0.99847319999999995</v>
      </c>
      <c r="Q2317">
        <v>9.3310249999999997E-3</v>
      </c>
      <c r="R2317">
        <v>5.4447969999999998E-2</v>
      </c>
      <c r="S2317">
        <v>-3.012054</v>
      </c>
      <c r="T2317">
        <v>-3.2366989999999998E-2</v>
      </c>
      <c r="U2317">
        <v>-0.1309814</v>
      </c>
      <c r="V2317">
        <v>3.39292E-2</v>
      </c>
      <c r="W2317">
        <v>2.328883E-2</v>
      </c>
      <c r="X2317">
        <v>0.99915279999999995</v>
      </c>
      <c r="Y2317">
        <v>-6.3958979999999999E-2</v>
      </c>
      <c r="Z2317">
        <v>-5.6417819999999999E-4</v>
      </c>
      <c r="AA2317">
        <v>0.99795230000000001</v>
      </c>
      <c r="AB2317">
        <v>26</v>
      </c>
      <c r="AC2317">
        <v>-101.52959999999899</v>
      </c>
      <c r="AD2317">
        <v>-1.09270581</v>
      </c>
      <c r="AE2317">
        <v>-4.4248000000000003</v>
      </c>
      <c r="AF2317">
        <v>-6.5093166089812797</v>
      </c>
      <c r="AG2317">
        <v>-1.09270581</v>
      </c>
      <c r="AH2317">
        <v>101.405521203554</v>
      </c>
      <c r="AI2317">
        <v>90.616104855806796</v>
      </c>
      <c r="AJ2317">
        <v>93.672831367404996</v>
      </c>
      <c r="AK2317">
        <v>101.620101059129</v>
      </c>
      <c r="AL2317">
        <v>88.665527601681006</v>
      </c>
      <c r="AM2317">
        <v>88.055099038156897</v>
      </c>
      <c r="AN2317">
        <v>0.99999993898162198</v>
      </c>
    </row>
    <row r="2318" spans="1:40" x14ac:dyDescent="0.25">
      <c r="A2318" t="str">
        <f>"20190312154300999"</f>
        <v>20190312154300999</v>
      </c>
      <c r="B2318" t="str">
        <f>"1552376580990228"</f>
        <v>1552376580990228</v>
      </c>
      <c r="C2318" t="s">
        <v>40</v>
      </c>
      <c r="D2318">
        <v>4.5717829999999999</v>
      </c>
      <c r="E2318">
        <v>0.46155200000000002</v>
      </c>
      <c r="F2318" t="s">
        <v>49</v>
      </c>
      <c r="G2318">
        <v>-499.98320000000001</v>
      </c>
      <c r="H2318">
        <v>7.5411099999999995E-2</v>
      </c>
      <c r="I2318">
        <v>279.37990000000002</v>
      </c>
      <c r="J2318">
        <v>-410.66019999999997</v>
      </c>
      <c r="K2318">
        <v>1.1104620000000001</v>
      </c>
      <c r="L2318">
        <v>283.44200000000001</v>
      </c>
      <c r="M2318">
        <v>-0.99968769999999996</v>
      </c>
      <c r="N2318">
        <v>0</v>
      </c>
      <c r="O2318">
        <v>2.0718420000000001E-2</v>
      </c>
      <c r="P2318">
        <v>-0.99846869999999999</v>
      </c>
      <c r="Q2318">
        <v>9.2268860000000001E-3</v>
      </c>
      <c r="R2318">
        <v>5.4546740000000003E-2</v>
      </c>
      <c r="S2318">
        <v>-3.0123899999999999</v>
      </c>
      <c r="T2318">
        <v>-3.4816739999999999E-2</v>
      </c>
      <c r="U2318">
        <v>-0.1364746</v>
      </c>
      <c r="V2318">
        <v>3.3855400000000001E-2</v>
      </c>
      <c r="W2318">
        <v>2.3182520000000002E-2</v>
      </c>
      <c r="X2318">
        <v>0.99915779999999998</v>
      </c>
      <c r="Y2318">
        <v>-6.5941710000000001E-2</v>
      </c>
      <c r="Z2318">
        <v>-6.2023220000000003E-4</v>
      </c>
      <c r="AA2318">
        <v>0.99782329999999997</v>
      </c>
      <c r="AB2318">
        <v>26</v>
      </c>
      <c r="AC2318">
        <v>-89.322999999999993</v>
      </c>
      <c r="AD2318">
        <v>-1.0350509000000001</v>
      </c>
      <c r="AE2318">
        <v>-4.0620999999999796</v>
      </c>
      <c r="AF2318">
        <v>-5.9112479278715204</v>
      </c>
      <c r="AG2318">
        <v>-1.0350509000000001</v>
      </c>
      <c r="AH2318">
        <v>89.207700918736506</v>
      </c>
      <c r="AI2318">
        <v>90.663301845697802</v>
      </c>
      <c r="AJ2318">
        <v>93.791098065452104</v>
      </c>
      <c r="AK2318">
        <v>89.4093288512843</v>
      </c>
      <c r="AL2318">
        <v>88.6716203936667</v>
      </c>
      <c r="AM2318">
        <v>88.059335892253003</v>
      </c>
      <c r="AN2318">
        <v>0.99999996332177399</v>
      </c>
    </row>
    <row r="2319" spans="1:40" x14ac:dyDescent="0.25">
      <c r="A2319" t="str">
        <f>"20190312154301021"</f>
        <v>20190312154301021</v>
      </c>
      <c r="B2319" t="str">
        <f>"1552376581009748"</f>
        <v>1552376581009748</v>
      </c>
      <c r="C2319" t="s">
        <v>40</v>
      </c>
      <c r="D2319">
        <v>4.5673890000000004</v>
      </c>
      <c r="E2319">
        <v>0.4607</v>
      </c>
      <c r="F2319" t="s">
        <v>49</v>
      </c>
      <c r="G2319">
        <v>-498.98649999999998</v>
      </c>
      <c r="H2319" s="1">
        <v>1.8576630000000001E-6</v>
      </c>
      <c r="I2319">
        <v>279.18610000000001</v>
      </c>
      <c r="J2319">
        <v>-410.9187</v>
      </c>
      <c r="K2319">
        <v>1.1104670000000001</v>
      </c>
      <c r="L2319">
        <v>283.44760000000002</v>
      </c>
      <c r="M2319">
        <v>-0.99968380000000001</v>
      </c>
      <c r="N2319">
        <v>0</v>
      </c>
      <c r="O2319">
        <v>2.0911430000000002E-2</v>
      </c>
      <c r="P2319">
        <v>-0.9984788</v>
      </c>
      <c r="Q2319">
        <v>9.0944500000000005E-3</v>
      </c>
      <c r="R2319">
        <v>5.4382949999999999E-2</v>
      </c>
      <c r="S2319">
        <v>-3.0128780000000002</v>
      </c>
      <c r="T2319">
        <v>-3.7878630000000003E-2</v>
      </c>
      <c r="U2319">
        <v>-0.1451721</v>
      </c>
      <c r="V2319">
        <v>3.3498350000000003E-2</v>
      </c>
      <c r="W2319">
        <v>2.3047140000000001E-2</v>
      </c>
      <c r="X2319">
        <v>0.99917299999999998</v>
      </c>
      <c r="Y2319">
        <v>-6.8999640000000001E-2</v>
      </c>
      <c r="Z2319">
        <v>-6.9625649999999998E-4</v>
      </c>
      <c r="AA2319">
        <v>0.99761650000000002</v>
      </c>
      <c r="AB2319">
        <v>26</v>
      </c>
      <c r="AC2319">
        <v>-88.067799999999906</v>
      </c>
      <c r="AD2319">
        <v>-1.110465142337</v>
      </c>
      <c r="AE2319">
        <v>-4.2615000000000096</v>
      </c>
      <c r="AF2319">
        <v>-6.1014033869392996</v>
      </c>
      <c r="AG2319">
        <v>-1.110465142337</v>
      </c>
      <c r="AH2319">
        <v>87.945465925266703</v>
      </c>
      <c r="AI2319">
        <v>90.721686327912394</v>
      </c>
      <c r="AJ2319">
        <v>93.968657187744995</v>
      </c>
      <c r="AK2319">
        <v>88.163854458245794</v>
      </c>
      <c r="AL2319">
        <v>88.679379214116693</v>
      </c>
      <c r="AM2319">
        <v>88.079816549646694</v>
      </c>
      <c r="AN2319">
        <v>0.99999999702195097</v>
      </c>
    </row>
    <row r="2320" spans="1:40" x14ac:dyDescent="0.25">
      <c r="A2320" t="str">
        <f>"20190312154301044"</f>
        <v>20190312154301044</v>
      </c>
      <c r="B2320" t="str">
        <f>"1552376581040005"</f>
        <v>1552376581040005</v>
      </c>
      <c r="C2320" t="s">
        <v>40</v>
      </c>
      <c r="D2320">
        <v>4.5955890000000004</v>
      </c>
      <c r="E2320">
        <v>0.45970759999999999</v>
      </c>
      <c r="F2320" t="s">
        <v>49</v>
      </c>
      <c r="G2320">
        <v>-493.8775</v>
      </c>
      <c r="H2320" s="1">
        <v>2.7753130000000001E-6</v>
      </c>
      <c r="I2320">
        <v>279.2509</v>
      </c>
      <c r="J2320">
        <v>-411.19369999999998</v>
      </c>
      <c r="K2320">
        <v>1.110476</v>
      </c>
      <c r="L2320">
        <v>283.45359999999999</v>
      </c>
      <c r="M2320">
        <v>-0.99967950000000005</v>
      </c>
      <c r="N2320">
        <v>0</v>
      </c>
      <c r="O2320">
        <v>2.1116949999999999E-2</v>
      </c>
      <c r="P2320">
        <v>-0.9984788</v>
      </c>
      <c r="Q2320">
        <v>9.3020919999999997E-3</v>
      </c>
      <c r="R2320">
        <v>5.4349149999999999E-2</v>
      </c>
      <c r="S2320">
        <v>-3.013245</v>
      </c>
      <c r="T2320">
        <v>-4.0334460000000003E-2</v>
      </c>
      <c r="U2320">
        <v>-0.1524353</v>
      </c>
      <c r="V2320">
        <v>3.3259089999999998E-2</v>
      </c>
      <c r="W2320">
        <v>2.3252129999999999E-2</v>
      </c>
      <c r="X2320">
        <v>0.99917630000000002</v>
      </c>
      <c r="Y2320">
        <v>-7.1596320000000005E-2</v>
      </c>
      <c r="Z2320">
        <v>-7.613788E-4</v>
      </c>
      <c r="AA2320">
        <v>0.99743340000000003</v>
      </c>
      <c r="AB2320">
        <v>26</v>
      </c>
      <c r="AC2320">
        <v>-82.683800000000005</v>
      </c>
      <c r="AD2320">
        <v>-1.1104732246869999</v>
      </c>
      <c r="AE2320">
        <v>-4.2026999999999903</v>
      </c>
      <c r="AF2320">
        <v>-5.9468926714112103</v>
      </c>
      <c r="AG2320">
        <v>-1.1104732246869999</v>
      </c>
      <c r="AH2320">
        <v>82.561748413700798</v>
      </c>
      <c r="AI2320">
        <v>90.768603016923606</v>
      </c>
      <c r="AJ2320">
        <v>94.119878951089007</v>
      </c>
      <c r="AK2320">
        <v>82.783096006100493</v>
      </c>
      <c r="AL2320">
        <v>88.667631079160103</v>
      </c>
      <c r="AM2320">
        <v>88.093527481934004</v>
      </c>
      <c r="AN2320">
        <v>1.00000005354942</v>
      </c>
    </row>
    <row r="2321" spans="1:40" x14ac:dyDescent="0.25">
      <c r="A2321" t="str">
        <f>"20190312154301067"</f>
        <v>20190312154301067</v>
      </c>
      <c r="B2321" t="str">
        <f>"1552376581059524"</f>
        <v>1552376581059524</v>
      </c>
      <c r="C2321" t="s">
        <v>40</v>
      </c>
      <c r="D2321">
        <v>4.5542889999999998</v>
      </c>
      <c r="E2321">
        <v>0.45925939999999998</v>
      </c>
      <c r="F2321" t="s">
        <v>49</v>
      </c>
      <c r="G2321">
        <v>-491.12650000000002</v>
      </c>
      <c r="H2321" s="1">
        <v>3.254065E-6</v>
      </c>
      <c r="I2321">
        <v>279.19850000000002</v>
      </c>
      <c r="J2321">
        <v>-411.45170000000002</v>
      </c>
      <c r="K2321">
        <v>1.1104769999999999</v>
      </c>
      <c r="L2321">
        <v>283.45929999999998</v>
      </c>
      <c r="M2321">
        <v>-0.99967530000000004</v>
      </c>
      <c r="N2321">
        <v>0</v>
      </c>
      <c r="O2321">
        <v>2.1309890000000001E-2</v>
      </c>
      <c r="P2321">
        <v>-0.99849080000000001</v>
      </c>
      <c r="Q2321">
        <v>9.4974780000000002E-3</v>
      </c>
      <c r="R2321">
        <v>5.4097039999999999E-2</v>
      </c>
      <c r="S2321">
        <v>-3.0137019999999999</v>
      </c>
      <c r="T2321">
        <v>-4.1868089999999997E-2</v>
      </c>
      <c r="U2321">
        <v>-0.16043089999999999</v>
      </c>
      <c r="V2321">
        <v>3.2814139999999999E-2</v>
      </c>
      <c r="W2321">
        <v>2.3444719999999999E-2</v>
      </c>
      <c r="X2321">
        <v>0.99918649999999998</v>
      </c>
      <c r="Y2321">
        <v>-7.4419100000000002E-2</v>
      </c>
      <c r="Z2321">
        <v>-8.1242550000000004E-4</v>
      </c>
      <c r="AA2321">
        <v>0.99722670000000002</v>
      </c>
      <c r="AB2321">
        <v>26</v>
      </c>
      <c r="AC2321">
        <v>-79.674800000000005</v>
      </c>
      <c r="AD2321">
        <v>-1.110473745935</v>
      </c>
      <c r="AE2321">
        <v>-4.2607999999999597</v>
      </c>
      <c r="AF2321">
        <v>-5.9567053807696002</v>
      </c>
      <c r="AG2321">
        <v>-1.110473745935</v>
      </c>
      <c r="AH2321">
        <v>79.550488654773901</v>
      </c>
      <c r="AI2321">
        <v>90.797527915746201</v>
      </c>
      <c r="AJ2321">
        <v>94.282291014258405</v>
      </c>
      <c r="AK2321">
        <v>79.780923384898301</v>
      </c>
      <c r="AL2321">
        <v>88.656593461370903</v>
      </c>
      <c r="AM2321">
        <v>88.119033580255007</v>
      </c>
      <c r="AN2321">
        <v>1.00000004223103</v>
      </c>
    </row>
    <row r="2322" spans="1:40" x14ac:dyDescent="0.25">
      <c r="A2322" t="str">
        <f>"20190312154301089"</f>
        <v>20190312154301089</v>
      </c>
      <c r="B2322" t="str">
        <f>"1552376581080021"</f>
        <v>1552376581080021</v>
      </c>
      <c r="C2322" t="s">
        <v>40</v>
      </c>
      <c r="D2322">
        <v>4.5975390000000003</v>
      </c>
      <c r="E2322">
        <v>0.45886749999999998</v>
      </c>
      <c r="F2322" t="s">
        <v>49</v>
      </c>
      <c r="G2322">
        <v>-490.6891</v>
      </c>
      <c r="H2322" s="1">
        <v>3.295314E-6</v>
      </c>
      <c r="I2322">
        <v>279.12189999999998</v>
      </c>
      <c r="J2322">
        <v>-411.71589999999998</v>
      </c>
      <c r="K2322">
        <v>1.1104799999999999</v>
      </c>
      <c r="L2322">
        <v>283.46510000000001</v>
      </c>
      <c r="M2322">
        <v>-0.99967119999999998</v>
      </c>
      <c r="N2322">
        <v>0</v>
      </c>
      <c r="O2322">
        <v>2.1507720000000001E-2</v>
      </c>
      <c r="P2322">
        <v>-0.99846970000000002</v>
      </c>
      <c r="Q2322">
        <v>9.6943159999999997E-3</v>
      </c>
      <c r="R2322">
        <v>5.4447990000000002E-2</v>
      </c>
      <c r="S2322">
        <v>-3.0138850000000001</v>
      </c>
      <c r="T2322">
        <v>-4.2238119999999997E-2</v>
      </c>
      <c r="U2322">
        <v>-0.16497800000000001</v>
      </c>
      <c r="V2322">
        <v>3.2967639999999999E-2</v>
      </c>
      <c r="W2322">
        <v>2.363873E-2</v>
      </c>
      <c r="X2322">
        <v>0.99917690000000003</v>
      </c>
      <c r="Y2322">
        <v>-7.6112959999999993E-2</v>
      </c>
      <c r="Z2322">
        <v>-8.3415399999999895E-4</v>
      </c>
      <c r="AA2322">
        <v>0.99709890000000001</v>
      </c>
      <c r="AB2322">
        <v>26</v>
      </c>
      <c r="AC2322">
        <v>-78.973200000000006</v>
      </c>
      <c r="AD2322">
        <v>-1.110476704686</v>
      </c>
      <c r="AE2322">
        <v>-4.3432000000000199</v>
      </c>
      <c r="AF2322">
        <v>-6.0397035791153204</v>
      </c>
      <c r="AG2322">
        <v>-1.110476704686</v>
      </c>
      <c r="AH2322">
        <v>78.845964368577299</v>
      </c>
      <c r="AI2322">
        <v>90.804551085931294</v>
      </c>
      <c r="AJ2322">
        <v>94.380377045541593</v>
      </c>
      <c r="AK2322">
        <v>79.084747423546801</v>
      </c>
      <c r="AL2322">
        <v>88.645474458486703</v>
      </c>
      <c r="AM2322">
        <v>88.110222901526399</v>
      </c>
      <c r="AN2322">
        <v>1.0000000661683901</v>
      </c>
    </row>
    <row r="2323" spans="1:40" x14ac:dyDescent="0.25">
      <c r="A2323" t="str">
        <f>"20190312154301111"</f>
        <v>20190312154301111</v>
      </c>
      <c r="B2323" t="str">
        <f>"1552376581099541"</f>
        <v>1552376581099541</v>
      </c>
      <c r="C2323" t="s">
        <v>40</v>
      </c>
      <c r="D2323">
        <v>4.5785939999999998</v>
      </c>
      <c r="E2323">
        <v>0.45855259999999998</v>
      </c>
      <c r="F2323" t="s">
        <v>49</v>
      </c>
      <c r="G2323">
        <v>-489.70859999999999</v>
      </c>
      <c r="H2323" s="1">
        <v>3.322999E-6</v>
      </c>
      <c r="I2323">
        <v>279.14170000000001</v>
      </c>
      <c r="J2323">
        <v>-411.96879999999999</v>
      </c>
      <c r="K2323">
        <v>1.1104769999999999</v>
      </c>
      <c r="L2323">
        <v>283.4708</v>
      </c>
      <c r="M2323">
        <v>-0.99966710000000003</v>
      </c>
      <c r="N2323">
        <v>0</v>
      </c>
      <c r="O2323">
        <v>2.1697149999999998E-2</v>
      </c>
      <c r="P2323">
        <v>-0.99846460000000004</v>
      </c>
      <c r="Q2323">
        <v>9.3271780000000002E-3</v>
      </c>
      <c r="R2323">
        <v>5.460603E-2</v>
      </c>
      <c r="S2323">
        <v>-3.0141300000000002</v>
      </c>
      <c r="T2323">
        <v>-4.291582E-2</v>
      </c>
      <c r="U2323">
        <v>-0.1670837</v>
      </c>
      <c r="V2323">
        <v>3.2936300000000002E-2</v>
      </c>
      <c r="W2323">
        <v>2.3269290000000002E-2</v>
      </c>
      <c r="X2323">
        <v>0.99918649999999998</v>
      </c>
      <c r="Y2323">
        <v>-7.6991509999999999E-2</v>
      </c>
      <c r="Z2323">
        <v>-8.5639709999999999E-4</v>
      </c>
      <c r="AA2323">
        <v>0.99703140000000001</v>
      </c>
      <c r="AB2323">
        <v>26</v>
      </c>
      <c r="AC2323">
        <v>-77.739800000000002</v>
      </c>
      <c r="AD2323">
        <v>-1.110473677001</v>
      </c>
      <c r="AE2323">
        <v>-4.32909999999998</v>
      </c>
      <c r="AF2323">
        <v>-6.0137539075311199</v>
      </c>
      <c r="AG2323">
        <v>-1.110473677001</v>
      </c>
      <c r="AH2323">
        <v>77.611769877636604</v>
      </c>
      <c r="AI2323">
        <v>90.817285918799101</v>
      </c>
      <c r="AJ2323">
        <v>94.430714753146205</v>
      </c>
      <c r="AK2323">
        <v>77.852329518049004</v>
      </c>
      <c r="AL2323">
        <v>88.666647493785504</v>
      </c>
      <c r="AM2323">
        <v>88.112036204254906</v>
      </c>
      <c r="AN2323">
        <v>0.99999996074852104</v>
      </c>
    </row>
    <row r="2324" spans="1:40" x14ac:dyDescent="0.25">
      <c r="A2324" t="str">
        <f>"20190312154301123"</f>
        <v>20190312154301123</v>
      </c>
      <c r="B2324" t="str">
        <f>"1552376581120037"</f>
        <v>1552376581120037</v>
      </c>
      <c r="C2324" t="s">
        <v>40</v>
      </c>
      <c r="D2324">
        <v>4.5862949999999998</v>
      </c>
      <c r="E2324">
        <v>0.45824870000000001</v>
      </c>
      <c r="F2324" t="s">
        <v>49</v>
      </c>
      <c r="G2324">
        <v>-486.3886</v>
      </c>
      <c r="H2324" s="1">
        <v>2.7880560000000001E-6</v>
      </c>
      <c r="I2324">
        <v>279.2944</v>
      </c>
      <c r="J2324">
        <v>-412.12790000000001</v>
      </c>
      <c r="K2324">
        <v>1.110476</v>
      </c>
      <c r="L2324">
        <v>283.47430000000003</v>
      </c>
      <c r="M2324">
        <v>-0.99966449999999996</v>
      </c>
      <c r="N2324">
        <v>0</v>
      </c>
      <c r="O2324">
        <v>2.1816539999999999E-2</v>
      </c>
      <c r="P2324">
        <v>-0.99844900000000003</v>
      </c>
      <c r="Q2324">
        <v>9.0213789999999995E-3</v>
      </c>
      <c r="R2324">
        <v>5.4941039999999997E-2</v>
      </c>
      <c r="S2324">
        <v>-3.0142820000000001</v>
      </c>
      <c r="T2324">
        <v>-4.4978379999999998E-2</v>
      </c>
      <c r="U2324">
        <v>-0.1691589</v>
      </c>
      <c r="V2324">
        <v>3.31522E-2</v>
      </c>
      <c r="W2324">
        <v>2.2961329999999999E-2</v>
      </c>
      <c r="X2324">
        <v>0.99918649999999998</v>
      </c>
      <c r="Y2324">
        <v>-7.7790979999999996E-2</v>
      </c>
      <c r="Z2324">
        <v>-9.0522970000000004E-4</v>
      </c>
      <c r="AA2324">
        <v>0.99696929999999995</v>
      </c>
      <c r="AB2324">
        <v>26</v>
      </c>
      <c r="AC2324">
        <v>-74.2606999999999</v>
      </c>
      <c r="AD2324">
        <v>-1.1104732119439999</v>
      </c>
      <c r="AE2324">
        <v>-4.1799000000000301</v>
      </c>
      <c r="AF2324">
        <v>-5.7978820177167698</v>
      </c>
      <c r="AG2324">
        <v>-1.1104732119439999</v>
      </c>
      <c r="AH2324">
        <v>74.135296691182901</v>
      </c>
      <c r="AI2324">
        <v>90.855557723653206</v>
      </c>
      <c r="AJ2324">
        <v>94.471815624679905</v>
      </c>
      <c r="AK2324">
        <v>74.369959003185699</v>
      </c>
      <c r="AL2324">
        <v>88.684297039273801</v>
      </c>
      <c r="AM2324">
        <v>88.099669499668195</v>
      </c>
      <c r="AN2324">
        <v>0.99999997641122895</v>
      </c>
    </row>
    <row r="2325" spans="1:40" x14ac:dyDescent="0.25">
      <c r="A2325" t="str">
        <f>"20190312154301145"</f>
        <v>20190312154301145</v>
      </c>
      <c r="B2325" t="str">
        <f>"1552376581139556"</f>
        <v>1552376581139556</v>
      </c>
      <c r="C2325" t="s">
        <v>40</v>
      </c>
      <c r="D2325">
        <v>4.5915140000000001</v>
      </c>
      <c r="E2325">
        <v>0.457951</v>
      </c>
      <c r="F2325" t="s">
        <v>49</v>
      </c>
      <c r="G2325">
        <v>-486.04809999999998</v>
      </c>
      <c r="H2325" s="1">
        <v>2.7265000000000001E-6</v>
      </c>
      <c r="I2325">
        <v>279.29109999999997</v>
      </c>
      <c r="J2325">
        <v>-412.36829999999998</v>
      </c>
      <c r="K2325">
        <v>1.110471</v>
      </c>
      <c r="L2325">
        <v>283.47980000000001</v>
      </c>
      <c r="M2325">
        <v>-0.99966060000000001</v>
      </c>
      <c r="N2325">
        <v>0</v>
      </c>
      <c r="O2325">
        <v>2.1996080000000001E-2</v>
      </c>
      <c r="P2325">
        <v>-0.99842799999999998</v>
      </c>
      <c r="Q2325">
        <v>8.6708930000000007E-3</v>
      </c>
      <c r="R2325">
        <v>5.5376849999999998E-2</v>
      </c>
      <c r="S2325">
        <v>-3.0144959999999998</v>
      </c>
      <c r="T2325">
        <v>-4.5285579999999999E-2</v>
      </c>
      <c r="U2325">
        <v>-0.1705933</v>
      </c>
      <c r="V2325">
        <v>3.340862E-2</v>
      </c>
      <c r="W2325">
        <v>2.2608570000000001E-2</v>
      </c>
      <c r="X2325">
        <v>0.99918600000000002</v>
      </c>
      <c r="Y2325">
        <v>-7.8438679999999997E-2</v>
      </c>
      <c r="Z2325">
        <v>-9.188919E-4</v>
      </c>
      <c r="AA2325">
        <v>0.99691850000000004</v>
      </c>
      <c r="AB2325">
        <v>26</v>
      </c>
      <c r="AC2325">
        <v>-73.6798</v>
      </c>
      <c r="AD2325">
        <v>-1.1104682735</v>
      </c>
      <c r="AE2325">
        <v>-4.1887000000000398</v>
      </c>
      <c r="AF2325">
        <v>-5.8071962100327799</v>
      </c>
      <c r="AG2325">
        <v>-1.1104682735</v>
      </c>
      <c r="AH2325">
        <v>73.5531723700866</v>
      </c>
      <c r="AI2325">
        <v>90.862273837217998</v>
      </c>
      <c r="AJ2325">
        <v>94.514272424191205</v>
      </c>
      <c r="AK2325">
        <v>73.790418302865902</v>
      </c>
      <c r="AL2325">
        <v>88.704513943092607</v>
      </c>
      <c r="AM2325">
        <v>88.084981091003797</v>
      </c>
      <c r="AN2325">
        <v>0.99999997296187404</v>
      </c>
    </row>
    <row r="2326" spans="1:40" x14ac:dyDescent="0.25">
      <c r="A2326" t="str">
        <f>"20190312154301166"</f>
        <v>20190312154301166</v>
      </c>
      <c r="B2326" t="str">
        <f>"1552376581160056"</f>
        <v>1552376581160056</v>
      </c>
      <c r="C2326" t="s">
        <v>40</v>
      </c>
      <c r="D2326">
        <v>4.5377780000000003</v>
      </c>
      <c r="E2326">
        <v>0.4576885</v>
      </c>
      <c r="F2326" t="s">
        <v>49</v>
      </c>
      <c r="G2326">
        <v>-483.18060000000003</v>
      </c>
      <c r="H2326" s="1">
        <v>2.2736550000000002E-6</v>
      </c>
      <c r="I2326">
        <v>279.44900000000001</v>
      </c>
      <c r="J2326">
        <v>-412.62670000000003</v>
      </c>
      <c r="K2326">
        <v>1.1104700000000001</v>
      </c>
      <c r="L2326">
        <v>283.48570000000001</v>
      </c>
      <c r="M2326">
        <v>-0.9996564</v>
      </c>
      <c r="N2326">
        <v>0</v>
      </c>
      <c r="O2326">
        <v>2.2189790000000001E-2</v>
      </c>
      <c r="P2326">
        <v>-0.99839960000000005</v>
      </c>
      <c r="Q2326">
        <v>8.4080000000000005E-3</v>
      </c>
      <c r="R2326">
        <v>5.5924410000000001E-2</v>
      </c>
      <c r="S2326">
        <v>-3.014618</v>
      </c>
      <c r="T2326">
        <v>-4.7274829999999997E-2</v>
      </c>
      <c r="U2326">
        <v>-0.17160029999999901</v>
      </c>
      <c r="V2326">
        <v>3.3762729999999998E-2</v>
      </c>
      <c r="W2326">
        <v>2.2342560000000001E-2</v>
      </c>
      <c r="X2326">
        <v>0.99918010000000002</v>
      </c>
      <c r="Y2326">
        <v>-7.8960459999999996E-2</v>
      </c>
      <c r="Z2326">
        <v>-9.6632700000000001E-4</v>
      </c>
      <c r="AA2326">
        <v>0.99687729999999997</v>
      </c>
      <c r="AB2326">
        <v>26</v>
      </c>
      <c r="AC2326">
        <v>-70.553899999999999</v>
      </c>
      <c r="AD2326">
        <v>-1.110467726345</v>
      </c>
      <c r="AE2326">
        <v>-4.03669999999999</v>
      </c>
      <c r="AF2326">
        <v>-5.6000517807917598</v>
      </c>
      <c r="AG2326">
        <v>-1.110467726345</v>
      </c>
      <c r="AH2326">
        <v>70.429552093967501</v>
      </c>
      <c r="AI2326">
        <v>90.900470195501498</v>
      </c>
      <c r="AJ2326">
        <v>94.546183921098404</v>
      </c>
      <c r="AK2326">
        <v>70.660565570024204</v>
      </c>
      <c r="AL2326">
        <v>88.719759069364201</v>
      </c>
      <c r="AM2326">
        <v>88.064687051105196</v>
      </c>
      <c r="AN2326">
        <v>0.99999999208020796</v>
      </c>
    </row>
    <row r="2327" spans="1:40" x14ac:dyDescent="0.25">
      <c r="A2327" t="str">
        <f>"20190312154301189"</f>
        <v>20190312154301189</v>
      </c>
      <c r="B2327" t="str">
        <f>"1552376581179573"</f>
        <v>1552376581179573</v>
      </c>
      <c r="C2327" t="s">
        <v>40</v>
      </c>
      <c r="D2327">
        <v>4.5421509999999996</v>
      </c>
      <c r="E2327">
        <v>0.45747739999999998</v>
      </c>
      <c r="F2327" t="s">
        <v>49</v>
      </c>
      <c r="G2327">
        <v>-481.7158</v>
      </c>
      <c r="H2327" s="1">
        <v>2.0469919999999998E-6</v>
      </c>
      <c r="I2327">
        <v>279.5428</v>
      </c>
      <c r="J2327">
        <v>-412.88479999999998</v>
      </c>
      <c r="K2327">
        <v>1.110473</v>
      </c>
      <c r="L2327">
        <v>283.49169999999998</v>
      </c>
      <c r="M2327">
        <v>-0.99965210000000004</v>
      </c>
      <c r="N2327">
        <v>0</v>
      </c>
      <c r="O2327">
        <v>2.238333E-2</v>
      </c>
      <c r="P2327">
        <v>-0.99838320000000003</v>
      </c>
      <c r="Q2327">
        <v>8.1464999999999992E-3</v>
      </c>
      <c r="R2327">
        <v>5.6257300000000003E-2</v>
      </c>
      <c r="S2327">
        <v>-3.0148619999999999</v>
      </c>
      <c r="T2327">
        <v>-4.8457859999999998E-2</v>
      </c>
      <c r="U2327">
        <v>-0.17205809999999999</v>
      </c>
      <c r="V2327">
        <v>3.390232E-2</v>
      </c>
      <c r="W2327">
        <v>2.2078449999999999E-2</v>
      </c>
      <c r="X2327">
        <v>0.99918130000000005</v>
      </c>
      <c r="Y2327">
        <v>-7.9299060000000005E-2</v>
      </c>
      <c r="Z2327">
        <v>-9.9624900000000005E-4</v>
      </c>
      <c r="AA2327">
        <v>0.99685040000000003</v>
      </c>
      <c r="AB2327">
        <v>26</v>
      </c>
      <c r="AC2327">
        <v>-68.831000000000003</v>
      </c>
      <c r="AD2327">
        <v>-1.1104709530079999</v>
      </c>
      <c r="AE2327">
        <v>-3.9488999999999801</v>
      </c>
      <c r="AF2327">
        <v>-5.4873038560646004</v>
      </c>
      <c r="AG2327">
        <v>-1.1104709530079999</v>
      </c>
      <c r="AH2327">
        <v>68.707528965442194</v>
      </c>
      <c r="AI2327">
        <v>90.923011874930197</v>
      </c>
      <c r="AJ2327">
        <v>94.566216423422205</v>
      </c>
      <c r="AK2327">
        <v>68.935246324963003</v>
      </c>
      <c r="AL2327">
        <v>88.734895262145599</v>
      </c>
      <c r="AM2327">
        <v>88.056694069252998</v>
      </c>
      <c r="AN2327">
        <v>1.00000004776273</v>
      </c>
    </row>
    <row r="2328" spans="1:40" x14ac:dyDescent="0.25">
      <c r="A2328" t="str">
        <f>"20190312154301201"</f>
        <v>20190312154301201</v>
      </c>
      <c r="B2328" t="str">
        <f>"1552376581189333"</f>
        <v>1552376581189333</v>
      </c>
      <c r="C2328" t="s">
        <v>40</v>
      </c>
      <c r="D2328">
        <v>4.5452349999999999</v>
      </c>
      <c r="E2328">
        <v>0.4573738</v>
      </c>
      <c r="F2328" t="s">
        <v>49</v>
      </c>
      <c r="G2328">
        <v>-479.8417</v>
      </c>
      <c r="H2328" s="1">
        <v>1.816098E-6</v>
      </c>
      <c r="I2328">
        <v>279.65629999999999</v>
      </c>
      <c r="J2328">
        <v>-413.02870000000001</v>
      </c>
      <c r="K2328">
        <v>1.1104719999999999</v>
      </c>
      <c r="L2328">
        <v>283.495</v>
      </c>
      <c r="M2328">
        <v>-0.99964969999999997</v>
      </c>
      <c r="N2328">
        <v>0</v>
      </c>
      <c r="O2328">
        <v>2.249116E-2</v>
      </c>
      <c r="P2328">
        <v>-0.99839020000000001</v>
      </c>
      <c r="Q2328">
        <v>7.7700340000000003E-3</v>
      </c>
      <c r="R2328">
        <v>5.6185819999999997E-2</v>
      </c>
      <c r="S2328">
        <v>-3.0149840000000001</v>
      </c>
      <c r="T2328">
        <v>-5.000305E-2</v>
      </c>
      <c r="U2328">
        <v>-0.17269899999999999</v>
      </c>
      <c r="V2328">
        <v>3.372269E-2</v>
      </c>
      <c r="W2328">
        <v>2.170041E-2</v>
      </c>
      <c r="X2328">
        <v>0.99919559999999996</v>
      </c>
      <c r="Y2328">
        <v>-7.9614560000000001E-2</v>
      </c>
      <c r="Z2328">
        <v>-1.0323660000000001E-3</v>
      </c>
      <c r="AA2328">
        <v>0.99682519999999997</v>
      </c>
      <c r="AB2328">
        <v>26</v>
      </c>
      <c r="AC2328">
        <v>-66.812999999999903</v>
      </c>
      <c r="AD2328">
        <v>-1.1104701839019999</v>
      </c>
      <c r="AE2328">
        <v>-3.83870000000001</v>
      </c>
      <c r="AF2328">
        <v>-5.3391068664346504</v>
      </c>
      <c r="AG2328">
        <v>-1.1104701839019999</v>
      </c>
      <c r="AH2328">
        <v>66.691388159998098</v>
      </c>
      <c r="AI2328">
        <v>90.950895127145102</v>
      </c>
      <c r="AJ2328">
        <v>94.577161559471193</v>
      </c>
      <c r="AK2328">
        <v>66.913978067875206</v>
      </c>
      <c r="AL2328">
        <v>88.756560473631595</v>
      </c>
      <c r="AM2328">
        <v>88.067010404313905</v>
      </c>
      <c r="AN2328">
        <v>0.99999998733718198</v>
      </c>
    </row>
    <row r="2329" spans="1:40" x14ac:dyDescent="0.25">
      <c r="A2329" t="str">
        <f>"20190312154301213"</f>
        <v>20190312154301213</v>
      </c>
      <c r="B2329" t="str">
        <f>"1552376581209828"</f>
        <v>1552376581209828</v>
      </c>
      <c r="C2329" t="s">
        <v>40</v>
      </c>
      <c r="D2329">
        <v>4.5419280000000004</v>
      </c>
      <c r="E2329">
        <v>0.45718589999999998</v>
      </c>
      <c r="F2329" t="s">
        <v>49</v>
      </c>
      <c r="G2329">
        <v>-478.0557</v>
      </c>
      <c r="H2329" s="1">
        <v>2.6157790000000001E-6</v>
      </c>
      <c r="I2329">
        <v>279.74400000000003</v>
      </c>
      <c r="J2329">
        <v>-413.17180000000002</v>
      </c>
      <c r="K2329">
        <v>1.1104719999999999</v>
      </c>
      <c r="L2329">
        <v>283.49829999999997</v>
      </c>
      <c r="M2329">
        <v>-0.99964730000000002</v>
      </c>
      <c r="N2329">
        <v>0</v>
      </c>
      <c r="O2329">
        <v>2.2598509999999999E-2</v>
      </c>
      <c r="P2329">
        <v>-0.99837399999999998</v>
      </c>
      <c r="Q2329">
        <v>7.6604999999999998E-3</v>
      </c>
      <c r="R2329">
        <v>5.6488030000000002E-2</v>
      </c>
      <c r="S2329">
        <v>-3.0150450000000002</v>
      </c>
      <c r="T2329">
        <v>-5.1488039999999999E-2</v>
      </c>
      <c r="U2329">
        <v>-0.17391970000000001</v>
      </c>
      <c r="V2329">
        <v>3.3918049999999998E-2</v>
      </c>
      <c r="W2329">
        <v>2.1589339999999999E-2</v>
      </c>
      <c r="X2329">
        <v>0.99919139999999995</v>
      </c>
      <c r="Y2329">
        <v>-8.012176E-2</v>
      </c>
      <c r="Z2329">
        <v>-1.069146E-3</v>
      </c>
      <c r="AA2329">
        <v>0.99678449999999996</v>
      </c>
      <c r="AB2329">
        <v>26</v>
      </c>
      <c r="AC2329">
        <v>-64.883899999999898</v>
      </c>
      <c r="AD2329">
        <v>-1.1104693842209901</v>
      </c>
      <c r="AE2329">
        <v>-3.7542999999999398</v>
      </c>
      <c r="AF2329">
        <v>-5.2182397923185304</v>
      </c>
      <c r="AG2329">
        <v>-1.1104693842209901</v>
      </c>
      <c r="AH2329">
        <v>64.763570131973196</v>
      </c>
      <c r="AI2329">
        <v>90.979153926010596</v>
      </c>
      <c r="AJ2329">
        <v>94.606580725361098</v>
      </c>
      <c r="AK2329">
        <v>64.982945339699995</v>
      </c>
      <c r="AL2329">
        <v>88.762925815168202</v>
      </c>
      <c r="AM2329">
        <v>88.055812743188397</v>
      </c>
      <c r="AN2329">
        <v>0.99999999377569804</v>
      </c>
    </row>
    <row r="2330" spans="1:40" x14ac:dyDescent="0.25">
      <c r="A2330" t="str">
        <f>"20190312154301237"</f>
        <v>20190312154301237</v>
      </c>
      <c r="B2330" t="str">
        <f>"1552376581229349"</f>
        <v>1552376581229349</v>
      </c>
      <c r="C2330" t="s">
        <v>40</v>
      </c>
      <c r="D2330">
        <v>4.4836619999999998</v>
      </c>
      <c r="E2330">
        <v>0.45699269999999997</v>
      </c>
      <c r="F2330" t="s">
        <v>49</v>
      </c>
      <c r="G2330">
        <v>-477.68419999999998</v>
      </c>
      <c r="H2330" s="1">
        <v>2.782705E-6</v>
      </c>
      <c r="I2330">
        <v>279.76859999999999</v>
      </c>
      <c r="J2330">
        <v>-413.42989999999998</v>
      </c>
      <c r="K2330">
        <v>1.110473</v>
      </c>
      <c r="L2330">
        <v>283.50439999999998</v>
      </c>
      <c r="M2330">
        <v>-0.99964310000000001</v>
      </c>
      <c r="N2330">
        <v>0</v>
      </c>
      <c r="O2330">
        <v>2.2792050000000001E-2</v>
      </c>
      <c r="P2330">
        <v>-0.99837379999999998</v>
      </c>
      <c r="Q2330">
        <v>7.338303E-3</v>
      </c>
      <c r="R2330">
        <v>5.653561E-2</v>
      </c>
      <c r="S2330">
        <v>-3.0151370000000002</v>
      </c>
      <c r="T2330">
        <v>-5.1900389999999998E-2</v>
      </c>
      <c r="U2330">
        <v>-0.17431640000000001</v>
      </c>
      <c r="V2330">
        <v>3.3771959999999997E-2</v>
      </c>
      <c r="W2330">
        <v>2.12642E-2</v>
      </c>
      <c r="X2330">
        <v>0.99920330000000002</v>
      </c>
      <c r="Y2330">
        <v>-8.0443429999999996E-2</v>
      </c>
      <c r="Z2330">
        <v>-1.0837659999999999E-3</v>
      </c>
      <c r="AA2330">
        <v>0.99675860000000005</v>
      </c>
      <c r="AB2330">
        <v>26</v>
      </c>
      <c r="AC2330">
        <v>-64.254300000000001</v>
      </c>
      <c r="AD2330">
        <v>-1.1104702172950001</v>
      </c>
      <c r="AE2330">
        <v>-3.7357999999999798</v>
      </c>
      <c r="AF2330">
        <v>-5.1979114968875697</v>
      </c>
      <c r="AG2330">
        <v>-1.1104702172950001</v>
      </c>
      <c r="AH2330">
        <v>64.133359484661895</v>
      </c>
      <c r="AI2330">
        <v>90.988736803214195</v>
      </c>
      <c r="AJ2330">
        <v>94.633607888961606</v>
      </c>
      <c r="AK2330">
        <v>64.353237889183504</v>
      </c>
      <c r="AL2330">
        <v>88.781559217785102</v>
      </c>
      <c r="AM2330">
        <v>88.064203294043494</v>
      </c>
      <c r="AN2330">
        <v>0.99999997310738498</v>
      </c>
    </row>
    <row r="2331" spans="1:40" x14ac:dyDescent="0.25">
      <c r="A2331" t="str">
        <f>"20190312154301257"</f>
        <v>20190312154301257</v>
      </c>
      <c r="B2331" t="str">
        <f>"1552376581249845"</f>
        <v>1552376581249845</v>
      </c>
      <c r="C2331" t="s">
        <v>40</v>
      </c>
      <c r="D2331">
        <v>4.5108790000000001</v>
      </c>
      <c r="E2331">
        <v>0.45680999999999999</v>
      </c>
      <c r="F2331" t="s">
        <v>49</v>
      </c>
      <c r="G2331">
        <v>-476.72609999999997</v>
      </c>
      <c r="H2331" s="1">
        <v>3.211666E-6</v>
      </c>
      <c r="I2331">
        <v>279.81560000000002</v>
      </c>
      <c r="J2331">
        <v>-413.66829999999999</v>
      </c>
      <c r="K2331">
        <v>1.1104750000000001</v>
      </c>
      <c r="L2331">
        <v>283.51</v>
      </c>
      <c r="M2331">
        <v>-0.9996389</v>
      </c>
      <c r="N2331">
        <v>0</v>
      </c>
      <c r="O2331">
        <v>2.2970810000000001E-2</v>
      </c>
      <c r="P2331">
        <v>-0.99837319999999996</v>
      </c>
      <c r="Q2331">
        <v>7.2231279999999997E-3</v>
      </c>
      <c r="R2331">
        <v>5.6556740000000001E-2</v>
      </c>
      <c r="S2331">
        <v>-3.0152589999999999</v>
      </c>
      <c r="T2331">
        <v>-5.2899719999999997E-2</v>
      </c>
      <c r="U2331">
        <v>-0.17572019999999999</v>
      </c>
      <c r="V2331">
        <v>3.3614030000000003E-2</v>
      </c>
      <c r="W2331">
        <v>2.1146450000000001E-2</v>
      </c>
      <c r="X2331">
        <v>0.99921110000000002</v>
      </c>
      <c r="Y2331">
        <v>-8.1081109999999998E-2</v>
      </c>
      <c r="Z2331">
        <v>-1.1132939999999999E-3</v>
      </c>
      <c r="AA2331">
        <v>0.99670689999999995</v>
      </c>
      <c r="AB2331">
        <v>26</v>
      </c>
      <c r="AC2331">
        <v>-63.057799999999901</v>
      </c>
      <c r="AD2331">
        <v>-1.1104717883340001</v>
      </c>
      <c r="AE2331">
        <v>-3.6943999999999702</v>
      </c>
      <c r="AF2331">
        <v>-5.1404658205036702</v>
      </c>
      <c r="AG2331">
        <v>-1.1104717883340001</v>
      </c>
      <c r="AH2331">
        <v>62.936834930418001</v>
      </c>
      <c r="AI2331">
        <v>91.007480635276806</v>
      </c>
      <c r="AJ2331">
        <v>94.6693588801961</v>
      </c>
      <c r="AK2331">
        <v>63.156177271135803</v>
      </c>
      <c r="AL2331">
        <v>88.788307283990093</v>
      </c>
      <c r="AM2331">
        <v>88.073263975367595</v>
      </c>
      <c r="AN2331">
        <v>0.99999994886182497</v>
      </c>
    </row>
    <row r="2332" spans="1:40" x14ac:dyDescent="0.25">
      <c r="A2332" t="str">
        <f>"20190312154301280"</f>
        <v>20190312154301280</v>
      </c>
      <c r="B2332" t="str">
        <f>"1552376581269365"</f>
        <v>1552376581269365</v>
      </c>
      <c r="C2332" t="s">
        <v>40</v>
      </c>
      <c r="D2332">
        <v>4.4900960000000003</v>
      </c>
      <c r="E2332">
        <v>0.456598</v>
      </c>
      <c r="F2332" t="s">
        <v>49</v>
      </c>
      <c r="G2332">
        <v>-477.0197</v>
      </c>
      <c r="H2332" s="1">
        <v>3.0793319999999999E-6</v>
      </c>
      <c r="I2332">
        <v>279.7912</v>
      </c>
      <c r="J2332">
        <v>-413.93779999999998</v>
      </c>
      <c r="K2332">
        <v>1.1104750000000001</v>
      </c>
      <c r="L2332">
        <v>283.51639999999998</v>
      </c>
      <c r="M2332">
        <v>-0.99963429999999998</v>
      </c>
      <c r="N2332">
        <v>0</v>
      </c>
      <c r="O2332">
        <v>2.3172809999999999E-2</v>
      </c>
      <c r="P2332">
        <v>-0.99835929999999995</v>
      </c>
      <c r="Q2332">
        <v>7.0185450000000002E-3</v>
      </c>
      <c r="R2332">
        <v>5.6830249999999999E-2</v>
      </c>
      <c r="S2332">
        <v>-3.0152890000000001</v>
      </c>
      <c r="T2332">
        <v>-5.28543E-2</v>
      </c>
      <c r="U2332">
        <v>-0.17700199999999999</v>
      </c>
      <c r="V2332">
        <v>3.3685890000000003E-2</v>
      </c>
      <c r="W2332">
        <v>2.0939559999999999E-2</v>
      </c>
      <c r="X2332">
        <v>0.99921309999999997</v>
      </c>
      <c r="Y2332">
        <v>-8.1704040000000006E-2</v>
      </c>
      <c r="Z2332">
        <v>-1.121307E-3</v>
      </c>
      <c r="AA2332">
        <v>0.99665599999999999</v>
      </c>
      <c r="AB2332">
        <v>26</v>
      </c>
      <c r="AC2332">
        <v>-63.081899999999997</v>
      </c>
      <c r="AD2332">
        <v>-1.110471920668</v>
      </c>
      <c r="AE2332">
        <v>-3.7251999999999699</v>
      </c>
      <c r="AF2332">
        <v>-5.1845253587014097</v>
      </c>
      <c r="AG2332">
        <v>-1.110471920668</v>
      </c>
      <c r="AH2332">
        <v>62.9591833304966</v>
      </c>
      <c r="AI2332">
        <v>91.007068183037802</v>
      </c>
      <c r="AJ2332">
        <v>94.7075371728682</v>
      </c>
      <c r="AK2332">
        <v>63.182048215649701</v>
      </c>
      <c r="AL2332">
        <v>88.800163909328205</v>
      </c>
      <c r="AM2332">
        <v>88.069151979619704</v>
      </c>
      <c r="AN2332">
        <v>1.00000001178484</v>
      </c>
    </row>
    <row r="2333" spans="1:40" x14ac:dyDescent="0.25">
      <c r="A2333" t="str">
        <f>"20190312154301301"</f>
        <v>20190312154301301</v>
      </c>
      <c r="B2333" t="str">
        <f>"1552376581289861"</f>
        <v>1552376581289861</v>
      </c>
      <c r="C2333" t="s">
        <v>40</v>
      </c>
      <c r="D2333">
        <v>4.49254</v>
      </c>
      <c r="E2333">
        <v>0.45639560000000001</v>
      </c>
      <c r="F2333" t="s">
        <v>49</v>
      </c>
      <c r="G2333">
        <v>-476.53629999999998</v>
      </c>
      <c r="H2333" s="1">
        <v>3.296183E-6</v>
      </c>
      <c r="I2333">
        <v>279.81979999999999</v>
      </c>
      <c r="J2333">
        <v>-414.18439999999998</v>
      </c>
      <c r="K2333">
        <v>1.1104769999999999</v>
      </c>
      <c r="L2333">
        <v>283.5224</v>
      </c>
      <c r="M2333">
        <v>-0.99963000000000002</v>
      </c>
      <c r="N2333">
        <v>0</v>
      </c>
      <c r="O2333">
        <v>2.3357409999999999E-2</v>
      </c>
      <c r="P2333">
        <v>-0.99835410000000002</v>
      </c>
      <c r="Q2333">
        <v>7.12504E-3</v>
      </c>
      <c r="R2333">
        <v>5.6905959999999998E-2</v>
      </c>
      <c r="S2333">
        <v>-3.0154420000000002</v>
      </c>
      <c r="T2333">
        <v>-5.3492669999999999E-2</v>
      </c>
      <c r="U2333">
        <v>-0.17807010000000001</v>
      </c>
      <c r="V2333">
        <v>3.3577139999999998E-2</v>
      </c>
      <c r="W2333">
        <v>2.104348E-2</v>
      </c>
      <c r="X2333">
        <v>0.99921459999999995</v>
      </c>
      <c r="Y2333">
        <v>-8.2236450000000003E-2</v>
      </c>
      <c r="Z2333">
        <v>-1.1427690000000001E-3</v>
      </c>
      <c r="AA2333">
        <v>0.99661219999999995</v>
      </c>
      <c r="AB2333">
        <v>26</v>
      </c>
      <c r="AC2333">
        <v>-62.351900000000001</v>
      </c>
      <c r="AD2333">
        <v>-1.1104737038169901</v>
      </c>
      <c r="AE2333">
        <v>-3.7026000000000101</v>
      </c>
      <c r="AF2333">
        <v>-5.1564802230683204</v>
      </c>
      <c r="AG2333">
        <v>-1.1104737038169901</v>
      </c>
      <c r="AH2333">
        <v>62.228725338010697</v>
      </c>
      <c r="AI2333">
        <v>91.018845466146402</v>
      </c>
      <c r="AJ2333">
        <v>94.736897913467899</v>
      </c>
      <c r="AK2333">
        <v>62.451875050564603</v>
      </c>
      <c r="AL2333">
        <v>88.794208447253993</v>
      </c>
      <c r="AM2333">
        <v>88.075383633303105</v>
      </c>
      <c r="AN2333">
        <v>1.0000000346171201</v>
      </c>
    </row>
    <row r="2334" spans="1:40" x14ac:dyDescent="0.25">
      <c r="A2334" t="str">
        <f>"20190312154301334"</f>
        <v>20190312154301334</v>
      </c>
      <c r="B2334" t="str">
        <f>"1552376581329880"</f>
        <v>1552376581329880</v>
      </c>
      <c r="C2334" t="s">
        <v>40</v>
      </c>
      <c r="D2334">
        <v>4.6824279999999998</v>
      </c>
      <c r="E2334">
        <v>0.45616440000000003</v>
      </c>
      <c r="F2334" t="s">
        <v>49</v>
      </c>
      <c r="G2334">
        <v>-477.09890000000001</v>
      </c>
      <c r="H2334" s="1">
        <v>3.0431550000000002E-6</v>
      </c>
      <c r="I2334">
        <v>279.7792</v>
      </c>
      <c r="J2334">
        <v>-414.56729999999999</v>
      </c>
      <c r="K2334">
        <v>1.110484</v>
      </c>
      <c r="L2334">
        <v>283.5317</v>
      </c>
      <c r="M2334">
        <v>-0.99962340000000005</v>
      </c>
      <c r="N2334">
        <v>0</v>
      </c>
      <c r="O2334">
        <v>2.364459E-2</v>
      </c>
      <c r="P2334">
        <v>-0.99834440000000002</v>
      </c>
      <c r="Q2334">
        <v>7.3803130000000003E-3</v>
      </c>
      <c r="R2334">
        <v>5.7047479999999998E-2</v>
      </c>
      <c r="S2334">
        <v>-3.015533</v>
      </c>
      <c r="T2334">
        <v>-5.3225759999999997E-2</v>
      </c>
      <c r="U2334">
        <v>-0.17941279999999901</v>
      </c>
      <c r="V2334">
        <v>3.3431790000000003E-2</v>
      </c>
      <c r="W2334">
        <v>2.129472E-2</v>
      </c>
      <c r="X2334">
        <v>0.99921409999999999</v>
      </c>
      <c r="Y2334">
        <v>-8.2963179999999997E-2</v>
      </c>
      <c r="Z2334">
        <v>-1.148491E-3</v>
      </c>
      <c r="AA2334">
        <v>0.99655190000000005</v>
      </c>
      <c r="AB2334">
        <v>26</v>
      </c>
      <c r="AC2334">
        <v>-62.531599999999997</v>
      </c>
      <c r="AD2334">
        <v>-1.110480956845</v>
      </c>
      <c r="AE2334">
        <v>-3.7524999999999902</v>
      </c>
      <c r="AF2334">
        <v>-5.2284851762691398</v>
      </c>
      <c r="AG2334">
        <v>-1.110480956845</v>
      </c>
      <c r="AH2334">
        <v>62.405769154038197</v>
      </c>
      <c r="AI2334">
        <v>91.015885046349098</v>
      </c>
      <c r="AJ2334">
        <v>94.789174741298893</v>
      </c>
      <c r="AK2334">
        <v>62.6342577899754</v>
      </c>
      <c r="AL2334">
        <v>88.779810167379907</v>
      </c>
      <c r="AM2334">
        <v>88.083707802500996</v>
      </c>
      <c r="AN2334">
        <v>0.99999998366064602</v>
      </c>
    </row>
    <row r="2335" spans="1:40" x14ac:dyDescent="0.25">
      <c r="A2335" t="str">
        <f>"20190312154301357"</f>
        <v>20190312154301357</v>
      </c>
      <c r="B2335" t="str">
        <f>"1552376581349397"</f>
        <v>1552376581349397</v>
      </c>
      <c r="C2335" t="s">
        <v>40</v>
      </c>
      <c r="D2335">
        <v>4.5647190000000002</v>
      </c>
      <c r="E2335">
        <v>0.47333049999999999</v>
      </c>
      <c r="F2335" t="s">
        <v>49</v>
      </c>
      <c r="G2335">
        <v>-478.75389999999999</v>
      </c>
      <c r="H2335" s="1">
        <v>2.301288E-6</v>
      </c>
      <c r="I2335">
        <v>279.68830000000003</v>
      </c>
      <c r="J2335">
        <v>-414.8313</v>
      </c>
      <c r="K2335">
        <v>1.1104849999999999</v>
      </c>
      <c r="L2335">
        <v>283.53809999999999</v>
      </c>
      <c r="M2335">
        <v>-0.99961869999999997</v>
      </c>
      <c r="N2335">
        <v>0</v>
      </c>
      <c r="O2335">
        <v>2.3842660000000002E-2</v>
      </c>
      <c r="P2335">
        <v>-0.99834250000000002</v>
      </c>
      <c r="Q2335">
        <v>7.9332780000000002E-3</v>
      </c>
      <c r="R2335">
        <v>5.7005140000000003E-2</v>
      </c>
      <c r="S2335">
        <v>-3.0156860000000001</v>
      </c>
      <c r="T2335">
        <v>-5.2173850000000001E-2</v>
      </c>
      <c r="U2335">
        <v>-0.1805725</v>
      </c>
      <c r="V2335">
        <v>3.3191760000000001E-2</v>
      </c>
      <c r="W2335">
        <v>2.1845340000000001E-2</v>
      </c>
      <c r="X2335">
        <v>0.99921020000000005</v>
      </c>
      <c r="Y2335">
        <v>-8.3540030000000001E-2</v>
      </c>
      <c r="Z2335">
        <v>-1.1341369999999999E-3</v>
      </c>
      <c r="AA2335">
        <v>0.99650380000000005</v>
      </c>
      <c r="AB2335">
        <v>26</v>
      </c>
      <c r="AC2335">
        <v>-63.922599999999903</v>
      </c>
      <c r="AD2335">
        <v>-1.110482698712</v>
      </c>
      <c r="AE2335">
        <v>-3.8497999999999499</v>
      </c>
      <c r="AF2335">
        <v>-5.3713228518926899</v>
      </c>
      <c r="AG2335">
        <v>-1.110482698712</v>
      </c>
      <c r="AH2335">
        <v>63.793443315074903</v>
      </c>
      <c r="AI2335">
        <v>90.993758409555895</v>
      </c>
      <c r="AJ2335">
        <v>94.812876154496806</v>
      </c>
      <c r="AK2335">
        <v>64.028803604292605</v>
      </c>
      <c r="AL2335">
        <v>88.748254602771894</v>
      </c>
      <c r="AM2335">
        <v>88.097448624735193</v>
      </c>
      <c r="AN2335">
        <v>0.99999996779782596</v>
      </c>
    </row>
    <row r="2336" spans="1:40" x14ac:dyDescent="0.25">
      <c r="A2336" t="str">
        <f>"20190312154301379"</f>
        <v>20190312154301379</v>
      </c>
      <c r="B2336" t="str">
        <f>"1552376581369894"</f>
        <v>1552376581369894</v>
      </c>
      <c r="C2336" t="s">
        <v>40</v>
      </c>
      <c r="D2336">
        <v>4.5180490000000004</v>
      </c>
      <c r="E2336">
        <v>0.52097559999999998</v>
      </c>
      <c r="F2336" t="s">
        <v>50</v>
      </c>
      <c r="G2336">
        <v>-440.71550000000002</v>
      </c>
      <c r="H2336" s="1">
        <v>-1.0913569999999999E-6</v>
      </c>
      <c r="I2336">
        <v>283.13670000000002</v>
      </c>
      <c r="J2336">
        <v>-415.084</v>
      </c>
      <c r="K2336">
        <v>1.1104830000000001</v>
      </c>
      <c r="L2336">
        <v>283.5444</v>
      </c>
      <c r="M2336">
        <v>-0.99961429999999996</v>
      </c>
      <c r="N2336">
        <v>0</v>
      </c>
      <c r="O2336">
        <v>2.4032379999999999E-2</v>
      </c>
      <c r="P2336">
        <v>-0.99833919999999998</v>
      </c>
      <c r="Q2336">
        <v>8.199853E-3</v>
      </c>
      <c r="R2336">
        <v>5.7022829999999997E-2</v>
      </c>
      <c r="S2336">
        <v>-3.0086059999999999</v>
      </c>
      <c r="T2336">
        <v>-0.1290753</v>
      </c>
      <c r="U2336">
        <v>-4.6661380000000002E-2</v>
      </c>
      <c r="V2336">
        <v>3.3019769999999997E-2</v>
      </c>
      <c r="W2336">
        <v>2.210896E-2</v>
      </c>
      <c r="X2336">
        <v>0.99921009999999999</v>
      </c>
      <c r="Y2336">
        <v>-3.9476369999999997E-2</v>
      </c>
      <c r="Z2336">
        <v>-1.876944E-3</v>
      </c>
      <c r="AA2336">
        <v>0.99921879999999996</v>
      </c>
      <c r="AB2336">
        <v>26</v>
      </c>
      <c r="AC2336">
        <v>-25.631499999999999</v>
      </c>
      <c r="AD2336">
        <v>-1.110484091357</v>
      </c>
      <c r="AE2336">
        <v>-0.40769999999997703</v>
      </c>
      <c r="AF2336">
        <v>-1.02171051901417</v>
      </c>
      <c r="AG2336">
        <v>-1.110484091357</v>
      </c>
      <c r="AH2336">
        <v>25.5663195325434</v>
      </c>
      <c r="AI2336">
        <v>92.485122385228493</v>
      </c>
      <c r="AJ2336">
        <v>92.288501741939996</v>
      </c>
      <c r="AK2336">
        <v>25.610813375250999</v>
      </c>
      <c r="AL2336">
        <v>88.733146639660006</v>
      </c>
      <c r="AM2336">
        <v>88.107299711634695</v>
      </c>
      <c r="AN2336">
        <v>0.99999996763257104</v>
      </c>
    </row>
    <row r="2337" spans="1:40" x14ac:dyDescent="0.25">
      <c r="A2337" t="str">
        <f>"20190312154301401"</f>
        <v>20190312154301401</v>
      </c>
      <c r="B2337" t="str">
        <f>"1552376581389413"</f>
        <v>1552376581389413</v>
      </c>
      <c r="C2337" t="s">
        <v>40</v>
      </c>
      <c r="D2337">
        <v>4.5711589999999998</v>
      </c>
      <c r="E2337">
        <v>0.53142749999999905</v>
      </c>
      <c r="F2337" t="s">
        <v>41</v>
      </c>
      <c r="G2337">
        <v>-415.88279999999997</v>
      </c>
      <c r="H2337">
        <v>0.97655879999999995</v>
      </c>
      <c r="I2337">
        <v>283.63010000000003</v>
      </c>
      <c r="J2337">
        <v>-415.33659999999998</v>
      </c>
      <c r="K2337">
        <v>1.110487</v>
      </c>
      <c r="L2337">
        <v>283.55070000000001</v>
      </c>
      <c r="M2337">
        <v>-0.99960959999999999</v>
      </c>
      <c r="N2337">
        <v>0</v>
      </c>
      <c r="O2337">
        <v>2.4222230000000001E-2</v>
      </c>
      <c r="P2337">
        <v>-0.99833609999999995</v>
      </c>
      <c r="Q2337">
        <v>8.1945779999999992E-3</v>
      </c>
      <c r="R2337">
        <v>5.7081510000000002E-2</v>
      </c>
      <c r="S2337">
        <v>-2.990875</v>
      </c>
      <c r="T2337">
        <v>-0.50146539999999995</v>
      </c>
      <c r="U2337">
        <v>0.31994630000000002</v>
      </c>
      <c r="V2337">
        <v>3.2888859999999999E-2</v>
      </c>
      <c r="W2337">
        <v>2.2101340000000001E-2</v>
      </c>
      <c r="X2337">
        <v>0.99921459999999995</v>
      </c>
      <c r="Y2337">
        <v>8.1459459999999997E-2</v>
      </c>
      <c r="Z2337">
        <v>2.7420880000000002E-3</v>
      </c>
      <c r="AA2337">
        <v>0.99667289999999997</v>
      </c>
      <c r="AB2337">
        <v>26</v>
      </c>
      <c r="AC2337">
        <v>-0.54619999999999802</v>
      </c>
      <c r="AD2337">
        <v>-0.1339282</v>
      </c>
      <c r="AE2337">
        <v>7.9400000000020995E-2</v>
      </c>
      <c r="AF2337">
        <v>6.2467239122980002E-2</v>
      </c>
      <c r="AG2337">
        <v>-0.1339282</v>
      </c>
      <c r="AH2337">
        <v>0.51749374139440696</v>
      </c>
      <c r="AI2337">
        <v>104.409678279979</v>
      </c>
      <c r="AJ2337">
        <v>83.117065275734205</v>
      </c>
      <c r="AK2337">
        <v>0.538180909268685</v>
      </c>
      <c r="AL2337">
        <v>88.733583357909495</v>
      </c>
      <c r="AM2337">
        <v>88.114806559466203</v>
      </c>
      <c r="AN2337">
        <v>0.99999998159752701</v>
      </c>
    </row>
    <row r="2338" spans="1:40" x14ac:dyDescent="0.25">
      <c r="A2338" t="str">
        <f>"20190312154301424"</f>
        <v>20190312154301424</v>
      </c>
      <c r="B2338" t="str">
        <f>"1552376581419669"</f>
        <v>1552376581419669</v>
      </c>
      <c r="C2338" t="s">
        <v>40</v>
      </c>
      <c r="D2338">
        <v>4.5101310000000003</v>
      </c>
      <c r="E2338">
        <v>0.53768050000000001</v>
      </c>
      <c r="F2338" t="s">
        <v>41</v>
      </c>
      <c r="G2338">
        <v>-416.10109999999997</v>
      </c>
      <c r="H2338">
        <v>0.95335289999999995</v>
      </c>
      <c r="I2338">
        <v>283.65320000000003</v>
      </c>
      <c r="J2338">
        <v>-415.59769999999997</v>
      </c>
      <c r="K2338">
        <v>1.1104849999999999</v>
      </c>
      <c r="L2338">
        <v>283.5573</v>
      </c>
      <c r="M2338">
        <v>-0.99960490000000002</v>
      </c>
      <c r="N2338">
        <v>0</v>
      </c>
      <c r="O2338">
        <v>2.4418209999999999E-2</v>
      </c>
      <c r="P2338">
        <v>-0.99833289999999997</v>
      </c>
      <c r="Q2338">
        <v>8.3135640000000007E-3</v>
      </c>
      <c r="R2338">
        <v>5.7115109999999997E-2</v>
      </c>
      <c r="S2338">
        <v>-2.987152</v>
      </c>
      <c r="T2338">
        <v>-0.6140485</v>
      </c>
      <c r="U2338">
        <v>0.3995667</v>
      </c>
      <c r="V2338">
        <v>3.2726419999999999E-2</v>
      </c>
      <c r="W2338">
        <v>2.221766E-2</v>
      </c>
      <c r="X2338">
        <v>0.99921740000000003</v>
      </c>
      <c r="Y2338">
        <v>0.1066483</v>
      </c>
      <c r="Z2338">
        <v>5.8571159999999999E-3</v>
      </c>
      <c r="AA2338">
        <v>0.99427960000000004</v>
      </c>
      <c r="AB2338">
        <v>26</v>
      </c>
      <c r="AC2338">
        <v>-0.50339999999999896</v>
      </c>
      <c r="AD2338">
        <v>-0.157132099999999</v>
      </c>
      <c r="AE2338">
        <v>9.5900000000028698E-2</v>
      </c>
      <c r="AF2338">
        <v>7.6395372157334204E-2</v>
      </c>
      <c r="AG2338">
        <v>-0.157132099999999</v>
      </c>
      <c r="AH2338">
        <v>0.4621411894072</v>
      </c>
      <c r="AI2338">
        <v>108.544353499929</v>
      </c>
      <c r="AJ2338">
        <v>80.613468172015899</v>
      </c>
      <c r="AK2338">
        <v>0.49406601652427901</v>
      </c>
      <c r="AL2338">
        <v>88.726917134522395</v>
      </c>
      <c r="AM2338">
        <v>88.1241162238085</v>
      </c>
      <c r="AN2338">
        <v>1.00000002772232</v>
      </c>
    </row>
    <row r="2339" spans="1:40" x14ac:dyDescent="0.25">
      <c r="A2339" t="str">
        <f>"20190312154301446"</f>
        <v>20190312154301446</v>
      </c>
      <c r="B2339" t="str">
        <f>"1552376581440165"</f>
        <v>1552376581440165</v>
      </c>
      <c r="C2339" t="s">
        <v>40</v>
      </c>
      <c r="D2339">
        <v>4.5051909999999999</v>
      </c>
      <c r="E2339">
        <v>0.53955839999999999</v>
      </c>
      <c r="F2339" t="s">
        <v>41</v>
      </c>
      <c r="G2339">
        <v>-416.3263</v>
      </c>
      <c r="H2339">
        <v>0.94397149999999996</v>
      </c>
      <c r="I2339">
        <v>283.66640000000001</v>
      </c>
      <c r="J2339">
        <v>-415.8603</v>
      </c>
      <c r="K2339">
        <v>1.1104879999999999</v>
      </c>
      <c r="L2339">
        <v>283.56389999999999</v>
      </c>
      <c r="M2339">
        <v>-0.99960009999999999</v>
      </c>
      <c r="N2339">
        <v>0</v>
      </c>
      <c r="O2339">
        <v>2.4615390000000001E-2</v>
      </c>
      <c r="P2339">
        <v>-0.9983419</v>
      </c>
      <c r="Q2339">
        <v>7.749639E-3</v>
      </c>
      <c r="R2339">
        <v>5.7038510000000001E-2</v>
      </c>
      <c r="S2339">
        <v>-2.985077</v>
      </c>
      <c r="T2339">
        <v>-0.68227079999999996</v>
      </c>
      <c r="U2339">
        <v>0.44696039999999998</v>
      </c>
      <c r="V2339">
        <v>3.2452259999999997E-2</v>
      </c>
      <c r="W2339">
        <v>2.165131E-2</v>
      </c>
      <c r="X2339">
        <v>0.99923870000000004</v>
      </c>
      <c r="Y2339">
        <v>0.12125379999999999</v>
      </c>
      <c r="Z2339">
        <v>8.0850499999999999E-3</v>
      </c>
      <c r="AA2339">
        <v>0.99258860000000004</v>
      </c>
      <c r="AB2339">
        <v>26</v>
      </c>
      <c r="AC2339">
        <v>-0.46600000000000802</v>
      </c>
      <c r="AD2339">
        <v>-0.16651649999999901</v>
      </c>
      <c r="AE2339">
        <v>0.10250000000002001</v>
      </c>
      <c r="AF2339">
        <v>8.1117484086157599E-2</v>
      </c>
      <c r="AG2339">
        <v>-0.16651649999999901</v>
      </c>
      <c r="AH2339">
        <v>0.41752975312225599</v>
      </c>
      <c r="AI2339">
        <v>111.380022959098</v>
      </c>
      <c r="AJ2339">
        <v>79.005564110809104</v>
      </c>
      <c r="AK2339">
        <v>0.456770057839883</v>
      </c>
      <c r="AL2339">
        <v>88.759374316184093</v>
      </c>
      <c r="AM2339">
        <v>88.139859657056206</v>
      </c>
      <c r="AN2339">
        <v>0.99999995399075503</v>
      </c>
    </row>
    <row r="2340" spans="1:40" x14ac:dyDescent="0.25">
      <c r="A2340" t="str">
        <f>"20190312154301470"</f>
        <v>20190312154301470</v>
      </c>
      <c r="B2340" t="str">
        <f>"1552376581459685"</f>
        <v>1552376581459685</v>
      </c>
      <c r="C2340" t="s">
        <v>40</v>
      </c>
      <c r="D2340">
        <v>4.5951659999999999</v>
      </c>
      <c r="E2340">
        <v>0.54098279999999999</v>
      </c>
      <c r="F2340" t="s">
        <v>41</v>
      </c>
      <c r="G2340">
        <v>-416.55669999999998</v>
      </c>
      <c r="H2340">
        <v>0.9457238</v>
      </c>
      <c r="I2340">
        <v>283.67180000000002</v>
      </c>
      <c r="J2340">
        <v>-416.11880000000002</v>
      </c>
      <c r="K2340">
        <v>1.1104849999999999</v>
      </c>
      <c r="L2340">
        <v>283.57049999999998</v>
      </c>
      <c r="M2340">
        <v>-0.99959540000000002</v>
      </c>
      <c r="N2340">
        <v>0</v>
      </c>
      <c r="O2340">
        <v>2.4809640000000001E-2</v>
      </c>
      <c r="P2340">
        <v>-0.99831939999999997</v>
      </c>
      <c r="Q2340">
        <v>8.1809940000000005E-3</v>
      </c>
      <c r="R2340">
        <v>5.737515E-2</v>
      </c>
      <c r="S2340">
        <v>-2.9841609999999998</v>
      </c>
      <c r="T2340">
        <v>-0.70608210000000005</v>
      </c>
      <c r="U2340">
        <v>0.46102910000000002</v>
      </c>
      <c r="V2340">
        <v>3.259534E-2</v>
      </c>
      <c r="W2340">
        <v>2.2079410000000001E-2</v>
      </c>
      <c r="X2340">
        <v>0.99922469999999997</v>
      </c>
      <c r="Y2340">
        <v>0.1254016</v>
      </c>
      <c r="Z2340">
        <v>8.7958459999999995E-3</v>
      </c>
      <c r="AA2340">
        <v>0.99206709999999998</v>
      </c>
      <c r="AB2340">
        <v>26</v>
      </c>
      <c r="AC2340">
        <v>-0.43789999999995599</v>
      </c>
      <c r="AD2340">
        <v>-0.164761199999999</v>
      </c>
      <c r="AE2340">
        <v>0.101300000000037</v>
      </c>
      <c r="AF2340">
        <v>7.9694627005130206E-2</v>
      </c>
      <c r="AG2340">
        <v>-0.164761199999999</v>
      </c>
      <c r="AH2340">
        <v>0.38812430553553201</v>
      </c>
      <c r="AI2340">
        <v>112.579042611852</v>
      </c>
      <c r="AJ2340">
        <v>78.396579269032799</v>
      </c>
      <c r="AK2340">
        <v>0.42911299577892698</v>
      </c>
      <c r="AL2340">
        <v>88.734840157541598</v>
      </c>
      <c r="AM2340">
        <v>88.131638055028105</v>
      </c>
      <c r="AN2340">
        <v>0.99999997881287594</v>
      </c>
    </row>
    <row r="2341" spans="1:40" x14ac:dyDescent="0.25">
      <c r="A2341" t="str">
        <f>"20190312154301490"</f>
        <v>20190312154301490</v>
      </c>
      <c r="B2341" t="str">
        <f>"1552376581480180"</f>
        <v>1552376581480180</v>
      </c>
      <c r="C2341" t="s">
        <v>40</v>
      </c>
      <c r="D2341">
        <v>4.5288110000000001</v>
      </c>
      <c r="E2341">
        <v>0.54187940000000001</v>
      </c>
      <c r="F2341" t="s">
        <v>41</v>
      </c>
      <c r="G2341">
        <v>-416.9939</v>
      </c>
      <c r="H2341">
        <v>0.89971919999999905</v>
      </c>
      <c r="I2341">
        <v>283.70940000000002</v>
      </c>
      <c r="J2341">
        <v>-416.36700000000002</v>
      </c>
      <c r="K2341">
        <v>1.1104879999999999</v>
      </c>
      <c r="L2341">
        <v>283.57679999999999</v>
      </c>
      <c r="M2341">
        <v>-0.99959070000000005</v>
      </c>
      <c r="N2341">
        <v>0</v>
      </c>
      <c r="O2341">
        <v>2.4996270000000001E-2</v>
      </c>
      <c r="P2341">
        <v>-0.99830379999999996</v>
      </c>
      <c r="Q2341">
        <v>7.9702260000000004E-3</v>
      </c>
      <c r="R2341">
        <v>5.767597E-2</v>
      </c>
      <c r="S2341">
        <v>-2.983765</v>
      </c>
      <c r="T2341">
        <v>-0.7185975</v>
      </c>
      <c r="U2341">
        <v>0.47283940000000002</v>
      </c>
      <c r="V2341">
        <v>3.2709929999999998E-2</v>
      </c>
      <c r="W2341">
        <v>2.1866790000000001E-2</v>
      </c>
      <c r="X2341">
        <v>0.99922569999999999</v>
      </c>
      <c r="Y2341">
        <v>0.12888239999999901</v>
      </c>
      <c r="Z2341">
        <v>9.3129219999999995E-3</v>
      </c>
      <c r="AA2341">
        <v>0.9916161</v>
      </c>
      <c r="AB2341">
        <v>26</v>
      </c>
      <c r="AC2341">
        <v>-0.62690000000003399</v>
      </c>
      <c r="AD2341">
        <v>-0.21076880000000001</v>
      </c>
      <c r="AE2341">
        <v>0.132600000000024</v>
      </c>
      <c r="AF2341">
        <v>0.10547499052285</v>
      </c>
      <c r="AG2341">
        <v>-0.21076880000000001</v>
      </c>
      <c r="AH2341">
        <v>0.56850895265938794</v>
      </c>
      <c r="AI2341">
        <v>110.02776607263201</v>
      </c>
      <c r="AJ2341">
        <v>79.489469112084393</v>
      </c>
      <c r="AK2341">
        <v>0.61542740427536102</v>
      </c>
      <c r="AL2341">
        <v>88.747025414854207</v>
      </c>
      <c r="AM2341">
        <v>88.125076321448006</v>
      </c>
      <c r="AN2341">
        <v>1.00000004778299</v>
      </c>
    </row>
    <row r="2342" spans="1:40" x14ac:dyDescent="0.25">
      <c r="A2342" t="str">
        <f>"20190312154301512"</f>
        <v>20190312154301512</v>
      </c>
      <c r="B2342" t="str">
        <f>"1552376581499701"</f>
        <v>1552376581499701</v>
      </c>
      <c r="C2342" t="s">
        <v>40</v>
      </c>
      <c r="D2342">
        <v>4.545147</v>
      </c>
      <c r="E2342">
        <v>0.54248629999999998</v>
      </c>
      <c r="F2342" t="s">
        <v>41</v>
      </c>
      <c r="G2342">
        <v>-417.22309999999999</v>
      </c>
      <c r="H2342">
        <v>0.90077390000000002</v>
      </c>
      <c r="I2342">
        <v>283.7149</v>
      </c>
      <c r="J2342">
        <v>-416.61579999999998</v>
      </c>
      <c r="K2342">
        <v>1.110484</v>
      </c>
      <c r="L2342">
        <v>283.58330000000001</v>
      </c>
      <c r="M2342">
        <v>-0.99958599999999997</v>
      </c>
      <c r="N2342">
        <v>0</v>
      </c>
      <c r="O2342">
        <v>2.5183190000000001E-2</v>
      </c>
      <c r="P2342">
        <v>-0.99826930000000003</v>
      </c>
      <c r="Q2342">
        <v>7.6563500000000001E-3</v>
      </c>
      <c r="R2342">
        <v>5.8308020000000002E-2</v>
      </c>
      <c r="S2342">
        <v>-2.9831240000000001</v>
      </c>
      <c r="T2342">
        <v>-0.73079740000000004</v>
      </c>
      <c r="U2342">
        <v>0.48065190000000002</v>
      </c>
      <c r="V2342">
        <v>3.3155410000000003E-2</v>
      </c>
      <c r="W2342">
        <v>2.1549769999999999E-2</v>
      </c>
      <c r="X2342">
        <v>0.99921789999999999</v>
      </c>
      <c r="Y2342">
        <v>0.13110579999999999</v>
      </c>
      <c r="Z2342">
        <v>9.6886750000000008E-3</v>
      </c>
      <c r="AA2342">
        <v>0.99132100000000001</v>
      </c>
      <c r="AB2342">
        <v>26</v>
      </c>
      <c r="AC2342">
        <v>-0.60730000000000905</v>
      </c>
      <c r="AD2342">
        <v>-0.20971010000000001</v>
      </c>
      <c r="AE2342">
        <v>0.131599999999991</v>
      </c>
      <c r="AF2342">
        <v>0.104375247854157</v>
      </c>
      <c r="AG2342">
        <v>-0.20971010000000001</v>
      </c>
      <c r="AH2342">
        <v>0.54800678399436897</v>
      </c>
      <c r="AI2342">
        <v>110.602253044577</v>
      </c>
      <c r="AJ2342">
        <v>79.216408050613794</v>
      </c>
      <c r="AK2342">
        <v>0.59597311492254201</v>
      </c>
      <c r="AL2342">
        <v>88.765193597233704</v>
      </c>
      <c r="AM2342">
        <v>88.099545311971397</v>
      </c>
      <c r="AN2342">
        <v>1.0000000427398601</v>
      </c>
    </row>
    <row r="2343" spans="1:40" x14ac:dyDescent="0.25">
      <c r="A2343" t="str">
        <f>"20190312154301535"</f>
        <v>20190312154301535</v>
      </c>
      <c r="B2343" t="str">
        <f>"1552376581529960"</f>
        <v>1552376581529960</v>
      </c>
      <c r="C2343" t="s">
        <v>40</v>
      </c>
      <c r="D2343">
        <v>4.5413940000000004</v>
      </c>
      <c r="E2343">
        <v>0.54322150000000002</v>
      </c>
      <c r="F2343" t="s">
        <v>41</v>
      </c>
      <c r="G2343">
        <v>-417.45229999999998</v>
      </c>
      <c r="H2343">
        <v>0.90275240000000001</v>
      </c>
      <c r="I2343">
        <v>283.72000000000003</v>
      </c>
      <c r="J2343">
        <v>-416.87900000000002</v>
      </c>
      <c r="K2343">
        <v>1.1104860000000001</v>
      </c>
      <c r="L2343">
        <v>283.59010000000001</v>
      </c>
      <c r="M2343">
        <v>-0.9995811</v>
      </c>
      <c r="N2343">
        <v>0</v>
      </c>
      <c r="O2343">
        <v>2.538108E-2</v>
      </c>
      <c r="P2343">
        <v>-0.99823260000000003</v>
      </c>
      <c r="Q2343">
        <v>7.8144080000000001E-3</v>
      </c>
      <c r="R2343">
        <v>5.8915059999999998E-2</v>
      </c>
      <c r="S2343">
        <v>-2.9824830000000002</v>
      </c>
      <c r="T2343">
        <v>-0.740676</v>
      </c>
      <c r="U2343">
        <v>0.48690800000000001</v>
      </c>
      <c r="V2343">
        <v>3.356547E-2</v>
      </c>
      <c r="W2343">
        <v>2.170422E-2</v>
      </c>
      <c r="X2343">
        <v>0.9992008</v>
      </c>
      <c r="Y2343">
        <v>0.13284170000000001</v>
      </c>
      <c r="Z2343">
        <v>9.9793039999999996E-3</v>
      </c>
      <c r="AA2343">
        <v>0.99108700000000005</v>
      </c>
      <c r="AB2343">
        <v>26</v>
      </c>
      <c r="AC2343">
        <v>-0.57329999999995995</v>
      </c>
      <c r="AD2343">
        <v>-0.20773359999999999</v>
      </c>
      <c r="AE2343">
        <v>0.12990000000002</v>
      </c>
      <c r="AF2343">
        <v>0.102504589660999</v>
      </c>
      <c r="AG2343">
        <v>-0.20773359999999999</v>
      </c>
      <c r="AH2343">
        <v>0.51241962835553101</v>
      </c>
      <c r="AI2343">
        <v>111.678899559377</v>
      </c>
      <c r="AJ2343">
        <v>78.687845882591404</v>
      </c>
      <c r="AK2343">
        <v>0.56234714811631303</v>
      </c>
      <c r="AL2343">
        <v>88.756342111593199</v>
      </c>
      <c r="AM2343">
        <v>88.076025494358603</v>
      </c>
      <c r="AN2343">
        <v>0.99999997633138404</v>
      </c>
    </row>
    <row r="2344" spans="1:40" x14ac:dyDescent="0.25">
      <c r="A2344" t="str">
        <f>"20190312154301558"</f>
        <v>20190312154301558</v>
      </c>
      <c r="B2344" t="str">
        <f>"1552376581549476"</f>
        <v>1552376581549476</v>
      </c>
      <c r="C2344" t="s">
        <v>40</v>
      </c>
      <c r="D2344">
        <v>4.5517029999999998</v>
      </c>
      <c r="E2344">
        <v>0.54353419999999997</v>
      </c>
      <c r="F2344" t="s">
        <v>41</v>
      </c>
      <c r="G2344">
        <v>-417.68270000000001</v>
      </c>
      <c r="H2344">
        <v>0.9083196</v>
      </c>
      <c r="I2344">
        <v>283.72340000000003</v>
      </c>
      <c r="J2344">
        <v>-417.13279999999997</v>
      </c>
      <c r="K2344">
        <v>1.1104879999999999</v>
      </c>
      <c r="L2344">
        <v>283.59679999999997</v>
      </c>
      <c r="M2344">
        <v>-0.99957620000000003</v>
      </c>
      <c r="N2344">
        <v>0</v>
      </c>
      <c r="O2344">
        <v>2.5571529999999999E-2</v>
      </c>
      <c r="P2344">
        <v>-0.99820279999999995</v>
      </c>
      <c r="Q2344">
        <v>8.1050979999999998E-3</v>
      </c>
      <c r="R2344">
        <v>5.9374900000000001E-2</v>
      </c>
      <c r="S2344">
        <v>-2.9820250000000001</v>
      </c>
      <c r="T2344">
        <v>-0.75014899999999995</v>
      </c>
      <c r="U2344">
        <v>0.49429319999999999</v>
      </c>
      <c r="V2344">
        <v>3.3835549999999999E-2</v>
      </c>
      <c r="W2344">
        <v>2.1992169999999998E-2</v>
      </c>
      <c r="X2344">
        <v>0.9991854</v>
      </c>
      <c r="Y2344">
        <v>0.1349293</v>
      </c>
      <c r="Z2344">
        <v>1.031284E-2</v>
      </c>
      <c r="AA2344">
        <v>0.99080159999999995</v>
      </c>
      <c r="AB2344">
        <v>26</v>
      </c>
      <c r="AC2344">
        <v>-0.54990000000003603</v>
      </c>
      <c r="AD2344">
        <v>-0.202168399999999</v>
      </c>
      <c r="AE2344">
        <v>0.126600000000053</v>
      </c>
      <c r="AF2344">
        <v>9.9698193333218402E-2</v>
      </c>
      <c r="AG2344">
        <v>-0.202168399999999</v>
      </c>
      <c r="AH2344">
        <v>0.49005445138957598</v>
      </c>
      <c r="AI2344">
        <v>112.011589435495</v>
      </c>
      <c r="AJ2344">
        <v>78.500506523256007</v>
      </c>
      <c r="AK2344">
        <v>0.53941186216026604</v>
      </c>
      <c r="AL2344">
        <v>88.739839859206498</v>
      </c>
      <c r="AM2344">
        <v>88.060526401189904</v>
      </c>
      <c r="AN2344">
        <v>0.99999998177913496</v>
      </c>
    </row>
    <row r="2345" spans="1:40" x14ac:dyDescent="0.25">
      <c r="A2345" t="str">
        <f>"20190312154301580"</f>
        <v>20190312154301580</v>
      </c>
      <c r="B2345" t="str">
        <f>"1552376581569973"</f>
        <v>1552376581569973</v>
      </c>
      <c r="C2345" t="s">
        <v>40</v>
      </c>
      <c r="D2345">
        <v>4.5091989999999997</v>
      </c>
      <c r="E2345">
        <v>0.54384140000000003</v>
      </c>
      <c r="F2345" t="s">
        <v>41</v>
      </c>
      <c r="G2345">
        <v>-417.9128</v>
      </c>
      <c r="H2345">
        <v>0.9136128</v>
      </c>
      <c r="I2345">
        <v>283.72739999999999</v>
      </c>
      <c r="J2345">
        <v>-417.38780000000003</v>
      </c>
      <c r="K2345">
        <v>1.1104830000000001</v>
      </c>
      <c r="L2345">
        <v>283.6035</v>
      </c>
      <c r="M2345">
        <v>-0.9995714</v>
      </c>
      <c r="N2345">
        <v>0</v>
      </c>
      <c r="O2345">
        <v>2.5762859999999999E-2</v>
      </c>
      <c r="P2345">
        <v>-0.99819550000000001</v>
      </c>
      <c r="Q2345">
        <v>8.1615779999999992E-3</v>
      </c>
      <c r="R2345">
        <v>5.9495119999999999E-2</v>
      </c>
      <c r="S2345">
        <v>-2.981903</v>
      </c>
      <c r="T2345">
        <v>-0.75263930000000001</v>
      </c>
      <c r="U2345">
        <v>0.49798579999999998</v>
      </c>
      <c r="V2345">
        <v>3.376473E-2</v>
      </c>
      <c r="W2345">
        <v>2.2046039999999999E-2</v>
      </c>
      <c r="X2345">
        <v>0.99918660000000004</v>
      </c>
      <c r="Y2345">
        <v>0.1358954</v>
      </c>
      <c r="Z2345">
        <v>1.0417549999999999E-2</v>
      </c>
      <c r="AA2345">
        <v>0.9906684</v>
      </c>
      <c r="AB2345">
        <v>26</v>
      </c>
      <c r="AC2345">
        <v>-0.52499999999997704</v>
      </c>
      <c r="AD2345">
        <v>-0.196870199999999</v>
      </c>
      <c r="AE2345">
        <v>0.123899999999991</v>
      </c>
      <c r="AF2345">
        <v>9.7363316829468305E-2</v>
      </c>
      <c r="AG2345">
        <v>-0.196870199999999</v>
      </c>
      <c r="AH2345">
        <v>0.46595330526503798</v>
      </c>
      <c r="AI2345">
        <v>112.468918913088</v>
      </c>
      <c r="AJ2345">
        <v>78.197572907397301</v>
      </c>
      <c r="AK2345">
        <v>0.51512131949618301</v>
      </c>
      <c r="AL2345">
        <v>88.736752576217</v>
      </c>
      <c r="AM2345">
        <v>88.064585077265505</v>
      </c>
      <c r="AN2345">
        <v>0.99999997324560597</v>
      </c>
    </row>
    <row r="2346" spans="1:40" x14ac:dyDescent="0.25">
      <c r="A2346" t="str">
        <f>"20190312154301602"</f>
        <v>20190312154301602</v>
      </c>
      <c r="B2346" t="str">
        <f>"1552376581589493"</f>
        <v>1552376581589493</v>
      </c>
      <c r="C2346" t="s">
        <v>40</v>
      </c>
      <c r="D2346">
        <v>4.5132050000000001</v>
      </c>
      <c r="E2346">
        <v>0.5441241</v>
      </c>
      <c r="F2346" t="s">
        <v>41</v>
      </c>
      <c r="G2346">
        <v>-418.1429</v>
      </c>
      <c r="H2346">
        <v>0.91919680000000004</v>
      </c>
      <c r="I2346">
        <v>283.73059999999998</v>
      </c>
      <c r="J2346">
        <v>-417.6377</v>
      </c>
      <c r="K2346">
        <v>1.1104860000000001</v>
      </c>
      <c r="L2346">
        <v>283.61009999999999</v>
      </c>
      <c r="M2346">
        <v>-0.99956659999999997</v>
      </c>
      <c r="N2346">
        <v>0</v>
      </c>
      <c r="O2346">
        <v>2.5950210000000001E-2</v>
      </c>
      <c r="P2346">
        <v>-0.99820260000000005</v>
      </c>
      <c r="Q2346">
        <v>8.1693979999999996E-3</v>
      </c>
      <c r="R2346">
        <v>5.9371800000000002E-2</v>
      </c>
      <c r="S2346">
        <v>-2.9817499999999999</v>
      </c>
      <c r="T2346">
        <v>-0.75541809999999998</v>
      </c>
      <c r="U2346">
        <v>0.50088500000000002</v>
      </c>
      <c r="V2346">
        <v>3.3453869999999997E-2</v>
      </c>
      <c r="W2346">
        <v>2.2051279999999999E-2</v>
      </c>
      <c r="X2346">
        <v>0.99919690000000005</v>
      </c>
      <c r="Y2346">
        <v>0.1366145</v>
      </c>
      <c r="Z2346">
        <v>1.0497329999999999E-2</v>
      </c>
      <c r="AA2346">
        <v>0.99056860000000002</v>
      </c>
      <c r="AB2346">
        <v>25</v>
      </c>
      <c r="AC2346">
        <v>-0.50520000000000198</v>
      </c>
      <c r="AD2346">
        <v>-0.19128919999999999</v>
      </c>
      <c r="AE2346">
        <v>0.120499999999992</v>
      </c>
      <c r="AF2346">
        <v>9.4525585324916103E-2</v>
      </c>
      <c r="AG2346">
        <v>-0.19128919999999999</v>
      </c>
      <c r="AH2346">
        <v>0.44745879077113598</v>
      </c>
      <c r="AI2346">
        <v>112.698103390822</v>
      </c>
      <c r="AJ2346">
        <v>78.071653778939094</v>
      </c>
      <c r="AK2346">
        <v>0.495727761736243</v>
      </c>
      <c r="AL2346">
        <v>88.736452222041095</v>
      </c>
      <c r="AM2346">
        <v>88.082410149489405</v>
      </c>
      <c r="AN2346">
        <v>0.99999993266860998</v>
      </c>
    </row>
    <row r="2347" spans="1:40" x14ac:dyDescent="0.25">
      <c r="A2347" t="str">
        <f>"20190312154301625"</f>
        <v>20190312154301625</v>
      </c>
      <c r="B2347" t="str">
        <f>"1552376581619749"</f>
        <v>1552376581619749</v>
      </c>
      <c r="C2347" t="s">
        <v>40</v>
      </c>
      <c r="D2347">
        <v>4.4889869999999998</v>
      </c>
      <c r="E2347">
        <v>0.5443268</v>
      </c>
      <c r="F2347" t="s">
        <v>41</v>
      </c>
      <c r="G2347">
        <v>-418.3723</v>
      </c>
      <c r="H2347">
        <v>0.92360770000000003</v>
      </c>
      <c r="I2347">
        <v>283.73430000000002</v>
      </c>
      <c r="J2347">
        <v>-417.90370000000001</v>
      </c>
      <c r="K2347">
        <v>1.110493</v>
      </c>
      <c r="L2347">
        <v>283.6173</v>
      </c>
      <c r="M2347">
        <v>-0.99956140000000004</v>
      </c>
      <c r="N2347">
        <v>0</v>
      </c>
      <c r="O2347">
        <v>2.6149530000000001E-2</v>
      </c>
      <c r="P2347">
        <v>-0.9982029</v>
      </c>
      <c r="Q2347">
        <v>8.4065919999999992E-3</v>
      </c>
      <c r="R2347">
        <v>5.9335680000000002E-2</v>
      </c>
      <c r="S2347">
        <v>-2.9817499999999999</v>
      </c>
      <c r="T2347">
        <v>-0.75860249999999996</v>
      </c>
      <c r="U2347">
        <v>0.50244140000000004</v>
      </c>
      <c r="V2347">
        <v>3.3218610000000003E-2</v>
      </c>
      <c r="W2347">
        <v>2.2286299999999998E-2</v>
      </c>
      <c r="X2347">
        <v>0.99919959999999997</v>
      </c>
      <c r="Y2347">
        <v>0.1368896</v>
      </c>
      <c r="Z2347">
        <v>1.0524520000000001E-2</v>
      </c>
      <c r="AA2347">
        <v>0.99053040000000003</v>
      </c>
      <c r="AB2347">
        <v>25</v>
      </c>
      <c r="AC2347">
        <v>-0.46859999999997998</v>
      </c>
      <c r="AD2347">
        <v>-0.1868853</v>
      </c>
      <c r="AE2347">
        <v>0.11700000000001801</v>
      </c>
      <c r="AF2347">
        <v>9.1070048381434093E-2</v>
      </c>
      <c r="AG2347">
        <v>-0.1868853</v>
      </c>
      <c r="AH2347">
        <v>0.41009914351440602</v>
      </c>
      <c r="AI2347">
        <v>113.982863656763</v>
      </c>
      <c r="AJ2347">
        <v>77.479592814350298</v>
      </c>
      <c r="AK2347">
        <v>0.459783836796746</v>
      </c>
      <c r="AL2347">
        <v>88.722983340250707</v>
      </c>
      <c r="AM2347">
        <v>88.0958905307848</v>
      </c>
      <c r="AN2347">
        <v>0.999999997929091</v>
      </c>
    </row>
    <row r="2348" spans="1:40" x14ac:dyDescent="0.25">
      <c r="A2348" t="str">
        <f>"20190312154301648"</f>
        <v>20190312154301648</v>
      </c>
      <c r="B2348" t="str">
        <f>"1552376581639271"</f>
        <v>1552376581639271</v>
      </c>
      <c r="C2348" t="s">
        <v>40</v>
      </c>
      <c r="D2348">
        <v>4.4593499999999997</v>
      </c>
      <c r="E2348">
        <v>0.54493000000000003</v>
      </c>
      <c r="F2348" t="s">
        <v>41</v>
      </c>
      <c r="G2348">
        <v>-418.60309999999998</v>
      </c>
      <c r="H2348">
        <v>0.9319923</v>
      </c>
      <c r="I2348">
        <v>283.73559999999998</v>
      </c>
      <c r="J2348">
        <v>-418.15609999999998</v>
      </c>
      <c r="K2348">
        <v>1.110495</v>
      </c>
      <c r="L2348">
        <v>283.6241</v>
      </c>
      <c r="M2348">
        <v>-0.99955649999999996</v>
      </c>
      <c r="N2348">
        <v>0</v>
      </c>
      <c r="O2348">
        <v>2.63392E-2</v>
      </c>
      <c r="P2348">
        <v>-0.99819740000000001</v>
      </c>
      <c r="Q2348">
        <v>8.2215239999999992E-3</v>
      </c>
      <c r="R2348">
        <v>5.9452440000000002E-2</v>
      </c>
      <c r="S2348">
        <v>-2.9818730000000002</v>
      </c>
      <c r="T2348">
        <v>-0.76099490000000003</v>
      </c>
      <c r="U2348">
        <v>0.50387570000000004</v>
      </c>
      <c r="V2348">
        <v>3.3145719999999997E-2</v>
      </c>
      <c r="W2348">
        <v>2.2098E-2</v>
      </c>
      <c r="X2348">
        <v>0.99920620000000004</v>
      </c>
      <c r="Y2348">
        <v>0.13713599999999901</v>
      </c>
      <c r="Z2348">
        <v>1.0539359999999999E-2</v>
      </c>
      <c r="AA2348">
        <v>0.99049620000000005</v>
      </c>
      <c r="AB2348">
        <v>25</v>
      </c>
      <c r="AC2348">
        <v>-0.44700000000000201</v>
      </c>
      <c r="AD2348">
        <v>-0.17850269999999899</v>
      </c>
      <c r="AE2348">
        <v>0.11149999999997801</v>
      </c>
      <c r="AF2348">
        <v>8.66743592165439E-2</v>
      </c>
      <c r="AG2348">
        <v>-0.17850269999999899</v>
      </c>
      <c r="AH2348">
        <v>0.39107147413259402</v>
      </c>
      <c r="AI2348">
        <v>114.019255439901</v>
      </c>
      <c r="AJ2348">
        <v>77.503365424045001</v>
      </c>
      <c r="AK2348">
        <v>0.43853455546071701</v>
      </c>
      <c r="AL2348">
        <v>88.733774789840595</v>
      </c>
      <c r="AM2348">
        <v>88.100078101552697</v>
      </c>
      <c r="AN2348">
        <v>0.99999999523837901</v>
      </c>
    </row>
    <row r="2349" spans="1:40" x14ac:dyDescent="0.25">
      <c r="A2349" t="str">
        <f>"20190312154301670"</f>
        <v>20190312154301670</v>
      </c>
      <c r="B2349" t="str">
        <f>"1552376581659765"</f>
        <v>1552376581659765</v>
      </c>
      <c r="C2349" t="s">
        <v>40</v>
      </c>
      <c r="D2349">
        <v>5.2915830000000001</v>
      </c>
      <c r="E2349">
        <v>0.54539009999999999</v>
      </c>
      <c r="F2349" t="s">
        <v>41</v>
      </c>
      <c r="G2349">
        <v>-418.8322</v>
      </c>
      <c r="H2349">
        <v>0.93694080000000002</v>
      </c>
      <c r="I2349">
        <v>283.73970000000003</v>
      </c>
      <c r="J2349">
        <v>-418.40359999999998</v>
      </c>
      <c r="K2349">
        <v>1.110493</v>
      </c>
      <c r="L2349">
        <v>283.6309</v>
      </c>
      <c r="M2349">
        <v>-0.99955170000000004</v>
      </c>
      <c r="N2349">
        <v>0</v>
      </c>
      <c r="O2349">
        <v>2.652469E-2</v>
      </c>
      <c r="P2349">
        <v>-0.99819919999999995</v>
      </c>
      <c r="Q2349">
        <v>8.0064919999999901E-3</v>
      </c>
      <c r="R2349">
        <v>5.9453659999999998E-2</v>
      </c>
      <c r="S2349">
        <v>-2.9813839999999998</v>
      </c>
      <c r="T2349">
        <v>-0.76535940000000002</v>
      </c>
      <c r="U2349">
        <v>0.50912479999999904</v>
      </c>
      <c r="V2349">
        <v>3.2961339999999999E-2</v>
      </c>
      <c r="W2349">
        <v>2.1881089999999999E-2</v>
      </c>
      <c r="X2349">
        <v>0.99921709999999997</v>
      </c>
      <c r="Y2349">
        <v>0.13859469999999999</v>
      </c>
      <c r="Z2349">
        <v>1.073468E-2</v>
      </c>
      <c r="AA2349">
        <v>0.99029100000000003</v>
      </c>
      <c r="AB2349">
        <v>25</v>
      </c>
      <c r="AC2349">
        <v>-0.42860000000001702</v>
      </c>
      <c r="AD2349">
        <v>-0.17355219999999899</v>
      </c>
      <c r="AE2349">
        <v>0.10880000000003</v>
      </c>
      <c r="AF2349">
        <v>8.4392303243825503E-2</v>
      </c>
      <c r="AG2349">
        <v>-0.17355219999999899</v>
      </c>
      <c r="AH2349">
        <v>0.37376101195994599</v>
      </c>
      <c r="AI2349">
        <v>114.367564417775</v>
      </c>
      <c r="AJ2349">
        <v>77.276423872988303</v>
      </c>
      <c r="AK2349">
        <v>0.42064203431535602</v>
      </c>
      <c r="AL2349">
        <v>88.746205857438198</v>
      </c>
      <c r="AM2349">
        <v>88.110659728456199</v>
      </c>
      <c r="AN2349">
        <v>1.0000000224832899</v>
      </c>
    </row>
    <row r="2350" spans="1:40" x14ac:dyDescent="0.25">
      <c r="A2350" t="str">
        <f>"20190312154301826"</f>
        <v>20190312154301826</v>
      </c>
      <c r="B2350" t="str">
        <f>"1552376581819388"</f>
        <v>1552376581819388</v>
      </c>
      <c r="C2350" t="s">
        <v>40</v>
      </c>
      <c r="D2350">
        <v>4.4579490000000002</v>
      </c>
      <c r="E2350">
        <v>0.49468830000000003</v>
      </c>
      <c r="F2350" t="s">
        <v>41</v>
      </c>
      <c r="G2350">
        <v>-420.63</v>
      </c>
      <c r="H2350">
        <v>0.9191878</v>
      </c>
      <c r="I2350">
        <v>283.72000000000003</v>
      </c>
      <c r="J2350">
        <v>-420.16219999999998</v>
      </c>
      <c r="K2350">
        <v>1.110503</v>
      </c>
      <c r="L2350">
        <v>283.68009999999998</v>
      </c>
      <c r="M2350">
        <v>-0.99951579999999995</v>
      </c>
      <c r="N2350">
        <v>0</v>
      </c>
      <c r="O2350">
        <v>2.784942E-2</v>
      </c>
      <c r="P2350">
        <v>-0.99816780000000005</v>
      </c>
      <c r="Q2350">
        <v>7.8929629999999994E-3</v>
      </c>
      <c r="R2350">
        <v>5.9989460000000001E-2</v>
      </c>
      <c r="S2350">
        <v>-2.9999690000000001</v>
      </c>
      <c r="T2350">
        <v>-0.79383159999999997</v>
      </c>
      <c r="U2350">
        <v>0.19400020000000001</v>
      </c>
      <c r="V2350">
        <v>3.2172890000000003E-2</v>
      </c>
      <c r="W2350">
        <v>2.174999E-2</v>
      </c>
      <c r="X2350">
        <v>0.99924559999999996</v>
      </c>
      <c r="Y2350">
        <v>3.6419809999999997E-2</v>
      </c>
      <c r="Z2350">
        <v>-2.503487E-3</v>
      </c>
      <c r="AA2350">
        <v>0.99933340000000004</v>
      </c>
      <c r="AB2350">
        <v>25</v>
      </c>
      <c r="AC2350">
        <v>-0.46780000000001098</v>
      </c>
      <c r="AD2350">
        <v>-0.19131519999999899</v>
      </c>
      <c r="AE2350">
        <v>3.9900000000045503E-2</v>
      </c>
      <c r="AF2350">
        <v>2.3031071860135099E-2</v>
      </c>
      <c r="AG2350">
        <v>-0.19131519999999899</v>
      </c>
      <c r="AH2350">
        <v>0.40198199344796998</v>
      </c>
      <c r="AI2350">
        <v>115.41475588642599</v>
      </c>
      <c r="AJ2350">
        <v>86.720892489129696</v>
      </c>
      <c r="AK2350">
        <v>0.44578185144582799</v>
      </c>
      <c r="AL2350">
        <v>88.753719047907097</v>
      </c>
      <c r="AM2350">
        <v>88.155874566055203</v>
      </c>
      <c r="AN2350">
        <v>0.99999996301765504</v>
      </c>
    </row>
    <row r="2351" spans="1:40" x14ac:dyDescent="0.25">
      <c r="A2351" t="str">
        <f>"20190312154301849"</f>
        <v>20190312154301849</v>
      </c>
      <c r="B2351" t="str">
        <f>"1552376581839873"</f>
        <v>1552376581839873</v>
      </c>
      <c r="C2351" t="s">
        <v>40</v>
      </c>
      <c r="D2351">
        <v>4.5034929999999997</v>
      </c>
      <c r="E2351">
        <v>0.48987140000000001</v>
      </c>
      <c r="F2351" t="s">
        <v>41</v>
      </c>
      <c r="G2351">
        <v>-420.87580000000003</v>
      </c>
      <c r="H2351">
        <v>0.96269890000000002</v>
      </c>
      <c r="I2351">
        <v>283.70749999999998</v>
      </c>
      <c r="J2351">
        <v>-420.41609999999997</v>
      </c>
      <c r="K2351">
        <v>1.1105069999999999</v>
      </c>
      <c r="L2351">
        <v>283.68740000000003</v>
      </c>
      <c r="M2351">
        <v>-0.99951049999999997</v>
      </c>
      <c r="N2351">
        <v>0</v>
      </c>
      <c r="O2351">
        <v>2.804075E-2</v>
      </c>
      <c r="P2351">
        <v>-0.99815299999999996</v>
      </c>
      <c r="Q2351">
        <v>8.129654E-3</v>
      </c>
      <c r="R2351">
        <v>6.0204510000000003E-2</v>
      </c>
      <c r="S2351">
        <v>-3.0035099999999999</v>
      </c>
      <c r="T2351">
        <v>-0.62202239999999998</v>
      </c>
      <c r="U2351">
        <v>0.115387</v>
      </c>
      <c r="V2351">
        <v>3.2197049999999998E-2</v>
      </c>
      <c r="W2351">
        <v>2.198406E-2</v>
      </c>
      <c r="X2351">
        <v>0.99923969999999995</v>
      </c>
      <c r="Y2351">
        <v>1.071807E-2</v>
      </c>
      <c r="Z2351">
        <v>-4.6455919999999996E-3</v>
      </c>
      <c r="AA2351">
        <v>0.99993180000000004</v>
      </c>
      <c r="AB2351">
        <v>25</v>
      </c>
      <c r="AC2351">
        <v>-0.45970000000005401</v>
      </c>
      <c r="AD2351">
        <v>-0.1478081</v>
      </c>
      <c r="AE2351">
        <v>2.0099999999956701E-2</v>
      </c>
      <c r="AF2351">
        <v>6.5270277456729604E-3</v>
      </c>
      <c r="AG2351">
        <v>-0.1478081</v>
      </c>
      <c r="AH2351">
        <v>0.41704948576734602</v>
      </c>
      <c r="AI2351">
        <v>109.512820911601</v>
      </c>
      <c r="AJ2351">
        <v>89.103366323129293</v>
      </c>
      <c r="AK2351">
        <v>0.44251566084785099</v>
      </c>
      <c r="AL2351">
        <v>88.740304617312802</v>
      </c>
      <c r="AM2351">
        <v>88.154479801372702</v>
      </c>
      <c r="AN2351">
        <v>0.99999996348943698</v>
      </c>
    </row>
    <row r="2352" spans="1:40" x14ac:dyDescent="0.25">
      <c r="A2352" t="str">
        <f>"20190312154301871"</f>
        <v>20190312154301871</v>
      </c>
      <c r="B2352" t="str">
        <f>"1552376581860365"</f>
        <v>1552376581860365</v>
      </c>
      <c r="C2352" t="s">
        <v>40</v>
      </c>
      <c r="D2352">
        <v>4.4027909999999997</v>
      </c>
      <c r="E2352">
        <v>0.4868229</v>
      </c>
      <c r="F2352" t="s">
        <v>41</v>
      </c>
      <c r="G2352">
        <v>-421.32709999999997</v>
      </c>
      <c r="H2352">
        <v>0.96946509999999997</v>
      </c>
      <c r="I2352">
        <v>283.71260000000001</v>
      </c>
      <c r="J2352">
        <v>-420.66160000000002</v>
      </c>
      <c r="K2352">
        <v>1.1105080000000001</v>
      </c>
      <c r="L2352">
        <v>283.69450000000001</v>
      </c>
      <c r="M2352">
        <v>-0.99950530000000004</v>
      </c>
      <c r="N2352">
        <v>0</v>
      </c>
      <c r="O2352">
        <v>2.8225529999999999E-2</v>
      </c>
      <c r="P2352">
        <v>-0.99813229999999997</v>
      </c>
      <c r="Q2352">
        <v>8.1343890000000005E-3</v>
      </c>
      <c r="R2352">
        <v>6.0545870000000002E-2</v>
      </c>
      <c r="S2352">
        <v>-3.0043329999999999</v>
      </c>
      <c r="T2352">
        <v>-0.46520850000000002</v>
      </c>
      <c r="U2352">
        <v>8.3160399999999995E-2</v>
      </c>
      <c r="V2352">
        <v>3.235416E-2</v>
      </c>
      <c r="W2352">
        <v>2.1986450000000001E-2</v>
      </c>
      <c r="X2352">
        <v>0.99923459999999997</v>
      </c>
      <c r="Y2352">
        <v>-2.2026350000000001E-4</v>
      </c>
      <c r="Z2352">
        <v>-4.360409E-3</v>
      </c>
      <c r="AA2352">
        <v>0.9999905</v>
      </c>
      <c r="AB2352">
        <v>25</v>
      </c>
      <c r="AC2352">
        <v>-0.66549999999995102</v>
      </c>
      <c r="AD2352">
        <v>-0.1410429</v>
      </c>
      <c r="AE2352">
        <v>1.8100000000003998E-2</v>
      </c>
      <c r="AF2352">
        <v>-6.6333815675664496E-4</v>
      </c>
      <c r="AG2352">
        <v>-0.1410429</v>
      </c>
      <c r="AH2352">
        <v>0.63714838198591695</v>
      </c>
      <c r="AI2352">
        <v>102.48203577116401</v>
      </c>
      <c r="AJ2352">
        <v>90.059650882141398</v>
      </c>
      <c r="AK2352">
        <v>0.65257306129290404</v>
      </c>
      <c r="AL2352">
        <v>88.740167681631505</v>
      </c>
      <c r="AM2352">
        <v>88.145471142427795</v>
      </c>
      <c r="AN2352">
        <v>0.99999999074503398</v>
      </c>
    </row>
    <row r="2353" spans="1:40" x14ac:dyDescent="0.25">
      <c r="A2353" t="str">
        <f>"20190312154301893"</f>
        <v>20190312154301893</v>
      </c>
      <c r="B2353" t="str">
        <f>"1552376581890314"</f>
        <v>1552376581890314</v>
      </c>
      <c r="C2353" t="s">
        <v>40</v>
      </c>
      <c r="D2353">
        <v>4.3907629999999997</v>
      </c>
      <c r="E2353">
        <v>0.48486079999999998</v>
      </c>
      <c r="F2353" t="s">
        <v>41</v>
      </c>
      <c r="G2353">
        <v>-421.56689999999998</v>
      </c>
      <c r="H2353">
        <v>1.002923</v>
      </c>
      <c r="I2353">
        <v>283.71379999999999</v>
      </c>
      <c r="J2353">
        <v>-420.91059999999999</v>
      </c>
      <c r="K2353">
        <v>1.110501</v>
      </c>
      <c r="L2353">
        <v>283.70170000000002</v>
      </c>
      <c r="M2353">
        <v>-0.99950019999999995</v>
      </c>
      <c r="N2353">
        <v>0</v>
      </c>
      <c r="O2353">
        <v>2.841252E-2</v>
      </c>
      <c r="P2353">
        <v>-0.99812350000000005</v>
      </c>
      <c r="Q2353">
        <v>7.8869549999999993E-3</v>
      </c>
      <c r="R2353">
        <v>6.0724569999999999E-2</v>
      </c>
      <c r="S2353">
        <v>-3.0047000000000001</v>
      </c>
      <c r="T2353">
        <v>-0.35718810000000001</v>
      </c>
      <c r="U2353">
        <v>6.30188E-2</v>
      </c>
      <c r="V2353">
        <v>3.2345819999999997E-2</v>
      </c>
      <c r="W2353">
        <v>2.1736640000000002E-2</v>
      </c>
      <c r="X2353">
        <v>0.99924029999999997</v>
      </c>
      <c r="Y2353">
        <v>-7.1981010000000002E-3</v>
      </c>
      <c r="Z2353">
        <v>-3.7913920000000002E-3</v>
      </c>
      <c r="AA2353">
        <v>0.99996689999999999</v>
      </c>
      <c r="AB2353">
        <v>25</v>
      </c>
      <c r="AC2353">
        <v>-0.656299999999987</v>
      </c>
      <c r="AD2353">
        <v>-0.10757799999999899</v>
      </c>
      <c r="AE2353">
        <v>1.2099999999975301E-2</v>
      </c>
      <c r="AF2353">
        <v>-6.38238751440916E-3</v>
      </c>
      <c r="AG2353">
        <v>-0.10757799999999899</v>
      </c>
      <c r="AH2353">
        <v>0.63921008505586896</v>
      </c>
      <c r="AI2353">
        <v>99.552792291024204</v>
      </c>
      <c r="AJ2353">
        <v>90.572068126933502</v>
      </c>
      <c r="AK2353">
        <v>0.64823089543118495</v>
      </c>
      <c r="AL2353">
        <v>88.754484117936897</v>
      </c>
      <c r="AM2353">
        <v>88.145959423295494</v>
      </c>
      <c r="AN2353">
        <v>0.99999995536702402</v>
      </c>
    </row>
    <row r="2354" spans="1:40" x14ac:dyDescent="0.25">
      <c r="A2354" t="str">
        <f>"20190312154301907"</f>
        <v>20190312154301907</v>
      </c>
      <c r="B2354" t="str">
        <f>"1552376581900066"</f>
        <v>1552376581900066</v>
      </c>
      <c r="C2354" t="s">
        <v>40</v>
      </c>
      <c r="D2354">
        <v>4.427136</v>
      </c>
      <c r="E2354">
        <v>0.48410150000000002</v>
      </c>
      <c r="F2354" t="s">
        <v>41</v>
      </c>
      <c r="G2354">
        <v>-421.80369999999999</v>
      </c>
      <c r="H2354">
        <v>1.028613</v>
      </c>
      <c r="I2354">
        <v>283.71710000000002</v>
      </c>
      <c r="J2354">
        <v>-421.07569999999998</v>
      </c>
      <c r="K2354">
        <v>1.1105</v>
      </c>
      <c r="L2354">
        <v>283.70650000000001</v>
      </c>
      <c r="M2354">
        <v>-0.99949659999999996</v>
      </c>
      <c r="N2354">
        <v>0</v>
      </c>
      <c r="O2354">
        <v>2.8536619999999999E-2</v>
      </c>
      <c r="P2354">
        <v>-0.99813430000000003</v>
      </c>
      <c r="Q2354">
        <v>8.1144949999999993E-3</v>
      </c>
      <c r="R2354">
        <v>6.0517349999999998E-2</v>
      </c>
      <c r="S2354">
        <v>-3.0047299999999999</v>
      </c>
      <c r="T2354">
        <v>-0.27557179999999998</v>
      </c>
      <c r="U2354">
        <v>5.1147459999999999E-2</v>
      </c>
      <c r="V2354">
        <v>3.2014470000000003E-2</v>
      </c>
      <c r="W2354">
        <v>2.1963079999999999E-2</v>
      </c>
      <c r="X2354">
        <v>0.99924610000000003</v>
      </c>
      <c r="Y2354">
        <v>-1.1354970000000001E-2</v>
      </c>
      <c r="Z2354">
        <v>-3.1308960000000002E-3</v>
      </c>
      <c r="AA2354">
        <v>0.9999306</v>
      </c>
      <c r="AB2354">
        <v>25</v>
      </c>
      <c r="AC2354">
        <v>-0.72800000000000797</v>
      </c>
      <c r="AD2354">
        <v>-8.1887000000000001E-2</v>
      </c>
      <c r="AE2354">
        <v>1.06000000000108E-2</v>
      </c>
      <c r="AF2354">
        <v>-1.00537978534184E-2</v>
      </c>
      <c r="AG2354">
        <v>-8.1887000000000001E-2</v>
      </c>
      <c r="AH2354">
        <v>0.71891206597712198</v>
      </c>
      <c r="AI2354">
        <v>96.497585418726104</v>
      </c>
      <c r="AJ2354">
        <v>90.801214312738594</v>
      </c>
      <c r="AK2354">
        <v>0.72363051222828501</v>
      </c>
      <c r="AL2354">
        <v>88.741507064095202</v>
      </c>
      <c r="AM2354">
        <v>88.164949773047297</v>
      </c>
      <c r="AN2354">
        <v>1.0000000357688299</v>
      </c>
    </row>
    <row r="2355" spans="1:40" x14ac:dyDescent="0.25">
      <c r="A2355" t="str">
        <f>"20190312154301927"</f>
        <v>20190312154301927</v>
      </c>
      <c r="B2355" t="str">
        <f>"1552376581919586"</f>
        <v>1552376581919586</v>
      </c>
      <c r="C2355" t="s">
        <v>40</v>
      </c>
      <c r="D2355">
        <v>4.4304160000000001</v>
      </c>
      <c r="E2355">
        <v>0.48295100000000002</v>
      </c>
      <c r="F2355" t="s">
        <v>51</v>
      </c>
      <c r="G2355">
        <v>-434.08940000000001</v>
      </c>
      <c r="H2355" s="1">
        <v>4.0929250000000003E-6</v>
      </c>
      <c r="I2355">
        <v>283.90199999999999</v>
      </c>
      <c r="J2355">
        <v>-421.28539999999998</v>
      </c>
      <c r="K2355">
        <v>1.110498</v>
      </c>
      <c r="L2355">
        <v>283.71269999999998</v>
      </c>
      <c r="M2355">
        <v>-0.99949200000000005</v>
      </c>
      <c r="N2355">
        <v>0</v>
      </c>
      <c r="O2355">
        <v>2.8694339999999999E-2</v>
      </c>
      <c r="P2355">
        <v>-0.99815310000000002</v>
      </c>
      <c r="Q2355">
        <v>8.1911620000000001E-3</v>
      </c>
      <c r="R2355">
        <v>6.0193169999999997E-2</v>
      </c>
      <c r="S2355">
        <v>-3.0049739999999998</v>
      </c>
      <c r="T2355">
        <v>-0.25642290000000001</v>
      </c>
      <c r="U2355">
        <v>4.5135500000000002E-2</v>
      </c>
      <c r="V2355">
        <v>3.1531990000000003E-2</v>
      </c>
      <c r="W2355">
        <v>2.2037930000000001E-2</v>
      </c>
      <c r="X2355">
        <v>0.99925980000000003</v>
      </c>
      <c r="Y2355">
        <v>-1.352809E-2</v>
      </c>
      <c r="Z2355">
        <v>-3.0199570000000002E-3</v>
      </c>
      <c r="AA2355">
        <v>0.99990389999999996</v>
      </c>
      <c r="AB2355">
        <v>25</v>
      </c>
      <c r="AC2355">
        <v>-12.804</v>
      </c>
      <c r="AD2355">
        <v>-1.110493907075</v>
      </c>
      <c r="AE2355">
        <v>0.18930000000000199</v>
      </c>
      <c r="AF2355">
        <v>-0.17688537226843201</v>
      </c>
      <c r="AG2355">
        <v>-1.110493907075</v>
      </c>
      <c r="AH2355">
        <v>12.708584301983599</v>
      </c>
      <c r="AI2355">
        <v>94.993419753359902</v>
      </c>
      <c r="AJ2355">
        <v>90.797424061116004</v>
      </c>
      <c r="AK2355">
        <v>12.7582365596973</v>
      </c>
      <c r="AL2355">
        <v>88.737217445167104</v>
      </c>
      <c r="AM2355">
        <v>88.192611517563705</v>
      </c>
      <c r="AN2355">
        <v>1.0000000423240401</v>
      </c>
    </row>
    <row r="2356" spans="1:40" x14ac:dyDescent="0.25">
      <c r="A2356" t="str">
        <f>"20190312154301948"</f>
        <v>20190312154301948</v>
      </c>
      <c r="B2356" t="str">
        <f>"1552376581940081"</f>
        <v>1552376581940081</v>
      </c>
      <c r="C2356" t="s">
        <v>40</v>
      </c>
      <c r="D2356">
        <v>4.4340109999999999</v>
      </c>
      <c r="E2356">
        <v>0.48202220000000001</v>
      </c>
      <c r="F2356" t="s">
        <v>51</v>
      </c>
      <c r="G2356">
        <v>-436.0077</v>
      </c>
      <c r="H2356" s="1">
        <v>4.9447229999999999E-6</v>
      </c>
      <c r="I2356">
        <v>283.88929999999999</v>
      </c>
      <c r="J2356">
        <v>-421.53519999999997</v>
      </c>
      <c r="K2356">
        <v>1.1105</v>
      </c>
      <c r="L2356">
        <v>283.7201</v>
      </c>
      <c r="M2356">
        <v>-0.99948669999999995</v>
      </c>
      <c r="N2356">
        <v>0</v>
      </c>
      <c r="O2356">
        <v>2.8881859999999999E-2</v>
      </c>
      <c r="P2356">
        <v>-0.99817999999999996</v>
      </c>
      <c r="Q2356">
        <v>8.042156E-3</v>
      </c>
      <c r="R2356">
        <v>5.9767550000000003E-2</v>
      </c>
      <c r="S2356">
        <v>-3.00528</v>
      </c>
      <c r="T2356">
        <v>-0.22668540000000001</v>
      </c>
      <c r="U2356">
        <v>3.6041259999999999E-2</v>
      </c>
      <c r="V2356">
        <v>3.0918230000000001E-2</v>
      </c>
      <c r="W2356">
        <v>2.188681E-2</v>
      </c>
      <c r="X2356">
        <v>0.99928220000000001</v>
      </c>
      <c r="Y2356">
        <v>-1.6766139999999999E-2</v>
      </c>
      <c r="Z2356">
        <v>-2.806659E-3</v>
      </c>
      <c r="AA2356">
        <v>0.99985550000000001</v>
      </c>
      <c r="AB2356">
        <v>25</v>
      </c>
      <c r="AC2356">
        <v>-14.4725</v>
      </c>
      <c r="AD2356">
        <v>-1.1104950552770001</v>
      </c>
      <c r="AE2356">
        <v>0.169199999999989</v>
      </c>
      <c r="AF2356">
        <v>-0.247446791889886</v>
      </c>
      <c r="AG2356">
        <v>-1.1104950552770001</v>
      </c>
      <c r="AH2356">
        <v>14.3866558278245</v>
      </c>
      <c r="AI2356">
        <v>94.413215307289505</v>
      </c>
      <c r="AJ2356">
        <v>90.9853755579324</v>
      </c>
      <c r="AK2356">
        <v>14.4315728557524</v>
      </c>
      <c r="AL2356">
        <v>88.745877946528395</v>
      </c>
      <c r="AM2356">
        <v>88.227808794598204</v>
      </c>
      <c r="AN2356">
        <v>0.99999994231757205</v>
      </c>
    </row>
    <row r="2357" spans="1:40" x14ac:dyDescent="0.25">
      <c r="A2357" t="str">
        <f>"20190312154301970"</f>
        <v>20190312154301970</v>
      </c>
      <c r="B2357" t="str">
        <f>"1552376581959601"</f>
        <v>1552376581959601</v>
      </c>
      <c r="C2357" t="s">
        <v>40</v>
      </c>
      <c r="D2357">
        <v>4.4543759999999999</v>
      </c>
      <c r="E2357">
        <v>0.48122670000000001</v>
      </c>
      <c r="F2357" t="s">
        <v>51</v>
      </c>
      <c r="G2357">
        <v>-437.88830000000002</v>
      </c>
      <c r="H2357" s="1">
        <v>5.7802220000000003E-6</v>
      </c>
      <c r="I2357">
        <v>283.87180000000001</v>
      </c>
      <c r="J2357">
        <v>-421.77699999999999</v>
      </c>
      <c r="K2357">
        <v>1.110495</v>
      </c>
      <c r="L2357">
        <v>283.72730000000001</v>
      </c>
      <c r="M2357">
        <v>-0.99948150000000002</v>
      </c>
      <c r="N2357">
        <v>0</v>
      </c>
      <c r="O2357">
        <v>2.9064309999999999E-2</v>
      </c>
      <c r="P2357">
        <v>-0.99817619999999896</v>
      </c>
      <c r="Q2357">
        <v>7.6319949999999999E-3</v>
      </c>
      <c r="R2357">
        <v>5.9884510000000002E-2</v>
      </c>
      <c r="S2357">
        <v>-3.0054020000000001</v>
      </c>
      <c r="T2357">
        <v>-0.20408760000000001</v>
      </c>
      <c r="U2357">
        <v>2.7893069999999999E-2</v>
      </c>
      <c r="V2357">
        <v>3.0852669999999999E-2</v>
      </c>
      <c r="W2357">
        <v>2.1474440000000001E-2</v>
      </c>
      <c r="X2357">
        <v>0.99929319999999999</v>
      </c>
      <c r="Y2357">
        <v>-1.967696E-2</v>
      </c>
      <c r="Z2357">
        <v>-2.6385879999999999E-3</v>
      </c>
      <c r="AA2357">
        <v>0.99980290000000005</v>
      </c>
      <c r="AB2357">
        <v>25</v>
      </c>
      <c r="AC2357">
        <v>-16.1113</v>
      </c>
      <c r="AD2357">
        <v>-1.1104892197779901</v>
      </c>
      <c r="AE2357">
        <v>0.144499999999993</v>
      </c>
      <c r="AF2357">
        <v>-0.32233858774190199</v>
      </c>
      <c r="AG2357">
        <v>-1.1104892197779901</v>
      </c>
      <c r="AH2357">
        <v>16.032531209538899</v>
      </c>
      <c r="AI2357">
        <v>93.961451305654094</v>
      </c>
      <c r="AJ2357">
        <v>91.151792722822805</v>
      </c>
      <c r="AK2357">
        <v>16.074176353929602</v>
      </c>
      <c r="AL2357">
        <v>88.769510596635001</v>
      </c>
      <c r="AM2357">
        <v>88.231583670823895</v>
      </c>
      <c r="AN2357">
        <v>0.99999996919283995</v>
      </c>
    </row>
    <row r="2358" spans="1:40" x14ac:dyDescent="0.25">
      <c r="A2358" t="str">
        <f>"20190312154301985"</f>
        <v>20190312154301985</v>
      </c>
      <c r="B2358" t="str">
        <f>"1552376581980098"</f>
        <v>1552376581980098</v>
      </c>
      <c r="C2358" t="s">
        <v>40</v>
      </c>
      <c r="D2358">
        <v>4.4970970000000001</v>
      </c>
      <c r="E2358">
        <v>0.48057529999999998</v>
      </c>
      <c r="F2358" t="s">
        <v>51</v>
      </c>
      <c r="G2358">
        <v>-439.63060000000002</v>
      </c>
      <c r="H2358" s="1">
        <v>6.5537069999999996E-6</v>
      </c>
      <c r="I2358">
        <v>283.86180000000002</v>
      </c>
      <c r="J2358">
        <v>-421.94130000000001</v>
      </c>
      <c r="K2358">
        <v>1.110498</v>
      </c>
      <c r="L2358">
        <v>283.73219999999998</v>
      </c>
      <c r="M2358">
        <v>-0.99947790000000003</v>
      </c>
      <c r="N2358">
        <v>0</v>
      </c>
      <c r="O2358">
        <v>2.9188229999999999E-2</v>
      </c>
      <c r="P2358">
        <v>-0.99816590000000005</v>
      </c>
      <c r="Q2358">
        <v>7.8513279999999994E-3</v>
      </c>
      <c r="R2358">
        <v>6.002888E-2</v>
      </c>
      <c r="S2358">
        <v>-3.0055239999999999</v>
      </c>
      <c r="T2358">
        <v>-0.18694350000000001</v>
      </c>
      <c r="U2358">
        <v>2.2644040000000001E-2</v>
      </c>
      <c r="V2358">
        <v>3.0873439999999999E-2</v>
      </c>
      <c r="W2358">
        <v>2.1692309999999999E-2</v>
      </c>
      <c r="X2358">
        <v>0.99928790000000001</v>
      </c>
      <c r="Y2358">
        <v>-2.1561420000000001E-2</v>
      </c>
      <c r="Z2358">
        <v>-2.4835629999999998E-3</v>
      </c>
      <c r="AA2358">
        <v>0.9997644</v>
      </c>
      <c r="AB2358">
        <v>25</v>
      </c>
      <c r="AC2358">
        <v>-17.689299999999999</v>
      </c>
      <c r="AD2358">
        <v>-1.110491446293</v>
      </c>
      <c r="AE2358">
        <v>0.12960000000003899</v>
      </c>
      <c r="AF2358">
        <v>-0.38530573523615702</v>
      </c>
      <c r="AG2358">
        <v>-1.110491446293</v>
      </c>
      <c r="AH2358">
        <v>17.6161230335724</v>
      </c>
      <c r="AI2358">
        <v>93.606198662649007</v>
      </c>
      <c r="AJ2358">
        <v>91.252992669149606</v>
      </c>
      <c r="AK2358">
        <v>17.6552950271542</v>
      </c>
      <c r="AL2358">
        <v>88.7570247147885</v>
      </c>
      <c r="AM2358">
        <v>88.230384551009607</v>
      </c>
      <c r="AN2358">
        <v>1.0000000163484799</v>
      </c>
    </row>
    <row r="2359" spans="1:40" x14ac:dyDescent="0.25">
      <c r="A2359" t="str">
        <f>"20190312154302005"</f>
        <v>20190312154302005</v>
      </c>
      <c r="B2359" t="str">
        <f>"1552376581999618"</f>
        <v>1552376581999618</v>
      </c>
      <c r="C2359" t="s">
        <v>40</v>
      </c>
      <c r="D2359">
        <v>4.4910600000000001</v>
      </c>
      <c r="E2359">
        <v>0.47990660000000002</v>
      </c>
      <c r="F2359" t="s">
        <v>50</v>
      </c>
      <c r="G2359">
        <v>-441.36439999999999</v>
      </c>
      <c r="H2359" s="1">
        <v>-7.7728499999999996E-7</v>
      </c>
      <c r="I2359">
        <v>283.85109999999997</v>
      </c>
      <c r="J2359">
        <v>-422.15620000000001</v>
      </c>
      <c r="K2359">
        <v>1.1104989999999999</v>
      </c>
      <c r="L2359">
        <v>283.73860000000002</v>
      </c>
      <c r="M2359">
        <v>-0.99947319999999995</v>
      </c>
      <c r="N2359">
        <v>0</v>
      </c>
      <c r="O2359">
        <v>2.935047E-2</v>
      </c>
      <c r="P2359">
        <v>-0.99814740000000002</v>
      </c>
      <c r="Q2359">
        <v>8.0783150000000008E-3</v>
      </c>
      <c r="R2359">
        <v>6.0305600000000001E-2</v>
      </c>
      <c r="S2359">
        <v>-3.0057680000000002</v>
      </c>
      <c r="T2359">
        <v>-0.1718527</v>
      </c>
      <c r="U2359">
        <v>1.8402100000000001E-2</v>
      </c>
      <c r="V2359">
        <v>3.0988450000000001E-2</v>
      </c>
      <c r="W2359">
        <v>2.1917320000000001E-2</v>
      </c>
      <c r="X2359">
        <v>0.99927940000000004</v>
      </c>
      <c r="Y2359">
        <v>-2.3147500000000001E-2</v>
      </c>
      <c r="Z2359">
        <v>-2.337825E-3</v>
      </c>
      <c r="AA2359">
        <v>0.99972930000000004</v>
      </c>
      <c r="AB2359">
        <v>25</v>
      </c>
      <c r="AC2359">
        <v>-19.208199999999898</v>
      </c>
      <c r="AD2359">
        <v>-1.1104997772849901</v>
      </c>
      <c r="AE2359">
        <v>0.112499999999954</v>
      </c>
      <c r="AF2359">
        <v>-0.449868660465157</v>
      </c>
      <c r="AG2359">
        <v>-1.1104997772849901</v>
      </c>
      <c r="AH2359">
        <v>19.139255802042001</v>
      </c>
      <c r="AI2359">
        <v>93.319783341522097</v>
      </c>
      <c r="AJ2359">
        <v>91.346490717121299</v>
      </c>
      <c r="AK2359">
        <v>19.1767229792531</v>
      </c>
      <c r="AL2359">
        <v>88.744129487765207</v>
      </c>
      <c r="AM2359">
        <v>88.223781480540097</v>
      </c>
      <c r="AN2359">
        <v>0.99999998610687202</v>
      </c>
    </row>
    <row r="2360" spans="1:40" x14ac:dyDescent="0.25">
      <c r="A2360" t="str">
        <f>"20190312154302019"</f>
        <v>20190312154302019</v>
      </c>
      <c r="B2360" t="str">
        <f>"1552376582010354"</f>
        <v>1552376582010354</v>
      </c>
      <c r="C2360" t="s">
        <v>40</v>
      </c>
      <c r="D2360">
        <v>4.4743259999999996</v>
      </c>
      <c r="E2360">
        <v>0.47957539999999999</v>
      </c>
      <c r="F2360" t="s">
        <v>50</v>
      </c>
      <c r="G2360">
        <v>-443.10469999999998</v>
      </c>
      <c r="H2360" s="1">
        <v>1.49424899999999E-7</v>
      </c>
      <c r="I2360">
        <v>283.83760000000001</v>
      </c>
      <c r="J2360">
        <v>-422.31209999999999</v>
      </c>
      <c r="K2360">
        <v>1.1104969999999901</v>
      </c>
      <c r="L2360">
        <v>283.74329999999998</v>
      </c>
      <c r="M2360">
        <v>-0.99946970000000002</v>
      </c>
      <c r="N2360">
        <v>0</v>
      </c>
      <c r="O2360">
        <v>2.946843E-2</v>
      </c>
      <c r="P2360">
        <v>-0.99814789999999998</v>
      </c>
      <c r="Q2360">
        <v>8.1226340000000001E-3</v>
      </c>
      <c r="R2360">
        <v>6.0290749999999997E-2</v>
      </c>
      <c r="S2360">
        <v>-3.0060120000000001</v>
      </c>
      <c r="T2360">
        <v>-0.15935099999999999</v>
      </c>
      <c r="U2360">
        <v>1.4190670000000001E-2</v>
      </c>
      <c r="V2360">
        <v>3.0855670000000002E-2</v>
      </c>
      <c r="W2360">
        <v>2.195975E-2</v>
      </c>
      <c r="X2360">
        <v>0.99928260000000002</v>
      </c>
      <c r="Y2360">
        <v>-2.467625E-2</v>
      </c>
      <c r="Z2360">
        <v>-2.2145839999999999E-3</v>
      </c>
      <c r="AA2360">
        <v>0.99969300000000005</v>
      </c>
      <c r="AB2360">
        <v>25</v>
      </c>
      <c r="AC2360">
        <v>-20.7926</v>
      </c>
      <c r="AD2360">
        <v>-1.1104968505750901</v>
      </c>
      <c r="AE2360">
        <v>9.43000000000324E-2</v>
      </c>
      <c r="AF2360">
        <v>-0.51705022140464396</v>
      </c>
      <c r="AG2360">
        <v>-1.1104968505750901</v>
      </c>
      <c r="AH2360">
        <v>20.7272253938661</v>
      </c>
      <c r="AI2360">
        <v>93.065836154001403</v>
      </c>
      <c r="AJ2360">
        <v>91.428973356503406</v>
      </c>
      <c r="AK2360">
        <v>20.763391262380999</v>
      </c>
      <c r="AL2360">
        <v>88.741697871154898</v>
      </c>
      <c r="AM2360">
        <v>88.231393077155303</v>
      </c>
      <c r="AN2360">
        <v>1.00000000882698</v>
      </c>
    </row>
    <row r="2361" spans="1:40" x14ac:dyDescent="0.25">
      <c r="A2361" t="str">
        <f>"20190312154302038"</f>
        <v>20190312154302038</v>
      </c>
      <c r="B2361" t="str">
        <f>"1552376582029877"</f>
        <v>1552376582029877</v>
      </c>
      <c r="C2361" t="s">
        <v>40</v>
      </c>
      <c r="D2361">
        <v>4.5259400000000003</v>
      </c>
      <c r="E2361">
        <v>0.4790239</v>
      </c>
      <c r="F2361" t="s">
        <v>50</v>
      </c>
      <c r="G2361">
        <v>-443.97910000000002</v>
      </c>
      <c r="H2361" s="1">
        <v>6.1513610000000003E-7</v>
      </c>
      <c r="I2361">
        <v>283.82870000000003</v>
      </c>
      <c r="J2361">
        <v>-422.52449999999999</v>
      </c>
      <c r="K2361">
        <v>1.1104969999999901</v>
      </c>
      <c r="L2361">
        <v>283.74979999999999</v>
      </c>
      <c r="M2361">
        <v>-0.9994651</v>
      </c>
      <c r="N2361">
        <v>0</v>
      </c>
      <c r="O2361">
        <v>2.962882E-2</v>
      </c>
      <c r="P2361">
        <v>-0.99813850000000004</v>
      </c>
      <c r="Q2361">
        <v>8.081464E-3</v>
      </c>
      <c r="R2361">
        <v>6.0454790000000001E-2</v>
      </c>
      <c r="S2361">
        <v>-3.0060730000000002</v>
      </c>
      <c r="T2361">
        <v>-0.15406979999999901</v>
      </c>
      <c r="U2361">
        <v>1.184082E-2</v>
      </c>
      <c r="V2361">
        <v>3.085951E-2</v>
      </c>
      <c r="W2361">
        <v>2.1916850000000002E-2</v>
      </c>
      <c r="X2361">
        <v>0.99928340000000004</v>
      </c>
      <c r="Y2361">
        <v>-2.5621709999999999E-2</v>
      </c>
      <c r="Z2361">
        <v>-2.1736749999999999E-3</v>
      </c>
      <c r="AA2361">
        <v>0.99966940000000004</v>
      </c>
      <c r="AB2361">
        <v>25</v>
      </c>
      <c r="AC2361">
        <v>-21.454599999999999</v>
      </c>
      <c r="AD2361">
        <v>-1.11049638486389</v>
      </c>
      <c r="AE2361">
        <v>7.8900000000032805E-2</v>
      </c>
      <c r="AF2361">
        <v>-0.55538212929083497</v>
      </c>
      <c r="AG2361">
        <v>-1.11049638486389</v>
      </c>
      <c r="AH2361">
        <v>21.390210586088401</v>
      </c>
      <c r="AI2361">
        <v>92.970906041655795</v>
      </c>
      <c r="AJ2361">
        <v>91.487311408860407</v>
      </c>
      <c r="AK2361">
        <v>21.426216662013399</v>
      </c>
      <c r="AL2361">
        <v>88.744156422607205</v>
      </c>
      <c r="AM2361">
        <v>88.231174528334606</v>
      </c>
      <c r="AN2361">
        <v>0.99999998559346104</v>
      </c>
    </row>
    <row r="2362" spans="1:40" x14ac:dyDescent="0.25">
      <c r="A2362" t="str">
        <f>"20190312154302061"</f>
        <v>20190312154302061</v>
      </c>
      <c r="B2362" t="str">
        <f>"1552376582050369"</f>
        <v>1552376582050369</v>
      </c>
      <c r="C2362" t="s">
        <v>40</v>
      </c>
      <c r="D2362">
        <v>4.5137720000000003</v>
      </c>
      <c r="E2362">
        <v>0.4785008</v>
      </c>
      <c r="F2362" t="s">
        <v>50</v>
      </c>
      <c r="G2362">
        <v>-445.47489999999999</v>
      </c>
      <c r="H2362" s="1">
        <v>1.4118260000000001E-6</v>
      </c>
      <c r="I2362">
        <v>283.81290000000001</v>
      </c>
      <c r="J2362">
        <v>-422.7749</v>
      </c>
      <c r="K2362">
        <v>1.110501</v>
      </c>
      <c r="L2362">
        <v>283.75740000000002</v>
      </c>
      <c r="M2362">
        <v>-0.99945949999999995</v>
      </c>
      <c r="N2362">
        <v>0</v>
      </c>
      <c r="O2362">
        <v>2.9818130000000002E-2</v>
      </c>
      <c r="P2362">
        <v>-0.99813399999999997</v>
      </c>
      <c r="Q2362">
        <v>8.5120019999999994E-3</v>
      </c>
      <c r="R2362">
        <v>6.0468220000000003E-2</v>
      </c>
      <c r="S2362">
        <v>-3.0063170000000001</v>
      </c>
      <c r="T2362">
        <v>-0.1454655</v>
      </c>
      <c r="U2362">
        <v>8.2702639999999994E-3</v>
      </c>
      <c r="V2362">
        <v>3.0683700000000001E-2</v>
      </c>
      <c r="W2362">
        <v>2.2344940000000001E-2</v>
      </c>
      <c r="X2362">
        <v>0.99927929999999998</v>
      </c>
      <c r="Y2362">
        <v>-2.7004670000000001E-2</v>
      </c>
      <c r="Z2362">
        <v>-2.0948640000000001E-3</v>
      </c>
      <c r="AA2362">
        <v>0.99963310000000005</v>
      </c>
      <c r="AB2362">
        <v>25</v>
      </c>
      <c r="AC2362">
        <v>-22.6999999999999</v>
      </c>
      <c r="AD2362">
        <v>-1.1104995881740001</v>
      </c>
      <c r="AE2362">
        <v>5.5499999999994998E-2</v>
      </c>
      <c r="AF2362">
        <v>-0.61997734180014397</v>
      </c>
      <c r="AG2362">
        <v>-1.1104995881740001</v>
      </c>
      <c r="AH2362">
        <v>22.637383142216802</v>
      </c>
      <c r="AI2362">
        <v>92.807399687126605</v>
      </c>
      <c r="AJ2362">
        <v>91.568785912827707</v>
      </c>
      <c r="AK2362">
        <v>22.6730830891434</v>
      </c>
      <c r="AL2362">
        <v>88.719622620796301</v>
      </c>
      <c r="AM2362">
        <v>88.2412381616722</v>
      </c>
      <c r="AN2362">
        <v>0.99999995259888996</v>
      </c>
    </row>
    <row r="2363" spans="1:40" x14ac:dyDescent="0.25">
      <c r="A2363" t="str">
        <f>"20190312154302083"</f>
        <v>20190312154302083</v>
      </c>
      <c r="B2363" t="str">
        <f>"1552376582079650"</f>
        <v>1552376582079650</v>
      </c>
      <c r="C2363" t="s">
        <v>40</v>
      </c>
      <c r="D2363">
        <v>4.5810599999999999</v>
      </c>
      <c r="E2363">
        <v>0.47790759999999999</v>
      </c>
      <c r="F2363" t="s">
        <v>50</v>
      </c>
      <c r="G2363">
        <v>-447.00259999999997</v>
      </c>
      <c r="H2363" s="1">
        <v>2.2257230000000001E-6</v>
      </c>
      <c r="I2363">
        <v>283.79090000000002</v>
      </c>
      <c r="J2363">
        <v>-423.02050000000003</v>
      </c>
      <c r="K2363">
        <v>1.1105100000000001</v>
      </c>
      <c r="L2363">
        <v>283.76499999999999</v>
      </c>
      <c r="M2363">
        <v>-0.99945379999999995</v>
      </c>
      <c r="N2363">
        <v>0</v>
      </c>
      <c r="O2363">
        <v>3.000392E-2</v>
      </c>
      <c r="P2363">
        <v>-0.99810969999999999</v>
      </c>
      <c r="Q2363">
        <v>9.0033909999999995E-3</v>
      </c>
      <c r="R2363">
        <v>6.079685E-2</v>
      </c>
      <c r="S2363">
        <v>-3.0065309999999998</v>
      </c>
      <c r="T2363">
        <v>-0.1378074</v>
      </c>
      <c r="U2363">
        <v>4.1503909999999998E-3</v>
      </c>
      <c r="V2363">
        <v>3.0827429999999999E-2</v>
      </c>
      <c r="W2363">
        <v>2.2833099999999999E-2</v>
      </c>
      <c r="X2363">
        <v>0.99926389999999998</v>
      </c>
      <c r="Y2363">
        <v>-2.8565440000000001E-2</v>
      </c>
      <c r="Z2363">
        <v>-2.028827E-3</v>
      </c>
      <c r="AA2363">
        <v>0.99958990000000003</v>
      </c>
      <c r="AB2363">
        <v>25</v>
      </c>
      <c r="AC2363">
        <v>-23.9820999999999</v>
      </c>
      <c r="AD2363">
        <v>-1.110507774277</v>
      </c>
      <c r="AE2363">
        <v>2.5900000000035499E-2</v>
      </c>
      <c r="AF2363">
        <v>-0.69225337220364103</v>
      </c>
      <c r="AG2363">
        <v>-1.110507774277</v>
      </c>
      <c r="AH2363">
        <v>23.920786603912799</v>
      </c>
      <c r="AI2363">
        <v>92.656902072445007</v>
      </c>
      <c r="AJ2363">
        <v>91.657643216240402</v>
      </c>
      <c r="AK2363">
        <v>23.956553884020799</v>
      </c>
      <c r="AL2363">
        <v>88.691646049724298</v>
      </c>
      <c r="AM2363">
        <v>88.232977684577804</v>
      </c>
      <c r="AN2363">
        <v>1.0000000113696099</v>
      </c>
    </row>
    <row r="2364" spans="1:40" x14ac:dyDescent="0.25">
      <c r="A2364" t="str">
        <f>"20190312154302106"</f>
        <v>20190312154302106</v>
      </c>
      <c r="B2364" t="str">
        <f>"1552376582100149"</f>
        <v>1552376582100149</v>
      </c>
      <c r="C2364" t="s">
        <v>40</v>
      </c>
      <c r="D2364">
        <v>4.5510630000000001</v>
      </c>
      <c r="E2364">
        <v>0.47757179999999999</v>
      </c>
      <c r="F2364" t="s">
        <v>50</v>
      </c>
      <c r="G2364">
        <v>-449.1096</v>
      </c>
      <c r="H2364" s="1">
        <v>3.3478279999999999E-6</v>
      </c>
      <c r="I2364">
        <v>283.77190000000002</v>
      </c>
      <c r="J2364">
        <v>-423.26749999999998</v>
      </c>
      <c r="K2364">
        <v>1.110511</v>
      </c>
      <c r="L2364">
        <v>283.77260000000001</v>
      </c>
      <c r="M2364">
        <v>-0.99944840000000001</v>
      </c>
      <c r="N2364">
        <v>0</v>
      </c>
      <c r="O2364">
        <v>3.019024E-2</v>
      </c>
      <c r="P2364">
        <v>-0.99808909999999995</v>
      </c>
      <c r="Q2364">
        <v>9.2369459999999994E-3</v>
      </c>
      <c r="R2364">
        <v>6.1101969999999999E-2</v>
      </c>
      <c r="S2364">
        <v>-3.0067750000000002</v>
      </c>
      <c r="T2364">
        <v>-0.12798599999999999</v>
      </c>
      <c r="U2364">
        <v>7.9345700000000002E-4</v>
      </c>
      <c r="V2364">
        <v>3.0946789999999998E-2</v>
      </c>
      <c r="W2364">
        <v>2.3064299999999999E-2</v>
      </c>
      <c r="X2364">
        <v>0.99925489999999995</v>
      </c>
      <c r="Y2364">
        <v>-2.9874979999999999E-2</v>
      </c>
      <c r="Z2364">
        <v>-1.9200059999999999E-3</v>
      </c>
      <c r="AA2364">
        <v>0.99955179999999999</v>
      </c>
      <c r="AB2364">
        <v>25</v>
      </c>
      <c r="AC2364">
        <v>-25.842099999999999</v>
      </c>
      <c r="AD2364">
        <v>-1.1105076521719901</v>
      </c>
      <c r="AE2364">
        <v>-6.9999999999481501E-4</v>
      </c>
      <c r="AF2364">
        <v>-0.77951407412129903</v>
      </c>
      <c r="AG2364">
        <v>-1.1105076521719901</v>
      </c>
      <c r="AH2364">
        <v>25.782685110302999</v>
      </c>
      <c r="AI2364">
        <v>92.465185110437403</v>
      </c>
      <c r="AJ2364">
        <v>91.731753891254698</v>
      </c>
      <c r="AK2364">
        <v>25.8183601519214</v>
      </c>
      <c r="AL2364">
        <v>88.678395774879206</v>
      </c>
      <c r="AM2364">
        <v>88.226124388661404</v>
      </c>
      <c r="AN2364">
        <v>1.0000000104599001</v>
      </c>
    </row>
    <row r="2365" spans="1:40" x14ac:dyDescent="0.25">
      <c r="A2365" t="str">
        <f>"20190312154302127"</f>
        <v>20190312154302127</v>
      </c>
      <c r="B2365" t="str">
        <f>"1552376582119666"</f>
        <v>1552376582119666</v>
      </c>
      <c r="C2365" t="s">
        <v>40</v>
      </c>
      <c r="D2365">
        <v>4.5634399999999999</v>
      </c>
      <c r="E2365">
        <v>0.4772439</v>
      </c>
      <c r="F2365" t="s">
        <v>50</v>
      </c>
      <c r="G2365">
        <v>-450.66489999999999</v>
      </c>
      <c r="H2365" s="1">
        <v>-1.1457060000000001E-6</v>
      </c>
      <c r="I2365">
        <v>283.76369999999997</v>
      </c>
      <c r="J2365">
        <v>-423.5077</v>
      </c>
      <c r="K2365">
        <v>1.1105080000000001</v>
      </c>
      <c r="L2365">
        <v>283.7801</v>
      </c>
      <c r="M2365">
        <v>-0.99944299999999997</v>
      </c>
      <c r="N2365">
        <v>0</v>
      </c>
      <c r="O2365">
        <v>3.0370649999999999E-2</v>
      </c>
      <c r="P2365">
        <v>-0.9980289</v>
      </c>
      <c r="Q2365">
        <v>9.4418880000000007E-3</v>
      </c>
      <c r="R2365">
        <v>6.2044389999999998E-2</v>
      </c>
      <c r="S2365">
        <v>-3.0069270000000001</v>
      </c>
      <c r="T2365">
        <v>-0.12188110000000001</v>
      </c>
      <c r="U2365">
        <v>-9.765625E-4</v>
      </c>
      <c r="V2365">
        <v>3.1710090000000003E-2</v>
      </c>
      <c r="W2365">
        <v>2.3265950000000001E-2</v>
      </c>
      <c r="X2365">
        <v>0.99922630000000001</v>
      </c>
      <c r="Y2365">
        <v>-3.0648080000000001E-2</v>
      </c>
      <c r="Z2365">
        <v>-1.8513799999999999E-3</v>
      </c>
      <c r="AA2365">
        <v>0.99952850000000004</v>
      </c>
      <c r="AB2365">
        <v>25</v>
      </c>
      <c r="AC2365">
        <v>-27.1571999999999</v>
      </c>
      <c r="AD2365">
        <v>-1.1105091457059999</v>
      </c>
      <c r="AE2365">
        <v>-1.6400000000032802E-2</v>
      </c>
      <c r="AF2365">
        <v>-0.83984880707134202</v>
      </c>
      <c r="AG2365">
        <v>-1.1105091457059999</v>
      </c>
      <c r="AH2365">
        <v>27.098858764082799</v>
      </c>
      <c r="AI2365">
        <v>92.345538671149995</v>
      </c>
      <c r="AJ2365">
        <v>91.775144662413595</v>
      </c>
      <c r="AK2365">
        <v>27.134603791047802</v>
      </c>
      <c r="AL2365">
        <v>88.6668389877576</v>
      </c>
      <c r="AM2365">
        <v>88.182348900559703</v>
      </c>
      <c r="AN2365">
        <v>1.00000001642445</v>
      </c>
    </row>
    <row r="2366" spans="1:40" x14ac:dyDescent="0.25">
      <c r="A2366" t="str">
        <f>"20190312154302149"</f>
        <v>20190312154302149</v>
      </c>
      <c r="B2366" t="str">
        <f>"1552376582140162"</f>
        <v>1552376582140162</v>
      </c>
      <c r="C2366" t="s">
        <v>40</v>
      </c>
      <c r="D2366">
        <v>4.5767199999999999</v>
      </c>
      <c r="E2366">
        <v>0.47704150000000001</v>
      </c>
      <c r="F2366" t="s">
        <v>50</v>
      </c>
      <c r="G2366">
        <v>-452.01900000000001</v>
      </c>
      <c r="H2366" s="1">
        <v>-4.2559360000000002E-7</v>
      </c>
      <c r="I2366">
        <v>283.77519999999998</v>
      </c>
      <c r="J2366">
        <v>-423.74950000000001</v>
      </c>
      <c r="K2366">
        <v>1.1105119999999999</v>
      </c>
      <c r="L2366">
        <v>283.78769999999997</v>
      </c>
      <c r="M2366">
        <v>-0.99943749999999998</v>
      </c>
      <c r="N2366">
        <v>0</v>
      </c>
      <c r="O2366">
        <v>3.054927E-2</v>
      </c>
      <c r="P2366">
        <v>-0.99799850000000001</v>
      </c>
      <c r="Q2366">
        <v>9.2998479999999994E-3</v>
      </c>
      <c r="R2366">
        <v>6.2550729999999999E-2</v>
      </c>
      <c r="S2366">
        <v>-3.00705</v>
      </c>
      <c r="T2366">
        <v>-0.1171237</v>
      </c>
      <c r="U2366">
        <v>-5.1879879999999995E-4</v>
      </c>
      <c r="V2366">
        <v>3.2038320000000002E-2</v>
      </c>
      <c r="W2366">
        <v>2.3121510000000001E-2</v>
      </c>
      <c r="X2366">
        <v>0.99921919999999997</v>
      </c>
      <c r="Y2366">
        <v>-3.0678219999999999E-2</v>
      </c>
      <c r="Z2366">
        <v>-1.7866379999999999E-3</v>
      </c>
      <c r="AA2366">
        <v>0.99952770000000002</v>
      </c>
      <c r="AB2366">
        <v>25</v>
      </c>
      <c r="AC2366">
        <v>-28.269499999999901</v>
      </c>
      <c r="AD2366">
        <v>-1.1105124255936001</v>
      </c>
      <c r="AE2366">
        <v>-1.24999999999886E-2</v>
      </c>
      <c r="AF2366">
        <v>-0.87483940783952396</v>
      </c>
      <c r="AG2366">
        <v>-1.1105124255936001</v>
      </c>
      <c r="AH2366">
        <v>28.212384945893699</v>
      </c>
      <c r="AI2366">
        <v>92.253064468622298</v>
      </c>
      <c r="AJ2366">
        <v>91.776118864665605</v>
      </c>
      <c r="AK2366">
        <v>28.247783031101701</v>
      </c>
      <c r="AL2366">
        <v>88.675117040071996</v>
      </c>
      <c r="AM2366">
        <v>88.163534236715606</v>
      </c>
      <c r="AN2366">
        <v>1.0000000339108699</v>
      </c>
    </row>
    <row r="2367" spans="1:40" x14ac:dyDescent="0.25">
      <c r="A2367" t="str">
        <f>"20190312154302164"</f>
        <v>20190312154302164</v>
      </c>
      <c r="B2367" t="str">
        <f>"1552376582159682"</f>
        <v>1552376582159682</v>
      </c>
      <c r="C2367" t="s">
        <v>40</v>
      </c>
      <c r="D2367">
        <v>4.6001379999999896</v>
      </c>
      <c r="E2367">
        <v>0.45312019999999997</v>
      </c>
      <c r="F2367" t="s">
        <v>50</v>
      </c>
      <c r="G2367">
        <v>-452.59410000000003</v>
      </c>
      <c r="H2367" s="1">
        <v>-1.1992970000000001E-7</v>
      </c>
      <c r="I2367">
        <v>283.78309999999999</v>
      </c>
      <c r="J2367">
        <v>-423.9203</v>
      </c>
      <c r="K2367">
        <v>1.1105160000000001</v>
      </c>
      <c r="L2367">
        <v>283.79300000000001</v>
      </c>
      <c r="M2367">
        <v>-0.99943380000000004</v>
      </c>
      <c r="N2367">
        <v>0</v>
      </c>
      <c r="O2367">
        <v>3.0673039999999999E-2</v>
      </c>
      <c r="P2367">
        <v>-0.99796099999999999</v>
      </c>
      <c r="Q2367">
        <v>9.5128060000000004E-3</v>
      </c>
      <c r="R2367">
        <v>6.311638E-2</v>
      </c>
      <c r="S2367">
        <v>-3.0071110000000001</v>
      </c>
      <c r="T2367">
        <v>-0.1157734</v>
      </c>
      <c r="U2367">
        <v>-4.8828130000000002E-4</v>
      </c>
      <c r="V2367">
        <v>3.2481070000000001E-2</v>
      </c>
      <c r="W2367">
        <v>2.333269E-2</v>
      </c>
      <c r="X2367">
        <v>0.99919999999999998</v>
      </c>
      <c r="Y2367">
        <v>-3.0792739999999999E-2</v>
      </c>
      <c r="Z2367">
        <v>-1.772986E-3</v>
      </c>
      <c r="AA2367">
        <v>0.99952419999999997</v>
      </c>
      <c r="AB2367">
        <v>25</v>
      </c>
      <c r="AC2367">
        <v>-28.6738</v>
      </c>
      <c r="AD2367">
        <v>-1.1105161199297</v>
      </c>
      <c r="AE2367">
        <v>-9.9000000000160002E-3</v>
      </c>
      <c r="AF2367">
        <v>-0.88815986532359703</v>
      </c>
      <c r="AG2367">
        <v>-1.1105161199297</v>
      </c>
      <c r="AH2367">
        <v>28.617077467369501</v>
      </c>
      <c r="AI2367">
        <v>92.2212401048929</v>
      </c>
      <c r="AJ2367">
        <v>91.777661690168699</v>
      </c>
      <c r="AK2367">
        <v>28.6523855337112</v>
      </c>
      <c r="AL2367">
        <v>88.663014056884293</v>
      </c>
      <c r="AM2367">
        <v>88.138137391898496</v>
      </c>
      <c r="AN2367">
        <v>1.00000003716548</v>
      </c>
    </row>
    <row r="2368" spans="1:40" x14ac:dyDescent="0.25">
      <c r="A2368" t="str">
        <f>"20190312154302183"</f>
        <v>20190312154302183</v>
      </c>
      <c r="B2368" t="str">
        <f>"1552376582180178"</f>
        <v>1552376582180178</v>
      </c>
      <c r="C2368" t="s">
        <v>40</v>
      </c>
      <c r="D2368">
        <v>4.6418019999999904</v>
      </c>
      <c r="E2368">
        <v>0.452322</v>
      </c>
      <c r="F2368" t="s">
        <v>54</v>
      </c>
      <c r="G2368">
        <v>-511.95870000000002</v>
      </c>
      <c r="H2368">
        <v>0.21188709999999999</v>
      </c>
      <c r="I2368">
        <v>278.35500000000002</v>
      </c>
      <c r="J2368">
        <v>-424.11900000000003</v>
      </c>
      <c r="K2368">
        <v>1.1105210000000001</v>
      </c>
      <c r="L2368">
        <v>283.79930000000002</v>
      </c>
      <c r="M2368">
        <v>-0.99942949999999997</v>
      </c>
      <c r="N2368">
        <v>0</v>
      </c>
      <c r="O2368">
        <v>3.081445E-2</v>
      </c>
      <c r="P2368">
        <v>-0.9979635</v>
      </c>
      <c r="Q2368">
        <v>9.7022580000000001E-3</v>
      </c>
      <c r="R2368">
        <v>6.3047309999999995E-2</v>
      </c>
      <c r="S2368">
        <v>-3.0182190000000002</v>
      </c>
      <c r="T2368">
        <v>-3.0804870000000002E-2</v>
      </c>
      <c r="U2368">
        <v>-0.18643190000000001</v>
      </c>
      <c r="V2368">
        <v>3.2270460000000001E-2</v>
      </c>
      <c r="W2368">
        <v>2.3520039999999999E-2</v>
      </c>
      <c r="X2368">
        <v>0.99920240000000005</v>
      </c>
      <c r="Y2368">
        <v>-9.2374440000000002E-2</v>
      </c>
      <c r="Z2368">
        <v>-7.8520169999999896E-4</v>
      </c>
      <c r="AA2368">
        <v>0.99572400000000005</v>
      </c>
      <c r="AB2368">
        <v>25</v>
      </c>
      <c r="AC2368">
        <v>-87.839699999999993</v>
      </c>
      <c r="AD2368">
        <v>-0.89863389999999899</v>
      </c>
      <c r="AE2368">
        <v>-5.4442999999999904</v>
      </c>
      <c r="AF2368">
        <v>-8.1478553991476392</v>
      </c>
      <c r="AG2368">
        <v>-0.89863389999999899</v>
      </c>
      <c r="AH2368">
        <v>87.621064349566495</v>
      </c>
      <c r="AI2368">
        <v>90.585075876662799</v>
      </c>
      <c r="AJ2368">
        <v>95.312638846132998</v>
      </c>
      <c r="AK2368">
        <v>88.003670424832407</v>
      </c>
      <c r="AL2368">
        <v>88.652276703622704</v>
      </c>
      <c r="AM2368">
        <v>88.150205891645399</v>
      </c>
      <c r="AN2368">
        <v>1.0000000055179801</v>
      </c>
    </row>
    <row r="2369" spans="1:40" x14ac:dyDescent="0.25">
      <c r="A2369" t="str">
        <f>"20190312154302205"</f>
        <v>20190312154302205</v>
      </c>
      <c r="B2369" t="str">
        <f>"1552376582199698"</f>
        <v>1552376582199698</v>
      </c>
      <c r="C2369" t="s">
        <v>40</v>
      </c>
      <c r="D2369">
        <v>4.6035000000000004</v>
      </c>
      <c r="E2369">
        <v>0.45203870000000002</v>
      </c>
      <c r="F2369" t="s">
        <v>54</v>
      </c>
      <c r="G2369">
        <v>-511.95870000000002</v>
      </c>
      <c r="H2369">
        <v>0.35881760000000001</v>
      </c>
      <c r="I2369">
        <v>278.19560000000001</v>
      </c>
      <c r="J2369">
        <v>-424.36649999999997</v>
      </c>
      <c r="K2369">
        <v>1.110522</v>
      </c>
      <c r="L2369">
        <v>283.80709999999999</v>
      </c>
      <c r="M2369">
        <v>-0.99942410000000004</v>
      </c>
      <c r="N2369">
        <v>0</v>
      </c>
      <c r="O2369">
        <v>3.0984979999999999E-2</v>
      </c>
      <c r="P2369">
        <v>-0.99794510000000003</v>
      </c>
      <c r="Q2369">
        <v>9.6994939999999995E-3</v>
      </c>
      <c r="R2369">
        <v>6.3336569999999995E-2</v>
      </c>
      <c r="S2369">
        <v>-3.0185550000000001</v>
      </c>
      <c r="T2369">
        <v>-2.5828960000000002E-2</v>
      </c>
      <c r="U2369">
        <v>-0.19256590000000001</v>
      </c>
      <c r="V2369">
        <v>3.2389290000000001E-2</v>
      </c>
      <c r="W2369">
        <v>2.3515270000000001E-2</v>
      </c>
      <c r="X2369">
        <v>0.9991987</v>
      </c>
      <c r="Y2369">
        <v>-9.4554600000000003E-2</v>
      </c>
      <c r="Z2369">
        <v>-6.6903609999999995E-4</v>
      </c>
      <c r="AA2369">
        <v>0.9955195</v>
      </c>
      <c r="AB2369">
        <v>25</v>
      </c>
      <c r="AC2369">
        <v>-87.592200000000005</v>
      </c>
      <c r="AD2369">
        <v>-0.75170439999999905</v>
      </c>
      <c r="AE2369">
        <v>-5.6114999999999702</v>
      </c>
      <c r="AF2369">
        <v>-8.3224970258591</v>
      </c>
      <c r="AG2369">
        <v>-0.75170439999999905</v>
      </c>
      <c r="AH2369">
        <v>87.3698373677056</v>
      </c>
      <c r="AI2369">
        <v>90.4907226855006</v>
      </c>
      <c r="AJ2369">
        <v>95.441345944185798</v>
      </c>
      <c r="AK2369">
        <v>87.768545036987703</v>
      </c>
      <c r="AL2369">
        <v>88.652550123950604</v>
      </c>
      <c r="AM2369">
        <v>88.143392255229401</v>
      </c>
      <c r="AN2369">
        <v>1.0000000380557801</v>
      </c>
    </row>
    <row r="2370" spans="1:40" x14ac:dyDescent="0.25">
      <c r="A2370" t="str">
        <f>"20190312154302228"</f>
        <v>20190312154302228</v>
      </c>
      <c r="B2370" t="str">
        <f>"1552376582220197"</f>
        <v>1552376582220197</v>
      </c>
      <c r="C2370" t="s">
        <v>40</v>
      </c>
      <c r="D2370">
        <v>4.6281589999999904</v>
      </c>
      <c r="E2370">
        <v>0.4522196</v>
      </c>
      <c r="F2370" t="s">
        <v>54</v>
      </c>
      <c r="G2370">
        <v>-511.95870000000002</v>
      </c>
      <c r="H2370">
        <v>0.4031807</v>
      </c>
      <c r="I2370">
        <v>278.17790000000002</v>
      </c>
      <c r="J2370">
        <v>-424.61219999999997</v>
      </c>
      <c r="K2370">
        <v>1.110527</v>
      </c>
      <c r="L2370">
        <v>283.815</v>
      </c>
      <c r="M2370">
        <v>-0.99941919999999995</v>
      </c>
      <c r="N2370">
        <v>0</v>
      </c>
      <c r="O2370">
        <v>3.1145349999999999E-2</v>
      </c>
      <c r="P2370">
        <v>-0.99795520000000004</v>
      </c>
      <c r="Q2370">
        <v>9.3554350000000005E-3</v>
      </c>
      <c r="R2370">
        <v>6.3231330000000002E-2</v>
      </c>
      <c r="S2370">
        <v>-3.018707</v>
      </c>
      <c r="T2370">
        <v>-2.4374369999999999E-2</v>
      </c>
      <c r="U2370">
        <v>-0.19400020000000001</v>
      </c>
      <c r="V2370">
        <v>3.2123220000000001E-2</v>
      </c>
      <c r="W2370">
        <v>2.3169180000000001E-2</v>
      </c>
      <c r="X2370">
        <v>0.99921539999999998</v>
      </c>
      <c r="Y2370">
        <v>-9.5182669999999997E-2</v>
      </c>
      <c r="Z2370">
        <v>-6.351455E-4</v>
      </c>
      <c r="AA2370">
        <v>0.9954596</v>
      </c>
      <c r="AB2370">
        <v>25</v>
      </c>
      <c r="AC2370">
        <v>-87.346500000000006</v>
      </c>
      <c r="AD2370">
        <v>-0.70734629999999998</v>
      </c>
      <c r="AE2370">
        <v>-5.63709999999997</v>
      </c>
      <c r="AF2370">
        <v>-8.3545165740459293</v>
      </c>
      <c r="AG2370">
        <v>-0.70734629999999998</v>
      </c>
      <c r="AH2370">
        <v>87.122841045950494</v>
      </c>
      <c r="AI2370">
        <v>90.463047524379505</v>
      </c>
      <c r="AJ2370">
        <v>95.477545679737503</v>
      </c>
      <c r="AK2370">
        <v>87.525354714460207</v>
      </c>
      <c r="AL2370">
        <v>88.672385058271502</v>
      </c>
      <c r="AM2370">
        <v>88.158664039126407</v>
      </c>
      <c r="AN2370">
        <v>1.00000006388109</v>
      </c>
    </row>
    <row r="2371" spans="1:40" x14ac:dyDescent="0.25">
      <c r="A2371" t="str">
        <f>"20190312154302251"</f>
        <v>20190312154302251</v>
      </c>
      <c r="B2371" t="str">
        <f>"1552376582239714"</f>
        <v>1552376582239714</v>
      </c>
      <c r="C2371" t="s">
        <v>40</v>
      </c>
      <c r="D2371">
        <v>4.6708800000000004</v>
      </c>
      <c r="E2371">
        <v>0.45240209999999997</v>
      </c>
      <c r="F2371" t="s">
        <v>54</v>
      </c>
      <c r="G2371">
        <v>-511.9588</v>
      </c>
      <c r="H2371">
        <v>0.50739570000000001</v>
      </c>
      <c r="I2371">
        <v>278.23739999999998</v>
      </c>
      <c r="J2371">
        <v>-424.8639</v>
      </c>
      <c r="K2371">
        <v>1.110535</v>
      </c>
      <c r="L2371">
        <v>283.82299999999998</v>
      </c>
      <c r="M2371">
        <v>-0.99941449999999998</v>
      </c>
      <c r="N2371">
        <v>0</v>
      </c>
      <c r="O2371">
        <v>3.129759E-2</v>
      </c>
      <c r="P2371">
        <v>-0.99794300000000002</v>
      </c>
      <c r="Q2371">
        <v>8.7928980000000004E-3</v>
      </c>
      <c r="R2371">
        <v>6.3504389999999994E-2</v>
      </c>
      <c r="S2371">
        <v>-3.0185240000000002</v>
      </c>
      <c r="T2371">
        <v>-2.0840170000000002E-2</v>
      </c>
      <c r="U2371">
        <v>-0.192749</v>
      </c>
      <c r="V2371">
        <v>3.2243590000000003E-2</v>
      </c>
      <c r="W2371">
        <v>2.260475E-2</v>
      </c>
      <c r="X2371">
        <v>0.99922440000000001</v>
      </c>
      <c r="Y2371">
        <v>-9.4928330000000005E-2</v>
      </c>
      <c r="Z2371">
        <v>-5.4326679999999999E-4</v>
      </c>
      <c r="AA2371">
        <v>0.99548389999999998</v>
      </c>
      <c r="AB2371">
        <v>24</v>
      </c>
      <c r="AC2371">
        <v>-87.094899999999996</v>
      </c>
      <c r="AD2371">
        <v>-0.60313930000000004</v>
      </c>
      <c r="AE2371">
        <v>-5.5856000000000003</v>
      </c>
      <c r="AF2371">
        <v>-8.3085873180595797</v>
      </c>
      <c r="AG2371">
        <v>-0.60313930000000004</v>
      </c>
      <c r="AH2371">
        <v>86.873243338997995</v>
      </c>
      <c r="AI2371">
        <v>90.395977105289404</v>
      </c>
      <c r="AJ2371">
        <v>95.4631714416644</v>
      </c>
      <c r="AK2371">
        <v>87.271741179340495</v>
      </c>
      <c r="AL2371">
        <v>88.704732920389105</v>
      </c>
      <c r="AM2371">
        <v>88.151785719023195</v>
      </c>
      <c r="AN2371">
        <v>1.0000000126869999</v>
      </c>
    </row>
    <row r="2372" spans="1:40" x14ac:dyDescent="0.25">
      <c r="A2372" t="str">
        <f>"20190312154302273"</f>
        <v>20190312154302273</v>
      </c>
      <c r="B2372" t="str">
        <f>"1552376582269970"</f>
        <v>1552376582269970</v>
      </c>
      <c r="C2372" t="s">
        <v>40</v>
      </c>
      <c r="D2372">
        <v>4.5628769999999896</v>
      </c>
      <c r="E2372">
        <v>0.45197120000000002</v>
      </c>
      <c r="F2372" t="s">
        <v>54</v>
      </c>
      <c r="G2372">
        <v>-511.9588</v>
      </c>
      <c r="H2372">
        <v>0.49384270000000002</v>
      </c>
      <c r="I2372">
        <v>278.32839999999999</v>
      </c>
      <c r="J2372">
        <v>-425.1078</v>
      </c>
      <c r="K2372">
        <v>1.110541</v>
      </c>
      <c r="L2372">
        <v>283.83089999999999</v>
      </c>
      <c r="M2372">
        <v>-0.99941009999999997</v>
      </c>
      <c r="N2372">
        <v>0</v>
      </c>
      <c r="O2372">
        <v>3.1436169999999999E-2</v>
      </c>
      <c r="P2372">
        <v>-0.99792219999999998</v>
      </c>
      <c r="Q2372">
        <v>8.3281120000000004E-3</v>
      </c>
      <c r="R2372">
        <v>6.3890569999999994E-2</v>
      </c>
      <c r="S2372">
        <v>-3.018494</v>
      </c>
      <c r="T2372">
        <v>-2.1370170000000001E-2</v>
      </c>
      <c r="U2372">
        <v>-0.19042970000000001</v>
      </c>
      <c r="V2372">
        <v>3.249109E-2</v>
      </c>
      <c r="W2372">
        <v>2.2137569999999999E-2</v>
      </c>
      <c r="X2372">
        <v>0.99922679999999997</v>
      </c>
      <c r="Y2372">
        <v>-9.4305E-2</v>
      </c>
      <c r="Z2372">
        <v>-5.5587729999999997E-4</v>
      </c>
      <c r="AA2372">
        <v>0.99554319999999996</v>
      </c>
      <c r="AB2372">
        <v>24</v>
      </c>
      <c r="AC2372">
        <v>-86.850999999999999</v>
      </c>
      <c r="AD2372">
        <v>-0.61669830000000003</v>
      </c>
      <c r="AE2372">
        <v>-5.5024999999999897</v>
      </c>
      <c r="AF2372">
        <v>-8.2298905242304894</v>
      </c>
      <c r="AG2372">
        <v>-0.61669830000000003</v>
      </c>
      <c r="AH2372">
        <v>86.630722223208494</v>
      </c>
      <c r="AI2372">
        <v>90.406036642768498</v>
      </c>
      <c r="AJ2372">
        <v>95.426794088574795</v>
      </c>
      <c r="AK2372">
        <v>87.0229478226792</v>
      </c>
      <c r="AL2372">
        <v>88.731507009549603</v>
      </c>
      <c r="AM2372">
        <v>88.137613351974807</v>
      </c>
      <c r="AN2372">
        <v>0.99999997038656596</v>
      </c>
    </row>
    <row r="2373" spans="1:40" x14ac:dyDescent="0.25">
      <c r="A2373" t="str">
        <f>"20190312154302296"</f>
        <v>20190312154302296</v>
      </c>
      <c r="B2373" t="str">
        <f>"1552376582289491"</f>
        <v>1552376582289491</v>
      </c>
      <c r="C2373" t="s">
        <v>40</v>
      </c>
      <c r="D2373">
        <v>4.5704719999999996</v>
      </c>
      <c r="E2373">
        <v>0.45178970000000002</v>
      </c>
      <c r="F2373" t="s">
        <v>54</v>
      </c>
      <c r="G2373">
        <v>-511.95870000000002</v>
      </c>
      <c r="H2373">
        <v>0.34664729999999999</v>
      </c>
      <c r="I2373">
        <v>278.27940000000001</v>
      </c>
      <c r="J2373">
        <v>-425.34750000000003</v>
      </c>
      <c r="K2373">
        <v>1.1105480000000001</v>
      </c>
      <c r="L2373">
        <v>283.83859999999999</v>
      </c>
      <c r="M2373">
        <v>-0.99940620000000002</v>
      </c>
      <c r="N2373">
        <v>0</v>
      </c>
      <c r="O2373">
        <v>3.1560610000000003E-2</v>
      </c>
      <c r="P2373">
        <v>-0.99791160000000001</v>
      </c>
      <c r="Q2373">
        <v>7.8325010000000004E-3</v>
      </c>
      <c r="R2373">
        <v>6.4117010000000002E-2</v>
      </c>
      <c r="S2373">
        <v>-3.0188290000000002</v>
      </c>
      <c r="T2373">
        <v>-2.6549099999999999E-2</v>
      </c>
      <c r="U2373">
        <v>-0.19296260000000001</v>
      </c>
      <c r="V2373">
        <v>3.2592639999999999E-2</v>
      </c>
      <c r="W2373">
        <v>2.1640340000000001E-2</v>
      </c>
      <c r="X2373">
        <v>0.99923439999999997</v>
      </c>
      <c r="Y2373">
        <v>-9.5252219999999999E-2</v>
      </c>
      <c r="Z2373">
        <v>-6.9574649999999997E-4</v>
      </c>
      <c r="AA2373">
        <v>0.99545289999999997</v>
      </c>
      <c r="AB2373">
        <v>24</v>
      </c>
      <c r="AC2373">
        <v>-86.611199999999997</v>
      </c>
      <c r="AD2373">
        <v>-0.76390069999999899</v>
      </c>
      <c r="AE2373">
        <v>-5.5591999999999704</v>
      </c>
      <c r="AF2373">
        <v>-8.2895515285375101</v>
      </c>
      <c r="AG2373">
        <v>-0.76390069999999899</v>
      </c>
      <c r="AH2373">
        <v>86.385884567945297</v>
      </c>
      <c r="AI2373">
        <v>90.504330398414993</v>
      </c>
      <c r="AJ2373">
        <v>95.481294589431997</v>
      </c>
      <c r="AK2373">
        <v>86.786066055618093</v>
      </c>
      <c r="AL2373">
        <v>88.760003037068202</v>
      </c>
      <c r="AM2373">
        <v>88.131810831753</v>
      </c>
      <c r="AN2373">
        <v>0.999999985320422</v>
      </c>
    </row>
    <row r="2374" spans="1:40" x14ac:dyDescent="0.25">
      <c r="A2374" t="str">
        <f>"20190312154302317"</f>
        <v>20190312154302317</v>
      </c>
      <c r="B2374" t="str">
        <f>"1552376582309987"</f>
        <v>1552376582309987</v>
      </c>
      <c r="C2374" t="s">
        <v>40</v>
      </c>
      <c r="D2374">
        <v>4.7143069999999998</v>
      </c>
      <c r="E2374">
        <v>0.45168219999999998</v>
      </c>
      <c r="F2374" t="s">
        <v>54</v>
      </c>
      <c r="G2374">
        <v>-511.95870000000002</v>
      </c>
      <c r="H2374">
        <v>0.2497952</v>
      </c>
      <c r="I2374">
        <v>278.2756</v>
      </c>
      <c r="J2374">
        <v>-425.58769999999998</v>
      </c>
      <c r="K2374">
        <v>1.1105579999999999</v>
      </c>
      <c r="L2374">
        <v>283.84629999999999</v>
      </c>
      <c r="M2374">
        <v>-0.99940289999999998</v>
      </c>
      <c r="N2374">
        <v>0</v>
      </c>
      <c r="O2374">
        <v>3.166948E-2</v>
      </c>
      <c r="P2374">
        <v>-0.9978783</v>
      </c>
      <c r="Q2374">
        <v>7.7630059999999898E-3</v>
      </c>
      <c r="R2374">
        <v>6.4642820000000004E-2</v>
      </c>
      <c r="S2374">
        <v>-3.019012</v>
      </c>
      <c r="T2374">
        <v>-3.0000450000000001E-2</v>
      </c>
      <c r="U2374">
        <v>-0.19390869999999999</v>
      </c>
      <c r="V2374">
        <v>3.3009839999999999E-2</v>
      </c>
      <c r="W2374">
        <v>2.1568830000000001E-2</v>
      </c>
      <c r="X2374">
        <v>0.99922230000000001</v>
      </c>
      <c r="Y2374">
        <v>-9.5666050000000002E-2</v>
      </c>
      <c r="Z2374">
        <v>-7.8926810000000001E-4</v>
      </c>
      <c r="AA2374">
        <v>0.9954132</v>
      </c>
      <c r="AB2374">
        <v>24</v>
      </c>
      <c r="AC2374">
        <v>-86.370999999999995</v>
      </c>
      <c r="AD2374">
        <v>-0.86076279999999905</v>
      </c>
      <c r="AE2374">
        <v>-5.57069999999998</v>
      </c>
      <c r="AF2374">
        <v>-8.3026697518993799</v>
      </c>
      <c r="AG2374">
        <v>-0.86076279999999905</v>
      </c>
      <c r="AH2374">
        <v>86.142709552817607</v>
      </c>
      <c r="AI2374">
        <v>90.569856318012</v>
      </c>
      <c r="AJ2374">
        <v>95.505318370906195</v>
      </c>
      <c r="AK2374">
        <v>86.546182161364399</v>
      </c>
      <c r="AL2374">
        <v>88.764101275518101</v>
      </c>
      <c r="AM2374">
        <v>88.107891572736904</v>
      </c>
      <c r="AN2374">
        <v>1.00000003439084</v>
      </c>
    </row>
    <row r="2375" spans="1:40" x14ac:dyDescent="0.25">
      <c r="A2375" t="str">
        <f>"20190312154302340"</f>
        <v>20190312154302340</v>
      </c>
      <c r="B2375" t="str">
        <f>"1552376582329513"</f>
        <v>1552376582329513</v>
      </c>
      <c r="C2375" t="s">
        <v>40</v>
      </c>
      <c r="D2375">
        <v>4.538151</v>
      </c>
      <c r="E2375">
        <v>0.45146540000000002</v>
      </c>
      <c r="F2375" t="s">
        <v>54</v>
      </c>
      <c r="G2375">
        <v>-511.95870000000002</v>
      </c>
      <c r="H2375">
        <v>0.2309099</v>
      </c>
      <c r="I2375">
        <v>278.31900000000002</v>
      </c>
      <c r="J2375">
        <v>-425.827</v>
      </c>
      <c r="K2375">
        <v>1.110565</v>
      </c>
      <c r="L2375">
        <v>283.85399999999998</v>
      </c>
      <c r="M2375">
        <v>-0.99940010000000001</v>
      </c>
      <c r="N2375">
        <v>0</v>
      </c>
      <c r="O2375">
        <v>3.1757000000000001E-2</v>
      </c>
      <c r="P2375">
        <v>-0.99785729999999995</v>
      </c>
      <c r="Q2375">
        <v>7.5813959999999998E-3</v>
      </c>
      <c r="R2375">
        <v>6.498777E-2</v>
      </c>
      <c r="S2375">
        <v>-3.019104</v>
      </c>
      <c r="T2375">
        <v>-3.0745270000000002E-2</v>
      </c>
      <c r="U2375">
        <v>-0.19320680000000001</v>
      </c>
      <c r="V2375">
        <v>3.3267049999999999E-2</v>
      </c>
      <c r="W2375">
        <v>2.1385769999999998E-2</v>
      </c>
      <c r="X2375">
        <v>0.99921769999999999</v>
      </c>
      <c r="Y2375">
        <v>-9.5520519999999998E-2</v>
      </c>
      <c r="Z2375">
        <v>-8.0899369999999995E-4</v>
      </c>
      <c r="AA2375">
        <v>0.99542710000000001</v>
      </c>
      <c r="AB2375">
        <v>24</v>
      </c>
      <c r="AC2375">
        <v>-86.131699999999995</v>
      </c>
      <c r="AD2375">
        <v>-0.87965509999999902</v>
      </c>
      <c r="AE2375">
        <v>-5.5350000000000197</v>
      </c>
      <c r="AF2375">
        <v>-8.2668945621223795</v>
      </c>
      <c r="AG2375">
        <v>-0.87965509999999902</v>
      </c>
      <c r="AH2375">
        <v>85.903533565841201</v>
      </c>
      <c r="AI2375">
        <v>90.583992434549899</v>
      </c>
      <c r="AJ2375">
        <v>95.496910557201304</v>
      </c>
      <c r="AK2375">
        <v>86.304880614562094</v>
      </c>
      <c r="AL2375">
        <v>88.774592254936294</v>
      </c>
      <c r="AM2375">
        <v>88.093150487173105</v>
      </c>
      <c r="AN2375">
        <v>1.0000000298837399</v>
      </c>
    </row>
    <row r="2376" spans="1:40" x14ac:dyDescent="0.25">
      <c r="A2376" t="str">
        <f>"20190312154302361"</f>
        <v>20190312154302361</v>
      </c>
      <c r="B2376" t="str">
        <f>"1552376582350002"</f>
        <v>1552376582350002</v>
      </c>
      <c r="C2376" t="s">
        <v>40</v>
      </c>
      <c r="D2376">
        <v>4.5052149999999997</v>
      </c>
      <c r="E2376">
        <v>0.4512736</v>
      </c>
      <c r="F2376" t="s">
        <v>54</v>
      </c>
      <c r="G2376">
        <v>-511.95870000000002</v>
      </c>
      <c r="H2376">
        <v>0.1975981</v>
      </c>
      <c r="I2376">
        <v>278.32839999999999</v>
      </c>
      <c r="J2376">
        <v>-426.06569999999999</v>
      </c>
      <c r="K2376">
        <v>1.110582</v>
      </c>
      <c r="L2376">
        <v>283.86169999999998</v>
      </c>
      <c r="M2376">
        <v>-0.99939820000000001</v>
      </c>
      <c r="N2376">
        <v>0</v>
      </c>
      <c r="O2376">
        <v>3.1818770000000003E-2</v>
      </c>
      <c r="P2376">
        <v>-0.99780239999999998</v>
      </c>
      <c r="Q2376">
        <v>6.8595469999999997E-3</v>
      </c>
      <c r="R2376">
        <v>6.5904489999999996E-2</v>
      </c>
      <c r="S2376">
        <v>-3.0192869999999998</v>
      </c>
      <c r="T2376">
        <v>-3.2000540000000001E-2</v>
      </c>
      <c r="U2376">
        <v>-0.19369510000000001</v>
      </c>
      <c r="V2376">
        <v>3.4122279999999998E-2</v>
      </c>
      <c r="W2376">
        <v>2.0662570000000002E-2</v>
      </c>
      <c r="X2376">
        <v>0.99920399999999998</v>
      </c>
      <c r="Y2376">
        <v>-9.5737929999999999E-2</v>
      </c>
      <c r="Z2376">
        <v>-8.4377159999999998E-4</v>
      </c>
      <c r="AA2376">
        <v>0.99540620000000002</v>
      </c>
      <c r="AB2376">
        <v>24</v>
      </c>
      <c r="AC2376">
        <v>-85.893000000000001</v>
      </c>
      <c r="AD2376">
        <v>-0.91298389999999996</v>
      </c>
      <c r="AE2376">
        <v>-5.5332999999999899</v>
      </c>
      <c r="AF2376">
        <v>-8.2628383912845695</v>
      </c>
      <c r="AG2376">
        <v>-0.91298389999999996</v>
      </c>
      <c r="AH2376">
        <v>85.663782088594402</v>
      </c>
      <c r="AI2376">
        <v>90.607800767982795</v>
      </c>
      <c r="AJ2376">
        <v>95.509512483065194</v>
      </c>
      <c r="AK2376">
        <v>86.066204747301001</v>
      </c>
      <c r="AL2376">
        <v>88.816037631741395</v>
      </c>
      <c r="AM2376">
        <v>88.044139961488796</v>
      </c>
      <c r="AN2376">
        <v>0.99999995270370001</v>
      </c>
    </row>
    <row r="2377" spans="1:40" x14ac:dyDescent="0.25">
      <c r="A2377" t="str">
        <f>"20190312154302395"</f>
        <v>20190312154302395</v>
      </c>
      <c r="B2377" t="str">
        <f>"1552376582390024"</f>
        <v>1552376582390024</v>
      </c>
      <c r="C2377" t="s">
        <v>40</v>
      </c>
      <c r="D2377">
        <v>4.510643</v>
      </c>
      <c r="E2377">
        <v>0.45097609999999999</v>
      </c>
      <c r="F2377" t="s">
        <v>54</v>
      </c>
      <c r="G2377">
        <v>-511.95859999999999</v>
      </c>
      <c r="H2377">
        <v>0.1229305</v>
      </c>
      <c r="I2377">
        <v>278.38319999999999</v>
      </c>
      <c r="J2377">
        <v>-426.43169999999998</v>
      </c>
      <c r="K2377">
        <v>1.110611</v>
      </c>
      <c r="L2377">
        <v>283.8734</v>
      </c>
      <c r="M2377">
        <v>-0.99939670000000003</v>
      </c>
      <c r="N2377">
        <v>0</v>
      </c>
      <c r="O2377">
        <v>3.1865379999999999E-2</v>
      </c>
      <c r="P2377">
        <v>-0.99774989999999997</v>
      </c>
      <c r="Q2377">
        <v>6.2411819999999996E-3</v>
      </c>
      <c r="R2377">
        <v>6.6755529999999993E-2</v>
      </c>
      <c r="S2377">
        <v>-3.0195620000000001</v>
      </c>
      <c r="T2377">
        <v>-3.4717919999999999E-2</v>
      </c>
      <c r="U2377">
        <v>-0.1925964</v>
      </c>
      <c r="V2377">
        <v>3.4926329999999998E-2</v>
      </c>
      <c r="W2377">
        <v>2.0042330000000001E-2</v>
      </c>
      <c r="X2377">
        <v>0.99918890000000005</v>
      </c>
      <c r="Y2377">
        <v>-9.5416650000000006E-2</v>
      </c>
      <c r="Z2377">
        <v>-9.1403470000000001E-4</v>
      </c>
      <c r="AA2377">
        <v>0.99543700000000002</v>
      </c>
      <c r="AB2377">
        <v>24</v>
      </c>
      <c r="AC2377">
        <v>-85.526899999999998</v>
      </c>
      <c r="AD2377">
        <v>-0.98768049999999996</v>
      </c>
      <c r="AE2377">
        <v>-5.4902000000000104</v>
      </c>
      <c r="AF2377">
        <v>-8.2119279750751595</v>
      </c>
      <c r="AG2377">
        <v>-0.98768049999999996</v>
      </c>
      <c r="AH2377">
        <v>85.297165964974596</v>
      </c>
      <c r="AI2377">
        <v>90.660361684524901</v>
      </c>
      <c r="AJ2377">
        <v>95.499164768444302</v>
      </c>
      <c r="AK2377">
        <v>85.697244970269097</v>
      </c>
      <c r="AL2377">
        <v>88.851582185830296</v>
      </c>
      <c r="AM2377">
        <v>87.998059340022493</v>
      </c>
      <c r="AN2377">
        <v>1.00000000070115</v>
      </c>
    </row>
    <row r="2378" spans="1:40" x14ac:dyDescent="0.25">
      <c r="A2378" t="str">
        <f>"20190312154302418"</f>
        <v>20190312154302418</v>
      </c>
      <c r="B2378" t="str">
        <f>"1552376582409538"</f>
        <v>1552376582409538</v>
      </c>
      <c r="C2378" t="s">
        <v>40</v>
      </c>
      <c r="D2378">
        <v>4.6047830000000003</v>
      </c>
      <c r="E2378">
        <v>0.4801745</v>
      </c>
      <c r="F2378" t="s">
        <v>54</v>
      </c>
      <c r="G2378">
        <v>-511.95859999999999</v>
      </c>
      <c r="H2378">
        <v>6.8139909999999998E-2</v>
      </c>
      <c r="I2378">
        <v>278.42140000000001</v>
      </c>
      <c r="J2378">
        <v>-426.67169999999999</v>
      </c>
      <c r="K2378">
        <v>1.110625</v>
      </c>
      <c r="L2378">
        <v>283.88099999999997</v>
      </c>
      <c r="M2378">
        <v>-0.99939659999999997</v>
      </c>
      <c r="N2378">
        <v>0</v>
      </c>
      <c r="O2378">
        <v>3.1872009999999999E-2</v>
      </c>
      <c r="P2378">
        <v>-0.99770360000000002</v>
      </c>
      <c r="Q2378">
        <v>5.7845359999999998E-3</v>
      </c>
      <c r="R2378">
        <v>6.7483399999999999E-2</v>
      </c>
      <c r="S2378">
        <v>-3.0198969999999998</v>
      </c>
      <c r="T2378">
        <v>-3.6805989999999997E-2</v>
      </c>
      <c r="U2378">
        <v>-0.19250490000000001</v>
      </c>
      <c r="V2378">
        <v>3.5648029999999997E-2</v>
      </c>
      <c r="W2378">
        <v>1.958418E-2</v>
      </c>
      <c r="X2378">
        <v>0.99917250000000002</v>
      </c>
      <c r="Y2378">
        <v>-9.5385129999999999E-2</v>
      </c>
      <c r="Z2378">
        <v>-9.6878640000000005E-4</v>
      </c>
      <c r="AA2378">
        <v>0.99543990000000004</v>
      </c>
      <c r="AB2378">
        <v>24</v>
      </c>
      <c r="AC2378">
        <v>-85.286900000000003</v>
      </c>
      <c r="AD2378">
        <v>-1.04248509</v>
      </c>
      <c r="AE2378">
        <v>-5.45959999999996</v>
      </c>
      <c r="AF2378">
        <v>-8.1741334994295194</v>
      </c>
      <c r="AG2378">
        <v>-1.04248509</v>
      </c>
      <c r="AH2378">
        <v>85.056881085621598</v>
      </c>
      <c r="AI2378">
        <v>90.698980736433498</v>
      </c>
      <c r="AJ2378">
        <v>95.4893792630332</v>
      </c>
      <c r="AK2378">
        <v>85.455112507344694</v>
      </c>
      <c r="AL2378">
        <v>88.877837404459996</v>
      </c>
      <c r="AM2378">
        <v>87.956693452279296</v>
      </c>
      <c r="AN2378">
        <v>1.0000000034526999</v>
      </c>
    </row>
    <row r="2379" spans="1:40" x14ac:dyDescent="0.25">
      <c r="A2379" t="str">
        <f>"20190312154302439"</f>
        <v>20190312154302439</v>
      </c>
      <c r="B2379" t="str">
        <f>"1552376582430037"</f>
        <v>1552376582430037</v>
      </c>
      <c r="C2379" t="s">
        <v>40</v>
      </c>
      <c r="D2379">
        <v>4.5785830000000001</v>
      </c>
      <c r="E2379">
        <v>0.49297790000000002</v>
      </c>
      <c r="F2379" t="s">
        <v>42</v>
      </c>
      <c r="G2379">
        <v>-530.31420000000003</v>
      </c>
      <c r="H2379">
        <v>-0.05</v>
      </c>
      <c r="I2379">
        <v>285.34230000000002</v>
      </c>
      <c r="J2379">
        <v>-426.91230000000002</v>
      </c>
      <c r="K2379">
        <v>1.1106240000000001</v>
      </c>
      <c r="L2379">
        <v>283.88869999999997</v>
      </c>
      <c r="M2379">
        <v>-0.99939690000000003</v>
      </c>
      <c r="N2379">
        <v>0</v>
      </c>
      <c r="O2379">
        <v>3.1862559999999998E-2</v>
      </c>
      <c r="P2379">
        <v>-0.99768920000000005</v>
      </c>
      <c r="Q2379">
        <v>5.6074749999999998E-3</v>
      </c>
      <c r="R2379">
        <v>6.7713330000000002E-2</v>
      </c>
      <c r="S2379">
        <v>-3.0042420000000001</v>
      </c>
      <c r="T2379">
        <v>-3.3642529999999997E-2</v>
      </c>
      <c r="U2379">
        <v>4.2358399999999997E-2</v>
      </c>
      <c r="V2379">
        <v>3.5887330000000002E-2</v>
      </c>
      <c r="W2379">
        <v>1.94054E-2</v>
      </c>
      <c r="X2379">
        <v>0.99916740000000004</v>
      </c>
      <c r="Y2379">
        <v>-1.776836E-2</v>
      </c>
      <c r="Z2379">
        <v>-4.5622769999999999E-4</v>
      </c>
      <c r="AA2379">
        <v>0.99984200000000001</v>
      </c>
      <c r="AB2379">
        <v>24</v>
      </c>
      <c r="AC2379">
        <v>-103.4019</v>
      </c>
      <c r="AD2379">
        <v>-1.1606239999999901</v>
      </c>
      <c r="AE2379">
        <v>1.45360000000005</v>
      </c>
      <c r="AF2379">
        <v>-1.84186947620173</v>
      </c>
      <c r="AG2379">
        <v>-1.1606239999999901</v>
      </c>
      <c r="AH2379">
        <v>103.382686201364</v>
      </c>
      <c r="AI2379">
        <v>90.6431010438599</v>
      </c>
      <c r="AJ2379">
        <v>91.020675586960493</v>
      </c>
      <c r="AK2379">
        <v>103.40560592852999</v>
      </c>
      <c r="AL2379">
        <v>88.888082666642205</v>
      </c>
      <c r="AM2379">
        <v>87.942978288488504</v>
      </c>
      <c r="AN2379">
        <v>0.99999998161322401</v>
      </c>
    </row>
    <row r="2380" spans="1:40" x14ac:dyDescent="0.25">
      <c r="A2380" t="str">
        <f>"20190312154302463"</f>
        <v>20190312154302463</v>
      </c>
      <c r="B2380" t="str">
        <f>"1552376582449554"</f>
        <v>1552376582449554</v>
      </c>
      <c r="C2380" t="s">
        <v>40</v>
      </c>
      <c r="D2380">
        <v>4.5008029999999897</v>
      </c>
      <c r="E2380">
        <v>0.49812109999999898</v>
      </c>
      <c r="F2380" t="s">
        <v>49</v>
      </c>
      <c r="G2380">
        <v>-494.41329999999999</v>
      </c>
      <c r="H2380" s="1">
        <v>3.402505E-6</v>
      </c>
      <c r="I2380">
        <v>287.14150000000001</v>
      </c>
      <c r="J2380">
        <v>-427.1567</v>
      </c>
      <c r="K2380">
        <v>1.1106339999999999</v>
      </c>
      <c r="L2380">
        <v>283.8965</v>
      </c>
      <c r="M2380">
        <v>-0.9993978</v>
      </c>
      <c r="N2380">
        <v>0</v>
      </c>
      <c r="O2380">
        <v>3.1833529999999999E-2</v>
      </c>
      <c r="P2380">
        <v>-0.9977144</v>
      </c>
      <c r="Q2380">
        <v>5.5381359999999999E-3</v>
      </c>
      <c r="R2380">
        <v>6.7346100000000006E-2</v>
      </c>
      <c r="S2380">
        <v>-2.9974059999999998</v>
      </c>
      <c r="T2380">
        <v>-4.9317479999999997E-2</v>
      </c>
      <c r="U2380">
        <v>0.1444397</v>
      </c>
      <c r="V2380">
        <v>3.5548030000000001E-2</v>
      </c>
      <c r="W2380">
        <v>1.9333889999999999E-2</v>
      </c>
      <c r="X2380">
        <v>0.99918090000000004</v>
      </c>
      <c r="Y2380">
        <v>1.6310410000000001E-2</v>
      </c>
      <c r="Z2380">
        <v>-3.8921970000000002E-4</v>
      </c>
      <c r="AA2380">
        <v>0.9998669</v>
      </c>
      <c r="AB2380">
        <v>24</v>
      </c>
      <c r="AC2380">
        <v>-67.256599999999906</v>
      </c>
      <c r="AD2380">
        <v>-1.1106305974949999</v>
      </c>
      <c r="AE2380">
        <v>3.2450000000000001</v>
      </c>
      <c r="AF2380">
        <v>1.10183617881744</v>
      </c>
      <c r="AG2380">
        <v>-1.1106305974949999</v>
      </c>
      <c r="AH2380">
        <v>67.307505014882096</v>
      </c>
      <c r="AI2380">
        <v>90.945216271343398</v>
      </c>
      <c r="AJ2380">
        <v>89.062141371158404</v>
      </c>
      <c r="AK2380">
        <v>67.325684360557503</v>
      </c>
      <c r="AL2380">
        <v>88.892180639801197</v>
      </c>
      <c r="AM2380">
        <v>87.962437621176804</v>
      </c>
      <c r="AN2380">
        <v>0.99999996633211097</v>
      </c>
    </row>
    <row r="2381" spans="1:40" x14ac:dyDescent="0.25">
      <c r="A2381" t="str">
        <f>"20190312154302485"</f>
        <v>20190312154302485</v>
      </c>
      <c r="B2381" t="str">
        <f>"1552376582479810"</f>
        <v>1552376582479810</v>
      </c>
      <c r="C2381" t="s">
        <v>40</v>
      </c>
      <c r="D2381">
        <v>4.4652279999999998</v>
      </c>
      <c r="E2381">
        <v>0.50230770000000002</v>
      </c>
      <c r="F2381" t="s">
        <v>49</v>
      </c>
      <c r="G2381">
        <v>-485.65839999999997</v>
      </c>
      <c r="H2381" s="1">
        <v>3.4607449999999999E-6</v>
      </c>
      <c r="I2381">
        <v>287.4907</v>
      </c>
      <c r="J2381">
        <v>-427.3974</v>
      </c>
      <c r="K2381">
        <v>1.110646</v>
      </c>
      <c r="L2381">
        <v>283.9042</v>
      </c>
      <c r="M2381">
        <v>-0.99939940000000005</v>
      </c>
      <c r="N2381">
        <v>0</v>
      </c>
      <c r="O2381">
        <v>3.1784779999999999E-2</v>
      </c>
      <c r="P2381">
        <v>-0.99776419999999999</v>
      </c>
      <c r="Q2381">
        <v>5.8035269999999898E-3</v>
      </c>
      <c r="R2381">
        <v>6.6581849999999998E-2</v>
      </c>
      <c r="S2381">
        <v>-2.9947509999999999</v>
      </c>
      <c r="T2381">
        <v>-5.6854130000000003E-2</v>
      </c>
      <c r="U2381">
        <v>0.1839905</v>
      </c>
      <c r="V2381">
        <v>3.483091E-2</v>
      </c>
      <c r="W2381">
        <v>1.9598009999999999E-2</v>
      </c>
      <c r="X2381">
        <v>0.99920109999999995</v>
      </c>
      <c r="Y2381">
        <v>2.9563450000000002E-2</v>
      </c>
      <c r="Z2381">
        <v>-3.2229749999999999E-4</v>
      </c>
      <c r="AA2381">
        <v>0.99956290000000003</v>
      </c>
      <c r="AB2381">
        <v>24</v>
      </c>
      <c r="AC2381">
        <v>-58.260999999999903</v>
      </c>
      <c r="AD2381">
        <v>-1.1106425392549999</v>
      </c>
      <c r="AE2381">
        <v>3.5865</v>
      </c>
      <c r="AF2381">
        <v>1.7320709163535599</v>
      </c>
      <c r="AG2381">
        <v>-1.1106425392549999</v>
      </c>
      <c r="AH2381">
        <v>58.324448724205503</v>
      </c>
      <c r="AI2381">
        <v>91.090441650181702</v>
      </c>
      <c r="AJ2381">
        <v>88.298977584065895</v>
      </c>
      <c r="AK2381">
        <v>58.360730936921598</v>
      </c>
      <c r="AL2381">
        <v>88.877044911034901</v>
      </c>
      <c r="AM2381">
        <v>88.003548639067702</v>
      </c>
      <c r="AN2381">
        <v>1.0000000562642899</v>
      </c>
    </row>
    <row r="2382" spans="1:40" x14ac:dyDescent="0.25">
      <c r="A2382" t="str">
        <f>"20190312154302508"</f>
        <v>20190312154302508</v>
      </c>
      <c r="B2382" t="str">
        <f>"1552376582500307"</f>
        <v>1552376582500307</v>
      </c>
      <c r="C2382" t="s">
        <v>40</v>
      </c>
      <c r="D2382">
        <v>4.4281160000000002</v>
      </c>
      <c r="E2382">
        <v>0.50359120000000002</v>
      </c>
      <c r="F2382" t="s">
        <v>49</v>
      </c>
      <c r="G2382">
        <v>-499.95780000000002</v>
      </c>
      <c r="H2382">
        <v>2.4807849999999999E-2</v>
      </c>
      <c r="I2382">
        <v>289.13189999999997</v>
      </c>
      <c r="J2382">
        <v>-427.63839999999999</v>
      </c>
      <c r="K2382">
        <v>1.1106510000000001</v>
      </c>
      <c r="L2382">
        <v>283.91180000000003</v>
      </c>
      <c r="M2382">
        <v>-0.9994016</v>
      </c>
      <c r="N2382">
        <v>0</v>
      </c>
      <c r="O2382">
        <v>3.1718219999999998E-2</v>
      </c>
      <c r="P2382">
        <v>-0.99783350000000004</v>
      </c>
      <c r="Q2382">
        <v>4.837086E-3</v>
      </c>
      <c r="R2382">
        <v>6.5613089999999999E-2</v>
      </c>
      <c r="S2382">
        <v>-2.9925839999999999</v>
      </c>
      <c r="T2382">
        <v>-4.4782879999999997E-2</v>
      </c>
      <c r="U2382">
        <v>0.21560670000000001</v>
      </c>
      <c r="V2382">
        <v>3.3926209999999998E-2</v>
      </c>
      <c r="W2382">
        <v>1.8631160000000001E-2</v>
      </c>
      <c r="X2382">
        <v>0.99925070000000005</v>
      </c>
      <c r="Y2382">
        <v>4.018439E-2</v>
      </c>
      <c r="Z2382">
        <v>-1.73594399999999E-4</v>
      </c>
      <c r="AA2382">
        <v>0.99919219999999997</v>
      </c>
      <c r="AB2382">
        <v>24</v>
      </c>
      <c r="AC2382">
        <v>-72.319400000000002</v>
      </c>
      <c r="AD2382">
        <v>-1.0858431500000001</v>
      </c>
      <c r="AE2382">
        <v>5.22009999999994</v>
      </c>
      <c r="AF2382">
        <v>2.92275648819738</v>
      </c>
      <c r="AG2382">
        <v>-1.0858431500000001</v>
      </c>
      <c r="AH2382">
        <v>72.432349383577503</v>
      </c>
      <c r="AI2382">
        <v>90.858166183905993</v>
      </c>
      <c r="AJ2382">
        <v>87.689280938060307</v>
      </c>
      <c r="AK2382">
        <v>72.499426191248901</v>
      </c>
      <c r="AL2382">
        <v>88.932451434218606</v>
      </c>
      <c r="AM2382">
        <v>88.055460685848701</v>
      </c>
      <c r="AN2382">
        <v>1.00000003464919</v>
      </c>
    </row>
    <row r="2383" spans="1:40" x14ac:dyDescent="0.25">
      <c r="A2383" t="str">
        <f>"20190312154302530"</f>
        <v>20190312154302530</v>
      </c>
      <c r="B2383" t="str">
        <f>"1552376582519826"</f>
        <v>1552376582519826</v>
      </c>
      <c r="C2383" t="s">
        <v>40</v>
      </c>
      <c r="D2383">
        <v>4.4442320000000004</v>
      </c>
      <c r="E2383">
        <v>0.50465519999999997</v>
      </c>
      <c r="F2383" t="s">
        <v>49</v>
      </c>
      <c r="G2383">
        <v>-500.44540000000001</v>
      </c>
      <c r="H2383">
        <v>7.9981540000000004E-2</v>
      </c>
      <c r="I2383">
        <v>289.33870000000002</v>
      </c>
      <c r="J2383">
        <v>-427.87509999999997</v>
      </c>
      <c r="K2383">
        <v>1.1106640000000001</v>
      </c>
      <c r="L2383">
        <v>283.91919999999999</v>
      </c>
      <c r="M2383">
        <v>-0.99940419999999996</v>
      </c>
      <c r="N2383">
        <v>0</v>
      </c>
      <c r="O2383">
        <v>3.1635549999999998E-2</v>
      </c>
      <c r="P2383">
        <v>-0.99790140000000005</v>
      </c>
      <c r="Q2383">
        <v>4.2778720000000003E-3</v>
      </c>
      <c r="R2383">
        <v>6.4611370000000001E-2</v>
      </c>
      <c r="S2383">
        <v>-2.9920650000000002</v>
      </c>
      <c r="T2383">
        <v>-4.2356249999999998E-2</v>
      </c>
      <c r="U2383">
        <v>0.22302250000000001</v>
      </c>
      <c r="V2383">
        <v>3.300488E-2</v>
      </c>
      <c r="W2383">
        <v>1.8070969999999999E-2</v>
      </c>
      <c r="X2383">
        <v>0.99929179999999995</v>
      </c>
      <c r="Y2383">
        <v>4.2742410000000002E-2</v>
      </c>
      <c r="Z2383">
        <v>-1.44950499999999E-4</v>
      </c>
      <c r="AA2383">
        <v>0.99908609999999998</v>
      </c>
      <c r="AB2383">
        <v>24</v>
      </c>
      <c r="AC2383">
        <v>-72.570300000000003</v>
      </c>
      <c r="AD2383">
        <v>-1.03068246</v>
      </c>
      <c r="AE2383">
        <v>5.4195000000000197</v>
      </c>
      <c r="AF2383">
        <v>3.1201409969844498</v>
      </c>
      <c r="AG2383">
        <v>-1.03068246</v>
      </c>
      <c r="AH2383">
        <v>72.690853406299695</v>
      </c>
      <c r="AI2383">
        <v>90.811594310052698</v>
      </c>
      <c r="AJ2383">
        <v>87.542177137625998</v>
      </c>
      <c r="AK2383">
        <v>72.765086099794999</v>
      </c>
      <c r="AL2383">
        <v>88.964553317686196</v>
      </c>
      <c r="AM2383">
        <v>88.108307150356694</v>
      </c>
      <c r="AN2383">
        <v>0.99999999180389698</v>
      </c>
    </row>
    <row r="2384" spans="1:40" x14ac:dyDescent="0.25">
      <c r="A2384" t="str">
        <f>"20190312154302552"</f>
        <v>20190312154302552</v>
      </c>
      <c r="B2384" t="str">
        <f>"1552376582540322"</f>
        <v>1552376582540322</v>
      </c>
      <c r="C2384" t="s">
        <v>40</v>
      </c>
      <c r="D2384">
        <v>4.4422540000000001</v>
      </c>
      <c r="E2384">
        <v>0.50540490000000005</v>
      </c>
      <c r="F2384" t="s">
        <v>49</v>
      </c>
      <c r="G2384">
        <v>-503.30939999999998</v>
      </c>
      <c r="H2384">
        <v>8.0004690000000003E-2</v>
      </c>
      <c r="I2384">
        <v>289.68740000000003</v>
      </c>
      <c r="J2384">
        <v>-428.11130000000003</v>
      </c>
      <c r="K2384">
        <v>1.1106769999999999</v>
      </c>
      <c r="L2384">
        <v>283.92649999999998</v>
      </c>
      <c r="M2384">
        <v>-0.99940739999999995</v>
      </c>
      <c r="N2384">
        <v>0</v>
      </c>
      <c r="O2384">
        <v>3.1538139999999999E-2</v>
      </c>
      <c r="P2384">
        <v>-0.99797670000000005</v>
      </c>
      <c r="Q2384">
        <v>4.1756429999999997E-3</v>
      </c>
      <c r="R2384">
        <v>6.3445989999999994E-2</v>
      </c>
      <c r="S2384">
        <v>-2.991638</v>
      </c>
      <c r="T2384">
        <v>-4.0874720000000003E-2</v>
      </c>
      <c r="U2384">
        <v>0.22875980000000001</v>
      </c>
      <c r="V2384">
        <v>3.1934789999999998E-2</v>
      </c>
      <c r="W2384">
        <v>1.7967509999999999E-2</v>
      </c>
      <c r="X2384">
        <v>0.99932840000000001</v>
      </c>
      <c r="Y2384">
        <v>4.4755330000000003E-2</v>
      </c>
      <c r="Z2384">
        <v>-1.2482920000000001E-4</v>
      </c>
      <c r="AA2384">
        <v>0.99899800000000005</v>
      </c>
      <c r="AB2384">
        <v>24</v>
      </c>
      <c r="AC2384">
        <v>-75.198099999999897</v>
      </c>
      <c r="AD2384">
        <v>-1.0306723099999999</v>
      </c>
      <c r="AE2384">
        <v>5.7609000000000403</v>
      </c>
      <c r="AF2384">
        <v>3.3855676270465298</v>
      </c>
      <c r="AG2384">
        <v>-1.0306723099999999</v>
      </c>
      <c r="AH2384">
        <v>75.328322485460703</v>
      </c>
      <c r="AI2384">
        <v>90.783104483598606</v>
      </c>
      <c r="AJ2384">
        <v>87.426621526837906</v>
      </c>
      <c r="AK2384">
        <v>75.411408434277803</v>
      </c>
      <c r="AL2384">
        <v>88.970482065472694</v>
      </c>
      <c r="AM2384">
        <v>88.169664519588295</v>
      </c>
      <c r="AN2384">
        <v>0.99999995663725105</v>
      </c>
    </row>
    <row r="2385" spans="1:40" x14ac:dyDescent="0.25">
      <c r="A2385" t="str">
        <f>"20190312154302574"</f>
        <v>20190312154302574</v>
      </c>
      <c r="B2385" t="str">
        <f>"1552376582569602"</f>
        <v>1552376582569602</v>
      </c>
      <c r="C2385" t="s">
        <v>40</v>
      </c>
      <c r="D2385">
        <v>4.4898949999999997</v>
      </c>
      <c r="E2385">
        <v>0.50598909999999997</v>
      </c>
      <c r="F2385" t="s">
        <v>42</v>
      </c>
      <c r="G2385">
        <v>-515.60329999999999</v>
      </c>
      <c r="H2385">
        <v>-0.05</v>
      </c>
      <c r="I2385">
        <v>290.69549999999998</v>
      </c>
      <c r="J2385">
        <v>-428.35169999999999</v>
      </c>
      <c r="K2385">
        <v>1.1106879999999999</v>
      </c>
      <c r="L2385">
        <v>283.93400000000003</v>
      </c>
      <c r="M2385">
        <v>-0.99941089999999999</v>
      </c>
      <c r="N2385">
        <v>0</v>
      </c>
      <c r="O2385">
        <v>3.1426679999999999E-2</v>
      </c>
      <c r="P2385">
        <v>-0.9980289</v>
      </c>
      <c r="Q2385">
        <v>3.9122330000000002E-3</v>
      </c>
      <c r="R2385">
        <v>6.2636150000000002E-2</v>
      </c>
      <c r="S2385">
        <v>-2.9915470000000002</v>
      </c>
      <c r="T2385">
        <v>-3.9686079999999999E-2</v>
      </c>
      <c r="U2385">
        <v>0.23144529999999999</v>
      </c>
      <c r="V2385">
        <v>3.1234789999999998E-2</v>
      </c>
      <c r="W2385">
        <v>1.7702909999999999E-2</v>
      </c>
      <c r="X2385">
        <v>0.99935529999999995</v>
      </c>
      <c r="Y2385">
        <v>4.5760540000000002E-2</v>
      </c>
      <c r="Z2385">
        <v>-1.130651E-4</v>
      </c>
      <c r="AA2385">
        <v>0.99895239999999996</v>
      </c>
      <c r="AB2385">
        <v>24</v>
      </c>
      <c r="AC2385">
        <v>-87.251599999999996</v>
      </c>
      <c r="AD2385">
        <v>-1.1606879999999999</v>
      </c>
      <c r="AE2385">
        <v>6.7614999999999501</v>
      </c>
      <c r="AF2385">
        <v>4.0151643519790099</v>
      </c>
      <c r="AG2385">
        <v>-1.1606879999999999</v>
      </c>
      <c r="AH2385">
        <v>87.405631154682496</v>
      </c>
      <c r="AI2385">
        <v>90.760003330904198</v>
      </c>
      <c r="AJ2385">
        <v>87.369845022165094</v>
      </c>
      <c r="AK2385">
        <v>87.505503249539402</v>
      </c>
      <c r="AL2385">
        <v>88.985644995764403</v>
      </c>
      <c r="AM2385">
        <v>88.209806623358205</v>
      </c>
      <c r="AN2385">
        <v>1.0000000103834501</v>
      </c>
    </row>
    <row r="2386" spans="1:40" x14ac:dyDescent="0.25">
      <c r="A2386" t="str">
        <f>"20190312154302596"</f>
        <v>20190312154302596</v>
      </c>
      <c r="B2386" t="str">
        <f>"1552376582590102"</f>
        <v>1552376582590102</v>
      </c>
      <c r="C2386" t="s">
        <v>40</v>
      </c>
      <c r="D2386">
        <v>4.4944750000000004</v>
      </c>
      <c r="E2386">
        <v>0.50627409999999995</v>
      </c>
      <c r="F2386" t="s">
        <v>49</v>
      </c>
      <c r="G2386">
        <v>-498.56380000000001</v>
      </c>
      <c r="H2386" s="1">
        <v>2.8645139999999998E-6</v>
      </c>
      <c r="I2386">
        <v>289.40910000000002</v>
      </c>
      <c r="J2386">
        <v>-428.59429999999998</v>
      </c>
      <c r="K2386">
        <v>1.11069</v>
      </c>
      <c r="L2386">
        <v>283.94150000000002</v>
      </c>
      <c r="M2386">
        <v>-0.99941489999999999</v>
      </c>
      <c r="N2386">
        <v>0</v>
      </c>
      <c r="O2386">
        <v>3.1304999999999999E-2</v>
      </c>
      <c r="P2386">
        <v>-0.99805739999999998</v>
      </c>
      <c r="Q2386">
        <v>3.105095E-3</v>
      </c>
      <c r="R2386">
        <v>6.2225790000000003E-2</v>
      </c>
      <c r="S2386">
        <v>-2.9915159999999998</v>
      </c>
      <c r="T2386">
        <v>-4.7322749999999997E-2</v>
      </c>
      <c r="U2386">
        <v>0.23327639999999999</v>
      </c>
      <c r="V2386">
        <v>3.094535E-2</v>
      </c>
      <c r="W2386">
        <v>1.689336E-2</v>
      </c>
      <c r="X2386">
        <v>0.99937830000000005</v>
      </c>
      <c r="Y2386">
        <v>4.6490080000000003E-2</v>
      </c>
      <c r="Z2386">
        <v>-1.2713500000000001E-4</v>
      </c>
      <c r="AA2386">
        <v>0.9989188</v>
      </c>
      <c r="AB2386">
        <v>24</v>
      </c>
      <c r="AC2386">
        <v>-69.969499999999996</v>
      </c>
      <c r="AD2386">
        <v>-1.110687135486</v>
      </c>
      <c r="AE2386">
        <v>5.4676</v>
      </c>
      <c r="AF2386">
        <v>3.2734966973446902</v>
      </c>
      <c r="AG2386">
        <v>-1.110687135486</v>
      </c>
      <c r="AH2386">
        <v>70.088825601048995</v>
      </c>
      <c r="AI2386">
        <v>90.906893232622807</v>
      </c>
      <c r="AJ2386">
        <v>87.325945396906604</v>
      </c>
      <c r="AK2386">
        <v>70.174018558685404</v>
      </c>
      <c r="AL2386">
        <v>89.032035719584201</v>
      </c>
      <c r="AM2386">
        <v>88.226425759336493</v>
      </c>
      <c r="AN2386">
        <v>0.99999999340480095</v>
      </c>
    </row>
    <row r="2387" spans="1:40" x14ac:dyDescent="0.25">
      <c r="A2387" t="str">
        <f>"20190312154302619"</f>
        <v>20190312154302619</v>
      </c>
      <c r="B2387" t="str">
        <f>"1552376582609618"</f>
        <v>1552376582609618</v>
      </c>
      <c r="C2387" t="s">
        <v>40</v>
      </c>
      <c r="D2387">
        <v>4.4612669999999897</v>
      </c>
      <c r="E2387">
        <v>0.50663340000000001</v>
      </c>
      <c r="F2387" t="s">
        <v>49</v>
      </c>
      <c r="G2387">
        <v>-491.0462</v>
      </c>
      <c r="H2387" s="1">
        <v>4.1474019999999999E-6</v>
      </c>
      <c r="I2387">
        <v>288.83010000000002</v>
      </c>
      <c r="J2387">
        <v>-428.83010000000002</v>
      </c>
      <c r="K2387">
        <v>1.1106860000000001</v>
      </c>
      <c r="L2387">
        <v>283.94869999999997</v>
      </c>
      <c r="M2387">
        <v>-0.99941880000000005</v>
      </c>
      <c r="N2387">
        <v>0</v>
      </c>
      <c r="O2387">
        <v>3.1181939999999998E-2</v>
      </c>
      <c r="P2387">
        <v>-0.99805239999999995</v>
      </c>
      <c r="Q2387">
        <v>2.705697E-3</v>
      </c>
      <c r="R2387">
        <v>6.2326930000000003E-2</v>
      </c>
      <c r="S2387">
        <v>-2.9913940000000001</v>
      </c>
      <c r="T2387">
        <v>-5.3200959999999999E-2</v>
      </c>
      <c r="U2387">
        <v>0.23416139999999999</v>
      </c>
      <c r="V2387">
        <v>3.1169789999999999E-2</v>
      </c>
      <c r="W2387">
        <v>1.6490970000000001E-2</v>
      </c>
      <c r="X2387">
        <v>0.99937799999999999</v>
      </c>
      <c r="Y2387">
        <v>4.6909399999999997E-2</v>
      </c>
      <c r="Z2387">
        <v>-1.3702239999999999E-4</v>
      </c>
      <c r="AA2387">
        <v>0.99889919999999999</v>
      </c>
      <c r="AB2387">
        <v>24</v>
      </c>
      <c r="AC2387">
        <v>-62.216099999999898</v>
      </c>
      <c r="AD2387">
        <v>-1.110681852598</v>
      </c>
      <c r="AE2387">
        <v>4.8814000000000402</v>
      </c>
      <c r="AF2387">
        <v>2.93789250525831</v>
      </c>
      <c r="AG2387">
        <v>-1.110681852598</v>
      </c>
      <c r="AH2387">
        <v>62.318327129082903</v>
      </c>
      <c r="AI2387">
        <v>91.019925788885104</v>
      </c>
      <c r="AJ2387">
        <v>87.300885440661503</v>
      </c>
      <c r="AK2387">
        <v>62.397425609695901</v>
      </c>
      <c r="AL2387">
        <v>89.055094137723202</v>
      </c>
      <c r="AM2387">
        <v>88.213570174080004</v>
      </c>
      <c r="AN2387">
        <v>0.99999994739209097</v>
      </c>
    </row>
    <row r="2388" spans="1:40" x14ac:dyDescent="0.25">
      <c r="A2388" t="str">
        <f>"20190312154302640"</f>
        <v>20190312154302640</v>
      </c>
      <c r="B2388" t="str">
        <f>"1552376582630118"</f>
        <v>1552376582630118</v>
      </c>
      <c r="C2388" t="s">
        <v>40</v>
      </c>
      <c r="D2388">
        <v>4.441783</v>
      </c>
      <c r="E2388">
        <v>0.50701200000000002</v>
      </c>
      <c r="F2388" t="s">
        <v>49</v>
      </c>
      <c r="G2388">
        <v>-486.99239999999998</v>
      </c>
      <c r="H2388" s="1">
        <v>3.7910650000000001E-6</v>
      </c>
      <c r="I2388">
        <v>288.56229999999999</v>
      </c>
      <c r="J2388">
        <v>-429.06299999999999</v>
      </c>
      <c r="K2388">
        <v>1.1106910000000001</v>
      </c>
      <c r="L2388">
        <v>283.95580000000001</v>
      </c>
      <c r="M2388">
        <v>-0.99942240000000004</v>
      </c>
      <c r="N2388">
        <v>0</v>
      </c>
      <c r="O2388">
        <v>3.1061169999999999E-2</v>
      </c>
      <c r="P2388">
        <v>-0.99803810000000004</v>
      </c>
      <c r="Q2388">
        <v>3.1774360000000001E-3</v>
      </c>
      <c r="R2388">
        <v>6.2531900000000001E-2</v>
      </c>
      <c r="S2388">
        <v>-2.9912109999999998</v>
      </c>
      <c r="T2388">
        <v>-5.7120919999999999E-2</v>
      </c>
      <c r="U2388">
        <v>0.23727419999999999</v>
      </c>
      <c r="V2388">
        <v>3.1495849999999999E-2</v>
      </c>
      <c r="W2388">
        <v>1.6960590000000001E-2</v>
      </c>
      <c r="X2388">
        <v>0.99936000000000003</v>
      </c>
      <c r="Y2388">
        <v>4.8067310000000002E-2</v>
      </c>
      <c r="Z2388">
        <v>-1.337795E-4</v>
      </c>
      <c r="AA2388">
        <v>0.99884410000000001</v>
      </c>
      <c r="AB2388">
        <v>24</v>
      </c>
      <c r="AC2388">
        <v>-57.929399999999902</v>
      </c>
      <c r="AD2388">
        <v>-1.1106872089349999</v>
      </c>
      <c r="AE2388">
        <v>4.6064999999999801</v>
      </c>
      <c r="AF2388">
        <v>2.80372670920144</v>
      </c>
      <c r="AG2388">
        <v>-1.1106872089349999</v>
      </c>
      <c r="AH2388">
        <v>58.023343942461601</v>
      </c>
      <c r="AI2388">
        <v>91.095348487539198</v>
      </c>
      <c r="AJ2388">
        <v>87.233581442200105</v>
      </c>
      <c r="AK2388">
        <v>58.101660490911698</v>
      </c>
      <c r="AL2388">
        <v>89.028183207801604</v>
      </c>
      <c r="AM2388">
        <v>88.194862550897497</v>
      </c>
      <c r="AN2388">
        <v>1.0000000298901801</v>
      </c>
    </row>
    <row r="2389" spans="1:40" x14ac:dyDescent="0.25">
      <c r="A2389" t="str">
        <f>"20190312154302664"</f>
        <v>20190312154302664</v>
      </c>
      <c r="B2389" t="str">
        <f>"1552376582660370"</f>
        <v>1552376582660370</v>
      </c>
      <c r="C2389" t="s">
        <v>40</v>
      </c>
      <c r="D2389">
        <v>4.464709</v>
      </c>
      <c r="E2389">
        <v>0.50760209999999995</v>
      </c>
      <c r="F2389" t="s">
        <v>49</v>
      </c>
      <c r="G2389">
        <v>-487.33600000000001</v>
      </c>
      <c r="H2389" s="1">
        <v>3.8594650000000002E-6</v>
      </c>
      <c r="I2389">
        <v>288.64760000000001</v>
      </c>
      <c r="J2389">
        <v>-429.30329999999998</v>
      </c>
      <c r="K2389">
        <v>1.11069</v>
      </c>
      <c r="L2389">
        <v>283.96319999999997</v>
      </c>
      <c r="M2389">
        <v>-0.99942640000000005</v>
      </c>
      <c r="N2389">
        <v>0</v>
      </c>
      <c r="O2389">
        <v>3.0939749999999999E-2</v>
      </c>
      <c r="P2389">
        <v>-0.99802550000000001</v>
      </c>
      <c r="Q2389">
        <v>3.6564919999999999E-3</v>
      </c>
      <c r="R2389">
        <v>6.2705499999999997E-2</v>
      </c>
      <c r="S2389">
        <v>-2.9909669999999999</v>
      </c>
      <c r="T2389">
        <v>-5.7008030000000001E-2</v>
      </c>
      <c r="U2389">
        <v>0.24081420000000001</v>
      </c>
      <c r="V2389">
        <v>3.1790970000000002E-2</v>
      </c>
      <c r="W2389">
        <v>1.7436400000000001E-2</v>
      </c>
      <c r="X2389">
        <v>0.99934239999999996</v>
      </c>
      <c r="Y2389">
        <v>4.9369509999999998E-2</v>
      </c>
      <c r="Z2389">
        <v>-1.188197E-4</v>
      </c>
      <c r="AA2389">
        <v>0.99878049999999996</v>
      </c>
      <c r="AB2389">
        <v>24</v>
      </c>
      <c r="AC2389">
        <v>-58.032699999999998</v>
      </c>
      <c r="AD2389">
        <v>-1.1106861405349999</v>
      </c>
      <c r="AE2389">
        <v>4.6844000000000303</v>
      </c>
      <c r="AF2389">
        <v>2.8854193651245801</v>
      </c>
      <c r="AG2389">
        <v>-1.1106861405349999</v>
      </c>
      <c r="AH2389">
        <v>58.128704841348799</v>
      </c>
      <c r="AI2389">
        <v>91.093292167240506</v>
      </c>
      <c r="AJ2389">
        <v>87.158258228648407</v>
      </c>
      <c r="AK2389">
        <v>58.210871795121399</v>
      </c>
      <c r="AL2389">
        <v>89.000917204031694</v>
      </c>
      <c r="AM2389">
        <v>88.177927471174797</v>
      </c>
      <c r="AN2389">
        <v>0.999999963128129</v>
      </c>
    </row>
    <row r="2390" spans="1:40" x14ac:dyDescent="0.25">
      <c r="A2390" t="str">
        <f>"20190312154302686"</f>
        <v>20190312154302686</v>
      </c>
      <c r="B2390" t="str">
        <f>"1552376582679890"</f>
        <v>1552376582679890</v>
      </c>
      <c r="C2390" t="s">
        <v>40</v>
      </c>
      <c r="D2390">
        <v>4.4486730000000003</v>
      </c>
      <c r="E2390">
        <v>0.50792150000000003</v>
      </c>
      <c r="F2390" t="s">
        <v>49</v>
      </c>
      <c r="G2390">
        <v>-488.96879999999999</v>
      </c>
      <c r="H2390" s="1">
        <v>4.1685699999999998E-6</v>
      </c>
      <c r="I2390">
        <v>288.87040000000002</v>
      </c>
      <c r="J2390">
        <v>-429.54640000000001</v>
      </c>
      <c r="K2390">
        <v>1.1106910000000001</v>
      </c>
      <c r="L2390">
        <v>283.97050000000002</v>
      </c>
      <c r="M2390">
        <v>-0.99943000000000004</v>
      </c>
      <c r="N2390">
        <v>0</v>
      </c>
      <c r="O2390">
        <v>3.0821669999999999E-2</v>
      </c>
      <c r="P2390">
        <v>-0.99801879999999998</v>
      </c>
      <c r="Q2390">
        <v>3.6137790000000001E-3</v>
      </c>
      <c r="R2390">
        <v>6.2814090000000003E-2</v>
      </c>
      <c r="S2390">
        <v>-2.9906920000000001</v>
      </c>
      <c r="T2390">
        <v>-5.5672409999999999E-2</v>
      </c>
      <c r="U2390">
        <v>0.24597169999999999</v>
      </c>
      <c r="V2390">
        <v>3.2018049999999999E-2</v>
      </c>
      <c r="W2390">
        <v>1.7391110000000001E-2</v>
      </c>
      <c r="X2390">
        <v>0.999336</v>
      </c>
      <c r="Y2390">
        <v>5.120566E-2</v>
      </c>
      <c r="Z2390" s="1">
        <v>-9.6782900000000005E-5</v>
      </c>
      <c r="AA2390">
        <v>0.99868809999999997</v>
      </c>
      <c r="AB2390">
        <v>24</v>
      </c>
      <c r="AC2390">
        <v>-59.422399999999897</v>
      </c>
      <c r="AD2390">
        <v>-1.11068683143</v>
      </c>
      <c r="AE2390">
        <v>4.8998999999999997</v>
      </c>
      <c r="AF2390">
        <v>3.0648367437817501</v>
      </c>
      <c r="AG2390">
        <v>-1.11068683143</v>
      </c>
      <c r="AH2390">
        <v>59.524544942987099</v>
      </c>
      <c r="AI2390">
        <v>91.067561729954605</v>
      </c>
      <c r="AJ2390">
        <v>87.0525221409236</v>
      </c>
      <c r="AK2390">
        <v>59.613742544594899</v>
      </c>
      <c r="AL2390">
        <v>89.003512583742506</v>
      </c>
      <c r="AM2390">
        <v>88.164909696103095</v>
      </c>
      <c r="AN2390">
        <v>1.00000002356441</v>
      </c>
    </row>
    <row r="2391" spans="1:40" x14ac:dyDescent="0.25">
      <c r="A2391" t="str">
        <f>"20190312154302709"</f>
        <v>20190312154302709</v>
      </c>
      <c r="B2391" t="str">
        <f>"1552376582699411"</f>
        <v>1552376582699411</v>
      </c>
      <c r="C2391" t="s">
        <v>40</v>
      </c>
      <c r="D2391">
        <v>4.4805640000000002</v>
      </c>
      <c r="E2391">
        <v>0.50818169999999996</v>
      </c>
      <c r="F2391" t="s">
        <v>49</v>
      </c>
      <c r="G2391">
        <v>-489.209</v>
      </c>
      <c r="H2391" s="1">
        <v>4.2171090000000003E-6</v>
      </c>
      <c r="I2391">
        <v>288.93819999999999</v>
      </c>
      <c r="J2391">
        <v>-429.78300000000002</v>
      </c>
      <c r="K2391">
        <v>1.1106849999999999</v>
      </c>
      <c r="L2391">
        <v>283.97770000000003</v>
      </c>
      <c r="M2391">
        <v>-0.99943360000000003</v>
      </c>
      <c r="N2391">
        <v>0</v>
      </c>
      <c r="O2391">
        <v>3.070931E-2</v>
      </c>
      <c r="P2391">
        <v>-0.99802950000000001</v>
      </c>
      <c r="Q2391">
        <v>3.7409460000000002E-3</v>
      </c>
      <c r="R2391">
        <v>6.2637120000000004E-2</v>
      </c>
      <c r="S2391">
        <v>-2.9904169999999999</v>
      </c>
      <c r="T2391">
        <v>-5.5670020000000001E-2</v>
      </c>
      <c r="U2391">
        <v>0.24899289999999999</v>
      </c>
      <c r="V2391">
        <v>3.1953120000000002E-2</v>
      </c>
      <c r="W2391">
        <v>1.7515070000000001E-2</v>
      </c>
      <c r="X2391">
        <v>0.99933590000000005</v>
      </c>
      <c r="Y2391">
        <v>5.23273E-2</v>
      </c>
      <c r="Z2391" s="1">
        <v>-8.4273899999999898E-5</v>
      </c>
      <c r="AA2391">
        <v>0.99863000000000002</v>
      </c>
      <c r="AB2391">
        <v>24</v>
      </c>
      <c r="AC2391">
        <v>-59.425999999999902</v>
      </c>
      <c r="AD2391">
        <v>-1.1106807828909999</v>
      </c>
      <c r="AE2391">
        <v>4.9604999999999597</v>
      </c>
      <c r="AF2391">
        <v>3.1319691643693499</v>
      </c>
      <c r="AG2391">
        <v>-1.1106807828909999</v>
      </c>
      <c r="AH2391">
        <v>59.529663740384997</v>
      </c>
      <c r="AI2391">
        <v>91.067401915621403</v>
      </c>
      <c r="AJ2391">
        <v>86.988336472309697</v>
      </c>
      <c r="AK2391">
        <v>59.622342353276899</v>
      </c>
      <c r="AL2391">
        <v>88.996409103778205</v>
      </c>
      <c r="AM2391">
        <v>88.168628390037895</v>
      </c>
      <c r="AN2391">
        <v>1.0000000102918201</v>
      </c>
    </row>
    <row r="2392" spans="1:40" x14ac:dyDescent="0.25">
      <c r="A2392" t="str">
        <f>"20190312154302730"</f>
        <v>20190312154302730</v>
      </c>
      <c r="B2392" t="str">
        <f>"1552376582719906"</f>
        <v>1552376582719906</v>
      </c>
      <c r="C2392" t="s">
        <v>40</v>
      </c>
      <c r="D2392">
        <v>4.4775769999999904</v>
      </c>
      <c r="E2392">
        <v>0.50842180000000003</v>
      </c>
      <c r="F2392" t="s">
        <v>49</v>
      </c>
      <c r="G2392">
        <v>-490.89530000000002</v>
      </c>
      <c r="H2392" s="1">
        <v>4.1975369999999996E-6</v>
      </c>
      <c r="I2392">
        <v>289.09730000000002</v>
      </c>
      <c r="J2392">
        <v>-430.01170000000002</v>
      </c>
      <c r="K2392">
        <v>1.1106849999999999</v>
      </c>
      <c r="L2392">
        <v>283.9846</v>
      </c>
      <c r="M2392">
        <v>-0.99943660000000001</v>
      </c>
      <c r="N2392">
        <v>0</v>
      </c>
      <c r="O2392">
        <v>3.0603789999999999E-2</v>
      </c>
      <c r="P2392">
        <v>-0.99806850000000003</v>
      </c>
      <c r="Q2392">
        <v>4.0989629999999997E-3</v>
      </c>
      <c r="R2392">
        <v>6.1988300000000003E-2</v>
      </c>
      <c r="S2392">
        <v>-2.9904169999999999</v>
      </c>
      <c r="T2392">
        <v>-5.4349179999999997E-2</v>
      </c>
      <c r="U2392">
        <v>0.25051879999999999</v>
      </c>
      <c r="V2392">
        <v>3.1409039999999999E-2</v>
      </c>
      <c r="W2392">
        <v>1.7871209999999998E-2</v>
      </c>
      <c r="X2392">
        <v>0.99934690000000004</v>
      </c>
      <c r="Y2392">
        <v>5.2938800000000001E-2</v>
      </c>
      <c r="Z2392" s="1">
        <v>-7.4813000000000004E-5</v>
      </c>
      <c r="AA2392">
        <v>0.99859770000000003</v>
      </c>
      <c r="AB2392">
        <v>24</v>
      </c>
      <c r="AC2392">
        <v>-60.883600000000001</v>
      </c>
      <c r="AD2392">
        <v>-1.1106808024629999</v>
      </c>
      <c r="AE2392">
        <v>5.11270000000001</v>
      </c>
      <c r="AF2392">
        <v>3.2457862643844599</v>
      </c>
      <c r="AG2392">
        <v>-1.1106808024629999</v>
      </c>
      <c r="AH2392">
        <v>60.991403661054299</v>
      </c>
      <c r="AI2392">
        <v>91.041792675845002</v>
      </c>
      <c r="AJ2392">
        <v>86.953757719957693</v>
      </c>
      <c r="AK2392">
        <v>61.087806155277001</v>
      </c>
      <c r="AL2392">
        <v>88.976000648621707</v>
      </c>
      <c r="AM2392">
        <v>88.199811075773397</v>
      </c>
      <c r="AN2392">
        <v>1.0000000672400899</v>
      </c>
    </row>
    <row r="2393" spans="1:40" x14ac:dyDescent="0.25">
      <c r="A2393" t="str">
        <f>"20190312154302753"</f>
        <v>20190312154302753</v>
      </c>
      <c r="B2393" t="str">
        <f>"1552376582750163"</f>
        <v>1552376582750163</v>
      </c>
      <c r="C2393" t="s">
        <v>40</v>
      </c>
      <c r="D2393">
        <v>4.4902860000000002</v>
      </c>
      <c r="E2393">
        <v>0.50882829999999901</v>
      </c>
      <c r="F2393" t="s">
        <v>49</v>
      </c>
      <c r="G2393">
        <v>-492.60359999999997</v>
      </c>
      <c r="H2393" s="1">
        <v>3.9058330000000002E-6</v>
      </c>
      <c r="I2393">
        <v>289.22680000000003</v>
      </c>
      <c r="J2393">
        <v>-430.25330000000002</v>
      </c>
      <c r="K2393">
        <v>1.11069</v>
      </c>
      <c r="L2393">
        <v>283.99189999999999</v>
      </c>
      <c r="M2393">
        <v>-0.9994402</v>
      </c>
      <c r="N2393">
        <v>0</v>
      </c>
      <c r="O2393">
        <v>3.04928E-2</v>
      </c>
      <c r="P2393">
        <v>-0.99807330000000005</v>
      </c>
      <c r="Q2393">
        <v>4.2700079999999996E-3</v>
      </c>
      <c r="R2393">
        <v>6.190093E-2</v>
      </c>
      <c r="S2393">
        <v>-2.9904480000000002</v>
      </c>
      <c r="T2393">
        <v>-5.3064939999999998E-2</v>
      </c>
      <c r="U2393">
        <v>0.25045780000000001</v>
      </c>
      <c r="V2393">
        <v>3.1432500000000002E-2</v>
      </c>
      <c r="W2393">
        <v>1.80395E-2</v>
      </c>
      <c r="X2393">
        <v>0.99934310000000004</v>
      </c>
      <c r="Y2393">
        <v>5.3028760000000001E-2</v>
      </c>
      <c r="Z2393" s="1">
        <v>-7.0283740000000002E-5</v>
      </c>
      <c r="AA2393">
        <v>0.99859299999999995</v>
      </c>
      <c r="AB2393">
        <v>24</v>
      </c>
      <c r="AC2393">
        <v>-62.350299999999898</v>
      </c>
      <c r="AD2393">
        <v>-1.110686094167</v>
      </c>
      <c r="AE2393">
        <v>5.2349000000000396</v>
      </c>
      <c r="AF2393">
        <v>3.3300005678697802</v>
      </c>
      <c r="AG2393">
        <v>-1.110686094167</v>
      </c>
      <c r="AH2393">
        <v>62.461260816528998</v>
      </c>
      <c r="AI2393">
        <v>91.017281774249398</v>
      </c>
      <c r="AJ2393">
        <v>86.948276113723395</v>
      </c>
      <c r="AK2393">
        <v>62.559824409698102</v>
      </c>
      <c r="AL2393">
        <v>88.966356747855599</v>
      </c>
      <c r="AM2393">
        <v>88.198460520863506</v>
      </c>
      <c r="AN2393">
        <v>1.0000000285670501</v>
      </c>
    </row>
    <row r="2394" spans="1:40" x14ac:dyDescent="0.25">
      <c r="A2394" t="str">
        <f>"20190312154302775"</f>
        <v>20190312154302775</v>
      </c>
      <c r="B2394" t="str">
        <f>"1552376582769682"</f>
        <v>1552376582769682</v>
      </c>
      <c r="C2394" t="s">
        <v>40</v>
      </c>
      <c r="D2394">
        <v>4.5029640000000004</v>
      </c>
      <c r="E2394">
        <v>0.5090595</v>
      </c>
      <c r="F2394" t="s">
        <v>49</v>
      </c>
      <c r="G2394">
        <v>-494.02850000000001</v>
      </c>
      <c r="H2394" s="1">
        <v>3.6680860000000001E-6</v>
      </c>
      <c r="I2394">
        <v>289.39850000000001</v>
      </c>
      <c r="J2394">
        <v>-430.48950000000002</v>
      </c>
      <c r="K2394">
        <v>1.110689</v>
      </c>
      <c r="L2394">
        <v>283.99900000000002</v>
      </c>
      <c r="M2394">
        <v>-0.99944359999999999</v>
      </c>
      <c r="N2394">
        <v>0</v>
      </c>
      <c r="O2394">
        <v>3.0384660000000001E-2</v>
      </c>
      <c r="P2394">
        <v>-0.9981006</v>
      </c>
      <c r="Q2394">
        <v>3.9802789999999998E-3</v>
      </c>
      <c r="R2394">
        <v>6.1477860000000002E-2</v>
      </c>
      <c r="S2394">
        <v>-2.990326</v>
      </c>
      <c r="T2394">
        <v>-5.2078489999999998E-2</v>
      </c>
      <c r="U2394">
        <v>0.2535095</v>
      </c>
      <c r="V2394">
        <v>3.1117189999999999E-2</v>
      </c>
      <c r="W2394">
        <v>1.7746769999999999E-2</v>
      </c>
      <c r="X2394">
        <v>0.99935819999999997</v>
      </c>
      <c r="Y2394">
        <v>5.4152029999999997E-2</v>
      </c>
      <c r="Z2394" s="1">
        <v>-5.7333990000000003E-5</v>
      </c>
      <c r="AA2394">
        <v>0.99853270000000005</v>
      </c>
      <c r="AB2394">
        <v>24</v>
      </c>
      <c r="AC2394">
        <v>-63.538999999999902</v>
      </c>
      <c r="AD2394">
        <v>-1.110685331914</v>
      </c>
      <c r="AE2394">
        <v>5.3994999999999802</v>
      </c>
      <c r="AF2394">
        <v>3.46516159959533</v>
      </c>
      <c r="AG2394">
        <v>-1.110685331914</v>
      </c>
      <c r="AH2394">
        <v>63.6544236861263</v>
      </c>
      <c r="AI2394">
        <v>90.998156405185796</v>
      </c>
      <c r="AJ2394">
        <v>86.884059980062503</v>
      </c>
      <c r="AK2394">
        <v>63.758345505751002</v>
      </c>
      <c r="AL2394">
        <v>88.983131617460998</v>
      </c>
      <c r="AM2394">
        <v>88.216547570573198</v>
      </c>
      <c r="AN2394">
        <v>1.0000000196330801</v>
      </c>
    </row>
    <row r="2395" spans="1:40" x14ac:dyDescent="0.25">
      <c r="A2395" t="str">
        <f>"20190312154302797"</f>
        <v>20190312154302797</v>
      </c>
      <c r="B2395" t="str">
        <f>"1552376582790182"</f>
        <v>1552376582790182</v>
      </c>
      <c r="C2395" t="s">
        <v>40</v>
      </c>
      <c r="D2395">
        <v>4.529776</v>
      </c>
      <c r="E2395">
        <v>0.50927169999999999</v>
      </c>
      <c r="F2395" t="s">
        <v>49</v>
      </c>
      <c r="G2395">
        <v>-493.41840000000002</v>
      </c>
      <c r="H2395" s="1">
        <v>3.7717919999999998E-6</v>
      </c>
      <c r="I2395">
        <v>289.34679999999997</v>
      </c>
      <c r="J2395">
        <v>-430.72699999999998</v>
      </c>
      <c r="K2395">
        <v>1.1106879999999999</v>
      </c>
      <c r="L2395">
        <v>284.0061</v>
      </c>
      <c r="M2395">
        <v>-0.99944670000000002</v>
      </c>
      <c r="N2395">
        <v>0</v>
      </c>
      <c r="O2395">
        <v>3.0275920000000001E-2</v>
      </c>
      <c r="P2395">
        <v>-0.99812610000000002</v>
      </c>
      <c r="Q2395">
        <v>3.8155340000000002E-3</v>
      </c>
      <c r="R2395">
        <v>6.1070470000000002E-2</v>
      </c>
      <c r="S2395">
        <v>-2.990265</v>
      </c>
      <c r="T2395">
        <v>-5.2777770000000002E-2</v>
      </c>
      <c r="U2395">
        <v>0.25411990000000001</v>
      </c>
      <c r="V2395">
        <v>3.0817830000000001E-2</v>
      </c>
      <c r="W2395">
        <v>1.7579910000000001E-2</v>
      </c>
      <c r="X2395">
        <v>0.99937039999999999</v>
      </c>
      <c r="Y2395">
        <v>5.4464560000000002E-2</v>
      </c>
      <c r="Z2395" s="1">
        <v>-5.3437309999999998E-5</v>
      </c>
      <c r="AA2395">
        <v>0.99851570000000001</v>
      </c>
      <c r="AB2395">
        <v>24</v>
      </c>
      <c r="AC2395">
        <v>-62.691400000000002</v>
      </c>
      <c r="AD2395">
        <v>-1.1106842282079901</v>
      </c>
      <c r="AE2395">
        <v>5.3406999999999698</v>
      </c>
      <c r="AF2395">
        <v>3.4389597702187</v>
      </c>
      <c r="AG2395">
        <v>-1.1106842282079901</v>
      </c>
      <c r="AH2395">
        <v>62.804794243914003</v>
      </c>
      <c r="AI2395">
        <v>91.011638194496101</v>
      </c>
      <c r="AJ2395">
        <v>86.865823487944695</v>
      </c>
      <c r="AK2395">
        <v>62.908681783807403</v>
      </c>
      <c r="AL2395">
        <v>88.992693457107407</v>
      </c>
      <c r="AM2395">
        <v>88.233715734610698</v>
      </c>
      <c r="AN2395">
        <v>0.999999994138838</v>
      </c>
    </row>
    <row r="2396" spans="1:40" x14ac:dyDescent="0.25">
      <c r="A2396" t="str">
        <f>"20190312154302819"</f>
        <v>20190312154302819</v>
      </c>
      <c r="B2396" t="str">
        <f>"1552376582809699"</f>
        <v>1552376582809699</v>
      </c>
      <c r="C2396" t="s">
        <v>40</v>
      </c>
      <c r="D2396">
        <v>4.5470360000000003</v>
      </c>
      <c r="E2396">
        <v>0.50944860000000003</v>
      </c>
      <c r="F2396" t="s">
        <v>49</v>
      </c>
      <c r="G2396">
        <v>-493.13069999999999</v>
      </c>
      <c r="H2396" s="1">
        <v>3.820496E-6</v>
      </c>
      <c r="I2396">
        <v>289.3202</v>
      </c>
      <c r="J2396">
        <v>-430.9545</v>
      </c>
      <c r="K2396">
        <v>1.110689</v>
      </c>
      <c r="L2396">
        <v>284.01280000000003</v>
      </c>
      <c r="M2396">
        <v>-0.99945010000000001</v>
      </c>
      <c r="N2396">
        <v>0</v>
      </c>
      <c r="O2396">
        <v>3.017123E-2</v>
      </c>
      <c r="P2396">
        <v>-0.9981312</v>
      </c>
      <c r="Q2396">
        <v>4.1662640000000003E-3</v>
      </c>
      <c r="R2396">
        <v>6.0968759999999997E-2</v>
      </c>
      <c r="S2396">
        <v>-2.9902340000000001</v>
      </c>
      <c r="T2396">
        <v>-5.3221339999999999E-2</v>
      </c>
      <c r="U2396">
        <v>0.2546387</v>
      </c>
      <c r="V2396">
        <v>3.0820920000000002E-2</v>
      </c>
      <c r="W2396">
        <v>1.7927470000000001E-2</v>
      </c>
      <c r="X2396">
        <v>0.99936409999999998</v>
      </c>
      <c r="Y2396">
        <v>5.4741900000000003E-2</v>
      </c>
      <c r="Z2396" s="1">
        <v>-4.9564490000000002E-5</v>
      </c>
      <c r="AA2396">
        <v>0.99850050000000001</v>
      </c>
      <c r="AB2396">
        <v>24</v>
      </c>
      <c r="AC2396">
        <v>-62.176200000000001</v>
      </c>
      <c r="AD2396">
        <v>-1.110685179504</v>
      </c>
      <c r="AE2396">
        <v>5.3073999999999701</v>
      </c>
      <c r="AF2396">
        <v>3.4277874956532801</v>
      </c>
      <c r="AG2396">
        <v>-1.110685179504</v>
      </c>
      <c r="AH2396">
        <v>62.288301814026902</v>
      </c>
      <c r="AI2396">
        <v>91.020010441390596</v>
      </c>
      <c r="AJ2396">
        <v>86.850133129025707</v>
      </c>
      <c r="AK2396">
        <v>62.392434569895002</v>
      </c>
      <c r="AL2396">
        <v>88.972776565545004</v>
      </c>
      <c r="AM2396">
        <v>88.233527618703405</v>
      </c>
      <c r="AN2396">
        <v>0.99999996382952805</v>
      </c>
    </row>
    <row r="2397" spans="1:40" x14ac:dyDescent="0.25">
      <c r="A2397" t="str">
        <f>"20190312154302842"</f>
        <v>20190312154302842</v>
      </c>
      <c r="B2397" t="str">
        <f>"1552376582830195"</f>
        <v>1552376582830195</v>
      </c>
      <c r="C2397" t="s">
        <v>40</v>
      </c>
      <c r="D2397">
        <v>4.5376669999999999</v>
      </c>
      <c r="E2397">
        <v>0.50964520000000002</v>
      </c>
      <c r="F2397" t="s">
        <v>49</v>
      </c>
      <c r="G2397">
        <v>-493.98939999999999</v>
      </c>
      <c r="H2397" s="1">
        <v>3.6752610000000002E-6</v>
      </c>
      <c r="I2397">
        <v>289.40129999999999</v>
      </c>
      <c r="J2397">
        <v>-431.19229999999999</v>
      </c>
      <c r="K2397">
        <v>1.1106959999999999</v>
      </c>
      <c r="L2397">
        <v>284.01990000000001</v>
      </c>
      <c r="M2397">
        <v>-0.99945340000000005</v>
      </c>
      <c r="N2397">
        <v>0</v>
      </c>
      <c r="O2397">
        <v>3.0061350000000001E-2</v>
      </c>
      <c r="P2397">
        <v>-0.99814250000000004</v>
      </c>
      <c r="Q2397">
        <v>4.0939619999999996E-3</v>
      </c>
      <c r="R2397">
        <v>6.0785659999999998E-2</v>
      </c>
      <c r="S2397">
        <v>-2.9902039999999999</v>
      </c>
      <c r="T2397">
        <v>-5.2687879999999999E-2</v>
      </c>
      <c r="U2397">
        <v>0.25561519999999999</v>
      </c>
      <c r="V2397">
        <v>3.074731E-2</v>
      </c>
      <c r="W2397">
        <v>1.7853089999999999E-2</v>
      </c>
      <c r="X2397">
        <v>0.99936769999999997</v>
      </c>
      <c r="Y2397">
        <v>5.5176259999999998E-2</v>
      </c>
      <c r="Z2397" s="1">
        <v>-4.3316689999999997E-5</v>
      </c>
      <c r="AA2397">
        <v>0.99847660000000005</v>
      </c>
      <c r="AB2397">
        <v>24</v>
      </c>
      <c r="AC2397">
        <v>-62.7971</v>
      </c>
      <c r="AD2397">
        <v>-1.1106923247389999</v>
      </c>
      <c r="AE2397">
        <v>5.3813999999999798</v>
      </c>
      <c r="AF2397">
        <v>3.4899394211883599</v>
      </c>
      <c r="AG2397">
        <v>-1.1106923247389999</v>
      </c>
      <c r="AH2397">
        <v>62.9109643159792</v>
      </c>
      <c r="AI2397">
        <v>91.009898811194901</v>
      </c>
      <c r="AJ2397">
        <v>86.824813252570706</v>
      </c>
      <c r="AK2397">
        <v>63.0174796843718</v>
      </c>
      <c r="AL2397">
        <v>88.977038908985193</v>
      </c>
      <c r="AM2397">
        <v>88.237750188164597</v>
      </c>
      <c r="AN2397">
        <v>0.99999996484903597</v>
      </c>
    </row>
    <row r="2398" spans="1:40" x14ac:dyDescent="0.25">
      <c r="A2398" t="str">
        <f>"20190312154302865"</f>
        <v>20190312154302865</v>
      </c>
      <c r="B2398" t="str">
        <f>"1552376582859474"</f>
        <v>1552376582859474</v>
      </c>
      <c r="C2398" t="s">
        <v>40</v>
      </c>
      <c r="D2398">
        <v>4.5315000000000003</v>
      </c>
      <c r="E2398">
        <v>0.509907</v>
      </c>
      <c r="F2398" t="s">
        <v>49</v>
      </c>
      <c r="G2398">
        <v>-492.99829999999997</v>
      </c>
      <c r="H2398" s="1">
        <v>3.8441600000000001E-6</v>
      </c>
      <c r="I2398">
        <v>289.32240000000002</v>
      </c>
      <c r="J2398">
        <v>-431.43</v>
      </c>
      <c r="K2398">
        <v>1.110698</v>
      </c>
      <c r="L2398">
        <v>284.02690000000001</v>
      </c>
      <c r="M2398">
        <v>-0.99945669999999998</v>
      </c>
      <c r="N2398">
        <v>0</v>
      </c>
      <c r="O2398">
        <v>2.995082E-2</v>
      </c>
      <c r="P2398">
        <v>-0.99812330000000005</v>
      </c>
      <c r="Q2398">
        <v>4.235847E-3</v>
      </c>
      <c r="R2398">
        <v>6.1089780000000003E-2</v>
      </c>
      <c r="S2398">
        <v>-2.9901430000000002</v>
      </c>
      <c r="T2398">
        <v>-5.3734659999999997E-2</v>
      </c>
      <c r="U2398">
        <v>0.2565308</v>
      </c>
      <c r="V2398">
        <v>3.1162510000000001E-2</v>
      </c>
      <c r="W2398">
        <v>1.799183E-2</v>
      </c>
      <c r="X2398">
        <v>0.99935240000000003</v>
      </c>
      <c r="Y2398">
        <v>5.5591670000000003E-2</v>
      </c>
      <c r="Z2398" s="1">
        <v>-3.8470670000000002E-5</v>
      </c>
      <c r="AA2398">
        <v>0.99845360000000005</v>
      </c>
      <c r="AB2398">
        <v>24</v>
      </c>
      <c r="AC2398">
        <v>-61.568299999999901</v>
      </c>
      <c r="AD2398">
        <v>-1.1106941558400001</v>
      </c>
      <c r="AE2398">
        <v>5.2954999999999997</v>
      </c>
      <c r="AF2398">
        <v>3.44781443312747</v>
      </c>
      <c r="AG2398">
        <v>-1.1106941558400001</v>
      </c>
      <c r="AH2398">
        <v>61.679367480858403</v>
      </c>
      <c r="AI2398">
        <v>91.030037309716903</v>
      </c>
      <c r="AJ2398">
        <v>86.800553374828596</v>
      </c>
      <c r="AK2398">
        <v>61.7856410399041</v>
      </c>
      <c r="AL2398">
        <v>88.969088465586694</v>
      </c>
      <c r="AM2398">
        <v>88.213941419518804</v>
      </c>
      <c r="AN2398">
        <v>1.0000000136810001</v>
      </c>
    </row>
    <row r="2399" spans="1:40" x14ac:dyDescent="0.25">
      <c r="A2399" t="str">
        <f>"20190312154302887"</f>
        <v>20190312154302887</v>
      </c>
      <c r="B2399" t="str">
        <f>"1552376582879972"</f>
        <v>1552376582879972</v>
      </c>
      <c r="C2399" t="s">
        <v>40</v>
      </c>
      <c r="D2399">
        <v>4.5759749999999997</v>
      </c>
      <c r="E2399">
        <v>0.51003969999999998</v>
      </c>
      <c r="F2399" t="s">
        <v>49</v>
      </c>
      <c r="G2399">
        <v>-493.26420000000002</v>
      </c>
      <c r="H2399" s="1">
        <v>3.803365E-6</v>
      </c>
      <c r="I2399">
        <v>289.39510000000001</v>
      </c>
      <c r="J2399">
        <v>-431.666</v>
      </c>
      <c r="K2399">
        <v>1.110695</v>
      </c>
      <c r="L2399">
        <v>284.03379999999999</v>
      </c>
      <c r="M2399">
        <v>-0.99946000000000002</v>
      </c>
      <c r="N2399">
        <v>0</v>
      </c>
      <c r="O2399">
        <v>2.9840749999999999E-2</v>
      </c>
      <c r="P2399">
        <v>-0.99811519999999998</v>
      </c>
      <c r="Q2399">
        <v>4.110102E-3</v>
      </c>
      <c r="R2399">
        <v>6.123029E-2</v>
      </c>
      <c r="S2399">
        <v>-2.9899900000000001</v>
      </c>
      <c r="T2399">
        <v>-5.3707600000000001E-2</v>
      </c>
      <c r="U2399">
        <v>0.25958249999999999</v>
      </c>
      <c r="V2399">
        <v>3.141331E-2</v>
      </c>
      <c r="W2399">
        <v>1.786358E-2</v>
      </c>
      <c r="X2399">
        <v>0.99934690000000004</v>
      </c>
      <c r="Y2399">
        <v>5.671727E-2</v>
      </c>
      <c r="Z2399" s="1">
        <v>-2.6388679999999999E-5</v>
      </c>
      <c r="AA2399">
        <v>0.99839029999999995</v>
      </c>
      <c r="AB2399">
        <v>24</v>
      </c>
      <c r="AC2399">
        <v>-61.598199999999999</v>
      </c>
      <c r="AD2399">
        <v>-1.1106911966349999</v>
      </c>
      <c r="AE2399">
        <v>5.3613000000000204</v>
      </c>
      <c r="AF2399">
        <v>3.51946587905354</v>
      </c>
      <c r="AG2399">
        <v>-1.1106911966349999</v>
      </c>
      <c r="AH2399">
        <v>61.710850461525702</v>
      </c>
      <c r="AI2399">
        <v>91.029443574852806</v>
      </c>
      <c r="AJ2399">
        <v>86.735868396424095</v>
      </c>
      <c r="AK2399">
        <v>61.821107557960303</v>
      </c>
      <c r="AL2399">
        <v>88.976437882933396</v>
      </c>
      <c r="AM2399">
        <v>88.199566504532299</v>
      </c>
      <c r="AN2399">
        <v>1.00000006503758</v>
      </c>
    </row>
    <row r="2400" spans="1:40" x14ac:dyDescent="0.25">
      <c r="A2400" t="str">
        <f>"20190312154302910"</f>
        <v>20190312154302910</v>
      </c>
      <c r="B2400" t="str">
        <f>"1552376582899490"</f>
        <v>1552376582899490</v>
      </c>
      <c r="C2400" t="s">
        <v>40</v>
      </c>
      <c r="D2400">
        <v>4.5661360000000002</v>
      </c>
      <c r="E2400">
        <v>0.51019029999999999</v>
      </c>
      <c r="F2400" t="s">
        <v>49</v>
      </c>
      <c r="G2400">
        <v>-492.42959999999999</v>
      </c>
      <c r="H2400" s="1">
        <v>3.946559E-6</v>
      </c>
      <c r="I2400">
        <v>289.33969999999999</v>
      </c>
      <c r="J2400">
        <v>-431.90129999999999</v>
      </c>
      <c r="K2400">
        <v>1.110698</v>
      </c>
      <c r="L2400">
        <v>284.04070000000002</v>
      </c>
      <c r="M2400">
        <v>-0.99946330000000005</v>
      </c>
      <c r="N2400">
        <v>0</v>
      </c>
      <c r="O2400">
        <v>2.9730329999999999E-2</v>
      </c>
      <c r="P2400">
        <v>-0.99812869999999998</v>
      </c>
      <c r="Q2400">
        <v>4.3236259999999997E-3</v>
      </c>
      <c r="R2400">
        <v>6.0997549999999998E-2</v>
      </c>
      <c r="S2400">
        <v>-2.9898989999999999</v>
      </c>
      <c r="T2400">
        <v>-5.4651980000000003E-2</v>
      </c>
      <c r="U2400">
        <v>0.26107789999999997</v>
      </c>
      <c r="V2400">
        <v>3.1290650000000003E-2</v>
      </c>
      <c r="W2400">
        <v>1.807431E-2</v>
      </c>
      <c r="X2400">
        <v>0.99934690000000004</v>
      </c>
      <c r="Y2400">
        <v>5.7325500000000001E-2</v>
      </c>
      <c r="Z2400" s="1">
        <v>-1.9291420000000001E-5</v>
      </c>
      <c r="AA2400">
        <v>0.99835560000000001</v>
      </c>
      <c r="AB2400">
        <v>23</v>
      </c>
      <c r="AC2400">
        <v>-60.528300000000002</v>
      </c>
      <c r="AD2400">
        <v>-1.1106940534409999</v>
      </c>
      <c r="AE2400">
        <v>5.2989999999999702</v>
      </c>
      <c r="AF2400">
        <v>3.4957923971172602</v>
      </c>
      <c r="AG2400">
        <v>-1.1106940534409999</v>
      </c>
      <c r="AH2400">
        <v>60.638831543822597</v>
      </c>
      <c r="AI2400">
        <v>91.047604541689694</v>
      </c>
      <c r="AJ2400">
        <v>86.7005844721415</v>
      </c>
      <c r="AK2400">
        <v>60.749667462169597</v>
      </c>
      <c r="AL2400">
        <v>88.964361933224097</v>
      </c>
      <c r="AM2400">
        <v>88.206592082961905</v>
      </c>
      <c r="AN2400">
        <v>1.0000000059995</v>
      </c>
    </row>
    <row r="2401" spans="1:40" x14ac:dyDescent="0.25">
      <c r="A2401" t="str">
        <f>"20190312154302931"</f>
        <v>20190312154302931</v>
      </c>
      <c r="B2401" t="str">
        <f>"1552376582919986"</f>
        <v>1552376582919986</v>
      </c>
      <c r="C2401" t="s">
        <v>40</v>
      </c>
      <c r="D2401">
        <v>4.5864240000000001</v>
      </c>
      <c r="E2401">
        <v>0.51030159999999902</v>
      </c>
      <c r="F2401" t="s">
        <v>49</v>
      </c>
      <c r="G2401">
        <v>-493.34370000000001</v>
      </c>
      <c r="H2401" s="1">
        <v>3.791185E-6</v>
      </c>
      <c r="I2401">
        <v>289.4171</v>
      </c>
      <c r="J2401">
        <v>-432.12560000000002</v>
      </c>
      <c r="K2401">
        <v>1.110697</v>
      </c>
      <c r="L2401">
        <v>284.04719999999998</v>
      </c>
      <c r="M2401">
        <v>-0.99946650000000004</v>
      </c>
      <c r="N2401">
        <v>0</v>
      </c>
      <c r="O2401">
        <v>2.962557E-2</v>
      </c>
      <c r="P2401">
        <v>-0.99814309999999995</v>
      </c>
      <c r="Q2401">
        <v>5.1659590000000003E-3</v>
      </c>
      <c r="R2401">
        <v>6.0694240000000003E-2</v>
      </c>
      <c r="S2401">
        <v>-2.9898989999999999</v>
      </c>
      <c r="T2401">
        <v>-5.404842E-2</v>
      </c>
      <c r="U2401">
        <v>0.2616272</v>
      </c>
      <c r="V2401">
        <v>3.1091629999999999E-2</v>
      </c>
      <c r="W2401">
        <v>1.891435E-2</v>
      </c>
      <c r="X2401">
        <v>0.99933760000000005</v>
      </c>
      <c r="Y2401">
        <v>5.7612219999999999E-2</v>
      </c>
      <c r="Z2401" s="1">
        <v>-1.4603079999999999E-5</v>
      </c>
      <c r="AA2401">
        <v>0.99833910000000003</v>
      </c>
      <c r="AB2401">
        <v>23</v>
      </c>
      <c r="AC2401">
        <v>-61.2180999999999</v>
      </c>
      <c r="AD2401">
        <v>-1.1106932088150001</v>
      </c>
      <c r="AE2401">
        <v>5.3699000000000296</v>
      </c>
      <c r="AF2401">
        <v>3.5525894706930701</v>
      </c>
      <c r="AG2401">
        <v>-1.1106932088150001</v>
      </c>
      <c r="AH2401">
        <v>61.330291302834603</v>
      </c>
      <c r="AI2401">
        <v>91.035778802713807</v>
      </c>
      <c r="AJ2401">
        <v>86.684816326418996</v>
      </c>
      <c r="AK2401">
        <v>61.443137636695702</v>
      </c>
      <c r="AL2401">
        <v>88.916222989357806</v>
      </c>
      <c r="AM2401">
        <v>88.2179748633759</v>
      </c>
      <c r="AN2401">
        <v>1.0000000404328599</v>
      </c>
    </row>
    <row r="2402" spans="1:40" x14ac:dyDescent="0.25">
      <c r="A2402" t="str">
        <f>"20190312154302954"</f>
        <v>20190312154302954</v>
      </c>
      <c r="B2402" t="str">
        <f>"1552376582950243"</f>
        <v>1552376582950243</v>
      </c>
      <c r="C2402" t="s">
        <v>40</v>
      </c>
      <c r="D2402">
        <v>4.6483150000000002</v>
      </c>
      <c r="E2402">
        <v>0.51043620000000001</v>
      </c>
      <c r="F2402" t="s">
        <v>49</v>
      </c>
      <c r="G2402">
        <v>-496.0899</v>
      </c>
      <c r="H2402" s="1">
        <v>3.3315990000000002E-6</v>
      </c>
      <c r="I2402">
        <v>289.64499999999998</v>
      </c>
      <c r="J2402">
        <v>-432.36040000000003</v>
      </c>
      <c r="K2402">
        <v>1.110695</v>
      </c>
      <c r="L2402">
        <v>284.05410000000001</v>
      </c>
      <c r="M2402">
        <v>-0.99946979999999996</v>
      </c>
      <c r="N2402">
        <v>0</v>
      </c>
      <c r="O2402">
        <v>2.9515980000000001E-2</v>
      </c>
      <c r="P2402">
        <v>-0.99817929999999999</v>
      </c>
      <c r="Q2402">
        <v>4.9988569999999998E-3</v>
      </c>
      <c r="R2402">
        <v>6.0109280000000001E-2</v>
      </c>
      <c r="S2402">
        <v>-2.9898989999999999</v>
      </c>
      <c r="T2402">
        <v>-5.1917430000000001E-2</v>
      </c>
      <c r="U2402">
        <v>0.26165769999999999</v>
      </c>
      <c r="V2402">
        <v>3.0615449999999999E-2</v>
      </c>
      <c r="W2402">
        <v>1.8745109999999999E-2</v>
      </c>
      <c r="X2402">
        <v>0.9993554</v>
      </c>
      <c r="Y2402">
        <v>5.7732119999999998E-2</v>
      </c>
      <c r="Z2402" s="1">
        <v>-1.1090999999999999E-5</v>
      </c>
      <c r="AA2402">
        <v>0.99833209999999994</v>
      </c>
      <c r="AB2402">
        <v>23</v>
      </c>
      <c r="AC2402">
        <v>-63.729499999999902</v>
      </c>
      <c r="AD2402">
        <v>-1.110691668401</v>
      </c>
      <c r="AE2402">
        <v>5.5908999999999702</v>
      </c>
      <c r="AF2402">
        <v>3.70613015855966</v>
      </c>
      <c r="AG2402">
        <v>-1.110691668401</v>
      </c>
      <c r="AH2402">
        <v>63.847519728128702</v>
      </c>
      <c r="AI2402">
        <v>90.994942613793597</v>
      </c>
      <c r="AJ2402">
        <v>86.677903770114398</v>
      </c>
      <c r="AK2402">
        <v>63.964637200317298</v>
      </c>
      <c r="AL2402">
        <v>88.925921349281893</v>
      </c>
      <c r="AM2402">
        <v>88.245281287813</v>
      </c>
      <c r="AN2402">
        <v>0.99999995021838595</v>
      </c>
    </row>
    <row r="2403" spans="1:40" x14ac:dyDescent="0.25">
      <c r="A2403" t="str">
        <f>"20190312154302976"</f>
        <v>20190312154302976</v>
      </c>
      <c r="B2403" t="str">
        <f>"1552376582969762"</f>
        <v>1552376582969762</v>
      </c>
      <c r="C2403" t="s">
        <v>40</v>
      </c>
      <c r="D2403">
        <v>4.6061170000000002</v>
      </c>
      <c r="E2403">
        <v>0.51054509999999997</v>
      </c>
      <c r="F2403" t="s">
        <v>49</v>
      </c>
      <c r="G2403">
        <v>-494.83789999999999</v>
      </c>
      <c r="H2403" s="1">
        <v>3.533933E-6</v>
      </c>
      <c r="I2403">
        <v>289.50619999999998</v>
      </c>
      <c r="J2403">
        <v>-432.59609999999998</v>
      </c>
      <c r="K2403">
        <v>1.1106910000000001</v>
      </c>
      <c r="L2403">
        <v>284.0609</v>
      </c>
      <c r="M2403">
        <v>-0.99947299999999994</v>
      </c>
      <c r="N2403">
        <v>0</v>
      </c>
      <c r="O2403">
        <v>2.9405919999999999E-2</v>
      </c>
      <c r="P2403">
        <v>-0.99818739999999995</v>
      </c>
      <c r="Q2403">
        <v>4.8474390000000003E-3</v>
      </c>
      <c r="R2403">
        <v>5.998618E-2</v>
      </c>
      <c r="S2403">
        <v>-2.990021</v>
      </c>
      <c r="T2403">
        <v>-5.3155059999999997E-2</v>
      </c>
      <c r="U2403">
        <v>0.26092530000000003</v>
      </c>
      <c r="V2403">
        <v>3.0602299999999898E-2</v>
      </c>
      <c r="W2403">
        <v>1.8591110000000001E-2</v>
      </c>
      <c r="X2403">
        <v>0.99935870000000004</v>
      </c>
      <c r="Y2403">
        <v>5.7595630000000002E-2</v>
      </c>
      <c r="Z2403" s="1">
        <v>-1.0615269999999999E-5</v>
      </c>
      <c r="AA2403">
        <v>0.99834000000000001</v>
      </c>
      <c r="AB2403">
        <v>23</v>
      </c>
      <c r="AC2403">
        <v>-62.241799999999998</v>
      </c>
      <c r="AD2403">
        <v>-1.1106874660670001</v>
      </c>
      <c r="AE2403">
        <v>5.4452999999999703</v>
      </c>
      <c r="AF2403">
        <v>3.6113531150474598</v>
      </c>
      <c r="AG2403">
        <v>-1.1106874660670001</v>
      </c>
      <c r="AH2403">
        <v>62.355312554392</v>
      </c>
      <c r="AI2403">
        <v>91.018751190210594</v>
      </c>
      <c r="AJ2403">
        <v>86.685376103506997</v>
      </c>
      <c r="AK2403">
        <v>62.469676657757397</v>
      </c>
      <c r="AL2403">
        <v>88.934746459495003</v>
      </c>
      <c r="AM2403">
        <v>88.246040294872799</v>
      </c>
      <c r="AN2403">
        <v>0.99999997070100499</v>
      </c>
    </row>
    <row r="2404" spans="1:40" x14ac:dyDescent="0.25">
      <c r="A2404" t="str">
        <f>"20190312154302998"</f>
        <v>20190312154302998</v>
      </c>
      <c r="B2404" t="str">
        <f>"1552376582990258"</f>
        <v>1552376582990258</v>
      </c>
      <c r="C2404" t="s">
        <v>40</v>
      </c>
      <c r="D2404">
        <v>4.6108060000000002</v>
      </c>
      <c r="E2404">
        <v>0.51064149999999997</v>
      </c>
      <c r="F2404" t="s">
        <v>49</v>
      </c>
      <c r="G2404">
        <v>-494.18849999999998</v>
      </c>
      <c r="H2404" s="1">
        <v>3.64401E-6</v>
      </c>
      <c r="I2404">
        <v>289.44779999999997</v>
      </c>
      <c r="J2404">
        <v>-432.82749999999999</v>
      </c>
      <c r="K2404">
        <v>1.1106910000000001</v>
      </c>
      <c r="L2404">
        <v>284.06760000000003</v>
      </c>
      <c r="M2404">
        <v>-0.99947629999999998</v>
      </c>
      <c r="N2404">
        <v>0</v>
      </c>
      <c r="O2404">
        <v>2.929812E-2</v>
      </c>
      <c r="P2404">
        <v>-0.9981932</v>
      </c>
      <c r="Q2404">
        <v>4.5712249999999999E-3</v>
      </c>
      <c r="R2404">
        <v>5.9911069999999997E-2</v>
      </c>
      <c r="S2404">
        <v>-2.98996</v>
      </c>
      <c r="T2404">
        <v>-5.3917529999999998E-2</v>
      </c>
      <c r="U2404">
        <v>0.26150509999999999</v>
      </c>
      <c r="V2404">
        <v>3.0634789999999999E-2</v>
      </c>
      <c r="W2404">
        <v>1.831269E-2</v>
      </c>
      <c r="X2404">
        <v>0.99936290000000005</v>
      </c>
      <c r="Y2404">
        <v>5.7896999999999997E-2</v>
      </c>
      <c r="Z2404" s="1">
        <v>-6.116752E-6</v>
      </c>
      <c r="AA2404">
        <v>0.9983225</v>
      </c>
      <c r="AB2404">
        <v>23</v>
      </c>
      <c r="AC2404">
        <v>-61.360999999999898</v>
      </c>
      <c r="AD2404">
        <v>-1.1106873559899999</v>
      </c>
      <c r="AE2404">
        <v>5.3801999999999399</v>
      </c>
      <c r="AF2404">
        <v>3.5787946995886299</v>
      </c>
      <c r="AG2404">
        <v>-1.1106873559899999</v>
      </c>
      <c r="AH2404">
        <v>61.472311258984902</v>
      </c>
      <c r="AI2404">
        <v>91.033363422066003</v>
      </c>
      <c r="AJ2404">
        <v>86.668115498646301</v>
      </c>
      <c r="AK2404">
        <v>61.586414487499503</v>
      </c>
      <c r="AL2404">
        <v>88.950701524737596</v>
      </c>
      <c r="AM2404">
        <v>88.244186681861095</v>
      </c>
      <c r="AN2404">
        <v>1.00000002543489</v>
      </c>
    </row>
    <row r="2405" spans="1:40" x14ac:dyDescent="0.25">
      <c r="A2405" t="str">
        <f>"20190312154303020"</f>
        <v>20190312154303020</v>
      </c>
      <c r="B2405" t="str">
        <f>"1552376583009779"</f>
        <v>1552376583009779</v>
      </c>
      <c r="C2405" t="s">
        <v>40</v>
      </c>
      <c r="D2405">
        <v>4.8916199999999996</v>
      </c>
      <c r="E2405">
        <v>0.51076589999999999</v>
      </c>
      <c r="F2405" t="s">
        <v>49</v>
      </c>
      <c r="G2405">
        <v>-492.8682</v>
      </c>
      <c r="H2405" s="1">
        <v>3.8676939999999997E-6</v>
      </c>
      <c r="I2405">
        <v>289.32749999999999</v>
      </c>
      <c r="J2405">
        <v>-433.0566</v>
      </c>
      <c r="K2405">
        <v>1.1106860000000001</v>
      </c>
      <c r="L2405">
        <v>284.07420000000002</v>
      </c>
      <c r="M2405">
        <v>-0.99947940000000002</v>
      </c>
      <c r="N2405">
        <v>0</v>
      </c>
      <c r="O2405">
        <v>2.9191680000000001E-2</v>
      </c>
      <c r="P2405">
        <v>-0.99818359999999995</v>
      </c>
      <c r="Q2405">
        <v>5.0132759999999997E-3</v>
      </c>
      <c r="R2405">
        <v>6.0038599999999998E-2</v>
      </c>
      <c r="S2405">
        <v>-2.98996</v>
      </c>
      <c r="T2405">
        <v>-5.5310959999999999E-2</v>
      </c>
      <c r="U2405">
        <v>0.26193240000000001</v>
      </c>
      <c r="V2405">
        <v>3.0869170000000001E-2</v>
      </c>
      <c r="W2405">
        <v>1.8751779999999999E-2</v>
      </c>
      <c r="X2405">
        <v>0.99934750000000006</v>
      </c>
      <c r="Y2405">
        <v>5.8144580000000001E-2</v>
      </c>
      <c r="Z2405" s="1">
        <v>-2.025801E-6</v>
      </c>
      <c r="AA2405">
        <v>0.99830819999999998</v>
      </c>
      <c r="AB2405">
        <v>23</v>
      </c>
      <c r="AC2405">
        <v>-59.811599999999999</v>
      </c>
      <c r="AD2405">
        <v>-1.1106821323060001</v>
      </c>
      <c r="AE2405">
        <v>5.2532999999999603</v>
      </c>
      <c r="AF2405">
        <v>3.5036959372468099</v>
      </c>
      <c r="AG2405">
        <v>-1.1106821323060001</v>
      </c>
      <c r="AH2405">
        <v>59.918968669840801</v>
      </c>
      <c r="AI2405">
        <v>91.060125598078002</v>
      </c>
      <c r="AJ2405">
        <v>86.653502809907906</v>
      </c>
      <c r="AK2405">
        <v>60.0315942356779</v>
      </c>
      <c r="AL2405">
        <v>88.925539151590598</v>
      </c>
      <c r="AM2405">
        <v>88.230734601177105</v>
      </c>
      <c r="AN2405">
        <v>0.99999998033295301</v>
      </c>
    </row>
    <row r="2406" spans="1:40" x14ac:dyDescent="0.25">
      <c r="A2406" t="str">
        <f>"20190312154303043"</f>
        <v>20190312154303043</v>
      </c>
      <c r="B2406" t="str">
        <f>"1552376583040035"</f>
        <v>1552376583040035</v>
      </c>
      <c r="C2406" t="s">
        <v>40</v>
      </c>
      <c r="D2406">
        <v>4.6669159999999996</v>
      </c>
      <c r="E2406">
        <v>0.51087559999999999</v>
      </c>
      <c r="F2406" t="s">
        <v>49</v>
      </c>
      <c r="G2406">
        <v>-495.03960000000001</v>
      </c>
      <c r="H2406" s="1">
        <v>3.5007429999999999E-6</v>
      </c>
      <c r="I2406">
        <v>289.53579999999999</v>
      </c>
      <c r="J2406">
        <v>-433.28930000000003</v>
      </c>
      <c r="K2406">
        <v>1.110692</v>
      </c>
      <c r="L2406">
        <v>284.08089999999999</v>
      </c>
      <c r="M2406">
        <v>-0.9994826</v>
      </c>
      <c r="N2406">
        <v>0</v>
      </c>
      <c r="O2406">
        <v>2.908376E-2</v>
      </c>
      <c r="P2406">
        <v>-0.99816819999999895</v>
      </c>
      <c r="Q2406">
        <v>5.3646659999999997E-3</v>
      </c>
      <c r="R2406">
        <v>6.0263810000000001E-2</v>
      </c>
      <c r="S2406">
        <v>-2.98996</v>
      </c>
      <c r="T2406">
        <v>-5.357754E-2</v>
      </c>
      <c r="U2406">
        <v>0.26345829999999998</v>
      </c>
      <c r="V2406">
        <v>3.1202609999999999E-2</v>
      </c>
      <c r="W2406">
        <v>1.9100760000000001E-2</v>
      </c>
      <c r="X2406">
        <v>0.99933059999999996</v>
      </c>
      <c r="Y2406">
        <v>5.8758129999999999E-2</v>
      </c>
      <c r="Z2406" s="1">
        <v>5.4530099999999898E-6</v>
      </c>
      <c r="AA2406">
        <v>0.99827220000000005</v>
      </c>
      <c r="AB2406">
        <v>23</v>
      </c>
      <c r="AC2406">
        <v>-61.750299999999903</v>
      </c>
      <c r="AD2406">
        <v>-1.1106884992569901</v>
      </c>
      <c r="AE2406">
        <v>5.4549000000000003</v>
      </c>
      <c r="AF2406">
        <v>3.6553182499483801</v>
      </c>
      <c r="AG2406">
        <v>-1.1106884992569901</v>
      </c>
      <c r="AH2406">
        <v>61.862978123048997</v>
      </c>
      <c r="AI2406">
        <v>91.026787989016597</v>
      </c>
      <c r="AJ2406">
        <v>86.618476985820394</v>
      </c>
      <c r="AK2406">
        <v>61.980828025314601</v>
      </c>
      <c r="AL2406">
        <v>88.905540558626598</v>
      </c>
      <c r="AM2406">
        <v>88.211605619174193</v>
      </c>
      <c r="AN2406">
        <v>1.0000000449998701</v>
      </c>
    </row>
    <row r="2407" spans="1:40" x14ac:dyDescent="0.25">
      <c r="A2407" t="str">
        <f>"20190312154303066"</f>
        <v>20190312154303066</v>
      </c>
      <c r="B2407" t="str">
        <f>"1552376583059554"</f>
        <v>1552376583059554</v>
      </c>
      <c r="C2407" t="s">
        <v>40</v>
      </c>
      <c r="D2407">
        <v>4.63314</v>
      </c>
      <c r="E2407">
        <v>0.51104099999999997</v>
      </c>
      <c r="F2407" t="s">
        <v>49</v>
      </c>
      <c r="G2407">
        <v>-495.31259999999997</v>
      </c>
      <c r="H2407" s="1">
        <v>3.4558270000000001E-6</v>
      </c>
      <c r="I2407">
        <v>289.57600000000002</v>
      </c>
      <c r="J2407">
        <v>-433.52960000000002</v>
      </c>
      <c r="K2407">
        <v>1.1106959999999999</v>
      </c>
      <c r="L2407">
        <v>284.08780000000002</v>
      </c>
      <c r="M2407">
        <v>-0.99948590000000004</v>
      </c>
      <c r="N2407">
        <v>0</v>
      </c>
      <c r="O2407">
        <v>2.8971790000000001E-2</v>
      </c>
      <c r="P2407">
        <v>-0.99815509999999996</v>
      </c>
      <c r="Q2407">
        <v>5.3269399999999996E-3</v>
      </c>
      <c r="R2407">
        <v>6.0485810000000001E-2</v>
      </c>
      <c r="S2407">
        <v>-2.9898380000000002</v>
      </c>
      <c r="T2407">
        <v>-5.3540829999999998E-2</v>
      </c>
      <c r="U2407">
        <v>0.26489259999999998</v>
      </c>
      <c r="V2407">
        <v>3.1536929999999998E-2</v>
      </c>
      <c r="W2407">
        <v>1.9060239999999999E-2</v>
      </c>
      <c r="X2407">
        <v>0.99932080000000001</v>
      </c>
      <c r="Y2407">
        <v>5.9348610000000003E-2</v>
      </c>
      <c r="Z2407" s="1">
        <v>1.2726E-5</v>
      </c>
      <c r="AA2407">
        <v>0.99823729999999999</v>
      </c>
      <c r="AB2407">
        <v>23</v>
      </c>
      <c r="AC2407">
        <v>-61.782999999999902</v>
      </c>
      <c r="AD2407">
        <v>-1.110692544173</v>
      </c>
      <c r="AE2407">
        <v>5.4881999999999396</v>
      </c>
      <c r="AF2407">
        <v>3.6945782081170799</v>
      </c>
      <c r="AG2407">
        <v>-1.110692544173</v>
      </c>
      <c r="AH2407">
        <v>61.896231149022498</v>
      </c>
      <c r="AI2407">
        <v>91.026203628137907</v>
      </c>
      <c r="AJ2407">
        <v>86.584075165453001</v>
      </c>
      <c r="AK2407">
        <v>62.016344430454801</v>
      </c>
      <c r="AL2407">
        <v>88.907862519954506</v>
      </c>
      <c r="AM2407">
        <v>88.1924388182602</v>
      </c>
      <c r="AN2407">
        <v>0.99999996600765995</v>
      </c>
    </row>
    <row r="2408" spans="1:40" x14ac:dyDescent="0.25">
      <c r="A2408" t="str">
        <f>"20190312154303089"</f>
        <v>20190312154303089</v>
      </c>
      <c r="B2408" t="str">
        <f>"1552376583080050"</f>
        <v>1552376583080050</v>
      </c>
      <c r="C2408" t="s">
        <v>40</v>
      </c>
      <c r="D2408">
        <v>4.6466620000000001</v>
      </c>
      <c r="E2408">
        <v>0.52967980000000003</v>
      </c>
      <c r="F2408" t="s">
        <v>49</v>
      </c>
      <c r="G2408">
        <v>-495.0804</v>
      </c>
      <c r="H2408" s="1">
        <v>3.4973369999999999E-6</v>
      </c>
      <c r="I2408">
        <v>289.5797</v>
      </c>
      <c r="J2408">
        <v>-433.76150000000001</v>
      </c>
      <c r="K2408">
        <v>1.1107</v>
      </c>
      <c r="L2408">
        <v>284.09429999999998</v>
      </c>
      <c r="M2408">
        <v>-0.99948910000000002</v>
      </c>
      <c r="N2408">
        <v>0</v>
      </c>
      <c r="O2408">
        <v>2.8863699999999999E-2</v>
      </c>
      <c r="P2408">
        <v>-0.99814619999999998</v>
      </c>
      <c r="Q2408">
        <v>5.4254050000000003E-3</v>
      </c>
      <c r="R2408">
        <v>6.062389E-2</v>
      </c>
      <c r="S2408">
        <v>-2.989655</v>
      </c>
      <c r="T2408">
        <v>-5.3948759999999998E-2</v>
      </c>
      <c r="U2408">
        <v>0.2667542</v>
      </c>
      <c r="V2408">
        <v>3.1783310000000002E-2</v>
      </c>
      <c r="W2408">
        <v>1.9156059999999999E-2</v>
      </c>
      <c r="X2408">
        <v>0.99931119999999996</v>
      </c>
      <c r="Y2408">
        <v>6.007842E-2</v>
      </c>
      <c r="Z2408" s="1">
        <v>2.1340620000000002E-5</v>
      </c>
      <c r="AA2408">
        <v>0.99819369999999996</v>
      </c>
      <c r="AB2408">
        <v>23</v>
      </c>
      <c r="AC2408">
        <v>-61.3188999999999</v>
      </c>
      <c r="AD2408">
        <v>-1.110696502663</v>
      </c>
      <c r="AE2408">
        <v>5.4854000000000198</v>
      </c>
      <c r="AF2408">
        <v>3.711848832042</v>
      </c>
      <c r="AG2408">
        <v>-1.110696502663</v>
      </c>
      <c r="AH2408">
        <v>61.431695396434101</v>
      </c>
      <c r="AI2408">
        <v>91.033920295697001</v>
      </c>
      <c r="AJ2408">
        <v>86.542256848302898</v>
      </c>
      <c r="AK2408">
        <v>61.553754294545001</v>
      </c>
      <c r="AL2408">
        <v>88.902371477262804</v>
      </c>
      <c r="AM2408">
        <v>88.178309365931398</v>
      </c>
      <c r="AN2408">
        <v>1.00000000393735</v>
      </c>
    </row>
    <row r="2409" spans="1:40" x14ac:dyDescent="0.25">
      <c r="A2409" t="str">
        <f>"20190312154303111"</f>
        <v>20190312154303111</v>
      </c>
      <c r="B2409" t="str">
        <f>"1552376583099570"</f>
        <v>1552376583099570</v>
      </c>
      <c r="C2409" t="s">
        <v>40</v>
      </c>
      <c r="D2409">
        <v>4.643097</v>
      </c>
      <c r="E2409">
        <v>0.53523030000000005</v>
      </c>
      <c r="F2409" t="s">
        <v>41</v>
      </c>
      <c r="G2409">
        <v>-434.67180000000002</v>
      </c>
      <c r="H2409">
        <v>1.009023</v>
      </c>
      <c r="I2409">
        <v>284.21809999999999</v>
      </c>
      <c r="J2409">
        <v>-433.99189999999999</v>
      </c>
      <c r="K2409">
        <v>1.110703</v>
      </c>
      <c r="L2409">
        <v>284.10090000000002</v>
      </c>
      <c r="M2409">
        <v>-0.99949219999999905</v>
      </c>
      <c r="N2409">
        <v>0</v>
      </c>
      <c r="O2409">
        <v>2.8755900000000001E-2</v>
      </c>
      <c r="P2409">
        <v>-0.99815010000000004</v>
      </c>
      <c r="Q2409">
        <v>5.7047829999999997E-3</v>
      </c>
      <c r="R2409">
        <v>6.0531050000000003E-2</v>
      </c>
      <c r="S2409">
        <v>-2.9828190000000001</v>
      </c>
      <c r="T2409">
        <v>-0.33326830000000002</v>
      </c>
      <c r="U2409">
        <v>0.40515139999999999</v>
      </c>
      <c r="V2409">
        <v>3.1797980000000003E-2</v>
      </c>
      <c r="W2409">
        <v>1.9433059999999999E-2</v>
      </c>
      <c r="X2409">
        <v>0.99930540000000001</v>
      </c>
      <c r="Y2409">
        <v>0.105571</v>
      </c>
      <c r="Z2409">
        <v>2.6659359999999998E-3</v>
      </c>
      <c r="AA2409">
        <v>0.99440819999999996</v>
      </c>
      <c r="AB2409">
        <v>23</v>
      </c>
      <c r="AC2409">
        <v>-0.67990000000003104</v>
      </c>
      <c r="AD2409">
        <v>-0.10168000000000001</v>
      </c>
      <c r="AE2409">
        <v>0.117199999999968</v>
      </c>
      <c r="AF2409">
        <v>9.5523748592580907E-2</v>
      </c>
      <c r="AG2409">
        <v>-0.10168000000000001</v>
      </c>
      <c r="AH2409">
        <v>0.668469976396037</v>
      </c>
      <c r="AI2409">
        <v>98.563201478536399</v>
      </c>
      <c r="AJ2409">
        <v>81.867542562350096</v>
      </c>
      <c r="AK2409">
        <v>0.68287313484138201</v>
      </c>
      <c r="AL2409">
        <v>88.886497607984296</v>
      </c>
      <c r="AM2409">
        <v>88.177458536971599</v>
      </c>
      <c r="AN2409">
        <v>1.0000000189111</v>
      </c>
    </row>
    <row r="2410" spans="1:40" x14ac:dyDescent="0.25">
      <c r="A2410" t="str">
        <f>"20190312154303132"</f>
        <v>20190312154303132</v>
      </c>
      <c r="B2410" t="str">
        <f>"1552376583120066"</f>
        <v>1552376583120066</v>
      </c>
      <c r="C2410" t="s">
        <v>40</v>
      </c>
      <c r="D2410">
        <v>4.802702</v>
      </c>
      <c r="E2410">
        <v>0.53892059999999997</v>
      </c>
      <c r="F2410" t="s">
        <v>41</v>
      </c>
      <c r="G2410">
        <v>-434.85629999999998</v>
      </c>
      <c r="H2410">
        <v>0.96439490000000005</v>
      </c>
      <c r="I2410">
        <v>284.22949999999997</v>
      </c>
      <c r="J2410">
        <v>-434.21539999999999</v>
      </c>
      <c r="K2410">
        <v>1.1107049999999901</v>
      </c>
      <c r="L2410">
        <v>284.10719999999998</v>
      </c>
      <c r="M2410">
        <v>-0.99949529999999998</v>
      </c>
      <c r="N2410">
        <v>0</v>
      </c>
      <c r="O2410">
        <v>2.8651260000000001E-2</v>
      </c>
      <c r="P2410">
        <v>-0.99816240000000001</v>
      </c>
      <c r="Q2410">
        <v>5.9168669999999897E-3</v>
      </c>
      <c r="R2410">
        <v>6.0310160000000002E-2</v>
      </c>
      <c r="S2410">
        <v>-2.981598</v>
      </c>
      <c r="T2410">
        <v>-0.50466230000000001</v>
      </c>
      <c r="U2410">
        <v>0.442749</v>
      </c>
      <c r="V2410">
        <v>3.1681630000000002E-2</v>
      </c>
      <c r="W2410">
        <v>1.9642819999999998E-2</v>
      </c>
      <c r="X2410">
        <v>0.999305</v>
      </c>
      <c r="Y2410">
        <v>0.1172479</v>
      </c>
      <c r="Z2410">
        <v>5.0129880000000003E-3</v>
      </c>
      <c r="AA2410">
        <v>0.99309000000000003</v>
      </c>
      <c r="AB2410">
        <v>23</v>
      </c>
      <c r="AC2410">
        <v>-0.64089999999998704</v>
      </c>
      <c r="AD2410">
        <v>-0.146310099999999</v>
      </c>
      <c r="AE2410">
        <v>0.122299999999995</v>
      </c>
      <c r="AF2410">
        <v>9.8911728547696198E-2</v>
      </c>
      <c r="AG2410">
        <v>-0.146310099999999</v>
      </c>
      <c r="AH2410">
        <v>0.61330161730060895</v>
      </c>
      <c r="AI2410">
        <v>103.25267999240999</v>
      </c>
      <c r="AJ2410">
        <v>80.838371105246907</v>
      </c>
      <c r="AK2410">
        <v>0.63822335368571903</v>
      </c>
      <c r="AL2410">
        <v>88.874476957268001</v>
      </c>
      <c r="AM2410">
        <v>88.184122085187994</v>
      </c>
      <c r="AN2410">
        <v>1.0000000245409999</v>
      </c>
    </row>
    <row r="2411" spans="1:40" x14ac:dyDescent="0.25">
      <c r="A2411" t="str">
        <f>"20190312154303155"</f>
        <v>20190312154303155</v>
      </c>
      <c r="B2411" t="str">
        <f>"1552376583150324"</f>
        <v>1552376583150324</v>
      </c>
      <c r="C2411" t="s">
        <v>40</v>
      </c>
      <c r="D2411">
        <v>4.6851450000000003</v>
      </c>
      <c r="E2411">
        <v>0.53993959999999996</v>
      </c>
      <c r="F2411" t="s">
        <v>41</v>
      </c>
      <c r="G2411">
        <v>-435.0498</v>
      </c>
      <c r="H2411">
        <v>0.93794599999999995</v>
      </c>
      <c r="I2411">
        <v>284.23809999999997</v>
      </c>
      <c r="J2411">
        <v>-434.44639999999998</v>
      </c>
      <c r="K2411">
        <v>1.1107</v>
      </c>
      <c r="L2411">
        <v>284.11369999999999</v>
      </c>
      <c r="M2411">
        <v>-0.99949840000000001</v>
      </c>
      <c r="N2411">
        <v>0</v>
      </c>
      <c r="O2411">
        <v>2.8543289999999999E-2</v>
      </c>
      <c r="P2411">
        <v>-0.9981816</v>
      </c>
      <c r="Q2411">
        <v>5.8199599999999999E-3</v>
      </c>
      <c r="R2411">
        <v>6.000138E-2</v>
      </c>
      <c r="S2411">
        <v>-2.9809269999999999</v>
      </c>
      <c r="T2411">
        <v>-0.61726709999999996</v>
      </c>
      <c r="U2411">
        <v>0.46783449999999999</v>
      </c>
      <c r="V2411">
        <v>3.1480439999999998E-2</v>
      </c>
      <c r="W2411">
        <v>1.9543660000000001E-2</v>
      </c>
      <c r="X2411">
        <v>0.99931329999999996</v>
      </c>
      <c r="Y2411">
        <v>0.12478980000000001</v>
      </c>
      <c r="Z2411">
        <v>6.8985069999999999E-3</v>
      </c>
      <c r="AA2411">
        <v>0.99215920000000002</v>
      </c>
      <c r="AB2411">
        <v>23</v>
      </c>
      <c r="AC2411">
        <v>-0.60340000000002103</v>
      </c>
      <c r="AD2411">
        <v>-0.17275399999999999</v>
      </c>
      <c r="AE2411">
        <v>0.12439999999998</v>
      </c>
      <c r="AF2411">
        <v>9.9315825796555804E-2</v>
      </c>
      <c r="AG2411">
        <v>-0.17275399999999999</v>
      </c>
      <c r="AH2411">
        <v>0.56247953468682099</v>
      </c>
      <c r="AI2411">
        <v>106.827990780509</v>
      </c>
      <c r="AJ2411">
        <v>79.986613562616199</v>
      </c>
      <c r="AK2411">
        <v>0.59673344527615901</v>
      </c>
      <c r="AL2411">
        <v>88.880159494806904</v>
      </c>
      <c r="AM2411">
        <v>88.195660907189193</v>
      </c>
      <c r="AN2411">
        <v>1.00000002215283</v>
      </c>
    </row>
    <row r="2412" spans="1:40" x14ac:dyDescent="0.25">
      <c r="A2412" t="str">
        <f>"20190312154303177"</f>
        <v>20190312154303177</v>
      </c>
      <c r="B2412" t="str">
        <f>"1552376583169843"</f>
        <v>1552376583169843</v>
      </c>
      <c r="C2412" t="s">
        <v>40</v>
      </c>
      <c r="D2412">
        <v>4.7085559999999997</v>
      </c>
      <c r="E2412">
        <v>0.54054780000000002</v>
      </c>
      <c r="F2412" t="s">
        <v>41</v>
      </c>
      <c r="G2412">
        <v>-435.24950000000001</v>
      </c>
      <c r="H2412">
        <v>0.92451039999999995</v>
      </c>
      <c r="I2412">
        <v>284.24099999999999</v>
      </c>
      <c r="J2412">
        <v>-434.67939999999999</v>
      </c>
      <c r="K2412">
        <v>1.1106990000000001</v>
      </c>
      <c r="L2412">
        <v>284.12020000000001</v>
      </c>
      <c r="M2412">
        <v>-0.99950159999999999</v>
      </c>
      <c r="N2412">
        <v>0</v>
      </c>
      <c r="O2412">
        <v>2.843412E-2</v>
      </c>
      <c r="P2412">
        <v>-0.9981738</v>
      </c>
      <c r="Q2412">
        <v>5.8514049999999996E-3</v>
      </c>
      <c r="R2412">
        <v>6.0125270000000001E-2</v>
      </c>
      <c r="S2412">
        <v>-2.9811709999999998</v>
      </c>
      <c r="T2412">
        <v>-0.69127850000000002</v>
      </c>
      <c r="U2412">
        <v>0.47106930000000002</v>
      </c>
      <c r="V2412">
        <v>3.1713619999999998E-2</v>
      </c>
      <c r="W2412">
        <v>1.9572269999999999E-2</v>
      </c>
      <c r="X2412">
        <v>0.99930540000000001</v>
      </c>
      <c r="Y2412">
        <v>0.12541840000000001</v>
      </c>
      <c r="Z2412">
        <v>7.8007909999999996E-3</v>
      </c>
      <c r="AA2412">
        <v>0.99207330000000005</v>
      </c>
      <c r="AB2412">
        <v>23</v>
      </c>
      <c r="AC2412">
        <v>-0.57010000000002403</v>
      </c>
      <c r="AD2412">
        <v>-0.18618859999999901</v>
      </c>
      <c r="AE2412">
        <v>0.120799999999974</v>
      </c>
      <c r="AF2412">
        <v>9.4856606924409503E-2</v>
      </c>
      <c r="AG2412">
        <v>-0.18618859999999901</v>
      </c>
      <c r="AH2412">
        <v>0.52020353987311596</v>
      </c>
      <c r="AI2412">
        <v>109.39762505830301</v>
      </c>
      <c r="AJ2412">
        <v>79.665927832468</v>
      </c>
      <c r="AK2412">
        <v>0.56060297318484897</v>
      </c>
      <c r="AL2412">
        <v>88.878519985781494</v>
      </c>
      <c r="AM2412">
        <v>88.182290489126004</v>
      </c>
      <c r="AN2412">
        <v>1.0000000549578001</v>
      </c>
    </row>
    <row r="2413" spans="1:40" x14ac:dyDescent="0.25">
      <c r="A2413" t="str">
        <f>"20190312154303199"</f>
        <v>20190312154303199</v>
      </c>
      <c r="B2413" t="str">
        <f>"1552376583190339"</f>
        <v>1552376583190339</v>
      </c>
      <c r="C2413" t="s">
        <v>40</v>
      </c>
      <c r="D2413">
        <v>4.6954570000000002</v>
      </c>
      <c r="E2413">
        <v>0.54089489999999996</v>
      </c>
      <c r="F2413" t="s">
        <v>41</v>
      </c>
      <c r="G2413">
        <v>-435.45510000000002</v>
      </c>
      <c r="H2413">
        <v>0.92417070000000001</v>
      </c>
      <c r="I2413">
        <v>284.2441</v>
      </c>
      <c r="J2413">
        <v>-434.90039999999999</v>
      </c>
      <c r="K2413">
        <v>1.1107020000000001</v>
      </c>
      <c r="L2413">
        <v>284.12639999999999</v>
      </c>
      <c r="M2413">
        <v>-0.99950439999999996</v>
      </c>
      <c r="N2413">
        <v>0</v>
      </c>
      <c r="O2413">
        <v>2.8331269999999999E-2</v>
      </c>
      <c r="P2413">
        <v>-0.99815949999999998</v>
      </c>
      <c r="Q2413">
        <v>5.2913129999999997E-3</v>
      </c>
      <c r="R2413">
        <v>6.0412260000000002E-2</v>
      </c>
      <c r="S2413">
        <v>-2.9810490000000001</v>
      </c>
      <c r="T2413">
        <v>-0.71683790000000003</v>
      </c>
      <c r="U2413">
        <v>0.4754333</v>
      </c>
      <c r="V2413">
        <v>3.2103739999999999E-2</v>
      </c>
      <c r="W2413">
        <v>1.9010180000000002E-2</v>
      </c>
      <c r="X2413">
        <v>0.99930379999999996</v>
      </c>
      <c r="Y2413">
        <v>0.12671840000000001</v>
      </c>
      <c r="Z2413">
        <v>8.2583499999999994E-3</v>
      </c>
      <c r="AA2413">
        <v>0.99190440000000002</v>
      </c>
      <c r="AB2413">
        <v>23</v>
      </c>
      <c r="AC2413">
        <v>-0.55470000000002495</v>
      </c>
      <c r="AD2413">
        <v>-0.18653130000000001</v>
      </c>
      <c r="AE2413">
        <v>0.117700000000013</v>
      </c>
      <c r="AF2413">
        <v>9.1982614073084598E-2</v>
      </c>
      <c r="AG2413">
        <v>-0.18653130000000001</v>
      </c>
      <c r="AH2413">
        <v>0.50334592004757095</v>
      </c>
      <c r="AI2413">
        <v>110.02911177896701</v>
      </c>
      <c r="AJ2413">
        <v>79.643905618646997</v>
      </c>
      <c r="AK2413">
        <v>0.54462082442736603</v>
      </c>
      <c r="AL2413">
        <v>88.910731369905406</v>
      </c>
      <c r="AM2413">
        <v>88.159942561634594</v>
      </c>
      <c r="AN2413">
        <v>1.0000000608800199</v>
      </c>
    </row>
    <row r="2414" spans="1:40" x14ac:dyDescent="0.25">
      <c r="A2414" t="str">
        <f>"20190312154303222"</f>
        <v>20190312154303222</v>
      </c>
      <c r="B2414" t="str">
        <f>"1552376583209859"</f>
        <v>1552376583209859</v>
      </c>
      <c r="C2414" t="s">
        <v>40</v>
      </c>
      <c r="D2414">
        <v>4.6632579999999999</v>
      </c>
      <c r="E2414">
        <v>0.54108540000000005</v>
      </c>
      <c r="F2414" t="s">
        <v>41</v>
      </c>
      <c r="G2414">
        <v>-435.66019999999997</v>
      </c>
      <c r="H2414">
        <v>0.92338969999999998</v>
      </c>
      <c r="I2414">
        <v>284.24880000000002</v>
      </c>
      <c r="J2414">
        <v>-435.13729999999998</v>
      </c>
      <c r="K2414">
        <v>1.1107049999999901</v>
      </c>
      <c r="L2414">
        <v>284.13290000000001</v>
      </c>
      <c r="M2414">
        <v>-0.99950760000000005</v>
      </c>
      <c r="N2414">
        <v>0</v>
      </c>
      <c r="O2414">
        <v>2.822096E-2</v>
      </c>
      <c r="P2414">
        <v>-0.99814860000000005</v>
      </c>
      <c r="Q2414">
        <v>5.0902660000000004E-3</v>
      </c>
      <c r="R2414">
        <v>6.0611239999999997E-2</v>
      </c>
      <c r="S2414">
        <v>-2.9804379999999999</v>
      </c>
      <c r="T2414">
        <v>-0.73493869999999994</v>
      </c>
      <c r="U2414">
        <v>0.4787903</v>
      </c>
      <c r="V2414">
        <v>3.2413240000000003E-2</v>
      </c>
      <c r="W2414">
        <v>1.8806130000000001E-2</v>
      </c>
      <c r="X2414">
        <v>0.99929760000000001</v>
      </c>
      <c r="Y2414">
        <v>0.12777629999999901</v>
      </c>
      <c r="Z2414">
        <v>8.6162930000000006E-3</v>
      </c>
      <c r="AA2414">
        <v>0.99176560000000002</v>
      </c>
      <c r="AB2414">
        <v>23</v>
      </c>
      <c r="AC2414">
        <v>-0.52289999999999204</v>
      </c>
      <c r="AD2414">
        <v>-0.18731529999999999</v>
      </c>
      <c r="AE2414">
        <v>0.11590000000001</v>
      </c>
      <c r="AF2414">
        <v>9.0077808604877296E-2</v>
      </c>
      <c r="AG2414">
        <v>-0.18731529999999999</v>
      </c>
      <c r="AH2414">
        <v>0.46864087150726003</v>
      </c>
      <c r="AI2414">
        <v>111.430706145098</v>
      </c>
      <c r="AJ2414">
        <v>79.119829903340104</v>
      </c>
      <c r="AK2414">
        <v>0.51266489997290698</v>
      </c>
      <c r="AL2414">
        <v>88.922424588193806</v>
      </c>
      <c r="AM2414">
        <v>88.142204117919405</v>
      </c>
      <c r="AN2414">
        <v>0.99999999100931702</v>
      </c>
    </row>
    <row r="2415" spans="1:40" x14ac:dyDescent="0.25">
      <c r="A2415" t="str">
        <f>"20190312154303244"</f>
        <v>20190312154303244</v>
      </c>
      <c r="B2415" t="str">
        <f>"1552376583240115"</f>
        <v>1552376583240115</v>
      </c>
      <c r="C2415" t="s">
        <v>40</v>
      </c>
      <c r="D2415">
        <v>4.8613400000000002</v>
      </c>
      <c r="E2415">
        <v>0.54154469999999899</v>
      </c>
      <c r="F2415" t="s">
        <v>41</v>
      </c>
      <c r="G2415">
        <v>-435.86759999999998</v>
      </c>
      <c r="H2415">
        <v>0.92805119999999997</v>
      </c>
      <c r="I2415">
        <v>284.2509</v>
      </c>
      <c r="J2415">
        <v>-435.36590000000001</v>
      </c>
      <c r="K2415">
        <v>1.1107039999999999</v>
      </c>
      <c r="L2415">
        <v>284.13929999999999</v>
      </c>
      <c r="M2415">
        <v>-0.99951060000000003</v>
      </c>
      <c r="N2415">
        <v>0</v>
      </c>
      <c r="O2415">
        <v>2.8114940000000001E-2</v>
      </c>
      <c r="P2415">
        <v>-0.99814769999999997</v>
      </c>
      <c r="Q2415">
        <v>5.1522240000000004E-3</v>
      </c>
      <c r="R2415">
        <v>6.0617709999999998E-2</v>
      </c>
      <c r="S2415">
        <v>-2.9801639999999998</v>
      </c>
      <c r="T2415">
        <v>-0.74539669999999902</v>
      </c>
      <c r="U2415">
        <v>0.48074339999999999</v>
      </c>
      <c r="V2415">
        <v>3.2525680000000001E-2</v>
      </c>
      <c r="W2415">
        <v>1.8865719999999999E-2</v>
      </c>
      <c r="X2415">
        <v>0.99929290000000004</v>
      </c>
      <c r="Y2415">
        <v>0.1284245</v>
      </c>
      <c r="Z2415">
        <v>8.8409409999999997E-3</v>
      </c>
      <c r="AA2415">
        <v>0.99167989999999995</v>
      </c>
      <c r="AB2415">
        <v>23</v>
      </c>
      <c r="AC2415">
        <v>-0.50169999999997095</v>
      </c>
      <c r="AD2415">
        <v>-0.1826528</v>
      </c>
      <c r="AE2415">
        <v>0.111600000000009</v>
      </c>
      <c r="AF2415">
        <v>8.6521907528638906E-2</v>
      </c>
      <c r="AG2415">
        <v>-0.1826528</v>
      </c>
      <c r="AH2415">
        <v>0.44805231873328499</v>
      </c>
      <c r="AI2415">
        <v>111.814490648484</v>
      </c>
      <c r="AJ2415">
        <v>79.070332036449201</v>
      </c>
      <c r="AK2415">
        <v>0.49152717743020802</v>
      </c>
      <c r="AL2415">
        <v>88.919009809650504</v>
      </c>
      <c r="AM2415">
        <v>88.135755289367594</v>
      </c>
      <c r="AN2415">
        <v>1.0000000676204901</v>
      </c>
    </row>
    <row r="2416" spans="1:40" x14ac:dyDescent="0.25">
      <c r="A2416" t="str">
        <f>"20190312154303267"</f>
        <v>20190312154303267</v>
      </c>
      <c r="B2416" t="str">
        <f>"1552376583259635"</f>
        <v>1552376583259635</v>
      </c>
      <c r="C2416" t="s">
        <v>40</v>
      </c>
      <c r="D2416">
        <v>4.7291990000000004</v>
      </c>
      <c r="E2416">
        <v>0.54123160000000003</v>
      </c>
      <c r="F2416" t="s">
        <v>41</v>
      </c>
      <c r="G2416">
        <v>-436.0736</v>
      </c>
      <c r="H2416">
        <v>0.93031200000000003</v>
      </c>
      <c r="I2416">
        <v>284.25470000000001</v>
      </c>
      <c r="J2416">
        <v>-435.59829999999999</v>
      </c>
      <c r="K2416">
        <v>1.1107039999999999</v>
      </c>
      <c r="L2416">
        <v>284.14569999999998</v>
      </c>
      <c r="M2416">
        <v>-0.99951369999999895</v>
      </c>
      <c r="N2416">
        <v>0</v>
      </c>
      <c r="O2416">
        <v>2.800679E-2</v>
      </c>
      <c r="P2416">
        <v>-0.998166</v>
      </c>
      <c r="Q2416">
        <v>5.160408E-3</v>
      </c>
      <c r="R2416">
        <v>6.0318299999999998E-2</v>
      </c>
      <c r="S2416">
        <v>-2.9800719999999998</v>
      </c>
      <c r="T2416">
        <v>-0.75974399999999997</v>
      </c>
      <c r="U2416">
        <v>0.48394779999999998</v>
      </c>
      <c r="V2416">
        <v>3.2334189999999999E-2</v>
      </c>
      <c r="W2416">
        <v>1.887192E-2</v>
      </c>
      <c r="X2416">
        <v>0.99929889999999999</v>
      </c>
      <c r="Y2416">
        <v>0.12942629999999999</v>
      </c>
      <c r="Z2416">
        <v>9.1573820000000004E-3</v>
      </c>
      <c r="AA2416">
        <v>0.99154679999999995</v>
      </c>
      <c r="AB2416">
        <v>23</v>
      </c>
      <c r="AC2416">
        <v>-0.475300000000004</v>
      </c>
      <c r="AD2416">
        <v>-0.180392</v>
      </c>
      <c r="AE2416">
        <v>0.109000000000037</v>
      </c>
      <c r="AF2416">
        <v>8.4131161380661595E-2</v>
      </c>
      <c r="AG2416">
        <v>-0.180392</v>
      </c>
      <c r="AH2416">
        <v>0.420607222106544</v>
      </c>
      <c r="AI2416">
        <v>112.80939111952701</v>
      </c>
      <c r="AJ2416">
        <v>78.688794782080194</v>
      </c>
      <c r="AK2416">
        <v>0.46532758489846998</v>
      </c>
      <c r="AL2416">
        <v>88.918654407418103</v>
      </c>
      <c r="AM2416">
        <v>88.146734190189605</v>
      </c>
      <c r="AN2416">
        <v>0.99999997037432498</v>
      </c>
    </row>
    <row r="2417" spans="1:40" x14ac:dyDescent="0.25">
      <c r="A2417" t="str">
        <f>"20190312154303290"</f>
        <v>20190312154303290</v>
      </c>
      <c r="B2417" t="str">
        <f>"1552376583280131"</f>
        <v>1552376583280131</v>
      </c>
      <c r="C2417" t="s">
        <v>40</v>
      </c>
      <c r="D2417">
        <v>4.6909830000000001</v>
      </c>
      <c r="E2417">
        <v>0.54109459999999998</v>
      </c>
      <c r="F2417" t="s">
        <v>41</v>
      </c>
      <c r="G2417">
        <v>-436.2808</v>
      </c>
      <c r="H2417">
        <v>0.93540469999999998</v>
      </c>
      <c r="I2417">
        <v>284.25560000000002</v>
      </c>
      <c r="J2417">
        <v>-435.82929999999999</v>
      </c>
      <c r="K2417">
        <v>1.1107039999999999</v>
      </c>
      <c r="L2417">
        <v>284.15199999999999</v>
      </c>
      <c r="M2417">
        <v>-0.99951679999999998</v>
      </c>
      <c r="N2417">
        <v>0</v>
      </c>
      <c r="O2417">
        <v>2.7898929999999999E-2</v>
      </c>
      <c r="P2417">
        <v>-0.99817630000000002</v>
      </c>
      <c r="Q2417">
        <v>4.9626490000000004E-3</v>
      </c>
      <c r="R2417">
        <v>6.0161649999999997E-2</v>
      </c>
      <c r="S2417">
        <v>-2.9804379999999999</v>
      </c>
      <c r="T2417">
        <v>-0.76546819999999904</v>
      </c>
      <c r="U2417">
        <v>0.48049930000000002</v>
      </c>
      <c r="V2417">
        <v>3.2285050000000003E-2</v>
      </c>
      <c r="W2417">
        <v>1.867168E-2</v>
      </c>
      <c r="X2417">
        <v>0.99930430000000003</v>
      </c>
      <c r="Y2417">
        <v>0.12837860000000001</v>
      </c>
      <c r="Z2417">
        <v>9.1194190000000001E-3</v>
      </c>
      <c r="AA2417">
        <v>0.99168330000000005</v>
      </c>
      <c r="AB2417">
        <v>23</v>
      </c>
      <c r="AC2417">
        <v>-0.45150000000001</v>
      </c>
      <c r="AD2417">
        <v>-0.17529929999999999</v>
      </c>
      <c r="AE2417">
        <v>0.103600000000028</v>
      </c>
      <c r="AF2417">
        <v>7.9567578156141502E-2</v>
      </c>
      <c r="AG2417">
        <v>-0.17529929999999999</v>
      </c>
      <c r="AH2417">
        <v>0.397316760174586</v>
      </c>
      <c r="AI2417">
        <v>113.394183442733</v>
      </c>
      <c r="AJ2417">
        <v>78.675616221019396</v>
      </c>
      <c r="AK2417">
        <v>0.441499096250212</v>
      </c>
      <c r="AL2417">
        <v>88.930129389760907</v>
      </c>
      <c r="AM2417">
        <v>88.149558730315107</v>
      </c>
      <c r="AN2417">
        <v>1.0000000200429999</v>
      </c>
    </row>
    <row r="2418" spans="1:40" x14ac:dyDescent="0.25">
      <c r="A2418" t="str">
        <f>"20190312154303312"</f>
        <v>20190312154303312</v>
      </c>
      <c r="B2418" t="str">
        <f>"1552376583299651"</f>
        <v>1552376583299651</v>
      </c>
      <c r="C2418" t="s">
        <v>40</v>
      </c>
      <c r="D2418">
        <v>4.7505639999999998</v>
      </c>
      <c r="E2418">
        <v>0.54111140000000002</v>
      </c>
      <c r="F2418" t="s">
        <v>41</v>
      </c>
      <c r="G2418">
        <v>-436.67039999999997</v>
      </c>
      <c r="H2418">
        <v>0.89305469999999898</v>
      </c>
      <c r="I2418">
        <v>284.28730000000002</v>
      </c>
      <c r="J2418">
        <v>-436.05700000000002</v>
      </c>
      <c r="K2418">
        <v>1.110698</v>
      </c>
      <c r="L2418">
        <v>284.1583</v>
      </c>
      <c r="M2418">
        <v>-0.99951970000000001</v>
      </c>
      <c r="N2418">
        <v>0</v>
      </c>
      <c r="O2418">
        <v>2.7792089999999998E-2</v>
      </c>
      <c r="P2418">
        <v>-0.99818839999999998</v>
      </c>
      <c r="Q2418">
        <v>4.7578159999999998E-3</v>
      </c>
      <c r="R2418">
        <v>5.9978129999999998E-2</v>
      </c>
      <c r="S2418">
        <v>-2.9804379999999999</v>
      </c>
      <c r="T2418">
        <v>-0.77118949999999997</v>
      </c>
      <c r="U2418">
        <v>0.47869869999999998</v>
      </c>
      <c r="V2418">
        <v>3.2208260000000002E-2</v>
      </c>
      <c r="W2418">
        <v>1.8464299999999999E-2</v>
      </c>
      <c r="X2418">
        <v>0.99931060000000005</v>
      </c>
      <c r="Y2418">
        <v>0.12786620000000001</v>
      </c>
      <c r="Z2418">
        <v>9.1480369999999995E-3</v>
      </c>
      <c r="AA2418">
        <v>0.9917492</v>
      </c>
      <c r="AB2418">
        <v>23</v>
      </c>
      <c r="AC2418">
        <v>-0.61340000000001205</v>
      </c>
      <c r="AD2418">
        <v>-0.21764330000000001</v>
      </c>
      <c r="AE2418">
        <v>0.12900000000001899</v>
      </c>
      <c r="AF2418">
        <v>9.9861462096561104E-2</v>
      </c>
      <c r="AG2418">
        <v>-0.21764330000000001</v>
      </c>
      <c r="AH2418">
        <v>0.55039249158124903</v>
      </c>
      <c r="AI2418">
        <v>111.260047253417</v>
      </c>
      <c r="AJ2418">
        <v>79.716306292975403</v>
      </c>
      <c r="AK2418">
        <v>0.60022730064198804</v>
      </c>
      <c r="AL2418">
        <v>88.942013404081905</v>
      </c>
      <c r="AM2418">
        <v>88.153968586444407</v>
      </c>
      <c r="AN2418">
        <v>0.999999988829538</v>
      </c>
    </row>
    <row r="2419" spans="1:40" x14ac:dyDescent="0.25">
      <c r="A2419" t="str">
        <f>"20190312154303333"</f>
        <v>20190312154303333</v>
      </c>
      <c r="B2419" t="str">
        <f>"1552376583320147"</f>
        <v>1552376583320147</v>
      </c>
      <c r="C2419" t="s">
        <v>40</v>
      </c>
      <c r="D2419">
        <v>4.7778600000000004</v>
      </c>
      <c r="E2419">
        <v>0.54165889999999906</v>
      </c>
      <c r="F2419" t="s">
        <v>41</v>
      </c>
      <c r="G2419">
        <v>-436.87619999999998</v>
      </c>
      <c r="H2419">
        <v>0.89729599999999898</v>
      </c>
      <c r="I2419">
        <v>284.28989999999999</v>
      </c>
      <c r="J2419">
        <v>-436.27929999999998</v>
      </c>
      <c r="K2419">
        <v>1.110698</v>
      </c>
      <c r="L2419">
        <v>284.16430000000003</v>
      </c>
      <c r="M2419">
        <v>-0.99952269999999999</v>
      </c>
      <c r="N2419">
        <v>0</v>
      </c>
      <c r="O2419">
        <v>2.7687750000000001E-2</v>
      </c>
      <c r="P2419">
        <v>-0.99820180000000003</v>
      </c>
      <c r="Q2419">
        <v>4.179655E-3</v>
      </c>
      <c r="R2419">
        <v>5.9798959999999998E-2</v>
      </c>
      <c r="S2419">
        <v>-2.9804080000000002</v>
      </c>
      <c r="T2419">
        <v>-0.77648899999999998</v>
      </c>
      <c r="U2419">
        <v>0.47802729999999999</v>
      </c>
      <c r="V2419">
        <v>3.2133210000000002E-2</v>
      </c>
      <c r="W2419">
        <v>1.7883599999999999E-2</v>
      </c>
      <c r="X2419">
        <v>0.99932359999999998</v>
      </c>
      <c r="Y2419">
        <v>0.1277113</v>
      </c>
      <c r="Z2419">
        <v>9.2159709999999999E-3</v>
      </c>
      <c r="AA2419">
        <v>0.99176850000000005</v>
      </c>
      <c r="AB2419">
        <v>23</v>
      </c>
      <c r="AC2419">
        <v>-0.59690000000000498</v>
      </c>
      <c r="AD2419">
        <v>-0.21340200000000001</v>
      </c>
      <c r="AE2419">
        <v>0.12559999999996299</v>
      </c>
      <c r="AF2419">
        <v>9.7134316835415402E-2</v>
      </c>
      <c r="AG2419">
        <v>-0.21340200000000001</v>
      </c>
      <c r="AH2419">
        <v>0.534701989182087</v>
      </c>
      <c r="AI2419">
        <v>111.438836319839</v>
      </c>
      <c r="AJ2419">
        <v>79.703890238131805</v>
      </c>
      <c r="AK2419">
        <v>0.58385075691169797</v>
      </c>
      <c r="AL2419">
        <v>88.975290583804806</v>
      </c>
      <c r="AM2419">
        <v>88.158291088464594</v>
      </c>
      <c r="AN2419">
        <v>1.00000001192541</v>
      </c>
    </row>
    <row r="2420" spans="1:40" x14ac:dyDescent="0.25">
      <c r="A2420" t="str">
        <f>"20190312154303357"</f>
        <v>20190312154303357</v>
      </c>
      <c r="B2420" t="str">
        <f>"1552376583350402"</f>
        <v>1552376583350402</v>
      </c>
      <c r="C2420" t="s">
        <v>40</v>
      </c>
      <c r="D2420">
        <v>4.6596960000000003</v>
      </c>
      <c r="E2420">
        <v>0.5421916</v>
      </c>
      <c r="F2420" t="s">
        <v>41</v>
      </c>
      <c r="G2420">
        <v>-437.08109999999999</v>
      </c>
      <c r="H2420">
        <v>0.90028189999999997</v>
      </c>
      <c r="I2420">
        <v>284.29410000000001</v>
      </c>
      <c r="J2420">
        <v>-436.50990000000002</v>
      </c>
      <c r="K2420">
        <v>1.110692</v>
      </c>
      <c r="L2420">
        <v>284.17059999999998</v>
      </c>
      <c r="M2420">
        <v>-0.99952569999999996</v>
      </c>
      <c r="N2420">
        <v>0</v>
      </c>
      <c r="O2420">
        <v>2.7579889999999999E-2</v>
      </c>
      <c r="P2420">
        <v>-0.99821689999999996</v>
      </c>
      <c r="Q2420">
        <v>3.4754909999999998E-3</v>
      </c>
      <c r="R2420">
        <v>5.9592770000000003E-2</v>
      </c>
      <c r="S2420">
        <v>-2.9798279999999999</v>
      </c>
      <c r="T2420">
        <v>-0.78210389999999996</v>
      </c>
      <c r="U2420">
        <v>0.48205569999999998</v>
      </c>
      <c r="V2420">
        <v>3.2034680000000003E-2</v>
      </c>
      <c r="W2420">
        <v>1.7177040000000001E-2</v>
      </c>
      <c r="X2420">
        <v>0.99933919999999998</v>
      </c>
      <c r="Y2420">
        <v>0.12906029999999999</v>
      </c>
      <c r="Z2420">
        <v>9.4819350000000004E-3</v>
      </c>
      <c r="AA2420">
        <v>0.99159140000000001</v>
      </c>
      <c r="AB2420">
        <v>23</v>
      </c>
      <c r="AC2420">
        <v>-0.57119999999997595</v>
      </c>
      <c r="AD2420">
        <v>-0.21041009999999999</v>
      </c>
      <c r="AE2420">
        <v>0.123500000000035</v>
      </c>
      <c r="AF2420">
        <v>9.5338857727492399E-2</v>
      </c>
      <c r="AG2420">
        <v>-0.21041009999999999</v>
      </c>
      <c r="AH2420">
        <v>0.50847418417630696</v>
      </c>
      <c r="AI2420">
        <v>112.132521955044</v>
      </c>
      <c r="AJ2420">
        <v>79.380350363132393</v>
      </c>
      <c r="AK2420">
        <v>0.55848715647591596</v>
      </c>
      <c r="AL2420">
        <v>89.015779753470994</v>
      </c>
      <c r="AM2420">
        <v>88.163963087638805</v>
      </c>
      <c r="AN2420">
        <v>1.0000000540412499</v>
      </c>
    </row>
    <row r="2421" spans="1:40" x14ac:dyDescent="0.25">
      <c r="A2421" t="str">
        <f>"20190312154303378"</f>
        <v>20190312154303378</v>
      </c>
      <c r="B2421" t="str">
        <f>"1552376583369927"</f>
        <v>1552376583369927</v>
      </c>
      <c r="C2421" t="s">
        <v>40</v>
      </c>
      <c r="D2421">
        <v>4.6988440000000002</v>
      </c>
      <c r="E2421">
        <v>0.54250739999999997</v>
      </c>
      <c r="F2421" t="s">
        <v>41</v>
      </c>
      <c r="G2421">
        <v>-437.28660000000002</v>
      </c>
      <c r="H2421">
        <v>0.90511600000000003</v>
      </c>
      <c r="I2421">
        <v>284.29750000000001</v>
      </c>
      <c r="J2421">
        <v>-436.73689999999999</v>
      </c>
      <c r="K2421">
        <v>1.110697</v>
      </c>
      <c r="L2421">
        <v>284.17669999999998</v>
      </c>
      <c r="M2421">
        <v>-0.9995288</v>
      </c>
      <c r="N2421">
        <v>0</v>
      </c>
      <c r="O2421">
        <v>2.7474169999999999E-2</v>
      </c>
      <c r="P2421">
        <v>-0.99821539999999997</v>
      </c>
      <c r="Q2421">
        <v>3.2693729999999999E-3</v>
      </c>
      <c r="R2421">
        <v>5.9629870000000001E-2</v>
      </c>
      <c r="S2421">
        <v>-2.979187</v>
      </c>
      <c r="T2421">
        <v>-0.78864419999999902</v>
      </c>
      <c r="U2421">
        <v>0.48541260000000003</v>
      </c>
      <c r="V2421">
        <v>3.217747E-2</v>
      </c>
      <c r="W2421">
        <v>1.6968690000000002E-2</v>
      </c>
      <c r="X2421">
        <v>0.99933810000000001</v>
      </c>
      <c r="Y2421">
        <v>0.1301899</v>
      </c>
      <c r="Z2421">
        <v>9.7331929999999994E-3</v>
      </c>
      <c r="AA2421">
        <v>0.99144129999999997</v>
      </c>
      <c r="AB2421">
        <v>23</v>
      </c>
      <c r="AC2421">
        <v>-0.54970000000002905</v>
      </c>
      <c r="AD2421">
        <v>-0.20558099999999899</v>
      </c>
      <c r="AE2421">
        <v>0.12080000000003099</v>
      </c>
      <c r="AF2421">
        <v>9.32135587962694E-2</v>
      </c>
      <c r="AG2421">
        <v>-0.20558099999999899</v>
      </c>
      <c r="AH2421">
        <v>0.487736239962893</v>
      </c>
      <c r="AI2421">
        <v>112.489916466023</v>
      </c>
      <c r="AJ2421">
        <v>79.180403939031805</v>
      </c>
      <c r="AK2421">
        <v>0.53743739624034903</v>
      </c>
      <c r="AL2421">
        <v>89.027718998698703</v>
      </c>
      <c r="AM2421">
        <v>88.155782826238394</v>
      </c>
      <c r="AN2421">
        <v>0.99999998206376295</v>
      </c>
    </row>
    <row r="2422" spans="1:40" x14ac:dyDescent="0.25">
      <c r="A2422" t="str">
        <f>"20190312154303400"</f>
        <v>20190312154303400</v>
      </c>
      <c r="B2422" t="str">
        <f>"1552376583389443"</f>
        <v>1552376583389443</v>
      </c>
      <c r="C2422" t="s">
        <v>40</v>
      </c>
      <c r="D2422">
        <v>4.8011670000000004</v>
      </c>
      <c r="E2422">
        <v>0.54281990000000002</v>
      </c>
      <c r="F2422" t="s">
        <v>41</v>
      </c>
      <c r="G2422">
        <v>-437.49180000000001</v>
      </c>
      <c r="H2422">
        <v>0.9100608</v>
      </c>
      <c r="I2422">
        <v>284.3005</v>
      </c>
      <c r="J2422">
        <v>-436.95370000000003</v>
      </c>
      <c r="K2422">
        <v>1.110698</v>
      </c>
      <c r="L2422">
        <v>284.18259999999998</v>
      </c>
      <c r="M2422">
        <v>-0.99953139999999996</v>
      </c>
      <c r="N2422">
        <v>0</v>
      </c>
      <c r="O2422">
        <v>2.7373399999999999E-2</v>
      </c>
      <c r="P2422">
        <v>-0.99819789999999997</v>
      </c>
      <c r="Q2422">
        <v>3.2337680000000001E-3</v>
      </c>
      <c r="R2422">
        <v>5.992049E-2</v>
      </c>
      <c r="S2422">
        <v>-2.97879</v>
      </c>
      <c r="T2422">
        <v>-0.7917826</v>
      </c>
      <c r="U2422">
        <v>0.48797610000000002</v>
      </c>
      <c r="V2422">
        <v>3.2569170000000001E-2</v>
      </c>
      <c r="W2422">
        <v>1.693103E-2</v>
      </c>
      <c r="X2422">
        <v>0.99932609999999999</v>
      </c>
      <c r="Y2422">
        <v>0.131081</v>
      </c>
      <c r="Z2422">
        <v>9.9130739999999992E-3</v>
      </c>
      <c r="AA2422">
        <v>0.99132209999999998</v>
      </c>
      <c r="AB2422">
        <v>23</v>
      </c>
      <c r="AC2422">
        <v>-0.53809999999998503</v>
      </c>
      <c r="AD2422">
        <v>-0.20063719999999999</v>
      </c>
      <c r="AE2422">
        <v>0.11790000000002</v>
      </c>
      <c r="AF2422">
        <v>9.1046740222001807E-2</v>
      </c>
      <c r="AG2422">
        <v>-0.20063719999999999</v>
      </c>
      <c r="AH2422">
        <v>0.47774882892625498</v>
      </c>
      <c r="AI2422">
        <v>112.41806456709401</v>
      </c>
      <c r="AJ2422">
        <v>79.210267176875604</v>
      </c>
      <c r="AK2422">
        <v>0.52610715493072402</v>
      </c>
      <c r="AL2422">
        <v>89.029877116634395</v>
      </c>
      <c r="AM2422">
        <v>88.133326348711094</v>
      </c>
      <c r="AN2422">
        <v>1.0000000323762701</v>
      </c>
    </row>
    <row r="2423" spans="1:40" x14ac:dyDescent="0.25">
      <c r="A2423" t="str">
        <f>"20190312154303423"</f>
        <v>20190312154303423</v>
      </c>
      <c r="B2423" t="str">
        <f>"1552376583409939"</f>
        <v>1552376583409939</v>
      </c>
      <c r="C2423" t="s">
        <v>40</v>
      </c>
      <c r="D2423">
        <v>4.6989150000000004</v>
      </c>
      <c r="E2423">
        <v>0.54303880000000004</v>
      </c>
      <c r="F2423" t="s">
        <v>41</v>
      </c>
      <c r="G2423">
        <v>-437.69600000000003</v>
      </c>
      <c r="H2423">
        <v>0.91288040000000004</v>
      </c>
      <c r="I2423">
        <v>284.30540000000002</v>
      </c>
      <c r="J2423">
        <v>-437.18549999999999</v>
      </c>
      <c r="K2423">
        <v>1.1106929999999999</v>
      </c>
      <c r="L2423">
        <v>284.18880000000001</v>
      </c>
      <c r="M2423">
        <v>-0.99953440000000005</v>
      </c>
      <c r="N2423">
        <v>0</v>
      </c>
      <c r="O2423">
        <v>2.726572E-2</v>
      </c>
      <c r="P2423">
        <v>-0.99818669999999998</v>
      </c>
      <c r="Q2423">
        <v>2.9027290000000002E-3</v>
      </c>
      <c r="R2423">
        <v>6.0125379999999999E-2</v>
      </c>
      <c r="S2423">
        <v>-2.978485</v>
      </c>
      <c r="T2423">
        <v>-0.79382180000000002</v>
      </c>
      <c r="U2423">
        <v>0.49182130000000002</v>
      </c>
      <c r="V2423">
        <v>3.2882229999999998E-2</v>
      </c>
      <c r="W2423">
        <v>1.6597290000000001E-2</v>
      </c>
      <c r="X2423">
        <v>0.99932140000000003</v>
      </c>
      <c r="Y2423">
        <v>0.13238440000000001</v>
      </c>
      <c r="Z2423">
        <v>1.0135389999999999E-2</v>
      </c>
      <c r="AA2423">
        <v>0.99114659999999999</v>
      </c>
      <c r="AB2423">
        <v>23</v>
      </c>
      <c r="AC2423">
        <v>-0.51049999999997897</v>
      </c>
      <c r="AD2423">
        <v>-0.19781259999999901</v>
      </c>
      <c r="AE2423">
        <v>0.11660000000000501</v>
      </c>
      <c r="AF2423">
        <v>8.9818825663531304E-2</v>
      </c>
      <c r="AG2423">
        <v>-0.19781259999999901</v>
      </c>
      <c r="AH2423">
        <v>0.44936429332991301</v>
      </c>
      <c r="AI2423">
        <v>113.34825949896501</v>
      </c>
      <c r="AJ2423">
        <v>78.696692129243004</v>
      </c>
      <c r="AK2423">
        <v>0.49912474821654401</v>
      </c>
      <c r="AL2423">
        <v>89.049001652799404</v>
      </c>
      <c r="AM2423">
        <v>88.115387607257105</v>
      </c>
      <c r="AN2423">
        <v>0.99999998579153804</v>
      </c>
    </row>
    <row r="2424" spans="1:40" x14ac:dyDescent="0.25">
      <c r="A2424" t="str">
        <f>"20190312154303446"</f>
        <v>20190312154303446</v>
      </c>
      <c r="B2424" t="str">
        <f>"1552376583440198"</f>
        <v>1552376583440198</v>
      </c>
      <c r="C2424" t="s">
        <v>40</v>
      </c>
      <c r="D2424">
        <v>4.6141329999999998</v>
      </c>
      <c r="E2424">
        <v>0.54339329999999997</v>
      </c>
      <c r="F2424" t="s">
        <v>41</v>
      </c>
      <c r="G2424">
        <v>-437.9015</v>
      </c>
      <c r="H2424">
        <v>0.91913219999999995</v>
      </c>
      <c r="I2424">
        <v>284.3075</v>
      </c>
      <c r="J2424">
        <v>-437.41210000000001</v>
      </c>
      <c r="K2424">
        <v>1.110692</v>
      </c>
      <c r="L2424">
        <v>284.19479999999999</v>
      </c>
      <c r="M2424">
        <v>-0.99953729999999996</v>
      </c>
      <c r="N2424">
        <v>0</v>
      </c>
      <c r="O2424">
        <v>2.7159470000000002E-2</v>
      </c>
      <c r="P2424">
        <v>-0.99819259999999999</v>
      </c>
      <c r="Q2424">
        <v>2.9164830000000001E-3</v>
      </c>
      <c r="R2424">
        <v>6.002598E-2</v>
      </c>
      <c r="S2424">
        <v>-2.9779659999999999</v>
      </c>
      <c r="T2424">
        <v>-0.79683579999999998</v>
      </c>
      <c r="U2424">
        <v>0.49401859999999997</v>
      </c>
      <c r="V2424">
        <v>3.2888819999999999E-2</v>
      </c>
      <c r="W2424">
        <v>1.6608250000000001E-2</v>
      </c>
      <c r="X2424">
        <v>0.99932100000000001</v>
      </c>
      <c r="Y2424">
        <v>0.13317129999999999</v>
      </c>
      <c r="Z2424">
        <v>1.0304239999999999E-2</v>
      </c>
      <c r="AA2424">
        <v>0.99103949999999996</v>
      </c>
      <c r="AB2424">
        <v>23</v>
      </c>
      <c r="AC2424">
        <v>-0.48939999999998901</v>
      </c>
      <c r="AD2424">
        <v>-0.191559799999999</v>
      </c>
      <c r="AE2424">
        <v>0.11270000000001799</v>
      </c>
      <c r="AF2424">
        <v>8.6744645088503505E-2</v>
      </c>
      <c r="AG2424">
        <v>-0.191559799999999</v>
      </c>
      <c r="AH2424">
        <v>0.42975458707568498</v>
      </c>
      <c r="AI2424">
        <v>113.601980045967</v>
      </c>
      <c r="AJ2424">
        <v>78.588352383166296</v>
      </c>
      <c r="AK2424">
        <v>0.47844414045963901</v>
      </c>
      <c r="AL2424">
        <v>89.048373603483697</v>
      </c>
      <c r="AM2424">
        <v>88.115009426432707</v>
      </c>
      <c r="AN2424">
        <v>0.99999998474502705</v>
      </c>
    </row>
    <row r="2425" spans="1:40" x14ac:dyDescent="0.25">
      <c r="A2425" t="str">
        <f>"20190312154303467"</f>
        <v>20190312154303467</v>
      </c>
      <c r="B2425" t="str">
        <f>"1552376583459715"</f>
        <v>1552376583459715</v>
      </c>
      <c r="C2425" t="s">
        <v>40</v>
      </c>
      <c r="D2425">
        <v>4.5642909999999999</v>
      </c>
      <c r="E2425">
        <v>0.54353319999999905</v>
      </c>
      <c r="F2425" t="s">
        <v>41</v>
      </c>
      <c r="G2425">
        <v>-438.10640000000001</v>
      </c>
      <c r="H2425">
        <v>0.92447749999999995</v>
      </c>
      <c r="I2425">
        <v>284.3109</v>
      </c>
      <c r="J2425">
        <v>-437.6377</v>
      </c>
      <c r="K2425">
        <v>1.110692</v>
      </c>
      <c r="L2425">
        <v>284.20080000000002</v>
      </c>
      <c r="M2425">
        <v>-0.99954019999999999</v>
      </c>
      <c r="N2425">
        <v>0</v>
      </c>
      <c r="O2425">
        <v>2.7053939999999999E-2</v>
      </c>
      <c r="P2425">
        <v>-0.99821380000000004</v>
      </c>
      <c r="Q2425">
        <v>2.8343869999999998E-3</v>
      </c>
      <c r="R2425">
        <v>5.967563E-2</v>
      </c>
      <c r="S2425">
        <v>-2.977875</v>
      </c>
      <c r="T2425">
        <v>-0.79869769999999995</v>
      </c>
      <c r="U2425">
        <v>0.49700929999999999</v>
      </c>
      <c r="V2425">
        <v>3.264363E-2</v>
      </c>
      <c r="W2425">
        <v>1.6524339999999998E-2</v>
      </c>
      <c r="X2425">
        <v>0.99933050000000001</v>
      </c>
      <c r="Y2425">
        <v>0.13419420000000001</v>
      </c>
      <c r="Z2425">
        <v>1.0488549999999999E-2</v>
      </c>
      <c r="AA2425">
        <v>0.99089959999999999</v>
      </c>
      <c r="AB2425">
        <v>23</v>
      </c>
      <c r="AC2425">
        <v>-0.468700000000012</v>
      </c>
      <c r="AD2425">
        <v>-0.18621450000000001</v>
      </c>
      <c r="AE2425">
        <v>0.110099999999988</v>
      </c>
      <c r="AF2425">
        <v>8.4706803946446599E-2</v>
      </c>
      <c r="AG2425">
        <v>-0.18621450000000001</v>
      </c>
      <c r="AH2425">
        <v>0.41015164227256001</v>
      </c>
      <c r="AI2425">
        <v>113.971386763593</v>
      </c>
      <c r="AJ2425">
        <v>78.3310151857427</v>
      </c>
      <c r="AK2425">
        <v>0.45833988731502501</v>
      </c>
      <c r="AL2425">
        <v>89.053182018141896</v>
      </c>
      <c r="AM2425">
        <v>88.129069999921398</v>
      </c>
      <c r="AN2425">
        <v>1.00000005431112</v>
      </c>
    </row>
    <row r="2426" spans="1:40" x14ac:dyDescent="0.25">
      <c r="A2426" t="str">
        <f>"20190312154303491"</f>
        <v>20190312154303491</v>
      </c>
      <c r="B2426" t="str">
        <f>"1552376583480210"</f>
        <v>1552376583480210</v>
      </c>
      <c r="C2426" t="s">
        <v>40</v>
      </c>
      <c r="D2426">
        <v>4.6191940000000002</v>
      </c>
      <c r="E2426">
        <v>0.54356649999999995</v>
      </c>
      <c r="F2426" t="s">
        <v>41</v>
      </c>
      <c r="G2426">
        <v>-438.31119999999999</v>
      </c>
      <c r="H2426">
        <v>0.92999160000000003</v>
      </c>
      <c r="I2426">
        <v>284.31330000000003</v>
      </c>
      <c r="J2426">
        <v>-437.8689</v>
      </c>
      <c r="K2426">
        <v>1.1106910000000001</v>
      </c>
      <c r="L2426">
        <v>284.20699999999999</v>
      </c>
      <c r="M2426">
        <v>-0.99954319999999997</v>
      </c>
      <c r="N2426">
        <v>0</v>
      </c>
      <c r="O2426">
        <v>2.6944889999999999E-2</v>
      </c>
      <c r="P2426">
        <v>-0.99820940000000002</v>
      </c>
      <c r="Q2426">
        <v>2.929928E-3</v>
      </c>
      <c r="R2426">
        <v>5.9745510000000002E-2</v>
      </c>
      <c r="S2426">
        <v>-2.9779659999999999</v>
      </c>
      <c r="T2426">
        <v>-0.79901909999999998</v>
      </c>
      <c r="U2426">
        <v>0.49691770000000002</v>
      </c>
      <c r="V2426">
        <v>3.2822619999999997E-2</v>
      </c>
      <c r="W2426">
        <v>1.661731E-2</v>
      </c>
      <c r="X2426">
        <v>0.99932310000000002</v>
      </c>
      <c r="Y2426">
        <v>0.13425899999999999</v>
      </c>
      <c r="Z2426">
        <v>1.052935E-2</v>
      </c>
      <c r="AA2426">
        <v>0.9908903</v>
      </c>
      <c r="AB2426">
        <v>23</v>
      </c>
      <c r="AC2426">
        <v>-0.44229999999998798</v>
      </c>
      <c r="AD2426">
        <v>-0.18069940000000001</v>
      </c>
      <c r="AE2426">
        <v>0.10630000000003199</v>
      </c>
      <c r="AF2426">
        <v>8.1484709730955202E-2</v>
      </c>
      <c r="AG2426">
        <v>-0.18069940000000001</v>
      </c>
      <c r="AH2426">
        <v>0.38435478504524301</v>
      </c>
      <c r="AI2426">
        <v>114.698410152801</v>
      </c>
      <c r="AJ2426">
        <v>78.030300309812503</v>
      </c>
      <c r="AK2426">
        <v>0.43245882100781902</v>
      </c>
      <c r="AL2426">
        <v>89.047854502569606</v>
      </c>
      <c r="AM2426">
        <v>88.118804836134601</v>
      </c>
      <c r="AN2426">
        <v>1.00000005878445</v>
      </c>
    </row>
    <row r="2427" spans="1:40" x14ac:dyDescent="0.25">
      <c r="A2427" t="str">
        <f>"20190312154303513"</f>
        <v>20190312154303513</v>
      </c>
      <c r="B2427" t="str">
        <f>"1552376583499732"</f>
        <v>1552376583499732</v>
      </c>
      <c r="C2427" t="s">
        <v>40</v>
      </c>
      <c r="D2427">
        <v>4.5722839999999998</v>
      </c>
      <c r="E2427">
        <v>0.54364119999999905</v>
      </c>
      <c r="F2427" t="s">
        <v>41</v>
      </c>
      <c r="G2427">
        <v>-438.69650000000001</v>
      </c>
      <c r="H2427">
        <v>0.88872169999999895</v>
      </c>
      <c r="I2427">
        <v>284.34539999999998</v>
      </c>
      <c r="J2427">
        <v>-438.0917</v>
      </c>
      <c r="K2427">
        <v>1.1106990000000001</v>
      </c>
      <c r="L2427">
        <v>284.21280000000002</v>
      </c>
      <c r="M2427">
        <v>-0.99954609999999999</v>
      </c>
      <c r="N2427">
        <v>0</v>
      </c>
      <c r="O2427">
        <v>2.6840960000000001E-2</v>
      </c>
      <c r="P2427">
        <v>-0.99824060000000003</v>
      </c>
      <c r="Q2427">
        <v>2.4891739999999998E-3</v>
      </c>
      <c r="R2427">
        <v>5.9243240000000003E-2</v>
      </c>
      <c r="S2427">
        <v>-2.9779659999999999</v>
      </c>
      <c r="T2427">
        <v>-0.79876919999999996</v>
      </c>
      <c r="U2427">
        <v>0.49734499999999998</v>
      </c>
      <c r="V2427">
        <v>3.242366E-2</v>
      </c>
      <c r="W2427">
        <v>1.617439E-2</v>
      </c>
      <c r="X2427">
        <v>0.99934330000000005</v>
      </c>
      <c r="Y2427">
        <v>0.1344911</v>
      </c>
      <c r="Z2427">
        <v>1.058362E-2</v>
      </c>
      <c r="AA2427">
        <v>0.99085829999999997</v>
      </c>
      <c r="AB2427">
        <v>23</v>
      </c>
      <c r="AC2427">
        <v>-0.604800000000011</v>
      </c>
      <c r="AD2427">
        <v>-0.22197729999999999</v>
      </c>
      <c r="AE2427">
        <v>0.13259999999996799</v>
      </c>
      <c r="AF2427">
        <v>0.10306975293805801</v>
      </c>
      <c r="AG2427">
        <v>-0.22197729999999999</v>
      </c>
      <c r="AH2427">
        <v>0.538879447618268</v>
      </c>
      <c r="AI2427">
        <v>112.02775252497401</v>
      </c>
      <c r="AJ2427">
        <v>79.171995295036595</v>
      </c>
      <c r="AK2427">
        <v>0.59185163238042404</v>
      </c>
      <c r="AL2427">
        <v>89.073235275465507</v>
      </c>
      <c r="AM2427">
        <v>88.141692229128495</v>
      </c>
      <c r="AN2427">
        <v>0.99999996793727797</v>
      </c>
    </row>
    <row r="2428" spans="1:40" x14ac:dyDescent="0.25">
      <c r="A2428" t="str">
        <f>"20190312154303535"</f>
        <v>20190312154303535</v>
      </c>
      <c r="B2428" t="str">
        <f>"1552376583529991"</f>
        <v>1552376583529991</v>
      </c>
      <c r="C2428" t="s">
        <v>40</v>
      </c>
      <c r="D2428">
        <v>4.5604829999999996</v>
      </c>
      <c r="E2428">
        <v>0.54402969999999995</v>
      </c>
      <c r="F2428" t="s">
        <v>41</v>
      </c>
      <c r="G2428">
        <v>-438.8999</v>
      </c>
      <c r="H2428">
        <v>0.89360810000000002</v>
      </c>
      <c r="I2428">
        <v>284.34780000000001</v>
      </c>
      <c r="J2428">
        <v>-438.32100000000003</v>
      </c>
      <c r="K2428">
        <v>1.1106990000000001</v>
      </c>
      <c r="L2428">
        <v>284.21890000000002</v>
      </c>
      <c r="M2428">
        <v>-0.99954900000000002</v>
      </c>
      <c r="N2428">
        <v>0</v>
      </c>
      <c r="O2428">
        <v>2.6733880000000002E-2</v>
      </c>
      <c r="P2428">
        <v>-0.99826040000000005</v>
      </c>
      <c r="Q2428">
        <v>2.8106680000000001E-3</v>
      </c>
      <c r="R2428">
        <v>5.8892729999999997E-2</v>
      </c>
      <c r="S2428">
        <v>-2.9777830000000001</v>
      </c>
      <c r="T2428">
        <v>-0.79993049999999999</v>
      </c>
      <c r="U2428">
        <v>0.49646000000000001</v>
      </c>
      <c r="V2428">
        <v>3.2179729999999997E-2</v>
      </c>
      <c r="W2428">
        <v>1.649335E-2</v>
      </c>
      <c r="X2428">
        <v>0.99934599999999996</v>
      </c>
      <c r="Y2428">
        <v>0.13431179999999901</v>
      </c>
      <c r="Z2428">
        <v>1.0603889999999999E-2</v>
      </c>
      <c r="AA2428">
        <v>0.99088240000000005</v>
      </c>
      <c r="AB2428">
        <v>23</v>
      </c>
      <c r="AC2428">
        <v>-0.57890000000003194</v>
      </c>
      <c r="AD2428">
        <v>-0.217090899999999</v>
      </c>
      <c r="AE2428">
        <v>0.128899999999987</v>
      </c>
      <c r="AF2428">
        <v>9.9980230923591207E-2</v>
      </c>
      <c r="AG2428">
        <v>-0.217090899999999</v>
      </c>
      <c r="AH2428">
        <v>0.51335654070821302</v>
      </c>
      <c r="AI2428">
        <v>112.542665973086</v>
      </c>
      <c r="AJ2428">
        <v>78.9791559495022</v>
      </c>
      <c r="AK2428">
        <v>0.56626799602860101</v>
      </c>
      <c r="AL2428">
        <v>89.054957801782805</v>
      </c>
      <c r="AM2428">
        <v>88.155667956023393</v>
      </c>
      <c r="AN2428">
        <v>0.99999999666654704</v>
      </c>
    </row>
    <row r="2429" spans="1:40" x14ac:dyDescent="0.25">
      <c r="A2429" t="str">
        <f>"20190312154303557"</f>
        <v>20190312154303557</v>
      </c>
      <c r="B2429" t="str">
        <f>"1552376583549507"</f>
        <v>1552376583549507</v>
      </c>
      <c r="C2429" t="s">
        <v>40</v>
      </c>
      <c r="D2429">
        <v>4.715611</v>
      </c>
      <c r="E2429">
        <v>0.54435419999999901</v>
      </c>
      <c r="F2429" t="s">
        <v>41</v>
      </c>
      <c r="G2429">
        <v>-439.10379999999998</v>
      </c>
      <c r="H2429">
        <v>0.900142199999999</v>
      </c>
      <c r="I2429">
        <v>284.35000000000002</v>
      </c>
      <c r="J2429">
        <v>-438.53699999999998</v>
      </c>
      <c r="K2429">
        <v>1.1107009999999999</v>
      </c>
      <c r="L2429">
        <v>284.22449999999998</v>
      </c>
      <c r="M2429">
        <v>-0.99955170000000004</v>
      </c>
      <c r="N2429">
        <v>0</v>
      </c>
      <c r="O2429">
        <v>2.663358E-2</v>
      </c>
      <c r="P2429">
        <v>-0.99827169999999998</v>
      </c>
      <c r="Q2429">
        <v>2.7645009999999999E-3</v>
      </c>
      <c r="R2429">
        <v>5.8704239999999998E-2</v>
      </c>
      <c r="S2429">
        <v>-2.9780880000000001</v>
      </c>
      <c r="T2429">
        <v>-0.80101279999999997</v>
      </c>
      <c r="U2429">
        <v>0.49816890000000003</v>
      </c>
      <c r="V2429">
        <v>3.2091250000000002E-2</v>
      </c>
      <c r="W2429">
        <v>1.6444730000000001E-2</v>
      </c>
      <c r="X2429">
        <v>0.99934970000000001</v>
      </c>
      <c r="Y2429">
        <v>0.13491489999999901</v>
      </c>
      <c r="Z2429">
        <v>1.0721720000000001E-2</v>
      </c>
      <c r="AA2429">
        <v>0.99079919999999999</v>
      </c>
      <c r="AB2429">
        <v>23</v>
      </c>
      <c r="AC2429">
        <v>-0.56679999999999997</v>
      </c>
      <c r="AD2429">
        <v>-0.21055879999999999</v>
      </c>
      <c r="AE2429">
        <v>0.12550000000004499</v>
      </c>
      <c r="AF2429">
        <v>9.7528039614668494E-2</v>
      </c>
      <c r="AG2429">
        <v>-0.21055879999999999</v>
      </c>
      <c r="AH2429">
        <v>0.50368097502814202</v>
      </c>
      <c r="AI2429">
        <v>112.314078432275</v>
      </c>
      <c r="AJ2429">
        <v>79.041398133673098</v>
      </c>
      <c r="AK2429">
        <v>0.554564019184278</v>
      </c>
      <c r="AL2429">
        <v>89.057743950882298</v>
      </c>
      <c r="AM2429">
        <v>88.160742369144998</v>
      </c>
      <c r="AN2429">
        <v>1.00000005018071</v>
      </c>
    </row>
    <row r="2430" spans="1:40" x14ac:dyDescent="0.25">
      <c r="A2430" t="str">
        <f>"20190312154303579"</f>
        <v>20190312154303579</v>
      </c>
      <c r="B2430" t="str">
        <f>"1552376583570003"</f>
        <v>1552376583570003</v>
      </c>
      <c r="C2430" t="s">
        <v>40</v>
      </c>
      <c r="D2430">
        <v>4.5415340000000004</v>
      </c>
      <c r="E2430">
        <v>0.54439689999999996</v>
      </c>
      <c r="F2430" t="s">
        <v>41</v>
      </c>
      <c r="G2430">
        <v>-439.30599999999998</v>
      </c>
      <c r="H2430">
        <v>0.90346059999999995</v>
      </c>
      <c r="I2430">
        <v>284.35410000000002</v>
      </c>
      <c r="J2430">
        <v>-438.76409999999998</v>
      </c>
      <c r="K2430">
        <v>1.1107009999999999</v>
      </c>
      <c r="L2430">
        <v>284.23039999999997</v>
      </c>
      <c r="M2430">
        <v>-0.99955459999999996</v>
      </c>
      <c r="N2430">
        <v>0</v>
      </c>
      <c r="O2430">
        <v>2.652769E-2</v>
      </c>
      <c r="P2430">
        <v>-0.99824999999999997</v>
      </c>
      <c r="Q2430">
        <v>2.6264230000000001E-3</v>
      </c>
      <c r="R2430">
        <v>5.9078539999999999E-2</v>
      </c>
      <c r="S2430">
        <v>-2.9779659999999999</v>
      </c>
      <c r="T2430">
        <v>-0.80254669999999995</v>
      </c>
      <c r="U2430">
        <v>0.50015259999999995</v>
      </c>
      <c r="V2430">
        <v>3.2572080000000003E-2</v>
      </c>
      <c r="W2430">
        <v>1.630407E-2</v>
      </c>
      <c r="X2430">
        <v>0.99933640000000001</v>
      </c>
      <c r="Y2430">
        <v>0.1356261</v>
      </c>
      <c r="Z2430">
        <v>1.0862790000000001E-2</v>
      </c>
      <c r="AA2430">
        <v>0.99070049999999998</v>
      </c>
      <c r="AB2430">
        <v>23</v>
      </c>
      <c r="AC2430">
        <v>-0.54189999999999805</v>
      </c>
      <c r="AD2430">
        <v>-0.20724039999999999</v>
      </c>
      <c r="AE2430">
        <v>0.123700000000042</v>
      </c>
      <c r="AF2430">
        <v>9.5942640809997898E-2</v>
      </c>
      <c r="AG2430">
        <v>-0.20724039999999999</v>
      </c>
      <c r="AH2430">
        <v>0.47847725275425101</v>
      </c>
      <c r="AI2430">
        <v>113.00955473232</v>
      </c>
      <c r="AJ2430">
        <v>78.6616087531159</v>
      </c>
      <c r="AK2430">
        <v>0.530183039261925</v>
      </c>
      <c r="AL2430">
        <v>89.065804210204604</v>
      </c>
      <c r="AM2430">
        <v>88.133178910211598</v>
      </c>
      <c r="AN2430">
        <v>1.0000000017295201</v>
      </c>
    </row>
    <row r="2431" spans="1:40" x14ac:dyDescent="0.25">
      <c r="A2431" t="str">
        <f>"20190312154303601"</f>
        <v>20190312154303601</v>
      </c>
      <c r="B2431" t="str">
        <f>"1552376583589523"</f>
        <v>1552376583589523</v>
      </c>
      <c r="C2431" t="s">
        <v>40</v>
      </c>
      <c r="D2431">
        <v>4.6141439999999996</v>
      </c>
      <c r="E2431">
        <v>0.54457800000000001</v>
      </c>
      <c r="F2431" t="s">
        <v>41</v>
      </c>
      <c r="G2431">
        <v>-439.5093</v>
      </c>
      <c r="H2431">
        <v>0.90983080000000005</v>
      </c>
      <c r="I2431">
        <v>284.35610000000003</v>
      </c>
      <c r="J2431">
        <v>-438.98059999999998</v>
      </c>
      <c r="K2431">
        <v>1.1107</v>
      </c>
      <c r="L2431">
        <v>284.23599999999999</v>
      </c>
      <c r="M2431">
        <v>-0.99955709999999998</v>
      </c>
      <c r="N2431">
        <v>0</v>
      </c>
      <c r="O2431">
        <v>2.6426209999999999E-2</v>
      </c>
      <c r="P2431">
        <v>-0.99823839999999997</v>
      </c>
      <c r="Q2431">
        <v>2.351746E-3</v>
      </c>
      <c r="R2431">
        <v>5.9282370000000001E-2</v>
      </c>
      <c r="S2431">
        <v>-2.9776919999999998</v>
      </c>
      <c r="T2431">
        <v>-0.80262800000000001</v>
      </c>
      <c r="U2431">
        <v>0.5017395</v>
      </c>
      <c r="V2431">
        <v>3.2877669999999998E-2</v>
      </c>
      <c r="W2431">
        <v>1.602659E-2</v>
      </c>
      <c r="X2431">
        <v>0.99933090000000002</v>
      </c>
      <c r="Y2431">
        <v>0.1362295</v>
      </c>
      <c r="Z2431">
        <v>1.097039E-2</v>
      </c>
      <c r="AA2431">
        <v>0.99061659999999996</v>
      </c>
      <c r="AB2431">
        <v>22</v>
      </c>
      <c r="AC2431">
        <v>-0.52870000000001405</v>
      </c>
      <c r="AD2431">
        <v>-0.2008692</v>
      </c>
      <c r="AE2431">
        <v>0.120100000000036</v>
      </c>
      <c r="AF2431">
        <v>9.3281071210737102E-2</v>
      </c>
      <c r="AG2431">
        <v>-0.2008692</v>
      </c>
      <c r="AH2431">
        <v>0.46751626124222101</v>
      </c>
      <c r="AI2431">
        <v>112.847964762224</v>
      </c>
      <c r="AJ2431">
        <v>78.716251720898498</v>
      </c>
      <c r="AK2431">
        <v>0.51732122349732301</v>
      </c>
      <c r="AL2431">
        <v>89.081704737800493</v>
      </c>
      <c r="AM2431">
        <v>88.115666671112393</v>
      </c>
      <c r="AN2431">
        <v>1.00000002023323</v>
      </c>
    </row>
    <row r="2432" spans="1:40" x14ac:dyDescent="0.25">
      <c r="A2432" t="str">
        <f>"20190312154303635"</f>
        <v>20190312154303635</v>
      </c>
      <c r="B2432" t="str">
        <f>"1552376583630136"</f>
        <v>1552376583630136</v>
      </c>
      <c r="C2432" t="s">
        <v>40</v>
      </c>
      <c r="D2432">
        <v>4.6120830000000002</v>
      </c>
      <c r="E2432">
        <v>0.54491029999999996</v>
      </c>
      <c r="F2432" t="s">
        <v>41</v>
      </c>
      <c r="G2432">
        <v>-439.71120000000002</v>
      </c>
      <c r="H2432">
        <v>0.91342950000000001</v>
      </c>
      <c r="I2432">
        <v>284.3603</v>
      </c>
      <c r="J2432">
        <v>-439.32100000000003</v>
      </c>
      <c r="K2432">
        <v>1.110698</v>
      </c>
      <c r="L2432">
        <v>284.2448</v>
      </c>
      <c r="M2432">
        <v>-0.99956140000000004</v>
      </c>
      <c r="N2432">
        <v>0</v>
      </c>
      <c r="O2432">
        <v>2.6266100000000001E-2</v>
      </c>
      <c r="P2432">
        <v>-0.99824000000000002</v>
      </c>
      <c r="Q2432">
        <v>2.428889E-3</v>
      </c>
      <c r="R2432">
        <v>5.9255599999999999E-2</v>
      </c>
      <c r="S2432">
        <v>-2.9772340000000002</v>
      </c>
      <c r="T2432">
        <v>-0.80401029999999996</v>
      </c>
      <c r="U2432">
        <v>0.50411989999999995</v>
      </c>
      <c r="V2432">
        <v>3.3010980000000002E-2</v>
      </c>
      <c r="W2432">
        <v>1.6100969999999999E-2</v>
      </c>
      <c r="X2432">
        <v>0.99932529999999997</v>
      </c>
      <c r="Y2432">
        <v>0.13713259999999999</v>
      </c>
      <c r="Z2432">
        <v>1.1150709999999999E-2</v>
      </c>
      <c r="AA2432">
        <v>0.99048999999999998</v>
      </c>
      <c r="AB2432">
        <v>22</v>
      </c>
      <c r="AC2432">
        <v>-0.39020000000004901</v>
      </c>
      <c r="AD2432">
        <v>-0.19726850000000001</v>
      </c>
      <c r="AE2432">
        <v>0.11549999999999699</v>
      </c>
      <c r="AF2432">
        <v>8.5190517989707296E-2</v>
      </c>
      <c r="AG2432">
        <v>-0.19726850000000001</v>
      </c>
      <c r="AH2432">
        <v>0.31829949979316902</v>
      </c>
      <c r="AI2432">
        <v>120.908350844833</v>
      </c>
      <c r="AJ2432">
        <v>75.016388915261601</v>
      </c>
      <c r="AK2432">
        <v>0.38404017630475401</v>
      </c>
      <c r="AL2432">
        <v>89.0774425189867</v>
      </c>
      <c r="AM2432">
        <v>88.108021159705302</v>
      </c>
      <c r="AN2432">
        <v>1.00000001062779</v>
      </c>
    </row>
    <row r="2433" spans="1:40" x14ac:dyDescent="0.25">
      <c r="A2433" t="str">
        <f>"20190312154303658"</f>
        <v>20190312154303658</v>
      </c>
      <c r="B2433" t="str">
        <f>"1552376583649653"</f>
        <v>1552376583649653</v>
      </c>
      <c r="C2433" t="s">
        <v>40</v>
      </c>
      <c r="D2433">
        <v>4.733257</v>
      </c>
      <c r="E2433">
        <v>0.54513339999999999</v>
      </c>
      <c r="F2433" t="s">
        <v>41</v>
      </c>
      <c r="G2433">
        <v>-440.10489999999999</v>
      </c>
      <c r="H2433">
        <v>0.89879509999999996</v>
      </c>
      <c r="I2433">
        <v>284.37889999999999</v>
      </c>
      <c r="J2433">
        <v>-439.54849999999999</v>
      </c>
      <c r="K2433">
        <v>1.1107009999999999</v>
      </c>
      <c r="L2433">
        <v>284.25069999999999</v>
      </c>
      <c r="M2433">
        <v>-0.99956429999999996</v>
      </c>
      <c r="N2433">
        <v>0</v>
      </c>
      <c r="O2433">
        <v>2.6159479999999999E-2</v>
      </c>
      <c r="P2433">
        <v>-0.9982782</v>
      </c>
      <c r="Q2433">
        <v>2.6782709999999999E-3</v>
      </c>
      <c r="R2433">
        <v>5.8598280000000003E-2</v>
      </c>
      <c r="S2433">
        <v>-2.977112</v>
      </c>
      <c r="T2433">
        <v>-0.80472180000000004</v>
      </c>
      <c r="U2433">
        <v>0.50769039999999999</v>
      </c>
      <c r="V2433">
        <v>3.2459490000000001E-2</v>
      </c>
      <c r="W2433">
        <v>1.6348410000000001E-2</v>
      </c>
      <c r="X2433">
        <v>0.99933930000000004</v>
      </c>
      <c r="Y2433">
        <v>0.13834730000000001</v>
      </c>
      <c r="Z2433">
        <v>1.1347909999999999E-2</v>
      </c>
      <c r="AA2433">
        <v>0.99031880000000005</v>
      </c>
      <c r="AB2433">
        <v>22</v>
      </c>
      <c r="AC2433">
        <v>-0.55639999999999601</v>
      </c>
      <c r="AD2433">
        <v>-0.21190590000000001</v>
      </c>
      <c r="AE2433">
        <v>0.12819999999999199</v>
      </c>
      <c r="AF2433">
        <v>9.9847101540530003E-2</v>
      </c>
      <c r="AG2433">
        <v>-0.21190590000000001</v>
      </c>
      <c r="AH2433">
        <v>0.49182200352109701</v>
      </c>
      <c r="AI2433">
        <v>112.891677047557</v>
      </c>
      <c r="AJ2433">
        <v>78.524077517988204</v>
      </c>
      <c r="AK2433">
        <v>0.54475906352107695</v>
      </c>
      <c r="AL2433">
        <v>89.063263340192904</v>
      </c>
      <c r="AM2433">
        <v>88.1396326937694</v>
      </c>
      <c r="AN2433">
        <v>0.999999962762538</v>
      </c>
    </row>
    <row r="2434" spans="1:40" x14ac:dyDescent="0.25">
      <c r="A2434" t="str">
        <f>"20190312154303680"</f>
        <v>20190312154303680</v>
      </c>
      <c r="B2434" t="str">
        <f>"1552376583670149"</f>
        <v>1552376583670149</v>
      </c>
      <c r="C2434" t="s">
        <v>40</v>
      </c>
      <c r="D2434">
        <v>4.6675259999999996</v>
      </c>
      <c r="E2434">
        <v>0.54528330000000003</v>
      </c>
      <c r="F2434" t="s">
        <v>41</v>
      </c>
      <c r="G2434">
        <v>-440.3073</v>
      </c>
      <c r="H2434">
        <v>0.90548859999999998</v>
      </c>
      <c r="I2434">
        <v>284.37990000000002</v>
      </c>
      <c r="J2434">
        <v>-439.76979999999998</v>
      </c>
      <c r="K2434">
        <v>1.1107049999999901</v>
      </c>
      <c r="L2434">
        <v>284.25630000000001</v>
      </c>
      <c r="M2434">
        <v>-0.99956699999999998</v>
      </c>
      <c r="N2434">
        <v>0</v>
      </c>
      <c r="O2434">
        <v>2.6055849999999998E-2</v>
      </c>
      <c r="P2434">
        <v>-0.99832619999999905</v>
      </c>
      <c r="Q2434">
        <v>2.9848629999999999E-3</v>
      </c>
      <c r="R2434">
        <v>5.7759600000000001E-2</v>
      </c>
      <c r="S2434">
        <v>-2.9775700000000001</v>
      </c>
      <c r="T2434">
        <v>-0.80525839999999904</v>
      </c>
      <c r="U2434">
        <v>0.50720209999999999</v>
      </c>
      <c r="V2434">
        <v>3.1723389999999997E-2</v>
      </c>
      <c r="W2434">
        <v>1.6653069999999999E-2</v>
      </c>
      <c r="X2434">
        <v>0.99935790000000002</v>
      </c>
      <c r="Y2434">
        <v>0.1382621</v>
      </c>
      <c r="Z2434">
        <v>1.1369779999999999E-2</v>
      </c>
      <c r="AA2434">
        <v>0.99033040000000006</v>
      </c>
      <c r="AB2434">
        <v>22</v>
      </c>
      <c r="AC2434">
        <v>-0.53750000000002196</v>
      </c>
      <c r="AD2434">
        <v>-0.20521639999999899</v>
      </c>
      <c r="AE2434">
        <v>0.12360000000000999</v>
      </c>
      <c r="AF2434">
        <v>9.6228929707270094E-2</v>
      </c>
      <c r="AG2434">
        <v>-0.20521639999999899</v>
      </c>
      <c r="AH2434">
        <v>0.47480249334996799</v>
      </c>
      <c r="AI2434">
        <v>112.957608622141</v>
      </c>
      <c r="AJ2434">
        <v>78.5429653329318</v>
      </c>
      <c r="AK2434">
        <v>0.52612848757020603</v>
      </c>
      <c r="AL2434">
        <v>89.045805223262306</v>
      </c>
      <c r="AM2434">
        <v>88.1818263403961</v>
      </c>
      <c r="AN2434">
        <v>0.99999995525296204</v>
      </c>
    </row>
    <row r="2435" spans="1:40" x14ac:dyDescent="0.25">
      <c r="A2435" t="str">
        <f>"20190312154303703"</f>
        <v>20190312154303703</v>
      </c>
      <c r="B2435" t="str">
        <f>"1552376583689669"</f>
        <v>1552376583689669</v>
      </c>
      <c r="C2435" t="s">
        <v>40</v>
      </c>
      <c r="D2435">
        <v>4.6584719999999997</v>
      </c>
      <c r="E2435">
        <v>0.54541770000000001</v>
      </c>
      <c r="F2435" t="s">
        <v>41</v>
      </c>
      <c r="G2435">
        <v>-440.50889999999998</v>
      </c>
      <c r="H2435">
        <v>0.91091120000000003</v>
      </c>
      <c r="I2435">
        <v>284.38229999999999</v>
      </c>
      <c r="J2435">
        <v>-439.9975</v>
      </c>
      <c r="K2435">
        <v>1.1107009999999999</v>
      </c>
      <c r="L2435">
        <v>284.26220000000001</v>
      </c>
      <c r="M2435">
        <v>-0.99956999999999996</v>
      </c>
      <c r="N2435">
        <v>0</v>
      </c>
      <c r="O2435">
        <v>2.5949070000000001E-2</v>
      </c>
      <c r="P2435">
        <v>-0.99835739999999995</v>
      </c>
      <c r="Q2435">
        <v>3.2088189999999999E-3</v>
      </c>
      <c r="R2435">
        <v>5.7204669999999999E-2</v>
      </c>
      <c r="S2435">
        <v>-2.97818</v>
      </c>
      <c r="T2435">
        <v>-0.80520639999999999</v>
      </c>
      <c r="U2435">
        <v>0.506073</v>
      </c>
      <c r="V2435">
        <v>3.1274459999999997E-2</v>
      </c>
      <c r="W2435">
        <v>1.6874770000000001E-2</v>
      </c>
      <c r="X2435">
        <v>0.99936840000000005</v>
      </c>
      <c r="Y2435">
        <v>0.1379773</v>
      </c>
      <c r="Z2435">
        <v>1.135774E-2</v>
      </c>
      <c r="AA2435">
        <v>0.99037030000000004</v>
      </c>
      <c r="AB2435">
        <v>22</v>
      </c>
      <c r="AC2435">
        <v>-0.51139999999997998</v>
      </c>
      <c r="AD2435">
        <v>-0.19978979999999999</v>
      </c>
      <c r="AE2435">
        <v>0.120099999999979</v>
      </c>
      <c r="AF2435">
        <v>9.3293340176916803E-2</v>
      </c>
      <c r="AG2435">
        <v>-0.19978979999999999</v>
      </c>
      <c r="AH2435">
        <v>0.44934766283788602</v>
      </c>
      <c r="AI2435">
        <v>113.525325385286</v>
      </c>
      <c r="AJ2435">
        <v>78.270914592802001</v>
      </c>
      <c r="AK2435">
        <v>0.500532649887374</v>
      </c>
      <c r="AL2435">
        <v>89.033101029873393</v>
      </c>
      <c r="AM2435">
        <v>88.207557936732499</v>
      </c>
      <c r="AN2435">
        <v>1.0000000243147</v>
      </c>
    </row>
    <row r="2436" spans="1:40" x14ac:dyDescent="0.25">
      <c r="A2436" t="str">
        <f>"20190312154303725"</f>
        <v>20190312154303725</v>
      </c>
      <c r="B2436" t="str">
        <f>"1552376583719968"</f>
        <v>1552376583719968</v>
      </c>
      <c r="C2436" t="s">
        <v>40</v>
      </c>
      <c r="D2436">
        <v>4.6721009999999996</v>
      </c>
      <c r="E2436">
        <v>0.54562509999999997</v>
      </c>
      <c r="F2436" t="s">
        <v>41</v>
      </c>
      <c r="G2436">
        <v>-440.71100000000001</v>
      </c>
      <c r="H2436">
        <v>0.91770320000000005</v>
      </c>
      <c r="I2436">
        <v>284.38339999999999</v>
      </c>
      <c r="J2436">
        <v>-440.21559999999999</v>
      </c>
      <c r="K2436">
        <v>1.1107039999999999</v>
      </c>
      <c r="L2436">
        <v>284.26769999999999</v>
      </c>
      <c r="M2436">
        <v>-0.99957249999999997</v>
      </c>
      <c r="N2436">
        <v>0</v>
      </c>
      <c r="O2436">
        <v>2.5846930000000001E-2</v>
      </c>
      <c r="P2436">
        <v>-0.99839420000000001</v>
      </c>
      <c r="Q2436">
        <v>2.9607829999999998E-3</v>
      </c>
      <c r="R2436">
        <v>5.6574020000000003E-2</v>
      </c>
      <c r="S2436">
        <v>-2.978577</v>
      </c>
      <c r="T2436">
        <v>-0.80565640000000005</v>
      </c>
      <c r="U2436">
        <v>0.50543209999999905</v>
      </c>
      <c r="V2436">
        <v>3.0745479999999999E-2</v>
      </c>
      <c r="W2436">
        <v>1.6624940000000001E-2</v>
      </c>
      <c r="X2436">
        <v>0.99938899999999997</v>
      </c>
      <c r="Y2436">
        <v>0.137847</v>
      </c>
      <c r="Z2436">
        <v>1.137236E-2</v>
      </c>
      <c r="AA2436">
        <v>0.99038820000000005</v>
      </c>
      <c r="AB2436">
        <v>22</v>
      </c>
      <c r="AC2436">
        <v>-0.49540000000001699</v>
      </c>
      <c r="AD2436">
        <v>-0.1930008</v>
      </c>
      <c r="AE2436">
        <v>0.11570000000000299</v>
      </c>
      <c r="AF2436">
        <v>8.9914486308841204E-2</v>
      </c>
      <c r="AG2436">
        <v>-0.1930008</v>
      </c>
      <c r="AH2436">
        <v>0.43553950482306703</v>
      </c>
      <c r="AI2436">
        <v>113.45983120061</v>
      </c>
      <c r="AJ2436">
        <v>78.335501926544694</v>
      </c>
      <c r="AK2436">
        <v>0.48479746689761599</v>
      </c>
      <c r="AL2436">
        <v>89.047417241542206</v>
      </c>
      <c r="AM2436">
        <v>88.237892539523898</v>
      </c>
      <c r="AN2436">
        <v>1.00000002324571</v>
      </c>
    </row>
    <row r="2437" spans="1:40" x14ac:dyDescent="0.25">
      <c r="A2437" t="str">
        <f>"20190312154303747"</f>
        <v>20190312154303747</v>
      </c>
      <c r="B2437" t="str">
        <f>"1552376583739489"</f>
        <v>1552376583739489</v>
      </c>
      <c r="C2437" t="s">
        <v>40</v>
      </c>
      <c r="D2437">
        <v>4.7313289999999997</v>
      </c>
      <c r="E2437">
        <v>0.54550369999999904</v>
      </c>
      <c r="F2437" t="s">
        <v>41</v>
      </c>
      <c r="G2437">
        <v>-440.91180000000003</v>
      </c>
      <c r="H2437">
        <v>0.92200170000000004</v>
      </c>
      <c r="I2437">
        <v>284.38630000000001</v>
      </c>
      <c r="J2437">
        <v>-440.43400000000003</v>
      </c>
      <c r="K2437">
        <v>1.110703</v>
      </c>
      <c r="L2437">
        <v>284.27319999999997</v>
      </c>
      <c r="M2437">
        <v>-0.9995752</v>
      </c>
      <c r="N2437">
        <v>0</v>
      </c>
      <c r="O2437">
        <v>2.5744610000000001E-2</v>
      </c>
      <c r="P2437">
        <v>-0.99839319999999998</v>
      </c>
      <c r="Q2437">
        <v>3.0693270000000002E-3</v>
      </c>
      <c r="R2437">
        <v>5.6585169999999997E-2</v>
      </c>
      <c r="S2437">
        <v>-2.9785159999999999</v>
      </c>
      <c r="T2437">
        <v>-0.80728820000000001</v>
      </c>
      <c r="U2437">
        <v>0.50534060000000003</v>
      </c>
      <c r="V2437">
        <v>3.085893E-2</v>
      </c>
      <c r="W2437">
        <v>1.6731260000000001E-2</v>
      </c>
      <c r="X2437">
        <v>0.99938369999999999</v>
      </c>
      <c r="Y2437">
        <v>0.13790079999999999</v>
      </c>
      <c r="Z2437">
        <v>1.142899E-2</v>
      </c>
      <c r="AA2437">
        <v>0.99038009999999999</v>
      </c>
      <c r="AB2437">
        <v>22</v>
      </c>
      <c r="AC2437">
        <v>-0.477800000000002</v>
      </c>
      <c r="AD2437">
        <v>-0.18870129999999999</v>
      </c>
      <c r="AE2437">
        <v>0.113100000000031</v>
      </c>
      <c r="AF2437">
        <v>8.7793483425483196E-2</v>
      </c>
      <c r="AG2437">
        <v>-0.18870129999999999</v>
      </c>
      <c r="AH2437">
        <v>0.41871009778736001</v>
      </c>
      <c r="AI2437">
        <v>113.801380835681</v>
      </c>
      <c r="AJ2437">
        <v>78.157998511069096</v>
      </c>
      <c r="AK2437">
        <v>0.46758317157781798</v>
      </c>
      <c r="AL2437">
        <v>89.041324679172305</v>
      </c>
      <c r="AM2437">
        <v>88.231385158551603</v>
      </c>
      <c r="AN2437">
        <v>0.99999999422381103</v>
      </c>
    </row>
    <row r="2438" spans="1:40" x14ac:dyDescent="0.25">
      <c r="A2438" t="str">
        <f>"20190312154303769"</f>
        <v>20190312154303769</v>
      </c>
      <c r="B2438" t="str">
        <f>"1552376583759984"</f>
        <v>1552376583759984</v>
      </c>
      <c r="C2438" t="s">
        <v>40</v>
      </c>
      <c r="D2438">
        <v>4.7445890000000004</v>
      </c>
      <c r="E2438">
        <v>0.49766129999999997</v>
      </c>
      <c r="F2438" t="s">
        <v>41</v>
      </c>
      <c r="G2438">
        <v>-441.11279999999999</v>
      </c>
      <c r="H2438">
        <v>0.92704980000000003</v>
      </c>
      <c r="I2438">
        <v>284.38850000000002</v>
      </c>
      <c r="J2438">
        <v>-440.65570000000002</v>
      </c>
      <c r="K2438">
        <v>1.110706</v>
      </c>
      <c r="L2438">
        <v>284.27879999999999</v>
      </c>
      <c r="M2438">
        <v>-0.99957810000000002</v>
      </c>
      <c r="N2438">
        <v>0</v>
      </c>
      <c r="O2438">
        <v>2.5641150000000001E-2</v>
      </c>
      <c r="P2438">
        <v>-0.99838640000000001</v>
      </c>
      <c r="Q2438">
        <v>2.9238150000000002E-3</v>
      </c>
      <c r="R2438">
        <v>5.6715160000000001E-2</v>
      </c>
      <c r="S2438">
        <v>-2.9786990000000002</v>
      </c>
      <c r="T2438">
        <v>-0.80605850000000001</v>
      </c>
      <c r="U2438">
        <v>0.5044556</v>
      </c>
      <c r="V2438">
        <v>3.1092459999999999E-2</v>
      </c>
      <c r="W2438">
        <v>1.6583939999999998E-2</v>
      </c>
      <c r="X2438">
        <v>0.99937889999999996</v>
      </c>
      <c r="Y2438">
        <v>0.13772179999999901</v>
      </c>
      <c r="Z2438">
        <v>1.1415420000000001E-2</v>
      </c>
      <c r="AA2438">
        <v>0.99040510000000004</v>
      </c>
      <c r="AB2438">
        <v>22</v>
      </c>
      <c r="AC2438">
        <v>-0.45709999999996798</v>
      </c>
      <c r="AD2438">
        <v>-0.18365619999999999</v>
      </c>
      <c r="AE2438">
        <v>0.10970000000003199</v>
      </c>
      <c r="AF2438">
        <v>8.4972102679177694E-2</v>
      </c>
      <c r="AG2438">
        <v>-0.18365619999999999</v>
      </c>
      <c r="AH2438">
        <v>0.39887795390310499</v>
      </c>
      <c r="AI2438">
        <v>114.243339037224</v>
      </c>
      <c r="AJ2438">
        <v>77.974168313095902</v>
      </c>
      <c r="AK2438">
        <v>0.44727338411992301</v>
      </c>
      <c r="AL2438">
        <v>89.049766648354804</v>
      </c>
      <c r="AM2438">
        <v>88.218000920235298</v>
      </c>
      <c r="AN2438">
        <v>0.99999997694999199</v>
      </c>
    </row>
    <row r="2439" spans="1:40" x14ac:dyDescent="0.25">
      <c r="A2439" t="str">
        <f>"20190312154303792"</f>
        <v>20190312154303792</v>
      </c>
      <c r="B2439" t="str">
        <f>"1552376583779519"</f>
        <v>1552376583779519</v>
      </c>
      <c r="C2439" t="s">
        <v>40</v>
      </c>
      <c r="D2439">
        <v>4.7011649999999996</v>
      </c>
      <c r="E2439">
        <v>0.46088810000000002</v>
      </c>
      <c r="F2439" t="s">
        <v>41</v>
      </c>
      <c r="G2439">
        <v>-441.53680000000003</v>
      </c>
      <c r="H2439">
        <v>0.97896030000000001</v>
      </c>
      <c r="I2439">
        <v>284.31889999999999</v>
      </c>
      <c r="J2439">
        <v>-440.8741</v>
      </c>
      <c r="K2439">
        <v>1.1107119999999999</v>
      </c>
      <c r="L2439">
        <v>284.28429999999997</v>
      </c>
      <c r="M2439">
        <v>-0.99958049999999998</v>
      </c>
      <c r="N2439">
        <v>0</v>
      </c>
      <c r="O2439">
        <v>2.5538950000000001E-2</v>
      </c>
      <c r="P2439">
        <v>-0.99838360000000004</v>
      </c>
      <c r="Q2439">
        <v>2.8754679999999999E-3</v>
      </c>
      <c r="R2439">
        <v>5.6761499999999999E-2</v>
      </c>
      <c r="S2439">
        <v>-2.9984739999999999</v>
      </c>
      <c r="T2439">
        <v>-0.44840429999999998</v>
      </c>
      <c r="U2439">
        <v>0.1356812</v>
      </c>
      <c r="V2439">
        <v>3.1240899999999999E-2</v>
      </c>
      <c r="W2439">
        <v>1.65334E-2</v>
      </c>
      <c r="X2439">
        <v>0.99937509999999996</v>
      </c>
      <c r="Y2439">
        <v>1.9738169999999999E-2</v>
      </c>
      <c r="Z2439">
        <v>-2.3287070000000002E-3</v>
      </c>
      <c r="AA2439">
        <v>0.99980250000000004</v>
      </c>
      <c r="AB2439">
        <v>22</v>
      </c>
      <c r="AC2439">
        <v>-0.66270000000002904</v>
      </c>
      <c r="AD2439">
        <v>-0.1317517</v>
      </c>
      <c r="AE2439">
        <v>3.4600000000011698E-2</v>
      </c>
      <c r="AF2439">
        <v>1.69926520573195E-2</v>
      </c>
      <c r="AG2439">
        <v>-0.1317517</v>
      </c>
      <c r="AH2439">
        <v>0.63821045866978099</v>
      </c>
      <c r="AI2439">
        <v>101.66022286792</v>
      </c>
      <c r="AJ2439">
        <v>88.4748334005331</v>
      </c>
      <c r="AK2439">
        <v>0.65188944632684698</v>
      </c>
      <c r="AL2439">
        <v>89.052662766490897</v>
      </c>
      <c r="AM2439">
        <v>88.209492114073498</v>
      </c>
      <c r="AN2439">
        <v>0.99999996882418896</v>
      </c>
    </row>
    <row r="2440" spans="1:40" x14ac:dyDescent="0.25">
      <c r="A2440" t="str">
        <f>"20190312154303814"</f>
        <v>20190312154303814</v>
      </c>
      <c r="B2440" t="str">
        <f>"1552376583800000"</f>
        <v>1552376583800000</v>
      </c>
      <c r="C2440" t="s">
        <v>40</v>
      </c>
      <c r="D2440">
        <v>4.6439309999999896</v>
      </c>
      <c r="E2440">
        <v>0.4509031</v>
      </c>
      <c r="F2440" t="s">
        <v>50</v>
      </c>
      <c r="G2440">
        <v>-466.95389999999998</v>
      </c>
      <c r="H2440" s="1">
        <v>2.2334320000000001E-6</v>
      </c>
      <c r="I2440">
        <v>283.02109999999999</v>
      </c>
      <c r="J2440">
        <v>-441.09449999999998</v>
      </c>
      <c r="K2440">
        <v>1.1107089999999999</v>
      </c>
      <c r="L2440">
        <v>284.28980000000001</v>
      </c>
      <c r="M2440">
        <v>-0.99958320000000001</v>
      </c>
      <c r="N2440">
        <v>0</v>
      </c>
      <c r="O2440">
        <v>2.5435800000000001E-2</v>
      </c>
      <c r="P2440">
        <v>-0.99839129999999998</v>
      </c>
      <c r="Q2440">
        <v>2.7117920000000002E-3</v>
      </c>
      <c r="R2440">
        <v>5.6634240000000002E-2</v>
      </c>
      <c r="S2440">
        <v>-3.0134889999999999</v>
      </c>
      <c r="T2440">
        <v>-0.12834129999999999</v>
      </c>
      <c r="U2440">
        <v>-0.1459656</v>
      </c>
      <c r="V2440">
        <v>3.121649E-2</v>
      </c>
      <c r="W2440">
        <v>1.6367489999999998E-2</v>
      </c>
      <c r="X2440">
        <v>0.99937860000000001</v>
      </c>
      <c r="Y2440">
        <v>-7.3683739999999998E-2</v>
      </c>
      <c r="Z2440">
        <v>-2.6497679999999998E-3</v>
      </c>
      <c r="AA2440">
        <v>0.9972782</v>
      </c>
      <c r="AB2440">
        <v>22</v>
      </c>
      <c r="AC2440">
        <v>-25.859399999999901</v>
      </c>
      <c r="AD2440">
        <v>-1.1107067665679999</v>
      </c>
      <c r="AE2440">
        <v>-1.2687000000000199</v>
      </c>
      <c r="AF2440">
        <v>-1.9225669603642499</v>
      </c>
      <c r="AG2440">
        <v>-1.1107067665679999</v>
      </c>
      <c r="AH2440">
        <v>25.771328255222802</v>
      </c>
      <c r="AI2440">
        <v>92.461007343944601</v>
      </c>
      <c r="AJ2440">
        <v>94.266419735144794</v>
      </c>
      <c r="AK2440">
        <v>25.866799053551802</v>
      </c>
      <c r="AL2440">
        <v>89.062170001920094</v>
      </c>
      <c r="AM2440">
        <v>88.210896475106296</v>
      </c>
      <c r="AN2440">
        <v>0.99999997505738902</v>
      </c>
    </row>
    <row r="2441" spans="1:40" x14ac:dyDescent="0.25">
      <c r="A2441" t="str">
        <f>"20190312154303836"</f>
        <v>20190312154303836</v>
      </c>
      <c r="B2441" t="str">
        <f>"1552376583829832"</f>
        <v>1552376583829832</v>
      </c>
      <c r="C2441" t="s">
        <v>40</v>
      </c>
      <c r="D2441">
        <v>4.6711239999999998</v>
      </c>
      <c r="E2441">
        <v>0.44563380000000002</v>
      </c>
      <c r="F2441" t="s">
        <v>49</v>
      </c>
      <c r="G2441">
        <v>-485.9633</v>
      </c>
      <c r="H2441" s="1">
        <v>2.9435619999999999E-6</v>
      </c>
      <c r="I2441">
        <v>280.95609999999999</v>
      </c>
      <c r="J2441">
        <v>-441.3168</v>
      </c>
      <c r="K2441">
        <v>1.1107049999999901</v>
      </c>
      <c r="L2441">
        <v>284.2953</v>
      </c>
      <c r="M2441">
        <v>-0.99958590000000003</v>
      </c>
      <c r="N2441">
        <v>0</v>
      </c>
      <c r="O2441">
        <v>2.5331340000000001E-2</v>
      </c>
      <c r="P2441">
        <v>-0.99839789999999995</v>
      </c>
      <c r="Q2441">
        <v>2.2358389999999999E-3</v>
      </c>
      <c r="R2441">
        <v>5.6538239999999997E-2</v>
      </c>
      <c r="S2441">
        <v>-3.0177610000000001</v>
      </c>
      <c r="T2441">
        <v>-7.4703220000000001E-2</v>
      </c>
      <c r="U2441">
        <v>-0.22421260000000001</v>
      </c>
      <c r="V2441">
        <v>3.1225010000000001E-2</v>
      </c>
      <c r="W2441">
        <v>1.5889279999999999E-2</v>
      </c>
      <c r="X2441">
        <v>0.99938610000000005</v>
      </c>
      <c r="Y2441">
        <v>-9.9295739999999993E-2</v>
      </c>
      <c r="Z2441">
        <v>-1.8533919999999999E-3</v>
      </c>
      <c r="AA2441">
        <v>0.99505619999999995</v>
      </c>
      <c r="AB2441">
        <v>22</v>
      </c>
      <c r="AC2441">
        <v>-44.646500000000003</v>
      </c>
      <c r="AD2441">
        <v>-1.1107020564379999</v>
      </c>
      <c r="AE2441">
        <v>-3.3391999999999999</v>
      </c>
      <c r="AF2441">
        <v>-4.46644044658151</v>
      </c>
      <c r="AG2441">
        <v>-1.1107020564379999</v>
      </c>
      <c r="AH2441">
        <v>44.520176172554898</v>
      </c>
      <c r="AI2441">
        <v>91.421999725422197</v>
      </c>
      <c r="AJ2441">
        <v>95.728970403596904</v>
      </c>
      <c r="AK2441">
        <v>44.757444473029999</v>
      </c>
      <c r="AL2441">
        <v>89.089573026177902</v>
      </c>
      <c r="AM2441">
        <v>88.210421909231897</v>
      </c>
      <c r="AN2441">
        <v>1.00000002367081</v>
      </c>
    </row>
    <row r="2442" spans="1:40" x14ac:dyDescent="0.25">
      <c r="A2442" t="str">
        <f>"20190312154303859"</f>
        <v>20190312154303859</v>
      </c>
      <c r="B2442" t="str">
        <f>"1552376583849348"</f>
        <v>1552376583849348</v>
      </c>
      <c r="C2442" t="s">
        <v>40</v>
      </c>
      <c r="D2442">
        <v>4.7019449999999896</v>
      </c>
      <c r="E2442">
        <v>0.44426300000000002</v>
      </c>
      <c r="F2442" t="s">
        <v>49</v>
      </c>
      <c r="G2442">
        <v>-499.89420000000001</v>
      </c>
      <c r="H2442" s="1">
        <v>1.688682E-6</v>
      </c>
      <c r="I2442">
        <v>279.14089999999999</v>
      </c>
      <c r="J2442">
        <v>-441.5385</v>
      </c>
      <c r="K2442">
        <v>1.1107049999999901</v>
      </c>
      <c r="L2442">
        <v>284.30079999999998</v>
      </c>
      <c r="M2442">
        <v>-0.99958849999999999</v>
      </c>
      <c r="N2442">
        <v>0</v>
      </c>
      <c r="O2442">
        <v>2.5227300000000001E-2</v>
      </c>
      <c r="P2442">
        <v>-0.99838510000000003</v>
      </c>
      <c r="Q2442">
        <v>2.1850369999999999E-3</v>
      </c>
      <c r="R2442">
        <v>5.6767070000000003E-2</v>
      </c>
      <c r="S2442">
        <v>-3.0200499999999999</v>
      </c>
      <c r="T2442">
        <v>-5.7264089999999997E-2</v>
      </c>
      <c r="U2442">
        <v>-0.26574710000000001</v>
      </c>
      <c r="V2442">
        <v>3.1558299999999997E-2</v>
      </c>
      <c r="W2442">
        <v>1.5836360000000001E-2</v>
      </c>
      <c r="X2442">
        <v>0.9993765</v>
      </c>
      <c r="Y2442">
        <v>-0.11273560000000001</v>
      </c>
      <c r="Z2442">
        <v>-1.5441669999999999E-3</v>
      </c>
      <c r="AA2442">
        <v>0.9936239</v>
      </c>
      <c r="AB2442">
        <v>22</v>
      </c>
      <c r="AC2442">
        <v>-58.355699999999999</v>
      </c>
      <c r="AD2442">
        <v>-1.11070331131799</v>
      </c>
      <c r="AE2442">
        <v>-5.1598999999999897</v>
      </c>
      <c r="AF2442">
        <v>-6.6281689507203101</v>
      </c>
      <c r="AG2442">
        <v>-1.11070331131799</v>
      </c>
      <c r="AH2442">
        <v>58.186026440014601</v>
      </c>
      <c r="AI2442">
        <v>91.086551455755298</v>
      </c>
      <c r="AJ2442">
        <v>96.498744684030996</v>
      </c>
      <c r="AK2442">
        <v>58.572860254243601</v>
      </c>
      <c r="AL2442">
        <v>89.092605526631701</v>
      </c>
      <c r="AM2442">
        <v>88.191315540365395</v>
      </c>
      <c r="AN2442">
        <v>1.00000005267459</v>
      </c>
    </row>
    <row r="2443" spans="1:40" x14ac:dyDescent="0.25">
      <c r="A2443" t="str">
        <f>"20190312154303881"</f>
        <v>20190312154303881</v>
      </c>
      <c r="B2443" t="str">
        <f>"1552376583869844"</f>
        <v>1552376583869844</v>
      </c>
      <c r="C2443" t="s">
        <v>40</v>
      </c>
      <c r="D2443">
        <v>4.6981270000000004</v>
      </c>
      <c r="E2443">
        <v>0.44315329999999997</v>
      </c>
      <c r="F2443" t="s">
        <v>49</v>
      </c>
      <c r="G2443">
        <v>-499.97030000000001</v>
      </c>
      <c r="H2443">
        <v>6.2587409999999996E-2</v>
      </c>
      <c r="I2443">
        <v>278.96539999999999</v>
      </c>
      <c r="J2443">
        <v>-441.75630000000001</v>
      </c>
      <c r="K2443">
        <v>1.110708</v>
      </c>
      <c r="L2443">
        <v>284.30619999999999</v>
      </c>
      <c r="M2443">
        <v>-0.99959120000000001</v>
      </c>
      <c r="N2443">
        <v>0</v>
      </c>
      <c r="O2443">
        <v>2.5125160000000001E-2</v>
      </c>
      <c r="P2443">
        <v>-0.99835910000000005</v>
      </c>
      <c r="Q2443">
        <v>2.580129E-3</v>
      </c>
      <c r="R2443">
        <v>5.7207130000000002E-2</v>
      </c>
      <c r="S2443">
        <v>-3.0206599999999999</v>
      </c>
      <c r="T2443">
        <v>-5.4182889999999997E-2</v>
      </c>
      <c r="U2443">
        <v>-0.2758179</v>
      </c>
      <c r="V2443">
        <v>3.2100940000000001E-2</v>
      </c>
      <c r="W2443">
        <v>1.6228739999999998E-2</v>
      </c>
      <c r="X2443">
        <v>0.99935289999999999</v>
      </c>
      <c r="Y2443">
        <v>-0.1159043</v>
      </c>
      <c r="Z2443">
        <v>-1.487117E-3</v>
      </c>
      <c r="AA2443">
        <v>0.99325929999999996</v>
      </c>
      <c r="AB2443">
        <v>22</v>
      </c>
      <c r="AC2443">
        <v>-58.213999999999999</v>
      </c>
      <c r="AD2443">
        <v>-1.0481205899999999</v>
      </c>
      <c r="AE2443">
        <v>-5.3407999999999998</v>
      </c>
      <c r="AF2443">
        <v>-6.7997000573485602</v>
      </c>
      <c r="AG2443">
        <v>-1.0481205899999999</v>
      </c>
      <c r="AH2443">
        <v>58.042759800006699</v>
      </c>
      <c r="AI2443">
        <v>91.027494223484098</v>
      </c>
      <c r="AJ2443">
        <v>96.681735603335497</v>
      </c>
      <c r="AK2443">
        <v>58.4490927461014</v>
      </c>
      <c r="AL2443">
        <v>89.070120899189206</v>
      </c>
      <c r="AM2443">
        <v>88.160193271393595</v>
      </c>
      <c r="AN2443">
        <v>1.0000000305446399</v>
      </c>
    </row>
    <row r="2444" spans="1:40" x14ac:dyDescent="0.25">
      <c r="A2444" t="str">
        <f>"20190312154303904"</f>
        <v>20190312154303904</v>
      </c>
      <c r="B2444" t="str">
        <f>"1552376583889364"</f>
        <v>1552376583889364</v>
      </c>
      <c r="C2444" t="s">
        <v>40</v>
      </c>
      <c r="D2444">
        <v>4.7031549999999998</v>
      </c>
      <c r="E2444">
        <v>0.44256319999999999</v>
      </c>
      <c r="F2444" t="s">
        <v>49</v>
      </c>
      <c r="G2444">
        <v>-504.3254</v>
      </c>
      <c r="H2444">
        <v>7.9999970000000004E-2</v>
      </c>
      <c r="I2444">
        <v>278.44009999999997</v>
      </c>
      <c r="J2444">
        <v>-441.98110000000003</v>
      </c>
      <c r="K2444">
        <v>1.1107089999999999</v>
      </c>
      <c r="L2444">
        <v>284.31169999999997</v>
      </c>
      <c r="M2444">
        <v>-0.99959390000000004</v>
      </c>
      <c r="N2444">
        <v>0</v>
      </c>
      <c r="O2444">
        <v>2.5019799999999998E-2</v>
      </c>
      <c r="P2444">
        <v>-0.99833769999999999</v>
      </c>
      <c r="Q2444">
        <v>3.447996E-3</v>
      </c>
      <c r="R2444">
        <v>5.7532920000000001E-2</v>
      </c>
      <c r="S2444">
        <v>-3.0213320000000001</v>
      </c>
      <c r="T2444">
        <v>-4.9770710000000003E-2</v>
      </c>
      <c r="U2444">
        <v>-0.28326420000000002</v>
      </c>
      <c r="V2444">
        <v>3.2532239999999997E-2</v>
      </c>
      <c r="W2444">
        <v>1.70935999999999E-2</v>
      </c>
      <c r="X2444">
        <v>0.99932449999999995</v>
      </c>
      <c r="Y2444">
        <v>-0.1182098</v>
      </c>
      <c r="Z2444">
        <v>-1.3827959999999999E-3</v>
      </c>
      <c r="AA2444">
        <v>0.99298770000000003</v>
      </c>
      <c r="AB2444">
        <v>22</v>
      </c>
      <c r="AC2444">
        <v>-62.344299999999897</v>
      </c>
      <c r="AD2444">
        <v>-1.0307090299999999</v>
      </c>
      <c r="AE2444">
        <v>-5.8715999999999999</v>
      </c>
      <c r="AF2444">
        <v>-7.4277362916520904</v>
      </c>
      <c r="AG2444">
        <v>-1.0307090299999999</v>
      </c>
      <c r="AH2444">
        <v>62.161019164426797</v>
      </c>
      <c r="AI2444">
        <v>90.943241243128895</v>
      </c>
      <c r="AJ2444">
        <v>96.814071153723603</v>
      </c>
      <c r="AK2444">
        <v>62.611707619925902</v>
      </c>
      <c r="AL2444">
        <v>89.020561159248004</v>
      </c>
      <c r="AM2444">
        <v>88.135438481442904</v>
      </c>
      <c r="AN2444">
        <v>0.99999999705031295</v>
      </c>
    </row>
    <row r="2445" spans="1:40" x14ac:dyDescent="0.25">
      <c r="A2445" t="str">
        <f>"20190312154303926"</f>
        <v>20190312154303926</v>
      </c>
      <c r="B2445" t="str">
        <f>"1552376583919622"</f>
        <v>1552376583919622</v>
      </c>
      <c r="C2445" t="s">
        <v>40</v>
      </c>
      <c r="D2445">
        <v>4.7207569999999999</v>
      </c>
      <c r="E2445">
        <v>0.44204329999999997</v>
      </c>
      <c r="F2445" t="s">
        <v>54</v>
      </c>
      <c r="G2445">
        <v>-511.95859999999999</v>
      </c>
      <c r="H2445">
        <v>3.9996740000000003E-2</v>
      </c>
      <c r="I2445">
        <v>277.6671</v>
      </c>
      <c r="J2445">
        <v>-442.20069999999998</v>
      </c>
      <c r="K2445">
        <v>1.1107049999999901</v>
      </c>
      <c r="L2445">
        <v>284.31709999999998</v>
      </c>
      <c r="M2445">
        <v>-0.99959640000000005</v>
      </c>
      <c r="N2445">
        <v>0</v>
      </c>
      <c r="O2445">
        <v>2.4916649999999999E-2</v>
      </c>
      <c r="P2445">
        <v>-0.9983358</v>
      </c>
      <c r="Q2445">
        <v>3.1658440000000001E-3</v>
      </c>
      <c r="R2445">
        <v>5.7584120000000003E-2</v>
      </c>
      <c r="S2445">
        <v>-3.0217589999999999</v>
      </c>
      <c r="T2445">
        <v>-4.6231750000000002E-2</v>
      </c>
      <c r="U2445">
        <v>-0.28692630000000002</v>
      </c>
      <c r="V2445">
        <v>3.2687000000000001E-2</v>
      </c>
      <c r="W2445">
        <v>1.6808980000000001E-2</v>
      </c>
      <c r="X2445">
        <v>0.99932430000000005</v>
      </c>
      <c r="Y2445">
        <v>-0.11928950000000001</v>
      </c>
      <c r="Z2445">
        <v>-1.2908970000000001E-3</v>
      </c>
      <c r="AA2445">
        <v>0.99285860000000004</v>
      </c>
      <c r="AB2445">
        <v>22</v>
      </c>
      <c r="AC2445">
        <v>-69.757900000000006</v>
      </c>
      <c r="AD2445">
        <v>-1.07070825999999</v>
      </c>
      <c r="AE2445">
        <v>-6.6499999999999702</v>
      </c>
      <c r="AF2445">
        <v>-8.3842725677884804</v>
      </c>
      <c r="AG2445">
        <v>-1.07070825999999</v>
      </c>
      <c r="AH2445">
        <v>69.554288554093503</v>
      </c>
      <c r="AI2445">
        <v>90.875595440577399</v>
      </c>
      <c r="AJ2445">
        <v>96.873433250645505</v>
      </c>
      <c r="AK2445">
        <v>70.065979611613997</v>
      </c>
      <c r="AL2445">
        <v>89.036871048884194</v>
      </c>
      <c r="AM2445">
        <v>88.126574456420698</v>
      </c>
      <c r="AN2445">
        <v>1.0000000191740599</v>
      </c>
    </row>
    <row r="2446" spans="1:40" x14ac:dyDescent="0.25">
      <c r="A2446" t="str">
        <f>"20190312154303948"</f>
        <v>20190312154303948</v>
      </c>
      <c r="B2446" t="str">
        <f>"1552376583940116"</f>
        <v>1552376583940116</v>
      </c>
      <c r="C2446" t="s">
        <v>40</v>
      </c>
      <c r="D2446">
        <v>4.715096</v>
      </c>
      <c r="E2446">
        <v>0.4417818</v>
      </c>
      <c r="F2446" t="s">
        <v>54</v>
      </c>
      <c r="G2446">
        <v>-511.95859999999999</v>
      </c>
      <c r="H2446">
        <v>0.11052869999999999</v>
      </c>
      <c r="I2446">
        <v>277.60629999999998</v>
      </c>
      <c r="J2446">
        <v>-442.4187</v>
      </c>
      <c r="K2446">
        <v>1.1107089999999999</v>
      </c>
      <c r="L2446">
        <v>284.32240000000002</v>
      </c>
      <c r="M2446">
        <v>-0.99959900000000002</v>
      </c>
      <c r="N2446">
        <v>0</v>
      </c>
      <c r="O2446">
        <v>2.4814570000000001E-2</v>
      </c>
      <c r="P2446">
        <v>-0.99832869999999996</v>
      </c>
      <c r="Q2446">
        <v>3.2037290000000002E-3</v>
      </c>
      <c r="R2446">
        <v>5.7701500000000003E-2</v>
      </c>
      <c r="S2446">
        <v>-3.0219119999999999</v>
      </c>
      <c r="T2446">
        <v>-4.332399E-2</v>
      </c>
      <c r="U2446">
        <v>-0.29071039999999998</v>
      </c>
      <c r="V2446">
        <v>3.2906390000000001E-2</v>
      </c>
      <c r="W2446">
        <v>1.6844729999999999E-2</v>
      </c>
      <c r="X2446">
        <v>0.99931650000000005</v>
      </c>
      <c r="Y2446">
        <v>-0.1204173</v>
      </c>
      <c r="Z2446">
        <v>-1.216188E-3</v>
      </c>
      <c r="AA2446">
        <v>0.99272260000000001</v>
      </c>
      <c r="AB2446">
        <v>22</v>
      </c>
      <c r="AC2446">
        <v>-69.539899999999903</v>
      </c>
      <c r="AD2446">
        <v>-1.0001803</v>
      </c>
      <c r="AE2446">
        <v>-6.7161000000000399</v>
      </c>
      <c r="AF2446">
        <v>-8.4380654046532495</v>
      </c>
      <c r="AG2446">
        <v>-1.0001803</v>
      </c>
      <c r="AH2446">
        <v>69.337599014513103</v>
      </c>
      <c r="AI2446">
        <v>90.820370681444501</v>
      </c>
      <c r="AJ2446">
        <v>96.938513263172297</v>
      </c>
      <c r="AK2446">
        <v>69.856309274847305</v>
      </c>
      <c r="AL2446">
        <v>89.034822436813798</v>
      </c>
      <c r="AM2446">
        <v>88.113994659454406</v>
      </c>
      <c r="AN2446">
        <v>1.00000002130192</v>
      </c>
    </row>
    <row r="2447" spans="1:40" x14ac:dyDescent="0.25">
      <c r="A2447" t="str">
        <f>"20190312154303970"</f>
        <v>20190312154303970</v>
      </c>
      <c r="B2447" t="str">
        <f>"1552376583959636"</f>
        <v>1552376583959636</v>
      </c>
      <c r="C2447" t="s">
        <v>40</v>
      </c>
      <c r="D2447">
        <v>4.6816060000000004</v>
      </c>
      <c r="E2447">
        <v>0.44143710000000003</v>
      </c>
      <c r="F2447" t="s">
        <v>54</v>
      </c>
      <c r="G2447">
        <v>-511.95870000000002</v>
      </c>
      <c r="H2447">
        <v>0.1453305</v>
      </c>
      <c r="I2447">
        <v>277.59219999999999</v>
      </c>
      <c r="J2447">
        <v>-442.62979999999999</v>
      </c>
      <c r="K2447">
        <v>1.1107119999999999</v>
      </c>
      <c r="L2447">
        <v>284.32749999999999</v>
      </c>
      <c r="M2447">
        <v>-0.99960150000000003</v>
      </c>
      <c r="N2447">
        <v>0</v>
      </c>
      <c r="O2447">
        <v>2.4715589999999999E-2</v>
      </c>
      <c r="P2447">
        <v>-0.99835870000000004</v>
      </c>
      <c r="Q2447">
        <v>3.2676530000000001E-3</v>
      </c>
      <c r="R2447">
        <v>5.7180420000000003E-2</v>
      </c>
      <c r="S2447">
        <v>-3.0220639999999999</v>
      </c>
      <c r="T2447">
        <v>-4.1949750000000001E-2</v>
      </c>
      <c r="U2447">
        <v>-0.29248049999999998</v>
      </c>
      <c r="V2447">
        <v>3.248384E-2</v>
      </c>
      <c r="W2447">
        <v>1.6906239999999999E-2</v>
      </c>
      <c r="X2447">
        <v>0.99932929999999998</v>
      </c>
      <c r="Y2447">
        <v>-0.1208912</v>
      </c>
      <c r="Z2447">
        <v>-1.179432E-3</v>
      </c>
      <c r="AA2447">
        <v>0.99266509999999997</v>
      </c>
      <c r="AB2447">
        <v>22</v>
      </c>
      <c r="AC2447">
        <v>-69.328900000000004</v>
      </c>
      <c r="AD2447">
        <v>-0.9653815</v>
      </c>
      <c r="AE2447">
        <v>-6.7352999999999899</v>
      </c>
      <c r="AF2447">
        <v>-8.4452839701660292</v>
      </c>
      <c r="AG2447">
        <v>-0.9653815</v>
      </c>
      <c r="AH2447">
        <v>69.127956963788293</v>
      </c>
      <c r="AI2447">
        <v>90.7941874916865</v>
      </c>
      <c r="AJ2447">
        <v>96.965244515970795</v>
      </c>
      <c r="AK2447">
        <v>69.648612453979695</v>
      </c>
      <c r="AL2447">
        <v>89.031297685145702</v>
      </c>
      <c r="AM2447">
        <v>88.138219474574896</v>
      </c>
      <c r="AN2447">
        <v>1.00000003532528</v>
      </c>
    </row>
    <row r="2448" spans="1:40" x14ac:dyDescent="0.25">
      <c r="A2448" t="str">
        <f>"20190312154303992"</f>
        <v>20190312154303992</v>
      </c>
      <c r="B2448" t="str">
        <f>"1552376583980132"</f>
        <v>1552376583980132</v>
      </c>
      <c r="C2448" t="s">
        <v>40</v>
      </c>
      <c r="D2448">
        <v>4.695284</v>
      </c>
      <c r="E2448">
        <v>0.44122640000000002</v>
      </c>
      <c r="F2448" t="s">
        <v>54</v>
      </c>
      <c r="G2448">
        <v>-511.95870000000002</v>
      </c>
      <c r="H2448">
        <v>0.15240119999999999</v>
      </c>
      <c r="I2448">
        <v>277.5197</v>
      </c>
      <c r="J2448">
        <v>-442.85300000000001</v>
      </c>
      <c r="K2448">
        <v>1.1107149999999999</v>
      </c>
      <c r="L2448">
        <v>284.3329</v>
      </c>
      <c r="M2448">
        <v>-0.99960400000000005</v>
      </c>
      <c r="N2448">
        <v>0</v>
      </c>
      <c r="O2448">
        <v>2.4611359999999999E-2</v>
      </c>
      <c r="P2448">
        <v>-0.99838479999999996</v>
      </c>
      <c r="Q2448">
        <v>3.3732390000000001E-3</v>
      </c>
      <c r="R2448">
        <v>5.6715309999999998E-2</v>
      </c>
      <c r="S2448">
        <v>-3.0220639999999999</v>
      </c>
      <c r="T2448">
        <v>-4.1769390000000003E-2</v>
      </c>
      <c r="U2448">
        <v>-0.29675289999999999</v>
      </c>
      <c r="V2448">
        <v>3.2122320000000003E-2</v>
      </c>
      <c r="W2448">
        <v>1.7009219999999999E-2</v>
      </c>
      <c r="X2448">
        <v>0.99933919999999998</v>
      </c>
      <c r="Y2448">
        <v>-0.1221778</v>
      </c>
      <c r="Z2448">
        <v>-1.1817139999999999E-3</v>
      </c>
      <c r="AA2448">
        <v>0.99250749999999999</v>
      </c>
      <c r="AB2448">
        <v>22</v>
      </c>
      <c r="AC2448">
        <v>-69.105699999999999</v>
      </c>
      <c r="AD2448">
        <v>-0.95831379999999999</v>
      </c>
      <c r="AE2448">
        <v>-6.8131999999999904</v>
      </c>
      <c r="AF2448">
        <v>-8.5104585839433806</v>
      </c>
      <c r="AG2448">
        <v>-0.95831379999999999</v>
      </c>
      <c r="AH2448">
        <v>68.9039429591963</v>
      </c>
      <c r="AI2448">
        <v>90.790808102768494</v>
      </c>
      <c r="AJ2448">
        <v>97.041052271001107</v>
      </c>
      <c r="AK2448">
        <v>69.434138764533301</v>
      </c>
      <c r="AL2448">
        <v>89.025396479913397</v>
      </c>
      <c r="AM2448">
        <v>88.158943537290796</v>
      </c>
      <c r="AN2448">
        <v>0.99999999683191498</v>
      </c>
    </row>
    <row r="2449" spans="1:40" x14ac:dyDescent="0.25">
      <c r="A2449" t="str">
        <f>"20190312154304015"</f>
        <v>20190312154304015</v>
      </c>
      <c r="B2449" t="str">
        <f>"1552376584009412"</f>
        <v>1552376584009412</v>
      </c>
      <c r="C2449" t="s">
        <v>40</v>
      </c>
      <c r="D2449">
        <v>4.6761150000000002</v>
      </c>
      <c r="E2449">
        <v>0.44103249999999999</v>
      </c>
      <c r="F2449" t="s">
        <v>54</v>
      </c>
      <c r="G2449">
        <v>-511.95870000000002</v>
      </c>
      <c r="H2449">
        <v>0.15943460000000001</v>
      </c>
      <c r="I2449">
        <v>277.47500000000002</v>
      </c>
      <c r="J2449">
        <v>-443.0729</v>
      </c>
      <c r="K2449">
        <v>1.1107119999999999</v>
      </c>
      <c r="L2449">
        <v>284.33819999999997</v>
      </c>
      <c r="M2449">
        <v>-0.99960669999999996</v>
      </c>
      <c r="N2449">
        <v>0</v>
      </c>
      <c r="O2449">
        <v>2.4507790000000002E-2</v>
      </c>
      <c r="P2449">
        <v>-0.99843219999999999</v>
      </c>
      <c r="Q2449">
        <v>3.4738410000000001E-3</v>
      </c>
      <c r="R2449">
        <v>5.5866949999999999E-2</v>
      </c>
      <c r="S2449">
        <v>-3.0220030000000002</v>
      </c>
      <c r="T2449">
        <v>-4.1596059999999997E-2</v>
      </c>
      <c r="U2449">
        <v>-0.2998962</v>
      </c>
      <c r="V2449">
        <v>3.1376439999999998E-2</v>
      </c>
      <c r="W2449">
        <v>1.710743E-2</v>
      </c>
      <c r="X2449">
        <v>0.99936119999999995</v>
      </c>
      <c r="Y2449">
        <v>-0.12309929999999999</v>
      </c>
      <c r="Z2449">
        <v>-1.1816789999999999E-3</v>
      </c>
      <c r="AA2449">
        <v>0.99239370000000005</v>
      </c>
      <c r="AB2449">
        <v>22</v>
      </c>
      <c r="AC2449">
        <v>-68.885800000000003</v>
      </c>
      <c r="AD2449">
        <v>-0.95127740000000005</v>
      </c>
      <c r="AE2449">
        <v>-6.8631999999999396</v>
      </c>
      <c r="AF2449">
        <v>-8.5479196881682693</v>
      </c>
      <c r="AG2449">
        <v>-0.95127740000000005</v>
      </c>
      <c r="AH2449">
        <v>68.683918641835703</v>
      </c>
      <c r="AI2449">
        <v>90.787426248062104</v>
      </c>
      <c r="AJ2449">
        <v>97.094155617197103</v>
      </c>
      <c r="AK2449">
        <v>69.220318835479404</v>
      </c>
      <c r="AL2449">
        <v>89.019768622688403</v>
      </c>
      <c r="AM2449">
        <v>88.201704011853195</v>
      </c>
      <c r="AN2449">
        <v>0.99999997660685902</v>
      </c>
    </row>
    <row r="2450" spans="1:40" x14ac:dyDescent="0.25">
      <c r="A2450" t="str">
        <f>"20190312154304037"</f>
        <v>20190312154304037</v>
      </c>
      <c r="B2450" t="str">
        <f>"1552376584029913"</f>
        <v>1552376584029913</v>
      </c>
      <c r="C2450" t="s">
        <v>40</v>
      </c>
      <c r="D2450">
        <v>4.6363690000000002</v>
      </c>
      <c r="E2450">
        <v>0.44090360000000001</v>
      </c>
      <c r="F2450" t="s">
        <v>54</v>
      </c>
      <c r="G2450">
        <v>-511.95870000000002</v>
      </c>
      <c r="H2450">
        <v>0.1570733</v>
      </c>
      <c r="I2450">
        <v>277.40730000000002</v>
      </c>
      <c r="J2450">
        <v>-443.286</v>
      </c>
      <c r="K2450">
        <v>1.1107089999999999</v>
      </c>
      <c r="L2450">
        <v>284.3433</v>
      </c>
      <c r="M2450">
        <v>-0.99960919999999998</v>
      </c>
      <c r="N2450">
        <v>0</v>
      </c>
      <c r="O2450">
        <v>2.4407439999999999E-2</v>
      </c>
      <c r="P2450">
        <v>-0.99844639999999996</v>
      </c>
      <c r="Q2450">
        <v>3.503239E-3</v>
      </c>
      <c r="R2450">
        <v>5.5613269999999999E-2</v>
      </c>
      <c r="S2450">
        <v>-3.0219119999999999</v>
      </c>
      <c r="T2450">
        <v>-4.1831019999999997E-2</v>
      </c>
      <c r="U2450">
        <v>-0.3040466</v>
      </c>
      <c r="V2450">
        <v>3.1222989999999999E-2</v>
      </c>
      <c r="W2450">
        <v>1.7134610000000002E-2</v>
      </c>
      <c r="X2450">
        <v>0.99936559999999997</v>
      </c>
      <c r="Y2450">
        <v>-0.1243517</v>
      </c>
      <c r="Z2450">
        <v>-1.19557E-3</v>
      </c>
      <c r="AA2450">
        <v>0.99223749999999999</v>
      </c>
      <c r="AB2450">
        <v>22</v>
      </c>
      <c r="AC2450">
        <v>-68.672700000000006</v>
      </c>
      <c r="AD2450">
        <v>-0.95363569999999998</v>
      </c>
      <c r="AE2450">
        <v>-6.9359999999999697</v>
      </c>
      <c r="AF2450">
        <v>-8.6085705038939295</v>
      </c>
      <c r="AG2450">
        <v>-0.95363569999999998</v>
      </c>
      <c r="AH2450">
        <v>68.469862083586307</v>
      </c>
      <c r="AI2450">
        <v>90.791721301562504</v>
      </c>
      <c r="AJ2450">
        <v>97.166075426429799</v>
      </c>
      <c r="AK2450">
        <v>69.015497686491798</v>
      </c>
      <c r="AL2450">
        <v>89.018211153596695</v>
      </c>
      <c r="AM2450">
        <v>88.210500921467002</v>
      </c>
      <c r="AN2450">
        <v>1.0000000362138699</v>
      </c>
    </row>
    <row r="2451" spans="1:40" x14ac:dyDescent="0.25">
      <c r="A2451" t="str">
        <f>"20190312154304060"</f>
        <v>20190312154304060</v>
      </c>
      <c r="B2451" t="str">
        <f>"1552376584049428"</f>
        <v>1552376584049428</v>
      </c>
      <c r="C2451" t="s">
        <v>40</v>
      </c>
      <c r="D2451">
        <v>4.6076589999999999</v>
      </c>
      <c r="E2451">
        <v>0.44085580000000002</v>
      </c>
      <c r="F2451" t="s">
        <v>54</v>
      </c>
      <c r="G2451">
        <v>-511.95870000000002</v>
      </c>
      <c r="H2451">
        <v>0.1630424</v>
      </c>
      <c r="I2451">
        <v>277.39210000000003</v>
      </c>
      <c r="J2451">
        <v>-443.5052</v>
      </c>
      <c r="K2451">
        <v>1.1107020000000001</v>
      </c>
      <c r="L2451">
        <v>284.3485</v>
      </c>
      <c r="M2451">
        <v>-0.99961169999999999</v>
      </c>
      <c r="N2451">
        <v>0</v>
      </c>
      <c r="O2451">
        <v>2.4304409999999999E-2</v>
      </c>
      <c r="P2451">
        <v>-0.9984558</v>
      </c>
      <c r="Q2451">
        <v>3.3099800000000001E-3</v>
      </c>
      <c r="R2451">
        <v>5.5454179999999999E-2</v>
      </c>
      <c r="S2451">
        <v>-3.0218509999999998</v>
      </c>
      <c r="T2451">
        <v>-4.1697140000000001E-2</v>
      </c>
      <c r="U2451">
        <v>-0.30587769999999997</v>
      </c>
      <c r="V2451">
        <v>3.1166659999999999E-2</v>
      </c>
      <c r="W2451">
        <v>1.693913E-2</v>
      </c>
      <c r="X2451">
        <v>0.9993706</v>
      </c>
      <c r="Y2451">
        <v>-0.1248467</v>
      </c>
      <c r="Z2451">
        <v>-1.1937199999999999E-3</v>
      </c>
      <c r="AA2451">
        <v>0.99217529999999998</v>
      </c>
      <c r="AB2451">
        <v>22</v>
      </c>
      <c r="AC2451">
        <v>-68.453500000000005</v>
      </c>
      <c r="AD2451">
        <v>-0.94765959999999905</v>
      </c>
      <c r="AE2451">
        <v>-6.9563999999999702</v>
      </c>
      <c r="AF2451">
        <v>-8.6165866855943491</v>
      </c>
      <c r="AG2451">
        <v>-0.94765959999999905</v>
      </c>
      <c r="AH2451">
        <v>68.251241678096605</v>
      </c>
      <c r="AI2451">
        <v>90.789229387813705</v>
      </c>
      <c r="AJ2451">
        <v>97.195413799077599</v>
      </c>
      <c r="AK2451">
        <v>68.7995320872881</v>
      </c>
      <c r="AL2451">
        <v>89.029412869924499</v>
      </c>
      <c r="AM2451">
        <v>88.213736229102906</v>
      </c>
      <c r="AN2451">
        <v>0.99999994548253401</v>
      </c>
    </row>
    <row r="2452" spans="1:40" x14ac:dyDescent="0.25">
      <c r="A2452" t="str">
        <f>"20190312154304082"</f>
        <v>20190312154304082</v>
      </c>
      <c r="B2452" t="str">
        <f>"1552376584069924"</f>
        <v>1552376584069924</v>
      </c>
      <c r="C2452" t="s">
        <v>40</v>
      </c>
      <c r="D2452">
        <v>4.5885759999999998</v>
      </c>
      <c r="E2452">
        <v>0.44062430000000002</v>
      </c>
      <c r="F2452" t="s">
        <v>54</v>
      </c>
      <c r="G2452">
        <v>-511.95870000000002</v>
      </c>
      <c r="H2452">
        <v>0.1812696</v>
      </c>
      <c r="I2452">
        <v>277.4008</v>
      </c>
      <c r="J2452">
        <v>-443.71890000000002</v>
      </c>
      <c r="K2452">
        <v>1.110703</v>
      </c>
      <c r="L2452">
        <v>284.35359999999997</v>
      </c>
      <c r="M2452">
        <v>-0.99961420000000001</v>
      </c>
      <c r="N2452">
        <v>0</v>
      </c>
      <c r="O2452">
        <v>2.4204179999999999E-2</v>
      </c>
      <c r="P2452">
        <v>-0.99843870000000001</v>
      </c>
      <c r="Q2452">
        <v>3.3837369999999999E-3</v>
      </c>
      <c r="R2452">
        <v>5.5762100000000002E-2</v>
      </c>
      <c r="S2452">
        <v>-3.0218509999999998</v>
      </c>
      <c r="T2452">
        <v>-4.1025760000000001E-2</v>
      </c>
      <c r="U2452">
        <v>-0.30670170000000002</v>
      </c>
      <c r="V2452">
        <v>3.1575270000000003E-2</v>
      </c>
      <c r="W2452">
        <v>1.7010649999999999E-2</v>
      </c>
      <c r="X2452">
        <v>0.99935660000000004</v>
      </c>
      <c r="Y2452">
        <v>-0.1250154</v>
      </c>
      <c r="Z2452">
        <v>-1.17427E-3</v>
      </c>
      <c r="AA2452">
        <v>0.99215410000000004</v>
      </c>
      <c r="AB2452">
        <v>22</v>
      </c>
      <c r="AC2452">
        <v>-68.239800000000002</v>
      </c>
      <c r="AD2452">
        <v>-0.92943339999999997</v>
      </c>
      <c r="AE2452">
        <v>-6.9527999999999599</v>
      </c>
      <c r="AF2452">
        <v>-8.6010252491017596</v>
      </c>
      <c r="AG2452">
        <v>-0.92943339999999997</v>
      </c>
      <c r="AH2452">
        <v>68.039009982126203</v>
      </c>
      <c r="AI2452">
        <v>90.7764503594003</v>
      </c>
      <c r="AJ2452">
        <v>97.204724040778899</v>
      </c>
      <c r="AK2452">
        <v>68.586794363992496</v>
      </c>
      <c r="AL2452">
        <v>89.025314525436897</v>
      </c>
      <c r="AM2452">
        <v>88.190307582703994</v>
      </c>
      <c r="AN2452">
        <v>0.99999998692627701</v>
      </c>
    </row>
    <row r="2453" spans="1:40" x14ac:dyDescent="0.25">
      <c r="A2453" t="str">
        <f>"20190312154304105"</f>
        <v>20190312154304105</v>
      </c>
      <c r="B2453" t="str">
        <f>"1552376584100180"</f>
        <v>1552376584100180</v>
      </c>
      <c r="C2453" t="s">
        <v>40</v>
      </c>
      <c r="D2453">
        <v>4.5545499999999999</v>
      </c>
      <c r="E2453">
        <v>0.4402799</v>
      </c>
      <c r="F2453" t="s">
        <v>54</v>
      </c>
      <c r="G2453">
        <v>-511.95870000000002</v>
      </c>
      <c r="H2453">
        <v>0.23001969999999999</v>
      </c>
      <c r="I2453">
        <v>277.41210000000001</v>
      </c>
      <c r="J2453">
        <v>-443.94279999999998</v>
      </c>
      <c r="K2453">
        <v>1.110711</v>
      </c>
      <c r="L2453">
        <v>284.35890000000001</v>
      </c>
      <c r="M2453">
        <v>-0.99961690000000003</v>
      </c>
      <c r="N2453">
        <v>0</v>
      </c>
      <c r="O2453">
        <v>2.4099120000000002E-2</v>
      </c>
      <c r="P2453">
        <v>-0.99845159999999999</v>
      </c>
      <c r="Q2453">
        <v>4.0136659999999999E-3</v>
      </c>
      <c r="R2453">
        <v>5.5484409999999998E-2</v>
      </c>
      <c r="S2453">
        <v>-3.0220030000000002</v>
      </c>
      <c r="T2453">
        <v>-3.8997410000000003E-2</v>
      </c>
      <c r="U2453">
        <v>-0.307403599999999</v>
      </c>
      <c r="V2453">
        <v>3.1402319999999997E-2</v>
      </c>
      <c r="W2453">
        <v>1.7637590000000002E-2</v>
      </c>
      <c r="X2453">
        <v>0.9993512</v>
      </c>
      <c r="Y2453">
        <v>-0.12513550000000001</v>
      </c>
      <c r="Z2453">
        <v>-1.1155679999999999E-3</v>
      </c>
      <c r="AA2453">
        <v>0.99213899999999999</v>
      </c>
      <c r="AB2453">
        <v>22</v>
      </c>
      <c r="AC2453">
        <v>-68.015900000000002</v>
      </c>
      <c r="AD2453">
        <v>-0.88069129999999995</v>
      </c>
      <c r="AE2453">
        <v>-6.9467999999999899</v>
      </c>
      <c r="AF2453">
        <v>-8.5826332061235</v>
      </c>
      <c r="AG2453">
        <v>-0.88069129999999995</v>
      </c>
      <c r="AH2453">
        <v>67.817462662441997</v>
      </c>
      <c r="AI2453">
        <v>90.738125943225</v>
      </c>
      <c r="AJ2453">
        <v>97.212718933132706</v>
      </c>
      <c r="AK2453">
        <v>68.364065501463998</v>
      </c>
      <c r="AL2453">
        <v>88.9893881356424</v>
      </c>
      <c r="AM2453">
        <v>88.200203713997197</v>
      </c>
      <c r="AN2453">
        <v>1.00000000561191</v>
      </c>
    </row>
    <row r="2454" spans="1:40" x14ac:dyDescent="0.25">
      <c r="A2454" t="str">
        <f>"20190312154304127"</f>
        <v>20190312154304127</v>
      </c>
      <c r="B2454" t="str">
        <f>"1552376584119701"</f>
        <v>1552376584119701</v>
      </c>
      <c r="C2454" t="s">
        <v>40</v>
      </c>
      <c r="D2454">
        <v>4.519571</v>
      </c>
      <c r="E2454">
        <v>0.44014330000000002</v>
      </c>
      <c r="F2454" t="s">
        <v>54</v>
      </c>
      <c r="G2454">
        <v>-511.95870000000002</v>
      </c>
      <c r="H2454">
        <v>0.33089849999999998</v>
      </c>
      <c r="I2454">
        <v>277.36059999999998</v>
      </c>
      <c r="J2454">
        <v>-444.15780000000001</v>
      </c>
      <c r="K2454">
        <v>1.1107100000000001</v>
      </c>
      <c r="L2454">
        <v>284.36399999999998</v>
      </c>
      <c r="M2454">
        <v>-0.99961920000000004</v>
      </c>
      <c r="N2454">
        <v>0</v>
      </c>
      <c r="O2454">
        <v>2.3997879999999999E-2</v>
      </c>
      <c r="P2454">
        <v>-0.99843870000000001</v>
      </c>
      <c r="Q2454">
        <v>4.5343349999999996E-3</v>
      </c>
      <c r="R2454">
        <v>5.5674090000000002E-2</v>
      </c>
      <c r="S2454">
        <v>-3.0220639999999999</v>
      </c>
      <c r="T2454">
        <v>-3.4644719999999997E-2</v>
      </c>
      <c r="U2454">
        <v>-0.31094359999999999</v>
      </c>
      <c r="V2454">
        <v>3.1693350000000002E-2</v>
      </c>
      <c r="W2454">
        <v>1.8155359999999999E-2</v>
      </c>
      <c r="X2454">
        <v>0.99933269999999996</v>
      </c>
      <c r="Y2454">
        <v>-0.12618560000000001</v>
      </c>
      <c r="Z2454">
        <v>-9.9583029999999995E-4</v>
      </c>
      <c r="AA2454">
        <v>0.9920061</v>
      </c>
      <c r="AB2454">
        <v>22</v>
      </c>
      <c r="AC2454">
        <v>-67.800899999999999</v>
      </c>
      <c r="AD2454">
        <v>-0.77981149999999999</v>
      </c>
      <c r="AE2454">
        <v>-7.0034000000000498</v>
      </c>
      <c r="AF2454">
        <v>-8.6274823208889906</v>
      </c>
      <c r="AG2454">
        <v>-0.77981149999999999</v>
      </c>
      <c r="AH2454">
        <v>67.604439410152494</v>
      </c>
      <c r="AI2454">
        <v>90.655556461447603</v>
      </c>
      <c r="AJ2454">
        <v>97.272610208557495</v>
      </c>
      <c r="AK2454">
        <v>68.157184398519306</v>
      </c>
      <c r="AL2454">
        <v>88.959717305975701</v>
      </c>
      <c r="AM2454">
        <v>88.183501104896294</v>
      </c>
      <c r="AN2454">
        <v>0.99999996541012004</v>
      </c>
    </row>
    <row r="2455" spans="1:40" x14ac:dyDescent="0.25">
      <c r="A2455" t="str">
        <f>"20190312154304149"</f>
        <v>20190312154304149</v>
      </c>
      <c r="B2455" t="str">
        <f>"1552376584140196"</f>
        <v>1552376584140196</v>
      </c>
      <c r="C2455" t="s">
        <v>40</v>
      </c>
      <c r="D2455">
        <v>4.4684059999999999</v>
      </c>
      <c r="E2455">
        <v>0.44000800000000001</v>
      </c>
      <c r="F2455" t="s">
        <v>54</v>
      </c>
      <c r="G2455">
        <v>-511.95870000000002</v>
      </c>
      <c r="H2455">
        <v>0.36775950000000002</v>
      </c>
      <c r="I2455">
        <v>277.37580000000003</v>
      </c>
      <c r="J2455">
        <v>-444.3723</v>
      </c>
      <c r="K2455">
        <v>1.110714</v>
      </c>
      <c r="L2455">
        <v>284.36900000000003</v>
      </c>
      <c r="M2455">
        <v>-0.99962169999999895</v>
      </c>
      <c r="N2455">
        <v>0</v>
      </c>
      <c r="O2455">
        <v>2.3897459999999999E-2</v>
      </c>
      <c r="P2455">
        <v>-0.99845139999999999</v>
      </c>
      <c r="Q2455">
        <v>4.5516020000000001E-3</v>
      </c>
      <c r="R2455">
        <v>5.5442760000000001E-2</v>
      </c>
      <c r="S2455">
        <v>-3.022186</v>
      </c>
      <c r="T2455">
        <v>-3.3112879999999997E-2</v>
      </c>
      <c r="U2455">
        <v>-0.31149290000000002</v>
      </c>
      <c r="V2455">
        <v>3.156196E-2</v>
      </c>
      <c r="W2455">
        <v>1.8170140000000001E-2</v>
      </c>
      <c r="X2455">
        <v>0.99933660000000002</v>
      </c>
      <c r="Y2455">
        <v>-0.12626109999999999</v>
      </c>
      <c r="Z2455">
        <v>-9.5106979999999997E-4</v>
      </c>
      <c r="AA2455">
        <v>0.99199660000000001</v>
      </c>
      <c r="AB2455">
        <v>22</v>
      </c>
      <c r="AC2455">
        <v>-67.586399999999998</v>
      </c>
      <c r="AD2455">
        <v>-0.74295449999999996</v>
      </c>
      <c r="AE2455">
        <v>-6.9931999999999999</v>
      </c>
      <c r="AF2455">
        <v>-8.6054666279227696</v>
      </c>
      <c r="AG2455">
        <v>-0.74295449999999996</v>
      </c>
      <c r="AH2455">
        <v>67.391902261981102</v>
      </c>
      <c r="AI2455">
        <v>90.626538396394395</v>
      </c>
      <c r="AJ2455">
        <v>97.276883067426894</v>
      </c>
      <c r="AK2455">
        <v>67.943171310748895</v>
      </c>
      <c r="AL2455">
        <v>88.958870345329402</v>
      </c>
      <c r="AM2455">
        <v>88.191033741234705</v>
      </c>
      <c r="AN2455">
        <v>0.99999997570310994</v>
      </c>
    </row>
    <row r="2456" spans="1:40" x14ac:dyDescent="0.25">
      <c r="A2456" t="str">
        <f>"20190312154304171"</f>
        <v>20190312154304171</v>
      </c>
      <c r="B2456" t="str">
        <f>"1552376584159716"</f>
        <v>1552376584159716</v>
      </c>
      <c r="C2456" t="s">
        <v>40</v>
      </c>
      <c r="D2456">
        <v>4.4934960000000004</v>
      </c>
      <c r="E2456">
        <v>0.43985849999999999</v>
      </c>
      <c r="F2456" t="s">
        <v>54</v>
      </c>
      <c r="G2456">
        <v>-511.95870000000002</v>
      </c>
      <c r="H2456">
        <v>0.37628539999999999</v>
      </c>
      <c r="I2456">
        <v>277.36680000000001</v>
      </c>
      <c r="J2456">
        <v>-444.58499999999998</v>
      </c>
      <c r="K2456">
        <v>1.110711</v>
      </c>
      <c r="L2456">
        <v>284.37389999999999</v>
      </c>
      <c r="M2456">
        <v>-0.99962399999999996</v>
      </c>
      <c r="N2456">
        <v>0</v>
      </c>
      <c r="O2456">
        <v>2.3797530000000001E-2</v>
      </c>
      <c r="P2456">
        <v>-0.99848460000000006</v>
      </c>
      <c r="Q2456">
        <v>4.4060009999999997E-3</v>
      </c>
      <c r="R2456">
        <v>5.4857690000000001E-2</v>
      </c>
      <c r="S2456">
        <v>-3.022186</v>
      </c>
      <c r="T2456">
        <v>-3.2836909999999997E-2</v>
      </c>
      <c r="U2456">
        <v>-0.31311040000000001</v>
      </c>
      <c r="V2456">
        <v>3.107652E-2</v>
      </c>
      <c r="W2456">
        <v>1.8022819999999998E-2</v>
      </c>
      <c r="X2456">
        <v>0.99935450000000003</v>
      </c>
      <c r="Y2456">
        <v>-0.12668740000000001</v>
      </c>
      <c r="Z2456">
        <v>-9.4434439999999998E-4</v>
      </c>
      <c r="AA2456">
        <v>0.9919422</v>
      </c>
      <c r="AB2456">
        <v>22</v>
      </c>
      <c r="AC2456">
        <v>-67.373699999999999</v>
      </c>
      <c r="AD2456">
        <v>-0.73442559999999901</v>
      </c>
      <c r="AE2456">
        <v>-7.0070999999999799</v>
      </c>
      <c r="AF2456">
        <v>-8.6075797500054794</v>
      </c>
      <c r="AG2456">
        <v>-0.73442559999999901</v>
      </c>
      <c r="AH2456">
        <v>67.179951631531907</v>
      </c>
      <c r="AI2456">
        <v>90.6212663918121</v>
      </c>
      <c r="AJ2456">
        <v>97.301367281170499</v>
      </c>
      <c r="AK2456">
        <v>67.7331212283149</v>
      </c>
      <c r="AL2456">
        <v>88.967312561542897</v>
      </c>
      <c r="AM2456">
        <v>88.218870440740901</v>
      </c>
      <c r="AN2456">
        <v>0.99999999440315601</v>
      </c>
    </row>
    <row r="2457" spans="1:40" x14ac:dyDescent="0.25">
      <c r="A2457" t="str">
        <f>"20190312154304193"</f>
        <v>20190312154304193</v>
      </c>
      <c r="B2457" t="str">
        <f>"1552376584189973"</f>
        <v>1552376584189973</v>
      </c>
      <c r="C2457" t="s">
        <v>40</v>
      </c>
      <c r="D2457">
        <v>4.4533959999999997</v>
      </c>
      <c r="E2457">
        <v>0.42328840000000001</v>
      </c>
      <c r="F2457" t="s">
        <v>54</v>
      </c>
      <c r="G2457">
        <v>-511.95870000000002</v>
      </c>
      <c r="H2457">
        <v>0.38404660000000002</v>
      </c>
      <c r="I2457">
        <v>277.32479999999998</v>
      </c>
      <c r="J2457">
        <v>-444.80029999999999</v>
      </c>
      <c r="K2457">
        <v>1.1107119999999999</v>
      </c>
      <c r="L2457">
        <v>284.37889999999999</v>
      </c>
      <c r="M2457">
        <v>-0.99962649999999997</v>
      </c>
      <c r="N2457">
        <v>0</v>
      </c>
      <c r="O2457">
        <v>2.3696109999999999E-2</v>
      </c>
      <c r="P2457">
        <v>-0.99851529999999999</v>
      </c>
      <c r="Q2457">
        <v>4.2159229999999999E-3</v>
      </c>
      <c r="R2457">
        <v>5.4311529999999997E-2</v>
      </c>
      <c r="S2457">
        <v>-3.0220950000000002</v>
      </c>
      <c r="T2457">
        <v>-3.2591340000000003E-2</v>
      </c>
      <c r="U2457">
        <v>-0.31619259999999999</v>
      </c>
      <c r="V2457">
        <v>3.063126E-2</v>
      </c>
      <c r="W2457">
        <v>1.7830680000000002E-2</v>
      </c>
      <c r="X2457">
        <v>0.99937169999999997</v>
      </c>
      <c r="Y2457">
        <v>-0.1275907</v>
      </c>
      <c r="Z2457">
        <v>-9.4102810000000004E-4</v>
      </c>
      <c r="AA2457">
        <v>0.99182650000000006</v>
      </c>
      <c r="AB2457">
        <v>22</v>
      </c>
      <c r="AC2457">
        <v>-67.1584</v>
      </c>
      <c r="AD2457">
        <v>-0.72666540000000002</v>
      </c>
      <c r="AE2457">
        <v>-7.0541</v>
      </c>
      <c r="AF2457">
        <v>-8.6426584295590896</v>
      </c>
      <c r="AG2457">
        <v>-0.72666540000000002</v>
      </c>
      <c r="AH2457">
        <v>66.964614318640102</v>
      </c>
      <c r="AI2457">
        <v>90.616605919143794</v>
      </c>
      <c r="AJ2457">
        <v>97.354115603615298</v>
      </c>
      <c r="AK2457">
        <v>67.523945072676298</v>
      </c>
      <c r="AL2457">
        <v>88.9783231488057</v>
      </c>
      <c r="AM2457">
        <v>88.244404324341204</v>
      </c>
      <c r="AN2457">
        <v>1.0000000009996699</v>
      </c>
    </row>
    <row r="2458" spans="1:40" x14ac:dyDescent="0.25">
      <c r="A2458" t="str">
        <f>"20190312154304209"</f>
        <v>20190312154304209</v>
      </c>
      <c r="B2458" t="str">
        <f>"1552376584199733"</f>
        <v>1552376584199733</v>
      </c>
      <c r="C2458" t="s">
        <v>40</v>
      </c>
      <c r="D2458">
        <v>4.4329400000000003</v>
      </c>
      <c r="E2458">
        <v>0.42239890000000002</v>
      </c>
      <c r="F2458" t="s">
        <v>54</v>
      </c>
      <c r="G2458">
        <v>-512.82550000000003</v>
      </c>
      <c r="H2458">
        <v>1.0315110000000001</v>
      </c>
      <c r="I2458">
        <v>274.29559999999998</v>
      </c>
      <c r="J2458">
        <v>-444.95170000000002</v>
      </c>
      <c r="K2458">
        <v>1.110711</v>
      </c>
      <c r="L2458">
        <v>284.38249999999999</v>
      </c>
      <c r="M2458">
        <v>-0.99962830000000003</v>
      </c>
      <c r="N2458">
        <v>0</v>
      </c>
      <c r="O2458">
        <v>2.3624539999999999E-2</v>
      </c>
      <c r="P2458">
        <v>-0.9985271</v>
      </c>
      <c r="Q2458">
        <v>4.2710029999999998E-3</v>
      </c>
      <c r="R2458">
        <v>5.408723E-2</v>
      </c>
      <c r="S2458">
        <v>-3.028931</v>
      </c>
      <c r="T2458">
        <v>-3.522992E-3</v>
      </c>
      <c r="U2458">
        <v>-0.4489746</v>
      </c>
      <c r="V2458">
        <v>3.0478160000000001E-2</v>
      </c>
      <c r="W2458">
        <v>1.7883599999999999E-2</v>
      </c>
      <c r="X2458">
        <v>0.99937549999999997</v>
      </c>
      <c r="Y2458">
        <v>-0.169957</v>
      </c>
      <c r="Z2458">
        <v>-1.256439E-4</v>
      </c>
      <c r="AA2458">
        <v>0.98545150000000004</v>
      </c>
      <c r="AB2458">
        <v>22</v>
      </c>
      <c r="AC2458">
        <v>-67.873800000000003</v>
      </c>
      <c r="AD2458">
        <v>-7.9199999999999895E-2</v>
      </c>
      <c r="AE2458">
        <v>-10.0869</v>
      </c>
      <c r="AF2458">
        <v>-11.687704431902899</v>
      </c>
      <c r="AG2458">
        <v>-7.9199999999999895E-2</v>
      </c>
      <c r="AH2458">
        <v>67.616442511474503</v>
      </c>
      <c r="AI2458">
        <v>90.066130587348098</v>
      </c>
      <c r="AJ2458">
        <v>99.806843055180806</v>
      </c>
      <c r="AK2458">
        <v>68.619181031509399</v>
      </c>
      <c r="AL2458">
        <v>88.975290638906898</v>
      </c>
      <c r="AM2458">
        <v>88.253180263810904</v>
      </c>
      <c r="AN2458">
        <v>1.0000000656930901</v>
      </c>
    </row>
    <row r="2459" spans="1:40" x14ac:dyDescent="0.25">
      <c r="A2459" t="str">
        <f>"20190312154304227"</f>
        <v>20190312154304227</v>
      </c>
      <c r="B2459" t="str">
        <f>"1552376584220228"</f>
        <v>1552376584220228</v>
      </c>
      <c r="C2459" t="s">
        <v>40</v>
      </c>
      <c r="D2459">
        <v>4.4256140000000004</v>
      </c>
      <c r="E2459">
        <v>0.42089660000000001</v>
      </c>
      <c r="F2459" t="s">
        <v>54</v>
      </c>
      <c r="G2459">
        <v>-512.82550000000003</v>
      </c>
      <c r="H2459">
        <v>1.092511</v>
      </c>
      <c r="I2459">
        <v>274.15219999999999</v>
      </c>
      <c r="J2459">
        <v>-445.12720000000002</v>
      </c>
      <c r="K2459">
        <v>1.1107119999999999</v>
      </c>
      <c r="L2459">
        <v>284.38650000000001</v>
      </c>
      <c r="M2459">
        <v>-0.99963029999999997</v>
      </c>
      <c r="N2459">
        <v>0</v>
      </c>
      <c r="O2459">
        <v>2.3542239999999999E-2</v>
      </c>
      <c r="P2459">
        <v>-0.99854920000000003</v>
      </c>
      <c r="Q2459">
        <v>4.0698389999999996E-3</v>
      </c>
      <c r="R2459">
        <v>5.3697979999999999E-2</v>
      </c>
      <c r="S2459">
        <v>-3.029175</v>
      </c>
      <c r="T2459">
        <v>-8.0871580000000005E-4</v>
      </c>
      <c r="U2459">
        <v>-0.45657350000000002</v>
      </c>
      <c r="V2459">
        <v>3.0170929999999999E-2</v>
      </c>
      <c r="W2459">
        <v>1.7680979999999999E-2</v>
      </c>
      <c r="X2459">
        <v>0.99938830000000001</v>
      </c>
      <c r="Y2459">
        <v>-0.17228199999999999</v>
      </c>
      <c r="Z2459" s="1">
        <v>-2.9121209999999999E-5</v>
      </c>
      <c r="AA2459">
        <v>0.98504760000000002</v>
      </c>
      <c r="AB2459">
        <v>22</v>
      </c>
      <c r="AC2459">
        <v>-67.698300000000003</v>
      </c>
      <c r="AD2459">
        <v>-1.8201000000000099E-2</v>
      </c>
      <c r="AE2459">
        <v>-10.234299999999999</v>
      </c>
      <c r="AF2459">
        <v>-11.825379223327401</v>
      </c>
      <c r="AG2459">
        <v>-1.8201000000000099E-2</v>
      </c>
      <c r="AH2459">
        <v>67.438568067922105</v>
      </c>
      <c r="AI2459">
        <v>90.015231172329095</v>
      </c>
      <c r="AJ2459">
        <v>99.945723670753495</v>
      </c>
      <c r="AK2459">
        <v>68.4675133775403</v>
      </c>
      <c r="AL2459">
        <v>88.986901615673304</v>
      </c>
      <c r="AM2459">
        <v>88.270800177324702</v>
      </c>
      <c r="AN2459">
        <v>0.99999993812385501</v>
      </c>
    </row>
    <row r="2460" spans="1:40" x14ac:dyDescent="0.25">
      <c r="A2460" t="str">
        <f>"20190312154304250"</f>
        <v>20190312154304250</v>
      </c>
      <c r="B2460" t="str">
        <f>"1552376584239749"</f>
        <v>1552376584239749</v>
      </c>
      <c r="C2460" t="s">
        <v>40</v>
      </c>
      <c r="D2460">
        <v>4.4100780000000004</v>
      </c>
      <c r="E2460">
        <v>0.42037950000000002</v>
      </c>
      <c r="F2460" t="s">
        <v>54</v>
      </c>
      <c r="G2460">
        <v>-512.82550000000003</v>
      </c>
      <c r="H2460">
        <v>1.037561</v>
      </c>
      <c r="I2460">
        <v>273.8929</v>
      </c>
      <c r="J2460">
        <v>-445.33929999999998</v>
      </c>
      <c r="K2460">
        <v>1.1107100000000001</v>
      </c>
      <c r="L2460">
        <v>284.39139999999998</v>
      </c>
      <c r="M2460">
        <v>-0.99963250000000003</v>
      </c>
      <c r="N2460">
        <v>0</v>
      </c>
      <c r="O2460">
        <v>2.344297E-2</v>
      </c>
      <c r="P2460">
        <v>-0.99853579999999997</v>
      </c>
      <c r="Q2460">
        <v>3.7902209999999999E-3</v>
      </c>
      <c r="R2460">
        <v>5.396434E-2</v>
      </c>
      <c r="S2460">
        <v>-3.0296020000000001</v>
      </c>
      <c r="T2460">
        <v>-3.2700300000000002E-3</v>
      </c>
      <c r="U2460">
        <v>-0.46960449999999998</v>
      </c>
      <c r="V2460">
        <v>3.053674E-2</v>
      </c>
      <c r="W2460">
        <v>1.7399209999999998E-2</v>
      </c>
      <c r="X2460">
        <v>0.9993822</v>
      </c>
      <c r="Y2460">
        <v>-0.1763023</v>
      </c>
      <c r="Z2460">
        <v>-1.197472E-4</v>
      </c>
      <c r="AA2460">
        <v>0.98433610000000005</v>
      </c>
      <c r="AB2460">
        <v>22</v>
      </c>
      <c r="AC2460">
        <v>-67.486199999999997</v>
      </c>
      <c r="AD2460">
        <v>-7.3149000000000103E-2</v>
      </c>
      <c r="AE2460">
        <v>-10.4984999999999</v>
      </c>
      <c r="AF2460">
        <v>-12.0778239245834</v>
      </c>
      <c r="AG2460">
        <v>-7.3149000000000103E-2</v>
      </c>
      <c r="AH2460">
        <v>67.221433787169204</v>
      </c>
      <c r="AI2460">
        <v>90.061365445143807</v>
      </c>
      <c r="AJ2460">
        <v>100.18578140063801</v>
      </c>
      <c r="AK2460">
        <v>68.297879483423301</v>
      </c>
      <c r="AL2460">
        <v>89.003048397540596</v>
      </c>
      <c r="AM2460">
        <v>88.249836632549602</v>
      </c>
      <c r="AN2460">
        <v>1.0000000033376399</v>
      </c>
    </row>
    <row r="2461" spans="1:40" x14ac:dyDescent="0.25">
      <c r="A2461" t="str">
        <f>"20190312154304272"</f>
        <v>20190312154304272</v>
      </c>
      <c r="B2461" t="str">
        <f>"1552376584260244"</f>
        <v>1552376584260244</v>
      </c>
      <c r="C2461" t="s">
        <v>40</v>
      </c>
      <c r="D2461">
        <v>4.4166790000000002</v>
      </c>
      <c r="E2461">
        <v>0.42036980000000002</v>
      </c>
      <c r="F2461" t="s">
        <v>54</v>
      </c>
      <c r="G2461">
        <v>-512.82550000000003</v>
      </c>
      <c r="H2461">
        <v>0.95019770000000003</v>
      </c>
      <c r="I2461">
        <v>273.85250000000002</v>
      </c>
      <c r="J2461">
        <v>-445.55610000000001</v>
      </c>
      <c r="K2461">
        <v>1.1107089999999999</v>
      </c>
      <c r="L2461">
        <v>284.39640000000003</v>
      </c>
      <c r="M2461">
        <v>-0.99963500000000005</v>
      </c>
      <c r="N2461">
        <v>0</v>
      </c>
      <c r="O2461">
        <v>2.3341359999999998E-2</v>
      </c>
      <c r="P2461">
        <v>-0.99853179999999997</v>
      </c>
      <c r="Q2461">
        <v>3.769077E-3</v>
      </c>
      <c r="R2461">
        <v>5.4039990000000003E-2</v>
      </c>
      <c r="S2461">
        <v>-3.0299990000000001</v>
      </c>
      <c r="T2461">
        <v>-7.2031019999999899E-3</v>
      </c>
      <c r="U2461">
        <v>-0.47317500000000001</v>
      </c>
      <c r="V2461">
        <v>3.0714149999999999E-2</v>
      </c>
      <c r="W2461">
        <v>1.7375850000000002E-2</v>
      </c>
      <c r="X2461">
        <v>0.99937719999999997</v>
      </c>
      <c r="Y2461">
        <v>-0.17731479999999999</v>
      </c>
      <c r="Z2461">
        <v>-2.6467260000000002E-4</v>
      </c>
      <c r="AA2461">
        <v>0.98415419999999998</v>
      </c>
      <c r="AB2461">
        <v>22</v>
      </c>
      <c r="AC2461">
        <v>-67.269400000000005</v>
      </c>
      <c r="AD2461">
        <v>-0.1605113</v>
      </c>
      <c r="AE2461">
        <v>-10.543900000000001</v>
      </c>
      <c r="AF2461">
        <v>-12.1112640961503</v>
      </c>
      <c r="AG2461">
        <v>-0.1605113</v>
      </c>
      <c r="AH2461">
        <v>67.004565204454096</v>
      </c>
      <c r="AI2461">
        <v>90.135064723493798</v>
      </c>
      <c r="AJ2461">
        <v>100.245747961814</v>
      </c>
      <c r="AK2461">
        <v>68.090529738885706</v>
      </c>
      <c r="AL2461">
        <v>89.004387059372206</v>
      </c>
      <c r="AM2461">
        <v>88.239666245561097</v>
      </c>
      <c r="AN2461">
        <v>1.0000000335266399</v>
      </c>
    </row>
    <row r="2462" spans="1:40" x14ac:dyDescent="0.25">
      <c r="A2462" t="str">
        <f>"20190312154304295"</f>
        <v>20190312154304295</v>
      </c>
      <c r="B2462" t="str">
        <f>"1552376584290500"</f>
        <v>1552376584290500</v>
      </c>
      <c r="C2462" t="s">
        <v>40</v>
      </c>
      <c r="D2462">
        <v>4.4320639999999996</v>
      </c>
      <c r="E2462">
        <v>0.41979889999999997</v>
      </c>
      <c r="F2462" t="s">
        <v>54</v>
      </c>
      <c r="G2462">
        <v>-512.82539999999995</v>
      </c>
      <c r="H2462">
        <v>0.93521460000000001</v>
      </c>
      <c r="I2462">
        <v>273.8929</v>
      </c>
      <c r="J2462">
        <v>-445.7731</v>
      </c>
      <c r="K2462">
        <v>1.110711</v>
      </c>
      <c r="L2462">
        <v>284.40129999999999</v>
      </c>
      <c r="M2462">
        <v>-0.99963740000000001</v>
      </c>
      <c r="N2462">
        <v>0</v>
      </c>
      <c r="O2462">
        <v>2.323946E-2</v>
      </c>
      <c r="P2462">
        <v>-0.99850700000000003</v>
      </c>
      <c r="Q2462">
        <v>3.9559729999999998E-3</v>
      </c>
      <c r="R2462">
        <v>5.4481849999999998E-2</v>
      </c>
      <c r="S2462">
        <v>-3.0300600000000002</v>
      </c>
      <c r="T2462">
        <v>-7.9013109999999994E-3</v>
      </c>
      <c r="U2462">
        <v>-0.47311399999999998</v>
      </c>
      <c r="V2462">
        <v>3.1258359999999999E-2</v>
      </c>
      <c r="W2462">
        <v>1.755988E-2</v>
      </c>
      <c r="X2462">
        <v>0.9993571</v>
      </c>
      <c r="Y2462">
        <v>-0.17719199999999999</v>
      </c>
      <c r="Z2462">
        <v>-2.8989899999999998E-4</v>
      </c>
      <c r="AA2462">
        <v>0.9841763</v>
      </c>
      <c r="AB2462">
        <v>21</v>
      </c>
      <c r="AC2462">
        <v>-67.052299999999903</v>
      </c>
      <c r="AD2462">
        <v>-0.175496399999999</v>
      </c>
      <c r="AE2462">
        <v>-10.5083999999999</v>
      </c>
      <c r="AF2462">
        <v>-12.063884182237601</v>
      </c>
      <c r="AG2462">
        <v>-0.175496399999999</v>
      </c>
      <c r="AH2462">
        <v>66.789508958611805</v>
      </c>
      <c r="AI2462">
        <v>90.148152912378706</v>
      </c>
      <c r="AJ2462">
        <v>100.23868016984299</v>
      </c>
      <c r="AK2462">
        <v>67.870513534828504</v>
      </c>
      <c r="AL2462">
        <v>88.993841298692303</v>
      </c>
      <c r="AM2462">
        <v>88.208459835165002</v>
      </c>
      <c r="AN2462">
        <v>1.0000000238879501</v>
      </c>
    </row>
    <row r="2463" spans="1:40" x14ac:dyDescent="0.25">
      <c r="A2463" t="str">
        <f>"20190312154304317"</f>
        <v>20190312154304317</v>
      </c>
      <c r="B2463" t="str">
        <f>"1552376584310021"</f>
        <v>1552376584310021</v>
      </c>
      <c r="C2463" t="s">
        <v>40</v>
      </c>
      <c r="D2463">
        <v>4.3865809999999996</v>
      </c>
      <c r="E2463">
        <v>0.41967700000000002</v>
      </c>
      <c r="F2463" t="s">
        <v>54</v>
      </c>
      <c r="G2463">
        <v>-512.82539999999995</v>
      </c>
      <c r="H2463">
        <v>0.90260850000000004</v>
      </c>
      <c r="I2463">
        <v>273.86579999999998</v>
      </c>
      <c r="J2463">
        <v>-445.98579999999998</v>
      </c>
      <c r="K2463">
        <v>1.1107129999999901</v>
      </c>
      <c r="L2463">
        <v>284.40620000000001</v>
      </c>
      <c r="M2463">
        <v>-0.99963970000000002</v>
      </c>
      <c r="N2463">
        <v>0</v>
      </c>
      <c r="O2463">
        <v>2.3139460000000001E-2</v>
      </c>
      <c r="P2463">
        <v>-0.99852569999999996</v>
      </c>
      <c r="Q2463">
        <v>4.2239560000000001E-3</v>
      </c>
      <c r="R2463">
        <v>5.4118220000000002E-2</v>
      </c>
      <c r="S2463">
        <v>-3.030548</v>
      </c>
      <c r="T2463">
        <v>-9.4019169999999992E-3</v>
      </c>
      <c r="U2463">
        <v>-0.47616579999999997</v>
      </c>
      <c r="V2463">
        <v>3.0994190000000001E-2</v>
      </c>
      <c r="W2463">
        <v>1.7825919999999999E-2</v>
      </c>
      <c r="X2463">
        <v>0.99936060000000004</v>
      </c>
      <c r="Y2463">
        <v>-0.17803629999999901</v>
      </c>
      <c r="Z2463">
        <v>-3.4586769999999902E-4</v>
      </c>
      <c r="AA2463">
        <v>0.98402389999999995</v>
      </c>
      <c r="AB2463">
        <v>21</v>
      </c>
      <c r="AC2463">
        <v>-66.839599999999905</v>
      </c>
      <c r="AD2463">
        <v>-0.208104499999999</v>
      </c>
      <c r="AE2463">
        <v>-10.5404</v>
      </c>
      <c r="AF2463">
        <v>-12.0842383137221</v>
      </c>
      <c r="AG2463">
        <v>-0.208104499999999</v>
      </c>
      <c r="AH2463">
        <v>66.5771487145566</v>
      </c>
      <c r="AI2463">
        <v>90.176213413875701</v>
      </c>
      <c r="AJ2463">
        <v>100.287603141369</v>
      </c>
      <c r="AK2463">
        <v>67.665270664247998</v>
      </c>
      <c r="AL2463">
        <v>88.9785959252129</v>
      </c>
      <c r="AM2463">
        <v>88.223596937308798</v>
      </c>
      <c r="AN2463">
        <v>1.0000000060349801</v>
      </c>
    </row>
    <row r="2464" spans="1:40" x14ac:dyDescent="0.25">
      <c r="A2464" t="str">
        <f>"20190312154304340"</f>
        <v>20190312154304340</v>
      </c>
      <c r="B2464" t="str">
        <f>"1552376584330516"</f>
        <v>1552376584330516</v>
      </c>
      <c r="C2464" t="s">
        <v>40</v>
      </c>
      <c r="D2464">
        <v>4.4267899999999996</v>
      </c>
      <c r="E2464">
        <v>0.41925249999999997</v>
      </c>
      <c r="F2464" t="s">
        <v>54</v>
      </c>
      <c r="G2464">
        <v>-512.82539999999995</v>
      </c>
      <c r="H2464">
        <v>0.94553949999999998</v>
      </c>
      <c r="I2464">
        <v>273.85649999999998</v>
      </c>
      <c r="J2464">
        <v>-446.20299999999997</v>
      </c>
      <c r="K2464">
        <v>1.110716</v>
      </c>
      <c r="L2464">
        <v>284.41109999999998</v>
      </c>
      <c r="M2464">
        <v>-0.99964209999999998</v>
      </c>
      <c r="N2464">
        <v>0</v>
      </c>
      <c r="O2464">
        <v>2.3037680000000001E-2</v>
      </c>
      <c r="P2464">
        <v>-0.99852370000000001</v>
      </c>
      <c r="Q2464">
        <v>4.1710559999999898E-3</v>
      </c>
      <c r="R2464">
        <v>5.4159600000000002E-2</v>
      </c>
      <c r="S2464">
        <v>-3.0303960000000001</v>
      </c>
      <c r="T2464">
        <v>-7.4850319999999904E-3</v>
      </c>
      <c r="U2464">
        <v>-0.478302</v>
      </c>
      <c r="V2464">
        <v>3.1137450000000001E-2</v>
      </c>
      <c r="W2464">
        <v>1.7770609999999999E-2</v>
      </c>
      <c r="X2464">
        <v>0.9993571</v>
      </c>
      <c r="Y2464">
        <v>-0.178621</v>
      </c>
      <c r="Z2464">
        <v>-2.7581790000000001E-4</v>
      </c>
      <c r="AA2464">
        <v>0.98391790000000001</v>
      </c>
      <c r="AB2464">
        <v>21</v>
      </c>
      <c r="AC2464">
        <v>-66.622399999999899</v>
      </c>
      <c r="AD2464">
        <v>-0.165176499999999</v>
      </c>
      <c r="AE2464">
        <v>-10.554599999999899</v>
      </c>
      <c r="AF2464">
        <v>-12.086693262094</v>
      </c>
      <c r="AG2464">
        <v>-0.165176499999999</v>
      </c>
      <c r="AH2464">
        <v>66.361141060461904</v>
      </c>
      <c r="AI2464">
        <v>90.140303858108197</v>
      </c>
      <c r="AJ2464">
        <v>100.32242266999999</v>
      </c>
      <c r="AK2464">
        <v>67.453068722887807</v>
      </c>
      <c r="AL2464">
        <v>88.9817654245482</v>
      </c>
      <c r="AM2464">
        <v>88.215385175324599</v>
      </c>
      <c r="AN2464">
        <v>0.99999997434634202</v>
      </c>
    </row>
    <row r="2465" spans="1:40" x14ac:dyDescent="0.25">
      <c r="A2465" t="str">
        <f>"20190312154304361"</f>
        <v>20190312154304361</v>
      </c>
      <c r="B2465" t="str">
        <f>"1552376584350037"</f>
        <v>1552376584350037</v>
      </c>
      <c r="C2465" t="s">
        <v>40</v>
      </c>
      <c r="D2465">
        <v>4.4227349999999896</v>
      </c>
      <c r="E2465">
        <v>0.41897760000000001</v>
      </c>
      <c r="F2465" t="s">
        <v>54</v>
      </c>
      <c r="G2465">
        <v>-512.82539999999995</v>
      </c>
      <c r="H2465">
        <v>0.92255140000000002</v>
      </c>
      <c r="I2465">
        <v>273.82440000000003</v>
      </c>
      <c r="J2465">
        <v>-446.40879999999999</v>
      </c>
      <c r="K2465">
        <v>1.110711</v>
      </c>
      <c r="L2465">
        <v>284.41559999999998</v>
      </c>
      <c r="M2465">
        <v>-0.99964450000000005</v>
      </c>
      <c r="N2465">
        <v>0</v>
      </c>
      <c r="O2465">
        <v>2.2940729999999999E-2</v>
      </c>
      <c r="P2465">
        <v>-0.99853049999999999</v>
      </c>
      <c r="Q2465">
        <v>4.3913490000000001E-3</v>
      </c>
      <c r="R2465">
        <v>5.4020060000000002E-2</v>
      </c>
      <c r="S2465">
        <v>-3.030548</v>
      </c>
      <c r="T2465">
        <v>-8.5556509999999992E-3</v>
      </c>
      <c r="U2465">
        <v>-0.48156739999999998</v>
      </c>
      <c r="V2465">
        <v>3.109489E-2</v>
      </c>
      <c r="W2465">
        <v>1.798897E-2</v>
      </c>
      <c r="X2465">
        <v>0.99935450000000003</v>
      </c>
      <c r="Y2465">
        <v>-0.17955189999999999</v>
      </c>
      <c r="Z2465">
        <v>-3.1626100000000003E-4</v>
      </c>
      <c r="AA2465">
        <v>0.98374839999999997</v>
      </c>
      <c r="AB2465">
        <v>21</v>
      </c>
      <c r="AC2465">
        <v>-66.416599999999903</v>
      </c>
      <c r="AD2465">
        <v>-0.18815959999999901</v>
      </c>
      <c r="AE2465">
        <v>-10.591199999999899</v>
      </c>
      <c r="AF2465">
        <v>-12.1121033018905</v>
      </c>
      <c r="AG2465">
        <v>-0.18815959999999901</v>
      </c>
      <c r="AH2465">
        <v>66.155607618443696</v>
      </c>
      <c r="AI2465">
        <v>90.160295653380103</v>
      </c>
      <c r="AJ2465">
        <v>100.37509469252799</v>
      </c>
      <c r="AK2465">
        <v>67.255504382884695</v>
      </c>
      <c r="AL2465">
        <v>88.969252298523699</v>
      </c>
      <c r="AM2465">
        <v>88.217818255491196</v>
      </c>
      <c r="AN2465">
        <v>0.99999995594801006</v>
      </c>
    </row>
    <row r="2466" spans="1:40" x14ac:dyDescent="0.25">
      <c r="A2466" t="str">
        <f>"20190312154304384"</f>
        <v>20190312154304384</v>
      </c>
      <c r="B2466" t="str">
        <f>"1552376584380293"</f>
        <v>1552376584380293</v>
      </c>
      <c r="C2466" t="s">
        <v>40</v>
      </c>
      <c r="D2466">
        <v>4.4672939999999999</v>
      </c>
      <c r="E2466">
        <v>0.41891489999999998</v>
      </c>
      <c r="F2466" t="s">
        <v>54</v>
      </c>
      <c r="G2466">
        <v>-512.82539999999995</v>
      </c>
      <c r="H2466">
        <v>0.94668229999999998</v>
      </c>
      <c r="I2466">
        <v>273.80770000000001</v>
      </c>
      <c r="J2466">
        <v>-446.6198</v>
      </c>
      <c r="K2466">
        <v>1.1107089999999999</v>
      </c>
      <c r="L2466">
        <v>284.42039999999997</v>
      </c>
      <c r="M2466">
        <v>-0.9996467</v>
      </c>
      <c r="N2466">
        <v>0</v>
      </c>
      <c r="O2466">
        <v>2.2841630000000002E-2</v>
      </c>
      <c r="P2466">
        <v>-0.9985579</v>
      </c>
      <c r="Q2466">
        <v>3.8546119999999999E-3</v>
      </c>
      <c r="R2466">
        <v>5.3548760000000001E-2</v>
      </c>
      <c r="S2466">
        <v>-3.0306090000000001</v>
      </c>
      <c r="T2466">
        <v>-7.4809789999999996E-3</v>
      </c>
      <c r="U2466">
        <v>-0.48403930000000001</v>
      </c>
      <c r="V2466">
        <v>3.0721990000000001E-2</v>
      </c>
      <c r="W2466">
        <v>1.744975E-2</v>
      </c>
      <c r="X2466">
        <v>0.99937560000000003</v>
      </c>
      <c r="Y2466">
        <v>-0.18023400000000001</v>
      </c>
      <c r="Z2466">
        <v>-2.77106E-4</v>
      </c>
      <c r="AA2466">
        <v>0.98362369999999999</v>
      </c>
      <c r="AB2466">
        <v>21</v>
      </c>
      <c r="AC2466">
        <v>-66.205599999999905</v>
      </c>
      <c r="AD2466">
        <v>-0.164026699999999</v>
      </c>
      <c r="AE2466">
        <v>-10.612699999999901</v>
      </c>
      <c r="AF2466">
        <v>-12.122241568082201</v>
      </c>
      <c r="AG2466">
        <v>-0.164026699999999</v>
      </c>
      <c r="AH2466">
        <v>65.945495092397607</v>
      </c>
      <c r="AI2466">
        <v>90.140163487837</v>
      </c>
      <c r="AJ2466">
        <v>100.415950912957</v>
      </c>
      <c r="AK2466">
        <v>67.050607516820406</v>
      </c>
      <c r="AL2466">
        <v>89.000152187987993</v>
      </c>
      <c r="AM2466">
        <v>88.239214373732295</v>
      </c>
      <c r="AN2466">
        <v>0.99999996215998999</v>
      </c>
    </row>
    <row r="2467" spans="1:40" x14ac:dyDescent="0.25">
      <c r="A2467" t="str">
        <f>"20190312154304406"</f>
        <v>20190312154304406</v>
      </c>
      <c r="B2467" t="str">
        <f>"1552376584399813"</f>
        <v>1552376584399813</v>
      </c>
      <c r="C2467" t="s">
        <v>40</v>
      </c>
      <c r="D2467">
        <v>4.8001360000000002</v>
      </c>
      <c r="E2467">
        <v>0.42200199999999999</v>
      </c>
      <c r="F2467" t="s">
        <v>54</v>
      </c>
      <c r="G2467">
        <v>-512.82539999999995</v>
      </c>
      <c r="H2467">
        <v>0.93009319999999895</v>
      </c>
      <c r="I2467">
        <v>273.803</v>
      </c>
      <c r="J2467">
        <v>-446.83780000000002</v>
      </c>
      <c r="K2467">
        <v>1.1107070000000001</v>
      </c>
      <c r="L2467">
        <v>284.42529999999999</v>
      </c>
      <c r="M2467">
        <v>-0.99964900000000001</v>
      </c>
      <c r="N2467">
        <v>0</v>
      </c>
      <c r="O2467">
        <v>2.2739309999999999E-2</v>
      </c>
      <c r="P2467">
        <v>-0.99857560000000001</v>
      </c>
      <c r="Q2467">
        <v>3.845163E-3</v>
      </c>
      <c r="R2467">
        <v>5.3218620000000001E-2</v>
      </c>
      <c r="S2467">
        <v>-3.0304570000000002</v>
      </c>
      <c r="T2467">
        <v>-8.2637070000000003E-3</v>
      </c>
      <c r="U2467">
        <v>-0.48599239999999999</v>
      </c>
      <c r="V2467">
        <v>3.0494130000000001E-2</v>
      </c>
      <c r="W2467">
        <v>1.7438309999999999E-2</v>
      </c>
      <c r="X2467">
        <v>0.99938280000000002</v>
      </c>
      <c r="Y2467">
        <v>-0.1807589</v>
      </c>
      <c r="Z2467">
        <v>-3.0653279999999999E-4</v>
      </c>
      <c r="AA2467">
        <v>0.98352740000000005</v>
      </c>
      <c r="AB2467">
        <v>21</v>
      </c>
      <c r="AC2467">
        <v>-65.987599999999901</v>
      </c>
      <c r="AD2467">
        <v>-0.18061379999999999</v>
      </c>
      <c r="AE2467">
        <v>-10.6222999999999</v>
      </c>
      <c r="AF2467">
        <v>-12.1201155211951</v>
      </c>
      <c r="AG2467">
        <v>-0.18061379999999999</v>
      </c>
      <c r="AH2467">
        <v>65.728488259110307</v>
      </c>
      <c r="AI2467">
        <v>90.154831079975807</v>
      </c>
      <c r="AJ2467">
        <v>100.44779120452399</v>
      </c>
      <c r="AK2467">
        <v>66.836846053803797</v>
      </c>
      <c r="AL2467">
        <v>89.000807773082798</v>
      </c>
      <c r="AM2467">
        <v>88.252278288073796</v>
      </c>
      <c r="AN2467">
        <v>0.99999998377797605</v>
      </c>
    </row>
    <row r="2468" spans="1:40" x14ac:dyDescent="0.25">
      <c r="A2468" t="str">
        <f>"20190312154304429"</f>
        <v>20190312154304429</v>
      </c>
      <c r="B2468" t="str">
        <f>"1552376584420313"</f>
        <v>1552376584420313</v>
      </c>
      <c r="C2468" t="s">
        <v>40</v>
      </c>
      <c r="D2468">
        <v>4.9290599999999998</v>
      </c>
      <c r="E2468">
        <v>0.51556590000000002</v>
      </c>
      <c r="F2468" t="s">
        <v>54</v>
      </c>
      <c r="G2468">
        <v>-512.82539999999995</v>
      </c>
      <c r="H2468">
        <v>0.92122669999999995</v>
      </c>
      <c r="I2468">
        <v>274.35219999999998</v>
      </c>
      <c r="J2468">
        <v>-447.04790000000003</v>
      </c>
      <c r="K2468">
        <v>1.1107070000000001</v>
      </c>
      <c r="L2468">
        <v>284.42989999999998</v>
      </c>
      <c r="M2468">
        <v>-0.99965119999999996</v>
      </c>
      <c r="N2468">
        <v>0</v>
      </c>
      <c r="O2468">
        <v>2.2640509999999999E-2</v>
      </c>
      <c r="P2468">
        <v>-0.99859039999999999</v>
      </c>
      <c r="Q2468">
        <v>4.1106060000000002E-3</v>
      </c>
      <c r="R2468">
        <v>5.2917249999999999E-2</v>
      </c>
      <c r="S2468">
        <v>-3.0289609999999998</v>
      </c>
      <c r="T2468">
        <v>-8.6938139999999994E-3</v>
      </c>
      <c r="U2468">
        <v>-0.4623718</v>
      </c>
      <c r="V2468">
        <v>3.0291060000000002E-2</v>
      </c>
      <c r="W2468">
        <v>1.770101E-2</v>
      </c>
      <c r="X2468">
        <v>0.99938439999999995</v>
      </c>
      <c r="Y2468">
        <v>-0.17324609999999999</v>
      </c>
      <c r="Z2468">
        <v>-3.1183449999999999E-4</v>
      </c>
      <c r="AA2468">
        <v>0.98487849999999999</v>
      </c>
      <c r="AB2468">
        <v>21</v>
      </c>
      <c r="AC2468">
        <v>-65.777499999999904</v>
      </c>
      <c r="AD2468">
        <v>-0.18948029999999999</v>
      </c>
      <c r="AE2468">
        <v>-10.077699999999901</v>
      </c>
      <c r="AF2468">
        <v>-11.564396387779199</v>
      </c>
      <c r="AG2468">
        <v>-0.18948029999999999</v>
      </c>
      <c r="AH2468">
        <v>65.531919512794502</v>
      </c>
      <c r="AI2468">
        <v>90.163144895684596</v>
      </c>
      <c r="AJ2468">
        <v>100.007928929336</v>
      </c>
      <c r="AK2468">
        <v>66.544749166475597</v>
      </c>
      <c r="AL2468">
        <v>88.985753891170006</v>
      </c>
      <c r="AM2468">
        <v>88.263912547935107</v>
      </c>
      <c r="AN2468">
        <v>1.00000002651715</v>
      </c>
    </row>
    <row r="2469" spans="1:40" x14ac:dyDescent="0.25">
      <c r="A2469" t="str">
        <f>"20190312154304450"</f>
        <v>20190312154304450</v>
      </c>
      <c r="B2469" t="str">
        <f>"1552376584439829"</f>
        <v>1552376584439829</v>
      </c>
      <c r="C2469" t="s">
        <v>40</v>
      </c>
      <c r="D2469">
        <v>4.5894000000000004</v>
      </c>
      <c r="E2469">
        <v>0.52377609999999997</v>
      </c>
      <c r="F2469" t="s">
        <v>53</v>
      </c>
      <c r="G2469">
        <v>-550.05690000000004</v>
      </c>
      <c r="H2469">
        <v>7.5935600000000006E-2</v>
      </c>
      <c r="I2469">
        <v>294.1284</v>
      </c>
      <c r="J2469">
        <v>-447.25580000000002</v>
      </c>
      <c r="K2469">
        <v>1.110703</v>
      </c>
      <c r="L2469">
        <v>284.43450000000001</v>
      </c>
      <c r="M2469">
        <v>-0.99965349999999997</v>
      </c>
      <c r="N2469">
        <v>0</v>
      </c>
      <c r="O2469">
        <v>2.2542719999999999E-2</v>
      </c>
      <c r="P2469">
        <v>-0.99858219999999998</v>
      </c>
      <c r="Q2469">
        <v>4.1308940000000004E-3</v>
      </c>
      <c r="R2469">
        <v>5.3070079999999999E-2</v>
      </c>
      <c r="S2469">
        <v>-2.9894409999999998</v>
      </c>
      <c r="T2469">
        <v>-3.0027749999999999E-2</v>
      </c>
      <c r="U2469">
        <v>0.28146359999999998</v>
      </c>
      <c r="V2469">
        <v>3.0541840000000001E-2</v>
      </c>
      <c r="W2469">
        <v>1.7719120000000001E-2</v>
      </c>
      <c r="X2469">
        <v>0.99937640000000005</v>
      </c>
      <c r="Y2469">
        <v>7.126623E-2</v>
      </c>
      <c r="Z2469">
        <v>1.3124769999999999E-4</v>
      </c>
      <c r="AA2469">
        <v>0.99745729999999999</v>
      </c>
      <c r="AB2469">
        <v>21</v>
      </c>
      <c r="AC2469">
        <v>-102.80110000000001</v>
      </c>
      <c r="AD2469">
        <v>-1.0347674</v>
      </c>
      <c r="AE2469">
        <v>9.6938999999999798</v>
      </c>
      <c r="AF2469">
        <v>7.3730652282247204</v>
      </c>
      <c r="AG2469">
        <v>-1.0347674</v>
      </c>
      <c r="AH2469">
        <v>102.983176310326</v>
      </c>
      <c r="AI2469">
        <v>90.574214733952203</v>
      </c>
      <c r="AJ2469">
        <v>85.904904539602896</v>
      </c>
      <c r="AK2469">
        <v>103.251960937289</v>
      </c>
      <c r="AL2469">
        <v>88.984716054676497</v>
      </c>
      <c r="AM2469">
        <v>88.249534363558197</v>
      </c>
      <c r="AN2469">
        <v>0.99999998004055901</v>
      </c>
    </row>
    <row r="2470" spans="1:40" x14ac:dyDescent="0.25">
      <c r="A2470" t="str">
        <f>"20190312154304473"</f>
        <v>20190312154304473</v>
      </c>
      <c r="B2470" t="str">
        <f>"1552376584460326"</f>
        <v>1552376584460326</v>
      </c>
      <c r="C2470" t="s">
        <v>40</v>
      </c>
      <c r="D2470">
        <v>4.512956</v>
      </c>
      <c r="E2470">
        <v>0.52845350000000002</v>
      </c>
      <c r="F2470" t="s">
        <v>42</v>
      </c>
      <c r="G2470">
        <v>-516.67840000000001</v>
      </c>
      <c r="H2470">
        <v>-0.05</v>
      </c>
      <c r="I2470">
        <v>292.49299999999999</v>
      </c>
      <c r="J2470">
        <v>-447.46640000000002</v>
      </c>
      <c r="K2470">
        <v>1.1107070000000001</v>
      </c>
      <c r="L2470">
        <v>284.43920000000003</v>
      </c>
      <c r="M2470">
        <v>-0.99965570000000004</v>
      </c>
      <c r="N2470">
        <v>0</v>
      </c>
      <c r="O2470">
        <v>2.2443680000000001E-2</v>
      </c>
      <c r="P2470">
        <v>-0.99859359999999997</v>
      </c>
      <c r="Q2470">
        <v>4.149827E-3</v>
      </c>
      <c r="R2470">
        <v>5.2857389999999997E-2</v>
      </c>
      <c r="S2470">
        <v>-2.9860530000000001</v>
      </c>
      <c r="T2470">
        <v>-4.9924969999999999E-2</v>
      </c>
      <c r="U2470">
        <v>0.3466187</v>
      </c>
      <c r="V2470">
        <v>3.042808E-2</v>
      </c>
      <c r="W2470">
        <v>1.7735810000000001E-2</v>
      </c>
      <c r="X2470">
        <v>0.99937960000000003</v>
      </c>
      <c r="Y2470">
        <v>9.2970129999999998E-2</v>
      </c>
      <c r="Z2470">
        <v>4.0069470000000002E-4</v>
      </c>
      <c r="AA2470">
        <v>0.99566880000000002</v>
      </c>
      <c r="AB2470">
        <v>21</v>
      </c>
      <c r="AC2470">
        <v>-69.211999999999904</v>
      </c>
      <c r="AD2470">
        <v>-1.1607069999999999</v>
      </c>
      <c r="AE2470">
        <v>8.0537999999999599</v>
      </c>
      <c r="AF2470">
        <v>6.4964527664002603</v>
      </c>
      <c r="AG2470">
        <v>-1.1607069999999999</v>
      </c>
      <c r="AH2470">
        <v>69.356091149380603</v>
      </c>
      <c r="AI2470">
        <v>90.954604685262794</v>
      </c>
      <c r="AJ2470">
        <v>84.648827055057694</v>
      </c>
      <c r="AK2470">
        <v>69.669351359167294</v>
      </c>
      <c r="AL2470">
        <v>88.983759664137807</v>
      </c>
      <c r="AM2470">
        <v>88.2560559161588</v>
      </c>
      <c r="AN2470">
        <v>1.0000000059525</v>
      </c>
    </row>
    <row r="2471" spans="1:40" x14ac:dyDescent="0.25">
      <c r="A2471" t="str">
        <f>"20190312154304488"</f>
        <v>20190312154304488</v>
      </c>
      <c r="B2471" t="str">
        <f>"1552376584479845"</f>
        <v>1552376584479845</v>
      </c>
      <c r="C2471" t="s">
        <v>40</v>
      </c>
      <c r="D2471">
        <v>4.4682089999999999</v>
      </c>
      <c r="E2471">
        <v>0.53093959999999996</v>
      </c>
      <c r="F2471" t="s">
        <v>42</v>
      </c>
      <c r="G2471">
        <v>-515.13199999999995</v>
      </c>
      <c r="H2471">
        <v>-0.05</v>
      </c>
      <c r="I2471">
        <v>293.12819999999999</v>
      </c>
      <c r="J2471">
        <v>-447.61149999999998</v>
      </c>
      <c r="K2471">
        <v>1.110708</v>
      </c>
      <c r="L2471">
        <v>284.44240000000002</v>
      </c>
      <c r="M2471">
        <v>-0.99965729999999997</v>
      </c>
      <c r="N2471">
        <v>0</v>
      </c>
      <c r="O2471">
        <v>2.237575E-2</v>
      </c>
      <c r="P2471">
        <v>-0.9985811</v>
      </c>
      <c r="Q2471">
        <v>3.8212049999999998E-3</v>
      </c>
      <c r="R2471">
        <v>5.3116940000000001E-2</v>
      </c>
      <c r="S2471">
        <v>-2.9842219999999999</v>
      </c>
      <c r="T2471">
        <v>-5.1190140000000002E-2</v>
      </c>
      <c r="U2471">
        <v>0.38320920000000003</v>
      </c>
      <c r="V2471">
        <v>3.0755859999999999E-2</v>
      </c>
      <c r="W2471">
        <v>1.740541E-2</v>
      </c>
      <c r="X2471">
        <v>0.99937529999999997</v>
      </c>
      <c r="Y2471">
        <v>0.1051265</v>
      </c>
      <c r="Z2471">
        <v>5.157947E-4</v>
      </c>
      <c r="AA2471">
        <v>0.99445870000000003</v>
      </c>
      <c r="AB2471">
        <v>21</v>
      </c>
      <c r="AC2471">
        <v>-67.520499999999899</v>
      </c>
      <c r="AD2471">
        <v>-1.1607080000000001</v>
      </c>
      <c r="AE2471">
        <v>8.6857999999999702</v>
      </c>
      <c r="AF2471">
        <v>7.1705791504298997</v>
      </c>
      <c r="AG2471">
        <v>-1.1607080000000001</v>
      </c>
      <c r="AH2471">
        <v>67.678286953016794</v>
      </c>
      <c r="AI2471">
        <v>90.977079994695899</v>
      </c>
      <c r="AJ2471">
        <v>83.952020822479994</v>
      </c>
      <c r="AK2471">
        <v>68.066988866180395</v>
      </c>
      <c r="AL2471">
        <v>89.002693037493401</v>
      </c>
      <c r="AM2471">
        <v>88.237273859740597</v>
      </c>
      <c r="AN2471">
        <v>0.99999993073584603</v>
      </c>
    </row>
    <row r="2472" spans="1:40" x14ac:dyDescent="0.25">
      <c r="A2472" t="str">
        <f>"20190312154304508"</f>
        <v>20190312154304508</v>
      </c>
      <c r="B2472" t="str">
        <f>"1552376584500340"</f>
        <v>1552376584500340</v>
      </c>
      <c r="C2472" t="s">
        <v>40</v>
      </c>
      <c r="D2472">
        <v>4.4697969999999998</v>
      </c>
      <c r="E2472">
        <v>0.53258490000000003</v>
      </c>
      <c r="F2472" t="s">
        <v>53</v>
      </c>
      <c r="G2472">
        <v>-522.25429999999994</v>
      </c>
      <c r="H2472">
        <v>-4.5250890000000002E-2</v>
      </c>
      <c r="I2472">
        <v>294.55</v>
      </c>
      <c r="J2472">
        <v>-447.80009999999999</v>
      </c>
      <c r="K2472">
        <v>1.1107039999999999</v>
      </c>
      <c r="L2472">
        <v>284.44650000000001</v>
      </c>
      <c r="M2472">
        <v>-0.99965939999999998</v>
      </c>
      <c r="N2472">
        <v>0</v>
      </c>
      <c r="O2472">
        <v>2.2287080000000001E-2</v>
      </c>
      <c r="P2472">
        <v>-0.99855669999999996</v>
      </c>
      <c r="Q2472">
        <v>3.9592289999999999E-3</v>
      </c>
      <c r="R2472">
        <v>5.3562449999999998E-2</v>
      </c>
      <c r="S2472">
        <v>-2.9829409999999998</v>
      </c>
      <c r="T2472">
        <v>-4.6191929999999999E-2</v>
      </c>
      <c r="U2472">
        <v>0.40393069999999998</v>
      </c>
      <c r="V2472">
        <v>3.1290419999999999E-2</v>
      </c>
      <c r="W2472">
        <v>1.7541290000000001E-2</v>
      </c>
      <c r="X2472">
        <v>0.99935640000000003</v>
      </c>
      <c r="Y2472">
        <v>0.1120574</v>
      </c>
      <c r="Z2472">
        <v>5.2021610000000003E-4</v>
      </c>
      <c r="AA2472">
        <v>0.99370159999999996</v>
      </c>
      <c r="AB2472">
        <v>21</v>
      </c>
      <c r="AC2472">
        <v>-74.454199999999901</v>
      </c>
      <c r="AD2472">
        <v>-1.1559548900000001</v>
      </c>
      <c r="AE2472">
        <v>10.103499999999899</v>
      </c>
      <c r="AF2472">
        <v>8.4394727159813403</v>
      </c>
      <c r="AG2472">
        <v>-1.1559548900000001</v>
      </c>
      <c r="AH2472">
        <v>74.643234089010505</v>
      </c>
      <c r="AI2472">
        <v>90.881618075101699</v>
      </c>
      <c r="AJ2472">
        <v>83.549296673116501</v>
      </c>
      <c r="AK2472">
        <v>75.127713439837393</v>
      </c>
      <c r="AL2472">
        <v>88.994906568009498</v>
      </c>
      <c r="AM2472">
        <v>88.206622293777698</v>
      </c>
      <c r="AN2472">
        <v>1.0000000007298</v>
      </c>
    </row>
    <row r="2473" spans="1:40" x14ac:dyDescent="0.25">
      <c r="A2473" t="str">
        <f>"20190312154304529"</f>
        <v>20190312154304529</v>
      </c>
      <c r="B2473" t="str">
        <f>"1552376584519861"</f>
        <v>1552376584519861</v>
      </c>
      <c r="C2473" t="s">
        <v>40</v>
      </c>
      <c r="D2473">
        <v>4.4639410000000002</v>
      </c>
      <c r="E2473">
        <v>0.53367540000000002</v>
      </c>
      <c r="F2473" t="s">
        <v>53</v>
      </c>
      <c r="G2473">
        <v>-513.69460000000004</v>
      </c>
      <c r="H2473">
        <v>0.117857</v>
      </c>
      <c r="I2473">
        <v>293.69319999999999</v>
      </c>
      <c r="J2473">
        <v>-448.00240000000002</v>
      </c>
      <c r="K2473">
        <v>1.1107039999999999</v>
      </c>
      <c r="L2473">
        <v>284.45089999999999</v>
      </c>
      <c r="M2473">
        <v>-0.99966149999999998</v>
      </c>
      <c r="N2473">
        <v>0</v>
      </c>
      <c r="O2473">
        <v>2.2191909999999999E-2</v>
      </c>
      <c r="P2473">
        <v>-0.9985328</v>
      </c>
      <c r="Q2473">
        <v>3.8204250000000001E-3</v>
      </c>
      <c r="R2473">
        <v>5.401794E-2</v>
      </c>
      <c r="S2473">
        <v>-2.9820250000000001</v>
      </c>
      <c r="T2473">
        <v>-4.4926880000000002E-2</v>
      </c>
      <c r="U2473">
        <v>0.41845700000000002</v>
      </c>
      <c r="V2473">
        <v>3.1841420000000002E-2</v>
      </c>
      <c r="W2473">
        <v>1.7400639999999998E-2</v>
      </c>
      <c r="X2473">
        <v>0.99934140000000005</v>
      </c>
      <c r="Y2473">
        <v>0.1169415</v>
      </c>
      <c r="Z2473">
        <v>5.4399720000000002E-4</v>
      </c>
      <c r="AA2473">
        <v>0.99313870000000004</v>
      </c>
      <c r="AB2473">
        <v>21</v>
      </c>
      <c r="AC2473">
        <v>-65.6922</v>
      </c>
      <c r="AD2473">
        <v>-0.99284700000000004</v>
      </c>
      <c r="AE2473">
        <v>9.2423000000000002</v>
      </c>
      <c r="AF2473">
        <v>7.7803109517497999</v>
      </c>
      <c r="AG2473">
        <v>-0.99284700000000004</v>
      </c>
      <c r="AH2473">
        <v>65.866388875363</v>
      </c>
      <c r="AI2473">
        <v>90.857629609933795</v>
      </c>
      <c r="AJ2473">
        <v>83.263288557639399</v>
      </c>
      <c r="AK2473">
        <v>66.331743284432605</v>
      </c>
      <c r="AL2473">
        <v>89.002966395024004</v>
      </c>
      <c r="AM2473">
        <v>88.175036100929603</v>
      </c>
      <c r="AN2473">
        <v>0.99999994602699105</v>
      </c>
    </row>
    <row r="2474" spans="1:40" x14ac:dyDescent="0.25">
      <c r="A2474" t="str">
        <f>"20190312154304551"</f>
        <v>20190312154304551</v>
      </c>
      <c r="B2474" t="str">
        <f>"1552376584540358"</f>
        <v>1552376584540358</v>
      </c>
      <c r="C2474" t="s">
        <v>40</v>
      </c>
      <c r="D2474">
        <v>4.454955</v>
      </c>
      <c r="E2474">
        <v>0.53436909999999904</v>
      </c>
      <c r="F2474" t="s">
        <v>53</v>
      </c>
      <c r="G2474">
        <v>-512.29989999999998</v>
      </c>
      <c r="H2474">
        <v>9.7510459999999993E-2</v>
      </c>
      <c r="I2474">
        <v>293.69319999999999</v>
      </c>
      <c r="J2474">
        <v>-448.20609999999999</v>
      </c>
      <c r="K2474">
        <v>1.110708</v>
      </c>
      <c r="L2474">
        <v>284.45530000000002</v>
      </c>
      <c r="M2474">
        <v>-0.99966370000000004</v>
      </c>
      <c r="N2474">
        <v>0</v>
      </c>
      <c r="O2474">
        <v>2.2096089999999999E-2</v>
      </c>
      <c r="P2474">
        <v>-0.99850570000000005</v>
      </c>
      <c r="Q2474">
        <v>3.7845610000000001E-3</v>
      </c>
      <c r="R2474">
        <v>5.4516519999999999E-2</v>
      </c>
      <c r="S2474">
        <v>-2.9814150000000001</v>
      </c>
      <c r="T2474">
        <v>-4.6976690000000002E-2</v>
      </c>
      <c r="U2474">
        <v>0.4285583</v>
      </c>
      <c r="V2474">
        <v>3.2436369999999999E-2</v>
      </c>
      <c r="W2474">
        <v>1.7362499999999999E-2</v>
      </c>
      <c r="X2474">
        <v>0.99932299999999996</v>
      </c>
      <c r="Y2474">
        <v>0.12036090000000001</v>
      </c>
      <c r="Z2474">
        <v>5.9709789999999997E-4</v>
      </c>
      <c r="AA2474">
        <v>0.99273</v>
      </c>
      <c r="AB2474">
        <v>21</v>
      </c>
      <c r="AC2474">
        <v>-64.093799999999902</v>
      </c>
      <c r="AD2474">
        <v>-1.01319754</v>
      </c>
      <c r="AE2474">
        <v>9.2378999999999607</v>
      </c>
      <c r="AF2474">
        <v>7.8173775437435298</v>
      </c>
      <c r="AG2474">
        <v>-1.01319754</v>
      </c>
      <c r="AH2474">
        <v>64.266555986542997</v>
      </c>
      <c r="AI2474">
        <v>90.896616751863107</v>
      </c>
      <c r="AJ2474">
        <v>83.064619004313201</v>
      </c>
      <c r="AK2474">
        <v>64.748190548369394</v>
      </c>
      <c r="AL2474">
        <v>89.005152056386393</v>
      </c>
      <c r="AM2474">
        <v>88.1409265503234</v>
      </c>
      <c r="AN2474">
        <v>1.00000001641701</v>
      </c>
    </row>
    <row r="2475" spans="1:40" x14ac:dyDescent="0.25">
      <c r="A2475" t="str">
        <f>"20190312154304573"</f>
        <v>20190312154304573</v>
      </c>
      <c r="B2475" t="str">
        <f>"1552376584559877"</f>
        <v>1552376584559877</v>
      </c>
      <c r="C2475" t="s">
        <v>40</v>
      </c>
      <c r="D2475">
        <v>4.4645400000000004</v>
      </c>
      <c r="E2475">
        <v>0.53478709999999996</v>
      </c>
      <c r="F2475" t="s">
        <v>53</v>
      </c>
      <c r="G2475">
        <v>-511.43579999999997</v>
      </c>
      <c r="H2475">
        <v>7.5013339999999998E-2</v>
      </c>
      <c r="I2475">
        <v>293.69319999999999</v>
      </c>
      <c r="J2475">
        <v>-448.41550000000001</v>
      </c>
      <c r="K2475">
        <v>1.110708</v>
      </c>
      <c r="L2475">
        <v>284.45979999999997</v>
      </c>
      <c r="M2475">
        <v>-0.99966580000000005</v>
      </c>
      <c r="N2475">
        <v>0</v>
      </c>
      <c r="O2475">
        <v>2.1997579999999999E-2</v>
      </c>
      <c r="P2475">
        <v>-0.99848979999999998</v>
      </c>
      <c r="Q2475">
        <v>3.5550320000000001E-3</v>
      </c>
      <c r="R2475">
        <v>5.4823570000000002E-2</v>
      </c>
      <c r="S2475">
        <v>-2.9809269999999999</v>
      </c>
      <c r="T2475">
        <v>-4.8822999999999998E-2</v>
      </c>
      <c r="U2475">
        <v>0.43551640000000003</v>
      </c>
      <c r="V2475">
        <v>3.2842110000000001E-2</v>
      </c>
      <c r="W2475">
        <v>1.713079E-2</v>
      </c>
      <c r="X2475">
        <v>0.99931369999999997</v>
      </c>
      <c r="Y2475">
        <v>0.1227496</v>
      </c>
      <c r="Z2475">
        <v>6.4162219999999996E-4</v>
      </c>
      <c r="AA2475">
        <v>0.99243749999999997</v>
      </c>
      <c r="AB2475">
        <v>21</v>
      </c>
      <c r="AC2475">
        <v>-63.020299999999899</v>
      </c>
      <c r="AD2475">
        <v>-1.0356946600000001</v>
      </c>
      <c r="AE2475">
        <v>9.2334000000000103</v>
      </c>
      <c r="AF2475">
        <v>7.8426697223215101</v>
      </c>
      <c r="AG2475">
        <v>-1.0356946600000001</v>
      </c>
      <c r="AH2475">
        <v>63.191470492377498</v>
      </c>
      <c r="AI2475">
        <v>90.931833567304295</v>
      </c>
      <c r="AJ2475">
        <v>82.925219016373205</v>
      </c>
      <c r="AK2475">
        <v>63.684708327754599</v>
      </c>
      <c r="AL2475">
        <v>89.018429990185197</v>
      </c>
      <c r="AM2475">
        <v>88.117670896751903</v>
      </c>
      <c r="AN2475">
        <v>0.99999996958148196</v>
      </c>
    </row>
    <row r="2476" spans="1:40" x14ac:dyDescent="0.25">
      <c r="A2476" t="str">
        <f>"20190312154304596"</f>
        <v>20190312154304596</v>
      </c>
      <c r="B2476" t="str">
        <f>"1552376584590137"</f>
        <v>1552376584590137</v>
      </c>
      <c r="C2476" t="s">
        <v>40</v>
      </c>
      <c r="D2476">
        <v>4.5323859999999998</v>
      </c>
      <c r="E2476">
        <v>0.53524640000000001</v>
      </c>
      <c r="F2476" t="s">
        <v>53</v>
      </c>
      <c r="G2476">
        <v>-511.01190000000003</v>
      </c>
      <c r="H2476">
        <v>6.1010719999999997E-2</v>
      </c>
      <c r="I2476">
        <v>293.69319999999999</v>
      </c>
      <c r="J2476">
        <v>-448.63420000000002</v>
      </c>
      <c r="K2476">
        <v>1.1107049999999901</v>
      </c>
      <c r="L2476">
        <v>284.46449999999999</v>
      </c>
      <c r="M2476">
        <v>-0.99966820000000001</v>
      </c>
      <c r="N2476">
        <v>0</v>
      </c>
      <c r="O2476">
        <v>2.189437E-2</v>
      </c>
      <c r="P2476">
        <v>-0.99848099999999995</v>
      </c>
      <c r="Q2476">
        <v>3.3833650000000002E-3</v>
      </c>
      <c r="R2476">
        <v>5.499747E-2</v>
      </c>
      <c r="S2476">
        <v>-2.9806520000000001</v>
      </c>
      <c r="T2476">
        <v>-4.9979210000000003E-2</v>
      </c>
      <c r="U2476">
        <v>0.43966670000000002</v>
      </c>
      <c r="V2476">
        <v>3.3119320000000001E-2</v>
      </c>
      <c r="W2476">
        <v>1.695725E-2</v>
      </c>
      <c r="X2476">
        <v>0.99930750000000002</v>
      </c>
      <c r="Y2476">
        <v>0.1242168</v>
      </c>
      <c r="Z2476">
        <v>6.7076410000000005E-4</v>
      </c>
      <c r="AA2476">
        <v>0.99225490000000005</v>
      </c>
      <c r="AB2476">
        <v>21</v>
      </c>
      <c r="AC2476">
        <v>-62.377699999999997</v>
      </c>
      <c r="AD2476">
        <v>-1.04969427999999</v>
      </c>
      <c r="AE2476">
        <v>9.2286999999999999</v>
      </c>
      <c r="AF2476">
        <v>7.8584634686927597</v>
      </c>
      <c r="AG2476">
        <v>-1.04969427999999</v>
      </c>
      <c r="AH2476">
        <v>62.547486859353803</v>
      </c>
      <c r="AI2476">
        <v>90.953969481618103</v>
      </c>
      <c r="AJ2476">
        <v>82.838883851091495</v>
      </c>
      <c r="AK2476">
        <v>63.0479612564219</v>
      </c>
      <c r="AL2476">
        <v>89.028374533970506</v>
      </c>
      <c r="AM2476">
        <v>88.101782550555299</v>
      </c>
      <c r="AN2476">
        <v>0.99999995862053603</v>
      </c>
    </row>
    <row r="2477" spans="1:40" x14ac:dyDescent="0.25">
      <c r="A2477" t="str">
        <f>"20190312154304611"</f>
        <v>20190312154304611</v>
      </c>
      <c r="B2477" t="str">
        <f>"1552376584599894"</f>
        <v>1552376584599894</v>
      </c>
      <c r="C2477" t="s">
        <v>40</v>
      </c>
      <c r="D2477">
        <v>4.4763440000000001</v>
      </c>
      <c r="E2477">
        <v>0.53533240000000004</v>
      </c>
      <c r="F2477" t="s">
        <v>53</v>
      </c>
      <c r="G2477">
        <v>-510.95359999999999</v>
      </c>
      <c r="H2477">
        <v>6.1032299999999998E-2</v>
      </c>
      <c r="I2477">
        <v>293.74430000000001</v>
      </c>
      <c r="J2477">
        <v>-448.77699999999999</v>
      </c>
      <c r="K2477">
        <v>1.110698</v>
      </c>
      <c r="L2477">
        <v>284.4676</v>
      </c>
      <c r="M2477">
        <v>-0.99966969999999999</v>
      </c>
      <c r="N2477">
        <v>0</v>
      </c>
      <c r="O2477">
        <v>2.1827510000000001E-2</v>
      </c>
      <c r="P2477">
        <v>-0.99850220000000001</v>
      </c>
      <c r="Q2477">
        <v>3.0821690000000001E-3</v>
      </c>
      <c r="R2477">
        <v>5.463022E-2</v>
      </c>
      <c r="S2477">
        <v>-2.980286</v>
      </c>
      <c r="T2477">
        <v>-5.0194030000000001E-2</v>
      </c>
      <c r="U2477">
        <v>0.44378659999999998</v>
      </c>
      <c r="V2477">
        <v>3.2818710000000001E-2</v>
      </c>
      <c r="W2477">
        <v>1.665403E-2</v>
      </c>
      <c r="X2477">
        <v>0.9993225</v>
      </c>
      <c r="Y2477">
        <v>0.12564259999999999</v>
      </c>
      <c r="Z2477">
        <v>6.867202E-4</v>
      </c>
      <c r="AA2477">
        <v>0.99207529999999999</v>
      </c>
      <c r="AB2477">
        <v>21</v>
      </c>
      <c r="AC2477">
        <v>-62.176600000000001</v>
      </c>
      <c r="AD2477">
        <v>-1.0496657</v>
      </c>
      <c r="AE2477">
        <v>9.2766999999999999</v>
      </c>
      <c r="AF2477">
        <v>7.9149974951625399</v>
      </c>
      <c r="AG2477">
        <v>-1.0496657</v>
      </c>
      <c r="AH2477">
        <v>62.346907622802703</v>
      </c>
      <c r="AI2477">
        <v>90.956855998149393</v>
      </c>
      <c r="AJ2477">
        <v>82.764950216109099</v>
      </c>
      <c r="AK2477">
        <v>62.856072686387897</v>
      </c>
      <c r="AL2477">
        <v>89.045750198771003</v>
      </c>
      <c r="AM2477">
        <v>88.119027644291506</v>
      </c>
      <c r="AN2477">
        <v>0.99999994172377504</v>
      </c>
    </row>
    <row r="2478" spans="1:40" x14ac:dyDescent="0.25">
      <c r="A2478" t="str">
        <f>"20190312154304630"</f>
        <v>20190312154304630</v>
      </c>
      <c r="B2478" t="str">
        <f>"1552376584620388"</f>
        <v>1552376584620388</v>
      </c>
      <c r="C2478" t="s">
        <v>40</v>
      </c>
      <c r="D2478">
        <v>4.4980060000000002</v>
      </c>
      <c r="E2478">
        <v>0.53554139999999995</v>
      </c>
      <c r="F2478" t="s">
        <v>53</v>
      </c>
      <c r="G2478">
        <v>-510.95359999999999</v>
      </c>
      <c r="H2478">
        <v>3.8350339999999997E-2</v>
      </c>
      <c r="I2478">
        <v>293.71690000000001</v>
      </c>
      <c r="J2478">
        <v>-448.94510000000002</v>
      </c>
      <c r="K2478">
        <v>1.110695</v>
      </c>
      <c r="L2478">
        <v>284.47109999999998</v>
      </c>
      <c r="M2478">
        <v>-0.99967139999999999</v>
      </c>
      <c r="N2478">
        <v>0</v>
      </c>
      <c r="O2478">
        <v>2.1748489999999999E-2</v>
      </c>
      <c r="P2478">
        <v>-0.99850229999999995</v>
      </c>
      <c r="Q2478">
        <v>2.7514309999999999E-3</v>
      </c>
      <c r="R2478">
        <v>5.4641330000000002E-2</v>
      </c>
      <c r="S2478">
        <v>-2.9803769999999998</v>
      </c>
      <c r="T2478">
        <v>-5.1397680000000001E-2</v>
      </c>
      <c r="U2478">
        <v>0.44335940000000001</v>
      </c>
      <c r="V2478">
        <v>3.2908800000000002E-2</v>
      </c>
      <c r="W2478">
        <v>1.632171E-2</v>
      </c>
      <c r="X2478">
        <v>0.99932509999999997</v>
      </c>
      <c r="Y2478">
        <v>0.12557670000000001</v>
      </c>
      <c r="Z2478">
        <v>7.0396039999999895E-4</v>
      </c>
      <c r="AA2478">
        <v>0.99208370000000001</v>
      </c>
      <c r="AB2478">
        <v>21</v>
      </c>
      <c r="AC2478">
        <v>-62.008499999999898</v>
      </c>
      <c r="AD2478">
        <v>-1.0723446599999999</v>
      </c>
      <c r="AE2478">
        <v>9.2458000000000293</v>
      </c>
      <c r="AF2478">
        <v>7.8925882628903796</v>
      </c>
      <c r="AG2478">
        <v>-1.0723446599999999</v>
      </c>
      <c r="AH2478">
        <v>62.176740853294902</v>
      </c>
      <c r="AI2478">
        <v>90.980202135104093</v>
      </c>
      <c r="AJ2478">
        <v>82.765681530972799</v>
      </c>
      <c r="AK2478">
        <v>62.6848464598513</v>
      </c>
      <c r="AL2478">
        <v>89.064793396559494</v>
      </c>
      <c r="AM2478">
        <v>88.1138728519213</v>
      </c>
      <c r="AN2478">
        <v>1.0000000214123801</v>
      </c>
    </row>
    <row r="2479" spans="1:40" x14ac:dyDescent="0.25">
      <c r="A2479" t="str">
        <f>"20190312154304651"</f>
        <v>20190312154304651</v>
      </c>
      <c r="B2479" t="str">
        <f>"1552376584639910"</f>
        <v>1552376584639910</v>
      </c>
      <c r="C2479" t="s">
        <v>40</v>
      </c>
      <c r="D2479">
        <v>4.4557909999999996</v>
      </c>
      <c r="E2479">
        <v>0.535794199999999</v>
      </c>
      <c r="F2479" t="s">
        <v>53</v>
      </c>
      <c r="G2479">
        <v>-510.95359999999999</v>
      </c>
      <c r="H2479">
        <v>3.0501009999999999E-2</v>
      </c>
      <c r="I2479">
        <v>293.7346</v>
      </c>
      <c r="J2479">
        <v>-449.14850000000001</v>
      </c>
      <c r="K2479">
        <v>1.110698</v>
      </c>
      <c r="L2479">
        <v>284.47550000000001</v>
      </c>
      <c r="M2479">
        <v>-0.99967349999999999</v>
      </c>
      <c r="N2479">
        <v>0</v>
      </c>
      <c r="O2479">
        <v>2.1652850000000001E-2</v>
      </c>
      <c r="P2479">
        <v>-0.99850380000000005</v>
      </c>
      <c r="Q2479">
        <v>2.591983E-3</v>
      </c>
      <c r="R2479">
        <v>5.4622169999999998E-2</v>
      </c>
      <c r="S2479">
        <v>-2.9802550000000001</v>
      </c>
      <c r="T2479">
        <v>-5.1912069999999998E-2</v>
      </c>
      <c r="U2479">
        <v>0.44522089999999998</v>
      </c>
      <c r="V2479">
        <v>3.2985199999999999E-2</v>
      </c>
      <c r="W2479">
        <v>1.6160569999999999E-2</v>
      </c>
      <c r="X2479">
        <v>0.99932520000000002</v>
      </c>
      <c r="Y2479">
        <v>0.12628329999999999</v>
      </c>
      <c r="Z2479">
        <v>7.1877639999999999E-4</v>
      </c>
      <c r="AA2479">
        <v>0.99199400000000004</v>
      </c>
      <c r="AB2479">
        <v>21</v>
      </c>
      <c r="AC2479">
        <v>-61.805099999999896</v>
      </c>
      <c r="AD2479">
        <v>-1.0801969899999999</v>
      </c>
      <c r="AE2479">
        <v>9.2590999999999894</v>
      </c>
      <c r="AF2479">
        <v>7.9161840573628499</v>
      </c>
      <c r="AG2479">
        <v>-1.0801969899999999</v>
      </c>
      <c r="AH2479">
        <v>61.9725967108917</v>
      </c>
      <c r="AI2479">
        <v>90.990531064501994</v>
      </c>
      <c r="AJ2479">
        <v>82.720638733115194</v>
      </c>
      <c r="AK2479">
        <v>62.485482623230801</v>
      </c>
      <c r="AL2479">
        <v>89.074027256178795</v>
      </c>
      <c r="AM2479">
        <v>88.109497443258505</v>
      </c>
      <c r="AN2479">
        <v>1.0000000213983999</v>
      </c>
    </row>
    <row r="2480" spans="1:40" x14ac:dyDescent="0.25">
      <c r="A2480" t="str">
        <f>"20190312154304675"</f>
        <v>20190312154304675</v>
      </c>
      <c r="B2480" t="str">
        <f>"1552376584670165"</f>
        <v>1552376584670165</v>
      </c>
      <c r="C2480" t="s">
        <v>40</v>
      </c>
      <c r="D2480">
        <v>4.457389</v>
      </c>
      <c r="E2480">
        <v>0.53613980000000006</v>
      </c>
      <c r="F2480" t="s">
        <v>53</v>
      </c>
      <c r="G2480">
        <v>-510.95359999999999</v>
      </c>
      <c r="H2480">
        <v>2.8781830000000001E-2</v>
      </c>
      <c r="I2480">
        <v>293.75</v>
      </c>
      <c r="J2480">
        <v>-449.36239999999998</v>
      </c>
      <c r="K2480">
        <v>1.110703</v>
      </c>
      <c r="L2480">
        <v>284.48</v>
      </c>
      <c r="M2480">
        <v>-0.99967569999999994</v>
      </c>
      <c r="N2480">
        <v>0</v>
      </c>
      <c r="O2480">
        <v>2.1551480000000001E-2</v>
      </c>
      <c r="P2480">
        <v>-0.99850059999999996</v>
      </c>
      <c r="Q2480">
        <v>2.6145029999999998E-3</v>
      </c>
      <c r="R2480">
        <v>5.4678530000000003E-2</v>
      </c>
      <c r="S2480">
        <v>-2.9801639999999998</v>
      </c>
      <c r="T2480">
        <v>-5.216432E-2</v>
      </c>
      <c r="U2480">
        <v>0.44720460000000001</v>
      </c>
      <c r="V2480">
        <v>3.3142959999999999E-2</v>
      </c>
      <c r="W2480">
        <v>1.6181060000000001E-2</v>
      </c>
      <c r="X2480">
        <v>0.99931959999999997</v>
      </c>
      <c r="Y2480">
        <v>0.1270338</v>
      </c>
      <c r="Z2480">
        <v>7.3054990000000002E-4</v>
      </c>
      <c r="AA2480">
        <v>0.9918981</v>
      </c>
      <c r="AB2480">
        <v>21</v>
      </c>
      <c r="AC2480">
        <v>-61.591200000000001</v>
      </c>
      <c r="AD2480">
        <v>-1.08192117</v>
      </c>
      <c r="AE2480">
        <v>9.26999999999998</v>
      </c>
      <c r="AF2480">
        <v>7.9379477258380904</v>
      </c>
      <c r="AG2480">
        <v>-1.08192117</v>
      </c>
      <c r="AH2480">
        <v>61.758058224577802</v>
      </c>
      <c r="AI2480">
        <v>90.995457671139206</v>
      </c>
      <c r="AJ2480">
        <v>82.675760044701207</v>
      </c>
      <c r="AK2480">
        <v>62.275511424528503</v>
      </c>
      <c r="AL2480">
        <v>89.0728530670212</v>
      </c>
      <c r="AM2480">
        <v>88.100451611542496</v>
      </c>
      <c r="AN2480">
        <v>0.99999997272222196</v>
      </c>
    </row>
    <row r="2481" spans="1:40" x14ac:dyDescent="0.25">
      <c r="A2481" t="str">
        <f>"20190312154304696"</f>
        <v>20190312154304696</v>
      </c>
      <c r="B2481" t="str">
        <f>"1552376584689685"</f>
        <v>1552376584689685</v>
      </c>
      <c r="C2481" t="s">
        <v>40</v>
      </c>
      <c r="D2481">
        <v>4.4526589999999997</v>
      </c>
      <c r="E2481">
        <v>0.53635900000000003</v>
      </c>
      <c r="F2481" t="s">
        <v>53</v>
      </c>
      <c r="G2481">
        <v>-510.95359999999999</v>
      </c>
      <c r="H2481">
        <v>7.4777360000000001E-2</v>
      </c>
      <c r="I2481">
        <v>293.78219999999999</v>
      </c>
      <c r="J2481">
        <v>-449.56819999999999</v>
      </c>
      <c r="K2481">
        <v>1.110708</v>
      </c>
      <c r="L2481">
        <v>284.48430000000002</v>
      </c>
      <c r="M2481">
        <v>-0.99967779999999995</v>
      </c>
      <c r="N2481">
        <v>0</v>
      </c>
      <c r="O2481">
        <v>2.145476E-2</v>
      </c>
      <c r="P2481">
        <v>-0.99851080000000003</v>
      </c>
      <c r="Q2481">
        <v>2.5003389999999999E-3</v>
      </c>
      <c r="R2481">
        <v>5.449582E-2</v>
      </c>
      <c r="S2481">
        <v>-2.9800110000000002</v>
      </c>
      <c r="T2481">
        <v>-5.011761E-2</v>
      </c>
      <c r="U2481">
        <v>0.45007320000000001</v>
      </c>
      <c r="V2481">
        <v>3.3056699999999897E-2</v>
      </c>
      <c r="W2481">
        <v>1.606521E-2</v>
      </c>
      <c r="X2481">
        <v>0.9993244</v>
      </c>
      <c r="Y2481">
        <v>0.12807189999999999</v>
      </c>
      <c r="Z2481">
        <v>7.1217179999999902E-4</v>
      </c>
      <c r="AA2481">
        <v>0.9917646</v>
      </c>
      <c r="AB2481">
        <v>21</v>
      </c>
      <c r="AC2481">
        <v>-61.385399999999997</v>
      </c>
      <c r="AD2481">
        <v>-1.0359306399999999</v>
      </c>
      <c r="AE2481">
        <v>9.2978999999999701</v>
      </c>
      <c r="AF2481">
        <v>7.97640853062257</v>
      </c>
      <c r="AG2481">
        <v>-1.0359306399999999</v>
      </c>
      <c r="AH2481">
        <v>61.5536333284007</v>
      </c>
      <c r="AI2481">
        <v>90.956187793694596</v>
      </c>
      <c r="AJ2481">
        <v>82.616489127777299</v>
      </c>
      <c r="AK2481">
        <v>62.076936307017199</v>
      </c>
      <c r="AL2481">
        <v>89.079491714023504</v>
      </c>
      <c r="AM2481">
        <v>88.105400984232205</v>
      </c>
      <c r="AN2481">
        <v>1.0000000464112899</v>
      </c>
    </row>
    <row r="2482" spans="1:40" x14ac:dyDescent="0.25">
      <c r="A2482" t="str">
        <f>"20190312154304718"</f>
        <v>20190312154304718</v>
      </c>
      <c r="B2482" t="str">
        <f>"1552376584710181"</f>
        <v>1552376584710181</v>
      </c>
      <c r="C2482" t="s">
        <v>40</v>
      </c>
      <c r="D2482">
        <v>4.4193800000000003</v>
      </c>
      <c r="E2482">
        <v>0.53653859999999998</v>
      </c>
      <c r="F2482" t="s">
        <v>53</v>
      </c>
      <c r="G2482">
        <v>-510.95359999999999</v>
      </c>
      <c r="H2482">
        <v>8.0070080000000002E-2</v>
      </c>
      <c r="I2482">
        <v>293.77749999999997</v>
      </c>
      <c r="J2482">
        <v>-449.7783</v>
      </c>
      <c r="K2482">
        <v>1.1107070000000001</v>
      </c>
      <c r="L2482">
        <v>284.48869999999999</v>
      </c>
      <c r="M2482">
        <v>-0.99968000000000001</v>
      </c>
      <c r="N2482">
        <v>0</v>
      </c>
      <c r="O2482">
        <v>2.1355539999999999E-2</v>
      </c>
      <c r="P2482">
        <v>-0.99851109999999998</v>
      </c>
      <c r="Q2482">
        <v>2.5462190000000002E-3</v>
      </c>
      <c r="R2482">
        <v>5.4490219999999999E-2</v>
      </c>
      <c r="S2482">
        <v>-2.9799799999999999</v>
      </c>
      <c r="T2482">
        <v>-5.002844E-2</v>
      </c>
      <c r="U2482">
        <v>0.45114140000000003</v>
      </c>
      <c r="V2482">
        <v>3.3150300000000001E-2</v>
      </c>
      <c r="W2482">
        <v>1.6108589999999999E-2</v>
      </c>
      <c r="X2482">
        <v>0.9993206</v>
      </c>
      <c r="Y2482">
        <v>0.1285193</v>
      </c>
      <c r="Z2482">
        <v>7.1628289999999895E-4</v>
      </c>
      <c r="AA2482">
        <v>0.99170670000000005</v>
      </c>
      <c r="AB2482">
        <v>21</v>
      </c>
      <c r="AC2482">
        <v>-61.175299999999901</v>
      </c>
      <c r="AD2482">
        <v>-1.0306369199999901</v>
      </c>
      <c r="AE2482">
        <v>9.2887999999999806</v>
      </c>
      <c r="AF2482">
        <v>7.9779162315272396</v>
      </c>
      <c r="AG2482">
        <v>-1.0306369199999901</v>
      </c>
      <c r="AH2482">
        <v>61.342713071452799</v>
      </c>
      <c r="AI2482">
        <v>90.954515531614504</v>
      </c>
      <c r="AJ2482">
        <v>82.589998472836996</v>
      </c>
      <c r="AK2482">
        <v>61.867906113143299</v>
      </c>
      <c r="AL2482">
        <v>89.0770059005484</v>
      </c>
      <c r="AM2482">
        <v>88.100033136544795</v>
      </c>
      <c r="AN2482">
        <v>1.0000000453231099</v>
      </c>
    </row>
    <row r="2483" spans="1:40" x14ac:dyDescent="0.25">
      <c r="A2483" t="str">
        <f>"20190312154304741"</f>
        <v>20190312154304741</v>
      </c>
      <c r="B2483" t="str">
        <f>"1552376584729702"</f>
        <v>1552376584729702</v>
      </c>
      <c r="C2483" t="s">
        <v>40</v>
      </c>
      <c r="D2483">
        <v>4.4305969999999997</v>
      </c>
      <c r="E2483">
        <v>0.53671849999999999</v>
      </c>
      <c r="F2483" t="s">
        <v>53</v>
      </c>
      <c r="G2483">
        <v>-510.95359999999999</v>
      </c>
      <c r="H2483">
        <v>9.5723030000000001E-2</v>
      </c>
      <c r="I2483">
        <v>293.7817</v>
      </c>
      <c r="J2483">
        <v>-449.9862</v>
      </c>
      <c r="K2483">
        <v>1.110708</v>
      </c>
      <c r="L2483">
        <v>284.49299999999999</v>
      </c>
      <c r="M2483">
        <v>-0.99968199999999996</v>
      </c>
      <c r="N2483">
        <v>0</v>
      </c>
      <c r="O2483">
        <v>2.1257990000000001E-2</v>
      </c>
      <c r="P2483">
        <v>-0.9985058</v>
      </c>
      <c r="Q2483">
        <v>2.831053E-3</v>
      </c>
      <c r="R2483">
        <v>5.4571679999999997E-2</v>
      </c>
      <c r="S2483">
        <v>-2.979889</v>
      </c>
      <c r="T2483">
        <v>-4.9436210000000001E-2</v>
      </c>
      <c r="U2483">
        <v>0.45266719999999999</v>
      </c>
      <c r="V2483">
        <v>3.332939E-2</v>
      </c>
      <c r="W2483">
        <v>1.6391800000000002E-2</v>
      </c>
      <c r="X2483">
        <v>0.99931000000000003</v>
      </c>
      <c r="Y2483">
        <v>0.12911719999999999</v>
      </c>
      <c r="Z2483">
        <v>7.1433819999999998E-4</v>
      </c>
      <c r="AA2483">
        <v>0.99162910000000004</v>
      </c>
      <c r="AB2483">
        <v>21</v>
      </c>
      <c r="AC2483">
        <v>-60.967399999999998</v>
      </c>
      <c r="AD2483">
        <v>-1.01498497</v>
      </c>
      <c r="AE2483">
        <v>9.2887000000000004</v>
      </c>
      <c r="AF2483">
        <v>7.9882731847692297</v>
      </c>
      <c r="AG2483">
        <v>-1.01498497</v>
      </c>
      <c r="AH2483">
        <v>61.134538109285899</v>
      </c>
      <c r="AI2483">
        <v>90.943148603880005</v>
      </c>
      <c r="AJ2483">
        <v>82.555503934121205</v>
      </c>
      <c r="AK2483">
        <v>61.662585518283002</v>
      </c>
      <c r="AL2483">
        <v>89.060776985283198</v>
      </c>
      <c r="AM2483">
        <v>88.089756159892303</v>
      </c>
      <c r="AN2483">
        <v>1.0000000077225</v>
      </c>
    </row>
    <row r="2484" spans="1:40" x14ac:dyDescent="0.25">
      <c r="A2484" t="str">
        <f>"20190312154304763"</f>
        <v>20190312154304763</v>
      </c>
      <c r="B2484" t="str">
        <f>"1552376584759957"</f>
        <v>1552376584759957</v>
      </c>
      <c r="C2484" t="s">
        <v>40</v>
      </c>
      <c r="D2484">
        <v>4.3988060000000004</v>
      </c>
      <c r="E2484">
        <v>0.53693100000000005</v>
      </c>
      <c r="F2484" t="s">
        <v>53</v>
      </c>
      <c r="G2484">
        <v>-510.95370000000003</v>
      </c>
      <c r="H2484">
        <v>0.1295143</v>
      </c>
      <c r="I2484">
        <v>293.79219999999998</v>
      </c>
      <c r="J2484">
        <v>-450.19119999999998</v>
      </c>
      <c r="K2484">
        <v>1.110706</v>
      </c>
      <c r="L2484">
        <v>284.4973</v>
      </c>
      <c r="M2484">
        <v>-0.99968420000000002</v>
      </c>
      <c r="N2484">
        <v>0</v>
      </c>
      <c r="O2484">
        <v>2.1161630000000001E-2</v>
      </c>
      <c r="P2484">
        <v>-0.99849480000000002</v>
      </c>
      <c r="Q2484">
        <v>2.5088269999999999E-3</v>
      </c>
      <c r="R2484">
        <v>5.4789589999999999E-2</v>
      </c>
      <c r="S2484">
        <v>-2.979797</v>
      </c>
      <c r="T2484">
        <v>-4.79517E-2</v>
      </c>
      <c r="U2484">
        <v>0.45449830000000002</v>
      </c>
      <c r="V2484">
        <v>3.3643890000000003E-2</v>
      </c>
      <c r="W2484">
        <v>1.606759E-2</v>
      </c>
      <c r="X2484">
        <v>0.99930469999999905</v>
      </c>
      <c r="Y2484">
        <v>0.1298136</v>
      </c>
      <c r="Z2484">
        <v>6.9999069999999997E-4</v>
      </c>
      <c r="AA2484">
        <v>0.99153820000000004</v>
      </c>
      <c r="AB2484">
        <v>21</v>
      </c>
      <c r="AC2484">
        <v>-60.762500000000003</v>
      </c>
      <c r="AD2484">
        <v>-0.9811917</v>
      </c>
      <c r="AE2484">
        <v>9.2948999999999806</v>
      </c>
      <c r="AF2484">
        <v>8.0048269445294409</v>
      </c>
      <c r="AG2484">
        <v>-0.9811917</v>
      </c>
      <c r="AH2484">
        <v>60.930079428767499</v>
      </c>
      <c r="AI2484">
        <v>90.914727789584404</v>
      </c>
      <c r="AJ2484">
        <v>82.515501776607394</v>
      </c>
      <c r="AK2484">
        <v>61.461488517281502</v>
      </c>
      <c r="AL2484">
        <v>89.079355272349105</v>
      </c>
      <c r="AM2484">
        <v>88.071734201639202</v>
      </c>
      <c r="AN2484">
        <v>0.99999998111241395</v>
      </c>
    </row>
    <row r="2485" spans="1:40" x14ac:dyDescent="0.25">
      <c r="A2485" t="str">
        <f>"20190312154304786"</f>
        <v>20190312154304786</v>
      </c>
      <c r="B2485" t="str">
        <f>"1552376584780453"</f>
        <v>1552376584780453</v>
      </c>
      <c r="C2485" t="s">
        <v>40</v>
      </c>
      <c r="D2485">
        <v>4.4048239999999996</v>
      </c>
      <c r="E2485">
        <v>0.53713540000000004</v>
      </c>
      <c r="F2485" t="s">
        <v>53</v>
      </c>
      <c r="G2485">
        <v>-510.95359999999999</v>
      </c>
      <c r="H2485">
        <v>0.1114781</v>
      </c>
      <c r="I2485">
        <v>293.80799999999999</v>
      </c>
      <c r="J2485">
        <v>-450.40170000000001</v>
      </c>
      <c r="K2485">
        <v>1.1106990000000001</v>
      </c>
      <c r="L2485">
        <v>284.5016</v>
      </c>
      <c r="M2485">
        <v>-0.99968630000000003</v>
      </c>
      <c r="N2485">
        <v>0</v>
      </c>
      <c r="O2485">
        <v>2.106241E-2</v>
      </c>
      <c r="P2485">
        <v>-0.99850269999999997</v>
      </c>
      <c r="Q2485">
        <v>2.0555500000000002E-3</v>
      </c>
      <c r="R2485">
        <v>5.4666529999999998E-2</v>
      </c>
      <c r="S2485">
        <v>-2.9796140000000002</v>
      </c>
      <c r="T2485">
        <v>-4.8994900000000001E-2</v>
      </c>
      <c r="U2485">
        <v>0.45657350000000002</v>
      </c>
      <c r="V2485">
        <v>3.3620070000000002E-2</v>
      </c>
      <c r="W2485">
        <v>1.5612269999999999E-2</v>
      </c>
      <c r="X2485">
        <v>0.9993128</v>
      </c>
      <c r="Y2485">
        <v>0.13059519999999999</v>
      </c>
      <c r="Z2485">
        <v>7.2323250000000004E-4</v>
      </c>
      <c r="AA2485">
        <v>0.99143550000000003</v>
      </c>
      <c r="AB2485">
        <v>21</v>
      </c>
      <c r="AC2485">
        <v>-60.551899999999897</v>
      </c>
      <c r="AD2485">
        <v>-0.99922089999999997</v>
      </c>
      <c r="AE2485">
        <v>9.3063999999999893</v>
      </c>
      <c r="AF2485">
        <v>8.0267136933717502</v>
      </c>
      <c r="AG2485">
        <v>-0.99922089999999997</v>
      </c>
      <c r="AH2485">
        <v>60.718345280485899</v>
      </c>
      <c r="AI2485">
        <v>90.934681515630103</v>
      </c>
      <c r="AJ2485">
        <v>82.469400352314096</v>
      </c>
      <c r="AK2485">
        <v>61.254746989295903</v>
      </c>
      <c r="AL2485">
        <v>89.105446533294099</v>
      </c>
      <c r="AM2485">
        <v>88.073113998368001</v>
      </c>
      <c r="AN2485">
        <v>1.00000006216259</v>
      </c>
    </row>
    <row r="2486" spans="1:40" x14ac:dyDescent="0.25">
      <c r="A2486" t="str">
        <f>"20190312154304808"</f>
        <v>20190312154304808</v>
      </c>
      <c r="B2486" t="str">
        <f>"1552376584799976"</f>
        <v>1552376584799976</v>
      </c>
      <c r="C2486" t="s">
        <v>40</v>
      </c>
      <c r="D2486">
        <v>4.3873030000000002</v>
      </c>
      <c r="E2486">
        <v>0.53733140000000001</v>
      </c>
      <c r="F2486" t="s">
        <v>53</v>
      </c>
      <c r="G2486">
        <v>-510.95359999999999</v>
      </c>
      <c r="H2486">
        <v>9.6202969999999999E-2</v>
      </c>
      <c r="I2486">
        <v>293.80900000000003</v>
      </c>
      <c r="J2486">
        <v>-450.60919999999999</v>
      </c>
      <c r="K2486">
        <v>1.110692</v>
      </c>
      <c r="L2486">
        <v>284.5059</v>
      </c>
      <c r="M2486">
        <v>-0.99968840000000003</v>
      </c>
      <c r="N2486">
        <v>0</v>
      </c>
      <c r="O2486">
        <v>2.0963849999999999E-2</v>
      </c>
      <c r="P2486">
        <v>-0.99849120000000002</v>
      </c>
      <c r="Q2486">
        <v>1.3796629999999999E-3</v>
      </c>
      <c r="R2486">
        <v>5.4899249999999997E-2</v>
      </c>
      <c r="S2486">
        <v>-2.979492</v>
      </c>
      <c r="T2486">
        <v>-4.9914479999999997E-2</v>
      </c>
      <c r="U2486">
        <v>0.45797729999999998</v>
      </c>
      <c r="V2486">
        <v>3.3951580000000002E-2</v>
      </c>
      <c r="W2486">
        <v>1.4934289999999999E-2</v>
      </c>
      <c r="X2486">
        <v>0.99931190000000003</v>
      </c>
      <c r="Y2486">
        <v>0.13115470000000001</v>
      </c>
      <c r="Z2486">
        <v>7.4310809999999995E-4</v>
      </c>
      <c r="AA2486">
        <v>0.99136159999999995</v>
      </c>
      <c r="AB2486">
        <v>21</v>
      </c>
      <c r="AC2486">
        <v>-60.3444</v>
      </c>
      <c r="AD2486">
        <v>-1.01448903</v>
      </c>
      <c r="AE2486">
        <v>9.3031000000000201</v>
      </c>
      <c r="AF2486">
        <v>8.0336701558054706</v>
      </c>
      <c r="AG2486">
        <v>-1.01448903</v>
      </c>
      <c r="AH2486">
        <v>60.509477777323298</v>
      </c>
      <c r="AI2486">
        <v>90.952165114213699</v>
      </c>
      <c r="AJ2486">
        <v>82.437232975848502</v>
      </c>
      <c r="AK2486">
        <v>61.048881603585897</v>
      </c>
      <c r="AL2486">
        <v>89.144296409573599</v>
      </c>
      <c r="AM2486">
        <v>88.0541267631979</v>
      </c>
      <c r="AN2486">
        <v>1.00000000814195</v>
      </c>
    </row>
    <row r="2487" spans="1:40" x14ac:dyDescent="0.25">
      <c r="A2487" t="str">
        <f>"20190312154304830"</f>
        <v>20190312154304830</v>
      </c>
      <c r="B2487" t="str">
        <f>"1552376584819504"</f>
        <v>1552376584819504</v>
      </c>
      <c r="C2487" t="s">
        <v>40</v>
      </c>
      <c r="D2487">
        <v>4.4308420000000002</v>
      </c>
      <c r="E2487">
        <v>0.53742060000000003</v>
      </c>
      <c r="F2487" t="s">
        <v>53</v>
      </c>
      <c r="G2487">
        <v>-510.95359999999999</v>
      </c>
      <c r="H2487">
        <v>6.2335189999999999E-2</v>
      </c>
      <c r="I2487">
        <v>293.82709999999997</v>
      </c>
      <c r="J2487">
        <v>-450.81479999999999</v>
      </c>
      <c r="K2487">
        <v>1.11069</v>
      </c>
      <c r="L2487">
        <v>284.51</v>
      </c>
      <c r="M2487">
        <v>-0.99969050000000004</v>
      </c>
      <c r="N2487">
        <v>0</v>
      </c>
      <c r="O2487">
        <v>2.0867130000000001E-2</v>
      </c>
      <c r="P2487">
        <v>-0.99850229999999995</v>
      </c>
      <c r="Q2487">
        <v>1.2970049999999999E-3</v>
      </c>
      <c r="R2487">
        <v>5.4696160000000001E-2</v>
      </c>
      <c r="S2487">
        <v>-2.9793090000000002</v>
      </c>
      <c r="T2487">
        <v>-5.1754830000000002E-2</v>
      </c>
      <c r="U2487">
        <v>0.46020509999999898</v>
      </c>
      <c r="V2487">
        <v>3.3844909999999999E-2</v>
      </c>
      <c r="W2487">
        <v>1.4849899999999999E-2</v>
      </c>
      <c r="X2487">
        <v>0.99931680000000001</v>
      </c>
      <c r="Y2487">
        <v>0.1319825</v>
      </c>
      <c r="Z2487">
        <v>7.793225E-4</v>
      </c>
      <c r="AA2487">
        <v>0.99125169999999996</v>
      </c>
      <c r="AB2487">
        <v>21</v>
      </c>
      <c r="AC2487">
        <v>-60.138800000000003</v>
      </c>
      <c r="AD2487">
        <v>-1.04835481</v>
      </c>
      <c r="AE2487">
        <v>9.3170999999999804</v>
      </c>
      <c r="AF2487">
        <v>8.0576404193732891</v>
      </c>
      <c r="AG2487">
        <v>-1.04835481</v>
      </c>
      <c r="AH2487">
        <v>60.302246485365998</v>
      </c>
      <c r="AI2487">
        <v>90.987214652104896</v>
      </c>
      <c r="AJ2487">
        <v>82.389168708127002</v>
      </c>
      <c r="AK2487">
        <v>60.847231228030402</v>
      </c>
      <c r="AL2487">
        <v>89.149132157016297</v>
      </c>
      <c r="AM2487">
        <v>88.060245187079303</v>
      </c>
      <c r="AN2487">
        <v>1.0000000321125699</v>
      </c>
    </row>
    <row r="2488" spans="1:40" x14ac:dyDescent="0.25">
      <c r="A2488" t="str">
        <f>"20190312154304852"</f>
        <v>20190312154304852</v>
      </c>
      <c r="B2488" t="str">
        <f>"1552376584839989"</f>
        <v>1552376584839989</v>
      </c>
      <c r="C2488" t="s">
        <v>40</v>
      </c>
      <c r="D2488">
        <v>4.434577</v>
      </c>
      <c r="E2488">
        <v>0.53753329999999999</v>
      </c>
      <c r="F2488" t="s">
        <v>53</v>
      </c>
      <c r="G2488">
        <v>-510.95359999999999</v>
      </c>
      <c r="H2488">
        <v>1.010323E-2</v>
      </c>
      <c r="I2488">
        <v>293.8005</v>
      </c>
      <c r="J2488">
        <v>-451.01589999999999</v>
      </c>
      <c r="K2488">
        <v>1.110689</v>
      </c>
      <c r="L2488">
        <v>284.51409999999998</v>
      </c>
      <c r="M2488">
        <v>-0.99969240000000004</v>
      </c>
      <c r="N2488">
        <v>0</v>
      </c>
      <c r="O2488">
        <v>2.0772079999999998E-2</v>
      </c>
      <c r="P2488">
        <v>-0.99849180000000004</v>
      </c>
      <c r="Q2488">
        <v>1.005873E-3</v>
      </c>
      <c r="R2488">
        <v>5.4894159999999997E-2</v>
      </c>
      <c r="S2488">
        <v>-2.9793699999999999</v>
      </c>
      <c r="T2488">
        <v>-5.4520369999999999E-2</v>
      </c>
      <c r="U2488">
        <v>0.46026610000000001</v>
      </c>
      <c r="V2488">
        <v>3.4138269999999998E-2</v>
      </c>
      <c r="W2488">
        <v>1.45562E-2</v>
      </c>
      <c r="X2488">
        <v>0.99931110000000001</v>
      </c>
      <c r="Y2488">
        <v>0.13209170000000001</v>
      </c>
      <c r="Z2488">
        <v>8.2366169999999997E-4</v>
      </c>
      <c r="AA2488">
        <v>0.99123720000000004</v>
      </c>
      <c r="AB2488">
        <v>21</v>
      </c>
      <c r="AC2488">
        <v>-59.9377</v>
      </c>
      <c r="AD2488">
        <v>-1.1005857699999999</v>
      </c>
      <c r="AE2488">
        <v>9.2864000000000093</v>
      </c>
      <c r="AF2488">
        <v>8.0366047722373093</v>
      </c>
      <c r="AG2488">
        <v>-1.1005857699999999</v>
      </c>
      <c r="AH2488">
        <v>60.097892707575099</v>
      </c>
      <c r="AI2488">
        <v>91.039898089634704</v>
      </c>
      <c r="AJ2488">
        <v>82.383295718414104</v>
      </c>
      <c r="AK2488">
        <v>60.642847997051497</v>
      </c>
      <c r="AL2488">
        <v>89.165961710650606</v>
      </c>
      <c r="AM2488">
        <v>88.043433692809302</v>
      </c>
      <c r="AN2488">
        <v>0.99999998951012103</v>
      </c>
    </row>
    <row r="2489" spans="1:40" x14ac:dyDescent="0.25">
      <c r="A2489" t="str">
        <f>"20190312154304875"</f>
        <v>20190312154304875</v>
      </c>
      <c r="B2489" t="str">
        <f>"1552376584870249"</f>
        <v>1552376584870249</v>
      </c>
      <c r="C2489" t="s">
        <v>40</v>
      </c>
      <c r="D2489">
        <v>4.4322330000000001</v>
      </c>
      <c r="E2489">
        <v>0.53762200000000004</v>
      </c>
      <c r="F2489" t="s">
        <v>49</v>
      </c>
      <c r="G2489">
        <v>-504.12490000000003</v>
      </c>
      <c r="H2489">
        <v>8.0004389999999995E-2</v>
      </c>
      <c r="I2489">
        <v>292.74450000000002</v>
      </c>
      <c r="J2489">
        <v>-451.22609999999997</v>
      </c>
      <c r="K2489">
        <v>1.11069</v>
      </c>
      <c r="L2489">
        <v>284.51839999999999</v>
      </c>
      <c r="M2489">
        <v>-0.99969450000000004</v>
      </c>
      <c r="N2489">
        <v>0</v>
      </c>
      <c r="O2489">
        <v>2.0671970000000001E-2</v>
      </c>
      <c r="P2489">
        <v>-0.99851449999999997</v>
      </c>
      <c r="Q2489">
        <v>1.0888409999999999E-3</v>
      </c>
      <c r="R2489">
        <v>5.44754E-2</v>
      </c>
      <c r="S2489">
        <v>-2.9792480000000001</v>
      </c>
      <c r="T2489">
        <v>-5.7818170000000002E-2</v>
      </c>
      <c r="U2489">
        <v>0.46170040000000001</v>
      </c>
      <c r="V2489">
        <v>3.3819149999999999E-2</v>
      </c>
      <c r="W2489">
        <v>1.4637249999999999E-2</v>
      </c>
      <c r="X2489">
        <v>0.99932080000000001</v>
      </c>
      <c r="Y2489">
        <v>0.1326608</v>
      </c>
      <c r="Z2489">
        <v>8.808962E-4</v>
      </c>
      <c r="AA2489">
        <v>0.99116110000000002</v>
      </c>
      <c r="AB2489">
        <v>21</v>
      </c>
      <c r="AC2489">
        <v>-52.898800000000001</v>
      </c>
      <c r="AD2489">
        <v>-1.0306856099999999</v>
      </c>
      <c r="AE2489">
        <v>8.2261000000000202</v>
      </c>
      <c r="AF2489">
        <v>7.1280769248464102</v>
      </c>
      <c r="AG2489">
        <v>-1.0306856099999999</v>
      </c>
      <c r="AH2489">
        <v>53.037900006113603</v>
      </c>
      <c r="AI2489">
        <v>91.103371253257805</v>
      </c>
      <c r="AJ2489">
        <v>82.3455471521942</v>
      </c>
      <c r="AK2489">
        <v>53.5246731006524</v>
      </c>
      <c r="AL2489">
        <v>89.161317420674095</v>
      </c>
      <c r="AM2489">
        <v>88.061728196981903</v>
      </c>
      <c r="AN2489">
        <v>1.00000002265346</v>
      </c>
    </row>
    <row r="2490" spans="1:40" x14ac:dyDescent="0.25">
      <c r="A2490" t="str">
        <f>"20190312154304897"</f>
        <v>20190312154304897</v>
      </c>
      <c r="B2490" t="str">
        <f>"1552376584889769"</f>
        <v>1552376584889769</v>
      </c>
      <c r="C2490" t="s">
        <v>40</v>
      </c>
      <c r="D2490">
        <v>4.4562949999999999</v>
      </c>
      <c r="E2490">
        <v>0.53774860000000002</v>
      </c>
      <c r="F2490" t="s">
        <v>49</v>
      </c>
      <c r="G2490">
        <v>-501.4923</v>
      </c>
      <c r="H2490">
        <v>8.0004110000000003E-2</v>
      </c>
      <c r="I2490">
        <v>292.29660000000001</v>
      </c>
      <c r="J2490">
        <v>-451.43290000000002</v>
      </c>
      <c r="K2490">
        <v>1.1106929999999999</v>
      </c>
      <c r="L2490">
        <v>284.52260000000001</v>
      </c>
      <c r="M2490">
        <v>-0.99969649999999999</v>
      </c>
      <c r="N2490">
        <v>0</v>
      </c>
      <c r="O2490">
        <v>2.057171E-2</v>
      </c>
      <c r="P2490">
        <v>-0.99851590000000001</v>
      </c>
      <c r="Q2490">
        <v>1.3939379999999999E-3</v>
      </c>
      <c r="R2490">
        <v>5.44445E-2</v>
      </c>
      <c r="S2490">
        <v>-2.9793699999999999</v>
      </c>
      <c r="T2490">
        <v>-6.1090709999999999E-2</v>
      </c>
      <c r="U2490">
        <v>0.46102910000000002</v>
      </c>
      <c r="V2490">
        <v>3.3888450000000001E-2</v>
      </c>
      <c r="W2490">
        <v>1.4940490000000001E-2</v>
      </c>
      <c r="X2490">
        <v>0.99931400000000004</v>
      </c>
      <c r="Y2490">
        <v>0.1325335</v>
      </c>
      <c r="Z2490">
        <v>9.3146780000000001E-4</v>
      </c>
      <c r="AA2490">
        <v>0.99117809999999995</v>
      </c>
      <c r="AB2490">
        <v>21</v>
      </c>
      <c r="AC2490">
        <v>-50.059399999999897</v>
      </c>
      <c r="AD2490">
        <v>-1.03068889</v>
      </c>
      <c r="AE2490">
        <v>7.774</v>
      </c>
      <c r="AF2490">
        <v>6.7396626995878401</v>
      </c>
      <c r="AG2490">
        <v>-1.03068889</v>
      </c>
      <c r="AH2490">
        <v>50.187968980154302</v>
      </c>
      <c r="AI2490">
        <v>91.1660297609547</v>
      </c>
      <c r="AJ2490">
        <v>82.351597190170807</v>
      </c>
      <c r="AK2490">
        <v>50.6489644834435</v>
      </c>
      <c r="AL2490">
        <v>89.143941178739595</v>
      </c>
      <c r="AM2490">
        <v>88.057746249300095</v>
      </c>
      <c r="AN2490">
        <v>1.00000005794041</v>
      </c>
    </row>
    <row r="2491" spans="1:40" x14ac:dyDescent="0.25">
      <c r="A2491" t="str">
        <f>"20190312154304920"</f>
        <v>20190312154304920</v>
      </c>
      <c r="B2491" t="str">
        <f>"1552376584910260"</f>
        <v>1552376584910260</v>
      </c>
      <c r="C2491" t="s">
        <v>40</v>
      </c>
      <c r="D2491">
        <v>4.4421520000000001</v>
      </c>
      <c r="E2491">
        <v>0.53785749999999999</v>
      </c>
      <c r="F2491" t="s">
        <v>49</v>
      </c>
      <c r="G2491">
        <v>-501.1739</v>
      </c>
      <c r="H2491">
        <v>8.0004069999999997E-2</v>
      </c>
      <c r="I2491">
        <v>292.2328</v>
      </c>
      <c r="J2491">
        <v>-451.63889999999998</v>
      </c>
      <c r="K2491">
        <v>1.1106910000000001</v>
      </c>
      <c r="L2491">
        <v>284.52659999999997</v>
      </c>
      <c r="M2491">
        <v>-0.99969870000000005</v>
      </c>
      <c r="N2491">
        <v>0</v>
      </c>
      <c r="O2491">
        <v>2.0467920000000001E-2</v>
      </c>
      <c r="P2491">
        <v>-0.99852909999999995</v>
      </c>
      <c r="Q2491">
        <v>1.5240589999999999E-3</v>
      </c>
      <c r="R2491">
        <v>5.419711E-2</v>
      </c>
      <c r="S2491">
        <v>-2.9793699999999999</v>
      </c>
      <c r="T2491">
        <v>-6.1735869999999998E-2</v>
      </c>
      <c r="U2491">
        <v>0.46182250000000002</v>
      </c>
      <c r="V2491">
        <v>3.3744459999999997E-2</v>
      </c>
      <c r="W2491">
        <v>1.5068740000000001E-2</v>
      </c>
      <c r="X2491">
        <v>0.99931689999999995</v>
      </c>
      <c r="Y2491">
        <v>0.1328936</v>
      </c>
      <c r="Z2491">
        <v>9.4712840000000002E-4</v>
      </c>
      <c r="AA2491">
        <v>0.99112990000000001</v>
      </c>
      <c r="AB2491">
        <v>21</v>
      </c>
      <c r="AC2491">
        <v>-49.534999999999997</v>
      </c>
      <c r="AD2491">
        <v>-1.0306869299999999</v>
      </c>
      <c r="AE2491">
        <v>7.7062000000000204</v>
      </c>
      <c r="AF2491">
        <v>6.6877868420006896</v>
      </c>
      <c r="AG2491">
        <v>-1.0306869299999999</v>
      </c>
      <c r="AH2491">
        <v>49.6613729763775</v>
      </c>
      <c r="AI2491">
        <v>91.178329291085404</v>
      </c>
      <c r="AJ2491">
        <v>82.330247166325094</v>
      </c>
      <c r="AK2491">
        <v>50.120263110747899</v>
      </c>
      <c r="AL2491">
        <v>89.136592127643695</v>
      </c>
      <c r="AM2491">
        <v>88.065998097209402</v>
      </c>
      <c r="AN2491">
        <v>1.0000000110657401</v>
      </c>
    </row>
    <row r="2492" spans="1:40" x14ac:dyDescent="0.25">
      <c r="A2492" t="str">
        <f>"20190312154304942"</f>
        <v>20190312154304942</v>
      </c>
      <c r="B2492" t="str">
        <f>"1552376584929781"</f>
        <v>1552376584929781</v>
      </c>
      <c r="C2492" t="s">
        <v>40</v>
      </c>
      <c r="D2492">
        <v>4.3962279999999998</v>
      </c>
      <c r="E2492">
        <v>0.53796299999999997</v>
      </c>
      <c r="F2492" t="s">
        <v>49</v>
      </c>
      <c r="G2492">
        <v>-500.61130000000003</v>
      </c>
      <c r="H2492">
        <v>8.0003980000000002E-2</v>
      </c>
      <c r="I2492">
        <v>292.12049999999999</v>
      </c>
      <c r="J2492">
        <v>-451.84449999999998</v>
      </c>
      <c r="K2492">
        <v>1.110698</v>
      </c>
      <c r="L2492">
        <v>284.53070000000002</v>
      </c>
      <c r="M2492">
        <v>-0.99970099999999995</v>
      </c>
      <c r="N2492">
        <v>0</v>
      </c>
      <c r="O2492">
        <v>2.035791E-2</v>
      </c>
      <c r="P2492">
        <v>-0.99851109999999998</v>
      </c>
      <c r="Q2492">
        <v>1.6140659999999999E-3</v>
      </c>
      <c r="R2492">
        <v>5.4526779999999997E-2</v>
      </c>
      <c r="S2492">
        <v>-2.9794309999999999</v>
      </c>
      <c r="T2492">
        <v>-6.2705990000000003E-2</v>
      </c>
      <c r="U2492">
        <v>0.46200560000000002</v>
      </c>
      <c r="V2492">
        <v>3.418417E-2</v>
      </c>
      <c r="W2492">
        <v>1.515647E-2</v>
      </c>
      <c r="X2492">
        <v>0.99930059999999998</v>
      </c>
      <c r="Y2492">
        <v>0.13305829999999999</v>
      </c>
      <c r="Z2492">
        <v>9.6600570000000005E-4</v>
      </c>
      <c r="AA2492">
        <v>0.99110779999999998</v>
      </c>
      <c r="AB2492">
        <v>21</v>
      </c>
      <c r="AC2492">
        <v>-48.766800000000003</v>
      </c>
      <c r="AD2492">
        <v>-1.0306940200000001</v>
      </c>
      <c r="AE2492">
        <v>7.5897999999999604</v>
      </c>
      <c r="AF2492">
        <v>6.5924703833747804</v>
      </c>
      <c r="AG2492">
        <v>-1.0306940200000001</v>
      </c>
      <c r="AH2492">
        <v>48.889895779555097</v>
      </c>
      <c r="AI2492">
        <v>91.196898279976907</v>
      </c>
      <c r="AJ2492">
        <v>82.320375141801605</v>
      </c>
      <c r="AK2492">
        <v>49.343134327424899</v>
      </c>
      <c r="AL2492">
        <v>89.131564970139706</v>
      </c>
      <c r="AM2492">
        <v>88.0407845054566</v>
      </c>
      <c r="AN2492">
        <v>0.99999998261090395</v>
      </c>
    </row>
    <row r="2493" spans="1:40" x14ac:dyDescent="0.25">
      <c r="A2493" t="str">
        <f>"20190312154304964"</f>
        <v>20190312154304964</v>
      </c>
      <c r="B2493" t="str">
        <f>"1552376584960048"</f>
        <v>1552376584960048</v>
      </c>
      <c r="C2493" t="s">
        <v>40</v>
      </c>
      <c r="D2493">
        <v>4.4650589999999903</v>
      </c>
      <c r="E2493">
        <v>0.53810930000000001</v>
      </c>
      <c r="F2493" t="s">
        <v>49</v>
      </c>
      <c r="G2493">
        <v>-500.17329999999998</v>
      </c>
      <c r="H2493">
        <v>8.0003920000000006E-2</v>
      </c>
      <c r="I2493">
        <v>292.053</v>
      </c>
      <c r="J2493">
        <v>-452.04700000000003</v>
      </c>
      <c r="K2493">
        <v>1.1107039999999999</v>
      </c>
      <c r="L2493">
        <v>284.53469999999999</v>
      </c>
      <c r="M2493">
        <v>-0.99970349999999997</v>
      </c>
      <c r="N2493">
        <v>0</v>
      </c>
      <c r="O2493">
        <v>2.0242219999999998E-2</v>
      </c>
      <c r="P2493">
        <v>-0.99849359999999998</v>
      </c>
      <c r="Q2493">
        <v>1.72560799999999E-3</v>
      </c>
      <c r="R2493">
        <v>5.4844730000000001E-2</v>
      </c>
      <c r="S2493">
        <v>-2.979279</v>
      </c>
      <c r="T2493">
        <v>-6.3538310000000001E-2</v>
      </c>
      <c r="U2493">
        <v>0.46371459999999998</v>
      </c>
      <c r="V2493">
        <v>3.4618019999999999E-2</v>
      </c>
      <c r="W2493">
        <v>1.5266129999999999E-2</v>
      </c>
      <c r="X2493">
        <v>0.99928399999999995</v>
      </c>
      <c r="Y2493">
        <v>0.13373489999999999</v>
      </c>
      <c r="Z2493">
        <v>9.8845459999999993E-4</v>
      </c>
      <c r="AA2493">
        <v>0.99101660000000003</v>
      </c>
      <c r="AB2493">
        <v>21</v>
      </c>
      <c r="AC2493">
        <v>-48.126300000000001</v>
      </c>
      <c r="AD2493">
        <v>-1.0307000799999999</v>
      </c>
      <c r="AE2493">
        <v>7.5183000000000098</v>
      </c>
      <c r="AF2493">
        <v>6.5395588382937699</v>
      </c>
      <c r="AG2493">
        <v>-1.0307000799999999</v>
      </c>
      <c r="AH2493">
        <v>48.2470361533884</v>
      </c>
      <c r="AI2493">
        <v>91.2127358672291</v>
      </c>
      <c r="AJ2493">
        <v>82.280987070631795</v>
      </c>
      <c r="AK2493">
        <v>48.699123914509897</v>
      </c>
      <c r="AL2493">
        <v>89.125281191962799</v>
      </c>
      <c r="AM2493">
        <v>88.015905846019194</v>
      </c>
      <c r="AN2493">
        <v>0.99999998734494799</v>
      </c>
    </row>
    <row r="2494" spans="1:40" x14ac:dyDescent="0.25">
      <c r="A2494" t="str">
        <f>"20190312154304987"</f>
        <v>20190312154304987</v>
      </c>
      <c r="B2494" t="str">
        <f>"1552376584979557"</f>
        <v>1552376584979557</v>
      </c>
      <c r="C2494" t="s">
        <v>40</v>
      </c>
      <c r="D2494">
        <v>4.3924209999999997</v>
      </c>
      <c r="E2494">
        <v>0.53821649999999999</v>
      </c>
      <c r="F2494" t="s">
        <v>49</v>
      </c>
      <c r="G2494">
        <v>-499.97899999999998</v>
      </c>
      <c r="H2494">
        <v>7.1229470000000003E-2</v>
      </c>
      <c r="I2494">
        <v>292.03120000000001</v>
      </c>
      <c r="J2494">
        <v>-452.25560000000002</v>
      </c>
      <c r="K2494">
        <v>1.1107149999999999</v>
      </c>
      <c r="L2494">
        <v>284.53879999999998</v>
      </c>
      <c r="M2494">
        <v>-0.99970599999999998</v>
      </c>
      <c r="N2494">
        <v>0</v>
      </c>
      <c r="O2494">
        <v>2.0114469999999999E-2</v>
      </c>
      <c r="P2494">
        <v>-0.99848060000000005</v>
      </c>
      <c r="Q2494">
        <v>2.0794569999999998E-3</v>
      </c>
      <c r="R2494">
        <v>5.5068060000000002E-2</v>
      </c>
      <c r="S2494">
        <v>-2.9790040000000002</v>
      </c>
      <c r="T2494">
        <v>-6.4604040000000001E-2</v>
      </c>
      <c r="U2494">
        <v>0.46591189999999999</v>
      </c>
      <c r="V2494">
        <v>3.4968970000000002E-2</v>
      </c>
      <c r="W2494">
        <v>1.5618470000000001E-2</v>
      </c>
      <c r="X2494">
        <v>0.99926630000000005</v>
      </c>
      <c r="Y2494">
        <v>0.13458789999999901</v>
      </c>
      <c r="Z2494">
        <v>1.0170089999999999E-3</v>
      </c>
      <c r="AA2494">
        <v>0.99090109999999998</v>
      </c>
      <c r="AB2494">
        <v>21</v>
      </c>
      <c r="AC2494">
        <v>-47.723399999999998</v>
      </c>
      <c r="AD2494">
        <v>-1.0394855300000001</v>
      </c>
      <c r="AE2494">
        <v>7.4924000000000301</v>
      </c>
      <c r="AF2494">
        <v>6.5278424688254004</v>
      </c>
      <c r="AG2494">
        <v>-1.0394855300000001</v>
      </c>
      <c r="AH2494">
        <v>47.842310538710002</v>
      </c>
      <c r="AI2494">
        <v>91.233264835592095</v>
      </c>
      <c r="AJ2494">
        <v>82.230259214658005</v>
      </c>
      <c r="AK2494">
        <v>48.296790112255302</v>
      </c>
      <c r="AL2494">
        <v>89.105091157475002</v>
      </c>
      <c r="AM2494">
        <v>87.995772378755504</v>
      </c>
      <c r="AN2494">
        <v>0.99999995189184399</v>
      </c>
    </row>
    <row r="2495" spans="1:40" x14ac:dyDescent="0.25">
      <c r="A2495" t="str">
        <f>"20190312154305009"</f>
        <v>20190312154305009</v>
      </c>
      <c r="B2495" t="str">
        <f>"1552376585000053"</f>
        <v>1552376585000053</v>
      </c>
      <c r="C2495" t="s">
        <v>40</v>
      </c>
      <c r="D2495">
        <v>4.346438</v>
      </c>
      <c r="E2495">
        <v>0.53831879999999999</v>
      </c>
      <c r="F2495" t="s">
        <v>49</v>
      </c>
      <c r="G2495">
        <v>-499.98149999999998</v>
      </c>
      <c r="H2495">
        <v>7.3774839999999994E-2</v>
      </c>
      <c r="I2495">
        <v>292.02629999999999</v>
      </c>
      <c r="J2495">
        <v>-452.4579</v>
      </c>
      <c r="K2495">
        <v>1.1107199999999999</v>
      </c>
      <c r="L2495">
        <v>284.54270000000002</v>
      </c>
      <c r="M2495">
        <v>-0.99970879999999995</v>
      </c>
      <c r="N2495">
        <v>0</v>
      </c>
      <c r="O2495">
        <v>1.9980589999999999E-2</v>
      </c>
      <c r="P2495">
        <v>-0.99848419999999904</v>
      </c>
      <c r="Q2495">
        <v>1.799429E-3</v>
      </c>
      <c r="R2495">
        <v>5.5011530000000003E-2</v>
      </c>
      <c r="S2495">
        <v>-2.9789119999999998</v>
      </c>
      <c r="T2495">
        <v>-6.4722660000000001E-2</v>
      </c>
      <c r="U2495">
        <v>0.46734619999999999</v>
      </c>
      <c r="V2495">
        <v>3.5045989999999999E-2</v>
      </c>
      <c r="W2495">
        <v>1.533669E-2</v>
      </c>
      <c r="X2495">
        <v>0.99926800000000005</v>
      </c>
      <c r="Y2495">
        <v>0.1351907</v>
      </c>
      <c r="Z2495">
        <v>1.028265E-3</v>
      </c>
      <c r="AA2495">
        <v>0.99081909999999895</v>
      </c>
      <c r="AB2495">
        <v>21</v>
      </c>
      <c r="AC2495">
        <v>-47.523599999999902</v>
      </c>
      <c r="AD2495">
        <v>-1.0369451599999999</v>
      </c>
      <c r="AE2495">
        <v>7.4835999999999601</v>
      </c>
      <c r="AF2495">
        <v>6.5294358482928203</v>
      </c>
      <c r="AG2495">
        <v>-1.0369451599999999</v>
      </c>
      <c r="AH2495">
        <v>47.641518453684903</v>
      </c>
      <c r="AI2495">
        <v>91.235334409708102</v>
      </c>
      <c r="AJ2495">
        <v>82.196034052943304</v>
      </c>
      <c r="AK2495">
        <v>48.098056804143603</v>
      </c>
      <c r="AL2495">
        <v>89.121237926859706</v>
      </c>
      <c r="AM2495">
        <v>87.991365045485907</v>
      </c>
      <c r="AN2495">
        <v>0.99999998564961801</v>
      </c>
    </row>
    <row r="2496" spans="1:40" x14ac:dyDescent="0.25">
      <c r="A2496" t="str">
        <f>"20190312154305031"</f>
        <v>20190312154305031</v>
      </c>
      <c r="B2496" t="str">
        <f>"1552376585019573"</f>
        <v>1552376585019573</v>
      </c>
      <c r="C2496" t="s">
        <v>40</v>
      </c>
      <c r="D2496">
        <v>4.3489579999999997</v>
      </c>
      <c r="E2496">
        <v>0.538440699999999</v>
      </c>
      <c r="F2496" t="s">
        <v>49</v>
      </c>
      <c r="G2496">
        <v>-499.96420000000001</v>
      </c>
      <c r="H2496">
        <v>5.6430910000000001E-2</v>
      </c>
      <c r="I2496">
        <v>292.00650000000002</v>
      </c>
      <c r="J2496">
        <v>-452.6576</v>
      </c>
      <c r="K2496">
        <v>1.1107209999999901</v>
      </c>
      <c r="L2496">
        <v>284.54649999999998</v>
      </c>
      <c r="M2496">
        <v>-0.99971149999999998</v>
      </c>
      <c r="N2496">
        <v>0</v>
      </c>
      <c r="O2496">
        <v>1.9839499999999999E-2</v>
      </c>
      <c r="P2496">
        <v>-0.99849080000000001</v>
      </c>
      <c r="Q2496">
        <v>1.3721460000000001E-3</v>
      </c>
      <c r="R2496">
        <v>5.4902510000000002E-2</v>
      </c>
      <c r="S2496">
        <v>-2.978882</v>
      </c>
      <c r="T2496">
        <v>-6.6109180000000003E-2</v>
      </c>
      <c r="U2496">
        <v>0.46801759999999898</v>
      </c>
      <c r="V2496">
        <v>3.5077690000000002E-2</v>
      </c>
      <c r="W2496">
        <v>1.4907109999999999E-2</v>
      </c>
      <c r="X2496">
        <v>0.99927339999999998</v>
      </c>
      <c r="Y2496">
        <v>0.13554869999999999</v>
      </c>
      <c r="Z2496">
        <v>1.0573379999999999E-3</v>
      </c>
      <c r="AA2496">
        <v>0.99077009999999999</v>
      </c>
      <c r="AB2496">
        <v>20</v>
      </c>
      <c r="AC2496">
        <v>-47.306600000000003</v>
      </c>
      <c r="AD2496">
        <v>-1.0542900899999901</v>
      </c>
      <c r="AE2496">
        <v>7.4600000000000302</v>
      </c>
      <c r="AF2496">
        <v>6.5167479097999896</v>
      </c>
      <c r="AG2496">
        <v>-1.0542900899999901</v>
      </c>
      <c r="AH2496">
        <v>47.422321327016697</v>
      </c>
      <c r="AI2496">
        <v>91.261732661605095</v>
      </c>
      <c r="AJ2496">
        <v>82.175454743307</v>
      </c>
      <c r="AK2496">
        <v>47.879599945661397</v>
      </c>
      <c r="AL2496">
        <v>89.145853872798597</v>
      </c>
      <c r="AM2496">
        <v>87.989560529164294</v>
      </c>
      <c r="AN2496">
        <v>0.99999999710592402</v>
      </c>
    </row>
    <row r="2497" spans="1:40" x14ac:dyDescent="0.25">
      <c r="A2497" t="str">
        <f>"20190312154305053"</f>
        <v>20190312154305053</v>
      </c>
      <c r="B2497" t="str">
        <f>"1552376585049829"</f>
        <v>1552376585049829</v>
      </c>
      <c r="C2497" t="s">
        <v>40</v>
      </c>
      <c r="D2497">
        <v>4.3406770000000003</v>
      </c>
      <c r="E2497">
        <v>0.53864369999999995</v>
      </c>
      <c r="F2497" t="s">
        <v>49</v>
      </c>
      <c r="G2497">
        <v>-499.95780000000002</v>
      </c>
      <c r="H2497">
        <v>3.304555E-2</v>
      </c>
      <c r="I2497">
        <v>291.98809999999997</v>
      </c>
      <c r="J2497">
        <v>-452.86130000000003</v>
      </c>
      <c r="K2497">
        <v>1.1107229999999999</v>
      </c>
      <c r="L2497">
        <v>284.55040000000002</v>
      </c>
      <c r="M2497">
        <v>-0.99971460000000001</v>
      </c>
      <c r="N2497">
        <v>0</v>
      </c>
      <c r="O2497">
        <v>1.9687880000000001E-2</v>
      </c>
      <c r="P2497">
        <v>-0.99855479999999996</v>
      </c>
      <c r="Q2497">
        <v>7.7735909999999996E-4</v>
      </c>
      <c r="R2497">
        <v>5.3738519999999998E-2</v>
      </c>
      <c r="S2497">
        <v>-2.978882</v>
      </c>
      <c r="T2497">
        <v>-6.7870139999999995E-2</v>
      </c>
      <c r="U2497">
        <v>0.46865839999999998</v>
      </c>
      <c r="V2497">
        <v>3.406435E-2</v>
      </c>
      <c r="W2497">
        <v>1.4311600000000001E-2</v>
      </c>
      <c r="X2497">
        <v>0.99931720000000002</v>
      </c>
      <c r="Y2497">
        <v>0.13590539999999901</v>
      </c>
      <c r="Z2497">
        <v>1.0929449999999999E-3</v>
      </c>
      <c r="AA2497">
        <v>0.99072119999999997</v>
      </c>
      <c r="AB2497">
        <v>20</v>
      </c>
      <c r="AC2497">
        <v>-47.096499999999899</v>
      </c>
      <c r="AD2497">
        <v>-1.0776774499999999</v>
      </c>
      <c r="AE2497">
        <v>7.4376999999999498</v>
      </c>
      <c r="AF2497">
        <v>6.5056195203199696</v>
      </c>
      <c r="AG2497">
        <v>-1.0776774499999999</v>
      </c>
      <c r="AH2497">
        <v>47.209698257173599</v>
      </c>
      <c r="AI2497">
        <v>91.295451990366701</v>
      </c>
      <c r="AJ2497">
        <v>82.153907767897095</v>
      </c>
      <c r="AK2497">
        <v>47.668019505353698</v>
      </c>
      <c r="AL2497">
        <v>89.179977755113597</v>
      </c>
      <c r="AM2497">
        <v>88.047678895002804</v>
      </c>
      <c r="AN2497">
        <v>1.0000000340256601</v>
      </c>
    </row>
    <row r="2498" spans="1:40" x14ac:dyDescent="0.25">
      <c r="A2498" t="str">
        <f>"20190312154305076"</f>
        <v>20190312154305076</v>
      </c>
      <c r="B2498" t="str">
        <f>"1552376585070325"</f>
        <v>1552376585070325</v>
      </c>
      <c r="C2498" t="s">
        <v>40</v>
      </c>
      <c r="D2498">
        <v>4.3210680000000004</v>
      </c>
      <c r="E2498">
        <v>0.53877559999999902</v>
      </c>
      <c r="F2498" t="s">
        <v>49</v>
      </c>
      <c r="G2498">
        <v>-499.95780000000002</v>
      </c>
      <c r="H2498">
        <v>2.133958E-3</v>
      </c>
      <c r="I2498">
        <v>291.9323</v>
      </c>
      <c r="J2498">
        <v>-453.06709999999998</v>
      </c>
      <c r="K2498">
        <v>1.1107229999999999</v>
      </c>
      <c r="L2498">
        <v>284.55419999999998</v>
      </c>
      <c r="M2498">
        <v>-0.99971770000000004</v>
      </c>
      <c r="N2498">
        <v>0</v>
      </c>
      <c r="O2498">
        <v>1.953063E-2</v>
      </c>
      <c r="P2498">
        <v>-0.99859909999999996</v>
      </c>
      <c r="Q2498">
        <v>4.415512E-4</v>
      </c>
      <c r="R2498">
        <v>5.2912720000000003E-2</v>
      </c>
      <c r="S2498">
        <v>-2.9793090000000002</v>
      </c>
      <c r="T2498">
        <v>-7.0129040000000004E-2</v>
      </c>
      <c r="U2498">
        <v>0.46698000000000001</v>
      </c>
      <c r="V2498">
        <v>3.3394979999999998E-2</v>
      </c>
      <c r="W2498">
        <v>1.3973559999999999E-2</v>
      </c>
      <c r="X2498">
        <v>0.99934449999999997</v>
      </c>
      <c r="Y2498">
        <v>0.13549269999999999</v>
      </c>
      <c r="Z2498">
        <v>1.1280489999999999E-3</v>
      </c>
      <c r="AA2498">
        <v>0.99077769999999998</v>
      </c>
      <c r="AB2498">
        <v>20</v>
      </c>
      <c r="AC2498">
        <v>-46.890700000000002</v>
      </c>
      <c r="AD2498">
        <v>-1.108589042</v>
      </c>
      <c r="AE2498">
        <v>7.3781000000000097</v>
      </c>
      <c r="AF2498">
        <v>6.4572816274184799</v>
      </c>
      <c r="AG2498">
        <v>-1.108589042</v>
      </c>
      <c r="AH2498">
        <v>47.000230747088999</v>
      </c>
      <c r="AI2498">
        <v>91.338608649357099</v>
      </c>
      <c r="AJ2498">
        <v>82.177204978338906</v>
      </c>
      <c r="AK2498">
        <v>47.454685184494203</v>
      </c>
      <c r="AL2498">
        <v>89.199347895717096</v>
      </c>
      <c r="AM2498">
        <v>88.086065748886895</v>
      </c>
      <c r="AN2498">
        <v>0.99999995737426095</v>
      </c>
    </row>
    <row r="2499" spans="1:40" x14ac:dyDescent="0.25">
      <c r="A2499" t="str">
        <f>"20190312154305098"</f>
        <v>20190312154305098</v>
      </c>
      <c r="B2499" t="str">
        <f>"1552376585089845"</f>
        <v>1552376585089845</v>
      </c>
      <c r="C2499" t="s">
        <v>40</v>
      </c>
      <c r="D2499">
        <v>4.304786</v>
      </c>
      <c r="E2499">
        <v>0.53890099999999996</v>
      </c>
      <c r="F2499" t="s">
        <v>49</v>
      </c>
      <c r="G2499">
        <v>-499.41430000000003</v>
      </c>
      <c r="H2499" s="1">
        <v>3.332122E-6</v>
      </c>
      <c r="I2499">
        <v>291.79239999999999</v>
      </c>
      <c r="J2499">
        <v>-453.27420000000001</v>
      </c>
      <c r="K2499">
        <v>1.110722</v>
      </c>
      <c r="L2499">
        <v>284.55810000000002</v>
      </c>
      <c r="M2499">
        <v>-0.99972079999999997</v>
      </c>
      <c r="N2499">
        <v>0</v>
      </c>
      <c r="O2499">
        <v>1.9369879999999999E-2</v>
      </c>
      <c r="P2499">
        <v>-0.99863579999999996</v>
      </c>
      <c r="Q2499" s="1">
        <v>-4.4435260000000002E-5</v>
      </c>
      <c r="R2499">
        <v>5.2216949999999998E-2</v>
      </c>
      <c r="S2499">
        <v>-2.979584</v>
      </c>
      <c r="T2499">
        <v>-7.1406360000000002E-2</v>
      </c>
      <c r="U2499">
        <v>0.46533200000000002</v>
      </c>
      <c r="V2499">
        <v>3.2859480000000003E-2</v>
      </c>
      <c r="W2499">
        <v>1.3485799999999999E-2</v>
      </c>
      <c r="X2499">
        <v>0.99936899999999995</v>
      </c>
      <c r="Y2499">
        <v>0.1351021</v>
      </c>
      <c r="Z2499">
        <v>1.147707E-3</v>
      </c>
      <c r="AA2499">
        <v>0.99083100000000002</v>
      </c>
      <c r="AB2499">
        <v>20</v>
      </c>
      <c r="AC2499">
        <v>-46.140099999999997</v>
      </c>
      <c r="AD2499">
        <v>-1.1107186678780001</v>
      </c>
      <c r="AE2499">
        <v>7.2342999999999602</v>
      </c>
      <c r="AF2499">
        <v>6.3355491105925603</v>
      </c>
      <c r="AG2499">
        <v>-1.1107186678780001</v>
      </c>
      <c r="AH2499">
        <v>46.245426171463102</v>
      </c>
      <c r="AI2499">
        <v>91.363132900830095</v>
      </c>
      <c r="AJ2499">
        <v>82.199132028164399</v>
      </c>
      <c r="AK2499">
        <v>46.6906020551476</v>
      </c>
      <c r="AL2499">
        <v>89.227297157950105</v>
      </c>
      <c r="AM2499">
        <v>88.116780199174997</v>
      </c>
      <c r="AN2499">
        <v>1.0000000051942499</v>
      </c>
    </row>
    <row r="2500" spans="1:40" x14ac:dyDescent="0.25">
      <c r="A2500" t="str">
        <f>"20190312154305122"</f>
        <v>20190312154305122</v>
      </c>
      <c r="B2500" t="str">
        <f>"1552376585110341"</f>
        <v>1552376585110341</v>
      </c>
      <c r="C2500" t="s">
        <v>40</v>
      </c>
      <c r="D2500">
        <v>4.2937349999999999</v>
      </c>
      <c r="E2500">
        <v>0.539053</v>
      </c>
      <c r="F2500" t="s">
        <v>49</v>
      </c>
      <c r="G2500">
        <v>-498.56849999999997</v>
      </c>
      <c r="H2500" s="1">
        <v>3.473306E-6</v>
      </c>
      <c r="I2500">
        <v>291.61739999999998</v>
      </c>
      <c r="J2500">
        <v>-453.47570000000002</v>
      </c>
      <c r="K2500">
        <v>1.1107229999999999</v>
      </c>
      <c r="L2500">
        <v>284.56180000000001</v>
      </c>
      <c r="M2500">
        <v>-0.99972399999999995</v>
      </c>
      <c r="N2500">
        <v>0</v>
      </c>
      <c r="O2500">
        <v>1.9212670000000001E-2</v>
      </c>
      <c r="P2500">
        <v>-0.99866089999999996</v>
      </c>
      <c r="Q2500">
        <v>-1.6420709999999999E-4</v>
      </c>
      <c r="R2500">
        <v>5.1736570000000003E-2</v>
      </c>
      <c r="S2500">
        <v>-2.9798279999999999</v>
      </c>
      <c r="T2500">
        <v>-7.3072079999999998E-2</v>
      </c>
      <c r="U2500">
        <v>0.46441650000000001</v>
      </c>
      <c r="V2500">
        <v>3.2535950000000001E-2</v>
      </c>
      <c r="W2500">
        <v>1.3363740000000001E-2</v>
      </c>
      <c r="X2500">
        <v>0.99938119999999997</v>
      </c>
      <c r="Y2500">
        <v>0.13494679999999901</v>
      </c>
      <c r="Z2500">
        <v>1.176341E-3</v>
      </c>
      <c r="AA2500">
        <v>0.99085210000000001</v>
      </c>
      <c r="AB2500">
        <v>20</v>
      </c>
      <c r="AC2500">
        <v>-45.092799999999897</v>
      </c>
      <c r="AD2500">
        <v>-1.110719526694</v>
      </c>
      <c r="AE2500">
        <v>7.0555999999999699</v>
      </c>
      <c r="AF2500">
        <v>6.1842026902246801</v>
      </c>
      <c r="AG2500">
        <v>-1.110719526694</v>
      </c>
      <c r="AH2500">
        <v>45.193279751738899</v>
      </c>
      <c r="AI2500">
        <v>91.394886603344204</v>
      </c>
      <c r="AJ2500">
        <v>82.208097214212103</v>
      </c>
      <c r="AK2500">
        <v>45.627958484899303</v>
      </c>
      <c r="AL2500">
        <v>89.234291291952403</v>
      </c>
      <c r="AM2500">
        <v>88.135331719091596</v>
      </c>
      <c r="AN2500">
        <v>0.99999998025131398</v>
      </c>
    </row>
    <row r="2501" spans="1:40" x14ac:dyDescent="0.25">
      <c r="A2501" t="str">
        <f>"20190312154305144"</f>
        <v>20190312154305144</v>
      </c>
      <c r="B2501" t="str">
        <f>"1552376585140598"</f>
        <v>1552376585140598</v>
      </c>
      <c r="C2501" t="s">
        <v>40</v>
      </c>
      <c r="D2501">
        <v>4.3002019999999996</v>
      </c>
      <c r="E2501">
        <v>0.54619180000000001</v>
      </c>
      <c r="F2501" t="s">
        <v>49</v>
      </c>
      <c r="G2501">
        <v>-498.3827</v>
      </c>
      <c r="H2501" s="1">
        <v>3.4982880000000001E-6</v>
      </c>
      <c r="I2501">
        <v>291.55619999999999</v>
      </c>
      <c r="J2501">
        <v>-453.68169999999998</v>
      </c>
      <c r="K2501">
        <v>1.110719</v>
      </c>
      <c r="L2501">
        <v>284.56560000000002</v>
      </c>
      <c r="M2501">
        <v>-0.99972700000000003</v>
      </c>
      <c r="N2501">
        <v>0</v>
      </c>
      <c r="O2501">
        <v>1.9053199999999999E-2</v>
      </c>
      <c r="P2501">
        <v>-0.99866509999999997</v>
      </c>
      <c r="Q2501">
        <v>-3.0633249999999999E-4</v>
      </c>
      <c r="R2501">
        <v>5.1653949999999997E-2</v>
      </c>
      <c r="S2501">
        <v>-2.9800110000000002</v>
      </c>
      <c r="T2501">
        <v>-7.3706869999999994E-2</v>
      </c>
      <c r="U2501">
        <v>0.46414179999999999</v>
      </c>
      <c r="V2501">
        <v>3.2612660000000002E-2</v>
      </c>
      <c r="W2501">
        <v>1.3219750000000001E-2</v>
      </c>
      <c r="X2501">
        <v>0.99938059999999995</v>
      </c>
      <c r="Y2501">
        <v>0.13500580000000001</v>
      </c>
      <c r="Z2501">
        <v>1.1911339999999999E-3</v>
      </c>
      <c r="AA2501">
        <v>0.99084410000000001</v>
      </c>
      <c r="AB2501">
        <v>20</v>
      </c>
      <c r="AC2501">
        <v>-44.701000000000001</v>
      </c>
      <c r="AD2501">
        <v>-1.1107155017120001</v>
      </c>
      <c r="AE2501">
        <v>6.9905999999999704</v>
      </c>
      <c r="AF2501">
        <v>6.1338591047284297</v>
      </c>
      <c r="AG2501">
        <v>-1.1107155017120001</v>
      </c>
      <c r="AH2501">
        <v>44.799090534440097</v>
      </c>
      <c r="AI2501">
        <v>91.407135089211593</v>
      </c>
      <c r="AJ2501">
        <v>82.203581604892193</v>
      </c>
      <c r="AK2501">
        <v>45.230702284569603</v>
      </c>
      <c r="AL2501">
        <v>89.242542029119093</v>
      </c>
      <c r="AM2501">
        <v>88.130937384451499</v>
      </c>
      <c r="AN2501">
        <v>0.999999965519348</v>
      </c>
    </row>
    <row r="2502" spans="1:40" x14ac:dyDescent="0.25">
      <c r="A2502" t="str">
        <f>"20190312154305165"</f>
        <v>20190312154305165</v>
      </c>
      <c r="B2502" t="str">
        <f>"1552376585160117"</f>
        <v>1552376585160117</v>
      </c>
      <c r="C2502" t="s">
        <v>40</v>
      </c>
      <c r="D2502">
        <v>4.2848350000000002</v>
      </c>
      <c r="E2502">
        <v>0.54662529999999998</v>
      </c>
      <c r="F2502" t="s">
        <v>49</v>
      </c>
      <c r="G2502">
        <v>-500.089</v>
      </c>
      <c r="H2502">
        <v>8.0003840000000007E-2</v>
      </c>
      <c r="I2502">
        <v>292.6841</v>
      </c>
      <c r="J2502">
        <v>-453.8784</v>
      </c>
      <c r="K2502">
        <v>1.1107180000000001</v>
      </c>
      <c r="L2502">
        <v>284.56909999999999</v>
      </c>
      <c r="M2502">
        <v>-0.99972989999999995</v>
      </c>
      <c r="N2502">
        <v>0</v>
      </c>
      <c r="O2502">
        <v>1.8902680000000002E-2</v>
      </c>
      <c r="P2502">
        <v>-0.99865219999999999</v>
      </c>
      <c r="Q2502">
        <v>-3.7854719999999998E-4</v>
      </c>
      <c r="R2502">
        <v>5.1900780000000001E-2</v>
      </c>
      <c r="S2502">
        <v>-2.9770509999999999</v>
      </c>
      <c r="T2502">
        <v>-6.6120860000000004E-2</v>
      </c>
      <c r="U2502">
        <v>0.52081299999999997</v>
      </c>
      <c r="V2502">
        <v>3.3010159999999997E-2</v>
      </c>
      <c r="W2502">
        <v>1.3144889999999999E-2</v>
      </c>
      <c r="X2502">
        <v>0.99936849999999999</v>
      </c>
      <c r="Y2502">
        <v>0.1536409</v>
      </c>
      <c r="Z2502">
        <v>1.276667E-3</v>
      </c>
      <c r="AA2502">
        <v>0.9881259</v>
      </c>
      <c r="AB2502">
        <v>20</v>
      </c>
      <c r="AC2502">
        <v>-46.210599999999999</v>
      </c>
      <c r="AD2502">
        <v>-1.03071416</v>
      </c>
      <c r="AE2502">
        <v>8.1150000000000002</v>
      </c>
      <c r="AF2502">
        <v>7.2364733290726102</v>
      </c>
      <c r="AG2502">
        <v>-1.03071416</v>
      </c>
      <c r="AH2502">
        <v>46.333389957190697</v>
      </c>
      <c r="AI2502">
        <v>91.259109706738201</v>
      </c>
      <c r="AJ2502">
        <v>81.123105738796397</v>
      </c>
      <c r="AK2502">
        <v>46.906416862164001</v>
      </c>
      <c r="AL2502">
        <v>89.246831536380697</v>
      </c>
      <c r="AM2502">
        <v>88.108149846392195</v>
      </c>
      <c r="AN2502">
        <v>0.999999928794291</v>
      </c>
    </row>
    <row r="2503" spans="1:40" x14ac:dyDescent="0.25">
      <c r="A2503" t="str">
        <f>"20190312154305188"</f>
        <v>20190312154305188</v>
      </c>
      <c r="B2503" t="str">
        <f>"1552376585179637"</f>
        <v>1552376585179637</v>
      </c>
      <c r="C2503" t="s">
        <v>40</v>
      </c>
      <c r="D2503">
        <v>4.2803940000000003</v>
      </c>
      <c r="E2503">
        <v>0.54673899999999998</v>
      </c>
      <c r="F2503" t="s">
        <v>49</v>
      </c>
      <c r="G2503">
        <v>-499.96249999999998</v>
      </c>
      <c r="H2503">
        <v>5.4731509999999997E-2</v>
      </c>
      <c r="I2503">
        <v>292.69670000000002</v>
      </c>
      <c r="J2503">
        <v>-454.0788</v>
      </c>
      <c r="K2503">
        <v>1.110717</v>
      </c>
      <c r="L2503">
        <v>284.57279999999997</v>
      </c>
      <c r="M2503">
        <v>-0.99973279999999998</v>
      </c>
      <c r="N2503">
        <v>0</v>
      </c>
      <c r="O2503">
        <v>1.8751090000000002E-2</v>
      </c>
      <c r="P2503">
        <v>-0.99862960000000001</v>
      </c>
      <c r="Q2503">
        <v>-5.3215589999999996E-4</v>
      </c>
      <c r="R2503">
        <v>5.233587E-2</v>
      </c>
      <c r="S2503">
        <v>-2.9767459999999999</v>
      </c>
      <c r="T2503">
        <v>-6.8210240000000005E-2</v>
      </c>
      <c r="U2503">
        <v>0.52499390000000001</v>
      </c>
      <c r="V2503">
        <v>3.359757E-2</v>
      </c>
      <c r="W2503">
        <v>1.2988499999999899E-2</v>
      </c>
      <c r="X2503">
        <v>0.99935099999999999</v>
      </c>
      <c r="Y2503">
        <v>0.1551515</v>
      </c>
      <c r="Z2503">
        <v>1.337591E-3</v>
      </c>
      <c r="AA2503">
        <v>0.98788980000000004</v>
      </c>
      <c r="AB2503">
        <v>20</v>
      </c>
      <c r="AC2503">
        <v>-45.883699999999898</v>
      </c>
      <c r="AD2503">
        <v>-1.0559854900000001</v>
      </c>
      <c r="AE2503">
        <v>8.1239000000000399</v>
      </c>
      <c r="AF2503">
        <v>7.2582958212086703</v>
      </c>
      <c r="AG2503">
        <v>-1.0559854900000001</v>
      </c>
      <c r="AH2503">
        <v>46.004351150913401</v>
      </c>
      <c r="AI2503">
        <v>91.298877141384693</v>
      </c>
      <c r="AJ2503">
        <v>81.034116485302206</v>
      </c>
      <c r="AK2503">
        <v>46.585387069335603</v>
      </c>
      <c r="AL2503">
        <v>89.255792811903007</v>
      </c>
      <c r="AM2503">
        <v>88.074476132579505</v>
      </c>
      <c r="AN2503">
        <v>0.99999995952157605</v>
      </c>
    </row>
    <row r="2504" spans="1:40" x14ac:dyDescent="0.25">
      <c r="A2504" t="str">
        <f>"20190312154305209"</f>
        <v>20190312154305209</v>
      </c>
      <c r="B2504" t="str">
        <f>"1552376585200133"</f>
        <v>1552376585200133</v>
      </c>
      <c r="C2504" t="s">
        <v>40</v>
      </c>
      <c r="D2504">
        <v>4.2879360000000002</v>
      </c>
      <c r="E2504">
        <v>0.54673989999999995</v>
      </c>
      <c r="F2504" t="s">
        <v>49</v>
      </c>
      <c r="G2504">
        <v>-499.95780000000002</v>
      </c>
      <c r="H2504">
        <v>1.333821E-2</v>
      </c>
      <c r="I2504">
        <v>292.69900000000001</v>
      </c>
      <c r="J2504">
        <v>-454.27519999999998</v>
      </c>
      <c r="K2504">
        <v>1.1107209999999901</v>
      </c>
      <c r="L2504">
        <v>284.57619999999997</v>
      </c>
      <c r="M2504">
        <v>-0.9997355</v>
      </c>
      <c r="N2504">
        <v>0</v>
      </c>
      <c r="O2504">
        <v>1.8603850000000002E-2</v>
      </c>
      <c r="P2504">
        <v>-0.99861739999999999</v>
      </c>
      <c r="Q2504">
        <v>-5.8396529999999998E-4</v>
      </c>
      <c r="R2504">
        <v>5.2565590000000002E-2</v>
      </c>
      <c r="S2504">
        <v>-2.97641</v>
      </c>
      <c r="T2504">
        <v>-7.1192740000000004E-2</v>
      </c>
      <c r="U2504">
        <v>0.52719119999999997</v>
      </c>
      <c r="V2504">
        <v>3.3974459999999998E-2</v>
      </c>
      <c r="W2504">
        <v>1.2934630000000001E-2</v>
      </c>
      <c r="X2504">
        <v>0.99933899999999998</v>
      </c>
      <c r="Y2504">
        <v>0.15601979999999999</v>
      </c>
      <c r="Z2504">
        <v>1.4099220000000001E-3</v>
      </c>
      <c r="AA2504">
        <v>0.98775290000000004</v>
      </c>
      <c r="AB2504">
        <v>20</v>
      </c>
      <c r="AC2504">
        <v>-45.682600000000001</v>
      </c>
      <c r="AD2504">
        <v>-1.0973827899999999</v>
      </c>
      <c r="AE2504">
        <v>8.1228000000000407</v>
      </c>
      <c r="AF2504">
        <v>7.2673788904581098</v>
      </c>
      <c r="AG2504">
        <v>-1.0973827899999999</v>
      </c>
      <c r="AH2504">
        <v>45.8002024889701</v>
      </c>
      <c r="AI2504">
        <v>91.355603551618898</v>
      </c>
      <c r="AJ2504">
        <v>80.9837215316998</v>
      </c>
      <c r="AK2504">
        <v>46.386178900141402</v>
      </c>
      <c r="AL2504">
        <v>89.258879627016398</v>
      </c>
      <c r="AM2504">
        <v>88.0528692095384</v>
      </c>
      <c r="AN2504">
        <v>1.0000000027532601</v>
      </c>
    </row>
    <row r="2505" spans="1:40" x14ac:dyDescent="0.25">
      <c r="A2505" t="str">
        <f>"20190312154305233"</f>
        <v>20190312154305233</v>
      </c>
      <c r="B2505" t="str">
        <f>"1552376585219654"</f>
        <v>1552376585219654</v>
      </c>
      <c r="C2505" t="s">
        <v>40</v>
      </c>
      <c r="D2505">
        <v>4.2909949999999997</v>
      </c>
      <c r="E2505">
        <v>0.54691889999999999</v>
      </c>
      <c r="F2505" t="s">
        <v>49</v>
      </c>
      <c r="G2505">
        <v>-499.56779999999998</v>
      </c>
      <c r="H2505" s="1">
        <v>3.514072E-6</v>
      </c>
      <c r="I2505">
        <v>292.60809999999998</v>
      </c>
      <c r="J2505">
        <v>-454.48379999999997</v>
      </c>
      <c r="K2505">
        <v>1.110725</v>
      </c>
      <c r="L2505">
        <v>284.57990000000001</v>
      </c>
      <c r="M2505">
        <v>-0.99973849999999997</v>
      </c>
      <c r="N2505">
        <v>0</v>
      </c>
      <c r="O2505">
        <v>1.844701E-2</v>
      </c>
      <c r="P2505">
        <v>-0.99862289999999998</v>
      </c>
      <c r="Q2505">
        <v>-5.3816940000000005E-4</v>
      </c>
      <c r="R2505">
        <v>5.2460659999999999E-2</v>
      </c>
      <c r="S2505">
        <v>-2.976318</v>
      </c>
      <c r="T2505">
        <v>-7.2988750000000005E-2</v>
      </c>
      <c r="U2505">
        <v>0.52780150000000003</v>
      </c>
      <c r="V2505">
        <v>3.4026199999999902E-2</v>
      </c>
      <c r="W2505">
        <v>1.297801E-2</v>
      </c>
      <c r="X2505">
        <v>0.99933669999999997</v>
      </c>
      <c r="Y2505">
        <v>0.15637429999999999</v>
      </c>
      <c r="Z2505">
        <v>1.4536239999999999E-3</v>
      </c>
      <c r="AA2505">
        <v>0.98769680000000004</v>
      </c>
      <c r="AB2505">
        <v>20</v>
      </c>
      <c r="AC2505">
        <v>-45.083999999999897</v>
      </c>
      <c r="AD2505">
        <v>-1.1107214859279999</v>
      </c>
      <c r="AE2505">
        <v>8.0281999999999698</v>
      </c>
      <c r="AF2505">
        <v>7.1908622376076803</v>
      </c>
      <c r="AG2505">
        <v>-1.1107214859279999</v>
      </c>
      <c r="AH2505">
        <v>45.197846439638901</v>
      </c>
      <c r="AI2505">
        <v>91.390262465116606</v>
      </c>
      <c r="AJ2505">
        <v>80.960151528915503</v>
      </c>
      <c r="AK2505">
        <v>45.779772003809001</v>
      </c>
      <c r="AL2505">
        <v>89.256393944380903</v>
      </c>
      <c r="AM2505">
        <v>88.049901710203997</v>
      </c>
      <c r="AN2505">
        <v>1.00000002549844</v>
      </c>
    </row>
    <row r="2506" spans="1:40" x14ac:dyDescent="0.25">
      <c r="A2506" t="str">
        <f>"20190312154305255"</f>
        <v>20190312154305255</v>
      </c>
      <c r="B2506" t="str">
        <f>"1552376585249909"</f>
        <v>1552376585249909</v>
      </c>
      <c r="C2506" t="s">
        <v>40</v>
      </c>
      <c r="D2506">
        <v>4.2199949999999999</v>
      </c>
      <c r="E2506">
        <v>0.54713509999999999</v>
      </c>
      <c r="F2506" t="s">
        <v>49</v>
      </c>
      <c r="G2506">
        <v>-499.35149999999999</v>
      </c>
      <c r="H2506" s="1">
        <v>3.5481989999999999E-6</v>
      </c>
      <c r="I2506">
        <v>292.55590000000001</v>
      </c>
      <c r="J2506">
        <v>-454.6848</v>
      </c>
      <c r="K2506">
        <v>1.1107180000000001</v>
      </c>
      <c r="L2506">
        <v>284.58339999999998</v>
      </c>
      <c r="M2506">
        <v>-0.99974130000000005</v>
      </c>
      <c r="N2506">
        <v>0</v>
      </c>
      <c r="O2506">
        <v>1.8295410000000002E-2</v>
      </c>
      <c r="P2506">
        <v>-0.99863230000000003</v>
      </c>
      <c r="Q2506">
        <v>-1.3534349999999999E-4</v>
      </c>
      <c r="R2506">
        <v>5.2285819999999997E-2</v>
      </c>
      <c r="S2506">
        <v>-2.9762879999999998</v>
      </c>
      <c r="T2506">
        <v>-7.3679330000000001E-2</v>
      </c>
      <c r="U2506">
        <v>0.52908330000000003</v>
      </c>
      <c r="V2506">
        <v>3.4002640000000001E-2</v>
      </c>
      <c r="W2506">
        <v>1.3379E-2</v>
      </c>
      <c r="X2506">
        <v>0.9993322</v>
      </c>
      <c r="Y2506">
        <v>0.1569372</v>
      </c>
      <c r="Z2506">
        <v>1.4779649999999999E-3</v>
      </c>
      <c r="AA2506">
        <v>0.98760749999999997</v>
      </c>
      <c r="AB2506">
        <v>20</v>
      </c>
      <c r="AC2506">
        <v>-44.666699999999899</v>
      </c>
      <c r="AD2506">
        <v>-1.1107144518009999</v>
      </c>
      <c r="AE2506">
        <v>7.9725000000000197</v>
      </c>
      <c r="AF2506">
        <v>7.1496106509572499</v>
      </c>
      <c r="AG2506">
        <v>-1.1107144518009999</v>
      </c>
      <c r="AH2506">
        <v>44.778262088074399</v>
      </c>
      <c r="AI2506">
        <v>91.403151358086703</v>
      </c>
      <c r="AJ2506">
        <v>80.928327448405994</v>
      </c>
      <c r="AK2506">
        <v>45.3590495345967</v>
      </c>
      <c r="AL2506">
        <v>89.233416904170696</v>
      </c>
      <c r="AM2506">
        <v>88.051242163183602</v>
      </c>
      <c r="AN2506">
        <v>1.0000000115623999</v>
      </c>
    </row>
    <row r="2507" spans="1:40" x14ac:dyDescent="0.25">
      <c r="A2507" t="str">
        <f>"20190312154305277"</f>
        <v>20190312154305277</v>
      </c>
      <c r="B2507" t="str">
        <f>"1552376585270406"</f>
        <v>1552376585270406</v>
      </c>
      <c r="C2507" t="s">
        <v>40</v>
      </c>
      <c r="D2507">
        <v>4.2584540000000004</v>
      </c>
      <c r="E2507">
        <v>0.5472051</v>
      </c>
      <c r="F2507" t="s">
        <v>49</v>
      </c>
      <c r="G2507">
        <v>-499.95780000000002</v>
      </c>
      <c r="H2507">
        <v>4.5833390000000002E-2</v>
      </c>
      <c r="I2507">
        <v>292.64789999999999</v>
      </c>
      <c r="J2507">
        <v>-454.88490000000002</v>
      </c>
      <c r="K2507">
        <v>1.110719</v>
      </c>
      <c r="L2507">
        <v>284.58690000000001</v>
      </c>
      <c r="M2507">
        <v>-0.99974410000000002</v>
      </c>
      <c r="N2507">
        <v>0</v>
      </c>
      <c r="O2507">
        <v>1.8144449999999999E-2</v>
      </c>
      <c r="P2507">
        <v>-0.99863409999999997</v>
      </c>
      <c r="Q2507" s="1">
        <v>9.4426799999999995E-5</v>
      </c>
      <c r="R2507">
        <v>5.2250869999999998E-2</v>
      </c>
      <c r="S2507">
        <v>-2.9763489999999999</v>
      </c>
      <c r="T2507">
        <v>-7.0008039999999994E-2</v>
      </c>
      <c r="U2507">
        <v>0.53018189999999998</v>
      </c>
      <c r="V2507">
        <v>3.411873E-2</v>
      </c>
      <c r="W2507">
        <v>1.3606429999999999E-2</v>
      </c>
      <c r="X2507">
        <v>0.99932520000000002</v>
      </c>
      <c r="Y2507">
        <v>0.15743989999999999</v>
      </c>
      <c r="Z2507">
        <v>1.413655E-3</v>
      </c>
      <c r="AA2507">
        <v>0.9875275</v>
      </c>
      <c r="AB2507">
        <v>20</v>
      </c>
      <c r="AC2507">
        <v>-45.072899999999997</v>
      </c>
      <c r="AD2507">
        <v>-1.0648856099999999</v>
      </c>
      <c r="AE2507">
        <v>8.0609999999999697</v>
      </c>
      <c r="AF2507">
        <v>7.2378602813333801</v>
      </c>
      <c r="AG2507">
        <v>-1.0648856099999999</v>
      </c>
      <c r="AH2507">
        <v>45.187313373922201</v>
      </c>
      <c r="AI2507">
        <v>91.332999113118703</v>
      </c>
      <c r="AJ2507">
        <v>80.899968668030695</v>
      </c>
      <c r="AK2507">
        <v>45.775691068158999</v>
      </c>
      <c r="AL2507">
        <v>89.220384960251494</v>
      </c>
      <c r="AM2507">
        <v>88.044580287954304</v>
      </c>
      <c r="AN2507">
        <v>1.00000003901459</v>
      </c>
    </row>
    <row r="2508" spans="1:40" x14ac:dyDescent="0.25">
      <c r="A2508" t="str">
        <f>"20190312154305299"</f>
        <v>20190312154305299</v>
      </c>
      <c r="B2508" t="str">
        <f>"1552376585289926"</f>
        <v>1552376585289926</v>
      </c>
      <c r="C2508" t="s">
        <v>40</v>
      </c>
      <c r="D2508">
        <v>4.4430110000000003</v>
      </c>
      <c r="E2508">
        <v>0.5313814</v>
      </c>
      <c r="F2508" t="s">
        <v>49</v>
      </c>
      <c r="G2508">
        <v>-499.96199999999999</v>
      </c>
      <c r="H2508">
        <v>5.4205200000000002E-2</v>
      </c>
      <c r="I2508">
        <v>292.62529999999998</v>
      </c>
      <c r="J2508">
        <v>-455.08929999999998</v>
      </c>
      <c r="K2508">
        <v>1.1107180000000001</v>
      </c>
      <c r="L2508">
        <v>284.59050000000002</v>
      </c>
      <c r="M2508">
        <v>-0.99974689999999999</v>
      </c>
      <c r="N2508">
        <v>0</v>
      </c>
      <c r="O2508">
        <v>1.798926E-2</v>
      </c>
      <c r="P2508">
        <v>-0.99865159999999997</v>
      </c>
      <c r="Q2508">
        <v>4.5165050000000001E-4</v>
      </c>
      <c r="R2508">
        <v>5.1910690000000002E-2</v>
      </c>
      <c r="S2508">
        <v>-2.9763790000000001</v>
      </c>
      <c r="T2508">
        <v>-6.9760320000000001E-2</v>
      </c>
      <c r="U2508">
        <v>0.530761699999999</v>
      </c>
      <c r="V2508">
        <v>3.39333E-2</v>
      </c>
      <c r="W2508">
        <v>1.3961640000000001E-2</v>
      </c>
      <c r="X2508">
        <v>0.99932659999999995</v>
      </c>
      <c r="Y2508">
        <v>0.1577781</v>
      </c>
      <c r="Z2508">
        <v>1.4161530000000001E-3</v>
      </c>
      <c r="AA2508">
        <v>0.98747359999999995</v>
      </c>
      <c r="AB2508">
        <v>20</v>
      </c>
      <c r="AC2508">
        <v>-44.872700000000002</v>
      </c>
      <c r="AD2508">
        <v>-1.0565127999999999</v>
      </c>
      <c r="AE2508">
        <v>8.0347999999999598</v>
      </c>
      <c r="AF2508">
        <v>7.2223199014902804</v>
      </c>
      <c r="AG2508">
        <v>-1.0565127999999999</v>
      </c>
      <c r="AH2508">
        <v>44.985827438817203</v>
      </c>
      <c r="AI2508">
        <v>91.328366034210703</v>
      </c>
      <c r="AJ2508">
        <v>80.879191700984805</v>
      </c>
      <c r="AK2508">
        <v>45.574146118287999</v>
      </c>
      <c r="AL2508">
        <v>89.200030982054102</v>
      </c>
      <c r="AM2508">
        <v>88.0552022297191</v>
      </c>
      <c r="AN2508">
        <v>1.00000002485396</v>
      </c>
    </row>
    <row r="2509" spans="1:40" x14ac:dyDescent="0.25">
      <c r="A2509" t="str">
        <f>"20190312154305322"</f>
        <v>20190312154305322</v>
      </c>
      <c r="B2509" t="str">
        <f>"1552376585310047"</f>
        <v>1552376585310047</v>
      </c>
      <c r="C2509" t="s">
        <v>40</v>
      </c>
      <c r="D2509">
        <v>4.4393630000000002</v>
      </c>
      <c r="E2509">
        <v>0.51226070000000001</v>
      </c>
      <c r="F2509" t="s">
        <v>42</v>
      </c>
      <c r="G2509">
        <v>-528.38879999999995</v>
      </c>
      <c r="H2509">
        <v>-0.05</v>
      </c>
      <c r="I2509">
        <v>294.51940000000002</v>
      </c>
      <c r="J2509">
        <v>-455.28949999999998</v>
      </c>
      <c r="K2509">
        <v>1.1107149999999999</v>
      </c>
      <c r="L2509">
        <v>284.59390000000002</v>
      </c>
      <c r="M2509">
        <v>-0.99974969999999996</v>
      </c>
      <c r="N2509">
        <v>0</v>
      </c>
      <c r="O2509">
        <v>1.783657E-2</v>
      </c>
      <c r="P2509">
        <v>-0.99866270000000001</v>
      </c>
      <c r="Q2509">
        <v>4.5161319999999997E-4</v>
      </c>
      <c r="R2509">
        <v>5.1700000000000003E-2</v>
      </c>
      <c r="S2509">
        <v>-2.9830930000000002</v>
      </c>
      <c r="T2509">
        <v>-4.723811E-2</v>
      </c>
      <c r="U2509">
        <v>0.40408329999999998</v>
      </c>
      <c r="V2509">
        <v>3.387503E-2</v>
      </c>
      <c r="W2509">
        <v>1.3959259999999999E-2</v>
      </c>
      <c r="X2509">
        <v>0.99932860000000001</v>
      </c>
      <c r="Y2509">
        <v>0.1165216</v>
      </c>
      <c r="Z2509">
        <v>6.3725000000000001E-4</v>
      </c>
      <c r="AA2509">
        <v>0.99318799999999996</v>
      </c>
      <c r="AB2509">
        <v>20</v>
      </c>
      <c r="AC2509">
        <v>-73.0992999999999</v>
      </c>
      <c r="AD2509">
        <v>-1.1607149999999999</v>
      </c>
      <c r="AE2509">
        <v>9.9254999999999995</v>
      </c>
      <c r="AF2509">
        <v>8.6178275367715695</v>
      </c>
      <c r="AG2509">
        <v>-1.1607149999999999</v>
      </c>
      <c r="AH2509">
        <v>73.246588595921395</v>
      </c>
      <c r="AI2509">
        <v>90.9016535249838</v>
      </c>
      <c r="AJ2509">
        <v>83.289714288318095</v>
      </c>
      <c r="AK2509">
        <v>73.760944623187498</v>
      </c>
      <c r="AL2509">
        <v>89.200167351164296</v>
      </c>
      <c r="AM2509">
        <v>88.058543146025897</v>
      </c>
      <c r="AN2509">
        <v>1.0000000146876</v>
      </c>
    </row>
    <row r="2510" spans="1:40" x14ac:dyDescent="0.25">
      <c r="A2510" t="str">
        <f>"20190312154305345"</f>
        <v>20190312154305345</v>
      </c>
      <c r="B2510" t="str">
        <f>"1552376585340291"</f>
        <v>1552376585340291</v>
      </c>
      <c r="C2510" t="s">
        <v>40</v>
      </c>
      <c r="D2510">
        <v>4.2693580000000004</v>
      </c>
      <c r="E2510">
        <v>0.44302360000000002</v>
      </c>
      <c r="F2510" t="s">
        <v>55</v>
      </c>
      <c r="G2510">
        <v>-690.07449999999994</v>
      </c>
      <c r="H2510">
        <v>-0.1</v>
      </c>
      <c r="I2510">
        <v>304.39069999999998</v>
      </c>
      <c r="J2510">
        <v>-455.48910000000001</v>
      </c>
      <c r="K2510">
        <v>1.1107199999999999</v>
      </c>
      <c r="L2510">
        <v>284.59730000000002</v>
      </c>
      <c r="M2510">
        <v>-0.99975239999999999</v>
      </c>
      <c r="N2510">
        <v>0</v>
      </c>
      <c r="O2510">
        <v>1.7683529999999999E-2</v>
      </c>
      <c r="P2510">
        <v>-0.99868190000000001</v>
      </c>
      <c r="Q2510">
        <v>1.936834E-4</v>
      </c>
      <c r="R2510">
        <v>5.1330210000000001E-2</v>
      </c>
      <c r="S2510">
        <v>-2.9909970000000001</v>
      </c>
      <c r="T2510">
        <v>-1.542366E-2</v>
      </c>
      <c r="U2510">
        <v>0.25219730000000001</v>
      </c>
      <c r="V2510">
        <v>3.3658019999999997E-2</v>
      </c>
      <c r="W2510">
        <v>1.369893E-2</v>
      </c>
      <c r="X2510">
        <v>0.99933950000000005</v>
      </c>
      <c r="Y2510">
        <v>6.6384250000000006E-2</v>
      </c>
      <c r="Z2510" s="1">
        <v>7.9843109999999995E-5</v>
      </c>
      <c r="AA2510">
        <v>0.99779419999999996</v>
      </c>
      <c r="AB2510">
        <v>20</v>
      </c>
      <c r="AC2510">
        <v>-234.58539999999999</v>
      </c>
      <c r="AD2510">
        <v>-1.21072</v>
      </c>
      <c r="AE2510">
        <v>19.793399999999899</v>
      </c>
      <c r="AF2510">
        <v>15.6412143333117</v>
      </c>
      <c r="AG2510">
        <v>-1.21072</v>
      </c>
      <c r="AH2510">
        <v>234.89254867144501</v>
      </c>
      <c r="AI2510">
        <v>90.294667719735401</v>
      </c>
      <c r="AJ2510">
        <v>86.190366542020897</v>
      </c>
      <c r="AK2510">
        <v>235.41585088966801</v>
      </c>
      <c r="AL2510">
        <v>89.215084560229698</v>
      </c>
      <c r="AM2510">
        <v>88.070992092046893</v>
      </c>
      <c r="AN2510">
        <v>0.99999997962685705</v>
      </c>
    </row>
    <row r="2511" spans="1:40" x14ac:dyDescent="0.25">
      <c r="A2511" t="str">
        <f>"20190312154305366"</f>
        <v>20190312154305366</v>
      </c>
      <c r="B2511" t="str">
        <f>"1552376585359811"</f>
        <v>1552376585359811</v>
      </c>
      <c r="C2511" t="s">
        <v>40</v>
      </c>
      <c r="D2511">
        <v>4.4285620000000003</v>
      </c>
      <c r="E2511">
        <v>0.43668430000000003</v>
      </c>
      <c r="F2511" t="s">
        <v>49</v>
      </c>
      <c r="G2511">
        <v>-499.95780000000002</v>
      </c>
      <c r="H2511">
        <v>3.1918719999999998E-2</v>
      </c>
      <c r="I2511">
        <v>280.14389999999997</v>
      </c>
      <c r="J2511">
        <v>-455.68619999999999</v>
      </c>
      <c r="K2511">
        <v>1.1107199999999999</v>
      </c>
      <c r="L2511">
        <v>284.60059999999999</v>
      </c>
      <c r="M2511">
        <v>-0.99975510000000001</v>
      </c>
      <c r="N2511">
        <v>0</v>
      </c>
      <c r="O2511">
        <v>1.753215E-2</v>
      </c>
      <c r="P2511">
        <v>-0.99869589999999997</v>
      </c>
      <c r="Q2511">
        <v>-2.3416800000000001E-4</v>
      </c>
      <c r="R2511">
        <v>5.105341E-2</v>
      </c>
      <c r="S2511">
        <v>-3.0195620000000001</v>
      </c>
      <c r="T2511">
        <v>-7.3253869999999999E-2</v>
      </c>
      <c r="U2511">
        <v>-0.30239870000000002</v>
      </c>
      <c r="V2511">
        <v>3.353225E-2</v>
      </c>
      <c r="W2511">
        <v>1.3269339999999999E-2</v>
      </c>
      <c r="X2511">
        <v>0.9993495</v>
      </c>
      <c r="Y2511">
        <v>-0.11704000000000001</v>
      </c>
      <c r="Z2511">
        <v>-1.840251E-3</v>
      </c>
      <c r="AA2511">
        <v>0.99312549999999999</v>
      </c>
      <c r="AB2511">
        <v>20</v>
      </c>
      <c r="AC2511">
        <v>-44.271599999999999</v>
      </c>
      <c r="AD2511">
        <v>-1.07880128</v>
      </c>
      <c r="AE2511">
        <v>-4.4567000000000103</v>
      </c>
      <c r="AF2511">
        <v>-5.2291881090521004</v>
      </c>
      <c r="AG2511">
        <v>-1.07880128</v>
      </c>
      <c r="AH2511">
        <v>44.160692471233403</v>
      </c>
      <c r="AI2511">
        <v>91.389694815351902</v>
      </c>
      <c r="AJ2511">
        <v>96.753103720301993</v>
      </c>
      <c r="AK2511">
        <v>44.482299626035903</v>
      </c>
      <c r="AL2511">
        <v>89.239700474199594</v>
      </c>
      <c r="AM2511">
        <v>88.078214021166801</v>
      </c>
      <c r="AN2511">
        <v>0.99999995516217299</v>
      </c>
    </row>
    <row r="2512" spans="1:40" x14ac:dyDescent="0.25">
      <c r="A2512" t="str">
        <f>"20190312154305390"</f>
        <v>20190312154305390</v>
      </c>
      <c r="B2512" t="str">
        <f>"1552376585380312"</f>
        <v>1552376585380312</v>
      </c>
      <c r="C2512" t="s">
        <v>40</v>
      </c>
      <c r="D2512">
        <v>4.3295709999999996</v>
      </c>
      <c r="E2512">
        <v>0.43514160000000002</v>
      </c>
      <c r="F2512" t="s">
        <v>49</v>
      </c>
      <c r="G2512">
        <v>-497.24610000000001</v>
      </c>
      <c r="H2512" s="1">
        <v>2.2522330000000001E-6</v>
      </c>
      <c r="I2512">
        <v>279.73180000000002</v>
      </c>
      <c r="J2512">
        <v>-455.88670000000002</v>
      </c>
      <c r="K2512">
        <v>1.110722</v>
      </c>
      <c r="L2512">
        <v>284.60390000000001</v>
      </c>
      <c r="M2512">
        <v>-0.99975789999999998</v>
      </c>
      <c r="N2512">
        <v>0</v>
      </c>
      <c r="O2512">
        <v>1.7377980000000001E-2</v>
      </c>
      <c r="P2512">
        <v>-0.99870999999999999</v>
      </c>
      <c r="Q2512">
        <v>-3.1102910000000003E-4</v>
      </c>
      <c r="R2512">
        <v>5.0778230000000001E-2</v>
      </c>
      <c r="S2512">
        <v>-3.0220030000000002</v>
      </c>
      <c r="T2512">
        <v>-8.0765130000000004E-2</v>
      </c>
      <c r="U2512">
        <v>-0.35403440000000003</v>
      </c>
      <c r="V2512">
        <v>3.3411290000000003E-2</v>
      </c>
      <c r="W2512">
        <v>1.3190189999999999E-2</v>
      </c>
      <c r="X2512">
        <v>0.99935469999999904</v>
      </c>
      <c r="Y2512">
        <v>-0.1335472</v>
      </c>
      <c r="Z2512">
        <v>-2.2410920000000001E-3</v>
      </c>
      <c r="AA2512">
        <v>0.99103989999999997</v>
      </c>
      <c r="AB2512">
        <v>20</v>
      </c>
      <c r="AC2512">
        <v>-41.359400000000001</v>
      </c>
      <c r="AD2512">
        <v>-1.1107197477670001</v>
      </c>
      <c r="AE2512">
        <v>-4.8720999999999801</v>
      </c>
      <c r="AF2512">
        <v>-5.5861987608923798</v>
      </c>
      <c r="AG2512">
        <v>-1.1107197477670001</v>
      </c>
      <c r="AH2512">
        <v>41.239143343294899</v>
      </c>
      <c r="AI2512">
        <v>91.528854193428899</v>
      </c>
      <c r="AJ2512">
        <v>97.714254655224195</v>
      </c>
      <c r="AK2512">
        <v>41.630592821182503</v>
      </c>
      <c r="AL2512">
        <v>89.2442359084218</v>
      </c>
      <c r="AM2512">
        <v>88.085151215046494</v>
      </c>
      <c r="AN2512">
        <v>1.00000005591189</v>
      </c>
    </row>
    <row r="2513" spans="1:40" x14ac:dyDescent="0.25">
      <c r="A2513" t="str">
        <f>"20190312154305410"</f>
        <v>20190312154305410</v>
      </c>
      <c r="B2513" t="str">
        <f>"1552376585399827"</f>
        <v>1552376585399827</v>
      </c>
      <c r="C2513" t="s">
        <v>40</v>
      </c>
      <c r="D2513">
        <v>4.4421580000000001</v>
      </c>
      <c r="E2513">
        <v>0.43464330000000001</v>
      </c>
      <c r="F2513" t="s">
        <v>49</v>
      </c>
      <c r="G2513">
        <v>-493.20440000000002</v>
      </c>
      <c r="H2513" s="1">
        <v>2.998577E-6</v>
      </c>
      <c r="I2513">
        <v>280.06810000000002</v>
      </c>
      <c r="J2513">
        <v>-456.07619999999997</v>
      </c>
      <c r="K2513">
        <v>1.110719</v>
      </c>
      <c r="L2513">
        <v>284.60700000000003</v>
      </c>
      <c r="M2513">
        <v>-0.99976039999999999</v>
      </c>
      <c r="N2513">
        <v>0</v>
      </c>
      <c r="O2513">
        <v>1.7231920000000001E-2</v>
      </c>
      <c r="P2513">
        <v>-0.99871779999999999</v>
      </c>
      <c r="Q2513">
        <v>-2.6168669999999998E-4</v>
      </c>
      <c r="R2513">
        <v>5.0624719999999998E-2</v>
      </c>
      <c r="S2513">
        <v>-3.022491</v>
      </c>
      <c r="T2513">
        <v>-8.9960929999999995E-2</v>
      </c>
      <c r="U2513">
        <v>-0.36737059999999999</v>
      </c>
      <c r="V2513">
        <v>3.3403500000000003E-2</v>
      </c>
      <c r="W2513">
        <v>1.3237870000000001E-2</v>
      </c>
      <c r="X2513">
        <v>0.99935430000000003</v>
      </c>
      <c r="Y2513">
        <v>-0.13767969999999999</v>
      </c>
      <c r="Z2513">
        <v>-2.5520349999999998E-3</v>
      </c>
      <c r="AA2513">
        <v>0.99047350000000001</v>
      </c>
      <c r="AB2513">
        <v>20</v>
      </c>
      <c r="AC2513">
        <v>-37.1282</v>
      </c>
      <c r="AD2513">
        <v>-1.110716001423</v>
      </c>
      <c r="AE2513">
        <v>-4.5389000000000097</v>
      </c>
      <c r="AF2513">
        <v>-5.1735125517303002</v>
      </c>
      <c r="AG2513">
        <v>-1.110716001423</v>
      </c>
      <c r="AH2513">
        <v>37.011829135007297</v>
      </c>
      <c r="AI2513">
        <v>91.702375984162401</v>
      </c>
      <c r="AJ2513">
        <v>97.957245855546304</v>
      </c>
      <c r="AK2513">
        <v>37.388158794967403</v>
      </c>
      <c r="AL2513">
        <v>89.241503784558802</v>
      </c>
      <c r="AM2513">
        <v>88.0855965731471</v>
      </c>
      <c r="AN2513">
        <v>1.0000000259714299</v>
      </c>
    </row>
    <row r="2514" spans="1:40" x14ac:dyDescent="0.25">
      <c r="A2514" t="str">
        <f>"20190312154305433"</f>
        <v>20190312154305433</v>
      </c>
      <c r="B2514" t="str">
        <f>"1552376585429629"</f>
        <v>1552376585429629</v>
      </c>
      <c r="C2514" t="s">
        <v>40</v>
      </c>
      <c r="D2514">
        <v>4.3595579999999998</v>
      </c>
      <c r="E2514">
        <v>0.43449929999999898</v>
      </c>
      <c r="F2514" t="s">
        <v>49</v>
      </c>
      <c r="G2514">
        <v>-491.78379999999999</v>
      </c>
      <c r="H2514" s="1">
        <v>3.2634189999999998E-6</v>
      </c>
      <c r="I2514">
        <v>280.21499999999997</v>
      </c>
      <c r="J2514">
        <v>-456.27910000000003</v>
      </c>
      <c r="K2514">
        <v>1.1107229999999999</v>
      </c>
      <c r="L2514">
        <v>284.61040000000003</v>
      </c>
      <c r="M2514">
        <v>-0.99976310000000002</v>
      </c>
      <c r="N2514">
        <v>0</v>
      </c>
      <c r="O2514">
        <v>1.7076190000000002E-2</v>
      </c>
      <c r="P2514">
        <v>-0.99875159999999996</v>
      </c>
      <c r="Q2514" s="1">
        <v>6.4782799999999898E-5</v>
      </c>
      <c r="R2514">
        <v>4.9954350000000002E-2</v>
      </c>
      <c r="S2514">
        <v>-3.0227360000000001</v>
      </c>
      <c r="T2514">
        <v>-9.4025020000000001E-2</v>
      </c>
      <c r="U2514">
        <v>-0.37179570000000001</v>
      </c>
      <c r="V2514">
        <v>3.288833E-2</v>
      </c>
      <c r="W2514">
        <v>1.3562090000000001E-2</v>
      </c>
      <c r="X2514">
        <v>0.99936700000000001</v>
      </c>
      <c r="Y2514">
        <v>-0.13893759999999999</v>
      </c>
      <c r="Z2514">
        <v>-2.6814830000000001E-3</v>
      </c>
      <c r="AA2514">
        <v>0.99029750000000005</v>
      </c>
      <c r="AB2514">
        <v>20</v>
      </c>
      <c r="AC2514">
        <v>-35.5046999999999</v>
      </c>
      <c r="AD2514">
        <v>-1.110719736581</v>
      </c>
      <c r="AE2514">
        <v>-4.3954000000000502</v>
      </c>
      <c r="AF2514">
        <v>-4.9962833068883397</v>
      </c>
      <c r="AG2514">
        <v>-1.110719736581</v>
      </c>
      <c r="AH2514">
        <v>35.390345895536001</v>
      </c>
      <c r="AI2514">
        <v>91.779988569767895</v>
      </c>
      <c r="AJ2514">
        <v>98.035709409654203</v>
      </c>
      <c r="AK2514">
        <v>35.7585392294149</v>
      </c>
      <c r="AL2514">
        <v>89.222925648726999</v>
      </c>
      <c r="AM2514">
        <v>88.1151241906541</v>
      </c>
      <c r="AN2514">
        <v>0.99999998661217804</v>
      </c>
    </row>
    <row r="2515" spans="1:40" x14ac:dyDescent="0.25">
      <c r="A2515" t="str">
        <f>"20190312154305455"</f>
        <v>20190312154305455</v>
      </c>
      <c r="B2515" t="str">
        <f>"1552376585450125"</f>
        <v>1552376585450125</v>
      </c>
      <c r="C2515" t="s">
        <v>40</v>
      </c>
      <c r="D2515">
        <v>4.3853419999999996</v>
      </c>
      <c r="E2515">
        <v>0.4344479</v>
      </c>
      <c r="F2515" t="s">
        <v>49</v>
      </c>
      <c r="G2515">
        <v>-490.78570000000002</v>
      </c>
      <c r="H2515" s="1">
        <v>3.4501880000000001E-6</v>
      </c>
      <c r="I2515">
        <v>280.32639999999998</v>
      </c>
      <c r="J2515">
        <v>-456.48250000000002</v>
      </c>
      <c r="K2515">
        <v>1.1107290000000001</v>
      </c>
      <c r="L2515">
        <v>284.61360000000002</v>
      </c>
      <c r="M2515">
        <v>-0.99976589999999999</v>
      </c>
      <c r="N2515">
        <v>0</v>
      </c>
      <c r="O2515">
        <v>1.6920290000000001E-2</v>
      </c>
      <c r="P2515">
        <v>-0.99876450000000006</v>
      </c>
      <c r="Q2515">
        <v>3.0371549999999998E-4</v>
      </c>
      <c r="R2515">
        <v>4.9693639999999997E-2</v>
      </c>
      <c r="S2515">
        <v>-3.0225219999999999</v>
      </c>
      <c r="T2515">
        <v>-9.7290639999999998E-2</v>
      </c>
      <c r="U2515">
        <v>-0.37524410000000002</v>
      </c>
      <c r="V2515">
        <v>3.278321E-2</v>
      </c>
      <c r="W2515">
        <v>1.379858E-2</v>
      </c>
      <c r="X2515">
        <v>0.99936720000000001</v>
      </c>
      <c r="Y2515">
        <v>-0.13989869999999999</v>
      </c>
      <c r="Z2515">
        <v>-2.7849760000000002E-3</v>
      </c>
      <c r="AA2515">
        <v>0.99016190000000004</v>
      </c>
      <c r="AB2515">
        <v>20</v>
      </c>
      <c r="AC2515">
        <v>-34.303199999999997</v>
      </c>
      <c r="AD2515">
        <v>-1.1107255498119999</v>
      </c>
      <c r="AE2515">
        <v>-4.2872000000000403</v>
      </c>
      <c r="AF2515">
        <v>-4.8620398473244197</v>
      </c>
      <c r="AG2515">
        <v>-1.1107255498119999</v>
      </c>
      <c r="AH2515">
        <v>34.190445677116799</v>
      </c>
      <c r="AI2515">
        <v>91.842160949453501</v>
      </c>
      <c r="AJ2515">
        <v>98.093460783403401</v>
      </c>
      <c r="AK2515">
        <v>34.552275154088598</v>
      </c>
      <c r="AL2515">
        <v>89.209374488404606</v>
      </c>
      <c r="AM2515">
        <v>88.1211448144782</v>
      </c>
      <c r="AN2515">
        <v>0.99999997005187902</v>
      </c>
    </row>
    <row r="2516" spans="1:40" x14ac:dyDescent="0.25">
      <c r="A2516" t="str">
        <f>"20190312154305471"</f>
        <v>20190312154305471</v>
      </c>
      <c r="B2516" t="str">
        <f>"1552376585459887"</f>
        <v>1552376585459887</v>
      </c>
      <c r="C2516" t="s">
        <v>40</v>
      </c>
      <c r="D2516">
        <v>4.3718019999999997</v>
      </c>
      <c r="E2516">
        <v>0.43432789999999999</v>
      </c>
      <c r="F2516" t="s">
        <v>49</v>
      </c>
      <c r="G2516">
        <v>-490.55880000000002</v>
      </c>
      <c r="H2516" s="1">
        <v>3.4940809999999998E-6</v>
      </c>
      <c r="I2516">
        <v>280.36799999999999</v>
      </c>
      <c r="J2516">
        <v>-456.61439999999999</v>
      </c>
      <c r="K2516">
        <v>1.1107290000000001</v>
      </c>
      <c r="L2516">
        <v>284.61579999999998</v>
      </c>
      <c r="M2516">
        <v>-0.99976759999999998</v>
      </c>
      <c r="N2516">
        <v>0</v>
      </c>
      <c r="O2516">
        <v>1.681916E-2</v>
      </c>
      <c r="P2516">
        <v>-0.99878549999999999</v>
      </c>
      <c r="Q2516">
        <v>4.8457639999999999E-4</v>
      </c>
      <c r="R2516">
        <v>4.9272490000000002E-2</v>
      </c>
      <c r="S2516">
        <v>-3.0225219999999999</v>
      </c>
      <c r="T2516">
        <v>-9.8520040000000003E-2</v>
      </c>
      <c r="U2516">
        <v>-0.3765869</v>
      </c>
      <c r="V2516">
        <v>3.2462949999999997E-2</v>
      </c>
      <c r="W2516">
        <v>1.397785E-2</v>
      </c>
      <c r="X2516">
        <v>0.99937520000000002</v>
      </c>
      <c r="Y2516">
        <v>-0.14022960000000001</v>
      </c>
      <c r="Z2516">
        <v>-2.8221589999999999E-3</v>
      </c>
      <c r="AA2516">
        <v>0.99011499999999997</v>
      </c>
      <c r="AB2516">
        <v>20</v>
      </c>
      <c r="AC2516">
        <v>-33.944400000000002</v>
      </c>
      <c r="AD2516">
        <v>-1.110725505919</v>
      </c>
      <c r="AE2516">
        <v>-4.2477999999999803</v>
      </c>
      <c r="AF2516">
        <v>-4.8130932150356296</v>
      </c>
      <c r="AG2516">
        <v>-1.110725505919</v>
      </c>
      <c r="AH2516">
        <v>33.832480014250301</v>
      </c>
      <c r="AI2516">
        <v>91.861623269172597</v>
      </c>
      <c r="AJ2516">
        <v>98.096710507381601</v>
      </c>
      <c r="AK2516">
        <v>34.191172564870698</v>
      </c>
      <c r="AL2516">
        <v>89.199102112467202</v>
      </c>
      <c r="AM2516">
        <v>88.139501317481901</v>
      </c>
      <c r="AN2516">
        <v>1.0000000068941799</v>
      </c>
    </row>
    <row r="2517" spans="1:40" x14ac:dyDescent="0.25">
      <c r="A2517" t="str">
        <f>"20190312154305489"</f>
        <v>20190312154305489</v>
      </c>
      <c r="B2517" t="str">
        <f>"1552376585480381"</f>
        <v>1552376585480381</v>
      </c>
      <c r="C2517" t="s">
        <v>40</v>
      </c>
      <c r="D2517">
        <v>4.4318900000000001</v>
      </c>
      <c r="E2517">
        <v>0.43417699999999998</v>
      </c>
      <c r="F2517" t="s">
        <v>49</v>
      </c>
      <c r="G2517">
        <v>-490.16030000000001</v>
      </c>
      <c r="H2517" s="1">
        <v>3.5685900000000002E-6</v>
      </c>
      <c r="I2517">
        <v>280.41180000000003</v>
      </c>
      <c r="J2517">
        <v>-456.7774</v>
      </c>
      <c r="K2517">
        <v>1.1107309999999999</v>
      </c>
      <c r="L2517">
        <v>284.61829999999998</v>
      </c>
      <c r="M2517">
        <v>-0.99976960000000004</v>
      </c>
      <c r="N2517">
        <v>0</v>
      </c>
      <c r="O2517">
        <v>1.6694489999999999E-2</v>
      </c>
      <c r="P2517">
        <v>-0.99879890000000005</v>
      </c>
      <c r="Q2517">
        <v>6.8808249999999997E-4</v>
      </c>
      <c r="R2517">
        <v>4.899353E-2</v>
      </c>
      <c r="S2517">
        <v>-3.0223390000000001</v>
      </c>
      <c r="T2517">
        <v>-0.1000714</v>
      </c>
      <c r="U2517">
        <v>-0.37875370000000003</v>
      </c>
      <c r="V2517">
        <v>3.2308240000000002E-2</v>
      </c>
      <c r="W2517">
        <v>1.418001E-2</v>
      </c>
      <c r="X2517">
        <v>0.99937739999999997</v>
      </c>
      <c r="Y2517">
        <v>-0.14080960000000001</v>
      </c>
      <c r="Z2517">
        <v>-2.8720709999999999E-3</v>
      </c>
      <c r="AA2517">
        <v>0.99003260000000004</v>
      </c>
      <c r="AB2517">
        <v>20</v>
      </c>
      <c r="AC2517">
        <v>-33.382899999999999</v>
      </c>
      <c r="AD2517">
        <v>-1.11072743141</v>
      </c>
      <c r="AE2517">
        <v>-4.2064999999999397</v>
      </c>
      <c r="AF2517">
        <v>-4.7580897777229803</v>
      </c>
      <c r="AG2517">
        <v>-1.11072743141</v>
      </c>
      <c r="AH2517">
        <v>33.271757286487301</v>
      </c>
      <c r="AI2517">
        <v>91.892780680672303</v>
      </c>
      <c r="AJ2517">
        <v>98.138509182634095</v>
      </c>
      <c r="AK2517">
        <v>33.628603400835402</v>
      </c>
      <c r="AL2517">
        <v>89.187518077600203</v>
      </c>
      <c r="AM2517">
        <v>88.148365857932006</v>
      </c>
      <c r="AN2517">
        <v>1.00000004134312</v>
      </c>
    </row>
    <row r="2518" spans="1:40" x14ac:dyDescent="0.25">
      <c r="A2518" t="str">
        <f>"20190312154305511"</f>
        <v>20190312154305511</v>
      </c>
      <c r="B2518" t="str">
        <f>"1552376585499901"</f>
        <v>1552376585499901</v>
      </c>
      <c r="C2518" t="s">
        <v>40</v>
      </c>
      <c r="D2518">
        <v>4.4203849999999996</v>
      </c>
      <c r="E2518">
        <v>0.4340135</v>
      </c>
      <c r="F2518" t="s">
        <v>49</v>
      </c>
      <c r="G2518">
        <v>-489.18770000000001</v>
      </c>
      <c r="H2518" s="1">
        <v>3.4786570000000001E-6</v>
      </c>
      <c r="I2518">
        <v>280.53449999999998</v>
      </c>
      <c r="J2518">
        <v>-456.97</v>
      </c>
      <c r="K2518">
        <v>1.110733</v>
      </c>
      <c r="L2518">
        <v>284.62130000000002</v>
      </c>
      <c r="M2518">
        <v>-0.99977210000000005</v>
      </c>
      <c r="N2518">
        <v>0</v>
      </c>
      <c r="O2518">
        <v>1.6546700000000001E-2</v>
      </c>
      <c r="P2518">
        <v>-0.99882070000000001</v>
      </c>
      <c r="Q2518">
        <v>9.0910769999999995E-4</v>
      </c>
      <c r="R2518">
        <v>4.8543660000000002E-2</v>
      </c>
      <c r="S2518">
        <v>-3.0223689999999999</v>
      </c>
      <c r="T2518">
        <v>-0.1035789</v>
      </c>
      <c r="U2518">
        <v>-0.38082890000000003</v>
      </c>
      <c r="V2518">
        <v>3.2005899999999997E-2</v>
      </c>
      <c r="W2518">
        <v>1.4398859999999999E-2</v>
      </c>
      <c r="X2518">
        <v>0.99938400000000005</v>
      </c>
      <c r="Y2518">
        <v>-0.1413249</v>
      </c>
      <c r="Z2518">
        <v>-2.97627E-3</v>
      </c>
      <c r="AA2518">
        <v>0.98995880000000003</v>
      </c>
      <c r="AB2518">
        <v>20</v>
      </c>
      <c r="AC2518">
        <v>-32.217699999999901</v>
      </c>
      <c r="AD2518">
        <v>-1.110729521343</v>
      </c>
      <c r="AE2518">
        <v>-4.0868000000000304</v>
      </c>
      <c r="AF2518">
        <v>-4.6139882761204998</v>
      </c>
      <c r="AG2518">
        <v>-1.110729521343</v>
      </c>
      <c r="AH2518">
        <v>32.108100571163703</v>
      </c>
      <c r="AI2518">
        <v>91.961138319827796</v>
      </c>
      <c r="AJ2518">
        <v>98.177517876653496</v>
      </c>
      <c r="AK2518">
        <v>32.4569365493684</v>
      </c>
      <c r="AL2518">
        <v>89.174977617025604</v>
      </c>
      <c r="AM2518">
        <v>88.165693633309502</v>
      </c>
      <c r="AN2518">
        <v>1.0000000421300499</v>
      </c>
    </row>
    <row r="2519" spans="1:40" x14ac:dyDescent="0.25">
      <c r="A2519" t="str">
        <f>"20190312154305534"</f>
        <v>20190312154305534</v>
      </c>
      <c r="B2519" t="str">
        <f>"1552376585529731"</f>
        <v>1552376585529731</v>
      </c>
      <c r="C2519" t="s">
        <v>40</v>
      </c>
      <c r="D2519">
        <v>4.4291229999999997</v>
      </c>
      <c r="E2519">
        <v>0.43377959999999899</v>
      </c>
      <c r="F2519" t="s">
        <v>49</v>
      </c>
      <c r="G2519">
        <v>-488.52859999999998</v>
      </c>
      <c r="H2519" s="1">
        <v>3.368921E-6</v>
      </c>
      <c r="I2519">
        <v>280.61669999999998</v>
      </c>
      <c r="J2519">
        <v>-457.17329999999998</v>
      </c>
      <c r="K2519">
        <v>1.1107340000000001</v>
      </c>
      <c r="L2519">
        <v>284.62450000000001</v>
      </c>
      <c r="M2519">
        <v>-0.99977490000000002</v>
      </c>
      <c r="N2519">
        <v>0</v>
      </c>
      <c r="O2519">
        <v>1.6390450000000001E-2</v>
      </c>
      <c r="P2519">
        <v>-0.99886569999999997</v>
      </c>
      <c r="Q2519">
        <v>1.0262170000000001E-3</v>
      </c>
      <c r="R2519">
        <v>4.7610729999999997E-2</v>
      </c>
      <c r="S2519">
        <v>-3.0223080000000002</v>
      </c>
      <c r="T2519">
        <v>-0.1063727</v>
      </c>
      <c r="U2519">
        <v>-0.38351439999999998</v>
      </c>
      <c r="V2519">
        <v>3.1228570000000001E-2</v>
      </c>
      <c r="W2519">
        <v>1.4513760000000001E-2</v>
      </c>
      <c r="X2519">
        <v>0.99940689999999999</v>
      </c>
      <c r="Y2519">
        <v>-0.1420331</v>
      </c>
      <c r="Z2519">
        <v>-3.0633240000000001E-3</v>
      </c>
      <c r="AA2519">
        <v>0.98985710000000005</v>
      </c>
      <c r="AB2519">
        <v>20</v>
      </c>
      <c r="AC2519">
        <v>-31.3553</v>
      </c>
      <c r="AD2519">
        <v>-1.1107306310789999</v>
      </c>
      <c r="AE2519">
        <v>-4.0078000000000298</v>
      </c>
      <c r="AF2519">
        <v>-4.5156602118009497</v>
      </c>
      <c r="AG2519">
        <v>-1.1107306310789999</v>
      </c>
      <c r="AH2519">
        <v>31.246811501193999</v>
      </c>
      <c r="AI2519">
        <v>92.014921874818398</v>
      </c>
      <c r="AJ2519">
        <v>98.223218065163607</v>
      </c>
      <c r="AK2519">
        <v>31.5909502654543</v>
      </c>
      <c r="AL2519">
        <v>89.168393619405506</v>
      </c>
      <c r="AM2519">
        <v>88.2102552353617</v>
      </c>
      <c r="AN2519">
        <v>1.0000000122905901</v>
      </c>
    </row>
    <row r="2520" spans="1:40" x14ac:dyDescent="0.25">
      <c r="A2520" t="str">
        <f>"20190312154305557"</f>
        <v>20190312154305557</v>
      </c>
      <c r="B2520" t="str">
        <f>"1552376585550227"</f>
        <v>1552376585550227</v>
      </c>
      <c r="C2520" t="s">
        <v>40</v>
      </c>
      <c r="D2520">
        <v>4.4162559999999997</v>
      </c>
      <c r="E2520">
        <v>0.4336892</v>
      </c>
      <c r="F2520" t="s">
        <v>49</v>
      </c>
      <c r="G2520">
        <v>-487.80220000000003</v>
      </c>
      <c r="H2520" s="1">
        <v>3.2462759999999999E-6</v>
      </c>
      <c r="I2520">
        <v>280.68779999999998</v>
      </c>
      <c r="J2520">
        <v>-457.37130000000002</v>
      </c>
      <c r="K2520">
        <v>1.1107260000000001</v>
      </c>
      <c r="L2520">
        <v>284.62759999999997</v>
      </c>
      <c r="M2520">
        <v>-0.99977729999999998</v>
      </c>
      <c r="N2520">
        <v>0</v>
      </c>
      <c r="O2520">
        <v>1.6238309999999999E-2</v>
      </c>
      <c r="P2520">
        <v>-0.99891189999999996</v>
      </c>
      <c r="Q2520">
        <v>8.9214459999999998E-4</v>
      </c>
      <c r="R2520">
        <v>4.6632130000000001E-2</v>
      </c>
      <c r="S2520">
        <v>-3.0220639999999999</v>
      </c>
      <c r="T2520">
        <v>-0.1095927</v>
      </c>
      <c r="U2520">
        <v>-0.38842769999999999</v>
      </c>
      <c r="V2520">
        <v>3.0401689999999999E-2</v>
      </c>
      <c r="W2520">
        <v>1.4377879999999999E-2</v>
      </c>
      <c r="X2520">
        <v>0.99943439999999995</v>
      </c>
      <c r="Y2520">
        <v>-0.14346909999999999</v>
      </c>
      <c r="Z2520">
        <v>-3.176351E-3</v>
      </c>
      <c r="AA2520">
        <v>0.98964969999999997</v>
      </c>
      <c r="AB2520">
        <v>20</v>
      </c>
      <c r="AC2520">
        <v>-30.430900000000001</v>
      </c>
      <c r="AD2520">
        <v>-1.1107227537240001</v>
      </c>
      <c r="AE2520">
        <v>-3.9397999999999902</v>
      </c>
      <c r="AF2520">
        <v>-4.4276702549372597</v>
      </c>
      <c r="AG2520">
        <v>-1.1107227537240001</v>
      </c>
      <c r="AH2520">
        <v>30.323173744079099</v>
      </c>
      <c r="AI2520">
        <v>92.075785677386406</v>
      </c>
      <c r="AJ2520">
        <v>98.307395959392096</v>
      </c>
      <c r="AK2520">
        <v>30.6648468907919</v>
      </c>
      <c r="AL2520">
        <v>89.176179815870597</v>
      </c>
      <c r="AM2520">
        <v>88.257662970836407</v>
      </c>
      <c r="AN2520">
        <v>1.00000005304575</v>
      </c>
    </row>
    <row r="2521" spans="1:40" x14ac:dyDescent="0.25">
      <c r="A2521" t="str">
        <f>"20190312154305578"</f>
        <v>20190312154305578</v>
      </c>
      <c r="B2521" t="str">
        <f>"1552376585569748"</f>
        <v>1552376585569748</v>
      </c>
      <c r="C2521" t="s">
        <v>40</v>
      </c>
      <c r="D2521">
        <v>4.4503589999999997</v>
      </c>
      <c r="E2521">
        <v>0.43351410000000001</v>
      </c>
      <c r="F2521" t="s">
        <v>49</v>
      </c>
      <c r="G2521">
        <v>-487.28230000000002</v>
      </c>
      <c r="H2521" s="1">
        <v>3.159192E-6</v>
      </c>
      <c r="I2521">
        <v>280.74630000000002</v>
      </c>
      <c r="J2521">
        <v>-457.56380000000001</v>
      </c>
      <c r="K2521">
        <v>1.110724</v>
      </c>
      <c r="L2521">
        <v>284.63049999999998</v>
      </c>
      <c r="M2521">
        <v>-0.99977969999999905</v>
      </c>
      <c r="N2521">
        <v>0</v>
      </c>
      <c r="O2521">
        <v>1.6090509999999999E-2</v>
      </c>
      <c r="P2521">
        <v>-0.99895750000000005</v>
      </c>
      <c r="Q2521">
        <v>4.7097730000000002E-4</v>
      </c>
      <c r="R2521">
        <v>4.5651789999999998E-2</v>
      </c>
      <c r="S2521">
        <v>-3.0216370000000001</v>
      </c>
      <c r="T2521">
        <v>-0.11220620000000001</v>
      </c>
      <c r="U2521">
        <v>-0.39208979999999999</v>
      </c>
      <c r="V2521">
        <v>2.9568460000000001E-2</v>
      </c>
      <c r="W2521">
        <v>1.3954970000000001E-2</v>
      </c>
      <c r="X2521">
        <v>0.9994653</v>
      </c>
      <c r="Y2521">
        <v>-0.14451449999999999</v>
      </c>
      <c r="Z2521">
        <v>-3.2661109999999999E-3</v>
      </c>
      <c r="AA2521">
        <v>0.98949730000000002</v>
      </c>
      <c r="AB2521">
        <v>20</v>
      </c>
      <c r="AC2521">
        <v>-29.718499999999999</v>
      </c>
      <c r="AD2521">
        <v>-1.110720840808</v>
      </c>
      <c r="AE2521">
        <v>-3.8841999999999599</v>
      </c>
      <c r="AF2521">
        <v>-4.3559438225639902</v>
      </c>
      <c r="AG2521">
        <v>-1.110720840808</v>
      </c>
      <c r="AH2521">
        <v>29.6114788142641</v>
      </c>
      <c r="AI2521">
        <v>92.1252958778433</v>
      </c>
      <c r="AJ2521">
        <v>98.3683758779583</v>
      </c>
      <c r="AK2521">
        <v>29.950753328408101</v>
      </c>
      <c r="AL2521">
        <v>89.200413130636207</v>
      </c>
      <c r="AM2521">
        <v>88.305439950768402</v>
      </c>
      <c r="AN2521">
        <v>0.99999996045927997</v>
      </c>
    </row>
    <row r="2522" spans="1:40" x14ac:dyDescent="0.25">
      <c r="A2522" t="str">
        <f>"20190312154305600"</f>
        <v>20190312154305600</v>
      </c>
      <c r="B2522" t="str">
        <f>"1552376585590243"</f>
        <v>1552376585590243</v>
      </c>
      <c r="C2522" t="s">
        <v>40</v>
      </c>
      <c r="D2522">
        <v>4.4276099999999996</v>
      </c>
      <c r="E2522">
        <v>0.43339480000000002</v>
      </c>
      <c r="F2522" t="s">
        <v>49</v>
      </c>
      <c r="G2522">
        <v>-486.65839999999997</v>
      </c>
      <c r="H2522" s="1">
        <v>3.0541009999999999E-6</v>
      </c>
      <c r="I2522">
        <v>280.81009999999998</v>
      </c>
      <c r="J2522">
        <v>-457.75799999999998</v>
      </c>
      <c r="K2522">
        <v>1.110725</v>
      </c>
      <c r="L2522">
        <v>284.63350000000003</v>
      </c>
      <c r="M2522">
        <v>-0.99978210000000001</v>
      </c>
      <c r="N2522">
        <v>0</v>
      </c>
      <c r="O2522">
        <v>1.5941879999999999E-2</v>
      </c>
      <c r="P2522">
        <v>-0.99900230000000001</v>
      </c>
      <c r="Q2522">
        <v>1.9622039999999999E-4</v>
      </c>
      <c r="R2522">
        <v>4.4659839999999999E-2</v>
      </c>
      <c r="S2522">
        <v>-3.0213320000000001</v>
      </c>
      <c r="T2522">
        <v>-0.1153426</v>
      </c>
      <c r="U2522">
        <v>-0.39672849999999998</v>
      </c>
      <c r="V2522">
        <v>2.8724530000000002E-2</v>
      </c>
      <c r="W2522">
        <v>1.3677949999999999E-2</v>
      </c>
      <c r="X2522">
        <v>0.99949379999999999</v>
      </c>
      <c r="Y2522">
        <v>-0.14586679999999999</v>
      </c>
      <c r="Z2522">
        <v>-3.3773879999999998E-3</v>
      </c>
      <c r="AA2522">
        <v>0.98929849999999997</v>
      </c>
      <c r="AB2522">
        <v>20</v>
      </c>
      <c r="AC2522">
        <v>-28.900399999999902</v>
      </c>
      <c r="AD2522">
        <v>-1.1107219458990001</v>
      </c>
      <c r="AE2522">
        <v>-3.8234000000000399</v>
      </c>
      <c r="AF2522">
        <v>-4.2774731092902503</v>
      </c>
      <c r="AG2522">
        <v>-1.1107219458990001</v>
      </c>
      <c r="AH2522">
        <v>28.793969636774602</v>
      </c>
      <c r="AI2522">
        <v>92.1851226915757</v>
      </c>
      <c r="AJ2522">
        <v>98.449748631489399</v>
      </c>
      <c r="AK2522">
        <v>29.131137411458901</v>
      </c>
      <c r="AL2522">
        <v>89.216286770446501</v>
      </c>
      <c r="AM2522">
        <v>88.353825250591797</v>
      </c>
      <c r="AN2522">
        <v>1.0000000205891799</v>
      </c>
    </row>
    <row r="2523" spans="1:40" x14ac:dyDescent="0.25">
      <c r="A2523" t="str">
        <f>"20190312154305624"</f>
        <v>20190312154305624</v>
      </c>
      <c r="B2523" t="str">
        <f>"1552376585620188"</f>
        <v>1552376585620188</v>
      </c>
      <c r="C2523" t="s">
        <v>40</v>
      </c>
      <c r="D2523">
        <v>4.4519260000000003</v>
      </c>
      <c r="E2523">
        <v>0.40882600000000002</v>
      </c>
      <c r="F2523" t="s">
        <v>49</v>
      </c>
      <c r="G2523">
        <v>-486.35559999999998</v>
      </c>
      <c r="H2523" s="1">
        <v>3.003167E-6</v>
      </c>
      <c r="I2523">
        <v>280.84199999999998</v>
      </c>
      <c r="J2523">
        <v>-457.95780000000002</v>
      </c>
      <c r="K2523">
        <v>1.110724</v>
      </c>
      <c r="L2523">
        <v>284.63650000000001</v>
      </c>
      <c r="M2523">
        <v>-0.99978449999999996</v>
      </c>
      <c r="N2523">
        <v>0</v>
      </c>
      <c r="O2523">
        <v>1.5789020000000001E-2</v>
      </c>
      <c r="P2523">
        <v>-0.99903980000000003</v>
      </c>
      <c r="Q2523" s="1">
        <v>-7.3625709999999996E-5</v>
      </c>
      <c r="R2523">
        <v>4.3814510000000001E-2</v>
      </c>
      <c r="S2523">
        <v>-3.0209350000000001</v>
      </c>
      <c r="T2523">
        <v>-0.117332199999999</v>
      </c>
      <c r="U2523">
        <v>-0.4005127</v>
      </c>
      <c r="V2523">
        <v>2.8031569999999999E-2</v>
      </c>
      <c r="W2523">
        <v>1.3406650000000001E-2</v>
      </c>
      <c r="X2523">
        <v>0.99951710000000005</v>
      </c>
      <c r="Y2523">
        <v>-0.14694549999999901</v>
      </c>
      <c r="Z2523">
        <v>-3.4507090000000002E-3</v>
      </c>
      <c r="AA2523">
        <v>0.98913859999999998</v>
      </c>
      <c r="AB2523">
        <v>20</v>
      </c>
      <c r="AC2523">
        <v>-28.397799999999901</v>
      </c>
      <c r="AD2523">
        <v>-1.1107209968330001</v>
      </c>
      <c r="AE2523">
        <v>-3.7945000000000202</v>
      </c>
      <c r="AF2523">
        <v>-4.2360743152098399</v>
      </c>
      <c r="AG2523">
        <v>-1.1107209968330001</v>
      </c>
      <c r="AH2523">
        <v>28.291820351495499</v>
      </c>
      <c r="AI2523">
        <v>92.223485462474301</v>
      </c>
      <c r="AJ2523">
        <v>98.515516824153906</v>
      </c>
      <c r="AK2523">
        <v>28.6287464891161</v>
      </c>
      <c r="AL2523">
        <v>89.231832502001097</v>
      </c>
      <c r="AM2523">
        <v>88.393554473344295</v>
      </c>
      <c r="AN2523">
        <v>0.99999997018664799</v>
      </c>
    </row>
    <row r="2524" spans="1:40" x14ac:dyDescent="0.25">
      <c r="A2524" t="str">
        <f>"20190312154305638"</f>
        <v>20190312154305638</v>
      </c>
      <c r="B2524" t="str">
        <f>"1552376585629963"</f>
        <v>1552376585629963</v>
      </c>
      <c r="C2524" t="s">
        <v>40</v>
      </c>
      <c r="D2524">
        <v>4.4637140000000004</v>
      </c>
      <c r="E2524">
        <v>0.40747519999999998</v>
      </c>
      <c r="F2524" t="s">
        <v>49</v>
      </c>
      <c r="G2524">
        <v>-492.4676</v>
      </c>
      <c r="H2524" s="1">
        <v>2.678062E-6</v>
      </c>
      <c r="I2524">
        <v>277.82190000000003</v>
      </c>
      <c r="J2524">
        <v>-458.08949999999999</v>
      </c>
      <c r="K2524">
        <v>1.110724</v>
      </c>
      <c r="L2524">
        <v>284.63839999999999</v>
      </c>
      <c r="M2524">
        <v>-0.99978610000000001</v>
      </c>
      <c r="N2524">
        <v>0</v>
      </c>
      <c r="O2524">
        <v>1.5687889999999999E-2</v>
      </c>
      <c r="P2524">
        <v>-0.99904300000000001</v>
      </c>
      <c r="Q2524">
        <v>-2.6522299999999998E-4</v>
      </c>
      <c r="R2524">
        <v>4.3739300000000002E-2</v>
      </c>
      <c r="S2524">
        <v>-3.029083</v>
      </c>
      <c r="T2524">
        <v>-9.7492930000000005E-2</v>
      </c>
      <c r="U2524">
        <v>-0.59814449999999997</v>
      </c>
      <c r="V2524">
        <v>2.8057459999999999E-2</v>
      </c>
      <c r="W2524">
        <v>1.3213549999999999E-2</v>
      </c>
      <c r="X2524">
        <v>0.99951900000000005</v>
      </c>
      <c r="Y2524">
        <v>-0.20898249999999999</v>
      </c>
      <c r="Z2524">
        <v>-3.83031E-3</v>
      </c>
      <c r="AA2524">
        <v>0.97791189999999995</v>
      </c>
      <c r="AB2524">
        <v>20</v>
      </c>
      <c r="AC2524">
        <v>-34.378100000000003</v>
      </c>
      <c r="AD2524">
        <v>-1.1107213219380001</v>
      </c>
      <c r="AE2524">
        <v>-6.8164999999999596</v>
      </c>
      <c r="AF2524">
        <v>-7.3476499790630099</v>
      </c>
      <c r="AG2524">
        <v>-1.1107213219380001</v>
      </c>
      <c r="AH2524">
        <v>34.232539787311403</v>
      </c>
      <c r="AI2524">
        <v>91.817032134051999</v>
      </c>
      <c r="AJ2524">
        <v>102.11412778722</v>
      </c>
      <c r="AK2524">
        <v>35.029822185670497</v>
      </c>
      <c r="AL2524">
        <v>89.2428973391536</v>
      </c>
      <c r="AM2524">
        <v>88.392074591318007</v>
      </c>
      <c r="AN2524">
        <v>1.00000002516312</v>
      </c>
    </row>
    <row r="2525" spans="1:40" x14ac:dyDescent="0.25">
      <c r="A2525" t="str">
        <f>"20190312154305657"</f>
        <v>20190312154305657</v>
      </c>
      <c r="B2525" t="str">
        <f>"1552376585650442"</f>
        <v>1552376585650442</v>
      </c>
      <c r="C2525" t="s">
        <v>40</v>
      </c>
      <c r="D2525">
        <v>4.4175319999999996</v>
      </c>
      <c r="E2525">
        <v>0.40619559999999999</v>
      </c>
      <c r="F2525" t="s">
        <v>49</v>
      </c>
      <c r="G2525">
        <v>-486.13040000000001</v>
      </c>
      <c r="H2525" s="1">
        <v>2.6354690000000002E-6</v>
      </c>
      <c r="I2525">
        <v>278.9923</v>
      </c>
      <c r="J2525">
        <v>-458.24950000000001</v>
      </c>
      <c r="K2525">
        <v>1.1107149999999999</v>
      </c>
      <c r="L2525">
        <v>284.64080000000001</v>
      </c>
      <c r="M2525">
        <v>-0.99978820000000002</v>
      </c>
      <c r="N2525">
        <v>0</v>
      </c>
      <c r="O2525">
        <v>1.5565300000000001E-2</v>
      </c>
      <c r="P2525">
        <v>-0.99903569999999997</v>
      </c>
      <c r="Q2525">
        <v>-6.7506079999999995E-4</v>
      </c>
      <c r="R2525">
        <v>4.3904060000000002E-2</v>
      </c>
      <c r="S2525">
        <v>-3.0295719999999999</v>
      </c>
      <c r="T2525">
        <v>-0.12000379999999999</v>
      </c>
      <c r="U2525">
        <v>-0.61001590000000006</v>
      </c>
      <c r="V2525">
        <v>2.834503E-2</v>
      </c>
      <c r="W2525">
        <v>1.280208E-2</v>
      </c>
      <c r="X2525">
        <v>0.99951619999999997</v>
      </c>
      <c r="Y2525">
        <v>-0.2124567</v>
      </c>
      <c r="Z2525">
        <v>-4.7748699999999996E-3</v>
      </c>
      <c r="AA2525">
        <v>0.97715879999999999</v>
      </c>
      <c r="AB2525">
        <v>20</v>
      </c>
      <c r="AC2525">
        <v>-27.8809</v>
      </c>
      <c r="AD2525">
        <v>-1.110712364531</v>
      </c>
      <c r="AE2525">
        <v>-5.6485000000000101</v>
      </c>
      <c r="AF2525">
        <v>-6.0725720052051599</v>
      </c>
      <c r="AG2525">
        <v>-1.110712364531</v>
      </c>
      <c r="AH2525">
        <v>27.747293076894099</v>
      </c>
      <c r="AI2525">
        <v>92.2393562950828</v>
      </c>
      <c r="AJ2525">
        <v>102.344706657408</v>
      </c>
      <c r="AK2525">
        <v>28.425729292494498</v>
      </c>
      <c r="AL2525">
        <v>89.266474797720207</v>
      </c>
      <c r="AM2525">
        <v>88.375598679464204</v>
      </c>
      <c r="AN2525">
        <v>0.99999998402023305</v>
      </c>
    </row>
    <row r="2526" spans="1:40" x14ac:dyDescent="0.25">
      <c r="A2526" t="str">
        <f>"20190312154305678"</f>
        <v>20190312154305678</v>
      </c>
      <c r="B2526" t="str">
        <f>"1552376585669963"</f>
        <v>1552376585669963</v>
      </c>
      <c r="C2526" t="s">
        <v>40</v>
      </c>
      <c r="D2526">
        <v>4.4240629999999896</v>
      </c>
      <c r="E2526">
        <v>0.4055801</v>
      </c>
      <c r="F2526" t="s">
        <v>49</v>
      </c>
      <c r="G2526">
        <v>-481.63589999999999</v>
      </c>
      <c r="H2526" s="1">
        <v>2.0796169999999998E-6</v>
      </c>
      <c r="I2526">
        <v>279.85430000000002</v>
      </c>
      <c r="J2526">
        <v>-458.44549999999998</v>
      </c>
      <c r="K2526">
        <v>1.110719</v>
      </c>
      <c r="L2526">
        <v>284.64370000000002</v>
      </c>
      <c r="M2526">
        <v>-0.99979039999999997</v>
      </c>
      <c r="N2526">
        <v>0</v>
      </c>
      <c r="O2526">
        <v>1.541494E-2</v>
      </c>
      <c r="P2526">
        <v>-0.99901269999999998</v>
      </c>
      <c r="Q2526">
        <v>-1.2897640000000001E-3</v>
      </c>
      <c r="R2526">
        <v>4.4409499999999998E-2</v>
      </c>
      <c r="S2526">
        <v>-3.03009</v>
      </c>
      <c r="T2526">
        <v>-0.14391109999999999</v>
      </c>
      <c r="U2526">
        <v>-0.62017819999999901</v>
      </c>
      <c r="V2526">
        <v>2.9001240000000001E-2</v>
      </c>
      <c r="W2526">
        <v>1.2185100000000001E-2</v>
      </c>
      <c r="X2526">
        <v>0.99950510000000004</v>
      </c>
      <c r="Y2526">
        <v>-0.21534590000000001</v>
      </c>
      <c r="Z2526">
        <v>-5.7831319999999999E-3</v>
      </c>
      <c r="AA2526">
        <v>0.97652070000000002</v>
      </c>
      <c r="AB2526">
        <v>20</v>
      </c>
      <c r="AC2526">
        <v>-23.1904</v>
      </c>
      <c r="AD2526">
        <v>-1.1107169203829901</v>
      </c>
      <c r="AE2526">
        <v>-4.7893999999999997</v>
      </c>
      <c r="AF2526">
        <v>-5.1350440851816703</v>
      </c>
      <c r="AG2526">
        <v>-1.1107169203829901</v>
      </c>
      <c r="AH2526">
        <v>23.0630670484041</v>
      </c>
      <c r="AI2526">
        <v>92.6914283344247</v>
      </c>
      <c r="AJ2526">
        <v>102.552285620275</v>
      </c>
      <c r="AK2526">
        <v>23.653909434027302</v>
      </c>
      <c r="AL2526">
        <v>89.301827917019097</v>
      </c>
      <c r="AM2526">
        <v>88.337994902403906</v>
      </c>
      <c r="AN2526">
        <v>0.99999999675477802</v>
      </c>
    </row>
    <row r="2527" spans="1:40" x14ac:dyDescent="0.25">
      <c r="A2527" t="str">
        <f>"20190312154305701"</f>
        <v>20190312154305701</v>
      </c>
      <c r="B2527" t="str">
        <f>"1552376585690458"</f>
        <v>1552376585690458</v>
      </c>
      <c r="C2527" t="s">
        <v>40</v>
      </c>
      <c r="D2527">
        <v>4.4250759999999998</v>
      </c>
      <c r="E2527">
        <v>0.4052751</v>
      </c>
      <c r="F2527" t="s">
        <v>49</v>
      </c>
      <c r="G2527">
        <v>-479.69139999999999</v>
      </c>
      <c r="H2527" s="1">
        <v>1.9363349999999999E-6</v>
      </c>
      <c r="I2527">
        <v>280.26920000000001</v>
      </c>
      <c r="J2527">
        <v>-458.63749999999999</v>
      </c>
      <c r="K2527">
        <v>1.1107199999999999</v>
      </c>
      <c r="L2527">
        <v>284.64640000000003</v>
      </c>
      <c r="M2527">
        <v>-0.99979269999999998</v>
      </c>
      <c r="N2527">
        <v>0</v>
      </c>
      <c r="O2527">
        <v>1.526739E-2</v>
      </c>
      <c r="P2527">
        <v>-0.99900140000000004</v>
      </c>
      <c r="Q2527">
        <v>-1.4972259999999999E-3</v>
      </c>
      <c r="R2527">
        <v>4.465935E-2</v>
      </c>
      <c r="S2527">
        <v>-3.0304869999999999</v>
      </c>
      <c r="T2527">
        <v>-0.15843080000000001</v>
      </c>
      <c r="U2527">
        <v>-0.62396240000000003</v>
      </c>
      <c r="V2527">
        <v>2.9398759999999999E-2</v>
      </c>
      <c r="W2527">
        <v>1.1975299999999901E-2</v>
      </c>
      <c r="X2527">
        <v>0.99949600000000005</v>
      </c>
      <c r="Y2527">
        <v>-0.21629280000000001</v>
      </c>
      <c r="Z2527">
        <v>-6.3811149999999997E-3</v>
      </c>
      <c r="AA2527">
        <v>0.9763077</v>
      </c>
      <c r="AB2527">
        <v>20</v>
      </c>
      <c r="AC2527">
        <v>-21.053899999999999</v>
      </c>
      <c r="AD2527">
        <v>-1.110718063665</v>
      </c>
      <c r="AE2527">
        <v>-4.37720000000001</v>
      </c>
      <c r="AF2527">
        <v>-4.68565627296503</v>
      </c>
      <c r="AG2527">
        <v>-1.110718063665</v>
      </c>
      <c r="AH2527">
        <v>20.9287758867166</v>
      </c>
      <c r="AI2527">
        <v>92.964656236379795</v>
      </c>
      <c r="AJ2527">
        <v>102.6196075826</v>
      </c>
      <c r="AK2527">
        <v>21.475631060384199</v>
      </c>
      <c r="AL2527">
        <v>89.313849433512601</v>
      </c>
      <c r="AM2527">
        <v>88.315211508763895</v>
      </c>
      <c r="AN2527">
        <v>0.99999997445781297</v>
      </c>
    </row>
    <row r="2528" spans="1:40" x14ac:dyDescent="0.25">
      <c r="A2528" t="str">
        <f>"20190312154305724"</f>
        <v>20190312154305724</v>
      </c>
      <c r="B2528" t="str">
        <f>"1552376585720337"</f>
        <v>1552376585720337</v>
      </c>
      <c r="C2528" t="s">
        <v>40</v>
      </c>
      <c r="D2528">
        <v>4.3816490000000003</v>
      </c>
      <c r="E2528">
        <v>0.40475509999999998</v>
      </c>
      <c r="F2528" t="s">
        <v>49</v>
      </c>
      <c r="G2528">
        <v>-478.8152</v>
      </c>
      <c r="H2528" s="1">
        <v>2.3432790000000001E-6</v>
      </c>
      <c r="I2528">
        <v>280.47919999999999</v>
      </c>
      <c r="J2528">
        <v>-458.83609999999999</v>
      </c>
      <c r="K2528">
        <v>1.1107129999999901</v>
      </c>
      <c r="L2528">
        <v>284.64929999999998</v>
      </c>
      <c r="M2528">
        <v>-0.99979510000000005</v>
      </c>
      <c r="N2528">
        <v>0</v>
      </c>
      <c r="O2528">
        <v>1.5114529999999999E-2</v>
      </c>
      <c r="P2528">
        <v>-0.99902329999999995</v>
      </c>
      <c r="Q2528">
        <v>-1.5940640000000001E-3</v>
      </c>
      <c r="R2528">
        <v>4.4158139999999999E-2</v>
      </c>
      <c r="S2528">
        <v>-3.0307010000000001</v>
      </c>
      <c r="T2528">
        <v>-0.16683049999999999</v>
      </c>
      <c r="U2528">
        <v>-0.62591549999999996</v>
      </c>
      <c r="V2528">
        <v>2.9049990000000001E-2</v>
      </c>
      <c r="W2528">
        <v>1.1876609999999999E-2</v>
      </c>
      <c r="X2528">
        <v>0.99950740000000005</v>
      </c>
      <c r="Y2528">
        <v>-0.21670020000000001</v>
      </c>
      <c r="Z2528">
        <v>-6.720813E-3</v>
      </c>
      <c r="AA2528">
        <v>0.9762151</v>
      </c>
      <c r="AB2528">
        <v>20</v>
      </c>
      <c r="AC2528">
        <v>-19.979099999999999</v>
      </c>
      <c r="AD2528">
        <v>-1.1107106567209999</v>
      </c>
      <c r="AE2528">
        <v>-4.1700999999999899</v>
      </c>
      <c r="AF2528">
        <v>-4.4584214619187801</v>
      </c>
      <c r="AG2528">
        <v>-1.1107106567209999</v>
      </c>
      <c r="AH2528">
        <v>19.854979489350999</v>
      </c>
      <c r="AI2528">
        <v>93.124218631225503</v>
      </c>
      <c r="AJ2528">
        <v>102.655801439741</v>
      </c>
      <c r="AK2528">
        <v>20.379681317861699</v>
      </c>
      <c r="AL2528">
        <v>89.319504373150096</v>
      </c>
      <c r="AM2528">
        <v>88.335206533612805</v>
      </c>
      <c r="AN2528">
        <v>0.99999999921942595</v>
      </c>
    </row>
    <row r="2529" spans="1:40" x14ac:dyDescent="0.25">
      <c r="A2529" t="str">
        <f>"20190312154305746"</f>
        <v>20190312154305746</v>
      </c>
      <c r="B2529" t="str">
        <f>"1552376585739857"</f>
        <v>1552376585739857</v>
      </c>
      <c r="C2529" t="s">
        <v>40</v>
      </c>
      <c r="D2529">
        <v>4.4070260000000001</v>
      </c>
      <c r="E2529">
        <v>0.40439259999999999</v>
      </c>
      <c r="F2529" t="s">
        <v>49</v>
      </c>
      <c r="G2529">
        <v>-478.34539999999998</v>
      </c>
      <c r="H2529" s="1">
        <v>2.5606570000000002E-6</v>
      </c>
      <c r="I2529">
        <v>280.5831</v>
      </c>
      <c r="J2529">
        <v>-459.03149999999999</v>
      </c>
      <c r="K2529">
        <v>1.1107100000000001</v>
      </c>
      <c r="L2529">
        <v>284.65210000000002</v>
      </c>
      <c r="M2529">
        <v>-0.9997973</v>
      </c>
      <c r="N2529">
        <v>0</v>
      </c>
      <c r="O2529">
        <v>1.496429E-2</v>
      </c>
      <c r="P2529">
        <v>-0.99905310000000003</v>
      </c>
      <c r="Q2529">
        <v>-1.6841339999999999E-3</v>
      </c>
      <c r="R2529">
        <v>4.3474980000000003E-2</v>
      </c>
      <c r="S2529">
        <v>-3.0305789999999999</v>
      </c>
      <c r="T2529">
        <v>-0.1725372</v>
      </c>
      <c r="U2529">
        <v>-0.63165280000000001</v>
      </c>
      <c r="V2529">
        <v>2.8516759999999999E-2</v>
      </c>
      <c r="W2529">
        <v>1.178411E-2</v>
      </c>
      <c r="X2529">
        <v>0.99952390000000002</v>
      </c>
      <c r="Y2529">
        <v>-0.21830730000000001</v>
      </c>
      <c r="Z2529">
        <v>-6.9860749999999996E-3</v>
      </c>
      <c r="AA2529">
        <v>0.97585509999999998</v>
      </c>
      <c r="AB2529">
        <v>20</v>
      </c>
      <c r="AC2529">
        <v>-19.313899999999901</v>
      </c>
      <c r="AD2529">
        <v>-1.1107074393430001</v>
      </c>
      <c r="AE2529">
        <v>-4.0690000000000097</v>
      </c>
      <c r="AF2529">
        <v>-4.3438339664838503</v>
      </c>
      <c r="AG2529">
        <v>-1.1107074393430001</v>
      </c>
      <c r="AH2529">
        <v>19.190073713803098</v>
      </c>
      <c r="AI2529">
        <v>93.230981195080005</v>
      </c>
      <c r="AJ2529">
        <v>102.754440999633</v>
      </c>
      <c r="AK2529">
        <v>19.706889497974799</v>
      </c>
      <c r="AL2529">
        <v>89.324804637128693</v>
      </c>
      <c r="AM2529">
        <v>88.365775053921794</v>
      </c>
      <c r="AN2529">
        <v>1.00000004876029</v>
      </c>
    </row>
    <row r="2530" spans="1:40" x14ac:dyDescent="0.25">
      <c r="A2530" t="str">
        <f>"20190312154305769"</f>
        <v>20190312154305769</v>
      </c>
      <c r="B2530" t="str">
        <f>"1552376585760353"</f>
        <v>1552376585760353</v>
      </c>
      <c r="C2530" t="s">
        <v>40</v>
      </c>
      <c r="D2530">
        <v>4.5066240000000004</v>
      </c>
      <c r="E2530">
        <v>0.40400770000000003</v>
      </c>
      <c r="F2530" t="s">
        <v>49</v>
      </c>
      <c r="G2530">
        <v>-478.27019999999999</v>
      </c>
      <c r="H2530" s="1">
        <v>2.596528E-6</v>
      </c>
      <c r="I2530">
        <v>280.61180000000002</v>
      </c>
      <c r="J2530">
        <v>-459.22570000000002</v>
      </c>
      <c r="K2530">
        <v>1.1107049999999901</v>
      </c>
      <c r="L2530">
        <v>284.65480000000002</v>
      </c>
      <c r="M2530">
        <v>-0.99979969999999996</v>
      </c>
      <c r="N2530">
        <v>0</v>
      </c>
      <c r="O2530">
        <v>1.481506E-2</v>
      </c>
      <c r="P2530">
        <v>-0.99907829999999997</v>
      </c>
      <c r="Q2530">
        <v>-1.849751E-3</v>
      </c>
      <c r="R2530">
        <v>4.288935E-2</v>
      </c>
      <c r="S2530">
        <v>-3.030243</v>
      </c>
      <c r="T2530">
        <v>-0.17494479999999901</v>
      </c>
      <c r="U2530">
        <v>-0.63638309999999998</v>
      </c>
      <c r="V2530">
        <v>2.8080009999999999E-2</v>
      </c>
      <c r="W2530">
        <v>1.1617219999999999E-2</v>
      </c>
      <c r="X2530">
        <v>0.99953820000000004</v>
      </c>
      <c r="Y2530">
        <v>-0.21963050000000001</v>
      </c>
      <c r="Z2530">
        <v>-7.112284E-3</v>
      </c>
      <c r="AA2530">
        <v>0.97555720000000001</v>
      </c>
      <c r="AB2530">
        <v>20</v>
      </c>
      <c r="AC2530">
        <v>-19.0444999999999</v>
      </c>
      <c r="AD2530">
        <v>-1.1107024034720001</v>
      </c>
      <c r="AE2530">
        <v>-4.0430000000000001</v>
      </c>
      <c r="AF2530">
        <v>-4.3106971121940996</v>
      </c>
      <c r="AG2530">
        <v>-1.1107024034720001</v>
      </c>
      <c r="AH2530">
        <v>18.920924753731601</v>
      </c>
      <c r="AI2530">
        <v>93.275790593242604</v>
      </c>
      <c r="AJ2530">
        <v>102.834458950559</v>
      </c>
      <c r="AK2530">
        <v>19.4375194651615</v>
      </c>
      <c r="AL2530">
        <v>89.334367371454505</v>
      </c>
      <c r="AM2530">
        <v>88.390813863308296</v>
      </c>
      <c r="AN2530">
        <v>1.0000000300106799</v>
      </c>
    </row>
    <row r="2531" spans="1:40" x14ac:dyDescent="0.25">
      <c r="A2531" t="str">
        <f>"20190312154305790"</f>
        <v>20190312154305790</v>
      </c>
      <c r="B2531" t="str">
        <f>"1552376585779873"</f>
        <v>1552376585779873</v>
      </c>
      <c r="C2531" t="s">
        <v>40</v>
      </c>
      <c r="D2531">
        <v>4.3934699999999998</v>
      </c>
      <c r="E2531">
        <v>0.40369300000000002</v>
      </c>
      <c r="F2531" t="s">
        <v>49</v>
      </c>
      <c r="G2531">
        <v>-478.5147</v>
      </c>
      <c r="H2531" s="1">
        <v>2.4845160000000001E-6</v>
      </c>
      <c r="I2531">
        <v>280.57080000000002</v>
      </c>
      <c r="J2531">
        <v>-459.41800000000001</v>
      </c>
      <c r="K2531">
        <v>1.1107100000000001</v>
      </c>
      <c r="L2531">
        <v>284.65750000000003</v>
      </c>
      <c r="M2531">
        <v>-0.99980179999999996</v>
      </c>
      <c r="N2531">
        <v>0</v>
      </c>
      <c r="O2531">
        <v>1.46675E-2</v>
      </c>
      <c r="P2531">
        <v>-0.99910540000000003</v>
      </c>
      <c r="Q2531">
        <v>-2.1741960000000002E-3</v>
      </c>
      <c r="R2531">
        <v>4.2237730000000001E-2</v>
      </c>
      <c r="S2531">
        <v>-3.0300289999999999</v>
      </c>
      <c r="T2531">
        <v>-0.1744754</v>
      </c>
      <c r="U2531">
        <v>-0.64154049999999996</v>
      </c>
      <c r="V2531">
        <v>2.7575780000000001E-2</v>
      </c>
      <c r="W2531">
        <v>1.129061E-2</v>
      </c>
      <c r="X2531">
        <v>0.99955590000000005</v>
      </c>
      <c r="Y2531">
        <v>-0.22109000000000001</v>
      </c>
      <c r="Z2531">
        <v>-7.1256189999999997E-3</v>
      </c>
      <c r="AA2531">
        <v>0.97522739999999997</v>
      </c>
      <c r="AB2531">
        <v>19</v>
      </c>
      <c r="AC2531">
        <v>-19.096699999999998</v>
      </c>
      <c r="AD2531">
        <v>-1.110707515484</v>
      </c>
      <c r="AE2531">
        <v>-4.0867000000000004</v>
      </c>
      <c r="AF2531">
        <v>-4.3523080639038199</v>
      </c>
      <c r="AG2531">
        <v>-1.110707515484</v>
      </c>
      <c r="AH2531">
        <v>18.973324964741298</v>
      </c>
      <c r="AI2531">
        <v>93.265670834386299</v>
      </c>
      <c r="AJ2531">
        <v>102.919614568219</v>
      </c>
      <c r="AK2531">
        <v>19.49777722936</v>
      </c>
      <c r="AL2531">
        <v>89.353081920998093</v>
      </c>
      <c r="AM2531">
        <v>88.419723044875496</v>
      </c>
      <c r="AN2531">
        <v>0.99999994937079395</v>
      </c>
    </row>
    <row r="2532" spans="1:40" x14ac:dyDescent="0.25">
      <c r="A2532" t="str">
        <f>"20190312154305813"</f>
        <v>20190312154305813</v>
      </c>
      <c r="B2532" t="str">
        <f>"1552376585810129"</f>
        <v>1552376585810129</v>
      </c>
      <c r="C2532" t="s">
        <v>40</v>
      </c>
      <c r="D2532">
        <v>4.3800739999999996</v>
      </c>
      <c r="E2532">
        <v>0.40362330000000002</v>
      </c>
      <c r="F2532" t="s">
        <v>49</v>
      </c>
      <c r="G2532">
        <v>-478.39339999999999</v>
      </c>
      <c r="H2532" s="1">
        <v>2.5417959999999998E-6</v>
      </c>
      <c r="I2532">
        <v>280.61059999999998</v>
      </c>
      <c r="J2532">
        <v>-459.61239999999998</v>
      </c>
      <c r="K2532">
        <v>1.1107100000000001</v>
      </c>
      <c r="L2532">
        <v>284.66019999999997</v>
      </c>
      <c r="M2532">
        <v>-0.99980400000000003</v>
      </c>
      <c r="N2532">
        <v>0</v>
      </c>
      <c r="O2532">
        <v>1.4518390000000001E-2</v>
      </c>
      <c r="P2532">
        <v>-0.9991314</v>
      </c>
      <c r="Q2532">
        <v>-2.3453290000000002E-3</v>
      </c>
      <c r="R2532">
        <v>4.1606049999999999E-2</v>
      </c>
      <c r="S2532">
        <v>-3.0295719999999999</v>
      </c>
      <c r="T2532">
        <v>-0.17733309999999999</v>
      </c>
      <c r="U2532">
        <v>-0.64611819999999998</v>
      </c>
      <c r="V2532">
        <v>2.7092709999999999E-2</v>
      </c>
      <c r="W2532">
        <v>1.1118009999999999E-2</v>
      </c>
      <c r="X2532">
        <v>0.99957110000000005</v>
      </c>
      <c r="Y2532">
        <v>-0.22236990000000001</v>
      </c>
      <c r="Z2532">
        <v>-7.2704659999999997E-3</v>
      </c>
      <c r="AA2532">
        <v>0.97493529999999995</v>
      </c>
      <c r="AB2532">
        <v>19</v>
      </c>
      <c r="AC2532">
        <v>-18.780999999999999</v>
      </c>
      <c r="AD2532">
        <v>-1.110707458204</v>
      </c>
      <c r="AE2532">
        <v>-4.0495999999999901</v>
      </c>
      <c r="AF2532">
        <v>-4.3074714857702299</v>
      </c>
      <c r="AG2532">
        <v>-1.110707458204</v>
      </c>
      <c r="AH2532">
        <v>18.657863835020802</v>
      </c>
      <c r="AI2532">
        <v>93.319694817077206</v>
      </c>
      <c r="AJ2532">
        <v>102.999895660858</v>
      </c>
      <c r="AK2532">
        <v>19.180820226064601</v>
      </c>
      <c r="AL2532">
        <v>89.362971828976896</v>
      </c>
      <c r="AM2532">
        <v>88.447416120029004</v>
      </c>
      <c r="AN2532">
        <v>1.0000000045183499</v>
      </c>
    </row>
    <row r="2533" spans="1:40" x14ac:dyDescent="0.25">
      <c r="A2533" t="str">
        <f>"20190312154305835"</f>
        <v>20190312154305835</v>
      </c>
      <c r="B2533" t="str">
        <f>"1552376585829649"</f>
        <v>1552376585829649</v>
      </c>
      <c r="C2533" t="s">
        <v>40</v>
      </c>
      <c r="D2533">
        <v>4.4034469999999999</v>
      </c>
      <c r="E2533">
        <v>0.40354649999999997</v>
      </c>
      <c r="F2533" t="s">
        <v>49</v>
      </c>
      <c r="G2533">
        <v>-478.33210000000003</v>
      </c>
      <c r="H2533" s="1">
        <v>2.572472E-6</v>
      </c>
      <c r="I2533">
        <v>280.65069999999997</v>
      </c>
      <c r="J2533">
        <v>-459.80419999999998</v>
      </c>
      <c r="K2533">
        <v>1.110711</v>
      </c>
      <c r="L2533">
        <v>284.6628</v>
      </c>
      <c r="M2533">
        <v>-0.99980610000000003</v>
      </c>
      <c r="N2533">
        <v>0</v>
      </c>
      <c r="O2533">
        <v>1.4371200000000001E-2</v>
      </c>
      <c r="P2533">
        <v>-0.99915299999999996</v>
      </c>
      <c r="Q2533">
        <v>-1.9021629999999999E-3</v>
      </c>
      <c r="R2533">
        <v>4.1106650000000002E-2</v>
      </c>
      <c r="S2533">
        <v>-3.029175</v>
      </c>
      <c r="T2533">
        <v>-0.17973159999999999</v>
      </c>
      <c r="U2533">
        <v>-0.64880369999999998</v>
      </c>
      <c r="V2533">
        <v>2.6740239999999998E-2</v>
      </c>
      <c r="W2533">
        <v>1.155905E-2</v>
      </c>
      <c r="X2533">
        <v>0.99957560000000001</v>
      </c>
      <c r="Y2533">
        <v>-0.2230675</v>
      </c>
      <c r="Z2533">
        <v>-7.3807169999999898E-3</v>
      </c>
      <c r="AA2533">
        <v>0.97477510000000001</v>
      </c>
      <c r="AB2533">
        <v>19</v>
      </c>
      <c r="AC2533">
        <v>-18.527899999999999</v>
      </c>
      <c r="AD2533">
        <v>-1.1107084275279999</v>
      </c>
      <c r="AE2533">
        <v>-4.0121000000000304</v>
      </c>
      <c r="AF2533">
        <v>-4.2633427535471196</v>
      </c>
      <c r="AG2533">
        <v>-1.1107084275279999</v>
      </c>
      <c r="AH2533">
        <v>18.405141505970501</v>
      </c>
      <c r="AI2533">
        <v>93.364607445397894</v>
      </c>
      <c r="AJ2533">
        <v>103.041904975902</v>
      </c>
      <c r="AK2533">
        <v>18.925089127927599</v>
      </c>
      <c r="AL2533">
        <v>89.337700481432904</v>
      </c>
      <c r="AM2533">
        <v>88.467612084543703</v>
      </c>
      <c r="AN2533">
        <v>1.0000000160937501</v>
      </c>
    </row>
    <row r="2534" spans="1:40" x14ac:dyDescent="0.25">
      <c r="A2534" t="str">
        <f>"20190312154305857"</f>
        <v>20190312154305857</v>
      </c>
      <c r="B2534" t="str">
        <f>"1552376585850163"</f>
        <v>1552376585850163</v>
      </c>
      <c r="C2534" t="s">
        <v>40</v>
      </c>
      <c r="D2534">
        <v>4.4139099999999996</v>
      </c>
      <c r="E2534">
        <v>0.40336919999999998</v>
      </c>
      <c r="F2534" t="s">
        <v>49</v>
      </c>
      <c r="G2534">
        <v>-478.5059</v>
      </c>
      <c r="H2534" s="1">
        <v>2.4947090000000001E-6</v>
      </c>
      <c r="I2534">
        <v>280.64260000000002</v>
      </c>
      <c r="J2534">
        <v>-460.00060000000002</v>
      </c>
      <c r="K2534">
        <v>1.1107129999999901</v>
      </c>
      <c r="L2534">
        <v>284.66539999999998</v>
      </c>
      <c r="M2534">
        <v>-0.99980849999999999</v>
      </c>
      <c r="N2534">
        <v>0</v>
      </c>
      <c r="O2534">
        <v>1.422024E-2</v>
      </c>
      <c r="P2534">
        <v>-0.99914749999999997</v>
      </c>
      <c r="Q2534">
        <v>-2.0658540000000002E-3</v>
      </c>
      <c r="R2534">
        <v>4.1234550000000002E-2</v>
      </c>
      <c r="S2534">
        <v>-3.0289920000000001</v>
      </c>
      <c r="T2534">
        <v>-0.17989440000000001</v>
      </c>
      <c r="U2534">
        <v>-0.65112300000000001</v>
      </c>
      <c r="V2534">
        <v>2.7019120000000001E-2</v>
      </c>
      <c r="W2534">
        <v>1.139313E-2</v>
      </c>
      <c r="X2534">
        <v>0.99956999999999996</v>
      </c>
      <c r="Y2534">
        <v>-0.2236445</v>
      </c>
      <c r="Z2534">
        <v>-7.3953079999999997E-3</v>
      </c>
      <c r="AA2534">
        <v>0.97464280000000003</v>
      </c>
      <c r="AB2534">
        <v>19</v>
      </c>
      <c r="AC2534">
        <v>-18.505299999999899</v>
      </c>
      <c r="AD2534">
        <v>-1.11071050529099</v>
      </c>
      <c r="AE2534">
        <v>-4.0227999999999602</v>
      </c>
      <c r="AF2534">
        <v>-4.27087502514172</v>
      </c>
      <c r="AG2534">
        <v>-1.11071050529099</v>
      </c>
      <c r="AH2534">
        <v>18.382981046173299</v>
      </c>
      <c r="AI2534">
        <v>93.368150683489702</v>
      </c>
      <c r="AJ2534">
        <v>103.07936463791501</v>
      </c>
      <c r="AK2534">
        <v>18.905238518752199</v>
      </c>
      <c r="AL2534">
        <v>89.347207619496004</v>
      </c>
      <c r="AM2534">
        <v>88.451629534311607</v>
      </c>
      <c r="AN2534">
        <v>1.0000000105783799</v>
      </c>
    </row>
    <row r="2535" spans="1:40" x14ac:dyDescent="0.25">
      <c r="A2535" t="str">
        <f>"20190312154305879"</f>
        <v>20190312154305879</v>
      </c>
      <c r="B2535" t="str">
        <f>"1552376585869665"</f>
        <v>1552376585869665</v>
      </c>
      <c r="C2535" t="s">
        <v>40</v>
      </c>
      <c r="D2535">
        <v>4.4446669999999999</v>
      </c>
      <c r="E2535">
        <v>0.403165</v>
      </c>
      <c r="F2535" t="s">
        <v>49</v>
      </c>
      <c r="G2535">
        <v>-478.50990000000002</v>
      </c>
      <c r="H2535" s="1">
        <v>2.4963359999999999E-6</v>
      </c>
      <c r="I2535">
        <v>280.68150000000003</v>
      </c>
      <c r="J2535">
        <v>-460.18770000000001</v>
      </c>
      <c r="K2535">
        <v>1.110717</v>
      </c>
      <c r="L2535">
        <v>284.66789999999997</v>
      </c>
      <c r="M2535">
        <v>-0.99981050000000005</v>
      </c>
      <c r="N2535">
        <v>0</v>
      </c>
      <c r="O2535">
        <v>1.407597E-2</v>
      </c>
      <c r="P2535">
        <v>-0.99914849999999999</v>
      </c>
      <c r="Q2535">
        <v>-2.0527359999999999E-3</v>
      </c>
      <c r="R2535">
        <v>4.1212159999999998E-2</v>
      </c>
      <c r="S2535">
        <v>-3.0291139999999999</v>
      </c>
      <c r="T2535">
        <v>-0.18177219999999999</v>
      </c>
      <c r="U2535">
        <v>-0.65197749999999999</v>
      </c>
      <c r="V2535">
        <v>2.7141149999999999E-2</v>
      </c>
      <c r="W2535">
        <v>1.140505E-2</v>
      </c>
      <c r="X2535">
        <v>0.99956659999999997</v>
      </c>
      <c r="Y2535">
        <v>-0.22375020000000001</v>
      </c>
      <c r="Z2535">
        <v>-7.4664319999999899E-3</v>
      </c>
      <c r="AA2535">
        <v>0.97461790000000004</v>
      </c>
      <c r="AB2535">
        <v>19</v>
      </c>
      <c r="AC2535">
        <v>-18.322199999999999</v>
      </c>
      <c r="AD2535">
        <v>-1.110714503664</v>
      </c>
      <c r="AE2535">
        <v>-3.9863999999999402</v>
      </c>
      <c r="AF2535">
        <v>-4.22909186425718</v>
      </c>
      <c r="AG2535">
        <v>-1.110714503664</v>
      </c>
      <c r="AH2535">
        <v>18.2004047291429</v>
      </c>
      <c r="AI2535">
        <v>93.401845277549398</v>
      </c>
      <c r="AJ2535">
        <v>103.081259374545</v>
      </c>
      <c r="AK2535">
        <v>18.7182701393474</v>
      </c>
      <c r="AL2535">
        <v>89.346524636838893</v>
      </c>
      <c r="AM2535">
        <v>88.444634564838694</v>
      </c>
      <c r="AN2535">
        <v>1.0000000525121899</v>
      </c>
    </row>
    <row r="2536" spans="1:40" x14ac:dyDescent="0.25">
      <c r="A2536" t="str">
        <f>"20190312154305901"</f>
        <v>20190312154305901</v>
      </c>
      <c r="B2536" t="str">
        <f>"1552376585899921"</f>
        <v>1552376585899921</v>
      </c>
      <c r="C2536" t="s">
        <v>40</v>
      </c>
      <c r="D2536">
        <v>4.4016260000000003</v>
      </c>
      <c r="E2536">
        <v>0.40294809999999998</v>
      </c>
      <c r="F2536" t="s">
        <v>49</v>
      </c>
      <c r="G2536">
        <v>-478.51229999999998</v>
      </c>
      <c r="H2536" s="1">
        <v>2.4980250000000001E-6</v>
      </c>
      <c r="I2536">
        <v>280.7131</v>
      </c>
      <c r="J2536">
        <v>-460.3802</v>
      </c>
      <c r="K2536">
        <v>1.1107149999999999</v>
      </c>
      <c r="L2536">
        <v>284.6705</v>
      </c>
      <c r="M2536">
        <v>-0.99981249999999999</v>
      </c>
      <c r="N2536">
        <v>0</v>
      </c>
      <c r="O2536">
        <v>1.392817E-2</v>
      </c>
      <c r="P2536">
        <v>-0.99914009999999998</v>
      </c>
      <c r="Q2536">
        <v>-1.584514E-3</v>
      </c>
      <c r="R2536">
        <v>4.1428880000000001E-2</v>
      </c>
      <c r="S2536">
        <v>-3.029175</v>
      </c>
      <c r="T2536">
        <v>-0.1836084</v>
      </c>
      <c r="U2536">
        <v>-0.65374759999999998</v>
      </c>
      <c r="V2536">
        <v>2.7505439999999999E-2</v>
      </c>
      <c r="W2536">
        <v>1.187088E-2</v>
      </c>
      <c r="X2536">
        <v>0.99955119999999997</v>
      </c>
      <c r="Y2536">
        <v>-0.2241377</v>
      </c>
      <c r="Z2536">
        <v>-7.5438600000000003E-3</v>
      </c>
      <c r="AA2536">
        <v>0.97452830000000001</v>
      </c>
      <c r="AB2536">
        <v>19</v>
      </c>
      <c r="AC2536">
        <v>-18.132099999999902</v>
      </c>
      <c r="AD2536">
        <v>-1.1107125019749999</v>
      </c>
      <c r="AE2536">
        <v>-3.9573999999999998</v>
      </c>
      <c r="AF2536">
        <v>-4.1945619425001599</v>
      </c>
      <c r="AG2536">
        <v>-1.1107125019749999</v>
      </c>
      <c r="AH2536">
        <v>18.0107063718985</v>
      </c>
      <c r="AI2536">
        <v>93.437182451219499</v>
      </c>
      <c r="AJ2536">
        <v>103.110076817433</v>
      </c>
      <c r="AK2536">
        <v>18.526024294658001</v>
      </c>
      <c r="AL2536">
        <v>89.319832724921</v>
      </c>
      <c r="AM2536">
        <v>88.423744554062097</v>
      </c>
      <c r="AN2536">
        <v>1.0000000342215001</v>
      </c>
    </row>
    <row r="2537" spans="1:40" x14ac:dyDescent="0.25">
      <c r="A2537" t="str">
        <f>"20190312154305924"</f>
        <v>20190312154305924</v>
      </c>
      <c r="B2537" t="str">
        <f>"1552376585919950"</f>
        <v>1552376585919950</v>
      </c>
      <c r="C2537" t="s">
        <v>40</v>
      </c>
      <c r="D2537">
        <v>4.4606209999999997</v>
      </c>
      <c r="E2537">
        <v>0.40272340000000001</v>
      </c>
      <c r="F2537" t="s">
        <v>49</v>
      </c>
      <c r="G2537">
        <v>-478.58019999999999</v>
      </c>
      <c r="H2537" s="1">
        <v>2.4698059999999998E-6</v>
      </c>
      <c r="I2537">
        <v>280.7346</v>
      </c>
      <c r="J2537">
        <v>-460.57639999999998</v>
      </c>
      <c r="K2537">
        <v>1.1107100000000001</v>
      </c>
      <c r="L2537">
        <v>284.673</v>
      </c>
      <c r="M2537">
        <v>-0.99981450000000005</v>
      </c>
      <c r="N2537">
        <v>0</v>
      </c>
      <c r="O2537">
        <v>1.3777340000000001E-2</v>
      </c>
      <c r="P2537">
        <v>-0.9991428</v>
      </c>
      <c r="Q2537">
        <v>-1.7345749999999999E-3</v>
      </c>
      <c r="R2537">
        <v>4.1358159999999998E-2</v>
      </c>
      <c r="S2537">
        <v>-3.0294189999999999</v>
      </c>
      <c r="T2537">
        <v>-0.1848794</v>
      </c>
      <c r="U2537">
        <v>-0.65512079999999995</v>
      </c>
      <c r="V2537">
        <v>2.758555E-2</v>
      </c>
      <c r="W2537">
        <v>1.171926E-2</v>
      </c>
      <c r="X2537">
        <v>0.99955079999999996</v>
      </c>
      <c r="Y2537">
        <v>-0.2243907</v>
      </c>
      <c r="Z2537">
        <v>-7.5935589999999997E-3</v>
      </c>
      <c r="AA2537">
        <v>0.97446969999999999</v>
      </c>
      <c r="AB2537">
        <v>19</v>
      </c>
      <c r="AC2537">
        <v>-18.003799999999998</v>
      </c>
      <c r="AD2537">
        <v>-1.1107075301939999</v>
      </c>
      <c r="AE2537">
        <v>-3.9384000000000001</v>
      </c>
      <c r="AF2537">
        <v>-4.17094334382708</v>
      </c>
      <c r="AG2537">
        <v>-1.1107075301939999</v>
      </c>
      <c r="AH2537">
        <v>17.8828710286441</v>
      </c>
      <c r="AI2537">
        <v>93.461415426752495</v>
      </c>
      <c r="AJ2537">
        <v>103.128776003558</v>
      </c>
      <c r="AK2537">
        <v>18.3963995342068</v>
      </c>
      <c r="AL2537">
        <v>89.328520527491406</v>
      </c>
      <c r="AM2537">
        <v>88.4191553806683</v>
      </c>
      <c r="AN2537">
        <v>1.0000000527021899</v>
      </c>
    </row>
    <row r="2538" spans="1:40" x14ac:dyDescent="0.25">
      <c r="A2538" t="str">
        <f>"20190312154305948"</f>
        <v>20190312154305948</v>
      </c>
      <c r="B2538" t="str">
        <f>"1552376585940442"</f>
        <v>1552376585940442</v>
      </c>
      <c r="C2538" t="s">
        <v>40</v>
      </c>
      <c r="D2538">
        <v>4.4292540000000002</v>
      </c>
      <c r="E2538">
        <v>0.40252339999999998</v>
      </c>
      <c r="F2538" t="s">
        <v>49</v>
      </c>
      <c r="G2538">
        <v>-478.50200000000001</v>
      </c>
      <c r="H2538" s="1">
        <v>2.5089580000000001E-6</v>
      </c>
      <c r="I2538">
        <v>280.78609999999998</v>
      </c>
      <c r="J2538">
        <v>-460.77260000000001</v>
      </c>
      <c r="K2538">
        <v>1.1107089999999999</v>
      </c>
      <c r="L2538">
        <v>284.6755</v>
      </c>
      <c r="M2538">
        <v>-0.9998167</v>
      </c>
      <c r="N2538">
        <v>0</v>
      </c>
      <c r="O2538">
        <v>1.362668E-2</v>
      </c>
      <c r="P2538">
        <v>-0.99914210000000003</v>
      </c>
      <c r="Q2538">
        <v>-1.6093920000000001E-3</v>
      </c>
      <c r="R2538">
        <v>4.1384289999999997E-2</v>
      </c>
      <c r="S2538">
        <v>-3.0294490000000001</v>
      </c>
      <c r="T2538">
        <v>-0.18771090000000001</v>
      </c>
      <c r="U2538">
        <v>-0.65689090000000006</v>
      </c>
      <c r="V2538">
        <v>2.7762470000000001E-2</v>
      </c>
      <c r="W2538">
        <v>1.184228E-2</v>
      </c>
      <c r="X2538">
        <v>0.9995444</v>
      </c>
      <c r="Y2538">
        <v>-0.22477220000000001</v>
      </c>
      <c r="Z2538">
        <v>-7.7115450000000002E-3</v>
      </c>
      <c r="AA2538">
        <v>0.97438080000000005</v>
      </c>
      <c r="AB2538">
        <v>19</v>
      </c>
      <c r="AC2538">
        <v>-17.729399999999899</v>
      </c>
      <c r="AD2538">
        <v>-1.1107064910419999</v>
      </c>
      <c r="AE2538">
        <v>-3.8894000000000202</v>
      </c>
      <c r="AF2538">
        <v>-4.1152438775524001</v>
      </c>
      <c r="AG2538">
        <v>-1.1107064910419999</v>
      </c>
      <c r="AH2538">
        <v>17.608812463841701</v>
      </c>
      <c r="AI2538">
        <v>93.514788166050806</v>
      </c>
      <c r="AJ2538">
        <v>103.154143114199</v>
      </c>
      <c r="AK2538">
        <v>18.117372256144801</v>
      </c>
      <c r="AL2538">
        <v>89.321471476777106</v>
      </c>
      <c r="AM2538">
        <v>88.409011642004302</v>
      </c>
      <c r="AN2538">
        <v>1.00000000095372</v>
      </c>
    </row>
    <row r="2539" spans="1:40" x14ac:dyDescent="0.25">
      <c r="A2539" t="str">
        <f>"20190312154305970"</f>
        <v>20190312154305970</v>
      </c>
      <c r="B2539" t="str">
        <f>"1552376585959962"</f>
        <v>1552376585959962</v>
      </c>
      <c r="C2539" t="s">
        <v>40</v>
      </c>
      <c r="D2539">
        <v>4.491072</v>
      </c>
      <c r="E2539">
        <v>0.40227790000000002</v>
      </c>
      <c r="F2539" t="s">
        <v>49</v>
      </c>
      <c r="G2539">
        <v>-478.55029999999999</v>
      </c>
      <c r="H2539" s="1">
        <v>2.4898120000000002E-6</v>
      </c>
      <c r="I2539">
        <v>280.81200000000001</v>
      </c>
      <c r="J2539">
        <v>-460.9606</v>
      </c>
      <c r="K2539">
        <v>1.1107089999999999</v>
      </c>
      <c r="L2539">
        <v>284.67790000000002</v>
      </c>
      <c r="M2539">
        <v>-0.99981869999999995</v>
      </c>
      <c r="N2539">
        <v>0</v>
      </c>
      <c r="O2539">
        <v>1.3482040000000001E-2</v>
      </c>
      <c r="P2539">
        <v>-0.99915310000000002</v>
      </c>
      <c r="Q2539">
        <v>-1.687224E-3</v>
      </c>
      <c r="R2539">
        <v>4.1115430000000001E-2</v>
      </c>
      <c r="S2539">
        <v>-3.029541</v>
      </c>
      <c r="T2539">
        <v>-0.18927759999999999</v>
      </c>
      <c r="U2539">
        <v>-0.65838619999999903</v>
      </c>
      <c r="V2539">
        <v>2.7638030000000001E-2</v>
      </c>
      <c r="W2539">
        <v>1.1762649999999999E-2</v>
      </c>
      <c r="X2539">
        <v>0.99954880000000002</v>
      </c>
      <c r="Y2539">
        <v>-0.225077</v>
      </c>
      <c r="Z2539">
        <v>-7.7756319999999898E-3</v>
      </c>
      <c r="AA2539">
        <v>0.97431000000000001</v>
      </c>
      <c r="AB2539">
        <v>19</v>
      </c>
      <c r="AC2539">
        <v>-17.589699999999901</v>
      </c>
      <c r="AD2539">
        <v>-1.110706510188</v>
      </c>
      <c r="AE2539">
        <v>-3.8659000000000101</v>
      </c>
      <c r="AF2539">
        <v>-4.0871691138827098</v>
      </c>
      <c r="AG2539">
        <v>-1.110706510188</v>
      </c>
      <c r="AH2539">
        <v>17.469529063911899</v>
      </c>
      <c r="AI2539">
        <v>93.542539567360805</v>
      </c>
      <c r="AJ2539">
        <v>103.16806309778499</v>
      </c>
      <c r="AK2539">
        <v>17.9756242181492</v>
      </c>
      <c r="AL2539">
        <v>89.326034265019999</v>
      </c>
      <c r="AM2539">
        <v>88.416146273166603</v>
      </c>
      <c r="AN2539">
        <v>1.00000001210937</v>
      </c>
    </row>
    <row r="2540" spans="1:40" x14ac:dyDescent="0.25">
      <c r="A2540" t="str">
        <f>"20190312154305992"</f>
        <v>20190312154305992</v>
      </c>
      <c r="B2540" t="str">
        <f>"1552376585980458"</f>
        <v>1552376585980458</v>
      </c>
      <c r="C2540" t="s">
        <v>40</v>
      </c>
      <c r="D2540">
        <v>4.5038260000000001</v>
      </c>
      <c r="E2540">
        <v>0.40197650000000001</v>
      </c>
      <c r="F2540" t="s">
        <v>49</v>
      </c>
      <c r="G2540">
        <v>-478.65839999999997</v>
      </c>
      <c r="H2540" s="1">
        <v>2.4420390000000001E-6</v>
      </c>
      <c r="I2540">
        <v>280.81360000000001</v>
      </c>
      <c r="J2540">
        <v>-461.15300000000002</v>
      </c>
      <c r="K2540">
        <v>1.1107020000000001</v>
      </c>
      <c r="L2540">
        <v>284.68040000000002</v>
      </c>
      <c r="M2540">
        <v>-0.99982070000000001</v>
      </c>
      <c r="N2540">
        <v>0</v>
      </c>
      <c r="O2540">
        <v>1.333407E-2</v>
      </c>
      <c r="P2540">
        <v>-0.9991447</v>
      </c>
      <c r="Q2540">
        <v>-1.75467299999999E-3</v>
      </c>
      <c r="R2540">
        <v>4.1314629999999998E-2</v>
      </c>
      <c r="S2540">
        <v>-3.0294189999999999</v>
      </c>
      <c r="T2540">
        <v>-0.19012560000000001</v>
      </c>
      <c r="U2540">
        <v>-0.66146850000000001</v>
      </c>
      <c r="V2540">
        <v>2.7985340000000001E-2</v>
      </c>
      <c r="W2540">
        <v>1.169304E-2</v>
      </c>
      <c r="X2540">
        <v>0.99953990000000004</v>
      </c>
      <c r="Y2540">
        <v>-0.2258821</v>
      </c>
      <c r="Z2540">
        <v>-7.8256460000000003E-3</v>
      </c>
      <c r="AA2540">
        <v>0.97412319999999997</v>
      </c>
      <c r="AB2540">
        <v>19</v>
      </c>
      <c r="AC2540">
        <v>-17.505399999999899</v>
      </c>
      <c r="AD2540">
        <v>-1.110699557961</v>
      </c>
      <c r="AE2540">
        <v>-3.8668000000000098</v>
      </c>
      <c r="AF2540">
        <v>-4.0842183090849797</v>
      </c>
      <c r="AG2540">
        <v>-1.110699557961</v>
      </c>
      <c r="AH2540">
        <v>17.385544538228199</v>
      </c>
      <c r="AI2540">
        <v>93.558828704899796</v>
      </c>
      <c r="AJ2540">
        <v>103.220226658416</v>
      </c>
      <c r="AK2540">
        <v>17.8933409847081</v>
      </c>
      <c r="AL2540">
        <v>89.330022862957193</v>
      </c>
      <c r="AM2540">
        <v>88.396239021975404</v>
      </c>
      <c r="AN2540">
        <v>0.99999995906568195</v>
      </c>
    </row>
    <row r="2541" spans="1:40" x14ac:dyDescent="0.25">
      <c r="A2541" t="str">
        <f>"20190312154306014"</f>
        <v>20190312154306014</v>
      </c>
      <c r="B2541" t="str">
        <f>"1552376586009738"</f>
        <v>1552376586009738</v>
      </c>
      <c r="C2541" t="s">
        <v>40</v>
      </c>
      <c r="D2541">
        <v>4.4938029999999998</v>
      </c>
      <c r="E2541">
        <v>0.40157169999999998</v>
      </c>
      <c r="F2541" t="s">
        <v>49</v>
      </c>
      <c r="G2541">
        <v>-478.67930000000001</v>
      </c>
      <c r="H2541" s="1">
        <v>2.4354009999999998E-6</v>
      </c>
      <c r="I2541">
        <v>280.84359999999998</v>
      </c>
      <c r="J2541">
        <v>-461.34219999999999</v>
      </c>
      <c r="K2541">
        <v>1.1107039999999999</v>
      </c>
      <c r="L2541">
        <v>284.68270000000001</v>
      </c>
      <c r="M2541">
        <v>-0.99982260000000001</v>
      </c>
      <c r="N2541">
        <v>0</v>
      </c>
      <c r="O2541">
        <v>1.318854E-2</v>
      </c>
      <c r="P2541">
        <v>-0.99915710000000002</v>
      </c>
      <c r="Q2541">
        <v>-2.3371749999999999E-3</v>
      </c>
      <c r="R2541">
        <v>4.0982070000000002E-2</v>
      </c>
      <c r="S2541">
        <v>-3.0296630000000002</v>
      </c>
      <c r="T2541">
        <v>-0.19200039999999999</v>
      </c>
      <c r="U2541">
        <v>-0.66323849999999995</v>
      </c>
      <c r="V2541">
        <v>2.7798159999999999E-2</v>
      </c>
      <c r="W2541">
        <v>1.110847E-2</v>
      </c>
      <c r="X2541">
        <v>0.99955179999999999</v>
      </c>
      <c r="Y2541">
        <v>-0.22625790000000001</v>
      </c>
      <c r="Z2541">
        <v>-7.9042019999999904E-3</v>
      </c>
      <c r="AA2541">
        <v>0.9740354</v>
      </c>
      <c r="AB2541">
        <v>19</v>
      </c>
      <c r="AC2541">
        <v>-17.3371</v>
      </c>
      <c r="AD2541">
        <v>-1.1107015645989999</v>
      </c>
      <c r="AE2541">
        <v>-3.8391000000000299</v>
      </c>
      <c r="AF2541">
        <v>-4.05158601587849</v>
      </c>
      <c r="AG2541">
        <v>-1.1107015645989999</v>
      </c>
      <c r="AH2541">
        <v>17.217591726313699</v>
      </c>
      <c r="AI2541">
        <v>93.593143596668298</v>
      </c>
      <c r="AJ2541">
        <v>103.24174322354</v>
      </c>
      <c r="AK2541">
        <v>17.722710629689001</v>
      </c>
      <c r="AL2541">
        <v>89.363518441442693</v>
      </c>
      <c r="AM2541">
        <v>88.406979190280794</v>
      </c>
      <c r="AN2541">
        <v>0.99999996834418203</v>
      </c>
    </row>
    <row r="2542" spans="1:40" x14ac:dyDescent="0.25">
      <c r="A2542" t="str">
        <f>"20190312154306037"</f>
        <v>20190312154306037</v>
      </c>
      <c r="B2542" t="str">
        <f>"1552376586030234"</f>
        <v>1552376586030234</v>
      </c>
      <c r="C2542" t="s">
        <v>40</v>
      </c>
      <c r="D2542">
        <v>4.5306980000000001</v>
      </c>
      <c r="E2542">
        <v>0.40126070000000003</v>
      </c>
      <c r="F2542" t="s">
        <v>49</v>
      </c>
      <c r="G2542">
        <v>-478.46769999999998</v>
      </c>
      <c r="H2542" s="1">
        <v>2.5349149999999999E-6</v>
      </c>
      <c r="I2542">
        <v>280.90870000000001</v>
      </c>
      <c r="J2542">
        <v>-461.53379999999999</v>
      </c>
      <c r="K2542">
        <v>1.1107049999999901</v>
      </c>
      <c r="L2542">
        <v>284.68509999999998</v>
      </c>
      <c r="M2542">
        <v>-0.99982459999999995</v>
      </c>
      <c r="N2542">
        <v>0</v>
      </c>
      <c r="O2542">
        <v>1.3041399999999899E-2</v>
      </c>
      <c r="P2542">
        <v>-0.99917440000000002</v>
      </c>
      <c r="Q2542">
        <v>-2.3123979999999998E-3</v>
      </c>
      <c r="R2542">
        <v>4.0563809999999999E-2</v>
      </c>
      <c r="S2542">
        <v>-3.0294189999999999</v>
      </c>
      <c r="T2542">
        <v>-0.19647790000000001</v>
      </c>
      <c r="U2542">
        <v>-0.66760249999999999</v>
      </c>
      <c r="V2542">
        <v>2.7526889999999998E-2</v>
      </c>
      <c r="W2542">
        <v>1.113136E-2</v>
      </c>
      <c r="X2542">
        <v>0.99955910000000003</v>
      </c>
      <c r="Y2542">
        <v>-0.2274458</v>
      </c>
      <c r="Z2542">
        <v>-8.1161669999999901E-3</v>
      </c>
      <c r="AA2542">
        <v>0.97375690000000004</v>
      </c>
      <c r="AB2542">
        <v>19</v>
      </c>
      <c r="AC2542">
        <v>-16.933899999999898</v>
      </c>
      <c r="AD2542">
        <v>-1.1107024650849999</v>
      </c>
      <c r="AE2542">
        <v>-3.7763999999999598</v>
      </c>
      <c r="AF2542">
        <v>-3.98062673929936</v>
      </c>
      <c r="AG2542">
        <v>-1.1107024650849999</v>
      </c>
      <c r="AH2542">
        <v>16.814295769746899</v>
      </c>
      <c r="AI2542">
        <v>93.677927382061796</v>
      </c>
      <c r="AJ2542">
        <v>103.31902509122</v>
      </c>
      <c r="AK2542">
        <v>17.314721812264299</v>
      </c>
      <c r="AL2542">
        <v>89.362206890069302</v>
      </c>
      <c r="AM2542">
        <v>88.422528400161298</v>
      </c>
      <c r="AN2542">
        <v>1.0000000156206601</v>
      </c>
    </row>
    <row r="2543" spans="1:40" x14ac:dyDescent="0.25">
      <c r="A2543" t="str">
        <f>"20190312154306058"</f>
        <v>20190312154306058</v>
      </c>
      <c r="B2543" t="str">
        <f>"1552376586049755"</f>
        <v>1552376586049755</v>
      </c>
      <c r="C2543" t="s">
        <v>40</v>
      </c>
      <c r="D2543">
        <v>4.5696250000000003</v>
      </c>
      <c r="E2543">
        <v>0.40113460000000001</v>
      </c>
      <c r="F2543" t="s">
        <v>49</v>
      </c>
      <c r="G2543">
        <v>-478.51920000000001</v>
      </c>
      <c r="H2543" s="1">
        <v>2.5131039999999998E-6</v>
      </c>
      <c r="I2543">
        <v>280.9205</v>
      </c>
      <c r="J2543">
        <v>-461.72320000000002</v>
      </c>
      <c r="K2543">
        <v>1.110708</v>
      </c>
      <c r="L2543">
        <v>284.68729999999999</v>
      </c>
      <c r="M2543">
        <v>-0.99982649999999995</v>
      </c>
      <c r="N2543">
        <v>0</v>
      </c>
      <c r="O2543">
        <v>1.2895520000000001E-2</v>
      </c>
      <c r="P2543">
        <v>-0.99920109999999995</v>
      </c>
      <c r="Q2543">
        <v>-1.953551E-3</v>
      </c>
      <c r="R2543">
        <v>3.9914489999999997E-2</v>
      </c>
      <c r="S2543">
        <v>-3.029236</v>
      </c>
      <c r="T2543">
        <v>-0.1980867</v>
      </c>
      <c r="U2543">
        <v>-0.671386699999999</v>
      </c>
      <c r="V2543">
        <v>2.7023040000000002E-2</v>
      </c>
      <c r="W2543">
        <v>1.148801E-2</v>
      </c>
      <c r="X2543">
        <v>0.99956880000000004</v>
      </c>
      <c r="Y2543">
        <v>-0.22846620000000001</v>
      </c>
      <c r="Z2543">
        <v>-8.2053909999999994E-3</v>
      </c>
      <c r="AA2543">
        <v>0.97351730000000003</v>
      </c>
      <c r="AB2543">
        <v>19</v>
      </c>
      <c r="AC2543">
        <v>-16.7959999999999</v>
      </c>
      <c r="AD2543">
        <v>-1.110705486896</v>
      </c>
      <c r="AE2543">
        <v>-3.7667999999999799</v>
      </c>
      <c r="AF2543">
        <v>-3.96658398035835</v>
      </c>
      <c r="AG2543">
        <v>-1.110705486896</v>
      </c>
      <c r="AH2543">
        <v>16.676588409513499</v>
      </c>
      <c r="AI2543">
        <v>93.707299299185806</v>
      </c>
      <c r="AJ2543">
        <v>103.37938646428201</v>
      </c>
      <c r="AK2543">
        <v>17.1777779742369</v>
      </c>
      <c r="AL2543">
        <v>89.341771034873503</v>
      </c>
      <c r="AM2543">
        <v>88.451403144106806</v>
      </c>
      <c r="AN2543">
        <v>1.0000000024990201</v>
      </c>
    </row>
    <row r="2544" spans="1:40" x14ac:dyDescent="0.25">
      <c r="A2544" t="str">
        <f>"20190312154306080"</f>
        <v>20190312154306080</v>
      </c>
      <c r="B2544" t="str">
        <f>"1552376586070250"</f>
        <v>1552376586070250</v>
      </c>
      <c r="C2544" t="s">
        <v>40</v>
      </c>
      <c r="D2544">
        <v>4.5211069999999998</v>
      </c>
      <c r="E2544">
        <v>0.39459729999999998</v>
      </c>
      <c r="F2544" t="s">
        <v>49</v>
      </c>
      <c r="G2544">
        <v>-478.76979999999998</v>
      </c>
      <c r="H2544" s="1">
        <v>2.3994409999999999E-6</v>
      </c>
      <c r="I2544">
        <v>280.89139999999998</v>
      </c>
      <c r="J2544">
        <v>-461.91030000000001</v>
      </c>
      <c r="K2544">
        <v>1.110703</v>
      </c>
      <c r="L2544">
        <v>284.68959999999998</v>
      </c>
      <c r="M2544">
        <v>-0.99982850000000001</v>
      </c>
      <c r="N2544">
        <v>0</v>
      </c>
      <c r="O2544">
        <v>1.2751180000000001E-2</v>
      </c>
      <c r="P2544">
        <v>-0.99923300000000004</v>
      </c>
      <c r="Q2544">
        <v>-1.579251E-3</v>
      </c>
      <c r="R2544">
        <v>3.9133000000000001E-2</v>
      </c>
      <c r="S2544">
        <v>-3.0289609999999998</v>
      </c>
      <c r="T2544">
        <v>-0.1973586</v>
      </c>
      <c r="U2544">
        <v>-0.67449950000000003</v>
      </c>
      <c r="V2544">
        <v>2.6385539999999999E-2</v>
      </c>
      <c r="W2544">
        <v>1.18604E-2</v>
      </c>
      <c r="X2544">
        <v>0.99958150000000001</v>
      </c>
      <c r="Y2544">
        <v>-0.2292998</v>
      </c>
      <c r="Z2544">
        <v>-8.1926329999999995E-3</v>
      </c>
      <c r="AA2544">
        <v>0.9733214</v>
      </c>
      <c r="AB2544">
        <v>19</v>
      </c>
      <c r="AC2544">
        <v>-16.859499999999901</v>
      </c>
      <c r="AD2544">
        <v>-1.1107006005589899</v>
      </c>
      <c r="AE2544">
        <v>-3.7982</v>
      </c>
      <c r="AF2544">
        <v>-3.9963819633913502</v>
      </c>
      <c r="AG2544">
        <v>-1.1107006005589899</v>
      </c>
      <c r="AH2544">
        <v>16.740546173090099</v>
      </c>
      <c r="AI2544">
        <v>93.692435053323393</v>
      </c>
      <c r="AJ2544">
        <v>103.426623900168</v>
      </c>
      <c r="AK2544">
        <v>17.246756529700399</v>
      </c>
      <c r="AL2544">
        <v>89.320433217602996</v>
      </c>
      <c r="AM2544">
        <v>88.487938099142397</v>
      </c>
      <c r="AN2544">
        <v>1.00000002047575</v>
      </c>
    </row>
    <row r="2545" spans="1:40" x14ac:dyDescent="0.25">
      <c r="A2545" t="str">
        <f>"20190312154306104"</f>
        <v>20190312154306104</v>
      </c>
      <c r="B2545" t="str">
        <f>"1552376586099545"</f>
        <v>1552376586099545</v>
      </c>
      <c r="C2545" t="s">
        <v>40</v>
      </c>
      <c r="D2545">
        <v>4.5827159999999996</v>
      </c>
      <c r="E2545">
        <v>0.39438230000000002</v>
      </c>
      <c r="F2545" t="s">
        <v>49</v>
      </c>
      <c r="G2545">
        <v>-476.03300000000002</v>
      </c>
      <c r="H2545" s="1">
        <v>3.6477580000000002E-6</v>
      </c>
      <c r="I2545">
        <v>281.28789999999998</v>
      </c>
      <c r="J2545">
        <v>-462.10379999999998</v>
      </c>
      <c r="K2545">
        <v>1.1107009999999999</v>
      </c>
      <c r="L2545">
        <v>284.69189999999998</v>
      </c>
      <c r="M2545">
        <v>-0.99983029999999995</v>
      </c>
      <c r="N2545">
        <v>0</v>
      </c>
      <c r="O2545">
        <v>1.260243E-2</v>
      </c>
      <c r="P2545">
        <v>-0.99925310000000001</v>
      </c>
      <c r="Q2545">
        <v>-1.4383029999999999E-3</v>
      </c>
      <c r="R2545">
        <v>3.861875E-2</v>
      </c>
      <c r="S2545">
        <v>-3.0305179999999998</v>
      </c>
      <c r="T2545">
        <v>-0.2383393</v>
      </c>
      <c r="U2545">
        <v>-0.72994999999999999</v>
      </c>
      <c r="V2545">
        <v>2.6019819999999999E-2</v>
      </c>
      <c r="W2545">
        <v>1.1999620000000001E-2</v>
      </c>
      <c r="X2545">
        <v>0.99958939999999996</v>
      </c>
      <c r="Y2545">
        <v>-0.24564949999999999</v>
      </c>
      <c r="Z2545">
        <v>-1.0485619999999999E-2</v>
      </c>
      <c r="AA2545">
        <v>0.969302</v>
      </c>
      <c r="AB2545">
        <v>19</v>
      </c>
      <c r="AC2545">
        <v>-13.9292</v>
      </c>
      <c r="AD2545">
        <v>-1.1106973522419901</v>
      </c>
      <c r="AE2545">
        <v>-3.4039999999999901</v>
      </c>
      <c r="AF2545">
        <v>-3.5579397844542502</v>
      </c>
      <c r="AG2545">
        <v>-1.1106973522419901</v>
      </c>
      <c r="AH2545">
        <v>13.802377515573699</v>
      </c>
      <c r="AI2545">
        <v>94.455717632521498</v>
      </c>
      <c r="AJ2545">
        <v>104.454864950584</v>
      </c>
      <c r="AK2545">
        <v>14.296790171241099</v>
      </c>
      <c r="AL2545">
        <v>89.312455914288904</v>
      </c>
      <c r="AM2545">
        <v>88.508898468777502</v>
      </c>
      <c r="AN2545">
        <v>0.99999999525266803</v>
      </c>
    </row>
    <row r="2546" spans="1:40" x14ac:dyDescent="0.25">
      <c r="A2546" t="str">
        <f>"20190312154306126"</f>
        <v>20190312154306126</v>
      </c>
      <c r="B2546" t="str">
        <f>"1552376586120026"</f>
        <v>1552376586120026</v>
      </c>
      <c r="C2546" t="s">
        <v>40</v>
      </c>
      <c r="D2546">
        <v>4.6300330000000001</v>
      </c>
      <c r="E2546">
        <v>0.39419759999999998</v>
      </c>
      <c r="F2546" t="s">
        <v>49</v>
      </c>
      <c r="G2546">
        <v>-476.5659</v>
      </c>
      <c r="H2546" s="1">
        <v>3.4031239999999999E-6</v>
      </c>
      <c r="I2546">
        <v>281.19290000000001</v>
      </c>
      <c r="J2546">
        <v>-462.29500000000002</v>
      </c>
      <c r="K2546">
        <v>1.1107</v>
      </c>
      <c r="L2546">
        <v>284.69409999999999</v>
      </c>
      <c r="M2546">
        <v>-0.99983230000000001</v>
      </c>
      <c r="N2546">
        <v>0</v>
      </c>
      <c r="O2546">
        <v>1.245338E-2</v>
      </c>
      <c r="P2546">
        <v>-0.99926740000000003</v>
      </c>
      <c r="Q2546">
        <v>-1.5561429999999901E-3</v>
      </c>
      <c r="R2546">
        <v>3.8241079999999997E-2</v>
      </c>
      <c r="S2546">
        <v>-3.0302120000000001</v>
      </c>
      <c r="T2546">
        <v>-0.23272229999999999</v>
      </c>
      <c r="U2546">
        <v>-0.73312379999999999</v>
      </c>
      <c r="V2546">
        <v>2.5790859999999999E-2</v>
      </c>
      <c r="W2546">
        <v>1.187947E-2</v>
      </c>
      <c r="X2546">
        <v>0.99959679999999995</v>
      </c>
      <c r="Y2546">
        <v>-0.24651960000000001</v>
      </c>
      <c r="Z2546">
        <v>-1.026058E-2</v>
      </c>
      <c r="AA2546">
        <v>0.96908349999999999</v>
      </c>
      <c r="AB2546">
        <v>19</v>
      </c>
      <c r="AC2546">
        <v>-14.2708999999999</v>
      </c>
      <c r="AD2546">
        <v>-1.1106965968760001</v>
      </c>
      <c r="AE2546">
        <v>-3.5011999999999799</v>
      </c>
      <c r="AF2546">
        <v>-3.6577666705522902</v>
      </c>
      <c r="AG2546">
        <v>-1.1106965968760001</v>
      </c>
      <c r="AH2546">
        <v>14.1453675400817</v>
      </c>
      <c r="AI2546">
        <v>94.347248324797206</v>
      </c>
      <c r="AJ2546">
        <v>104.498199983427</v>
      </c>
      <c r="AK2546">
        <v>14.6527924570886</v>
      </c>
      <c r="AL2546">
        <v>89.319340514173902</v>
      </c>
      <c r="AM2546">
        <v>88.522024427153099</v>
      </c>
      <c r="AN2546">
        <v>1.00000002641862</v>
      </c>
    </row>
    <row r="2547" spans="1:40" x14ac:dyDescent="0.25">
      <c r="A2547" t="str">
        <f>"20190312154306149"</f>
        <v>20190312154306149</v>
      </c>
      <c r="B2547" t="str">
        <f>"1552376586139547"</f>
        <v>1552376586139547</v>
      </c>
      <c r="C2547" t="s">
        <v>40</v>
      </c>
      <c r="D2547">
        <v>4.6443099999999999</v>
      </c>
      <c r="E2547">
        <v>0.39424769999999998</v>
      </c>
      <c r="F2547" t="s">
        <v>49</v>
      </c>
      <c r="G2547">
        <v>-476.32319999999999</v>
      </c>
      <c r="H2547" s="1">
        <v>3.5190039999999998E-6</v>
      </c>
      <c r="I2547">
        <v>281.28719999999998</v>
      </c>
      <c r="J2547">
        <v>-462.48649999999998</v>
      </c>
      <c r="K2547">
        <v>1.1107089999999999</v>
      </c>
      <c r="L2547">
        <v>284.69630000000001</v>
      </c>
      <c r="M2547">
        <v>-0.99983420000000001</v>
      </c>
      <c r="N2547">
        <v>0</v>
      </c>
      <c r="O2547">
        <v>1.229718E-2</v>
      </c>
      <c r="P2547">
        <v>-0.99929420000000002</v>
      </c>
      <c r="Q2547">
        <v>-1.5427129999999901E-3</v>
      </c>
      <c r="R2547">
        <v>3.753737E-2</v>
      </c>
      <c r="S2547">
        <v>-3.0299990000000001</v>
      </c>
      <c r="T2547">
        <v>-0.2399029</v>
      </c>
      <c r="U2547">
        <v>-0.73587040000000004</v>
      </c>
      <c r="V2547">
        <v>2.5243169999999999E-2</v>
      </c>
      <c r="W2547">
        <v>1.189139E-2</v>
      </c>
      <c r="X2547">
        <v>0.99961060000000002</v>
      </c>
      <c r="Y2547">
        <v>-0.2471671</v>
      </c>
      <c r="Z2547">
        <v>-1.05889E-2</v>
      </c>
      <c r="AA2547">
        <v>0.96891499999999997</v>
      </c>
      <c r="AB2547">
        <v>19</v>
      </c>
      <c r="AC2547">
        <v>-13.8367</v>
      </c>
      <c r="AD2547">
        <v>-1.110705480996</v>
      </c>
      <c r="AE2547">
        <v>-3.40910000000002</v>
      </c>
      <c r="AF2547">
        <v>-3.5573990927637098</v>
      </c>
      <c r="AG2547">
        <v>-1.110705480996</v>
      </c>
      <c r="AH2547">
        <v>13.7104380130774</v>
      </c>
      <c r="AI2547">
        <v>94.483679157365998</v>
      </c>
      <c r="AJ2547">
        <v>104.545579625675</v>
      </c>
      <c r="AK2547">
        <v>14.207915592413499</v>
      </c>
      <c r="AL2547">
        <v>89.318657473540298</v>
      </c>
      <c r="AM2547">
        <v>88.553416928206502</v>
      </c>
      <c r="AN2547">
        <v>0.99999998721007</v>
      </c>
    </row>
    <row r="2548" spans="1:40" x14ac:dyDescent="0.25">
      <c r="A2548" t="str">
        <f>"20190312154306170"</f>
        <v>20190312154306170</v>
      </c>
      <c r="B2548" t="str">
        <f>"1552376586160042"</f>
        <v>1552376586160042</v>
      </c>
      <c r="C2548" t="s">
        <v>40</v>
      </c>
      <c r="D2548">
        <v>4.6541889999999997</v>
      </c>
      <c r="E2548">
        <v>0.3940689</v>
      </c>
      <c r="F2548" t="s">
        <v>49</v>
      </c>
      <c r="G2548">
        <v>-476.55360000000002</v>
      </c>
      <c r="H2548" s="1">
        <v>3.4153970000000001E-6</v>
      </c>
      <c r="I2548">
        <v>281.27080000000001</v>
      </c>
      <c r="J2548">
        <v>-462.67259999999999</v>
      </c>
      <c r="K2548">
        <v>1.110722</v>
      </c>
      <c r="L2548">
        <v>284.69839999999999</v>
      </c>
      <c r="M2548">
        <v>-0.99983639999999996</v>
      </c>
      <c r="N2548">
        <v>0</v>
      </c>
      <c r="O2548">
        <v>1.2126639999999999E-2</v>
      </c>
      <c r="P2548">
        <v>-0.99936069999999999</v>
      </c>
      <c r="Q2548" s="1">
        <v>-2.215151E-5</v>
      </c>
      <c r="R2548">
        <v>3.5756469999999999E-2</v>
      </c>
      <c r="S2548">
        <v>-3.0294490000000001</v>
      </c>
      <c r="T2548">
        <v>-0.23919770000000001</v>
      </c>
      <c r="U2548">
        <v>-0.73770139999999995</v>
      </c>
      <c r="V2548">
        <v>2.3631449999999998E-2</v>
      </c>
      <c r="W2548">
        <v>1.3410470000000001E-2</v>
      </c>
      <c r="X2548">
        <v>0.99963080000000004</v>
      </c>
      <c r="Y2548">
        <v>-0.2475986</v>
      </c>
      <c r="Z2548">
        <v>-1.0562490000000001E-2</v>
      </c>
      <c r="AA2548">
        <v>0.96880509999999997</v>
      </c>
      <c r="AB2548">
        <v>19</v>
      </c>
      <c r="AC2548">
        <v>-13.881</v>
      </c>
      <c r="AD2548">
        <v>-1.1107185846030001</v>
      </c>
      <c r="AE2548">
        <v>-3.42759999999998</v>
      </c>
      <c r="AF2548">
        <v>-3.5741238859022002</v>
      </c>
      <c r="AG2548">
        <v>-1.1107185846030001</v>
      </c>
      <c r="AH2548">
        <v>13.7553991789602</v>
      </c>
      <c r="AI2548">
        <v>94.468737516730599</v>
      </c>
      <c r="AJ2548">
        <v>104.565320617119</v>
      </c>
      <c r="AK2548">
        <v>14.255492411646101</v>
      </c>
      <c r="AL2548">
        <v>89.231613643971599</v>
      </c>
      <c r="AM2548">
        <v>88.645769812860394</v>
      </c>
      <c r="AN2548">
        <v>1.00000001122168</v>
      </c>
    </row>
    <row r="2549" spans="1:40" x14ac:dyDescent="0.25">
      <c r="A2549" t="str">
        <f>"20190312154306193"</f>
        <v>20190312154306193</v>
      </c>
      <c r="B2549" t="str">
        <f>"1552376586179562"</f>
        <v>1552376586179562</v>
      </c>
      <c r="C2549" t="s">
        <v>40</v>
      </c>
      <c r="D2549">
        <v>4.6382659999999998</v>
      </c>
      <c r="E2549">
        <v>0.39389639999999998</v>
      </c>
      <c r="F2549" t="s">
        <v>49</v>
      </c>
      <c r="G2549">
        <v>-476.87439999999998</v>
      </c>
      <c r="H2549" s="1">
        <v>3.2675079999999999E-6</v>
      </c>
      <c r="I2549">
        <v>281.20650000000001</v>
      </c>
      <c r="J2549">
        <v>-462.86090000000002</v>
      </c>
      <c r="K2549">
        <v>1.1107359999999999</v>
      </c>
      <c r="L2549">
        <v>284.70049999999998</v>
      </c>
      <c r="M2549">
        <v>-0.99983860000000002</v>
      </c>
      <c r="N2549">
        <v>0</v>
      </c>
      <c r="O2549">
        <v>1.1934739999999999E-2</v>
      </c>
      <c r="P2549">
        <v>-0.99943289999999996</v>
      </c>
      <c r="Q2549">
        <v>1.4516539999999999E-3</v>
      </c>
      <c r="R2549">
        <v>3.3642999999999999E-2</v>
      </c>
      <c r="S2549">
        <v>-3.0285639999999998</v>
      </c>
      <c r="T2549">
        <v>-0.2368633</v>
      </c>
      <c r="U2549">
        <v>-0.74465939999999997</v>
      </c>
      <c r="V2549">
        <v>2.170824E-2</v>
      </c>
      <c r="W2549">
        <v>1.48828E-2</v>
      </c>
      <c r="X2549">
        <v>0.99965360000000003</v>
      </c>
      <c r="Y2549">
        <v>-0.249587</v>
      </c>
      <c r="Z2549">
        <v>-1.0521590000000001E-2</v>
      </c>
      <c r="AA2549">
        <v>0.96829520000000002</v>
      </c>
      <c r="AB2549">
        <v>19</v>
      </c>
      <c r="AC2549">
        <v>-14.013499999999899</v>
      </c>
      <c r="AD2549">
        <v>-1.110732732492</v>
      </c>
      <c r="AE2549">
        <v>-3.49399999999997</v>
      </c>
      <c r="AF2549">
        <v>-3.6394871536651099</v>
      </c>
      <c r="AG2549">
        <v>-1.110732732492</v>
      </c>
      <c r="AH2549">
        <v>13.8886506597078</v>
      </c>
      <c r="AI2549">
        <v>94.423707416562493</v>
      </c>
      <c r="AJ2549">
        <v>104.684049931763</v>
      </c>
      <c r="AK2549">
        <v>14.4004934322447</v>
      </c>
      <c r="AL2549">
        <v>89.147246918098801</v>
      </c>
      <c r="AM2549">
        <v>88.755973994664501</v>
      </c>
      <c r="AN2549">
        <v>1.0000000327063401</v>
      </c>
    </row>
    <row r="2550" spans="1:40" x14ac:dyDescent="0.25">
      <c r="A2550" t="str">
        <f>"20190312154306215"</f>
        <v>20190312154306215</v>
      </c>
      <c r="B2550" t="str">
        <f>"1552376586209820"</f>
        <v>1552376586209820</v>
      </c>
      <c r="C2550" t="s">
        <v>40</v>
      </c>
      <c r="D2550">
        <v>4.6734239999999998</v>
      </c>
      <c r="E2550">
        <v>0.39346579999999998</v>
      </c>
      <c r="F2550" t="s">
        <v>49</v>
      </c>
      <c r="G2550">
        <v>-477.18759999999997</v>
      </c>
      <c r="H2550" s="1">
        <v>3.1225830000000001E-6</v>
      </c>
      <c r="I2550">
        <v>281.13740000000001</v>
      </c>
      <c r="J2550">
        <v>-463.04750000000001</v>
      </c>
      <c r="K2550">
        <v>1.11076</v>
      </c>
      <c r="L2550">
        <v>284.70249999999999</v>
      </c>
      <c r="M2550">
        <v>-0.99984139999999999</v>
      </c>
      <c r="N2550">
        <v>0</v>
      </c>
      <c r="O2550">
        <v>1.170831E-2</v>
      </c>
      <c r="P2550">
        <v>-0.99949829999999995</v>
      </c>
      <c r="Q2550">
        <v>1.8127390000000001E-3</v>
      </c>
      <c r="R2550">
        <v>3.162649E-2</v>
      </c>
      <c r="S2550">
        <v>-3.027374</v>
      </c>
      <c r="T2550">
        <v>-0.23470940000000001</v>
      </c>
      <c r="U2550">
        <v>-0.75292969999999904</v>
      </c>
      <c r="V2550">
        <v>1.9916710000000001E-2</v>
      </c>
      <c r="W2550">
        <v>1.5242769999999999E-2</v>
      </c>
      <c r="X2550">
        <v>0.9996855</v>
      </c>
      <c r="Y2550">
        <v>-0.2519556</v>
      </c>
      <c r="Z2550">
        <v>-1.049984E-2</v>
      </c>
      <c r="AA2550">
        <v>0.96768180000000004</v>
      </c>
      <c r="AB2550">
        <v>19</v>
      </c>
      <c r="AC2550">
        <v>-14.140099999999901</v>
      </c>
      <c r="AD2550">
        <v>-1.110756877417</v>
      </c>
      <c r="AE2550">
        <v>-3.56509999999997</v>
      </c>
      <c r="AF2550">
        <v>-3.7089085754711002</v>
      </c>
      <c r="AG2550">
        <v>-1.110756877417</v>
      </c>
      <c r="AH2550">
        <v>14.0160661844907</v>
      </c>
      <c r="AI2550">
        <v>94.3809817503722</v>
      </c>
      <c r="AJ2550">
        <v>104.821794061833</v>
      </c>
      <c r="AK2550">
        <v>14.540972971227101</v>
      </c>
      <c r="AL2550">
        <v>89.126619838979394</v>
      </c>
      <c r="AM2550">
        <v>88.858648567011997</v>
      </c>
      <c r="AN2550">
        <v>1.00000005814237</v>
      </c>
    </row>
    <row r="2551" spans="1:40" x14ac:dyDescent="0.25">
      <c r="A2551" t="str">
        <f>"20190312154306238"</f>
        <v>20190312154306238</v>
      </c>
      <c r="B2551" t="str">
        <f>"1552376586230318"</f>
        <v>1552376586230318</v>
      </c>
      <c r="C2551" t="s">
        <v>40</v>
      </c>
      <c r="D2551">
        <v>4.6969130000000003</v>
      </c>
      <c r="E2551">
        <v>0.3932274</v>
      </c>
      <c r="F2551" t="s">
        <v>49</v>
      </c>
      <c r="G2551">
        <v>-477.1771</v>
      </c>
      <c r="H2551" s="1">
        <v>3.127496E-6</v>
      </c>
      <c r="I2551">
        <v>281.1404</v>
      </c>
      <c r="J2551">
        <v>-463.23840000000001</v>
      </c>
      <c r="K2551">
        <v>1.110795</v>
      </c>
      <c r="L2551">
        <v>284.70440000000002</v>
      </c>
      <c r="M2551">
        <v>-0.99984470000000003</v>
      </c>
      <c r="N2551">
        <v>0</v>
      </c>
      <c r="O2551">
        <v>1.1411879999999999E-2</v>
      </c>
      <c r="P2551">
        <v>-0.99952700000000005</v>
      </c>
      <c r="Q2551">
        <v>1.0629820000000001E-3</v>
      </c>
      <c r="R2551">
        <v>3.0736289999999999E-2</v>
      </c>
      <c r="S2551">
        <v>-3.0261230000000001</v>
      </c>
      <c r="T2551">
        <v>-0.23789060000000001</v>
      </c>
      <c r="U2551">
        <v>-0.76287839999999996</v>
      </c>
      <c r="V2551">
        <v>1.9321620000000001E-2</v>
      </c>
      <c r="W2551">
        <v>1.449374E-2</v>
      </c>
      <c r="X2551">
        <v>0.99970820000000005</v>
      </c>
      <c r="Y2551">
        <v>-0.2547276</v>
      </c>
      <c r="Z2551">
        <v>-1.0726019999999999E-2</v>
      </c>
      <c r="AA2551">
        <v>0.96695339999999996</v>
      </c>
      <c r="AB2551">
        <v>19</v>
      </c>
      <c r="AC2551">
        <v>-13.9386999999999</v>
      </c>
      <c r="AD2551">
        <v>-1.110791872504</v>
      </c>
      <c r="AE2551">
        <v>-3.56400000000002</v>
      </c>
      <c r="AF2551">
        <v>-3.7007886938790802</v>
      </c>
      <c r="AG2551">
        <v>-1.110791872504</v>
      </c>
      <c r="AH2551">
        <v>13.8147671165568</v>
      </c>
      <c r="AI2551">
        <v>94.441108315830505</v>
      </c>
      <c r="AJ2551">
        <v>104.996645005262</v>
      </c>
      <c r="AK2551">
        <v>14.344946358403099</v>
      </c>
      <c r="AL2551">
        <v>89.169540740962603</v>
      </c>
      <c r="AM2551">
        <v>88.892767442540006</v>
      </c>
      <c r="AN2551">
        <v>0.99999993932292397</v>
      </c>
    </row>
    <row r="2552" spans="1:40" x14ac:dyDescent="0.25">
      <c r="A2552" t="str">
        <f>"20190312154306260"</f>
        <v>20190312154306260</v>
      </c>
      <c r="B2552" t="str">
        <f>"1552376586249835"</f>
        <v>1552376586249835</v>
      </c>
      <c r="C2552" t="s">
        <v>40</v>
      </c>
      <c r="D2552">
        <v>4.7112160000000003</v>
      </c>
      <c r="E2552">
        <v>0.3930612</v>
      </c>
      <c r="F2552" t="s">
        <v>49</v>
      </c>
      <c r="G2552">
        <v>-477.14389999999997</v>
      </c>
      <c r="H2552" s="1">
        <v>3.145108E-6</v>
      </c>
      <c r="I2552">
        <v>281.17360000000002</v>
      </c>
      <c r="J2552">
        <v>-463.4282</v>
      </c>
      <c r="K2552">
        <v>1.110846</v>
      </c>
      <c r="L2552">
        <v>284.70620000000002</v>
      </c>
      <c r="M2552">
        <v>-0.99984930000000005</v>
      </c>
      <c r="N2552">
        <v>0</v>
      </c>
      <c r="O2552">
        <v>1.101594E-2</v>
      </c>
      <c r="P2552">
        <v>-0.99954410000000005</v>
      </c>
      <c r="Q2552">
        <v>1.4979839999999999E-3</v>
      </c>
      <c r="R2552">
        <v>3.01575E-2</v>
      </c>
      <c r="S2552">
        <v>-3.0252690000000002</v>
      </c>
      <c r="T2552">
        <v>-0.24166299999999999</v>
      </c>
      <c r="U2552">
        <v>-0.76815800000000001</v>
      </c>
      <c r="V2552">
        <v>1.9136159999999999E-2</v>
      </c>
      <c r="W2552">
        <v>1.4929039999999999E-2</v>
      </c>
      <c r="X2552">
        <v>0.99970539999999997</v>
      </c>
      <c r="Y2552">
        <v>-0.25596790000000003</v>
      </c>
      <c r="Z2552">
        <v>-1.0913880000000001E-2</v>
      </c>
      <c r="AA2552">
        <v>0.96662369999999997</v>
      </c>
      <c r="AB2552">
        <v>19</v>
      </c>
      <c r="AC2552">
        <v>-13.715699999999901</v>
      </c>
      <c r="AD2552">
        <v>-1.110842854892</v>
      </c>
      <c r="AE2552">
        <v>-3.5326</v>
      </c>
      <c r="AF2552">
        <v>-3.66097039646692</v>
      </c>
      <c r="AG2552">
        <v>-1.110842854892</v>
      </c>
      <c r="AH2552">
        <v>13.592337105110399</v>
      </c>
      <c r="AI2552">
        <v>94.512055136459097</v>
      </c>
      <c r="AJ2552">
        <v>105.074364037622</v>
      </c>
      <c r="AK2552">
        <v>14.120492345206401</v>
      </c>
      <c r="AL2552">
        <v>89.144597220014205</v>
      </c>
      <c r="AM2552">
        <v>88.903389617735996</v>
      </c>
      <c r="AN2552">
        <v>0.999999977822013</v>
      </c>
    </row>
    <row r="2553" spans="1:40" x14ac:dyDescent="0.25">
      <c r="A2553" t="str">
        <f>"20190312154306282"</f>
        <v>20190312154306282</v>
      </c>
      <c r="B2553" t="str">
        <f>"1552376586270331"</f>
        <v>1552376586270331</v>
      </c>
      <c r="C2553" t="s">
        <v>40</v>
      </c>
      <c r="D2553">
        <v>4.7155110000000002</v>
      </c>
      <c r="E2553">
        <v>0.39292539999999998</v>
      </c>
      <c r="F2553" t="s">
        <v>49</v>
      </c>
      <c r="G2553">
        <v>-477.37419999999997</v>
      </c>
      <c r="H2553" s="1">
        <v>3.0406979999999999E-6</v>
      </c>
      <c r="I2553">
        <v>281.1474</v>
      </c>
      <c r="J2553">
        <v>-463.61099999999999</v>
      </c>
      <c r="K2553">
        <v>1.1109340000000001</v>
      </c>
      <c r="L2553">
        <v>284.70769999999999</v>
      </c>
      <c r="M2553">
        <v>-0.99985489999999999</v>
      </c>
      <c r="N2553">
        <v>0</v>
      </c>
      <c r="O2553">
        <v>1.049807E-2</v>
      </c>
      <c r="P2553">
        <v>-0.9995404</v>
      </c>
      <c r="Q2553">
        <v>2.1071340000000001E-3</v>
      </c>
      <c r="R2553">
        <v>3.0242720000000001E-2</v>
      </c>
      <c r="S2553">
        <v>-3.0250240000000002</v>
      </c>
      <c r="T2553">
        <v>-0.24095269999999999</v>
      </c>
      <c r="U2553">
        <v>-0.77194209999999996</v>
      </c>
      <c r="V2553">
        <v>1.9735639999999999E-2</v>
      </c>
      <c r="W2553">
        <v>1.554171E-2</v>
      </c>
      <c r="X2553">
        <v>0.99968449999999998</v>
      </c>
      <c r="Y2553">
        <v>-0.25662610000000002</v>
      </c>
      <c r="Z2553">
        <v>-1.0866290000000001E-2</v>
      </c>
      <c r="AA2553">
        <v>0.96644969999999997</v>
      </c>
      <c r="AB2553">
        <v>19</v>
      </c>
      <c r="AC2553">
        <v>-13.7631999999999</v>
      </c>
      <c r="AD2553">
        <v>-1.110930959302</v>
      </c>
      <c r="AE2553">
        <v>-3.5602999999999798</v>
      </c>
      <c r="AF2553">
        <v>-3.6821183110650102</v>
      </c>
      <c r="AG2553">
        <v>-1.110930959302</v>
      </c>
      <c r="AH2553">
        <v>13.641756014551699</v>
      </c>
      <c r="AI2553">
        <v>94.495485349631906</v>
      </c>
      <c r="AJ2553">
        <v>105.105050421271</v>
      </c>
      <c r="AK2553">
        <v>14.173555306047</v>
      </c>
      <c r="AL2553">
        <v>89.109489820692104</v>
      </c>
      <c r="AM2553">
        <v>88.869021166317694</v>
      </c>
      <c r="AN2553">
        <v>1.00000006988808</v>
      </c>
    </row>
    <row r="2554" spans="1:40" x14ac:dyDescent="0.25">
      <c r="A2554" t="str">
        <f>"20190312154306305"</f>
        <v>20190312154306305</v>
      </c>
      <c r="B2554" t="str">
        <f>"1552376586299610"</f>
        <v>1552376586299610</v>
      </c>
      <c r="C2554" t="s">
        <v>40</v>
      </c>
      <c r="D2554">
        <v>4.8438910000000002</v>
      </c>
      <c r="E2554">
        <v>0.39290829999999999</v>
      </c>
      <c r="F2554" t="s">
        <v>49</v>
      </c>
      <c r="G2554">
        <v>-477.55500000000001</v>
      </c>
      <c r="H2554" s="1">
        <v>2.9602769999999998E-6</v>
      </c>
      <c r="I2554">
        <v>281.14460000000003</v>
      </c>
      <c r="J2554">
        <v>-463.80090000000001</v>
      </c>
      <c r="K2554">
        <v>1.1110640000000001</v>
      </c>
      <c r="L2554">
        <v>284.70890000000003</v>
      </c>
      <c r="M2554">
        <v>-0.99986220000000003</v>
      </c>
      <c r="N2554">
        <v>0</v>
      </c>
      <c r="O2554">
        <v>9.7789130000000002E-3</v>
      </c>
      <c r="P2554">
        <v>-0.99954469999999995</v>
      </c>
      <c r="Q2554">
        <v>2.516346E-3</v>
      </c>
      <c r="R2554">
        <v>3.007313E-2</v>
      </c>
      <c r="S2554">
        <v>-3.0252690000000002</v>
      </c>
      <c r="T2554">
        <v>-0.24102570000000001</v>
      </c>
      <c r="U2554">
        <v>-0.77304079999999997</v>
      </c>
      <c r="V2554">
        <v>2.0280070000000001E-2</v>
      </c>
      <c r="W2554">
        <v>1.5956499999999998E-2</v>
      </c>
      <c r="X2554">
        <v>0.99966699999999997</v>
      </c>
      <c r="Y2554">
        <v>-0.2562449</v>
      </c>
      <c r="Z2554">
        <v>-1.0796979999999999E-2</v>
      </c>
      <c r="AA2554">
        <v>0.96655159999999996</v>
      </c>
      <c r="AB2554">
        <v>19</v>
      </c>
      <c r="AC2554">
        <v>-13.7540999999999</v>
      </c>
      <c r="AD2554">
        <v>-1.1110610397229901</v>
      </c>
      <c r="AE2554">
        <v>-3.5642999999999998</v>
      </c>
      <c r="AF2554">
        <v>-3.6761627240774999</v>
      </c>
      <c r="AG2554">
        <v>-1.1110610397229901</v>
      </c>
      <c r="AH2554">
        <v>13.6352072908998</v>
      </c>
      <c r="AI2554">
        <v>94.498506064810698</v>
      </c>
      <c r="AJ2554">
        <v>105.08864607317599</v>
      </c>
      <c r="AK2554">
        <v>14.1657158969709</v>
      </c>
      <c r="AL2554">
        <v>89.085721094915002</v>
      </c>
      <c r="AM2554">
        <v>88.837809936054796</v>
      </c>
      <c r="AN2554">
        <v>1.0000000010102199</v>
      </c>
    </row>
    <row r="2555" spans="1:40" x14ac:dyDescent="0.25">
      <c r="A2555" t="str">
        <f>"20190312154306327"</f>
        <v>20190312154306327</v>
      </c>
      <c r="B2555" t="str">
        <f>"1552376586320110"</f>
        <v>1552376586320110</v>
      </c>
      <c r="C2555" t="s">
        <v>40</v>
      </c>
      <c r="D2555">
        <v>4.7589269999999999</v>
      </c>
      <c r="E2555">
        <v>0.3927871</v>
      </c>
      <c r="F2555" t="s">
        <v>49</v>
      </c>
      <c r="G2555">
        <v>-477.76589999999999</v>
      </c>
      <c r="H2555" s="1">
        <v>2.8658659999999999E-6</v>
      </c>
      <c r="I2555">
        <v>281.13459999999998</v>
      </c>
      <c r="J2555">
        <v>-463.99</v>
      </c>
      <c r="K2555">
        <v>1.1112139999999999</v>
      </c>
      <c r="L2555">
        <v>284.70979999999997</v>
      </c>
      <c r="M2555">
        <v>-0.99987099999999995</v>
      </c>
      <c r="N2555">
        <v>0</v>
      </c>
      <c r="O2555">
        <v>8.8287330000000001E-3</v>
      </c>
      <c r="P2555">
        <v>-0.99953479999999995</v>
      </c>
      <c r="Q2555">
        <v>2.46642E-3</v>
      </c>
      <c r="R2555">
        <v>3.0402080000000001E-2</v>
      </c>
      <c r="S2555">
        <v>-3.0252379999999999</v>
      </c>
      <c r="T2555">
        <v>-0.2406886</v>
      </c>
      <c r="U2555">
        <v>-0.77429199999999998</v>
      </c>
      <c r="V2555">
        <v>2.155348E-2</v>
      </c>
      <c r="W2555">
        <v>1.591598E-2</v>
      </c>
      <c r="X2555">
        <v>0.999641</v>
      </c>
      <c r="Y2555">
        <v>-0.25571080000000002</v>
      </c>
      <c r="Z2555">
        <v>-1.0686279999999999E-2</v>
      </c>
      <c r="AA2555">
        <v>0.96669430000000001</v>
      </c>
      <c r="AB2555">
        <v>19</v>
      </c>
      <c r="AC2555">
        <v>-13.775899999999901</v>
      </c>
      <c r="AD2555">
        <v>-1.1112111341340001</v>
      </c>
      <c r="AE2555">
        <v>-3.5751999999999899</v>
      </c>
      <c r="AF2555">
        <v>-3.6742968177846498</v>
      </c>
      <c r="AG2555">
        <v>-1.1112111341340001</v>
      </c>
      <c r="AH2555">
        <v>13.6605211488551</v>
      </c>
      <c r="AI2555">
        <v>94.491522728259099</v>
      </c>
      <c r="AJ2555">
        <v>105.054659507097</v>
      </c>
      <c r="AK2555">
        <v>14.1896118815182</v>
      </c>
      <c r="AL2555">
        <v>89.088043013746798</v>
      </c>
      <c r="AM2555">
        <v>88.764824447096302</v>
      </c>
      <c r="AN2555">
        <v>0.99999999990023503</v>
      </c>
    </row>
    <row r="2556" spans="1:40" x14ac:dyDescent="0.25">
      <c r="A2556" t="str">
        <f>"20190312154306350"</f>
        <v>20190312154306350</v>
      </c>
      <c r="B2556" t="str">
        <f>"1552376586340359"</f>
        <v>1552376586340359</v>
      </c>
      <c r="C2556" t="s">
        <v>40</v>
      </c>
      <c r="D2556">
        <v>4.7622600000000004</v>
      </c>
      <c r="E2556">
        <v>0.38931169999999998</v>
      </c>
      <c r="F2556" t="s">
        <v>49</v>
      </c>
      <c r="G2556">
        <v>-477.81990000000002</v>
      </c>
      <c r="H2556" s="1">
        <v>2.8450030000000002E-6</v>
      </c>
      <c r="I2556">
        <v>281.1696</v>
      </c>
      <c r="J2556">
        <v>-464.17660000000001</v>
      </c>
      <c r="K2556">
        <v>1.111375</v>
      </c>
      <c r="L2556">
        <v>284.71010000000001</v>
      </c>
      <c r="M2556">
        <v>-0.99988100000000002</v>
      </c>
      <c r="N2556">
        <v>0</v>
      </c>
      <c r="O2556">
        <v>7.5921499999999998E-3</v>
      </c>
      <c r="P2556">
        <v>-0.9995541</v>
      </c>
      <c r="Q2556">
        <v>1.9718539999999999E-3</v>
      </c>
      <c r="R2556">
        <v>2.9797379999999998E-2</v>
      </c>
      <c r="S2556">
        <v>-3.0255740000000002</v>
      </c>
      <c r="T2556">
        <v>-0.24310029999999999</v>
      </c>
      <c r="U2556">
        <v>-0.77447509999999997</v>
      </c>
      <c r="V2556">
        <v>2.2179250000000001E-2</v>
      </c>
      <c r="W2556">
        <v>1.5433479999999999E-2</v>
      </c>
      <c r="X2556">
        <v>0.99963489999999999</v>
      </c>
      <c r="Y2556">
        <v>-0.25453609999999999</v>
      </c>
      <c r="Z2556">
        <v>-1.0647729999999999E-2</v>
      </c>
      <c r="AA2556">
        <v>0.96700469999999905</v>
      </c>
      <c r="AB2556">
        <v>19</v>
      </c>
      <c r="AC2556">
        <v>-13.6433</v>
      </c>
      <c r="AD2556">
        <v>-1.1113721549969999</v>
      </c>
      <c r="AE2556">
        <v>-3.5405000000000002</v>
      </c>
      <c r="AF2556">
        <v>-3.62147479158204</v>
      </c>
      <c r="AG2556">
        <v>-1.1113721549969999</v>
      </c>
      <c r="AH2556">
        <v>13.531897367397599</v>
      </c>
      <c r="AI2556">
        <v>94.536215291750295</v>
      </c>
      <c r="AJ2556">
        <v>104.982671014762</v>
      </c>
      <c r="AK2556">
        <v>14.052134147336799</v>
      </c>
      <c r="AL2556">
        <v>89.115691644303197</v>
      </c>
      <c r="AM2556">
        <v>88.728966991991598</v>
      </c>
      <c r="AN2556">
        <v>1.00000002236674</v>
      </c>
    </row>
    <row r="2557" spans="1:40" x14ac:dyDescent="0.25">
      <c r="A2557" t="str">
        <f>"20190312154306372"</f>
        <v>20190312154306372</v>
      </c>
      <c r="B2557" t="str">
        <f>"1552376586369883"</f>
        <v>1552376586369883</v>
      </c>
      <c r="C2557" t="s">
        <v>40</v>
      </c>
      <c r="D2557">
        <v>4.7548159999999999</v>
      </c>
      <c r="E2557">
        <v>0.39003529999999997</v>
      </c>
      <c r="F2557" t="s">
        <v>49</v>
      </c>
      <c r="G2557">
        <v>-475.78989999999999</v>
      </c>
      <c r="H2557" s="1">
        <v>3.7842920000000001E-6</v>
      </c>
      <c r="I2557">
        <v>281.61680000000001</v>
      </c>
      <c r="J2557">
        <v>-464.3623</v>
      </c>
      <c r="K2557">
        <v>1.111556</v>
      </c>
      <c r="L2557">
        <v>284.70979999999997</v>
      </c>
      <c r="M2557">
        <v>-0.99989150000000004</v>
      </c>
      <c r="N2557">
        <v>0</v>
      </c>
      <c r="O2557">
        <v>6.0611700000000003E-3</v>
      </c>
      <c r="P2557">
        <v>-0.99959469999999995</v>
      </c>
      <c r="Q2557">
        <v>2.1283790000000001E-3</v>
      </c>
      <c r="R2557">
        <v>2.8394699999999998E-2</v>
      </c>
      <c r="S2557">
        <v>-3.0259399999999999</v>
      </c>
      <c r="T2557">
        <v>-0.28957709999999998</v>
      </c>
      <c r="U2557">
        <v>-0.80599980000000004</v>
      </c>
      <c r="V2557">
        <v>2.2300070000000002E-2</v>
      </c>
      <c r="W2557">
        <v>1.5604170000000001E-2</v>
      </c>
      <c r="X2557">
        <v>0.99962960000000001</v>
      </c>
      <c r="Y2557">
        <v>-0.26209719999999997</v>
      </c>
      <c r="Z2557">
        <v>-1.2868579999999999E-2</v>
      </c>
      <c r="AA2557">
        <v>0.96495569999999997</v>
      </c>
      <c r="AB2557">
        <v>19</v>
      </c>
      <c r="AC2557">
        <v>-11.427599999999901</v>
      </c>
      <c r="AD2557">
        <v>-1.111552215708</v>
      </c>
      <c r="AE2557">
        <v>-3.09299999999996</v>
      </c>
      <c r="AF2557">
        <v>-3.1345812098543102</v>
      </c>
      <c r="AG2557">
        <v>-1.111552215708</v>
      </c>
      <c r="AH2557">
        <v>11.3089473740615</v>
      </c>
      <c r="AI2557">
        <v>95.4108260469025</v>
      </c>
      <c r="AJ2557">
        <v>105.492154970977</v>
      </c>
      <c r="AK2557">
        <v>11.7878513054208</v>
      </c>
      <c r="AL2557">
        <v>89.105910683883195</v>
      </c>
      <c r="AM2557">
        <v>88.722038640109204</v>
      </c>
      <c r="AN2557">
        <v>1.0000000602197701</v>
      </c>
    </row>
    <row r="2558" spans="1:40" x14ac:dyDescent="0.25">
      <c r="A2558" t="str">
        <f>"20190312154306394"</f>
        <v>20190312154306394</v>
      </c>
      <c r="B2558" t="str">
        <f>"1552376586390378"</f>
        <v>1552376586390378</v>
      </c>
      <c r="C2558" t="s">
        <v>40</v>
      </c>
      <c r="D2558">
        <v>4.7856920000000001</v>
      </c>
      <c r="E2558">
        <v>0.3896136</v>
      </c>
      <c r="F2558" t="s">
        <v>49</v>
      </c>
      <c r="G2558">
        <v>-475.66379999999998</v>
      </c>
      <c r="H2558" s="1">
        <v>3.8478970000000002E-6</v>
      </c>
      <c r="I2558">
        <v>281.70440000000002</v>
      </c>
      <c r="J2558">
        <v>-464.54610000000002</v>
      </c>
      <c r="K2558">
        <v>1.111712</v>
      </c>
      <c r="L2558">
        <v>284.709</v>
      </c>
      <c r="M2558">
        <v>-0.99990060000000003</v>
      </c>
      <c r="N2558">
        <v>0</v>
      </c>
      <c r="O2558">
        <v>4.2917529999999997E-3</v>
      </c>
      <c r="P2558">
        <v>-0.99965570000000004</v>
      </c>
      <c r="Q2558">
        <v>2.585366E-3</v>
      </c>
      <c r="R2558">
        <v>2.6118849999999999E-2</v>
      </c>
      <c r="S2558">
        <v>-3.0246580000000001</v>
      </c>
      <c r="T2558">
        <v>-0.29748829999999998</v>
      </c>
      <c r="U2558">
        <v>-0.80435179999999995</v>
      </c>
      <c r="V2558">
        <v>2.178569E-2</v>
      </c>
      <c r="W2558">
        <v>1.6072840000000001E-2</v>
      </c>
      <c r="X2558">
        <v>0.99963340000000001</v>
      </c>
      <c r="Y2558">
        <v>-0.25995360000000001</v>
      </c>
      <c r="Z2558">
        <v>-1.2950740000000001E-2</v>
      </c>
      <c r="AA2558">
        <v>0.96553429999999996</v>
      </c>
      <c r="AB2558">
        <v>19</v>
      </c>
      <c r="AC2558">
        <v>-11.1176999999999</v>
      </c>
      <c r="AD2558">
        <v>-1.1117081521029999</v>
      </c>
      <c r="AE2558">
        <v>-3.00459999999998</v>
      </c>
      <c r="AF2558">
        <v>-3.0241114552574602</v>
      </c>
      <c r="AG2558">
        <v>-1.1117081521029999</v>
      </c>
      <c r="AH2558">
        <v>11.002179754802</v>
      </c>
      <c r="AI2558">
        <v>95.564814043127896</v>
      </c>
      <c r="AJ2558">
        <v>105.369046906633</v>
      </c>
      <c r="AK2558">
        <v>11.464253332260601</v>
      </c>
      <c r="AL2558">
        <v>89.079054395950195</v>
      </c>
      <c r="AM2558">
        <v>88.751511778469506</v>
      </c>
      <c r="AN2558">
        <v>0.99999994343499898</v>
      </c>
    </row>
    <row r="2559" spans="1:40" x14ac:dyDescent="0.25">
      <c r="A2559" t="str">
        <f>"20190312154306416"</f>
        <v>20190312154306416</v>
      </c>
      <c r="B2559" t="str">
        <f>"1552376586409898"</f>
        <v>1552376586409898</v>
      </c>
      <c r="C2559" t="s">
        <v>40</v>
      </c>
      <c r="D2559">
        <v>4.7759900000000002</v>
      </c>
      <c r="E2559">
        <v>0.38931529999999998</v>
      </c>
      <c r="F2559" t="s">
        <v>49</v>
      </c>
      <c r="G2559">
        <v>-475.7269</v>
      </c>
      <c r="H2559" s="1">
        <v>3.8193750000000002E-6</v>
      </c>
      <c r="I2559">
        <v>281.69830000000002</v>
      </c>
      <c r="J2559">
        <v>-464.73090000000002</v>
      </c>
      <c r="K2559">
        <v>1.1118459999999999</v>
      </c>
      <c r="L2559">
        <v>284.70760000000001</v>
      </c>
      <c r="M2559">
        <v>-0.9999072</v>
      </c>
      <c r="N2559">
        <v>0</v>
      </c>
      <c r="O2559">
        <v>2.2687699999999998E-3</v>
      </c>
      <c r="P2559">
        <v>-0.99972609999999995</v>
      </c>
      <c r="Q2559">
        <v>2.479317E-3</v>
      </c>
      <c r="R2559">
        <v>2.3278759999999999E-2</v>
      </c>
      <c r="S2559">
        <v>-3.0230410000000001</v>
      </c>
      <c r="T2559">
        <v>-0.30058089999999998</v>
      </c>
      <c r="U2559">
        <v>-0.81402589999999997</v>
      </c>
      <c r="V2559">
        <v>2.0963180000000001E-2</v>
      </c>
      <c r="W2559">
        <v>1.597558E-2</v>
      </c>
      <c r="X2559">
        <v>0.9996526</v>
      </c>
      <c r="Y2559">
        <v>-0.260991799999999</v>
      </c>
      <c r="Z2559">
        <v>-1.2939559999999999E-2</v>
      </c>
      <c r="AA2559">
        <v>0.96525430000000001</v>
      </c>
      <c r="AB2559">
        <v>19</v>
      </c>
      <c r="AC2559">
        <v>-10.995999999999899</v>
      </c>
      <c r="AD2559">
        <v>-1.1118421806249901</v>
      </c>
      <c r="AE2559">
        <v>-3.0092999999999899</v>
      </c>
      <c r="AF2559">
        <v>-3.0056535489677301</v>
      </c>
      <c r="AG2559">
        <v>-1.1118421806249901</v>
      </c>
      <c r="AH2559">
        <v>10.8856049587979</v>
      </c>
      <c r="AI2559">
        <v>95.622916213979195</v>
      </c>
      <c r="AJ2559">
        <v>105.43550392890801</v>
      </c>
      <c r="AK2559">
        <v>11.3475346049282</v>
      </c>
      <c r="AL2559">
        <v>89.084627748755807</v>
      </c>
      <c r="AM2559">
        <v>88.798656933467797</v>
      </c>
      <c r="AN2559">
        <v>0.99999999737940404</v>
      </c>
    </row>
    <row r="2560" spans="1:40" x14ac:dyDescent="0.25">
      <c r="A2560" t="str">
        <f>"20190312154306439"</f>
        <v>20190312154306439</v>
      </c>
      <c r="B2560" t="str">
        <f>"1552376586430394"</f>
        <v>1552376586430394</v>
      </c>
      <c r="C2560" t="s">
        <v>40</v>
      </c>
      <c r="D2560">
        <v>4.8082039999999999</v>
      </c>
      <c r="E2560">
        <v>0.3891946</v>
      </c>
      <c r="F2560" t="s">
        <v>49</v>
      </c>
      <c r="G2560">
        <v>-475.7978</v>
      </c>
      <c r="H2560" s="1">
        <v>3.7868439999999998E-6</v>
      </c>
      <c r="I2560">
        <v>281.68560000000002</v>
      </c>
      <c r="J2560">
        <v>-464.91849999999999</v>
      </c>
      <c r="K2560">
        <v>1.111964</v>
      </c>
      <c r="L2560">
        <v>284.7054</v>
      </c>
      <c r="M2560">
        <v>-0.99990979999999996</v>
      </c>
      <c r="N2560">
        <v>0</v>
      </c>
      <c r="O2560" s="1">
        <v>-3.217583E-5</v>
      </c>
      <c r="P2560">
        <v>-0.99982159999999998</v>
      </c>
      <c r="Q2560">
        <v>1.8297140000000001E-3</v>
      </c>
      <c r="R2560">
        <v>1.8809090000000001E-2</v>
      </c>
      <c r="S2560">
        <v>-3.0207820000000001</v>
      </c>
      <c r="T2560">
        <v>-0.30348599999999998</v>
      </c>
      <c r="U2560">
        <v>-0.82485959999999903</v>
      </c>
      <c r="V2560">
        <v>1.8791289999999999E-2</v>
      </c>
      <c r="W2560">
        <v>1.533002E-2</v>
      </c>
      <c r="X2560">
        <v>0.99970590000000004</v>
      </c>
      <c r="Y2560">
        <v>-0.26215840000000001</v>
      </c>
      <c r="Z2560">
        <v>-1.2898339999999999E-2</v>
      </c>
      <c r="AA2560">
        <v>0.96493859999999998</v>
      </c>
      <c r="AB2560">
        <v>19</v>
      </c>
      <c r="AC2560">
        <v>-10.879300000000001</v>
      </c>
      <c r="AD2560">
        <v>-1.111960213156</v>
      </c>
      <c r="AE2560">
        <v>-3.0197999999999698</v>
      </c>
      <c r="AF2560">
        <v>-2.9904445879991401</v>
      </c>
      <c r="AG2560">
        <v>-1.111960213156</v>
      </c>
      <c r="AH2560">
        <v>10.774887904138501</v>
      </c>
      <c r="AI2560">
        <v>95.678848995689094</v>
      </c>
      <c r="AJ2560">
        <v>105.511374578231</v>
      </c>
      <c r="AK2560">
        <v>11.237322799327501</v>
      </c>
      <c r="AL2560">
        <v>89.121620151026093</v>
      </c>
      <c r="AM2560">
        <v>88.923148464642907</v>
      </c>
      <c r="AN2560">
        <v>1.0000000042939301</v>
      </c>
    </row>
    <row r="2561" spans="1:40" x14ac:dyDescent="0.25">
      <c r="A2561" t="str">
        <f>"20190312154306460"</f>
        <v>20190312154306460</v>
      </c>
      <c r="B2561" t="str">
        <f>"1552376586449915"</f>
        <v>1552376586449915</v>
      </c>
      <c r="C2561" t="s">
        <v>40</v>
      </c>
      <c r="D2561">
        <v>4.7964029999999998</v>
      </c>
      <c r="E2561">
        <v>0.38908229999999999</v>
      </c>
      <c r="F2561" t="s">
        <v>49</v>
      </c>
      <c r="G2561">
        <v>-475.7285</v>
      </c>
      <c r="H2561" s="1">
        <v>3.8188590000000003E-6</v>
      </c>
      <c r="I2561">
        <v>281.70030000000003</v>
      </c>
      <c r="J2561">
        <v>-465.09469999999999</v>
      </c>
      <c r="K2561">
        <v>1.112063</v>
      </c>
      <c r="L2561">
        <v>284.70280000000002</v>
      </c>
      <c r="M2561">
        <v>-0.99990679999999998</v>
      </c>
      <c r="N2561">
        <v>0</v>
      </c>
      <c r="O2561">
        <v>-2.4082790000000001E-3</v>
      </c>
      <c r="P2561">
        <v>-0.9999133</v>
      </c>
      <c r="Q2561">
        <v>-4.6795609999999998E-4</v>
      </c>
      <c r="R2561">
        <v>1.317728E-2</v>
      </c>
      <c r="S2561">
        <v>-3.0168759999999999</v>
      </c>
      <c r="T2561">
        <v>-0.31033110000000003</v>
      </c>
      <c r="U2561">
        <v>-0.83868410000000004</v>
      </c>
      <c r="V2561">
        <v>1.5539890000000001E-2</v>
      </c>
      <c r="W2561">
        <v>1.303142E-2</v>
      </c>
      <c r="X2561">
        <v>0.99979430000000002</v>
      </c>
      <c r="Y2561">
        <v>-0.26423659999999999</v>
      </c>
      <c r="Z2561">
        <v>-1.306175E-2</v>
      </c>
      <c r="AA2561">
        <v>0.96436940000000004</v>
      </c>
      <c r="AB2561">
        <v>19</v>
      </c>
      <c r="AC2561">
        <v>-10.633800000000001</v>
      </c>
      <c r="AD2561">
        <v>-1.1120591811409899</v>
      </c>
      <c r="AE2561">
        <v>-3.0024999999999902</v>
      </c>
      <c r="AF2561">
        <v>-2.9470293951394102</v>
      </c>
      <c r="AG2561">
        <v>-1.1120591811409899</v>
      </c>
      <c r="AH2561">
        <v>10.5342988776188</v>
      </c>
      <c r="AI2561">
        <v>95.8048765032148</v>
      </c>
      <c r="AJ2561">
        <v>105.62926204673001</v>
      </c>
      <c r="AK2561">
        <v>10.9951403229416</v>
      </c>
      <c r="AL2561">
        <v>89.253333479765502</v>
      </c>
      <c r="AM2561">
        <v>89.109518407228293</v>
      </c>
      <c r="AN2561">
        <v>0.99999997420045805</v>
      </c>
    </row>
    <row r="2562" spans="1:40" x14ac:dyDescent="0.25">
      <c r="A2562" t="str">
        <f>"20190312154306477"</f>
        <v>20190312154306477</v>
      </c>
      <c r="B2562" t="str">
        <f>"1552376586470410"</f>
        <v>1552376586470410</v>
      </c>
      <c r="C2562" t="s">
        <v>40</v>
      </c>
      <c r="D2562">
        <v>4.7758789999999998</v>
      </c>
      <c r="E2562">
        <v>0.38900079999999998</v>
      </c>
      <c r="F2562" t="s">
        <v>49</v>
      </c>
      <c r="G2562">
        <v>-475.5224</v>
      </c>
      <c r="H2562" s="1">
        <v>3.913674E-6</v>
      </c>
      <c r="I2562">
        <v>281.7396</v>
      </c>
      <c r="J2562">
        <v>-465.22919999999999</v>
      </c>
      <c r="K2562">
        <v>1.1121379999999901</v>
      </c>
      <c r="L2562">
        <v>284.70030000000003</v>
      </c>
      <c r="M2562">
        <v>-0.99990020000000002</v>
      </c>
      <c r="N2562">
        <v>0</v>
      </c>
      <c r="O2562">
        <v>-4.3560659999999996E-3</v>
      </c>
      <c r="P2562">
        <v>-0.99995599999999996</v>
      </c>
      <c r="Q2562">
        <v>-1.8501660000000001E-3</v>
      </c>
      <c r="R2562">
        <v>9.2253860000000003E-3</v>
      </c>
      <c r="S2562">
        <v>-3.0113829999999999</v>
      </c>
      <c r="T2562">
        <v>-0.32114779999999998</v>
      </c>
      <c r="U2562">
        <v>-0.85574340000000004</v>
      </c>
      <c r="V2562">
        <v>1.3538440000000001E-2</v>
      </c>
      <c r="W2562">
        <v>1.1649649999999999E-2</v>
      </c>
      <c r="X2562">
        <v>0.99984050000000002</v>
      </c>
      <c r="Y2562">
        <v>-0.26777210000000001</v>
      </c>
      <c r="Z2562">
        <v>-1.3509419999999999E-2</v>
      </c>
      <c r="AA2562">
        <v>0.96338749999999995</v>
      </c>
      <c r="AB2562">
        <v>19</v>
      </c>
      <c r="AC2562">
        <v>-10.293200000000001</v>
      </c>
      <c r="AD2562">
        <v>-1.1121340863260001</v>
      </c>
      <c r="AE2562">
        <v>-2.9607000000000299</v>
      </c>
      <c r="AF2562">
        <v>-2.88472743271238</v>
      </c>
      <c r="AG2562">
        <v>-1.1121340863260001</v>
      </c>
      <c r="AH2562">
        <v>10.1960684883688</v>
      </c>
      <c r="AI2562">
        <v>95.991542519462897</v>
      </c>
      <c r="AJ2562">
        <v>105.797559186215</v>
      </c>
      <c r="AK2562">
        <v>10.6544970414618</v>
      </c>
      <c r="AL2562">
        <v>89.332509133327093</v>
      </c>
      <c r="AM2562">
        <v>89.224228193354605</v>
      </c>
      <c r="AN2562">
        <v>1.0000000145715</v>
      </c>
    </row>
    <row r="2563" spans="1:40" x14ac:dyDescent="0.25">
      <c r="A2563" t="str">
        <f>"20190312154306494"</f>
        <v>20190312154306494</v>
      </c>
      <c r="B2563" t="str">
        <f>"1552376586489934"</f>
        <v>1552376586489934</v>
      </c>
      <c r="C2563" t="s">
        <v>40</v>
      </c>
      <c r="D2563">
        <v>4.7687330000000001</v>
      </c>
      <c r="E2563">
        <v>0.38899539999999999</v>
      </c>
      <c r="F2563" t="s">
        <v>49</v>
      </c>
      <c r="G2563">
        <v>-475.43020000000001</v>
      </c>
      <c r="H2563" s="1">
        <v>3.9558899999999998E-6</v>
      </c>
      <c r="I2563">
        <v>281.75510000000003</v>
      </c>
      <c r="J2563">
        <v>-465.37380000000002</v>
      </c>
      <c r="K2563">
        <v>1.1122129999999999</v>
      </c>
      <c r="L2563">
        <v>284.69720000000001</v>
      </c>
      <c r="M2563">
        <v>-0.99988809999999995</v>
      </c>
      <c r="N2563">
        <v>0</v>
      </c>
      <c r="O2563">
        <v>-6.561562E-3</v>
      </c>
      <c r="P2563">
        <v>-0.99998960000000003</v>
      </c>
      <c r="Q2563">
        <v>-3.972214E-3</v>
      </c>
      <c r="R2563">
        <v>2.233428E-3</v>
      </c>
      <c r="S2563">
        <v>-3.007568</v>
      </c>
      <c r="T2563">
        <v>-0.32788970000000001</v>
      </c>
      <c r="U2563">
        <v>-0.86834719999999999</v>
      </c>
      <c r="V2563">
        <v>8.7581250000000003E-3</v>
      </c>
      <c r="W2563">
        <v>9.5173519999999998E-3</v>
      </c>
      <c r="X2563">
        <v>0.99991640000000004</v>
      </c>
      <c r="Y2563">
        <v>-0.26964129999999997</v>
      </c>
      <c r="Z2563">
        <v>-1.3665119999999999E-2</v>
      </c>
      <c r="AA2563">
        <v>0.96286389999999999</v>
      </c>
      <c r="AB2563">
        <v>19</v>
      </c>
      <c r="AC2563">
        <v>-10.056399999999901</v>
      </c>
      <c r="AD2563">
        <v>-1.1122090441100001</v>
      </c>
      <c r="AE2563">
        <v>-2.94209999999998</v>
      </c>
      <c r="AF2563">
        <v>-2.8440006748033899</v>
      </c>
      <c r="AG2563">
        <v>-1.1122090441100001</v>
      </c>
      <c r="AH2563">
        <v>9.9632308805430299</v>
      </c>
      <c r="AI2563">
        <v>96.126881853744806</v>
      </c>
      <c r="AJ2563">
        <v>105.93137625793599</v>
      </c>
      <c r="AK2563">
        <v>10.4207158283434</v>
      </c>
      <c r="AL2563">
        <v>89.454687690662695</v>
      </c>
      <c r="AM2563">
        <v>89.498167279631801</v>
      </c>
      <c r="AN2563">
        <v>1.0000000458657801</v>
      </c>
    </row>
    <row r="2564" spans="1:40" x14ac:dyDescent="0.25">
      <c r="A2564" t="str">
        <f>"20190312154306517"</f>
        <v>20190312154306517</v>
      </c>
      <c r="B2564" t="str">
        <f>"1552376586510427"</f>
        <v>1552376586510427</v>
      </c>
      <c r="C2564" t="s">
        <v>40</v>
      </c>
      <c r="D2564">
        <v>4.7277809999999896</v>
      </c>
      <c r="E2564">
        <v>0.38906269999999998</v>
      </c>
      <c r="F2564" t="s">
        <v>49</v>
      </c>
      <c r="G2564">
        <v>-475.3535</v>
      </c>
      <c r="H2564" s="1">
        <v>3.9884249999999998E-6</v>
      </c>
      <c r="I2564">
        <v>281.738</v>
      </c>
      <c r="J2564">
        <v>-465.55829999999997</v>
      </c>
      <c r="K2564">
        <v>1.112301</v>
      </c>
      <c r="L2564">
        <v>284.6925</v>
      </c>
      <c r="M2564">
        <v>-0.99986390000000003</v>
      </c>
      <c r="N2564">
        <v>0</v>
      </c>
      <c r="O2564">
        <v>-9.5444329999999997E-3</v>
      </c>
      <c r="P2564">
        <v>-0.99996640000000003</v>
      </c>
      <c r="Q2564">
        <v>-5.3951559999999999E-3</v>
      </c>
      <c r="R2564">
        <v>-6.1644660000000004E-3</v>
      </c>
      <c r="S2564">
        <v>-3.000702</v>
      </c>
      <c r="T2564">
        <v>-0.33441880000000002</v>
      </c>
      <c r="U2564">
        <v>-0.88977050000000002</v>
      </c>
      <c r="V2564">
        <v>3.3472319999999999E-3</v>
      </c>
      <c r="W2564">
        <v>8.081174E-3</v>
      </c>
      <c r="X2564">
        <v>0.99996169999999995</v>
      </c>
      <c r="Y2564">
        <v>-0.27361970000000002</v>
      </c>
      <c r="Z2564">
        <v>-1.384461E-2</v>
      </c>
      <c r="AA2564">
        <v>0.96173830000000005</v>
      </c>
      <c r="AB2564">
        <v>19</v>
      </c>
      <c r="AC2564">
        <v>-9.7952000000000208</v>
      </c>
      <c r="AD2564">
        <v>-1.1122970115749999</v>
      </c>
      <c r="AE2564">
        <v>-2.9544999999999901</v>
      </c>
      <c r="AF2564">
        <v>-2.82744832447242</v>
      </c>
      <c r="AG2564">
        <v>-1.1122970115749999</v>
      </c>
      <c r="AH2564">
        <v>9.7082093127540308</v>
      </c>
      <c r="AI2564">
        <v>96.277436299309699</v>
      </c>
      <c r="AJ2564">
        <v>106.23783269434099</v>
      </c>
      <c r="AK2564">
        <v>10.172560972034701</v>
      </c>
      <c r="AL2564">
        <v>89.536977775905498</v>
      </c>
      <c r="AM2564">
        <v>89.808211104124595</v>
      </c>
      <c r="AN2564">
        <v>0.999999955401084</v>
      </c>
    </row>
    <row r="2565" spans="1:40" x14ac:dyDescent="0.25">
      <c r="A2565" t="str">
        <f>"20190312154306539"</f>
        <v>20190312154306539</v>
      </c>
      <c r="B2565" t="str">
        <f>"1552376586529947"</f>
        <v>1552376586529947</v>
      </c>
      <c r="C2565" t="s">
        <v>40</v>
      </c>
      <c r="D2565">
        <v>4.7281719999999998</v>
      </c>
      <c r="E2565">
        <v>0.38911440000000003</v>
      </c>
      <c r="F2565" t="s">
        <v>49</v>
      </c>
      <c r="G2565">
        <v>-475.47089999999997</v>
      </c>
      <c r="H2565" s="1">
        <v>3.9299770000000001E-6</v>
      </c>
      <c r="I2565">
        <v>281.66469999999998</v>
      </c>
      <c r="J2565">
        <v>-465.74040000000002</v>
      </c>
      <c r="K2565">
        <v>1.112379</v>
      </c>
      <c r="L2565">
        <v>284.68720000000002</v>
      </c>
      <c r="M2565">
        <v>-0.99982939999999998</v>
      </c>
      <c r="N2565">
        <v>0</v>
      </c>
      <c r="O2565">
        <v>-1.26491E-2</v>
      </c>
      <c r="P2565">
        <v>-0.99987219999999999</v>
      </c>
      <c r="Q2565">
        <v>-5.4777879999999999E-3</v>
      </c>
      <c r="R2565">
        <v>-1.503517E-2</v>
      </c>
      <c r="S2565">
        <v>-2.9926759999999999</v>
      </c>
      <c r="T2565">
        <v>-0.33581149999999999</v>
      </c>
      <c r="U2565">
        <v>-0.91412349999999998</v>
      </c>
      <c r="V2565">
        <v>-2.420171E-3</v>
      </c>
      <c r="W2565">
        <v>7.9805650000000002E-3</v>
      </c>
      <c r="X2565">
        <v>0.99996529999999995</v>
      </c>
      <c r="Y2565">
        <v>-0.27848260000000002</v>
      </c>
      <c r="Z2565">
        <v>-1.384824E-2</v>
      </c>
      <c r="AA2565">
        <v>0.96034140000000001</v>
      </c>
      <c r="AB2565">
        <v>18</v>
      </c>
      <c r="AC2565">
        <v>-9.7304999999999495</v>
      </c>
      <c r="AD2565">
        <v>-1.112375070023</v>
      </c>
      <c r="AE2565">
        <v>-3.0225000000000302</v>
      </c>
      <c r="AF2565">
        <v>-2.8650176133528502</v>
      </c>
      <c r="AG2565">
        <v>-1.112375070023</v>
      </c>
      <c r="AH2565">
        <v>9.6529065604029505</v>
      </c>
      <c r="AI2565">
        <v>96.304133204470205</v>
      </c>
      <c r="AJ2565">
        <v>106.53107928215201</v>
      </c>
      <c r="AK2565">
        <v>10.1303657034236</v>
      </c>
      <c r="AL2565">
        <v>89.5427424873414</v>
      </c>
      <c r="AM2565">
        <v>90.138670125103403</v>
      </c>
      <c r="AN2565">
        <v>1.0000000739247299</v>
      </c>
    </row>
    <row r="2566" spans="1:40" x14ac:dyDescent="0.25">
      <c r="A2566" t="str">
        <f>"20190312154306562"</f>
        <v>20190312154306562</v>
      </c>
      <c r="B2566" t="str">
        <f>"1552376586550443"</f>
        <v>1552376586550443</v>
      </c>
      <c r="C2566" t="s">
        <v>40</v>
      </c>
      <c r="D2566">
        <v>4.7593480000000001</v>
      </c>
      <c r="E2566">
        <v>0.38922509999999999</v>
      </c>
      <c r="F2566" t="s">
        <v>49</v>
      </c>
      <c r="G2566">
        <v>-475.70979999999997</v>
      </c>
      <c r="H2566" s="1">
        <v>3.8135309999999998E-6</v>
      </c>
      <c r="I2566">
        <v>281.54489999999998</v>
      </c>
      <c r="J2566">
        <v>-465.92720000000003</v>
      </c>
      <c r="K2566">
        <v>1.1124540000000001</v>
      </c>
      <c r="L2566">
        <v>284.68090000000001</v>
      </c>
      <c r="M2566">
        <v>-0.99978140000000004</v>
      </c>
      <c r="N2566">
        <v>0</v>
      </c>
      <c r="O2566">
        <v>-1.599778E-2</v>
      </c>
      <c r="P2566">
        <v>-0.99973369999999995</v>
      </c>
      <c r="Q2566">
        <v>-5.0079779999999997E-3</v>
      </c>
      <c r="R2566">
        <v>-2.253817E-2</v>
      </c>
      <c r="S2566">
        <v>-2.9844059999999999</v>
      </c>
      <c r="T2566">
        <v>-0.33299489999999998</v>
      </c>
      <c r="U2566">
        <v>-0.9406738</v>
      </c>
      <c r="V2566">
        <v>-6.5789439999999998E-3</v>
      </c>
      <c r="W2566">
        <v>8.4368819999999997E-3</v>
      </c>
      <c r="X2566">
        <v>0.99994280000000002</v>
      </c>
      <c r="Y2566">
        <v>-0.28380899999999998</v>
      </c>
      <c r="Z2566">
        <v>-1.36773E-2</v>
      </c>
      <c r="AA2566">
        <v>0.9587833</v>
      </c>
      <c r="AB2566">
        <v>18</v>
      </c>
      <c r="AC2566">
        <v>-9.78259999999994</v>
      </c>
      <c r="AD2566">
        <v>-1.112450186469</v>
      </c>
      <c r="AE2566">
        <v>-3.1360000000000201</v>
      </c>
      <c r="AF2566">
        <v>-2.944555108321</v>
      </c>
      <c r="AG2566">
        <v>-1.112450186469</v>
      </c>
      <c r="AH2566">
        <v>9.7175680411111394</v>
      </c>
      <c r="AI2566">
        <v>96.252331241106802</v>
      </c>
      <c r="AJ2566">
        <v>106.85752133726901</v>
      </c>
      <c r="AK2566">
        <v>10.2146502062938</v>
      </c>
      <c r="AL2566">
        <v>89.516596550314105</v>
      </c>
      <c r="AM2566">
        <v>90.376961848204701</v>
      </c>
      <c r="AN2566">
        <v>1.0000000333769301</v>
      </c>
    </row>
    <row r="2567" spans="1:40" x14ac:dyDescent="0.25">
      <c r="A2567" t="str">
        <f>"20190312154306584"</f>
        <v>20190312154306584</v>
      </c>
      <c r="B2567" t="str">
        <f>"1552376586579723"</f>
        <v>1552376586579723</v>
      </c>
      <c r="C2567" t="s">
        <v>40</v>
      </c>
      <c r="D2567">
        <v>4.7402540000000002</v>
      </c>
      <c r="E2567">
        <v>0.39476689999999998</v>
      </c>
      <c r="F2567" t="s">
        <v>49</v>
      </c>
      <c r="G2567">
        <v>-475.9742</v>
      </c>
      <c r="H2567" s="1">
        <v>3.6865280000000001E-6</v>
      </c>
      <c r="I2567">
        <v>281.43299999999999</v>
      </c>
      <c r="J2567">
        <v>-466.10820000000001</v>
      </c>
      <c r="K2567">
        <v>1.1125149999999999</v>
      </c>
      <c r="L2567">
        <v>284.67410000000001</v>
      </c>
      <c r="M2567">
        <v>-0.99972090000000002</v>
      </c>
      <c r="N2567">
        <v>0</v>
      </c>
      <c r="O2567">
        <v>-1.9403190000000001E-2</v>
      </c>
      <c r="P2567">
        <v>-0.99957439999999997</v>
      </c>
      <c r="Q2567">
        <v>-4.1280539999999999E-3</v>
      </c>
      <c r="R2567">
        <v>-2.888311E-2</v>
      </c>
      <c r="S2567">
        <v>-2.9774780000000001</v>
      </c>
      <c r="T2567">
        <v>-0.32967980000000002</v>
      </c>
      <c r="U2567">
        <v>-0.96252439999999995</v>
      </c>
      <c r="V2567">
        <v>-9.5245680000000006E-3</v>
      </c>
      <c r="W2567">
        <v>9.3075529999999997E-3</v>
      </c>
      <c r="X2567">
        <v>0.99991129999999995</v>
      </c>
      <c r="Y2567">
        <v>-0.2875914</v>
      </c>
      <c r="Z2567">
        <v>-1.3394639999999999E-2</v>
      </c>
      <c r="AA2567">
        <v>0.9576595</v>
      </c>
      <c r="AB2567">
        <v>18</v>
      </c>
      <c r="AC2567">
        <v>-9.8659999999999801</v>
      </c>
      <c r="AD2567">
        <v>-1.1125113134719999</v>
      </c>
      <c r="AE2567">
        <v>-3.2411000000000101</v>
      </c>
      <c r="AF2567">
        <v>-3.01444449359433</v>
      </c>
      <c r="AG2567">
        <v>-1.1125113134719999</v>
      </c>
      <c r="AH2567">
        <v>9.8143984792213192</v>
      </c>
      <c r="AI2567">
        <v>96.184383655740703</v>
      </c>
      <c r="AJ2567">
        <v>107.07408394511501</v>
      </c>
      <c r="AK2567">
        <v>10.327002204730301</v>
      </c>
      <c r="AL2567">
        <v>89.466708783647803</v>
      </c>
      <c r="AM2567">
        <v>90.545749452007399</v>
      </c>
      <c r="AN2567">
        <v>0.99999997790306205</v>
      </c>
    </row>
    <row r="2568" spans="1:40" x14ac:dyDescent="0.25">
      <c r="A2568" t="str">
        <f>"20190312154306607"</f>
        <v>20190312154306607</v>
      </c>
      <c r="B2568" t="str">
        <f>"1552376586600222"</f>
        <v>1552376586600222</v>
      </c>
      <c r="C2568" t="s">
        <v>40</v>
      </c>
      <c r="D2568">
        <v>4.6756710000000004</v>
      </c>
      <c r="E2568">
        <v>0.39631889999999997</v>
      </c>
      <c r="F2568" t="s">
        <v>49</v>
      </c>
      <c r="G2568">
        <v>-477.40429999999998</v>
      </c>
      <c r="H2568" s="1">
        <v>3.0247220000000002E-6</v>
      </c>
      <c r="I2568">
        <v>281.11720000000003</v>
      </c>
      <c r="J2568">
        <v>-466.28789999999998</v>
      </c>
      <c r="K2568">
        <v>1.112573</v>
      </c>
      <c r="L2568">
        <v>284.66640000000001</v>
      </c>
      <c r="M2568">
        <v>-0.99964580000000003</v>
      </c>
      <c r="N2568">
        <v>0</v>
      </c>
      <c r="O2568">
        <v>-2.2940970000000001E-2</v>
      </c>
      <c r="P2568">
        <v>-0.99939820000000001</v>
      </c>
      <c r="Q2568">
        <v>-4.1415319999999999E-3</v>
      </c>
      <c r="R2568">
        <v>-3.4442109999999998E-2</v>
      </c>
      <c r="S2568">
        <v>-2.9729920000000001</v>
      </c>
      <c r="T2568">
        <v>-0.29279880000000003</v>
      </c>
      <c r="U2568">
        <v>-0.93612669999999998</v>
      </c>
      <c r="V2568">
        <v>-1.154902E-2</v>
      </c>
      <c r="W2568">
        <v>9.2894339999999992E-3</v>
      </c>
      <c r="X2568">
        <v>0.9998901</v>
      </c>
      <c r="Y2568">
        <v>-0.27725929999999999</v>
      </c>
      <c r="Z2568">
        <v>-1.1101379999999999E-2</v>
      </c>
      <c r="AA2568">
        <v>0.960731</v>
      </c>
      <c r="AB2568">
        <v>18</v>
      </c>
      <c r="AC2568">
        <v>-11.116400000000001</v>
      </c>
      <c r="AD2568">
        <v>-1.1125699752779901</v>
      </c>
      <c r="AE2568">
        <v>-3.5491999999999799</v>
      </c>
      <c r="AF2568">
        <v>-3.2635554460099701</v>
      </c>
      <c r="AG2568">
        <v>-1.1125699752779901</v>
      </c>
      <c r="AH2568">
        <v>11.0940570845605</v>
      </c>
      <c r="AI2568">
        <v>95.495443149226105</v>
      </c>
      <c r="AJ2568">
        <v>106.392380328177</v>
      </c>
      <c r="AK2568">
        <v>11.617517320605099</v>
      </c>
      <c r="AL2568">
        <v>89.467746952078301</v>
      </c>
      <c r="AM2568">
        <v>90.661753406498207</v>
      </c>
      <c r="AN2568">
        <v>0.99999994276250304</v>
      </c>
    </row>
    <row r="2569" spans="1:40" x14ac:dyDescent="0.25">
      <c r="A2569" t="str">
        <f>"20190312154306629"</f>
        <v>20190312154306629</v>
      </c>
      <c r="B2569" t="str">
        <f>"1552376586619739"</f>
        <v>1552376586619739</v>
      </c>
      <c r="C2569" t="s">
        <v>40</v>
      </c>
      <c r="D2569">
        <v>4.6687560000000001</v>
      </c>
      <c r="E2569">
        <v>0.39693840000000002</v>
      </c>
      <c r="F2569" t="s">
        <v>49</v>
      </c>
      <c r="G2569">
        <v>-477.70479999999998</v>
      </c>
      <c r="H2569" s="1">
        <v>2.885554E-6</v>
      </c>
      <c r="I2569">
        <v>281.0498</v>
      </c>
      <c r="J2569">
        <v>-466.46980000000002</v>
      </c>
      <c r="K2569">
        <v>1.1126320000000001</v>
      </c>
      <c r="L2569">
        <v>284.65789999999998</v>
      </c>
      <c r="M2569">
        <v>-0.99955300000000002</v>
      </c>
      <c r="N2569">
        <v>0</v>
      </c>
      <c r="O2569">
        <v>-2.667885E-2</v>
      </c>
      <c r="P2569">
        <v>-0.99917290000000003</v>
      </c>
      <c r="Q2569">
        <v>-4.1279719999999997E-3</v>
      </c>
      <c r="R2569">
        <v>-4.0456319999999997E-2</v>
      </c>
      <c r="S2569">
        <v>-2.9682010000000001</v>
      </c>
      <c r="T2569">
        <v>-0.28924909999999998</v>
      </c>
      <c r="U2569">
        <v>-0.94024660000000004</v>
      </c>
      <c r="V2569">
        <v>-1.382945E-2</v>
      </c>
      <c r="W2569">
        <v>9.297062E-3</v>
      </c>
      <c r="X2569">
        <v>0.99986109999999995</v>
      </c>
      <c r="Y2569">
        <v>-0.27537240000000002</v>
      </c>
      <c r="Z2569">
        <v>-1.05384E-2</v>
      </c>
      <c r="AA2569">
        <v>0.96127989999999996</v>
      </c>
      <c r="AB2569">
        <v>18</v>
      </c>
      <c r="AC2569">
        <v>-11.2349999999999</v>
      </c>
      <c r="AD2569">
        <v>-1.1126291144460001</v>
      </c>
      <c r="AE2569">
        <v>-3.6080999999999701</v>
      </c>
      <c r="AF2569">
        <v>-3.2779091104720801</v>
      </c>
      <c r="AG2569">
        <v>-1.1126291144460001</v>
      </c>
      <c r="AH2569">
        <v>11.2274514497495</v>
      </c>
      <c r="AI2569">
        <v>95.434061309797997</v>
      </c>
      <c r="AJ2569">
        <v>106.275421673003</v>
      </c>
      <c r="AK2569">
        <v>11.748970071427999</v>
      </c>
      <c r="AL2569">
        <v>89.467309887050504</v>
      </c>
      <c r="AM2569">
        <v>90.792428663586605</v>
      </c>
      <c r="AN2569">
        <v>0.99999995417117105</v>
      </c>
    </row>
    <row r="2570" spans="1:40" x14ac:dyDescent="0.25">
      <c r="A2570" t="str">
        <f>"20190312154306650"</f>
        <v>20190312154306650</v>
      </c>
      <c r="B2570" t="str">
        <f>"1552376586640235"</f>
        <v>1552376586640235</v>
      </c>
      <c r="C2570" t="s">
        <v>40</v>
      </c>
      <c r="D2570">
        <v>4.628571</v>
      </c>
      <c r="E2570">
        <v>0.40169120000000003</v>
      </c>
      <c r="F2570" t="s">
        <v>49</v>
      </c>
      <c r="G2570">
        <v>-477.89080000000001</v>
      </c>
      <c r="H2570" s="1">
        <v>2.7973459999999999E-6</v>
      </c>
      <c r="I2570">
        <v>280.98430000000002</v>
      </c>
      <c r="J2570">
        <v>-466.64729999999997</v>
      </c>
      <c r="K2570">
        <v>1.1126969999999901</v>
      </c>
      <c r="L2570">
        <v>284.64859999999999</v>
      </c>
      <c r="M2570">
        <v>-0.99944440000000001</v>
      </c>
      <c r="N2570">
        <v>0</v>
      </c>
      <c r="O2570">
        <v>-3.0472180000000001E-2</v>
      </c>
      <c r="P2570">
        <v>-0.99891549999999996</v>
      </c>
      <c r="Q2570">
        <v>-4.6012020000000004E-3</v>
      </c>
      <c r="R2570">
        <v>-4.6333939999999997E-2</v>
      </c>
      <c r="S2570">
        <v>-2.9627379999999999</v>
      </c>
      <c r="T2570">
        <v>-0.28862979999999999</v>
      </c>
      <c r="U2570">
        <v>-0.95297240000000005</v>
      </c>
      <c r="V2570">
        <v>-1.5915840000000001E-2</v>
      </c>
      <c r="W2570">
        <v>8.8178619999999992E-3</v>
      </c>
      <c r="X2570">
        <v>0.99983449999999996</v>
      </c>
      <c r="Y2570">
        <v>-0.27599810000000002</v>
      </c>
      <c r="Z2570">
        <v>-1.019858E-2</v>
      </c>
      <c r="AA2570">
        <v>0.96110410000000002</v>
      </c>
      <c r="AB2570">
        <v>18</v>
      </c>
      <c r="AC2570">
        <v>-11.243499999999999</v>
      </c>
      <c r="AD2570">
        <v>-1.1126942026540001</v>
      </c>
      <c r="AE2570">
        <v>-3.6642999999999599</v>
      </c>
      <c r="AF2570">
        <v>-3.29081794607196</v>
      </c>
      <c r="AG2570">
        <v>-1.1126942026540001</v>
      </c>
      <c r="AH2570">
        <v>11.250343422687701</v>
      </c>
      <c r="AI2570">
        <v>95.422582411009401</v>
      </c>
      <c r="AJ2570">
        <v>106.304631935668</v>
      </c>
      <c r="AK2570">
        <v>11.774455328006599</v>
      </c>
      <c r="AL2570">
        <v>89.494767199819407</v>
      </c>
      <c r="AM2570">
        <v>90.911984379151505</v>
      </c>
      <c r="AN2570">
        <v>1.0000000480216999</v>
      </c>
    </row>
    <row r="2571" spans="1:40" x14ac:dyDescent="0.25">
      <c r="A2571" t="str">
        <f>"20190312154306673"</f>
        <v>20190312154306673</v>
      </c>
      <c r="B2571" t="str">
        <f>"1552376586670490"</f>
        <v>1552376586670490</v>
      </c>
      <c r="C2571" t="s">
        <v>40</v>
      </c>
      <c r="D2571">
        <v>4.6292210000000003</v>
      </c>
      <c r="E2571">
        <v>0.40359060000000002</v>
      </c>
      <c r="F2571" t="s">
        <v>49</v>
      </c>
      <c r="G2571">
        <v>-479.06139999999999</v>
      </c>
      <c r="H2571" s="1">
        <v>2.2569520000000001E-6</v>
      </c>
      <c r="I2571">
        <v>280.74079999999998</v>
      </c>
      <c r="J2571">
        <v>-466.82990000000001</v>
      </c>
      <c r="K2571">
        <v>1.112751</v>
      </c>
      <c r="L2571">
        <v>284.63819999999998</v>
      </c>
      <c r="M2571">
        <v>-0.99931360000000002</v>
      </c>
      <c r="N2571">
        <v>0</v>
      </c>
      <c r="O2571">
        <v>-3.4492990000000001E-2</v>
      </c>
      <c r="P2571">
        <v>-0.99856869999999998</v>
      </c>
      <c r="Q2571">
        <v>-4.9344719999999996E-3</v>
      </c>
      <c r="R2571">
        <v>-5.3258340000000001E-2</v>
      </c>
      <c r="S2571">
        <v>-2.9588320000000001</v>
      </c>
      <c r="T2571">
        <v>-0.26520539999999998</v>
      </c>
      <c r="U2571">
        <v>-0.93139649999999996</v>
      </c>
      <c r="V2571">
        <v>-1.8824529999999999E-2</v>
      </c>
      <c r="W2571">
        <v>8.4735980000000006E-3</v>
      </c>
      <c r="X2571">
        <v>0.99978690000000003</v>
      </c>
      <c r="Y2571">
        <v>-0.2663336</v>
      </c>
      <c r="Z2571">
        <v>-8.6234969999999904E-3</v>
      </c>
      <c r="AA2571">
        <v>0.96384230000000004</v>
      </c>
      <c r="AB2571">
        <v>18</v>
      </c>
      <c r="AC2571">
        <v>-12.231499999999899</v>
      </c>
      <c r="AD2571">
        <v>-1.1127487430480001</v>
      </c>
      <c r="AE2571">
        <v>-3.8974000000000002</v>
      </c>
      <c r="AF2571">
        <v>-3.4472402325386802</v>
      </c>
      <c r="AG2571">
        <v>-1.1127487430480001</v>
      </c>
      <c r="AH2571">
        <v>12.2665018203391</v>
      </c>
      <c r="AI2571">
        <v>94.991055863819398</v>
      </c>
      <c r="AJ2571">
        <v>105.696892122462</v>
      </c>
      <c r="AK2571">
        <v>12.7901814644816</v>
      </c>
      <c r="AL2571">
        <v>89.514492789614707</v>
      </c>
      <c r="AM2571">
        <v>91.0786685560915</v>
      </c>
      <c r="AN2571">
        <v>1.00000000510219</v>
      </c>
    </row>
    <row r="2572" spans="1:40" x14ac:dyDescent="0.25">
      <c r="A2572" t="str">
        <f>"20190312154306689"</f>
        <v>20190312154306689</v>
      </c>
      <c r="B2572" t="str">
        <f>"1552376586680251"</f>
        <v>1552376586680251</v>
      </c>
      <c r="C2572" t="s">
        <v>40</v>
      </c>
      <c r="D2572">
        <v>4.6507500000000004</v>
      </c>
      <c r="E2572">
        <v>0.404136</v>
      </c>
      <c r="F2572" t="s">
        <v>49</v>
      </c>
      <c r="G2572">
        <v>-479.19850000000002</v>
      </c>
      <c r="H2572" s="1">
        <v>2.1939139999999998E-6</v>
      </c>
      <c r="I2572">
        <v>280.71530000000001</v>
      </c>
      <c r="J2572">
        <v>-466.95839999999998</v>
      </c>
      <c r="K2572">
        <v>1.1127800000000001</v>
      </c>
      <c r="L2572">
        <v>284.63049999999998</v>
      </c>
      <c r="M2572">
        <v>-0.99920980000000004</v>
      </c>
      <c r="N2572">
        <v>0</v>
      </c>
      <c r="O2572">
        <v>-3.7382390000000001E-2</v>
      </c>
      <c r="P2572">
        <v>-0.99836939999999996</v>
      </c>
      <c r="Q2572">
        <v>-5.1043019999999998E-3</v>
      </c>
      <c r="R2572">
        <v>-5.6857499999999998E-2</v>
      </c>
      <c r="S2572">
        <v>-2.953033</v>
      </c>
      <c r="T2572">
        <v>-0.26567109999999999</v>
      </c>
      <c r="U2572">
        <v>-0.93661499999999998</v>
      </c>
      <c r="V2572">
        <v>-1.9537269999999999E-2</v>
      </c>
      <c r="W2572">
        <v>8.3024190000000001E-3</v>
      </c>
      <c r="X2572">
        <v>0.99977459999999996</v>
      </c>
      <c r="Y2572">
        <v>-0.26564510000000002</v>
      </c>
      <c r="Z2572">
        <v>-8.3698829999999998E-3</v>
      </c>
      <c r="AA2572">
        <v>0.96403459999999996</v>
      </c>
      <c r="AB2572">
        <v>18</v>
      </c>
      <c r="AC2572">
        <v>-12.2401</v>
      </c>
      <c r="AD2572">
        <v>-1.1127778060860001</v>
      </c>
      <c r="AE2572">
        <v>-3.9151999999999698</v>
      </c>
      <c r="AF2572">
        <v>-3.4291455046585102</v>
      </c>
      <c r="AG2572">
        <v>-1.1127778060860001</v>
      </c>
      <c r="AH2572">
        <v>12.2857978528298</v>
      </c>
      <c r="AI2572">
        <v>94.9858513922985</v>
      </c>
      <c r="AJ2572">
        <v>105.595193820034</v>
      </c>
      <c r="AK2572">
        <v>12.8038331064738</v>
      </c>
      <c r="AL2572">
        <v>89.524300939299394</v>
      </c>
      <c r="AM2572">
        <v>91.119512993623005</v>
      </c>
      <c r="AN2572">
        <v>0.99999994294272998</v>
      </c>
    </row>
    <row r="2573" spans="1:40" x14ac:dyDescent="0.25">
      <c r="A2573" t="str">
        <f>"20190312154306706"</f>
        <v>20190312154306706</v>
      </c>
      <c r="B2573" t="str">
        <f>"1552376586699771"</f>
        <v>1552376586699771</v>
      </c>
      <c r="C2573" t="s">
        <v>40</v>
      </c>
      <c r="D2573">
        <v>4.6255300000000004</v>
      </c>
      <c r="E2573">
        <v>0.40490470000000001</v>
      </c>
      <c r="F2573" t="s">
        <v>49</v>
      </c>
      <c r="G2573">
        <v>-479.33069999999998</v>
      </c>
      <c r="H2573" s="1">
        <v>2.1318719999999999E-6</v>
      </c>
      <c r="I2573">
        <v>280.67610000000002</v>
      </c>
      <c r="J2573">
        <v>-467.10300000000001</v>
      </c>
      <c r="K2573">
        <v>1.112803</v>
      </c>
      <c r="L2573">
        <v>284.62119999999999</v>
      </c>
      <c r="M2573">
        <v>-0.99907970000000001</v>
      </c>
      <c r="N2573">
        <v>0</v>
      </c>
      <c r="O2573">
        <v>-4.0708010000000003E-2</v>
      </c>
      <c r="P2573">
        <v>-0.99811300000000003</v>
      </c>
      <c r="Q2573">
        <v>-6.4689309999999998E-3</v>
      </c>
      <c r="R2573">
        <v>-6.106458E-2</v>
      </c>
      <c r="S2573">
        <v>-2.9498899999999999</v>
      </c>
      <c r="T2573">
        <v>-0.26531719999999998</v>
      </c>
      <c r="U2573">
        <v>-0.94284060000000003</v>
      </c>
      <c r="V2573">
        <v>-2.041656E-2</v>
      </c>
      <c r="W2573">
        <v>6.9358429999999997E-3</v>
      </c>
      <c r="X2573">
        <v>0.99976750000000003</v>
      </c>
      <c r="Y2573">
        <v>-0.26459739999999998</v>
      </c>
      <c r="Z2573">
        <v>-8.0285080000000002E-3</v>
      </c>
      <c r="AA2573">
        <v>0.96432549999999995</v>
      </c>
      <c r="AB2573">
        <v>18</v>
      </c>
      <c r="AC2573">
        <v>-12.227699999999899</v>
      </c>
      <c r="AD2573">
        <v>-1.1128008681279999</v>
      </c>
      <c r="AE2573">
        <v>-3.9450999999999601</v>
      </c>
      <c r="AF2573">
        <v>-3.4183760389378302</v>
      </c>
      <c r="AG2573">
        <v>-1.1128008681279999</v>
      </c>
      <c r="AH2573">
        <v>12.2860126245993</v>
      </c>
      <c r="AI2573">
        <v>94.986998327912701</v>
      </c>
      <c r="AJ2573">
        <v>105.548330278321</v>
      </c>
      <c r="AK2573">
        <v>12.8011611476265</v>
      </c>
      <c r="AL2573">
        <v>89.602602281678799</v>
      </c>
      <c r="AM2573">
        <v>91.169892149351298</v>
      </c>
      <c r="AN2573">
        <v>0.99999999794830197</v>
      </c>
    </row>
    <row r="2574" spans="1:40" x14ac:dyDescent="0.25">
      <c r="A2574" t="str">
        <f>"20190312154306729"</f>
        <v>20190312154306729</v>
      </c>
      <c r="B2574" t="str">
        <f>"1552376586720267"</f>
        <v>1552376586720267</v>
      </c>
      <c r="C2574" t="s">
        <v>40</v>
      </c>
      <c r="D2574">
        <v>4.5827960000000001</v>
      </c>
      <c r="E2574">
        <v>0.40554249999999997</v>
      </c>
      <c r="F2574" t="s">
        <v>49</v>
      </c>
      <c r="G2574">
        <v>-479.2099</v>
      </c>
      <c r="H2574" s="1">
        <v>2.189495E-6</v>
      </c>
      <c r="I2574">
        <v>280.72239999999999</v>
      </c>
      <c r="J2574">
        <v>-467.27969999999999</v>
      </c>
      <c r="K2574">
        <v>1.112825</v>
      </c>
      <c r="L2574">
        <v>284.60899999999998</v>
      </c>
      <c r="M2574">
        <v>-0.99890100000000004</v>
      </c>
      <c r="N2574">
        <v>0</v>
      </c>
      <c r="O2574">
        <v>-4.4878170000000002E-2</v>
      </c>
      <c r="P2574">
        <v>-0.99778290000000003</v>
      </c>
      <c r="Q2574">
        <v>-7.6212719999999897E-3</v>
      </c>
      <c r="R2574">
        <v>-6.6116350000000004E-2</v>
      </c>
      <c r="S2574">
        <v>-2.945862</v>
      </c>
      <c r="T2574">
        <v>-0.2707677</v>
      </c>
      <c r="U2574">
        <v>-0.9486694</v>
      </c>
      <c r="V2574">
        <v>-2.1298649999999999E-2</v>
      </c>
      <c r="W2574">
        <v>5.7828740000000003E-3</v>
      </c>
      <c r="X2574">
        <v>0.99975650000000005</v>
      </c>
      <c r="Y2574">
        <v>-0.26267239999999997</v>
      </c>
      <c r="Z2574">
        <v>-7.7433060000000001E-3</v>
      </c>
      <c r="AA2574">
        <v>0.96485399999999999</v>
      </c>
      <c r="AB2574">
        <v>18</v>
      </c>
      <c r="AC2574">
        <v>-11.930199999999999</v>
      </c>
      <c r="AD2574">
        <v>-1.112822810505</v>
      </c>
      <c r="AE2574">
        <v>-3.88660000000004</v>
      </c>
      <c r="AF2574">
        <v>-3.3211053687979799</v>
      </c>
      <c r="AG2574">
        <v>-1.112822810505</v>
      </c>
      <c r="AH2574">
        <v>11.998239908436201</v>
      </c>
      <c r="AI2574">
        <v>95.107961370705695</v>
      </c>
      <c r="AJ2574">
        <v>105.472055438889</v>
      </c>
      <c r="AK2574">
        <v>12.499035017897601</v>
      </c>
      <c r="AL2574">
        <v>89.668663901692796</v>
      </c>
      <c r="AM2574">
        <v>91.2204353646801</v>
      </c>
      <c r="AN2574">
        <v>1.0000000667078801</v>
      </c>
    </row>
    <row r="2575" spans="1:40" x14ac:dyDescent="0.25">
      <c r="A2575" t="str">
        <f>"20190312154306751"</f>
        <v>20190312154306751</v>
      </c>
      <c r="B2575" t="str">
        <f>"1552376586739787"</f>
        <v>1552376586739787</v>
      </c>
      <c r="C2575" t="s">
        <v>40</v>
      </c>
      <c r="D2575">
        <v>4.6356020000000004</v>
      </c>
      <c r="E2575">
        <v>0.40591860000000002</v>
      </c>
      <c r="F2575" t="s">
        <v>49</v>
      </c>
      <c r="G2575">
        <v>-479.20370000000003</v>
      </c>
      <c r="H2575" s="1">
        <v>2.1924570000000001E-6</v>
      </c>
      <c r="I2575">
        <v>280.7251</v>
      </c>
      <c r="J2575">
        <v>-467.45800000000003</v>
      </c>
      <c r="K2575">
        <v>1.1128450000000001</v>
      </c>
      <c r="L2575">
        <v>284.59589999999997</v>
      </c>
      <c r="M2575">
        <v>-0.99869779999999997</v>
      </c>
      <c r="N2575">
        <v>0</v>
      </c>
      <c r="O2575">
        <v>-4.9192710000000001E-2</v>
      </c>
      <c r="P2575">
        <v>-0.99740859999999998</v>
      </c>
      <c r="Q2575">
        <v>-8.6795989999999996E-3</v>
      </c>
      <c r="R2575">
        <v>-7.1420769999999995E-2</v>
      </c>
      <c r="S2575">
        <v>-2.9411010000000002</v>
      </c>
      <c r="T2575">
        <v>-0.274482</v>
      </c>
      <c r="U2575">
        <v>-0.95797730000000003</v>
      </c>
      <c r="V2575">
        <v>-2.22913E-2</v>
      </c>
      <c r="W2575">
        <v>4.722403E-3</v>
      </c>
      <c r="X2575">
        <v>0.99974039999999997</v>
      </c>
      <c r="Y2575">
        <v>-0.26172040000000002</v>
      </c>
      <c r="Z2575">
        <v>-7.4243159999999898E-3</v>
      </c>
      <c r="AA2575">
        <v>0.96511519999999995</v>
      </c>
      <c r="AB2575">
        <v>18</v>
      </c>
      <c r="AC2575">
        <v>-11.745699999999999</v>
      </c>
      <c r="AD2575">
        <v>-1.1128428075429999</v>
      </c>
      <c r="AE2575">
        <v>-3.8707999999999698</v>
      </c>
      <c r="AF2575">
        <v>-3.2618454222372599</v>
      </c>
      <c r="AG2575">
        <v>-1.1128428075429999</v>
      </c>
      <c r="AH2575">
        <v>11.8261510606348</v>
      </c>
      <c r="AI2575">
        <v>95.183281738769196</v>
      </c>
      <c r="AJ2575">
        <v>105.41972524184099</v>
      </c>
      <c r="AK2575">
        <v>12.3181128255031</v>
      </c>
      <c r="AL2575">
        <v>89.729425242791294</v>
      </c>
      <c r="AM2575">
        <v>91.277317407355298</v>
      </c>
      <c r="AN2575">
        <v>1.00000003526897</v>
      </c>
    </row>
    <row r="2576" spans="1:40" x14ac:dyDescent="0.25">
      <c r="A2576" t="str">
        <f>"20190312154306773"</f>
        <v>20190312154306773</v>
      </c>
      <c r="B2576" t="str">
        <f>"1552376586770043"</f>
        <v>1552376586770043</v>
      </c>
      <c r="C2576" t="s">
        <v>40</v>
      </c>
      <c r="D2576">
        <v>4.6306719999999997</v>
      </c>
      <c r="E2576">
        <v>0.40606639999999999</v>
      </c>
      <c r="F2576" t="s">
        <v>49</v>
      </c>
      <c r="G2576">
        <v>-479.25700000000001</v>
      </c>
      <c r="H2576" s="1">
        <v>2.1663779999999999E-6</v>
      </c>
      <c r="I2576">
        <v>280.69670000000002</v>
      </c>
      <c r="J2576">
        <v>-467.63909999999998</v>
      </c>
      <c r="K2576">
        <v>1.112859</v>
      </c>
      <c r="L2576">
        <v>284.58159999999998</v>
      </c>
      <c r="M2576">
        <v>-0.99846789999999996</v>
      </c>
      <c r="N2576">
        <v>0</v>
      </c>
      <c r="O2576">
        <v>-5.3654130000000001E-2</v>
      </c>
      <c r="P2576">
        <v>-0.9970021</v>
      </c>
      <c r="Q2576">
        <v>-9.5553029999999994E-3</v>
      </c>
      <c r="R2576">
        <v>-7.6781569999999993E-2</v>
      </c>
      <c r="S2576">
        <v>-2.935883</v>
      </c>
      <c r="T2576">
        <v>-0.27690429999999999</v>
      </c>
      <c r="U2576">
        <v>-0.97021480000000004</v>
      </c>
      <c r="V2576">
        <v>-2.3195230000000001E-2</v>
      </c>
      <c r="W2576">
        <v>3.8455080000000001E-3</v>
      </c>
      <c r="X2576">
        <v>0.99972360000000005</v>
      </c>
      <c r="Y2576">
        <v>-0.26154840000000001</v>
      </c>
      <c r="Z2576">
        <v>-7.082685E-3</v>
      </c>
      <c r="AA2576">
        <v>0.96516440000000003</v>
      </c>
      <c r="AB2576">
        <v>18</v>
      </c>
      <c r="AC2576">
        <v>-11.617899999999899</v>
      </c>
      <c r="AD2576">
        <v>-1.1128568336219999</v>
      </c>
      <c r="AE2576">
        <v>-3.8848999999999498</v>
      </c>
      <c r="AF2576">
        <v>-3.2292480321676398</v>
      </c>
      <c r="AG2576">
        <v>-1.1128568336219999</v>
      </c>
      <c r="AH2576">
        <v>11.7129600120336</v>
      </c>
      <c r="AI2576">
        <v>95.233317295137297</v>
      </c>
      <c r="AJ2576">
        <v>105.413463384943</v>
      </c>
      <c r="AK2576">
        <v>12.200816588609801</v>
      </c>
      <c r="AL2576">
        <v>89.779668087618106</v>
      </c>
      <c r="AM2576">
        <v>91.329117756898199</v>
      </c>
      <c r="AN2576">
        <v>1.00000004151174</v>
      </c>
    </row>
    <row r="2577" spans="1:40" x14ac:dyDescent="0.25">
      <c r="A2577" t="str">
        <f>"20190312154306796"</f>
        <v>20190312154306796</v>
      </c>
      <c r="B2577" t="str">
        <f>"1552376586790539"</f>
        <v>1552376586790539</v>
      </c>
      <c r="C2577" t="s">
        <v>40</v>
      </c>
      <c r="D2577">
        <v>4.6464410000000003</v>
      </c>
      <c r="E2577">
        <v>0.3936984</v>
      </c>
      <c r="F2577" t="s">
        <v>49</v>
      </c>
      <c r="G2577">
        <v>-479.28899999999999</v>
      </c>
      <c r="H2577" s="1">
        <v>2.149709E-6</v>
      </c>
      <c r="I2577">
        <v>280.66860000000003</v>
      </c>
      <c r="J2577">
        <v>-467.81880000000001</v>
      </c>
      <c r="K2577">
        <v>1.1128640000000001</v>
      </c>
      <c r="L2577">
        <v>284.56659999999999</v>
      </c>
      <c r="M2577">
        <v>-0.99821720000000003</v>
      </c>
      <c r="N2577">
        <v>0</v>
      </c>
      <c r="O2577">
        <v>-5.813161E-2</v>
      </c>
      <c r="P2577">
        <v>-0.9965503</v>
      </c>
      <c r="Q2577">
        <v>-1.0844650000000001E-2</v>
      </c>
      <c r="R2577">
        <v>-8.2278210000000004E-2</v>
      </c>
      <c r="S2577">
        <v>-2.9305729999999999</v>
      </c>
      <c r="T2577">
        <v>-0.27994380000000002</v>
      </c>
      <c r="U2577">
        <v>-0.98431400000000002</v>
      </c>
      <c r="V2577">
        <v>-2.4217369999999998E-2</v>
      </c>
      <c r="W2577">
        <v>2.5532850000000002E-3</v>
      </c>
      <c r="X2577">
        <v>0.99970349999999997</v>
      </c>
      <c r="Y2577">
        <v>-0.26191789999999998</v>
      </c>
      <c r="Z2577">
        <v>-6.7713160000000003E-3</v>
      </c>
      <c r="AA2577">
        <v>0.96506639999999999</v>
      </c>
      <c r="AB2577">
        <v>18</v>
      </c>
      <c r="AC2577">
        <v>-11.470199999999901</v>
      </c>
      <c r="AD2577">
        <v>-1.1128618502909999</v>
      </c>
      <c r="AE2577">
        <v>-3.8979999999999602</v>
      </c>
      <c r="AF2577">
        <v>-3.19758133215517</v>
      </c>
      <c r="AG2577">
        <v>-1.1128618502909999</v>
      </c>
      <c r="AH2577">
        <v>11.5796997614875</v>
      </c>
      <c r="AI2577">
        <v>95.292635199847695</v>
      </c>
      <c r="AJ2577">
        <v>105.436788483424</v>
      </c>
      <c r="AK2577">
        <v>12.0645113634898</v>
      </c>
      <c r="AL2577">
        <v>89.853707393102795</v>
      </c>
      <c r="AM2577">
        <v>91.387693219698505</v>
      </c>
      <c r="AN2577">
        <v>1.00000004409312</v>
      </c>
    </row>
    <row r="2578" spans="1:40" x14ac:dyDescent="0.25">
      <c r="A2578" t="str">
        <f>"20190312154306818"</f>
        <v>20190312154306818</v>
      </c>
      <c r="B2578" t="str">
        <f>"1552376586810059"</f>
        <v>1552376586810059</v>
      </c>
      <c r="C2578" t="s">
        <v>40</v>
      </c>
      <c r="D2578">
        <v>4.6114110000000004</v>
      </c>
      <c r="E2578">
        <v>0.39411740000000001</v>
      </c>
      <c r="F2578" t="s">
        <v>49</v>
      </c>
      <c r="G2578">
        <v>-479.50439999999998</v>
      </c>
      <c r="H2578" s="1">
        <v>2.0103780000000001E-6</v>
      </c>
      <c r="I2578">
        <v>280.16739999999999</v>
      </c>
      <c r="J2578">
        <v>-467.9966</v>
      </c>
      <c r="K2578">
        <v>1.112851</v>
      </c>
      <c r="L2578">
        <v>284.55079999999998</v>
      </c>
      <c r="M2578">
        <v>-0.99794680000000002</v>
      </c>
      <c r="N2578">
        <v>0</v>
      </c>
      <c r="O2578">
        <v>-6.2600130000000004E-2</v>
      </c>
      <c r="P2578">
        <v>-0.99598880000000001</v>
      </c>
      <c r="Q2578">
        <v>-1.340241E-2</v>
      </c>
      <c r="R2578">
        <v>-8.8467130000000005E-2</v>
      </c>
      <c r="S2578">
        <v>-2.9166560000000001</v>
      </c>
      <c r="T2578">
        <v>-0.2777637</v>
      </c>
      <c r="U2578">
        <v>-1.0979920000000001</v>
      </c>
      <c r="V2578">
        <v>-2.5939719999999999E-2</v>
      </c>
      <c r="W2578" s="1">
        <v>-1.25917899999999E-5</v>
      </c>
      <c r="X2578">
        <v>0.99966350000000004</v>
      </c>
      <c r="Y2578">
        <v>-0.29213</v>
      </c>
      <c r="Z2578">
        <v>-7.6882510000000001E-3</v>
      </c>
      <c r="AA2578">
        <v>0.95634770000000002</v>
      </c>
      <c r="AB2578">
        <v>18</v>
      </c>
      <c r="AC2578">
        <v>-11.5077999999999</v>
      </c>
      <c r="AD2578">
        <v>-1.112848989622</v>
      </c>
      <c r="AE2578">
        <v>-4.3833999999999902</v>
      </c>
      <c r="AF2578">
        <v>-3.6247430610239699</v>
      </c>
      <c r="AG2578">
        <v>-1.112848989622</v>
      </c>
      <c r="AH2578">
        <v>11.6643921052582</v>
      </c>
      <c r="AI2578">
        <v>95.205731471207002</v>
      </c>
      <c r="AJ2578">
        <v>107.262780954378</v>
      </c>
      <c r="AK2578">
        <v>12.265204373240399</v>
      </c>
      <c r="AL2578">
        <v>90.000721456429801</v>
      </c>
      <c r="AM2578">
        <v>91.486403215152194</v>
      </c>
      <c r="AN2578">
        <v>0.99999999123224004</v>
      </c>
    </row>
    <row r="2579" spans="1:40" x14ac:dyDescent="0.25">
      <c r="A2579" t="str">
        <f>"20190312154306840"</f>
        <v>20190312154306840</v>
      </c>
      <c r="B2579" t="str">
        <f>"1552376586830555"</f>
        <v>1552376586830555</v>
      </c>
      <c r="C2579" t="s">
        <v>40</v>
      </c>
      <c r="D2579">
        <v>4.6511610000000001</v>
      </c>
      <c r="E2579">
        <v>0.3949491</v>
      </c>
      <c r="F2579" t="s">
        <v>49</v>
      </c>
      <c r="G2579">
        <v>-479.26830000000001</v>
      </c>
      <c r="H2579" s="1">
        <v>2.1216769999999999E-6</v>
      </c>
      <c r="I2579">
        <v>280.24310000000003</v>
      </c>
      <c r="J2579">
        <v>-468.1712</v>
      </c>
      <c r="K2579">
        <v>1.1128229999999999</v>
      </c>
      <c r="L2579">
        <v>284.53449999999998</v>
      </c>
      <c r="M2579">
        <v>-0.99766049999999995</v>
      </c>
      <c r="N2579">
        <v>0</v>
      </c>
      <c r="O2579">
        <v>-6.7009730000000003E-2</v>
      </c>
      <c r="P2579">
        <v>-0.99540740000000005</v>
      </c>
      <c r="Q2579">
        <v>-1.644234E-2</v>
      </c>
      <c r="R2579">
        <v>-9.4308719999999999E-2</v>
      </c>
      <c r="S2579">
        <v>-2.9095149999999999</v>
      </c>
      <c r="T2579">
        <v>-0.287253599999999</v>
      </c>
      <c r="U2579">
        <v>-1.1119079999999999</v>
      </c>
      <c r="V2579">
        <v>-2.73715E-2</v>
      </c>
      <c r="W2579">
        <v>-3.0594509999999999E-3</v>
      </c>
      <c r="X2579">
        <v>0.99962070000000003</v>
      </c>
      <c r="Y2579">
        <v>-0.2926279</v>
      </c>
      <c r="Z2579">
        <v>-7.5689059999999898E-3</v>
      </c>
      <c r="AA2579">
        <v>0.95619639999999995</v>
      </c>
      <c r="AB2579">
        <v>18</v>
      </c>
      <c r="AC2579">
        <v>-11.097099999999999</v>
      </c>
      <c r="AD2579">
        <v>-1.11282087832299</v>
      </c>
      <c r="AE2579">
        <v>-4.2913999999999497</v>
      </c>
      <c r="AF2579">
        <v>-3.5073883964643802</v>
      </c>
      <c r="AG2579">
        <v>-1.11282087832299</v>
      </c>
      <c r="AH2579">
        <v>11.261232299524501</v>
      </c>
      <c r="AI2579">
        <v>95.389815491522398</v>
      </c>
      <c r="AJ2579">
        <v>107.299559951646</v>
      </c>
      <c r="AK2579">
        <v>11.847172513926701</v>
      </c>
      <c r="AL2579">
        <v>90.175293894354994</v>
      </c>
      <c r="AM2579">
        <v>91.568474581168502</v>
      </c>
      <c r="AN2579">
        <v>1.00000005156057</v>
      </c>
    </row>
    <row r="2580" spans="1:40" x14ac:dyDescent="0.25">
      <c r="A2580" t="str">
        <f>"20190312154306862"</f>
        <v>20190312154306862</v>
      </c>
      <c r="B2580" t="str">
        <f>"1552376586859835"</f>
        <v>1552376586859835</v>
      </c>
      <c r="C2580" t="s">
        <v>40</v>
      </c>
      <c r="D2580">
        <v>4.6592520000000004</v>
      </c>
      <c r="E2580">
        <v>0.39607750000000003</v>
      </c>
      <c r="F2580" t="s">
        <v>49</v>
      </c>
      <c r="G2580">
        <v>-479.05079999999998</v>
      </c>
      <c r="H2580" s="1">
        <v>2.2258220000000001E-6</v>
      </c>
      <c r="I2580">
        <v>280.33069999999998</v>
      </c>
      <c r="J2580">
        <v>-468.34800000000001</v>
      </c>
      <c r="K2580">
        <v>1.1127860000000001</v>
      </c>
      <c r="L2580">
        <v>284.51729999999998</v>
      </c>
      <c r="M2580">
        <v>-0.99734999999999996</v>
      </c>
      <c r="N2580">
        <v>0</v>
      </c>
      <c r="O2580">
        <v>-7.1480559999999999E-2</v>
      </c>
      <c r="P2580">
        <v>-0.99473500000000004</v>
      </c>
      <c r="Q2580">
        <v>-1.9357240000000001E-2</v>
      </c>
      <c r="R2580">
        <v>-0.1006349</v>
      </c>
      <c r="S2580">
        <v>-2.902679</v>
      </c>
      <c r="T2580">
        <v>-0.2969022</v>
      </c>
      <c r="U2580">
        <v>-1.1215820000000001</v>
      </c>
      <c r="V2580">
        <v>-2.9234320000000001E-2</v>
      </c>
      <c r="W2580">
        <v>-5.9837680000000004E-3</v>
      </c>
      <c r="X2580">
        <v>0.99955470000000002</v>
      </c>
      <c r="Y2580">
        <v>-0.29182639999999999</v>
      </c>
      <c r="Z2580">
        <v>-7.3585359999999997E-3</v>
      </c>
      <c r="AA2580">
        <v>0.95644300000000004</v>
      </c>
      <c r="AB2580">
        <v>18</v>
      </c>
      <c r="AC2580">
        <v>-10.7027999999999</v>
      </c>
      <c r="AD2580">
        <v>-1.112783774178</v>
      </c>
      <c r="AE2580">
        <v>-4.1865999999999897</v>
      </c>
      <c r="AF2580">
        <v>-3.3790957612649901</v>
      </c>
      <c r="AG2580">
        <v>-1.112783774178</v>
      </c>
      <c r="AH2580">
        <v>10.8727679087526</v>
      </c>
      <c r="AI2580">
        <v>95.582060584148195</v>
      </c>
      <c r="AJ2580">
        <v>107.264473341995</v>
      </c>
      <c r="AK2580">
        <v>11.440002530134</v>
      </c>
      <c r="AL2580">
        <v>90.342846689530703</v>
      </c>
      <c r="AM2580">
        <v>91.675271793233094</v>
      </c>
      <c r="AN2580">
        <v>1.00000002461871</v>
      </c>
    </row>
    <row r="2581" spans="1:40" x14ac:dyDescent="0.25">
      <c r="A2581" t="str">
        <f>"20190312154306886"</f>
        <v>20190312154306886</v>
      </c>
      <c r="B2581" t="str">
        <f>"1552376586880331"</f>
        <v>1552376586880331</v>
      </c>
      <c r="C2581" t="s">
        <v>40</v>
      </c>
      <c r="D2581">
        <v>4.6292900000000001</v>
      </c>
      <c r="E2581">
        <v>0.39682400000000001</v>
      </c>
      <c r="F2581" t="s">
        <v>49</v>
      </c>
      <c r="G2581">
        <v>-478.8827</v>
      </c>
      <c r="H2581" s="1">
        <v>2.3067700000000001E-6</v>
      </c>
      <c r="I2581">
        <v>280.40410000000003</v>
      </c>
      <c r="J2581">
        <v>-468.52949999999998</v>
      </c>
      <c r="K2581">
        <v>1.1127469999999999</v>
      </c>
      <c r="L2581">
        <v>284.49869999999999</v>
      </c>
      <c r="M2581">
        <v>-0.99701119999999999</v>
      </c>
      <c r="N2581">
        <v>0</v>
      </c>
      <c r="O2581">
        <v>-7.6062420000000006E-2</v>
      </c>
      <c r="P2581">
        <v>-0.99405250000000001</v>
      </c>
      <c r="Q2581">
        <v>-2.0520420000000001E-2</v>
      </c>
      <c r="R2581">
        <v>-0.1069513</v>
      </c>
      <c r="S2581">
        <v>-2.8955690000000001</v>
      </c>
      <c r="T2581">
        <v>-0.30585970000000001</v>
      </c>
      <c r="U2581">
        <v>-1.1305540000000001</v>
      </c>
      <c r="V2581">
        <v>-3.0986099999999999E-2</v>
      </c>
      <c r="W2581">
        <v>-7.1556240000000002E-3</v>
      </c>
      <c r="X2581">
        <v>0.9994942</v>
      </c>
      <c r="Y2581">
        <v>-0.29076000000000002</v>
      </c>
      <c r="Z2581">
        <v>-7.0771419999999998E-3</v>
      </c>
      <c r="AA2581">
        <v>0.9567698</v>
      </c>
      <c r="AB2581">
        <v>18</v>
      </c>
      <c r="AC2581">
        <v>-10.353199999999999</v>
      </c>
      <c r="AD2581">
        <v>-1.11274469323</v>
      </c>
      <c r="AE2581">
        <v>-4.0945999999999501</v>
      </c>
      <c r="AF2581">
        <v>-3.2625839658267699</v>
      </c>
      <c r="AG2581">
        <v>-1.11274469323</v>
      </c>
      <c r="AH2581">
        <v>10.529494830782101</v>
      </c>
      <c r="AI2581">
        <v>95.764147520917405</v>
      </c>
      <c r="AJ2581">
        <v>107.215694257031</v>
      </c>
      <c r="AK2581">
        <v>11.0793915120754</v>
      </c>
      <c r="AL2581">
        <v>90.409990554399002</v>
      </c>
      <c r="AM2581">
        <v>91.775702455231595</v>
      </c>
      <c r="AN2581">
        <v>0.99999999859083899</v>
      </c>
    </row>
    <row r="2582" spans="1:40" x14ac:dyDescent="0.25">
      <c r="A2582" t="str">
        <f>"20190312154306908"</f>
        <v>20190312154306908</v>
      </c>
      <c r="B2582" t="str">
        <f>"1552376586899851"</f>
        <v>1552376586899851</v>
      </c>
      <c r="C2582" t="s">
        <v>40</v>
      </c>
      <c r="D2582">
        <v>4.6360760000000001</v>
      </c>
      <c r="E2582">
        <v>0.39745249999999999</v>
      </c>
      <c r="F2582" t="s">
        <v>49</v>
      </c>
      <c r="G2582">
        <v>-479.01429999999999</v>
      </c>
      <c r="H2582" s="1">
        <v>2.2438060000000002E-6</v>
      </c>
      <c r="I2582">
        <v>280.35180000000003</v>
      </c>
      <c r="J2582">
        <v>-468.70839999999998</v>
      </c>
      <c r="K2582">
        <v>1.112711</v>
      </c>
      <c r="L2582">
        <v>284.47969999999998</v>
      </c>
      <c r="M2582">
        <v>-0.99665870000000001</v>
      </c>
      <c r="N2582">
        <v>0</v>
      </c>
      <c r="O2582">
        <v>-8.0549910000000002E-2</v>
      </c>
      <c r="P2582">
        <v>-0.99347110000000005</v>
      </c>
      <c r="Q2582">
        <v>-1.968986E-2</v>
      </c>
      <c r="R2582">
        <v>-0.1123739</v>
      </c>
      <c r="S2582">
        <v>-2.8887019999999999</v>
      </c>
      <c r="T2582">
        <v>-0.3065737</v>
      </c>
      <c r="U2582">
        <v>-1.142517</v>
      </c>
      <c r="V2582">
        <v>-3.194375E-2</v>
      </c>
      <c r="W2582">
        <v>-6.3293519999999999E-3</v>
      </c>
      <c r="X2582">
        <v>0.99946959999999996</v>
      </c>
      <c r="Y2582">
        <v>-0.290670599999999</v>
      </c>
      <c r="Z2582">
        <v>-6.6464109999999996E-3</v>
      </c>
      <c r="AA2582">
        <v>0.95680010000000004</v>
      </c>
      <c r="AB2582">
        <v>18</v>
      </c>
      <c r="AC2582">
        <v>-10.305899999999999</v>
      </c>
      <c r="AD2582">
        <v>-1.1127087561939999</v>
      </c>
      <c r="AE2582">
        <v>-4.1278999999999497</v>
      </c>
      <c r="AF2582">
        <v>-3.2516048605447399</v>
      </c>
      <c r="AG2582">
        <v>-1.1127087561939999</v>
      </c>
      <c r="AH2582">
        <v>10.4994655390334</v>
      </c>
      <c r="AI2582">
        <v>95.7805953301405</v>
      </c>
      <c r="AJ2582">
        <v>107.207356693403</v>
      </c>
      <c r="AK2582">
        <v>11.0476165551932</v>
      </c>
      <c r="AL2582">
        <v>90.362647587938696</v>
      </c>
      <c r="AM2582">
        <v>91.830590194363495</v>
      </c>
      <c r="AN2582">
        <v>0.99999997259247997</v>
      </c>
    </row>
    <row r="2583" spans="1:40" x14ac:dyDescent="0.25">
      <c r="A2583" t="str">
        <f>"20190312154306930"</f>
        <v>20190312154306930</v>
      </c>
      <c r="B2583" t="str">
        <f>"1552376586920347"</f>
        <v>1552376586920347</v>
      </c>
      <c r="C2583" t="s">
        <v>40</v>
      </c>
      <c r="D2583">
        <v>4.6837790000000004</v>
      </c>
      <c r="E2583">
        <v>0.39811020000000003</v>
      </c>
      <c r="F2583" t="s">
        <v>49</v>
      </c>
      <c r="G2583">
        <v>-479.29629999999997</v>
      </c>
      <c r="H2583" s="1">
        <v>2.1094699999999999E-6</v>
      </c>
      <c r="I2583">
        <v>280.24529999999999</v>
      </c>
      <c r="J2583">
        <v>-468.87880000000001</v>
      </c>
      <c r="K2583">
        <v>1.1126720000000001</v>
      </c>
      <c r="L2583">
        <v>284.46080000000001</v>
      </c>
      <c r="M2583">
        <v>-0.99630830000000004</v>
      </c>
      <c r="N2583">
        <v>0</v>
      </c>
      <c r="O2583">
        <v>-8.4774509999999997E-2</v>
      </c>
      <c r="P2583">
        <v>-0.99288889999999996</v>
      </c>
      <c r="Q2583">
        <v>-1.8659410000000001E-2</v>
      </c>
      <c r="R2583">
        <v>-0.1175744</v>
      </c>
      <c r="S2583">
        <v>-2.88327</v>
      </c>
      <c r="T2583">
        <v>-0.3030119</v>
      </c>
      <c r="U2583">
        <v>-1.1531070000000001</v>
      </c>
      <c r="V2583">
        <v>-3.2944279999999999E-2</v>
      </c>
      <c r="W2583">
        <v>-5.3042030000000004E-3</v>
      </c>
      <c r="X2583">
        <v>0.99944310000000003</v>
      </c>
      <c r="Y2583">
        <v>-0.29030879999999998</v>
      </c>
      <c r="Z2583">
        <v>-6.136748E-3</v>
      </c>
      <c r="AA2583">
        <v>0.95691340000000003</v>
      </c>
      <c r="AB2583">
        <v>18</v>
      </c>
      <c r="AC2583">
        <v>-10.417499999999899</v>
      </c>
      <c r="AD2583">
        <v>-1.1126698905300001</v>
      </c>
      <c r="AE2583">
        <v>-4.21550000000002</v>
      </c>
      <c r="AF2583">
        <v>-3.28490176803877</v>
      </c>
      <c r="AG2583">
        <v>-1.1126698905300001</v>
      </c>
      <c r="AH2583">
        <v>10.633157413223399</v>
      </c>
      <c r="AI2583">
        <v>95.709420752639303</v>
      </c>
      <c r="AJ2583">
        <v>107.16749001359</v>
      </c>
      <c r="AK2583">
        <v>11.1844825756645</v>
      </c>
      <c r="AL2583">
        <v>90.3039098751685</v>
      </c>
      <c r="AM2583">
        <v>91.887936403635095</v>
      </c>
      <c r="AN2583">
        <v>0.99999998514589605</v>
      </c>
    </row>
    <row r="2584" spans="1:40" x14ac:dyDescent="0.25">
      <c r="A2584" t="str">
        <f>"20190312154306952"</f>
        <v>20190312154306952</v>
      </c>
      <c r="B2584" t="str">
        <f>"1552376586939867"</f>
        <v>1552376586939867</v>
      </c>
      <c r="C2584" t="s">
        <v>40</v>
      </c>
      <c r="D2584">
        <v>4.695862</v>
      </c>
      <c r="E2584">
        <v>0.39828479999999999</v>
      </c>
      <c r="F2584" t="s">
        <v>49</v>
      </c>
      <c r="G2584">
        <v>-479.57530000000003</v>
      </c>
      <c r="H2584" s="1">
        <v>1.9764930000000001E-6</v>
      </c>
      <c r="I2584">
        <v>280.1395</v>
      </c>
      <c r="J2584">
        <v>-469.05369999999999</v>
      </c>
      <c r="K2584">
        <v>1.112625</v>
      </c>
      <c r="L2584">
        <v>284.44060000000002</v>
      </c>
      <c r="M2584">
        <v>-0.99593339999999997</v>
      </c>
      <c r="N2584">
        <v>0</v>
      </c>
      <c r="O2584">
        <v>-8.9071659999999997E-2</v>
      </c>
      <c r="P2584">
        <v>-0.99221709999999996</v>
      </c>
      <c r="Q2584">
        <v>-1.855474E-2</v>
      </c>
      <c r="R2584">
        <v>-0.1231324</v>
      </c>
      <c r="S2584">
        <v>-2.878174</v>
      </c>
      <c r="T2584">
        <v>-0.2993922</v>
      </c>
      <c r="U2584">
        <v>-1.16275</v>
      </c>
      <c r="V2584">
        <v>-3.423006E-2</v>
      </c>
      <c r="W2584">
        <v>-5.207349E-3</v>
      </c>
      <c r="X2584">
        <v>0.99940039999999997</v>
      </c>
      <c r="Y2584">
        <v>-0.2895703</v>
      </c>
      <c r="Z2584">
        <v>-5.6092219999999996E-3</v>
      </c>
      <c r="AA2584">
        <v>0.95714030000000005</v>
      </c>
      <c r="AB2584">
        <v>18</v>
      </c>
      <c r="AC2584">
        <v>-10.521599999999999</v>
      </c>
      <c r="AD2584">
        <v>-1.112623023507</v>
      </c>
      <c r="AE2584">
        <v>-4.3011000000000204</v>
      </c>
      <c r="AF2584">
        <v>-3.3149772534937298</v>
      </c>
      <c r="AG2584">
        <v>-1.112623023507</v>
      </c>
      <c r="AH2584">
        <v>10.7598200319594</v>
      </c>
      <c r="AI2584">
        <v>95.643739703143893</v>
      </c>
      <c r="AJ2584">
        <v>107.123465688059</v>
      </c>
      <c r="AK2584">
        <v>11.3137408183047</v>
      </c>
      <c r="AL2584">
        <v>90.298360472602695</v>
      </c>
      <c r="AM2584">
        <v>91.961647802224704</v>
      </c>
      <c r="AN2584">
        <v>0.999999986505685</v>
      </c>
    </row>
    <row r="2585" spans="1:40" x14ac:dyDescent="0.25">
      <c r="A2585" t="str">
        <f>"20190312154306975"</f>
        <v>20190312154306975</v>
      </c>
      <c r="B2585" t="str">
        <f>"1552376586970123"</f>
        <v>1552376586970123</v>
      </c>
      <c r="C2585" t="s">
        <v>40</v>
      </c>
      <c r="D2585">
        <v>4.7139110000000004</v>
      </c>
      <c r="E2585">
        <v>0.38135360000000001</v>
      </c>
      <c r="F2585" t="s">
        <v>49</v>
      </c>
      <c r="G2585">
        <v>-479.7448</v>
      </c>
      <c r="H2585" s="1">
        <v>1.8944339999999999E-6</v>
      </c>
      <c r="I2585">
        <v>280.06040000000002</v>
      </c>
      <c r="J2585">
        <v>-469.23680000000002</v>
      </c>
      <c r="K2585">
        <v>1.1125689999999999</v>
      </c>
      <c r="L2585">
        <v>284.41879999999998</v>
      </c>
      <c r="M2585">
        <v>-0.99552640000000003</v>
      </c>
      <c r="N2585">
        <v>0</v>
      </c>
      <c r="O2585">
        <v>-9.3510800000000005E-2</v>
      </c>
      <c r="P2585">
        <v>-0.99145939999999999</v>
      </c>
      <c r="Q2585">
        <v>-1.9243619999999999E-2</v>
      </c>
      <c r="R2585">
        <v>-0.1289893</v>
      </c>
      <c r="S2585">
        <v>-2.8718870000000001</v>
      </c>
      <c r="T2585">
        <v>-0.29888029999999999</v>
      </c>
      <c r="U2585">
        <v>-1.176636</v>
      </c>
      <c r="V2585">
        <v>-3.5673829999999997E-2</v>
      </c>
      <c r="W2585">
        <v>-5.9052729999999999E-3</v>
      </c>
      <c r="X2585">
        <v>0.99934599999999996</v>
      </c>
      <c r="Y2585">
        <v>-0.29002119999999998</v>
      </c>
      <c r="Z2585">
        <v>-5.1913699999999998E-3</v>
      </c>
      <c r="AA2585">
        <v>0.95700609999999997</v>
      </c>
      <c r="AB2585">
        <v>18</v>
      </c>
      <c r="AC2585">
        <v>-10.5079999999999</v>
      </c>
      <c r="AD2585">
        <v>-1.112567105566</v>
      </c>
      <c r="AE2585">
        <v>-4.3583999999999596</v>
      </c>
      <c r="AF2585">
        <v>-3.3247970361536598</v>
      </c>
      <c r="AG2585">
        <v>-1.112567105566</v>
      </c>
      <c r="AH2585">
        <v>10.766563902981</v>
      </c>
      <c r="AI2585">
        <v>95.638810998174307</v>
      </c>
      <c r="AJ2585">
        <v>107.161086922981</v>
      </c>
      <c r="AK2585">
        <v>11.3230287102425</v>
      </c>
      <c r="AL2585">
        <v>90.338349199468297</v>
      </c>
      <c r="AM2585">
        <v>92.044429419995396</v>
      </c>
      <c r="AN2585">
        <v>0.99999996105603595</v>
      </c>
    </row>
    <row r="2586" spans="1:40" x14ac:dyDescent="0.25">
      <c r="A2586" t="str">
        <f>"20190312154306998"</f>
        <v>20190312154306998</v>
      </c>
      <c r="B2586" t="str">
        <f>"1552376586990620"</f>
        <v>1552376586990620</v>
      </c>
      <c r="C2586" t="s">
        <v>40</v>
      </c>
      <c r="D2586">
        <v>4.7251430000000001</v>
      </c>
      <c r="E2586">
        <v>0.38105830000000002</v>
      </c>
      <c r="F2586" t="s">
        <v>49</v>
      </c>
      <c r="G2586">
        <v>-479.66930000000002</v>
      </c>
      <c r="H2586" s="1">
        <v>1.881219E-6</v>
      </c>
      <c r="I2586">
        <v>279.55689999999998</v>
      </c>
      <c r="J2586">
        <v>-469.41180000000003</v>
      </c>
      <c r="K2586">
        <v>1.1125130000000001</v>
      </c>
      <c r="L2586">
        <v>284.3972</v>
      </c>
      <c r="M2586">
        <v>-0.99512460000000003</v>
      </c>
      <c r="N2586">
        <v>0</v>
      </c>
      <c r="O2586">
        <v>-9.7694989999999995E-2</v>
      </c>
      <c r="P2586">
        <v>-0.99061790000000005</v>
      </c>
      <c r="Q2586">
        <v>-2.0958870000000001E-2</v>
      </c>
      <c r="R2586">
        <v>-0.1350449</v>
      </c>
      <c r="S2586">
        <v>-2.847321</v>
      </c>
      <c r="T2586">
        <v>-0.30365029999999998</v>
      </c>
      <c r="U2586">
        <v>-1.326935</v>
      </c>
      <c r="V2586">
        <v>-3.757419E-2</v>
      </c>
      <c r="W2586">
        <v>-7.6320199999999998E-3</v>
      </c>
      <c r="X2586">
        <v>0.99926470000000001</v>
      </c>
      <c r="Y2586">
        <v>-0.33075559999999998</v>
      </c>
      <c r="Z2586">
        <v>-6.9106369999999999E-3</v>
      </c>
      <c r="AA2586">
        <v>0.9436911</v>
      </c>
      <c r="AB2586">
        <v>18</v>
      </c>
      <c r="AC2586">
        <v>-10.257499999999901</v>
      </c>
      <c r="AD2586">
        <v>-1.112511118781</v>
      </c>
      <c r="AE2586">
        <v>-4.8403000000000098</v>
      </c>
      <c r="AF2586">
        <v>-3.77859028753823</v>
      </c>
      <c r="AG2586">
        <v>-1.112511118781</v>
      </c>
      <c r="AH2586">
        <v>10.579554521610801</v>
      </c>
      <c r="AI2586">
        <v>95.655558447425406</v>
      </c>
      <c r="AJ2586">
        <v>109.654678800372</v>
      </c>
      <c r="AK2586">
        <v>11.2890389062234</v>
      </c>
      <c r="AL2586">
        <v>90.437286778607898</v>
      </c>
      <c r="AM2586">
        <v>92.153412136020606</v>
      </c>
      <c r="AN2586">
        <v>1.0000000040747601</v>
      </c>
    </row>
    <row r="2587" spans="1:40" x14ac:dyDescent="0.25">
      <c r="A2587" t="str">
        <f>"20190312154307019"</f>
        <v>20190312154307019</v>
      </c>
      <c r="B2587" t="str">
        <f>"1552376587009716"</f>
        <v>1552376587009716</v>
      </c>
      <c r="C2587" t="s">
        <v>40</v>
      </c>
      <c r="D2587">
        <v>4.7118460000000004</v>
      </c>
      <c r="E2587">
        <v>0.38091049999999999</v>
      </c>
      <c r="F2587" t="s">
        <v>49</v>
      </c>
      <c r="G2587">
        <v>-479.5335</v>
      </c>
      <c r="H2587" s="1">
        <v>1.946527E-6</v>
      </c>
      <c r="I2587">
        <v>279.59559999999999</v>
      </c>
      <c r="J2587">
        <v>-469.58229999999998</v>
      </c>
      <c r="K2587">
        <v>1.11246</v>
      </c>
      <c r="L2587">
        <v>284.37549999999999</v>
      </c>
      <c r="M2587">
        <v>-0.99472340000000004</v>
      </c>
      <c r="N2587">
        <v>0</v>
      </c>
      <c r="O2587">
        <v>-0.1016994</v>
      </c>
      <c r="P2587">
        <v>-0.98975340000000001</v>
      </c>
      <c r="Q2587">
        <v>-2.2682919999999999E-2</v>
      </c>
      <c r="R2587">
        <v>-0.1409755</v>
      </c>
      <c r="S2587">
        <v>-2.838257</v>
      </c>
      <c r="T2587">
        <v>-0.31196049999999997</v>
      </c>
      <c r="U2587">
        <v>-1.3464050000000001</v>
      </c>
      <c r="V2587">
        <v>-3.9533319999999997E-2</v>
      </c>
      <c r="W2587">
        <v>-9.3675240000000003E-3</v>
      </c>
      <c r="X2587">
        <v>0.99917440000000002</v>
      </c>
      <c r="Y2587">
        <v>-0.3333546</v>
      </c>
      <c r="Z2587">
        <v>-6.8349250000000004E-3</v>
      </c>
      <c r="AA2587">
        <v>0.94277670000000002</v>
      </c>
      <c r="AB2587">
        <v>18</v>
      </c>
      <c r="AC2587">
        <v>-9.9512000000000196</v>
      </c>
      <c r="AD2587">
        <v>-1.112458053473</v>
      </c>
      <c r="AE2587">
        <v>-4.7798999999999898</v>
      </c>
      <c r="AF2587">
        <v>-3.7053630790480501</v>
      </c>
      <c r="AG2587">
        <v>-1.112458053473</v>
      </c>
      <c r="AH2587">
        <v>10.281351096860201</v>
      </c>
      <c r="AI2587">
        <v>95.812266500969798</v>
      </c>
      <c r="AJ2587">
        <v>109.818985792432</v>
      </c>
      <c r="AK2587">
        <v>10.985147192696999</v>
      </c>
      <c r="AL2587">
        <v>90.536727408566705</v>
      </c>
      <c r="AM2587">
        <v>92.2657821488868</v>
      </c>
      <c r="AN2587">
        <v>1.00000005775573</v>
      </c>
    </row>
    <row r="2588" spans="1:40" x14ac:dyDescent="0.25">
      <c r="A2588" t="str">
        <f>"20190312154307041"</f>
        <v>20190312154307041</v>
      </c>
      <c r="B2588" t="str">
        <f>"1552376587030216"</f>
        <v>1552376587030216</v>
      </c>
      <c r="C2588" t="s">
        <v>40</v>
      </c>
      <c r="D2588">
        <v>4.728637</v>
      </c>
      <c r="E2588">
        <v>0.38107360000000001</v>
      </c>
      <c r="F2588" t="s">
        <v>49</v>
      </c>
      <c r="G2588">
        <v>-479.43349999999998</v>
      </c>
      <c r="H2588" s="1">
        <v>1.9945769999999999E-6</v>
      </c>
      <c r="I2588">
        <v>279.62689999999998</v>
      </c>
      <c r="J2588">
        <v>-469.75659999999999</v>
      </c>
      <c r="K2588">
        <v>1.1124000000000001</v>
      </c>
      <c r="L2588">
        <v>284.3528</v>
      </c>
      <c r="M2588">
        <v>-0.99430529999999995</v>
      </c>
      <c r="N2588">
        <v>0</v>
      </c>
      <c r="O2588">
        <v>-0.1057106</v>
      </c>
      <c r="P2588">
        <v>-0.98879159999999999</v>
      </c>
      <c r="Q2588">
        <v>-2.355614E-2</v>
      </c>
      <c r="R2588">
        <v>-0.1474338</v>
      </c>
      <c r="S2588">
        <v>-2.8294679999999999</v>
      </c>
      <c r="T2588">
        <v>-0.31952120000000001</v>
      </c>
      <c r="U2588">
        <v>-1.3638920000000001</v>
      </c>
      <c r="V2588">
        <v>-4.2025100000000003E-2</v>
      </c>
      <c r="W2588">
        <v>-1.025447E-2</v>
      </c>
      <c r="X2588">
        <v>0.9990639</v>
      </c>
      <c r="Y2588">
        <v>-0.33537840000000002</v>
      </c>
      <c r="Z2588">
        <v>-6.6978200000000002E-3</v>
      </c>
      <c r="AA2588">
        <v>0.94205970000000006</v>
      </c>
      <c r="AB2588">
        <v>18</v>
      </c>
      <c r="AC2588">
        <v>-9.6768999999999892</v>
      </c>
      <c r="AD2588">
        <v>-1.112398005423</v>
      </c>
      <c r="AE2588">
        <v>-4.7259000000000198</v>
      </c>
      <c r="AF2588">
        <v>-3.6375600126422598</v>
      </c>
      <c r="AG2588">
        <v>-1.112398005423</v>
      </c>
      <c r="AH2588">
        <v>10.0154318774815</v>
      </c>
      <c r="AI2588">
        <v>95.959868666710193</v>
      </c>
      <c r="AJ2588">
        <v>109.960794900354</v>
      </c>
      <c r="AK2588">
        <v>10.7134563918707</v>
      </c>
      <c r="AL2588">
        <v>90.587548167421801</v>
      </c>
      <c r="AM2588">
        <v>92.408696978142004</v>
      </c>
      <c r="AN2588">
        <v>0.99999996973409999</v>
      </c>
    </row>
    <row r="2589" spans="1:40" x14ac:dyDescent="0.25">
      <c r="A2589" t="str">
        <f>"20190312154307064"</f>
        <v>20190312154307064</v>
      </c>
      <c r="B2589" t="str">
        <f>"1552376587060468"</f>
        <v>1552376587060468</v>
      </c>
      <c r="C2589" t="s">
        <v>40</v>
      </c>
      <c r="D2589">
        <v>4.731128</v>
      </c>
      <c r="E2589">
        <v>0.38151790000000002</v>
      </c>
      <c r="F2589" t="s">
        <v>49</v>
      </c>
      <c r="G2589">
        <v>-479.43470000000002</v>
      </c>
      <c r="H2589" s="1">
        <v>1.9930039999999999E-6</v>
      </c>
      <c r="I2589">
        <v>279.61540000000002</v>
      </c>
      <c r="J2589">
        <v>-469.93299999999999</v>
      </c>
      <c r="K2589">
        <v>1.112336</v>
      </c>
      <c r="L2589">
        <v>284.32920000000001</v>
      </c>
      <c r="M2589">
        <v>-0.99387590000000003</v>
      </c>
      <c r="N2589">
        <v>0</v>
      </c>
      <c r="O2589">
        <v>-0.1096751</v>
      </c>
      <c r="P2589">
        <v>-0.98773290000000002</v>
      </c>
      <c r="Q2589">
        <v>-2.30899E-2</v>
      </c>
      <c r="R2589">
        <v>-0.15443779999999999</v>
      </c>
      <c r="S2589">
        <v>-2.8204349999999998</v>
      </c>
      <c r="T2589">
        <v>-0.32418249999999998</v>
      </c>
      <c r="U2589">
        <v>-1.380585</v>
      </c>
      <c r="V2589">
        <v>-4.5123070000000001E-2</v>
      </c>
      <c r="W2589">
        <v>-9.8042600000000004E-3</v>
      </c>
      <c r="X2589">
        <v>0.99893330000000002</v>
      </c>
      <c r="Y2589">
        <v>-0.33728439999999998</v>
      </c>
      <c r="Z2589">
        <v>-6.4875849999999997E-3</v>
      </c>
      <c r="AA2589">
        <v>0.94138040000000001</v>
      </c>
      <c r="AB2589">
        <v>18</v>
      </c>
      <c r="AC2589">
        <v>-9.5016999999999694</v>
      </c>
      <c r="AD2589">
        <v>-1.1123340069959999</v>
      </c>
      <c r="AE2589">
        <v>-4.7137999999999902</v>
      </c>
      <c r="AF2589">
        <v>-3.6035327305264002</v>
      </c>
      <c r="AG2589">
        <v>-1.1123340069959999</v>
      </c>
      <c r="AH2589">
        <v>9.8530413297179607</v>
      </c>
      <c r="AI2589">
        <v>96.052128159369602</v>
      </c>
      <c r="AJ2589">
        <v>110.08887925109499</v>
      </c>
      <c r="AK2589">
        <v>10.550125995845899</v>
      </c>
      <c r="AL2589">
        <v>90.561751732340696</v>
      </c>
      <c r="AM2589">
        <v>92.586364066987002</v>
      </c>
      <c r="AN2589">
        <v>0.99999997640463101</v>
      </c>
    </row>
    <row r="2590" spans="1:40" x14ac:dyDescent="0.25">
      <c r="A2590" t="str">
        <f>"20190312154307085"</f>
        <v>20190312154307085</v>
      </c>
      <c r="B2590" t="str">
        <f>"1552376587079989"</f>
        <v>1552376587079989</v>
      </c>
      <c r="C2590" t="s">
        <v>40</v>
      </c>
      <c r="D2590">
        <v>4.7408739999999998</v>
      </c>
      <c r="E2590">
        <v>0.38197419999999999</v>
      </c>
      <c r="F2590" t="s">
        <v>49</v>
      </c>
      <c r="G2590">
        <v>-479.62110000000001</v>
      </c>
      <c r="H2590" s="1">
        <v>1.897591E-6</v>
      </c>
      <c r="I2590">
        <v>279.51900000000001</v>
      </c>
      <c r="J2590">
        <v>-470.10300000000001</v>
      </c>
      <c r="K2590">
        <v>1.112279</v>
      </c>
      <c r="L2590">
        <v>284.30579999999998</v>
      </c>
      <c r="M2590">
        <v>-0.99345700000000003</v>
      </c>
      <c r="N2590">
        <v>0</v>
      </c>
      <c r="O2590">
        <v>-0.11340799999999999</v>
      </c>
      <c r="P2590">
        <v>-0.98679470000000002</v>
      </c>
      <c r="Q2590">
        <v>-2.286467E-2</v>
      </c>
      <c r="R2590">
        <v>-0.16035629999999901</v>
      </c>
      <c r="S2590">
        <v>-2.8114620000000001</v>
      </c>
      <c r="T2590">
        <v>-0.32279790000000003</v>
      </c>
      <c r="U2590">
        <v>-1.395905</v>
      </c>
      <c r="V2590">
        <v>-4.7360380000000001E-2</v>
      </c>
      <c r="W2590">
        <v>-9.5903629999999993E-3</v>
      </c>
      <c r="X2590">
        <v>0.99883180000000005</v>
      </c>
      <c r="Y2590">
        <v>-0.33907609999999999</v>
      </c>
      <c r="Z2590">
        <v>-6.1721450000000004E-3</v>
      </c>
      <c r="AA2590">
        <v>0.94073870000000004</v>
      </c>
      <c r="AB2590">
        <v>18</v>
      </c>
      <c r="AC2590">
        <v>-9.5181000000000004</v>
      </c>
      <c r="AD2590">
        <v>-1.1122771024089999</v>
      </c>
      <c r="AE2590">
        <v>-4.7867999999999702</v>
      </c>
      <c r="AF2590">
        <v>-3.6367473137705799</v>
      </c>
      <c r="AG2590">
        <v>-1.1122771024089999</v>
      </c>
      <c r="AH2590">
        <v>9.8917795614556994</v>
      </c>
      <c r="AI2590">
        <v>96.024572364354</v>
      </c>
      <c r="AJ2590">
        <v>110.186127795234</v>
      </c>
      <c r="AK2590">
        <v>10.597659848720999</v>
      </c>
      <c r="AL2590">
        <v>90.549495762451699</v>
      </c>
      <c r="AM2590">
        <v>92.714690345858202</v>
      </c>
      <c r="AN2590">
        <v>0.99999997267372698</v>
      </c>
    </row>
    <row r="2591" spans="1:40" x14ac:dyDescent="0.25">
      <c r="A2591" t="str">
        <f>"20190312154307109"</f>
        <v>20190312154307109</v>
      </c>
      <c r="B2591" t="str">
        <f>"1552376587100484"</f>
        <v>1552376587100484</v>
      </c>
      <c r="C2591" t="s">
        <v>40</v>
      </c>
      <c r="D2591">
        <v>4.7343869999999999</v>
      </c>
      <c r="E2591">
        <v>0.3823375</v>
      </c>
      <c r="F2591" t="s">
        <v>49</v>
      </c>
      <c r="G2591">
        <v>-479.7894</v>
      </c>
      <c r="H2591" s="1">
        <v>1.81158E-6</v>
      </c>
      <c r="I2591">
        <v>279.43689999999998</v>
      </c>
      <c r="J2591">
        <v>-470.28160000000003</v>
      </c>
      <c r="K2591">
        <v>1.1122259999999999</v>
      </c>
      <c r="L2591">
        <v>284.28070000000002</v>
      </c>
      <c r="M2591">
        <v>-0.99301159999999999</v>
      </c>
      <c r="N2591">
        <v>0</v>
      </c>
      <c r="O2591">
        <v>-0.117244</v>
      </c>
      <c r="P2591">
        <v>-0.98591980000000001</v>
      </c>
      <c r="Q2591">
        <v>-2.255948E-2</v>
      </c>
      <c r="R2591">
        <v>-0.1656898</v>
      </c>
      <c r="S2591">
        <v>-2.8036500000000002</v>
      </c>
      <c r="T2591">
        <v>-0.321938</v>
      </c>
      <c r="U2591">
        <v>-1.4092709999999999</v>
      </c>
      <c r="V2591">
        <v>-4.8905499999999998E-2</v>
      </c>
      <c r="W2591">
        <v>-9.2933819999999993E-3</v>
      </c>
      <c r="X2591">
        <v>0.99876019999999999</v>
      </c>
      <c r="Y2591">
        <v>-0.3400936</v>
      </c>
      <c r="Z2591">
        <v>-5.8138119999999998E-3</v>
      </c>
      <c r="AA2591">
        <v>0.94037360000000003</v>
      </c>
      <c r="AB2591">
        <v>18</v>
      </c>
      <c r="AC2591">
        <v>-9.5077999999999694</v>
      </c>
      <c r="AD2591">
        <v>-1.1122241884199999</v>
      </c>
      <c r="AE2591">
        <v>-4.8438000000000399</v>
      </c>
      <c r="AF2591">
        <v>-3.6558341158235899</v>
      </c>
      <c r="AG2591">
        <v>-1.1122241884199999</v>
      </c>
      <c r="AH2591">
        <v>9.9025852346028103</v>
      </c>
      <c r="AI2591">
        <v>96.014805607119996</v>
      </c>
      <c r="AJ2591">
        <v>110.263125839878</v>
      </c>
      <c r="AK2591">
        <v>10.6142997911449</v>
      </c>
      <c r="AL2591">
        <v>90.532479217117697</v>
      </c>
      <c r="AM2591">
        <v>92.803318009940497</v>
      </c>
      <c r="AN2591">
        <v>1.00000002599164</v>
      </c>
    </row>
    <row r="2592" spans="1:40" x14ac:dyDescent="0.25">
      <c r="A2592" t="str">
        <f>"20190312154307131"</f>
        <v>20190312154307131</v>
      </c>
      <c r="B2592" t="str">
        <f>"1552376587120008"</f>
        <v>1552376587120008</v>
      </c>
      <c r="C2592" t="s">
        <v>40</v>
      </c>
      <c r="D2592">
        <v>4.7302</v>
      </c>
      <c r="E2592">
        <v>0.38260149999999998</v>
      </c>
      <c r="F2592" t="s">
        <v>49</v>
      </c>
      <c r="G2592">
        <v>-479.97620000000001</v>
      </c>
      <c r="H2592" s="1">
        <v>1.7164490000000001E-6</v>
      </c>
      <c r="I2592">
        <v>279.35329999999999</v>
      </c>
      <c r="J2592">
        <v>-470.45330000000001</v>
      </c>
      <c r="K2592">
        <v>1.1121890000000001</v>
      </c>
      <c r="L2592">
        <v>284.25599999999997</v>
      </c>
      <c r="M2592">
        <v>-0.99257779999999995</v>
      </c>
      <c r="N2592">
        <v>0</v>
      </c>
      <c r="O2592">
        <v>-0.12086189999999999</v>
      </c>
      <c r="P2592">
        <v>-0.98518530000000004</v>
      </c>
      <c r="Q2592">
        <v>-2.1938240000000001E-2</v>
      </c>
      <c r="R2592">
        <v>-0.17008480000000001</v>
      </c>
      <c r="S2592">
        <v>-2.7966000000000002</v>
      </c>
      <c r="T2592">
        <v>-0.32084410000000002</v>
      </c>
      <c r="U2592">
        <v>-1.4214169999999999</v>
      </c>
      <c r="V2592">
        <v>-4.972062E-2</v>
      </c>
      <c r="W2592">
        <v>-8.6782549999999993E-3</v>
      </c>
      <c r="X2592">
        <v>0.99872550000000004</v>
      </c>
      <c r="Y2592">
        <v>-0.34089059999999999</v>
      </c>
      <c r="Z2592">
        <v>-5.4629680000000003E-3</v>
      </c>
      <c r="AA2592">
        <v>0.94008709999999995</v>
      </c>
      <c r="AB2592">
        <v>18</v>
      </c>
      <c r="AC2592">
        <v>-9.5228999999999893</v>
      </c>
      <c r="AD2592">
        <v>-1.1121872835509901</v>
      </c>
      <c r="AE2592">
        <v>-4.9026999999999799</v>
      </c>
      <c r="AF2592">
        <v>-3.6760568917100498</v>
      </c>
      <c r="AG2592">
        <v>-1.1121872835509901</v>
      </c>
      <c r="AH2592">
        <v>9.93852204072844</v>
      </c>
      <c r="AI2592">
        <v>95.991664145239895</v>
      </c>
      <c r="AJ2592">
        <v>110.29840743106701</v>
      </c>
      <c r="AK2592">
        <v>10.654791184196201</v>
      </c>
      <c r="AL2592">
        <v>90.497233607434097</v>
      </c>
      <c r="AM2592">
        <v>92.850064056681205</v>
      </c>
      <c r="AN2592">
        <v>1.0000000382566301</v>
      </c>
    </row>
    <row r="2593" spans="1:40" x14ac:dyDescent="0.25">
      <c r="A2593" t="str">
        <f>"20190312154307153"</f>
        <v>20190312154307153</v>
      </c>
      <c r="B2593" t="str">
        <f>"1552376587150261"</f>
        <v>1552376587150261</v>
      </c>
      <c r="C2593" t="s">
        <v>40</v>
      </c>
      <c r="D2593">
        <v>4.7395310000000004</v>
      </c>
      <c r="E2593">
        <v>0.38823970000000002</v>
      </c>
      <c r="F2593" t="s">
        <v>49</v>
      </c>
      <c r="G2593">
        <v>-480.18619999999999</v>
      </c>
      <c r="H2593" s="1">
        <v>1.7189420000000001E-6</v>
      </c>
      <c r="I2593">
        <v>279.26170000000002</v>
      </c>
      <c r="J2593">
        <v>-470.62490000000003</v>
      </c>
      <c r="K2593">
        <v>1.112161</v>
      </c>
      <c r="L2593">
        <v>284.23070000000001</v>
      </c>
      <c r="M2593">
        <v>-0.99213620000000002</v>
      </c>
      <c r="N2593">
        <v>0</v>
      </c>
      <c r="O2593">
        <v>-0.1244353</v>
      </c>
      <c r="P2593">
        <v>-0.9845469</v>
      </c>
      <c r="Q2593">
        <v>-2.1053789999999999E-2</v>
      </c>
      <c r="R2593">
        <v>-0.17385139999999999</v>
      </c>
      <c r="S2593">
        <v>-2.7908019999999998</v>
      </c>
      <c r="T2593">
        <v>-0.31890689999999999</v>
      </c>
      <c r="U2593">
        <v>-1.4320679999999999</v>
      </c>
      <c r="V2593">
        <v>-4.9945759999999999E-2</v>
      </c>
      <c r="W2593">
        <v>-7.7984059999999999E-3</v>
      </c>
      <c r="X2593">
        <v>0.99872150000000004</v>
      </c>
      <c r="Y2593">
        <v>-0.34116879999999999</v>
      </c>
      <c r="Z2593">
        <v>-5.0757069999999996E-3</v>
      </c>
      <c r="AA2593">
        <v>0.9399883</v>
      </c>
      <c r="AB2593">
        <v>18</v>
      </c>
      <c r="AC2593">
        <v>-9.5612999999999602</v>
      </c>
      <c r="AD2593">
        <v>-1.1121592810580001</v>
      </c>
      <c r="AE2593">
        <v>-4.9689999999999896</v>
      </c>
      <c r="AF2593">
        <v>-3.7010741749688898</v>
      </c>
      <c r="AG2593">
        <v>-1.1121592810580001</v>
      </c>
      <c r="AH2593">
        <v>9.9988323098513998</v>
      </c>
      <c r="AI2593">
        <v>95.955114219627603</v>
      </c>
      <c r="AJ2593">
        <v>110.312065047304</v>
      </c>
      <c r="AK2593">
        <v>10.719677974435299</v>
      </c>
      <c r="AL2593">
        <v>90.446820273314898</v>
      </c>
      <c r="AM2593">
        <v>92.862959460242394</v>
      </c>
      <c r="AN2593">
        <v>1.0000000143201799</v>
      </c>
    </row>
    <row r="2594" spans="1:40" x14ac:dyDescent="0.25">
      <c r="A2594" t="str">
        <f>"20190312154307176"</f>
        <v>20190312154307176</v>
      </c>
      <c r="B2594" t="str">
        <f>"1552376587169780"</f>
        <v>1552376587169780</v>
      </c>
      <c r="C2594" t="s">
        <v>40</v>
      </c>
      <c r="D2594">
        <v>4.7264010000000001</v>
      </c>
      <c r="E2594">
        <v>0.38878770000000001</v>
      </c>
      <c r="F2594" t="s">
        <v>49</v>
      </c>
      <c r="G2594">
        <v>-480.5367</v>
      </c>
      <c r="H2594" s="1">
        <v>1.7512179999999999E-6</v>
      </c>
      <c r="I2594">
        <v>279.26839999999999</v>
      </c>
      <c r="J2594">
        <v>-470.80160000000001</v>
      </c>
      <c r="K2594">
        <v>1.1121570000000001</v>
      </c>
      <c r="L2594">
        <v>284.20400000000001</v>
      </c>
      <c r="M2594">
        <v>-0.99167039999999995</v>
      </c>
      <c r="N2594">
        <v>0</v>
      </c>
      <c r="O2594">
        <v>-0.12809580000000001</v>
      </c>
      <c r="P2594">
        <v>-0.98378399999999999</v>
      </c>
      <c r="Q2594">
        <v>-2.1245839999999998E-2</v>
      </c>
      <c r="R2594">
        <v>-0.17809620000000001</v>
      </c>
      <c r="S2594">
        <v>-2.7934570000000001</v>
      </c>
      <c r="T2594">
        <v>-0.31344159999999999</v>
      </c>
      <c r="U2594">
        <v>-1.3985289999999999</v>
      </c>
      <c r="V2594">
        <v>-5.0567149999999998E-2</v>
      </c>
      <c r="W2594">
        <v>-7.9982200000000003E-3</v>
      </c>
      <c r="X2594">
        <v>0.99868860000000004</v>
      </c>
      <c r="Y2594">
        <v>-0.32843990000000001</v>
      </c>
      <c r="Z2594">
        <v>-3.9443170000000001E-3</v>
      </c>
      <c r="AA2594">
        <v>0.94451669999999999</v>
      </c>
      <c r="AB2594">
        <v>18</v>
      </c>
      <c r="AC2594">
        <v>-9.7350999999999797</v>
      </c>
      <c r="AD2594">
        <v>-1.1121552487819999</v>
      </c>
      <c r="AE2594">
        <v>-4.9356000000000204</v>
      </c>
      <c r="AF2594">
        <v>-3.61030968216114</v>
      </c>
      <c r="AG2594">
        <v>-1.1121552487819999</v>
      </c>
      <c r="AH2594">
        <v>10.181463756781</v>
      </c>
      <c r="AI2594">
        <v>95.878028256677993</v>
      </c>
      <c r="AJ2594">
        <v>109.524319683024</v>
      </c>
      <c r="AK2594">
        <v>10.8597159046241</v>
      </c>
      <c r="AL2594">
        <v>90.458269152243702</v>
      </c>
      <c r="AM2594">
        <v>92.898613343159695</v>
      </c>
      <c r="AN2594">
        <v>0.99999996397612401</v>
      </c>
    </row>
    <row r="2595" spans="1:40" x14ac:dyDescent="0.25">
      <c r="A2595" t="str">
        <f>"20190312154307199"</f>
        <v>20190312154307199</v>
      </c>
      <c r="B2595" t="str">
        <f>"1552376587190278"</f>
        <v>1552376587190278</v>
      </c>
      <c r="C2595" t="s">
        <v>40</v>
      </c>
      <c r="D2595">
        <v>4.7314860000000003</v>
      </c>
      <c r="E2595">
        <v>0.38915939999999999</v>
      </c>
      <c r="F2595" t="s">
        <v>49</v>
      </c>
      <c r="G2595">
        <v>-480.85610000000003</v>
      </c>
      <c r="H2595" s="1">
        <v>1.755937E-6</v>
      </c>
      <c r="I2595">
        <v>279.1343</v>
      </c>
      <c r="J2595">
        <v>-470.97480000000002</v>
      </c>
      <c r="K2595">
        <v>1.1121730000000001</v>
      </c>
      <c r="L2595">
        <v>284.17720000000003</v>
      </c>
      <c r="M2595">
        <v>-0.99119880000000005</v>
      </c>
      <c r="N2595">
        <v>0</v>
      </c>
      <c r="O2595">
        <v>-0.131694799999999</v>
      </c>
      <c r="P2595">
        <v>-0.98283359999999997</v>
      </c>
      <c r="Q2595">
        <v>-2.1741119999999999E-2</v>
      </c>
      <c r="R2595">
        <v>-0.18320890000000001</v>
      </c>
      <c r="S2595">
        <v>-2.7882389999999999</v>
      </c>
      <c r="T2595">
        <v>-0.30841220000000003</v>
      </c>
      <c r="U2595">
        <v>-1.4058839999999999</v>
      </c>
      <c r="V2595">
        <v>-5.213313E-2</v>
      </c>
      <c r="W2595">
        <v>-8.5065560000000002E-3</v>
      </c>
      <c r="X2595">
        <v>0.99860389999999999</v>
      </c>
      <c r="Y2595">
        <v>-0.32775870000000001</v>
      </c>
      <c r="Z2595">
        <v>-3.4842409999999999E-3</v>
      </c>
      <c r="AA2595">
        <v>0.94475500000000001</v>
      </c>
      <c r="AB2595">
        <v>18</v>
      </c>
      <c r="AC2595">
        <v>-9.8813000000000102</v>
      </c>
      <c r="AD2595">
        <v>-1.1121712440629901</v>
      </c>
      <c r="AE2595">
        <v>-5.0429000000000297</v>
      </c>
      <c r="AF2595">
        <v>-3.6607436980644801</v>
      </c>
      <c r="AG2595">
        <v>-1.1121712440629901</v>
      </c>
      <c r="AH2595">
        <v>10.355328942333101</v>
      </c>
      <c r="AI2595">
        <v>95.782050016815504</v>
      </c>
      <c r="AJ2595">
        <v>109.46916499641</v>
      </c>
      <c r="AK2595">
        <v>11.039511166847999</v>
      </c>
      <c r="AL2595">
        <v>90.487395641601793</v>
      </c>
      <c r="AM2595">
        <v>92.988471290377007</v>
      </c>
      <c r="AN2595">
        <v>0.99999998691689296</v>
      </c>
    </row>
    <row r="2596" spans="1:40" x14ac:dyDescent="0.25">
      <c r="A2596" t="str">
        <f>"20190312154307220"</f>
        <v>20190312154307220</v>
      </c>
      <c r="B2596" t="str">
        <f>"1552376587209798"</f>
        <v>1552376587209798</v>
      </c>
      <c r="C2596" t="s">
        <v>40</v>
      </c>
      <c r="D2596">
        <v>4.7286789999999996</v>
      </c>
      <c r="E2596">
        <v>0.38967859999999999</v>
      </c>
      <c r="F2596" t="s">
        <v>49</v>
      </c>
      <c r="G2596">
        <v>-480.83909999999997</v>
      </c>
      <c r="H2596" s="1">
        <v>1.757264E-6</v>
      </c>
      <c r="I2596">
        <v>279.15039999999999</v>
      </c>
      <c r="J2596">
        <v>-471.14449999999999</v>
      </c>
      <c r="K2596">
        <v>1.1122050000000001</v>
      </c>
      <c r="L2596">
        <v>284.15039999999999</v>
      </c>
      <c r="M2596">
        <v>-0.99071900000000002</v>
      </c>
      <c r="N2596">
        <v>0</v>
      </c>
      <c r="O2596">
        <v>-0.13525699999999999</v>
      </c>
      <c r="P2596">
        <v>-0.98183679999999995</v>
      </c>
      <c r="Q2596">
        <v>-2.2005540000000001E-2</v>
      </c>
      <c r="R2596">
        <v>-0.1884478</v>
      </c>
      <c r="S2596">
        <v>-2.7812809999999999</v>
      </c>
      <c r="T2596">
        <v>-0.31358059999999899</v>
      </c>
      <c r="U2596">
        <v>-1.4173279999999999</v>
      </c>
      <c r="V2596">
        <v>-5.3868079999999999E-2</v>
      </c>
      <c r="W2596">
        <v>-8.7854149999999995E-3</v>
      </c>
      <c r="X2596">
        <v>0.99850939999999999</v>
      </c>
      <c r="Y2596">
        <v>-0.3283856</v>
      </c>
      <c r="Z2596">
        <v>-3.2122610000000001E-3</v>
      </c>
      <c r="AA2596">
        <v>0.94453830000000005</v>
      </c>
      <c r="AB2596">
        <v>18</v>
      </c>
      <c r="AC2596">
        <v>-9.6945999999999799</v>
      </c>
      <c r="AD2596">
        <v>-1.11220324273599</v>
      </c>
      <c r="AE2596">
        <v>-5</v>
      </c>
      <c r="AF2596">
        <v>-3.6051826626885499</v>
      </c>
      <c r="AG2596">
        <v>-1.11220324273599</v>
      </c>
      <c r="AH2596">
        <v>10.176049691352899</v>
      </c>
      <c r="AI2596">
        <v>95.881965320404802</v>
      </c>
      <c r="AJ2596">
        <v>109.508277014459</v>
      </c>
      <c r="AK2596">
        <v>10.8529408643642</v>
      </c>
      <c r="AL2596">
        <v>90.503373682450501</v>
      </c>
      <c r="AM2596">
        <v>93.088027592264794</v>
      </c>
      <c r="AN2596">
        <v>0.99999998772398402</v>
      </c>
    </row>
    <row r="2597" spans="1:40" x14ac:dyDescent="0.25">
      <c r="A2597" t="str">
        <f>"20190312154307235"</f>
        <v>20190312154307235</v>
      </c>
      <c r="B2597" t="str">
        <f>"1552376587229930"</f>
        <v>1552376587229930</v>
      </c>
      <c r="C2597" t="s">
        <v>40</v>
      </c>
      <c r="D2597">
        <v>4.9173169999999997</v>
      </c>
      <c r="E2597">
        <v>0.39003080000000001</v>
      </c>
      <c r="F2597" t="s">
        <v>49</v>
      </c>
      <c r="G2597">
        <v>-480.85520000000002</v>
      </c>
      <c r="H2597" s="1">
        <v>1.758907E-6</v>
      </c>
      <c r="I2597">
        <v>279.15170000000001</v>
      </c>
      <c r="J2597">
        <v>-471.25420000000003</v>
      </c>
      <c r="K2597">
        <v>1.1122339999999999</v>
      </c>
      <c r="L2597">
        <v>284.13260000000002</v>
      </c>
      <c r="M2597">
        <v>-0.99039650000000001</v>
      </c>
      <c r="N2597">
        <v>0</v>
      </c>
      <c r="O2597">
        <v>-0.13759959999999999</v>
      </c>
      <c r="P2597">
        <v>-0.98130649999999997</v>
      </c>
      <c r="Q2597">
        <v>-2.1584780000000001E-2</v>
      </c>
      <c r="R2597">
        <v>-0.1912374</v>
      </c>
      <c r="S2597">
        <v>-2.774292</v>
      </c>
      <c r="T2597">
        <v>-0.3177528</v>
      </c>
      <c r="U2597">
        <v>-1.4281010000000001</v>
      </c>
      <c r="V2597">
        <v>-5.4343919999999997E-2</v>
      </c>
      <c r="W2597">
        <v>-8.3711659999999993E-3</v>
      </c>
      <c r="X2597">
        <v>0.99848720000000002</v>
      </c>
      <c r="Y2597">
        <v>-0.32999440000000002</v>
      </c>
      <c r="Z2597">
        <v>-3.1007970000000002E-3</v>
      </c>
      <c r="AA2597">
        <v>0.94397779999999998</v>
      </c>
      <c r="AB2597">
        <v>18</v>
      </c>
      <c r="AC2597">
        <v>-9.6010000000000009</v>
      </c>
      <c r="AD2597">
        <v>-1.1122322410929999</v>
      </c>
      <c r="AE2597">
        <v>-4.9809000000000196</v>
      </c>
      <c r="AF2597">
        <v>-3.5745018179439301</v>
      </c>
      <c r="AG2597">
        <v>-1.1122322410929999</v>
      </c>
      <c r="AH2597">
        <v>10.088413064833899</v>
      </c>
      <c r="AI2597">
        <v>95.9327843370002</v>
      </c>
      <c r="AJ2597">
        <v>109.51012969136001</v>
      </c>
      <c r="AK2597">
        <v>10.7605855775289</v>
      </c>
      <c r="AL2597">
        <v>90.479638077015906</v>
      </c>
      <c r="AM2597">
        <v>93.115321105838106</v>
      </c>
      <c r="AN2597">
        <v>1.0000000133125</v>
      </c>
    </row>
    <row r="2598" spans="1:40" x14ac:dyDescent="0.25">
      <c r="A2598" t="str">
        <f>"20190312154307255"</f>
        <v>20190312154307255</v>
      </c>
      <c r="B2598" t="str">
        <f>"1552376587250427"</f>
        <v>1552376587250427</v>
      </c>
      <c r="C2598" t="s">
        <v>40</v>
      </c>
      <c r="D2598">
        <v>4.7232909999999997</v>
      </c>
      <c r="E2598">
        <v>0.39083289999999998</v>
      </c>
      <c r="F2598" t="s">
        <v>49</v>
      </c>
      <c r="G2598">
        <v>-481.06689999999998</v>
      </c>
      <c r="H2598" s="1">
        <v>1.7608769999999999E-6</v>
      </c>
      <c r="I2598">
        <v>279.05630000000002</v>
      </c>
      <c r="J2598">
        <v>-471.40719999999999</v>
      </c>
      <c r="K2598">
        <v>1.112295</v>
      </c>
      <c r="L2598">
        <v>284.10739999999998</v>
      </c>
      <c r="M2598">
        <v>-0.98992650000000004</v>
      </c>
      <c r="N2598">
        <v>0</v>
      </c>
      <c r="O2598">
        <v>-0.14094179999999901</v>
      </c>
      <c r="P2598">
        <v>-0.98053319999999999</v>
      </c>
      <c r="Q2598">
        <v>-2.144507E-2</v>
      </c>
      <c r="R2598">
        <v>-0.1951782</v>
      </c>
      <c r="S2598">
        <v>-2.770905</v>
      </c>
      <c r="T2598">
        <v>-0.31407380000000001</v>
      </c>
      <c r="U2598">
        <v>-1.4334720000000001</v>
      </c>
      <c r="V2598">
        <v>-5.4984350000000001E-2</v>
      </c>
      <c r="W2598">
        <v>-8.2412519999999993E-3</v>
      </c>
      <c r="X2598">
        <v>0.99845320000000004</v>
      </c>
      <c r="Y2598">
        <v>-0.32876749999999999</v>
      </c>
      <c r="Z2598">
        <v>-2.6554360000000002E-3</v>
      </c>
      <c r="AA2598">
        <v>0.9444072</v>
      </c>
      <c r="AB2598">
        <v>18</v>
      </c>
      <c r="AC2598">
        <v>-9.6596999999999795</v>
      </c>
      <c r="AD2598">
        <v>-1.112293239123</v>
      </c>
      <c r="AE2598">
        <v>-5.05109999999996</v>
      </c>
      <c r="AF2598">
        <v>-3.6015914923268202</v>
      </c>
      <c r="AG2598">
        <v>-1.112293239123</v>
      </c>
      <c r="AH2598">
        <v>10.1693498903707</v>
      </c>
      <c r="AI2598">
        <v>95.8865064721073</v>
      </c>
      <c r="AJ2598">
        <v>109.502181872704</v>
      </c>
      <c r="AK2598">
        <v>10.8454753109388</v>
      </c>
      <c r="AL2598">
        <v>90.472194305169793</v>
      </c>
      <c r="AM2598">
        <v>93.152067934006396</v>
      </c>
      <c r="AN2598">
        <v>0.99999999478484503</v>
      </c>
    </row>
    <row r="2599" spans="1:40" x14ac:dyDescent="0.25">
      <c r="A2599" t="str">
        <f>"20190312154307276"</f>
        <v>20190312154307276</v>
      </c>
      <c r="B2599" t="str">
        <f>"1552376587269946"</f>
        <v>1552376587269946</v>
      </c>
      <c r="C2599" t="s">
        <v>40</v>
      </c>
      <c r="D2599">
        <v>4.751131</v>
      </c>
      <c r="E2599">
        <v>0.3913836</v>
      </c>
      <c r="F2599" t="s">
        <v>49</v>
      </c>
      <c r="G2599">
        <v>-481.41050000000001</v>
      </c>
      <c r="H2599" s="1">
        <v>1.766885E-6</v>
      </c>
      <c r="I2599">
        <v>278.90359999999998</v>
      </c>
      <c r="J2599">
        <v>-471.5752</v>
      </c>
      <c r="K2599">
        <v>1.1123769999999999</v>
      </c>
      <c r="L2599">
        <v>284.07889999999998</v>
      </c>
      <c r="M2599">
        <v>-0.98937850000000005</v>
      </c>
      <c r="N2599">
        <v>0</v>
      </c>
      <c r="O2599">
        <v>-0.14473800000000001</v>
      </c>
      <c r="P2599">
        <v>-0.97992860000000004</v>
      </c>
      <c r="Q2599">
        <v>-1.9357800000000001E-2</v>
      </c>
      <c r="R2599">
        <v>-0.1984071</v>
      </c>
      <c r="S2599">
        <v>-2.7664179999999998</v>
      </c>
      <c r="T2599">
        <v>-0.30760670000000001</v>
      </c>
      <c r="U2599">
        <v>-1.439117</v>
      </c>
      <c r="V2599">
        <v>-5.4444779999999998E-2</v>
      </c>
      <c r="W2599">
        <v>-6.1588469999999899E-3</v>
      </c>
      <c r="X2599">
        <v>0.99849779999999999</v>
      </c>
      <c r="Y2599">
        <v>-0.32735019999999998</v>
      </c>
      <c r="Z2599">
        <v>-2.1442639999999999E-3</v>
      </c>
      <c r="AA2599">
        <v>0.94490059999999998</v>
      </c>
      <c r="AB2599">
        <v>18</v>
      </c>
      <c r="AC2599">
        <v>-9.8353000000000108</v>
      </c>
      <c r="AD2599">
        <v>-1.1123752331150001</v>
      </c>
      <c r="AE2599">
        <v>-5.1752999999999902</v>
      </c>
      <c r="AF2599">
        <v>-3.6604536470135298</v>
      </c>
      <c r="AG2599">
        <v>-1.1123752331150001</v>
      </c>
      <c r="AH2599">
        <v>10.376891401709299</v>
      </c>
      <c r="AI2599">
        <v>95.772540205097201</v>
      </c>
      <c r="AJ2599">
        <v>109.43031952052399</v>
      </c>
      <c r="AK2599">
        <v>11.059664313352901</v>
      </c>
      <c r="AL2599">
        <v>90.352878166756895</v>
      </c>
      <c r="AM2599">
        <v>93.1210585206465</v>
      </c>
      <c r="AN2599">
        <v>1.0000000110352201</v>
      </c>
    </row>
    <row r="2600" spans="1:40" x14ac:dyDescent="0.25">
      <c r="A2600" t="str">
        <f>"20190312154307299"</f>
        <v>20190312154307299</v>
      </c>
      <c r="B2600" t="str">
        <f>"1552376587290442"</f>
        <v>1552376587290442</v>
      </c>
      <c r="C2600" t="s">
        <v>40</v>
      </c>
      <c r="D2600">
        <v>4.7432249999999998</v>
      </c>
      <c r="E2600">
        <v>0.39210050000000002</v>
      </c>
      <c r="F2600" t="s">
        <v>49</v>
      </c>
      <c r="G2600">
        <v>-481.93049999999999</v>
      </c>
      <c r="H2600" s="1">
        <v>1.7746159999999999E-6</v>
      </c>
      <c r="I2600">
        <v>278.66449999999998</v>
      </c>
      <c r="J2600">
        <v>-471.74549999999999</v>
      </c>
      <c r="K2600">
        <v>1.112492</v>
      </c>
      <c r="L2600">
        <v>284.04919999999998</v>
      </c>
      <c r="M2600">
        <v>-0.98878449999999996</v>
      </c>
      <c r="N2600">
        <v>0</v>
      </c>
      <c r="O2600">
        <v>-0.1487415</v>
      </c>
      <c r="P2600">
        <v>-0.97939790000000004</v>
      </c>
      <c r="Q2600">
        <v>-1.7470530000000001E-2</v>
      </c>
      <c r="R2600">
        <v>-0.20118359999999999</v>
      </c>
      <c r="S2600">
        <v>-2.7630620000000001</v>
      </c>
      <c r="T2600">
        <v>-0.29681049999999998</v>
      </c>
      <c r="U2600">
        <v>-1.4447019999999999</v>
      </c>
      <c r="V2600">
        <v>-5.3235440000000002E-2</v>
      </c>
      <c r="W2600">
        <v>-4.27312E-3</v>
      </c>
      <c r="X2600">
        <v>0.99857280000000004</v>
      </c>
      <c r="Y2600">
        <v>-0.32558209999999999</v>
      </c>
      <c r="Z2600">
        <v>-1.589444E-3</v>
      </c>
      <c r="AA2600">
        <v>0.94551249999999998</v>
      </c>
      <c r="AB2600">
        <v>18</v>
      </c>
      <c r="AC2600">
        <v>-10.185</v>
      </c>
      <c r="AD2600">
        <v>-1.1124902253839899</v>
      </c>
      <c r="AE2600">
        <v>-5.3846999999999996</v>
      </c>
      <c r="AF2600">
        <v>-3.77452526907746</v>
      </c>
      <c r="AG2600">
        <v>-1.1124902253839899</v>
      </c>
      <c r="AH2600">
        <v>10.772237678571299</v>
      </c>
      <c r="AI2600">
        <v>95.566687748114703</v>
      </c>
      <c r="AJ2600">
        <v>109.310144366774</v>
      </c>
      <c r="AK2600">
        <v>11.4684689523977</v>
      </c>
      <c r="AL2600">
        <v>90.244832497643401</v>
      </c>
      <c r="AM2600">
        <v>93.051636601157199</v>
      </c>
      <c r="AN2600">
        <v>0.999999954263183</v>
      </c>
    </row>
    <row r="2601" spans="1:40" x14ac:dyDescent="0.25">
      <c r="A2601" t="str">
        <f>"20190312154307321"</f>
        <v>20190312154307321</v>
      </c>
      <c r="B2601" t="str">
        <f>"1552376587309963"</f>
        <v>1552376587309963</v>
      </c>
      <c r="C2601" t="s">
        <v>40</v>
      </c>
      <c r="D2601">
        <v>4.7089939999999997</v>
      </c>
      <c r="E2601">
        <v>0.40247959999999999</v>
      </c>
      <c r="F2601" t="s">
        <v>49</v>
      </c>
      <c r="G2601">
        <v>-482.41899999999998</v>
      </c>
      <c r="H2601" s="1">
        <v>1.7863040000000001E-6</v>
      </c>
      <c r="I2601">
        <v>278.45249999999999</v>
      </c>
      <c r="J2601">
        <v>-471.91419999999999</v>
      </c>
      <c r="K2601">
        <v>1.1126259999999999</v>
      </c>
      <c r="L2601">
        <v>284.01889999999997</v>
      </c>
      <c r="M2601">
        <v>-0.98815010000000003</v>
      </c>
      <c r="N2601">
        <v>0</v>
      </c>
      <c r="O2601">
        <v>-0.1528989</v>
      </c>
      <c r="P2601">
        <v>-0.97903419999999997</v>
      </c>
      <c r="Q2601">
        <v>-1.540681E-2</v>
      </c>
      <c r="R2601">
        <v>-0.20311309999999999</v>
      </c>
      <c r="S2601">
        <v>-2.7605900000000001</v>
      </c>
      <c r="T2601">
        <v>-0.2877324</v>
      </c>
      <c r="U2601">
        <v>-1.44754</v>
      </c>
      <c r="V2601">
        <v>-5.1007240000000002E-2</v>
      </c>
      <c r="W2601">
        <v>-2.2045290000000002E-3</v>
      </c>
      <c r="X2601">
        <v>0.99869589999999997</v>
      </c>
      <c r="Y2601">
        <v>-0.32279099999999999</v>
      </c>
      <c r="Z2601">
        <v>-1.01063E-3</v>
      </c>
      <c r="AA2601">
        <v>0.94646969999999997</v>
      </c>
      <c r="AB2601">
        <v>18</v>
      </c>
      <c r="AC2601">
        <v>-10.504799999999999</v>
      </c>
      <c r="AD2601">
        <v>-1.1126242136960001</v>
      </c>
      <c r="AE2601">
        <v>-5.5663999999999803</v>
      </c>
      <c r="AF2601">
        <v>-3.8608033652628202</v>
      </c>
      <c r="AG2601">
        <v>-1.1126242136960001</v>
      </c>
      <c r="AH2601">
        <v>11.1349053339639</v>
      </c>
      <c r="AI2601">
        <v>95.393209969081198</v>
      </c>
      <c r="AJ2601">
        <v>109.12295484635101</v>
      </c>
      <c r="AK2601">
        <v>11.8376455455662</v>
      </c>
      <c r="AL2601">
        <v>90.126310303562306</v>
      </c>
      <c r="AM2601">
        <v>92.923775291692195</v>
      </c>
      <c r="AN2601">
        <v>1.0000000495786601</v>
      </c>
    </row>
    <row r="2602" spans="1:40" x14ac:dyDescent="0.25">
      <c r="A2602" t="str">
        <f>"20190312154307344"</f>
        <v>20190312154307344</v>
      </c>
      <c r="B2602" t="str">
        <f>"1552376587330459"</f>
        <v>1552376587330459</v>
      </c>
      <c r="C2602" t="s">
        <v>40</v>
      </c>
      <c r="D2602">
        <v>4.6077079999999997</v>
      </c>
      <c r="E2602">
        <v>0.40508959999999999</v>
      </c>
      <c r="F2602" t="s">
        <v>49</v>
      </c>
      <c r="G2602">
        <v>-482.98899999999998</v>
      </c>
      <c r="H2602" s="1">
        <v>1.9191730000000001E-6</v>
      </c>
      <c r="I2602">
        <v>278.54230000000001</v>
      </c>
      <c r="J2602">
        <v>-472.08370000000002</v>
      </c>
      <c r="K2602">
        <v>1.1127689999999999</v>
      </c>
      <c r="L2602">
        <v>283.98750000000001</v>
      </c>
      <c r="M2602">
        <v>-0.9874598</v>
      </c>
      <c r="N2602">
        <v>0</v>
      </c>
      <c r="O2602">
        <v>-0.1572944</v>
      </c>
      <c r="P2602">
        <v>-0.97876529999999995</v>
      </c>
      <c r="Q2602">
        <v>-1.38402E-2</v>
      </c>
      <c r="R2602">
        <v>-0.20451749999999999</v>
      </c>
      <c r="S2602">
        <v>-2.7751459999999999</v>
      </c>
      <c r="T2602">
        <v>-0.27880509999999997</v>
      </c>
      <c r="U2602">
        <v>-1.3723449999999999</v>
      </c>
      <c r="V2602">
        <v>-4.799983E-2</v>
      </c>
      <c r="W2602">
        <v>-6.267569E-4</v>
      </c>
      <c r="X2602">
        <v>0.99884709999999999</v>
      </c>
      <c r="Y2602">
        <v>-0.29619040000000002</v>
      </c>
      <c r="Z2602">
        <v>6.9212259999999997E-4</v>
      </c>
      <c r="AA2602">
        <v>0.95512870000000005</v>
      </c>
      <c r="AB2602">
        <v>17</v>
      </c>
      <c r="AC2602">
        <v>-10.9053</v>
      </c>
      <c r="AD2602">
        <v>-1.112767080827</v>
      </c>
      <c r="AE2602">
        <v>-5.4451999999999998</v>
      </c>
      <c r="AF2602">
        <v>-3.6316394519900399</v>
      </c>
      <c r="AG2602">
        <v>-1.112767080827</v>
      </c>
      <c r="AH2602">
        <v>11.5300079633792</v>
      </c>
      <c r="AI2602">
        <v>95.259387531129903</v>
      </c>
      <c r="AJ2602">
        <v>107.483012075392</v>
      </c>
      <c r="AK2602">
        <v>12.139527969448</v>
      </c>
      <c r="AL2602">
        <v>90.035910529195206</v>
      </c>
      <c r="AM2602">
        <v>92.751245507995193</v>
      </c>
      <c r="AN2602">
        <v>0.99999995284132404</v>
      </c>
    </row>
    <row r="2603" spans="1:40" x14ac:dyDescent="0.25">
      <c r="A2603" t="str">
        <f>"20190312154307358"</f>
        <v>20190312154307358</v>
      </c>
      <c r="B2603" t="str">
        <f>"1552376587349979"</f>
        <v>1552376587349979</v>
      </c>
      <c r="C2603" t="s">
        <v>40</v>
      </c>
      <c r="D2603">
        <v>4.7036290000000003</v>
      </c>
      <c r="E2603">
        <v>0.40593459999999998</v>
      </c>
      <c r="F2603" t="s">
        <v>49</v>
      </c>
      <c r="G2603">
        <v>-485.02609999999999</v>
      </c>
      <c r="H2603" s="1">
        <v>1.9722919999999999E-6</v>
      </c>
      <c r="I2603">
        <v>277.67039999999997</v>
      </c>
      <c r="J2603">
        <v>-472.19549999999998</v>
      </c>
      <c r="K2603">
        <v>1.1128670000000001</v>
      </c>
      <c r="L2603">
        <v>283.96609999999998</v>
      </c>
      <c r="M2603">
        <v>-0.98696870000000003</v>
      </c>
      <c r="N2603">
        <v>0</v>
      </c>
      <c r="O2603">
        <v>-0.1603453</v>
      </c>
      <c r="P2603">
        <v>-0.97845040000000005</v>
      </c>
      <c r="Q2603">
        <v>-1.37156E-2</v>
      </c>
      <c r="R2603">
        <v>-0.2060255</v>
      </c>
      <c r="S2603">
        <v>-2.778381</v>
      </c>
      <c r="T2603">
        <v>-0.23888090000000001</v>
      </c>
      <c r="U2603">
        <v>-1.3561099999999999</v>
      </c>
      <c r="V2603">
        <v>-4.6453260000000003E-2</v>
      </c>
      <c r="W2603">
        <v>-4.9552989999999996E-4</v>
      </c>
      <c r="X2603">
        <v>0.99892029999999998</v>
      </c>
      <c r="Y2603">
        <v>-0.28846870000000002</v>
      </c>
      <c r="Z2603">
        <v>1.1496010000000001E-3</v>
      </c>
      <c r="AA2603">
        <v>0.95748860000000002</v>
      </c>
      <c r="AB2603">
        <v>17</v>
      </c>
      <c r="AC2603">
        <v>-12.8306</v>
      </c>
      <c r="AD2603">
        <v>-1.1128650277079899</v>
      </c>
      <c r="AE2603">
        <v>-6.2957000000000098</v>
      </c>
      <c r="AF2603">
        <v>-4.1316600185644301</v>
      </c>
      <c r="AG2603">
        <v>-1.1128650277079899</v>
      </c>
      <c r="AH2603">
        <v>13.5917228369558</v>
      </c>
      <c r="AI2603">
        <v>94.479324453436405</v>
      </c>
      <c r="AJ2603">
        <v>106.90840848541001</v>
      </c>
      <c r="AK2603">
        <v>14.2493513099904</v>
      </c>
      <c r="AL2603">
        <v>90.028391774237406</v>
      </c>
      <c r="AM2603">
        <v>92.662534349595305</v>
      </c>
      <c r="AN2603">
        <v>0.99999995833329802</v>
      </c>
    </row>
    <row r="2604" spans="1:40" x14ac:dyDescent="0.25">
      <c r="A2604" t="str">
        <f>"20190312154307378"</f>
        <v>20190312154307378</v>
      </c>
      <c r="B2604" t="str">
        <f>"1552376587370475"</f>
        <v>1552376587370475</v>
      </c>
      <c r="C2604" t="s">
        <v>40</v>
      </c>
      <c r="D2604">
        <v>4.5879029999999998</v>
      </c>
      <c r="E2604">
        <v>0.40632410000000002</v>
      </c>
      <c r="F2604" t="s">
        <v>49</v>
      </c>
      <c r="G2604">
        <v>-485.79700000000003</v>
      </c>
      <c r="H2604" s="1">
        <v>1.9911350000000002E-6</v>
      </c>
      <c r="I2604">
        <v>277.33690000000001</v>
      </c>
      <c r="J2604">
        <v>-472.3424</v>
      </c>
      <c r="K2604">
        <v>1.1129960000000001</v>
      </c>
      <c r="L2604">
        <v>283.93729999999999</v>
      </c>
      <c r="M2604">
        <v>-0.98628039999999995</v>
      </c>
      <c r="N2604">
        <v>0</v>
      </c>
      <c r="O2604">
        <v>-0.16452510000000001</v>
      </c>
      <c r="P2604">
        <v>-0.97815629999999998</v>
      </c>
      <c r="Q2604">
        <v>-1.3687029999999999E-2</v>
      </c>
      <c r="R2604">
        <v>-0.2074202</v>
      </c>
      <c r="S2604">
        <v>-2.7777400000000001</v>
      </c>
      <c r="T2604">
        <v>-0.22727330000000001</v>
      </c>
      <c r="U2604">
        <v>-1.3538509999999999</v>
      </c>
      <c r="V2604">
        <v>-4.3645639999999999E-2</v>
      </c>
      <c r="W2604">
        <v>-4.509739E-4</v>
      </c>
      <c r="X2604">
        <v>0.99904700000000002</v>
      </c>
      <c r="Y2604">
        <v>-0.28392630000000002</v>
      </c>
      <c r="Z2604">
        <v>1.5843260000000001E-3</v>
      </c>
      <c r="AA2604">
        <v>0.95884480000000005</v>
      </c>
      <c r="AB2604">
        <v>17</v>
      </c>
      <c r="AC2604">
        <v>-13.4545999999999</v>
      </c>
      <c r="AD2604">
        <v>-1.1129940088650001</v>
      </c>
      <c r="AE2604">
        <v>-6.6003999999999703</v>
      </c>
      <c r="AF2604">
        <v>-4.2730493451697402</v>
      </c>
      <c r="AG2604">
        <v>-1.1129940088650001</v>
      </c>
      <c r="AH2604">
        <v>14.2784952637328</v>
      </c>
      <c r="AI2604">
        <v>94.270731017215397</v>
      </c>
      <c r="AJ2604">
        <v>106.660584475056</v>
      </c>
      <c r="AK2604">
        <v>14.945672730475</v>
      </c>
      <c r="AL2604">
        <v>90.0258389013255</v>
      </c>
      <c r="AM2604">
        <v>92.501505786634098</v>
      </c>
      <c r="AN2604">
        <v>1.0000000267387299</v>
      </c>
    </row>
    <row r="2605" spans="1:40" x14ac:dyDescent="0.25">
      <c r="A2605" t="str">
        <f>"20190312154307399"</f>
        <v>20190312154307399</v>
      </c>
      <c r="B2605" t="str">
        <f>"1552376587389994"</f>
        <v>1552376587389994</v>
      </c>
      <c r="C2605" t="s">
        <v>40</v>
      </c>
      <c r="D2605">
        <v>4.6876220000000002</v>
      </c>
      <c r="E2605">
        <v>0.4077615</v>
      </c>
      <c r="F2605" t="s">
        <v>49</v>
      </c>
      <c r="G2605">
        <v>-486.19060000000002</v>
      </c>
      <c r="H2605" s="1">
        <v>2.0053940000000001E-6</v>
      </c>
      <c r="I2605">
        <v>277.17970000000003</v>
      </c>
      <c r="J2605">
        <v>-472.5043</v>
      </c>
      <c r="K2605">
        <v>1.1131450000000001</v>
      </c>
      <c r="L2605">
        <v>283.90460000000002</v>
      </c>
      <c r="M2605">
        <v>-0.98545930000000004</v>
      </c>
      <c r="N2605">
        <v>0</v>
      </c>
      <c r="O2605">
        <v>-0.16937279999999999</v>
      </c>
      <c r="P2605">
        <v>-0.97767950000000003</v>
      </c>
      <c r="Q2605">
        <v>-1.4134829999999999E-2</v>
      </c>
      <c r="R2605">
        <v>-0.20962600000000001</v>
      </c>
      <c r="S2605">
        <v>-2.7765200000000001</v>
      </c>
      <c r="T2605">
        <v>-0.22315199999999999</v>
      </c>
      <c r="U2605">
        <v>-1.354889</v>
      </c>
      <c r="V2605">
        <v>-4.0984880000000001E-2</v>
      </c>
      <c r="W2605">
        <v>-8.8008019999999995E-4</v>
      </c>
      <c r="X2605">
        <v>0.99915940000000003</v>
      </c>
      <c r="Y2605">
        <v>-0.27969909999999998</v>
      </c>
      <c r="Z2605">
        <v>2.0741570000000001E-3</v>
      </c>
      <c r="AA2605">
        <v>0.96008550000000004</v>
      </c>
      <c r="AB2605">
        <v>17</v>
      </c>
      <c r="AC2605">
        <v>-13.686299999999999</v>
      </c>
      <c r="AD2605">
        <v>-1.1131429946060001</v>
      </c>
      <c r="AE2605">
        <v>-6.7248999999999901</v>
      </c>
      <c r="AF2605">
        <v>-4.2865811427727802</v>
      </c>
      <c r="AG2605">
        <v>-1.1131429946060001</v>
      </c>
      <c r="AH2605">
        <v>14.550113499016501</v>
      </c>
      <c r="AI2605">
        <v>94.197162628260998</v>
      </c>
      <c r="AJ2605">
        <v>106.415399907675</v>
      </c>
      <c r="AK2605">
        <v>15.2091968247596</v>
      </c>
      <c r="AL2605">
        <v>90.050424886555106</v>
      </c>
      <c r="AM2605">
        <v>92.348919425853893</v>
      </c>
      <c r="AN2605">
        <v>1.00000002076906</v>
      </c>
    </row>
    <row r="2606" spans="1:40" x14ac:dyDescent="0.25">
      <c r="A2606" t="str">
        <f>"20190312154307420"</f>
        <v>20190312154307420</v>
      </c>
      <c r="B2606" t="str">
        <f>"1552376587410490"</f>
        <v>1552376587410490</v>
      </c>
      <c r="C2606" t="s">
        <v>40</v>
      </c>
      <c r="D2606">
        <v>4.6942849999999998</v>
      </c>
      <c r="E2606">
        <v>0.40855140000000001</v>
      </c>
      <c r="F2606" t="s">
        <v>49</v>
      </c>
      <c r="G2606">
        <v>-485.95249999999999</v>
      </c>
      <c r="H2606" s="1">
        <v>2.0284069999999999E-6</v>
      </c>
      <c r="I2606">
        <v>277.36430000000001</v>
      </c>
      <c r="J2606">
        <v>-472.6671</v>
      </c>
      <c r="K2606">
        <v>1.1132899999999999</v>
      </c>
      <c r="L2606">
        <v>283.87049999999999</v>
      </c>
      <c r="M2606">
        <v>-0.98456589999999999</v>
      </c>
      <c r="N2606">
        <v>0</v>
      </c>
      <c r="O2606">
        <v>-0.1744898</v>
      </c>
      <c r="P2606">
        <v>-0.97702880000000003</v>
      </c>
      <c r="Q2606">
        <v>-1.359661E-2</v>
      </c>
      <c r="R2606">
        <v>-0.21267340000000001</v>
      </c>
      <c r="S2606">
        <v>-2.775757</v>
      </c>
      <c r="T2606">
        <v>-0.2297565</v>
      </c>
      <c r="U2606">
        <v>-1.349945</v>
      </c>
      <c r="V2606">
        <v>-3.8911830000000001E-2</v>
      </c>
      <c r="W2606">
        <v>-3.2333060000000002E-4</v>
      </c>
      <c r="X2606">
        <v>0.99924259999999998</v>
      </c>
      <c r="Y2606">
        <v>-0.2734412</v>
      </c>
      <c r="Z2606">
        <v>2.7702650000000001E-3</v>
      </c>
      <c r="AA2606">
        <v>0.96188470000000004</v>
      </c>
      <c r="AB2606">
        <v>17</v>
      </c>
      <c r="AC2606">
        <v>-13.2853999999999</v>
      </c>
      <c r="AD2606">
        <v>-1.113287971593</v>
      </c>
      <c r="AE2606">
        <v>-6.5061999999999696</v>
      </c>
      <c r="AF2606">
        <v>-4.0649676320574404</v>
      </c>
      <c r="AG2606">
        <v>-1.113287971593</v>
      </c>
      <c r="AH2606">
        <v>14.1368529280128</v>
      </c>
      <c r="AI2606">
        <v>94.328125694871403</v>
      </c>
      <c r="AJ2606">
        <v>106.04227329818301</v>
      </c>
      <c r="AK2606">
        <v>14.751745071876501</v>
      </c>
      <c r="AL2606">
        <v>90.018525479009497</v>
      </c>
      <c r="AM2606">
        <v>92.230046744264499</v>
      </c>
      <c r="AN2606">
        <v>1.00000000435569</v>
      </c>
    </row>
    <row r="2607" spans="1:40" x14ac:dyDescent="0.25">
      <c r="A2607" t="str">
        <f>"20190312154307444"</f>
        <v>20190312154307444</v>
      </c>
      <c r="B2607" t="str">
        <f>"1552376587440278"</f>
        <v>1552376587440278</v>
      </c>
      <c r="C2607" t="s">
        <v>40</v>
      </c>
      <c r="D2607">
        <v>4.6842430000000004</v>
      </c>
      <c r="E2607">
        <v>0.40914119999999998</v>
      </c>
      <c r="F2607" t="s">
        <v>49</v>
      </c>
      <c r="G2607">
        <v>-486.00360000000001</v>
      </c>
      <c r="H2607" s="1">
        <v>2.0375699999999998E-6</v>
      </c>
      <c r="I2607">
        <v>277.3646</v>
      </c>
      <c r="J2607">
        <v>-472.83749999999998</v>
      </c>
      <c r="K2607">
        <v>1.113435</v>
      </c>
      <c r="L2607">
        <v>283.83359999999999</v>
      </c>
      <c r="M2607">
        <v>-0.98355459999999995</v>
      </c>
      <c r="N2607">
        <v>0</v>
      </c>
      <c r="O2607">
        <v>-0.18010190000000001</v>
      </c>
      <c r="P2607">
        <v>-0.97611899999999996</v>
      </c>
      <c r="Q2607">
        <v>-1.277814E-2</v>
      </c>
      <c r="R2607">
        <v>-0.21686130000000001</v>
      </c>
      <c r="S2607">
        <v>-2.7728579999999998</v>
      </c>
      <c r="T2607">
        <v>-0.2314688</v>
      </c>
      <c r="U2607">
        <v>-1.352692</v>
      </c>
      <c r="V2607">
        <v>-3.7501890000000003E-2</v>
      </c>
      <c r="W2607">
        <v>5.1194830000000002E-4</v>
      </c>
      <c r="X2607">
        <v>0.99929639999999997</v>
      </c>
      <c r="Y2607">
        <v>-0.26914130000000003</v>
      </c>
      <c r="Z2607">
        <v>3.3909169999999998E-3</v>
      </c>
      <c r="AA2607">
        <v>0.96309469999999997</v>
      </c>
      <c r="AB2607">
        <v>17</v>
      </c>
      <c r="AC2607">
        <v>-13.1661</v>
      </c>
      <c r="AD2607">
        <v>-1.1134329624299999</v>
      </c>
      <c r="AE2607">
        <v>-6.4689999999999896</v>
      </c>
      <c r="AF2607">
        <v>-3.9688769589237798</v>
      </c>
      <c r="AG2607">
        <v>-1.1134329624299999</v>
      </c>
      <c r="AH2607">
        <v>14.035097536582199</v>
      </c>
      <c r="AI2607">
        <v>94.365407216396804</v>
      </c>
      <c r="AJ2607">
        <v>105.789963248151</v>
      </c>
      <c r="AK2607">
        <v>14.627907578949101</v>
      </c>
      <c r="AL2607">
        <v>89.970667521050302</v>
      </c>
      <c r="AM2607">
        <v>92.149204328828603</v>
      </c>
      <c r="AN2607">
        <v>0.99999997444879596</v>
      </c>
    </row>
    <row r="2608" spans="1:40" x14ac:dyDescent="0.25">
      <c r="A2608" t="str">
        <f>"20190312154307456"</f>
        <v>20190312154307456</v>
      </c>
      <c r="B2608" t="str">
        <f>"1552376587450038"</f>
        <v>1552376587450038</v>
      </c>
      <c r="C2608" t="s">
        <v>40</v>
      </c>
      <c r="D2608">
        <v>4.6547049999999999</v>
      </c>
      <c r="E2608">
        <v>0.40935080000000001</v>
      </c>
      <c r="F2608" t="s">
        <v>49</v>
      </c>
      <c r="G2608">
        <v>-486.15300000000002</v>
      </c>
      <c r="H2608" s="1">
        <v>2.0372510000000001E-6</v>
      </c>
      <c r="I2608">
        <v>277.28870000000001</v>
      </c>
      <c r="J2608">
        <v>-472.92899999999997</v>
      </c>
      <c r="K2608">
        <v>1.1135029999999999</v>
      </c>
      <c r="L2608">
        <v>283.81319999999999</v>
      </c>
      <c r="M2608">
        <v>-0.98297599999999996</v>
      </c>
      <c r="N2608">
        <v>0</v>
      </c>
      <c r="O2608">
        <v>-0.18323200000000001</v>
      </c>
      <c r="P2608">
        <v>-0.97554859999999999</v>
      </c>
      <c r="Q2608">
        <v>-1.238125E-2</v>
      </c>
      <c r="R2608">
        <v>-0.21943560000000001</v>
      </c>
      <c r="S2608">
        <v>-2.768097</v>
      </c>
      <c r="T2608">
        <v>-0.23146610000000001</v>
      </c>
      <c r="U2608">
        <v>-1.3605959999999999</v>
      </c>
      <c r="V2608">
        <v>-3.6959150000000003E-2</v>
      </c>
      <c r="W2608">
        <v>9.1773660000000004E-4</v>
      </c>
      <c r="X2608">
        <v>0.99931630000000005</v>
      </c>
      <c r="Y2608">
        <v>-0.26895409999999997</v>
      </c>
      <c r="Z2608">
        <v>3.6395720000000002E-3</v>
      </c>
      <c r="AA2608">
        <v>0.96314610000000001</v>
      </c>
      <c r="AB2608">
        <v>17</v>
      </c>
      <c r="AC2608">
        <v>-13.223999999999901</v>
      </c>
      <c r="AD2608">
        <v>-1.113500962749</v>
      </c>
      <c r="AE2608">
        <v>-6.5244999999999802</v>
      </c>
      <c r="AF2608">
        <v>-3.9681079743549201</v>
      </c>
      <c r="AG2608">
        <v>-1.113500962749</v>
      </c>
      <c r="AH2608">
        <v>14.1151931019714</v>
      </c>
      <c r="AI2608">
        <v>94.342869419458097</v>
      </c>
      <c r="AJ2608">
        <v>105.701904007</v>
      </c>
      <c r="AK2608">
        <v>14.7045721323717</v>
      </c>
      <c r="AL2608">
        <v>89.947417555801394</v>
      </c>
      <c r="AM2608">
        <v>92.118086716728897</v>
      </c>
      <c r="AN2608">
        <v>0.99999994422743799</v>
      </c>
    </row>
    <row r="2609" spans="1:40" x14ac:dyDescent="0.25">
      <c r="A2609" t="str">
        <f>"20190312154307469"</f>
        <v>20190312154307469</v>
      </c>
      <c r="B2609" t="str">
        <f>"1552376587459798"</f>
        <v>1552376587459798</v>
      </c>
      <c r="C2609" t="s">
        <v>40</v>
      </c>
      <c r="D2609">
        <v>4.7467569999999997</v>
      </c>
      <c r="E2609">
        <v>0.40954119999999999</v>
      </c>
      <c r="F2609" t="s">
        <v>49</v>
      </c>
      <c r="G2609">
        <v>-486.24919999999997</v>
      </c>
      <c r="H2609" s="1">
        <v>2.033774E-6</v>
      </c>
      <c r="I2609">
        <v>277.23050000000001</v>
      </c>
      <c r="J2609">
        <v>-473.02679999999998</v>
      </c>
      <c r="K2609">
        <v>1.1135699999999999</v>
      </c>
      <c r="L2609">
        <v>283.791</v>
      </c>
      <c r="M2609">
        <v>-0.9823366</v>
      </c>
      <c r="N2609">
        <v>0</v>
      </c>
      <c r="O2609">
        <v>-0.1866293</v>
      </c>
      <c r="P2609">
        <v>-0.97484590000000004</v>
      </c>
      <c r="Q2609">
        <v>-1.1613109999999999E-2</v>
      </c>
      <c r="R2609">
        <v>-0.22257769999999999</v>
      </c>
      <c r="S2609">
        <v>-2.7649539999999999</v>
      </c>
      <c r="T2609">
        <v>-0.2311358</v>
      </c>
      <c r="U2609">
        <v>-1.3663940000000001</v>
      </c>
      <c r="V2609">
        <v>-3.6727999999999997E-2</v>
      </c>
      <c r="W2609">
        <v>1.692596E-3</v>
      </c>
      <c r="X2609">
        <v>0.99932379999999998</v>
      </c>
      <c r="Y2609">
        <v>-0.26769549999999998</v>
      </c>
      <c r="Z2609">
        <v>3.9444329999999998E-3</v>
      </c>
      <c r="AA2609">
        <v>0.96349549999999995</v>
      </c>
      <c r="AB2609">
        <v>17</v>
      </c>
      <c r="AC2609">
        <v>-13.222399999999899</v>
      </c>
      <c r="AD2609">
        <v>-1.1135679662260001</v>
      </c>
      <c r="AE2609">
        <v>-6.5604999999999896</v>
      </c>
      <c r="AF2609">
        <v>-3.95478959291155</v>
      </c>
      <c r="AG2609">
        <v>-1.1135679662260001</v>
      </c>
      <c r="AH2609">
        <v>14.134093806187799</v>
      </c>
      <c r="AI2609">
        <v>94.338825317631205</v>
      </c>
      <c r="AJ2609">
        <v>105.631883540755</v>
      </c>
      <c r="AK2609">
        <v>14.7191372730104</v>
      </c>
      <c r="AL2609">
        <v>89.903021340078595</v>
      </c>
      <c r="AM2609">
        <v>92.104835943845302</v>
      </c>
      <c r="AN2609">
        <v>0.99999993405582699</v>
      </c>
    </row>
    <row r="2610" spans="1:40" x14ac:dyDescent="0.25">
      <c r="A2610" t="str">
        <f>"20190312154307489"</f>
        <v>20190312154307489</v>
      </c>
      <c r="B2610" t="str">
        <f>"1552376587480297"</f>
        <v>1552376587480297</v>
      </c>
      <c r="C2610" t="s">
        <v>40</v>
      </c>
      <c r="D2610">
        <v>4.6515559999999896</v>
      </c>
      <c r="E2610">
        <v>0.40977140000000001</v>
      </c>
      <c r="F2610" t="s">
        <v>49</v>
      </c>
      <c r="G2610">
        <v>-486.4633</v>
      </c>
      <c r="H2610" s="1">
        <v>2.027737E-6</v>
      </c>
      <c r="I2610">
        <v>277.10599999999999</v>
      </c>
      <c r="J2610">
        <v>-473.17</v>
      </c>
      <c r="K2610">
        <v>1.1136619999999999</v>
      </c>
      <c r="L2610">
        <v>283.7577</v>
      </c>
      <c r="M2610">
        <v>-0.98134429999999995</v>
      </c>
      <c r="N2610">
        <v>0</v>
      </c>
      <c r="O2610">
        <v>-0.191777</v>
      </c>
      <c r="P2610">
        <v>-0.97363290000000002</v>
      </c>
      <c r="Q2610">
        <v>-1.130508E-2</v>
      </c>
      <c r="R2610">
        <v>-0.22784080000000001</v>
      </c>
      <c r="S2610">
        <v>-2.761047</v>
      </c>
      <c r="T2610">
        <v>-0.22882530000000001</v>
      </c>
      <c r="U2610">
        <v>-1.373688</v>
      </c>
      <c r="V2610">
        <v>-3.6889039999999998E-2</v>
      </c>
      <c r="W2610">
        <v>2.0073090000000001E-3</v>
      </c>
      <c r="X2610">
        <v>0.99931729999999996</v>
      </c>
      <c r="Y2610">
        <v>-0.26525149999999997</v>
      </c>
      <c r="Z2610">
        <v>4.3908109999999997E-3</v>
      </c>
      <c r="AA2610">
        <v>0.96416930000000001</v>
      </c>
      <c r="AB2610">
        <v>17</v>
      </c>
      <c r="AC2610">
        <v>-13.293299999999901</v>
      </c>
      <c r="AD2610">
        <v>-1.1136599722630001</v>
      </c>
      <c r="AE2610">
        <v>-6.6516999999999999</v>
      </c>
      <c r="AF2610">
        <v>-3.9564191108629401</v>
      </c>
      <c r="AG2610">
        <v>-1.1136599722630001</v>
      </c>
      <c r="AH2610">
        <v>14.24232908688</v>
      </c>
      <c r="AI2610">
        <v>94.308564626729904</v>
      </c>
      <c r="AJ2610">
        <v>105.524919890243</v>
      </c>
      <c r="AK2610">
        <v>14.823543049271599</v>
      </c>
      <c r="AL2610">
        <v>89.884989582942495</v>
      </c>
      <c r="AM2610">
        <v>92.114070328233893</v>
      </c>
      <c r="AN2610">
        <v>0.99999994832041506</v>
      </c>
    </row>
    <row r="2611" spans="1:40" x14ac:dyDescent="0.25">
      <c r="A2611" t="str">
        <f>"20190312154307510"</f>
        <v>20190312154307510</v>
      </c>
      <c r="B2611" t="str">
        <f>"1552376587499813"</f>
        <v>1552376587499813</v>
      </c>
      <c r="C2611" t="s">
        <v>40</v>
      </c>
      <c r="D2611">
        <v>4.638941</v>
      </c>
      <c r="E2611">
        <v>0.40999000000000002</v>
      </c>
      <c r="F2611" t="s">
        <v>49</v>
      </c>
      <c r="G2611">
        <v>-486.42160000000001</v>
      </c>
      <c r="H2611" s="1">
        <v>2.0124730000000001E-6</v>
      </c>
      <c r="I2611">
        <v>277.0838</v>
      </c>
      <c r="J2611">
        <v>-473.3331</v>
      </c>
      <c r="K2611">
        <v>1.1137429999999999</v>
      </c>
      <c r="L2611">
        <v>283.71850000000001</v>
      </c>
      <c r="M2611">
        <v>-0.98014440000000003</v>
      </c>
      <c r="N2611">
        <v>0</v>
      </c>
      <c r="O2611">
        <v>-0.19781689999999999</v>
      </c>
      <c r="P2611">
        <v>-0.97222609999999998</v>
      </c>
      <c r="Q2611">
        <v>-1.1541579999999999E-2</v>
      </c>
      <c r="R2611">
        <v>-0.23375879999999999</v>
      </c>
      <c r="S2611">
        <v>-2.7539980000000002</v>
      </c>
      <c r="T2611">
        <v>-0.23144509999999999</v>
      </c>
      <c r="U2611">
        <v>-1.3869929999999999</v>
      </c>
      <c r="V2611">
        <v>-3.6813289999999999E-2</v>
      </c>
      <c r="W2611">
        <v>1.783195E-3</v>
      </c>
      <c r="X2611">
        <v>0.9993206</v>
      </c>
      <c r="Y2611">
        <v>-0.26403510000000002</v>
      </c>
      <c r="Z2611">
        <v>4.9534840000000002E-3</v>
      </c>
      <c r="AA2611">
        <v>0.96450040000000004</v>
      </c>
      <c r="AB2611">
        <v>17</v>
      </c>
      <c r="AC2611">
        <v>-13.0885</v>
      </c>
      <c r="AD2611">
        <v>-1.1137409875269999</v>
      </c>
      <c r="AE2611">
        <v>-6.6346999999999996</v>
      </c>
      <c r="AF2611">
        <v>-3.8917814777719899</v>
      </c>
      <c r="AG2611">
        <v>-1.1137409875269999</v>
      </c>
      <c r="AH2611">
        <v>14.061385013411901</v>
      </c>
      <c r="AI2611">
        <v>94.365255598753805</v>
      </c>
      <c r="AJ2611">
        <v>105.47053708756199</v>
      </c>
      <c r="AK2611">
        <v>14.6324615343226</v>
      </c>
      <c r="AL2611">
        <v>89.897830401354099</v>
      </c>
      <c r="AM2611">
        <v>92.109726145367205</v>
      </c>
      <c r="AN2611">
        <v>1.0000000298446901</v>
      </c>
    </row>
    <row r="2612" spans="1:40" x14ac:dyDescent="0.25">
      <c r="A2612" t="str">
        <f>"20190312154307523"</f>
        <v>20190312154307523</v>
      </c>
      <c r="B2612" t="str">
        <f>"1552376587510550"</f>
        <v>1552376587510550</v>
      </c>
      <c r="C2612" t="s">
        <v>40</v>
      </c>
      <c r="D2612">
        <v>4.6106150000000001</v>
      </c>
      <c r="E2612">
        <v>0.40969220000000001</v>
      </c>
      <c r="F2612" t="s">
        <v>49</v>
      </c>
      <c r="G2612">
        <v>-486.28399999999999</v>
      </c>
      <c r="H2612" s="1">
        <v>1.995869E-6</v>
      </c>
      <c r="I2612">
        <v>277.10590000000002</v>
      </c>
      <c r="J2612">
        <v>-473.42419999999998</v>
      </c>
      <c r="K2612">
        <v>1.1137809999999999</v>
      </c>
      <c r="L2612">
        <v>283.69600000000003</v>
      </c>
      <c r="M2612">
        <v>-0.97944260000000005</v>
      </c>
      <c r="N2612">
        <v>0</v>
      </c>
      <c r="O2612">
        <v>-0.20126279999999999</v>
      </c>
      <c r="P2612">
        <v>-0.97143170000000001</v>
      </c>
      <c r="Q2612">
        <v>-1.157889E-2</v>
      </c>
      <c r="R2612">
        <v>-0.2370372</v>
      </c>
      <c r="S2612">
        <v>-2.7457889999999998</v>
      </c>
      <c r="T2612">
        <v>-0.23613000000000001</v>
      </c>
      <c r="U2612">
        <v>-1.4019779999999999</v>
      </c>
      <c r="V2612">
        <v>-3.6669380000000001E-2</v>
      </c>
      <c r="W2612">
        <v>1.7536310000000001E-3</v>
      </c>
      <c r="X2612">
        <v>0.99932589999999999</v>
      </c>
      <c r="Y2612">
        <v>-0.26598080000000002</v>
      </c>
      <c r="Z2612">
        <v>5.2481519999999999E-3</v>
      </c>
      <c r="AA2612">
        <v>0.96396400000000004</v>
      </c>
      <c r="AB2612">
        <v>17</v>
      </c>
      <c r="AC2612">
        <v>-12.8598</v>
      </c>
      <c r="AD2612">
        <v>-1.1137790041309901</v>
      </c>
      <c r="AE2612">
        <v>-6.5900999999999499</v>
      </c>
      <c r="AF2612">
        <v>-3.8439470555906499</v>
      </c>
      <c r="AG2612">
        <v>-1.1137790041309901</v>
      </c>
      <c r="AH2612">
        <v>13.8408407762241</v>
      </c>
      <c r="AI2612">
        <v>94.433603527136796</v>
      </c>
      <c r="AJ2612">
        <v>105.521301903984</v>
      </c>
      <c r="AK2612">
        <v>14.407821002116</v>
      </c>
      <c r="AL2612">
        <v>89.899524292025802</v>
      </c>
      <c r="AM2612">
        <v>92.101475106983301</v>
      </c>
      <c r="AN2612">
        <v>0.99999998653103905</v>
      </c>
    </row>
    <row r="2613" spans="1:40" x14ac:dyDescent="0.25">
      <c r="A2613" t="str">
        <f>"20190312154307535"</f>
        <v>20190312154307535</v>
      </c>
      <c r="B2613" t="str">
        <f>"1552376587530070"</f>
        <v>1552376587530070</v>
      </c>
      <c r="C2613" t="s">
        <v>40</v>
      </c>
      <c r="D2613">
        <v>4.6658390000000001</v>
      </c>
      <c r="E2613">
        <v>0.40988279999999999</v>
      </c>
      <c r="F2613" t="s">
        <v>49</v>
      </c>
      <c r="G2613">
        <v>-486.41969999999998</v>
      </c>
      <c r="H2613" s="1">
        <v>1.9800780000000001E-6</v>
      </c>
      <c r="I2613">
        <v>276.99310000000003</v>
      </c>
      <c r="J2613">
        <v>-473.51740000000001</v>
      </c>
      <c r="K2613">
        <v>1.1138129999999999</v>
      </c>
      <c r="L2613">
        <v>283.67250000000001</v>
      </c>
      <c r="M2613">
        <v>-0.97870250000000003</v>
      </c>
      <c r="N2613">
        <v>0</v>
      </c>
      <c r="O2613">
        <v>-0.2048306</v>
      </c>
      <c r="P2613">
        <v>-0.97057850000000001</v>
      </c>
      <c r="Q2613">
        <v>-1.1460400000000001E-2</v>
      </c>
      <c r="R2613">
        <v>-0.24051239999999999</v>
      </c>
      <c r="S2613">
        <v>-2.74057</v>
      </c>
      <c r="T2613">
        <v>-0.23488059999999999</v>
      </c>
      <c r="U2613">
        <v>-1.4135439999999999</v>
      </c>
      <c r="V2613">
        <v>-3.660505E-2</v>
      </c>
      <c r="W2613">
        <v>1.8790390000000001E-3</v>
      </c>
      <c r="X2613">
        <v>0.99932799999999999</v>
      </c>
      <c r="Y2613">
        <v>-0.26644050000000002</v>
      </c>
      <c r="Z2613">
        <v>5.480309E-3</v>
      </c>
      <c r="AA2613">
        <v>0.96383580000000002</v>
      </c>
      <c r="AB2613">
        <v>17</v>
      </c>
      <c r="AC2613">
        <v>-12.902299999999901</v>
      </c>
      <c r="AD2613">
        <v>-1.1138110199219999</v>
      </c>
      <c r="AE2613">
        <v>-6.6793999999999798</v>
      </c>
      <c r="AF2613">
        <v>-3.8719653469305202</v>
      </c>
      <c r="AG2613">
        <v>-1.1138110199219999</v>
      </c>
      <c r="AH2613">
        <v>13.915177580026</v>
      </c>
      <c r="AI2613">
        <v>94.409537975339802</v>
      </c>
      <c r="AJ2613">
        <v>105.549482900161</v>
      </c>
      <c r="AK2613">
        <v>14.486713144105201</v>
      </c>
      <c r="AL2613">
        <v>89.892338927670707</v>
      </c>
      <c r="AM2613">
        <v>92.097787329613695</v>
      </c>
      <c r="AN2613">
        <v>0.99999995602853198</v>
      </c>
    </row>
    <row r="2614" spans="1:40" x14ac:dyDescent="0.25">
      <c r="A2614" t="str">
        <f>"20190312154307555"</f>
        <v>20190312154307555</v>
      </c>
      <c r="B2614" t="str">
        <f>"1552376587550565"</f>
        <v>1552376587550565</v>
      </c>
      <c r="C2614" t="s">
        <v>40</v>
      </c>
      <c r="D2614">
        <v>4.6918230000000003</v>
      </c>
      <c r="E2614">
        <v>0.40938659999999999</v>
      </c>
      <c r="F2614" t="s">
        <v>49</v>
      </c>
      <c r="G2614">
        <v>-486.32920000000001</v>
      </c>
      <c r="H2614" s="1">
        <v>1.970613E-6</v>
      </c>
      <c r="I2614">
        <v>277.01170000000002</v>
      </c>
      <c r="J2614">
        <v>-473.6601</v>
      </c>
      <c r="K2614">
        <v>1.1138589999999999</v>
      </c>
      <c r="L2614">
        <v>283.63589999999999</v>
      </c>
      <c r="M2614">
        <v>-0.97752559999999999</v>
      </c>
      <c r="N2614">
        <v>0</v>
      </c>
      <c r="O2614">
        <v>-0.2103748</v>
      </c>
      <c r="P2614">
        <v>-0.96934909999999996</v>
      </c>
      <c r="Q2614">
        <v>-1.0773919999999999E-2</v>
      </c>
      <c r="R2614">
        <v>-0.24545139999999999</v>
      </c>
      <c r="S2614">
        <v>-2.7356259999999999</v>
      </c>
      <c r="T2614">
        <v>-0.23782610000000001</v>
      </c>
      <c r="U2614">
        <v>-1.4222410000000001</v>
      </c>
      <c r="V2614">
        <v>-3.6033160000000002E-2</v>
      </c>
      <c r="W2614">
        <v>2.5799880000000001E-3</v>
      </c>
      <c r="X2614">
        <v>0.99934730000000005</v>
      </c>
      <c r="Y2614">
        <v>-0.2641191</v>
      </c>
      <c r="Z2614">
        <v>6.0811370000000003E-3</v>
      </c>
      <c r="AA2614">
        <v>0.96447090000000002</v>
      </c>
      <c r="AB2614">
        <v>17</v>
      </c>
      <c r="AC2614">
        <v>-12.6691</v>
      </c>
      <c r="AD2614">
        <v>-1.113857029387</v>
      </c>
      <c r="AE2614">
        <v>-6.6241999999999699</v>
      </c>
      <c r="AF2614">
        <v>-3.7874296686850402</v>
      </c>
      <c r="AG2614">
        <v>-1.113857029387</v>
      </c>
      <c r="AH2614">
        <v>13.696078059703501</v>
      </c>
      <c r="AI2614">
        <v>94.481956038983398</v>
      </c>
      <c r="AJ2614">
        <v>105.457925251155</v>
      </c>
      <c r="AK2614">
        <v>14.253696194132999</v>
      </c>
      <c r="AL2614">
        <v>89.852177417658297</v>
      </c>
      <c r="AM2614">
        <v>92.0650018183741</v>
      </c>
      <c r="AN2614">
        <v>1.0000000354874701</v>
      </c>
    </row>
    <row r="2615" spans="1:40" x14ac:dyDescent="0.25">
      <c r="A2615" t="str">
        <f>"20190312154307568"</f>
        <v>20190312154307568</v>
      </c>
      <c r="B2615" t="str">
        <f>"1552376587560326"</f>
        <v>1552376587560326</v>
      </c>
      <c r="C2615" t="s">
        <v>40</v>
      </c>
      <c r="D2615">
        <v>4.6134329999999997</v>
      </c>
      <c r="E2615">
        <v>0.40917500000000001</v>
      </c>
      <c r="F2615" t="s">
        <v>49</v>
      </c>
      <c r="G2615">
        <v>-486.65629999999999</v>
      </c>
      <c r="H2615" s="1">
        <v>1.944386E-6</v>
      </c>
      <c r="I2615">
        <v>276.77339999999998</v>
      </c>
      <c r="J2615">
        <v>-473.75450000000001</v>
      </c>
      <c r="K2615">
        <v>1.113882</v>
      </c>
      <c r="L2615">
        <v>283.6112</v>
      </c>
      <c r="M2615">
        <v>-0.97671779999999997</v>
      </c>
      <c r="N2615">
        <v>0</v>
      </c>
      <c r="O2615">
        <v>-0.2140937</v>
      </c>
      <c r="P2615">
        <v>-0.9684083</v>
      </c>
      <c r="Q2615">
        <v>-1.043295E-2</v>
      </c>
      <c r="R2615">
        <v>-0.24915209999999999</v>
      </c>
      <c r="S2615">
        <v>-2.7275390000000002</v>
      </c>
      <c r="T2615">
        <v>-0.23376720000000001</v>
      </c>
      <c r="U2615">
        <v>-1.4402469999999901</v>
      </c>
      <c r="V2615">
        <v>-3.6049329999999997E-2</v>
      </c>
      <c r="W2615">
        <v>2.9276010000000002E-3</v>
      </c>
      <c r="X2615">
        <v>0.9993457</v>
      </c>
      <c r="Y2615">
        <v>-0.26661820000000003</v>
      </c>
      <c r="Z2615">
        <v>6.1674690000000001E-3</v>
      </c>
      <c r="AA2615">
        <v>0.96378249999999999</v>
      </c>
      <c r="AB2615">
        <v>17</v>
      </c>
      <c r="AC2615">
        <v>-12.9017999999999</v>
      </c>
      <c r="AD2615">
        <v>-1.1138800556140001</v>
      </c>
      <c r="AE2615">
        <v>-6.8378000000000103</v>
      </c>
      <c r="AF2615">
        <v>-3.89411087933044</v>
      </c>
      <c r="AG2615">
        <v>-1.1138800556140001</v>
      </c>
      <c r="AH2615">
        <v>13.985273983137899</v>
      </c>
      <c r="AI2615">
        <v>94.387580870266007</v>
      </c>
      <c r="AJ2615">
        <v>105.55952420400401</v>
      </c>
      <c r="AK2615">
        <v>14.5599696669412</v>
      </c>
      <c r="AL2615">
        <v>89.832260575060204</v>
      </c>
      <c r="AM2615">
        <v>92.065930996760002</v>
      </c>
      <c r="AN2615">
        <v>0.99999997657477602</v>
      </c>
    </row>
    <row r="2616" spans="1:40" x14ac:dyDescent="0.25">
      <c r="A2616" t="str">
        <f>"20190312154307580"</f>
        <v>20190312154307580</v>
      </c>
      <c r="B2616" t="str">
        <f>"1552376587570086"</f>
        <v>1552376587570086</v>
      </c>
      <c r="C2616" t="s">
        <v>40</v>
      </c>
      <c r="D2616">
        <v>4.6052330000000001</v>
      </c>
      <c r="E2616">
        <v>0.40901959999999998</v>
      </c>
      <c r="F2616" t="s">
        <v>49</v>
      </c>
      <c r="G2616">
        <v>-486.79320000000001</v>
      </c>
      <c r="H2616" s="1">
        <v>1.9263460000000001E-6</v>
      </c>
      <c r="I2616">
        <v>276.65370000000001</v>
      </c>
      <c r="J2616">
        <v>-473.84809999999999</v>
      </c>
      <c r="K2616">
        <v>1.1138980000000001</v>
      </c>
      <c r="L2616">
        <v>283.58609999999999</v>
      </c>
      <c r="M2616">
        <v>-0.97588719999999995</v>
      </c>
      <c r="N2616">
        <v>0</v>
      </c>
      <c r="O2616">
        <v>-0.21784680000000001</v>
      </c>
      <c r="P2616">
        <v>-0.96749260000000004</v>
      </c>
      <c r="Q2616">
        <v>-1.058781E-2</v>
      </c>
      <c r="R2616">
        <v>-0.25267770000000001</v>
      </c>
      <c r="S2616">
        <v>-2.7217099999999999</v>
      </c>
      <c r="T2616">
        <v>-0.23251240000000001</v>
      </c>
      <c r="U2616">
        <v>-1.452332</v>
      </c>
      <c r="V2616">
        <v>-3.5846349999999999E-2</v>
      </c>
      <c r="W2616">
        <v>2.7802590000000002E-3</v>
      </c>
      <c r="X2616">
        <v>0.99935350000000001</v>
      </c>
      <c r="Y2616">
        <v>-0.26711230000000002</v>
      </c>
      <c r="Z2616">
        <v>6.4052179999999998E-3</v>
      </c>
      <c r="AA2616">
        <v>0.9636441</v>
      </c>
      <c r="AB2616">
        <v>17</v>
      </c>
      <c r="AC2616">
        <v>-12.9451</v>
      </c>
      <c r="AD2616">
        <v>-1.113896073654</v>
      </c>
      <c r="AE2616">
        <v>-6.9323999999999701</v>
      </c>
      <c r="AF2616">
        <v>-3.9229876221401101</v>
      </c>
      <c r="AG2616">
        <v>-1.113896073654</v>
      </c>
      <c r="AH2616">
        <v>14.0635585120403</v>
      </c>
      <c r="AI2616">
        <v>94.3627488191201</v>
      </c>
      <c r="AJ2616">
        <v>105.586285533466</v>
      </c>
      <c r="AK2616">
        <v>14.6428915985862</v>
      </c>
      <c r="AL2616">
        <v>89.840702696773207</v>
      </c>
      <c r="AM2616">
        <v>92.054292503597097</v>
      </c>
      <c r="AN2616">
        <v>1.00000005430533</v>
      </c>
    </row>
    <row r="2617" spans="1:40" x14ac:dyDescent="0.25">
      <c r="A2617" t="str">
        <f>"20190312154307601"</f>
        <v>20190312154307601</v>
      </c>
      <c r="B2617" t="str">
        <f>"1552376587590581"</f>
        <v>1552376587590581</v>
      </c>
      <c r="C2617" t="s">
        <v>40</v>
      </c>
      <c r="D2617">
        <v>4.6374829999999996</v>
      </c>
      <c r="E2617">
        <v>0.40872979999999998</v>
      </c>
      <c r="F2617" t="s">
        <v>49</v>
      </c>
      <c r="G2617">
        <v>-486.83359999999999</v>
      </c>
      <c r="H2617" s="1">
        <v>1.9108220000000002E-6</v>
      </c>
      <c r="I2617">
        <v>276.58949999999999</v>
      </c>
      <c r="J2617">
        <v>-473.99059999999997</v>
      </c>
      <c r="K2617">
        <v>1.1139250000000001</v>
      </c>
      <c r="L2617">
        <v>283.54719999999998</v>
      </c>
      <c r="M2617">
        <v>-0.97458109999999998</v>
      </c>
      <c r="N2617">
        <v>0</v>
      </c>
      <c r="O2617">
        <v>-0.2236177</v>
      </c>
      <c r="P2617">
        <v>-0.96603589999999995</v>
      </c>
      <c r="Q2617">
        <v>-1.1902660000000001E-2</v>
      </c>
      <c r="R2617">
        <v>-0.25813409999999998</v>
      </c>
      <c r="S2617">
        <v>-2.7160340000000001</v>
      </c>
      <c r="T2617">
        <v>-0.23298250000000001</v>
      </c>
      <c r="U2617">
        <v>-1.463409</v>
      </c>
      <c r="V2617">
        <v>-3.5566239999999999E-2</v>
      </c>
      <c r="W2617">
        <v>1.47754299999999E-3</v>
      </c>
      <c r="X2617">
        <v>0.99936619999999998</v>
      </c>
      <c r="Y2617">
        <v>-0.26531690000000002</v>
      </c>
      <c r="Z2617">
        <v>6.9359139999999996E-3</v>
      </c>
      <c r="AA2617">
        <v>0.96413629999999995</v>
      </c>
      <c r="AB2617">
        <v>17</v>
      </c>
      <c r="AC2617">
        <v>-12.843</v>
      </c>
      <c r="AD2617">
        <v>-1.1139230891779901</v>
      </c>
      <c r="AE2617">
        <v>-6.9576999999999796</v>
      </c>
      <c r="AF2617">
        <v>-3.8866815923495102</v>
      </c>
      <c r="AG2617">
        <v>-1.1139230891779901</v>
      </c>
      <c r="AH2617">
        <v>13.9923471181922</v>
      </c>
      <c r="AI2617">
        <v>94.386297896921505</v>
      </c>
      <c r="AJ2617">
        <v>105.523801191492</v>
      </c>
      <c r="AK2617">
        <v>14.564782742110999</v>
      </c>
      <c r="AL2617">
        <v>89.915342988803999</v>
      </c>
      <c r="AM2617">
        <v>92.038227595300896</v>
      </c>
      <c r="AN2617">
        <v>0.99999997113174599</v>
      </c>
    </row>
    <row r="2618" spans="1:40" x14ac:dyDescent="0.25">
      <c r="A2618" t="str">
        <f>"20190312154307623"</f>
        <v>20190312154307623</v>
      </c>
      <c r="B2618" t="str">
        <f>"1552376587610103"</f>
        <v>1552376587610103</v>
      </c>
      <c r="C2618" t="s">
        <v>40</v>
      </c>
      <c r="D2618">
        <v>4.5957140000000001</v>
      </c>
      <c r="E2618">
        <v>0.4085338</v>
      </c>
      <c r="F2618" t="s">
        <v>49</v>
      </c>
      <c r="G2618">
        <v>-486.72739999999999</v>
      </c>
      <c r="H2618" s="1">
        <v>1.8878989999999999E-6</v>
      </c>
      <c r="I2618">
        <v>276.5779</v>
      </c>
      <c r="J2618">
        <v>-474.14980000000003</v>
      </c>
      <c r="K2618">
        <v>1.1139520000000001</v>
      </c>
      <c r="L2618">
        <v>283.50259999999997</v>
      </c>
      <c r="M2618">
        <v>-0.97305459999999999</v>
      </c>
      <c r="N2618">
        <v>0</v>
      </c>
      <c r="O2618">
        <v>-0.2301677</v>
      </c>
      <c r="P2618">
        <v>-0.96431670000000003</v>
      </c>
      <c r="Q2618">
        <v>-1.294787E-2</v>
      </c>
      <c r="R2618">
        <v>-0.26443480000000003</v>
      </c>
      <c r="S2618">
        <v>-2.7067570000000001</v>
      </c>
      <c r="T2618">
        <v>-0.23672460000000001</v>
      </c>
      <c r="U2618">
        <v>-1.481079</v>
      </c>
      <c r="V2618">
        <v>-3.5363270000000002E-2</v>
      </c>
      <c r="W2618">
        <v>4.4471419999999998E-4</v>
      </c>
      <c r="X2618">
        <v>0.9993744</v>
      </c>
      <c r="Y2618">
        <v>-0.2650825</v>
      </c>
      <c r="Z2618">
        <v>7.5731549999999998E-3</v>
      </c>
      <c r="AA2618">
        <v>0.96419600000000005</v>
      </c>
      <c r="AB2618">
        <v>17</v>
      </c>
      <c r="AC2618">
        <v>-12.577599999999901</v>
      </c>
      <c r="AD2618">
        <v>-1.113950112101</v>
      </c>
      <c r="AE2618">
        <v>-6.9246999999999703</v>
      </c>
      <c r="AF2618">
        <v>-3.8205171831918401</v>
      </c>
      <c r="AG2618">
        <v>-1.113950112101</v>
      </c>
      <c r="AH2618">
        <v>13.751058150387401</v>
      </c>
      <c r="AI2618">
        <v>94.462991943846205</v>
      </c>
      <c r="AJ2618">
        <v>105.52712351859699</v>
      </c>
      <c r="AK2618">
        <v>14.315335715750701</v>
      </c>
      <c r="AL2618">
        <v>89.974519751773698</v>
      </c>
      <c r="AM2618">
        <v>92.026588917113997</v>
      </c>
      <c r="AN2618">
        <v>0.99999997500558602</v>
      </c>
    </row>
    <row r="2619" spans="1:40" x14ac:dyDescent="0.25">
      <c r="A2619" t="str">
        <f>"20190312154307656"</f>
        <v>20190312154307656</v>
      </c>
      <c r="B2619" t="str">
        <f>"1552376587650623"</f>
        <v>1552376587650623</v>
      </c>
      <c r="C2619" t="s">
        <v>40</v>
      </c>
      <c r="D2619">
        <v>4.6106590000000001</v>
      </c>
      <c r="E2619">
        <v>0.40813690000000002</v>
      </c>
      <c r="F2619" t="s">
        <v>49</v>
      </c>
      <c r="G2619">
        <v>-486.69170000000003</v>
      </c>
      <c r="H2619" s="1">
        <v>1.861958E-6</v>
      </c>
      <c r="I2619">
        <v>276.52249999999998</v>
      </c>
      <c r="J2619">
        <v>-474.38869999999997</v>
      </c>
      <c r="K2619">
        <v>1.1139969999999999</v>
      </c>
      <c r="L2619">
        <v>283.43299999999999</v>
      </c>
      <c r="M2619">
        <v>-0.97062619999999999</v>
      </c>
      <c r="N2619">
        <v>0</v>
      </c>
      <c r="O2619">
        <v>-0.2402022</v>
      </c>
      <c r="P2619">
        <v>-0.96175270000000002</v>
      </c>
      <c r="Q2619">
        <v>-1.27549E-2</v>
      </c>
      <c r="R2619">
        <v>-0.2736228</v>
      </c>
      <c r="S2619">
        <v>-2.6962890000000002</v>
      </c>
      <c r="T2619">
        <v>-0.239481</v>
      </c>
      <c r="U2619">
        <v>-1.50061</v>
      </c>
      <c r="V2619">
        <v>-3.4580310000000003E-2</v>
      </c>
      <c r="W2619">
        <v>6.5929089999999997E-4</v>
      </c>
      <c r="X2619">
        <v>0.99940169999999995</v>
      </c>
      <c r="Y2619">
        <v>-0.26208389999999998</v>
      </c>
      <c r="Z2619">
        <v>8.5823369999999902E-3</v>
      </c>
      <c r="AA2619">
        <v>0.9650069</v>
      </c>
      <c r="AB2619">
        <v>17</v>
      </c>
      <c r="AC2619">
        <v>-12.303000000000001</v>
      </c>
      <c r="AD2619">
        <v>-1.1139951380419999</v>
      </c>
      <c r="AE2619">
        <v>-6.9105000000000096</v>
      </c>
      <c r="AF2619">
        <v>-3.72941371736826</v>
      </c>
      <c r="AG2619">
        <v>-1.1139951380419999</v>
      </c>
      <c r="AH2619">
        <v>13.5185551672696</v>
      </c>
      <c r="AI2619">
        <v>94.541894493387602</v>
      </c>
      <c r="AJ2619">
        <v>105.42278014476</v>
      </c>
      <c r="AK2619">
        <v>14.067723541973301</v>
      </c>
      <c r="AL2619">
        <v>89.962225411041999</v>
      </c>
      <c r="AM2619">
        <v>91.981701343735295</v>
      </c>
      <c r="AN2619">
        <v>0.999999995233538</v>
      </c>
    </row>
    <row r="2620" spans="1:40" x14ac:dyDescent="0.25">
      <c r="A2620" t="str">
        <f>"20190312154307678"</f>
        <v>20190312154307678</v>
      </c>
      <c r="B2620" t="str">
        <f>"1552376587670143"</f>
        <v>1552376587670143</v>
      </c>
      <c r="C2620" t="s">
        <v>40</v>
      </c>
      <c r="D2620">
        <v>4.6110160000000002</v>
      </c>
      <c r="E2620">
        <v>0.40808339999999999</v>
      </c>
      <c r="F2620" t="s">
        <v>49</v>
      </c>
      <c r="G2620">
        <v>-486.77879999999999</v>
      </c>
      <c r="H2620" s="1">
        <v>1.8219380000000001E-6</v>
      </c>
      <c r="I2620">
        <v>276.36559999999997</v>
      </c>
      <c r="J2620">
        <v>-474.54829999999998</v>
      </c>
      <c r="K2620">
        <v>1.1140239999999999</v>
      </c>
      <c r="L2620">
        <v>283.38490000000002</v>
      </c>
      <c r="M2620">
        <v>-0.9689103</v>
      </c>
      <c r="N2620">
        <v>0</v>
      </c>
      <c r="O2620">
        <v>-0.2470318</v>
      </c>
      <c r="P2620">
        <v>-0.95986769999999999</v>
      </c>
      <c r="Q2620">
        <v>-1.268276E-2</v>
      </c>
      <c r="R2620">
        <v>-0.28016659999999999</v>
      </c>
      <c r="S2620">
        <v>-2.6810299999999998</v>
      </c>
      <c r="T2620">
        <v>-0.24105289999999999</v>
      </c>
      <c r="U2620">
        <v>-1.5292969999999999</v>
      </c>
      <c r="V2620">
        <v>-3.434918E-2</v>
      </c>
      <c r="W2620">
        <v>7.4273759999999905E-4</v>
      </c>
      <c r="X2620">
        <v>0.99940960000000001</v>
      </c>
      <c r="Y2620">
        <v>-0.26545180000000002</v>
      </c>
      <c r="Z2620">
        <v>9.0524030000000005E-3</v>
      </c>
      <c r="AA2620">
        <v>0.96408159999999998</v>
      </c>
      <c r="AB2620">
        <v>17</v>
      </c>
      <c r="AC2620">
        <v>-12.230499999999999</v>
      </c>
      <c r="AD2620">
        <v>-1.1140221780620001</v>
      </c>
      <c r="AE2620">
        <v>-7.0193000000000403</v>
      </c>
      <c r="AF2620">
        <v>-3.75666014311351</v>
      </c>
      <c r="AG2620">
        <v>-1.1140221780620001</v>
      </c>
      <c r="AH2620">
        <v>13.501265143608</v>
      </c>
      <c r="AI2620">
        <v>94.545034040483401</v>
      </c>
      <c r="AJ2620">
        <v>105.548962705533</v>
      </c>
      <c r="AK2620">
        <v>14.058367662075</v>
      </c>
      <c r="AL2620">
        <v>89.957444265606597</v>
      </c>
      <c r="AM2620">
        <v>91.968450834113398</v>
      </c>
      <c r="AN2620">
        <v>0.99999998319898697</v>
      </c>
    </row>
    <row r="2621" spans="1:40" x14ac:dyDescent="0.25">
      <c r="A2621" t="str">
        <f>"20190312154307701"</f>
        <v>20190312154307701</v>
      </c>
      <c r="B2621" t="str">
        <f>"1552376587689663"</f>
        <v>1552376587689663</v>
      </c>
      <c r="C2621" t="s">
        <v>40</v>
      </c>
      <c r="D2621">
        <v>4.6228870000000004</v>
      </c>
      <c r="E2621">
        <v>0.40812599999999999</v>
      </c>
      <c r="F2621" t="s">
        <v>49</v>
      </c>
      <c r="G2621">
        <v>-486.84370000000001</v>
      </c>
      <c r="H2621" s="1">
        <v>1.7952420000000001E-6</v>
      </c>
      <c r="I2621">
        <v>276.25749999999999</v>
      </c>
      <c r="J2621">
        <v>-474.70830000000001</v>
      </c>
      <c r="K2621">
        <v>1.1140399999999999</v>
      </c>
      <c r="L2621">
        <v>283.33530000000002</v>
      </c>
      <c r="M2621">
        <v>-0.96711429999999998</v>
      </c>
      <c r="N2621">
        <v>0</v>
      </c>
      <c r="O2621">
        <v>-0.25397209999999998</v>
      </c>
      <c r="P2621">
        <v>-0.95783510000000005</v>
      </c>
      <c r="Q2621">
        <v>-1.2960299999999999E-2</v>
      </c>
      <c r="R2621">
        <v>-0.28702680000000003</v>
      </c>
      <c r="S2621">
        <v>-2.6704409999999998</v>
      </c>
      <c r="T2621">
        <v>-0.24195439999999999</v>
      </c>
      <c r="U2621">
        <v>-1.5480039999999999</v>
      </c>
      <c r="V2621">
        <v>-3.4332500000000002E-2</v>
      </c>
      <c r="W2621">
        <v>4.7427809999999999E-4</v>
      </c>
      <c r="X2621">
        <v>0.99941029999999997</v>
      </c>
      <c r="Y2621">
        <v>-0.2652735</v>
      </c>
      <c r="Z2621">
        <v>9.6549949999999995E-3</v>
      </c>
      <c r="AA2621">
        <v>0.96412489999999995</v>
      </c>
      <c r="AB2621">
        <v>17</v>
      </c>
      <c r="AC2621">
        <v>-12.135400000000001</v>
      </c>
      <c r="AD2621">
        <v>-1.114038204758</v>
      </c>
      <c r="AE2621">
        <v>-7.0778000000000203</v>
      </c>
      <c r="AF2621">
        <v>-3.7398253497342702</v>
      </c>
      <c r="AG2621">
        <v>-1.114038204758</v>
      </c>
      <c r="AH2621">
        <v>13.450574272156301</v>
      </c>
      <c r="AI2621">
        <v>94.562394070472706</v>
      </c>
      <c r="AJ2621">
        <v>105.53816749060501</v>
      </c>
      <c r="AK2621">
        <v>14.005189146133199</v>
      </c>
      <c r="AL2621">
        <v>89.972825864085195</v>
      </c>
      <c r="AM2621">
        <v>91.967494326669893</v>
      </c>
      <c r="AN2621">
        <v>0.99999994662102598</v>
      </c>
    </row>
    <row r="2622" spans="1:40" x14ac:dyDescent="0.25">
      <c r="A2622" t="str">
        <f>"20190312154307723"</f>
        <v>20190312154307723</v>
      </c>
      <c r="B2622" t="str">
        <f>"1552376587710159"</f>
        <v>1552376587710159</v>
      </c>
      <c r="C2622" t="s">
        <v>40</v>
      </c>
      <c r="D2622">
        <v>4.6448479999999996</v>
      </c>
      <c r="E2622">
        <v>0.40818260000000001</v>
      </c>
      <c r="F2622" t="s">
        <v>49</v>
      </c>
      <c r="G2622">
        <v>-486.87950000000001</v>
      </c>
      <c r="H2622" s="1">
        <v>1.7689370000000001E-6</v>
      </c>
      <c r="I2622">
        <v>276.1651</v>
      </c>
      <c r="J2622">
        <v>-474.86410000000001</v>
      </c>
      <c r="K2622">
        <v>1.1140509999999999</v>
      </c>
      <c r="L2622">
        <v>283.28570000000002</v>
      </c>
      <c r="M2622">
        <v>-0.96528740000000002</v>
      </c>
      <c r="N2622">
        <v>0</v>
      </c>
      <c r="O2622">
        <v>-0.26082870000000002</v>
      </c>
      <c r="P2622">
        <v>-0.95582310000000004</v>
      </c>
      <c r="Q2622">
        <v>-1.2854330000000001E-2</v>
      </c>
      <c r="R2622">
        <v>-0.29366150000000002</v>
      </c>
      <c r="S2622">
        <v>-2.6592709999999999</v>
      </c>
      <c r="T2622">
        <v>-0.24340609999999999</v>
      </c>
      <c r="U2622">
        <v>-1.5666199999999999</v>
      </c>
      <c r="V2622">
        <v>-3.4171420000000001E-2</v>
      </c>
      <c r="W2622">
        <v>5.8967269999999998E-4</v>
      </c>
      <c r="X2622">
        <v>0.99941579999999997</v>
      </c>
      <c r="Y2622">
        <v>-0.26523140000000001</v>
      </c>
      <c r="Z2622">
        <v>1.0274470000000001E-2</v>
      </c>
      <c r="AA2622">
        <v>0.96413000000000004</v>
      </c>
      <c r="AB2622">
        <v>17</v>
      </c>
      <c r="AC2622">
        <v>-12.0154</v>
      </c>
      <c r="AD2622">
        <v>-1.1140492310629999</v>
      </c>
      <c r="AE2622">
        <v>-7.12060000000002</v>
      </c>
      <c r="AF2622">
        <v>-3.71617372565085</v>
      </c>
      <c r="AG2622">
        <v>-1.1140492310629999</v>
      </c>
      <c r="AH2622">
        <v>13.371765491670599</v>
      </c>
      <c r="AI2622">
        <v>94.589367414549201</v>
      </c>
      <c r="AJ2622">
        <v>105.53124877608001</v>
      </c>
      <c r="AK2622">
        <v>13.923188040555999</v>
      </c>
      <c r="AL2622">
        <v>89.966214240614704</v>
      </c>
      <c r="AM2622">
        <v>91.958259742584502</v>
      </c>
      <c r="AN2622">
        <v>0.99999998747417396</v>
      </c>
    </row>
    <row r="2623" spans="1:40" x14ac:dyDescent="0.25">
      <c r="A2623" t="str">
        <f>"20190312154307745"</f>
        <v>20190312154307745</v>
      </c>
      <c r="B2623" t="str">
        <f>"1552376587740416"</f>
        <v>1552376587740416</v>
      </c>
      <c r="C2623" t="s">
        <v>40</v>
      </c>
      <c r="D2623">
        <v>4.6283609999999999</v>
      </c>
      <c r="E2623">
        <v>0.4084179</v>
      </c>
      <c r="F2623" t="s">
        <v>49</v>
      </c>
      <c r="G2623">
        <v>-487.01900000000001</v>
      </c>
      <c r="H2623" s="1">
        <v>1.7525580000000001E-6</v>
      </c>
      <c r="I2623">
        <v>276.01150000000001</v>
      </c>
      <c r="J2623">
        <v>-475.0231</v>
      </c>
      <c r="K2623">
        <v>1.1140749999999999</v>
      </c>
      <c r="L2623">
        <v>283.2337</v>
      </c>
      <c r="M2623">
        <v>-0.96334120000000001</v>
      </c>
      <c r="N2623">
        <v>0</v>
      </c>
      <c r="O2623">
        <v>-0.26792709999999997</v>
      </c>
      <c r="P2623">
        <v>-0.95383600000000002</v>
      </c>
      <c r="Q2623">
        <v>-1.340745E-2</v>
      </c>
      <c r="R2623">
        <v>-0.30002960000000001</v>
      </c>
      <c r="S2623">
        <v>-2.6484070000000002</v>
      </c>
      <c r="T2623">
        <v>-0.2427377</v>
      </c>
      <c r="U2623">
        <v>-1.5849610000000001</v>
      </c>
      <c r="V2623">
        <v>-3.3477079999999999E-2</v>
      </c>
      <c r="W2623" s="1">
        <v>5.0950530000000002E-5</v>
      </c>
      <c r="X2623">
        <v>0.99943950000000004</v>
      </c>
      <c r="Y2623">
        <v>-0.26481460000000001</v>
      </c>
      <c r="Z2623">
        <v>1.0840890000000001E-2</v>
      </c>
      <c r="AA2623">
        <v>0.96423840000000005</v>
      </c>
      <c r="AB2623">
        <v>17</v>
      </c>
      <c r="AC2623">
        <v>-11.995900000000001</v>
      </c>
      <c r="AD2623">
        <v>-1.1140732474420001</v>
      </c>
      <c r="AE2623">
        <v>-7.2221999999999804</v>
      </c>
      <c r="AF2623">
        <v>-3.7202188903050901</v>
      </c>
      <c r="AG2623">
        <v>-1.1140732474420001</v>
      </c>
      <c r="AH2623">
        <v>13.4075656459113</v>
      </c>
      <c r="AI2623">
        <v>94.577781002208695</v>
      </c>
      <c r="AJ2623">
        <v>105.50782444409499</v>
      </c>
      <c r="AK2623">
        <v>13.9586533856912</v>
      </c>
      <c r="AL2623">
        <v>89.997080749711898</v>
      </c>
      <c r="AM2623">
        <v>91.918453820365499</v>
      </c>
      <c r="AN2623">
        <v>1.00000001582076</v>
      </c>
    </row>
    <row r="2624" spans="1:40" x14ac:dyDescent="0.25">
      <c r="A2624" t="str">
        <f>"20190312154307768"</f>
        <v>20190312154307768</v>
      </c>
      <c r="B2624" t="str">
        <f>"1552376587759935"</f>
        <v>1552376587759935</v>
      </c>
      <c r="C2624" t="s">
        <v>40</v>
      </c>
      <c r="D2624">
        <v>4.6364799999999997</v>
      </c>
      <c r="E2624">
        <v>0.408669</v>
      </c>
      <c r="F2624" t="s">
        <v>49</v>
      </c>
      <c r="G2624">
        <v>-487.16609999999997</v>
      </c>
      <c r="H2624" s="1">
        <v>1.739206E-6</v>
      </c>
      <c r="I2624">
        <v>275.86160000000001</v>
      </c>
      <c r="J2624">
        <v>-475.1832</v>
      </c>
      <c r="K2624">
        <v>1.114104</v>
      </c>
      <c r="L2624">
        <v>283.18</v>
      </c>
      <c r="M2624">
        <v>-0.96129450000000005</v>
      </c>
      <c r="N2624">
        <v>0</v>
      </c>
      <c r="O2624">
        <v>-0.2751788</v>
      </c>
      <c r="P2624">
        <v>-0.95194109999999998</v>
      </c>
      <c r="Q2624">
        <v>-1.481993E-2</v>
      </c>
      <c r="R2624">
        <v>-0.30592209999999997</v>
      </c>
      <c r="S2624">
        <v>-2.6379700000000001</v>
      </c>
      <c r="T2624">
        <v>-0.24202419999999999</v>
      </c>
      <c r="U2624">
        <v>-1.601532</v>
      </c>
      <c r="V2624">
        <v>-3.2119740000000001E-2</v>
      </c>
      <c r="W2624">
        <v>-1.3412159999999999E-3</v>
      </c>
      <c r="X2624">
        <v>0.99948309999999996</v>
      </c>
      <c r="Y2624">
        <v>-0.26368900000000001</v>
      </c>
      <c r="Z2624">
        <v>1.144455E-2</v>
      </c>
      <c r="AA2624">
        <v>0.96453990000000001</v>
      </c>
      <c r="AB2624">
        <v>17</v>
      </c>
      <c r="AC2624">
        <v>-11.9828999999999</v>
      </c>
      <c r="AD2624">
        <v>-1.1141022607940001</v>
      </c>
      <c r="AE2624">
        <v>-7.3183999999999898</v>
      </c>
      <c r="AF2624">
        <v>-3.71466479632375</v>
      </c>
      <c r="AG2624">
        <v>-1.1141022607940001</v>
      </c>
      <c r="AH2624">
        <v>13.4495701500111</v>
      </c>
      <c r="AI2624">
        <v>94.565158263706195</v>
      </c>
      <c r="AJ2624">
        <v>105.439731078218</v>
      </c>
      <c r="AK2624">
        <v>13.9975317687306</v>
      </c>
      <c r="AL2624">
        <v>90.076846041416204</v>
      </c>
      <c r="AM2624">
        <v>91.8406438330844</v>
      </c>
      <c r="AN2624">
        <v>0.99999997187181699</v>
      </c>
    </row>
    <row r="2625" spans="1:40" x14ac:dyDescent="0.25">
      <c r="A2625" t="str">
        <f>"20190312154307790"</f>
        <v>20190312154307790</v>
      </c>
      <c r="B2625" t="str">
        <f>"1552376587780432"</f>
        <v>1552376587780432</v>
      </c>
      <c r="C2625" t="s">
        <v>40</v>
      </c>
      <c r="D2625">
        <v>4.6256659999999998</v>
      </c>
      <c r="E2625">
        <v>0.40894730000000001</v>
      </c>
      <c r="F2625" t="s">
        <v>49</v>
      </c>
      <c r="G2625">
        <v>-487.12279999999998</v>
      </c>
      <c r="H2625" s="1">
        <v>1.731097E-6</v>
      </c>
      <c r="I2625">
        <v>275.8374</v>
      </c>
      <c r="J2625">
        <v>-475.33800000000002</v>
      </c>
      <c r="K2625">
        <v>1.1141299999999901</v>
      </c>
      <c r="L2625">
        <v>283.12650000000002</v>
      </c>
      <c r="M2625">
        <v>-0.95922890000000005</v>
      </c>
      <c r="N2625">
        <v>0</v>
      </c>
      <c r="O2625">
        <v>-0.28229460000000001</v>
      </c>
      <c r="P2625">
        <v>-0.95031310000000002</v>
      </c>
      <c r="Q2625">
        <v>-1.664173E-2</v>
      </c>
      <c r="R2625">
        <v>-0.31085099999999999</v>
      </c>
      <c r="S2625">
        <v>-2.6282350000000001</v>
      </c>
      <c r="T2625">
        <v>-0.2452445</v>
      </c>
      <c r="U2625">
        <v>-1.6163019999999999</v>
      </c>
      <c r="V2625">
        <v>-2.9885769999999999E-2</v>
      </c>
      <c r="W2625">
        <v>-3.1352260000000001E-3</v>
      </c>
      <c r="X2625">
        <v>0.9995484</v>
      </c>
      <c r="Y2625">
        <v>-0.26209270000000001</v>
      </c>
      <c r="Z2625">
        <v>1.2249289999999999E-2</v>
      </c>
      <c r="AA2625">
        <v>0.96496499999999996</v>
      </c>
      <c r="AB2625">
        <v>17</v>
      </c>
      <c r="AC2625">
        <v>-11.784799999999899</v>
      </c>
      <c r="AD2625">
        <v>-1.1141282689030001</v>
      </c>
      <c r="AE2625">
        <v>-7.2891000000000101</v>
      </c>
      <c r="AF2625">
        <v>-3.64193401038722</v>
      </c>
      <c r="AG2625">
        <v>-1.1141282689030001</v>
      </c>
      <c r="AH2625">
        <v>13.277428599352501</v>
      </c>
      <c r="AI2625">
        <v>94.626433045666701</v>
      </c>
      <c r="AJ2625">
        <v>105.338697899953</v>
      </c>
      <c r="AK2625">
        <v>13.812859057649399</v>
      </c>
      <c r="AL2625">
        <v>90.179635512556303</v>
      </c>
      <c r="AM2625">
        <v>91.712591913756</v>
      </c>
      <c r="AN2625">
        <v>0.99999999641656101</v>
      </c>
    </row>
    <row r="2626" spans="1:40" x14ac:dyDescent="0.25">
      <c r="A2626" t="str">
        <f>"20190312154307813"</f>
        <v>20190312154307813</v>
      </c>
      <c r="B2626" t="str">
        <f>"1552376587799953"</f>
        <v>1552376587799953</v>
      </c>
      <c r="C2626" t="s">
        <v>40</v>
      </c>
      <c r="D2626">
        <v>4.7045659999999998</v>
      </c>
      <c r="E2626">
        <v>0.40893760000000001</v>
      </c>
      <c r="F2626" t="s">
        <v>49</v>
      </c>
      <c r="G2626">
        <v>-487.07639999999998</v>
      </c>
      <c r="H2626" s="1">
        <v>1.7259299999999901E-6</v>
      </c>
      <c r="I2626">
        <v>275.83139999999997</v>
      </c>
      <c r="J2626">
        <v>-475.49450000000002</v>
      </c>
      <c r="K2626">
        <v>1.11415</v>
      </c>
      <c r="L2626">
        <v>283.07100000000003</v>
      </c>
      <c r="M2626">
        <v>-0.95705799999999996</v>
      </c>
      <c r="N2626">
        <v>0</v>
      </c>
      <c r="O2626">
        <v>-0.28956920000000003</v>
      </c>
      <c r="P2626">
        <v>-0.94858120000000001</v>
      </c>
      <c r="Q2626">
        <v>-1.872178E-2</v>
      </c>
      <c r="R2626">
        <v>-0.31597950000000002</v>
      </c>
      <c r="S2626">
        <v>-2.6199340000000002</v>
      </c>
      <c r="T2626">
        <v>-0.24866569999999999</v>
      </c>
      <c r="U2626">
        <v>-1.628204</v>
      </c>
      <c r="V2626">
        <v>-2.7689660000000001E-2</v>
      </c>
      <c r="W2626">
        <v>-5.1881499999999999E-3</v>
      </c>
      <c r="X2626">
        <v>0.99960309999999997</v>
      </c>
      <c r="Y2626">
        <v>-0.25932759999999999</v>
      </c>
      <c r="Z2626">
        <v>1.3143699999999999E-2</v>
      </c>
      <c r="AA2626">
        <v>0.9657</v>
      </c>
      <c r="AB2626">
        <v>17</v>
      </c>
      <c r="AC2626">
        <v>-11.5818999999999</v>
      </c>
      <c r="AD2626">
        <v>-1.1141482740699999</v>
      </c>
      <c r="AE2626">
        <v>-7.2395999999999896</v>
      </c>
      <c r="AF2626">
        <v>-3.55166173780382</v>
      </c>
      <c r="AG2626">
        <v>-1.1141482740699999</v>
      </c>
      <c r="AH2626">
        <v>13.095030484932</v>
      </c>
      <c r="AI2626">
        <v>94.694316502824094</v>
      </c>
      <c r="AJ2626">
        <v>105.174818780012</v>
      </c>
      <c r="AK2626">
        <v>13.613796343331</v>
      </c>
      <c r="AL2626">
        <v>90.297260433279305</v>
      </c>
      <c r="AM2626">
        <v>91.586724824087796</v>
      </c>
      <c r="AN2626">
        <v>0.99999999585047294</v>
      </c>
    </row>
    <row r="2627" spans="1:40" x14ac:dyDescent="0.25">
      <c r="A2627" t="str">
        <f>"20190312154307835"</f>
        <v>20190312154307835</v>
      </c>
      <c r="B2627" t="str">
        <f>"1552376587830211"</f>
        <v>1552376587830211</v>
      </c>
      <c r="C2627" t="s">
        <v>40</v>
      </c>
      <c r="D2627">
        <v>4.6542789999999998</v>
      </c>
      <c r="E2627">
        <v>0.40836050000000002</v>
      </c>
      <c r="F2627" t="s">
        <v>49</v>
      </c>
      <c r="G2627">
        <v>-487.00099999999998</v>
      </c>
      <c r="H2627" s="1">
        <v>1.7185810000000001E-6</v>
      </c>
      <c r="I2627">
        <v>275.82760000000002</v>
      </c>
      <c r="J2627">
        <v>-475.64609999999999</v>
      </c>
      <c r="K2627">
        <v>1.1141589999999999</v>
      </c>
      <c r="L2627">
        <v>283.01580000000001</v>
      </c>
      <c r="M2627">
        <v>-0.95487529999999998</v>
      </c>
      <c r="N2627">
        <v>0</v>
      </c>
      <c r="O2627">
        <v>-0.29668749999999999</v>
      </c>
      <c r="P2627">
        <v>-0.94647320000000001</v>
      </c>
      <c r="Q2627">
        <v>-1.82557E-2</v>
      </c>
      <c r="R2627">
        <v>-0.32226709999999997</v>
      </c>
      <c r="S2627">
        <v>-2.6103209999999999</v>
      </c>
      <c r="T2627">
        <v>-0.25274980000000002</v>
      </c>
      <c r="U2627">
        <v>-1.6431880000000001</v>
      </c>
      <c r="V2627">
        <v>-2.6880370000000001E-2</v>
      </c>
      <c r="W2627">
        <v>-4.7081400000000004E-3</v>
      </c>
      <c r="X2627">
        <v>0.99962759999999995</v>
      </c>
      <c r="Y2627">
        <v>-0.25773810000000003</v>
      </c>
      <c r="Z2627">
        <v>1.403079E-2</v>
      </c>
      <c r="AA2627">
        <v>0.96611290000000005</v>
      </c>
      <c r="AB2627">
        <v>17</v>
      </c>
      <c r="AC2627">
        <v>-11.354899999999899</v>
      </c>
      <c r="AD2627">
        <v>-1.1141572814189999</v>
      </c>
      <c r="AE2627">
        <v>-7.1881999999999904</v>
      </c>
      <c r="AF2627">
        <v>-3.4714489317229198</v>
      </c>
      <c r="AG2627">
        <v>-1.1141572814189999</v>
      </c>
      <c r="AH2627">
        <v>12.8878115502563</v>
      </c>
      <c r="AI2627">
        <v>94.771716214376497</v>
      </c>
      <c r="AJ2627">
        <v>105.07534219140901</v>
      </c>
      <c r="AK2627">
        <v>13.393580204270201</v>
      </c>
      <c r="AL2627">
        <v>90.269757539930595</v>
      </c>
      <c r="AM2627">
        <v>91.540334314852899</v>
      </c>
      <c r="AN2627">
        <v>1.0000000297776701</v>
      </c>
    </row>
    <row r="2628" spans="1:40" x14ac:dyDescent="0.25">
      <c r="A2628" t="str">
        <f>"20190312154307858"</f>
        <v>20190312154307858</v>
      </c>
      <c r="B2628" t="str">
        <f>"1552376587849727"</f>
        <v>1552376587849727</v>
      </c>
      <c r="C2628" t="s">
        <v>40</v>
      </c>
      <c r="D2628">
        <v>4.6322619999999999</v>
      </c>
      <c r="E2628">
        <v>0.40849079999999999</v>
      </c>
      <c r="F2628" t="s">
        <v>49</v>
      </c>
      <c r="G2628">
        <v>-484.18360000000001</v>
      </c>
      <c r="H2628" s="1">
        <v>1.7727739999999999E-6</v>
      </c>
      <c r="I2628">
        <v>277.52870000000001</v>
      </c>
      <c r="J2628">
        <v>-475.80669999999998</v>
      </c>
      <c r="K2628">
        <v>1.11416</v>
      </c>
      <c r="L2628">
        <v>282.95589999999999</v>
      </c>
      <c r="M2628">
        <v>-0.95247809999999999</v>
      </c>
      <c r="N2628">
        <v>0</v>
      </c>
      <c r="O2628">
        <v>-0.30429489999999998</v>
      </c>
      <c r="P2628">
        <v>-0.94371130000000003</v>
      </c>
      <c r="Q2628">
        <v>-1.515623E-2</v>
      </c>
      <c r="R2628">
        <v>-0.33042310000000003</v>
      </c>
      <c r="S2628">
        <v>-2.5951840000000002</v>
      </c>
      <c r="T2628">
        <v>-0.33867760000000002</v>
      </c>
      <c r="U2628">
        <v>-1.6679379999999999</v>
      </c>
      <c r="V2628">
        <v>-2.7543669999999999E-2</v>
      </c>
      <c r="W2628">
        <v>-1.608075E-3</v>
      </c>
      <c r="X2628">
        <v>0.99961929999999999</v>
      </c>
      <c r="Y2628">
        <v>-0.25922849999999997</v>
      </c>
      <c r="Z2628">
        <v>1.955573E-2</v>
      </c>
      <c r="AA2628">
        <v>0.96561799999999998</v>
      </c>
      <c r="AB2628">
        <v>17</v>
      </c>
      <c r="AC2628">
        <v>-8.3769000000000293</v>
      </c>
      <c r="AD2628">
        <v>-1.114158227226</v>
      </c>
      <c r="AE2628">
        <v>-5.4271999999999698</v>
      </c>
      <c r="AF2628">
        <v>-2.5882408676046502</v>
      </c>
      <c r="AG2628">
        <v>-1.114158227226</v>
      </c>
      <c r="AH2628">
        <v>9.5126709175218505</v>
      </c>
      <c r="AI2628">
        <v>96.447926801565202</v>
      </c>
      <c r="AJ2628">
        <v>105.220781636966</v>
      </c>
      <c r="AK2628">
        <v>9.9212523064933809</v>
      </c>
      <c r="AL2628">
        <v>90.092135951059305</v>
      </c>
      <c r="AM2628">
        <v>91.578337707988396</v>
      </c>
      <c r="AN2628">
        <v>0.99999999229738201</v>
      </c>
    </row>
    <row r="2629" spans="1:40" x14ac:dyDescent="0.25">
      <c r="A2629" t="str">
        <f>"20190312154307879"</f>
        <v>20190312154307879</v>
      </c>
      <c r="B2629" t="str">
        <f>"1552376587870224"</f>
        <v>1552376587870224</v>
      </c>
      <c r="C2629" t="s">
        <v>40</v>
      </c>
      <c r="D2629">
        <v>4.6538740000000001</v>
      </c>
      <c r="E2629">
        <v>0.40867439999999999</v>
      </c>
      <c r="F2629" t="s">
        <v>49</v>
      </c>
      <c r="G2629">
        <v>-484.50069999999999</v>
      </c>
      <c r="H2629" s="1">
        <v>1.75043E-6</v>
      </c>
      <c r="I2629">
        <v>277.26760000000002</v>
      </c>
      <c r="J2629">
        <v>-475.95240000000001</v>
      </c>
      <c r="K2629">
        <v>1.1141509999999999</v>
      </c>
      <c r="L2629">
        <v>282.90019999999998</v>
      </c>
      <c r="M2629">
        <v>-0.95022790000000001</v>
      </c>
      <c r="N2629">
        <v>0</v>
      </c>
      <c r="O2629">
        <v>-0.31125049999999999</v>
      </c>
      <c r="P2629">
        <v>-0.94066159999999999</v>
      </c>
      <c r="Q2629">
        <v>-1.430264E-2</v>
      </c>
      <c r="R2629">
        <v>-0.33904489999999998</v>
      </c>
      <c r="S2629">
        <v>-2.5820620000000001</v>
      </c>
      <c r="T2629">
        <v>-0.33089689999999999</v>
      </c>
      <c r="U2629">
        <v>-1.68936199999999</v>
      </c>
      <c r="V2629">
        <v>-2.9385919999999999E-2</v>
      </c>
      <c r="W2629">
        <v>-7.6604869999999999E-4</v>
      </c>
      <c r="X2629">
        <v>0.99956789999999995</v>
      </c>
      <c r="Y2629">
        <v>-0.26004929999999998</v>
      </c>
      <c r="Z2629">
        <v>1.9836449999999999E-2</v>
      </c>
      <c r="AA2629">
        <v>0.96539160000000002</v>
      </c>
      <c r="AB2629">
        <v>17</v>
      </c>
      <c r="AC2629">
        <v>-8.5482999999999798</v>
      </c>
      <c r="AD2629">
        <v>-1.1141492495700001</v>
      </c>
      <c r="AE2629">
        <v>-5.6325999999999601</v>
      </c>
      <c r="AF2629">
        <v>-2.6603357488507799</v>
      </c>
      <c r="AG2629">
        <v>-1.1141492495700001</v>
      </c>
      <c r="AH2629">
        <v>9.7613009169340401</v>
      </c>
      <c r="AI2629">
        <v>96.284252757430195</v>
      </c>
      <c r="AJ2629">
        <v>105.24508084922201</v>
      </c>
      <c r="AK2629">
        <v>10.178492542506801</v>
      </c>
      <c r="AL2629">
        <v>90.043891359381604</v>
      </c>
      <c r="AM2629">
        <v>91.6839320124175</v>
      </c>
      <c r="AN2629">
        <v>1.0000000529176301</v>
      </c>
    </row>
    <row r="2630" spans="1:40" x14ac:dyDescent="0.25">
      <c r="A2630" t="str">
        <f>"20190312154307901"</f>
        <v>20190312154307901</v>
      </c>
      <c r="B2630" t="str">
        <f>"1552376587889743"</f>
        <v>1552376587889743</v>
      </c>
      <c r="C2630" t="s">
        <v>40</v>
      </c>
      <c r="D2630">
        <v>4.5820809999999996</v>
      </c>
      <c r="E2630">
        <v>0.4076746</v>
      </c>
      <c r="F2630" t="s">
        <v>49</v>
      </c>
      <c r="G2630">
        <v>-484.65269999999998</v>
      </c>
      <c r="H2630" s="1">
        <v>1.73440499999999E-6</v>
      </c>
      <c r="I2630">
        <v>277.1001</v>
      </c>
      <c r="J2630">
        <v>-476.10419999999999</v>
      </c>
      <c r="K2630">
        <v>1.1141299999999901</v>
      </c>
      <c r="L2630">
        <v>282.84089999999998</v>
      </c>
      <c r="M2630">
        <v>-0.94781510000000002</v>
      </c>
      <c r="N2630">
        <v>0</v>
      </c>
      <c r="O2630">
        <v>-0.31852150000000001</v>
      </c>
      <c r="P2630">
        <v>-0.93716619999999995</v>
      </c>
      <c r="Q2630">
        <v>-1.7411900000000001E-2</v>
      </c>
      <c r="R2630">
        <v>-0.3484487</v>
      </c>
      <c r="S2630">
        <v>-2.5673219999999999</v>
      </c>
      <c r="T2630">
        <v>-0.32876709999999998</v>
      </c>
      <c r="U2630">
        <v>-1.71151699999999</v>
      </c>
      <c r="V2630">
        <v>-3.1727779999999997E-2</v>
      </c>
      <c r="W2630">
        <v>-3.8924340000000002E-3</v>
      </c>
      <c r="X2630">
        <v>0.99948890000000001</v>
      </c>
      <c r="Y2630">
        <v>-0.26100600000000002</v>
      </c>
      <c r="Z2630">
        <v>2.046539E-2</v>
      </c>
      <c r="AA2630">
        <v>0.96512019999999998</v>
      </c>
      <c r="AB2630">
        <v>17</v>
      </c>
      <c r="AC2630">
        <v>-8.54849999999999</v>
      </c>
      <c r="AD2630">
        <v>-1.11412826559499</v>
      </c>
      <c r="AE2630">
        <v>-5.7407999999999699</v>
      </c>
      <c r="AF2630">
        <v>-2.68713800821478</v>
      </c>
      <c r="AG2630">
        <v>-1.11412826559499</v>
      </c>
      <c r="AH2630">
        <v>9.8169896190331301</v>
      </c>
      <c r="AI2630">
        <v>96.246904622387305</v>
      </c>
      <c r="AJ2630">
        <v>105.30821827798</v>
      </c>
      <c r="AK2630">
        <v>10.238909983371901</v>
      </c>
      <c r="AL2630">
        <v>90.223020618534605</v>
      </c>
      <c r="AM2630">
        <v>91.818186920767303</v>
      </c>
      <c r="AN2630">
        <v>0.99999993214468896</v>
      </c>
    </row>
    <row r="2631" spans="1:40" x14ac:dyDescent="0.25">
      <c r="A2631" t="str">
        <f>"20190312154307923"</f>
        <v>20190312154307923</v>
      </c>
      <c r="B2631" t="str">
        <f>"1552376587920003"</f>
        <v>1552376587920003</v>
      </c>
      <c r="C2631" t="s">
        <v>40</v>
      </c>
      <c r="D2631">
        <v>4.5647880000000001</v>
      </c>
      <c r="E2631">
        <v>0.40726499999999999</v>
      </c>
      <c r="F2631" t="s">
        <v>49</v>
      </c>
      <c r="G2631">
        <v>-484.83370000000002</v>
      </c>
      <c r="H2631" s="1">
        <v>1.709267E-6</v>
      </c>
      <c r="I2631">
        <v>276.86619999999999</v>
      </c>
      <c r="J2631">
        <v>-476.25819999999999</v>
      </c>
      <c r="K2631">
        <v>1.1141000000000001</v>
      </c>
      <c r="L2631">
        <v>282.77929999999998</v>
      </c>
      <c r="M2631">
        <v>-0.94529940000000001</v>
      </c>
      <c r="N2631">
        <v>0</v>
      </c>
      <c r="O2631">
        <v>-0.32591150000000002</v>
      </c>
      <c r="P2631">
        <v>-0.93360980000000005</v>
      </c>
      <c r="Q2631">
        <v>-2.0383890000000002E-2</v>
      </c>
      <c r="R2631">
        <v>-0.35771120000000001</v>
      </c>
      <c r="S2631">
        <v>-2.546967</v>
      </c>
      <c r="T2631">
        <v>-0.32506410000000002</v>
      </c>
      <c r="U2631">
        <v>-1.7431950000000001</v>
      </c>
      <c r="V2631">
        <v>-3.381559E-2</v>
      </c>
      <c r="W2631">
        <v>-6.880639E-3</v>
      </c>
      <c r="X2631">
        <v>0.99940439999999997</v>
      </c>
      <c r="Y2631">
        <v>-0.26524930000000002</v>
      </c>
      <c r="Z2631">
        <v>2.0819279999999999E-2</v>
      </c>
      <c r="AA2631">
        <v>0.96395500000000001</v>
      </c>
      <c r="AB2631">
        <v>17</v>
      </c>
      <c r="AC2631">
        <v>-8.5755000000000301</v>
      </c>
      <c r="AD2631">
        <v>-1.1140982907329999</v>
      </c>
      <c r="AE2631">
        <v>-5.9130999999999796</v>
      </c>
      <c r="AF2631">
        <v>-2.7634503062410798</v>
      </c>
      <c r="AG2631">
        <v>-1.1140982907329999</v>
      </c>
      <c r="AH2631">
        <v>9.9210291714232604</v>
      </c>
      <c r="AI2631">
        <v>96.174156295207794</v>
      </c>
      <c r="AJ2631">
        <v>105.564897801019</v>
      </c>
      <c r="AK2631">
        <v>10.358797826809299</v>
      </c>
      <c r="AL2631">
        <v>90.394234687381498</v>
      </c>
      <c r="AM2631">
        <v>91.937905929466794</v>
      </c>
      <c r="AN2631">
        <v>0.999999996029728</v>
      </c>
    </row>
    <row r="2632" spans="1:40" x14ac:dyDescent="0.25">
      <c r="A2632" t="str">
        <f>"20190312154307946"</f>
        <v>20190312154307946</v>
      </c>
      <c r="B2632" t="str">
        <f>"1552376587940496"</f>
        <v>1552376587940496</v>
      </c>
      <c r="C2632" t="s">
        <v>40</v>
      </c>
      <c r="D2632">
        <v>4.547625</v>
      </c>
      <c r="E2632">
        <v>0.40772930000000002</v>
      </c>
      <c r="F2632" t="s">
        <v>49</v>
      </c>
      <c r="G2632">
        <v>-485.09629999999999</v>
      </c>
      <c r="H2632" s="1">
        <v>1.6837169999999999E-6</v>
      </c>
      <c r="I2632">
        <v>276.58890000000002</v>
      </c>
      <c r="J2632">
        <v>-476.40870000000001</v>
      </c>
      <c r="K2632">
        <v>1.1140699999999999</v>
      </c>
      <c r="L2632">
        <v>282.71780000000001</v>
      </c>
      <c r="M2632">
        <v>-0.94277929999999999</v>
      </c>
      <c r="N2632">
        <v>0</v>
      </c>
      <c r="O2632">
        <v>-0.33313179999999998</v>
      </c>
      <c r="P2632">
        <v>-0.93031719999999896</v>
      </c>
      <c r="Q2632">
        <v>-2.2386369999999999E-2</v>
      </c>
      <c r="R2632">
        <v>-0.36607200000000001</v>
      </c>
      <c r="S2632">
        <v>-2.5279539999999998</v>
      </c>
      <c r="T2632">
        <v>-0.31866499999999998</v>
      </c>
      <c r="U2632">
        <v>-1.7706299999999999</v>
      </c>
      <c r="V2632">
        <v>-3.513554E-2</v>
      </c>
      <c r="W2632">
        <v>-8.8937440000000003E-3</v>
      </c>
      <c r="X2632">
        <v>0.99934299999999998</v>
      </c>
      <c r="Y2632">
        <v>-0.26830789999999999</v>
      </c>
      <c r="Z2632">
        <v>2.103321E-2</v>
      </c>
      <c r="AA2632">
        <v>0.96310359999999995</v>
      </c>
      <c r="AB2632">
        <v>17</v>
      </c>
      <c r="AC2632">
        <v>-8.6875999999999696</v>
      </c>
      <c r="AD2632">
        <v>-1.1140683162830001</v>
      </c>
      <c r="AE2632">
        <v>-6.1288999999999803</v>
      </c>
      <c r="AF2632">
        <v>-2.8530326992236898</v>
      </c>
      <c r="AG2632">
        <v>-1.1140683162830001</v>
      </c>
      <c r="AH2632">
        <v>10.1220556082062</v>
      </c>
      <c r="AI2632">
        <v>96.047116959979206</v>
      </c>
      <c r="AJ2632">
        <v>105.741178995379</v>
      </c>
      <c r="AK2632">
        <v>10.5752992171287</v>
      </c>
      <c r="AL2632">
        <v>90.509580703980106</v>
      </c>
      <c r="AM2632">
        <v>92.013612218958798</v>
      </c>
      <c r="AN2632">
        <v>1.0000000182512101</v>
      </c>
    </row>
    <row r="2633" spans="1:40" x14ac:dyDescent="0.25">
      <c r="A2633" t="str">
        <f>"20190312154307968"</f>
        <v>20190312154307968</v>
      </c>
      <c r="B2633" t="str">
        <f>"1552376587960017"</f>
        <v>1552376587960017</v>
      </c>
      <c r="C2633" t="s">
        <v>40</v>
      </c>
      <c r="D2633">
        <v>4.4819239999999896</v>
      </c>
      <c r="E2633">
        <v>0.40817930000000002</v>
      </c>
      <c r="F2633" t="s">
        <v>49</v>
      </c>
      <c r="G2633">
        <v>-485.2627</v>
      </c>
      <c r="H2633" s="1">
        <v>1.6675670000000001E-6</v>
      </c>
      <c r="I2633">
        <v>276.41340000000002</v>
      </c>
      <c r="J2633">
        <v>-476.55880000000002</v>
      </c>
      <c r="K2633">
        <v>1.1140429999999999</v>
      </c>
      <c r="L2633">
        <v>282.65499999999997</v>
      </c>
      <c r="M2633">
        <v>-0.94020349999999997</v>
      </c>
      <c r="N2633">
        <v>0</v>
      </c>
      <c r="O2633">
        <v>-0.34033400000000003</v>
      </c>
      <c r="P2633">
        <v>-0.92759939999999996</v>
      </c>
      <c r="Q2633">
        <v>-2.2443399999999999E-2</v>
      </c>
      <c r="R2633">
        <v>-0.37290220000000002</v>
      </c>
      <c r="S2633">
        <v>-2.5129999999999999</v>
      </c>
      <c r="T2633">
        <v>-0.31619969999999997</v>
      </c>
      <c r="U2633">
        <v>-1.789337</v>
      </c>
      <c r="V2633">
        <v>-3.4839120000000001E-2</v>
      </c>
      <c r="W2633">
        <v>-8.9473339999999995E-3</v>
      </c>
      <c r="X2633">
        <v>0.99935289999999999</v>
      </c>
      <c r="Y2633">
        <v>-0.26842949999999999</v>
      </c>
      <c r="Z2633">
        <v>2.1646599999999998E-2</v>
      </c>
      <c r="AA2633">
        <v>0.96305609999999997</v>
      </c>
      <c r="AB2633">
        <v>17</v>
      </c>
      <c r="AC2633">
        <v>-8.7038999999999707</v>
      </c>
      <c r="AD2633">
        <v>-1.1140413324330001</v>
      </c>
      <c r="AE2633">
        <v>-6.2415999999999396</v>
      </c>
      <c r="AF2633">
        <v>-2.8753098809760198</v>
      </c>
      <c r="AG2633">
        <v>-1.1140413324330001</v>
      </c>
      <c r="AH2633">
        <v>10.198312153120501</v>
      </c>
      <c r="AI2633">
        <v>96.001967926990901</v>
      </c>
      <c r="AJ2633">
        <v>105.745255653787</v>
      </c>
      <c r="AK2633">
        <v>10.654297995386299</v>
      </c>
      <c r="AL2633">
        <v>90.512651306589902</v>
      </c>
      <c r="AM2633">
        <v>91.996618480436894</v>
      </c>
      <c r="AN2633">
        <v>1.0000000189032401</v>
      </c>
    </row>
    <row r="2634" spans="1:40" x14ac:dyDescent="0.25">
      <c r="A2634" t="str">
        <f>"20190312154307991"</f>
        <v>20190312154307991</v>
      </c>
      <c r="B2634" t="str">
        <f>"1552376587980512"</f>
        <v>1552376587980512</v>
      </c>
      <c r="C2634" t="s">
        <v>40</v>
      </c>
      <c r="D2634">
        <v>4.4797479999999998</v>
      </c>
      <c r="E2634">
        <v>0.40869369999999999</v>
      </c>
      <c r="F2634" t="s">
        <v>49</v>
      </c>
      <c r="G2634">
        <v>-485.54219999999998</v>
      </c>
      <c r="H2634" s="1">
        <v>1.650471E-6</v>
      </c>
      <c r="I2634">
        <v>276.17559999999997</v>
      </c>
      <c r="J2634">
        <v>-476.70850000000002</v>
      </c>
      <c r="K2634">
        <v>1.114023</v>
      </c>
      <c r="L2634">
        <v>282.59109999999998</v>
      </c>
      <c r="M2634">
        <v>-0.93758109999999995</v>
      </c>
      <c r="N2634">
        <v>0</v>
      </c>
      <c r="O2634">
        <v>-0.34749340000000001</v>
      </c>
      <c r="P2634">
        <v>-0.92495459999999996</v>
      </c>
      <c r="Q2634">
        <v>-2.1069669999999999E-2</v>
      </c>
      <c r="R2634">
        <v>-0.37949349999999998</v>
      </c>
      <c r="S2634">
        <v>-2.5013730000000001</v>
      </c>
      <c r="T2634">
        <v>-0.31019790000000003</v>
      </c>
      <c r="U2634">
        <v>-1.8041689999999999</v>
      </c>
      <c r="V2634">
        <v>-3.4331519999999997E-2</v>
      </c>
      <c r="W2634">
        <v>-7.5691700000000001E-3</v>
      </c>
      <c r="X2634">
        <v>0.99938179999999999</v>
      </c>
      <c r="Y2634">
        <v>-0.26698929999999998</v>
      </c>
      <c r="Z2634">
        <v>2.206895E-2</v>
      </c>
      <c r="AA2634">
        <v>0.96344669999999999</v>
      </c>
      <c r="AB2634">
        <v>17</v>
      </c>
      <c r="AC2634">
        <v>-8.8336999999999595</v>
      </c>
      <c r="AD2634">
        <v>-1.1140213495289999</v>
      </c>
      <c r="AE2634">
        <v>-6.4154999999999998</v>
      </c>
      <c r="AF2634">
        <v>-2.9153244459647301</v>
      </c>
      <c r="AG2634">
        <v>-1.1140213495289999</v>
      </c>
      <c r="AH2634">
        <v>10.4043224857217</v>
      </c>
      <c r="AI2634">
        <v>95.886507105867807</v>
      </c>
      <c r="AJ2634">
        <v>105.653041933811</v>
      </c>
      <c r="AK2634">
        <v>10.8623241794443</v>
      </c>
      <c r="AL2634">
        <v>90.433685652290606</v>
      </c>
      <c r="AM2634">
        <v>91.967494272475406</v>
      </c>
      <c r="AN2634">
        <v>0.99999996388561896</v>
      </c>
    </row>
    <row r="2635" spans="1:40" x14ac:dyDescent="0.25">
      <c r="A2635" t="str">
        <f>"20190312154308014"</f>
        <v>20190312154308014</v>
      </c>
      <c r="B2635" t="str">
        <f>"1552376588009793"</f>
        <v>1552376588009793</v>
      </c>
      <c r="C2635" t="s">
        <v>40</v>
      </c>
      <c r="D2635">
        <v>4.483771</v>
      </c>
      <c r="E2635">
        <v>0.40922560000000002</v>
      </c>
      <c r="F2635" t="s">
        <v>49</v>
      </c>
      <c r="G2635">
        <v>-485.89670000000001</v>
      </c>
      <c r="H2635" s="1">
        <v>1.6307910000000001E-6</v>
      </c>
      <c r="I2635">
        <v>275.88529999999997</v>
      </c>
      <c r="J2635">
        <v>-476.86239999999998</v>
      </c>
      <c r="K2635">
        <v>1.1140019999999999</v>
      </c>
      <c r="L2635">
        <v>282.52390000000003</v>
      </c>
      <c r="M2635">
        <v>-0.93482149999999997</v>
      </c>
      <c r="N2635">
        <v>0</v>
      </c>
      <c r="O2635">
        <v>-0.35485029999999901</v>
      </c>
      <c r="P2635">
        <v>-0.92195360000000004</v>
      </c>
      <c r="Q2635">
        <v>-1.9286930000000001E-2</v>
      </c>
      <c r="R2635">
        <v>-0.3868202</v>
      </c>
      <c r="S2635">
        <v>-2.4907530000000002</v>
      </c>
      <c r="T2635">
        <v>-0.30198970000000003</v>
      </c>
      <c r="U2635">
        <v>-1.8178099999999999</v>
      </c>
      <c r="V2635">
        <v>-3.4408649999999999E-2</v>
      </c>
      <c r="W2635">
        <v>-5.7877170000000004E-3</v>
      </c>
      <c r="X2635">
        <v>0.99939109999999998</v>
      </c>
      <c r="Y2635">
        <v>-0.26483669999999998</v>
      </c>
      <c r="Z2635">
        <v>2.235094E-2</v>
      </c>
      <c r="AA2635">
        <v>0.96403419999999895</v>
      </c>
      <c r="AB2635">
        <v>17</v>
      </c>
      <c r="AC2635">
        <v>-9.0343000000000302</v>
      </c>
      <c r="AD2635">
        <v>-1.1140003692089999</v>
      </c>
      <c r="AE2635">
        <v>-6.63860000000005</v>
      </c>
      <c r="AF2635">
        <v>-2.9710325286193302</v>
      </c>
      <c r="AG2635">
        <v>-1.1140003692089999</v>
      </c>
      <c r="AH2635">
        <v>10.696580737237699</v>
      </c>
      <c r="AI2635">
        <v>95.730254590900202</v>
      </c>
      <c r="AJ2635">
        <v>105.52291803343699</v>
      </c>
      <c r="AK2635">
        <v>11.1572788159549</v>
      </c>
      <c r="AL2635">
        <v>90.331613604597294</v>
      </c>
      <c r="AM2635">
        <v>91.971892670185994</v>
      </c>
      <c r="AN2635">
        <v>1.0000000118110499</v>
      </c>
    </row>
    <row r="2636" spans="1:40" x14ac:dyDescent="0.25">
      <c r="A2636" t="str">
        <f>"20190312154308036"</f>
        <v>20190312154308036</v>
      </c>
      <c r="B2636" t="str">
        <f>"1552376588030288"</f>
        <v>1552376588030288</v>
      </c>
      <c r="C2636" t="s">
        <v>40</v>
      </c>
      <c r="D2636">
        <v>4.513045</v>
      </c>
      <c r="E2636">
        <v>0.4092037</v>
      </c>
      <c r="F2636" t="s">
        <v>49</v>
      </c>
      <c r="G2636">
        <v>-486.29610000000002</v>
      </c>
      <c r="H2636" s="1">
        <v>1.6063040000000001E-6</v>
      </c>
      <c r="I2636">
        <v>275.54509999999999</v>
      </c>
      <c r="J2636">
        <v>-477.00740000000002</v>
      </c>
      <c r="K2636">
        <v>1.113977</v>
      </c>
      <c r="L2636">
        <v>282.45940000000002</v>
      </c>
      <c r="M2636">
        <v>-0.93216589999999999</v>
      </c>
      <c r="N2636">
        <v>0</v>
      </c>
      <c r="O2636">
        <v>-0.36176940000000002</v>
      </c>
      <c r="P2636">
        <v>-0.9189581</v>
      </c>
      <c r="Q2636">
        <v>-1.8381249999999998E-2</v>
      </c>
      <c r="R2636">
        <v>-0.39392709999999997</v>
      </c>
      <c r="S2636">
        <v>-2.478577</v>
      </c>
      <c r="T2636">
        <v>-0.292688</v>
      </c>
      <c r="U2636">
        <v>-1.833588</v>
      </c>
      <c r="V2636">
        <v>-3.4718579999999999E-2</v>
      </c>
      <c r="W2636">
        <v>-4.8860479999999996E-3</v>
      </c>
      <c r="X2636">
        <v>0.99938519999999997</v>
      </c>
      <c r="Y2636">
        <v>-0.26392850000000001</v>
      </c>
      <c r="Z2636">
        <v>2.240048E-2</v>
      </c>
      <c r="AA2636">
        <v>0.96428210000000003</v>
      </c>
      <c r="AB2636">
        <v>17</v>
      </c>
      <c r="AC2636">
        <v>-9.2887000000000004</v>
      </c>
      <c r="AD2636">
        <v>-1.113975393696</v>
      </c>
      <c r="AE2636">
        <v>-6.9143000000000203</v>
      </c>
      <c r="AF2636">
        <v>-3.05690898953211</v>
      </c>
      <c r="AG2636">
        <v>-1.113975393696</v>
      </c>
      <c r="AH2636">
        <v>11.058704744887001</v>
      </c>
      <c r="AI2636">
        <v>95.545564424226995</v>
      </c>
      <c r="AJ2636">
        <v>105.45216108081701</v>
      </c>
      <c r="AK2636">
        <v>11.527384108401501</v>
      </c>
      <c r="AL2636">
        <v>90.279951038432998</v>
      </c>
      <c r="AM2636">
        <v>91.989651679378696</v>
      </c>
      <c r="AN2636">
        <v>1.0000000156206501</v>
      </c>
    </row>
    <row r="2637" spans="1:40" x14ac:dyDescent="0.25">
      <c r="A2637" t="str">
        <f>"20190312154308057"</f>
        <v>20190312154308057</v>
      </c>
      <c r="B2637" t="str">
        <f>"1552376588049808"</f>
        <v>1552376588049808</v>
      </c>
      <c r="C2637" t="s">
        <v>40</v>
      </c>
      <c r="D2637">
        <v>4.4924350000000004</v>
      </c>
      <c r="E2637">
        <v>0.38845350000000001</v>
      </c>
      <c r="F2637" t="s">
        <v>49</v>
      </c>
      <c r="G2637">
        <v>-486.4314</v>
      </c>
      <c r="H2637" s="1">
        <v>1.5884229999999999E-6</v>
      </c>
      <c r="I2637">
        <v>275.37549999999999</v>
      </c>
      <c r="J2637">
        <v>-477.15379999999999</v>
      </c>
      <c r="K2637">
        <v>1.1139479999999999</v>
      </c>
      <c r="L2637">
        <v>282.3929</v>
      </c>
      <c r="M2637">
        <v>-0.9294287</v>
      </c>
      <c r="N2637">
        <v>0</v>
      </c>
      <c r="O2637">
        <v>-0.36874430000000002</v>
      </c>
      <c r="P2637">
        <v>-0.91571650000000004</v>
      </c>
      <c r="Q2637">
        <v>-1.8926060000000001E-2</v>
      </c>
      <c r="R2637">
        <v>-0.40137899999999999</v>
      </c>
      <c r="S2637">
        <v>-2.4645999999999999</v>
      </c>
      <c r="T2637">
        <v>-0.29133239999999999</v>
      </c>
      <c r="U2637">
        <v>-1.8526309999999999</v>
      </c>
      <c r="V2637">
        <v>-3.5347980000000001E-2</v>
      </c>
      <c r="W2637">
        <v>-5.4385769999999896E-3</v>
      </c>
      <c r="X2637">
        <v>0.99936029999999998</v>
      </c>
      <c r="Y2637">
        <v>-0.26411119999999999</v>
      </c>
      <c r="Z2637">
        <v>2.2979320000000001E-2</v>
      </c>
      <c r="AA2637">
        <v>0.96421840000000003</v>
      </c>
      <c r="AB2637">
        <v>17</v>
      </c>
      <c r="AC2637">
        <v>-9.2775999999999996</v>
      </c>
      <c r="AD2637">
        <v>-1.1139464115769999</v>
      </c>
      <c r="AE2637">
        <v>-7.0174000000000003</v>
      </c>
      <c r="AF2637">
        <v>-3.0732236357082301</v>
      </c>
      <c r="AG2637">
        <v>-1.1139464115769999</v>
      </c>
      <c r="AH2637">
        <v>11.1096819037332</v>
      </c>
      <c r="AI2637">
        <v>95.519851202777204</v>
      </c>
      <c r="AJ2637">
        <v>105.462812556499</v>
      </c>
      <c r="AK2637">
        <v>11.5806136333563</v>
      </c>
      <c r="AL2637">
        <v>90.311609034361595</v>
      </c>
      <c r="AM2637">
        <v>92.025741969043807</v>
      </c>
      <c r="AN2637">
        <v>1.00000003351297</v>
      </c>
    </row>
    <row r="2638" spans="1:40" x14ac:dyDescent="0.25">
      <c r="A2638" t="str">
        <f>"20190312154308080"</f>
        <v>20190312154308080</v>
      </c>
      <c r="B2638" t="str">
        <f>"1552376588070304"</f>
        <v>1552376588070304</v>
      </c>
      <c r="C2638" t="s">
        <v>40</v>
      </c>
      <c r="D2638">
        <v>4.4612020000000001</v>
      </c>
      <c r="E2638">
        <v>0.3885846</v>
      </c>
      <c r="F2638" t="s">
        <v>49</v>
      </c>
      <c r="G2638">
        <v>-486.28</v>
      </c>
      <c r="H2638" s="1">
        <v>1.4454259999999901E-6</v>
      </c>
      <c r="I2638">
        <v>274.6397</v>
      </c>
      <c r="J2638">
        <v>-477.2996</v>
      </c>
      <c r="K2638">
        <v>1.1139250000000001</v>
      </c>
      <c r="L2638">
        <v>282.32549999999998</v>
      </c>
      <c r="M2638">
        <v>-0.92664449999999998</v>
      </c>
      <c r="N2638">
        <v>0</v>
      </c>
      <c r="O2638">
        <v>-0.37568659999999998</v>
      </c>
      <c r="P2638">
        <v>-0.91273289999999996</v>
      </c>
      <c r="Q2638">
        <v>-1.942089E-2</v>
      </c>
      <c r="R2638">
        <v>-0.40809489999999998</v>
      </c>
      <c r="S2638">
        <v>-2.3828130000000001</v>
      </c>
      <c r="T2638">
        <v>-0.290846299999999</v>
      </c>
      <c r="U2638">
        <v>-2.0243229999999999</v>
      </c>
      <c r="V2638">
        <v>-3.5213500000000002E-2</v>
      </c>
      <c r="W2638">
        <v>-5.9347660000000002E-3</v>
      </c>
      <c r="X2638">
        <v>0.99936219999999998</v>
      </c>
      <c r="Y2638">
        <v>-0.3138592</v>
      </c>
      <c r="Z2638">
        <v>2.1020250000000001E-2</v>
      </c>
      <c r="AA2638">
        <v>0.94923690000000005</v>
      </c>
      <c r="AB2638">
        <v>17</v>
      </c>
      <c r="AC2638">
        <v>-8.9803999999999693</v>
      </c>
      <c r="AD2638">
        <v>-1.1139235545740001</v>
      </c>
      <c r="AE2638">
        <v>-7.6857999999999702</v>
      </c>
      <c r="AF2638">
        <v>-3.7155463951854601</v>
      </c>
      <c r="AG2638">
        <v>-1.1139235545740001</v>
      </c>
      <c r="AH2638">
        <v>11.111473397086</v>
      </c>
      <c r="AI2638">
        <v>95.431084108732094</v>
      </c>
      <c r="AJ2638">
        <v>108.489330806043</v>
      </c>
      <c r="AK2638">
        <v>11.7690675821987</v>
      </c>
      <c r="AL2638">
        <v>90.340039037129301</v>
      </c>
      <c r="AM2638">
        <v>92.018037664229098</v>
      </c>
      <c r="AN2638">
        <v>1.00000000940928</v>
      </c>
    </row>
    <row r="2639" spans="1:40" x14ac:dyDescent="0.25">
      <c r="A2639" t="str">
        <f>"20190312154308102"</f>
        <v>20190312154308102</v>
      </c>
      <c r="B2639" t="str">
        <f>"1552376588100559"</f>
        <v>1552376588100559</v>
      </c>
      <c r="C2639" t="s">
        <v>40</v>
      </c>
      <c r="D2639">
        <v>4.4686260000000004</v>
      </c>
      <c r="E2639">
        <v>0.3900573</v>
      </c>
      <c r="F2639" t="s">
        <v>49</v>
      </c>
      <c r="G2639">
        <v>-486.25920000000002</v>
      </c>
      <c r="H2639" s="1">
        <v>1.434977E-6</v>
      </c>
      <c r="I2639">
        <v>274.6037</v>
      </c>
      <c r="J2639">
        <v>-477.44529999999997</v>
      </c>
      <c r="K2639">
        <v>1.1139049999999999</v>
      </c>
      <c r="L2639">
        <v>282.2568</v>
      </c>
      <c r="M2639">
        <v>-0.92379960000000005</v>
      </c>
      <c r="N2639">
        <v>0</v>
      </c>
      <c r="O2639">
        <v>-0.38262859999999999</v>
      </c>
      <c r="P2639">
        <v>-0.91006089999999995</v>
      </c>
      <c r="Q2639">
        <v>-1.9343530000000001E-2</v>
      </c>
      <c r="R2639">
        <v>-0.41402339999999999</v>
      </c>
      <c r="S2639">
        <v>-2.368042</v>
      </c>
      <c r="T2639">
        <v>-0.2944119</v>
      </c>
      <c r="U2639">
        <v>-2.0408940000000002</v>
      </c>
      <c r="V2639">
        <v>-3.4216120000000003E-2</v>
      </c>
      <c r="W2639">
        <v>-5.8513819999999996E-3</v>
      </c>
      <c r="X2639">
        <v>0.99939730000000004</v>
      </c>
      <c r="Y2639">
        <v>-0.3135057</v>
      </c>
      <c r="Z2639">
        <v>2.1991190000000001E-2</v>
      </c>
      <c r="AA2639">
        <v>0.94933160000000005</v>
      </c>
      <c r="AB2639">
        <v>16</v>
      </c>
      <c r="AC2639">
        <v>-8.8139000000000394</v>
      </c>
      <c r="AD2639">
        <v>-1.113903565023</v>
      </c>
      <c r="AE2639">
        <v>-7.6530999999999896</v>
      </c>
      <c r="AF2639">
        <v>-3.6644613705506801</v>
      </c>
      <c r="AG2639">
        <v>-1.113903565023</v>
      </c>
      <c r="AH2639">
        <v>10.9717101374032</v>
      </c>
      <c r="AI2639">
        <v>95.500399880647706</v>
      </c>
      <c r="AJ2639">
        <v>108.468897455038</v>
      </c>
      <c r="AK2639">
        <v>11.6209931429128</v>
      </c>
      <c r="AL2639">
        <v>90.335261415343794</v>
      </c>
      <c r="AM2639">
        <v>91.960855633464007</v>
      </c>
      <c r="AN2639">
        <v>0.99999997239322602</v>
      </c>
    </row>
    <row r="2640" spans="1:40" x14ac:dyDescent="0.25">
      <c r="A2640" t="str">
        <f>"20190312154308124"</f>
        <v>20190312154308124</v>
      </c>
      <c r="B2640" t="str">
        <f>"1552376588120079"</f>
        <v>1552376588120079</v>
      </c>
      <c r="C2640" t="s">
        <v>40</v>
      </c>
      <c r="D2640">
        <v>4.3250310000000001</v>
      </c>
      <c r="E2640">
        <v>0.39121899999999998</v>
      </c>
      <c r="F2640" t="s">
        <v>49</v>
      </c>
      <c r="G2640">
        <v>-486.3134</v>
      </c>
      <c r="H2640" s="1">
        <v>1.4279459999999999E-6</v>
      </c>
      <c r="I2640">
        <v>274.5702</v>
      </c>
      <c r="J2640">
        <v>-477.59350000000001</v>
      </c>
      <c r="K2640">
        <v>1.11389</v>
      </c>
      <c r="L2640">
        <v>282.18549999999999</v>
      </c>
      <c r="M2640">
        <v>-0.92084180000000004</v>
      </c>
      <c r="N2640">
        <v>0</v>
      </c>
      <c r="O2640">
        <v>-0.38969280000000001</v>
      </c>
      <c r="P2640">
        <v>-0.90745849999999995</v>
      </c>
      <c r="Q2640">
        <v>-2.044673E-2</v>
      </c>
      <c r="R2640">
        <v>-0.41964410000000002</v>
      </c>
      <c r="S2640">
        <v>-2.3597109999999999</v>
      </c>
      <c r="T2640">
        <v>-0.29639720000000003</v>
      </c>
      <c r="U2640">
        <v>-2.0453190000000001</v>
      </c>
      <c r="V2640">
        <v>-3.2743790000000002E-2</v>
      </c>
      <c r="W2640">
        <v>-6.9450559999999998E-3</v>
      </c>
      <c r="X2640">
        <v>0.99943970000000004</v>
      </c>
      <c r="Y2640">
        <v>-0.30894929999999998</v>
      </c>
      <c r="Z2640">
        <v>2.3090610000000001E-2</v>
      </c>
      <c r="AA2640">
        <v>0.95079820000000004</v>
      </c>
      <c r="AB2640">
        <v>16</v>
      </c>
      <c r="AC2640">
        <v>-8.7198999999999902</v>
      </c>
      <c r="AD2640">
        <v>-1.1138885720539999</v>
      </c>
      <c r="AE2640">
        <v>-7.6152999999999897</v>
      </c>
      <c r="AF2640">
        <v>-3.5815917640053301</v>
      </c>
      <c r="AG2640">
        <v>-1.1138885720539999</v>
      </c>
      <c r="AH2640">
        <v>10.897439718771301</v>
      </c>
      <c r="AI2640">
        <v>95.546341969147704</v>
      </c>
      <c r="AJ2640">
        <v>108.193811998445</v>
      </c>
      <c r="AK2640">
        <v>11.5248748253158</v>
      </c>
      <c r="AL2640">
        <v>90.397925575638993</v>
      </c>
      <c r="AM2640">
        <v>91.876461549959501</v>
      </c>
      <c r="AN2640">
        <v>1.00000005176124</v>
      </c>
    </row>
    <row r="2641" spans="1:40" x14ac:dyDescent="0.25">
      <c r="A2641" t="str">
        <f>"20190312154308147"</f>
        <v>20190312154308147</v>
      </c>
      <c r="B2641" t="str">
        <f>"1552376588140575"</f>
        <v>1552376588140575</v>
      </c>
      <c r="C2641" t="s">
        <v>40</v>
      </c>
      <c r="D2641">
        <v>4.4028070000000001</v>
      </c>
      <c r="E2641">
        <v>0.39227980000000001</v>
      </c>
      <c r="F2641" t="s">
        <v>49</v>
      </c>
      <c r="G2641">
        <v>-486.38900000000001</v>
      </c>
      <c r="H2641" s="1">
        <v>1.413088E-6</v>
      </c>
      <c r="I2641">
        <v>274.50920000000002</v>
      </c>
      <c r="J2641">
        <v>-477.73430000000002</v>
      </c>
      <c r="K2641">
        <v>1.1138699999999999</v>
      </c>
      <c r="L2641">
        <v>282.1164</v>
      </c>
      <c r="M2641">
        <v>-0.91797479999999998</v>
      </c>
      <c r="N2641">
        <v>0</v>
      </c>
      <c r="O2641">
        <v>-0.39639950000000002</v>
      </c>
      <c r="P2641">
        <v>-0.90477750000000001</v>
      </c>
      <c r="Q2641">
        <v>-2.184589E-2</v>
      </c>
      <c r="R2641">
        <v>-0.42532399999999998</v>
      </c>
      <c r="S2641">
        <v>-2.3505250000000002</v>
      </c>
      <c r="T2641">
        <v>-0.29767700000000002</v>
      </c>
      <c r="U2641">
        <v>-2.0514220000000001</v>
      </c>
      <c r="V2641">
        <v>-3.1720239999999997E-2</v>
      </c>
      <c r="W2641">
        <v>-8.3387659999999992E-3</v>
      </c>
      <c r="X2641">
        <v>0.99946199999999996</v>
      </c>
      <c r="Y2641">
        <v>-0.30529099999999998</v>
      </c>
      <c r="Z2641">
        <v>2.406463E-2</v>
      </c>
      <c r="AA2641">
        <v>0.951955</v>
      </c>
      <c r="AB2641">
        <v>16</v>
      </c>
      <c r="AC2641">
        <v>-8.6546999999999894</v>
      </c>
      <c r="AD2641">
        <v>-1.113868586912</v>
      </c>
      <c r="AE2641">
        <v>-7.6071999999999704</v>
      </c>
      <c r="AF2641">
        <v>-3.5199439603587099</v>
      </c>
      <c r="AG2641">
        <v>-1.113868586912</v>
      </c>
      <c r="AH2641">
        <v>10.8598464526857</v>
      </c>
      <c r="AI2641">
        <v>95.572731251585495</v>
      </c>
      <c r="AJ2641">
        <v>107.958787630934</v>
      </c>
      <c r="AK2641">
        <v>11.470264761063101</v>
      </c>
      <c r="AL2641">
        <v>90.477781635805499</v>
      </c>
      <c r="AM2641">
        <v>91.817804015796497</v>
      </c>
      <c r="AN2641">
        <v>0.99999999904403003</v>
      </c>
    </row>
    <row r="2642" spans="1:40" x14ac:dyDescent="0.25">
      <c r="A2642" t="str">
        <f>"20190312154308169"</f>
        <v>20190312154308169</v>
      </c>
      <c r="B2642" t="str">
        <f>"1552376588160097"</f>
        <v>1552376588160097</v>
      </c>
      <c r="C2642" t="s">
        <v>40</v>
      </c>
      <c r="D2642">
        <v>4.408156</v>
      </c>
      <c r="E2642">
        <v>0.39328020000000002</v>
      </c>
      <c r="F2642" t="s">
        <v>49</v>
      </c>
      <c r="G2642">
        <v>-486.40859999999998</v>
      </c>
      <c r="H2642" s="1">
        <v>1.407764E-6</v>
      </c>
      <c r="I2642">
        <v>274.48919999999998</v>
      </c>
      <c r="J2642">
        <v>-477.87990000000002</v>
      </c>
      <c r="K2642">
        <v>1.1138459999999999</v>
      </c>
      <c r="L2642">
        <v>282.04379999999998</v>
      </c>
      <c r="M2642">
        <v>-0.91495570000000004</v>
      </c>
      <c r="N2642">
        <v>0</v>
      </c>
      <c r="O2642">
        <v>-0.40331919999999999</v>
      </c>
      <c r="P2642">
        <v>-0.90168130000000002</v>
      </c>
      <c r="Q2642">
        <v>-2.305403E-2</v>
      </c>
      <c r="R2642">
        <v>-0.43178640000000001</v>
      </c>
      <c r="S2642">
        <v>-2.340881</v>
      </c>
      <c r="T2642">
        <v>-0.300593</v>
      </c>
      <c r="U2642">
        <v>-2.058319</v>
      </c>
      <c r="V2642">
        <v>-3.1327670000000002E-2</v>
      </c>
      <c r="W2642">
        <v>-9.5470820000000001E-3</v>
      </c>
      <c r="X2642">
        <v>0.99946360000000001</v>
      </c>
      <c r="Y2642">
        <v>-0.30166979999999999</v>
      </c>
      <c r="Z2642">
        <v>2.5201930000000001E-2</v>
      </c>
      <c r="AA2642">
        <v>0.95307929999999996</v>
      </c>
      <c r="AB2642">
        <v>16</v>
      </c>
      <c r="AC2642">
        <v>-8.5286999999999509</v>
      </c>
      <c r="AD2642">
        <v>-1.1138445922360001</v>
      </c>
      <c r="AE2642">
        <v>-7.55459999999999</v>
      </c>
      <c r="AF2642">
        <v>-3.4397898837623999</v>
      </c>
      <c r="AG2642">
        <v>-1.1138445922360001</v>
      </c>
      <c r="AH2642">
        <v>10.748598744873799</v>
      </c>
      <c r="AI2642">
        <v>95.636620002417303</v>
      </c>
      <c r="AJ2642">
        <v>107.74582382067901</v>
      </c>
      <c r="AK2642">
        <v>11.340422355379401</v>
      </c>
      <c r="AL2642">
        <v>90.547015799565898</v>
      </c>
      <c r="AM2642">
        <v>91.795318798319698</v>
      </c>
      <c r="AN2642">
        <v>1.0000000287036499</v>
      </c>
    </row>
    <row r="2643" spans="1:40" x14ac:dyDescent="0.25">
      <c r="A2643" t="str">
        <f>"20190312154308180"</f>
        <v>20190312154308180</v>
      </c>
      <c r="B2643" t="str">
        <f>"1552376588169856"</f>
        <v>1552376588169856</v>
      </c>
      <c r="C2643" t="s">
        <v>40</v>
      </c>
      <c r="D2643">
        <v>4.3875159999999997</v>
      </c>
      <c r="E2643">
        <v>0.39371279999999997</v>
      </c>
      <c r="F2643" t="s">
        <v>49</v>
      </c>
      <c r="G2643">
        <v>-486.46719999999999</v>
      </c>
      <c r="H2643" s="1">
        <v>1.389661E-6</v>
      </c>
      <c r="I2643">
        <v>274.42329999999998</v>
      </c>
      <c r="J2643">
        <v>-477.95010000000002</v>
      </c>
      <c r="K2643">
        <v>1.1138300000000001</v>
      </c>
      <c r="L2643">
        <v>282.00810000000001</v>
      </c>
      <c r="M2643">
        <v>-0.91347909999999999</v>
      </c>
      <c r="N2643">
        <v>0</v>
      </c>
      <c r="O2643">
        <v>-0.4066533</v>
      </c>
      <c r="P2643">
        <v>-0.90006189999999997</v>
      </c>
      <c r="Q2643">
        <v>-2.2962759999999999E-2</v>
      </c>
      <c r="R2643">
        <v>-0.43515730000000002</v>
      </c>
      <c r="S2643">
        <v>-2.3294679999999999</v>
      </c>
      <c r="T2643">
        <v>-0.30215160000000002</v>
      </c>
      <c r="U2643">
        <v>-2.0672000000000001</v>
      </c>
      <c r="V2643">
        <v>-3.1423010000000001E-2</v>
      </c>
      <c r="W2643">
        <v>-9.4583749999999998E-3</v>
      </c>
      <c r="X2643">
        <v>0.99946140000000006</v>
      </c>
      <c r="Y2643">
        <v>-0.30255379999999998</v>
      </c>
      <c r="Z2643">
        <v>2.5656040000000001E-2</v>
      </c>
      <c r="AA2643">
        <v>0.95278689999999999</v>
      </c>
      <c r="AB2643">
        <v>16</v>
      </c>
      <c r="AC2643">
        <v>-8.5170999999999708</v>
      </c>
      <c r="AD2643">
        <v>-1.1138286103389901</v>
      </c>
      <c r="AE2643">
        <v>-7.5848000000000297</v>
      </c>
      <c r="AF2643">
        <v>-3.4326363858797899</v>
      </c>
      <c r="AG2643">
        <v>-1.1138286103389901</v>
      </c>
      <c r="AH2643">
        <v>10.7629464126926</v>
      </c>
      <c r="AI2643">
        <v>95.630843629585399</v>
      </c>
      <c r="AJ2643">
        <v>107.68909030285</v>
      </c>
      <c r="AK2643">
        <v>11.351855452452201</v>
      </c>
      <c r="AL2643">
        <v>90.541933060842098</v>
      </c>
      <c r="AM2643">
        <v>91.800782890084605</v>
      </c>
      <c r="AN2643">
        <v>0.99999997825252995</v>
      </c>
    </row>
    <row r="2644" spans="1:40" x14ac:dyDescent="0.25">
      <c r="A2644" t="str">
        <f>"20190312154308192"</f>
        <v>20190312154308192</v>
      </c>
      <c r="B2644" t="str">
        <f>"1552376588180593"</f>
        <v>1552376588180593</v>
      </c>
      <c r="C2644" t="s">
        <v>40</v>
      </c>
      <c r="D2644">
        <v>4.4169660000000004</v>
      </c>
      <c r="E2644">
        <v>0.3942406</v>
      </c>
      <c r="F2644" t="s">
        <v>49</v>
      </c>
      <c r="G2644">
        <v>-486.53250000000003</v>
      </c>
      <c r="H2644" s="1">
        <v>1.36996E-6</v>
      </c>
      <c r="I2644">
        <v>274.35120000000001</v>
      </c>
      <c r="J2644">
        <v>-478.02100000000002</v>
      </c>
      <c r="K2644">
        <v>1.1138189999999999</v>
      </c>
      <c r="L2644">
        <v>281.97190000000001</v>
      </c>
      <c r="M2644">
        <v>-0.91197660000000003</v>
      </c>
      <c r="N2644">
        <v>0</v>
      </c>
      <c r="O2644">
        <v>-0.41001130000000002</v>
      </c>
      <c r="P2644">
        <v>-0.89846680000000001</v>
      </c>
      <c r="Q2644">
        <v>-2.3176539999999999E-2</v>
      </c>
      <c r="R2644">
        <v>-0.43842930000000002</v>
      </c>
      <c r="S2644">
        <v>-2.3233030000000001</v>
      </c>
      <c r="T2644">
        <v>-0.30152180000000001</v>
      </c>
      <c r="U2644">
        <v>-2.072784</v>
      </c>
      <c r="V2644">
        <v>-3.1382920000000002E-2</v>
      </c>
      <c r="W2644">
        <v>-9.6737300000000002E-3</v>
      </c>
      <c r="X2644">
        <v>0.99946060000000003</v>
      </c>
      <c r="Y2644">
        <v>-0.30159269999999999</v>
      </c>
      <c r="Z2644">
        <v>2.6002239999999999E-2</v>
      </c>
      <c r="AA2644">
        <v>0.95308219999999999</v>
      </c>
      <c r="AB2644">
        <v>16</v>
      </c>
      <c r="AC2644">
        <v>-8.5115000000000691</v>
      </c>
      <c r="AD2644">
        <v>-1.11381763004</v>
      </c>
      <c r="AE2644">
        <v>-7.6206999999999896</v>
      </c>
      <c r="AF2644">
        <v>-3.4278353145493599</v>
      </c>
      <c r="AG2644">
        <v>-1.11381763004</v>
      </c>
      <c r="AH2644">
        <v>10.7853789206816</v>
      </c>
      <c r="AI2644">
        <v>95.620941370322697</v>
      </c>
      <c r="AJ2644">
        <v>107.631423764636</v>
      </c>
      <c r="AK2644">
        <v>11.371677234222799</v>
      </c>
      <c r="AL2644">
        <v>90.554272557456301</v>
      </c>
      <c r="AM2644">
        <v>91.798488369672697</v>
      </c>
      <c r="AN2644">
        <v>0.99999997983609901</v>
      </c>
    </row>
    <row r="2645" spans="1:40" x14ac:dyDescent="0.25">
      <c r="A2645" t="str">
        <f>"20190312154308203"</f>
        <v>20190312154308203</v>
      </c>
      <c r="B2645" t="str">
        <f>"1552376588200112"</f>
        <v>1552376588200112</v>
      </c>
      <c r="C2645" t="s">
        <v>40</v>
      </c>
      <c r="D2645">
        <v>4.3729519999999997</v>
      </c>
      <c r="E2645">
        <v>0.39504410000000001</v>
      </c>
      <c r="F2645" t="s">
        <v>49</v>
      </c>
      <c r="G2645">
        <v>-486.59530000000001</v>
      </c>
      <c r="H2645" s="1">
        <v>1.35247E-6</v>
      </c>
      <c r="I2645">
        <v>274.28590000000003</v>
      </c>
      <c r="J2645">
        <v>-478.09589999999997</v>
      </c>
      <c r="K2645">
        <v>1.1138060000000001</v>
      </c>
      <c r="L2645">
        <v>281.93329999999997</v>
      </c>
      <c r="M2645">
        <v>-0.91037199999999996</v>
      </c>
      <c r="N2645">
        <v>0</v>
      </c>
      <c r="O2645">
        <v>-0.41356219999999999</v>
      </c>
      <c r="P2645">
        <v>-0.89651919999999996</v>
      </c>
      <c r="Q2645">
        <v>-2.282141E-2</v>
      </c>
      <c r="R2645">
        <v>-0.44241710000000001</v>
      </c>
      <c r="S2645">
        <v>-2.3175349999999999</v>
      </c>
      <c r="T2645">
        <v>-0.30105009999999999</v>
      </c>
      <c r="U2645">
        <v>-2.077423</v>
      </c>
      <c r="V2645">
        <v>-3.192822E-2</v>
      </c>
      <c r="W2645">
        <v>-9.3251649999999998E-3</v>
      </c>
      <c r="X2645">
        <v>0.99944670000000002</v>
      </c>
      <c r="Y2645">
        <v>-0.30013109999999998</v>
      </c>
      <c r="Z2645">
        <v>2.6406929999999999E-2</v>
      </c>
      <c r="AA2645">
        <v>0.95353239999999995</v>
      </c>
      <c r="AB2645">
        <v>16</v>
      </c>
      <c r="AC2645">
        <v>-8.4994000000000298</v>
      </c>
      <c r="AD2645">
        <v>-1.1138046475300001</v>
      </c>
      <c r="AE2645">
        <v>-7.6473999999999398</v>
      </c>
      <c r="AF2645">
        <v>-3.4148670808146</v>
      </c>
      <c r="AG2645">
        <v>-1.1138046475300001</v>
      </c>
      <c r="AH2645">
        <v>10.798840936567601</v>
      </c>
      <c r="AI2645">
        <v>95.616480896027099</v>
      </c>
      <c r="AJ2645">
        <v>107.54827393145</v>
      </c>
      <c r="AK2645">
        <v>11.380546715592301</v>
      </c>
      <c r="AL2645">
        <v>90.5343003213071</v>
      </c>
      <c r="AM2645">
        <v>91.829742721588502</v>
      </c>
      <c r="AN2645">
        <v>1.0000000380377601</v>
      </c>
    </row>
    <row r="2646" spans="1:40" x14ac:dyDescent="0.25">
      <c r="A2646" t="str">
        <f>"20190312154308216"</f>
        <v>20190312154308216</v>
      </c>
      <c r="B2646" t="str">
        <f>"1552376588209872"</f>
        <v>1552376588209872</v>
      </c>
      <c r="C2646" t="s">
        <v>40</v>
      </c>
      <c r="D2646">
        <v>4.4135059999999999</v>
      </c>
      <c r="E2646">
        <v>0.39504410000000001</v>
      </c>
      <c r="F2646" t="s">
        <v>49</v>
      </c>
      <c r="G2646">
        <v>-486.70260000000002</v>
      </c>
      <c r="H2646" s="1">
        <v>1.325384E-6</v>
      </c>
      <c r="I2646">
        <v>274.18239999999997</v>
      </c>
      <c r="J2646">
        <v>-478.17469999999997</v>
      </c>
      <c r="K2646">
        <v>1.113796</v>
      </c>
      <c r="L2646">
        <v>281.8922</v>
      </c>
      <c r="M2646">
        <v>-0.90867209999999998</v>
      </c>
      <c r="N2646">
        <v>0</v>
      </c>
      <c r="O2646">
        <v>-0.41728419999999999</v>
      </c>
      <c r="P2646">
        <v>-0.89443899999999998</v>
      </c>
      <c r="Q2646">
        <v>-2.2467310000000001E-2</v>
      </c>
      <c r="R2646">
        <v>-0.44662560000000001</v>
      </c>
      <c r="S2646">
        <v>-2.3114319999999999</v>
      </c>
      <c r="T2646">
        <v>-0.2991279</v>
      </c>
      <c r="U2646">
        <v>-2.081604</v>
      </c>
      <c r="V2646">
        <v>-3.2534529999999999E-2</v>
      </c>
      <c r="W2646">
        <v>-8.9782719999999903E-3</v>
      </c>
      <c r="X2646">
        <v>0.99943029999999999</v>
      </c>
      <c r="Y2646">
        <v>-0.29844609999999999</v>
      </c>
      <c r="Z2646">
        <v>2.6714430000000001E-2</v>
      </c>
      <c r="AA2646">
        <v>0.95405249999999997</v>
      </c>
      <c r="AB2646">
        <v>16</v>
      </c>
      <c r="AC2646">
        <v>-8.5279000000000398</v>
      </c>
      <c r="AD2646">
        <v>-1.1137946746159999</v>
      </c>
      <c r="AE2646">
        <v>-7.7098000000000297</v>
      </c>
      <c r="AF2646">
        <v>-3.4153903063609801</v>
      </c>
      <c r="AG2646">
        <v>-1.1137946746159999</v>
      </c>
      <c r="AH2646">
        <v>10.8652945710356</v>
      </c>
      <c r="AI2646">
        <v>95.585298535076205</v>
      </c>
      <c r="AJ2646">
        <v>107.449988452499</v>
      </c>
      <c r="AK2646">
        <v>11.4437780316364</v>
      </c>
      <c r="AL2646">
        <v>90.514423996705005</v>
      </c>
      <c r="AM2646">
        <v>91.864495417967504</v>
      </c>
      <c r="AN2646">
        <v>1.00000001478425</v>
      </c>
    </row>
    <row r="2647" spans="1:40" x14ac:dyDescent="0.25">
      <c r="A2647" t="str">
        <f>"20190312154308229"</f>
        <v>20190312154308229</v>
      </c>
      <c r="B2647" t="str">
        <f>"1552376588220608"</f>
        <v>1552376588220608</v>
      </c>
      <c r="C2647" t="s">
        <v>40</v>
      </c>
      <c r="D2647">
        <v>4.3596199999999996</v>
      </c>
      <c r="E2647">
        <v>0.40375319999999998</v>
      </c>
      <c r="F2647" t="s">
        <v>49</v>
      </c>
      <c r="G2647">
        <v>-486.77969999999999</v>
      </c>
      <c r="H2647" s="1">
        <v>1.2919709999999999E-6</v>
      </c>
      <c r="I2647">
        <v>274.06849999999997</v>
      </c>
      <c r="J2647">
        <v>-478.2552</v>
      </c>
      <c r="K2647">
        <v>1.113783</v>
      </c>
      <c r="L2647">
        <v>281.85000000000002</v>
      </c>
      <c r="M2647">
        <v>-0.906918</v>
      </c>
      <c r="N2647">
        <v>0</v>
      </c>
      <c r="O2647">
        <v>-0.42108269999999998</v>
      </c>
      <c r="P2647">
        <v>-0.89228719999999995</v>
      </c>
      <c r="Q2647">
        <v>-2.1829899999999999E-2</v>
      </c>
      <c r="R2647">
        <v>-0.45094050000000002</v>
      </c>
      <c r="S2647">
        <v>-2.3016359999999998</v>
      </c>
      <c r="T2647">
        <v>-0.29791200000000001</v>
      </c>
      <c r="U2647">
        <v>-2.092651</v>
      </c>
      <c r="V2647">
        <v>-3.3178529999999998E-2</v>
      </c>
      <c r="W2647">
        <v>-8.3483029999999996E-3</v>
      </c>
      <c r="X2647">
        <v>0.99941460000000004</v>
      </c>
      <c r="Y2647">
        <v>-0.29898960000000002</v>
      </c>
      <c r="Z2647">
        <v>2.696811E-2</v>
      </c>
      <c r="AA2647">
        <v>0.95387520000000003</v>
      </c>
      <c r="AB2647">
        <v>16</v>
      </c>
      <c r="AC2647">
        <v>-8.5244999999999802</v>
      </c>
      <c r="AD2647">
        <v>-1.113781708029</v>
      </c>
      <c r="AE2647">
        <v>-7.78150000000005</v>
      </c>
      <c r="AF2647">
        <v>-3.43599549003252</v>
      </c>
      <c r="AG2647">
        <v>-1.113781708029</v>
      </c>
      <c r="AH2647">
        <v>10.907153020122699</v>
      </c>
      <c r="AI2647">
        <v>95.562853345315403</v>
      </c>
      <c r="AJ2647">
        <v>107.485585180454</v>
      </c>
      <c r="AK2647">
        <v>11.4896719581124</v>
      </c>
      <c r="AL2647">
        <v>90.478328071851394</v>
      </c>
      <c r="AM2647">
        <v>91.9014049200089</v>
      </c>
      <c r="AN2647">
        <v>1.0000000258545501</v>
      </c>
    </row>
    <row r="2648" spans="1:40" x14ac:dyDescent="0.25">
      <c r="A2648" t="str">
        <f>"20190312154308243"</f>
        <v>20190312154308243</v>
      </c>
      <c r="B2648" t="str">
        <f>"1552376588230369"</f>
        <v>1552376588230369</v>
      </c>
      <c r="C2648" t="s">
        <v>40</v>
      </c>
      <c r="D2648">
        <v>4.3734710000000003</v>
      </c>
      <c r="E2648">
        <v>0.4041825</v>
      </c>
      <c r="F2648" t="s">
        <v>49</v>
      </c>
      <c r="G2648">
        <v>-487.32859999999999</v>
      </c>
      <c r="H2648" s="1">
        <v>1.273227E-6</v>
      </c>
      <c r="I2648">
        <v>273.87779999999998</v>
      </c>
      <c r="J2648">
        <v>-478.34160000000003</v>
      </c>
      <c r="K2648">
        <v>1.1137699999999999</v>
      </c>
      <c r="L2648">
        <v>281.80410000000001</v>
      </c>
      <c r="M2648">
        <v>-0.90501759999999998</v>
      </c>
      <c r="N2648">
        <v>0</v>
      </c>
      <c r="O2648">
        <v>-0.42515239999999999</v>
      </c>
      <c r="P2648">
        <v>-0.8900439</v>
      </c>
      <c r="Q2648">
        <v>-2.1356739999999999E-2</v>
      </c>
      <c r="R2648">
        <v>-0.45537490000000003</v>
      </c>
      <c r="S2648">
        <v>-2.3234249999999999</v>
      </c>
      <c r="T2648">
        <v>-0.28520889999999999</v>
      </c>
      <c r="U2648">
        <v>-2.0414729999999999</v>
      </c>
      <c r="V2648">
        <v>-3.366094E-2</v>
      </c>
      <c r="W2648">
        <v>-7.8816890000000007E-3</v>
      </c>
      <c r="X2648">
        <v>0.99940220000000002</v>
      </c>
      <c r="Y2648">
        <v>-0.27849030000000002</v>
      </c>
      <c r="Z2648">
        <v>2.7283769999999999E-2</v>
      </c>
      <c r="AA2648">
        <v>0.9600514</v>
      </c>
      <c r="AB2648">
        <v>16</v>
      </c>
      <c r="AC2648">
        <v>-8.9869999999999592</v>
      </c>
      <c r="AD2648">
        <v>-1.1137687267730001</v>
      </c>
      <c r="AE2648">
        <v>-7.9263000000000199</v>
      </c>
      <c r="AF2648">
        <v>-3.3241951474836302</v>
      </c>
      <c r="AG2648">
        <v>-1.1137687267730001</v>
      </c>
      <c r="AH2648">
        <v>11.4058295876473</v>
      </c>
      <c r="AI2648">
        <v>95.355748161611103</v>
      </c>
      <c r="AJ2648">
        <v>106.248606326494</v>
      </c>
      <c r="AK2648">
        <v>11.932464235762099</v>
      </c>
      <c r="AL2648">
        <v>90.451592204943196</v>
      </c>
      <c r="AM2648">
        <v>91.929054192309806</v>
      </c>
      <c r="AN2648">
        <v>0.99999996863400697</v>
      </c>
    </row>
    <row r="2649" spans="1:40" x14ac:dyDescent="0.25">
      <c r="A2649" t="str">
        <f>"20190312154308255"</f>
        <v>20190312154308255</v>
      </c>
      <c r="B2649" t="str">
        <f>"1552376588249888"</f>
        <v>1552376588249888</v>
      </c>
      <c r="C2649" t="s">
        <v>40</v>
      </c>
      <c r="D2649">
        <v>4.3761400000000004</v>
      </c>
      <c r="E2649">
        <v>0.40459319999999999</v>
      </c>
      <c r="F2649" t="s">
        <v>49</v>
      </c>
      <c r="G2649">
        <v>-487.32870000000003</v>
      </c>
      <c r="H2649" s="1">
        <v>1.2616469999999999E-6</v>
      </c>
      <c r="I2649">
        <v>273.84500000000003</v>
      </c>
      <c r="J2649">
        <v>-478.42329999999998</v>
      </c>
      <c r="K2649">
        <v>1.113758</v>
      </c>
      <c r="L2649">
        <v>281.76029999999997</v>
      </c>
      <c r="M2649">
        <v>-0.90320339999999999</v>
      </c>
      <c r="N2649">
        <v>0</v>
      </c>
      <c r="O2649">
        <v>-0.4289927</v>
      </c>
      <c r="P2649">
        <v>-0.88781960000000004</v>
      </c>
      <c r="Q2649">
        <v>-2.099138E-2</v>
      </c>
      <c r="R2649">
        <v>-0.45971250000000002</v>
      </c>
      <c r="S2649">
        <v>-2.31488</v>
      </c>
      <c r="T2649">
        <v>-0.28688130000000001</v>
      </c>
      <c r="U2649">
        <v>-2.0500790000000002</v>
      </c>
      <c r="V2649">
        <v>-3.4292459999999997E-2</v>
      </c>
      <c r="W2649">
        <v>-7.5239979999999996E-3</v>
      </c>
      <c r="X2649">
        <v>0.99938349999999998</v>
      </c>
      <c r="Y2649">
        <v>-0.27818939999999998</v>
      </c>
      <c r="Z2649">
        <v>2.7841660000000001E-2</v>
      </c>
      <c r="AA2649">
        <v>0.96012260000000005</v>
      </c>
      <c r="AB2649">
        <v>16</v>
      </c>
      <c r="AC2649">
        <v>-8.9054000000000393</v>
      </c>
      <c r="AD2649">
        <v>-1.113756738353</v>
      </c>
      <c r="AE2649">
        <v>-7.9152999999999398</v>
      </c>
      <c r="AF2649">
        <v>-3.3002505509812101</v>
      </c>
      <c r="AG2649">
        <v>-1.113756738353</v>
      </c>
      <c r="AH2649">
        <v>11.3409745847112</v>
      </c>
      <c r="AI2649">
        <v>95.386777728691101</v>
      </c>
      <c r="AJ2649">
        <v>106.22512138618499</v>
      </c>
      <c r="AK2649">
        <v>11.8638026071974</v>
      </c>
      <c r="AL2649">
        <v>90.431097405855795</v>
      </c>
      <c r="AM2649">
        <v>91.965254211158495</v>
      </c>
      <c r="AN2649">
        <v>0.99999998171550197</v>
      </c>
    </row>
    <row r="2650" spans="1:40" x14ac:dyDescent="0.25">
      <c r="A2650" t="str">
        <f>"20190312154308271"</f>
        <v>20190312154308271</v>
      </c>
      <c r="B2650" t="str">
        <f>"1552376588260625"</f>
        <v>1552376588260625</v>
      </c>
      <c r="C2650" t="s">
        <v>40</v>
      </c>
      <c r="D2650">
        <v>4.3723700000000001</v>
      </c>
      <c r="E2650">
        <v>0.40497860000000002</v>
      </c>
      <c r="F2650" t="s">
        <v>49</v>
      </c>
      <c r="G2650">
        <v>-487.46420000000001</v>
      </c>
      <c r="H2650" s="1">
        <v>1.2189709999999999E-6</v>
      </c>
      <c r="I2650">
        <v>273.69029999999998</v>
      </c>
      <c r="J2650">
        <v>-478.52</v>
      </c>
      <c r="K2650">
        <v>1.113747</v>
      </c>
      <c r="L2650">
        <v>281.70780000000002</v>
      </c>
      <c r="M2650">
        <v>-0.9010319</v>
      </c>
      <c r="N2650">
        <v>0</v>
      </c>
      <c r="O2650">
        <v>-0.43353530000000001</v>
      </c>
      <c r="P2650">
        <v>-0.88526839999999996</v>
      </c>
      <c r="Q2650">
        <v>-1.9652619999999999E-2</v>
      </c>
      <c r="R2650">
        <v>-0.4646652</v>
      </c>
      <c r="S2650">
        <v>-2.3063349999999998</v>
      </c>
      <c r="T2650">
        <v>-0.28411969999999998</v>
      </c>
      <c r="U2650">
        <v>-2.0586549999999999</v>
      </c>
      <c r="V2650">
        <v>-3.4839839999999997E-2</v>
      </c>
      <c r="W2650">
        <v>-6.1924959999999996E-3</v>
      </c>
      <c r="X2650">
        <v>0.99937370000000003</v>
      </c>
      <c r="Y2650">
        <v>-0.27711560000000002</v>
      </c>
      <c r="Z2650">
        <v>2.8072630000000001E-2</v>
      </c>
      <c r="AA2650">
        <v>0.96042640000000001</v>
      </c>
      <c r="AB2650">
        <v>16</v>
      </c>
      <c r="AC2650">
        <v>-8.9442000000000199</v>
      </c>
      <c r="AD2650">
        <v>-1.1137457810289999</v>
      </c>
      <c r="AE2650">
        <v>-8.0175000000000392</v>
      </c>
      <c r="AF2650">
        <v>-3.3181846555375598</v>
      </c>
      <c r="AG2650">
        <v>-1.1137457810289999</v>
      </c>
      <c r="AH2650">
        <v>11.437632702969299</v>
      </c>
      <c r="AI2650">
        <v>95.342735152320401</v>
      </c>
      <c r="AJ2650">
        <v>106.178032670821</v>
      </c>
      <c r="AK2650">
        <v>11.961196466952501</v>
      </c>
      <c r="AL2650">
        <v>90.354806161314102</v>
      </c>
      <c r="AM2650">
        <v>91.996618187087606</v>
      </c>
      <c r="AN2650">
        <v>0.99999997685481201</v>
      </c>
    </row>
    <row r="2651" spans="1:40" x14ac:dyDescent="0.25">
      <c r="A2651" t="str">
        <f>"20190312154308283"</f>
        <v>20190312154308283</v>
      </c>
      <c r="B2651" t="str">
        <f>"1552376588270384"</f>
        <v>1552376588270384</v>
      </c>
      <c r="C2651" t="s">
        <v>40</v>
      </c>
      <c r="D2651">
        <v>4.5752389999999998</v>
      </c>
      <c r="E2651">
        <v>0.40497860000000002</v>
      </c>
      <c r="F2651" t="s">
        <v>49</v>
      </c>
      <c r="G2651">
        <v>-487.67500000000001</v>
      </c>
      <c r="H2651" s="1">
        <v>1.1564019999999999E-6</v>
      </c>
      <c r="I2651">
        <v>273.46039999999999</v>
      </c>
      <c r="J2651">
        <v>-478.59890000000001</v>
      </c>
      <c r="K2651">
        <v>1.1137440000000001</v>
      </c>
      <c r="L2651">
        <v>281.66449999999998</v>
      </c>
      <c r="M2651">
        <v>-0.89924130000000002</v>
      </c>
      <c r="N2651">
        <v>0</v>
      </c>
      <c r="O2651">
        <v>-0.4372374</v>
      </c>
      <c r="P2651">
        <v>-0.88314219999999899</v>
      </c>
      <c r="Q2651">
        <v>-1.900802E-2</v>
      </c>
      <c r="R2651">
        <v>-0.46872019999999998</v>
      </c>
      <c r="S2651">
        <v>-2.2966609999999998</v>
      </c>
      <c r="T2651">
        <v>-0.27940120000000002</v>
      </c>
      <c r="U2651">
        <v>-2.069</v>
      </c>
      <c r="V2651">
        <v>-3.5311740000000001E-2</v>
      </c>
      <c r="W2651">
        <v>-5.5541399999999999E-3</v>
      </c>
      <c r="X2651">
        <v>0.9993609</v>
      </c>
      <c r="Y2651">
        <v>-0.27755770000000002</v>
      </c>
      <c r="Z2651">
        <v>2.7948730000000001E-2</v>
      </c>
      <c r="AA2651">
        <v>0.9603024</v>
      </c>
      <c r="AB2651">
        <v>16</v>
      </c>
      <c r="AC2651">
        <v>-9.0760999999999896</v>
      </c>
      <c r="AD2651">
        <v>-1.1137428435979999</v>
      </c>
      <c r="AE2651">
        <v>-8.2040999999999809</v>
      </c>
      <c r="AF2651">
        <v>-3.3813552790583801</v>
      </c>
      <c r="AG2651">
        <v>-1.1137428435979999</v>
      </c>
      <c r="AH2651">
        <v>11.653280190553399</v>
      </c>
      <c r="AI2651">
        <v>95.244335994165596</v>
      </c>
      <c r="AJ2651">
        <v>106.180793939132</v>
      </c>
      <c r="AK2651">
        <v>12.184946690257901</v>
      </c>
      <c r="AL2651">
        <v>90.318230420827106</v>
      </c>
      <c r="AM2651">
        <v>92.023665620403406</v>
      </c>
      <c r="AN2651">
        <v>0.99999998795088796</v>
      </c>
    </row>
    <row r="2652" spans="1:40" x14ac:dyDescent="0.25">
      <c r="A2652" t="str">
        <f>"20190312154308295"</f>
        <v>20190312154308295</v>
      </c>
      <c r="B2652" t="str">
        <f>"1552376588289905"</f>
        <v>1552376588289905</v>
      </c>
      <c r="C2652" t="s">
        <v>40</v>
      </c>
      <c r="D2652">
        <v>4.437468</v>
      </c>
      <c r="E2652">
        <v>0.40950449999999999</v>
      </c>
      <c r="F2652" t="s">
        <v>49</v>
      </c>
      <c r="G2652">
        <v>-487.78829999999999</v>
      </c>
      <c r="H2652" s="1">
        <v>1.1130960000000001E-6</v>
      </c>
      <c r="I2652">
        <v>273.30939999999998</v>
      </c>
      <c r="J2652">
        <v>-478.67430000000002</v>
      </c>
      <c r="K2652">
        <v>1.113739</v>
      </c>
      <c r="L2652">
        <v>281.62279999999998</v>
      </c>
      <c r="M2652">
        <v>-0.89751519999999996</v>
      </c>
      <c r="N2652">
        <v>0</v>
      </c>
      <c r="O2652">
        <v>-0.44076989999999999</v>
      </c>
      <c r="P2652">
        <v>-0.88138609999999995</v>
      </c>
      <c r="Q2652">
        <v>-1.8366E-2</v>
      </c>
      <c r="R2652">
        <v>-0.47204010000000002</v>
      </c>
      <c r="S2652">
        <v>-2.2872620000000001</v>
      </c>
      <c r="T2652">
        <v>-0.27721319999999999</v>
      </c>
      <c r="U2652">
        <v>-2.07959</v>
      </c>
      <c r="V2652">
        <v>-3.5141260000000001E-2</v>
      </c>
      <c r="W2652">
        <v>-4.9129940000000004E-3</v>
      </c>
      <c r="X2652">
        <v>0.99937030000000004</v>
      </c>
      <c r="Y2652">
        <v>-0.27818009999999999</v>
      </c>
      <c r="Z2652">
        <v>2.8040869999999999E-2</v>
      </c>
      <c r="AA2652">
        <v>0.96011950000000001</v>
      </c>
      <c r="AB2652">
        <v>16</v>
      </c>
      <c r="AC2652">
        <v>-9.1139999999999706</v>
      </c>
      <c r="AD2652">
        <v>-1.113737886904</v>
      </c>
      <c r="AE2652">
        <v>-8.3133999999999997</v>
      </c>
      <c r="AF2652">
        <v>-3.4167006161805999</v>
      </c>
      <c r="AG2652">
        <v>-1.113737886904</v>
      </c>
      <c r="AH2652">
        <v>11.7495937831878</v>
      </c>
      <c r="AI2652">
        <v>95.200688449027297</v>
      </c>
      <c r="AJ2652">
        <v>106.214065426845</v>
      </c>
      <c r="AK2652">
        <v>12.286871418357901</v>
      </c>
      <c r="AL2652">
        <v>90.2814949474743</v>
      </c>
      <c r="AM2652">
        <v>92.013884791431295</v>
      </c>
      <c r="AN2652">
        <v>1.00000002109326</v>
      </c>
    </row>
    <row r="2653" spans="1:40" x14ac:dyDescent="0.25">
      <c r="A2653" t="str">
        <f>"20190312154308308"</f>
        <v>20190312154308308</v>
      </c>
      <c r="B2653" t="str">
        <f>"1552376588299664"</f>
        <v>1552376588299664</v>
      </c>
      <c r="C2653" t="s">
        <v>40</v>
      </c>
      <c r="D2653">
        <v>4.3911509999999998</v>
      </c>
      <c r="E2653">
        <v>0.40950449999999999</v>
      </c>
      <c r="F2653" t="s">
        <v>49</v>
      </c>
      <c r="G2653">
        <v>-489.79669999999999</v>
      </c>
      <c r="H2653" s="1">
        <v>7.1295859999999995E-7</v>
      </c>
      <c r="I2653">
        <v>271.67360000000002</v>
      </c>
      <c r="J2653">
        <v>-478.75279999999998</v>
      </c>
      <c r="K2653">
        <v>1.113734</v>
      </c>
      <c r="L2653">
        <v>281.57900000000001</v>
      </c>
      <c r="M2653">
        <v>-0.8957003</v>
      </c>
      <c r="N2653">
        <v>0</v>
      </c>
      <c r="O2653">
        <v>-0.44444650000000002</v>
      </c>
      <c r="P2653">
        <v>-0.87949500000000003</v>
      </c>
      <c r="Q2653">
        <v>-1.7645560000000001E-2</v>
      </c>
      <c r="R2653">
        <v>-0.47558139999999999</v>
      </c>
      <c r="S2653">
        <v>-2.2980040000000002</v>
      </c>
      <c r="T2653">
        <v>-0.23011039999999999</v>
      </c>
      <c r="U2653">
        <v>-2.0556030000000001</v>
      </c>
      <c r="V2653">
        <v>-3.506227E-2</v>
      </c>
      <c r="W2653">
        <v>-4.1942569999999998E-3</v>
      </c>
      <c r="X2653">
        <v>0.99937640000000005</v>
      </c>
      <c r="Y2653">
        <v>-0.26632250000000002</v>
      </c>
      <c r="Z2653">
        <v>2.4066750000000001E-2</v>
      </c>
      <c r="AA2653">
        <v>0.96358350000000004</v>
      </c>
      <c r="AB2653">
        <v>16</v>
      </c>
      <c r="AC2653">
        <v>-11.043900000000001</v>
      </c>
      <c r="AD2653">
        <v>-1.1137332870413901</v>
      </c>
      <c r="AE2653">
        <v>-9.9053999999999807</v>
      </c>
      <c r="AF2653">
        <v>-3.94200305038733</v>
      </c>
      <c r="AG2653">
        <v>-1.1137332870413901</v>
      </c>
      <c r="AH2653">
        <v>14.215670963486801</v>
      </c>
      <c r="AI2653">
        <v>94.317443482604006</v>
      </c>
      <c r="AJ2653">
        <v>105.498684765622</v>
      </c>
      <c r="AK2653">
        <v>14.7940897261727</v>
      </c>
      <c r="AL2653">
        <v>90.240313911652606</v>
      </c>
      <c r="AM2653">
        <v>92.009349471468198</v>
      </c>
      <c r="AN2653">
        <v>1.0000000717231401</v>
      </c>
    </row>
    <row r="2654" spans="1:40" x14ac:dyDescent="0.25">
      <c r="A2654" t="str">
        <f>"20190312154308326"</f>
        <v>20190312154308326</v>
      </c>
      <c r="B2654" t="str">
        <f>"1552376588320160"</f>
        <v>1552376588320160</v>
      </c>
      <c r="C2654" t="s">
        <v>40</v>
      </c>
      <c r="D2654">
        <v>4.3594160000000004</v>
      </c>
      <c r="E2654">
        <v>0.41042109999999898</v>
      </c>
      <c r="F2654" t="s">
        <v>49</v>
      </c>
      <c r="G2654">
        <v>-489.94279999999998</v>
      </c>
      <c r="H2654" s="1">
        <v>6.5998870000000002E-7</v>
      </c>
      <c r="I2654">
        <v>271.4871</v>
      </c>
      <c r="J2654">
        <v>-478.86869999999999</v>
      </c>
      <c r="K2654">
        <v>1.113734</v>
      </c>
      <c r="L2654">
        <v>281.51350000000002</v>
      </c>
      <c r="M2654">
        <v>-0.89298729999999904</v>
      </c>
      <c r="N2654">
        <v>0</v>
      </c>
      <c r="O2654">
        <v>-0.44987250000000001</v>
      </c>
      <c r="P2654">
        <v>-0.87694450000000002</v>
      </c>
      <c r="Q2654">
        <v>-1.7520379999999999E-2</v>
      </c>
      <c r="R2654">
        <v>-0.48027219999999998</v>
      </c>
      <c r="S2654">
        <v>-2.2897639999999999</v>
      </c>
      <c r="T2654">
        <v>-0.2278994</v>
      </c>
      <c r="U2654">
        <v>-2.0650629999999999</v>
      </c>
      <c r="V2654">
        <v>-3.4336510000000001E-2</v>
      </c>
      <c r="W2654">
        <v>-4.0665730000000004E-3</v>
      </c>
      <c r="X2654">
        <v>0.99940200000000001</v>
      </c>
      <c r="Y2654">
        <v>-0.264403</v>
      </c>
      <c r="Z2654">
        <v>2.432898E-2</v>
      </c>
      <c r="AA2654">
        <v>0.9641054</v>
      </c>
      <c r="AB2654">
        <v>16</v>
      </c>
      <c r="AC2654">
        <v>-11.0740999999999</v>
      </c>
      <c r="AD2654">
        <v>-1.1137333400113001</v>
      </c>
      <c r="AE2654">
        <v>-10.026400000000001</v>
      </c>
      <c r="AF2654">
        <v>-3.9499343176143098</v>
      </c>
      <c r="AG2654">
        <v>-1.1137333400113001</v>
      </c>
      <c r="AH2654">
        <v>14.3213872893746</v>
      </c>
      <c r="AI2654">
        <v>94.287330906218799</v>
      </c>
      <c r="AJ2654">
        <v>105.419212286134</v>
      </c>
      <c r="AK2654">
        <v>14.897802420437101</v>
      </c>
      <c r="AL2654">
        <v>90.232998124919206</v>
      </c>
      <c r="AM2654">
        <v>91.967740276337494</v>
      </c>
      <c r="AN2654">
        <v>0.99999994526947</v>
      </c>
    </row>
    <row r="2655" spans="1:40" x14ac:dyDescent="0.25">
      <c r="A2655" t="str">
        <f>"20190312154308338"</f>
        <v>20190312154308338</v>
      </c>
      <c r="B2655" t="str">
        <f>"1552376588329920"</f>
        <v>1552376588329920</v>
      </c>
      <c r="C2655" t="s">
        <v>40</v>
      </c>
      <c r="D2655">
        <v>4.4034659999999999</v>
      </c>
      <c r="E2655">
        <v>0.40436290000000003</v>
      </c>
      <c r="F2655" t="s">
        <v>49</v>
      </c>
      <c r="G2655">
        <v>-487.88330000000002</v>
      </c>
      <c r="H2655" s="1">
        <v>1.126487E-6</v>
      </c>
      <c r="I2655">
        <v>273.32350000000002</v>
      </c>
      <c r="J2655">
        <v>-478.9402</v>
      </c>
      <c r="K2655">
        <v>1.1137319999999999</v>
      </c>
      <c r="L2655">
        <v>281.47250000000003</v>
      </c>
      <c r="M2655">
        <v>-0.89128850000000004</v>
      </c>
      <c r="N2655">
        <v>0</v>
      </c>
      <c r="O2655">
        <v>-0.4532292</v>
      </c>
      <c r="P2655">
        <v>-0.87519159999999996</v>
      </c>
      <c r="Q2655">
        <v>-1.7361089999999999E-2</v>
      </c>
      <c r="R2655">
        <v>-0.48346499999999998</v>
      </c>
      <c r="S2655">
        <v>-2.280548</v>
      </c>
      <c r="T2655">
        <v>-0.2817559</v>
      </c>
      <c r="U2655">
        <v>-2.07193</v>
      </c>
      <c r="V2655">
        <v>-3.4218819999999997E-2</v>
      </c>
      <c r="W2655">
        <v>-3.9081919999999996E-3</v>
      </c>
      <c r="X2655">
        <v>0.99940669999999998</v>
      </c>
      <c r="Y2655">
        <v>-0.26452029999999999</v>
      </c>
      <c r="Z2655">
        <v>3.0395490000000001E-2</v>
      </c>
      <c r="AA2655">
        <v>0.96390100000000001</v>
      </c>
      <c r="AB2655">
        <v>16</v>
      </c>
      <c r="AC2655">
        <v>-8.94310000000001</v>
      </c>
      <c r="AD2655">
        <v>-1.113730873513</v>
      </c>
      <c r="AE2655">
        <v>-8.1489999999999991</v>
      </c>
      <c r="AF2655">
        <v>-3.1831652831115602</v>
      </c>
      <c r="AG2655">
        <v>-1.113730873513</v>
      </c>
      <c r="AH2655">
        <v>11.5673282780457</v>
      </c>
      <c r="AI2655">
        <v>95.303661948807999</v>
      </c>
      <c r="AJ2655">
        <v>105.38615153720799</v>
      </c>
      <c r="AK2655">
        <v>12.0489012432793</v>
      </c>
      <c r="AL2655">
        <v>90.223923482356199</v>
      </c>
      <c r="AM2655">
        <v>91.960991814080998</v>
      </c>
      <c r="AN2655">
        <v>0.99999997680589503</v>
      </c>
    </row>
    <row r="2656" spans="1:40" x14ac:dyDescent="0.25">
      <c r="A2656" t="str">
        <f>"20190312154308351"</f>
        <v>20190312154308351</v>
      </c>
      <c r="B2656" t="str">
        <f>"1552376588339680"</f>
        <v>1552376588339680</v>
      </c>
      <c r="C2656" t="s">
        <v>40</v>
      </c>
      <c r="D2656">
        <v>4.4216100000000003</v>
      </c>
      <c r="E2656">
        <v>0.40526899999999999</v>
      </c>
      <c r="F2656" t="s">
        <v>49</v>
      </c>
      <c r="G2656">
        <v>-490.44650000000001</v>
      </c>
      <c r="H2656" s="1">
        <v>3.5939269999999999E-7</v>
      </c>
      <c r="I2656">
        <v>270.63299999999998</v>
      </c>
      <c r="J2656">
        <v>-479.01560000000001</v>
      </c>
      <c r="K2656">
        <v>1.113729</v>
      </c>
      <c r="L2656">
        <v>281.42910000000001</v>
      </c>
      <c r="M2656">
        <v>-0.88948300000000002</v>
      </c>
      <c r="N2656">
        <v>0</v>
      </c>
      <c r="O2656">
        <v>-0.45676270000000002</v>
      </c>
      <c r="P2656">
        <v>-0.87353179999999997</v>
      </c>
      <c r="Q2656">
        <v>-1.711056E-2</v>
      </c>
      <c r="R2656">
        <v>-0.48646640000000002</v>
      </c>
      <c r="S2656">
        <v>-2.251709</v>
      </c>
      <c r="T2656">
        <v>-0.21795030000000001</v>
      </c>
      <c r="U2656">
        <v>-2.121216</v>
      </c>
      <c r="V2656">
        <v>-3.3683680000000001E-2</v>
      </c>
      <c r="W2656">
        <v>-3.655255E-3</v>
      </c>
      <c r="X2656">
        <v>0.99942589999999998</v>
      </c>
      <c r="Y2656">
        <v>-0.2778138</v>
      </c>
      <c r="Z2656">
        <v>2.326808E-2</v>
      </c>
      <c r="AA2656">
        <v>0.96035309999999896</v>
      </c>
      <c r="AB2656">
        <v>16</v>
      </c>
      <c r="AC2656">
        <v>-11.430899999999999</v>
      </c>
      <c r="AD2656">
        <v>-1.1137286406072999</v>
      </c>
      <c r="AE2656">
        <v>-10.796099999999999</v>
      </c>
      <c r="AF2656">
        <v>-4.3602732890798697</v>
      </c>
      <c r="AG2656">
        <v>-1.1137286406072999</v>
      </c>
      <c r="AH2656">
        <v>15.0248803704502</v>
      </c>
      <c r="AI2656">
        <v>94.071933150661707</v>
      </c>
      <c r="AJ2656">
        <v>106.182915082584</v>
      </c>
      <c r="AK2656">
        <v>15.684368166640001</v>
      </c>
      <c r="AL2656">
        <v>90.209431142451393</v>
      </c>
      <c r="AM2656">
        <v>91.930310658341895</v>
      </c>
      <c r="AN2656">
        <v>1.00000004038913</v>
      </c>
    </row>
    <row r="2657" spans="1:40" x14ac:dyDescent="0.25">
      <c r="A2657" t="str">
        <f>"20190312154308363"</f>
        <v>20190312154308363</v>
      </c>
      <c r="B2657" t="str">
        <f>"1552376588360177"</f>
        <v>1552376588360177</v>
      </c>
      <c r="C2657" t="s">
        <v>40</v>
      </c>
      <c r="D2657">
        <v>4.3632090000000003</v>
      </c>
      <c r="E2657">
        <v>0.40636630000000001</v>
      </c>
      <c r="F2657" t="s">
        <v>49</v>
      </c>
      <c r="G2657">
        <v>-490.93369999999999</v>
      </c>
      <c r="H2657" s="1">
        <v>1.9813609999999999E-7</v>
      </c>
      <c r="I2657">
        <v>270.17680000000001</v>
      </c>
      <c r="J2657">
        <v>-479.09339999999997</v>
      </c>
      <c r="K2657">
        <v>1.1137269999999999</v>
      </c>
      <c r="L2657">
        <v>281.38369999999998</v>
      </c>
      <c r="M2657">
        <v>-0.88759769999999905</v>
      </c>
      <c r="N2657">
        <v>0</v>
      </c>
      <c r="O2657">
        <v>-0.46041520000000002</v>
      </c>
      <c r="P2657">
        <v>-0.87167039999999996</v>
      </c>
      <c r="Q2657">
        <v>-1.7021399999999999E-2</v>
      </c>
      <c r="R2657">
        <v>-0.48979699999999998</v>
      </c>
      <c r="S2657">
        <v>-2.248138</v>
      </c>
      <c r="T2657">
        <v>-0.2100844</v>
      </c>
      <c r="U2657">
        <v>-2.122528</v>
      </c>
      <c r="V2657">
        <v>-3.338965E-2</v>
      </c>
      <c r="W2657">
        <v>-3.5657449999999999E-3</v>
      </c>
      <c r="X2657">
        <v>0.99943599999999999</v>
      </c>
      <c r="Y2657">
        <v>-0.27490910000000002</v>
      </c>
      <c r="Z2657">
        <v>2.2801720000000001E-2</v>
      </c>
      <c r="AA2657">
        <v>0.96119980000000005</v>
      </c>
      <c r="AB2657">
        <v>16</v>
      </c>
      <c r="AC2657">
        <v>-11.840299999999999</v>
      </c>
      <c r="AD2657">
        <v>-1.1137268018638999</v>
      </c>
      <c r="AE2657">
        <v>-11.2068999999999</v>
      </c>
      <c r="AF2657">
        <v>-4.4753020798501302</v>
      </c>
      <c r="AG2657">
        <v>-1.1137268018638999</v>
      </c>
      <c r="AH2657">
        <v>15.5979314929517</v>
      </c>
      <c r="AI2657">
        <v>93.926229873550994</v>
      </c>
      <c r="AJ2657">
        <v>106.009052619988</v>
      </c>
      <c r="AK2657">
        <v>16.2654290737723</v>
      </c>
      <c r="AL2657">
        <v>90.204302582333</v>
      </c>
      <c r="AM2657">
        <v>91.913453939482494</v>
      </c>
      <c r="AN2657">
        <v>0.99999995068026204</v>
      </c>
    </row>
    <row r="2658" spans="1:40" x14ac:dyDescent="0.25">
      <c r="A2658" t="str">
        <f>"20190312154308374"</f>
        <v>20190312154308374</v>
      </c>
      <c r="B2658" t="str">
        <f>"1552376588369936"</f>
        <v>1552376588369936</v>
      </c>
      <c r="C2658" t="s">
        <v>40</v>
      </c>
      <c r="D2658">
        <v>4.3326719999999996</v>
      </c>
      <c r="E2658">
        <v>0.4068002</v>
      </c>
      <c r="F2658" t="s">
        <v>43</v>
      </c>
      <c r="G2658">
        <v>-491.76729999999998</v>
      </c>
      <c r="H2658" s="1">
        <v>-4.53596E-6</v>
      </c>
      <c r="I2658">
        <v>269.3947</v>
      </c>
      <c r="J2658">
        <v>-479.15899999999999</v>
      </c>
      <c r="K2658">
        <v>1.1137239999999999</v>
      </c>
      <c r="L2658">
        <v>281.3451</v>
      </c>
      <c r="M2658">
        <v>-0.8859937</v>
      </c>
      <c r="N2658">
        <v>0</v>
      </c>
      <c r="O2658">
        <v>-0.46349439999999997</v>
      </c>
      <c r="P2658">
        <v>-0.87014829999999999</v>
      </c>
      <c r="Q2658">
        <v>-1.6480849999999998E-2</v>
      </c>
      <c r="R2658">
        <v>-0.49251460000000002</v>
      </c>
      <c r="S2658">
        <v>-2.244659</v>
      </c>
      <c r="T2658">
        <v>-0.1972517</v>
      </c>
      <c r="U2658">
        <v>-2.1233520000000001</v>
      </c>
      <c r="V2658">
        <v>-3.3036570000000001E-2</v>
      </c>
      <c r="W2658">
        <v>-3.023899E-3</v>
      </c>
      <c r="X2658">
        <v>0.99944960000000005</v>
      </c>
      <c r="Y2658">
        <v>-0.27246949999999998</v>
      </c>
      <c r="Z2658">
        <v>2.170969E-2</v>
      </c>
      <c r="AA2658">
        <v>0.96191950000000004</v>
      </c>
      <c r="AB2658">
        <v>16</v>
      </c>
      <c r="AC2658">
        <v>-12.6082999999999</v>
      </c>
      <c r="AD2658">
        <v>-1.11372853596</v>
      </c>
      <c r="AE2658">
        <v>-11.9504</v>
      </c>
      <c r="AF2658">
        <v>-4.7251275533171198</v>
      </c>
      <c r="AG2658">
        <v>-1.11372853596</v>
      </c>
      <c r="AH2658">
        <v>16.6429831354912</v>
      </c>
      <c r="AI2658">
        <v>93.683310864229696</v>
      </c>
      <c r="AJ2658">
        <v>105.849832588037</v>
      </c>
      <c r="AK2658">
        <v>17.336554135559101</v>
      </c>
      <c r="AL2658">
        <v>90.173256909057898</v>
      </c>
      <c r="AM2658">
        <v>91.893209115344206</v>
      </c>
      <c r="AN2658">
        <v>1.0000000309313399</v>
      </c>
    </row>
    <row r="2659" spans="1:40" x14ac:dyDescent="0.25">
      <c r="A2659" t="str">
        <f>"20190312154308385"</f>
        <v>20190312154308385</v>
      </c>
      <c r="B2659" t="str">
        <f>"1552376588379697"</f>
        <v>1552376588379697</v>
      </c>
      <c r="C2659" t="s">
        <v>40</v>
      </c>
      <c r="D2659">
        <v>4.3673739999999999</v>
      </c>
      <c r="E2659">
        <v>0.40721560000000001</v>
      </c>
      <c r="F2659" t="s">
        <v>43</v>
      </c>
      <c r="G2659">
        <v>-491.80079999999998</v>
      </c>
      <c r="H2659" s="1">
        <v>-4.523072E-6</v>
      </c>
      <c r="I2659">
        <v>269.33940000000001</v>
      </c>
      <c r="J2659">
        <v>-479.22550000000001</v>
      </c>
      <c r="K2659">
        <v>1.1137239999999999</v>
      </c>
      <c r="L2659">
        <v>281.30579999999998</v>
      </c>
      <c r="M2659">
        <v>-0.88435379999999997</v>
      </c>
      <c r="N2659">
        <v>0</v>
      </c>
      <c r="O2659">
        <v>-0.46661570000000002</v>
      </c>
      <c r="P2659">
        <v>-0.86863279999999998</v>
      </c>
      <c r="Q2659">
        <v>-1.67233E-2</v>
      </c>
      <c r="R2659">
        <v>-0.495174</v>
      </c>
      <c r="S2659">
        <v>-2.2398989999999999</v>
      </c>
      <c r="T2659">
        <v>-0.19733210000000001</v>
      </c>
      <c r="U2659">
        <v>-2.1271969999999998</v>
      </c>
      <c r="V2659">
        <v>-3.2570450000000001E-2</v>
      </c>
      <c r="W2659">
        <v>-3.2642259999999998E-3</v>
      </c>
      <c r="X2659">
        <v>0.99946409999999997</v>
      </c>
      <c r="Y2659">
        <v>-0.27097300000000002</v>
      </c>
      <c r="Z2659">
        <v>2.1982539999999998E-2</v>
      </c>
      <c r="AA2659">
        <v>0.96233590000000002</v>
      </c>
      <c r="AB2659">
        <v>16</v>
      </c>
      <c r="AC2659">
        <v>-12.575299999999899</v>
      </c>
      <c r="AD2659">
        <v>-1.113728523072</v>
      </c>
      <c r="AE2659">
        <v>-11.966399999999901</v>
      </c>
      <c r="AF2659">
        <v>-4.6958128838136703</v>
      </c>
      <c r="AG2659">
        <v>-1.113728523072</v>
      </c>
      <c r="AH2659">
        <v>16.637809109726199</v>
      </c>
      <c r="AI2659">
        <v>93.686065067100003</v>
      </c>
      <c r="AJ2659">
        <v>105.761054003388</v>
      </c>
      <c r="AK2659">
        <v>17.323618035346499</v>
      </c>
      <c r="AL2659">
        <v>90.187026707502099</v>
      </c>
      <c r="AM2659">
        <v>91.866489394588996</v>
      </c>
      <c r="AN2659">
        <v>0.99999998828669501</v>
      </c>
    </row>
    <row r="2660" spans="1:40" x14ac:dyDescent="0.25">
      <c r="A2660" t="str">
        <f>"20190312154308396"</f>
        <v>20190312154308396</v>
      </c>
      <c r="B2660" t="str">
        <f>"1552376588390432"</f>
        <v>1552376588390432</v>
      </c>
      <c r="C2660" t="s">
        <v>40</v>
      </c>
      <c r="D2660">
        <v>4.3669669999999998</v>
      </c>
      <c r="E2660">
        <v>0.40750140000000001</v>
      </c>
      <c r="F2660" t="s">
        <v>43</v>
      </c>
      <c r="G2660">
        <v>-491.56400000000002</v>
      </c>
      <c r="H2660" s="1">
        <v>-4.549163E-6</v>
      </c>
      <c r="I2660">
        <v>269.53949999999998</v>
      </c>
      <c r="J2660">
        <v>-479.2901</v>
      </c>
      <c r="K2660">
        <v>1.113721</v>
      </c>
      <c r="L2660">
        <v>281.2672</v>
      </c>
      <c r="M2660">
        <v>-0.88274249999999899</v>
      </c>
      <c r="N2660">
        <v>0</v>
      </c>
      <c r="O2660">
        <v>-0.4696574</v>
      </c>
      <c r="P2660">
        <v>-0.86696419999999996</v>
      </c>
      <c r="Q2660">
        <v>-1.6611009999999999E-2</v>
      </c>
      <c r="R2660">
        <v>-0.49809369999999997</v>
      </c>
      <c r="S2660">
        <v>-2.2348940000000002</v>
      </c>
      <c r="T2660">
        <v>-0.2017312</v>
      </c>
      <c r="U2660">
        <v>-2.131256</v>
      </c>
      <c r="V2660">
        <v>-3.2492779999999999E-2</v>
      </c>
      <c r="W2660">
        <v>-3.1526229999999998E-3</v>
      </c>
      <c r="X2660">
        <v>0.99946699999999999</v>
      </c>
      <c r="Y2660">
        <v>-0.269671299999999</v>
      </c>
      <c r="Z2660">
        <v>2.2729869999999999E-2</v>
      </c>
      <c r="AA2660">
        <v>0.96268419999999999</v>
      </c>
      <c r="AB2660">
        <v>16</v>
      </c>
      <c r="AC2660">
        <v>-12.273899999999999</v>
      </c>
      <c r="AD2660">
        <v>-1.113725549163</v>
      </c>
      <c r="AE2660">
        <v>-11.7277</v>
      </c>
      <c r="AF2660">
        <v>-4.5687772651053304</v>
      </c>
      <c r="AG2660">
        <v>-1.113725549163</v>
      </c>
      <c r="AH2660">
        <v>16.274181956566199</v>
      </c>
      <c r="AI2660">
        <v>93.769651026447704</v>
      </c>
      <c r="AJ2660">
        <v>105.681435995877</v>
      </c>
      <c r="AK2660">
        <v>16.939985497408902</v>
      </c>
      <c r="AL2660">
        <v>90.180632291165296</v>
      </c>
      <c r="AM2660">
        <v>91.862036158500203</v>
      </c>
      <c r="AN2660">
        <v>1.0000000019364499</v>
      </c>
    </row>
    <row r="2661" spans="1:40" x14ac:dyDescent="0.25">
      <c r="A2661" t="str">
        <f>"20190312154308407"</f>
        <v>20190312154308407</v>
      </c>
      <c r="B2661" t="str">
        <f>"1552376588400193"</f>
        <v>1552376588400193</v>
      </c>
      <c r="C2661" t="s">
        <v>40</v>
      </c>
      <c r="D2661">
        <v>4.3997699999999904</v>
      </c>
      <c r="E2661">
        <v>0.407692</v>
      </c>
      <c r="F2661" t="s">
        <v>49</v>
      </c>
      <c r="G2661">
        <v>-491.43459999999999</v>
      </c>
      <c r="H2661" s="1">
        <v>2.738818E-9</v>
      </c>
      <c r="I2661">
        <v>269.6241</v>
      </c>
      <c r="J2661">
        <v>-479.35890000000001</v>
      </c>
      <c r="K2661">
        <v>1.11372</v>
      </c>
      <c r="L2661">
        <v>281.22590000000002</v>
      </c>
      <c r="M2661">
        <v>-0.88101450000000003</v>
      </c>
      <c r="N2661">
        <v>0</v>
      </c>
      <c r="O2661">
        <v>-0.47289059999999999</v>
      </c>
      <c r="P2661">
        <v>-0.86524650000000003</v>
      </c>
      <c r="Q2661">
        <v>-1.6622129999999999E-2</v>
      </c>
      <c r="R2661">
        <v>-0.50107109999999899</v>
      </c>
      <c r="S2661">
        <v>-2.22879</v>
      </c>
      <c r="T2661">
        <v>-0.2043933</v>
      </c>
      <c r="U2661">
        <v>-2.1367799999999999</v>
      </c>
      <c r="V2661">
        <v>-3.226449E-2</v>
      </c>
      <c r="W2661">
        <v>-3.163257E-3</v>
      </c>
      <c r="X2661">
        <v>0.99947430000000004</v>
      </c>
      <c r="Y2661">
        <v>-0.26871620000000002</v>
      </c>
      <c r="Z2661">
        <v>2.3292230000000001E-2</v>
      </c>
      <c r="AA2661">
        <v>0.96293779999999995</v>
      </c>
      <c r="AB2661">
        <v>16</v>
      </c>
      <c r="AC2661">
        <v>-12.0756999999999</v>
      </c>
      <c r="AD2661">
        <v>-1.11371999726118</v>
      </c>
      <c r="AE2661">
        <v>-11.601800000000001</v>
      </c>
      <c r="AF2661">
        <v>-4.49142646452386</v>
      </c>
      <c r="AG2661">
        <v>-1.11371999726118</v>
      </c>
      <c r="AH2661">
        <v>16.055746643484799</v>
      </c>
      <c r="AI2661">
        <v>93.821754736530394</v>
      </c>
      <c r="AJ2661">
        <v>105.62840481892199</v>
      </c>
      <c r="AK2661">
        <v>16.709287363568201</v>
      </c>
      <c r="AL2661">
        <v>90.181241588758695</v>
      </c>
      <c r="AM2661">
        <v>91.8489493548757</v>
      </c>
      <c r="AN2661">
        <v>0.99999993993514702</v>
      </c>
    </row>
    <row r="2662" spans="1:40" x14ac:dyDescent="0.25">
      <c r="A2662" t="str">
        <f>"20190312154308420"</f>
        <v>20190312154308420</v>
      </c>
      <c r="B2662" t="str">
        <f>"1552376588409952"</f>
        <v>1552376588409952</v>
      </c>
      <c r="C2662" t="s">
        <v>40</v>
      </c>
      <c r="D2662">
        <v>4.4206479999999999</v>
      </c>
      <c r="E2662">
        <v>0.40798139999999999</v>
      </c>
      <c r="F2662" t="s">
        <v>49</v>
      </c>
      <c r="G2662">
        <v>-491.2527</v>
      </c>
      <c r="H2662" s="1">
        <v>4.8346299999999998E-8</v>
      </c>
      <c r="I2662">
        <v>269.75310000000002</v>
      </c>
      <c r="J2662">
        <v>-479.43579999999997</v>
      </c>
      <c r="K2662">
        <v>1.113718</v>
      </c>
      <c r="L2662">
        <v>281.17910000000001</v>
      </c>
      <c r="M2662">
        <v>-0.87905880000000003</v>
      </c>
      <c r="N2662">
        <v>0</v>
      </c>
      <c r="O2662">
        <v>-0.47651640000000001</v>
      </c>
      <c r="P2662">
        <v>-0.8631934</v>
      </c>
      <c r="Q2662">
        <v>-1.6592920000000001E-2</v>
      </c>
      <c r="R2662">
        <v>-0.50460139999999998</v>
      </c>
      <c r="S2662">
        <v>-2.2219850000000001</v>
      </c>
      <c r="T2662">
        <v>-0.2080641</v>
      </c>
      <c r="U2662">
        <v>-2.1433409999999999</v>
      </c>
      <c r="V2662">
        <v>-3.222875E-2</v>
      </c>
      <c r="W2662">
        <v>-3.1353489999999999E-3</v>
      </c>
      <c r="X2662">
        <v>0.99947560000000002</v>
      </c>
      <c r="Y2662">
        <v>-0.26771430000000002</v>
      </c>
      <c r="Z2662">
        <v>2.40054E-2</v>
      </c>
      <c r="AA2662">
        <v>0.96319929999999998</v>
      </c>
      <c r="AB2662">
        <v>16</v>
      </c>
      <c r="AC2662">
        <v>-11.8169</v>
      </c>
      <c r="AD2662">
        <v>-1.1137179516536999</v>
      </c>
      <c r="AE2662">
        <v>-11.425999999999901</v>
      </c>
      <c r="AF2662">
        <v>-4.3934247343514103</v>
      </c>
      <c r="AG2662">
        <v>-1.1137179516536999</v>
      </c>
      <c r="AH2662">
        <v>15.761556515484999</v>
      </c>
      <c r="AI2662">
        <v>93.8938653406002</v>
      </c>
      <c r="AJ2662">
        <v>105.57544382428701</v>
      </c>
      <c r="AK2662">
        <v>16.400280862322901</v>
      </c>
      <c r="AL2662">
        <v>90.179642559531501</v>
      </c>
      <c r="AM2662">
        <v>91.846900256564396</v>
      </c>
      <c r="AN2662">
        <v>0.99999999886763702</v>
      </c>
    </row>
    <row r="2663" spans="1:40" x14ac:dyDescent="0.25">
      <c r="A2663" t="str">
        <f>"20190312154308433"</f>
        <v>20190312154308433</v>
      </c>
      <c r="B2663" t="str">
        <f>"1552376588419712"</f>
        <v>1552376588419712</v>
      </c>
      <c r="C2663" t="s">
        <v>40</v>
      </c>
      <c r="D2663">
        <v>4.4407249999999996</v>
      </c>
      <c r="E2663">
        <v>0.40808119999999998</v>
      </c>
      <c r="F2663" t="s">
        <v>49</v>
      </c>
      <c r="G2663">
        <v>-491.08179999999999</v>
      </c>
      <c r="H2663" s="1">
        <v>8.92326799999999E-8</v>
      </c>
      <c r="I2663">
        <v>269.86880000000002</v>
      </c>
      <c r="J2663">
        <v>-479.51319999999998</v>
      </c>
      <c r="K2663">
        <v>1.1137170000000001</v>
      </c>
      <c r="L2663">
        <v>281.13170000000002</v>
      </c>
      <c r="M2663">
        <v>-0.87706980000000001</v>
      </c>
      <c r="N2663">
        <v>0</v>
      </c>
      <c r="O2663">
        <v>-0.48016760000000003</v>
      </c>
      <c r="P2663">
        <v>-0.86103180000000001</v>
      </c>
      <c r="Q2663">
        <v>-1.6340779999999999E-2</v>
      </c>
      <c r="R2663">
        <v>-0.50828869999999904</v>
      </c>
      <c r="S2663">
        <v>-2.2143250000000001</v>
      </c>
      <c r="T2663">
        <v>-0.21175630000000001</v>
      </c>
      <c r="U2663">
        <v>-2.1504819999999998</v>
      </c>
      <c r="V2663">
        <v>-3.2347439999999998E-2</v>
      </c>
      <c r="W2663">
        <v>-2.8856519999999998E-3</v>
      </c>
      <c r="X2663">
        <v>0.99947249999999999</v>
      </c>
      <c r="Y2663">
        <v>-0.26699209999999901</v>
      </c>
      <c r="Z2663">
        <v>2.4725939999999998E-2</v>
      </c>
      <c r="AA2663">
        <v>0.9633815</v>
      </c>
      <c r="AB2663">
        <v>16</v>
      </c>
      <c r="AC2663">
        <v>-11.5686</v>
      </c>
      <c r="AD2663">
        <v>-1.1137169107673199</v>
      </c>
      <c r="AE2663">
        <v>-11.2629</v>
      </c>
      <c r="AF2663">
        <v>-4.3034122098302303</v>
      </c>
      <c r="AG2663">
        <v>-1.1137169107673199</v>
      </c>
      <c r="AH2663">
        <v>15.482342479952401</v>
      </c>
      <c r="AI2663">
        <v>93.964666440250099</v>
      </c>
      <c r="AJ2663">
        <v>105.533598106158</v>
      </c>
      <c r="AK2663">
        <v>16.107844383143998</v>
      </c>
      <c r="AL2663">
        <v>90.165335913333905</v>
      </c>
      <c r="AM2663">
        <v>91.853702912769094</v>
      </c>
      <c r="AN2663">
        <v>0.99999998105913401</v>
      </c>
    </row>
    <row r="2664" spans="1:40" x14ac:dyDescent="0.25">
      <c r="A2664" t="str">
        <f>"20190312154308446"</f>
        <v>20190312154308446</v>
      </c>
      <c r="B2664" t="str">
        <f>"1552376588440208"</f>
        <v>1552376588440208</v>
      </c>
      <c r="C2664" t="s">
        <v>40</v>
      </c>
      <c r="D2664">
        <v>4.5054780000000001</v>
      </c>
      <c r="E2664">
        <v>0.40855910000000001</v>
      </c>
      <c r="F2664" t="s">
        <v>49</v>
      </c>
      <c r="G2664">
        <v>-491.09949999999998</v>
      </c>
      <c r="H2664" s="1">
        <v>6.0274640000000006E-8</v>
      </c>
      <c r="I2664">
        <v>269.78680000000003</v>
      </c>
      <c r="J2664">
        <v>-479.59050000000002</v>
      </c>
      <c r="K2664">
        <v>1.113715</v>
      </c>
      <c r="L2664">
        <v>281.08390000000003</v>
      </c>
      <c r="M2664">
        <v>-0.87506530000000005</v>
      </c>
      <c r="N2664">
        <v>0</v>
      </c>
      <c r="O2664">
        <v>-0.4838112</v>
      </c>
      <c r="P2664">
        <v>-0.8589677</v>
      </c>
      <c r="Q2664">
        <v>-1.6092809999999999E-2</v>
      </c>
      <c r="R2664">
        <v>-0.5117775</v>
      </c>
      <c r="S2664">
        <v>-2.2053829999999999</v>
      </c>
      <c r="T2664">
        <v>-0.21199000000000001</v>
      </c>
      <c r="U2664">
        <v>-2.159424</v>
      </c>
      <c r="V2664">
        <v>-3.224453E-2</v>
      </c>
      <c r="W2664">
        <v>-2.6382290000000002E-3</v>
      </c>
      <c r="X2664">
        <v>0.99947660000000005</v>
      </c>
      <c r="Y2664">
        <v>-0.26693810000000001</v>
      </c>
      <c r="Z2664">
        <v>2.5024600000000001E-2</v>
      </c>
      <c r="AA2664">
        <v>0.96338869999999999</v>
      </c>
      <c r="AB2664">
        <v>16</v>
      </c>
      <c r="AC2664">
        <v>-11.508999999999901</v>
      </c>
      <c r="AD2664">
        <v>-1.1137149397253601</v>
      </c>
      <c r="AE2664">
        <v>-11.2971</v>
      </c>
      <c r="AF2664">
        <v>-4.2974268436415501</v>
      </c>
      <c r="AG2664">
        <v>-1.1137149397253601</v>
      </c>
      <c r="AH2664">
        <v>15.4644943055303</v>
      </c>
      <c r="AI2664">
        <v>93.969288211612707</v>
      </c>
      <c r="AJ2664">
        <v>105.53007500543001</v>
      </c>
      <c r="AK2664">
        <v>16.0890901722004</v>
      </c>
      <c r="AL2664">
        <v>90.151159551563694</v>
      </c>
      <c r="AM2664">
        <v>91.847802070776495</v>
      </c>
      <c r="AN2664">
        <v>1.0000000719573601</v>
      </c>
    </row>
    <row r="2665" spans="1:40" x14ac:dyDescent="0.25">
      <c r="A2665" t="str">
        <f>"20190312154308459"</f>
        <v>20190312154308459</v>
      </c>
      <c r="B2665" t="str">
        <f>"1552376588449968"</f>
        <v>1552376588449968</v>
      </c>
      <c r="C2665" t="s">
        <v>40</v>
      </c>
      <c r="D2665">
        <v>4.4558200000000001</v>
      </c>
      <c r="E2665">
        <v>0.40855910000000001</v>
      </c>
      <c r="F2665" t="s">
        <v>49</v>
      </c>
      <c r="G2665">
        <v>-490.9513</v>
      </c>
      <c r="H2665" s="1">
        <v>9.8112340000000001E-8</v>
      </c>
      <c r="I2665">
        <v>269.89389999999997</v>
      </c>
      <c r="J2665">
        <v>-479.66849999999999</v>
      </c>
      <c r="K2665">
        <v>1.1137109999999999</v>
      </c>
      <c r="L2665">
        <v>281.0351</v>
      </c>
      <c r="M2665">
        <v>-0.87301740000000005</v>
      </c>
      <c r="N2665">
        <v>0</v>
      </c>
      <c r="O2665">
        <v>-0.48749629999999999</v>
      </c>
      <c r="P2665">
        <v>-0.85683140000000002</v>
      </c>
      <c r="Q2665">
        <v>-1.5762600000000002E-2</v>
      </c>
      <c r="R2665">
        <v>-0.51535540000000002</v>
      </c>
      <c r="S2665">
        <v>-2.1983950000000001</v>
      </c>
      <c r="T2665">
        <v>-0.2155108</v>
      </c>
      <c r="U2665">
        <v>-2.1653440000000002</v>
      </c>
      <c r="V2665">
        <v>-3.2198789999999998E-2</v>
      </c>
      <c r="W2665">
        <v>-2.3090989999999998E-3</v>
      </c>
      <c r="X2665">
        <v>0.9994788</v>
      </c>
      <c r="Y2665">
        <v>-0.26574409999999998</v>
      </c>
      <c r="Z2665">
        <v>2.5760559999999998E-2</v>
      </c>
      <c r="AA2665">
        <v>0.96369939999999998</v>
      </c>
      <c r="AB2665">
        <v>16</v>
      </c>
      <c r="AC2665">
        <v>-11.2828</v>
      </c>
      <c r="AD2665">
        <v>-1.1137109018876501</v>
      </c>
      <c r="AE2665">
        <v>-11.1412</v>
      </c>
      <c r="AF2665">
        <v>-4.2057873467145503</v>
      </c>
      <c r="AG2665">
        <v>-1.1137109018876501</v>
      </c>
      <c r="AH2665">
        <v>15.2077874443384</v>
      </c>
      <c r="AI2665">
        <v>94.037438275099007</v>
      </c>
      <c r="AJ2665">
        <v>105.45904104340499</v>
      </c>
      <c r="AK2665">
        <v>15.817894870397399</v>
      </c>
      <c r="AL2665">
        <v>90.132301747020094</v>
      </c>
      <c r="AM2665">
        <v>91.845178653073603</v>
      </c>
      <c r="AN2665">
        <v>0.99999998283254699</v>
      </c>
    </row>
    <row r="2666" spans="1:40" x14ac:dyDescent="0.25">
      <c r="A2666" t="str">
        <f>"20190312154308472"</f>
        <v>20190312154308472</v>
      </c>
      <c r="B2666" t="str">
        <f>"1552376588459728"</f>
        <v>1552376588459728</v>
      </c>
      <c r="C2666" t="s">
        <v>40</v>
      </c>
      <c r="D2666">
        <v>4.4599149999999996</v>
      </c>
      <c r="E2666">
        <v>0.40045540000000002</v>
      </c>
      <c r="F2666" t="s">
        <v>49</v>
      </c>
      <c r="G2666">
        <v>-491.04079999999999</v>
      </c>
      <c r="H2666" s="1">
        <v>4.3710840000000002E-8</v>
      </c>
      <c r="I2666">
        <v>269.74</v>
      </c>
      <c r="J2666">
        <v>-479.74279999999999</v>
      </c>
      <c r="K2666">
        <v>1.1137079999999999</v>
      </c>
      <c r="L2666">
        <v>280.98829999999998</v>
      </c>
      <c r="M2666">
        <v>-0.87105010000000005</v>
      </c>
      <c r="N2666">
        <v>0</v>
      </c>
      <c r="O2666">
        <v>-0.49100290000000002</v>
      </c>
      <c r="P2666">
        <v>-0.8548443</v>
      </c>
      <c r="Q2666">
        <v>-1.499734E-2</v>
      </c>
      <c r="R2666">
        <v>-0.51866789999999996</v>
      </c>
      <c r="S2666">
        <v>-2.1893919999999998</v>
      </c>
      <c r="T2666">
        <v>-0.2144113</v>
      </c>
      <c r="U2666">
        <v>-2.1745299999999999</v>
      </c>
      <c r="V2666">
        <v>-3.2047289999999999E-2</v>
      </c>
      <c r="W2666">
        <v>-1.543932E-3</v>
      </c>
      <c r="X2666">
        <v>0.99948510000000002</v>
      </c>
      <c r="Y2666">
        <v>-0.26588650000000003</v>
      </c>
      <c r="Z2666">
        <v>2.5886139999999998E-2</v>
      </c>
      <c r="AA2666">
        <v>0.96365670000000003</v>
      </c>
      <c r="AB2666">
        <v>16</v>
      </c>
      <c r="AC2666">
        <v>-11.298</v>
      </c>
      <c r="AD2666">
        <v>-1.1137079562891601</v>
      </c>
      <c r="AE2666">
        <v>-11.248299999999899</v>
      </c>
      <c r="AF2666">
        <v>-4.2302378450048996</v>
      </c>
      <c r="AG2666">
        <v>-1.1137079562891601</v>
      </c>
      <c r="AH2666">
        <v>15.2908958229368</v>
      </c>
      <c r="AI2666">
        <v>94.015456944323702</v>
      </c>
      <c r="AJ2666">
        <v>105.46414546039</v>
      </c>
      <c r="AK2666">
        <v>15.9042998181347</v>
      </c>
      <c r="AL2666">
        <v>90.088460828011407</v>
      </c>
      <c r="AM2666">
        <v>91.836491209841597</v>
      </c>
      <c r="AN2666">
        <v>0.99999993882218496</v>
      </c>
    </row>
    <row r="2667" spans="1:40" x14ac:dyDescent="0.25">
      <c r="A2667" t="str">
        <f>"20190312154308485"</f>
        <v>20190312154308485</v>
      </c>
      <c r="B2667" t="str">
        <f>"1552376588480225"</f>
        <v>1552376588480225</v>
      </c>
      <c r="C2667" t="s">
        <v>40</v>
      </c>
      <c r="D2667">
        <v>4.4681449999999998</v>
      </c>
      <c r="E2667">
        <v>0.40079110000000001</v>
      </c>
      <c r="F2667" t="s">
        <v>49</v>
      </c>
      <c r="G2667">
        <v>-488.44060000000002</v>
      </c>
      <c r="H2667" s="1">
        <v>6.7661629999999995E-7</v>
      </c>
      <c r="I2667">
        <v>271.911</v>
      </c>
      <c r="J2667">
        <v>-479.82459999999998</v>
      </c>
      <c r="K2667">
        <v>1.1137010000000001</v>
      </c>
      <c r="L2667">
        <v>280.93630000000002</v>
      </c>
      <c r="M2667">
        <v>-0.86886049999999904</v>
      </c>
      <c r="N2667">
        <v>0</v>
      </c>
      <c r="O2667">
        <v>-0.49486750000000002</v>
      </c>
      <c r="P2667">
        <v>-0.85260230000000004</v>
      </c>
      <c r="Q2667">
        <v>-1.500523E-2</v>
      </c>
      <c r="R2667">
        <v>-0.52234519999999995</v>
      </c>
      <c r="S2667">
        <v>-2.145813</v>
      </c>
      <c r="T2667">
        <v>-0.27476050000000002</v>
      </c>
      <c r="U2667">
        <v>-2.2394409999999998</v>
      </c>
      <c r="V2667">
        <v>-3.191194E-2</v>
      </c>
      <c r="W2667">
        <v>-1.55231799999999E-3</v>
      </c>
      <c r="X2667">
        <v>0.99948950000000003</v>
      </c>
      <c r="Y2667">
        <v>-0.28560459999999999</v>
      </c>
      <c r="Z2667">
        <v>3.2536660000000002E-2</v>
      </c>
      <c r="AA2667">
        <v>0.95779510000000001</v>
      </c>
      <c r="AB2667">
        <v>16</v>
      </c>
      <c r="AC2667">
        <v>-8.6160000000000405</v>
      </c>
      <c r="AD2667">
        <v>-1.1137003233837</v>
      </c>
      <c r="AE2667">
        <v>-9.0253000000000103</v>
      </c>
      <c r="AF2667">
        <v>-3.5500025582820101</v>
      </c>
      <c r="AG2667">
        <v>-1.1137003233837</v>
      </c>
      <c r="AH2667">
        <v>11.8590747047633</v>
      </c>
      <c r="AI2667">
        <v>95.140874770834799</v>
      </c>
      <c r="AJ2667">
        <v>106.66502012626999</v>
      </c>
      <c r="AK2667">
        <v>12.4290184418268</v>
      </c>
      <c r="AL2667">
        <v>90.088941303704999</v>
      </c>
      <c r="AM2667">
        <v>91.828732121027102</v>
      </c>
      <c r="AN2667">
        <v>1.00000002110799</v>
      </c>
    </row>
    <row r="2668" spans="1:40" x14ac:dyDescent="0.25">
      <c r="A2668" t="str">
        <f>"20190312154308495"</f>
        <v>20190312154308495</v>
      </c>
      <c r="B2668" t="str">
        <f>"1552376588489984"</f>
        <v>1552376588489984</v>
      </c>
      <c r="C2668" t="s">
        <v>40</v>
      </c>
      <c r="D2668">
        <v>4.4913169999999996</v>
      </c>
      <c r="E2668">
        <v>0.40141529999999997</v>
      </c>
      <c r="F2668" t="s">
        <v>49</v>
      </c>
      <c r="G2668">
        <v>-488.41789999999997</v>
      </c>
      <c r="H2668" s="1">
        <v>6.7256839999999996E-7</v>
      </c>
      <c r="I2668">
        <v>271.90530000000001</v>
      </c>
      <c r="J2668">
        <v>-479.88929999999999</v>
      </c>
      <c r="K2668">
        <v>1.1136969999999999</v>
      </c>
      <c r="L2668">
        <v>280.89479999999998</v>
      </c>
      <c r="M2668">
        <v>-0.8671141</v>
      </c>
      <c r="N2668">
        <v>0</v>
      </c>
      <c r="O2668">
        <v>-0.49792130000000001</v>
      </c>
      <c r="P2668">
        <v>-0.85092049999999997</v>
      </c>
      <c r="Q2668">
        <v>-1.487657E-2</v>
      </c>
      <c r="R2668">
        <v>-0.525084</v>
      </c>
      <c r="S2668">
        <v>-2.137543</v>
      </c>
      <c r="T2668">
        <v>-0.27702949999999998</v>
      </c>
      <c r="U2668">
        <v>-2.246429</v>
      </c>
      <c r="V2668">
        <v>-3.1609779999999997E-2</v>
      </c>
      <c r="W2668">
        <v>-1.422467E-3</v>
      </c>
      <c r="X2668">
        <v>0.99949929999999998</v>
      </c>
      <c r="Y2668">
        <v>-0.28559010000000001</v>
      </c>
      <c r="Z2668">
        <v>3.3106169999999997E-2</v>
      </c>
      <c r="AA2668">
        <v>0.95777990000000002</v>
      </c>
      <c r="AB2668">
        <v>16</v>
      </c>
      <c r="AC2668">
        <v>-8.5285999999999795</v>
      </c>
      <c r="AD2668">
        <v>-1.1136963274316001</v>
      </c>
      <c r="AE2668">
        <v>-8.9894999999999605</v>
      </c>
      <c r="AF2668">
        <v>-3.5202477446640201</v>
      </c>
      <c r="AG2668">
        <v>-1.1136963274316001</v>
      </c>
      <c r="AH2668">
        <v>11.7773121467112</v>
      </c>
      <c r="AI2668">
        <v>95.176986618606605</v>
      </c>
      <c r="AJ2668">
        <v>106.641446150468</v>
      </c>
      <c r="AK2668">
        <v>12.3425096756947</v>
      </c>
      <c r="AL2668">
        <v>90.0815013809503</v>
      </c>
      <c r="AM2668">
        <v>91.811410509966606</v>
      </c>
      <c r="AN2668">
        <v>1.0000000261522499</v>
      </c>
    </row>
    <row r="2669" spans="1:40" x14ac:dyDescent="0.25">
      <c r="A2669" t="str">
        <f>"20190312154308506"</f>
        <v>20190312154308506</v>
      </c>
      <c r="B2669" t="str">
        <f>"1552376588499744"</f>
        <v>1552376588499744</v>
      </c>
      <c r="C2669" t="s">
        <v>40</v>
      </c>
      <c r="D2669">
        <v>4.4733349999999996</v>
      </c>
      <c r="E2669">
        <v>0.40174080000000001</v>
      </c>
      <c r="F2669" t="s">
        <v>49</v>
      </c>
      <c r="G2669">
        <v>-488.49509999999998</v>
      </c>
      <c r="H2669" s="1">
        <v>6.4804669999999998E-7</v>
      </c>
      <c r="I2669">
        <v>271.81659999999999</v>
      </c>
      <c r="J2669">
        <v>-479.9545</v>
      </c>
      <c r="K2669">
        <v>1.113693</v>
      </c>
      <c r="L2669">
        <v>280.85270000000003</v>
      </c>
      <c r="M2669">
        <v>-0.86533859999999996</v>
      </c>
      <c r="N2669">
        <v>0</v>
      </c>
      <c r="O2669">
        <v>-0.50100029999999995</v>
      </c>
      <c r="P2669">
        <v>-0.84909310000000005</v>
      </c>
      <c r="Q2669">
        <v>-1.4877690000000001E-2</v>
      </c>
      <c r="R2669">
        <v>-0.52803359999999899</v>
      </c>
      <c r="S2669">
        <v>-2.132568</v>
      </c>
      <c r="T2669">
        <v>-0.27598060000000002</v>
      </c>
      <c r="U2669">
        <v>-2.2496339999999999</v>
      </c>
      <c r="V2669">
        <v>-3.1524950000000003E-2</v>
      </c>
      <c r="W2669">
        <v>-1.4241480000000001E-3</v>
      </c>
      <c r="X2669">
        <v>0.99950190000000005</v>
      </c>
      <c r="Y2669">
        <v>-0.28398879999999999</v>
      </c>
      <c r="Z2669">
        <v>3.3354889999999998E-2</v>
      </c>
      <c r="AA2669">
        <v>0.95824719999999997</v>
      </c>
      <c r="AB2669">
        <v>16</v>
      </c>
      <c r="AC2669">
        <v>-8.54059999999998</v>
      </c>
      <c r="AD2669">
        <v>-1.1136923519533</v>
      </c>
      <c r="AE2669">
        <v>-9.0361000000000296</v>
      </c>
      <c r="AF2669">
        <v>-3.5125936695236102</v>
      </c>
      <c r="AG2669">
        <v>-1.1136923519533</v>
      </c>
      <c r="AH2669">
        <v>11.823855255512299</v>
      </c>
      <c r="AI2669">
        <v>95.159260732354596</v>
      </c>
      <c r="AJ2669">
        <v>106.545465671087</v>
      </c>
      <c r="AK2669">
        <v>12.384755873463201</v>
      </c>
      <c r="AL2669">
        <v>90.081597701514596</v>
      </c>
      <c r="AM2669">
        <v>91.806547823739507</v>
      </c>
      <c r="AN2669">
        <v>0.99999994938681802</v>
      </c>
    </row>
    <row r="2670" spans="1:40" x14ac:dyDescent="0.25">
      <c r="A2670" t="str">
        <f>"20190312154308518"</f>
        <v>20190312154308518</v>
      </c>
      <c r="B2670" t="str">
        <f>"1552376588510480"</f>
        <v>1552376588510480</v>
      </c>
      <c r="C2670" t="s">
        <v>40</v>
      </c>
      <c r="D2670">
        <v>4.4815880000000003</v>
      </c>
      <c r="E2670">
        <v>0.40202749999999998</v>
      </c>
      <c r="F2670" t="s">
        <v>49</v>
      </c>
      <c r="G2670">
        <v>-488.5086</v>
      </c>
      <c r="H2670" s="1">
        <v>6.3681840000000003E-7</v>
      </c>
      <c r="I2670">
        <v>271.78140000000002</v>
      </c>
      <c r="J2670">
        <v>-480.01850000000002</v>
      </c>
      <c r="K2670">
        <v>1.113694</v>
      </c>
      <c r="L2670">
        <v>280.81079999999997</v>
      </c>
      <c r="M2670">
        <v>-0.8635775</v>
      </c>
      <c r="N2670">
        <v>0</v>
      </c>
      <c r="O2670">
        <v>-0.50403050000000005</v>
      </c>
      <c r="P2670">
        <v>-0.8473233</v>
      </c>
      <c r="Q2670">
        <v>-1.4963280000000001E-2</v>
      </c>
      <c r="R2670">
        <v>-0.53086719999999998</v>
      </c>
      <c r="S2670">
        <v>-2.12616</v>
      </c>
      <c r="T2670">
        <v>-0.276812</v>
      </c>
      <c r="U2670">
        <v>-2.2547000000000001</v>
      </c>
      <c r="V2670">
        <v>-3.1360520000000003E-2</v>
      </c>
      <c r="W2670">
        <v>-1.5096549999999999E-3</v>
      </c>
      <c r="X2670">
        <v>0.99950700000000003</v>
      </c>
      <c r="Y2670">
        <v>-0.2831593</v>
      </c>
      <c r="Z2670">
        <v>3.3789090000000001E-2</v>
      </c>
      <c r="AA2670">
        <v>0.95847749999999998</v>
      </c>
      <c r="AB2670">
        <v>16</v>
      </c>
      <c r="AC2670">
        <v>-8.4900999999999804</v>
      </c>
      <c r="AD2670">
        <v>-1.1136933631815999</v>
      </c>
      <c r="AE2670">
        <v>-9.0293999999999492</v>
      </c>
      <c r="AF2670">
        <v>-3.4904634600575299</v>
      </c>
      <c r="AG2670">
        <v>-1.1136933631815999</v>
      </c>
      <c r="AH2670">
        <v>11.7888771841527</v>
      </c>
      <c r="AI2670">
        <v>95.175887330340501</v>
      </c>
      <c r="AJ2670">
        <v>106.49302479074601</v>
      </c>
      <c r="AK2670">
        <v>12.3450910622898</v>
      </c>
      <c r="AL2670">
        <v>90.086496892689098</v>
      </c>
      <c r="AM2670">
        <v>91.797122138730302</v>
      </c>
      <c r="AN2670">
        <v>1.0000000021609401</v>
      </c>
    </row>
    <row r="2671" spans="1:40" x14ac:dyDescent="0.25">
      <c r="A2671" t="str">
        <f>"20190312154308530"</f>
        <v>20190312154308530</v>
      </c>
      <c r="B2671" t="str">
        <f>"1552376588520241"</f>
        <v>1552376588520241</v>
      </c>
      <c r="C2671" t="s">
        <v>40</v>
      </c>
      <c r="D2671">
        <v>4.4566650000000001</v>
      </c>
      <c r="E2671">
        <v>0.4023641</v>
      </c>
      <c r="F2671" t="s">
        <v>49</v>
      </c>
      <c r="G2671">
        <v>-488.48809999999997</v>
      </c>
      <c r="H2671" s="1">
        <v>6.3501859999999998E-7</v>
      </c>
      <c r="I2671">
        <v>271.78149999999999</v>
      </c>
      <c r="J2671">
        <v>-480.08980000000003</v>
      </c>
      <c r="K2671">
        <v>1.1136870000000001</v>
      </c>
      <c r="L2671">
        <v>280.76400000000001</v>
      </c>
      <c r="M2671">
        <v>-0.86160009999999998</v>
      </c>
      <c r="N2671">
        <v>0</v>
      </c>
      <c r="O2671">
        <v>-0.50740299999999905</v>
      </c>
      <c r="P2671">
        <v>-0.84526749999999995</v>
      </c>
      <c r="Q2671">
        <v>-1.455761E-2</v>
      </c>
      <c r="R2671">
        <v>-0.53414510000000004</v>
      </c>
      <c r="S2671">
        <v>-2.1197810000000001</v>
      </c>
      <c r="T2671">
        <v>-0.27873779999999998</v>
      </c>
      <c r="U2671">
        <v>-2.2598880000000001</v>
      </c>
      <c r="V2671">
        <v>-3.1323839999999999E-2</v>
      </c>
      <c r="W2671">
        <v>-1.1049860000000001E-3</v>
      </c>
      <c r="X2671">
        <v>0.99950870000000003</v>
      </c>
      <c r="Y2671">
        <v>-0.28196860000000001</v>
      </c>
      <c r="Z2671">
        <v>3.440642E-2</v>
      </c>
      <c r="AA2671">
        <v>0.95880650000000001</v>
      </c>
      <c r="AB2671">
        <v>16</v>
      </c>
      <c r="AC2671">
        <v>-8.3982999999999493</v>
      </c>
      <c r="AD2671">
        <v>-1.1136863649813999</v>
      </c>
      <c r="AE2671">
        <v>-8.9825000000000106</v>
      </c>
      <c r="AF2671">
        <v>-3.4500287914511301</v>
      </c>
      <c r="AG2671">
        <v>-1.1136863649813999</v>
      </c>
      <c r="AH2671">
        <v>11.6988736488866</v>
      </c>
      <c r="AI2671">
        <v>95.217117203558203</v>
      </c>
      <c r="AJ2671">
        <v>106.430927664168</v>
      </c>
      <c r="AK2671">
        <v>12.2477198136633</v>
      </c>
      <c r="AL2671">
        <v>90.063311045670005</v>
      </c>
      <c r="AM2671">
        <v>91.795018507398197</v>
      </c>
      <c r="AN2671">
        <v>1.0000000226610399</v>
      </c>
    </row>
    <row r="2672" spans="1:40" x14ac:dyDescent="0.25">
      <c r="A2672" t="str">
        <f>"20190312154308541"</f>
        <v>20190312154308541</v>
      </c>
      <c r="B2672" t="str">
        <f>"1552376588530002"</f>
        <v>1552376588530002</v>
      </c>
      <c r="C2672" t="s">
        <v>40</v>
      </c>
      <c r="D2672">
        <v>4.4591050000000001</v>
      </c>
      <c r="E2672">
        <v>0.4026863</v>
      </c>
      <c r="F2672" t="s">
        <v>49</v>
      </c>
      <c r="G2672">
        <v>-488.5548</v>
      </c>
      <c r="H2672" s="1">
        <v>6.0704469999999896E-7</v>
      </c>
      <c r="I2672">
        <v>271.68560000000002</v>
      </c>
      <c r="J2672">
        <v>-480.15539999999999</v>
      </c>
      <c r="K2672">
        <v>1.1136779999999999</v>
      </c>
      <c r="L2672">
        <v>280.72059999999999</v>
      </c>
      <c r="M2672">
        <v>-0.8597669</v>
      </c>
      <c r="N2672">
        <v>0</v>
      </c>
      <c r="O2672">
        <v>-0.51050309999999999</v>
      </c>
      <c r="P2672">
        <v>-0.84339609999999998</v>
      </c>
      <c r="Q2672">
        <v>-1.43721E-2</v>
      </c>
      <c r="R2672">
        <v>-0.53710040000000003</v>
      </c>
      <c r="S2672">
        <v>-2.1126100000000001</v>
      </c>
      <c r="T2672">
        <v>-0.27794340000000001</v>
      </c>
      <c r="U2672">
        <v>-2.265717</v>
      </c>
      <c r="V2672">
        <v>-3.1221369999999998E-2</v>
      </c>
      <c r="W2672">
        <v>-9.1994129999999996E-4</v>
      </c>
      <c r="X2672">
        <v>0.99951210000000001</v>
      </c>
      <c r="Y2672">
        <v>-0.2813734</v>
      </c>
      <c r="Z2672">
        <v>3.4641100000000001E-2</v>
      </c>
      <c r="AA2672">
        <v>0.95897290000000002</v>
      </c>
      <c r="AB2672">
        <v>16</v>
      </c>
      <c r="AC2672">
        <v>-8.3994000000000106</v>
      </c>
      <c r="AD2672">
        <v>-1.1136773929553001</v>
      </c>
      <c r="AE2672">
        <v>-9.0349999999999593</v>
      </c>
      <c r="AF2672">
        <v>-3.4522644629505801</v>
      </c>
      <c r="AG2672">
        <v>-1.1136773929553001</v>
      </c>
      <c r="AH2672">
        <v>11.7393551512322</v>
      </c>
      <c r="AI2672">
        <v>95.2003420237575</v>
      </c>
      <c r="AJ2672">
        <v>106.38735243690201</v>
      </c>
      <c r="AK2672">
        <v>12.2870202500237</v>
      </c>
      <c r="AL2672">
        <v>90.052708759788203</v>
      </c>
      <c r="AM2672">
        <v>91.789144185503204</v>
      </c>
      <c r="AN2672">
        <v>1.0000000291415401</v>
      </c>
    </row>
    <row r="2673" spans="1:40" x14ac:dyDescent="0.25">
      <c r="A2673" t="str">
        <f>"20190312154308552"</f>
        <v>20190312154308552</v>
      </c>
      <c r="B2673" t="str">
        <f>"1552376588539761"</f>
        <v>1552376588539761</v>
      </c>
      <c r="C2673" t="s">
        <v>40</v>
      </c>
      <c r="D2673">
        <v>4.448861</v>
      </c>
      <c r="E2673">
        <v>0.40309410000000001</v>
      </c>
      <c r="F2673" t="s">
        <v>49</v>
      </c>
      <c r="G2673">
        <v>-488.59359999999998</v>
      </c>
      <c r="H2673" s="1">
        <v>5.8741449999999996E-7</v>
      </c>
      <c r="I2673">
        <v>271.62029999999999</v>
      </c>
      <c r="J2673">
        <v>-480.2199</v>
      </c>
      <c r="K2673">
        <v>1.1136740000000001</v>
      </c>
      <c r="L2673">
        <v>280.67750000000001</v>
      </c>
      <c r="M2673">
        <v>-0.85794789999999999</v>
      </c>
      <c r="N2673">
        <v>0</v>
      </c>
      <c r="O2673">
        <v>-0.51355419999999996</v>
      </c>
      <c r="P2673">
        <v>-0.84149099999999999</v>
      </c>
      <c r="Q2673">
        <v>-1.434643E-2</v>
      </c>
      <c r="R2673">
        <v>-0.54008049999999996</v>
      </c>
      <c r="S2673">
        <v>-2.1059570000000001</v>
      </c>
      <c r="T2673">
        <v>-0.27794469999999999</v>
      </c>
      <c r="U2673">
        <v>-2.2711790000000001</v>
      </c>
      <c r="V2673">
        <v>-3.1206600000000001E-2</v>
      </c>
      <c r="W2673">
        <v>-8.9543509999999904E-4</v>
      </c>
      <c r="X2673">
        <v>0.99951259999999997</v>
      </c>
      <c r="Y2673">
        <v>-0.28063579999999999</v>
      </c>
      <c r="Z2673">
        <v>3.4973530000000003E-2</v>
      </c>
      <c r="AA2673">
        <v>0.95917699999999995</v>
      </c>
      <c r="AB2673">
        <v>16</v>
      </c>
      <c r="AC2673">
        <v>-8.3736999999999799</v>
      </c>
      <c r="AD2673">
        <v>-1.1136734125854999</v>
      </c>
      <c r="AE2673">
        <v>-9.0572000000000195</v>
      </c>
      <c r="AF2673">
        <v>-3.4425204815454502</v>
      </c>
      <c r="AG2673">
        <v>-1.1136734125854999</v>
      </c>
      <c r="AH2673">
        <v>11.740964323095399</v>
      </c>
      <c r="AI2673">
        <v>95.200831342067801</v>
      </c>
      <c r="AJ2673">
        <v>106.341450507386</v>
      </c>
      <c r="AK2673">
        <v>12.285823495881701</v>
      </c>
      <c r="AL2673">
        <v>90.051304656573194</v>
      </c>
      <c r="AM2673">
        <v>91.788297444668601</v>
      </c>
      <c r="AN2673">
        <v>1.0000000456231599</v>
      </c>
    </row>
    <row r="2674" spans="1:40" x14ac:dyDescent="0.25">
      <c r="A2674" t="str">
        <f>"20190312154308564"</f>
        <v>20190312154308564</v>
      </c>
      <c r="B2674" t="str">
        <f>"1552376588560256"</f>
        <v>1552376588560256</v>
      </c>
      <c r="C2674" t="s">
        <v>40</v>
      </c>
      <c r="D2674">
        <v>4.4490339999999904</v>
      </c>
      <c r="E2674">
        <v>0.40848590000000001</v>
      </c>
      <c r="F2674" t="s">
        <v>49</v>
      </c>
      <c r="G2674">
        <v>-488.62759999999997</v>
      </c>
      <c r="H2674" s="1">
        <v>5.7081499999999999E-7</v>
      </c>
      <c r="I2674">
        <v>271.56479999999999</v>
      </c>
      <c r="J2674">
        <v>-480.28739999999999</v>
      </c>
      <c r="K2674">
        <v>1.1136680000000001</v>
      </c>
      <c r="L2674">
        <v>280.63209999999998</v>
      </c>
      <c r="M2674">
        <v>-0.85602909999999899</v>
      </c>
      <c r="N2674">
        <v>0</v>
      </c>
      <c r="O2674">
        <v>-0.51674629999999999</v>
      </c>
      <c r="P2674">
        <v>-0.83954189999999995</v>
      </c>
      <c r="Q2674">
        <v>-1.427816E-2</v>
      </c>
      <c r="R2674">
        <v>-0.54310760000000002</v>
      </c>
      <c r="S2674">
        <v>-2.0997620000000001</v>
      </c>
      <c r="T2674">
        <v>-0.27813139999999997</v>
      </c>
      <c r="U2674">
        <v>-2.2758180000000001</v>
      </c>
      <c r="V2674">
        <v>-3.1083159999999999E-2</v>
      </c>
      <c r="W2674">
        <v>-8.2758149999999895E-4</v>
      </c>
      <c r="X2674">
        <v>0.99951650000000003</v>
      </c>
      <c r="Y2674">
        <v>-0.27945890000000001</v>
      </c>
      <c r="Z2674">
        <v>3.5364239999999998E-2</v>
      </c>
      <c r="AA2674">
        <v>0.95950619999999998</v>
      </c>
      <c r="AB2674">
        <v>16</v>
      </c>
      <c r="AC2674">
        <v>-8.3401999999999799</v>
      </c>
      <c r="AD2674">
        <v>-1.1136674291849999</v>
      </c>
      <c r="AE2674">
        <v>-9.0672999999999799</v>
      </c>
      <c r="AF2674">
        <v>-3.4244452863232802</v>
      </c>
      <c r="AG2674">
        <v>-1.1136674291849999</v>
      </c>
      <c r="AH2674">
        <v>11.7302006159392</v>
      </c>
      <c r="AI2674">
        <v>95.207324433930097</v>
      </c>
      <c r="AJ2674">
        <v>106.274323956502</v>
      </c>
      <c r="AK2674">
        <v>12.270480314642599</v>
      </c>
      <c r="AL2674">
        <v>90.047416930633403</v>
      </c>
      <c r="AM2674">
        <v>91.7812213229343</v>
      </c>
      <c r="AN2674">
        <v>1.00000004074948</v>
      </c>
    </row>
    <row r="2675" spans="1:40" x14ac:dyDescent="0.25">
      <c r="A2675" t="str">
        <f>"20190312154308576"</f>
        <v>20190312154308576</v>
      </c>
      <c r="B2675" t="str">
        <f>"1552376588570016"</f>
        <v>1552376588570016</v>
      </c>
      <c r="C2675" t="s">
        <v>40</v>
      </c>
      <c r="D2675">
        <v>4.4705120000000003</v>
      </c>
      <c r="E2675">
        <v>0.4092113</v>
      </c>
      <c r="F2675" t="s">
        <v>49</v>
      </c>
      <c r="G2675">
        <v>-488.45420000000001</v>
      </c>
      <c r="H2675" s="1">
        <v>6.9223550000000004E-7</v>
      </c>
      <c r="I2675">
        <v>271.95179999999999</v>
      </c>
      <c r="J2675">
        <v>-480.35520000000002</v>
      </c>
      <c r="K2675">
        <v>1.1136649999999999</v>
      </c>
      <c r="L2675">
        <v>280.58609999999999</v>
      </c>
      <c r="M2675">
        <v>-0.85408320000000004</v>
      </c>
      <c r="N2675">
        <v>0</v>
      </c>
      <c r="O2675">
        <v>-0.51995639999999999</v>
      </c>
      <c r="P2675">
        <v>-0.83741840000000001</v>
      </c>
      <c r="Q2675">
        <v>-1.433334E-2</v>
      </c>
      <c r="R2675">
        <v>-0.54637429999999998</v>
      </c>
      <c r="S2675">
        <v>-2.114563</v>
      </c>
      <c r="T2675">
        <v>-0.2883501</v>
      </c>
      <c r="U2675">
        <v>-2.2474980000000002</v>
      </c>
      <c r="V2675">
        <v>-3.122519E-2</v>
      </c>
      <c r="W2675">
        <v>-8.8524999999999997E-4</v>
      </c>
      <c r="X2675">
        <v>0.99951199999999996</v>
      </c>
      <c r="Y2675">
        <v>-0.26658330000000002</v>
      </c>
      <c r="Z2675">
        <v>3.764961E-2</v>
      </c>
      <c r="AA2675">
        <v>0.96307619999999905</v>
      </c>
      <c r="AB2675">
        <v>16</v>
      </c>
      <c r="AC2675">
        <v>-8.0989999999999895</v>
      </c>
      <c r="AD2675">
        <v>-1.1136643077645001</v>
      </c>
      <c r="AE2675">
        <v>-8.6342999999999908</v>
      </c>
      <c r="AF2675">
        <v>-3.1358285513056998</v>
      </c>
      <c r="AG2675">
        <v>-1.1136643077645001</v>
      </c>
      <c r="AH2675">
        <v>11.307677206063</v>
      </c>
      <c r="AI2675">
        <v>95.421455172730703</v>
      </c>
      <c r="AJ2675">
        <v>105.49968064337899</v>
      </c>
      <c r="AK2675">
        <v>11.787163895106</v>
      </c>
      <c r="AL2675">
        <v>90.0507210945688</v>
      </c>
      <c r="AM2675">
        <v>91.789363127647903</v>
      </c>
      <c r="AN2675">
        <v>1.0000000171510399</v>
      </c>
    </row>
    <row r="2676" spans="1:40" x14ac:dyDescent="0.25">
      <c r="A2676" t="str">
        <f>"20190312154308587"</f>
        <v>20190312154308587</v>
      </c>
      <c r="B2676" t="str">
        <f>"1552376588579777"</f>
        <v>1552376588579777</v>
      </c>
      <c r="C2676" t="s">
        <v>40</v>
      </c>
      <c r="D2676">
        <v>4.4481999999999999</v>
      </c>
      <c r="E2676">
        <v>0.40985820000000001</v>
      </c>
      <c r="F2676" t="s">
        <v>49</v>
      </c>
      <c r="G2676">
        <v>-488.35239999999999</v>
      </c>
      <c r="H2676" s="1">
        <v>7.1741950000000001E-7</v>
      </c>
      <c r="I2676">
        <v>272.04860000000002</v>
      </c>
      <c r="J2676">
        <v>-480.42320000000001</v>
      </c>
      <c r="K2676">
        <v>1.113658</v>
      </c>
      <c r="L2676">
        <v>280.53969999999998</v>
      </c>
      <c r="M2676">
        <v>-0.85211939999999997</v>
      </c>
      <c r="N2676">
        <v>0</v>
      </c>
      <c r="O2676">
        <v>-0.52316870000000004</v>
      </c>
      <c r="P2676">
        <v>-0.83555610000000002</v>
      </c>
      <c r="Q2676">
        <v>-1.4102740000000001E-2</v>
      </c>
      <c r="R2676">
        <v>-0.5492245</v>
      </c>
      <c r="S2676">
        <v>-2.1087039999999999</v>
      </c>
      <c r="T2676">
        <v>-0.2936513</v>
      </c>
      <c r="U2676">
        <v>-2.25116</v>
      </c>
      <c r="V2676">
        <v>-3.0867260000000001E-2</v>
      </c>
      <c r="W2676">
        <v>-6.5313649999999997E-4</v>
      </c>
      <c r="X2676">
        <v>0.9995233</v>
      </c>
      <c r="Y2676">
        <v>-0.26511580000000001</v>
      </c>
      <c r="Z2676">
        <v>3.8746990000000002E-2</v>
      </c>
      <c r="AA2676">
        <v>0.96343769999999995</v>
      </c>
      <c r="AB2676">
        <v>16</v>
      </c>
      <c r="AC2676">
        <v>-7.9291999999999803</v>
      </c>
      <c r="AD2676">
        <v>-1.1136572825805</v>
      </c>
      <c r="AE2676">
        <v>-8.4910999999999603</v>
      </c>
      <c r="AF2676">
        <v>-3.0592989906324899</v>
      </c>
      <c r="AG2676">
        <v>-1.1136572825805</v>
      </c>
      <c r="AH2676">
        <v>11.0979723995827</v>
      </c>
      <c r="AI2676">
        <v>95.525570298509507</v>
      </c>
      <c r="AJ2676">
        <v>105.411554968017</v>
      </c>
      <c r="AK2676">
        <v>11.5656618590995</v>
      </c>
      <c r="AL2676">
        <v>90.037421966778695</v>
      </c>
      <c r="AM2676">
        <v>91.768845028546096</v>
      </c>
      <c r="AN2676">
        <v>1.0000000207850399</v>
      </c>
    </row>
    <row r="2677" spans="1:40" x14ac:dyDescent="0.25">
      <c r="A2677" t="str">
        <f>"20190312154308598"</f>
        <v>20190312154308598</v>
      </c>
      <c r="B2677" t="str">
        <f>"1552376588590513"</f>
        <v>1552376588590513</v>
      </c>
      <c r="C2677" t="s">
        <v>40</v>
      </c>
      <c r="D2677">
        <v>4.4730420000000004</v>
      </c>
      <c r="E2677">
        <v>0.41033259999999999</v>
      </c>
      <c r="F2677" t="s">
        <v>49</v>
      </c>
      <c r="G2677">
        <v>-488.38940000000002</v>
      </c>
      <c r="H2677" s="1">
        <v>7.0482199999999998E-7</v>
      </c>
      <c r="I2677">
        <v>272.00369999999998</v>
      </c>
      <c r="J2677">
        <v>-480.47910000000002</v>
      </c>
      <c r="K2677">
        <v>1.1136539999999999</v>
      </c>
      <c r="L2677">
        <v>280.50099999999998</v>
      </c>
      <c r="M2677">
        <v>-0.85048509999999999</v>
      </c>
      <c r="N2677">
        <v>0</v>
      </c>
      <c r="O2677">
        <v>-0.52582109999999904</v>
      </c>
      <c r="P2677">
        <v>-0.83397129999999997</v>
      </c>
      <c r="Q2677">
        <v>-1.4167519999999999E-2</v>
      </c>
      <c r="R2677">
        <v>-0.55162580000000005</v>
      </c>
      <c r="S2677">
        <v>-2.1037599999999999</v>
      </c>
      <c r="T2677">
        <v>-0.29409790000000002</v>
      </c>
      <c r="U2677">
        <v>-2.2542110000000002</v>
      </c>
      <c r="V2677">
        <v>-3.062848E-2</v>
      </c>
      <c r="W2677">
        <v>-7.1725800000000002E-4</v>
      </c>
      <c r="X2677">
        <v>0.99953060000000005</v>
      </c>
      <c r="Y2677">
        <v>-0.26390669999999999</v>
      </c>
      <c r="Z2677">
        <v>3.9144520000000002E-2</v>
      </c>
      <c r="AA2677">
        <v>0.96375359999999999</v>
      </c>
      <c r="AB2677">
        <v>16</v>
      </c>
      <c r="AC2677">
        <v>-7.9103000000000003</v>
      </c>
      <c r="AD2677">
        <v>-1.113653295178</v>
      </c>
      <c r="AE2677">
        <v>-8.4972999999999903</v>
      </c>
      <c r="AF2677">
        <v>-3.0397398203477901</v>
      </c>
      <c r="AG2677">
        <v>-1.113653295178</v>
      </c>
      <c r="AH2677">
        <v>11.0946072651086</v>
      </c>
      <c r="AI2677">
        <v>95.529573818837903</v>
      </c>
      <c r="AJ2677">
        <v>105.322093204141</v>
      </c>
      <c r="AK2677">
        <v>11.5572726974953</v>
      </c>
      <c r="AL2677">
        <v>90.041095858952801</v>
      </c>
      <c r="AM2677">
        <v>91.755157547550695</v>
      </c>
      <c r="AN2677">
        <v>1.0000000192912499</v>
      </c>
    </row>
    <row r="2678" spans="1:40" x14ac:dyDescent="0.25">
      <c r="A2678" t="str">
        <f>"20190312154308611"</f>
        <v>20190312154308611</v>
      </c>
      <c r="B2678" t="str">
        <f>"1552376588600273"</f>
        <v>1552376588600273</v>
      </c>
      <c r="C2678" t="s">
        <v>40</v>
      </c>
      <c r="D2678">
        <v>4.3764729999999998</v>
      </c>
      <c r="E2678">
        <v>0.41033259999999999</v>
      </c>
      <c r="F2678" t="s">
        <v>49</v>
      </c>
      <c r="G2678">
        <v>-488.34469999999999</v>
      </c>
      <c r="H2678" s="1">
        <v>7.155665E-7</v>
      </c>
      <c r="I2678">
        <v>272.0453</v>
      </c>
      <c r="J2678">
        <v>-480.55090000000001</v>
      </c>
      <c r="K2678">
        <v>1.113648</v>
      </c>
      <c r="L2678">
        <v>280.45119999999997</v>
      </c>
      <c r="M2678">
        <v>-0.84837499999999999</v>
      </c>
      <c r="N2678">
        <v>0</v>
      </c>
      <c r="O2678">
        <v>-0.52921909999999905</v>
      </c>
      <c r="P2678">
        <v>-0.8317196</v>
      </c>
      <c r="Q2678">
        <v>-1.422083E-2</v>
      </c>
      <c r="R2678">
        <v>-0.55501440000000002</v>
      </c>
      <c r="S2678">
        <v>-2.099396</v>
      </c>
      <c r="T2678">
        <v>-0.29724410000000001</v>
      </c>
      <c r="U2678">
        <v>-2.2568969999999999</v>
      </c>
      <c r="V2678">
        <v>-3.0696629999999999E-2</v>
      </c>
      <c r="W2678">
        <v>-7.726063E-4</v>
      </c>
      <c r="X2678">
        <v>0.99952850000000004</v>
      </c>
      <c r="Y2678">
        <v>-0.261656</v>
      </c>
      <c r="Z2678">
        <v>4.00241E-2</v>
      </c>
      <c r="AA2678">
        <v>0.96433100000000005</v>
      </c>
      <c r="AB2678">
        <v>16</v>
      </c>
      <c r="AC2678">
        <v>-7.7937999999999699</v>
      </c>
      <c r="AD2678">
        <v>-1.1136472844334999</v>
      </c>
      <c r="AE2678">
        <v>-8.4058999999999706</v>
      </c>
      <c r="AF2678">
        <v>-2.9788932059800102</v>
      </c>
      <c r="AG2678">
        <v>-1.1136472844334999</v>
      </c>
      <c r="AH2678">
        <v>10.958235600588299</v>
      </c>
      <c r="AI2678">
        <v>95.600951504975001</v>
      </c>
      <c r="AJ2678">
        <v>105.207821911343</v>
      </c>
      <c r="AK2678">
        <v>11.4103874817974</v>
      </c>
      <c r="AL2678">
        <v>90.044267082354295</v>
      </c>
      <c r="AM2678">
        <v>91.759064109207003</v>
      </c>
      <c r="AN2678">
        <v>1.00000005116304</v>
      </c>
    </row>
    <row r="2679" spans="1:40" x14ac:dyDescent="0.25">
      <c r="A2679" t="str">
        <f>"20190312154308623"</f>
        <v>20190312154308623</v>
      </c>
      <c r="B2679" t="str">
        <f>"1552376588610032"</f>
        <v>1552376588610032</v>
      </c>
      <c r="C2679" t="s">
        <v>40</v>
      </c>
      <c r="D2679">
        <v>4.3789639999999999</v>
      </c>
      <c r="E2679">
        <v>0.40412579999999998</v>
      </c>
      <c r="F2679" t="s">
        <v>49</v>
      </c>
      <c r="G2679">
        <v>-488.37139999999999</v>
      </c>
      <c r="H2679" s="1">
        <v>6.9249709999999905E-7</v>
      </c>
      <c r="I2679">
        <v>271.97329999999999</v>
      </c>
      <c r="J2679">
        <v>-480.6275</v>
      </c>
      <c r="K2679">
        <v>1.11364</v>
      </c>
      <c r="L2679">
        <v>280.39760000000001</v>
      </c>
      <c r="M2679">
        <v>-0.84610149999999995</v>
      </c>
      <c r="N2679">
        <v>0</v>
      </c>
      <c r="O2679">
        <v>-0.53284619999999905</v>
      </c>
      <c r="P2679">
        <v>-0.82936030000000005</v>
      </c>
      <c r="Q2679">
        <v>-1.417069E-2</v>
      </c>
      <c r="R2679">
        <v>-0.55853439999999999</v>
      </c>
      <c r="S2679">
        <v>-2.0899960000000002</v>
      </c>
      <c r="T2679">
        <v>-0.29761769999999999</v>
      </c>
      <c r="U2679">
        <v>-2.2656860000000001</v>
      </c>
      <c r="V2679">
        <v>-3.0654219999999999E-2</v>
      </c>
      <c r="W2679">
        <v>-7.237287E-4</v>
      </c>
      <c r="X2679">
        <v>0.99952980000000002</v>
      </c>
      <c r="Y2679">
        <v>-0.26156469999999998</v>
      </c>
      <c r="Z2679">
        <v>4.0455169999999999E-2</v>
      </c>
      <c r="AA2679">
        <v>0.96433769999999996</v>
      </c>
      <c r="AB2679">
        <v>16</v>
      </c>
      <c r="AC2679">
        <v>-7.7438999999999902</v>
      </c>
      <c r="AD2679">
        <v>-1.1136393075029001</v>
      </c>
      <c r="AE2679">
        <v>-8.4243000000000094</v>
      </c>
      <c r="AF2679">
        <v>-2.9736209212852001</v>
      </c>
      <c r="AG2679">
        <v>-1.1136393075029001</v>
      </c>
      <c r="AH2679">
        <v>10.9384099215376</v>
      </c>
      <c r="AI2679">
        <v>95.610983360750893</v>
      </c>
      <c r="AJ2679">
        <v>105.20839326901</v>
      </c>
      <c r="AK2679">
        <v>11.3899703907566</v>
      </c>
      <c r="AL2679">
        <v>90.041466603101796</v>
      </c>
      <c r="AM2679">
        <v>91.756633053271898</v>
      </c>
      <c r="AN2679">
        <v>1.0000000130375299</v>
      </c>
    </row>
    <row r="2680" spans="1:40" x14ac:dyDescent="0.25">
      <c r="A2680" t="str">
        <f>"20190312154308636"</f>
        <v>20190312154308636</v>
      </c>
      <c r="B2680" t="str">
        <f>"1552376588630528"</f>
        <v>1552376588630528</v>
      </c>
      <c r="C2680" t="s">
        <v>40</v>
      </c>
      <c r="D2680">
        <v>4.3516620000000001</v>
      </c>
      <c r="E2680">
        <v>0.40477259999999998</v>
      </c>
      <c r="F2680" t="s">
        <v>43</v>
      </c>
      <c r="G2680">
        <v>-490.76510000000002</v>
      </c>
      <c r="H2680" s="1">
        <v>-4.2181390000000003E-6</v>
      </c>
      <c r="I2680">
        <v>268.98320000000001</v>
      </c>
      <c r="J2680">
        <v>-480.69589999999999</v>
      </c>
      <c r="K2680">
        <v>1.1136360000000001</v>
      </c>
      <c r="L2680">
        <v>280.3492</v>
      </c>
      <c r="M2680">
        <v>-0.84405239999999904</v>
      </c>
      <c r="N2680">
        <v>0</v>
      </c>
      <c r="O2680">
        <v>-0.53608659999999997</v>
      </c>
      <c r="P2680">
        <v>-0.82724880000000001</v>
      </c>
      <c r="Q2680">
        <v>-1.394515E-2</v>
      </c>
      <c r="R2680">
        <v>-0.56166300000000002</v>
      </c>
      <c r="S2680">
        <v>-2.0550839999999999</v>
      </c>
      <c r="T2680">
        <v>-0.2257557</v>
      </c>
      <c r="U2680">
        <v>-2.313904</v>
      </c>
      <c r="V2680">
        <v>-3.059607E-2</v>
      </c>
      <c r="W2680">
        <v>-4.9914429999999997E-4</v>
      </c>
      <c r="X2680">
        <v>0.99953170000000002</v>
      </c>
      <c r="Y2680">
        <v>-0.27561479999999999</v>
      </c>
      <c r="Z2680">
        <v>3.0403599999999999E-2</v>
      </c>
      <c r="AA2680">
        <v>0.96078719999999995</v>
      </c>
      <c r="AB2680">
        <v>16</v>
      </c>
      <c r="AC2680">
        <v>-10.0692</v>
      </c>
      <c r="AD2680">
        <v>-1.1136402181389999</v>
      </c>
      <c r="AE2680">
        <v>-11.3659999999999</v>
      </c>
      <c r="AF2680">
        <v>-4.1734801640993604</v>
      </c>
      <c r="AG2680">
        <v>-1.1136402181389999</v>
      </c>
      <c r="AH2680">
        <v>14.515381092746701</v>
      </c>
      <c r="AI2680">
        <v>94.217024812515106</v>
      </c>
      <c r="AJ2680">
        <v>106.041066598295</v>
      </c>
      <c r="AK2680">
        <v>15.144451772291299</v>
      </c>
      <c r="AL2680">
        <v>90.028598863117793</v>
      </c>
      <c r="AM2680">
        <v>91.753299531935994</v>
      </c>
      <c r="AN2680">
        <v>0.99999999397468298</v>
      </c>
    </row>
    <row r="2681" spans="1:40" x14ac:dyDescent="0.25">
      <c r="A2681" t="str">
        <f>"20190312154308651"</f>
        <v>20190312154308651</v>
      </c>
      <c r="B2681" t="str">
        <f>"1552376588640289"</f>
        <v>1552376588640289</v>
      </c>
      <c r="C2681" t="s">
        <v>40</v>
      </c>
      <c r="D2681">
        <v>4.3642500000000002</v>
      </c>
      <c r="E2681">
        <v>0.40558329999999998</v>
      </c>
      <c r="F2681" t="s">
        <v>43</v>
      </c>
      <c r="G2681">
        <v>-491.0283</v>
      </c>
      <c r="H2681" s="1">
        <v>-4.1568160000000002E-6</v>
      </c>
      <c r="I2681">
        <v>268.66579999999999</v>
      </c>
      <c r="J2681">
        <v>-480.78</v>
      </c>
      <c r="K2681">
        <v>1.113634</v>
      </c>
      <c r="L2681">
        <v>280.28930000000003</v>
      </c>
      <c r="M2681">
        <v>-0.84151069999999994</v>
      </c>
      <c r="N2681">
        <v>0</v>
      </c>
      <c r="O2681">
        <v>-0.54006739999999998</v>
      </c>
      <c r="P2681">
        <v>-0.82456689999999999</v>
      </c>
      <c r="Q2681">
        <v>-1.34527E-2</v>
      </c>
      <c r="R2681">
        <v>-0.56560440000000001</v>
      </c>
      <c r="S2681">
        <v>-2.0494080000000001</v>
      </c>
      <c r="T2681">
        <v>-0.22088740000000001</v>
      </c>
      <c r="U2681">
        <v>-2.317383</v>
      </c>
      <c r="V2681">
        <v>-3.0644689999999999E-2</v>
      </c>
      <c r="W2681" s="1">
        <v>-8.754345E-6</v>
      </c>
      <c r="X2681">
        <v>0.99953029999999998</v>
      </c>
      <c r="Y2681">
        <v>-0.27310000000000001</v>
      </c>
      <c r="Z2681">
        <v>3.0150329999999999E-2</v>
      </c>
      <c r="AA2681">
        <v>0.96151299999999995</v>
      </c>
      <c r="AB2681">
        <v>16</v>
      </c>
      <c r="AC2681">
        <v>-10.2483</v>
      </c>
      <c r="AD2681">
        <v>-1.1136381568160001</v>
      </c>
      <c r="AE2681">
        <v>-11.6235</v>
      </c>
      <c r="AF2681">
        <v>-4.22510296241839</v>
      </c>
      <c r="AG2681">
        <v>-1.1136381568160001</v>
      </c>
      <c r="AH2681">
        <v>14.8263486383863</v>
      </c>
      <c r="AI2681">
        <v>94.131653903210804</v>
      </c>
      <c r="AJ2681">
        <v>105.906099388618</v>
      </c>
      <c r="AK2681">
        <v>15.456788118310101</v>
      </c>
      <c r="AL2681">
        <v>90.000501587041498</v>
      </c>
      <c r="AM2681">
        <v>91.756086402898603</v>
      </c>
      <c r="AN2681">
        <v>0.99999995885996096</v>
      </c>
    </row>
    <row r="2682" spans="1:40" x14ac:dyDescent="0.25">
      <c r="A2682" t="str">
        <f>"20190312154308672"</f>
        <v>20190312154308672</v>
      </c>
      <c r="B2682" t="str">
        <f>"1552376588659808"</f>
        <v>1552376588659808</v>
      </c>
      <c r="C2682" t="s">
        <v>40</v>
      </c>
      <c r="D2682">
        <v>4.3467929999999999</v>
      </c>
      <c r="E2682">
        <v>0.40656300000000001</v>
      </c>
      <c r="F2682" t="s">
        <v>43</v>
      </c>
      <c r="G2682">
        <v>-491.16559999999998</v>
      </c>
      <c r="H2682" s="1">
        <v>-4.1175879999999999E-6</v>
      </c>
      <c r="I2682">
        <v>268.47899999999998</v>
      </c>
      <c r="J2682">
        <v>-480.90249999999997</v>
      </c>
      <c r="K2682">
        <v>1.113623</v>
      </c>
      <c r="L2682">
        <v>280.20089999999999</v>
      </c>
      <c r="M2682">
        <v>-0.83775299999999997</v>
      </c>
      <c r="N2682">
        <v>0</v>
      </c>
      <c r="O2682">
        <v>-0.54587839999999999</v>
      </c>
      <c r="P2682">
        <v>-0.82048109999999996</v>
      </c>
      <c r="Q2682">
        <v>-1.3360199999999999E-2</v>
      </c>
      <c r="R2682">
        <v>-0.57151790000000002</v>
      </c>
      <c r="S2682">
        <v>-2.0419010000000002</v>
      </c>
      <c r="T2682">
        <v>-0.2189509</v>
      </c>
      <c r="U2682">
        <v>-2.3220209999999999</v>
      </c>
      <c r="V2682">
        <v>-3.091207E-2</v>
      </c>
      <c r="W2682" s="1">
        <v>7.9253049999999998E-5</v>
      </c>
      <c r="X2682">
        <v>0.99952209999999997</v>
      </c>
      <c r="Y2682">
        <v>-0.26915349999999999</v>
      </c>
      <c r="Z2682">
        <v>3.0472470000000001E-2</v>
      </c>
      <c r="AA2682">
        <v>0.96261509999999995</v>
      </c>
      <c r="AB2682">
        <v>16</v>
      </c>
      <c r="AC2682">
        <v>-10.2631</v>
      </c>
      <c r="AD2682">
        <v>-1.1136271175879999</v>
      </c>
      <c r="AE2682">
        <v>-11.7218999999999</v>
      </c>
      <c r="AF2682">
        <v>-4.19660493549961</v>
      </c>
      <c r="AG2682">
        <v>-1.1136271175879999</v>
      </c>
      <c r="AH2682">
        <v>14.9218369320704</v>
      </c>
      <c r="AI2682">
        <v>94.109269929174303</v>
      </c>
      <c r="AJ2682">
        <v>105.70806245044</v>
      </c>
      <c r="AK2682">
        <v>15.540684533475</v>
      </c>
      <c r="AL2682">
        <v>89.995459134695693</v>
      </c>
      <c r="AM2682">
        <v>91.7714133513268</v>
      </c>
      <c r="AN2682">
        <v>0.99999999537057005</v>
      </c>
    </row>
    <row r="2683" spans="1:40" x14ac:dyDescent="0.25">
      <c r="A2683" t="str">
        <f>"20190312154308683"</f>
        <v>20190312154308683</v>
      </c>
      <c r="B2683" t="str">
        <f>"1552376588670544"</f>
        <v>1552376588670544</v>
      </c>
      <c r="C2683" t="s">
        <v>40</v>
      </c>
      <c r="D2683">
        <v>4.346508</v>
      </c>
      <c r="E2683">
        <v>0.40679539999999997</v>
      </c>
      <c r="F2683" t="s">
        <v>43</v>
      </c>
      <c r="G2683">
        <v>-491.30959999999999</v>
      </c>
      <c r="H2683" s="1">
        <v>-4.0653620000000003E-6</v>
      </c>
      <c r="I2683">
        <v>268.25330000000002</v>
      </c>
      <c r="J2683">
        <v>-480.96519999999998</v>
      </c>
      <c r="K2683">
        <v>1.1136170000000001</v>
      </c>
      <c r="L2683">
        <v>280.15519999999998</v>
      </c>
      <c r="M2683">
        <v>-0.83580919999999903</v>
      </c>
      <c r="N2683">
        <v>0</v>
      </c>
      <c r="O2683">
        <v>-0.5488499</v>
      </c>
      <c r="P2683">
        <v>-0.81842799999999905</v>
      </c>
      <c r="Q2683">
        <v>-1.355318E-2</v>
      </c>
      <c r="R2683">
        <v>-0.57444930000000005</v>
      </c>
      <c r="S2683">
        <v>-2.0297550000000002</v>
      </c>
      <c r="T2683">
        <v>-0.21719740000000001</v>
      </c>
      <c r="U2683">
        <v>-2.3302</v>
      </c>
      <c r="V2683">
        <v>-3.0938759999999999E-2</v>
      </c>
      <c r="W2683">
        <v>-1.151419E-4</v>
      </c>
      <c r="X2683">
        <v>0.99952129999999995</v>
      </c>
      <c r="Y2683">
        <v>-0.27025300000000002</v>
      </c>
      <c r="Z2683">
        <v>3.0440200000000001E-2</v>
      </c>
      <c r="AA2683">
        <v>0.96230800000000005</v>
      </c>
      <c r="AB2683">
        <v>16</v>
      </c>
      <c r="AC2683">
        <v>-10.3444</v>
      </c>
      <c r="AD2683">
        <v>-1.113621065362</v>
      </c>
      <c r="AE2683">
        <v>-11.9018999999999</v>
      </c>
      <c r="AF2683">
        <v>-4.2494003899755501</v>
      </c>
      <c r="AG2683">
        <v>-1.113621065362</v>
      </c>
      <c r="AH2683">
        <v>15.1043887648158</v>
      </c>
      <c r="AI2683">
        <v>94.059648749078505</v>
      </c>
      <c r="AJ2683">
        <v>105.713176100775</v>
      </c>
      <c r="AK2683">
        <v>15.7302293533895</v>
      </c>
      <c r="AL2683">
        <v>90.006597144767099</v>
      </c>
      <c r="AM2683">
        <v>91.772943261755103</v>
      </c>
      <c r="AN2683">
        <v>1.00000002464084</v>
      </c>
    </row>
    <row r="2684" spans="1:40" x14ac:dyDescent="0.25">
      <c r="A2684" t="str">
        <f>"20190312154308694"</f>
        <v>20190312154308694</v>
      </c>
      <c r="B2684" t="str">
        <f>"1552376588690065"</f>
        <v>1552376588690065</v>
      </c>
      <c r="C2684" t="s">
        <v>40</v>
      </c>
      <c r="D2684">
        <v>4.3694169999999897</v>
      </c>
      <c r="E2684">
        <v>0.40728300000000001</v>
      </c>
      <c r="F2684" t="s">
        <v>43</v>
      </c>
      <c r="G2684">
        <v>-491.25439999999998</v>
      </c>
      <c r="H2684" s="1">
        <v>-4.0584960000000001E-6</v>
      </c>
      <c r="I2684">
        <v>268.2715</v>
      </c>
      <c r="J2684">
        <v>-481.0274</v>
      </c>
      <c r="K2684">
        <v>1.1136109999999999</v>
      </c>
      <c r="L2684">
        <v>280.10930000000002</v>
      </c>
      <c r="M2684">
        <v>-0.83386190000000004</v>
      </c>
      <c r="N2684">
        <v>0</v>
      </c>
      <c r="O2684">
        <v>-0.55180379999999996</v>
      </c>
      <c r="P2684">
        <v>-0.81645409999999996</v>
      </c>
      <c r="Q2684">
        <v>-1.376282E-2</v>
      </c>
      <c r="R2684">
        <v>-0.57724640000000005</v>
      </c>
      <c r="S2684">
        <v>-2.0224299999999999</v>
      </c>
      <c r="T2684">
        <v>-0.218891</v>
      </c>
      <c r="U2684">
        <v>-2.3358150000000002</v>
      </c>
      <c r="V2684">
        <v>-3.082294E-2</v>
      </c>
      <c r="W2684">
        <v>-3.2519649999999999E-4</v>
      </c>
      <c r="X2684">
        <v>0.99952479999999999</v>
      </c>
      <c r="Y2684">
        <v>-0.269729099999999</v>
      </c>
      <c r="Z2684">
        <v>3.0926459999999999E-2</v>
      </c>
      <c r="AA2684">
        <v>0.9624395</v>
      </c>
      <c r="AB2684">
        <v>16</v>
      </c>
      <c r="AC2684">
        <v>-10.226999999999901</v>
      </c>
      <c r="AD2684">
        <v>-1.1136150584960001</v>
      </c>
      <c r="AE2684">
        <v>-11.8378</v>
      </c>
      <c r="AF2684">
        <v>-4.2068698594834402</v>
      </c>
      <c r="AG2684">
        <v>-1.1136150584960001</v>
      </c>
      <c r="AH2684">
        <v>14.9855174540827</v>
      </c>
      <c r="AI2684">
        <v>94.092364771862904</v>
      </c>
      <c r="AJ2684">
        <v>105.68097303223</v>
      </c>
      <c r="AK2684">
        <v>15.604602714576201</v>
      </c>
      <c r="AL2684">
        <v>90.018632387428696</v>
      </c>
      <c r="AM2684">
        <v>91.766304236617003</v>
      </c>
      <c r="AN2684">
        <v>0.99999999259902295</v>
      </c>
    </row>
    <row r="2685" spans="1:40" x14ac:dyDescent="0.25">
      <c r="A2685" t="str">
        <f>"20190312154308706"</f>
        <v>20190312154308706</v>
      </c>
      <c r="B2685" t="str">
        <f>"1552376588699825"</f>
        <v>1552376588699825</v>
      </c>
      <c r="C2685" t="s">
        <v>40</v>
      </c>
      <c r="D2685">
        <v>4.3373179999999998</v>
      </c>
      <c r="E2685">
        <v>0.4077016</v>
      </c>
      <c r="F2685" t="s">
        <v>43</v>
      </c>
      <c r="G2685">
        <v>-491.16300000000001</v>
      </c>
      <c r="H2685" s="1">
        <v>-4.0669890000000001E-6</v>
      </c>
      <c r="I2685">
        <v>268.34809999999999</v>
      </c>
      <c r="J2685">
        <v>-481.0908</v>
      </c>
      <c r="K2685">
        <v>1.113607</v>
      </c>
      <c r="L2685">
        <v>280.0625</v>
      </c>
      <c r="M2685">
        <v>-0.83186340000000003</v>
      </c>
      <c r="N2685">
        <v>0</v>
      </c>
      <c r="O2685">
        <v>-0.55481219999999998</v>
      </c>
      <c r="P2685">
        <v>-0.81447609999999904</v>
      </c>
      <c r="Q2685">
        <v>-1.383788E-2</v>
      </c>
      <c r="R2685">
        <v>-0.58003209999999905</v>
      </c>
      <c r="S2685">
        <v>-2.0164179999999998</v>
      </c>
      <c r="T2685">
        <v>-0.22154760000000001</v>
      </c>
      <c r="U2685">
        <v>-2.3398439999999998</v>
      </c>
      <c r="V2685">
        <v>-3.0627060000000001E-2</v>
      </c>
      <c r="W2685">
        <v>-4.0010300000000001E-4</v>
      </c>
      <c r="X2685">
        <v>0.99953080000000005</v>
      </c>
      <c r="Y2685">
        <v>-0.26850859999999999</v>
      </c>
      <c r="Z2685">
        <v>3.1582819999999998E-2</v>
      </c>
      <c r="AA2685">
        <v>0.96275940000000004</v>
      </c>
      <c r="AB2685">
        <v>16</v>
      </c>
      <c r="AC2685">
        <v>-10.0722</v>
      </c>
      <c r="AD2685">
        <v>-1.113611066989</v>
      </c>
      <c r="AE2685">
        <v>-11.714399999999999</v>
      </c>
      <c r="AF2685">
        <v>-4.1355017608954201</v>
      </c>
      <c r="AG2685">
        <v>-1.113611066989</v>
      </c>
      <c r="AH2685">
        <v>14.802464110479001</v>
      </c>
      <c r="AI2685">
        <v>94.144229999925003</v>
      </c>
      <c r="AJ2685">
        <v>105.60926205201901</v>
      </c>
      <c r="AK2685">
        <v>15.4095894872287</v>
      </c>
      <c r="AL2685">
        <v>90.022924213916099</v>
      </c>
      <c r="AM2685">
        <v>91.755075874731503</v>
      </c>
      <c r="AN2685">
        <v>0.99999999851764698</v>
      </c>
    </row>
    <row r="2686" spans="1:40" x14ac:dyDescent="0.25">
      <c r="A2686" t="str">
        <f>"20190312154308718"</f>
        <v>20190312154308718</v>
      </c>
      <c r="B2686" t="str">
        <f>"1552376588710560"</f>
        <v>1552376588710560</v>
      </c>
      <c r="C2686" t="s">
        <v>40</v>
      </c>
      <c r="D2686">
        <v>4.3337149999999998</v>
      </c>
      <c r="E2686">
        <v>0.40772580000000003</v>
      </c>
      <c r="F2686" t="s">
        <v>43</v>
      </c>
      <c r="G2686">
        <v>-491.21019999999999</v>
      </c>
      <c r="H2686" s="1">
        <v>-4.0432170000000004E-6</v>
      </c>
      <c r="I2686">
        <v>268.26339999999999</v>
      </c>
      <c r="J2686">
        <v>-481.15350000000001</v>
      </c>
      <c r="K2686">
        <v>1.1136010000000001</v>
      </c>
      <c r="L2686">
        <v>280.01560000000001</v>
      </c>
      <c r="M2686">
        <v>-0.82986979999999999</v>
      </c>
      <c r="N2686">
        <v>0</v>
      </c>
      <c r="O2686">
        <v>-0.5577898</v>
      </c>
      <c r="P2686">
        <v>-0.81242190000000003</v>
      </c>
      <c r="Q2686">
        <v>-1.3614050000000001E-2</v>
      </c>
      <c r="R2686">
        <v>-0.58291110000000002</v>
      </c>
      <c r="S2686">
        <v>-2.0103149999999999</v>
      </c>
      <c r="T2686">
        <v>-0.22122820000000001</v>
      </c>
      <c r="U2686">
        <v>-2.3439939999999999</v>
      </c>
      <c r="V2686">
        <v>-3.0582249999999998E-2</v>
      </c>
      <c r="W2686">
        <v>-1.7723930000000001E-4</v>
      </c>
      <c r="X2686">
        <v>0.99953219999999998</v>
      </c>
      <c r="Y2686">
        <v>-0.26734859999999999</v>
      </c>
      <c r="Z2686">
        <v>3.1814639999999998E-2</v>
      </c>
      <c r="AA2686">
        <v>0.96307450000000006</v>
      </c>
      <c r="AB2686">
        <v>16</v>
      </c>
      <c r="AC2686">
        <v>-10.0566999999999</v>
      </c>
      <c r="AD2686">
        <v>-1.1136050432169999</v>
      </c>
      <c r="AE2686">
        <v>-11.7522</v>
      </c>
      <c r="AF2686">
        <v>-4.1222907712538603</v>
      </c>
      <c r="AG2686">
        <v>-1.1136050432169999</v>
      </c>
      <c r="AH2686">
        <v>14.8255542047795</v>
      </c>
      <c r="AI2686">
        <v>94.139190229348799</v>
      </c>
      <c r="AJ2686">
        <v>105.538752840181</v>
      </c>
      <c r="AK2686">
        <v>15.428235637100499</v>
      </c>
      <c r="AL2686">
        <v>90.010155064291496</v>
      </c>
      <c r="AM2686">
        <v>91.752507198417206</v>
      </c>
      <c r="AN2686">
        <v>0.99999996213283504</v>
      </c>
    </row>
    <row r="2687" spans="1:40" x14ac:dyDescent="0.25">
      <c r="A2687" t="str">
        <f>"20190312154308730"</f>
        <v>20190312154308730</v>
      </c>
      <c r="B2687" t="str">
        <f>"1552376588720321"</f>
        <v>1552376588720321</v>
      </c>
      <c r="C2687" t="s">
        <v>40</v>
      </c>
      <c r="D2687">
        <v>4.3817459999999997</v>
      </c>
      <c r="E2687">
        <v>0.40778799999999998</v>
      </c>
      <c r="F2687" t="s">
        <v>43</v>
      </c>
      <c r="G2687">
        <v>-491.30630000000002</v>
      </c>
      <c r="H2687" s="1">
        <v>-3.9972319999999996E-6</v>
      </c>
      <c r="I2687">
        <v>268.09660000000002</v>
      </c>
      <c r="J2687">
        <v>-481.21910000000003</v>
      </c>
      <c r="K2687">
        <v>1.11359599999999</v>
      </c>
      <c r="L2687">
        <v>279.96629999999999</v>
      </c>
      <c r="M2687">
        <v>-0.82776859999999997</v>
      </c>
      <c r="N2687">
        <v>0</v>
      </c>
      <c r="O2687">
        <v>-0.56090319999999905</v>
      </c>
      <c r="P2687">
        <v>-0.81042959999999997</v>
      </c>
      <c r="Q2687">
        <v>-1.361763E-2</v>
      </c>
      <c r="R2687">
        <v>-0.58567789999999997</v>
      </c>
      <c r="S2687">
        <v>-2.0023499999999999</v>
      </c>
      <c r="T2687">
        <v>-0.2196265</v>
      </c>
      <c r="U2687">
        <v>-2.3506770000000001</v>
      </c>
      <c r="V2687">
        <v>-3.0235749999999999E-2</v>
      </c>
      <c r="W2687">
        <v>-1.7906589999999999E-4</v>
      </c>
      <c r="X2687">
        <v>0.99954279999999995</v>
      </c>
      <c r="Y2687">
        <v>-0.26697029999999999</v>
      </c>
      <c r="Z2687">
        <v>3.1839050000000001E-2</v>
      </c>
      <c r="AA2687">
        <v>0.9631786</v>
      </c>
      <c r="AB2687">
        <v>16</v>
      </c>
      <c r="AC2687">
        <v>-10.0871999999999</v>
      </c>
      <c r="AD2687">
        <v>-1.1135999972320001</v>
      </c>
      <c r="AE2687">
        <v>-11.8696999999999</v>
      </c>
      <c r="AF2687">
        <v>-4.14661860269565</v>
      </c>
      <c r="AG2687">
        <v>-1.1135999972320001</v>
      </c>
      <c r="AH2687">
        <v>14.9327027503002</v>
      </c>
      <c r="AI2687">
        <v>94.109959994018993</v>
      </c>
      <c r="AJ2687">
        <v>105.519286460142</v>
      </c>
      <c r="AK2687">
        <v>15.537701317082901</v>
      </c>
      <c r="AL2687">
        <v>90.010259720165706</v>
      </c>
      <c r="AM2687">
        <v>91.732644922998205</v>
      </c>
      <c r="AN2687">
        <v>1.0000000208372399</v>
      </c>
    </row>
    <row r="2688" spans="1:40" x14ac:dyDescent="0.25">
      <c r="A2688" t="str">
        <f>"20190312154308740"</f>
        <v>20190312154308740</v>
      </c>
      <c r="B2688" t="str">
        <f>"1552376588730081"</f>
        <v>1552376588730081</v>
      </c>
      <c r="C2688" t="s">
        <v>40</v>
      </c>
      <c r="D2688">
        <v>4.3608779999999996</v>
      </c>
      <c r="E2688">
        <v>0.40759430000000002</v>
      </c>
      <c r="F2688" t="s">
        <v>43</v>
      </c>
      <c r="G2688">
        <v>-491.15710000000001</v>
      </c>
      <c r="H2688" s="1">
        <v>-4.0103039999999996E-6</v>
      </c>
      <c r="I2688">
        <v>268.21960000000001</v>
      </c>
      <c r="J2688">
        <v>-481.2792</v>
      </c>
      <c r="K2688">
        <v>1.11359599999999</v>
      </c>
      <c r="L2688">
        <v>279.92070000000001</v>
      </c>
      <c r="M2688">
        <v>-0.82582350000000004</v>
      </c>
      <c r="N2688">
        <v>0</v>
      </c>
      <c r="O2688">
        <v>-0.56376309999999996</v>
      </c>
      <c r="P2688">
        <v>-0.80843039999999999</v>
      </c>
      <c r="Q2688">
        <v>-1.337638E-2</v>
      </c>
      <c r="R2688">
        <v>-0.58843999999999996</v>
      </c>
      <c r="S2688">
        <v>-1.9943850000000001</v>
      </c>
      <c r="T2688">
        <v>-0.22347919999999999</v>
      </c>
      <c r="U2688">
        <v>-2.357361</v>
      </c>
      <c r="V2688">
        <v>-3.0188090000000001E-2</v>
      </c>
      <c r="W2688" s="1">
        <v>6.4464749999999996E-5</v>
      </c>
      <c r="X2688">
        <v>0.99954430000000005</v>
      </c>
      <c r="Y2688">
        <v>-0.26690380000000002</v>
      </c>
      <c r="Z2688">
        <v>3.2623939999999997E-2</v>
      </c>
      <c r="AA2688">
        <v>0.96317079999999999</v>
      </c>
      <c r="AB2688">
        <v>16</v>
      </c>
      <c r="AC2688">
        <v>-9.8779000000000092</v>
      </c>
      <c r="AD2688">
        <v>-1.11360001030399</v>
      </c>
      <c r="AE2688">
        <v>-11.701099999999901</v>
      </c>
      <c r="AF2688">
        <v>-4.0730893730253896</v>
      </c>
      <c r="AG2688">
        <v>-1.11360001030399</v>
      </c>
      <c r="AH2688">
        <v>14.677803645647399</v>
      </c>
      <c r="AI2688">
        <v>94.181284830653695</v>
      </c>
      <c r="AJ2688">
        <v>105.50933039571299</v>
      </c>
      <c r="AK2688">
        <v>15.2731163121277</v>
      </c>
      <c r="AL2688">
        <v>89.996306442139897</v>
      </c>
      <c r="AM2688">
        <v>91.7299128562466</v>
      </c>
      <c r="AN2688">
        <v>1.00000006629801</v>
      </c>
    </row>
    <row r="2689" spans="1:40" x14ac:dyDescent="0.25">
      <c r="A2689" t="str">
        <f>"20190312154308751"</f>
        <v>20190312154308751</v>
      </c>
      <c r="B2689" t="str">
        <f>"1552376588739841"</f>
        <v>1552376588739841</v>
      </c>
      <c r="C2689" t="s">
        <v>40</v>
      </c>
      <c r="D2689">
        <v>4.3720429999999997</v>
      </c>
      <c r="E2689">
        <v>0.40762789999999999</v>
      </c>
      <c r="F2689" t="s">
        <v>43</v>
      </c>
      <c r="G2689">
        <v>-491.13490000000002</v>
      </c>
      <c r="H2689" s="1">
        <v>-3.9869150000000001E-6</v>
      </c>
      <c r="I2689">
        <v>268.17880000000002</v>
      </c>
      <c r="J2689">
        <v>-481.34010000000001</v>
      </c>
      <c r="K2689">
        <v>1.113588</v>
      </c>
      <c r="L2689">
        <v>279.87430000000001</v>
      </c>
      <c r="M2689">
        <v>-0.82383819999999996</v>
      </c>
      <c r="N2689">
        <v>0</v>
      </c>
      <c r="O2689">
        <v>-0.56666159999999999</v>
      </c>
      <c r="P2689">
        <v>-0.80649969999999904</v>
      </c>
      <c r="Q2689">
        <v>-1.33188E-2</v>
      </c>
      <c r="R2689">
        <v>-0.59108490000000002</v>
      </c>
      <c r="S2689">
        <v>-1.9854430000000001</v>
      </c>
      <c r="T2689">
        <v>-0.2243375</v>
      </c>
      <c r="U2689">
        <v>-2.3654169999999999</v>
      </c>
      <c r="V2689">
        <v>-2.9949779999999999E-2</v>
      </c>
      <c r="W2689" s="1">
        <v>8.2203680000000006E-5</v>
      </c>
      <c r="X2689">
        <v>0.99955139999999998</v>
      </c>
      <c r="Y2689">
        <v>-0.26727840000000003</v>
      </c>
      <c r="Z2689">
        <v>3.2962329999999998E-2</v>
      </c>
      <c r="AA2689">
        <v>0.96305540000000001</v>
      </c>
      <c r="AB2689">
        <v>16</v>
      </c>
      <c r="AC2689">
        <v>-9.7948000000000093</v>
      </c>
      <c r="AD2689">
        <v>-1.1135919869149999</v>
      </c>
      <c r="AE2689">
        <v>-11.6954999999999</v>
      </c>
      <c r="AF2689">
        <v>-4.0635878056180896</v>
      </c>
      <c r="AG2689">
        <v>-1.1135919869149999</v>
      </c>
      <c r="AH2689">
        <v>14.6201775326477</v>
      </c>
      <c r="AI2689">
        <v>94.197197952009404</v>
      </c>
      <c r="AJ2689">
        <v>105.532941973071</v>
      </c>
      <c r="AK2689">
        <v>15.215203713832601</v>
      </c>
      <c r="AL2689">
        <v>89.995290076063895</v>
      </c>
      <c r="AM2689">
        <v>91.716252641397602</v>
      </c>
      <c r="AN2689">
        <v>0.99999999866072597</v>
      </c>
    </row>
    <row r="2690" spans="1:40" x14ac:dyDescent="0.25">
      <c r="A2690" t="str">
        <f>"20190312154308763"</f>
        <v>20190312154308763</v>
      </c>
      <c r="B2690" t="str">
        <f>"1552376588750576"</f>
        <v>1552376588750576</v>
      </c>
      <c r="C2690" t="s">
        <v>40</v>
      </c>
      <c r="D2690">
        <v>4.3501269999999996</v>
      </c>
      <c r="E2690">
        <v>0.4077383</v>
      </c>
      <c r="F2690" t="s">
        <v>43</v>
      </c>
      <c r="G2690">
        <v>-491.05759999999998</v>
      </c>
      <c r="H2690" s="1">
        <v>-3.9839409999999997E-6</v>
      </c>
      <c r="I2690">
        <v>268.21980000000002</v>
      </c>
      <c r="J2690">
        <v>-481.40379999999999</v>
      </c>
      <c r="K2690">
        <v>1.113572</v>
      </c>
      <c r="L2690">
        <v>279.82530000000003</v>
      </c>
      <c r="M2690">
        <v>-0.82172049999999996</v>
      </c>
      <c r="N2690">
        <v>0</v>
      </c>
      <c r="O2690">
        <v>-0.56973109999999905</v>
      </c>
      <c r="P2690">
        <v>-0.80426299999999995</v>
      </c>
      <c r="Q2690">
        <v>-1.30572999999999E-2</v>
      </c>
      <c r="R2690">
        <v>-0.59413019999999905</v>
      </c>
      <c r="S2690">
        <v>-1.9776609999999999</v>
      </c>
      <c r="T2690">
        <v>-0.22663159999999999</v>
      </c>
      <c r="U2690">
        <v>-2.3718569999999999</v>
      </c>
      <c r="V2690">
        <v>-3.0000300000000001E-2</v>
      </c>
      <c r="W2690">
        <v>2.0629559999999999E-4</v>
      </c>
      <c r="X2690">
        <v>0.99954989999999999</v>
      </c>
      <c r="Y2690">
        <v>-0.26685209999999998</v>
      </c>
      <c r="Z2690">
        <v>3.3558119999999997E-2</v>
      </c>
      <c r="AA2690">
        <v>0.96315309999999998</v>
      </c>
      <c r="AB2690">
        <v>16</v>
      </c>
      <c r="AC2690">
        <v>-9.6537999999999897</v>
      </c>
      <c r="AD2690">
        <v>-1.113575983941</v>
      </c>
      <c r="AE2690">
        <v>-11.605499999999999</v>
      </c>
      <c r="AF2690">
        <v>-4.0149266805294301</v>
      </c>
      <c r="AG2690">
        <v>-1.113575983941</v>
      </c>
      <c r="AH2690">
        <v>14.467337115564</v>
      </c>
      <c r="AI2690">
        <v>94.241783091993895</v>
      </c>
      <c r="AJ2690">
        <v>105.510219364108</v>
      </c>
      <c r="AK2690">
        <v>15.0553489145026</v>
      </c>
      <c r="AL2690">
        <v>89.988180133077194</v>
      </c>
      <c r="AM2690">
        <v>91.719148499647801</v>
      </c>
      <c r="AN2690">
        <v>1.0000000315739801</v>
      </c>
    </row>
    <row r="2691" spans="1:40" x14ac:dyDescent="0.25">
      <c r="A2691" t="str">
        <f>"20190312154308774"</f>
        <v>20190312154308774</v>
      </c>
      <c r="B2691" t="str">
        <f>"1552376588760337"</f>
        <v>1552376588760337</v>
      </c>
      <c r="C2691" t="s">
        <v>40</v>
      </c>
      <c r="D2691">
        <v>4.3439629999999996</v>
      </c>
      <c r="E2691">
        <v>0.4078987</v>
      </c>
      <c r="F2691" t="s">
        <v>43</v>
      </c>
      <c r="G2691">
        <v>-491.04390000000001</v>
      </c>
      <c r="H2691" s="1">
        <v>-3.9642199999999998E-6</v>
      </c>
      <c r="I2691">
        <v>268.18239999999997</v>
      </c>
      <c r="J2691">
        <v>-481.4633</v>
      </c>
      <c r="K2691">
        <v>1.113564</v>
      </c>
      <c r="L2691">
        <v>279.7792</v>
      </c>
      <c r="M2691">
        <v>-0.81973479999999999</v>
      </c>
      <c r="N2691">
        <v>0</v>
      </c>
      <c r="O2691">
        <v>-0.57258759999999997</v>
      </c>
      <c r="P2691">
        <v>-0.80222150000000003</v>
      </c>
      <c r="Q2691">
        <v>-1.2674670000000001E-2</v>
      </c>
      <c r="R2691">
        <v>-0.59689190000000003</v>
      </c>
      <c r="S2691">
        <v>-1.96933</v>
      </c>
      <c r="T2691">
        <v>-0.2274873</v>
      </c>
      <c r="U2691">
        <v>-2.378479</v>
      </c>
      <c r="V2691">
        <v>-2.9957879999999999E-2</v>
      </c>
      <c r="W2691">
        <v>4.4471419999999998E-4</v>
      </c>
      <c r="X2691">
        <v>0.99955110000000003</v>
      </c>
      <c r="Y2691">
        <v>-0.2668275</v>
      </c>
      <c r="Z2691">
        <v>3.3917339999999997E-2</v>
      </c>
      <c r="AA2691">
        <v>0.96314730000000004</v>
      </c>
      <c r="AB2691">
        <v>16</v>
      </c>
      <c r="AC2691">
        <v>-9.5806000000000004</v>
      </c>
      <c r="AD2691">
        <v>-1.11356796422</v>
      </c>
      <c r="AE2691">
        <v>-11.5968</v>
      </c>
      <c r="AF2691">
        <v>-3.9990107139808599</v>
      </c>
      <c r="AG2691">
        <v>-1.11356796422</v>
      </c>
      <c r="AH2691">
        <v>14.416024131938601</v>
      </c>
      <c r="AI2691">
        <v>94.256922534454404</v>
      </c>
      <c r="AJ2691">
        <v>105.50403521371101</v>
      </c>
      <c r="AK2691">
        <v>15.0017956283275</v>
      </c>
      <c r="AL2691">
        <v>89.974519753351501</v>
      </c>
      <c r="AM2691">
        <v>91.716717043848007</v>
      </c>
      <c r="AN2691">
        <v>1.00000003692801</v>
      </c>
    </row>
    <row r="2692" spans="1:40" x14ac:dyDescent="0.25">
      <c r="A2692" t="str">
        <f>"20190312154308785"</f>
        <v>20190312154308785</v>
      </c>
      <c r="B2692" t="str">
        <f>"1552376588779857"</f>
        <v>1552376588779857</v>
      </c>
      <c r="C2692" t="s">
        <v>40</v>
      </c>
      <c r="D2692">
        <v>4.3415179999999998</v>
      </c>
      <c r="E2692">
        <v>0.40838570000000002</v>
      </c>
      <c r="F2692" t="s">
        <v>43</v>
      </c>
      <c r="G2692">
        <v>-491.0829</v>
      </c>
      <c r="H2692" s="1">
        <v>-3.9346420000000003E-6</v>
      </c>
      <c r="I2692">
        <v>268.08920000000001</v>
      </c>
      <c r="J2692">
        <v>-481.52910000000003</v>
      </c>
      <c r="K2692">
        <v>1.11355</v>
      </c>
      <c r="L2692">
        <v>279.72800000000001</v>
      </c>
      <c r="M2692">
        <v>-0.81752499999999995</v>
      </c>
      <c r="N2692">
        <v>0</v>
      </c>
      <c r="O2692">
        <v>-0.57574259999999999</v>
      </c>
      <c r="P2692">
        <v>-0.79998269999999905</v>
      </c>
      <c r="Q2692">
        <v>-1.251348E-2</v>
      </c>
      <c r="R2692">
        <v>-0.59989289999999995</v>
      </c>
      <c r="S2692">
        <v>-1.9620059999999999</v>
      </c>
      <c r="T2692">
        <v>-0.22712180000000001</v>
      </c>
      <c r="U2692">
        <v>-2.384277</v>
      </c>
      <c r="V2692">
        <v>-2.9850160000000001E-2</v>
      </c>
      <c r="W2692">
        <v>4.3327010000000001E-4</v>
      </c>
      <c r="X2692">
        <v>0.99955430000000001</v>
      </c>
      <c r="Y2692">
        <v>-0.26603339999999998</v>
      </c>
      <c r="Z2692">
        <v>3.414375E-2</v>
      </c>
      <c r="AA2692">
        <v>0.96335890000000002</v>
      </c>
      <c r="AB2692">
        <v>16</v>
      </c>
      <c r="AC2692">
        <v>-9.5537999999999599</v>
      </c>
      <c r="AD2692">
        <v>-1.113553934642</v>
      </c>
      <c r="AE2692">
        <v>-11.6388</v>
      </c>
      <c r="AF2692">
        <v>-3.9929909858272001</v>
      </c>
      <c r="AG2692">
        <v>-1.113553934642</v>
      </c>
      <c r="AH2692">
        <v>14.433744322590799</v>
      </c>
      <c r="AI2692">
        <v>94.252487922898098</v>
      </c>
      <c r="AJ2692">
        <v>105.46372048759601</v>
      </c>
      <c r="AK2692">
        <v>15.017221931774699</v>
      </c>
      <c r="AL2692">
        <v>89.975175451332703</v>
      </c>
      <c r="AM2692">
        <v>91.710542419455905</v>
      </c>
      <c r="AN2692">
        <v>1.00000000921174</v>
      </c>
    </row>
    <row r="2693" spans="1:40" x14ac:dyDescent="0.25">
      <c r="A2693" t="str">
        <f>"20190312154308797"</f>
        <v>20190312154308797</v>
      </c>
      <c r="B2693" t="str">
        <f>"1552376588790593"</f>
        <v>1552376588790593</v>
      </c>
      <c r="C2693" t="s">
        <v>40</v>
      </c>
      <c r="D2693">
        <v>4.3045660000000003</v>
      </c>
      <c r="E2693">
        <v>0.40870410000000001</v>
      </c>
      <c r="F2693" t="s">
        <v>43</v>
      </c>
      <c r="G2693">
        <v>-491.18400000000003</v>
      </c>
      <c r="H2693" s="1">
        <v>-3.8947850000000002E-6</v>
      </c>
      <c r="I2693">
        <v>267.93360000000001</v>
      </c>
      <c r="J2693">
        <v>-481.58850000000001</v>
      </c>
      <c r="K2693">
        <v>1.1135469999999901</v>
      </c>
      <c r="L2693">
        <v>279.68110000000001</v>
      </c>
      <c r="M2693">
        <v>-0.81552290000000005</v>
      </c>
      <c r="N2693">
        <v>0</v>
      </c>
      <c r="O2693">
        <v>-0.5785768</v>
      </c>
      <c r="P2693">
        <v>-0.79785890000000004</v>
      </c>
      <c r="Q2693">
        <v>-1.2478960000000001E-2</v>
      </c>
      <c r="R2693">
        <v>-0.60271509999999995</v>
      </c>
      <c r="S2693">
        <v>-1.9553830000000001</v>
      </c>
      <c r="T2693">
        <v>-0.22552469999999999</v>
      </c>
      <c r="U2693">
        <v>-2.3886720000000001</v>
      </c>
      <c r="V2693">
        <v>-2.9911179999999999E-2</v>
      </c>
      <c r="W2693">
        <v>3.7986440000000002E-4</v>
      </c>
      <c r="X2693">
        <v>0.99955249999999995</v>
      </c>
      <c r="Y2693">
        <v>-0.26515429999999901</v>
      </c>
      <c r="Z2693">
        <v>3.4167210000000003E-2</v>
      </c>
      <c r="AA2693">
        <v>0.96360049999999997</v>
      </c>
      <c r="AB2693">
        <v>16</v>
      </c>
      <c r="AC2693">
        <v>-9.5955000000000101</v>
      </c>
      <c r="AD2693">
        <v>-1.1135508947849999</v>
      </c>
      <c r="AE2693">
        <v>-11.7475</v>
      </c>
      <c r="AF2693">
        <v>-4.0073690475059101</v>
      </c>
      <c r="AG2693">
        <v>-1.1135508947849999</v>
      </c>
      <c r="AH2693">
        <v>14.545043289247699</v>
      </c>
      <c r="AI2693">
        <v>94.221271597168993</v>
      </c>
      <c r="AJ2693">
        <v>105.403649041953</v>
      </c>
      <c r="AK2693">
        <v>15.1280298308893</v>
      </c>
      <c r="AL2693">
        <v>89.978235372822198</v>
      </c>
      <c r="AM2693">
        <v>91.714040128699295</v>
      </c>
      <c r="AN2693">
        <v>1.0000000116211001</v>
      </c>
    </row>
    <row r="2694" spans="1:40" x14ac:dyDescent="0.25">
      <c r="A2694" t="str">
        <f>"20190312154308807"</f>
        <v>20190312154308807</v>
      </c>
      <c r="B2694" t="str">
        <f>"1552376588800353"</f>
        <v>1552376588800353</v>
      </c>
      <c r="C2694" t="s">
        <v>40</v>
      </c>
      <c r="D2694">
        <v>4.2374929999999997</v>
      </c>
      <c r="E2694">
        <v>0.40850500000000001</v>
      </c>
      <c r="F2694" t="s">
        <v>43</v>
      </c>
      <c r="G2694">
        <v>-491.22089999999997</v>
      </c>
      <c r="H2694" s="1">
        <v>-3.8680799999999997E-6</v>
      </c>
      <c r="I2694">
        <v>267.8485</v>
      </c>
      <c r="J2694">
        <v>-481.64679999999998</v>
      </c>
      <c r="K2694">
        <v>1.1135469999999901</v>
      </c>
      <c r="L2694">
        <v>279.63510000000002</v>
      </c>
      <c r="M2694">
        <v>-0.81355489999999997</v>
      </c>
      <c r="N2694">
        <v>0</v>
      </c>
      <c r="O2694">
        <v>-0.58134259999999904</v>
      </c>
      <c r="P2694">
        <v>-0.79595700000000003</v>
      </c>
      <c r="Q2694">
        <v>-1.269371E-2</v>
      </c>
      <c r="R2694">
        <v>-0.60522030000000004</v>
      </c>
      <c r="S2694">
        <v>-1.9484250000000001</v>
      </c>
      <c r="T2694">
        <v>-0.22524830000000001</v>
      </c>
      <c r="U2694">
        <v>-2.393494</v>
      </c>
      <c r="V2694">
        <v>-2.9659990000000001E-2</v>
      </c>
      <c r="W2694" s="1">
        <v>9.5528139999999994E-5</v>
      </c>
      <c r="X2694">
        <v>0.99956009999999995</v>
      </c>
      <c r="Y2694">
        <v>-0.26452049999999999</v>
      </c>
      <c r="Z2694">
        <v>3.4373330000000001E-2</v>
      </c>
      <c r="AA2694">
        <v>0.96376729999999999</v>
      </c>
      <c r="AB2694">
        <v>16</v>
      </c>
      <c r="AC2694">
        <v>-9.5740999999999801</v>
      </c>
      <c r="AD2694">
        <v>-1.1135508680799999</v>
      </c>
      <c r="AE2694">
        <v>-11.7866</v>
      </c>
      <c r="AF2694">
        <v>-4.0020332719951002</v>
      </c>
      <c r="AG2694">
        <v>-1.1135508680799999</v>
      </c>
      <c r="AH2694">
        <v>14.5640286643957</v>
      </c>
      <c r="AI2694">
        <v>94.216568195120004</v>
      </c>
      <c r="AJ2694">
        <v>105.365005359858</v>
      </c>
      <c r="AK2694">
        <v>15.144873613975699</v>
      </c>
      <c r="AL2694">
        <v>89.994526641066898</v>
      </c>
      <c r="AM2694">
        <v>91.699641417317196</v>
      </c>
      <c r="AN2694">
        <v>1.00000005882221</v>
      </c>
    </row>
    <row r="2695" spans="1:40" x14ac:dyDescent="0.25">
      <c r="A2695" t="str">
        <f>"20190312154308820"</f>
        <v>20190312154308820</v>
      </c>
      <c r="B2695" t="str">
        <f>"1552376588810113"</f>
        <v>1552376588810113</v>
      </c>
      <c r="C2695" t="s">
        <v>40</v>
      </c>
      <c r="D2695">
        <v>4.253031</v>
      </c>
      <c r="E2695">
        <v>0.40832819999999997</v>
      </c>
      <c r="F2695" t="s">
        <v>43</v>
      </c>
      <c r="G2695">
        <v>-491.2867</v>
      </c>
      <c r="H2695" s="1">
        <v>-3.8238050000000001E-6</v>
      </c>
      <c r="I2695">
        <v>267.70440000000002</v>
      </c>
      <c r="J2695">
        <v>-481.71530000000001</v>
      </c>
      <c r="K2695">
        <v>1.1135459999999999</v>
      </c>
      <c r="L2695">
        <v>279.58019999999999</v>
      </c>
      <c r="M2695">
        <v>-0.81121699999999997</v>
      </c>
      <c r="N2695">
        <v>0</v>
      </c>
      <c r="O2695">
        <v>-0.58460029999999996</v>
      </c>
      <c r="P2695">
        <v>-0.79353390000000001</v>
      </c>
      <c r="Q2695">
        <v>-1.2690160000000001E-2</v>
      </c>
      <c r="R2695">
        <v>-0.60839359999999998</v>
      </c>
      <c r="S2695">
        <v>-1.9399109999999999</v>
      </c>
      <c r="T2695">
        <v>-0.22408649999999999</v>
      </c>
      <c r="U2695">
        <v>-2.4008790000000002</v>
      </c>
      <c r="V2695">
        <v>-2.9643309999999999E-2</v>
      </c>
      <c r="W2695">
        <v>1.023451E-4</v>
      </c>
      <c r="X2695">
        <v>0.99956049999999996</v>
      </c>
      <c r="Y2695">
        <v>-0.26417109999999999</v>
      </c>
      <c r="Z2695">
        <v>3.4462130000000001E-2</v>
      </c>
      <c r="AA2695">
        <v>0.96385989999999999</v>
      </c>
      <c r="AB2695">
        <v>16</v>
      </c>
      <c r="AC2695">
        <v>-9.5713999999999793</v>
      </c>
      <c r="AD2695">
        <v>-1.1135498238049999</v>
      </c>
      <c r="AE2695">
        <v>-11.8757999999999</v>
      </c>
      <c r="AF2695">
        <v>-4.0173375641350599</v>
      </c>
      <c r="AG2695">
        <v>-1.1135498238049999</v>
      </c>
      <c r="AH2695">
        <v>14.6303459770477</v>
      </c>
      <c r="AI2695">
        <v>94.1977327721916</v>
      </c>
      <c r="AJ2695">
        <v>105.354376037691</v>
      </c>
      <c r="AK2695">
        <v>15.212692651941101</v>
      </c>
      <c r="AL2695">
        <v>89.994136057499105</v>
      </c>
      <c r="AM2695">
        <v>91.698685464380702</v>
      </c>
      <c r="AN2695">
        <v>0.99999996473126196</v>
      </c>
    </row>
    <row r="2696" spans="1:40" x14ac:dyDescent="0.25">
      <c r="A2696" t="str">
        <f>"20190312154308835"</f>
        <v>20190312154308835</v>
      </c>
      <c r="B2696" t="str">
        <f>"1552376588830609"</f>
        <v>1552376588830609</v>
      </c>
      <c r="C2696" t="s">
        <v>40</v>
      </c>
      <c r="D2696">
        <v>4.2415570000000002</v>
      </c>
      <c r="E2696">
        <v>0.40808889999999998</v>
      </c>
      <c r="F2696" t="s">
        <v>43</v>
      </c>
      <c r="G2696">
        <v>-491.42399999999998</v>
      </c>
      <c r="H2696" s="1">
        <v>-3.7543019999999998E-6</v>
      </c>
      <c r="I2696">
        <v>267.45729999999998</v>
      </c>
      <c r="J2696">
        <v>-481.7953</v>
      </c>
      <c r="K2696">
        <v>1.113542</v>
      </c>
      <c r="L2696">
        <v>279.51580000000001</v>
      </c>
      <c r="M2696">
        <v>-0.80845449999999996</v>
      </c>
      <c r="N2696">
        <v>0</v>
      </c>
      <c r="O2696">
        <v>-0.58841480000000002</v>
      </c>
      <c r="P2696">
        <v>-0.79070890000000005</v>
      </c>
      <c r="Q2696">
        <v>-1.268101E-2</v>
      </c>
      <c r="R2696">
        <v>-0.61206130000000003</v>
      </c>
      <c r="S2696">
        <v>-1.929657</v>
      </c>
      <c r="T2696">
        <v>-0.2213261</v>
      </c>
      <c r="U2696">
        <v>-2.4095149999999999</v>
      </c>
      <c r="V2696">
        <v>-2.9563240000000001E-2</v>
      </c>
      <c r="W2696">
        <v>1.204649E-4</v>
      </c>
      <c r="X2696">
        <v>0.99956290000000003</v>
      </c>
      <c r="Y2696">
        <v>-0.2638065</v>
      </c>
      <c r="Z2696">
        <v>3.434632E-2</v>
      </c>
      <c r="AA2696">
        <v>0.96396389999999998</v>
      </c>
      <c r="AB2696">
        <v>16</v>
      </c>
      <c r="AC2696">
        <v>-9.6287000000000305</v>
      </c>
      <c r="AD2696">
        <v>-1.113545754302</v>
      </c>
      <c r="AE2696">
        <v>-12.0585</v>
      </c>
      <c r="AF2696">
        <v>-4.0622708713801501</v>
      </c>
      <c r="AG2696">
        <v>-1.113545754302</v>
      </c>
      <c r="AH2696">
        <v>14.8039356487654</v>
      </c>
      <c r="AI2696">
        <v>94.148863088551906</v>
      </c>
      <c r="AJ2696">
        <v>105.344541186124</v>
      </c>
      <c r="AK2696">
        <v>15.3915086808335</v>
      </c>
      <c r="AL2696">
        <v>89.993097869601797</v>
      </c>
      <c r="AM2696">
        <v>91.694095731104198</v>
      </c>
      <c r="AN2696">
        <v>0.99999999536374895</v>
      </c>
    </row>
    <row r="2697" spans="1:40" x14ac:dyDescent="0.25">
      <c r="A2697" t="str">
        <f>"20190312154308849"</f>
        <v>20190312154308849</v>
      </c>
      <c r="B2697" t="str">
        <f>"1552376588840368"</f>
        <v>1552376588840368</v>
      </c>
      <c r="C2697" t="s">
        <v>40</v>
      </c>
      <c r="D2697">
        <v>4.2363039999999996</v>
      </c>
      <c r="E2697">
        <v>0.40800649999999999</v>
      </c>
      <c r="F2697" t="s">
        <v>43</v>
      </c>
      <c r="G2697">
        <v>-491.61779999999999</v>
      </c>
      <c r="H2697" s="1">
        <v>-3.6603669999999999E-6</v>
      </c>
      <c r="I2697">
        <v>267.11810000000003</v>
      </c>
      <c r="J2697">
        <v>-481.87020000000001</v>
      </c>
      <c r="K2697">
        <v>1.113537</v>
      </c>
      <c r="L2697">
        <v>279.45510000000002</v>
      </c>
      <c r="M2697">
        <v>-0.80583110000000002</v>
      </c>
      <c r="N2697">
        <v>0</v>
      </c>
      <c r="O2697">
        <v>-0.59200220000000003</v>
      </c>
      <c r="P2697">
        <v>-0.78789909999999996</v>
      </c>
      <c r="Q2697">
        <v>-1.2726370000000001E-2</v>
      </c>
      <c r="R2697">
        <v>-0.61567309999999997</v>
      </c>
      <c r="S2697">
        <v>-1.9173279999999999</v>
      </c>
      <c r="T2697">
        <v>-0.21736220000000001</v>
      </c>
      <c r="U2697">
        <v>-2.420013</v>
      </c>
      <c r="V2697">
        <v>-2.9694310000000002E-2</v>
      </c>
      <c r="W2697" s="1">
        <v>8.0300840000000005E-5</v>
      </c>
      <c r="X2697">
        <v>0.99955899999999998</v>
      </c>
      <c r="Y2697">
        <v>-0.2645575</v>
      </c>
      <c r="Z2697">
        <v>3.3981789999999998E-2</v>
      </c>
      <c r="AA2697">
        <v>0.96377100000000004</v>
      </c>
      <c r="AB2697">
        <v>16</v>
      </c>
      <c r="AC2697">
        <v>-9.7475999999999701</v>
      </c>
      <c r="AD2697">
        <v>-1.1135406603669999</v>
      </c>
      <c r="AE2697">
        <v>-12.3369999999999</v>
      </c>
      <c r="AF2697">
        <v>-4.1504738288061596</v>
      </c>
      <c r="AG2697">
        <v>-1.1135406603669999</v>
      </c>
      <c r="AH2697">
        <v>15.0840786998399</v>
      </c>
      <c r="AI2697">
        <v>94.071274293189006</v>
      </c>
      <c r="AJ2697">
        <v>105.384557352803</v>
      </c>
      <c r="AK2697">
        <v>15.6842543982448</v>
      </c>
      <c r="AL2697">
        <v>89.995399100663505</v>
      </c>
      <c r="AM2697">
        <v>91.701608812732303</v>
      </c>
      <c r="AN2697">
        <v>0.99999997648780004</v>
      </c>
    </row>
    <row r="2698" spans="1:40" x14ac:dyDescent="0.25">
      <c r="A2698" t="str">
        <f>"20190312154308862"</f>
        <v>20190312154308862</v>
      </c>
      <c r="B2698" t="str">
        <f>"1552376588850128"</f>
        <v>1552376588850128</v>
      </c>
      <c r="C2698" t="s">
        <v>40</v>
      </c>
      <c r="D2698">
        <v>4.25054</v>
      </c>
      <c r="E2698">
        <v>0.40793059999999998</v>
      </c>
      <c r="F2698" t="s">
        <v>43</v>
      </c>
      <c r="G2698">
        <v>-491.70409999999998</v>
      </c>
      <c r="H2698" s="1">
        <v>-3.6002899999999998E-6</v>
      </c>
      <c r="I2698">
        <v>266.9246</v>
      </c>
      <c r="J2698">
        <v>-481.94319999999999</v>
      </c>
      <c r="K2698">
        <v>1.1135330000000001</v>
      </c>
      <c r="L2698">
        <v>279.39519999999999</v>
      </c>
      <c r="M2698">
        <v>-0.8032319</v>
      </c>
      <c r="N2698">
        <v>0</v>
      </c>
      <c r="O2698">
        <v>-0.59552469999999902</v>
      </c>
      <c r="P2698">
        <v>-0.78510519999999995</v>
      </c>
      <c r="Q2698">
        <v>-1.2409460000000001E-2</v>
      </c>
      <c r="R2698">
        <v>-0.61923799999999996</v>
      </c>
      <c r="S2698">
        <v>-1.906128</v>
      </c>
      <c r="T2698">
        <v>-0.2158417</v>
      </c>
      <c r="U2698">
        <v>-2.428833</v>
      </c>
      <c r="V2698">
        <v>-2.9848260000000001E-2</v>
      </c>
      <c r="W2698">
        <v>3.6317499999999998E-4</v>
      </c>
      <c r="X2698">
        <v>0.99955439999999995</v>
      </c>
      <c r="Y2698">
        <v>-0.2647832</v>
      </c>
      <c r="Z2698">
        <v>3.4008389999999999E-2</v>
      </c>
      <c r="AA2698">
        <v>0.96370809999999996</v>
      </c>
      <c r="AB2698">
        <v>16</v>
      </c>
      <c r="AC2698">
        <v>-9.7608999999999906</v>
      </c>
      <c r="AD2698">
        <v>-1.11353660028999</v>
      </c>
      <c r="AE2698">
        <v>-12.4705999999999</v>
      </c>
      <c r="AF2698">
        <v>-4.1835970558689004</v>
      </c>
      <c r="AG2698">
        <v>-1.11353660028999</v>
      </c>
      <c r="AH2698">
        <v>15.1929882758766</v>
      </c>
      <c r="AI2698">
        <v>94.041957990066507</v>
      </c>
      <c r="AJ2698">
        <v>105.395621374516</v>
      </c>
      <c r="AK2698">
        <v>15.7977637922898</v>
      </c>
      <c r="AL2698">
        <v>89.979191605328495</v>
      </c>
      <c r="AM2698">
        <v>91.710433434952094</v>
      </c>
      <c r="AN2698">
        <v>1.0000000245402301</v>
      </c>
    </row>
    <row r="2699" spans="1:40" x14ac:dyDescent="0.25">
      <c r="A2699" t="str">
        <f>"20190312154308875"</f>
        <v>20190312154308875</v>
      </c>
      <c r="B2699" t="str">
        <f>"1552376588870625"</f>
        <v>1552376588870625</v>
      </c>
      <c r="C2699" t="s">
        <v>40</v>
      </c>
      <c r="D2699">
        <v>4.2359119999999999</v>
      </c>
      <c r="E2699">
        <v>0.40796529999999998</v>
      </c>
      <c r="F2699" t="s">
        <v>43</v>
      </c>
      <c r="G2699">
        <v>-491.83330000000001</v>
      </c>
      <c r="H2699" s="1">
        <v>-3.5254679999999999E-6</v>
      </c>
      <c r="I2699">
        <v>266.67</v>
      </c>
      <c r="J2699">
        <v>-482.0093</v>
      </c>
      <c r="K2699">
        <v>1.1135269999999999</v>
      </c>
      <c r="L2699">
        <v>279.34050000000002</v>
      </c>
      <c r="M2699">
        <v>-0.80086480000000004</v>
      </c>
      <c r="N2699">
        <v>0</v>
      </c>
      <c r="O2699">
        <v>-0.59870519999999905</v>
      </c>
      <c r="P2699">
        <v>-0.7826805</v>
      </c>
      <c r="Q2699">
        <v>-1.24219E-2</v>
      </c>
      <c r="R2699">
        <v>-0.62229979999999996</v>
      </c>
      <c r="S2699">
        <v>-1.894836</v>
      </c>
      <c r="T2699">
        <v>-0.21334239999999999</v>
      </c>
      <c r="U2699">
        <v>-2.4380190000000002</v>
      </c>
      <c r="V2699">
        <v>-2.9788200000000001E-2</v>
      </c>
      <c r="W2699">
        <v>3.1024619999999998E-4</v>
      </c>
      <c r="X2699">
        <v>0.99955620000000001</v>
      </c>
      <c r="Y2699">
        <v>-0.26549349999999999</v>
      </c>
      <c r="Z2699">
        <v>3.3833290000000002E-2</v>
      </c>
      <c r="AA2699">
        <v>0.96351880000000001</v>
      </c>
      <c r="AB2699">
        <v>16</v>
      </c>
      <c r="AC2699">
        <v>-9.8240000000000105</v>
      </c>
      <c r="AD2699">
        <v>-1.1135305254679999</v>
      </c>
      <c r="AE2699">
        <v>-12.670500000000001</v>
      </c>
      <c r="AF2699">
        <v>-4.2455558065721899</v>
      </c>
      <c r="AG2699">
        <v>-1.1135305254679999</v>
      </c>
      <c r="AH2699">
        <v>15.3806934335009</v>
      </c>
      <c r="AI2699">
        <v>93.992088027288304</v>
      </c>
      <c r="AJ2699">
        <v>105.431181847456</v>
      </c>
      <c r="AK2699">
        <v>15.994699898191399</v>
      </c>
      <c r="AL2699">
        <v>89.982224202112107</v>
      </c>
      <c r="AM2699">
        <v>91.706990705245005</v>
      </c>
      <c r="AN2699">
        <v>1.00000001503519</v>
      </c>
    </row>
    <row r="2700" spans="1:40" x14ac:dyDescent="0.25">
      <c r="A2700" t="str">
        <f>"20190312154308886"</f>
        <v>20190312154308886</v>
      </c>
      <c r="B2700" t="str">
        <f>"1552376588880385"</f>
        <v>1552376588880385</v>
      </c>
      <c r="C2700" t="s">
        <v>40</v>
      </c>
      <c r="D2700">
        <v>4.202788</v>
      </c>
      <c r="E2700">
        <v>0.40803080000000003</v>
      </c>
      <c r="F2700" t="s">
        <v>43</v>
      </c>
      <c r="G2700">
        <v>-492.01319999999998</v>
      </c>
      <c r="H2700" s="1">
        <v>-3.4429239999999999E-6</v>
      </c>
      <c r="I2700">
        <v>266.36599999999999</v>
      </c>
      <c r="J2700">
        <v>-482.06580000000002</v>
      </c>
      <c r="K2700">
        <v>1.113529</v>
      </c>
      <c r="L2700">
        <v>279.2937</v>
      </c>
      <c r="M2700">
        <v>-0.79883300000000002</v>
      </c>
      <c r="N2700">
        <v>0</v>
      </c>
      <c r="O2700">
        <v>-0.60141429999999996</v>
      </c>
      <c r="P2700">
        <v>-0.78067089999999995</v>
      </c>
      <c r="Q2700">
        <v>-1.227231E-2</v>
      </c>
      <c r="R2700">
        <v>-0.62482199999999999</v>
      </c>
      <c r="S2700">
        <v>-1.8854059999999999</v>
      </c>
      <c r="T2700">
        <v>-0.20986469999999999</v>
      </c>
      <c r="U2700">
        <v>-2.4452820000000002</v>
      </c>
      <c r="V2700">
        <v>-2.9628060000000001E-2</v>
      </c>
      <c r="W2700">
        <v>4.1944189999999998E-4</v>
      </c>
      <c r="X2700">
        <v>0.99956089999999997</v>
      </c>
      <c r="Y2700">
        <v>-0.26592909999999997</v>
      </c>
      <c r="Z2700">
        <v>3.3473719999999998E-2</v>
      </c>
      <c r="AA2700">
        <v>0.96341129999999997</v>
      </c>
      <c r="AB2700">
        <v>16</v>
      </c>
      <c r="AC2700">
        <v>-9.9473999999999592</v>
      </c>
      <c r="AD2700">
        <v>-1.1135324429240001</v>
      </c>
      <c r="AE2700">
        <v>-12.9277</v>
      </c>
      <c r="AF2700">
        <v>-4.3247728006828003</v>
      </c>
      <c r="AG2700">
        <v>-1.1135324429240001</v>
      </c>
      <c r="AH2700">
        <v>15.649595946750299</v>
      </c>
      <c r="AI2700">
        <v>93.923395853781898</v>
      </c>
      <c r="AJ2700">
        <v>105.44816110684199</v>
      </c>
      <c r="AK2700">
        <v>16.2743192661172</v>
      </c>
      <c r="AL2700">
        <v>89.975967748562397</v>
      </c>
      <c r="AM2700">
        <v>91.697811408269899</v>
      </c>
      <c r="AN2700">
        <v>0.99999999533983996</v>
      </c>
    </row>
    <row r="2701" spans="1:40" x14ac:dyDescent="0.25">
      <c r="A2701" t="str">
        <f>"20190312154308896"</f>
        <v>20190312154308896</v>
      </c>
      <c r="B2701" t="str">
        <f>"1552376588890145"</f>
        <v>1552376588890145</v>
      </c>
      <c r="C2701" t="s">
        <v>40</v>
      </c>
      <c r="D2701">
        <v>4.1833289999999996</v>
      </c>
      <c r="E2701">
        <v>0.40816360000000002</v>
      </c>
      <c r="F2701" t="s">
        <v>43</v>
      </c>
      <c r="G2701">
        <v>-492.08850000000001</v>
      </c>
      <c r="H2701" s="1">
        <v>-3.3978479999999999E-6</v>
      </c>
      <c r="I2701">
        <v>266.21420000000001</v>
      </c>
      <c r="J2701">
        <v>-482.1207</v>
      </c>
      <c r="K2701">
        <v>1.1135379999999999</v>
      </c>
      <c r="L2701">
        <v>279.24759999999998</v>
      </c>
      <c r="M2701">
        <v>-0.79685490000000003</v>
      </c>
      <c r="N2701">
        <v>0</v>
      </c>
      <c r="O2701">
        <v>-0.6040335</v>
      </c>
      <c r="P2701">
        <v>-0.77864270000000002</v>
      </c>
      <c r="Q2701">
        <v>-1.2128679999999999E-2</v>
      </c>
      <c r="R2701">
        <v>-0.62735050000000003</v>
      </c>
      <c r="S2701">
        <v>-1.8780209999999999</v>
      </c>
      <c r="T2701">
        <v>-0.20864930000000001</v>
      </c>
      <c r="U2701">
        <v>-2.4507750000000001</v>
      </c>
      <c r="V2701">
        <v>-2.9588010000000001E-2</v>
      </c>
      <c r="W2701">
        <v>5.3245219999999995E-4</v>
      </c>
      <c r="X2701">
        <v>0.99956199999999995</v>
      </c>
      <c r="Y2701">
        <v>-0.26563490000000001</v>
      </c>
      <c r="Z2701">
        <v>3.3485040000000001E-2</v>
      </c>
      <c r="AA2701">
        <v>0.96349200000000002</v>
      </c>
      <c r="AB2701">
        <v>16</v>
      </c>
      <c r="AC2701">
        <v>-9.9678000000000093</v>
      </c>
      <c r="AD2701">
        <v>-1.113541397848</v>
      </c>
      <c r="AE2701">
        <v>-13.033399999999901</v>
      </c>
      <c r="AF2701">
        <v>-4.3451928036222203</v>
      </c>
      <c r="AG2701">
        <v>-1.113541397848</v>
      </c>
      <c r="AH2701">
        <v>15.7442983718003</v>
      </c>
      <c r="AI2701">
        <v>93.900265241995498</v>
      </c>
      <c r="AJ2701">
        <v>105.428715294231</v>
      </c>
      <c r="AK2701">
        <v>16.370815684187701</v>
      </c>
      <c r="AL2701">
        <v>89.969492733572395</v>
      </c>
      <c r="AM2701">
        <v>91.695515851958405</v>
      </c>
      <c r="AN2701">
        <v>0.99999996284255099</v>
      </c>
    </row>
    <row r="2702" spans="1:40" x14ac:dyDescent="0.25">
      <c r="A2702" t="str">
        <f>"20190312154308907"</f>
        <v>20190312154308907</v>
      </c>
      <c r="B2702" t="str">
        <f>"1552376588899904"</f>
        <v>1552376588899904</v>
      </c>
      <c r="C2702" t="s">
        <v>40</v>
      </c>
      <c r="D2702">
        <v>4.1764799999999997</v>
      </c>
      <c r="E2702">
        <v>0.40827609999999998</v>
      </c>
      <c r="F2702" t="s">
        <v>43</v>
      </c>
      <c r="G2702">
        <v>-492.18860000000001</v>
      </c>
      <c r="H2702" s="1">
        <v>-3.3440769999999999E-6</v>
      </c>
      <c r="I2702">
        <v>266.02679999999998</v>
      </c>
      <c r="J2702">
        <v>-482.17899999999997</v>
      </c>
      <c r="K2702">
        <v>1.1135489999999999</v>
      </c>
      <c r="L2702">
        <v>279.19850000000002</v>
      </c>
      <c r="M2702">
        <v>-0.79474789999999995</v>
      </c>
      <c r="N2702">
        <v>0</v>
      </c>
      <c r="O2702">
        <v>-0.60680369999999995</v>
      </c>
      <c r="P2702">
        <v>-0.77650699999999995</v>
      </c>
      <c r="Q2702">
        <v>-1.210754E-2</v>
      </c>
      <c r="R2702">
        <v>-0.62999249999999996</v>
      </c>
      <c r="S2702">
        <v>-1.8705750000000001</v>
      </c>
      <c r="T2702">
        <v>-0.2068914</v>
      </c>
      <c r="U2702">
        <v>-2.4563600000000001</v>
      </c>
      <c r="V2702">
        <v>-2.9505090000000001E-2</v>
      </c>
      <c r="W2702">
        <v>5.243461E-4</v>
      </c>
      <c r="X2702">
        <v>0.99956449999999997</v>
      </c>
      <c r="Y2702">
        <v>-0.26517980000000002</v>
      </c>
      <c r="Z2702">
        <v>3.3421739999999998E-2</v>
      </c>
      <c r="AA2702">
        <v>0.96361949999999996</v>
      </c>
      <c r="AB2702">
        <v>16</v>
      </c>
      <c r="AC2702">
        <v>-10.009599999999899</v>
      </c>
      <c r="AD2702">
        <v>-1.1135523440770001</v>
      </c>
      <c r="AE2702">
        <v>-13.1717</v>
      </c>
      <c r="AF2702">
        <v>-4.3748599254462004</v>
      </c>
      <c r="AG2702">
        <v>-1.1135523440770001</v>
      </c>
      <c r="AH2702">
        <v>15.8771259718746</v>
      </c>
      <c r="AI2702">
        <v>93.868208258203097</v>
      </c>
      <c r="AJ2702">
        <v>105.405268726031</v>
      </c>
      <c r="AK2702">
        <v>16.5064389653568</v>
      </c>
      <c r="AL2702">
        <v>89.9699571803135</v>
      </c>
      <c r="AM2702">
        <v>91.690762727200294</v>
      </c>
      <c r="AN2702">
        <v>1.00000000746749</v>
      </c>
    </row>
    <row r="2703" spans="1:40" x14ac:dyDescent="0.25">
      <c r="A2703" t="str">
        <f>"20190312154308918"</f>
        <v>20190312154308918</v>
      </c>
      <c r="B2703" t="str">
        <f>"1552376588910641"</f>
        <v>1552376588910641</v>
      </c>
      <c r="C2703" t="s">
        <v>40</v>
      </c>
      <c r="D2703">
        <v>4.1810159999999996</v>
      </c>
      <c r="E2703">
        <v>0.40836519999999998</v>
      </c>
      <c r="F2703" t="s">
        <v>43</v>
      </c>
      <c r="G2703">
        <v>-492.23149999999998</v>
      </c>
      <c r="H2703" s="1">
        <v>-3.306192E-6</v>
      </c>
      <c r="I2703">
        <v>265.9119</v>
      </c>
      <c r="J2703">
        <v>-482.23660000000001</v>
      </c>
      <c r="K2703">
        <v>1.1135630000000001</v>
      </c>
      <c r="L2703">
        <v>279.14940000000001</v>
      </c>
      <c r="M2703">
        <v>-0.79265220000000003</v>
      </c>
      <c r="N2703">
        <v>0</v>
      </c>
      <c r="O2703">
        <v>-0.60953869999999999</v>
      </c>
      <c r="P2703">
        <v>-0.77437679999999998</v>
      </c>
      <c r="Q2703">
        <v>-1.2388069999999999E-2</v>
      </c>
      <c r="R2703">
        <v>-0.63260319999999903</v>
      </c>
      <c r="S2703">
        <v>-1.862762</v>
      </c>
      <c r="T2703">
        <v>-0.20634379999999999</v>
      </c>
      <c r="U2703">
        <v>-2.4620359999999999</v>
      </c>
      <c r="V2703">
        <v>-2.9426919999999999E-2</v>
      </c>
      <c r="W2703">
        <v>2.3347529999999999E-4</v>
      </c>
      <c r="X2703">
        <v>0.99956690000000004</v>
      </c>
      <c r="Y2703">
        <v>-0.26487240000000001</v>
      </c>
      <c r="Z2703">
        <v>3.354559E-2</v>
      </c>
      <c r="AA2703">
        <v>0.9636998</v>
      </c>
      <c r="AB2703">
        <v>16</v>
      </c>
      <c r="AC2703">
        <v>-9.9948999999999693</v>
      </c>
      <c r="AD2703">
        <v>-1.11356630619199</v>
      </c>
      <c r="AE2703">
        <v>-13.237500000000001</v>
      </c>
      <c r="AF2703">
        <v>-4.3810725287681098</v>
      </c>
      <c r="AG2703">
        <v>-1.11356630619199</v>
      </c>
      <c r="AH2703">
        <v>15.920811614461901</v>
      </c>
      <c r="AI2703">
        <v>93.858034636511505</v>
      </c>
      <c r="AJ2703">
        <v>105.385784041482</v>
      </c>
      <c r="AK2703">
        <v>16.550107820911499</v>
      </c>
      <c r="AL2703">
        <v>89.986622850472301</v>
      </c>
      <c r="AM2703">
        <v>91.686281808655593</v>
      </c>
      <c r="AN2703">
        <v>0.99999999285350605</v>
      </c>
    </row>
    <row r="2704" spans="1:40" x14ac:dyDescent="0.25">
      <c r="A2704" t="str">
        <f>"20190312154308930"</f>
        <v>20190312154308930</v>
      </c>
      <c r="B2704" t="str">
        <f>"1552376588920401"</f>
        <v>1552376588920401</v>
      </c>
      <c r="C2704" t="s">
        <v>40</v>
      </c>
      <c r="D2704">
        <v>4.2119669999999996</v>
      </c>
      <c r="E2704">
        <v>0.40852260000000001</v>
      </c>
      <c r="F2704" t="s">
        <v>43</v>
      </c>
      <c r="G2704">
        <v>-492.23820000000001</v>
      </c>
      <c r="H2704" s="1">
        <v>-3.2813529999999998E-6</v>
      </c>
      <c r="I2704">
        <v>265.84980000000002</v>
      </c>
      <c r="J2704">
        <v>-482.2971</v>
      </c>
      <c r="K2704">
        <v>1.113577</v>
      </c>
      <c r="L2704">
        <v>279.09750000000003</v>
      </c>
      <c r="M2704">
        <v>-0.79043750000000002</v>
      </c>
      <c r="N2704">
        <v>0</v>
      </c>
      <c r="O2704">
        <v>-0.61240830000000002</v>
      </c>
      <c r="P2704">
        <v>-0.77219490000000002</v>
      </c>
      <c r="Q2704">
        <v>-1.214435E-2</v>
      </c>
      <c r="R2704">
        <v>-0.63526969999999905</v>
      </c>
      <c r="S2704">
        <v>-1.8553470000000001</v>
      </c>
      <c r="T2704">
        <v>-0.2065727</v>
      </c>
      <c r="U2704">
        <v>-2.467133</v>
      </c>
      <c r="V2704">
        <v>-2.9249130000000002E-2</v>
      </c>
      <c r="W2704">
        <v>4.685561E-4</v>
      </c>
      <c r="X2704">
        <v>0.99957200000000002</v>
      </c>
      <c r="Y2704">
        <v>-0.26418920000000001</v>
      </c>
      <c r="Z2704">
        <v>3.3817590000000002E-2</v>
      </c>
      <c r="AA2704">
        <v>0.96387780000000001</v>
      </c>
      <c r="AB2704">
        <v>16</v>
      </c>
      <c r="AC2704">
        <v>-9.9411000000000005</v>
      </c>
      <c r="AD2704">
        <v>-1.113580281353</v>
      </c>
      <c r="AE2704">
        <v>-13.2477</v>
      </c>
      <c r="AF2704">
        <v>-4.3641002232676396</v>
      </c>
      <c r="AG2704">
        <v>-1.113580281353</v>
      </c>
      <c r="AH2704">
        <v>15.900259352958599</v>
      </c>
      <c r="AI2704">
        <v>93.863755166867094</v>
      </c>
      <c r="AJ2704">
        <v>105.34786837236901</v>
      </c>
      <c r="AK2704">
        <v>16.5258488221661</v>
      </c>
      <c r="AL2704">
        <v>89.973153710872595</v>
      </c>
      <c r="AM2704">
        <v>91.676091003084693</v>
      </c>
      <c r="AN2704">
        <v>0.99999995716728696</v>
      </c>
    </row>
    <row r="2705" spans="1:40" x14ac:dyDescent="0.25">
      <c r="A2705" t="str">
        <f>"20190312154308941"</f>
        <v>20190312154308941</v>
      </c>
      <c r="B2705" t="str">
        <f>"1552376588930162"</f>
        <v>1552376588930162</v>
      </c>
      <c r="C2705" t="s">
        <v>40</v>
      </c>
      <c r="D2705">
        <v>4.5625780000000002</v>
      </c>
      <c r="E2705">
        <v>0.40852260000000001</v>
      </c>
      <c r="F2705" t="s">
        <v>43</v>
      </c>
      <c r="G2705">
        <v>-492.34730000000002</v>
      </c>
      <c r="H2705" s="1">
        <v>-3.2221079999999998E-6</v>
      </c>
      <c r="I2705">
        <v>265.64409999999998</v>
      </c>
      <c r="J2705">
        <v>-482.35930000000002</v>
      </c>
      <c r="K2705">
        <v>1.113591</v>
      </c>
      <c r="L2705">
        <v>279.04379999999998</v>
      </c>
      <c r="M2705">
        <v>-0.78813520000000004</v>
      </c>
      <c r="N2705">
        <v>0</v>
      </c>
      <c r="O2705">
        <v>-0.61536820000000003</v>
      </c>
      <c r="P2705">
        <v>-0.76968029999999998</v>
      </c>
      <c r="Q2705">
        <v>-1.220795E-2</v>
      </c>
      <c r="R2705">
        <v>-0.63831280000000001</v>
      </c>
      <c r="S2705">
        <v>-1.8473820000000001</v>
      </c>
      <c r="T2705">
        <v>-0.2046943</v>
      </c>
      <c r="U2705">
        <v>-2.4729610000000002</v>
      </c>
      <c r="V2705">
        <v>-2.944598E-2</v>
      </c>
      <c r="W2705">
        <v>4.0036839999999999E-4</v>
      </c>
      <c r="X2705">
        <v>0.99956630000000002</v>
      </c>
      <c r="Y2705">
        <v>-0.26364979999999999</v>
      </c>
      <c r="Z2705">
        <v>3.3743469999999998E-2</v>
      </c>
      <c r="AA2705">
        <v>0.96402810000000005</v>
      </c>
      <c r="AB2705">
        <v>16</v>
      </c>
      <c r="AC2705">
        <v>-9.9879999999999995</v>
      </c>
      <c r="AD2705">
        <v>-1.113594222108</v>
      </c>
      <c r="AE2705">
        <v>-13.3996999999999</v>
      </c>
      <c r="AF2705">
        <v>-4.39532723465428</v>
      </c>
      <c r="AG2705">
        <v>-1.113594222108</v>
      </c>
      <c r="AH2705">
        <v>16.047723778805999</v>
      </c>
      <c r="AI2705">
        <v>93.828965443083405</v>
      </c>
      <c r="AJ2705">
        <v>105.317161338107</v>
      </c>
      <c r="AK2705">
        <v>16.675983691286699</v>
      </c>
      <c r="AL2705">
        <v>89.977060579978797</v>
      </c>
      <c r="AM2705">
        <v>91.687374404983501</v>
      </c>
      <c r="AN2705">
        <v>1.00000000706435</v>
      </c>
    </row>
    <row r="2706" spans="1:40" x14ac:dyDescent="0.25">
      <c r="A2706" t="str">
        <f>"20190312154308952"</f>
        <v>20190312154308952</v>
      </c>
      <c r="B2706" t="str">
        <f>"1552376588939921"</f>
        <v>1552376588939921</v>
      </c>
      <c r="C2706" t="s">
        <v>40</v>
      </c>
      <c r="D2706">
        <v>4.2569030000000003</v>
      </c>
      <c r="E2706">
        <v>0.4083309</v>
      </c>
      <c r="F2706" t="s">
        <v>43</v>
      </c>
      <c r="G2706">
        <v>-492.34140000000002</v>
      </c>
      <c r="H2706" s="1">
        <v>-3.1902840000000002E-6</v>
      </c>
      <c r="I2706">
        <v>265.57350000000002</v>
      </c>
      <c r="J2706">
        <v>-482.41489999999999</v>
      </c>
      <c r="K2706">
        <v>1.11359599999999</v>
      </c>
      <c r="L2706">
        <v>278.99549999999999</v>
      </c>
      <c r="M2706">
        <v>-0.78606279999999995</v>
      </c>
      <c r="N2706">
        <v>0</v>
      </c>
      <c r="O2706">
        <v>-0.61801359999999905</v>
      </c>
      <c r="P2706">
        <v>-0.76746139999999996</v>
      </c>
      <c r="Q2706">
        <v>-1.1944440000000001E-2</v>
      </c>
      <c r="R2706">
        <v>-0.64098409999999995</v>
      </c>
      <c r="S2706">
        <v>-1.837769</v>
      </c>
      <c r="T2706">
        <v>-0.20501920000000001</v>
      </c>
      <c r="U2706">
        <v>-2.4799500000000001</v>
      </c>
      <c r="V2706">
        <v>-2.9560369999999999E-2</v>
      </c>
      <c r="W2706">
        <v>6.5881399999999997E-4</v>
      </c>
      <c r="X2706">
        <v>0.99956279999999997</v>
      </c>
      <c r="Y2706">
        <v>-0.26412429999999998</v>
      </c>
      <c r="Z2706">
        <v>3.3979000000000002E-2</v>
      </c>
      <c r="AA2706">
        <v>0.96388989999999997</v>
      </c>
      <c r="AB2706">
        <v>16</v>
      </c>
      <c r="AC2706">
        <v>-9.9265000000000292</v>
      </c>
      <c r="AD2706">
        <v>-1.1135991902839999</v>
      </c>
      <c r="AE2706">
        <v>-13.421999999999899</v>
      </c>
      <c r="AF2706">
        <v>-4.3966218477483698</v>
      </c>
      <c r="AG2706">
        <v>-1.1135991902839999</v>
      </c>
      <c r="AH2706">
        <v>16.027833706815301</v>
      </c>
      <c r="AI2706">
        <v>93.833310062502605</v>
      </c>
      <c r="AJ2706">
        <v>105.339579287061</v>
      </c>
      <c r="AK2706">
        <v>16.657185841612801</v>
      </c>
      <c r="AL2706">
        <v>89.962252736352497</v>
      </c>
      <c r="AM2706">
        <v>91.693931533443902</v>
      </c>
      <c r="AN2706">
        <v>1.00000002032713</v>
      </c>
    </row>
    <row r="2707" spans="1:40" x14ac:dyDescent="0.25">
      <c r="A2707" t="str">
        <f>"20190312154308964"</f>
        <v>20190312154308964</v>
      </c>
      <c r="B2707" t="str">
        <f>"1552376588960417"</f>
        <v>1552376588960417</v>
      </c>
      <c r="C2707" t="s">
        <v>40</v>
      </c>
      <c r="D2707">
        <v>4.2652619999999999</v>
      </c>
      <c r="E2707">
        <v>0.39526129999999998</v>
      </c>
      <c r="F2707" t="s">
        <v>43</v>
      </c>
      <c r="G2707">
        <v>-492.35449999999997</v>
      </c>
      <c r="H2707" s="1">
        <v>-3.1497940000000002E-6</v>
      </c>
      <c r="I2707">
        <v>265.47109999999998</v>
      </c>
      <c r="J2707">
        <v>-482.4742</v>
      </c>
      <c r="K2707">
        <v>1.1135969999999999</v>
      </c>
      <c r="L2707">
        <v>278.94349999999997</v>
      </c>
      <c r="M2707">
        <v>-0.78382059999999998</v>
      </c>
      <c r="N2707">
        <v>0</v>
      </c>
      <c r="O2707">
        <v>-0.6208553</v>
      </c>
      <c r="P2707">
        <v>-0.76506010000000002</v>
      </c>
      <c r="Q2707">
        <v>-1.185542E-2</v>
      </c>
      <c r="R2707">
        <v>-0.64385000000000003</v>
      </c>
      <c r="S2707">
        <v>-1.8281860000000001</v>
      </c>
      <c r="T2707">
        <v>-0.20482349999999999</v>
      </c>
      <c r="U2707">
        <v>-2.487549</v>
      </c>
      <c r="V2707">
        <v>-2.9680479999999999E-2</v>
      </c>
      <c r="W2707">
        <v>7.4035319999999998E-4</v>
      </c>
      <c r="X2707">
        <v>0.99955919999999998</v>
      </c>
      <c r="Y2707">
        <v>-0.26445180000000001</v>
      </c>
      <c r="Z2707">
        <v>3.4141119999999997E-2</v>
      </c>
      <c r="AA2707">
        <v>0.96379440000000005</v>
      </c>
      <c r="AB2707">
        <v>16</v>
      </c>
      <c r="AC2707">
        <v>-9.8802999999999699</v>
      </c>
      <c r="AD2707">
        <v>-1.113600149794</v>
      </c>
      <c r="AE2707">
        <v>-13.472399999999899</v>
      </c>
      <c r="AF2707">
        <v>-4.4064936570722804</v>
      </c>
      <c r="AG2707">
        <v>-1.113600149794</v>
      </c>
      <c r="AH2707">
        <v>16.038856699439599</v>
      </c>
      <c r="AI2707">
        <v>93.830270414024696</v>
      </c>
      <c r="AJ2707">
        <v>105.36232827783699</v>
      </c>
      <c r="AK2707">
        <v>16.670399391394302</v>
      </c>
      <c r="AL2707">
        <v>89.957580883970905</v>
      </c>
      <c r="AM2707">
        <v>91.700816421069206</v>
      </c>
      <c r="AN2707">
        <v>1.0000000366602599</v>
      </c>
    </row>
    <row r="2708" spans="1:40" x14ac:dyDescent="0.25">
      <c r="A2708" t="str">
        <f>"20190312154308975"</f>
        <v>20190312154308975</v>
      </c>
      <c r="B2708" t="str">
        <f>"1552376588970177"</f>
        <v>1552376588970177</v>
      </c>
      <c r="C2708" t="s">
        <v>40</v>
      </c>
      <c r="D2708">
        <v>4.2522739999999999</v>
      </c>
      <c r="E2708">
        <v>0.39543519999999999</v>
      </c>
      <c r="F2708" t="s">
        <v>43</v>
      </c>
      <c r="G2708">
        <v>-491.45609999999999</v>
      </c>
      <c r="H2708" s="1">
        <v>-3.0243649999999999E-6</v>
      </c>
      <c r="I2708">
        <v>265.73590000000002</v>
      </c>
      <c r="J2708">
        <v>-482.52789999999999</v>
      </c>
      <c r="K2708">
        <v>1.1135889999999999</v>
      </c>
      <c r="L2708">
        <v>278.89620000000002</v>
      </c>
      <c r="M2708">
        <v>-0.78177479999999999</v>
      </c>
      <c r="N2708">
        <v>0</v>
      </c>
      <c r="O2708">
        <v>-0.62342919999999902</v>
      </c>
      <c r="P2708">
        <v>-0.76276599999999894</v>
      </c>
      <c r="Q2708">
        <v>-1.1571680000000001E-2</v>
      </c>
      <c r="R2708">
        <v>-0.64657129999999996</v>
      </c>
      <c r="S2708">
        <v>-1.7510380000000001</v>
      </c>
      <c r="T2708">
        <v>-0.2170985</v>
      </c>
      <c r="U2708">
        <v>-2.5748600000000001</v>
      </c>
      <c r="V2708">
        <v>-2.995358E-2</v>
      </c>
      <c r="W2708">
        <v>1.0135809999999999E-3</v>
      </c>
      <c r="X2708">
        <v>0.99955079999999996</v>
      </c>
      <c r="Y2708">
        <v>-0.29639130000000002</v>
      </c>
      <c r="Z2708">
        <v>3.5144710000000003E-2</v>
      </c>
      <c r="AA2708">
        <v>0.95441969999999998</v>
      </c>
      <c r="AB2708">
        <v>16</v>
      </c>
      <c r="AC2708">
        <v>-8.9282000000000004</v>
      </c>
      <c r="AD2708">
        <v>-1.1135920243649999</v>
      </c>
      <c r="AE2708">
        <v>-13.160299999999999</v>
      </c>
      <c r="AF2708">
        <v>-4.6996341137365496</v>
      </c>
      <c r="AG2708">
        <v>-1.1135920243649999</v>
      </c>
      <c r="AH2708">
        <v>15.1115068518759</v>
      </c>
      <c r="AI2708">
        <v>94.025112080224304</v>
      </c>
      <c r="AJ2708">
        <v>107.27553989587599</v>
      </c>
      <c r="AK2708">
        <v>15.864560735614999</v>
      </c>
      <c r="AL2708">
        <v>89.941926077899694</v>
      </c>
      <c r="AM2708">
        <v>91.716471297394705</v>
      </c>
      <c r="AN2708">
        <v>1.00000002304094</v>
      </c>
    </row>
    <row r="2709" spans="1:40" x14ac:dyDescent="0.25">
      <c r="A2709" t="str">
        <f>"20190312154308988"</f>
        <v>20190312154308988</v>
      </c>
      <c r="B2709" t="str">
        <f>"1552376588979937"</f>
        <v>1552376588979937</v>
      </c>
      <c r="C2709" t="s">
        <v>40</v>
      </c>
      <c r="D2709">
        <v>4.276135</v>
      </c>
      <c r="E2709">
        <v>0.39585609999999999</v>
      </c>
      <c r="F2709" t="s">
        <v>43</v>
      </c>
      <c r="G2709">
        <v>-491.50060000000002</v>
      </c>
      <c r="H2709" s="1">
        <v>-2.9853469999999998E-6</v>
      </c>
      <c r="I2709">
        <v>265.6173</v>
      </c>
      <c r="J2709">
        <v>-482.59789999999998</v>
      </c>
      <c r="K2709">
        <v>1.1135839999999999</v>
      </c>
      <c r="L2709">
        <v>278.83409999999998</v>
      </c>
      <c r="M2709">
        <v>-0.77908389999999905</v>
      </c>
      <c r="N2709">
        <v>0</v>
      </c>
      <c r="O2709">
        <v>-0.62678919999999905</v>
      </c>
      <c r="P2709">
        <v>-0.75983299999999998</v>
      </c>
      <c r="Q2709">
        <v>-1.1656110000000001E-2</v>
      </c>
      <c r="R2709">
        <v>-0.65001419999999999</v>
      </c>
      <c r="S2709">
        <v>-1.7431029999999901</v>
      </c>
      <c r="T2709">
        <v>-0.21633520000000001</v>
      </c>
      <c r="U2709">
        <v>-2.5796510000000001</v>
      </c>
      <c r="V2709">
        <v>-3.0170450000000001E-2</v>
      </c>
      <c r="W2709">
        <v>9.1582939999999998E-4</v>
      </c>
      <c r="X2709">
        <v>0.99954430000000005</v>
      </c>
      <c r="Y2709">
        <v>-0.2951203</v>
      </c>
      <c r="Z2709">
        <v>3.5324979999999999E-2</v>
      </c>
      <c r="AA2709">
        <v>0.95480690000000001</v>
      </c>
      <c r="AB2709">
        <v>16</v>
      </c>
      <c r="AC2709">
        <v>-8.9027000000000296</v>
      </c>
      <c r="AD2709">
        <v>-1.113586985347</v>
      </c>
      <c r="AE2709">
        <v>-13.2167999999999</v>
      </c>
      <c r="AF2709">
        <v>-4.6943417993928804</v>
      </c>
      <c r="AG2709">
        <v>-1.113586985347</v>
      </c>
      <c r="AH2709">
        <v>15.1473734388744</v>
      </c>
      <c r="AI2709">
        <v>94.016825107338903</v>
      </c>
      <c r="AJ2709">
        <v>107.218798150873</v>
      </c>
      <c r="AK2709">
        <v>15.897164621409001</v>
      </c>
      <c r="AL2709">
        <v>89.947526830731604</v>
      </c>
      <c r="AM2709">
        <v>91.728902618862705</v>
      </c>
      <c r="AN2709">
        <v>0.99999995122958996</v>
      </c>
    </row>
    <row r="2710" spans="1:40" x14ac:dyDescent="0.25">
      <c r="A2710" t="str">
        <f>"20190312154309001"</f>
        <v>20190312154309001</v>
      </c>
      <c r="B2710" t="str">
        <f>"1552376588990673"</f>
        <v>1552376588990673</v>
      </c>
      <c r="C2710" t="s">
        <v>40</v>
      </c>
      <c r="D2710">
        <v>4.2270690000000002</v>
      </c>
      <c r="E2710">
        <v>0.39639089999999999</v>
      </c>
      <c r="F2710" t="s">
        <v>43</v>
      </c>
      <c r="G2710">
        <v>-491.58609999999999</v>
      </c>
      <c r="H2710" s="1">
        <v>-2.9262590000000002E-6</v>
      </c>
      <c r="I2710">
        <v>265.42649999999998</v>
      </c>
      <c r="J2710">
        <v>-482.66829999999999</v>
      </c>
      <c r="K2710">
        <v>1.1135759999999999</v>
      </c>
      <c r="L2710">
        <v>278.77089999999998</v>
      </c>
      <c r="M2710">
        <v>-0.77635200000000004</v>
      </c>
      <c r="N2710">
        <v>0</v>
      </c>
      <c r="O2710">
        <v>-0.63016969999999894</v>
      </c>
      <c r="P2710">
        <v>-0.75688339999999998</v>
      </c>
      <c r="Q2710">
        <v>-1.1517869999999999E-2</v>
      </c>
      <c r="R2710">
        <v>-0.65344880000000005</v>
      </c>
      <c r="S2710">
        <v>-1.73318499999999</v>
      </c>
      <c r="T2710">
        <v>-0.21473120000000001</v>
      </c>
      <c r="U2710">
        <v>-2.5853579999999998</v>
      </c>
      <c r="V2710">
        <v>-3.0352029999999999E-2</v>
      </c>
      <c r="W2710">
        <v>1.042191E-3</v>
      </c>
      <c r="X2710">
        <v>0.9995387</v>
      </c>
      <c r="Y2710">
        <v>-0.29446699999999998</v>
      </c>
      <c r="Z2710">
        <v>3.5352729999999999E-2</v>
      </c>
      <c r="AA2710">
        <v>0.95500759999999996</v>
      </c>
      <c r="AB2710">
        <v>16</v>
      </c>
      <c r="AC2710">
        <v>-8.9177999999999997</v>
      </c>
      <c r="AD2710">
        <v>-1.1135789262589999</v>
      </c>
      <c r="AE2710">
        <v>-13.3444</v>
      </c>
      <c r="AF2710">
        <v>-4.7179009230985196</v>
      </c>
      <c r="AG2710">
        <v>-1.1135789262589999</v>
      </c>
      <c r="AH2710">
        <v>15.260381950267901</v>
      </c>
      <c r="AI2710">
        <v>93.987990029138601</v>
      </c>
      <c r="AJ2710">
        <v>107.179521195676</v>
      </c>
      <c r="AK2710">
        <v>16.0118051578592</v>
      </c>
      <c r="AL2710">
        <v>89.940286841792201</v>
      </c>
      <c r="AM2710">
        <v>91.739311336761403</v>
      </c>
      <c r="AN2710">
        <v>0.99999997234244498</v>
      </c>
    </row>
    <row r="2711" spans="1:40" x14ac:dyDescent="0.25">
      <c r="A2711" t="str">
        <f>"20190312154309019"</f>
        <v>20190312154309019</v>
      </c>
      <c r="B2711" t="str">
        <f>"1552376589010193"</f>
        <v>1552376589010193</v>
      </c>
      <c r="C2711" t="s">
        <v>40</v>
      </c>
      <c r="D2711">
        <v>4.2429509999999997</v>
      </c>
      <c r="E2711">
        <v>0.40181129999999998</v>
      </c>
      <c r="F2711" t="s">
        <v>43</v>
      </c>
      <c r="G2711">
        <v>-491.68959999999998</v>
      </c>
      <c r="H2711" s="1">
        <v>-2.8668109999999999E-6</v>
      </c>
      <c r="I2711">
        <v>265.22379999999998</v>
      </c>
      <c r="J2711">
        <v>-482.75990000000002</v>
      </c>
      <c r="K2711">
        <v>1.1135679999999999</v>
      </c>
      <c r="L2711">
        <v>278.68790000000001</v>
      </c>
      <c r="M2711">
        <v>-0.77275869999999902</v>
      </c>
      <c r="N2711">
        <v>0</v>
      </c>
      <c r="O2711">
        <v>-0.63457140000000001</v>
      </c>
      <c r="P2711">
        <v>-0.75279030000000002</v>
      </c>
      <c r="Q2711">
        <v>-1.169283E-2</v>
      </c>
      <c r="R2711">
        <v>-0.65815690000000004</v>
      </c>
      <c r="S2711">
        <v>-1.7245790000000001</v>
      </c>
      <c r="T2711">
        <v>-0.21287929999999999</v>
      </c>
      <c r="U2711">
        <v>-2.5897519999999998</v>
      </c>
      <c r="V2711">
        <v>-3.0906820000000002E-2</v>
      </c>
      <c r="W2711">
        <v>8.5240999999999995E-4</v>
      </c>
      <c r="X2711">
        <v>0.99952189999999996</v>
      </c>
      <c r="Y2711">
        <v>-0.29198210000000002</v>
      </c>
      <c r="Z2711">
        <v>3.5469019999999997E-2</v>
      </c>
      <c r="AA2711">
        <v>0.9557658</v>
      </c>
      <c r="AB2711">
        <v>16</v>
      </c>
      <c r="AC2711">
        <v>-8.9296999999999596</v>
      </c>
      <c r="AD2711">
        <v>-1.113570866811</v>
      </c>
      <c r="AE2711">
        <v>-13.4641</v>
      </c>
      <c r="AF2711">
        <v>-4.7159505233718102</v>
      </c>
      <c r="AG2711">
        <v>-1.113570866811</v>
      </c>
      <c r="AH2711">
        <v>15.372664810352999</v>
      </c>
      <c r="AI2711">
        <v>93.961574285535903</v>
      </c>
      <c r="AJ2711">
        <v>107.05470863034699</v>
      </c>
      <c r="AK2711">
        <v>16.118283183570401</v>
      </c>
      <c r="AL2711">
        <v>89.951160498346098</v>
      </c>
      <c r="AM2711">
        <v>91.771113046350905</v>
      </c>
      <c r="AN2711">
        <v>0.99999999335246503</v>
      </c>
    </row>
    <row r="2712" spans="1:40" x14ac:dyDescent="0.25">
      <c r="A2712" t="str">
        <f>"20190312154309033"</f>
        <v>20190312154309033</v>
      </c>
      <c r="B2712" t="str">
        <f>"1552376589030688"</f>
        <v>1552376589030688</v>
      </c>
      <c r="C2712" t="s">
        <v>40</v>
      </c>
      <c r="D2712">
        <v>4.272748</v>
      </c>
      <c r="E2712">
        <v>0.40267779999999997</v>
      </c>
      <c r="F2712" t="s">
        <v>43</v>
      </c>
      <c r="G2712">
        <v>-491.75650000000002</v>
      </c>
      <c r="H2712" s="1">
        <v>-2.9550780000000001E-6</v>
      </c>
      <c r="I2712">
        <v>265.38810000000001</v>
      </c>
      <c r="J2712">
        <v>-482.82819999999998</v>
      </c>
      <c r="K2712">
        <v>1.113561</v>
      </c>
      <c r="L2712">
        <v>278.62549999999999</v>
      </c>
      <c r="M2712">
        <v>-0.77006169999999996</v>
      </c>
      <c r="N2712">
        <v>0</v>
      </c>
      <c r="O2712">
        <v>-0.63784189999999996</v>
      </c>
      <c r="P2712">
        <v>-0.74995080000000003</v>
      </c>
      <c r="Q2712">
        <v>-1.1463930000000001E-2</v>
      </c>
      <c r="R2712">
        <v>-0.6613945</v>
      </c>
      <c r="S2712">
        <v>-1.7369079999999999</v>
      </c>
      <c r="T2712">
        <v>-0.21499109999999999</v>
      </c>
      <c r="U2712">
        <v>-2.5677189999999999</v>
      </c>
      <c r="V2712">
        <v>-3.0976389999999999E-2</v>
      </c>
      <c r="W2712">
        <v>1.073662E-3</v>
      </c>
      <c r="X2712">
        <v>0.99951950000000001</v>
      </c>
      <c r="Y2712">
        <v>-0.2810125</v>
      </c>
      <c r="Z2712">
        <v>3.651712E-2</v>
      </c>
      <c r="AA2712">
        <v>0.95900909999999995</v>
      </c>
      <c r="AB2712">
        <v>16</v>
      </c>
      <c r="AC2712">
        <v>-8.9283000000000303</v>
      </c>
      <c r="AD2712">
        <v>-1.1135639550779901</v>
      </c>
      <c r="AE2712">
        <v>-13.2373999999999</v>
      </c>
      <c r="AF2712">
        <v>-4.4773593732359904</v>
      </c>
      <c r="AG2712">
        <v>-1.1135639550779901</v>
      </c>
      <c r="AH2712">
        <v>15.245802072982</v>
      </c>
      <c r="AI2712">
        <v>94.008794259280805</v>
      </c>
      <c r="AJ2712">
        <v>106.36636260473099</v>
      </c>
      <c r="AK2712">
        <v>15.928629962670801</v>
      </c>
      <c r="AL2712">
        <v>89.938483684508199</v>
      </c>
      <c r="AM2712">
        <v>91.775101461922006</v>
      </c>
      <c r="AN2712">
        <v>0.99999996018388504</v>
      </c>
    </row>
    <row r="2713" spans="1:40" x14ac:dyDescent="0.25">
      <c r="A2713" t="str">
        <f>"20190312154309046"</f>
        <v>20190312154309046</v>
      </c>
      <c r="B2713" t="str">
        <f>"1552376589040448"</f>
        <v>1552376589040448</v>
      </c>
      <c r="C2713" t="s">
        <v>40</v>
      </c>
      <c r="D2713">
        <v>4.2698140000000002</v>
      </c>
      <c r="E2713">
        <v>0.40305849999999999</v>
      </c>
      <c r="F2713" t="s">
        <v>43</v>
      </c>
      <c r="G2713">
        <v>-491.48379999999997</v>
      </c>
      <c r="H2713" s="1">
        <v>-3.0443269999999999E-6</v>
      </c>
      <c r="I2713">
        <v>265.76530000000002</v>
      </c>
      <c r="J2713">
        <v>-482.8956</v>
      </c>
      <c r="K2713">
        <v>1.1135600000000001</v>
      </c>
      <c r="L2713">
        <v>278.5634</v>
      </c>
      <c r="M2713">
        <v>-0.76737029999999995</v>
      </c>
      <c r="N2713">
        <v>0</v>
      </c>
      <c r="O2713">
        <v>-0.64107720000000001</v>
      </c>
      <c r="P2713">
        <v>-0.74704869999999901</v>
      </c>
      <c r="Q2713">
        <v>-1.1513900000000001E-2</v>
      </c>
      <c r="R2713">
        <v>-0.66466959999999997</v>
      </c>
      <c r="S2713">
        <v>-1.7299800000000001</v>
      </c>
      <c r="T2713">
        <v>-0.22256679999999901</v>
      </c>
      <c r="U2713">
        <v>-2.5703740000000002</v>
      </c>
      <c r="V2713">
        <v>-3.114273E-2</v>
      </c>
      <c r="W2713">
        <v>1.014058E-3</v>
      </c>
      <c r="X2713">
        <v>0.99951449999999997</v>
      </c>
      <c r="Y2713">
        <v>-0.27925539999999999</v>
      </c>
      <c r="Z2713">
        <v>3.8130379999999998E-2</v>
      </c>
      <c r="AA2713">
        <v>0.95945950000000002</v>
      </c>
      <c r="AB2713">
        <v>16</v>
      </c>
      <c r="AC2713">
        <v>-8.5881999999999703</v>
      </c>
      <c r="AD2713">
        <v>-1.1135630443269999</v>
      </c>
      <c r="AE2713">
        <v>-12.7980999999999</v>
      </c>
      <c r="AF2713">
        <v>-4.29312357298011</v>
      </c>
      <c r="AG2713">
        <v>-1.1135630443269999</v>
      </c>
      <c r="AH2713">
        <v>14.7192687421561</v>
      </c>
      <c r="AI2713">
        <v>94.153943240397197</v>
      </c>
      <c r="AJ2713">
        <v>106.260217347356</v>
      </c>
      <c r="AK2713">
        <v>15.372956936464201</v>
      </c>
      <c r="AL2713">
        <v>89.941898750343498</v>
      </c>
      <c r="AM2713">
        <v>91.784636346709107</v>
      </c>
      <c r="AN2713">
        <v>1.0000000668278599</v>
      </c>
    </row>
    <row r="2714" spans="1:40" x14ac:dyDescent="0.25">
      <c r="A2714" t="str">
        <f>"20190312154309059"</f>
        <v>20190312154309059</v>
      </c>
      <c r="B2714" t="str">
        <f>"1552376589050209"</f>
        <v>1552376589050209</v>
      </c>
      <c r="C2714" t="s">
        <v>40</v>
      </c>
      <c r="D2714">
        <v>4.2540449999999996</v>
      </c>
      <c r="E2714">
        <v>0.40305849999999999</v>
      </c>
      <c r="F2714" t="s">
        <v>43</v>
      </c>
      <c r="G2714">
        <v>-491.42329999999998</v>
      </c>
      <c r="H2714" s="1">
        <v>-3.0405520000000001E-6</v>
      </c>
      <c r="I2714">
        <v>265.79390000000001</v>
      </c>
      <c r="J2714">
        <v>-482.95800000000003</v>
      </c>
      <c r="K2714">
        <v>1.113532</v>
      </c>
      <c r="L2714">
        <v>278.50540000000001</v>
      </c>
      <c r="M2714">
        <v>-0.7650477</v>
      </c>
      <c r="N2714">
        <v>0</v>
      </c>
      <c r="O2714">
        <v>-0.64383669999999904</v>
      </c>
      <c r="P2714">
        <v>-0.74453100000000005</v>
      </c>
      <c r="Q2714">
        <v>-1.210322E-2</v>
      </c>
      <c r="R2714">
        <v>-0.66747840000000003</v>
      </c>
      <c r="S2714">
        <v>-1.720337</v>
      </c>
      <c r="T2714">
        <v>-0.22464439999999999</v>
      </c>
      <c r="U2714">
        <v>-2.57605</v>
      </c>
      <c r="V2714">
        <v>-3.1306680000000003E-2</v>
      </c>
      <c r="W2714">
        <v>9.5636039999999999E-4</v>
      </c>
      <c r="X2714">
        <v>0.99950939999999999</v>
      </c>
      <c r="Y2714">
        <v>-0.27926669999999998</v>
      </c>
      <c r="Z2714">
        <v>3.8716519999999997E-2</v>
      </c>
      <c r="AA2714">
        <v>0.95943270000000003</v>
      </c>
      <c r="AB2714">
        <v>16</v>
      </c>
      <c r="AC2714">
        <v>-8.4652999999999494</v>
      </c>
      <c r="AD2714">
        <v>-1.1135350405519999</v>
      </c>
      <c r="AE2714">
        <v>-12.711499999999999</v>
      </c>
      <c r="AF2714">
        <v>-4.2524034613361401</v>
      </c>
      <c r="AG2714">
        <v>-1.1135350405519999</v>
      </c>
      <c r="AH2714">
        <v>14.584248928507501</v>
      </c>
      <c r="AI2714">
        <v>94.192261679845302</v>
      </c>
      <c r="AJ2714">
        <v>106.255368152069</v>
      </c>
      <c r="AK2714">
        <v>15.232308173523499</v>
      </c>
      <c r="AL2714">
        <v>89.945204578774096</v>
      </c>
      <c r="AM2714">
        <v>91.794034537561899</v>
      </c>
      <c r="AN2714">
        <v>1.0000000317630899</v>
      </c>
    </row>
    <row r="2715" spans="1:40" x14ac:dyDescent="0.25">
      <c r="A2715" t="str">
        <f>"20190312154309071"</f>
        <v>20190312154309071</v>
      </c>
      <c r="B2715" t="str">
        <f>"1552376589059969"</f>
        <v>1552376589059969</v>
      </c>
      <c r="C2715" t="s">
        <v>40</v>
      </c>
      <c r="D2715">
        <v>4.234102</v>
      </c>
      <c r="E2715">
        <v>0.4034161</v>
      </c>
      <c r="F2715" t="s">
        <v>43</v>
      </c>
      <c r="G2715">
        <v>-491.35759999999999</v>
      </c>
      <c r="H2715" s="1">
        <v>-3.0382310000000002E-6</v>
      </c>
      <c r="I2715">
        <v>265.82929999999999</v>
      </c>
      <c r="J2715">
        <v>-483.01780000000002</v>
      </c>
      <c r="K2715">
        <v>1.113491</v>
      </c>
      <c r="L2715">
        <v>278.44970000000001</v>
      </c>
      <c r="M2715">
        <v>-0.76287629999999995</v>
      </c>
      <c r="N2715">
        <v>0</v>
      </c>
      <c r="O2715">
        <v>-0.64639460000000004</v>
      </c>
      <c r="P2715">
        <v>-0.74247339999999995</v>
      </c>
      <c r="Q2715">
        <v>-1.267338E-2</v>
      </c>
      <c r="R2715">
        <v>-0.66975600000000002</v>
      </c>
      <c r="S2715">
        <v>-1.7109380000000001</v>
      </c>
      <c r="T2715">
        <v>-0.22681979999999999</v>
      </c>
      <c r="U2715">
        <v>-2.5820310000000002</v>
      </c>
      <c r="V2715">
        <v>-3.1020240000000001E-2</v>
      </c>
      <c r="W2715">
        <v>1.053635E-3</v>
      </c>
      <c r="X2715">
        <v>0.99951820000000002</v>
      </c>
      <c r="Y2715">
        <v>-0.27951019999999999</v>
      </c>
      <c r="Z2715">
        <v>3.9295339999999998E-2</v>
      </c>
      <c r="AA2715">
        <v>0.95933820000000003</v>
      </c>
      <c r="AB2715">
        <v>16</v>
      </c>
      <c r="AC2715">
        <v>-8.3397999999999595</v>
      </c>
      <c r="AD2715">
        <v>-1.1134940382309999</v>
      </c>
      <c r="AE2715">
        <v>-12.6204</v>
      </c>
      <c r="AF2715">
        <v>-4.2145767839339703</v>
      </c>
      <c r="AG2715">
        <v>-1.1134940382309999</v>
      </c>
      <c r="AH2715">
        <v>14.4431428152993</v>
      </c>
      <c r="AI2715">
        <v>94.232655310004901</v>
      </c>
      <c r="AJ2715">
        <v>106.267492491019</v>
      </c>
      <c r="AK2715">
        <v>15.0866464406104</v>
      </c>
      <c r="AL2715">
        <v>89.939631150109506</v>
      </c>
      <c r="AM2715">
        <v>91.777614984845002</v>
      </c>
      <c r="AN2715">
        <v>0.99999999878380497</v>
      </c>
    </row>
    <row r="2716" spans="1:40" x14ac:dyDescent="0.25">
      <c r="A2716" t="str">
        <f>"20190312154309082"</f>
        <v>20190312154309082</v>
      </c>
      <c r="B2716" t="str">
        <f>"1552376589070707"</f>
        <v>1552376589070707</v>
      </c>
      <c r="C2716" t="s">
        <v>40</v>
      </c>
      <c r="D2716">
        <v>4.5721730000000003</v>
      </c>
      <c r="E2716">
        <v>0.40374860000000001</v>
      </c>
      <c r="F2716" t="s">
        <v>43</v>
      </c>
      <c r="G2716">
        <v>-491.30650000000003</v>
      </c>
      <c r="H2716" s="1">
        <v>-3.0464819999999999E-6</v>
      </c>
      <c r="I2716">
        <v>265.8802</v>
      </c>
      <c r="J2716">
        <v>-483.0711</v>
      </c>
      <c r="K2716">
        <v>1.113434</v>
      </c>
      <c r="L2716">
        <v>278.3999</v>
      </c>
      <c r="M2716">
        <v>-0.76101919999999901</v>
      </c>
      <c r="N2716">
        <v>0</v>
      </c>
      <c r="O2716">
        <v>-0.64856269999999905</v>
      </c>
      <c r="P2716">
        <v>-0.74046630000000002</v>
      </c>
      <c r="Q2716">
        <v>-1.3275489999999999E-2</v>
      </c>
      <c r="R2716">
        <v>-0.67196239999999996</v>
      </c>
      <c r="S2716">
        <v>-1.7046809999999999</v>
      </c>
      <c r="T2716">
        <v>-0.22900490000000001</v>
      </c>
      <c r="U2716">
        <v>-2.585083</v>
      </c>
      <c r="V2716">
        <v>-3.1148439999999999E-2</v>
      </c>
      <c r="W2716">
        <v>1.2458E-3</v>
      </c>
      <c r="X2716">
        <v>0.99951400000000001</v>
      </c>
      <c r="Y2716">
        <v>-0.27892319999999998</v>
      </c>
      <c r="Z2716">
        <v>3.988133E-2</v>
      </c>
      <c r="AA2716">
        <v>0.95948489999999997</v>
      </c>
      <c r="AB2716">
        <v>15</v>
      </c>
      <c r="AC2716">
        <v>-8.2354000000000198</v>
      </c>
      <c r="AD2716">
        <v>-1.113437046482</v>
      </c>
      <c r="AE2716">
        <v>-12.5197</v>
      </c>
      <c r="AF2716">
        <v>-4.1640233660835602</v>
      </c>
      <c r="AG2716">
        <v>-1.113437046482</v>
      </c>
      <c r="AH2716">
        <v>14.309664879764</v>
      </c>
      <c r="AI2716">
        <v>94.272700482205707</v>
      </c>
      <c r="AJ2716">
        <v>106.224666920663</v>
      </c>
      <c r="AK2716">
        <v>14.944742942617699</v>
      </c>
      <c r="AL2716">
        <v>89.928620899901802</v>
      </c>
      <c r="AM2716">
        <v>91.784964239346905</v>
      </c>
      <c r="AN2716">
        <v>1.00000000676403</v>
      </c>
    </row>
    <row r="2717" spans="1:40" x14ac:dyDescent="0.25">
      <c r="A2717" t="str">
        <f>"20190312154309093"</f>
        <v>20190312154309093</v>
      </c>
      <c r="B2717" t="str">
        <f>"1552376589080465"</f>
        <v>1552376589080465</v>
      </c>
      <c r="C2717" t="s">
        <v>40</v>
      </c>
      <c r="D2717">
        <v>4.2846060000000001</v>
      </c>
      <c r="E2717">
        <v>0.40374860000000001</v>
      </c>
      <c r="F2717" t="s">
        <v>43</v>
      </c>
      <c r="G2717">
        <v>-491.37569999999999</v>
      </c>
      <c r="H2717" s="1">
        <v>-3.0082779999999999E-6</v>
      </c>
      <c r="I2717">
        <v>265.74829999999997</v>
      </c>
      <c r="J2717">
        <v>-483.1207</v>
      </c>
      <c r="K2717">
        <v>1.11338</v>
      </c>
      <c r="L2717">
        <v>278.35340000000002</v>
      </c>
      <c r="M2717">
        <v>-0.75934029999999997</v>
      </c>
      <c r="N2717">
        <v>0</v>
      </c>
      <c r="O2717">
        <v>-0.65050969999999997</v>
      </c>
      <c r="P2717">
        <v>-0.73881049999999904</v>
      </c>
      <c r="Q2717">
        <v>-1.405373E-2</v>
      </c>
      <c r="R2717">
        <v>-0.67376650000000005</v>
      </c>
      <c r="S2717">
        <v>-1.6987920000000001</v>
      </c>
      <c r="T2717">
        <v>-0.22776440000000001</v>
      </c>
      <c r="U2717">
        <v>-2.5880130000000001</v>
      </c>
      <c r="V2717">
        <v>-3.1025480000000001E-2</v>
      </c>
      <c r="W2717">
        <v>1.2558139999999901E-3</v>
      </c>
      <c r="X2717">
        <v>0.99951780000000001</v>
      </c>
      <c r="Y2717">
        <v>-0.27847549999999999</v>
      </c>
      <c r="Z2717">
        <v>3.9850320000000002E-2</v>
      </c>
      <c r="AA2717">
        <v>0.95961620000000003</v>
      </c>
      <c r="AB2717">
        <v>15</v>
      </c>
      <c r="AC2717">
        <v>-8.2549999999999901</v>
      </c>
      <c r="AD2717">
        <v>-1.1133830082780001</v>
      </c>
      <c r="AE2717">
        <v>-12.6051</v>
      </c>
      <c r="AF2717">
        <v>-4.1792867016042399</v>
      </c>
      <c r="AG2717">
        <v>-1.1133830082780001</v>
      </c>
      <c r="AH2717">
        <v>14.3912490324056</v>
      </c>
      <c r="AI2717">
        <v>94.249030380907996</v>
      </c>
      <c r="AJ2717">
        <v>106.193546765137</v>
      </c>
      <c r="AK2717">
        <v>15.027112422885599</v>
      </c>
      <c r="AL2717">
        <v>89.928047138674103</v>
      </c>
      <c r="AM2717">
        <v>91.777915781416496</v>
      </c>
      <c r="AN2717">
        <v>0.99999999499743597</v>
      </c>
    </row>
    <row r="2718" spans="1:40" x14ac:dyDescent="0.25">
      <c r="A2718" t="str">
        <f>"20190312154309102"</f>
        <v>20190312154309102</v>
      </c>
      <c r="B2718" t="str">
        <f>"1552376589090225"</f>
        <v>1552376589090225</v>
      </c>
      <c r="C2718" t="s">
        <v>40</v>
      </c>
      <c r="D2718">
        <v>4.2675239999999999</v>
      </c>
      <c r="E2718">
        <v>0.40832689999999999</v>
      </c>
      <c r="F2718" t="s">
        <v>43</v>
      </c>
      <c r="G2718">
        <v>-491.29300000000001</v>
      </c>
      <c r="H2718" s="1">
        <v>-3.025611E-6</v>
      </c>
      <c r="I2718">
        <v>265.8399</v>
      </c>
      <c r="J2718">
        <v>-483.17140000000001</v>
      </c>
      <c r="K2718">
        <v>1.1133280000000001</v>
      </c>
      <c r="L2718">
        <v>278.3057</v>
      </c>
      <c r="M2718">
        <v>-0.75768179999999996</v>
      </c>
      <c r="N2718">
        <v>0</v>
      </c>
      <c r="O2718">
        <v>-0.65242</v>
      </c>
      <c r="P2718">
        <v>-0.73715439999999999</v>
      </c>
      <c r="Q2718">
        <v>-1.5007090000000001E-2</v>
      </c>
      <c r="R2718">
        <v>-0.67555769999999904</v>
      </c>
      <c r="S2718">
        <v>-1.6926270000000001</v>
      </c>
      <c r="T2718">
        <v>-0.23059979999999999</v>
      </c>
      <c r="U2718">
        <v>-2.591736</v>
      </c>
      <c r="V2718">
        <v>-3.0933499999999999E-2</v>
      </c>
      <c r="W2718">
        <v>1.167122E-3</v>
      </c>
      <c r="X2718">
        <v>0.99952079999999999</v>
      </c>
      <c r="Y2718">
        <v>-0.27829520000000002</v>
      </c>
      <c r="Z2718">
        <v>4.0513170000000001E-2</v>
      </c>
      <c r="AA2718">
        <v>0.95964079999999996</v>
      </c>
      <c r="AB2718">
        <v>15</v>
      </c>
      <c r="AC2718">
        <v>-8.1216000000000008</v>
      </c>
      <c r="AD2718">
        <v>-1.1133310256110001</v>
      </c>
      <c r="AE2718">
        <v>-12.4658</v>
      </c>
      <c r="AF2718">
        <v>-4.1238759779924203</v>
      </c>
      <c r="AG2718">
        <v>-1.1133310256110001</v>
      </c>
      <c r="AH2718">
        <v>14.2088655060479</v>
      </c>
      <c r="AI2718">
        <v>94.303364314468197</v>
      </c>
      <c r="AJ2718">
        <v>106.184451392315</v>
      </c>
      <c r="AK2718">
        <v>14.837038721503999</v>
      </c>
      <c r="AL2718">
        <v>89.933128822489806</v>
      </c>
      <c r="AM2718">
        <v>91.772642916365498</v>
      </c>
      <c r="AN2718">
        <v>1.00000003661432</v>
      </c>
    </row>
    <row r="2719" spans="1:40" x14ac:dyDescent="0.25">
      <c r="A2719" t="str">
        <f>"20190312154309115"</f>
        <v>20190312154309115</v>
      </c>
      <c r="B2719" t="str">
        <f>"1552376589110721"</f>
        <v>1552376589110721</v>
      </c>
      <c r="C2719" t="s">
        <v>40</v>
      </c>
      <c r="D2719">
        <v>4.3163090000000004</v>
      </c>
      <c r="E2719">
        <v>0.40955920000000001</v>
      </c>
      <c r="F2719" t="s">
        <v>43</v>
      </c>
      <c r="G2719">
        <v>-491.44400000000002</v>
      </c>
      <c r="H2719" s="1">
        <v>-3.0859329999999998E-6</v>
      </c>
      <c r="I2719">
        <v>265.88690000000003</v>
      </c>
      <c r="J2719">
        <v>-483.22309999999999</v>
      </c>
      <c r="K2719">
        <v>1.1132959999999901</v>
      </c>
      <c r="L2719">
        <v>278.25700000000001</v>
      </c>
      <c r="M2719">
        <v>-0.75607880000000005</v>
      </c>
      <c r="N2719">
        <v>0</v>
      </c>
      <c r="O2719">
        <v>-0.65425409999999995</v>
      </c>
      <c r="P2719">
        <v>-0.73547850000000004</v>
      </c>
      <c r="Q2719">
        <v>-1.5931000000000001E-2</v>
      </c>
      <c r="R2719">
        <v>-0.67736079999999999</v>
      </c>
      <c r="S2719">
        <v>-1.7110289999999999</v>
      </c>
      <c r="T2719">
        <v>-0.23027320000000001</v>
      </c>
      <c r="U2719">
        <v>-2.5686040000000001</v>
      </c>
      <c r="V2719">
        <v>-3.0958280000000001E-2</v>
      </c>
      <c r="W2719">
        <v>1.1475719999999999E-3</v>
      </c>
      <c r="X2719">
        <v>0.99951999999999996</v>
      </c>
      <c r="Y2719">
        <v>-0.2672349</v>
      </c>
      <c r="Z2719">
        <v>4.1059779999999997E-2</v>
      </c>
      <c r="AA2719">
        <v>0.96275630000000001</v>
      </c>
      <c r="AB2719">
        <v>15</v>
      </c>
      <c r="AC2719">
        <v>-8.2209000000000199</v>
      </c>
      <c r="AD2719">
        <v>-1.1132990859330001</v>
      </c>
      <c r="AE2719">
        <v>-12.3700999999999</v>
      </c>
      <c r="AF2719">
        <v>-3.9525947012601499</v>
      </c>
      <c r="AG2719">
        <v>-1.1132990859330001</v>
      </c>
      <c r="AH2719">
        <v>14.2310024867141</v>
      </c>
      <c r="AI2719">
        <v>94.310641636381504</v>
      </c>
      <c r="AJ2719">
        <v>105.522385856336</v>
      </c>
      <c r="AK2719">
        <v>14.8116127246169</v>
      </c>
      <c r="AL2719">
        <v>89.934248952045706</v>
      </c>
      <c r="AM2719">
        <v>91.7740634451837</v>
      </c>
      <c r="AN2719">
        <v>0.99999998121102596</v>
      </c>
    </row>
    <row r="2720" spans="1:40" x14ac:dyDescent="0.25">
      <c r="A2720" t="str">
        <f>"20190312154309126"</f>
        <v>20190312154309126</v>
      </c>
      <c r="B2720" t="str">
        <f>"1552376589120480"</f>
        <v>1552376589120480</v>
      </c>
      <c r="C2720" t="s">
        <v>40</v>
      </c>
      <c r="D2720">
        <v>4.2819370000000001</v>
      </c>
      <c r="E2720">
        <v>0.41027609999999998</v>
      </c>
      <c r="F2720" t="s">
        <v>43</v>
      </c>
      <c r="G2720">
        <v>-490.82429999999999</v>
      </c>
      <c r="H2720" s="1">
        <v>-3.3368130000000001E-6</v>
      </c>
      <c r="I2720">
        <v>266.85599999999999</v>
      </c>
      <c r="J2720">
        <v>-483.27659999999997</v>
      </c>
      <c r="K2720">
        <v>1.1132879999999901</v>
      </c>
      <c r="L2720">
        <v>278.20650000000001</v>
      </c>
      <c r="M2720">
        <v>-0.75447580000000003</v>
      </c>
      <c r="N2720">
        <v>0</v>
      </c>
      <c r="O2720">
        <v>-0.65607680000000002</v>
      </c>
      <c r="P2720">
        <v>-0.73395940000000004</v>
      </c>
      <c r="Q2720">
        <v>-1.6772180000000001E-2</v>
      </c>
      <c r="R2720">
        <v>-0.67898630000000004</v>
      </c>
      <c r="S2720">
        <v>-1.7105709999999901</v>
      </c>
      <c r="T2720">
        <v>-0.25053779999999998</v>
      </c>
      <c r="U2720">
        <v>-2.565674</v>
      </c>
      <c r="V2720">
        <v>-3.0754759999999999E-2</v>
      </c>
      <c r="W2720">
        <v>1.2586749999999999E-3</v>
      </c>
      <c r="X2720">
        <v>0.99952609999999997</v>
      </c>
      <c r="Y2720">
        <v>-0.2646366</v>
      </c>
      <c r="Z2720">
        <v>4.4945199999999998E-2</v>
      </c>
      <c r="AA2720">
        <v>0.9633003</v>
      </c>
      <c r="AB2720">
        <v>14</v>
      </c>
      <c r="AC2720">
        <v>-7.5477000000000096</v>
      </c>
      <c r="AD2720">
        <v>-1.11329133681299</v>
      </c>
      <c r="AE2720">
        <v>-11.3505</v>
      </c>
      <c r="AF2720">
        <v>-3.5884645057641298</v>
      </c>
      <c r="AG2720">
        <v>-1.11329133681299</v>
      </c>
      <c r="AH2720">
        <v>13.0564274291626</v>
      </c>
      <c r="AI2720">
        <v>94.700221957870795</v>
      </c>
      <c r="AJ2720">
        <v>105.367874959448</v>
      </c>
      <c r="AK2720">
        <v>13.5862722011132</v>
      </c>
      <c r="AL2720">
        <v>89.9278832107792</v>
      </c>
      <c r="AM2720">
        <v>91.762397367273195</v>
      </c>
      <c r="AN2720">
        <v>0.99999993205330895</v>
      </c>
    </row>
    <row r="2721" spans="1:40" x14ac:dyDescent="0.25">
      <c r="A2721" t="str">
        <f>"20190312154309137"</f>
        <v>20190312154309137</v>
      </c>
      <c r="B2721" t="str">
        <f>"1552376589129899"</f>
        <v>1552376589129899</v>
      </c>
      <c r="C2721" t="s">
        <v>40</v>
      </c>
      <c r="D2721">
        <v>4.3150969999999997</v>
      </c>
      <c r="E2721">
        <v>0.41081230000000002</v>
      </c>
      <c r="F2721" t="s">
        <v>43</v>
      </c>
      <c r="G2721">
        <v>-490.75639999999999</v>
      </c>
      <c r="H2721" s="1">
        <v>-3.3712200000000001E-6</v>
      </c>
      <c r="I2721">
        <v>266.97829999999999</v>
      </c>
      <c r="J2721">
        <v>-483.32249999999999</v>
      </c>
      <c r="K2721">
        <v>1.113297</v>
      </c>
      <c r="L2721">
        <v>278.16320000000002</v>
      </c>
      <c r="M2721">
        <v>-0.75314389999999998</v>
      </c>
      <c r="N2721">
        <v>0</v>
      </c>
      <c r="O2721">
        <v>-0.65758219999999901</v>
      </c>
      <c r="P2721">
        <v>-0.73255649999999894</v>
      </c>
      <c r="Q2721">
        <v>-1.7613070000000002E-2</v>
      </c>
      <c r="R2721">
        <v>-0.68047860000000004</v>
      </c>
      <c r="S2721">
        <v>-1.70871</v>
      </c>
      <c r="T2721">
        <v>-0.25432359999999998</v>
      </c>
      <c r="U2721">
        <v>-2.5650019999999998</v>
      </c>
      <c r="V2721">
        <v>-3.079194E-2</v>
      </c>
      <c r="W2721">
        <v>1.2424630000000001E-3</v>
      </c>
      <c r="X2721">
        <v>0.99952510000000006</v>
      </c>
      <c r="Y2721">
        <v>-0.26309589999999999</v>
      </c>
      <c r="Z2721">
        <v>4.5834109999999997E-2</v>
      </c>
      <c r="AA2721">
        <v>0.96368030000000005</v>
      </c>
      <c r="AB2721">
        <v>14</v>
      </c>
      <c r="AC2721">
        <v>-7.4338999999999897</v>
      </c>
      <c r="AD2721">
        <v>-1.11330037122</v>
      </c>
      <c r="AE2721">
        <v>-11.184900000000001</v>
      </c>
      <c r="AF2721">
        <v>-3.5119418049976598</v>
      </c>
      <c r="AG2721">
        <v>-1.11330037122</v>
      </c>
      <c r="AH2721">
        <v>12.8676946677445</v>
      </c>
      <c r="AI2721">
        <v>94.771201194104407</v>
      </c>
      <c r="AJ2721">
        <v>105.26577153035799</v>
      </c>
      <c r="AK2721">
        <v>13.3847203564568</v>
      </c>
      <c r="AL2721">
        <v>89.928812099598602</v>
      </c>
      <c r="AM2721">
        <v>91.764528380302593</v>
      </c>
      <c r="AN2721">
        <v>1.00000005640663</v>
      </c>
    </row>
    <row r="2722" spans="1:40" x14ac:dyDescent="0.25">
      <c r="A2722" t="str">
        <f>"20190312154309148"</f>
        <v>20190312154309148</v>
      </c>
      <c r="B2722" t="str">
        <f>"1552376589140616"</f>
        <v>1552376589140616</v>
      </c>
      <c r="C2722" t="s">
        <v>40</v>
      </c>
      <c r="D2722">
        <v>4.2445120000000003</v>
      </c>
      <c r="E2722">
        <v>0.41081230000000002</v>
      </c>
      <c r="F2722" t="s">
        <v>43</v>
      </c>
      <c r="G2722">
        <v>-490.66820000000001</v>
      </c>
      <c r="H2722" s="1">
        <v>-3.4075629999999998E-6</v>
      </c>
      <c r="I2722">
        <v>267.11779999999999</v>
      </c>
      <c r="J2722">
        <v>-483.37380000000002</v>
      </c>
      <c r="K2722">
        <v>1.1133139999999999</v>
      </c>
      <c r="L2722">
        <v>278.11439999999999</v>
      </c>
      <c r="M2722">
        <v>-0.75164900000000001</v>
      </c>
      <c r="N2722">
        <v>0</v>
      </c>
      <c r="O2722">
        <v>-0.65926340000000005</v>
      </c>
      <c r="P2722">
        <v>-0.73116130000000001</v>
      </c>
      <c r="Q2722">
        <v>-1.8400969999999999E-2</v>
      </c>
      <c r="R2722">
        <v>-0.68195660000000002</v>
      </c>
      <c r="S2722">
        <v>-1.7060850000000001</v>
      </c>
      <c r="T2722">
        <v>-0.25857210000000003</v>
      </c>
      <c r="U2722">
        <v>-2.565369</v>
      </c>
      <c r="V2722">
        <v>-3.05746E-2</v>
      </c>
      <c r="W2722">
        <v>1.3826520000000001E-3</v>
      </c>
      <c r="X2722">
        <v>0.99953150000000002</v>
      </c>
      <c r="Y2722">
        <v>-0.26170579999999999</v>
      </c>
      <c r="Z2722">
        <v>4.6817459999999998E-2</v>
      </c>
      <c r="AA2722">
        <v>0.96401150000000002</v>
      </c>
      <c r="AB2722">
        <v>14</v>
      </c>
      <c r="AC2722">
        <v>-7.2943999999999898</v>
      </c>
      <c r="AD2722">
        <v>-1.1133174075629999</v>
      </c>
      <c r="AE2722">
        <v>-10.996600000000001</v>
      </c>
      <c r="AF2722">
        <v>-3.4329010293837801</v>
      </c>
      <c r="AG2722">
        <v>-1.1133174075629999</v>
      </c>
      <c r="AH2722">
        <v>12.644996670188601</v>
      </c>
      <c r="AI2722">
        <v>94.856673791472303</v>
      </c>
      <c r="AJ2722">
        <v>105.18873922321301</v>
      </c>
      <c r="AK2722">
        <v>13.1499135326666</v>
      </c>
      <c r="AL2722">
        <v>89.920779848143198</v>
      </c>
      <c r="AM2722">
        <v>91.752070316855594</v>
      </c>
      <c r="AN2722">
        <v>0.99999996869198104</v>
      </c>
    </row>
    <row r="2723" spans="1:40" x14ac:dyDescent="0.25">
      <c r="A2723" t="str">
        <f>"20190312154309159"</f>
        <v>20190312154309159</v>
      </c>
      <c r="B2723" t="str">
        <f>"1552376589150376"</f>
        <v>1552376589150376</v>
      </c>
      <c r="C2723" t="s">
        <v>40</v>
      </c>
      <c r="D2723">
        <v>4.2549010000000003</v>
      </c>
      <c r="E2723">
        <v>0.40470859999999997</v>
      </c>
      <c r="F2723" t="s">
        <v>43</v>
      </c>
      <c r="G2723">
        <v>-490.61579999999998</v>
      </c>
      <c r="H2723" s="1">
        <v>-3.4194470000000001E-6</v>
      </c>
      <c r="I2723">
        <v>267.178</v>
      </c>
      <c r="J2723">
        <v>-483.42099999999999</v>
      </c>
      <c r="K2723">
        <v>1.1133740000000001</v>
      </c>
      <c r="L2723">
        <v>278.06950000000001</v>
      </c>
      <c r="M2723">
        <v>-0.75021000000000004</v>
      </c>
      <c r="N2723">
        <v>0</v>
      </c>
      <c r="O2723">
        <v>-0.6608754</v>
      </c>
      <c r="P2723">
        <v>-0.72964319999999905</v>
      </c>
      <c r="Q2723">
        <v>-1.8921899999999998E-2</v>
      </c>
      <c r="R2723">
        <v>-0.68356619999999901</v>
      </c>
      <c r="S2723">
        <v>-1.700836</v>
      </c>
      <c r="T2723">
        <v>-0.26147130000000002</v>
      </c>
      <c r="U2723">
        <v>-2.5685120000000001</v>
      </c>
      <c r="V2723">
        <v>-3.062701E-2</v>
      </c>
      <c r="W2723">
        <v>1.6830599999999999E-3</v>
      </c>
      <c r="X2723">
        <v>0.99952949999999996</v>
      </c>
      <c r="Y2723">
        <v>-0.2615556</v>
      </c>
      <c r="Z2723">
        <v>4.7502299999999997E-2</v>
      </c>
      <c r="AA2723">
        <v>0.96401879999999995</v>
      </c>
      <c r="AB2723">
        <v>14</v>
      </c>
      <c r="AC2723">
        <v>-7.1947999999999803</v>
      </c>
      <c r="AD2723">
        <v>-1.1133774194470001</v>
      </c>
      <c r="AE2723">
        <v>-10.891500000000001</v>
      </c>
      <c r="AF2723">
        <v>-3.3921003064052999</v>
      </c>
      <c r="AG2723">
        <v>-1.1133774194470001</v>
      </c>
      <c r="AH2723">
        <v>12.507243946572199</v>
      </c>
      <c r="AI2723">
        <v>94.910503722410297</v>
      </c>
      <c r="AJ2723">
        <v>105.17421827195101</v>
      </c>
      <c r="AK2723">
        <v>13.0068099434841</v>
      </c>
      <c r="AL2723">
        <v>89.903567723074701</v>
      </c>
      <c r="AM2723">
        <v>91.755075292527494</v>
      </c>
      <c r="AN2723">
        <v>1.0000000339013699</v>
      </c>
    </row>
    <row r="2724" spans="1:40" x14ac:dyDescent="0.25">
      <c r="A2724" t="str">
        <f>"20190312154309169"</f>
        <v>20190312154309169</v>
      </c>
      <c r="B2724" t="str">
        <f>"1552376589160136"</f>
        <v>1552376589160136</v>
      </c>
      <c r="C2724" t="s">
        <v>40</v>
      </c>
      <c r="D2724">
        <v>4.2507489999999999</v>
      </c>
      <c r="E2724">
        <v>0.40459709999999899</v>
      </c>
      <c r="F2724" t="s">
        <v>43</v>
      </c>
      <c r="G2724">
        <v>-492.65480000000002</v>
      </c>
      <c r="H2724" s="1">
        <v>-2.4275820000000002E-6</v>
      </c>
      <c r="I2724">
        <v>263.60129999999998</v>
      </c>
      <c r="J2724">
        <v>-483.46559999999999</v>
      </c>
      <c r="K2724">
        <v>1.1134459999999999</v>
      </c>
      <c r="L2724">
        <v>278.02699999999999</v>
      </c>
      <c r="M2724">
        <v>-0.74878900000000004</v>
      </c>
      <c r="N2724">
        <v>0</v>
      </c>
      <c r="O2724">
        <v>-0.66246159999999998</v>
      </c>
      <c r="P2724">
        <v>-0.72814880000000004</v>
      </c>
      <c r="Q2724">
        <v>-1.9410920000000002E-2</v>
      </c>
      <c r="R2724">
        <v>-0.68514439999999999</v>
      </c>
      <c r="S2724">
        <v>-1.66390999999999</v>
      </c>
      <c r="T2724">
        <v>-0.20062769999999999</v>
      </c>
      <c r="U2724">
        <v>-2.6071469999999999</v>
      </c>
      <c r="V2724">
        <v>-3.067085E-2</v>
      </c>
      <c r="W2724">
        <v>1.9333989999999999E-3</v>
      </c>
      <c r="X2724">
        <v>0.99952770000000002</v>
      </c>
      <c r="Y2724">
        <v>-0.2753504</v>
      </c>
      <c r="Z2724">
        <v>3.6105699999999998E-2</v>
      </c>
      <c r="AA2724">
        <v>0.96066569999999996</v>
      </c>
      <c r="AB2724">
        <v>14</v>
      </c>
      <c r="AC2724">
        <v>-9.1892000000000191</v>
      </c>
      <c r="AD2724">
        <v>-1.113448427582</v>
      </c>
      <c r="AE2724">
        <v>-14.425700000000001</v>
      </c>
      <c r="AF2724">
        <v>-4.69549811618674</v>
      </c>
      <c r="AG2724">
        <v>-1.113448427582</v>
      </c>
      <c r="AH2724">
        <v>16.371641739296901</v>
      </c>
      <c r="AI2724">
        <v>93.740395345273598</v>
      </c>
      <c r="AJ2724">
        <v>106.003251181626</v>
      </c>
      <c r="AK2724">
        <v>17.068043918384099</v>
      </c>
      <c r="AL2724">
        <v>89.889224331612994</v>
      </c>
      <c r="AM2724">
        <v>91.757589124410899</v>
      </c>
      <c r="AN2724">
        <v>1.00000003106935</v>
      </c>
    </row>
    <row r="2725" spans="1:40" x14ac:dyDescent="0.25">
      <c r="A2725" t="str">
        <f>"20190312154309179"</f>
        <v>20190312154309179</v>
      </c>
      <c r="B2725" t="str">
        <f>"1552376589169896"</f>
        <v>1552376589169896</v>
      </c>
      <c r="C2725" t="s">
        <v>40</v>
      </c>
      <c r="D2725">
        <v>4.2519790000000004</v>
      </c>
      <c r="E2725">
        <v>0.40520240000000002</v>
      </c>
      <c r="F2725" t="s">
        <v>43</v>
      </c>
      <c r="G2725">
        <v>-492.32900000000001</v>
      </c>
      <c r="H2725" s="1">
        <v>-2.5386070000000001E-6</v>
      </c>
      <c r="I2725">
        <v>264.06220000000002</v>
      </c>
      <c r="J2725">
        <v>-483.5102</v>
      </c>
      <c r="K2725">
        <v>1.113585</v>
      </c>
      <c r="L2725">
        <v>277.98399999999998</v>
      </c>
      <c r="M2725">
        <v>-0.74711300000000003</v>
      </c>
      <c r="N2725">
        <v>0</v>
      </c>
      <c r="O2725">
        <v>-0.66433219999999904</v>
      </c>
      <c r="P2725">
        <v>-0.72647059999999997</v>
      </c>
      <c r="Q2725">
        <v>-2.0041389999999999E-2</v>
      </c>
      <c r="R2725">
        <v>-0.68690549999999995</v>
      </c>
      <c r="S2725">
        <v>-1.6573789999999999</v>
      </c>
      <c r="T2725">
        <v>-0.20820549999999999</v>
      </c>
      <c r="U2725">
        <v>-2.6112980000000001</v>
      </c>
      <c r="V2725">
        <v>-3.0591730000000001E-2</v>
      </c>
      <c r="W2725">
        <v>1.8704559999999999E-3</v>
      </c>
      <c r="X2725">
        <v>0.99953020000000004</v>
      </c>
      <c r="Y2725">
        <v>-0.27537850000000003</v>
      </c>
      <c r="Z2725">
        <v>3.7606180000000003E-2</v>
      </c>
      <c r="AA2725">
        <v>0.96060009999999996</v>
      </c>
      <c r="AB2725">
        <v>13</v>
      </c>
      <c r="AC2725">
        <v>-8.8188000000000102</v>
      </c>
      <c r="AD2725">
        <v>-1.113587538607</v>
      </c>
      <c r="AE2725">
        <v>-13.921799999999999</v>
      </c>
      <c r="AF2725">
        <v>-4.5229945646226497</v>
      </c>
      <c r="AG2725">
        <v>-1.113587538607</v>
      </c>
      <c r="AH2725">
        <v>15.7691787448976</v>
      </c>
      <c r="AI2725">
        <v>93.883333348616901</v>
      </c>
      <c r="AJ2725">
        <v>106.00421446954</v>
      </c>
      <c r="AK2725">
        <v>16.442766048517399</v>
      </c>
      <c r="AL2725">
        <v>89.892830701511699</v>
      </c>
      <c r="AM2725">
        <v>91.753053613774995</v>
      </c>
      <c r="AN2725">
        <v>0.99999998663103995</v>
      </c>
    </row>
    <row r="2726" spans="1:40" x14ac:dyDescent="0.25">
      <c r="A2726" t="str">
        <f>"20190312154309190"</f>
        <v>20190312154309190</v>
      </c>
      <c r="B2726" t="str">
        <f>"1552376589180632"</f>
        <v>1552376589180632</v>
      </c>
      <c r="C2726" t="s">
        <v>40</v>
      </c>
      <c r="D2726">
        <v>4.26363</v>
      </c>
      <c r="E2726">
        <v>0.4056244</v>
      </c>
      <c r="F2726" t="s">
        <v>43</v>
      </c>
      <c r="G2726">
        <v>-492.3537</v>
      </c>
      <c r="H2726" s="1">
        <v>-2.527511E-6</v>
      </c>
      <c r="I2726">
        <v>264.02100000000002</v>
      </c>
      <c r="J2726">
        <v>-483.54950000000002</v>
      </c>
      <c r="K2726">
        <v>1.1137140000000001</v>
      </c>
      <c r="L2726">
        <v>277.94589999999999</v>
      </c>
      <c r="M2726">
        <v>-0.7455581</v>
      </c>
      <c r="N2726">
        <v>0</v>
      </c>
      <c r="O2726">
        <v>-0.66606339999999997</v>
      </c>
      <c r="P2726">
        <v>-0.72482729999999995</v>
      </c>
      <c r="Q2726">
        <v>-2.038448E-2</v>
      </c>
      <c r="R2726">
        <v>-0.68862909999999999</v>
      </c>
      <c r="S2726">
        <v>-1.6542049999999999</v>
      </c>
      <c r="T2726">
        <v>-0.20829980000000001</v>
      </c>
      <c r="U2726">
        <v>-2.6118160000000001</v>
      </c>
      <c r="V2726">
        <v>-3.064654E-2</v>
      </c>
      <c r="W2726">
        <v>1.91957E-3</v>
      </c>
      <c r="X2726">
        <v>0.99952850000000004</v>
      </c>
      <c r="Y2726">
        <v>-0.27406439999999999</v>
      </c>
      <c r="Z2726">
        <v>3.7804810000000001E-2</v>
      </c>
      <c r="AA2726">
        <v>0.96096800000000004</v>
      </c>
      <c r="AB2726">
        <v>13</v>
      </c>
      <c r="AC2726">
        <v>-8.8041999999999803</v>
      </c>
      <c r="AD2726">
        <v>-1.1137165275109999</v>
      </c>
      <c r="AE2726">
        <v>-13.924899999999999</v>
      </c>
      <c r="AF2726">
        <v>-4.4982456548525001</v>
      </c>
      <c r="AG2726">
        <v>-1.1137165275109999</v>
      </c>
      <c r="AH2726">
        <v>15.770819157546599</v>
      </c>
      <c r="AI2726">
        <v>93.885016256039407</v>
      </c>
      <c r="AJ2726">
        <v>105.919520551757</v>
      </c>
      <c r="AK2726">
        <v>16.437558072143499</v>
      </c>
      <c r="AL2726">
        <v>89.890016679436599</v>
      </c>
      <c r="AM2726">
        <v>91.756195510963394</v>
      </c>
      <c r="AN2726">
        <v>1.0000000587375999</v>
      </c>
    </row>
    <row r="2727" spans="1:40" x14ac:dyDescent="0.25">
      <c r="A2727" t="str">
        <f>"20190312154309200"</f>
        <v>20190312154309200</v>
      </c>
      <c r="B2727" t="str">
        <f>"1552376589190392"</f>
        <v>1552376589190392</v>
      </c>
      <c r="C2727" t="s">
        <v>40</v>
      </c>
      <c r="D2727">
        <v>4.2315940000000003</v>
      </c>
      <c r="E2727">
        <v>0.4059625</v>
      </c>
      <c r="F2727" t="s">
        <v>43</v>
      </c>
      <c r="G2727">
        <v>-492.28980000000001</v>
      </c>
      <c r="H2727" s="1">
        <v>-2.5471999999999999E-6</v>
      </c>
      <c r="I2727">
        <v>264.10649999999998</v>
      </c>
      <c r="J2727">
        <v>-483.59449999999998</v>
      </c>
      <c r="K2727">
        <v>1.1138920000000001</v>
      </c>
      <c r="L2727">
        <v>277.90159999999997</v>
      </c>
      <c r="M2727">
        <v>-0.7434653</v>
      </c>
      <c r="N2727">
        <v>0</v>
      </c>
      <c r="O2727">
        <v>-0.66839869999999901</v>
      </c>
      <c r="P2727">
        <v>-0.72256929999999997</v>
      </c>
      <c r="Q2727">
        <v>-2.0159130000000001E-2</v>
      </c>
      <c r="R2727">
        <v>-0.69100450000000002</v>
      </c>
      <c r="S2727">
        <v>-1.6503300000000001</v>
      </c>
      <c r="T2727">
        <v>-0.2102909</v>
      </c>
      <c r="U2727">
        <v>-2.6131289999999998</v>
      </c>
      <c r="V2727">
        <v>-3.0790939999999999E-2</v>
      </c>
      <c r="W2727">
        <v>2.1174570000000001E-3</v>
      </c>
      <c r="X2727">
        <v>0.99952359999999896</v>
      </c>
      <c r="Y2727">
        <v>-0.27229950000000003</v>
      </c>
      <c r="Z2727">
        <v>3.8402430000000001E-2</v>
      </c>
      <c r="AA2727">
        <v>0.96144589999999996</v>
      </c>
      <c r="AB2727">
        <v>13</v>
      </c>
      <c r="AC2727">
        <v>-8.6953000000000298</v>
      </c>
      <c r="AD2727">
        <v>-1.1138945471999999</v>
      </c>
      <c r="AE2727">
        <v>-13.7950999999999</v>
      </c>
      <c r="AF2727">
        <v>-4.42472210532903</v>
      </c>
      <c r="AG2727">
        <v>-1.1138945471999999</v>
      </c>
      <c r="AH2727">
        <v>15.6163567826612</v>
      </c>
      <c r="AI2727">
        <v>93.925890819026193</v>
      </c>
      <c r="AJ2727">
        <v>105.819491747762</v>
      </c>
      <c r="AK2727">
        <v>16.269281666227201</v>
      </c>
      <c r="AL2727">
        <v>89.878678559488606</v>
      </c>
      <c r="AM2727">
        <v>91.764473757943406</v>
      </c>
      <c r="AN2727">
        <v>0.99999999628359504</v>
      </c>
    </row>
    <row r="2728" spans="1:40" x14ac:dyDescent="0.25">
      <c r="A2728" t="str">
        <f>"20190312154309210"</f>
        <v>20190312154309210</v>
      </c>
      <c r="B2728" t="str">
        <f>"1552376589200152"</f>
        <v>1552376589200152</v>
      </c>
      <c r="C2728" t="s">
        <v>40</v>
      </c>
      <c r="D2728">
        <v>4.2552620000000001</v>
      </c>
      <c r="E2728">
        <v>0.40634690000000001</v>
      </c>
      <c r="F2728" t="s">
        <v>43</v>
      </c>
      <c r="G2728">
        <v>-492.32260000000002</v>
      </c>
      <c r="H2728" s="1">
        <v>-2.5115719999999999E-6</v>
      </c>
      <c r="I2728">
        <v>264.00310000000002</v>
      </c>
      <c r="J2728">
        <v>-483.6377</v>
      </c>
      <c r="K2728">
        <v>1.1140680000000001</v>
      </c>
      <c r="L2728">
        <v>277.85879999999997</v>
      </c>
      <c r="M2728">
        <v>-0.74143510000000001</v>
      </c>
      <c r="N2728">
        <v>0</v>
      </c>
      <c r="O2728">
        <v>-0.67065459999999999</v>
      </c>
      <c r="P2728">
        <v>-0.72050329999999996</v>
      </c>
      <c r="Q2728">
        <v>-1.9861090000000001E-2</v>
      </c>
      <c r="R2728">
        <v>-0.69316699999999998</v>
      </c>
      <c r="S2728">
        <v>-1.643402</v>
      </c>
      <c r="T2728">
        <v>-0.209735</v>
      </c>
      <c r="U2728">
        <v>-2.616943</v>
      </c>
      <c r="V2728">
        <v>-3.074899E-2</v>
      </c>
      <c r="W2728">
        <v>2.2519250000000001E-3</v>
      </c>
      <c r="X2728">
        <v>0.99952459999999999</v>
      </c>
      <c r="Y2728">
        <v>-0.27183550000000001</v>
      </c>
      <c r="Z2728">
        <v>3.8491049999999999E-2</v>
      </c>
      <c r="AA2728">
        <v>0.96157369999999998</v>
      </c>
      <c r="AB2728">
        <v>13</v>
      </c>
      <c r="AC2728">
        <v>-8.6849000000000203</v>
      </c>
      <c r="AD2728">
        <v>-1.114070511572</v>
      </c>
      <c r="AE2728">
        <v>-13.855699999999899</v>
      </c>
      <c r="AF2728">
        <v>-4.4290814782892003</v>
      </c>
      <c r="AG2728">
        <v>-1.114070511572</v>
      </c>
      <c r="AH2728">
        <v>15.6628866229242</v>
      </c>
      <c r="AI2728">
        <v>93.915457128274198</v>
      </c>
      <c r="AJ2728">
        <v>105.789606240662</v>
      </c>
      <c r="AK2728">
        <v>16.315144290157399</v>
      </c>
      <c r="AL2728">
        <v>89.870974092510195</v>
      </c>
      <c r="AM2728">
        <v>91.762069569358601</v>
      </c>
      <c r="AN2728">
        <v>0.99999999877869195</v>
      </c>
    </row>
    <row r="2729" spans="1:40" x14ac:dyDescent="0.25">
      <c r="A2729" t="str">
        <f>"20190312154309223"</f>
        <v>20190312154309223</v>
      </c>
      <c r="B2729" t="str">
        <f>"1552376589220647"</f>
        <v>1552376589220647</v>
      </c>
      <c r="C2729" t="s">
        <v>40</v>
      </c>
      <c r="D2729">
        <v>4.280278</v>
      </c>
      <c r="E2729">
        <v>0.40744370000000002</v>
      </c>
      <c r="F2729" t="s">
        <v>43</v>
      </c>
      <c r="G2729">
        <v>-492.45150000000001</v>
      </c>
      <c r="H2729" s="1">
        <v>-2.441628E-6</v>
      </c>
      <c r="I2729">
        <v>263.76010000000002</v>
      </c>
      <c r="J2729">
        <v>-483.69170000000003</v>
      </c>
      <c r="K2729">
        <v>1.1142749999999999</v>
      </c>
      <c r="L2729">
        <v>277.80439999999999</v>
      </c>
      <c r="M2729">
        <v>-0.73883430000000005</v>
      </c>
      <c r="N2729">
        <v>0</v>
      </c>
      <c r="O2729">
        <v>-0.67353739999999995</v>
      </c>
      <c r="P2729">
        <v>-0.71788240000000003</v>
      </c>
      <c r="Q2729">
        <v>-1.9481459999999999E-2</v>
      </c>
      <c r="R2729">
        <v>-0.6958915</v>
      </c>
      <c r="S2729">
        <v>-1.637726</v>
      </c>
      <c r="T2729">
        <v>-0.20700859999999999</v>
      </c>
      <c r="U2729">
        <v>-2.61972</v>
      </c>
      <c r="V2729">
        <v>-3.0647959999999998E-2</v>
      </c>
      <c r="W2729">
        <v>2.0359190000000002E-3</v>
      </c>
      <c r="X2729">
        <v>0.99952819999999998</v>
      </c>
      <c r="Y2729">
        <v>-0.270045599999999</v>
      </c>
      <c r="Z2729">
        <v>3.826363E-2</v>
      </c>
      <c r="AA2729">
        <v>0.96208689999999997</v>
      </c>
      <c r="AB2729">
        <v>13</v>
      </c>
      <c r="AC2729">
        <v>-8.7597999999999807</v>
      </c>
      <c r="AD2729">
        <v>-1.1142774416279999</v>
      </c>
      <c r="AE2729">
        <v>-14.0442999999999</v>
      </c>
      <c r="AF2729">
        <v>-4.4572134279520199</v>
      </c>
      <c r="AG2729">
        <v>-1.1142774416279999</v>
      </c>
      <c r="AH2729">
        <v>15.8632675535878</v>
      </c>
      <c r="AI2729">
        <v>93.868675898848807</v>
      </c>
      <c r="AJ2729">
        <v>105.694141976319</v>
      </c>
      <c r="AK2729">
        <v>16.515193708702</v>
      </c>
      <c r="AL2729">
        <v>89.883350357076495</v>
      </c>
      <c r="AM2729">
        <v>91.756277359697293</v>
      </c>
      <c r="AN2729">
        <v>1.0000000325067799</v>
      </c>
    </row>
    <row r="2730" spans="1:40" x14ac:dyDescent="0.25">
      <c r="A2730" t="str">
        <f>"20190312154309236"</f>
        <v>20190312154309236</v>
      </c>
      <c r="B2730" t="str">
        <f>"1552376589230039"</f>
        <v>1552376589230039</v>
      </c>
      <c r="C2730" t="s">
        <v>40</v>
      </c>
      <c r="D2730">
        <v>4.2691589999999904</v>
      </c>
      <c r="E2730">
        <v>0.40800009999999998</v>
      </c>
      <c r="F2730" t="s">
        <v>43</v>
      </c>
      <c r="G2730">
        <v>-492.51010000000002</v>
      </c>
      <c r="H2730" s="1">
        <v>-2.4165769999999999E-6</v>
      </c>
      <c r="I2730">
        <v>263.66539999999998</v>
      </c>
      <c r="J2730">
        <v>-483.74040000000002</v>
      </c>
      <c r="K2730">
        <v>1.1143909999999999</v>
      </c>
      <c r="L2730">
        <v>277.75439999999998</v>
      </c>
      <c r="M2730">
        <v>-0.73651699999999998</v>
      </c>
      <c r="N2730">
        <v>0</v>
      </c>
      <c r="O2730">
        <v>-0.67608789999999996</v>
      </c>
      <c r="P2730">
        <v>-0.7155975</v>
      </c>
      <c r="Q2730">
        <v>-1.9076079999999999E-2</v>
      </c>
      <c r="R2730">
        <v>-0.69825269999999995</v>
      </c>
      <c r="S2730">
        <v>-1.6338809999999999</v>
      </c>
      <c r="T2730">
        <v>-0.20645559999999999</v>
      </c>
      <c r="U2730">
        <v>-2.6196899999999999</v>
      </c>
      <c r="V2730">
        <v>-3.048878E-2</v>
      </c>
      <c r="W2730">
        <v>1.873794E-3</v>
      </c>
      <c r="X2730">
        <v>0.99953340000000002</v>
      </c>
      <c r="Y2730">
        <v>-0.26774100000000001</v>
      </c>
      <c r="Z2730">
        <v>3.8438090000000001E-2</v>
      </c>
      <c r="AA2730">
        <v>0.96272389999999997</v>
      </c>
      <c r="AB2730">
        <v>13</v>
      </c>
      <c r="AC2730">
        <v>-8.7697000000000003</v>
      </c>
      <c r="AD2730">
        <v>-1.114393416577</v>
      </c>
      <c r="AE2730">
        <v>-14.089</v>
      </c>
      <c r="AF2730">
        <v>-4.4287261736967896</v>
      </c>
      <c r="AG2730">
        <v>-1.114393416577</v>
      </c>
      <c r="AH2730">
        <v>15.916246334489699</v>
      </c>
      <c r="AI2730">
        <v>93.858955648123597</v>
      </c>
      <c r="AJ2730">
        <v>105.54932848684599</v>
      </c>
      <c r="AK2730">
        <v>16.558453598952301</v>
      </c>
      <c r="AL2730">
        <v>89.892639454371405</v>
      </c>
      <c r="AM2730">
        <v>91.747152155056</v>
      </c>
      <c r="AN2730">
        <v>1.0000000472627</v>
      </c>
    </row>
    <row r="2731" spans="1:40" x14ac:dyDescent="0.25">
      <c r="A2731" t="str">
        <f>"20190312154309250"</f>
        <v>20190312154309250</v>
      </c>
      <c r="B2731" t="str">
        <f>"1552376589239784"</f>
        <v>1552376589239784</v>
      </c>
      <c r="C2731" t="s">
        <v>40</v>
      </c>
      <c r="D2731">
        <v>4.3087460000000002</v>
      </c>
      <c r="E2731">
        <v>0.4084139</v>
      </c>
      <c r="F2731" t="s">
        <v>43</v>
      </c>
      <c r="G2731">
        <v>-492.59739999999999</v>
      </c>
      <c r="H2731" s="1">
        <v>-2.3642339999999998E-6</v>
      </c>
      <c r="I2731">
        <v>263.48930000000001</v>
      </c>
      <c r="J2731">
        <v>-483.7987</v>
      </c>
      <c r="K2731">
        <v>1.114455</v>
      </c>
      <c r="L2731">
        <v>277.69400000000002</v>
      </c>
      <c r="M2731">
        <v>-0.73375959999999996</v>
      </c>
      <c r="N2731">
        <v>0</v>
      </c>
      <c r="O2731">
        <v>-0.67909909999999996</v>
      </c>
      <c r="P2731">
        <v>-0.71270449999999996</v>
      </c>
      <c r="Q2731">
        <v>-1.8573059999999999E-2</v>
      </c>
      <c r="R2731">
        <v>-0.70121849999999997</v>
      </c>
      <c r="S2731">
        <v>-1.6281429999999999</v>
      </c>
      <c r="T2731">
        <v>-0.20485510000000001</v>
      </c>
      <c r="U2731">
        <v>-2.6223139999999998</v>
      </c>
      <c r="V2731">
        <v>-3.0549320000000001E-2</v>
      </c>
      <c r="W2731">
        <v>1.704994E-3</v>
      </c>
      <c r="X2731">
        <v>0.99953179999999997</v>
      </c>
      <c r="Y2731">
        <v>-0.26575520000000002</v>
      </c>
      <c r="Z2731">
        <v>3.8425800000000003E-2</v>
      </c>
      <c r="AA2731">
        <v>0.96327439999999998</v>
      </c>
      <c r="AB2731">
        <v>14</v>
      </c>
      <c r="AC2731">
        <v>-8.7986999999999895</v>
      </c>
      <c r="AD2731">
        <v>-1.1144573642340001</v>
      </c>
      <c r="AE2731">
        <v>-14.204700000000001</v>
      </c>
      <c r="AF2731">
        <v>-4.4288804054041604</v>
      </c>
      <c r="AG2731">
        <v>-1.1144573642340001</v>
      </c>
      <c r="AH2731">
        <v>16.034590413121698</v>
      </c>
      <c r="AI2731">
        <v>93.832789065617007</v>
      </c>
      <c r="AJ2731">
        <v>105.440572622199</v>
      </c>
      <c r="AK2731">
        <v>16.672284983728002</v>
      </c>
      <c r="AL2731">
        <v>89.902310991747598</v>
      </c>
      <c r="AM2731">
        <v>91.7506220290595</v>
      </c>
      <c r="AN2731">
        <v>0.99999999358412095</v>
      </c>
    </row>
    <row r="2732" spans="1:40" x14ac:dyDescent="0.25">
      <c r="A2732" t="str">
        <f>"20190312154309263"</f>
        <v>20190312154309263</v>
      </c>
      <c r="B2732" t="str">
        <f>"1552376589250520"</f>
        <v>1552376589250520</v>
      </c>
      <c r="C2732" t="s">
        <v>40</v>
      </c>
      <c r="D2732">
        <v>4.2285019999999998</v>
      </c>
      <c r="E2732">
        <v>0.40889530000000002</v>
      </c>
      <c r="F2732" t="s">
        <v>43</v>
      </c>
      <c r="G2732">
        <v>-492.70800000000003</v>
      </c>
      <c r="H2732" s="1">
        <v>-2.289336E-6</v>
      </c>
      <c r="I2732">
        <v>263.24599999999998</v>
      </c>
      <c r="J2732">
        <v>-483.85390000000001</v>
      </c>
      <c r="K2732">
        <v>1.114385</v>
      </c>
      <c r="L2732">
        <v>277.63569999999999</v>
      </c>
      <c r="M2732">
        <v>-0.731184099999999</v>
      </c>
      <c r="N2732">
        <v>0</v>
      </c>
      <c r="O2732">
        <v>-0.68188549999999903</v>
      </c>
      <c r="P2732">
        <v>-0.71019200000000005</v>
      </c>
      <c r="Q2732">
        <v>-1.804772E-2</v>
      </c>
      <c r="R2732">
        <v>-0.70377690000000004</v>
      </c>
      <c r="S2732">
        <v>-1.61972</v>
      </c>
      <c r="T2732">
        <v>-0.2026094</v>
      </c>
      <c r="U2732">
        <v>-2.6266479999999999</v>
      </c>
      <c r="V2732">
        <v>-3.034152E-2</v>
      </c>
      <c r="W2732">
        <v>1.7564919999999999E-3</v>
      </c>
      <c r="X2732">
        <v>0.99953809999999998</v>
      </c>
      <c r="Y2732">
        <v>-0.26503660000000001</v>
      </c>
      <c r="Z2732">
        <v>3.8238309999999998E-2</v>
      </c>
      <c r="AA2732">
        <v>0.96347989999999994</v>
      </c>
      <c r="AB2732">
        <v>14</v>
      </c>
      <c r="AC2732">
        <v>-8.8541000000000096</v>
      </c>
      <c r="AD2732">
        <v>-1.1143872893359901</v>
      </c>
      <c r="AE2732">
        <v>-14.389699999999999</v>
      </c>
      <c r="AF2732">
        <v>-4.4655121830982303</v>
      </c>
      <c r="AG2732">
        <v>-1.1143872893359901</v>
      </c>
      <c r="AH2732">
        <v>16.2188208581493</v>
      </c>
      <c r="AI2732">
        <v>93.789993260955896</v>
      </c>
      <c r="AJ2732">
        <v>105.39377625306599</v>
      </c>
      <c r="AK2732">
        <v>16.8592054414427</v>
      </c>
      <c r="AL2732">
        <v>89.899360375258098</v>
      </c>
      <c r="AM2732">
        <v>91.738710478091804</v>
      </c>
      <c r="AN2732">
        <v>1.00000005322583</v>
      </c>
    </row>
    <row r="2733" spans="1:40" x14ac:dyDescent="0.25">
      <c r="A2733" t="str">
        <f>"20190312154309277"</f>
        <v>20190312154309277</v>
      </c>
      <c r="B2733" t="str">
        <f>"1552376589270040"</f>
        <v>1552376589270040</v>
      </c>
      <c r="C2733" t="s">
        <v>40</v>
      </c>
      <c r="D2733">
        <v>4.2586930000000001</v>
      </c>
      <c r="E2733">
        <v>0.40946660000000001</v>
      </c>
      <c r="F2733" t="s">
        <v>43</v>
      </c>
      <c r="G2733">
        <v>-492.81939999999997</v>
      </c>
      <c r="H2733" s="1">
        <v>-2.2216169999999999E-6</v>
      </c>
      <c r="I2733">
        <v>263.01909999999998</v>
      </c>
      <c r="J2733">
        <v>-483.91030000000001</v>
      </c>
      <c r="K2733">
        <v>1.114193</v>
      </c>
      <c r="L2733">
        <v>277.57560000000001</v>
      </c>
      <c r="M2733">
        <v>-0.7285007</v>
      </c>
      <c r="N2733">
        <v>0</v>
      </c>
      <c r="O2733">
        <v>-0.68476319999999902</v>
      </c>
      <c r="P2733">
        <v>-0.70768759999999997</v>
      </c>
      <c r="Q2733">
        <v>-1.7912810000000001E-2</v>
      </c>
      <c r="R2733">
        <v>-0.7062986</v>
      </c>
      <c r="S2733">
        <v>-1.6130679999999999</v>
      </c>
      <c r="T2733">
        <v>-0.20050180000000001</v>
      </c>
      <c r="U2733">
        <v>-2.6298219999999999</v>
      </c>
      <c r="V2733">
        <v>-2.9958800000000001E-2</v>
      </c>
      <c r="W2733">
        <v>1.5066299999999999E-3</v>
      </c>
      <c r="X2733">
        <v>0.99955000000000005</v>
      </c>
      <c r="Y2733">
        <v>-0.26352500000000001</v>
      </c>
      <c r="Z2733">
        <v>3.8098880000000002E-2</v>
      </c>
      <c r="AA2733">
        <v>0.96389990000000003</v>
      </c>
      <c r="AB2733">
        <v>14</v>
      </c>
      <c r="AC2733">
        <v>-8.9090999999999596</v>
      </c>
      <c r="AD2733">
        <v>-1.1141952216169999</v>
      </c>
      <c r="AE2733">
        <v>-14.5565</v>
      </c>
      <c r="AF2733">
        <v>-4.48554789762259</v>
      </c>
      <c r="AG2733">
        <v>-1.1141952216169999</v>
      </c>
      <c r="AH2733">
        <v>16.391355562266</v>
      </c>
      <c r="AI2733">
        <v>93.751169540365794</v>
      </c>
      <c r="AJ2733">
        <v>105.304489238421</v>
      </c>
      <c r="AK2733">
        <v>17.030505221582999</v>
      </c>
      <c r="AL2733">
        <v>89.913676427146001</v>
      </c>
      <c r="AM2733">
        <v>91.716771620474105</v>
      </c>
      <c r="AN2733">
        <v>1.00000000106569</v>
      </c>
    </row>
    <row r="2734" spans="1:40" x14ac:dyDescent="0.25">
      <c r="A2734" t="str">
        <f>"20190312154309299"</f>
        <v>20190312154309299</v>
      </c>
      <c r="B2734" t="str">
        <f>"1552376589290536"</f>
        <v>1552376589290536</v>
      </c>
      <c r="C2734" t="s">
        <v>40</v>
      </c>
      <c r="D2734">
        <v>4.3006250000000001</v>
      </c>
      <c r="E2734">
        <v>0.41013260000000001</v>
      </c>
      <c r="F2734" t="s">
        <v>43</v>
      </c>
      <c r="G2734">
        <v>-492.74110000000002</v>
      </c>
      <c r="H2734" s="1">
        <v>-2.2389580000000002E-6</v>
      </c>
      <c r="I2734">
        <v>263.10809999999998</v>
      </c>
      <c r="J2734">
        <v>-483.99590000000001</v>
      </c>
      <c r="K2734">
        <v>1.113729</v>
      </c>
      <c r="L2734">
        <v>277.48410000000001</v>
      </c>
      <c r="M2734">
        <v>-0.72425719999999905</v>
      </c>
      <c r="N2734">
        <v>0</v>
      </c>
      <c r="O2734">
        <v>-0.68926500000000002</v>
      </c>
      <c r="P2734">
        <v>-0.703449199999999</v>
      </c>
      <c r="Q2734">
        <v>-1.7538120000000001E-2</v>
      </c>
      <c r="R2734">
        <v>-0.71052930000000003</v>
      </c>
      <c r="S2734">
        <v>-1.606781</v>
      </c>
      <c r="T2734">
        <v>-0.20273179999999999</v>
      </c>
      <c r="U2734">
        <v>-2.6324160000000001</v>
      </c>
      <c r="V2734">
        <v>-2.975862E-2</v>
      </c>
      <c r="W2734">
        <v>1.3712079999999901E-3</v>
      </c>
      <c r="X2734">
        <v>0.99955620000000001</v>
      </c>
      <c r="Y2734">
        <v>-0.25967410000000002</v>
      </c>
      <c r="Z2734">
        <v>3.8963270000000001E-2</v>
      </c>
      <c r="AA2734">
        <v>0.96491000000000005</v>
      </c>
      <c r="AB2734">
        <v>13</v>
      </c>
      <c r="AC2734">
        <v>-8.7452000000000094</v>
      </c>
      <c r="AD2734">
        <v>-1.1137312389579901</v>
      </c>
      <c r="AE2734">
        <v>-14.375999999999999</v>
      </c>
      <c r="AF2734">
        <v>-4.3658365515982203</v>
      </c>
      <c r="AG2734">
        <v>-1.1137312389579901</v>
      </c>
      <c r="AH2734">
        <v>16.174757573886598</v>
      </c>
      <c r="AI2734">
        <v>93.803261737475296</v>
      </c>
      <c r="AJ2734">
        <v>105.105124482363</v>
      </c>
      <c r="AK2734">
        <v>16.790583927960999</v>
      </c>
      <c r="AL2734">
        <v>89.921435546213303</v>
      </c>
      <c r="AM2734">
        <v>91.705296646638999</v>
      </c>
      <c r="AN2734">
        <v>1.0000000263170601</v>
      </c>
    </row>
    <row r="2735" spans="1:40" x14ac:dyDescent="0.25">
      <c r="A2735" t="str">
        <f>"20190312154309312"</f>
        <v>20190312154309312</v>
      </c>
      <c r="B2735" t="str">
        <f>"1552376589300297"</f>
        <v>1552376589300297</v>
      </c>
      <c r="C2735" t="s">
        <v>40</v>
      </c>
      <c r="D2735">
        <v>4.2953729999999997</v>
      </c>
      <c r="E2735">
        <v>0.41048649999999998</v>
      </c>
      <c r="F2735" t="s">
        <v>43</v>
      </c>
      <c r="G2735">
        <v>-492.68770000000001</v>
      </c>
      <c r="H2735" s="1">
        <v>-2.2235669999999999E-6</v>
      </c>
      <c r="I2735">
        <v>263.1053</v>
      </c>
      <c r="J2735">
        <v>-484.0453</v>
      </c>
      <c r="K2735">
        <v>1.11341</v>
      </c>
      <c r="L2735">
        <v>277.43099999999998</v>
      </c>
      <c r="M2735">
        <v>-0.7217055</v>
      </c>
      <c r="N2735">
        <v>0</v>
      </c>
      <c r="O2735">
        <v>-0.69194489999999997</v>
      </c>
      <c r="P2735">
        <v>-0.70096800000000004</v>
      </c>
      <c r="Q2735">
        <v>-1.7297259999999998E-2</v>
      </c>
      <c r="R2735">
        <v>-0.71298289999999998</v>
      </c>
      <c r="S2735">
        <v>-1.5947880000000001</v>
      </c>
      <c r="T2735">
        <v>-0.20435</v>
      </c>
      <c r="U2735">
        <v>-2.638245</v>
      </c>
      <c r="V2735">
        <v>-2.9546050000000001E-2</v>
      </c>
      <c r="W2735">
        <v>1.3139880000000001E-3</v>
      </c>
      <c r="X2735">
        <v>0.99956259999999997</v>
      </c>
      <c r="Y2735">
        <v>-0.2602662</v>
      </c>
      <c r="Z2735">
        <v>3.9473429999999997E-2</v>
      </c>
      <c r="AA2735">
        <v>0.96472970000000002</v>
      </c>
      <c r="AB2735">
        <v>13</v>
      </c>
      <c r="AC2735">
        <v>-8.6424000000000092</v>
      </c>
      <c r="AD2735">
        <v>-1.1134122235670001</v>
      </c>
      <c r="AE2735">
        <v>-14.3256999999999</v>
      </c>
      <c r="AF2735">
        <v>-4.3404196347767696</v>
      </c>
      <c r="AG2735">
        <v>-1.1134122235670001</v>
      </c>
      <c r="AH2735">
        <v>16.081496081531</v>
      </c>
      <c r="AI2735">
        <v>93.824174826907196</v>
      </c>
      <c r="AJ2735">
        <v>105.104313894496</v>
      </c>
      <c r="AK2735">
        <v>16.694114100659601</v>
      </c>
      <c r="AL2735">
        <v>89.924714014877907</v>
      </c>
      <c r="AM2735">
        <v>91.693111754496798</v>
      </c>
      <c r="AN2735">
        <v>1.0000000434769101</v>
      </c>
    </row>
    <row r="2736" spans="1:40" x14ac:dyDescent="0.25">
      <c r="A2736" t="str">
        <f>"20190312154309325"</f>
        <v>20190312154309325</v>
      </c>
      <c r="B2736" t="str">
        <f>"1552376589319817"</f>
        <v>1552376589319817</v>
      </c>
      <c r="C2736" t="s">
        <v>40</v>
      </c>
      <c r="D2736">
        <v>4.3203760000000004</v>
      </c>
      <c r="E2736">
        <v>0.4104719</v>
      </c>
      <c r="F2736" t="s">
        <v>43</v>
      </c>
      <c r="G2736">
        <v>-492.65789999999998</v>
      </c>
      <c r="H2736" s="1">
        <v>-2.2137660000000002E-6</v>
      </c>
      <c r="I2736">
        <v>263.101</v>
      </c>
      <c r="J2736">
        <v>-484.101</v>
      </c>
      <c r="K2736">
        <v>1.1130500000000001</v>
      </c>
      <c r="L2736">
        <v>277.37119999999999</v>
      </c>
      <c r="M2736">
        <v>-0.71876589999999996</v>
      </c>
      <c r="N2736">
        <v>0</v>
      </c>
      <c r="O2736">
        <v>-0.69500830000000002</v>
      </c>
      <c r="P2736">
        <v>-0.69807109999999895</v>
      </c>
      <c r="Q2736">
        <v>-1.6904470000000001E-2</v>
      </c>
      <c r="R2736">
        <v>-0.71582880000000004</v>
      </c>
      <c r="S2736">
        <v>-1.5877079999999999</v>
      </c>
      <c r="T2736">
        <v>-0.2052563</v>
      </c>
      <c r="U2736">
        <v>-2.641724</v>
      </c>
      <c r="V2736">
        <v>-2.9361120000000001E-2</v>
      </c>
      <c r="W2736">
        <v>1.344982E-3</v>
      </c>
      <c r="X2736">
        <v>0.99956800000000001</v>
      </c>
      <c r="Y2736">
        <v>-0.25863629999999999</v>
      </c>
      <c r="Z2736">
        <v>3.9926719999999999E-2</v>
      </c>
      <c r="AA2736">
        <v>0.96514929999999999</v>
      </c>
      <c r="AB2736">
        <v>13</v>
      </c>
      <c r="AC2736">
        <v>-8.5568999999999793</v>
      </c>
      <c r="AD2736">
        <v>-1.1130522137659999</v>
      </c>
      <c r="AE2736">
        <v>-14.2701999999999</v>
      </c>
      <c r="AF2736">
        <v>-4.2913445727821102</v>
      </c>
      <c r="AG2736">
        <v>-1.1130522137659999</v>
      </c>
      <c r="AH2736">
        <v>15.999445912483701</v>
      </c>
      <c r="AI2736">
        <v>93.844106805004699</v>
      </c>
      <c r="AJ2736">
        <v>105.01438620114099</v>
      </c>
      <c r="AK2736">
        <v>16.602312880421401</v>
      </c>
      <c r="AL2736">
        <v>89.922938187379501</v>
      </c>
      <c r="AM2736">
        <v>91.682511521126699</v>
      </c>
      <c r="AN2736">
        <v>1.0000000354841101</v>
      </c>
    </row>
    <row r="2737" spans="1:40" x14ac:dyDescent="0.25">
      <c r="A2737" t="str">
        <f>"20190312154309338"</f>
        <v>20190312154309338</v>
      </c>
      <c r="B2737" t="str">
        <f>"1552376589329576"</f>
        <v>1552376589329576</v>
      </c>
      <c r="C2737" t="s">
        <v>40</v>
      </c>
      <c r="D2737">
        <v>4.358949</v>
      </c>
      <c r="E2737">
        <v>0.41018290000000002</v>
      </c>
      <c r="F2737" t="s">
        <v>43</v>
      </c>
      <c r="G2737">
        <v>-492.66219999999998</v>
      </c>
      <c r="H2737" s="1">
        <v>-2.170292E-6</v>
      </c>
      <c r="I2737">
        <v>262.99700000000001</v>
      </c>
      <c r="J2737">
        <v>-484.15190000000001</v>
      </c>
      <c r="K2737">
        <v>1.1128039999999999</v>
      </c>
      <c r="L2737">
        <v>277.31630000000001</v>
      </c>
      <c r="M2737">
        <v>-0.71611029999999998</v>
      </c>
      <c r="N2737">
        <v>0</v>
      </c>
      <c r="O2737">
        <v>-0.69775350000000003</v>
      </c>
      <c r="P2737">
        <v>-0.6954188</v>
      </c>
      <c r="Q2737">
        <v>-1.649194E-2</v>
      </c>
      <c r="R2737">
        <v>-0.71841540000000004</v>
      </c>
      <c r="S2737">
        <v>-1.5772090000000001</v>
      </c>
      <c r="T2737">
        <v>-0.2050544</v>
      </c>
      <c r="U2737">
        <v>-2.6481319999999999</v>
      </c>
      <c r="V2737">
        <v>-2.9245770000000001E-2</v>
      </c>
      <c r="W2737">
        <v>1.4188919999999999E-3</v>
      </c>
      <c r="X2737">
        <v>0.99957130000000005</v>
      </c>
      <c r="Y2737">
        <v>-0.25879960000000002</v>
      </c>
      <c r="Z2737">
        <v>4.0087190000000002E-2</v>
      </c>
      <c r="AA2737">
        <v>0.96509889999999998</v>
      </c>
      <c r="AB2737">
        <v>13</v>
      </c>
      <c r="AC2737">
        <v>-8.5102999999999707</v>
      </c>
      <c r="AD2737">
        <v>-1.112806170292</v>
      </c>
      <c r="AE2737">
        <v>-14.319299999999901</v>
      </c>
      <c r="AF2737">
        <v>-4.2976301813622602</v>
      </c>
      <c r="AG2737">
        <v>-1.112806170292</v>
      </c>
      <c r="AH2737">
        <v>16.016795567268598</v>
      </c>
      <c r="AI2737">
        <v>93.839011366721394</v>
      </c>
      <c r="AJ2737">
        <v>105.01983267350801</v>
      </c>
      <c r="AK2737">
        <v>16.6206408718819</v>
      </c>
      <c r="AL2737">
        <v>89.918703454093304</v>
      </c>
      <c r="AM2737">
        <v>91.675899744546697</v>
      </c>
      <c r="AN2737">
        <v>1.00000005605054</v>
      </c>
    </row>
    <row r="2738" spans="1:40" x14ac:dyDescent="0.25">
      <c r="A2738" t="str">
        <f>"20190312154309349"</f>
        <v>20190312154309349</v>
      </c>
      <c r="B2738" t="str">
        <f>"1552376589340621"</f>
        <v>1552376589340621</v>
      </c>
      <c r="C2738" t="s">
        <v>40</v>
      </c>
      <c r="D2738">
        <v>4.4010569999999998</v>
      </c>
      <c r="E2738">
        <v>0.41026869999999999</v>
      </c>
      <c r="F2738" t="s">
        <v>43</v>
      </c>
      <c r="G2738">
        <v>-492.57909999999998</v>
      </c>
      <c r="H2738" s="1">
        <v>-2.1586060000000001E-6</v>
      </c>
      <c r="I2738">
        <v>263.02120000000002</v>
      </c>
      <c r="J2738">
        <v>-484.197</v>
      </c>
      <c r="K2738">
        <v>1.112625</v>
      </c>
      <c r="L2738">
        <v>277.26760000000002</v>
      </c>
      <c r="M2738">
        <v>-0.71378339999999996</v>
      </c>
      <c r="N2738">
        <v>0</v>
      </c>
      <c r="O2738">
        <v>-0.70014140000000002</v>
      </c>
      <c r="P2738">
        <v>-0.69301060000000003</v>
      </c>
      <c r="Q2738">
        <v>-1.6094480000000001E-2</v>
      </c>
      <c r="R2738">
        <v>-0.7207479</v>
      </c>
      <c r="S2738">
        <v>-1.5655209999999999</v>
      </c>
      <c r="T2738">
        <v>-0.20672660000000001</v>
      </c>
      <c r="U2738">
        <v>-2.6556090000000001</v>
      </c>
      <c r="V2738">
        <v>-2.9263879999999999E-2</v>
      </c>
      <c r="W2738">
        <v>1.520935E-3</v>
      </c>
      <c r="X2738">
        <v>0.99957050000000003</v>
      </c>
      <c r="Y2738">
        <v>-0.25993060000000001</v>
      </c>
      <c r="Z2738">
        <v>4.0558320000000002E-2</v>
      </c>
      <c r="AA2738">
        <v>0.9647751</v>
      </c>
      <c r="AB2738">
        <v>13</v>
      </c>
      <c r="AC2738">
        <v>-8.3821000000000296</v>
      </c>
      <c r="AD2738">
        <v>-1.1126271586059999</v>
      </c>
      <c r="AE2738">
        <v>-14.2463999999999</v>
      </c>
      <c r="AF2738">
        <v>-4.2814675973289296</v>
      </c>
      <c r="AG2738">
        <v>-1.1126271586059999</v>
      </c>
      <c r="AH2738">
        <v>15.888026817960901</v>
      </c>
      <c r="AI2738">
        <v>93.868291357996398</v>
      </c>
      <c r="AJ2738">
        <v>105.081674754823</v>
      </c>
      <c r="AK2738">
        <v>16.492370968095798</v>
      </c>
      <c r="AL2738">
        <v>89.9128568044286</v>
      </c>
      <c r="AM2738">
        <v>91.676938269065204</v>
      </c>
      <c r="AN2738">
        <v>0.99999993619308702</v>
      </c>
    </row>
    <row r="2739" spans="1:40" x14ac:dyDescent="0.25">
      <c r="A2739" t="str">
        <f>"20190312154309360"</f>
        <v>20190312154309360</v>
      </c>
      <c r="B2739" t="str">
        <f>"1552376589350380"</f>
        <v>1552376589350380</v>
      </c>
      <c r="C2739" t="s">
        <v>40</v>
      </c>
      <c r="D2739">
        <v>4.4060810000000004</v>
      </c>
      <c r="E2739">
        <v>0.4103561</v>
      </c>
      <c r="F2739" t="s">
        <v>43</v>
      </c>
      <c r="G2739">
        <v>-492.50290000000001</v>
      </c>
      <c r="H2739" s="1">
        <v>-2.1614580000000001E-6</v>
      </c>
      <c r="I2739">
        <v>263.0752</v>
      </c>
      <c r="J2739">
        <v>-484.2396</v>
      </c>
      <c r="K2739">
        <v>1.1125510000000001</v>
      </c>
      <c r="L2739">
        <v>277.22140000000002</v>
      </c>
      <c r="M2739">
        <v>-0.71168430000000005</v>
      </c>
      <c r="N2739">
        <v>0</v>
      </c>
      <c r="O2739">
        <v>-0.70228179999999996</v>
      </c>
      <c r="P2739">
        <v>-0.69091420000000003</v>
      </c>
      <c r="Q2739">
        <v>-1.5695500000000001E-2</v>
      </c>
      <c r="R2739">
        <v>-0.72276669999999998</v>
      </c>
      <c r="S2739">
        <v>-1.557037</v>
      </c>
      <c r="T2739">
        <v>-0.2085757</v>
      </c>
      <c r="U2739">
        <v>-2.6605530000000002</v>
      </c>
      <c r="V2739">
        <v>-2.9177129999999999E-2</v>
      </c>
      <c r="W2739">
        <v>1.6644629999999999E-3</v>
      </c>
      <c r="X2739">
        <v>0.99957289999999999</v>
      </c>
      <c r="Y2739">
        <v>-0.26012079999999999</v>
      </c>
      <c r="Z2739">
        <v>4.1078469999999999E-2</v>
      </c>
      <c r="AA2739">
        <v>0.9647019</v>
      </c>
      <c r="AB2739">
        <v>13</v>
      </c>
      <c r="AC2739">
        <v>-8.2633000000000099</v>
      </c>
      <c r="AD2739">
        <v>-1.112553161458</v>
      </c>
      <c r="AE2739">
        <v>-14.1462</v>
      </c>
      <c r="AF2739">
        <v>-4.2455360254230596</v>
      </c>
      <c r="AG2739">
        <v>-1.112553161458</v>
      </c>
      <c r="AH2739">
        <v>15.745284889649099</v>
      </c>
      <c r="AI2739">
        <v>93.902836025624694</v>
      </c>
      <c r="AJ2739">
        <v>105.09027176245699</v>
      </c>
      <c r="AK2739">
        <v>16.345529876282601</v>
      </c>
      <c r="AL2739">
        <v>89.904633253664102</v>
      </c>
      <c r="AM2739">
        <v>91.671965958092002</v>
      </c>
      <c r="AN2739">
        <v>1.00000002888326</v>
      </c>
    </row>
    <row r="2740" spans="1:40" x14ac:dyDescent="0.25">
      <c r="A2740" t="str">
        <f>"20190312154309369"</f>
        <v>20190312154309369</v>
      </c>
      <c r="B2740" t="str">
        <f>"1552376589360140"</f>
        <v>1552376589360140</v>
      </c>
      <c r="C2740" t="s">
        <v>40</v>
      </c>
      <c r="D2740">
        <v>4.3106260000000001</v>
      </c>
      <c r="E2740">
        <v>0.4101167</v>
      </c>
      <c r="F2740" t="s">
        <v>43</v>
      </c>
      <c r="G2740">
        <v>-492.43349999999998</v>
      </c>
      <c r="H2740" s="1">
        <v>-2.1676389999999998E-6</v>
      </c>
      <c r="I2740">
        <v>263.13260000000002</v>
      </c>
      <c r="J2740">
        <v>-484.27879999999999</v>
      </c>
      <c r="K2740">
        <v>1.1125050000000001</v>
      </c>
      <c r="L2740">
        <v>277.17869999999999</v>
      </c>
      <c r="M2740">
        <v>-0.70977409999999996</v>
      </c>
      <c r="N2740">
        <v>0</v>
      </c>
      <c r="O2740">
        <v>-0.70421769999999995</v>
      </c>
      <c r="P2740">
        <v>-0.68881380000000003</v>
      </c>
      <c r="Q2740">
        <v>-1.5540709999999999E-2</v>
      </c>
      <c r="R2740">
        <v>-0.72477190000000002</v>
      </c>
      <c r="S2740">
        <v>-1.549774</v>
      </c>
      <c r="T2740">
        <v>-0.210427</v>
      </c>
      <c r="U2740">
        <v>-2.6647340000000002</v>
      </c>
      <c r="V2740">
        <v>-2.9361109999999999E-2</v>
      </c>
      <c r="W2740">
        <v>1.5924610000000001E-3</v>
      </c>
      <c r="X2740">
        <v>0.9995676</v>
      </c>
      <c r="Y2740">
        <v>-0.26012950000000001</v>
      </c>
      <c r="Z2740">
        <v>4.1591080000000002E-2</v>
      </c>
      <c r="AA2740">
        <v>0.96467760000000002</v>
      </c>
      <c r="AB2740">
        <v>13</v>
      </c>
      <c r="AC2740">
        <v>-8.1546999999999894</v>
      </c>
      <c r="AD2740">
        <v>-1.1125071676389999</v>
      </c>
      <c r="AE2740">
        <v>-14.0460999999999</v>
      </c>
      <c r="AF2740">
        <v>-4.2077620077022697</v>
      </c>
      <c r="AG2740">
        <v>-1.1125071676389999</v>
      </c>
      <c r="AH2740">
        <v>15.608611865034099</v>
      </c>
      <c r="AI2740">
        <v>93.936799265238093</v>
      </c>
      <c r="AJ2740">
        <v>105.087117674155</v>
      </c>
      <c r="AK2740">
        <v>16.2040642329261</v>
      </c>
      <c r="AL2740">
        <v>89.908758666991403</v>
      </c>
      <c r="AM2740">
        <v>91.682511621323897</v>
      </c>
      <c r="AN2740">
        <v>0.99999999884111401</v>
      </c>
    </row>
    <row r="2741" spans="1:40" x14ac:dyDescent="0.25">
      <c r="A2741" t="str">
        <f>"20190312154309380"</f>
        <v>20190312154309380</v>
      </c>
      <c r="B2741" t="str">
        <f>"1552376589369900"</f>
        <v>1552376589369900</v>
      </c>
      <c r="C2741" t="s">
        <v>40</v>
      </c>
      <c r="D2741">
        <v>4.2848009999999999</v>
      </c>
      <c r="E2741">
        <v>0.40993849999999998</v>
      </c>
      <c r="F2741" t="s">
        <v>43</v>
      </c>
      <c r="G2741">
        <v>-492.48349999999999</v>
      </c>
      <c r="H2741" s="1">
        <v>-2.1067379999999999E-6</v>
      </c>
      <c r="I2741">
        <v>262.9597</v>
      </c>
      <c r="J2741">
        <v>-484.32229999999998</v>
      </c>
      <c r="K2741">
        <v>1.112522</v>
      </c>
      <c r="L2741">
        <v>277.13099999999997</v>
      </c>
      <c r="M2741">
        <v>-0.70773900000000001</v>
      </c>
      <c r="N2741">
        <v>0</v>
      </c>
      <c r="O2741">
        <v>-0.70626829999999996</v>
      </c>
      <c r="P2741">
        <v>-0.68679709999999905</v>
      </c>
      <c r="Q2741">
        <v>-1.523711E-2</v>
      </c>
      <c r="R2741">
        <v>-0.72668980000000005</v>
      </c>
      <c r="S2741">
        <v>-1.5408630000000001</v>
      </c>
      <c r="T2741">
        <v>-0.2089317</v>
      </c>
      <c r="U2741">
        <v>-2.6703800000000002</v>
      </c>
      <c r="V2741">
        <v>-2.9255300000000001E-2</v>
      </c>
      <c r="W2741">
        <v>1.6773370000000001E-3</v>
      </c>
      <c r="X2741">
        <v>0.99957050000000003</v>
      </c>
      <c r="Y2741">
        <v>-0.26063180000000002</v>
      </c>
      <c r="Z2741">
        <v>4.1434970000000002E-2</v>
      </c>
      <c r="AA2741">
        <v>0.96454870000000004</v>
      </c>
      <c r="AB2741">
        <v>13</v>
      </c>
      <c r="AC2741">
        <v>-8.1611999999999991</v>
      </c>
      <c r="AD2741">
        <v>-1.1125241067380001</v>
      </c>
      <c r="AE2741">
        <v>-14.171299999999899</v>
      </c>
      <c r="AF2741">
        <v>-4.2465510909908097</v>
      </c>
      <c r="AG2741">
        <v>-1.1125241067380001</v>
      </c>
      <c r="AH2741">
        <v>15.714305350953</v>
      </c>
      <c r="AI2741">
        <v>93.909819821652405</v>
      </c>
      <c r="AJ2741">
        <v>105.122109695346</v>
      </c>
      <c r="AK2741">
        <v>16.315952277432601</v>
      </c>
      <c r="AL2741">
        <v>89.903895617792102</v>
      </c>
      <c r="AM2741">
        <v>91.676446881095501</v>
      </c>
      <c r="AN2741">
        <v>0.99999993525387298</v>
      </c>
    </row>
    <row r="2742" spans="1:40" x14ac:dyDescent="0.25">
      <c r="A2742" t="str">
        <f>"20190312154309391"</f>
        <v>20190312154309391</v>
      </c>
      <c r="B2742" t="str">
        <f>"1552376589380638"</f>
        <v>1552376589380638</v>
      </c>
      <c r="C2742" t="s">
        <v>40</v>
      </c>
      <c r="D2742">
        <v>4.2951329999999999</v>
      </c>
      <c r="E2742">
        <v>0.40977980000000003</v>
      </c>
      <c r="F2742" t="s">
        <v>43</v>
      </c>
      <c r="G2742">
        <v>-492.57729999999998</v>
      </c>
      <c r="H2742" s="1">
        <v>-2.026969E-6</v>
      </c>
      <c r="I2742">
        <v>262.71550000000002</v>
      </c>
      <c r="J2742">
        <v>-484.36189999999999</v>
      </c>
      <c r="K2742">
        <v>1.112552</v>
      </c>
      <c r="L2742">
        <v>277.0874</v>
      </c>
      <c r="M2742">
        <v>-0.70589659999999999</v>
      </c>
      <c r="N2742">
        <v>0</v>
      </c>
      <c r="O2742">
        <v>-0.70811420000000003</v>
      </c>
      <c r="P2742">
        <v>-0.68498719999999902</v>
      </c>
      <c r="Q2742">
        <v>-1.541324E-2</v>
      </c>
      <c r="R2742">
        <v>-0.72839209999999999</v>
      </c>
      <c r="S2742">
        <v>-1.5322880000000001</v>
      </c>
      <c r="T2742">
        <v>-0.2065042</v>
      </c>
      <c r="U2742">
        <v>-2.6757810000000002</v>
      </c>
      <c r="V2742">
        <v>-2.9130429999999999E-2</v>
      </c>
      <c r="W2742">
        <v>1.31065E-3</v>
      </c>
      <c r="X2742">
        <v>0.99957479999999999</v>
      </c>
      <c r="Y2742">
        <v>-0.2612698</v>
      </c>
      <c r="Z2742">
        <v>4.1073449999999997E-2</v>
      </c>
      <c r="AA2742">
        <v>0.96439149999999996</v>
      </c>
      <c r="AB2742">
        <v>13</v>
      </c>
      <c r="AC2742">
        <v>-8.2153999999999794</v>
      </c>
      <c r="AD2742">
        <v>-1.112554026969</v>
      </c>
      <c r="AE2742">
        <v>-14.371899999999901</v>
      </c>
      <c r="AF2742">
        <v>-4.3087876761691399</v>
      </c>
      <c r="AG2742">
        <v>-1.112554026969</v>
      </c>
      <c r="AH2742">
        <v>15.9065953041409</v>
      </c>
      <c r="AI2742">
        <v>93.862175747804002</v>
      </c>
      <c r="AJ2742">
        <v>105.156589773977</v>
      </c>
      <c r="AK2742">
        <v>16.517360620600101</v>
      </c>
      <c r="AL2742">
        <v>89.924905268105903</v>
      </c>
      <c r="AM2742">
        <v>91.669288205880505</v>
      </c>
      <c r="AN2742">
        <v>1.00000004027522</v>
      </c>
    </row>
    <row r="2743" spans="1:40" x14ac:dyDescent="0.25">
      <c r="A2743" t="str">
        <f>"20190312154309402"</f>
        <v>20190312154309402</v>
      </c>
      <c r="B2743" t="str">
        <f>"1552376589390396"</f>
        <v>1552376589390396</v>
      </c>
      <c r="C2743" t="s">
        <v>40</v>
      </c>
      <c r="D2743">
        <v>4.3068710000000001</v>
      </c>
      <c r="E2743">
        <v>0.40958939999999999</v>
      </c>
      <c r="F2743" t="s">
        <v>43</v>
      </c>
      <c r="G2743">
        <v>-492.59210000000002</v>
      </c>
      <c r="H2743" s="1">
        <v>-1.9906789999999999E-6</v>
      </c>
      <c r="I2743">
        <v>262.62180000000001</v>
      </c>
      <c r="J2743">
        <v>-484.40379999999999</v>
      </c>
      <c r="K2743">
        <v>1.112608</v>
      </c>
      <c r="L2743">
        <v>277.04090000000002</v>
      </c>
      <c r="M2743">
        <v>-0.70398490000000002</v>
      </c>
      <c r="N2743">
        <v>0</v>
      </c>
      <c r="O2743">
        <v>-0.71001919999999996</v>
      </c>
      <c r="P2743">
        <v>-0.68302019999999997</v>
      </c>
      <c r="Q2743">
        <v>-1.5195119999999999E-2</v>
      </c>
      <c r="R2743">
        <v>-0.73024149999999999</v>
      </c>
      <c r="S2743">
        <v>-1.524872</v>
      </c>
      <c r="T2743">
        <v>-0.20613319999999999</v>
      </c>
      <c r="U2743">
        <v>-2.6801759999999999</v>
      </c>
      <c r="V2743">
        <v>-2.9131859999999999E-2</v>
      </c>
      <c r="W2743">
        <v>1.343552E-3</v>
      </c>
      <c r="X2743">
        <v>0.99957470000000004</v>
      </c>
      <c r="Y2743">
        <v>-0.26136009999999998</v>
      </c>
      <c r="Z2743">
        <v>4.1139670000000003E-2</v>
      </c>
      <c r="AA2743">
        <v>0.9643642</v>
      </c>
      <c r="AB2743">
        <v>13</v>
      </c>
      <c r="AC2743">
        <v>-8.1883000000000195</v>
      </c>
      <c r="AD2743">
        <v>-1.1126099906789999</v>
      </c>
      <c r="AE2743">
        <v>-14.4191</v>
      </c>
      <c r="AF2743">
        <v>-4.3181405651369502</v>
      </c>
      <c r="AG2743">
        <v>-1.1126099906789999</v>
      </c>
      <c r="AH2743">
        <v>15.9327706806778</v>
      </c>
      <c r="AI2743">
        <v>93.855905448262703</v>
      </c>
      <c r="AJ2743">
        <v>105.164169439411</v>
      </c>
      <c r="AK2743">
        <v>16.545011952087201</v>
      </c>
      <c r="AL2743">
        <v>89.923020119657494</v>
      </c>
      <c r="AM2743">
        <v>91.669370271051605</v>
      </c>
      <c r="AN2743">
        <v>1.00000002563956</v>
      </c>
    </row>
    <row r="2744" spans="1:40" x14ac:dyDescent="0.25">
      <c r="A2744" t="str">
        <f>"20190312154309412"</f>
        <v>20190312154309412</v>
      </c>
      <c r="B2744" t="str">
        <f>"1552376589409917"</f>
        <v>1552376589409917</v>
      </c>
      <c r="C2744" t="s">
        <v>40</v>
      </c>
      <c r="D2744">
        <v>4.3258700000000001</v>
      </c>
      <c r="E2744">
        <v>0.40936669999999997</v>
      </c>
      <c r="F2744" t="s">
        <v>43</v>
      </c>
      <c r="G2744">
        <v>-492.64389999999997</v>
      </c>
      <c r="H2744" s="1">
        <v>-1.9289490000000002E-6</v>
      </c>
      <c r="I2744">
        <v>262.44569999999999</v>
      </c>
      <c r="J2744">
        <v>-484.44420000000002</v>
      </c>
      <c r="K2744">
        <v>1.112662</v>
      </c>
      <c r="L2744">
        <v>276.99579999999997</v>
      </c>
      <c r="M2744">
        <v>-0.70213219999999898</v>
      </c>
      <c r="N2744">
        <v>0</v>
      </c>
      <c r="O2744">
        <v>-0.71185520000000002</v>
      </c>
      <c r="P2744">
        <v>-0.6811625</v>
      </c>
      <c r="Q2744">
        <v>-1.5222690000000001E-2</v>
      </c>
      <c r="R2744">
        <v>-0.73197409999999996</v>
      </c>
      <c r="S2744">
        <v>-1.5162960000000001</v>
      </c>
      <c r="T2744">
        <v>-0.20473730000000001</v>
      </c>
      <c r="U2744">
        <v>-2.68573</v>
      </c>
      <c r="V2744">
        <v>-2.9063229999999999E-2</v>
      </c>
      <c r="W2744">
        <v>1.14185E-3</v>
      </c>
      <c r="X2744">
        <v>0.99957689999999999</v>
      </c>
      <c r="Y2744">
        <v>-0.26202530000000002</v>
      </c>
      <c r="Z2744">
        <v>4.097551E-2</v>
      </c>
      <c r="AA2744">
        <v>0.96419069999999996</v>
      </c>
      <c r="AB2744">
        <v>13</v>
      </c>
      <c r="AC2744">
        <v>-8.1996999999999503</v>
      </c>
      <c r="AD2744">
        <v>-1.1126639289489999</v>
      </c>
      <c r="AE2744">
        <v>-14.550099999999899</v>
      </c>
      <c r="AF2744">
        <v>-4.3603390344308899</v>
      </c>
      <c r="AG2744">
        <v>-1.1126639289489999</v>
      </c>
      <c r="AH2744">
        <v>16.0458181055258</v>
      </c>
      <c r="AI2744">
        <v>93.828310495845002</v>
      </c>
      <c r="AJ2744">
        <v>105.20261612060401</v>
      </c>
      <c r="AK2744">
        <v>16.664898925273601</v>
      </c>
      <c r="AL2744">
        <v>89.934576798447196</v>
      </c>
      <c r="AM2744">
        <v>91.665436055872405</v>
      </c>
      <c r="AN2744">
        <v>0.99999997708653199</v>
      </c>
    </row>
    <row r="2745" spans="1:40" x14ac:dyDescent="0.25">
      <c r="A2745" t="str">
        <f>"20190312154309425"</f>
        <v>20190312154309425</v>
      </c>
      <c r="B2745" t="str">
        <f>"1552376589420653"</f>
        <v>1552376589420653</v>
      </c>
      <c r="C2745" t="s">
        <v>40</v>
      </c>
      <c r="D2745">
        <v>4.3239260000000002</v>
      </c>
      <c r="E2745">
        <v>0.4092536</v>
      </c>
      <c r="F2745" t="s">
        <v>43</v>
      </c>
      <c r="G2745">
        <v>-492.67829999999998</v>
      </c>
      <c r="H2745" s="1">
        <v>-1.8767749999999999E-6</v>
      </c>
      <c r="I2745">
        <v>262.30279999999999</v>
      </c>
      <c r="J2745">
        <v>-484.4914</v>
      </c>
      <c r="K2745">
        <v>1.112725</v>
      </c>
      <c r="L2745">
        <v>276.94279999999998</v>
      </c>
      <c r="M2745">
        <v>-0.6999611</v>
      </c>
      <c r="N2745">
        <v>0</v>
      </c>
      <c r="O2745">
        <v>-0.71399489999999999</v>
      </c>
      <c r="P2745">
        <v>-0.6790503</v>
      </c>
      <c r="Q2745">
        <v>-1.5065520000000001E-2</v>
      </c>
      <c r="R2745">
        <v>-0.73393730000000001</v>
      </c>
      <c r="S2745">
        <v>-1.5080260000000001</v>
      </c>
      <c r="T2745">
        <v>-0.20377890000000001</v>
      </c>
      <c r="U2745">
        <v>-2.6909480000000001</v>
      </c>
      <c r="V2745">
        <v>-2.8898790000000001E-2</v>
      </c>
      <c r="W2745">
        <v>1.1032259999999999E-3</v>
      </c>
      <c r="X2745">
        <v>0.99958179999999996</v>
      </c>
      <c r="Y2745">
        <v>-0.26213340000000002</v>
      </c>
      <c r="Z2745">
        <v>4.0935140000000002E-2</v>
      </c>
      <c r="AA2745">
        <v>0.96416310000000005</v>
      </c>
      <c r="AB2745">
        <v>13</v>
      </c>
      <c r="AC2745">
        <v>-8.1868999999999801</v>
      </c>
      <c r="AD2745">
        <v>-1.112726876775</v>
      </c>
      <c r="AE2745">
        <v>-14.639999999999899</v>
      </c>
      <c r="AF2745">
        <v>-4.3833209549439598</v>
      </c>
      <c r="AG2745">
        <v>-1.112726876775</v>
      </c>
      <c r="AH2745">
        <v>16.114631791673101</v>
      </c>
      <c r="AI2745">
        <v>93.811970234538407</v>
      </c>
      <c r="AJ2745">
        <v>105.21679385938801</v>
      </c>
      <c r="AK2745">
        <v>16.737174835603199</v>
      </c>
      <c r="AL2745">
        <v>89.936789797702403</v>
      </c>
      <c r="AM2745">
        <v>91.656010153219</v>
      </c>
      <c r="AN2745">
        <v>1.0000000660311501</v>
      </c>
    </row>
    <row r="2746" spans="1:40" x14ac:dyDescent="0.25">
      <c r="A2746" t="str">
        <f>"20190312154309438"</f>
        <v>20190312154309438</v>
      </c>
      <c r="B2746" t="str">
        <f>"1552376589430412"</f>
        <v>1552376589430412</v>
      </c>
      <c r="C2746" t="s">
        <v>40</v>
      </c>
      <c r="D2746">
        <v>4.2934749999999999</v>
      </c>
      <c r="E2746">
        <v>0.40916989999999998</v>
      </c>
      <c r="F2746" t="s">
        <v>43</v>
      </c>
      <c r="G2746">
        <v>-492.69920000000002</v>
      </c>
      <c r="H2746" s="1">
        <v>-1.834133E-6</v>
      </c>
      <c r="I2746">
        <v>262.19049999999999</v>
      </c>
      <c r="J2746">
        <v>-484.53769999999997</v>
      </c>
      <c r="K2746">
        <v>1.11277</v>
      </c>
      <c r="L2746">
        <v>276.89030000000002</v>
      </c>
      <c r="M2746">
        <v>-0.69778669999999998</v>
      </c>
      <c r="N2746">
        <v>0</v>
      </c>
      <c r="O2746">
        <v>-0.71612410000000004</v>
      </c>
      <c r="P2746">
        <v>-0.67713639999999997</v>
      </c>
      <c r="Q2746">
        <v>-1.508608E-2</v>
      </c>
      <c r="R2746">
        <v>-0.735703199999999</v>
      </c>
      <c r="S2746">
        <v>-1.499817</v>
      </c>
      <c r="T2746">
        <v>-0.2033298</v>
      </c>
      <c r="U2746">
        <v>-2.6957089999999999</v>
      </c>
      <c r="V2746">
        <v>-2.8458379999999998E-2</v>
      </c>
      <c r="W2746">
        <v>8.9866320000000003E-4</v>
      </c>
      <c r="X2746">
        <v>0.9995946</v>
      </c>
      <c r="Y2746">
        <v>-0.2621619</v>
      </c>
      <c r="Z2746">
        <v>4.1001460000000003E-2</v>
      </c>
      <c r="AA2746">
        <v>0.96415249999999997</v>
      </c>
      <c r="AB2746">
        <v>13</v>
      </c>
      <c r="AC2746">
        <v>-8.1615000000000393</v>
      </c>
      <c r="AD2746">
        <v>-1.112771834133</v>
      </c>
      <c r="AE2746">
        <v>-14.6998</v>
      </c>
      <c r="AF2746">
        <v>-4.3940051551455204</v>
      </c>
      <c r="AG2746">
        <v>-1.112771834133</v>
      </c>
      <c r="AH2746">
        <v>16.1532218368725</v>
      </c>
      <c r="AI2746">
        <v>93.803032248987606</v>
      </c>
      <c r="AJ2746">
        <v>105.21741267677</v>
      </c>
      <c r="AK2746">
        <v>16.777130808618601</v>
      </c>
      <c r="AL2746">
        <v>89.948510385827404</v>
      </c>
      <c r="AM2746">
        <v>91.630765853644206</v>
      </c>
      <c r="AN2746">
        <v>1.00000002566846</v>
      </c>
    </row>
    <row r="2747" spans="1:40" x14ac:dyDescent="0.25">
      <c r="A2747" t="str">
        <f>"20190312154309449"</f>
        <v>20190312154309449</v>
      </c>
      <c r="B2747" t="str">
        <f>"1552376589440173"</f>
        <v>1552376589440173</v>
      </c>
      <c r="C2747" t="s">
        <v>40</v>
      </c>
      <c r="D2747">
        <v>4.3262080000000003</v>
      </c>
      <c r="E2747">
        <v>0.4090955</v>
      </c>
      <c r="F2747" t="s">
        <v>43</v>
      </c>
      <c r="G2747">
        <v>-492.71899999999999</v>
      </c>
      <c r="H2747" s="1">
        <v>-1.794709E-6</v>
      </c>
      <c r="I2747">
        <v>262.08620000000002</v>
      </c>
      <c r="J2747">
        <v>-484.58539999999999</v>
      </c>
      <c r="K2747">
        <v>1.112797</v>
      </c>
      <c r="L2747">
        <v>276.83589999999998</v>
      </c>
      <c r="M2747">
        <v>-0.69552269999999905</v>
      </c>
      <c r="N2747">
        <v>0</v>
      </c>
      <c r="O2747">
        <v>-0.71832719999999906</v>
      </c>
      <c r="P2747">
        <v>-0.67490309999999998</v>
      </c>
      <c r="Q2747">
        <v>-1.4985490000000001E-2</v>
      </c>
      <c r="R2747">
        <v>-0.73775419999999903</v>
      </c>
      <c r="S2747">
        <v>-1.492218</v>
      </c>
      <c r="T2747">
        <v>-0.20296310000000001</v>
      </c>
      <c r="U2747">
        <v>-2.7001650000000001</v>
      </c>
      <c r="V2747">
        <v>-2.8331599999999998E-2</v>
      </c>
      <c r="W2747">
        <v>8.1283240000000001E-4</v>
      </c>
      <c r="X2747">
        <v>0.99959830000000005</v>
      </c>
      <c r="Y2747">
        <v>-0.26186609999999999</v>
      </c>
      <c r="Z2747">
        <v>4.1096389999999997E-2</v>
      </c>
      <c r="AA2747">
        <v>0.9642288</v>
      </c>
      <c r="AB2747">
        <v>13</v>
      </c>
      <c r="AC2747">
        <v>-8.1335999999999995</v>
      </c>
      <c r="AD2747">
        <v>-1.1127987947089999</v>
      </c>
      <c r="AE2747">
        <v>-14.749699999999899</v>
      </c>
      <c r="AF2747">
        <v>-4.3975323143890996</v>
      </c>
      <c r="AG2747">
        <v>-1.1127987947089999</v>
      </c>
      <c r="AH2747">
        <v>16.1836425855494</v>
      </c>
      <c r="AI2747">
        <v>93.796277344976801</v>
      </c>
      <c r="AJ2747">
        <v>105.20176037464999</v>
      </c>
      <c r="AK2747">
        <v>16.807346576732701</v>
      </c>
      <c r="AL2747">
        <v>89.953428131266406</v>
      </c>
      <c r="AM2747">
        <v>91.623498801710895</v>
      </c>
      <c r="AN2747">
        <v>1.0000000508089699</v>
      </c>
    </row>
    <row r="2748" spans="1:40" x14ac:dyDescent="0.25">
      <c r="A2748" t="str">
        <f>"20190312154309462"</f>
        <v>20190312154309462</v>
      </c>
      <c r="B2748" t="str">
        <f>"1552376589449933"</f>
        <v>1552376589449933</v>
      </c>
      <c r="C2748" t="s">
        <v>40</v>
      </c>
      <c r="D2748">
        <v>4.2929950000000003</v>
      </c>
      <c r="E2748">
        <v>0.40911579999999997</v>
      </c>
      <c r="F2748" t="s">
        <v>43</v>
      </c>
      <c r="G2748">
        <v>-492.7509</v>
      </c>
      <c r="H2748" s="1">
        <v>-1.7419330000000001E-6</v>
      </c>
      <c r="I2748">
        <v>261.94349999999997</v>
      </c>
      <c r="J2748">
        <v>-484.6336</v>
      </c>
      <c r="K2748">
        <v>1.112808</v>
      </c>
      <c r="L2748">
        <v>276.78050000000002</v>
      </c>
      <c r="M2748">
        <v>-0.69319240000000004</v>
      </c>
      <c r="N2748">
        <v>0</v>
      </c>
      <c r="O2748">
        <v>-0.72057990000000005</v>
      </c>
      <c r="P2748">
        <v>-0.67269129999999999</v>
      </c>
      <c r="Q2748">
        <v>-1.493774E-2</v>
      </c>
      <c r="R2748">
        <v>-0.7397726</v>
      </c>
      <c r="S2748">
        <v>-1.4833369999999999</v>
      </c>
      <c r="T2748">
        <v>-0.20215269999999999</v>
      </c>
      <c r="U2748">
        <v>-2.7053829999999999</v>
      </c>
      <c r="V2748">
        <v>-2.808422E-2</v>
      </c>
      <c r="W2748">
        <v>6.8885479999999998E-4</v>
      </c>
      <c r="X2748">
        <v>0.99960530000000003</v>
      </c>
      <c r="Y2748">
        <v>-0.26195370000000001</v>
      </c>
      <c r="Z2748">
        <v>4.1094350000000002E-2</v>
      </c>
      <c r="AA2748">
        <v>0.96420510000000004</v>
      </c>
      <c r="AB2748">
        <v>13</v>
      </c>
      <c r="AC2748">
        <v>-8.1173000000000002</v>
      </c>
      <c r="AD2748">
        <v>-1.1128097419329901</v>
      </c>
      <c r="AE2748">
        <v>-14.837</v>
      </c>
      <c r="AF2748">
        <v>-4.4171605971416996</v>
      </c>
      <c r="AG2748">
        <v>-1.1128097419329901</v>
      </c>
      <c r="AH2748">
        <v>16.249772961263101</v>
      </c>
      <c r="AI2748">
        <v>93.780812532636304</v>
      </c>
      <c r="AJ2748">
        <v>105.207207158421</v>
      </c>
      <c r="AK2748">
        <v>16.876159946957099</v>
      </c>
      <c r="AL2748">
        <v>89.9605315232279</v>
      </c>
      <c r="AM2748">
        <v>91.609319294633906</v>
      </c>
      <c r="AN2748">
        <v>0.99999997686101605</v>
      </c>
    </row>
    <row r="2749" spans="1:40" x14ac:dyDescent="0.25">
      <c r="A2749" t="str">
        <f>"20190312154309477"</f>
        <v>20190312154309477</v>
      </c>
      <c r="B2749" t="str">
        <f>"1552376589470429"</f>
        <v>1552376589470429</v>
      </c>
      <c r="C2749" t="s">
        <v>40</v>
      </c>
      <c r="D2749">
        <v>4.3010919999999997</v>
      </c>
      <c r="E2749">
        <v>0.40918700000000002</v>
      </c>
      <c r="F2749" t="s">
        <v>43</v>
      </c>
      <c r="G2749">
        <v>-492.7543</v>
      </c>
      <c r="H2749" s="1">
        <v>-1.710791E-6</v>
      </c>
      <c r="I2749">
        <v>261.86869999999999</v>
      </c>
      <c r="J2749">
        <v>-484.68950000000001</v>
      </c>
      <c r="K2749">
        <v>1.1128049999999901</v>
      </c>
      <c r="L2749">
        <v>276.71589999999998</v>
      </c>
      <c r="M2749">
        <v>-0.69045909999999999</v>
      </c>
      <c r="N2749">
        <v>0</v>
      </c>
      <c r="O2749">
        <v>-0.7232035</v>
      </c>
      <c r="P2749">
        <v>-0.67010380000000003</v>
      </c>
      <c r="Q2749">
        <v>-1.4931740000000001E-2</v>
      </c>
      <c r="R2749">
        <v>-0.74211719999999903</v>
      </c>
      <c r="S2749">
        <v>-1.475525</v>
      </c>
      <c r="T2749">
        <v>-0.20219719999999999</v>
      </c>
      <c r="U2749">
        <v>-2.709473</v>
      </c>
      <c r="V2749">
        <v>-2.77868E-2</v>
      </c>
      <c r="W2749">
        <v>5.1337889999999997E-4</v>
      </c>
      <c r="X2749">
        <v>0.9996138</v>
      </c>
      <c r="Y2749">
        <v>-0.26105620000000002</v>
      </c>
      <c r="Z2749">
        <v>4.1322060000000001E-2</v>
      </c>
      <c r="AA2749">
        <v>0.96443880000000004</v>
      </c>
      <c r="AB2749">
        <v>13</v>
      </c>
      <c r="AC2749">
        <v>-8.0647999999999893</v>
      </c>
      <c r="AD2749">
        <v>-1.11280671079099</v>
      </c>
      <c r="AE2749">
        <v>-14.8471999999999</v>
      </c>
      <c r="AF2749">
        <v>-4.4003420703828002</v>
      </c>
      <c r="AG2749">
        <v>-1.11280671079099</v>
      </c>
      <c r="AH2749">
        <v>16.237508462146199</v>
      </c>
      <c r="AI2749">
        <v>93.784441778385499</v>
      </c>
      <c r="AJ2749">
        <v>105.162889697956</v>
      </c>
      <c r="AK2749">
        <v>16.8599534450791</v>
      </c>
      <c r="AL2749">
        <v>89.970585556196397</v>
      </c>
      <c r="AM2749">
        <v>91.592271426603403</v>
      </c>
      <c r="AN2749">
        <v>1.0000000594812799</v>
      </c>
    </row>
    <row r="2750" spans="1:40" x14ac:dyDescent="0.25">
      <c r="A2750" t="str">
        <f>"20190312154309488"</f>
        <v>20190312154309488</v>
      </c>
      <c r="B2750" t="str">
        <f>"1552376589480189"</f>
        <v>1552376589480189</v>
      </c>
      <c r="C2750" t="s">
        <v>40</v>
      </c>
      <c r="D2750">
        <v>4.2617139999999996</v>
      </c>
      <c r="E2750">
        <v>0.40928940000000003</v>
      </c>
      <c r="F2750" t="s">
        <v>43</v>
      </c>
      <c r="G2750">
        <v>-492.72179999999997</v>
      </c>
      <c r="H2750" s="1">
        <v>-1.694369E-6</v>
      </c>
      <c r="I2750">
        <v>261.85059999999999</v>
      </c>
      <c r="J2750">
        <v>-484.7312</v>
      </c>
      <c r="K2750">
        <v>1.1127959999999999</v>
      </c>
      <c r="L2750">
        <v>276.66750000000002</v>
      </c>
      <c r="M2750">
        <v>-0.68840190000000001</v>
      </c>
      <c r="N2750">
        <v>0</v>
      </c>
      <c r="O2750">
        <v>-0.72516459999999905</v>
      </c>
      <c r="P2750">
        <v>-0.66819819999999996</v>
      </c>
      <c r="Q2750">
        <v>-1.496406E-2</v>
      </c>
      <c r="R2750">
        <v>-0.74383279999999996</v>
      </c>
      <c r="S2750">
        <v>-1.466553</v>
      </c>
      <c r="T2750">
        <v>-0.2031782</v>
      </c>
      <c r="U2750">
        <v>-2.7141419999999998</v>
      </c>
      <c r="V2750">
        <v>-2.7507469999999999E-2</v>
      </c>
      <c r="W2750">
        <v>3.5411520000000002E-4</v>
      </c>
      <c r="X2750">
        <v>0.99962150000000005</v>
      </c>
      <c r="Y2750">
        <v>-0.26148070000000001</v>
      </c>
      <c r="Z2750">
        <v>4.166077E-2</v>
      </c>
      <c r="AA2750">
        <v>0.96430919999999998</v>
      </c>
      <c r="AB2750">
        <v>13</v>
      </c>
      <c r="AC2750">
        <v>-7.9905999999999704</v>
      </c>
      <c r="AD2750">
        <v>-1.1127976943689999</v>
      </c>
      <c r="AE2750">
        <v>-14.8169</v>
      </c>
      <c r="AF2750">
        <v>-4.3868396933851397</v>
      </c>
      <c r="AG2750">
        <v>-1.1127976943689999</v>
      </c>
      <c r="AH2750">
        <v>16.176691660741501</v>
      </c>
      <c r="AI2750">
        <v>93.798421120243304</v>
      </c>
      <c r="AJ2750">
        <v>105.17271824865</v>
      </c>
      <c r="AK2750">
        <v>16.797858026866301</v>
      </c>
      <c r="AL2750">
        <v>89.979710692439994</v>
      </c>
      <c r="AM2750">
        <v>91.576260915578303</v>
      </c>
      <c r="AN2750">
        <v>0.99999996478281195</v>
      </c>
    </row>
    <row r="2751" spans="1:40" x14ac:dyDescent="0.25">
      <c r="A2751" t="str">
        <f>"20190312154309498"</f>
        <v>20190312154309498</v>
      </c>
      <c r="B2751" t="str">
        <f>"1552376589489949"</f>
        <v>1552376589489949</v>
      </c>
      <c r="C2751" t="s">
        <v>40</v>
      </c>
      <c r="D2751">
        <v>4.252942</v>
      </c>
      <c r="E2751">
        <v>0.40940559999999998</v>
      </c>
      <c r="F2751" t="s">
        <v>43</v>
      </c>
      <c r="G2751">
        <v>-492.72190000000001</v>
      </c>
      <c r="H2751" s="1">
        <v>-1.6698519999999901E-6</v>
      </c>
      <c r="I2751">
        <v>261.79340000000002</v>
      </c>
      <c r="J2751">
        <v>-484.7724</v>
      </c>
      <c r="K2751">
        <v>1.1127750000000001</v>
      </c>
      <c r="L2751">
        <v>276.61919999999998</v>
      </c>
      <c r="M2751">
        <v>-0.68635279999999999</v>
      </c>
      <c r="N2751">
        <v>0</v>
      </c>
      <c r="O2751">
        <v>-0.72710680000000005</v>
      </c>
      <c r="P2751">
        <v>-0.6661918</v>
      </c>
      <c r="Q2751">
        <v>-1.4758189999999999E-2</v>
      </c>
      <c r="R2751">
        <v>-0.74563459999999904</v>
      </c>
      <c r="S2751">
        <v>-1.4599299999999999</v>
      </c>
      <c r="T2751">
        <v>-0.20331189999999999</v>
      </c>
      <c r="U2751">
        <v>-2.7175600000000002</v>
      </c>
      <c r="V2751">
        <v>-2.7382110000000001E-2</v>
      </c>
      <c r="W2751">
        <v>4.5282040000000002E-4</v>
      </c>
      <c r="X2751">
        <v>0.99962490000000004</v>
      </c>
      <c r="Y2751">
        <v>-0.26108769999999998</v>
      </c>
      <c r="Z2751">
        <v>4.1844770000000003E-2</v>
      </c>
      <c r="AA2751">
        <v>0.96440769999999998</v>
      </c>
      <c r="AB2751">
        <v>13</v>
      </c>
      <c r="AC2751">
        <v>-7.9494999999999996</v>
      </c>
      <c r="AD2751">
        <v>-1.1127766698520001</v>
      </c>
      <c r="AE2751">
        <v>-14.8257999999999</v>
      </c>
      <c r="AF2751">
        <v>-4.3769600387676801</v>
      </c>
      <c r="AG2751">
        <v>-1.1127766698520001</v>
      </c>
      <c r="AH2751">
        <v>16.167273513906</v>
      </c>
      <c r="AI2751">
        <v>93.800989233655301</v>
      </c>
      <c r="AJ2751">
        <v>105.148532396185</v>
      </c>
      <c r="AK2751">
        <v>16.786208147505601</v>
      </c>
      <c r="AL2751">
        <v>89.974055300352006</v>
      </c>
      <c r="AM2751">
        <v>91.569075674935704</v>
      </c>
      <c r="AN2751">
        <v>0.99999996284718695</v>
      </c>
    </row>
    <row r="2752" spans="1:40" x14ac:dyDescent="0.25">
      <c r="A2752" t="str">
        <f>"20190312154309510"</f>
        <v>20190312154309510</v>
      </c>
      <c r="B2752" t="str">
        <f>"1552376589500684"</f>
        <v>1552376589500684</v>
      </c>
      <c r="C2752" t="s">
        <v>40</v>
      </c>
      <c r="D2752">
        <v>4.304443</v>
      </c>
      <c r="E2752">
        <v>0.4095646</v>
      </c>
      <c r="F2752" t="s">
        <v>43</v>
      </c>
      <c r="G2752">
        <v>-492.75330000000002</v>
      </c>
      <c r="H2752" s="1">
        <v>-1.627675E-6</v>
      </c>
      <c r="I2752">
        <v>261.67559999999997</v>
      </c>
      <c r="J2752">
        <v>-484.81459999999998</v>
      </c>
      <c r="K2752">
        <v>1.1127560000000001</v>
      </c>
      <c r="L2752">
        <v>276.56959999999998</v>
      </c>
      <c r="M2752">
        <v>-0.68424659999999904</v>
      </c>
      <c r="N2752">
        <v>0</v>
      </c>
      <c r="O2752">
        <v>-0.72909179999999996</v>
      </c>
      <c r="P2752">
        <v>-0.66415190000000002</v>
      </c>
      <c r="Q2752">
        <v>-1.4815200000000001E-2</v>
      </c>
      <c r="R2752">
        <v>-0.74745099999999998</v>
      </c>
      <c r="S2752">
        <v>-1.453217</v>
      </c>
      <c r="T2752">
        <v>-0.20262169999999999</v>
      </c>
      <c r="U2752">
        <v>-2.7210390000000002</v>
      </c>
      <c r="V2752">
        <v>-2.7218139999999998E-2</v>
      </c>
      <c r="W2752">
        <v>2.8926530000000002E-4</v>
      </c>
      <c r="X2752">
        <v>0.99962949999999995</v>
      </c>
      <c r="Y2752">
        <v>-0.26065640000000001</v>
      </c>
      <c r="Z2752">
        <v>4.18631E-2</v>
      </c>
      <c r="AA2752">
        <v>0.96452360000000004</v>
      </c>
      <c r="AB2752">
        <v>13</v>
      </c>
      <c r="AC2752">
        <v>-7.9387000000000398</v>
      </c>
      <c r="AD2752">
        <v>-1.11275762767499</v>
      </c>
      <c r="AE2752">
        <v>-14.894</v>
      </c>
      <c r="AF2752">
        <v>-4.3845787845454902</v>
      </c>
      <c r="AG2752">
        <v>-1.11275762767499</v>
      </c>
      <c r="AH2752">
        <v>16.222492340983901</v>
      </c>
      <c r="AI2752">
        <v>93.788454587694005</v>
      </c>
      <c r="AJ2752">
        <v>105.124406872916</v>
      </c>
      <c r="AK2752">
        <v>16.841378162404599</v>
      </c>
      <c r="AL2752">
        <v>89.9834263193178</v>
      </c>
      <c r="AM2752">
        <v>91.559677191587198</v>
      </c>
      <c r="AN2752">
        <v>1.0000000240448601</v>
      </c>
    </row>
    <row r="2753" spans="1:40" x14ac:dyDescent="0.25">
      <c r="A2753" t="str">
        <f>"20190312154309521"</f>
        <v>20190312154309521</v>
      </c>
      <c r="B2753" t="str">
        <f>"1552376589510445"</f>
        <v>1552376589510445</v>
      </c>
      <c r="C2753" t="s">
        <v>40</v>
      </c>
      <c r="D2753">
        <v>4.3062769999999997</v>
      </c>
      <c r="E2753">
        <v>0.4097442</v>
      </c>
      <c r="F2753" t="s">
        <v>43</v>
      </c>
      <c r="G2753">
        <v>-492.74529999999999</v>
      </c>
      <c r="H2753" s="1">
        <v>-1.6088059999999999E-6</v>
      </c>
      <c r="I2753">
        <v>261.63659999999999</v>
      </c>
      <c r="J2753">
        <v>-484.8546</v>
      </c>
      <c r="K2753">
        <v>1.1127370000000001</v>
      </c>
      <c r="L2753">
        <v>276.52229999999997</v>
      </c>
      <c r="M2753">
        <v>-0.68224169999999995</v>
      </c>
      <c r="N2753">
        <v>0</v>
      </c>
      <c r="O2753">
        <v>-0.73096989999999995</v>
      </c>
      <c r="P2753">
        <v>-0.66225819999999902</v>
      </c>
      <c r="Q2753">
        <v>-1.476589E-2</v>
      </c>
      <c r="R2753">
        <v>-0.74913039999999997</v>
      </c>
      <c r="S2753">
        <v>-1.446747</v>
      </c>
      <c r="T2753">
        <v>-0.20299510000000001</v>
      </c>
      <c r="U2753">
        <v>-2.7241520000000001</v>
      </c>
      <c r="V2753">
        <v>-2.700174E-2</v>
      </c>
      <c r="W2753">
        <v>2.4778050000000002E-4</v>
      </c>
      <c r="X2753">
        <v>0.9996353</v>
      </c>
      <c r="Y2753">
        <v>-0.26025160000000003</v>
      </c>
      <c r="Z2753">
        <v>4.2094220000000002E-2</v>
      </c>
      <c r="AA2753">
        <v>0.96462289999999995</v>
      </c>
      <c r="AB2753">
        <v>13</v>
      </c>
      <c r="AC2753">
        <v>-7.8906999999999803</v>
      </c>
      <c r="AD2753">
        <v>-1.1127386088060001</v>
      </c>
      <c r="AE2753">
        <v>-14.8856999999999</v>
      </c>
      <c r="AF2753">
        <v>-4.3692248972218799</v>
      </c>
      <c r="AG2753">
        <v>-1.1127386088060001</v>
      </c>
      <c r="AH2753">
        <v>16.195580265557702</v>
      </c>
      <c r="AI2753">
        <v>93.795141900657796</v>
      </c>
      <c r="AJ2753">
        <v>105.09776405142</v>
      </c>
      <c r="AK2753">
        <v>16.811458400512301</v>
      </c>
      <c r="AL2753">
        <v>89.985803222166595</v>
      </c>
      <c r="AM2753">
        <v>91.547273932257397</v>
      </c>
      <c r="AN2753">
        <v>0.999999944182145</v>
      </c>
    </row>
    <row r="2754" spans="1:40" x14ac:dyDescent="0.25">
      <c r="A2754" t="str">
        <f>"20190312154309533"</f>
        <v>20190312154309533</v>
      </c>
      <c r="B2754" t="str">
        <f>"1552376589529965"</f>
        <v>1552376589529965</v>
      </c>
      <c r="C2754" t="s">
        <v>40</v>
      </c>
      <c r="D2754">
        <v>4.284389</v>
      </c>
      <c r="E2754">
        <v>0.41001300000000002</v>
      </c>
      <c r="F2754" t="s">
        <v>43</v>
      </c>
      <c r="G2754">
        <v>-492.7527</v>
      </c>
      <c r="H2754" s="1">
        <v>-1.5842969999999999E-6</v>
      </c>
      <c r="I2754">
        <v>261.57479999999998</v>
      </c>
      <c r="J2754">
        <v>-484.899</v>
      </c>
      <c r="K2754">
        <v>1.1127209999999901</v>
      </c>
      <c r="L2754">
        <v>276.46949999999998</v>
      </c>
      <c r="M2754">
        <v>-0.68000680000000002</v>
      </c>
      <c r="N2754">
        <v>0</v>
      </c>
      <c r="O2754">
        <v>-0.73305149999999997</v>
      </c>
      <c r="P2754">
        <v>-0.66012009999999999</v>
      </c>
      <c r="Q2754">
        <v>-1.4673230000000001E-2</v>
      </c>
      <c r="R2754">
        <v>-0.75101669999999998</v>
      </c>
      <c r="S2754">
        <v>-1.440887</v>
      </c>
      <c r="T2754">
        <v>-0.2029995</v>
      </c>
      <c r="U2754">
        <v>-2.7268979999999998</v>
      </c>
      <c r="V2754">
        <v>-2.6798679999999998E-2</v>
      </c>
      <c r="W2754">
        <v>2.4396579999999999E-4</v>
      </c>
      <c r="X2754">
        <v>0.9996408</v>
      </c>
      <c r="Y2754">
        <v>-0.25932690000000003</v>
      </c>
      <c r="Z2754">
        <v>4.2277219999999997E-2</v>
      </c>
      <c r="AA2754">
        <v>0.96486380000000005</v>
      </c>
      <c r="AB2754">
        <v>13</v>
      </c>
      <c r="AC2754">
        <v>-7.8536999999999999</v>
      </c>
      <c r="AD2754">
        <v>-1.1127225842970001</v>
      </c>
      <c r="AE2754">
        <v>-14.8947</v>
      </c>
      <c r="AF2754">
        <v>-4.3528171057889198</v>
      </c>
      <c r="AG2754">
        <v>-1.1127225842970001</v>
      </c>
      <c r="AH2754">
        <v>16.190290255229499</v>
      </c>
      <c r="AI2754">
        <v>93.797203356374297</v>
      </c>
      <c r="AJ2754">
        <v>105.04833424135001</v>
      </c>
      <c r="AK2754">
        <v>16.802103048566</v>
      </c>
      <c r="AL2754">
        <v>89.986021788880805</v>
      </c>
      <c r="AM2754">
        <v>91.535635183714206</v>
      </c>
      <c r="AN2754">
        <v>0.999999978896846</v>
      </c>
    </row>
    <row r="2755" spans="1:40" x14ac:dyDescent="0.25">
      <c r="A2755" t="str">
        <f>"20190312154309544"</f>
        <v>20190312154309544</v>
      </c>
      <c r="B2755" t="str">
        <f>"1552376589540700"</f>
        <v>1552376589540700</v>
      </c>
      <c r="C2755" t="s">
        <v>40</v>
      </c>
      <c r="D2755">
        <v>4.2715719999999999</v>
      </c>
      <c r="E2755">
        <v>0.41017360000000003</v>
      </c>
      <c r="F2755" t="s">
        <v>43</v>
      </c>
      <c r="G2755">
        <v>-492.82279999999997</v>
      </c>
      <c r="H2755" s="1">
        <v>-1.5256930000000001E-6</v>
      </c>
      <c r="I2755">
        <v>261.39479999999998</v>
      </c>
      <c r="J2755">
        <v>-484.93819999999999</v>
      </c>
      <c r="K2755">
        <v>1.112706</v>
      </c>
      <c r="L2755">
        <v>276.42259999999999</v>
      </c>
      <c r="M2755">
        <v>-0.67802130000000005</v>
      </c>
      <c r="N2755">
        <v>0</v>
      </c>
      <c r="O2755">
        <v>-0.73488999999999904</v>
      </c>
      <c r="P2755">
        <v>-0.65816209999999997</v>
      </c>
      <c r="Q2755">
        <v>-1.469585E-2</v>
      </c>
      <c r="R2755">
        <v>-0.75273310000000004</v>
      </c>
      <c r="S2755">
        <v>-1.4347529999999999</v>
      </c>
      <c r="T2755">
        <v>-0.2014785</v>
      </c>
      <c r="U2755">
        <v>-2.7295530000000001</v>
      </c>
      <c r="V2755">
        <v>-2.66962E-2</v>
      </c>
      <c r="W2755">
        <v>1.4049209999999999E-4</v>
      </c>
      <c r="X2755">
        <v>0.99964359999999997</v>
      </c>
      <c r="Y2755">
        <v>-0.25879279999999999</v>
      </c>
      <c r="Z2755">
        <v>4.2117750000000002E-2</v>
      </c>
      <c r="AA2755">
        <v>0.96501420000000004</v>
      </c>
      <c r="AB2755">
        <v>13</v>
      </c>
      <c r="AC2755">
        <v>-7.8845999999999696</v>
      </c>
      <c r="AD2755">
        <v>-1.1127075256929999</v>
      </c>
      <c r="AE2755">
        <v>-15.027799999999999</v>
      </c>
      <c r="AF2755">
        <v>-4.3765319828270002</v>
      </c>
      <c r="AG2755">
        <v>-1.1127075256929999</v>
      </c>
      <c r="AH2755">
        <v>16.321375514374001</v>
      </c>
      <c r="AI2755">
        <v>93.767407852086095</v>
      </c>
      <c r="AJ2755">
        <v>105.01058724924999</v>
      </c>
      <c r="AK2755">
        <v>16.934563735616202</v>
      </c>
      <c r="AL2755">
        <v>89.9919503957248</v>
      </c>
      <c r="AM2755">
        <v>91.529761321802994</v>
      </c>
      <c r="AN2755">
        <v>1.00000001692671</v>
      </c>
    </row>
    <row r="2756" spans="1:40" x14ac:dyDescent="0.25">
      <c r="A2756" t="str">
        <f>"20190312154309567"</f>
        <v>20190312154309567</v>
      </c>
      <c r="B2756" t="str">
        <f>"1552376589560237"</f>
        <v>1552376589560237</v>
      </c>
      <c r="C2756" t="s">
        <v>40</v>
      </c>
      <c r="D2756">
        <v>4.3062269999999998</v>
      </c>
      <c r="E2756">
        <v>0.4105241</v>
      </c>
      <c r="F2756" t="s">
        <v>43</v>
      </c>
      <c r="G2756">
        <v>-492.84629999999999</v>
      </c>
      <c r="H2756" s="1">
        <v>-1.4893019999999999E-6</v>
      </c>
      <c r="I2756">
        <v>261.29539999999997</v>
      </c>
      <c r="J2756">
        <v>-485.0204</v>
      </c>
      <c r="K2756">
        <v>1.1126849999999999</v>
      </c>
      <c r="L2756">
        <v>276.32350000000002</v>
      </c>
      <c r="M2756">
        <v>-0.67382449999999905</v>
      </c>
      <c r="N2756">
        <v>0</v>
      </c>
      <c r="O2756">
        <v>-0.73874319999999905</v>
      </c>
      <c r="P2756">
        <v>-0.65410809999999997</v>
      </c>
      <c r="Q2756">
        <v>-1.404274E-2</v>
      </c>
      <c r="R2756">
        <v>-0.75627089999999997</v>
      </c>
      <c r="S2756">
        <v>-1.4284969999999999</v>
      </c>
      <c r="T2756">
        <v>-0.20099629999999999</v>
      </c>
      <c r="U2756">
        <v>-2.7325439999999999</v>
      </c>
      <c r="V2756">
        <v>-2.6382070000000001E-2</v>
      </c>
      <c r="W2756">
        <v>6.3687960000000001E-4</v>
      </c>
      <c r="X2756">
        <v>0.99965170000000003</v>
      </c>
      <c r="Y2756">
        <v>-0.25546079999999999</v>
      </c>
      <c r="Z2756">
        <v>4.238405E-2</v>
      </c>
      <c r="AA2756">
        <v>0.96588989999999997</v>
      </c>
      <c r="AB2756">
        <v>13</v>
      </c>
      <c r="AC2756">
        <v>-7.8258999999999901</v>
      </c>
      <c r="AD2756">
        <v>-1.1126864893019901</v>
      </c>
      <c r="AE2756">
        <v>-15.0281</v>
      </c>
      <c r="AF2756">
        <v>-4.3267881671135298</v>
      </c>
      <c r="AG2756">
        <v>-1.1126864893019901</v>
      </c>
      <c r="AH2756">
        <v>16.306660850581199</v>
      </c>
      <c r="AI2756">
        <v>93.773357104777403</v>
      </c>
      <c r="AJ2756">
        <v>104.86035816778001</v>
      </c>
      <c r="AK2756">
        <v>16.907582771124499</v>
      </c>
      <c r="AL2756">
        <v>89.963509483310403</v>
      </c>
      <c r="AM2756">
        <v>91.511757019236398</v>
      </c>
      <c r="AN2756">
        <v>0.99999997027299903</v>
      </c>
    </row>
    <row r="2757" spans="1:40" x14ac:dyDescent="0.25">
      <c r="A2757" t="str">
        <f>"20190312154309577"</f>
        <v>20190312154309577</v>
      </c>
      <c r="B2757" t="str">
        <f>"1552376589569981"</f>
        <v>1552376589569981</v>
      </c>
      <c r="C2757" t="s">
        <v>40</v>
      </c>
      <c r="D2757">
        <v>4.2437060000000004</v>
      </c>
      <c r="E2757">
        <v>0.41072979999999998</v>
      </c>
      <c r="F2757" t="s">
        <v>43</v>
      </c>
      <c r="G2757">
        <v>-492.97469999999998</v>
      </c>
      <c r="H2757" s="1">
        <v>-1.3706390000000001E-6</v>
      </c>
      <c r="I2757">
        <v>260.9391</v>
      </c>
      <c r="J2757">
        <v>-485.05950000000001</v>
      </c>
      <c r="K2757">
        <v>1.1126860000000001</v>
      </c>
      <c r="L2757">
        <v>276.27589999999998</v>
      </c>
      <c r="M2757">
        <v>-0.67181150000000001</v>
      </c>
      <c r="N2757">
        <v>0</v>
      </c>
      <c r="O2757">
        <v>-0.740575599999999</v>
      </c>
      <c r="P2757">
        <v>-0.65222440000000004</v>
      </c>
      <c r="Q2757">
        <v>-1.3444609999999999E-2</v>
      </c>
      <c r="R2757">
        <v>-0.757907</v>
      </c>
      <c r="S2757">
        <v>-1.415924</v>
      </c>
      <c r="T2757">
        <v>-0.19806799999999999</v>
      </c>
      <c r="U2757">
        <v>-2.738556</v>
      </c>
      <c r="V2757">
        <v>-2.6158020000000001E-2</v>
      </c>
      <c r="W2757">
        <v>1.1690299999999999E-3</v>
      </c>
      <c r="X2757">
        <v>0.99965720000000002</v>
      </c>
      <c r="Y2757">
        <v>-0.257177299999999</v>
      </c>
      <c r="Z2757">
        <v>4.1870119999999997E-2</v>
      </c>
      <c r="AA2757">
        <v>0.96545669999999995</v>
      </c>
      <c r="AB2757">
        <v>13</v>
      </c>
      <c r="AC2757">
        <v>-7.9151999999999703</v>
      </c>
      <c r="AD2757">
        <v>-1.1126873706389999</v>
      </c>
      <c r="AE2757">
        <v>-15.336799999999901</v>
      </c>
      <c r="AF2757">
        <v>-4.4237297993469404</v>
      </c>
      <c r="AG2757">
        <v>-1.1126873706389999</v>
      </c>
      <c r="AH2757">
        <v>16.608360738871699</v>
      </c>
      <c r="AI2757">
        <v>93.704074861048596</v>
      </c>
      <c r="AJ2757">
        <v>104.91477604884101</v>
      </c>
      <c r="AK2757">
        <v>17.223388312260301</v>
      </c>
      <c r="AL2757">
        <v>89.933019503844406</v>
      </c>
      <c r="AM2757">
        <v>91.498916046250301</v>
      </c>
      <c r="AN2757">
        <v>1.0000000630766399</v>
      </c>
    </row>
    <row r="2758" spans="1:40" x14ac:dyDescent="0.25">
      <c r="A2758" t="str">
        <f>"20190312154309589"</f>
        <v>20190312154309589</v>
      </c>
      <c r="B2758" t="str">
        <f>"1552376589580717"</f>
        <v>1552376589580717</v>
      </c>
      <c r="C2758" t="s">
        <v>40</v>
      </c>
      <c r="D2758">
        <v>4.2029209999999999</v>
      </c>
      <c r="E2758">
        <v>0.41077920000000001</v>
      </c>
      <c r="F2758" t="s">
        <v>43</v>
      </c>
      <c r="G2758">
        <v>-493.0675</v>
      </c>
      <c r="H2758" s="1">
        <v>-1.2967509999999999E-6</v>
      </c>
      <c r="I2758">
        <v>260.70940000000002</v>
      </c>
      <c r="J2758">
        <v>-485.101</v>
      </c>
      <c r="K2758">
        <v>1.1126860000000001</v>
      </c>
      <c r="L2758">
        <v>276.22539999999998</v>
      </c>
      <c r="M2758">
        <v>-0.66967349999999903</v>
      </c>
      <c r="N2758">
        <v>0</v>
      </c>
      <c r="O2758">
        <v>-0.74251089999999997</v>
      </c>
      <c r="P2758">
        <v>-0.65018920000000002</v>
      </c>
      <c r="Q2758">
        <v>-1.294406E-2</v>
      </c>
      <c r="R2758">
        <v>-0.75966239999999996</v>
      </c>
      <c r="S2758">
        <v>-1.4101870000000001</v>
      </c>
      <c r="T2758">
        <v>-0.19594230000000001</v>
      </c>
      <c r="U2758">
        <v>-2.741241</v>
      </c>
      <c r="V2758">
        <v>-2.596352E-2</v>
      </c>
      <c r="W2758">
        <v>1.600567E-3</v>
      </c>
      <c r="X2758">
        <v>0.99966160000000004</v>
      </c>
      <c r="Y2758">
        <v>-0.25636429999999999</v>
      </c>
      <c r="Z2758">
        <v>4.1584049999999997E-2</v>
      </c>
      <c r="AA2758">
        <v>0.96568529999999997</v>
      </c>
      <c r="AB2758">
        <v>13</v>
      </c>
      <c r="AC2758">
        <v>-7.9664999999999901</v>
      </c>
      <c r="AD2758">
        <v>-1.112687296751</v>
      </c>
      <c r="AE2758">
        <v>-15.515999999999901</v>
      </c>
      <c r="AF2758">
        <v>-4.4577798762097203</v>
      </c>
      <c r="AG2758">
        <v>-1.112687296751</v>
      </c>
      <c r="AH2758">
        <v>16.789236588496902</v>
      </c>
      <c r="AI2758">
        <v>93.665042526917404</v>
      </c>
      <c r="AJ2758">
        <v>104.86974917085401</v>
      </c>
      <c r="AK2758">
        <v>17.406560248067802</v>
      </c>
      <c r="AL2758">
        <v>89.908294226031501</v>
      </c>
      <c r="AM2758">
        <v>91.487769221464305</v>
      </c>
      <c r="AN2758">
        <v>0.99999999035003595</v>
      </c>
    </row>
    <row r="2759" spans="1:40" x14ac:dyDescent="0.25">
      <c r="A2759" t="str">
        <f>"20190312154309599"</f>
        <v>20190312154309599</v>
      </c>
      <c r="B2759" t="str">
        <f>"1552376589590477"</f>
        <v>1552376589590477</v>
      </c>
      <c r="C2759" t="s">
        <v>40</v>
      </c>
      <c r="D2759">
        <v>4.2549849999999996</v>
      </c>
      <c r="E2759">
        <v>0.41091670000000002</v>
      </c>
      <c r="F2759" t="s">
        <v>43</v>
      </c>
      <c r="G2759">
        <v>-493.13330000000002</v>
      </c>
      <c r="H2759" s="1">
        <v>-1.2325939999999999E-6</v>
      </c>
      <c r="I2759">
        <v>260.51900000000001</v>
      </c>
      <c r="J2759">
        <v>-485.14030000000002</v>
      </c>
      <c r="K2759">
        <v>1.11269</v>
      </c>
      <c r="L2759">
        <v>276.1771</v>
      </c>
      <c r="M2759">
        <v>-0.66763319999999904</v>
      </c>
      <c r="N2759">
        <v>0</v>
      </c>
      <c r="O2759">
        <v>-0.74434719999999999</v>
      </c>
      <c r="P2759">
        <v>-0.64824380000000004</v>
      </c>
      <c r="Q2759">
        <v>-1.242039E-2</v>
      </c>
      <c r="R2759">
        <v>-0.76133189999999995</v>
      </c>
      <c r="S2759">
        <v>-1.4035340000000001</v>
      </c>
      <c r="T2759">
        <v>-0.19442609999999999</v>
      </c>
      <c r="U2759">
        <v>-2.7444760000000001</v>
      </c>
      <c r="V2759">
        <v>-2.5784749999999999E-2</v>
      </c>
      <c r="W2759">
        <v>2.065959E-3</v>
      </c>
      <c r="X2759">
        <v>0.99966540000000004</v>
      </c>
      <c r="Y2759">
        <v>-0.25602219999999998</v>
      </c>
      <c r="Z2759">
        <v>4.1405200000000003E-2</v>
      </c>
      <c r="AA2759">
        <v>0.96578370000000002</v>
      </c>
      <c r="AB2759">
        <v>13</v>
      </c>
      <c r="AC2759">
        <v>-7.9929999999999897</v>
      </c>
      <c r="AD2759">
        <v>-1.1126912325939999</v>
      </c>
      <c r="AE2759">
        <v>-15.6580999999999</v>
      </c>
      <c r="AF2759">
        <v>-4.4868066518692498</v>
      </c>
      <c r="AG2759">
        <v>-1.1126912325939999</v>
      </c>
      <c r="AH2759">
        <v>16.9254644533411</v>
      </c>
      <c r="AI2759">
        <v>93.636015319413801</v>
      </c>
      <c r="AJ2759">
        <v>104.847156795904</v>
      </c>
      <c r="AK2759">
        <v>17.545394343578099</v>
      </c>
      <c r="AL2759">
        <v>89.881629186429294</v>
      </c>
      <c r="AM2759">
        <v>91.477524233263907</v>
      </c>
      <c r="AN2759">
        <v>1.00000001673815</v>
      </c>
    </row>
    <row r="2760" spans="1:40" x14ac:dyDescent="0.25">
      <c r="A2760" t="str">
        <f>"20190312154309621"</f>
        <v>20190312154309621</v>
      </c>
      <c r="B2760" t="str">
        <f>"1552376589609997"</f>
        <v>1552376589609997</v>
      </c>
      <c r="C2760" t="s">
        <v>40</v>
      </c>
      <c r="D2760">
        <v>6.2924989999999896</v>
      </c>
      <c r="E2760">
        <v>0.41091670000000002</v>
      </c>
      <c r="F2760" t="s">
        <v>43</v>
      </c>
      <c r="G2760">
        <v>-493.17720000000003</v>
      </c>
      <c r="H2760" s="1">
        <v>-1.180349E-6</v>
      </c>
      <c r="I2760">
        <v>260.36989999999997</v>
      </c>
      <c r="J2760">
        <v>-485.21730000000002</v>
      </c>
      <c r="K2760">
        <v>1.1126940000000001</v>
      </c>
      <c r="L2760">
        <v>276.08150000000001</v>
      </c>
      <c r="M2760">
        <v>-0.66360220000000003</v>
      </c>
      <c r="N2760">
        <v>0</v>
      </c>
      <c r="O2760">
        <v>-0.74794530000000004</v>
      </c>
      <c r="P2760">
        <v>-0.64466029999999996</v>
      </c>
      <c r="Q2760">
        <v>-1.1487580000000001E-2</v>
      </c>
      <c r="R2760">
        <v>-0.76438339999999905</v>
      </c>
      <c r="S2760">
        <v>-1.3970640000000001</v>
      </c>
      <c r="T2760">
        <v>-0.19341810000000001</v>
      </c>
      <c r="U2760">
        <v>-2.7477420000000001</v>
      </c>
      <c r="V2760">
        <v>-2.5091599999999999E-2</v>
      </c>
      <c r="W2760">
        <v>2.8947000000000001E-3</v>
      </c>
      <c r="X2760">
        <v>0.99968089999999998</v>
      </c>
      <c r="Y2760">
        <v>-0.25306849999999997</v>
      </c>
      <c r="Z2760">
        <v>4.1514229999999999E-2</v>
      </c>
      <c r="AA2760">
        <v>0.96655729999999995</v>
      </c>
      <c r="AB2760">
        <v>13</v>
      </c>
      <c r="AC2760">
        <v>-7.9599000000000002</v>
      </c>
      <c r="AD2760">
        <v>-1.1126951803489999</v>
      </c>
      <c r="AE2760">
        <v>-15.711600000000001</v>
      </c>
      <c r="AF2760">
        <v>-4.4553703804611704</v>
      </c>
      <c r="AG2760">
        <v>-1.1126951803489999</v>
      </c>
      <c r="AH2760">
        <v>16.967693469598199</v>
      </c>
      <c r="AI2760">
        <v>93.629245548910802</v>
      </c>
      <c r="AJ2760">
        <v>104.712571238585</v>
      </c>
      <c r="AK2760">
        <v>17.578140899131199</v>
      </c>
      <c r="AL2760">
        <v>89.8341456645976</v>
      </c>
      <c r="AM2760">
        <v>91.437799796833801</v>
      </c>
      <c r="AN2760">
        <v>0.99999993475172699</v>
      </c>
    </row>
    <row r="2761" spans="1:40" x14ac:dyDescent="0.25">
      <c r="A2761" t="str">
        <f>"20190312154309722"</f>
        <v>20190312154309722</v>
      </c>
      <c r="B2761" t="str">
        <f>"1552376589710527"</f>
        <v>1552376589710527</v>
      </c>
      <c r="C2761" t="s">
        <v>40</v>
      </c>
      <c r="D2761">
        <v>3.724685</v>
      </c>
      <c r="E2761">
        <v>0.41091670000000002</v>
      </c>
      <c r="F2761" t="s">
        <v>43</v>
      </c>
      <c r="G2761">
        <v>-493.30590000000001</v>
      </c>
      <c r="H2761" s="1">
        <v>-1.049773E-6</v>
      </c>
      <c r="I2761">
        <v>259.98570000000001</v>
      </c>
      <c r="J2761">
        <v>-485.56720000000001</v>
      </c>
      <c r="K2761">
        <v>1.1126499999999999</v>
      </c>
      <c r="L2761">
        <v>275.6343</v>
      </c>
      <c r="M2761">
        <v>-0.64483489999999999</v>
      </c>
      <c r="N2761">
        <v>0</v>
      </c>
      <c r="O2761">
        <v>-0.76419099999999995</v>
      </c>
      <c r="P2761">
        <v>-0.62649379999999999</v>
      </c>
      <c r="Q2761">
        <v>-1.236366E-2</v>
      </c>
      <c r="R2761">
        <v>-0.77932860000000004</v>
      </c>
      <c r="S2761">
        <v>-1.3842159999999999</v>
      </c>
      <c r="T2761">
        <v>-0.1904187</v>
      </c>
      <c r="U2761">
        <v>-2.7545169999999999</v>
      </c>
      <c r="V2761">
        <v>-2.3787909999999999E-2</v>
      </c>
      <c r="W2761">
        <v>1.6782909999999999E-3</v>
      </c>
      <c r="X2761">
        <v>0.99971560000000004</v>
      </c>
      <c r="Y2761">
        <v>-0.23356940000000001</v>
      </c>
      <c r="Z2761">
        <v>4.242485E-2</v>
      </c>
      <c r="AA2761">
        <v>0.97141409999999995</v>
      </c>
      <c r="AB2761">
        <v>13</v>
      </c>
      <c r="AC2761">
        <v>-7.7386999999999899</v>
      </c>
      <c r="AD2761">
        <v>-1.112651049773</v>
      </c>
      <c r="AE2761">
        <v>-15.648599999999901</v>
      </c>
      <c r="AF2761">
        <v>-4.1604362874544796</v>
      </c>
      <c r="AG2761">
        <v>-1.112651049773</v>
      </c>
      <c r="AH2761">
        <v>16.881823068031402</v>
      </c>
      <c r="AI2761">
        <v>93.661567393914297</v>
      </c>
      <c r="AJ2761">
        <v>103.844364044204</v>
      </c>
      <c r="AK2761">
        <v>17.422490423611901</v>
      </c>
      <c r="AL2761">
        <v>89.903840961946798</v>
      </c>
      <c r="AM2761">
        <v>91.363077365545294</v>
      </c>
      <c r="AN2761">
        <v>0.99999998110310395</v>
      </c>
    </row>
    <row r="2762" spans="1:40" x14ac:dyDescent="0.25">
      <c r="A2762" t="str">
        <f>"20190312154309733"</f>
        <v>20190312154309733</v>
      </c>
      <c r="B2762" t="str">
        <f>"1552376589730045"</f>
        <v>1552376589730045</v>
      </c>
      <c r="C2762" t="s">
        <v>40</v>
      </c>
      <c r="D2762">
        <v>4.4326489999999996</v>
      </c>
      <c r="E2762">
        <v>0.54947570000000001</v>
      </c>
      <c r="F2762" t="s">
        <v>43</v>
      </c>
      <c r="G2762">
        <v>-493.1617</v>
      </c>
      <c r="H2762" s="1">
        <v>-4.8521069999999997E-6</v>
      </c>
      <c r="I2762">
        <v>259.59690000000001</v>
      </c>
      <c r="J2762">
        <v>-485.60700000000003</v>
      </c>
      <c r="K2762">
        <v>1.112635</v>
      </c>
      <c r="L2762">
        <v>275.5822</v>
      </c>
      <c r="M2762">
        <v>-0.64265649999999996</v>
      </c>
      <c r="N2762">
        <v>0</v>
      </c>
      <c r="O2762">
        <v>-0.76602419999999904</v>
      </c>
      <c r="P2762">
        <v>-0.62419460000000004</v>
      </c>
      <c r="Q2762">
        <v>-1.202163E-2</v>
      </c>
      <c r="R2762">
        <v>-0.78117639999999999</v>
      </c>
      <c r="S2762">
        <v>-1.3192140000000001</v>
      </c>
      <c r="T2762">
        <v>-0.1932769</v>
      </c>
      <c r="U2762">
        <v>-2.785828</v>
      </c>
      <c r="V2762">
        <v>-2.3891820000000001E-2</v>
      </c>
      <c r="W2762">
        <v>1.99205E-3</v>
      </c>
      <c r="X2762">
        <v>0.99971259999999995</v>
      </c>
      <c r="Y2762">
        <v>-0.25348920000000003</v>
      </c>
      <c r="Z2762">
        <v>4.2775889999999997E-2</v>
      </c>
      <c r="AA2762">
        <v>0.96639200000000003</v>
      </c>
      <c r="AB2762">
        <v>13</v>
      </c>
      <c r="AC2762">
        <v>-7.55470000000002</v>
      </c>
      <c r="AD2762">
        <v>-1.112639852107</v>
      </c>
      <c r="AE2762">
        <v>-15.985299999999899</v>
      </c>
      <c r="AF2762">
        <v>-4.46872459294788</v>
      </c>
      <c r="AG2762">
        <v>-1.112639852107</v>
      </c>
      <c r="AH2762">
        <v>17.034450512997299</v>
      </c>
      <c r="AI2762">
        <v>93.615098218119002</v>
      </c>
      <c r="AJ2762">
        <v>104.69943405002699</v>
      </c>
      <c r="AK2762">
        <v>17.645961895228801</v>
      </c>
      <c r="AL2762">
        <v>89.885863870924297</v>
      </c>
      <c r="AM2762">
        <v>91.369033385750498</v>
      </c>
      <c r="AN2762">
        <v>1.0000000349624301</v>
      </c>
    </row>
    <row r="2763" spans="1:40" x14ac:dyDescent="0.25">
      <c r="A2763" t="str">
        <f>"20190312154309744"</f>
        <v>20190312154309744</v>
      </c>
      <c r="B2763" t="str">
        <f>"1552376589739805"</f>
        <v>1552376589739805</v>
      </c>
      <c r="C2763" t="s">
        <v>40</v>
      </c>
      <c r="D2763">
        <v>4.5258820000000002</v>
      </c>
      <c r="E2763">
        <v>0.54824319999999904</v>
      </c>
      <c r="F2763" t="s">
        <v>41</v>
      </c>
      <c r="G2763">
        <v>-486.09429999999998</v>
      </c>
      <c r="H2763">
        <v>0.76874699999999996</v>
      </c>
      <c r="I2763">
        <v>275.09559999999999</v>
      </c>
      <c r="J2763">
        <v>-485.64550000000003</v>
      </c>
      <c r="K2763">
        <v>1.1126199999999999</v>
      </c>
      <c r="L2763">
        <v>275.53120000000001</v>
      </c>
      <c r="M2763">
        <v>-0.64053340000000003</v>
      </c>
      <c r="N2763">
        <v>0</v>
      </c>
      <c r="O2763">
        <v>-0.76780099999999996</v>
      </c>
      <c r="P2763">
        <v>-0.6218224</v>
      </c>
      <c r="Q2763">
        <v>-1.2203759999999999E-2</v>
      </c>
      <c r="R2763">
        <v>-0.78306319999999996</v>
      </c>
      <c r="S2763">
        <v>-2.1227109999999998</v>
      </c>
      <c r="T2763">
        <v>-1.4991840000000001</v>
      </c>
      <c r="U2763">
        <v>-2.121124</v>
      </c>
      <c r="V2763">
        <v>-2.415258E-2</v>
      </c>
      <c r="W2763">
        <v>1.783195E-3</v>
      </c>
      <c r="X2763">
        <v>0.99970669999999995</v>
      </c>
      <c r="Y2763">
        <v>2.8886519999999999E-2</v>
      </c>
      <c r="Z2763">
        <v>0.35541879999999998</v>
      </c>
      <c r="AA2763">
        <v>0.93426070000000005</v>
      </c>
      <c r="AB2763">
        <v>13</v>
      </c>
      <c r="AC2763">
        <v>-0.44879999999994802</v>
      </c>
      <c r="AD2763">
        <v>-0.34387299999999998</v>
      </c>
      <c r="AE2763">
        <v>-0.43560000000002203</v>
      </c>
      <c r="AF2763">
        <v>5.03566528623434E-2</v>
      </c>
      <c r="AG2763">
        <v>-0.34387299999999998</v>
      </c>
      <c r="AH2763">
        <v>0.47760833087589299</v>
      </c>
      <c r="AI2763">
        <v>125.60344740761001</v>
      </c>
      <c r="AJ2763">
        <v>83.981254094404505</v>
      </c>
      <c r="AK2763">
        <v>0.59067262535058696</v>
      </c>
      <c r="AL2763">
        <v>89.897830398965397</v>
      </c>
      <c r="AM2763">
        <v>91.383977668805997</v>
      </c>
      <c r="AN2763">
        <v>1.0000000064649699</v>
      </c>
    </row>
    <row r="2764" spans="1:40" x14ac:dyDescent="0.25">
      <c r="A2764" t="str">
        <f>"20190312154309757"</f>
        <v>20190312154309757</v>
      </c>
      <c r="B2764" t="str">
        <f>"1552376589750541"</f>
        <v>1552376589750541</v>
      </c>
      <c r="C2764" t="s">
        <v>40</v>
      </c>
      <c r="D2764">
        <v>4.5851410000000001</v>
      </c>
      <c r="E2764">
        <v>0.54735849999999997</v>
      </c>
      <c r="F2764" t="s">
        <v>41</v>
      </c>
      <c r="G2764">
        <v>-486.09739999999999</v>
      </c>
      <c r="H2764">
        <v>0.81280920000000001</v>
      </c>
      <c r="I2764">
        <v>275.0754</v>
      </c>
      <c r="J2764">
        <v>-485.6841</v>
      </c>
      <c r="K2764">
        <v>1.1126</v>
      </c>
      <c r="L2764">
        <v>275.47989999999999</v>
      </c>
      <c r="M2764">
        <v>-0.63840649999999999</v>
      </c>
      <c r="N2764">
        <v>0</v>
      </c>
      <c r="O2764">
        <v>-0.7695708</v>
      </c>
      <c r="P2764">
        <v>-0.61947410000000003</v>
      </c>
      <c r="Q2764">
        <v>-1.221559E-2</v>
      </c>
      <c r="R2764">
        <v>-0.78492240000000002</v>
      </c>
      <c r="S2764">
        <v>-2.1121219999999998</v>
      </c>
      <c r="T2764">
        <v>-1.4027369999999999</v>
      </c>
      <c r="U2764">
        <v>-2.1319889999999999</v>
      </c>
      <c r="V2764">
        <v>-2.438092E-2</v>
      </c>
      <c r="W2764">
        <v>1.746956E-3</v>
      </c>
      <c r="X2764">
        <v>0.99970119999999896</v>
      </c>
      <c r="Y2764">
        <v>3.3492910000000001E-2</v>
      </c>
      <c r="Z2764">
        <v>0.3372406</v>
      </c>
      <c r="AA2764">
        <v>0.94082250000000001</v>
      </c>
      <c r="AB2764">
        <v>13</v>
      </c>
      <c r="AC2764">
        <v>-0.41329999999999201</v>
      </c>
      <c r="AD2764">
        <v>-0.29979079999999902</v>
      </c>
      <c r="AE2764">
        <v>-0.40449999999998398</v>
      </c>
      <c r="AF2764">
        <v>4.7160491510714497E-2</v>
      </c>
      <c r="AG2764">
        <v>-0.29979079999999902</v>
      </c>
      <c r="AH2764">
        <v>0.45336679372225402</v>
      </c>
      <c r="AI2764">
        <v>123.33314229682399</v>
      </c>
      <c r="AJ2764">
        <v>84.061290512705796</v>
      </c>
      <c r="AK2764">
        <v>0.54556400667031602</v>
      </c>
      <c r="AL2764">
        <v>89.899906741811606</v>
      </c>
      <c r="AM2764">
        <v>91.397064402003807</v>
      </c>
      <c r="AN2764">
        <v>0.99999998519837596</v>
      </c>
    </row>
    <row r="2765" spans="1:40" x14ac:dyDescent="0.25">
      <c r="A2765" t="str">
        <f>"20190312154309767"</f>
        <v>20190312154309767</v>
      </c>
      <c r="B2765" t="str">
        <f>"1552376589760301"</f>
        <v>1552376589760301</v>
      </c>
      <c r="C2765" t="s">
        <v>40</v>
      </c>
      <c r="D2765">
        <v>5.4194370000000003</v>
      </c>
      <c r="E2765">
        <v>0.54735849999999997</v>
      </c>
      <c r="F2765" t="s">
        <v>41</v>
      </c>
      <c r="G2765">
        <v>-486.16699999999997</v>
      </c>
      <c r="H2765">
        <v>0.81134530000000005</v>
      </c>
      <c r="I2765">
        <v>274.98869999999999</v>
      </c>
      <c r="J2765">
        <v>-485.72019999999998</v>
      </c>
      <c r="K2765">
        <v>1.112582</v>
      </c>
      <c r="L2765">
        <v>275.43169999999998</v>
      </c>
      <c r="M2765">
        <v>-0.63640869999999905</v>
      </c>
      <c r="N2765">
        <v>0</v>
      </c>
      <c r="O2765">
        <v>-0.77122440000000003</v>
      </c>
      <c r="P2765">
        <v>-0.61708809999999903</v>
      </c>
      <c r="Q2765">
        <v>-1.248139E-2</v>
      </c>
      <c r="R2765">
        <v>-0.78679560000000004</v>
      </c>
      <c r="S2765">
        <v>-2.1038209999999999</v>
      </c>
      <c r="T2765">
        <v>-1.3138240000000001</v>
      </c>
      <c r="U2765">
        <v>-2.1411440000000002</v>
      </c>
      <c r="V2765">
        <v>-2.4819009999999999E-2</v>
      </c>
      <c r="W2765">
        <v>1.4575160000000001E-3</v>
      </c>
      <c r="X2765">
        <v>0.99969090000000005</v>
      </c>
      <c r="Y2765">
        <v>3.8054320000000003E-2</v>
      </c>
      <c r="Z2765">
        <v>0.31984439999999997</v>
      </c>
      <c r="AA2765">
        <v>0.94670560000000004</v>
      </c>
      <c r="AB2765">
        <v>13</v>
      </c>
      <c r="AC2765">
        <v>-0.44679999999999598</v>
      </c>
      <c r="AD2765">
        <v>-0.30123669999999902</v>
      </c>
      <c r="AE2765">
        <v>-0.44299999999998302</v>
      </c>
      <c r="AF2765">
        <v>5.0975547567020899E-2</v>
      </c>
      <c r="AG2765">
        <v>-0.30123669999999902</v>
      </c>
      <c r="AH2765">
        <v>0.50931591650892905</v>
      </c>
      <c r="AI2765">
        <v>120.47737449514599</v>
      </c>
      <c r="AJ2765">
        <v>84.2845110177892</v>
      </c>
      <c r="AK2765">
        <v>0.59392319258131199</v>
      </c>
      <c r="AL2765">
        <v>89.916490455191493</v>
      </c>
      <c r="AM2765">
        <v>91.422172064391305</v>
      </c>
      <c r="AN2765">
        <v>1.00000000157654</v>
      </c>
    </row>
    <row r="2766" spans="1:40" x14ac:dyDescent="0.25">
      <c r="A2766" t="str">
        <f>"20190312154309778"</f>
        <v>20190312154309778</v>
      </c>
      <c r="B2766" t="str">
        <f>"1552376589770061"</f>
        <v>1552376589770061</v>
      </c>
      <c r="C2766" t="s">
        <v>40</v>
      </c>
      <c r="D2766">
        <v>6.2977559999999997</v>
      </c>
      <c r="E2766">
        <v>0.53859199999999996</v>
      </c>
      <c r="F2766" t="s">
        <v>41</v>
      </c>
      <c r="G2766">
        <v>-486.16570000000002</v>
      </c>
      <c r="H2766">
        <v>0.83373989999999998</v>
      </c>
      <c r="I2766">
        <v>274.976</v>
      </c>
      <c r="J2766">
        <v>-485.7577</v>
      </c>
      <c r="K2766">
        <v>1.1125579999999999</v>
      </c>
      <c r="L2766">
        <v>275.38130000000001</v>
      </c>
      <c r="M2766">
        <v>-0.63433589999999995</v>
      </c>
      <c r="N2766">
        <v>0</v>
      </c>
      <c r="O2766">
        <v>-0.77293059999999902</v>
      </c>
      <c r="P2766">
        <v>-0.61461790000000005</v>
      </c>
      <c r="Q2766">
        <v>-1.278496E-2</v>
      </c>
      <c r="R2766">
        <v>-0.78872180000000003</v>
      </c>
      <c r="S2766">
        <v>-2.0976870000000001</v>
      </c>
      <c r="T2766">
        <v>-1.3144659999999999</v>
      </c>
      <c r="U2766">
        <v>-2.14682</v>
      </c>
      <c r="V2766">
        <v>-2.5265200000000002E-2</v>
      </c>
      <c r="W2766">
        <v>1.1313600000000001E-3</v>
      </c>
      <c r="X2766">
        <v>0.99968020000000002</v>
      </c>
      <c r="Y2766">
        <v>3.7959920000000001E-2</v>
      </c>
      <c r="Z2766">
        <v>0.32063449999999999</v>
      </c>
      <c r="AA2766">
        <v>0.94644209999999995</v>
      </c>
      <c r="AB2766">
        <v>13</v>
      </c>
      <c r="AC2766">
        <v>-0.40800000000001502</v>
      </c>
      <c r="AD2766">
        <v>-0.27881810000000001</v>
      </c>
      <c r="AE2766">
        <v>-0.40530000000001098</v>
      </c>
      <c r="AF2766">
        <v>4.71761677110887E-2</v>
      </c>
      <c r="AG2766">
        <v>-0.27881810000000001</v>
      </c>
      <c r="AH2766">
        <v>0.46324652926649301</v>
      </c>
      <c r="AI2766">
        <v>120.912393128134</v>
      </c>
      <c r="AJ2766">
        <v>84.185150692644896</v>
      </c>
      <c r="AK2766">
        <v>0.542736096611389</v>
      </c>
      <c r="AL2766">
        <v>89.935177836710395</v>
      </c>
      <c r="AM2766">
        <v>91.447744224730997</v>
      </c>
      <c r="AN2766">
        <v>1.0000000562892599</v>
      </c>
    </row>
    <row r="2767" spans="1:40" x14ac:dyDescent="0.25">
      <c r="A2767" t="str">
        <f>"20190312154309790"</f>
        <v>20190312154309790</v>
      </c>
      <c r="B2767" t="str">
        <f>"1552376589779821"</f>
        <v>1552376589779821</v>
      </c>
      <c r="C2767" t="s">
        <v>40</v>
      </c>
      <c r="D2767">
        <v>5.5317119999999997</v>
      </c>
      <c r="E2767">
        <v>0.53885039999999995</v>
      </c>
      <c r="F2767" t="s">
        <v>41</v>
      </c>
      <c r="G2767">
        <v>-486.2552</v>
      </c>
      <c r="H2767">
        <v>0.9308691</v>
      </c>
      <c r="I2767">
        <v>274.8528</v>
      </c>
      <c r="J2767">
        <v>-485.79489999999998</v>
      </c>
      <c r="K2767">
        <v>1.112538</v>
      </c>
      <c r="L2767">
        <v>275.33109999999999</v>
      </c>
      <c r="M2767">
        <v>-0.63227419999999901</v>
      </c>
      <c r="N2767">
        <v>0</v>
      </c>
      <c r="O2767">
        <v>-0.77461829999999998</v>
      </c>
      <c r="P2767">
        <v>-0.61219959999999995</v>
      </c>
      <c r="Q2767">
        <v>-1.308606E-2</v>
      </c>
      <c r="R2767">
        <v>-0.79059519999999905</v>
      </c>
      <c r="S2767">
        <v>-2.0583499999999999</v>
      </c>
      <c r="T2767">
        <v>-0.75251569999999901</v>
      </c>
      <c r="U2767">
        <v>-2.1874389999999999</v>
      </c>
      <c r="V2767">
        <v>-2.5658469999999999E-2</v>
      </c>
      <c r="W2767">
        <v>8.0854099999999997E-4</v>
      </c>
      <c r="X2767">
        <v>0.99967039999999996</v>
      </c>
      <c r="Y2767">
        <v>5.35659E-2</v>
      </c>
      <c r="Z2767">
        <v>0.19360260000000001</v>
      </c>
      <c r="AA2767">
        <v>0.97961659999999995</v>
      </c>
      <c r="AB2767">
        <v>13</v>
      </c>
      <c r="AC2767">
        <v>-0.46030000000001697</v>
      </c>
      <c r="AD2767">
        <v>-0.18166889999999999</v>
      </c>
      <c r="AE2767">
        <v>-0.47829999999999001</v>
      </c>
      <c r="AF2767">
        <v>5.0372550758929401E-2</v>
      </c>
      <c r="AG2767">
        <v>-0.18166889999999999</v>
      </c>
      <c r="AH2767">
        <v>0.61550073869306998</v>
      </c>
      <c r="AI2767">
        <v>106.39244654399501</v>
      </c>
      <c r="AJ2767">
        <v>85.321343112232697</v>
      </c>
      <c r="AK2767">
        <v>0.64372520723433402</v>
      </c>
      <c r="AL2767">
        <v>89.953674006223594</v>
      </c>
      <c r="AM2767">
        <v>91.470283938367501</v>
      </c>
      <c r="AN2767">
        <v>0.99999995972872302</v>
      </c>
    </row>
    <row r="2768" spans="1:40" x14ac:dyDescent="0.25">
      <c r="A2768" t="str">
        <f>"20190312154309801"</f>
        <v>20190312154309801</v>
      </c>
      <c r="B2768" t="str">
        <f>"1552376589790557"</f>
        <v>1552376589790557</v>
      </c>
      <c r="C2768" t="s">
        <v>40</v>
      </c>
      <c r="D2768">
        <v>4.4343190000000003</v>
      </c>
      <c r="E2768">
        <v>0.53820249999999903</v>
      </c>
      <c r="F2768" t="s">
        <v>41</v>
      </c>
      <c r="G2768">
        <v>-486.32530000000003</v>
      </c>
      <c r="H2768">
        <v>0.93100450000000001</v>
      </c>
      <c r="I2768">
        <v>274.76609999999999</v>
      </c>
      <c r="J2768">
        <v>-485.83109999999999</v>
      </c>
      <c r="K2768">
        <v>1.1125160000000001</v>
      </c>
      <c r="L2768">
        <v>275.28199999999998</v>
      </c>
      <c r="M2768">
        <v>-0.63027140000000004</v>
      </c>
      <c r="N2768">
        <v>0</v>
      </c>
      <c r="O2768">
        <v>-0.77624899999999997</v>
      </c>
      <c r="P2768">
        <v>-0.61001510000000003</v>
      </c>
      <c r="Q2768">
        <v>-1.3439039999999999E-2</v>
      </c>
      <c r="R2768">
        <v>-0.79227619999999999</v>
      </c>
      <c r="S2768">
        <v>-2.0557859999999999</v>
      </c>
      <c r="T2768">
        <v>-0.70426299999999997</v>
      </c>
      <c r="U2768">
        <v>-2.1910400000000001</v>
      </c>
      <c r="V2768">
        <v>-2.5829600000000001E-2</v>
      </c>
      <c r="W2768">
        <v>4.36608E-4</v>
      </c>
      <c r="X2768">
        <v>0.99966630000000001</v>
      </c>
      <c r="Y2768">
        <v>5.67E-2</v>
      </c>
      <c r="Z2768">
        <v>0.1822531</v>
      </c>
      <c r="AA2768">
        <v>0.98161549999999997</v>
      </c>
      <c r="AB2768">
        <v>13</v>
      </c>
      <c r="AC2768">
        <v>-0.494200000000034</v>
      </c>
      <c r="AD2768">
        <v>-0.18151149999999999</v>
      </c>
      <c r="AE2768">
        <v>-0.51589999999998704</v>
      </c>
      <c r="AF2768">
        <v>5.4925414095834998E-2</v>
      </c>
      <c r="AG2768">
        <v>-0.18151149999999999</v>
      </c>
      <c r="AH2768">
        <v>0.66884156471624501</v>
      </c>
      <c r="AI2768">
        <v>105.13474869861101</v>
      </c>
      <c r="AJ2768">
        <v>85.305392326454395</v>
      </c>
      <c r="AK2768">
        <v>0.69520663434544605</v>
      </c>
      <c r="AL2768">
        <v>89.974984204381798</v>
      </c>
      <c r="AM2768">
        <v>91.480091765118303</v>
      </c>
      <c r="AN2768">
        <v>1.00000003510919</v>
      </c>
    </row>
    <row r="2769" spans="1:40" x14ac:dyDescent="0.25">
      <c r="A2769" t="str">
        <f>"20190312154309812"</f>
        <v>20190312154309812</v>
      </c>
      <c r="B2769" t="str">
        <f>"1552376589800317"</f>
        <v>1552376589800317</v>
      </c>
      <c r="C2769" t="s">
        <v>40</v>
      </c>
      <c r="D2769">
        <v>4.4256080000000004</v>
      </c>
      <c r="E2769">
        <v>0.53906989999999999</v>
      </c>
      <c r="F2769" t="s">
        <v>41</v>
      </c>
      <c r="G2769">
        <v>-486.3245</v>
      </c>
      <c r="H2769">
        <v>0.95186400000000004</v>
      </c>
      <c r="I2769">
        <v>274.75209999999998</v>
      </c>
      <c r="J2769">
        <v>-485.86689999999999</v>
      </c>
      <c r="K2769">
        <v>1.1124969999999901</v>
      </c>
      <c r="L2769">
        <v>275.23320000000001</v>
      </c>
      <c r="M2769">
        <v>-0.62828249999999997</v>
      </c>
      <c r="N2769">
        <v>0</v>
      </c>
      <c r="O2769">
        <v>-0.77785969999999904</v>
      </c>
      <c r="P2769">
        <v>-0.60761829999999994</v>
      </c>
      <c r="Q2769">
        <v>-1.36215E-2</v>
      </c>
      <c r="R2769">
        <v>-0.79411259999999995</v>
      </c>
      <c r="S2769">
        <v>-2.0469059999999999</v>
      </c>
      <c r="T2769">
        <v>-0.66732239999999998</v>
      </c>
      <c r="U2769">
        <v>-2.1991879999999999</v>
      </c>
      <c r="V2769">
        <v>-2.628865E-2</v>
      </c>
      <c r="W2769">
        <v>2.3490579999999999E-4</v>
      </c>
      <c r="X2769">
        <v>0.99965440000000005</v>
      </c>
      <c r="Y2769">
        <v>5.6758790000000003E-2</v>
      </c>
      <c r="Z2769">
        <v>0.17340349999999999</v>
      </c>
      <c r="AA2769">
        <v>0.98321400000000003</v>
      </c>
      <c r="AB2769">
        <v>13</v>
      </c>
      <c r="AC2769">
        <v>-0.457600000000013</v>
      </c>
      <c r="AD2769">
        <v>-0.160632999999999</v>
      </c>
      <c r="AE2769">
        <v>-0.48110000000002601</v>
      </c>
      <c r="AF2769">
        <v>5.0718605436283398E-2</v>
      </c>
      <c r="AG2769">
        <v>-0.160632999999999</v>
      </c>
      <c r="AH2769">
        <v>0.625202335397265</v>
      </c>
      <c r="AI2769">
        <v>104.364086786106</v>
      </c>
      <c r="AJ2769">
        <v>85.362121685716602</v>
      </c>
      <c r="AK2769">
        <v>0.64749772031459396</v>
      </c>
      <c r="AL2769">
        <v>89.9865408894089</v>
      </c>
      <c r="AM2769">
        <v>91.506402229326298</v>
      </c>
      <c r="AN2769">
        <v>1.0000000338694499</v>
      </c>
    </row>
    <row r="2770" spans="1:40" x14ac:dyDescent="0.25">
      <c r="A2770" t="str">
        <f>"20190312154309823"</f>
        <v>20190312154309823</v>
      </c>
      <c r="B2770" t="str">
        <f>"1552376589819836"</f>
        <v>1552376589819836</v>
      </c>
      <c r="C2770" t="s">
        <v>40</v>
      </c>
      <c r="D2770">
        <v>4.4661239999999998</v>
      </c>
      <c r="E2770">
        <v>0.53954419999999903</v>
      </c>
      <c r="F2770" t="s">
        <v>41</v>
      </c>
      <c r="G2770">
        <v>-486.38990000000001</v>
      </c>
      <c r="H2770">
        <v>0.93844939999999999</v>
      </c>
      <c r="I2770">
        <v>274.6705</v>
      </c>
      <c r="J2770">
        <v>-485.9042</v>
      </c>
      <c r="K2770">
        <v>1.1124750000000001</v>
      </c>
      <c r="L2770">
        <v>275.18209999999999</v>
      </c>
      <c r="M2770">
        <v>-0.62621280000000001</v>
      </c>
      <c r="N2770">
        <v>0</v>
      </c>
      <c r="O2770">
        <v>-0.77952749999999904</v>
      </c>
      <c r="P2770">
        <v>-0.60537469999999904</v>
      </c>
      <c r="Q2770">
        <v>-1.4105690000000001E-2</v>
      </c>
      <c r="R2770">
        <v>-0.79581590000000002</v>
      </c>
      <c r="S2770">
        <v>-2.0454409999999998</v>
      </c>
      <c r="T2770">
        <v>-0.68103539999999996</v>
      </c>
      <c r="U2770">
        <v>-2.2010190000000001</v>
      </c>
      <c r="V2770">
        <v>-2.6445469999999999E-2</v>
      </c>
      <c r="W2770">
        <v>-2.6710699999999999E-4</v>
      </c>
      <c r="X2770">
        <v>0.99965020000000004</v>
      </c>
      <c r="Y2770">
        <v>5.8077660000000003E-2</v>
      </c>
      <c r="Z2770">
        <v>0.17725460000000001</v>
      </c>
      <c r="AA2770">
        <v>0.98244989999999999</v>
      </c>
      <c r="AB2770">
        <v>13</v>
      </c>
      <c r="AC2770">
        <v>-0.48570000000000801</v>
      </c>
      <c r="AD2770">
        <v>-0.1740256</v>
      </c>
      <c r="AE2770">
        <v>-0.51159999999998695</v>
      </c>
      <c r="AF2770">
        <v>5.49100311104639E-2</v>
      </c>
      <c r="AG2770">
        <v>-0.1740256</v>
      </c>
      <c r="AH2770">
        <v>0.66269633505148795</v>
      </c>
      <c r="AI2770">
        <v>104.665708092667</v>
      </c>
      <c r="AJ2770">
        <v>85.263377101089105</v>
      </c>
      <c r="AK2770">
        <v>0.68736195229484898</v>
      </c>
      <c r="AL2770">
        <v>90.015304104292497</v>
      </c>
      <c r="AM2770">
        <v>91.515390574867297</v>
      </c>
      <c r="AN2770">
        <v>0.99999997829485499</v>
      </c>
    </row>
    <row r="2771" spans="1:40" x14ac:dyDescent="0.25">
      <c r="A2771" t="str">
        <f>"20190312154309835"</f>
        <v>20190312154309835</v>
      </c>
      <c r="B2771" t="str">
        <f>"1552376589830573"</f>
        <v>1552376589830573</v>
      </c>
      <c r="C2771" t="s">
        <v>40</v>
      </c>
      <c r="D2771">
        <v>4.4629469999999998</v>
      </c>
      <c r="E2771">
        <v>0.53941629999999996</v>
      </c>
      <c r="F2771" t="s">
        <v>41</v>
      </c>
      <c r="G2771">
        <v>-486.38690000000003</v>
      </c>
      <c r="H2771">
        <v>0.94937689999999997</v>
      </c>
      <c r="I2771">
        <v>274.66120000000001</v>
      </c>
      <c r="J2771">
        <v>-485.94130000000001</v>
      </c>
      <c r="K2771">
        <v>1.1124510000000001</v>
      </c>
      <c r="L2771">
        <v>275.1309</v>
      </c>
      <c r="M2771">
        <v>-0.62415159999999903</v>
      </c>
      <c r="N2771">
        <v>0</v>
      </c>
      <c r="O2771">
        <v>-0.78117919999999996</v>
      </c>
      <c r="P2771">
        <v>-0.60333769999999998</v>
      </c>
      <c r="Q2771">
        <v>-1.429913E-2</v>
      </c>
      <c r="R2771">
        <v>-0.79735780000000001</v>
      </c>
      <c r="S2771">
        <v>-2.0422669999999998</v>
      </c>
      <c r="T2771">
        <v>-0.69019929999999996</v>
      </c>
      <c r="U2771">
        <v>-2.2040410000000001</v>
      </c>
      <c r="V2771">
        <v>-2.6358240000000002E-2</v>
      </c>
      <c r="W2771">
        <v>-4.7632890000000002E-4</v>
      </c>
      <c r="X2771">
        <v>0.9996524</v>
      </c>
      <c r="Y2771">
        <v>5.8881000000000003E-2</v>
      </c>
      <c r="Z2771">
        <v>0.1799511</v>
      </c>
      <c r="AA2771">
        <v>0.98191170000000005</v>
      </c>
      <c r="AB2771">
        <v>13</v>
      </c>
      <c r="AC2771">
        <v>-0.44560000000001299</v>
      </c>
      <c r="AD2771">
        <v>-0.1630741</v>
      </c>
      <c r="AE2771">
        <v>-0.46969999999998802</v>
      </c>
      <c r="AF2771">
        <v>5.1657547535417701E-2</v>
      </c>
      <c r="AG2771">
        <v>-0.1630741</v>
      </c>
      <c r="AH2771">
        <v>0.60661961256437402</v>
      </c>
      <c r="AI2771">
        <v>104.9949579563</v>
      </c>
      <c r="AJ2771">
        <v>85.132639933923798</v>
      </c>
      <c r="AK2771">
        <v>0.63027693806447904</v>
      </c>
      <c r="AL2771">
        <v>90.027291637964893</v>
      </c>
      <c r="AM2771">
        <v>91.5103910777202</v>
      </c>
      <c r="AN2771">
        <v>0.99999995226543803</v>
      </c>
    </row>
    <row r="2772" spans="1:40" x14ac:dyDescent="0.25">
      <c r="A2772" t="str">
        <f>"20190312154309847"</f>
        <v>20190312154309847</v>
      </c>
      <c r="B2772" t="str">
        <f>"1552376589840333"</f>
        <v>1552376589840333</v>
      </c>
      <c r="C2772" t="s">
        <v>40</v>
      </c>
      <c r="D2772">
        <v>4.5078860000000001</v>
      </c>
      <c r="E2772">
        <v>0.53919969999999995</v>
      </c>
      <c r="F2772" t="s">
        <v>41</v>
      </c>
      <c r="G2772">
        <v>-486.45139999999998</v>
      </c>
      <c r="H2772">
        <v>0.93838679999999997</v>
      </c>
      <c r="I2772">
        <v>274.57760000000002</v>
      </c>
      <c r="J2772">
        <v>-485.98160000000001</v>
      </c>
      <c r="K2772">
        <v>1.112419</v>
      </c>
      <c r="L2772">
        <v>275.0752</v>
      </c>
      <c r="M2772">
        <v>-0.62191450000000004</v>
      </c>
      <c r="N2772">
        <v>0</v>
      </c>
      <c r="O2772">
        <v>-0.78296169999999998</v>
      </c>
      <c r="P2772">
        <v>-0.60115560000000001</v>
      </c>
      <c r="Q2772">
        <v>-1.455472E-2</v>
      </c>
      <c r="R2772">
        <v>-0.79899969999999998</v>
      </c>
      <c r="S2772">
        <v>-2.035339</v>
      </c>
      <c r="T2772">
        <v>-0.69612459999999998</v>
      </c>
      <c r="U2772">
        <v>-2.209778</v>
      </c>
      <c r="V2772">
        <v>-2.622762E-2</v>
      </c>
      <c r="W2772">
        <v>-7.4825839999999896E-4</v>
      </c>
      <c r="X2772">
        <v>0.99965570000000004</v>
      </c>
      <c r="Y2772">
        <v>5.8531720000000002E-2</v>
      </c>
      <c r="Z2772">
        <v>0.1818195</v>
      </c>
      <c r="AA2772">
        <v>0.98158840000000003</v>
      </c>
      <c r="AB2772">
        <v>13</v>
      </c>
      <c r="AC2772">
        <v>-0.46979999999996302</v>
      </c>
      <c r="AD2772">
        <v>-0.174032199999999</v>
      </c>
      <c r="AE2772">
        <v>-0.49759999999997701</v>
      </c>
      <c r="AF2772">
        <v>5.4830385539263601E-2</v>
      </c>
      <c r="AG2772">
        <v>-0.174032199999999</v>
      </c>
      <c r="AH2772">
        <v>0.64042528780891295</v>
      </c>
      <c r="AI2772">
        <v>105.149845327384</v>
      </c>
      <c r="AJ2772">
        <v>85.106521493930899</v>
      </c>
      <c r="AK2772">
        <v>0.66591150093713902</v>
      </c>
      <c r="AL2772">
        <v>90.042872053024197</v>
      </c>
      <c r="AM2772">
        <v>91.502904717268095</v>
      </c>
      <c r="AN2772">
        <v>0.99999998324199302</v>
      </c>
    </row>
    <row r="2773" spans="1:40" x14ac:dyDescent="0.25">
      <c r="A2773" t="str">
        <f>"20190312154309859"</f>
        <v>20190312154309859</v>
      </c>
      <c r="B2773" t="str">
        <f>"1552376589850093"</f>
        <v>1552376589850093</v>
      </c>
      <c r="C2773" t="s">
        <v>40</v>
      </c>
      <c r="D2773">
        <v>4.5063829999999996</v>
      </c>
      <c r="E2773">
        <v>0.5387132</v>
      </c>
      <c r="F2773" t="s">
        <v>41</v>
      </c>
      <c r="G2773">
        <v>-486.44779999999997</v>
      </c>
      <c r="H2773">
        <v>0.95196639999999999</v>
      </c>
      <c r="I2773">
        <v>274.56610000000001</v>
      </c>
      <c r="J2773">
        <v>-486.02010000000001</v>
      </c>
      <c r="K2773">
        <v>1.112393</v>
      </c>
      <c r="L2773">
        <v>275.0215</v>
      </c>
      <c r="M2773">
        <v>-0.61977939999999998</v>
      </c>
      <c r="N2773">
        <v>0</v>
      </c>
      <c r="O2773">
        <v>-0.78465299999999905</v>
      </c>
      <c r="P2773">
        <v>-0.59870199999999996</v>
      </c>
      <c r="Q2773">
        <v>-1.4693039999999999E-2</v>
      </c>
      <c r="R2773">
        <v>-0.80083700000000002</v>
      </c>
      <c r="S2773">
        <v>-2.0279850000000001</v>
      </c>
      <c r="T2773">
        <v>-0.69970109999999996</v>
      </c>
      <c r="U2773">
        <v>-2.2161559999999998</v>
      </c>
      <c r="V2773">
        <v>-2.6568439999999999E-2</v>
      </c>
      <c r="W2773">
        <v>-9.0296050000000002E-4</v>
      </c>
      <c r="X2773">
        <v>0.99964660000000005</v>
      </c>
      <c r="Y2773">
        <v>5.7901950000000001E-2</v>
      </c>
      <c r="Z2773">
        <v>0.1830514</v>
      </c>
      <c r="AA2773">
        <v>0.98139670000000001</v>
      </c>
      <c r="AB2773">
        <v>13</v>
      </c>
      <c r="AC2773">
        <v>-0.427699999999958</v>
      </c>
      <c r="AD2773">
        <v>-0.160426599999999</v>
      </c>
      <c r="AE2773">
        <v>-0.45539999999999697</v>
      </c>
      <c r="AF2773">
        <v>5.0053287908706702E-2</v>
      </c>
      <c r="AG2773">
        <v>-0.160426599999999</v>
      </c>
      <c r="AH2773">
        <v>0.58396523663768996</v>
      </c>
      <c r="AI2773">
        <v>105.30782403976301</v>
      </c>
      <c r="AJ2773">
        <v>85.100992793318298</v>
      </c>
      <c r="AK2773">
        <v>0.60766555210851403</v>
      </c>
      <c r="AL2773">
        <v>90.051735832172199</v>
      </c>
      <c r="AM2773">
        <v>91.522439230288597</v>
      </c>
      <c r="AN2773">
        <v>1.0000000111166201</v>
      </c>
    </row>
    <row r="2774" spans="1:40" x14ac:dyDescent="0.25">
      <c r="A2774" t="str">
        <f>"20190312154309872"</f>
        <v>20190312154309872</v>
      </c>
      <c r="B2774" t="str">
        <f>"1552376589859853"</f>
        <v>1552376589859853</v>
      </c>
      <c r="C2774" t="s">
        <v>40</v>
      </c>
      <c r="D2774">
        <v>4.5294339999999904</v>
      </c>
      <c r="E2774">
        <v>0.53874960000000005</v>
      </c>
      <c r="F2774" t="s">
        <v>41</v>
      </c>
      <c r="G2774">
        <v>-486.51080000000002</v>
      </c>
      <c r="H2774">
        <v>0.94203870000000001</v>
      </c>
      <c r="I2774">
        <v>274.48099999999999</v>
      </c>
      <c r="J2774">
        <v>-486.06079999999997</v>
      </c>
      <c r="K2774">
        <v>1.112366</v>
      </c>
      <c r="L2774">
        <v>274.96460000000002</v>
      </c>
      <c r="M2774">
        <v>-0.61752580000000001</v>
      </c>
      <c r="N2774">
        <v>0</v>
      </c>
      <c r="O2774">
        <v>-0.78642819999999902</v>
      </c>
      <c r="P2774">
        <v>-0.59631449999999997</v>
      </c>
      <c r="Q2774">
        <v>-1.507265E-2</v>
      </c>
      <c r="R2774">
        <v>-0.80260989999999999</v>
      </c>
      <c r="S2774">
        <v>-2.017944</v>
      </c>
      <c r="T2774">
        <v>-0.70229160000000002</v>
      </c>
      <c r="U2774">
        <v>-2.2245789999999999</v>
      </c>
      <c r="V2774">
        <v>-2.667139E-2</v>
      </c>
      <c r="W2774">
        <v>-1.298261E-3</v>
      </c>
      <c r="X2774">
        <v>0.99964339999999996</v>
      </c>
      <c r="Y2774">
        <v>5.6363759999999999E-2</v>
      </c>
      <c r="Z2774">
        <v>0.1840069</v>
      </c>
      <c r="AA2774">
        <v>0.98130759999999995</v>
      </c>
      <c r="AB2774">
        <v>13</v>
      </c>
      <c r="AC2774">
        <v>-0.45000000000004498</v>
      </c>
      <c r="AD2774">
        <v>-0.17032729999999999</v>
      </c>
      <c r="AE2774">
        <v>-0.48360000000002401</v>
      </c>
      <c r="AF2774">
        <v>5.1817518098222097E-2</v>
      </c>
      <c r="AG2774">
        <v>-0.17032729999999999</v>
      </c>
      <c r="AH2774">
        <v>0.61723092493460996</v>
      </c>
      <c r="AI2774">
        <v>105.37553732756901</v>
      </c>
      <c r="AJ2774">
        <v>85.2011808649561</v>
      </c>
      <c r="AK2774">
        <v>0.642394317380519</v>
      </c>
      <c r="AL2774">
        <v>90.074384897806297</v>
      </c>
      <c r="AM2774">
        <v>91.528340624850102</v>
      </c>
      <c r="AN2774">
        <v>0.999999987844858</v>
      </c>
    </row>
    <row r="2775" spans="1:40" x14ac:dyDescent="0.25">
      <c r="A2775" t="str">
        <f>"20190312154309891"</f>
        <v>20190312154309891</v>
      </c>
      <c r="B2775" t="str">
        <f>"1552376589880349"</f>
        <v>1552376589880349</v>
      </c>
      <c r="C2775" t="s">
        <v>40</v>
      </c>
      <c r="D2775">
        <v>4.5135259999999997</v>
      </c>
      <c r="E2775">
        <v>0.53840390000000005</v>
      </c>
      <c r="F2775" t="s">
        <v>41</v>
      </c>
      <c r="G2775">
        <v>-486.57400000000001</v>
      </c>
      <c r="H2775">
        <v>0.93257319999999999</v>
      </c>
      <c r="I2775">
        <v>274.39600000000002</v>
      </c>
      <c r="J2775">
        <v>-486.12329999999997</v>
      </c>
      <c r="K2775">
        <v>1.112328</v>
      </c>
      <c r="L2775">
        <v>274.8766</v>
      </c>
      <c r="M2775">
        <v>-0.61407239999999996</v>
      </c>
      <c r="N2775">
        <v>0</v>
      </c>
      <c r="O2775">
        <v>-0.78912819999999995</v>
      </c>
      <c r="P2775">
        <v>-0.59247930000000004</v>
      </c>
      <c r="Q2775">
        <v>-1.5580460000000001E-2</v>
      </c>
      <c r="R2775">
        <v>-0.80543520000000002</v>
      </c>
      <c r="S2775">
        <v>-2.0113829999999999</v>
      </c>
      <c r="T2775">
        <v>-0.70634710000000001</v>
      </c>
      <c r="U2775">
        <v>-2.230194</v>
      </c>
      <c r="V2775">
        <v>-2.7048880000000001E-2</v>
      </c>
      <c r="W2775">
        <v>-1.8296930000000001E-3</v>
      </c>
      <c r="X2775">
        <v>0.99963239999999998</v>
      </c>
      <c r="Y2775">
        <v>5.7691970000000002E-2</v>
      </c>
      <c r="Z2775">
        <v>0.1857222</v>
      </c>
      <c r="AA2775">
        <v>0.98090719999999998</v>
      </c>
      <c r="AB2775">
        <v>13</v>
      </c>
      <c r="AC2775">
        <v>-0.45070000000004001</v>
      </c>
      <c r="AD2775">
        <v>-0.17975479999999899</v>
      </c>
      <c r="AE2775">
        <v>-0.480600000000038</v>
      </c>
      <c r="AF2775">
        <v>5.6348512246678799E-2</v>
      </c>
      <c r="AG2775">
        <v>-0.17975479999999899</v>
      </c>
      <c r="AH2775">
        <v>0.61062949278226197</v>
      </c>
      <c r="AI2775">
        <v>106.33748536632901</v>
      </c>
      <c r="AJ2775">
        <v>84.727712401596406</v>
      </c>
      <c r="AK2775">
        <v>0.63902685421739303</v>
      </c>
      <c r="AL2775">
        <v>90.104833749138905</v>
      </c>
      <c r="AM2775">
        <v>91.549978361689298</v>
      </c>
      <c r="AN2775">
        <v>0.99999996240774303</v>
      </c>
    </row>
    <row r="2776" spans="1:40" x14ac:dyDescent="0.25">
      <c r="A2776" t="str">
        <f>"20190312154309901"</f>
        <v>20190312154309901</v>
      </c>
      <c r="B2776" t="str">
        <f>"1552376589890109"</f>
        <v>1552376589890109</v>
      </c>
      <c r="C2776" t="s">
        <v>40</v>
      </c>
      <c r="D2776">
        <v>4.522526</v>
      </c>
      <c r="E2776">
        <v>0.53830679999999997</v>
      </c>
      <c r="F2776" t="s">
        <v>41</v>
      </c>
      <c r="G2776">
        <v>-486.63400000000001</v>
      </c>
      <c r="H2776">
        <v>0.93051079999999997</v>
      </c>
      <c r="I2776">
        <v>274.30419999999998</v>
      </c>
      <c r="J2776">
        <v>-486.15679999999998</v>
      </c>
      <c r="K2776">
        <v>1.1123080000000001</v>
      </c>
      <c r="L2776">
        <v>274.82909999999998</v>
      </c>
      <c r="M2776">
        <v>-0.61222430000000005</v>
      </c>
      <c r="N2776">
        <v>0</v>
      </c>
      <c r="O2776">
        <v>-0.7905626</v>
      </c>
      <c r="P2776">
        <v>-0.59033990000000003</v>
      </c>
      <c r="Q2776">
        <v>-1.5751520000000001E-2</v>
      </c>
      <c r="R2776">
        <v>-0.80700109999999903</v>
      </c>
      <c r="S2776">
        <v>-1.998535</v>
      </c>
      <c r="T2776">
        <v>-0.71245439999999904</v>
      </c>
      <c r="U2776">
        <v>-2.2407840000000001</v>
      </c>
      <c r="V2776">
        <v>-2.736013E-2</v>
      </c>
      <c r="W2776">
        <v>-2.0131530000000002E-3</v>
      </c>
      <c r="X2776">
        <v>0.99962359999999995</v>
      </c>
      <c r="Y2776">
        <v>5.4349750000000002E-2</v>
      </c>
      <c r="Z2776">
        <v>0.18737529999999999</v>
      </c>
      <c r="AA2776">
        <v>0.98078370000000004</v>
      </c>
      <c r="AB2776">
        <v>13</v>
      </c>
      <c r="AC2776">
        <v>-0.47720000000003798</v>
      </c>
      <c r="AD2776">
        <v>-0.18179719999999999</v>
      </c>
      <c r="AE2776">
        <v>-0.52490000000000203</v>
      </c>
      <c r="AF2776">
        <v>5.2460004842892101E-2</v>
      </c>
      <c r="AG2776">
        <v>-0.18179719999999999</v>
      </c>
      <c r="AH2776">
        <v>0.66360548492398197</v>
      </c>
      <c r="AI2776">
        <v>105.27508493720001</v>
      </c>
      <c r="AJ2776">
        <v>85.479996798272495</v>
      </c>
      <c r="AK2776">
        <v>0.69005399329121297</v>
      </c>
      <c r="AL2776">
        <v>90.115345249988096</v>
      </c>
      <c r="AM2776">
        <v>91.567818822890899</v>
      </c>
      <c r="AN2776">
        <v>0.99999998558778902</v>
      </c>
    </row>
    <row r="2777" spans="1:40" x14ac:dyDescent="0.25">
      <c r="A2777" t="str">
        <f>"20190312154309913"</f>
        <v>20190312154309913</v>
      </c>
      <c r="B2777" t="str">
        <f>"1552376589910605"</f>
        <v>1552376589910605</v>
      </c>
      <c r="C2777" t="s">
        <v>40</v>
      </c>
      <c r="D2777">
        <v>4.536492</v>
      </c>
      <c r="E2777">
        <v>0.53807530000000003</v>
      </c>
      <c r="F2777" t="s">
        <v>41</v>
      </c>
      <c r="G2777">
        <v>-486.63099999999997</v>
      </c>
      <c r="H2777">
        <v>0.94241019999999998</v>
      </c>
      <c r="I2777">
        <v>274.2944</v>
      </c>
      <c r="J2777">
        <v>-486.19099999999997</v>
      </c>
      <c r="K2777">
        <v>1.112285</v>
      </c>
      <c r="L2777">
        <v>274.78030000000001</v>
      </c>
      <c r="M2777">
        <v>-0.61033789999999999</v>
      </c>
      <c r="N2777">
        <v>0</v>
      </c>
      <c r="O2777">
        <v>-0.79202050000000002</v>
      </c>
      <c r="P2777">
        <v>-0.58829929999999997</v>
      </c>
      <c r="Q2777">
        <v>-1.5725969999999999E-2</v>
      </c>
      <c r="R2777">
        <v>-0.80849059999999995</v>
      </c>
      <c r="S2777">
        <v>-1.991455</v>
      </c>
      <c r="T2777">
        <v>-0.71453789999999995</v>
      </c>
      <c r="U2777">
        <v>-2.2467350000000001</v>
      </c>
      <c r="V2777">
        <v>-2.750265E-2</v>
      </c>
      <c r="W2777">
        <v>-1.9991589999999999E-3</v>
      </c>
      <c r="X2777">
        <v>0.9996197</v>
      </c>
      <c r="Y2777">
        <v>5.3605399999999997E-2</v>
      </c>
      <c r="Z2777">
        <v>0.18818280000000001</v>
      </c>
      <c r="AA2777">
        <v>0.98067000000000004</v>
      </c>
      <c r="AB2777">
        <v>13</v>
      </c>
      <c r="AC2777">
        <v>-0.439999999999997</v>
      </c>
      <c r="AD2777">
        <v>-0.16987479999999999</v>
      </c>
      <c r="AE2777">
        <v>-0.48590000000001499</v>
      </c>
      <c r="AF2777">
        <v>4.8662736525024397E-2</v>
      </c>
      <c r="AG2777">
        <v>-0.16987479999999999</v>
      </c>
      <c r="AH2777">
        <v>0.61233133213041901</v>
      </c>
      <c r="AI2777">
        <v>105.45884040324501</v>
      </c>
      <c r="AJ2777">
        <v>85.456182476499706</v>
      </c>
      <c r="AK2777">
        <v>0.63731873494332303</v>
      </c>
      <c r="AL2777">
        <v>90.114543453180602</v>
      </c>
      <c r="AM2777">
        <v>91.575987690779897</v>
      </c>
      <c r="AN2777">
        <v>0.999999968510909</v>
      </c>
    </row>
    <row r="2778" spans="1:40" x14ac:dyDescent="0.25">
      <c r="A2778" t="str">
        <f>"20190312154309924"</f>
        <v>20190312154309924</v>
      </c>
      <c r="B2778" t="str">
        <f>"1552376589920365"</f>
        <v>1552376589920365</v>
      </c>
      <c r="C2778" t="s">
        <v>40</v>
      </c>
      <c r="D2778">
        <v>4.5579559999999999</v>
      </c>
      <c r="E2778">
        <v>0.53789519999999902</v>
      </c>
      <c r="F2778" t="s">
        <v>41</v>
      </c>
      <c r="G2778">
        <v>-486.6936</v>
      </c>
      <c r="H2778">
        <v>0.93141209999999997</v>
      </c>
      <c r="I2778">
        <v>274.2106</v>
      </c>
      <c r="J2778">
        <v>-486.22750000000002</v>
      </c>
      <c r="K2778">
        <v>1.1122669999999999</v>
      </c>
      <c r="L2778">
        <v>274.72820000000002</v>
      </c>
      <c r="M2778">
        <v>-0.60832919999999902</v>
      </c>
      <c r="N2778">
        <v>0</v>
      </c>
      <c r="O2778">
        <v>-0.79356459999999995</v>
      </c>
      <c r="P2778">
        <v>-0.58605719999999994</v>
      </c>
      <c r="Q2778">
        <v>-1.596034E-2</v>
      </c>
      <c r="R2778">
        <v>-0.81011269999999902</v>
      </c>
      <c r="S2778">
        <v>-1.9847109999999999</v>
      </c>
      <c r="T2778">
        <v>-0.71667740000000002</v>
      </c>
      <c r="U2778">
        <v>-2.2525330000000001</v>
      </c>
      <c r="V2778">
        <v>-2.7735249999999999E-2</v>
      </c>
      <c r="W2778">
        <v>-2.245777E-3</v>
      </c>
      <c r="X2778">
        <v>0.99961279999999997</v>
      </c>
      <c r="Y2778">
        <v>5.3120050000000002E-2</v>
      </c>
      <c r="Z2778">
        <v>0.1890356</v>
      </c>
      <c r="AA2778">
        <v>0.98053239999999997</v>
      </c>
      <c r="AB2778">
        <v>13</v>
      </c>
      <c r="AC2778">
        <v>-0.46609999999998297</v>
      </c>
      <c r="AD2778">
        <v>-0.18085490000000001</v>
      </c>
      <c r="AE2778">
        <v>-0.51760000000001505</v>
      </c>
      <c r="AF2778">
        <v>5.1539799792296698E-2</v>
      </c>
      <c r="AG2778">
        <v>-0.18085490000000001</v>
      </c>
      <c r="AH2778">
        <v>0.65050192320664701</v>
      </c>
      <c r="AI2778">
        <v>105.49098229158299</v>
      </c>
      <c r="AJ2778">
        <v>85.469872004740594</v>
      </c>
      <c r="AK2778">
        <v>0.677139275121586</v>
      </c>
      <c r="AL2778">
        <v>90.128673649574296</v>
      </c>
      <c r="AM2778">
        <v>91.589320554314497</v>
      </c>
      <c r="AN2778">
        <v>1.0000000187653599</v>
      </c>
    </row>
    <row r="2779" spans="1:40" x14ac:dyDescent="0.25">
      <c r="A2779" t="str">
        <f>"20190312154309935"</f>
        <v>20190312154309935</v>
      </c>
      <c r="B2779" t="str">
        <f>"1552376589930125"</f>
        <v>1552376589930125</v>
      </c>
      <c r="C2779" t="s">
        <v>40</v>
      </c>
      <c r="D2779">
        <v>4.5626040000000003</v>
      </c>
      <c r="E2779">
        <v>0.53775769999999901</v>
      </c>
      <c r="F2779" t="s">
        <v>41</v>
      </c>
      <c r="G2779">
        <v>-486.69060000000002</v>
      </c>
      <c r="H2779">
        <v>0.94480969999999997</v>
      </c>
      <c r="I2779">
        <v>274.19979999999998</v>
      </c>
      <c r="J2779">
        <v>-486.26260000000002</v>
      </c>
      <c r="K2779">
        <v>1.1122479999999999</v>
      </c>
      <c r="L2779">
        <v>274.67770000000002</v>
      </c>
      <c r="M2779">
        <v>-0.60640260000000001</v>
      </c>
      <c r="N2779">
        <v>0</v>
      </c>
      <c r="O2779">
        <v>-0.79503789999999996</v>
      </c>
      <c r="P2779">
        <v>-0.58391179999999998</v>
      </c>
      <c r="Q2779">
        <v>-1.545521E-2</v>
      </c>
      <c r="R2779">
        <v>-0.81167019999999901</v>
      </c>
      <c r="S2779">
        <v>-1.9771730000000001</v>
      </c>
      <c r="T2779">
        <v>-0.71767990000000004</v>
      </c>
      <c r="U2779">
        <v>-2.258759</v>
      </c>
      <c r="V2779">
        <v>-2.7963120000000001E-2</v>
      </c>
      <c r="W2779">
        <v>-1.7517559999999999E-3</v>
      </c>
      <c r="X2779">
        <v>0.99960740000000003</v>
      </c>
      <c r="Y2779">
        <v>5.2289580000000002E-2</v>
      </c>
      <c r="Z2779">
        <v>0.18957289999999999</v>
      </c>
      <c r="AA2779">
        <v>0.98047329999999999</v>
      </c>
      <c r="AB2779">
        <v>13</v>
      </c>
      <c r="AC2779">
        <v>-0.42799999999999699</v>
      </c>
      <c r="AD2779">
        <v>-0.16743829999999901</v>
      </c>
      <c r="AE2779">
        <v>-0.47790000000003302</v>
      </c>
      <c r="AF2779">
        <v>4.7261837613191603E-2</v>
      </c>
      <c r="AG2779">
        <v>-0.16743829999999901</v>
      </c>
      <c r="AH2779">
        <v>0.598763195588493</v>
      </c>
      <c r="AI2779">
        <v>105.577044925512</v>
      </c>
      <c r="AJ2779">
        <v>85.486861808428401</v>
      </c>
      <c r="AK2779">
        <v>0.62352756955311095</v>
      </c>
      <c r="AL2779">
        <v>90.100368278933601</v>
      </c>
      <c r="AM2779">
        <v>91.602380122629398</v>
      </c>
      <c r="AN2779">
        <v>0.99999997943198804</v>
      </c>
    </row>
    <row r="2780" spans="1:40" x14ac:dyDescent="0.25">
      <c r="A2780" t="str">
        <f>"20190312154309946"</f>
        <v>20190312154309946</v>
      </c>
      <c r="B2780" t="str">
        <f>"1552376589939887"</f>
        <v>1552376589939887</v>
      </c>
      <c r="C2780" t="s">
        <v>40</v>
      </c>
      <c r="D2780">
        <v>4.591323</v>
      </c>
      <c r="E2780">
        <v>0.53783099999999995</v>
      </c>
      <c r="F2780" t="s">
        <v>41</v>
      </c>
      <c r="G2780">
        <v>-486.75209999999998</v>
      </c>
      <c r="H2780">
        <v>0.93455429999999995</v>
      </c>
      <c r="I2780">
        <v>274.11509999999998</v>
      </c>
      <c r="J2780">
        <v>-486.29849999999999</v>
      </c>
      <c r="K2780">
        <v>1.1122299999999901</v>
      </c>
      <c r="L2780">
        <v>274.62599999999998</v>
      </c>
      <c r="M2780">
        <v>-0.60443199999999997</v>
      </c>
      <c r="N2780">
        <v>0</v>
      </c>
      <c r="O2780">
        <v>-0.79653719999999995</v>
      </c>
      <c r="P2780">
        <v>-0.58171700000000004</v>
      </c>
      <c r="Q2780">
        <v>-1.5380100000000001E-2</v>
      </c>
      <c r="R2780">
        <v>-0.81324580000000002</v>
      </c>
      <c r="S2780">
        <v>-1.9700930000000001</v>
      </c>
      <c r="T2780">
        <v>-0.7157829</v>
      </c>
      <c r="U2780">
        <v>-2.2651370000000002</v>
      </c>
      <c r="V2780">
        <v>-2.818905E-2</v>
      </c>
      <c r="W2780">
        <v>-1.687678E-3</v>
      </c>
      <c r="X2780">
        <v>0.99960119999999997</v>
      </c>
      <c r="Y2780">
        <v>5.1708669999999998E-2</v>
      </c>
      <c r="Z2780">
        <v>0.1893745</v>
      </c>
      <c r="AA2780">
        <v>0.98054249999999998</v>
      </c>
      <c r="AB2780">
        <v>12</v>
      </c>
      <c r="AC2780">
        <v>-0.45359999999999401</v>
      </c>
      <c r="AD2780">
        <v>-0.17767569999999899</v>
      </c>
      <c r="AE2780">
        <v>-0.51089999999999203</v>
      </c>
      <c r="AF2780">
        <v>4.9183586865597803E-2</v>
      </c>
      <c r="AG2780">
        <v>-0.17767569999999899</v>
      </c>
      <c r="AH2780">
        <v>0.63803459644085303</v>
      </c>
      <c r="AI2780">
        <v>105.51730052803499</v>
      </c>
      <c r="AJ2780">
        <v>85.592010227767204</v>
      </c>
      <c r="AK2780">
        <v>0.66413539722175396</v>
      </c>
      <c r="AL2780">
        <v>90.096696871037395</v>
      </c>
      <c r="AM2780">
        <v>91.615329847893193</v>
      </c>
      <c r="AN2780">
        <v>1.0000000149191799</v>
      </c>
    </row>
    <row r="2781" spans="1:40" x14ac:dyDescent="0.25">
      <c r="A2781" t="str">
        <f>"20190312154309958"</f>
        <v>20190312154309958</v>
      </c>
      <c r="B2781" t="str">
        <f>"1552376589950621"</f>
        <v>1552376589950621</v>
      </c>
      <c r="C2781" t="s">
        <v>40</v>
      </c>
      <c r="D2781">
        <v>4.605086</v>
      </c>
      <c r="E2781">
        <v>0.53795119999999996</v>
      </c>
      <c r="F2781" t="s">
        <v>41</v>
      </c>
      <c r="G2781">
        <v>-486.74950000000001</v>
      </c>
      <c r="H2781">
        <v>0.94774789999999998</v>
      </c>
      <c r="I2781">
        <v>274.10480000000001</v>
      </c>
      <c r="J2781">
        <v>-486.33269999999999</v>
      </c>
      <c r="K2781">
        <v>1.1122099999999999</v>
      </c>
      <c r="L2781">
        <v>274.5763</v>
      </c>
      <c r="M2781">
        <v>-0.6025606</v>
      </c>
      <c r="N2781">
        <v>0</v>
      </c>
      <c r="O2781">
        <v>-0.79795419999999995</v>
      </c>
      <c r="P2781">
        <v>-0.5796251</v>
      </c>
      <c r="Q2781">
        <v>-1.5110520000000001E-2</v>
      </c>
      <c r="R2781">
        <v>-0.81474360000000001</v>
      </c>
      <c r="S2781">
        <v>-1.9640200000000001</v>
      </c>
      <c r="T2781">
        <v>-0.71697659999999996</v>
      </c>
      <c r="U2781">
        <v>-2.2704770000000001</v>
      </c>
      <c r="V2781">
        <v>-2.8415949999999999E-2</v>
      </c>
      <c r="W2781">
        <v>-1.4281750000000001E-3</v>
      </c>
      <c r="X2781">
        <v>0.99959520000000002</v>
      </c>
      <c r="Y2781">
        <v>5.1342760000000001E-2</v>
      </c>
      <c r="Z2781">
        <v>0.18996070000000001</v>
      </c>
      <c r="AA2781">
        <v>0.98044830000000005</v>
      </c>
      <c r="AB2781">
        <v>12</v>
      </c>
      <c r="AC2781">
        <v>-0.41680000000002299</v>
      </c>
      <c r="AD2781">
        <v>-0.1644621</v>
      </c>
      <c r="AE2781">
        <v>-0.47149999999999098</v>
      </c>
      <c r="AF2781">
        <v>4.5384954492798203E-2</v>
      </c>
      <c r="AG2781">
        <v>-0.1644621</v>
      </c>
      <c r="AH2781">
        <v>0.58732963850466302</v>
      </c>
      <c r="AI2781">
        <v>105.59890408977699</v>
      </c>
      <c r="AJ2781">
        <v>85.581341566008405</v>
      </c>
      <c r="AK2781">
        <v>0.61160745637765201</v>
      </c>
      <c r="AL2781">
        <v>90.081828424869201</v>
      </c>
      <c r="AM2781">
        <v>91.628334797629606</v>
      </c>
      <c r="AN2781">
        <v>1.0000000348806299</v>
      </c>
    </row>
    <row r="2782" spans="1:40" x14ac:dyDescent="0.25">
      <c r="A2782" t="str">
        <f>"20190312154309969"</f>
        <v>20190312154309969</v>
      </c>
      <c r="B2782" t="str">
        <f>"1552376589960381"</f>
        <v>1552376589960381</v>
      </c>
      <c r="C2782" t="s">
        <v>40</v>
      </c>
      <c r="D2782">
        <v>4.603281</v>
      </c>
      <c r="E2782">
        <v>0.53789229999999999</v>
      </c>
      <c r="F2782" t="s">
        <v>41</v>
      </c>
      <c r="G2782">
        <v>-486.81180000000001</v>
      </c>
      <c r="H2782">
        <v>0.9376447</v>
      </c>
      <c r="I2782">
        <v>274.02080000000001</v>
      </c>
      <c r="J2782">
        <v>-486.36649999999997</v>
      </c>
      <c r="K2782">
        <v>1.1121909999999999</v>
      </c>
      <c r="L2782">
        <v>274.52730000000003</v>
      </c>
      <c r="M2782">
        <v>-0.60071869999999905</v>
      </c>
      <c r="N2782">
        <v>0</v>
      </c>
      <c r="O2782">
        <v>-0.79934189999999905</v>
      </c>
      <c r="P2782">
        <v>-0.57769429999999999</v>
      </c>
      <c r="Q2782">
        <v>-1.489067E-2</v>
      </c>
      <c r="R2782">
        <v>-0.8161178</v>
      </c>
      <c r="S2782">
        <v>-1.9594419999999999</v>
      </c>
      <c r="T2782">
        <v>-0.7163484</v>
      </c>
      <c r="U2782">
        <v>-2.2748719999999998</v>
      </c>
      <c r="V2782">
        <v>-2.84803E-2</v>
      </c>
      <c r="W2782">
        <v>-1.2174530000000001E-3</v>
      </c>
      <c r="X2782">
        <v>0.99959359999999997</v>
      </c>
      <c r="Y2782">
        <v>5.1578400000000003E-2</v>
      </c>
      <c r="Z2782">
        <v>0.19010479999999999</v>
      </c>
      <c r="AA2782">
        <v>0.98040799999999995</v>
      </c>
      <c r="AB2782">
        <v>12</v>
      </c>
      <c r="AC2782">
        <v>-0.445300000000031</v>
      </c>
      <c r="AD2782">
        <v>-0.17454629999999899</v>
      </c>
      <c r="AE2782">
        <v>-0.50650000000001605</v>
      </c>
      <c r="AF2782">
        <v>4.8442946318258802E-2</v>
      </c>
      <c r="AG2782">
        <v>-0.17454629999999899</v>
      </c>
      <c r="AH2782">
        <v>0.63021633265954502</v>
      </c>
      <c r="AI2782">
        <v>105.437378824446</v>
      </c>
      <c r="AJ2782">
        <v>85.604479016185707</v>
      </c>
      <c r="AK2782">
        <v>0.65573299127200402</v>
      </c>
      <c r="AL2782">
        <v>90.069754936764696</v>
      </c>
      <c r="AM2782">
        <v>91.6320228999476</v>
      </c>
      <c r="AN2782">
        <v>0.99999998742042795</v>
      </c>
    </row>
    <row r="2783" spans="1:40" x14ac:dyDescent="0.25">
      <c r="A2783" t="str">
        <f>"20190312154309979"</f>
        <v>20190312154309979</v>
      </c>
      <c r="B2783" t="str">
        <f>"1552376589970142"</f>
        <v>1552376589970142</v>
      </c>
      <c r="C2783" t="s">
        <v>40</v>
      </c>
      <c r="D2783">
        <v>4.5989279999999999</v>
      </c>
      <c r="E2783">
        <v>0.53792390000000001</v>
      </c>
      <c r="F2783" t="s">
        <v>41</v>
      </c>
      <c r="G2783">
        <v>-486.8723</v>
      </c>
      <c r="H2783">
        <v>0.92647409999999997</v>
      </c>
      <c r="I2783">
        <v>273.93639999999999</v>
      </c>
      <c r="J2783">
        <v>-486.40109999999999</v>
      </c>
      <c r="K2783">
        <v>1.1121719999999999</v>
      </c>
      <c r="L2783">
        <v>274.47669999999999</v>
      </c>
      <c r="M2783">
        <v>-0.59884169999999903</v>
      </c>
      <c r="N2783">
        <v>0</v>
      </c>
      <c r="O2783">
        <v>-0.80074919999999905</v>
      </c>
      <c r="P2783">
        <v>-0.57576419999999995</v>
      </c>
      <c r="Q2783">
        <v>-1.4957969999999999E-2</v>
      </c>
      <c r="R2783">
        <v>-0.81747910000000001</v>
      </c>
      <c r="S2783">
        <v>-1.9531860000000001</v>
      </c>
      <c r="T2783">
        <v>-0.71626140000000005</v>
      </c>
      <c r="U2783">
        <v>-2.2803040000000001</v>
      </c>
      <c r="V2783">
        <v>-2.8496029999999999E-2</v>
      </c>
      <c r="W2783">
        <v>-1.2935119999999999E-3</v>
      </c>
      <c r="X2783">
        <v>0.99959310000000001</v>
      </c>
      <c r="Y2783">
        <v>5.1199380000000003E-2</v>
      </c>
      <c r="Z2783">
        <v>0.19036420000000001</v>
      </c>
      <c r="AA2783">
        <v>0.98037750000000001</v>
      </c>
      <c r="AB2783">
        <v>12</v>
      </c>
      <c r="AC2783">
        <v>-0.47120000000001</v>
      </c>
      <c r="AD2783">
        <v>-0.1856979</v>
      </c>
      <c r="AE2783">
        <v>-0.540300000000002</v>
      </c>
      <c r="AF2783">
        <v>5.0383464192902898E-2</v>
      </c>
      <c r="AG2783">
        <v>-0.1856979</v>
      </c>
      <c r="AH2783">
        <v>0.66993724543310296</v>
      </c>
      <c r="AI2783">
        <v>105.45114144149601</v>
      </c>
      <c r="AJ2783">
        <v>85.699096018555906</v>
      </c>
      <c r="AK2783">
        <v>0.69702088659306405</v>
      </c>
      <c r="AL2783">
        <v>90.074112796701996</v>
      </c>
      <c r="AM2783">
        <v>91.632924613592607</v>
      </c>
      <c r="AN2783">
        <v>1.0000000312333299</v>
      </c>
    </row>
    <row r="2784" spans="1:40" x14ac:dyDescent="0.25">
      <c r="A2784" t="str">
        <f>"20190312154309992"</f>
        <v>20190312154309992</v>
      </c>
      <c r="B2784" t="str">
        <f>"1552376589979901"</f>
        <v>1552376589979901</v>
      </c>
      <c r="C2784" t="s">
        <v>40</v>
      </c>
      <c r="D2784">
        <v>4.6000909999999999</v>
      </c>
      <c r="E2784">
        <v>0.53790709999999997</v>
      </c>
      <c r="F2784" t="s">
        <v>41</v>
      </c>
      <c r="G2784">
        <v>-486.8698</v>
      </c>
      <c r="H2784">
        <v>0.9393378</v>
      </c>
      <c r="I2784">
        <v>273.92649999999998</v>
      </c>
      <c r="J2784">
        <v>-486.4375</v>
      </c>
      <c r="K2784">
        <v>1.1121509999999999</v>
      </c>
      <c r="L2784">
        <v>274.42309999999998</v>
      </c>
      <c r="M2784">
        <v>-0.59686510000000004</v>
      </c>
      <c r="N2784">
        <v>0</v>
      </c>
      <c r="O2784">
        <v>-0.80222360000000004</v>
      </c>
      <c r="P2784">
        <v>-0.5737738</v>
      </c>
      <c r="Q2784">
        <v>-1.4961520000000001E-2</v>
      </c>
      <c r="R2784">
        <v>-0.81887719999999997</v>
      </c>
      <c r="S2784">
        <v>-1.947754</v>
      </c>
      <c r="T2784">
        <v>-0.71727719999999995</v>
      </c>
      <c r="U2784">
        <v>-2.2848510000000002</v>
      </c>
      <c r="V2784">
        <v>-2.8462660000000001E-2</v>
      </c>
      <c r="W2784">
        <v>-1.3059059999999999E-3</v>
      </c>
      <c r="X2784">
        <v>0.99959399999999998</v>
      </c>
      <c r="Y2784">
        <v>5.1280920000000001E-2</v>
      </c>
      <c r="Z2784">
        <v>0.19095870000000001</v>
      </c>
      <c r="AA2784">
        <v>0.98025759999999995</v>
      </c>
      <c r="AB2784">
        <v>12</v>
      </c>
      <c r="AC2784">
        <v>-0.43229999999999702</v>
      </c>
      <c r="AD2784">
        <v>-0.1728132</v>
      </c>
      <c r="AE2784">
        <v>-0.49659999999999999</v>
      </c>
      <c r="AF2784">
        <v>4.7154265853849998E-2</v>
      </c>
      <c r="AG2784">
        <v>-0.1728132</v>
      </c>
      <c r="AH2784">
        <v>0.61416033620547095</v>
      </c>
      <c r="AI2784">
        <v>105.671757856276</v>
      </c>
      <c r="AJ2784">
        <v>85.609533692357203</v>
      </c>
      <c r="AK2784">
        <v>0.63975061191879501</v>
      </c>
      <c r="AL2784">
        <v>90.074822923760706</v>
      </c>
      <c r="AM2784">
        <v>91.631011958796705</v>
      </c>
      <c r="AN2784">
        <v>0.99999999662037797</v>
      </c>
    </row>
    <row r="2785" spans="1:40" x14ac:dyDescent="0.25">
      <c r="A2785" t="str">
        <f>"20190312154310003"</f>
        <v>20190312154310003</v>
      </c>
      <c r="B2785" t="str">
        <f>"1552376589990638"</f>
        <v>1552376589990638</v>
      </c>
      <c r="C2785" t="s">
        <v>40</v>
      </c>
      <c r="D2785">
        <v>4.6082450000000001</v>
      </c>
      <c r="E2785">
        <v>0.53794160000000002</v>
      </c>
      <c r="F2785" t="s">
        <v>41</v>
      </c>
      <c r="G2785">
        <v>-486.93099999999998</v>
      </c>
      <c r="H2785">
        <v>0.93009269999999999</v>
      </c>
      <c r="I2785">
        <v>273.8417</v>
      </c>
      <c r="J2785">
        <v>-486.47269999999997</v>
      </c>
      <c r="K2785">
        <v>1.1121270000000001</v>
      </c>
      <c r="L2785">
        <v>274.37119999999999</v>
      </c>
      <c r="M2785">
        <v>-0.5949641</v>
      </c>
      <c r="N2785">
        <v>0</v>
      </c>
      <c r="O2785">
        <v>-0.80363479999999998</v>
      </c>
      <c r="P2785">
        <v>-0.57178949999999995</v>
      </c>
      <c r="Q2785">
        <v>-1.4928189999999999E-2</v>
      </c>
      <c r="R2785">
        <v>-0.82026509999999997</v>
      </c>
      <c r="S2785">
        <v>-1.942474</v>
      </c>
      <c r="T2785">
        <v>-0.71726020000000001</v>
      </c>
      <c r="U2785">
        <v>-2.2894589999999999</v>
      </c>
      <c r="V2785">
        <v>-2.8517000000000001E-2</v>
      </c>
      <c r="W2785">
        <v>-1.2811859999999999E-3</v>
      </c>
      <c r="X2785">
        <v>0.99959249999999999</v>
      </c>
      <c r="Y2785">
        <v>5.1334129999999999E-2</v>
      </c>
      <c r="Z2785">
        <v>0.19126480000000001</v>
      </c>
      <c r="AA2785">
        <v>0.98019520000000004</v>
      </c>
      <c r="AB2785">
        <v>12</v>
      </c>
      <c r="AC2785">
        <v>-0.45830000000000798</v>
      </c>
      <c r="AD2785">
        <v>-0.18203430000000001</v>
      </c>
      <c r="AE2785">
        <v>-0.52949999999998398</v>
      </c>
      <c r="AF2785">
        <v>4.9905312987524597E-2</v>
      </c>
      <c r="AG2785">
        <v>-0.18203430000000001</v>
      </c>
      <c r="AH2785">
        <v>0.65406785030329095</v>
      </c>
      <c r="AI2785">
        <v>105.509570531066</v>
      </c>
      <c r="AJ2785">
        <v>85.636791584500997</v>
      </c>
      <c r="AK2785">
        <v>0.68075823861429796</v>
      </c>
      <c r="AL2785">
        <v>90.073406569670198</v>
      </c>
      <c r="AM2785">
        <v>91.634126598761497</v>
      </c>
      <c r="AN2785">
        <v>1.0000000133914</v>
      </c>
    </row>
    <row r="2786" spans="1:40" x14ac:dyDescent="0.25">
      <c r="A2786" t="str">
        <f>"20190312154310014"</f>
        <v>20190312154310014</v>
      </c>
      <c r="B2786" t="str">
        <f>"1552376590000396"</f>
        <v>1552376590000396</v>
      </c>
      <c r="C2786" t="s">
        <v>40</v>
      </c>
      <c r="D2786">
        <v>4.6651109999999996</v>
      </c>
      <c r="E2786">
        <v>0.53785000000000005</v>
      </c>
      <c r="F2786" t="s">
        <v>41</v>
      </c>
      <c r="G2786">
        <v>-486.92840000000001</v>
      </c>
      <c r="H2786">
        <v>0.94332240000000001</v>
      </c>
      <c r="I2786">
        <v>273.83159999999998</v>
      </c>
      <c r="J2786">
        <v>-486.50439999999998</v>
      </c>
      <c r="K2786">
        <v>1.112104</v>
      </c>
      <c r="L2786">
        <v>274.32409999999999</v>
      </c>
      <c r="M2786">
        <v>-0.59325760000000005</v>
      </c>
      <c r="N2786">
        <v>0</v>
      </c>
      <c r="O2786">
        <v>-0.80489560000000004</v>
      </c>
      <c r="P2786">
        <v>-0.57027490000000003</v>
      </c>
      <c r="Q2786">
        <v>-1.4759960000000001E-2</v>
      </c>
      <c r="R2786">
        <v>-0.82132169999999904</v>
      </c>
      <c r="S2786">
        <v>-1.93692</v>
      </c>
      <c r="T2786">
        <v>-0.71811819999999904</v>
      </c>
      <c r="U2786">
        <v>-2.2941280000000002</v>
      </c>
      <c r="V2786">
        <v>-2.8242929999999999E-2</v>
      </c>
      <c r="W2786">
        <v>-1.119236E-3</v>
      </c>
      <c r="X2786">
        <v>0.9996005</v>
      </c>
      <c r="Y2786">
        <v>5.1031020000000003E-2</v>
      </c>
      <c r="Z2786">
        <v>0.19174279999999999</v>
      </c>
      <c r="AA2786">
        <v>0.98011760000000003</v>
      </c>
      <c r="AB2786">
        <v>12</v>
      </c>
      <c r="AC2786">
        <v>-0.42400000000003402</v>
      </c>
      <c r="AD2786">
        <v>-0.168781599999999</v>
      </c>
      <c r="AE2786">
        <v>-0.49250000000000599</v>
      </c>
      <c r="AF2786">
        <v>4.5998308313092297E-2</v>
      </c>
      <c r="AG2786">
        <v>-0.168781599999999</v>
      </c>
      <c r="AH2786">
        <v>0.60706549387236797</v>
      </c>
      <c r="AI2786">
        <v>105.49517958253401</v>
      </c>
      <c r="AJ2786">
        <v>85.666888524099704</v>
      </c>
      <c r="AK2786">
        <v>0.63176861802144701</v>
      </c>
      <c r="AL2786">
        <v>90.064127510050596</v>
      </c>
      <c r="AM2786">
        <v>91.618416850107707</v>
      </c>
      <c r="AN2786">
        <v>1.00000003769222</v>
      </c>
    </row>
    <row r="2787" spans="1:40" x14ac:dyDescent="0.25">
      <c r="A2787" t="str">
        <f>"20190312154310024"</f>
        <v>20190312154310024</v>
      </c>
      <c r="B2787" t="str">
        <f>"1552376590019917"</f>
        <v>1552376590019917</v>
      </c>
      <c r="C2787" t="s">
        <v>40</v>
      </c>
      <c r="D2787">
        <v>4.6309440000000004</v>
      </c>
      <c r="E2787">
        <v>0.5376706</v>
      </c>
      <c r="F2787" t="s">
        <v>41</v>
      </c>
      <c r="G2787">
        <v>-486.98930000000001</v>
      </c>
      <c r="H2787">
        <v>0.93225469999999999</v>
      </c>
      <c r="I2787">
        <v>273.74790000000002</v>
      </c>
      <c r="J2787">
        <v>-486.53769999999997</v>
      </c>
      <c r="K2787">
        <v>1.1120810000000001</v>
      </c>
      <c r="L2787">
        <v>274.27460000000002</v>
      </c>
      <c r="M2787">
        <v>-0.59147130000000003</v>
      </c>
      <c r="N2787">
        <v>0</v>
      </c>
      <c r="O2787">
        <v>-0.80620939999999996</v>
      </c>
      <c r="P2787">
        <v>-0.56863520000000001</v>
      </c>
      <c r="Q2787">
        <v>-1.466304E-2</v>
      </c>
      <c r="R2787">
        <v>-0.82245949999999901</v>
      </c>
      <c r="S2787">
        <v>-1.9324650000000001</v>
      </c>
      <c r="T2787">
        <v>-0.71770009999999995</v>
      </c>
      <c r="U2787">
        <v>-2.297974</v>
      </c>
      <c r="V2787">
        <v>-2.8021290000000001E-2</v>
      </c>
      <c r="W2787">
        <v>-1.0289749999999999E-3</v>
      </c>
      <c r="X2787">
        <v>0.99960680000000002</v>
      </c>
      <c r="Y2787">
        <v>5.1316340000000002E-2</v>
      </c>
      <c r="Z2787">
        <v>0.19194240000000001</v>
      </c>
      <c r="AA2787">
        <v>0.98006360000000003</v>
      </c>
      <c r="AB2787">
        <v>12</v>
      </c>
      <c r="AC2787">
        <v>-0.45160000000004102</v>
      </c>
      <c r="AD2787">
        <v>-0.17982629999999999</v>
      </c>
      <c r="AE2787">
        <v>-0.52670000000000505</v>
      </c>
      <c r="AF2787">
        <v>4.92523951610922E-2</v>
      </c>
      <c r="AG2787">
        <v>-0.17982629999999999</v>
      </c>
      <c r="AH2787">
        <v>0.64825422731862203</v>
      </c>
      <c r="AI2787">
        <v>105.461640721781</v>
      </c>
      <c r="AJ2787">
        <v>85.655187312267202</v>
      </c>
      <c r="AK2787">
        <v>0.67453453568906196</v>
      </c>
      <c r="AL2787">
        <v>90.0589559349486</v>
      </c>
      <c r="AM2787">
        <v>91.605712677867899</v>
      </c>
      <c r="AN2787">
        <v>1.00000000304452</v>
      </c>
    </row>
    <row r="2788" spans="1:40" x14ac:dyDescent="0.25">
      <c r="A2788" t="str">
        <f>"20190312154310036"</f>
        <v>20190312154310036</v>
      </c>
      <c r="B2788" t="str">
        <f>"1552376590030653"</f>
        <v>1552376590030653</v>
      </c>
      <c r="C2788" t="s">
        <v>40</v>
      </c>
      <c r="D2788">
        <v>4.6684789999999996</v>
      </c>
      <c r="E2788">
        <v>0.5375934</v>
      </c>
      <c r="F2788" t="s">
        <v>41</v>
      </c>
      <c r="G2788">
        <v>-486.98680000000002</v>
      </c>
      <c r="H2788">
        <v>0.94497629999999999</v>
      </c>
      <c r="I2788">
        <v>273.73809999999997</v>
      </c>
      <c r="J2788">
        <v>-486.57229999999998</v>
      </c>
      <c r="K2788">
        <v>1.1120570000000001</v>
      </c>
      <c r="L2788">
        <v>274.22309999999999</v>
      </c>
      <c r="M2788">
        <v>-0.58963100000000002</v>
      </c>
      <c r="N2788">
        <v>0</v>
      </c>
      <c r="O2788">
        <v>-0.80755639999999995</v>
      </c>
      <c r="P2788">
        <v>-0.56691749999999996</v>
      </c>
      <c r="Q2788">
        <v>-1.4669710000000001E-2</v>
      </c>
      <c r="R2788">
        <v>-0.82364439999999906</v>
      </c>
      <c r="S2788">
        <v>-1.926239</v>
      </c>
      <c r="T2788">
        <v>-0.7178812</v>
      </c>
      <c r="U2788">
        <v>-2.3030089999999999</v>
      </c>
      <c r="V2788">
        <v>-2.7827770000000002E-2</v>
      </c>
      <c r="W2788">
        <v>-1.042449E-3</v>
      </c>
      <c r="X2788">
        <v>0.99961219999999995</v>
      </c>
      <c r="Y2788">
        <v>5.0952610000000002E-2</v>
      </c>
      <c r="Z2788">
        <v>0.19227</v>
      </c>
      <c r="AA2788">
        <v>0.98001839999999996</v>
      </c>
      <c r="AB2788">
        <v>12</v>
      </c>
      <c r="AC2788">
        <v>-0.41450000000003201</v>
      </c>
      <c r="AD2788">
        <v>-0.167080699999999</v>
      </c>
      <c r="AE2788">
        <v>-0.48500000000001298</v>
      </c>
      <c r="AF2788">
        <v>4.5635805820776303E-2</v>
      </c>
      <c r="AG2788">
        <v>-0.167080699999999</v>
      </c>
      <c r="AH2788">
        <v>0.59529891621172004</v>
      </c>
      <c r="AI2788">
        <v>105.634053570429</v>
      </c>
      <c r="AJ2788">
        <v>85.616261211033503</v>
      </c>
      <c r="AK2788">
        <v>0.61998337617088595</v>
      </c>
      <c r="AL2788">
        <v>90.059727938222096</v>
      </c>
      <c r="AM2788">
        <v>91.594620476848405</v>
      </c>
      <c r="AN2788">
        <v>1.0000000109359599</v>
      </c>
    </row>
    <row r="2789" spans="1:40" x14ac:dyDescent="0.25">
      <c r="A2789" t="str">
        <f>"20190312154310050"</f>
        <v>20190312154310050</v>
      </c>
      <c r="B2789" t="str">
        <f>"1552376590040414"</f>
        <v>1552376590040414</v>
      </c>
      <c r="C2789" t="s">
        <v>40</v>
      </c>
      <c r="D2789">
        <v>4.7008609999999997</v>
      </c>
      <c r="E2789">
        <v>0.537261199999999</v>
      </c>
      <c r="F2789" t="s">
        <v>41</v>
      </c>
      <c r="G2789">
        <v>-487.04689999999999</v>
      </c>
      <c r="H2789">
        <v>0.93501849999999997</v>
      </c>
      <c r="I2789">
        <v>273.65359999999998</v>
      </c>
      <c r="J2789">
        <v>-486.61250000000001</v>
      </c>
      <c r="K2789">
        <v>1.1120289999999999</v>
      </c>
      <c r="L2789">
        <v>274.1626</v>
      </c>
      <c r="M2789">
        <v>-0.58748959999999995</v>
      </c>
      <c r="N2789">
        <v>0</v>
      </c>
      <c r="O2789">
        <v>-0.80911560000000005</v>
      </c>
      <c r="P2789">
        <v>-0.56475109999999995</v>
      </c>
      <c r="Q2789">
        <v>-1.4780099999999999E-2</v>
      </c>
      <c r="R2789">
        <v>-0.825129</v>
      </c>
      <c r="S2789">
        <v>-1.9209590000000001</v>
      </c>
      <c r="T2789">
        <v>-0.71872630000000004</v>
      </c>
      <c r="U2789">
        <v>-2.3073429999999999</v>
      </c>
      <c r="V2789">
        <v>-2.780442E-2</v>
      </c>
      <c r="W2789">
        <v>-1.1613350000000001E-3</v>
      </c>
      <c r="X2789">
        <v>0.99961270000000002</v>
      </c>
      <c r="Y2789">
        <v>5.1303769999999999E-2</v>
      </c>
      <c r="Z2789">
        <v>0.19285939999999999</v>
      </c>
      <c r="AA2789">
        <v>0.97988430000000004</v>
      </c>
      <c r="AB2789">
        <v>12</v>
      </c>
      <c r="AC2789">
        <v>-0.43439999999998202</v>
      </c>
      <c r="AD2789">
        <v>-0.17701049999999999</v>
      </c>
      <c r="AE2789">
        <v>-0.509000000000014</v>
      </c>
      <c r="AF2789">
        <v>4.9022311328613198E-2</v>
      </c>
      <c r="AG2789">
        <v>-0.17701049999999999</v>
      </c>
      <c r="AH2789">
        <v>0.62348128593718699</v>
      </c>
      <c r="AI2789">
        <v>105.803271347719</v>
      </c>
      <c r="AJ2789">
        <v>85.504267920051703</v>
      </c>
      <c r="AK2789">
        <v>0.64997293638438303</v>
      </c>
      <c r="AL2789">
        <v>90.066539609574406</v>
      </c>
      <c r="AM2789">
        <v>91.593282340385301</v>
      </c>
      <c r="AN2789">
        <v>0.99999999223590397</v>
      </c>
    </row>
    <row r="2790" spans="1:40" x14ac:dyDescent="0.25">
      <c r="A2790" t="str">
        <f>"20190312154310063"</f>
        <v>20190312154310063</v>
      </c>
      <c r="B2790" t="str">
        <f>"1552376590050173"</f>
        <v>1552376590050173</v>
      </c>
      <c r="C2790" t="s">
        <v>40</v>
      </c>
      <c r="D2790">
        <v>4.9161109999999999</v>
      </c>
      <c r="E2790">
        <v>0.537261199999999</v>
      </c>
      <c r="F2790" t="s">
        <v>41</v>
      </c>
      <c r="G2790">
        <v>-487.1053</v>
      </c>
      <c r="H2790">
        <v>0.92712470000000002</v>
      </c>
      <c r="I2790">
        <v>273.56670000000003</v>
      </c>
      <c r="J2790">
        <v>-486.65449999999998</v>
      </c>
      <c r="K2790">
        <v>1.1119969999999999</v>
      </c>
      <c r="L2790">
        <v>274.0994</v>
      </c>
      <c r="M2790">
        <v>-0.58528329999999995</v>
      </c>
      <c r="N2790">
        <v>0</v>
      </c>
      <c r="O2790">
        <v>-0.81071329999999997</v>
      </c>
      <c r="P2790">
        <v>-0.56246039999999997</v>
      </c>
      <c r="Q2790">
        <v>-1.513507E-2</v>
      </c>
      <c r="R2790">
        <v>-0.82668609999999898</v>
      </c>
      <c r="S2790">
        <v>-1.9126590000000001</v>
      </c>
      <c r="T2790">
        <v>-0.71819569999999999</v>
      </c>
      <c r="U2790">
        <v>-2.3138730000000001</v>
      </c>
      <c r="V2790">
        <v>-2.7849209999999999E-2</v>
      </c>
      <c r="W2790">
        <v>-1.525212E-3</v>
      </c>
      <c r="X2790">
        <v>0.99961100000000003</v>
      </c>
      <c r="Y2790">
        <v>5.0576860000000001E-2</v>
      </c>
      <c r="Z2790">
        <v>0.1930431</v>
      </c>
      <c r="AA2790">
        <v>0.97988589999999998</v>
      </c>
      <c r="AB2790">
        <v>12</v>
      </c>
      <c r="AC2790">
        <v>-0.45080000000001502</v>
      </c>
      <c r="AD2790">
        <v>-0.18487229999999999</v>
      </c>
      <c r="AE2790">
        <v>-0.53269999999997697</v>
      </c>
      <c r="AF2790">
        <v>5.0172951606204497E-2</v>
      </c>
      <c r="AG2790">
        <v>-0.18487229999999999</v>
      </c>
      <c r="AH2790">
        <v>0.650149319384146</v>
      </c>
      <c r="AI2790">
        <v>105.828597510346</v>
      </c>
      <c r="AJ2790">
        <v>85.587149129216002</v>
      </c>
      <c r="AK2790">
        <v>0.67778258304255401</v>
      </c>
      <c r="AL2790">
        <v>90.087388241893294</v>
      </c>
      <c r="AM2790">
        <v>91.595850337326695</v>
      </c>
      <c r="AN2790">
        <v>1.00000002804513</v>
      </c>
    </row>
    <row r="2791" spans="1:40" x14ac:dyDescent="0.25">
      <c r="A2791" t="str">
        <f>"20190312154310077"</f>
        <v>20190312154310077</v>
      </c>
      <c r="B2791" t="str">
        <f>"1552376590070669"</f>
        <v>1552376590070669</v>
      </c>
      <c r="C2791" t="s">
        <v>40</v>
      </c>
      <c r="D2791">
        <v>4.7001530000000002</v>
      </c>
      <c r="E2791">
        <v>0.4785856</v>
      </c>
      <c r="F2791" t="s">
        <v>41</v>
      </c>
      <c r="G2791">
        <v>-487.10219999999998</v>
      </c>
      <c r="H2791">
        <v>0.94309410000000005</v>
      </c>
      <c r="I2791">
        <v>273.55459999999999</v>
      </c>
      <c r="J2791">
        <v>-486.6934</v>
      </c>
      <c r="K2791">
        <v>1.111966</v>
      </c>
      <c r="L2791">
        <v>274.04059999999998</v>
      </c>
      <c r="M2791">
        <v>-0.58325859999999996</v>
      </c>
      <c r="N2791">
        <v>0</v>
      </c>
      <c r="O2791">
        <v>-0.81217139999999999</v>
      </c>
      <c r="P2791">
        <v>-0.56046219999999902</v>
      </c>
      <c r="Q2791">
        <v>-1.524827E-2</v>
      </c>
      <c r="R2791">
        <v>-0.82804029999999995</v>
      </c>
      <c r="S2791">
        <v>-1.9057310000000001</v>
      </c>
      <c r="T2791">
        <v>-0.71944529999999995</v>
      </c>
      <c r="U2791">
        <v>-2.3192140000000001</v>
      </c>
      <c r="V2791">
        <v>-2.7767699999999999E-2</v>
      </c>
      <c r="W2791">
        <v>-1.645943E-3</v>
      </c>
      <c r="X2791">
        <v>0.99961299999999997</v>
      </c>
      <c r="Y2791">
        <v>5.0141949999999998E-2</v>
      </c>
      <c r="Z2791">
        <v>0.1936745</v>
      </c>
      <c r="AA2791">
        <v>0.97978370000000004</v>
      </c>
      <c r="AB2791">
        <v>12</v>
      </c>
      <c r="AC2791">
        <v>-0.40879999999998501</v>
      </c>
      <c r="AD2791">
        <v>-0.16887189999999999</v>
      </c>
      <c r="AE2791">
        <v>-0.48599999999999</v>
      </c>
      <c r="AF2791">
        <v>4.5349902532070101E-2</v>
      </c>
      <c r="AG2791">
        <v>-0.16887189999999999</v>
      </c>
      <c r="AH2791">
        <v>0.59139400391739605</v>
      </c>
      <c r="AI2791">
        <v>105.89234310108</v>
      </c>
      <c r="AJ2791">
        <v>85.614965896289206</v>
      </c>
      <c r="AK2791">
        <v>0.61670187298136803</v>
      </c>
      <c r="AL2791">
        <v>90.094305634323902</v>
      </c>
      <c r="AM2791">
        <v>91.591178771893993</v>
      </c>
      <c r="AN2791">
        <v>0.99999995203032299</v>
      </c>
    </row>
    <row r="2792" spans="1:40" x14ac:dyDescent="0.25">
      <c r="A2792" t="str">
        <f>"20190312154310089"</f>
        <v>20190312154310089</v>
      </c>
      <c r="B2792" t="str">
        <f>"1552376590080430"</f>
        <v>1552376590080430</v>
      </c>
      <c r="C2792" t="s">
        <v>40</v>
      </c>
      <c r="D2792">
        <v>4.6579879999999996</v>
      </c>
      <c r="E2792">
        <v>0.47086050000000002</v>
      </c>
      <c r="F2792" t="s">
        <v>41</v>
      </c>
      <c r="G2792">
        <v>-487.08690000000001</v>
      </c>
      <c r="H2792">
        <v>0.99166969999999999</v>
      </c>
      <c r="I2792">
        <v>273.37310000000002</v>
      </c>
      <c r="J2792">
        <v>-486.73070000000001</v>
      </c>
      <c r="K2792">
        <v>1.111937</v>
      </c>
      <c r="L2792">
        <v>273.98379999999997</v>
      </c>
      <c r="M2792">
        <v>-0.58131809999999995</v>
      </c>
      <c r="N2792">
        <v>0</v>
      </c>
      <c r="O2792">
        <v>-0.81356139999999999</v>
      </c>
      <c r="P2792">
        <v>-0.5584635</v>
      </c>
      <c r="Q2792">
        <v>-1.554316E-2</v>
      </c>
      <c r="R2792">
        <v>-0.82938389999999995</v>
      </c>
      <c r="S2792">
        <v>-1.5226440000000001</v>
      </c>
      <c r="T2792">
        <v>-0.46604869999999998</v>
      </c>
      <c r="U2792">
        <v>-2.5838619999999999</v>
      </c>
      <c r="V2792">
        <v>-2.7788170000000001E-2</v>
      </c>
      <c r="W2792">
        <v>-1.948239E-3</v>
      </c>
      <c r="X2792">
        <v>0.9996119</v>
      </c>
      <c r="Y2792">
        <v>-9.2373479999999994E-2</v>
      </c>
      <c r="Z2792">
        <v>0.1210326</v>
      </c>
      <c r="AA2792">
        <v>0.98834120000000003</v>
      </c>
      <c r="AB2792">
        <v>12</v>
      </c>
      <c r="AC2792">
        <v>-0.35620000000000102</v>
      </c>
      <c r="AD2792">
        <v>-0.12026729999999999</v>
      </c>
      <c r="AE2792">
        <v>-0.61069999999995095</v>
      </c>
      <c r="AF2792">
        <v>-6.33920492133071E-2</v>
      </c>
      <c r="AG2792">
        <v>-0.12026729999999999</v>
      </c>
      <c r="AH2792">
        <v>0.68417459528524105</v>
      </c>
      <c r="AI2792">
        <v>99.9281797297878</v>
      </c>
      <c r="AJ2792">
        <v>95.293614189561893</v>
      </c>
      <c r="AK2792">
        <v>0.697551182485182</v>
      </c>
      <c r="AL2792">
        <v>90.111625946780407</v>
      </c>
      <c r="AM2792">
        <v>91.592352916595999</v>
      </c>
      <c r="AN2792">
        <v>0.99999996432437899</v>
      </c>
    </row>
    <row r="2793" spans="1:40" x14ac:dyDescent="0.25">
      <c r="A2793" t="str">
        <f>"20190312154310102"</f>
        <v>20190312154310102</v>
      </c>
      <c r="B2793" t="str">
        <f>"1552376590090189"</f>
        <v>1552376590090189</v>
      </c>
      <c r="C2793" t="s">
        <v>40</v>
      </c>
      <c r="D2793">
        <v>4.7225129999999904</v>
      </c>
      <c r="E2793">
        <v>0.46522469999999999</v>
      </c>
      <c r="F2793" t="s">
        <v>43</v>
      </c>
      <c r="G2793">
        <v>-490.60669999999999</v>
      </c>
      <c r="H2793" s="1">
        <v>-3.3642529999999999E-6</v>
      </c>
      <c r="I2793">
        <v>267.05500000000001</v>
      </c>
      <c r="J2793">
        <v>-486.77080000000001</v>
      </c>
      <c r="K2793">
        <v>1.1119000000000001</v>
      </c>
      <c r="L2793">
        <v>273.92259999999999</v>
      </c>
      <c r="M2793">
        <v>-0.57926599999999995</v>
      </c>
      <c r="N2793">
        <v>0</v>
      </c>
      <c r="O2793">
        <v>-0.81502410000000003</v>
      </c>
      <c r="P2793">
        <v>-0.55636090000000005</v>
      </c>
      <c r="Q2793">
        <v>-1.559965E-2</v>
      </c>
      <c r="R2793">
        <v>-0.83079449999999999</v>
      </c>
      <c r="S2793">
        <v>-1.466583</v>
      </c>
      <c r="T2793">
        <v>-0.4207381</v>
      </c>
      <c r="U2793">
        <v>-2.6217350000000001</v>
      </c>
      <c r="V2793">
        <v>-2.7800559999999998E-2</v>
      </c>
      <c r="W2793">
        <v>-2.012373E-3</v>
      </c>
      <c r="X2793">
        <v>0.99961140000000004</v>
      </c>
      <c r="Y2793">
        <v>-0.111195</v>
      </c>
      <c r="Z2793">
        <v>0.1087399</v>
      </c>
      <c r="AA2793">
        <v>0.98783160000000003</v>
      </c>
      <c r="AB2793">
        <v>12</v>
      </c>
      <c r="AC2793">
        <v>-3.8358999999999801</v>
      </c>
      <c r="AD2793">
        <v>-1.1119033642530001</v>
      </c>
      <c r="AE2793">
        <v>-6.8675999999999799</v>
      </c>
      <c r="AF2793">
        <v>-0.83520819577895999</v>
      </c>
      <c r="AG2793">
        <v>-1.1119033642530001</v>
      </c>
      <c r="AH2793">
        <v>7.6668120827193302</v>
      </c>
      <c r="AI2793">
        <v>98.204094331047102</v>
      </c>
      <c r="AJ2793">
        <v>96.217178455151597</v>
      </c>
      <c r="AK2793">
        <v>7.7919130727610497</v>
      </c>
      <c r="AL2793">
        <v>90.115300564918499</v>
      </c>
      <c r="AM2793">
        <v>91.593063334724107</v>
      </c>
      <c r="AN2793">
        <v>0.99999993589568004</v>
      </c>
    </row>
    <row r="2794" spans="1:40" x14ac:dyDescent="0.25">
      <c r="A2794" t="str">
        <f>"20190312154310116"</f>
        <v>20190312154310116</v>
      </c>
      <c r="B2794" t="str">
        <f>"1552376590110685"</f>
        <v>1552376590110685</v>
      </c>
      <c r="C2794" t="s">
        <v>40</v>
      </c>
      <c r="D2794">
        <v>4.6778930000000001</v>
      </c>
      <c r="E2794">
        <v>0.45857100000000001</v>
      </c>
      <c r="F2794" t="s">
        <v>43</v>
      </c>
      <c r="G2794">
        <v>-490.82780000000002</v>
      </c>
      <c r="H2794" s="1">
        <v>-3.1308900000000001E-6</v>
      </c>
      <c r="I2794">
        <v>266.37389999999999</v>
      </c>
      <c r="J2794">
        <v>-486.80959999999999</v>
      </c>
      <c r="K2794">
        <v>1.111866</v>
      </c>
      <c r="L2794">
        <v>273.86320000000001</v>
      </c>
      <c r="M2794">
        <v>-0.57729719999999995</v>
      </c>
      <c r="N2794">
        <v>0</v>
      </c>
      <c r="O2794">
        <v>-0.81642000000000003</v>
      </c>
      <c r="P2794">
        <v>-0.55422850000000001</v>
      </c>
      <c r="Q2794">
        <v>-1.577102E-2</v>
      </c>
      <c r="R2794">
        <v>-0.8322155</v>
      </c>
      <c r="S2794">
        <v>-1.424164</v>
      </c>
      <c r="T2794">
        <v>-0.39032080000000002</v>
      </c>
      <c r="U2794">
        <v>-2.649902</v>
      </c>
      <c r="V2794">
        <v>-2.7948790000000001E-2</v>
      </c>
      <c r="W2794">
        <v>-2.1915210000000001E-3</v>
      </c>
      <c r="X2794">
        <v>0.99960700000000002</v>
      </c>
      <c r="Y2794">
        <v>-0.1249453</v>
      </c>
      <c r="Z2794">
        <v>0.1005257</v>
      </c>
      <c r="AA2794">
        <v>0.98705790000000004</v>
      </c>
      <c r="AB2794">
        <v>12</v>
      </c>
      <c r="AC2794">
        <v>-4.0182000000000304</v>
      </c>
      <c r="AD2794">
        <v>-1.1118691308899999</v>
      </c>
      <c r="AE2794">
        <v>-7.4893000000000098</v>
      </c>
      <c r="AF2794">
        <v>-1.0255586528145999</v>
      </c>
      <c r="AG2794">
        <v>-1.1118691308899999</v>
      </c>
      <c r="AH2794">
        <v>8.2929683256345204</v>
      </c>
      <c r="AI2794">
        <v>97.579262228495494</v>
      </c>
      <c r="AJ2794">
        <v>97.049750288739503</v>
      </c>
      <c r="AK2794">
        <v>8.4297892716583593</v>
      </c>
      <c r="AL2794">
        <v>90.125564998743499</v>
      </c>
      <c r="AM2794">
        <v>91.601560034113405</v>
      </c>
      <c r="AN2794">
        <v>1.00000004603787</v>
      </c>
    </row>
    <row r="2795" spans="1:40" x14ac:dyDescent="0.25">
      <c r="A2795" t="str">
        <f>"20190312154310127"</f>
        <v>20190312154310127</v>
      </c>
      <c r="B2795" t="str">
        <f>"1552376590120445"</f>
        <v>1552376590120445</v>
      </c>
      <c r="C2795" t="s">
        <v>40</v>
      </c>
      <c r="D2795">
        <v>4.6539640000000002</v>
      </c>
      <c r="E2795">
        <v>0.45657130000000001</v>
      </c>
      <c r="F2795" t="s">
        <v>43</v>
      </c>
      <c r="G2795">
        <v>-491.08300000000003</v>
      </c>
      <c r="H2795" s="1">
        <v>-2.8344610000000001E-6</v>
      </c>
      <c r="I2795">
        <v>265.52460000000002</v>
      </c>
      <c r="J2795">
        <v>-486.84309999999999</v>
      </c>
      <c r="K2795">
        <v>1.1118380000000001</v>
      </c>
      <c r="L2795">
        <v>273.8116</v>
      </c>
      <c r="M2795">
        <v>-0.57560369999999905</v>
      </c>
      <c r="N2795">
        <v>0</v>
      </c>
      <c r="O2795">
        <v>-0.81761499999999998</v>
      </c>
      <c r="P2795">
        <v>-0.5527917</v>
      </c>
      <c r="Q2795">
        <v>-1.5705110000000001E-2</v>
      </c>
      <c r="R2795">
        <v>-0.83317180000000002</v>
      </c>
      <c r="S2795">
        <v>-1.3747860000000001</v>
      </c>
      <c r="T2795">
        <v>-0.35769210000000001</v>
      </c>
      <c r="U2795">
        <v>-2.6825559999999999</v>
      </c>
      <c r="V2795">
        <v>-2.7602749999999999E-2</v>
      </c>
      <c r="W2795">
        <v>-2.1307140000000001E-3</v>
      </c>
      <c r="X2795">
        <v>0.99961670000000002</v>
      </c>
      <c r="Y2795">
        <v>-0.1416866</v>
      </c>
      <c r="Z2795">
        <v>9.1621359999999999E-2</v>
      </c>
      <c r="AA2795">
        <v>0.98566240000000005</v>
      </c>
      <c r="AB2795">
        <v>12</v>
      </c>
      <c r="AC2795">
        <v>-4.2399000000000298</v>
      </c>
      <c r="AD2795">
        <v>-1.11184083446099</v>
      </c>
      <c r="AE2795">
        <v>-8.2869999999999706</v>
      </c>
      <c r="AF2795">
        <v>-1.2852081660402499</v>
      </c>
      <c r="AG2795">
        <v>-1.11184083446099</v>
      </c>
      <c r="AH2795">
        <v>9.0872933092081905</v>
      </c>
      <c r="AI2795">
        <v>96.907468906648404</v>
      </c>
      <c r="AJ2795">
        <v>98.049904753546699</v>
      </c>
      <c r="AK2795">
        <v>9.2448282709205305</v>
      </c>
      <c r="AL2795">
        <v>90.122081012004202</v>
      </c>
      <c r="AM2795">
        <v>91.5817255692141</v>
      </c>
      <c r="AN2795">
        <v>0.99999999933430095</v>
      </c>
    </row>
    <row r="2796" spans="1:40" x14ac:dyDescent="0.25">
      <c r="A2796" t="str">
        <f>"20190312154310137"</f>
        <v>20190312154310137</v>
      </c>
      <c r="B2796" t="str">
        <f>"1552376590130205"</f>
        <v>1552376590130205</v>
      </c>
      <c r="C2796" t="s">
        <v>40</v>
      </c>
      <c r="D2796">
        <v>4.6715589999999896</v>
      </c>
      <c r="E2796">
        <v>0.45540019999999998</v>
      </c>
      <c r="F2796" t="s">
        <v>43</v>
      </c>
      <c r="G2796">
        <v>-491.16399999999999</v>
      </c>
      <c r="H2796" s="1">
        <v>-2.7317629999999999E-6</v>
      </c>
      <c r="I2796">
        <v>265.23500000000001</v>
      </c>
      <c r="J2796">
        <v>-486.87169999999998</v>
      </c>
      <c r="K2796">
        <v>1.1118129999999999</v>
      </c>
      <c r="L2796">
        <v>273.76729999999998</v>
      </c>
      <c r="M2796">
        <v>-0.57418480000000005</v>
      </c>
      <c r="N2796">
        <v>0</v>
      </c>
      <c r="O2796">
        <v>-0.81861200000000001</v>
      </c>
      <c r="P2796">
        <v>-0.5514635</v>
      </c>
      <c r="Q2796">
        <v>-1.5796580000000001E-2</v>
      </c>
      <c r="R2796">
        <v>-0.83404979999999995</v>
      </c>
      <c r="S2796">
        <v>-1.357086</v>
      </c>
      <c r="T2796">
        <v>-0.34920010000000001</v>
      </c>
      <c r="U2796">
        <v>-2.693695</v>
      </c>
      <c r="V2796">
        <v>-2.7460700000000001E-2</v>
      </c>
      <c r="W2796">
        <v>-2.2270419999999998E-3</v>
      </c>
      <c r="X2796">
        <v>0.99962039999999996</v>
      </c>
      <c r="Y2796">
        <v>-0.14665929999999999</v>
      </c>
      <c r="Z2796">
        <v>8.9373560000000005E-2</v>
      </c>
      <c r="AA2796">
        <v>0.9851413</v>
      </c>
      <c r="AB2796">
        <v>12</v>
      </c>
      <c r="AC2796">
        <v>-4.2923000000000098</v>
      </c>
      <c r="AD2796">
        <v>-1.111815731763</v>
      </c>
      <c r="AE2796">
        <v>-8.5322999999999602</v>
      </c>
      <c r="AF2796">
        <v>-1.36699417610079</v>
      </c>
      <c r="AG2796">
        <v>-1.111815731763</v>
      </c>
      <c r="AH2796">
        <v>9.3237545628653091</v>
      </c>
      <c r="AI2796">
        <v>96.728886936346996</v>
      </c>
      <c r="AJ2796">
        <v>98.340944895618804</v>
      </c>
      <c r="AK2796">
        <v>9.4887937298394807</v>
      </c>
      <c r="AL2796">
        <v>90.127600213267201</v>
      </c>
      <c r="AM2796">
        <v>91.573583933004201</v>
      </c>
      <c r="AN2796">
        <v>0.99999999692835895</v>
      </c>
    </row>
    <row r="2797" spans="1:40" x14ac:dyDescent="0.25">
      <c r="A2797" t="str">
        <f>"20190312154310148"</f>
        <v>20190312154310148</v>
      </c>
      <c r="B2797" t="str">
        <f>"1552376590139965"</f>
        <v>1552376590139965</v>
      </c>
      <c r="C2797" t="s">
        <v>40</v>
      </c>
      <c r="D2797">
        <v>4.6491889999999998</v>
      </c>
      <c r="E2797">
        <v>0.45439499999999999</v>
      </c>
      <c r="F2797" t="s">
        <v>43</v>
      </c>
      <c r="G2797">
        <v>-491.23129999999998</v>
      </c>
      <c r="H2797" s="1">
        <v>-2.6553830000000002E-6</v>
      </c>
      <c r="I2797">
        <v>265.01519999999999</v>
      </c>
      <c r="J2797">
        <v>-486.90620000000001</v>
      </c>
      <c r="K2797">
        <v>1.111783</v>
      </c>
      <c r="L2797">
        <v>273.71420000000001</v>
      </c>
      <c r="M2797">
        <v>-0.57248469999999996</v>
      </c>
      <c r="N2797">
        <v>0</v>
      </c>
      <c r="O2797">
        <v>-0.81980209999999998</v>
      </c>
      <c r="P2797">
        <v>-0.55033889999999996</v>
      </c>
      <c r="Q2797">
        <v>-1.631467E-2</v>
      </c>
      <c r="R2797">
        <v>-0.83478209999999997</v>
      </c>
      <c r="S2797">
        <v>-1.345337</v>
      </c>
      <c r="T2797">
        <v>-0.3431015</v>
      </c>
      <c r="U2797">
        <v>-2.7008670000000001</v>
      </c>
      <c r="V2797">
        <v>-2.6726610000000001E-2</v>
      </c>
      <c r="W2797">
        <v>-2.7492139999999998E-3</v>
      </c>
      <c r="X2797">
        <v>0.99963900000000006</v>
      </c>
      <c r="Y2797">
        <v>-0.14900840000000001</v>
      </c>
      <c r="Z2797">
        <v>8.7867479999999998E-2</v>
      </c>
      <c r="AA2797">
        <v>0.98492429999999997</v>
      </c>
      <c r="AB2797">
        <v>12</v>
      </c>
      <c r="AC2797">
        <v>-4.32509999999996</v>
      </c>
      <c r="AD2797">
        <v>-1.1117856553829999</v>
      </c>
      <c r="AE2797">
        <v>-8.6990000000000105</v>
      </c>
      <c r="AF2797">
        <v>-1.4159076898418801</v>
      </c>
      <c r="AG2797">
        <v>-1.1117856553829999</v>
      </c>
      <c r="AH2797">
        <v>9.4841917440724099</v>
      </c>
      <c r="AI2797">
        <v>96.613358353335101</v>
      </c>
      <c r="AJ2797">
        <v>98.491051703808694</v>
      </c>
      <c r="AK2797">
        <v>9.6535358790445294</v>
      </c>
      <c r="AL2797">
        <v>90.157518557589995</v>
      </c>
      <c r="AM2797">
        <v>91.531510108141902</v>
      </c>
      <c r="AN2797">
        <v>1.0000000000903499</v>
      </c>
    </row>
    <row r="2798" spans="1:40" x14ac:dyDescent="0.25">
      <c r="A2798" t="str">
        <f>"20190312154310159"</f>
        <v>20190312154310159</v>
      </c>
      <c r="B2798" t="str">
        <f>"1552376590150701"</f>
        <v>1552376590150701</v>
      </c>
      <c r="C2798" t="s">
        <v>40</v>
      </c>
      <c r="D2798">
        <v>4.6374909999999998</v>
      </c>
      <c r="E2798">
        <v>0.4535825</v>
      </c>
      <c r="F2798" t="s">
        <v>43</v>
      </c>
      <c r="G2798">
        <v>-491.27969999999999</v>
      </c>
      <c r="H2798" s="1">
        <v>-2.595976E-6</v>
      </c>
      <c r="I2798">
        <v>264.8467</v>
      </c>
      <c r="J2798">
        <v>-486.93759999999997</v>
      </c>
      <c r="K2798">
        <v>1.111753</v>
      </c>
      <c r="L2798">
        <v>273.6653</v>
      </c>
      <c r="M2798">
        <v>-0.57096279999999999</v>
      </c>
      <c r="N2798">
        <v>0</v>
      </c>
      <c r="O2798">
        <v>-0.82086289999999995</v>
      </c>
      <c r="P2798">
        <v>-0.54901709999999904</v>
      </c>
      <c r="Q2798">
        <v>-1.6506679999999999E-2</v>
      </c>
      <c r="R2798">
        <v>-0.83564819999999995</v>
      </c>
      <c r="S2798">
        <v>-1.335083</v>
      </c>
      <c r="T2798">
        <v>-0.33939170000000002</v>
      </c>
      <c r="U2798">
        <v>-2.7069399999999999</v>
      </c>
      <c r="V2798">
        <v>-2.6451079999999998E-2</v>
      </c>
      <c r="W2798">
        <v>-2.9461790000000002E-3</v>
      </c>
      <c r="X2798">
        <v>0.99964580000000003</v>
      </c>
      <c r="Y2798">
        <v>-0.15100620000000001</v>
      </c>
      <c r="Z2798">
        <v>8.6968219999999999E-2</v>
      </c>
      <c r="AA2798">
        <v>0.98469980000000001</v>
      </c>
      <c r="AB2798">
        <v>12</v>
      </c>
      <c r="AC2798">
        <v>-4.3421000000000101</v>
      </c>
      <c r="AD2798">
        <v>-1.1117555959759999</v>
      </c>
      <c r="AE2798">
        <v>-8.8186</v>
      </c>
      <c r="AF2798">
        <v>-1.45238112038292</v>
      </c>
      <c r="AG2798">
        <v>-1.1117555959759999</v>
      </c>
      <c r="AH2798">
        <v>9.5961848452083203</v>
      </c>
      <c r="AI2798">
        <v>96.534712700173699</v>
      </c>
      <c r="AJ2798">
        <v>98.606389328673401</v>
      </c>
      <c r="AK2798">
        <v>9.7689392979706096</v>
      </c>
      <c r="AL2798">
        <v>90.168803861101395</v>
      </c>
      <c r="AM2798">
        <v>91.5157185601268</v>
      </c>
      <c r="AN2798">
        <v>1.0000000325307501</v>
      </c>
    </row>
    <row r="2799" spans="1:40" x14ac:dyDescent="0.25">
      <c r="A2799" t="str">
        <f>"20190312154310170"</f>
        <v>20190312154310170</v>
      </c>
      <c r="B2799" t="str">
        <f>"1552376590160461"</f>
        <v>1552376590160461</v>
      </c>
      <c r="C2799" t="s">
        <v>40</v>
      </c>
      <c r="D2799">
        <v>4.6172060000000004</v>
      </c>
      <c r="E2799">
        <v>0.45288919999999999</v>
      </c>
      <c r="F2799" t="s">
        <v>43</v>
      </c>
      <c r="G2799">
        <v>-491.3347</v>
      </c>
      <c r="H2799" s="1">
        <v>-2.533417E-6</v>
      </c>
      <c r="I2799">
        <v>264.66669999999999</v>
      </c>
      <c r="J2799">
        <v>-486.96800000000002</v>
      </c>
      <c r="K2799">
        <v>1.1117239999999999</v>
      </c>
      <c r="L2799">
        <v>273.61799999999999</v>
      </c>
      <c r="M2799">
        <v>-0.56949659999999902</v>
      </c>
      <c r="N2799">
        <v>0</v>
      </c>
      <c r="O2799">
        <v>-0.82188059999999996</v>
      </c>
      <c r="P2799">
        <v>-0.54803449999999998</v>
      </c>
      <c r="Q2799">
        <v>-1.6898440000000001E-2</v>
      </c>
      <c r="R2799">
        <v>-0.83628519999999895</v>
      </c>
      <c r="S2799">
        <v>-1.3254699999999999</v>
      </c>
      <c r="T2799">
        <v>-0.3351288</v>
      </c>
      <c r="U2799">
        <v>-2.7125240000000002</v>
      </c>
      <c r="V2799">
        <v>-2.5836609999999999E-2</v>
      </c>
      <c r="W2799">
        <v>-3.3416520000000001E-3</v>
      </c>
      <c r="X2799">
        <v>0.99966060000000001</v>
      </c>
      <c r="Y2799">
        <v>-0.1528081</v>
      </c>
      <c r="Z2799">
        <v>8.5931919999999995E-2</v>
      </c>
      <c r="AA2799">
        <v>0.98451270000000002</v>
      </c>
      <c r="AB2799">
        <v>12</v>
      </c>
      <c r="AC2799">
        <v>-4.3666999999999696</v>
      </c>
      <c r="AD2799">
        <v>-1.1117265334169999</v>
      </c>
      <c r="AE2799">
        <v>-8.9512999999999998</v>
      </c>
      <c r="AF2799">
        <v>-1.49039908464071</v>
      </c>
      <c r="AG2799">
        <v>-1.1117265334169999</v>
      </c>
      <c r="AH2799">
        <v>9.7234830289930798</v>
      </c>
      <c r="AI2799">
        <v>96.447884138531506</v>
      </c>
      <c r="AJ2799">
        <v>98.714376975514199</v>
      </c>
      <c r="AK2799">
        <v>9.8996640110519802</v>
      </c>
      <c r="AL2799">
        <v>90.191462911363004</v>
      </c>
      <c r="AM2799">
        <v>91.480501712399601</v>
      </c>
      <c r="AN2799">
        <v>1.00000000612337</v>
      </c>
    </row>
    <row r="2800" spans="1:40" x14ac:dyDescent="0.25">
      <c r="A2800" t="str">
        <f>"20190312154310180"</f>
        <v>20190312154310180</v>
      </c>
      <c r="B2800" t="str">
        <f>"1552376590170221"</f>
        <v>1552376590170221</v>
      </c>
      <c r="C2800" t="s">
        <v>40</v>
      </c>
      <c r="D2800">
        <v>4.6077120000000003</v>
      </c>
      <c r="E2800">
        <v>0.45235150000000002</v>
      </c>
      <c r="F2800" t="s">
        <v>43</v>
      </c>
      <c r="G2800">
        <v>-491.37709999999998</v>
      </c>
      <c r="H2800" s="1">
        <v>-2.4850029999999998E-6</v>
      </c>
      <c r="I2800">
        <v>264.52760000000001</v>
      </c>
      <c r="J2800">
        <v>-487.00009999999997</v>
      </c>
      <c r="K2800">
        <v>1.111688</v>
      </c>
      <c r="L2800">
        <v>273.56790000000001</v>
      </c>
      <c r="M2800">
        <v>-0.56798019999999905</v>
      </c>
      <c r="N2800">
        <v>0</v>
      </c>
      <c r="O2800">
        <v>-0.82292960000000004</v>
      </c>
      <c r="P2800">
        <v>-0.54700740000000003</v>
      </c>
      <c r="Q2800">
        <v>-1.7032829999999999E-2</v>
      </c>
      <c r="R2800">
        <v>-0.83695469999999905</v>
      </c>
      <c r="S2800">
        <v>-1.3178099999999999</v>
      </c>
      <c r="T2800">
        <v>-0.3322794</v>
      </c>
      <c r="U2800">
        <v>-2.71698</v>
      </c>
      <c r="V2800">
        <v>-2.5218830000000001E-2</v>
      </c>
      <c r="W2800">
        <v>-3.479925E-3</v>
      </c>
      <c r="X2800">
        <v>0.99967589999999995</v>
      </c>
      <c r="Y2800">
        <v>-0.15383469999999999</v>
      </c>
      <c r="Z2800">
        <v>8.5285169999999993E-2</v>
      </c>
      <c r="AA2800">
        <v>0.98440919999999998</v>
      </c>
      <c r="AB2800">
        <v>12</v>
      </c>
      <c r="AC2800">
        <v>-4.3769999999999998</v>
      </c>
      <c r="AD2800">
        <v>-1.1116904850030001</v>
      </c>
      <c r="AE2800">
        <v>-9.0403000000000002</v>
      </c>
      <c r="AF2800">
        <v>-1.51433977077127</v>
      </c>
      <c r="AG2800">
        <v>-1.1116904850030001</v>
      </c>
      <c r="AH2800">
        <v>9.8063705925651306</v>
      </c>
      <c r="AI2800">
        <v>96.3925397587671</v>
      </c>
      <c r="AJ2800">
        <v>98.778506646248204</v>
      </c>
      <c r="AK2800">
        <v>9.9846875201236003</v>
      </c>
      <c r="AL2800">
        <v>90.199385417516396</v>
      </c>
      <c r="AM2800">
        <v>91.445094476129398</v>
      </c>
      <c r="AN2800">
        <v>1.00000000215269</v>
      </c>
    </row>
    <row r="2801" spans="1:40" x14ac:dyDescent="0.25">
      <c r="A2801" t="str">
        <f>"20190312154310192"</f>
        <v>20190312154310192</v>
      </c>
      <c r="B2801" t="str">
        <f>"1552376590179981"</f>
        <v>1552376590179981</v>
      </c>
      <c r="C2801" t="s">
        <v>40</v>
      </c>
      <c r="D2801">
        <v>4.6263629999999996</v>
      </c>
      <c r="E2801">
        <v>0.4518701</v>
      </c>
      <c r="F2801" t="s">
        <v>43</v>
      </c>
      <c r="G2801">
        <v>-491.42149999999998</v>
      </c>
      <c r="H2801" s="1">
        <v>-2.4387629999999999E-6</v>
      </c>
      <c r="I2801">
        <v>264.39229999999998</v>
      </c>
      <c r="J2801">
        <v>-487.03149999999999</v>
      </c>
      <c r="K2801">
        <v>1.1116569999999999</v>
      </c>
      <c r="L2801">
        <v>273.5188</v>
      </c>
      <c r="M2801">
        <v>-0.56651059999999998</v>
      </c>
      <c r="N2801">
        <v>0</v>
      </c>
      <c r="O2801">
        <v>-0.82394210000000001</v>
      </c>
      <c r="P2801">
        <v>-0.54589299999999996</v>
      </c>
      <c r="Q2801">
        <v>-1.6814140000000002E-2</v>
      </c>
      <c r="R2801">
        <v>-0.8376865</v>
      </c>
      <c r="S2801">
        <v>-1.31109599999999</v>
      </c>
      <c r="T2801">
        <v>-0.32965139999999998</v>
      </c>
      <c r="U2801">
        <v>-2.7208559999999999</v>
      </c>
      <c r="V2801">
        <v>-2.4768370000000001E-2</v>
      </c>
      <c r="W2801">
        <v>-3.2654609999999999E-3</v>
      </c>
      <c r="X2801">
        <v>0.99968789999999996</v>
      </c>
      <c r="Y2801">
        <v>-0.15456230000000001</v>
      </c>
      <c r="Z2801">
        <v>8.4700780000000003E-2</v>
      </c>
      <c r="AA2801">
        <v>0.98434560000000004</v>
      </c>
      <c r="AB2801">
        <v>12</v>
      </c>
      <c r="AC2801">
        <v>-4.3899999999999801</v>
      </c>
      <c r="AD2801">
        <v>-1.1116594387630001</v>
      </c>
      <c r="AE2801">
        <v>-9.1265000000000196</v>
      </c>
      <c r="AF2801">
        <v>-1.5348044235499101</v>
      </c>
      <c r="AG2801">
        <v>-1.1116594387630001</v>
      </c>
      <c r="AH2801">
        <v>9.88847139383636</v>
      </c>
      <c r="AI2801">
        <v>96.338974330641705</v>
      </c>
      <c r="AJ2801">
        <v>98.822566051850899</v>
      </c>
      <c r="AK2801">
        <v>10.0684297600499</v>
      </c>
      <c r="AL2801">
        <v>90.187097462908397</v>
      </c>
      <c r="AM2801">
        <v>91.419275750563401</v>
      </c>
      <c r="AN2801">
        <v>1.0000000163972</v>
      </c>
    </row>
    <row r="2802" spans="1:40" x14ac:dyDescent="0.25">
      <c r="A2802" t="str">
        <f>"20190312154310203"</f>
        <v>20190312154310203</v>
      </c>
      <c r="B2802" t="str">
        <f>"1552376590190717"</f>
        <v>1552376590190717</v>
      </c>
      <c r="C2802" t="s">
        <v>40</v>
      </c>
      <c r="D2802">
        <v>4.6213150000000001</v>
      </c>
      <c r="E2802">
        <v>0.4514879</v>
      </c>
      <c r="F2802" t="s">
        <v>43</v>
      </c>
      <c r="G2802">
        <v>-491.4778</v>
      </c>
      <c r="H2802" s="1">
        <v>-2.383678E-6</v>
      </c>
      <c r="I2802">
        <v>264.22899999999998</v>
      </c>
      <c r="J2802">
        <v>-487.06490000000002</v>
      </c>
      <c r="K2802">
        <v>1.1116250000000001</v>
      </c>
      <c r="L2802">
        <v>273.46620000000001</v>
      </c>
      <c r="M2802">
        <v>-0.5649672</v>
      </c>
      <c r="N2802">
        <v>0</v>
      </c>
      <c r="O2802">
        <v>-0.8250014</v>
      </c>
      <c r="P2802">
        <v>-0.54491160000000005</v>
      </c>
      <c r="Q2802">
        <v>-1.702592E-2</v>
      </c>
      <c r="R2802">
        <v>-0.83832090000000004</v>
      </c>
      <c r="S2802">
        <v>-1.3041689999999999</v>
      </c>
      <c r="T2802">
        <v>-0.3260671</v>
      </c>
      <c r="U2802">
        <v>-2.7248540000000001</v>
      </c>
      <c r="V2802">
        <v>-2.4065240000000002E-2</v>
      </c>
      <c r="W2802">
        <v>-3.4813280000000001E-3</v>
      </c>
      <c r="X2802">
        <v>0.99970429999999999</v>
      </c>
      <c r="Y2802">
        <v>-0.15527249999999901</v>
      </c>
      <c r="Z2802">
        <v>8.3876619999999999E-2</v>
      </c>
      <c r="AA2802">
        <v>0.98430439999999997</v>
      </c>
      <c r="AB2802">
        <v>12</v>
      </c>
      <c r="AC2802">
        <v>-4.4128999999999703</v>
      </c>
      <c r="AD2802">
        <v>-1.111627383678</v>
      </c>
      <c r="AE2802">
        <v>-9.2371999999999694</v>
      </c>
      <c r="AF2802">
        <v>-1.5598199448310801</v>
      </c>
      <c r="AG2802">
        <v>-1.111627383678</v>
      </c>
      <c r="AH2802">
        <v>9.9969053053936303</v>
      </c>
      <c r="AI2802">
        <v>96.2698145639621</v>
      </c>
      <c r="AJ2802">
        <v>98.868369795664094</v>
      </c>
      <c r="AK2802">
        <v>10.178745963302299</v>
      </c>
      <c r="AL2802">
        <v>90.199465810109999</v>
      </c>
      <c r="AM2802">
        <v>91.378978206015901</v>
      </c>
      <c r="AN2802">
        <v>0.99999997142969499</v>
      </c>
    </row>
    <row r="2803" spans="1:40" x14ac:dyDescent="0.25">
      <c r="A2803" t="str">
        <f>"20190312154310216"</f>
        <v>20190312154310216</v>
      </c>
      <c r="B2803" t="str">
        <f>"1552376590210238"</f>
        <v>1552376590210238</v>
      </c>
      <c r="C2803" t="s">
        <v>40</v>
      </c>
      <c r="D2803">
        <v>4.6082390000000002</v>
      </c>
      <c r="E2803">
        <v>0.450762</v>
      </c>
      <c r="F2803" t="s">
        <v>43</v>
      </c>
      <c r="G2803">
        <v>-491.524</v>
      </c>
      <c r="H2803" s="1">
        <v>-2.3405190000000002E-6</v>
      </c>
      <c r="I2803">
        <v>264.09969999999998</v>
      </c>
      <c r="J2803">
        <v>-487.09800000000001</v>
      </c>
      <c r="K2803">
        <v>1.1115980000000001</v>
      </c>
      <c r="L2803">
        <v>273.41419999999999</v>
      </c>
      <c r="M2803">
        <v>-0.56346669999999999</v>
      </c>
      <c r="N2803">
        <v>0</v>
      </c>
      <c r="O2803">
        <v>-0.82602699999999996</v>
      </c>
      <c r="P2803">
        <v>-0.54377259999999905</v>
      </c>
      <c r="Q2803">
        <v>-1.6985210000000001E-2</v>
      </c>
      <c r="R2803">
        <v>-0.83906099999999995</v>
      </c>
      <c r="S2803">
        <v>-1.298645</v>
      </c>
      <c r="T2803">
        <v>-0.3237469</v>
      </c>
      <c r="U2803">
        <v>-2.727875</v>
      </c>
      <c r="V2803">
        <v>-2.360665E-2</v>
      </c>
      <c r="W2803">
        <v>-3.4452430000000002E-3</v>
      </c>
      <c r="X2803">
        <v>0.99971540000000003</v>
      </c>
      <c r="Y2803">
        <v>-0.15550129999999901</v>
      </c>
      <c r="Z2803">
        <v>8.3390590000000001E-2</v>
      </c>
      <c r="AA2803">
        <v>0.98430960000000001</v>
      </c>
      <c r="AB2803">
        <v>12</v>
      </c>
      <c r="AC2803">
        <v>-4.4259999999999797</v>
      </c>
      <c r="AD2803">
        <v>-1.11160034051899</v>
      </c>
      <c r="AE2803">
        <v>-9.3145000000000095</v>
      </c>
      <c r="AF2803">
        <v>-1.5742709490429601</v>
      </c>
      <c r="AG2803">
        <v>-1.11160034051899</v>
      </c>
      <c r="AH2803">
        <v>10.071849855675801</v>
      </c>
      <c r="AI2803">
        <v>96.223120467318594</v>
      </c>
      <c r="AJ2803">
        <v>98.883682300184105</v>
      </c>
      <c r="AK2803">
        <v>10.254566975417299</v>
      </c>
      <c r="AL2803">
        <v>90.197398271377907</v>
      </c>
      <c r="AM2803">
        <v>91.352695082392998</v>
      </c>
      <c r="AN2803">
        <v>1.0000000123103501</v>
      </c>
    </row>
    <row r="2804" spans="1:40" x14ac:dyDescent="0.25">
      <c r="A2804" t="str">
        <f>"20190312154310227"</f>
        <v>20190312154310227</v>
      </c>
      <c r="B2804" t="str">
        <f>"1552376590219997"</f>
        <v>1552376590219997</v>
      </c>
      <c r="C2804" t="s">
        <v>40</v>
      </c>
      <c r="D2804">
        <v>4.5948650000000004</v>
      </c>
      <c r="E2804">
        <v>0.45054460000000002</v>
      </c>
      <c r="F2804" t="s">
        <v>43</v>
      </c>
      <c r="G2804">
        <v>-491.5847</v>
      </c>
      <c r="H2804" s="1">
        <v>-2.2765499999999998E-6</v>
      </c>
      <c r="I2804">
        <v>263.91300000000001</v>
      </c>
      <c r="J2804">
        <v>-487.13299999999998</v>
      </c>
      <c r="K2804">
        <v>1.111561</v>
      </c>
      <c r="L2804">
        <v>273.35899999999998</v>
      </c>
      <c r="M2804">
        <v>-0.56189730000000004</v>
      </c>
      <c r="N2804">
        <v>0</v>
      </c>
      <c r="O2804">
        <v>-0.82709539999999904</v>
      </c>
      <c r="P2804">
        <v>-0.54249440000000004</v>
      </c>
      <c r="Q2804">
        <v>-1.6603130000000001E-2</v>
      </c>
      <c r="R2804">
        <v>-0.83989559999999996</v>
      </c>
      <c r="S2804">
        <v>-1.2904359999999999</v>
      </c>
      <c r="T2804">
        <v>-0.31971450000000001</v>
      </c>
      <c r="U2804">
        <v>-2.7326969999999999</v>
      </c>
      <c r="V2804">
        <v>-2.3236280000000002E-2</v>
      </c>
      <c r="W2804">
        <v>-3.0682270000000002E-3</v>
      </c>
      <c r="X2804">
        <v>0.99972530000000004</v>
      </c>
      <c r="Y2804">
        <v>-0.1566708</v>
      </c>
      <c r="Z2804">
        <v>8.2428920000000003E-2</v>
      </c>
      <c r="AA2804">
        <v>0.98420510000000005</v>
      </c>
      <c r="AB2804">
        <v>12</v>
      </c>
      <c r="AC2804">
        <v>-4.4516999999999598</v>
      </c>
      <c r="AD2804">
        <v>-1.1115632765500001</v>
      </c>
      <c r="AE2804">
        <v>-9.4460000000000193</v>
      </c>
      <c r="AF2804">
        <v>-1.6076354388124601</v>
      </c>
      <c r="AG2804">
        <v>-1.1115632765500001</v>
      </c>
      <c r="AH2804">
        <v>10.199523819302801</v>
      </c>
      <c r="AI2804">
        <v>96.144390182319597</v>
      </c>
      <c r="AJ2804">
        <v>98.957193570807604</v>
      </c>
      <c r="AK2804">
        <v>10.3851023472292</v>
      </c>
      <c r="AL2804">
        <v>90.1757967322675</v>
      </c>
      <c r="AM2804">
        <v>91.331466867588802</v>
      </c>
      <c r="AN2804">
        <v>1.00000000709262</v>
      </c>
    </row>
    <row r="2805" spans="1:40" x14ac:dyDescent="0.25">
      <c r="A2805" t="str">
        <f>"20190312154310239"</f>
        <v>20190312154310239</v>
      </c>
      <c r="B2805" t="str">
        <f>"1552376590230733"</f>
        <v>1552376590230733</v>
      </c>
      <c r="C2805" t="s">
        <v>40</v>
      </c>
      <c r="D2805">
        <v>4.6091819999999997</v>
      </c>
      <c r="E2805">
        <v>0.45041059999999999</v>
      </c>
      <c r="F2805" t="s">
        <v>43</v>
      </c>
      <c r="G2805">
        <v>-491.64109999999999</v>
      </c>
      <c r="H2805" s="1">
        <v>-2.2263760000000002E-6</v>
      </c>
      <c r="I2805">
        <v>263.76100000000002</v>
      </c>
      <c r="J2805">
        <v>-487.16520000000003</v>
      </c>
      <c r="K2805">
        <v>1.1115280000000001</v>
      </c>
      <c r="L2805">
        <v>273.30799999999999</v>
      </c>
      <c r="M2805">
        <v>-0.5604962</v>
      </c>
      <c r="N2805">
        <v>0</v>
      </c>
      <c r="O2805">
        <v>-0.82804580000000005</v>
      </c>
      <c r="P2805">
        <v>-0.54135880000000003</v>
      </c>
      <c r="Q2805">
        <v>-1.6598399999999999E-2</v>
      </c>
      <c r="R2805">
        <v>-0.84062780000000004</v>
      </c>
      <c r="S2805">
        <v>-1.2849120000000001</v>
      </c>
      <c r="T2805">
        <v>-0.31681690000000001</v>
      </c>
      <c r="U2805">
        <v>-2.7356259999999999</v>
      </c>
      <c r="V2805">
        <v>-2.2894959999999999E-2</v>
      </c>
      <c r="W2805">
        <v>-3.0682919999999998E-3</v>
      </c>
      <c r="X2805">
        <v>0.99973319999999999</v>
      </c>
      <c r="Y2805">
        <v>-0.1570029</v>
      </c>
      <c r="Z2805">
        <v>8.1781339999999994E-2</v>
      </c>
      <c r="AA2805">
        <v>0.98420620000000003</v>
      </c>
      <c r="AB2805">
        <v>12</v>
      </c>
      <c r="AC2805">
        <v>-4.4758999999999602</v>
      </c>
      <c r="AD2805">
        <v>-1.1115302263760001</v>
      </c>
      <c r="AE2805">
        <v>-9.5470000000000201</v>
      </c>
      <c r="AF2805">
        <v>-1.6268794527427</v>
      </c>
      <c r="AG2805">
        <v>-1.1115302263760001</v>
      </c>
      <c r="AH2805">
        <v>10.300569959878899</v>
      </c>
      <c r="AI2805">
        <v>96.084090599213198</v>
      </c>
      <c r="AJ2805">
        <v>98.975197243250705</v>
      </c>
      <c r="AK2805">
        <v>10.487324620524699</v>
      </c>
      <c r="AL2805">
        <v>90.175800452062305</v>
      </c>
      <c r="AM2805">
        <v>91.311905342856207</v>
      </c>
      <c r="AN2805">
        <v>1.0000000323957099</v>
      </c>
    </row>
    <row r="2806" spans="1:40" x14ac:dyDescent="0.25">
      <c r="A2806" t="str">
        <f>"20190312154310252"</f>
        <v>20190312154310252</v>
      </c>
      <c r="B2806" t="str">
        <f>"1552376590240493"</f>
        <v>1552376590240493</v>
      </c>
      <c r="C2806" t="s">
        <v>40</v>
      </c>
      <c r="D2806">
        <v>4.5449060000000001</v>
      </c>
      <c r="E2806">
        <v>0.45016430000000002</v>
      </c>
      <c r="F2806" t="s">
        <v>43</v>
      </c>
      <c r="G2806">
        <v>-491.67559999999997</v>
      </c>
      <c r="H2806" s="1">
        <v>-2.1947029999999998E-6</v>
      </c>
      <c r="I2806">
        <v>263.66579999999999</v>
      </c>
      <c r="J2806">
        <v>-487.20249999999999</v>
      </c>
      <c r="K2806">
        <v>1.1114869999999999</v>
      </c>
      <c r="L2806">
        <v>273.24900000000002</v>
      </c>
      <c r="M2806">
        <v>-0.55889560000000005</v>
      </c>
      <c r="N2806">
        <v>0</v>
      </c>
      <c r="O2806">
        <v>-0.82912730000000001</v>
      </c>
      <c r="P2806">
        <v>-0.54000899999999996</v>
      </c>
      <c r="Q2806">
        <v>-1.6755969999999999E-2</v>
      </c>
      <c r="R2806">
        <v>-0.84149259999999904</v>
      </c>
      <c r="S2806">
        <v>-1.28067</v>
      </c>
      <c r="T2806">
        <v>-0.31560700000000003</v>
      </c>
      <c r="U2806">
        <v>-2.7377929999999999</v>
      </c>
      <c r="V2806">
        <v>-2.2566019999999999E-2</v>
      </c>
      <c r="W2806">
        <v>-3.2314790000000002E-3</v>
      </c>
      <c r="X2806">
        <v>0.99974010000000002</v>
      </c>
      <c r="Y2806">
        <v>-0.15663540000000001</v>
      </c>
      <c r="Z2806">
        <v>8.1603599999999998E-2</v>
      </c>
      <c r="AA2806">
        <v>0.98427949999999997</v>
      </c>
      <c r="AB2806">
        <v>12</v>
      </c>
      <c r="AC2806">
        <v>-4.4730999999999801</v>
      </c>
      <c r="AD2806">
        <v>-1.1114891947029999</v>
      </c>
      <c r="AE2806">
        <v>-9.5832000000000299</v>
      </c>
      <c r="AF2806">
        <v>-1.6293926555327101</v>
      </c>
      <c r="AG2806">
        <v>-1.1114891947029999</v>
      </c>
      <c r="AH2806">
        <v>10.332519135856201</v>
      </c>
      <c r="AI2806">
        <v>96.065423443623999</v>
      </c>
      <c r="AJ2806">
        <v>98.961493299407294</v>
      </c>
      <c r="AK2806">
        <v>10.519091232073199</v>
      </c>
      <c r="AL2806">
        <v>90.185150436516693</v>
      </c>
      <c r="AM2806">
        <v>91.293054258674005</v>
      </c>
      <c r="AN2806">
        <v>0.99999996763158805</v>
      </c>
    </row>
    <row r="2807" spans="1:40" x14ac:dyDescent="0.25">
      <c r="A2807" t="str">
        <f>"20190312154310264"</f>
        <v>20190312154310264</v>
      </c>
      <c r="B2807" t="str">
        <f>"1552376590250253"</f>
        <v>1552376590250253</v>
      </c>
      <c r="C2807" t="s">
        <v>40</v>
      </c>
      <c r="D2807">
        <v>4.5660239999999996</v>
      </c>
      <c r="E2807">
        <v>0.45003369999999998</v>
      </c>
      <c r="F2807" t="s">
        <v>43</v>
      </c>
      <c r="G2807">
        <v>-491.69310000000002</v>
      </c>
      <c r="H2807" s="1">
        <v>-2.1679239999999998E-6</v>
      </c>
      <c r="I2807">
        <v>263.59249999999997</v>
      </c>
      <c r="J2807">
        <v>-487.24009999999998</v>
      </c>
      <c r="K2807">
        <v>1.1114459999999999</v>
      </c>
      <c r="L2807">
        <v>273.18920000000003</v>
      </c>
      <c r="M2807">
        <v>-0.5573186</v>
      </c>
      <c r="N2807">
        <v>0</v>
      </c>
      <c r="O2807">
        <v>-0.83018809999999998</v>
      </c>
      <c r="P2807">
        <v>-0.53817179999999998</v>
      </c>
      <c r="Q2807">
        <v>-1.6925340000000001E-2</v>
      </c>
      <c r="R2807">
        <v>-0.84266559999999902</v>
      </c>
      <c r="S2807">
        <v>-1.2746280000000001</v>
      </c>
      <c r="T2807">
        <v>-0.3154824</v>
      </c>
      <c r="U2807">
        <v>-2.740875</v>
      </c>
      <c r="V2807">
        <v>-2.2844880000000001E-2</v>
      </c>
      <c r="W2807">
        <v>-3.4077589999999998E-3</v>
      </c>
      <c r="X2807">
        <v>0.99973319999999999</v>
      </c>
      <c r="Y2807">
        <v>-0.15696589999999999</v>
      </c>
      <c r="Z2807">
        <v>8.1678280000000006E-2</v>
      </c>
      <c r="AA2807">
        <v>0.98422069999999995</v>
      </c>
      <c r="AB2807">
        <v>12</v>
      </c>
      <c r="AC2807">
        <v>-4.4530000000000296</v>
      </c>
      <c r="AD2807">
        <v>-1.111448167924</v>
      </c>
      <c r="AE2807">
        <v>-9.59670000000005</v>
      </c>
      <c r="AF2807">
        <v>-1.63371235967954</v>
      </c>
      <c r="AG2807">
        <v>-1.111448167924</v>
      </c>
      <c r="AH2807">
        <v>10.3356914781759</v>
      </c>
      <c r="AI2807">
        <v>96.063010931010894</v>
      </c>
      <c r="AJ2807">
        <v>98.982151389100096</v>
      </c>
      <c r="AK2807">
        <v>10.5228727748742</v>
      </c>
      <c r="AL2807">
        <v>90.195250588880796</v>
      </c>
      <c r="AM2807">
        <v>91.309036705659395</v>
      </c>
      <c r="AN2807">
        <v>0.99999998627292797</v>
      </c>
    </row>
    <row r="2808" spans="1:40" x14ac:dyDescent="0.25">
      <c r="A2808" t="str">
        <f>"20190312154310278"</f>
        <v>20190312154310278</v>
      </c>
      <c r="B2808" t="str">
        <f>"1552376590269773"</f>
        <v>1552376590269773</v>
      </c>
      <c r="C2808" t="s">
        <v>40</v>
      </c>
      <c r="D2808">
        <v>4.5504660000000001</v>
      </c>
      <c r="E2808">
        <v>0.44972679999999998</v>
      </c>
      <c r="F2808" t="s">
        <v>43</v>
      </c>
      <c r="G2808">
        <v>-491.7174</v>
      </c>
      <c r="H2808" s="1">
        <v>-2.1318679999999998E-6</v>
      </c>
      <c r="I2808">
        <v>263.49329999999998</v>
      </c>
      <c r="J2808">
        <v>-487.27679999999998</v>
      </c>
      <c r="K2808">
        <v>1.111408</v>
      </c>
      <c r="L2808">
        <v>273.13060000000002</v>
      </c>
      <c r="M2808">
        <v>-0.55581849999999999</v>
      </c>
      <c r="N2808">
        <v>0</v>
      </c>
      <c r="O2808">
        <v>-0.83119330000000002</v>
      </c>
      <c r="P2808">
        <v>-0.53640019999999999</v>
      </c>
      <c r="Q2808">
        <v>-1.73365999999999E-2</v>
      </c>
      <c r="R2808">
        <v>-0.84378609999999898</v>
      </c>
      <c r="S2808">
        <v>-1.267334</v>
      </c>
      <c r="T2808">
        <v>-0.314600299999999</v>
      </c>
      <c r="U2808">
        <v>-2.7444459999999999</v>
      </c>
      <c r="V2808">
        <v>-2.3134680000000001E-2</v>
      </c>
      <c r="W2808">
        <v>-3.8257949999999999E-3</v>
      </c>
      <c r="X2808">
        <v>0.99972499999999997</v>
      </c>
      <c r="Y2808">
        <v>-0.1578175</v>
      </c>
      <c r="Z2808">
        <v>8.1538440000000004E-2</v>
      </c>
      <c r="AA2808">
        <v>0.98409610000000003</v>
      </c>
      <c r="AB2808">
        <v>12</v>
      </c>
      <c r="AC2808">
        <v>-4.4406000000000097</v>
      </c>
      <c r="AD2808">
        <v>-1.1114101318680001</v>
      </c>
      <c r="AE2808">
        <v>-9.63730000000003</v>
      </c>
      <c r="AF2808">
        <v>-1.64766983885327</v>
      </c>
      <c r="AG2808">
        <v>-1.1114101318680001</v>
      </c>
      <c r="AH2808">
        <v>10.3658702148798</v>
      </c>
      <c r="AI2808">
        <v>96.044462628209004</v>
      </c>
      <c r="AJ2808">
        <v>99.031688047828496</v>
      </c>
      <c r="AK2808">
        <v>10.55468207436</v>
      </c>
      <c r="AL2808">
        <v>90.219202449655896</v>
      </c>
      <c r="AM2808">
        <v>91.325647544725996</v>
      </c>
      <c r="AN2808">
        <v>0.99999996287554105</v>
      </c>
    </row>
    <row r="2809" spans="1:40" x14ac:dyDescent="0.25">
      <c r="A2809" t="str">
        <f>"20190312154310294"</f>
        <v>20190312154310294</v>
      </c>
      <c r="B2809" t="str">
        <f>"1552376590290269"</f>
        <v>1552376590290269</v>
      </c>
      <c r="C2809" t="s">
        <v>40</v>
      </c>
      <c r="D2809">
        <v>4.5184430000000004</v>
      </c>
      <c r="E2809">
        <v>0.44956309999999999</v>
      </c>
      <c r="F2809" t="s">
        <v>43</v>
      </c>
      <c r="G2809">
        <v>-491.73680000000002</v>
      </c>
      <c r="H2809" s="1">
        <v>-2.0976320000000001E-6</v>
      </c>
      <c r="I2809">
        <v>263.4015</v>
      </c>
      <c r="J2809">
        <v>-487.32119999999998</v>
      </c>
      <c r="K2809">
        <v>1.111362</v>
      </c>
      <c r="L2809">
        <v>273.0598</v>
      </c>
      <c r="M2809">
        <v>-0.55404200000000003</v>
      </c>
      <c r="N2809">
        <v>0</v>
      </c>
      <c r="O2809">
        <v>-0.83237850000000002</v>
      </c>
      <c r="P2809">
        <v>-0.53419150000000004</v>
      </c>
      <c r="Q2809">
        <v>-1.820772E-2</v>
      </c>
      <c r="R2809">
        <v>-0.84516729999999995</v>
      </c>
      <c r="S2809">
        <v>-1.2597959999999999</v>
      </c>
      <c r="T2809">
        <v>-0.31393209999999999</v>
      </c>
      <c r="U2809">
        <v>-2.7481080000000002</v>
      </c>
      <c r="V2809">
        <v>-2.3602720000000001E-2</v>
      </c>
      <c r="W2809">
        <v>-4.7051509999999899E-3</v>
      </c>
      <c r="X2809">
        <v>0.99971030000000005</v>
      </c>
      <c r="Y2809">
        <v>-0.1584306</v>
      </c>
      <c r="Z2809">
        <v>8.148089E-2</v>
      </c>
      <c r="AA2809">
        <v>0.98400240000000005</v>
      </c>
      <c r="AB2809">
        <v>12</v>
      </c>
      <c r="AC2809">
        <v>-4.4156000000000297</v>
      </c>
      <c r="AD2809">
        <v>-1.1113640976320001</v>
      </c>
      <c r="AE2809">
        <v>-9.6582999999999899</v>
      </c>
      <c r="AF2809">
        <v>-1.6576530662436799</v>
      </c>
      <c r="AG2809">
        <v>-1.1113640976320001</v>
      </c>
      <c r="AH2809">
        <v>10.3731482122437</v>
      </c>
      <c r="AI2809">
        <v>96.039211897092798</v>
      </c>
      <c r="AJ2809">
        <v>99.079232613466004</v>
      </c>
      <c r="AK2809">
        <v>10.5633871309683</v>
      </c>
      <c r="AL2809">
        <v>90.269586301010094</v>
      </c>
      <c r="AM2809">
        <v>91.352476868409198</v>
      </c>
      <c r="AN2809">
        <v>0.99999995538170905</v>
      </c>
    </row>
    <row r="2810" spans="1:40" x14ac:dyDescent="0.25">
      <c r="A2810" t="str">
        <f>"20190312154310310"</f>
        <v>20190312154310310</v>
      </c>
      <c r="B2810" t="str">
        <f>"1552376590300029"</f>
        <v>1552376590300029</v>
      </c>
      <c r="C2810" t="s">
        <v>40</v>
      </c>
      <c r="D2810">
        <v>4.5071159999999999</v>
      </c>
      <c r="E2810">
        <v>0.42646099999999998</v>
      </c>
      <c r="F2810" t="s">
        <v>43</v>
      </c>
      <c r="G2810">
        <v>-491.7611</v>
      </c>
      <c r="H2810" s="1">
        <v>-2.0603079999999998E-6</v>
      </c>
      <c r="I2810">
        <v>263.29950000000002</v>
      </c>
      <c r="J2810">
        <v>-487.36720000000003</v>
      </c>
      <c r="K2810">
        <v>1.1113219999999999</v>
      </c>
      <c r="L2810">
        <v>272.9862</v>
      </c>
      <c r="M2810">
        <v>-0.55224589999999996</v>
      </c>
      <c r="N2810">
        <v>0</v>
      </c>
      <c r="O2810">
        <v>-0.83357130000000002</v>
      </c>
      <c r="P2810">
        <v>-0.53219189999999905</v>
      </c>
      <c r="Q2810">
        <v>-1.8874640000000002E-2</v>
      </c>
      <c r="R2810">
        <v>-0.84641299999999997</v>
      </c>
      <c r="S2810">
        <v>-1.251709</v>
      </c>
      <c r="T2810">
        <v>-0.3133203</v>
      </c>
      <c r="U2810">
        <v>-2.7516780000000001</v>
      </c>
      <c r="V2810">
        <v>-2.380142E-2</v>
      </c>
      <c r="W2810">
        <v>-5.3796449999999997E-3</v>
      </c>
      <c r="X2810">
        <v>0.99970219999999999</v>
      </c>
      <c r="Y2810">
        <v>-0.15917419999999999</v>
      </c>
      <c r="Z2810">
        <v>8.1442310000000004E-2</v>
      </c>
      <c r="AA2810">
        <v>0.98388549999999997</v>
      </c>
      <c r="AB2810">
        <v>12</v>
      </c>
      <c r="AC2810">
        <v>-4.3938999999999702</v>
      </c>
      <c r="AD2810">
        <v>-1.1113240603079999</v>
      </c>
      <c r="AE2810">
        <v>-9.6866999999999699</v>
      </c>
      <c r="AF2810">
        <v>-1.66874970365179</v>
      </c>
      <c r="AG2810">
        <v>-1.1113240603079999</v>
      </c>
      <c r="AH2810">
        <v>10.388627014987501</v>
      </c>
      <c r="AI2810">
        <v>96.029288277893002</v>
      </c>
      <c r="AJ2810">
        <v>99.125600771151397</v>
      </c>
      <c r="AK2810">
        <v>10.580327877574801</v>
      </c>
      <c r="AL2810">
        <v>90.308232450259595</v>
      </c>
      <c r="AM2810">
        <v>91.363869487487705</v>
      </c>
      <c r="AN2810">
        <v>0.99999996842959005</v>
      </c>
    </row>
    <row r="2811" spans="1:40" x14ac:dyDescent="0.25">
      <c r="A2811" t="str">
        <f>"20190312154310323"</f>
        <v>20190312154310323</v>
      </c>
      <c r="B2811" t="str">
        <f>"1552376590320525"</f>
        <v>1552376590320525</v>
      </c>
      <c r="C2811" t="s">
        <v>40</v>
      </c>
      <c r="D2811">
        <v>4.4862149999999996</v>
      </c>
      <c r="E2811">
        <v>0.42566619999999999</v>
      </c>
      <c r="F2811" t="s">
        <v>43</v>
      </c>
      <c r="G2811">
        <v>-493.34190000000001</v>
      </c>
      <c r="H2811" s="1">
        <v>-4.1367410000000002E-6</v>
      </c>
      <c r="I2811">
        <v>257.4008</v>
      </c>
      <c r="J2811">
        <v>-487.4042</v>
      </c>
      <c r="K2811">
        <v>1.1113</v>
      </c>
      <c r="L2811">
        <v>272.92669999999998</v>
      </c>
      <c r="M2811">
        <v>-0.55083570000000004</v>
      </c>
      <c r="N2811">
        <v>0</v>
      </c>
      <c r="O2811">
        <v>-0.83450409999999997</v>
      </c>
      <c r="P2811">
        <v>-0.53053539999999999</v>
      </c>
      <c r="Q2811">
        <v>-1.9618130000000001E-2</v>
      </c>
      <c r="R2811">
        <v>-0.84743599999999997</v>
      </c>
      <c r="S2811">
        <v>-1.093445</v>
      </c>
      <c r="T2811">
        <v>-0.20338700000000001</v>
      </c>
      <c r="U2811">
        <v>-2.852325</v>
      </c>
      <c r="V2811">
        <v>-2.4056350000000001E-2</v>
      </c>
      <c r="W2811">
        <v>-6.1293240000000002E-3</v>
      </c>
      <c r="X2811">
        <v>0.99969180000000002</v>
      </c>
      <c r="Y2811">
        <v>-0.21619679999999999</v>
      </c>
      <c r="Z2811">
        <v>5.1455889999999997E-2</v>
      </c>
      <c r="AA2811">
        <v>0.97499290000000005</v>
      </c>
      <c r="AB2811">
        <v>12</v>
      </c>
      <c r="AC2811">
        <v>-5.9377000000000004</v>
      </c>
      <c r="AD2811">
        <v>-1.1113041367409999</v>
      </c>
      <c r="AE2811">
        <v>-15.525899999999901</v>
      </c>
      <c r="AF2811">
        <v>-3.5815061467793501</v>
      </c>
      <c r="AG2811">
        <v>-1.1113041367409999</v>
      </c>
      <c r="AH2811">
        <v>16.156396063795199</v>
      </c>
      <c r="AI2811">
        <v>93.841869533684502</v>
      </c>
      <c r="AJ2811">
        <v>102.49905142006899</v>
      </c>
      <c r="AK2811">
        <v>16.585877032402401</v>
      </c>
      <c r="AL2811">
        <v>90.351186600415105</v>
      </c>
      <c r="AM2811">
        <v>91.378486220368103</v>
      </c>
      <c r="AN2811">
        <v>0.99999998578762905</v>
      </c>
    </row>
    <row r="2812" spans="1:40" x14ac:dyDescent="0.25">
      <c r="A2812" t="str">
        <f>"20190312154310339"</f>
        <v>20190312154310339</v>
      </c>
      <c r="B2812" t="str">
        <f>"1552376590330286"</f>
        <v>1552376590330286</v>
      </c>
      <c r="C2812" t="s">
        <v>40</v>
      </c>
      <c r="D2812">
        <v>4.4804950000000003</v>
      </c>
      <c r="E2812">
        <v>0.42553730000000001</v>
      </c>
      <c r="F2812" t="s">
        <v>43</v>
      </c>
      <c r="G2812">
        <v>-493.27679999999998</v>
      </c>
      <c r="H2812" s="1">
        <v>-4.1335789999999997E-6</v>
      </c>
      <c r="I2812">
        <v>257.4255</v>
      </c>
      <c r="J2812">
        <v>-487.44540000000001</v>
      </c>
      <c r="K2812">
        <v>1.111278</v>
      </c>
      <c r="L2812">
        <v>272.8605</v>
      </c>
      <c r="M2812">
        <v>-0.54930009999999996</v>
      </c>
      <c r="N2812">
        <v>0</v>
      </c>
      <c r="O2812">
        <v>-0.83551600000000004</v>
      </c>
      <c r="P2812">
        <v>-0.52907439999999994</v>
      </c>
      <c r="Q2812">
        <v>-2.0849019999999999E-2</v>
      </c>
      <c r="R2812">
        <v>-0.84831979999999996</v>
      </c>
      <c r="S2812">
        <v>-1.082581</v>
      </c>
      <c r="T2812">
        <v>-0.2048635</v>
      </c>
      <c r="U2812">
        <v>-2.8575740000000001</v>
      </c>
      <c r="V2812">
        <v>-2.3922200000000001E-2</v>
      </c>
      <c r="W2812">
        <v>-7.366208E-3</v>
      </c>
      <c r="X2812">
        <v>0.99968670000000004</v>
      </c>
      <c r="Y2812">
        <v>-0.2182441</v>
      </c>
      <c r="Z2812">
        <v>5.1850300000000002E-2</v>
      </c>
      <c r="AA2812">
        <v>0.97451580000000004</v>
      </c>
      <c r="AB2812">
        <v>12</v>
      </c>
      <c r="AC2812">
        <v>-5.8313999999999702</v>
      </c>
      <c r="AD2812">
        <v>-1.111282133579</v>
      </c>
      <c r="AE2812">
        <v>-15.435</v>
      </c>
      <c r="AF2812">
        <v>-3.5902619483102902</v>
      </c>
      <c r="AG2812">
        <v>-1.111282133579</v>
      </c>
      <c r="AH2812">
        <v>16.028140219103701</v>
      </c>
      <c r="AI2812">
        <v>93.8705411387716</v>
      </c>
      <c r="AJ2812">
        <v>102.62569575031701</v>
      </c>
      <c r="AK2812">
        <v>16.462873616751899</v>
      </c>
      <c r="AL2812">
        <v>90.422056439836894</v>
      </c>
      <c r="AM2812">
        <v>91.370809037401102</v>
      </c>
      <c r="AN2812">
        <v>1.0000000154150099</v>
      </c>
    </row>
    <row r="2813" spans="1:40" x14ac:dyDescent="0.25">
      <c r="A2813" t="str">
        <f>"20190312154310352"</f>
        <v>20190312154310352</v>
      </c>
      <c r="B2813" t="str">
        <f>"1552376590340045"</f>
        <v>1552376590340045</v>
      </c>
      <c r="C2813" t="s">
        <v>40</v>
      </c>
      <c r="D2813">
        <v>4.4701389999999996</v>
      </c>
      <c r="E2813">
        <v>0.42544880000000002</v>
      </c>
      <c r="F2813" t="s">
        <v>43</v>
      </c>
      <c r="G2813">
        <v>-493.2158</v>
      </c>
      <c r="H2813" s="1">
        <v>-4.158312E-6</v>
      </c>
      <c r="I2813">
        <v>257.5299</v>
      </c>
      <c r="J2813">
        <v>-487.48610000000002</v>
      </c>
      <c r="K2813">
        <v>1.1112599999999999</v>
      </c>
      <c r="L2813">
        <v>272.79469999999998</v>
      </c>
      <c r="M2813">
        <v>-0.54780309999999999</v>
      </c>
      <c r="N2813">
        <v>0</v>
      </c>
      <c r="O2813">
        <v>-0.83649830000000003</v>
      </c>
      <c r="P2813">
        <v>-0.52776849999999997</v>
      </c>
      <c r="Q2813">
        <v>-2.1353589999999999E-2</v>
      </c>
      <c r="R2813">
        <v>-0.84911999999999999</v>
      </c>
      <c r="S2813">
        <v>-1.076508</v>
      </c>
      <c r="T2813">
        <v>-0.207317</v>
      </c>
      <c r="U2813">
        <v>-2.8600159999999999</v>
      </c>
      <c r="V2813">
        <v>-2.3663739999999999E-2</v>
      </c>
      <c r="W2813">
        <v>-7.8762099999999998E-3</v>
      </c>
      <c r="X2813">
        <v>0.99968889999999999</v>
      </c>
      <c r="Y2813">
        <v>-0.21859729999999999</v>
      </c>
      <c r="Z2813">
        <v>5.2537239999999999E-2</v>
      </c>
      <c r="AA2813">
        <v>0.97439989999999999</v>
      </c>
      <c r="AB2813">
        <v>12</v>
      </c>
      <c r="AC2813">
        <v>-5.7296999999999798</v>
      </c>
      <c r="AD2813">
        <v>-1.111264158312</v>
      </c>
      <c r="AE2813">
        <v>-15.2647999999999</v>
      </c>
      <c r="AF2813">
        <v>-3.5530411936818802</v>
      </c>
      <c r="AG2813">
        <v>-1.111264158312</v>
      </c>
      <c r="AH2813">
        <v>15.8356170298848</v>
      </c>
      <c r="AI2813">
        <v>93.917078072451602</v>
      </c>
      <c r="AJ2813">
        <v>102.64603493516501</v>
      </c>
      <c r="AK2813">
        <v>16.267322350981001</v>
      </c>
      <c r="AL2813">
        <v>90.451278279106802</v>
      </c>
      <c r="AM2813">
        <v>91.356001132678202</v>
      </c>
      <c r="AN2813">
        <v>0.99999995202897896</v>
      </c>
    </row>
    <row r="2814" spans="1:40" x14ac:dyDescent="0.25">
      <c r="A2814" t="str">
        <f>"20190312154310364"</f>
        <v>20190312154310364</v>
      </c>
      <c r="B2814" t="str">
        <f>"1552376590349805"</f>
        <v>1552376590349805</v>
      </c>
      <c r="C2814" t="s">
        <v>40</v>
      </c>
      <c r="D2814">
        <v>4.4760239999999998</v>
      </c>
      <c r="E2814">
        <v>0.4254656</v>
      </c>
      <c r="F2814" t="s">
        <v>43</v>
      </c>
      <c r="G2814">
        <v>-493.31630000000001</v>
      </c>
      <c r="H2814" s="1">
        <v>-4.071603E-6</v>
      </c>
      <c r="I2814">
        <v>257.22269999999997</v>
      </c>
      <c r="J2814">
        <v>-487.51760000000002</v>
      </c>
      <c r="K2814">
        <v>1.111251</v>
      </c>
      <c r="L2814">
        <v>272.74380000000002</v>
      </c>
      <c r="M2814">
        <v>-0.54666599999999999</v>
      </c>
      <c r="N2814">
        <v>0</v>
      </c>
      <c r="O2814">
        <v>-0.83724189999999998</v>
      </c>
      <c r="P2814">
        <v>-0.52709539999999999</v>
      </c>
      <c r="Q2814">
        <v>-2.136089E-2</v>
      </c>
      <c r="R2814">
        <v>-0.84953809999999996</v>
      </c>
      <c r="S2814">
        <v>-1.0715030000000001</v>
      </c>
      <c r="T2814">
        <v>-0.2042342</v>
      </c>
      <c r="U2814">
        <v>-2.8619080000000001</v>
      </c>
      <c r="V2814">
        <v>-2.3097429999999999E-2</v>
      </c>
      <c r="W2814">
        <v>-7.8868050000000002E-3</v>
      </c>
      <c r="X2814">
        <v>0.99970210000000004</v>
      </c>
      <c r="Y2814">
        <v>-0.2189613</v>
      </c>
      <c r="Z2814">
        <v>5.1809899999999999E-2</v>
      </c>
      <c r="AA2814">
        <v>0.97435709999999998</v>
      </c>
      <c r="AB2814">
        <v>12</v>
      </c>
      <c r="AC2814">
        <v>-5.7986999999999904</v>
      </c>
      <c r="AD2814">
        <v>-1.1112550716030001</v>
      </c>
      <c r="AE2814">
        <v>-15.521100000000001</v>
      </c>
      <c r="AF2814">
        <v>-3.6140173701344902</v>
      </c>
      <c r="AG2814">
        <v>-1.1112550716030001</v>
      </c>
      <c r="AH2814">
        <v>16.093947141775502</v>
      </c>
      <c r="AI2814">
        <v>93.854209374496904</v>
      </c>
      <c r="AJ2814">
        <v>102.65625232123401</v>
      </c>
      <c r="AK2814">
        <v>16.5321246059925</v>
      </c>
      <c r="AL2814">
        <v>90.451885329229796</v>
      </c>
      <c r="AM2814">
        <v>91.323544137350197</v>
      </c>
      <c r="AN2814">
        <v>0.99999999085506097</v>
      </c>
    </row>
    <row r="2815" spans="1:40" x14ac:dyDescent="0.25">
      <c r="A2815" t="str">
        <f>"20190312154310375"</f>
        <v>20190312154310375</v>
      </c>
      <c r="B2815" t="str">
        <f>"1552376590370302"</f>
        <v>1552376590370302</v>
      </c>
      <c r="C2815" t="s">
        <v>40</v>
      </c>
      <c r="D2815">
        <v>4.4491239999999896</v>
      </c>
      <c r="E2815">
        <v>0.42572500000000002</v>
      </c>
      <c r="F2815" t="s">
        <v>43</v>
      </c>
      <c r="G2815">
        <v>-493.43860000000001</v>
      </c>
      <c r="H2815" s="1">
        <v>-3.9809630000000001E-6</v>
      </c>
      <c r="I2815">
        <v>256.89269999999999</v>
      </c>
      <c r="J2815">
        <v>-487.54629999999997</v>
      </c>
      <c r="K2815">
        <v>1.1112470000000001</v>
      </c>
      <c r="L2815">
        <v>272.69720000000001</v>
      </c>
      <c r="M2815">
        <v>-0.54564419999999902</v>
      </c>
      <c r="N2815">
        <v>0</v>
      </c>
      <c r="O2815">
        <v>-0.83790819999999999</v>
      </c>
      <c r="P2815">
        <v>-0.52621649999999998</v>
      </c>
      <c r="Q2815">
        <v>-2.1424660000000002E-2</v>
      </c>
      <c r="R2815">
        <v>-0.85008099999999998</v>
      </c>
      <c r="S2815">
        <v>-1.069366</v>
      </c>
      <c r="T2815">
        <v>-0.2006984</v>
      </c>
      <c r="U2815">
        <v>-2.8627929999999999</v>
      </c>
      <c r="V2815">
        <v>-2.2910549999999998E-2</v>
      </c>
      <c r="W2815">
        <v>-7.9540519999999997E-3</v>
      </c>
      <c r="X2815">
        <v>0.99970590000000004</v>
      </c>
      <c r="Y2815">
        <v>-0.21848989999999999</v>
      </c>
      <c r="Z2815">
        <v>5.0974770000000003E-2</v>
      </c>
      <c r="AA2815">
        <v>0.97450689999999995</v>
      </c>
      <c r="AB2815">
        <v>12</v>
      </c>
      <c r="AC2815">
        <v>-5.8923000000000298</v>
      </c>
      <c r="AD2815">
        <v>-1.11125098096299</v>
      </c>
      <c r="AE2815">
        <v>-15.804500000000001</v>
      </c>
      <c r="AF2815">
        <v>-3.6708300116279799</v>
      </c>
      <c r="AG2815">
        <v>-1.11125098096299</v>
      </c>
      <c r="AH2815">
        <v>16.388186492113299</v>
      </c>
      <c r="AI2815">
        <v>93.785654089617694</v>
      </c>
      <c r="AJ2815">
        <v>102.62542485749201</v>
      </c>
      <c r="AK2815">
        <v>16.830999026119802</v>
      </c>
      <c r="AL2815">
        <v>90.455738404592395</v>
      </c>
      <c r="AM2815">
        <v>91.312834191164598</v>
      </c>
      <c r="AN2815">
        <v>1.00000002336966</v>
      </c>
    </row>
    <row r="2816" spans="1:40" x14ac:dyDescent="0.25">
      <c r="A2816" t="str">
        <f>"20190312154310385"</f>
        <v>20190312154310385</v>
      </c>
      <c r="B2816" t="str">
        <f>"1552376590380061"</f>
        <v>1552376590380061</v>
      </c>
      <c r="C2816" t="s">
        <v>40</v>
      </c>
      <c r="D2816">
        <v>4.4027469999999997</v>
      </c>
      <c r="E2816">
        <v>0.42587829999999899</v>
      </c>
      <c r="F2816" t="s">
        <v>43</v>
      </c>
      <c r="G2816">
        <v>-493.64370000000002</v>
      </c>
      <c r="H2816" s="1">
        <v>-3.8355589999999997E-6</v>
      </c>
      <c r="I2816">
        <v>256.35849999999999</v>
      </c>
      <c r="J2816">
        <v>-487.5779</v>
      </c>
      <c r="K2816">
        <v>1.111245</v>
      </c>
      <c r="L2816">
        <v>272.64589999999998</v>
      </c>
      <c r="M2816">
        <v>-0.54452630000000002</v>
      </c>
      <c r="N2816">
        <v>0</v>
      </c>
      <c r="O2816">
        <v>-0.83863509999999997</v>
      </c>
      <c r="P2816">
        <v>-0.525528</v>
      </c>
      <c r="Q2816">
        <v>-2.097562E-2</v>
      </c>
      <c r="R2816">
        <v>-0.850518199999999</v>
      </c>
      <c r="S2816">
        <v>-1.06839</v>
      </c>
      <c r="T2816">
        <v>-0.1947141</v>
      </c>
      <c r="U2816">
        <v>-2.8628849999999999</v>
      </c>
      <c r="V2816">
        <v>-2.2394359999999999E-2</v>
      </c>
      <c r="W2816">
        <v>-7.5080779999999996E-3</v>
      </c>
      <c r="X2816">
        <v>0.99972110000000003</v>
      </c>
      <c r="Y2816">
        <v>-0.21746080000000001</v>
      </c>
      <c r="Z2816">
        <v>4.9536940000000002E-2</v>
      </c>
      <c r="AA2816">
        <v>0.97481119999999999</v>
      </c>
      <c r="AB2816">
        <v>12</v>
      </c>
      <c r="AC2816">
        <v>-6.0658000000000198</v>
      </c>
      <c r="AD2816">
        <v>-1.111248835559</v>
      </c>
      <c r="AE2816">
        <v>-16.287399999999899</v>
      </c>
      <c r="AF2816">
        <v>-3.7668706514911099</v>
      </c>
      <c r="AG2816">
        <v>-1.111248835559</v>
      </c>
      <c r="AH2816">
        <v>16.894653837552401</v>
      </c>
      <c r="AI2816">
        <v>93.673279303236697</v>
      </c>
      <c r="AJ2816">
        <v>102.569208523223</v>
      </c>
      <c r="AK2816">
        <v>17.345129482662301</v>
      </c>
      <c r="AL2816">
        <v>90.430185189761403</v>
      </c>
      <c r="AM2816">
        <v>91.283245659922699</v>
      </c>
      <c r="AN2816">
        <v>1.0000000781901299</v>
      </c>
    </row>
    <row r="2817" spans="1:40" x14ac:dyDescent="0.25">
      <c r="A2817" t="str">
        <f>"20190312154310396"</f>
        <v>20190312154310396</v>
      </c>
      <c r="B2817" t="str">
        <f>"1552376590389822"</f>
        <v>1552376590389822</v>
      </c>
      <c r="C2817" t="s">
        <v>40</v>
      </c>
      <c r="D2817">
        <v>4.3762670000000004</v>
      </c>
      <c r="E2817">
        <v>0.42609180000000002</v>
      </c>
      <c r="F2817" t="s">
        <v>43</v>
      </c>
      <c r="G2817">
        <v>-493.84690000000001</v>
      </c>
      <c r="H2817" s="1">
        <v>-3.6893719999999999E-6</v>
      </c>
      <c r="I2817">
        <v>255.82300000000001</v>
      </c>
      <c r="J2817">
        <v>-487.60590000000002</v>
      </c>
      <c r="K2817">
        <v>1.1112409999999999</v>
      </c>
      <c r="L2817">
        <v>272.60039999999998</v>
      </c>
      <c r="M2817">
        <v>-0.54355159999999902</v>
      </c>
      <c r="N2817">
        <v>0</v>
      </c>
      <c r="O2817">
        <v>-0.83926730000000005</v>
      </c>
      <c r="P2817">
        <v>-0.52512250000000005</v>
      </c>
      <c r="Q2817">
        <v>-2.0762429999999998E-2</v>
      </c>
      <c r="R2817">
        <v>-0.85077359999999902</v>
      </c>
      <c r="S2817">
        <v>-1.0670170000000001</v>
      </c>
      <c r="T2817">
        <v>-0.18913940000000001</v>
      </c>
      <c r="U2817">
        <v>-2.8633419999999998</v>
      </c>
      <c r="V2817">
        <v>-2.171271E-2</v>
      </c>
      <c r="W2817">
        <v>-7.29695E-3</v>
      </c>
      <c r="X2817">
        <v>0.9997376</v>
      </c>
      <c r="Y2817">
        <v>-0.21676100000000001</v>
      </c>
      <c r="Z2817">
        <v>4.818211E-2</v>
      </c>
      <c r="AA2817">
        <v>0.97503499999999999</v>
      </c>
      <c r="AB2817">
        <v>12</v>
      </c>
      <c r="AC2817">
        <v>-6.2409999999999801</v>
      </c>
      <c r="AD2817">
        <v>-1.1112446893719901</v>
      </c>
      <c r="AE2817">
        <v>-16.7774</v>
      </c>
      <c r="AF2817">
        <v>-3.86696641505285</v>
      </c>
      <c r="AG2817">
        <v>-1.1112446893719901</v>
      </c>
      <c r="AH2817">
        <v>17.407535052179298</v>
      </c>
      <c r="AI2817">
        <v>93.565940625832795</v>
      </c>
      <c r="AJ2817">
        <v>102.52449580538099</v>
      </c>
      <c r="AK2817">
        <v>17.866464972334501</v>
      </c>
      <c r="AL2817">
        <v>90.418088157766604</v>
      </c>
      <c r="AM2817">
        <v>91.244177571167597</v>
      </c>
      <c r="AN2817">
        <v>0.99999997805430296</v>
      </c>
    </row>
    <row r="2818" spans="1:40" x14ac:dyDescent="0.25">
      <c r="A2818" t="str">
        <f>"20190312154310407"</f>
        <v>20190312154310407</v>
      </c>
      <c r="B2818" t="str">
        <f>"1552376590400557"</f>
        <v>1552376590400557</v>
      </c>
      <c r="C2818" t="s">
        <v>40</v>
      </c>
      <c r="D2818">
        <v>4.3860510000000001</v>
      </c>
      <c r="E2818">
        <v>0.42619889999999999</v>
      </c>
      <c r="F2818" t="s">
        <v>43</v>
      </c>
      <c r="G2818">
        <v>-493.96609999999998</v>
      </c>
      <c r="H2818" s="1">
        <v>-3.6077659999999999E-6</v>
      </c>
      <c r="I2818">
        <v>255.53899999999999</v>
      </c>
      <c r="J2818">
        <v>-487.63580000000002</v>
      </c>
      <c r="K2818">
        <v>1.111237</v>
      </c>
      <c r="L2818">
        <v>272.55160000000001</v>
      </c>
      <c r="M2818">
        <v>-0.54250719999999997</v>
      </c>
      <c r="N2818">
        <v>0</v>
      </c>
      <c r="O2818">
        <v>-0.83994290000000005</v>
      </c>
      <c r="P2818">
        <v>-0.52430519999999903</v>
      </c>
      <c r="Q2818">
        <v>-2.0542370000000001E-2</v>
      </c>
      <c r="R2818">
        <v>-0.85128309999999996</v>
      </c>
      <c r="S2818">
        <v>-1.067261</v>
      </c>
      <c r="T2818">
        <v>-0.18646940000000001</v>
      </c>
      <c r="U2818">
        <v>-2.862946</v>
      </c>
      <c r="V2818">
        <v>-2.143196E-2</v>
      </c>
      <c r="W2818">
        <v>-7.0798340000000001E-3</v>
      </c>
      <c r="X2818">
        <v>0.9997452</v>
      </c>
      <c r="Y2818">
        <v>-0.2154172</v>
      </c>
      <c r="Z2818">
        <v>4.7579749999999997E-2</v>
      </c>
      <c r="AA2818">
        <v>0.97536230000000002</v>
      </c>
      <c r="AB2818">
        <v>12</v>
      </c>
      <c r="AC2818">
        <v>-6.3302999999999603</v>
      </c>
      <c r="AD2818">
        <v>-1.111240607766</v>
      </c>
      <c r="AE2818">
        <v>-17.0125999999999</v>
      </c>
      <c r="AF2818">
        <v>-3.8981144838801201</v>
      </c>
      <c r="AG2818">
        <v>-1.111240607766</v>
      </c>
      <c r="AH2818">
        <v>17.659276976080498</v>
      </c>
      <c r="AI2818">
        <v>93.516260403300294</v>
      </c>
      <c r="AJ2818">
        <v>102.44787133512099</v>
      </c>
      <c r="AK2818">
        <v>18.118504782009801</v>
      </c>
      <c r="AL2818">
        <v>90.405648013343793</v>
      </c>
      <c r="AM2818">
        <v>91.228085714296796</v>
      </c>
      <c r="AN2818">
        <v>0.99999995894097304</v>
      </c>
    </row>
    <row r="2819" spans="1:40" x14ac:dyDescent="0.25">
      <c r="A2819" t="str">
        <f>"20190312154310418"</f>
        <v>20190312154310418</v>
      </c>
      <c r="B2819" t="str">
        <f>"1552376590410317"</f>
        <v>1552376590410317</v>
      </c>
      <c r="C2819" t="s">
        <v>40</v>
      </c>
      <c r="D2819">
        <v>4.3673690000000001</v>
      </c>
      <c r="E2819">
        <v>0.42638530000000002</v>
      </c>
      <c r="F2819" t="s">
        <v>43</v>
      </c>
      <c r="G2819">
        <v>-494.04730000000001</v>
      </c>
      <c r="H2819" s="1">
        <v>-3.5336069999999999E-6</v>
      </c>
      <c r="I2819">
        <v>255.3158</v>
      </c>
      <c r="J2819">
        <v>-487.66419999999999</v>
      </c>
      <c r="K2819">
        <v>1.1112379999999999</v>
      </c>
      <c r="L2819">
        <v>272.50510000000003</v>
      </c>
      <c r="M2819">
        <v>-0.54152769999999995</v>
      </c>
      <c r="N2819">
        <v>0</v>
      </c>
      <c r="O2819">
        <v>-0.84057459999999995</v>
      </c>
      <c r="P2819">
        <v>-0.52392139999999998</v>
      </c>
      <c r="Q2819">
        <v>-2.074223E-2</v>
      </c>
      <c r="R2819">
        <v>-0.85151409999999905</v>
      </c>
      <c r="S2819">
        <v>-1.0652159999999999</v>
      </c>
      <c r="T2819">
        <v>-0.1846237</v>
      </c>
      <c r="U2819">
        <v>-2.8635860000000002</v>
      </c>
      <c r="V2819">
        <v>-2.0714940000000001E-2</v>
      </c>
      <c r="W2819">
        <v>-7.2814999999999998E-3</v>
      </c>
      <c r="X2819">
        <v>0.99975890000000001</v>
      </c>
      <c r="Y2819">
        <v>-0.2149538</v>
      </c>
      <c r="Z2819">
        <v>4.7164400000000002E-2</v>
      </c>
      <c r="AA2819">
        <v>0.97548469999999998</v>
      </c>
      <c r="AB2819">
        <v>12</v>
      </c>
      <c r="AC2819">
        <v>-6.3831000000000104</v>
      </c>
      <c r="AD2819">
        <v>-1.1112415336069901</v>
      </c>
      <c r="AE2819">
        <v>-17.189299999999999</v>
      </c>
      <c r="AF2819">
        <v>-3.9289391585887099</v>
      </c>
      <c r="AG2819">
        <v>-1.1112415336069901</v>
      </c>
      <c r="AH2819">
        <v>17.841616002102501</v>
      </c>
      <c r="AI2819">
        <v>93.4808019898868</v>
      </c>
      <c r="AJ2819">
        <v>102.41900768031</v>
      </c>
      <c r="AK2819">
        <v>18.302859946587098</v>
      </c>
      <c r="AL2819">
        <v>90.417202907968502</v>
      </c>
      <c r="AM2819">
        <v>91.186995014546497</v>
      </c>
      <c r="AN2819">
        <v>0.99999999355533098</v>
      </c>
    </row>
    <row r="2820" spans="1:40" x14ac:dyDescent="0.25">
      <c r="A2820" t="str">
        <f>"20190312154310427"</f>
        <v>20190312154310427</v>
      </c>
      <c r="B2820" t="str">
        <f>"1552376590420079"</f>
        <v>1552376590420079</v>
      </c>
      <c r="C2820" t="s">
        <v>40</v>
      </c>
      <c r="D2820">
        <v>4.3733740000000001</v>
      </c>
      <c r="E2820">
        <v>0.42657309999999998</v>
      </c>
      <c r="F2820" t="s">
        <v>43</v>
      </c>
      <c r="G2820">
        <v>-494.13330000000002</v>
      </c>
      <c r="H2820" s="1">
        <v>-3.4690900000000001E-6</v>
      </c>
      <c r="I2820">
        <v>255.11199999999999</v>
      </c>
      <c r="J2820">
        <v>-487.69119999999998</v>
      </c>
      <c r="K2820">
        <v>1.1112359999999999</v>
      </c>
      <c r="L2820">
        <v>272.46089999999998</v>
      </c>
      <c r="M2820">
        <v>-0.54059590000000002</v>
      </c>
      <c r="N2820">
        <v>0</v>
      </c>
      <c r="O2820">
        <v>-0.84117450000000005</v>
      </c>
      <c r="P2820">
        <v>-0.52339269999999904</v>
      </c>
      <c r="Q2820">
        <v>-2.1179590000000002E-2</v>
      </c>
      <c r="R2820">
        <v>-0.85182880000000005</v>
      </c>
      <c r="S2820">
        <v>-1.065002</v>
      </c>
      <c r="T2820">
        <v>-0.1829402</v>
      </c>
      <c r="U2820">
        <v>-2.8633730000000002</v>
      </c>
      <c r="V2820">
        <v>-2.0220990000000001E-2</v>
      </c>
      <c r="W2820">
        <v>-7.720958E-3</v>
      </c>
      <c r="X2820">
        <v>0.99976569999999998</v>
      </c>
      <c r="Y2820">
        <v>-0.21390419999999999</v>
      </c>
      <c r="Z2820">
        <v>4.6799319999999998E-2</v>
      </c>
      <c r="AA2820">
        <v>0.97573299999999996</v>
      </c>
      <c r="AB2820">
        <v>12</v>
      </c>
      <c r="AC2820">
        <v>-6.4421000000000301</v>
      </c>
      <c r="AD2820">
        <v>-1.11123946909</v>
      </c>
      <c r="AE2820">
        <v>-17.348899999999901</v>
      </c>
      <c r="AF2820">
        <v>-3.94594605154164</v>
      </c>
      <c r="AG2820">
        <v>-1.11123946909</v>
      </c>
      <c r="AH2820">
        <v>18.012719955133701</v>
      </c>
      <c r="AI2820">
        <v>93.448638570811795</v>
      </c>
      <c r="AJ2820">
        <v>102.356278417699</v>
      </c>
      <c r="AK2820">
        <v>18.4733165290213</v>
      </c>
      <c r="AL2820">
        <v>90.442382712195894</v>
      </c>
      <c r="AM2820">
        <v>91.158690920970201</v>
      </c>
      <c r="AN2820">
        <v>0.999999978262753</v>
      </c>
    </row>
    <row r="2821" spans="1:40" x14ac:dyDescent="0.25">
      <c r="A2821" t="str">
        <f>"20190312154310450"</f>
        <v>20190312154310450</v>
      </c>
      <c r="B2821" t="str">
        <f>"1552376590440574"</f>
        <v>1552376590440574</v>
      </c>
      <c r="C2821" t="s">
        <v>40</v>
      </c>
      <c r="D2821">
        <v>4.3818060000000001</v>
      </c>
      <c r="E2821">
        <v>0.42679479999999997</v>
      </c>
      <c r="F2821" t="s">
        <v>43</v>
      </c>
      <c r="G2821">
        <v>-494.17110000000002</v>
      </c>
      <c r="H2821" s="1">
        <v>-3.4444450000000002E-6</v>
      </c>
      <c r="I2821">
        <v>255.03120000000001</v>
      </c>
      <c r="J2821">
        <v>-487.75200000000001</v>
      </c>
      <c r="K2821">
        <v>1.1112379999999999</v>
      </c>
      <c r="L2821">
        <v>272.36090000000002</v>
      </c>
      <c r="M2821">
        <v>-0.53850500000000001</v>
      </c>
      <c r="N2821">
        <v>0</v>
      </c>
      <c r="O2821">
        <v>-0.84251430000000005</v>
      </c>
      <c r="P2821">
        <v>-0.52255989999999997</v>
      </c>
      <c r="Q2821">
        <v>-2.2274390000000002E-2</v>
      </c>
      <c r="R2821">
        <v>-0.85231159999999995</v>
      </c>
      <c r="S2821">
        <v>-1.064484</v>
      </c>
      <c r="T2821">
        <v>-0.1825476</v>
      </c>
      <c r="U2821">
        <v>-2.863251</v>
      </c>
      <c r="V2821">
        <v>-1.8698610000000001E-2</v>
      </c>
      <c r="W2821">
        <v>-8.8190479999999995E-3</v>
      </c>
      <c r="X2821">
        <v>0.99978630000000002</v>
      </c>
      <c r="Y2821">
        <v>-0.21161940000000001</v>
      </c>
      <c r="Z2821">
        <v>4.6835059999999998E-2</v>
      </c>
      <c r="AA2821">
        <v>0.97622929999999997</v>
      </c>
      <c r="AB2821">
        <v>12</v>
      </c>
      <c r="AC2821">
        <v>-6.4191000000000704</v>
      </c>
      <c r="AD2821">
        <v>-1.1112414444449901</v>
      </c>
      <c r="AE2821">
        <v>-17.329699999999999</v>
      </c>
      <c r="AF2821">
        <v>-3.9101656026942102</v>
      </c>
      <c r="AG2821">
        <v>-1.1112414444449901</v>
      </c>
      <c r="AH2821">
        <v>17.993820251062601</v>
      </c>
      <c r="AI2821">
        <v>93.453519655443102</v>
      </c>
      <c r="AJ2821">
        <v>102.260108142701</v>
      </c>
      <c r="AK2821">
        <v>18.4472713379485</v>
      </c>
      <c r="AL2821">
        <v>90.5053007648998</v>
      </c>
      <c r="AM2821">
        <v>91.071455516901594</v>
      </c>
      <c r="AN2821">
        <v>1.00000002964562</v>
      </c>
    </row>
    <row r="2822" spans="1:40" x14ac:dyDescent="0.25">
      <c r="A2822" t="str">
        <f>"20190312154310462"</f>
        <v>20190312154310462</v>
      </c>
      <c r="B2822" t="str">
        <f>"1552376590450335"</f>
        <v>1552376590450335</v>
      </c>
      <c r="C2822" t="s">
        <v>40</v>
      </c>
      <c r="D2822">
        <v>4.3282870000000004</v>
      </c>
      <c r="E2822">
        <v>0.42707650000000003</v>
      </c>
      <c r="F2822" t="s">
        <v>43</v>
      </c>
      <c r="G2822">
        <v>-494.2149</v>
      </c>
      <c r="H2822" s="1">
        <v>-3.422E-6</v>
      </c>
      <c r="I2822">
        <v>254.95169999999999</v>
      </c>
      <c r="J2822">
        <v>-487.78629999999998</v>
      </c>
      <c r="K2822">
        <v>1.1112439999999999</v>
      </c>
      <c r="L2822">
        <v>272.30410000000001</v>
      </c>
      <c r="M2822">
        <v>-0.53732590000000002</v>
      </c>
      <c r="N2822">
        <v>0</v>
      </c>
      <c r="O2822">
        <v>-0.84326699999999999</v>
      </c>
      <c r="P2822">
        <v>-0.52216609999999997</v>
      </c>
      <c r="Q2822">
        <v>-2.2879119999999999E-2</v>
      </c>
      <c r="R2822">
        <v>-0.852537199999999</v>
      </c>
      <c r="S2822">
        <v>-1.0629879999999901</v>
      </c>
      <c r="T2822">
        <v>-0.1827734</v>
      </c>
      <c r="U2822">
        <v>-2.8634029999999999</v>
      </c>
      <c r="V2822">
        <v>-1.7752179999999999E-2</v>
      </c>
      <c r="W2822">
        <v>-9.4251760000000004E-3</v>
      </c>
      <c r="X2822">
        <v>0.99979799999999996</v>
      </c>
      <c r="Y2822">
        <v>-0.21071909999999999</v>
      </c>
      <c r="Z2822">
        <v>4.6966010000000002E-2</v>
      </c>
      <c r="AA2822">
        <v>0.9764178</v>
      </c>
      <c r="AB2822">
        <v>12</v>
      </c>
      <c r="AC2822">
        <v>-6.4286000000000101</v>
      </c>
      <c r="AD2822">
        <v>-1.1112474219999999</v>
      </c>
      <c r="AE2822">
        <v>-17.352399999999999</v>
      </c>
      <c r="AF2822">
        <v>-3.8891971152428999</v>
      </c>
      <c r="AG2822">
        <v>-1.1112474219999999</v>
      </c>
      <c r="AH2822">
        <v>18.023606280994301</v>
      </c>
      <c r="AI2822">
        <v>93.448927969480494</v>
      </c>
      <c r="AJ2822">
        <v>102.176781902027</v>
      </c>
      <c r="AK2822">
        <v>18.4719005087839</v>
      </c>
      <c r="AL2822">
        <v>90.540030797726601</v>
      </c>
      <c r="AM2822">
        <v>91.017223601805696</v>
      </c>
      <c r="AN2822">
        <v>1.0000000073206901</v>
      </c>
    </row>
    <row r="2823" spans="1:40" x14ac:dyDescent="0.25">
      <c r="A2823" t="str">
        <f>"20190312154310474"</f>
        <v>20190312154310474</v>
      </c>
      <c r="B2823" t="str">
        <f>"1552376590469853"</f>
        <v>1552376590469853</v>
      </c>
      <c r="C2823" t="s">
        <v>40</v>
      </c>
      <c r="D2823">
        <v>4.6214370000000002</v>
      </c>
      <c r="E2823">
        <v>0.45602419999999999</v>
      </c>
      <c r="F2823" t="s">
        <v>43</v>
      </c>
      <c r="G2823">
        <v>-494.20780000000002</v>
      </c>
      <c r="H2823" s="1">
        <v>-3.4498840000000002E-6</v>
      </c>
      <c r="I2823">
        <v>255.02109999999999</v>
      </c>
      <c r="J2823">
        <v>-487.81599999999997</v>
      </c>
      <c r="K2823">
        <v>1.111248</v>
      </c>
      <c r="L2823">
        <v>272.25490000000002</v>
      </c>
      <c r="M2823">
        <v>-0.53630199999999995</v>
      </c>
      <c r="N2823">
        <v>0</v>
      </c>
      <c r="O2823">
        <v>-0.84391859999999996</v>
      </c>
      <c r="P2823">
        <v>-0.52182839999999997</v>
      </c>
      <c r="Q2823">
        <v>-2.3297990000000001E-2</v>
      </c>
      <c r="R2823">
        <v>-0.85273239999999995</v>
      </c>
      <c r="S2823">
        <v>-1.0635680000000001</v>
      </c>
      <c r="T2823">
        <v>-0.18405340000000001</v>
      </c>
      <c r="U2823">
        <v>-2.862549</v>
      </c>
      <c r="V2823">
        <v>-1.6927830000000001E-2</v>
      </c>
      <c r="W2823">
        <v>-9.8450159999999998E-3</v>
      </c>
      <c r="X2823">
        <v>0.99980829999999998</v>
      </c>
      <c r="Y2823">
        <v>-0.20927100000000001</v>
      </c>
      <c r="Z2823">
        <v>4.7373060000000002E-2</v>
      </c>
      <c r="AA2823">
        <v>0.97670950000000001</v>
      </c>
      <c r="AB2823">
        <v>12</v>
      </c>
      <c r="AC2823">
        <v>-6.3918000000000399</v>
      </c>
      <c r="AD2823">
        <v>-1.111251449884</v>
      </c>
      <c r="AE2823">
        <v>-17.233799999999999</v>
      </c>
      <c r="AF2823">
        <v>-3.83469603109452</v>
      </c>
      <c r="AG2823">
        <v>-1.111251449884</v>
      </c>
      <c r="AH2823">
        <v>17.908037058433599</v>
      </c>
      <c r="AI2823">
        <v>93.472318557707396</v>
      </c>
      <c r="AJ2823">
        <v>102.086373732095</v>
      </c>
      <c r="AK2823">
        <v>18.347685541288101</v>
      </c>
      <c r="AL2823">
        <v>90.564086946846203</v>
      </c>
      <c r="AM2823">
        <v>90.969986500706199</v>
      </c>
      <c r="AN2823">
        <v>1.0000000562587099</v>
      </c>
    </row>
    <row r="2824" spans="1:40" x14ac:dyDescent="0.25">
      <c r="A2824" t="str">
        <f>"20190312154310486"</f>
        <v>20190312154310486</v>
      </c>
      <c r="B2824" t="str">
        <f>"1552376590480590"</f>
        <v>1552376590480590</v>
      </c>
      <c r="C2824" t="s">
        <v>40</v>
      </c>
      <c r="D2824">
        <v>4.5629790000000003</v>
      </c>
      <c r="E2824">
        <v>0.45602419999999999</v>
      </c>
      <c r="F2824" t="s">
        <v>43</v>
      </c>
      <c r="G2824">
        <v>-492.98489999999998</v>
      </c>
      <c r="H2824" s="1">
        <v>-1.378239E-6</v>
      </c>
      <c r="I2824">
        <v>260.95049999999998</v>
      </c>
      <c r="J2824">
        <v>-487.84989999999999</v>
      </c>
      <c r="K2824">
        <v>1.111254</v>
      </c>
      <c r="L2824">
        <v>272.19869999999997</v>
      </c>
      <c r="M2824">
        <v>-0.53513529999999998</v>
      </c>
      <c r="N2824">
        <v>0</v>
      </c>
      <c r="O2824">
        <v>-0.84465879999999904</v>
      </c>
      <c r="P2824">
        <v>-0.52130279999999996</v>
      </c>
      <c r="Q2824">
        <v>-2.3628779999999999E-2</v>
      </c>
      <c r="R2824">
        <v>-0.85304460000000004</v>
      </c>
      <c r="S2824">
        <v>-1.2543029999999999</v>
      </c>
      <c r="T2824">
        <v>-0.26966400000000001</v>
      </c>
      <c r="U2824">
        <v>-2.7431950000000001</v>
      </c>
      <c r="V2824">
        <v>-1.615687E-2</v>
      </c>
      <c r="W2824">
        <v>-1.0176960000000001E-2</v>
      </c>
      <c r="X2824">
        <v>0.99981770000000003</v>
      </c>
      <c r="Y2824">
        <v>-0.13671420000000001</v>
      </c>
      <c r="Z2824">
        <v>7.1984010000000001E-2</v>
      </c>
      <c r="AA2824">
        <v>0.98799159999999997</v>
      </c>
      <c r="AB2824">
        <v>12</v>
      </c>
      <c r="AC2824">
        <v>-5.13499999999999</v>
      </c>
      <c r="AD2824">
        <v>-1.111255378239</v>
      </c>
      <c r="AE2824">
        <v>-11.248199999999899</v>
      </c>
      <c r="AF2824">
        <v>-1.66866107984068</v>
      </c>
      <c r="AG2824">
        <v>-1.111255378239</v>
      </c>
      <c r="AH2824">
        <v>12.1517745547698</v>
      </c>
      <c r="AI2824">
        <v>95.176739533947398</v>
      </c>
      <c r="AJ2824">
        <v>97.818859049653199</v>
      </c>
      <c r="AK2824">
        <v>12.3160441353947</v>
      </c>
      <c r="AL2824">
        <v>90.583106907963895</v>
      </c>
      <c r="AM2824">
        <v>90.925808667912307</v>
      </c>
      <c r="AN2824">
        <v>1.0000000240981599</v>
      </c>
    </row>
    <row r="2825" spans="1:40" x14ac:dyDescent="0.25">
      <c r="A2825" t="str">
        <f>"20190312154310498"</f>
        <v>20190312154310498</v>
      </c>
      <c r="B2825" t="str">
        <f>"1552376590490349"</f>
        <v>1552376590490349</v>
      </c>
      <c r="C2825" t="s">
        <v>40</v>
      </c>
      <c r="D2825">
        <v>4.3648689999999997</v>
      </c>
      <c r="E2825">
        <v>0.50811579999999901</v>
      </c>
      <c r="F2825" t="s">
        <v>43</v>
      </c>
      <c r="G2825">
        <v>-492.99939999999998</v>
      </c>
      <c r="H2825" s="1">
        <v>-1.368359E-6</v>
      </c>
      <c r="I2825">
        <v>260.91849999999999</v>
      </c>
      <c r="J2825">
        <v>-487.88200000000001</v>
      </c>
      <c r="K2825">
        <v>1.111262</v>
      </c>
      <c r="L2825">
        <v>272.14510000000001</v>
      </c>
      <c r="M2825">
        <v>-0.53401899999999902</v>
      </c>
      <c r="N2825">
        <v>0</v>
      </c>
      <c r="O2825">
        <v>-0.84536499999999903</v>
      </c>
      <c r="P2825">
        <v>-0.52092159999999998</v>
      </c>
      <c r="Q2825">
        <v>-2.4268999999999999E-2</v>
      </c>
      <c r="R2825">
        <v>-0.85325969999999995</v>
      </c>
      <c r="S2825">
        <v>-1.252594</v>
      </c>
      <c r="T2825">
        <v>-0.2703084</v>
      </c>
      <c r="U2825">
        <v>-2.7438660000000001</v>
      </c>
      <c r="V2825">
        <v>-1.527191E-2</v>
      </c>
      <c r="W2825">
        <v>-1.0817790000000001E-2</v>
      </c>
      <c r="X2825">
        <v>0.99982490000000002</v>
      </c>
      <c r="Y2825">
        <v>-0.1360141</v>
      </c>
      <c r="Z2825">
        <v>7.22439E-2</v>
      </c>
      <c r="AA2825">
        <v>0.98806939999999999</v>
      </c>
      <c r="AB2825">
        <v>12</v>
      </c>
      <c r="AC2825">
        <v>-5.1174000000000301</v>
      </c>
      <c r="AD2825">
        <v>-1.1112633683589901</v>
      </c>
      <c r="AE2825">
        <v>-11.226599999999999</v>
      </c>
      <c r="AF2825">
        <v>-1.65586547676228</v>
      </c>
      <c r="AG2825">
        <v>-1.1112633683589901</v>
      </c>
      <c r="AH2825">
        <v>12.126102410811701</v>
      </c>
      <c r="AI2825">
        <v>95.188206762431903</v>
      </c>
      <c r="AJ2825">
        <v>97.775862940672894</v>
      </c>
      <c r="AK2825">
        <v>12.288985166745199</v>
      </c>
      <c r="AL2825">
        <v>90.619825773401104</v>
      </c>
      <c r="AM2825">
        <v>90.875101176995202</v>
      </c>
      <c r="AN2825">
        <v>1.00000004323777</v>
      </c>
    </row>
    <row r="2826" spans="1:40" x14ac:dyDescent="0.25">
      <c r="A2826" t="str">
        <f>"20190312154310508"</f>
        <v>20190312154310508</v>
      </c>
      <c r="B2826" t="str">
        <f>"1552376590500110"</f>
        <v>1552376590500110</v>
      </c>
      <c r="C2826" t="s">
        <v>40</v>
      </c>
      <c r="D2826">
        <v>4.3107920000000002</v>
      </c>
      <c r="E2826">
        <v>0.51851429999999998</v>
      </c>
      <c r="F2826" t="s">
        <v>41</v>
      </c>
      <c r="G2826">
        <v>-488.28399999999999</v>
      </c>
      <c r="H2826">
        <v>0.98899440000000005</v>
      </c>
      <c r="I2826">
        <v>271.5077</v>
      </c>
      <c r="J2826">
        <v>-487.91030000000001</v>
      </c>
      <c r="K2826">
        <v>1.1112679999999999</v>
      </c>
      <c r="L2826">
        <v>272.09780000000001</v>
      </c>
      <c r="M2826">
        <v>-0.53303519999999904</v>
      </c>
      <c r="N2826">
        <v>0</v>
      </c>
      <c r="O2826">
        <v>-0.84598589999999996</v>
      </c>
      <c r="P2826">
        <v>-0.52059140000000004</v>
      </c>
      <c r="Q2826">
        <v>-2.505309E-2</v>
      </c>
      <c r="R2826">
        <v>-0.85343840000000004</v>
      </c>
      <c r="S2826">
        <v>-1.5937809999999999</v>
      </c>
      <c r="T2826">
        <v>-0.48565170000000002</v>
      </c>
      <c r="U2826">
        <v>-2.5291440000000001</v>
      </c>
      <c r="V2826">
        <v>-1.448227E-2</v>
      </c>
      <c r="W2826">
        <v>-1.1602390000000001E-2</v>
      </c>
      <c r="X2826">
        <v>0.99982780000000004</v>
      </c>
      <c r="Y2826">
        <v>-5.7726339999999996E-3</v>
      </c>
      <c r="Z2826">
        <v>0.13567219999999999</v>
      </c>
      <c r="AA2826">
        <v>0.99073699999999998</v>
      </c>
      <c r="AB2826">
        <v>12</v>
      </c>
      <c r="AC2826">
        <v>-0.37369999999998499</v>
      </c>
      <c r="AD2826">
        <v>-0.122273599999999</v>
      </c>
      <c r="AE2826">
        <v>-0.59010000000000595</v>
      </c>
      <c r="AF2826">
        <v>1.55340031008044E-3</v>
      </c>
      <c r="AG2826">
        <v>-0.122273599999999</v>
      </c>
      <c r="AH2826">
        <v>0.67770645830588006</v>
      </c>
      <c r="AI2826">
        <v>100.227402175081</v>
      </c>
      <c r="AJ2826">
        <v>89.868670093519697</v>
      </c>
      <c r="AK2826">
        <v>0.68865033938783704</v>
      </c>
      <c r="AL2826">
        <v>90.664782901074503</v>
      </c>
      <c r="AM2826">
        <v>90.829857826480193</v>
      </c>
      <c r="AN2826">
        <v>0.99999999062545197</v>
      </c>
    </row>
    <row r="2827" spans="1:40" x14ac:dyDescent="0.25">
      <c r="A2827" t="str">
        <f>"20190312154310519"</f>
        <v>20190312154310519</v>
      </c>
      <c r="B2827" t="str">
        <f>"1552376590509870"</f>
        <v>1552376590509870</v>
      </c>
      <c r="C2827" t="s">
        <v>40</v>
      </c>
      <c r="D2827">
        <v>4.2993209999999999</v>
      </c>
      <c r="E2827">
        <v>0.52687600000000001</v>
      </c>
      <c r="F2827" t="s">
        <v>41</v>
      </c>
      <c r="G2827">
        <v>-488.3501</v>
      </c>
      <c r="H2827">
        <v>0.96785750000000004</v>
      </c>
      <c r="I2827">
        <v>271.43979999999999</v>
      </c>
      <c r="J2827">
        <v>-487.93979999999999</v>
      </c>
      <c r="K2827">
        <v>1.1112759999999999</v>
      </c>
      <c r="L2827">
        <v>272.04829999999998</v>
      </c>
      <c r="M2827">
        <v>-0.532003</v>
      </c>
      <c r="N2827">
        <v>0</v>
      </c>
      <c r="O2827">
        <v>-0.84663539999999904</v>
      </c>
      <c r="P2827">
        <v>-0.5202485</v>
      </c>
      <c r="Q2827">
        <v>-2.587273E-2</v>
      </c>
      <c r="R2827">
        <v>-0.85362329999999997</v>
      </c>
      <c r="S2827">
        <v>-1.65985099999999</v>
      </c>
      <c r="T2827">
        <v>-0.54273559999999998</v>
      </c>
      <c r="U2827">
        <v>-2.486755</v>
      </c>
      <c r="V2827">
        <v>-1.3649720000000001E-2</v>
      </c>
      <c r="W2827">
        <v>-1.242235E-2</v>
      </c>
      <c r="X2827">
        <v>0.99982959999999999</v>
      </c>
      <c r="Y2827">
        <v>1.9850340000000001E-2</v>
      </c>
      <c r="Z2827">
        <v>0.1525282</v>
      </c>
      <c r="AA2827">
        <v>0.98809979999999997</v>
      </c>
      <c r="AB2827">
        <v>12</v>
      </c>
      <c r="AC2827">
        <v>-0.41030000000000599</v>
      </c>
      <c r="AD2827">
        <v>-0.14341849999999901</v>
      </c>
      <c r="AE2827">
        <v>-0.60849999999999205</v>
      </c>
      <c r="AF2827">
        <v>2.2782789653120201E-2</v>
      </c>
      <c r="AG2827">
        <v>-0.14341849999999901</v>
      </c>
      <c r="AH2827">
        <v>0.70654335114549505</v>
      </c>
      <c r="AI2827">
        <v>101.468547024866</v>
      </c>
      <c r="AJ2827">
        <v>88.153113252265499</v>
      </c>
      <c r="AK2827">
        <v>0.72131229623134396</v>
      </c>
      <c r="AL2827">
        <v>90.711766583749593</v>
      </c>
      <c r="AM2827">
        <v>90.782156045297398</v>
      </c>
      <c r="AN2827">
        <v>0.999999929335878</v>
      </c>
    </row>
    <row r="2828" spans="1:40" x14ac:dyDescent="0.25">
      <c r="A2828" t="str">
        <f>"20190312154310530"</f>
        <v>20190312154310530</v>
      </c>
      <c r="B2828" t="str">
        <f>"1552376590520606"</f>
        <v>1552376590520606</v>
      </c>
      <c r="C2828" t="s">
        <v>40</v>
      </c>
      <c r="D2828">
        <v>4.3041260000000001</v>
      </c>
      <c r="E2828">
        <v>0.53174379999999999</v>
      </c>
      <c r="F2828" t="s">
        <v>41</v>
      </c>
      <c r="G2828">
        <v>-488.35930000000002</v>
      </c>
      <c r="H2828">
        <v>0.96394550000000001</v>
      </c>
      <c r="I2828">
        <v>271.44819999999999</v>
      </c>
      <c r="J2828">
        <v>-487.96800000000002</v>
      </c>
      <c r="K2828">
        <v>1.1112839999999999</v>
      </c>
      <c r="L2828">
        <v>272.00110000000001</v>
      </c>
      <c r="M2828">
        <v>-0.53101519999999902</v>
      </c>
      <c r="N2828">
        <v>0</v>
      </c>
      <c r="O2828">
        <v>-0.84725519999999999</v>
      </c>
      <c r="P2828">
        <v>-0.51978420000000003</v>
      </c>
      <c r="Q2828">
        <v>-2.671687E-2</v>
      </c>
      <c r="R2828">
        <v>-0.85387990000000002</v>
      </c>
      <c r="S2828">
        <v>-1.712097</v>
      </c>
      <c r="T2828">
        <v>-0.60291359999999905</v>
      </c>
      <c r="U2828">
        <v>-2.4527890000000001</v>
      </c>
      <c r="V2828">
        <v>-1.301215E-2</v>
      </c>
      <c r="W2828">
        <v>-1.3267070000000001E-2</v>
      </c>
      <c r="X2828">
        <v>0.99982729999999997</v>
      </c>
      <c r="Y2828">
        <v>3.9667819999999999E-2</v>
      </c>
      <c r="Z2828">
        <v>0.16999549999999999</v>
      </c>
      <c r="AA2828">
        <v>0.98464609999999997</v>
      </c>
      <c r="AB2828">
        <v>12</v>
      </c>
      <c r="AC2828">
        <v>-0.39130000000000098</v>
      </c>
      <c r="AD2828">
        <v>-0.14733849999999901</v>
      </c>
      <c r="AE2828">
        <v>-0.55290000000002204</v>
      </c>
      <c r="AF2828">
        <v>3.6222254530919699E-2</v>
      </c>
      <c r="AG2828">
        <v>-0.14733849999999901</v>
      </c>
      <c r="AH2828">
        <v>0.64574195703770298</v>
      </c>
      <c r="AI2828">
        <v>102.833598888426</v>
      </c>
      <c r="AJ2828">
        <v>86.789414671670897</v>
      </c>
      <c r="AK2828">
        <v>0.66332749105131705</v>
      </c>
      <c r="AL2828">
        <v>90.760169433655605</v>
      </c>
      <c r="AM2828">
        <v>90.745627959712095</v>
      </c>
      <c r="AN2828">
        <v>0.999999980509648</v>
      </c>
    </row>
    <row r="2829" spans="1:40" x14ac:dyDescent="0.25">
      <c r="A2829" t="str">
        <f>"20190312154310541"</f>
        <v>20190312154310541</v>
      </c>
      <c r="B2829" t="str">
        <f>"1552376590530366"</f>
        <v>1552376590530366</v>
      </c>
      <c r="C2829" t="s">
        <v>40</v>
      </c>
      <c r="D2829">
        <v>4.2681779999999998</v>
      </c>
      <c r="E2829">
        <v>0.53493950000000001</v>
      </c>
      <c r="F2829" t="s">
        <v>41</v>
      </c>
      <c r="G2829">
        <v>-488.41739999999999</v>
      </c>
      <c r="H2829">
        <v>0.94575189999999998</v>
      </c>
      <c r="I2829">
        <v>271.37349999999998</v>
      </c>
      <c r="J2829">
        <v>-487.99689999999998</v>
      </c>
      <c r="K2829">
        <v>1.1112919999999999</v>
      </c>
      <c r="L2829">
        <v>271.95240000000001</v>
      </c>
      <c r="M2829">
        <v>-0.52999399999999997</v>
      </c>
      <c r="N2829">
        <v>0</v>
      </c>
      <c r="O2829">
        <v>-0.84789439999999905</v>
      </c>
      <c r="P2829">
        <v>-0.5193584</v>
      </c>
      <c r="Q2829">
        <v>-2.7473089999999999E-2</v>
      </c>
      <c r="R2829">
        <v>-0.85411479999999995</v>
      </c>
      <c r="S2829">
        <v>-1.7411190000000001</v>
      </c>
      <c r="T2829">
        <v>-0.64250469999999904</v>
      </c>
      <c r="U2829">
        <v>-2.4333499999999999</v>
      </c>
      <c r="V2829">
        <v>-1.229212E-2</v>
      </c>
      <c r="W2829">
        <v>-1.4023549999999999E-2</v>
      </c>
      <c r="X2829">
        <v>0.99982610000000005</v>
      </c>
      <c r="Y2829">
        <v>5.096092E-2</v>
      </c>
      <c r="Z2829">
        <v>0.1814645</v>
      </c>
      <c r="AA2829">
        <v>0.98207619999999896</v>
      </c>
      <c r="AB2829">
        <v>12</v>
      </c>
      <c r="AC2829">
        <v>-0.42050000000000398</v>
      </c>
      <c r="AD2829">
        <v>-0.165540099999999</v>
      </c>
      <c r="AE2829">
        <v>-0.57890000000003194</v>
      </c>
      <c r="AF2829">
        <v>4.7203843232188999E-2</v>
      </c>
      <c r="AG2829">
        <v>-0.165540099999999</v>
      </c>
      <c r="AH2829">
        <v>0.67750753734867397</v>
      </c>
      <c r="AI2829">
        <v>103.698501810981</v>
      </c>
      <c r="AJ2829">
        <v>86.014483579223395</v>
      </c>
      <c r="AK2829">
        <v>0.69903375504203202</v>
      </c>
      <c r="AL2829">
        <v>90.803516572307203</v>
      </c>
      <c r="AM2829">
        <v>90.704373607036501</v>
      </c>
      <c r="AN2829">
        <v>0.99999999320495303</v>
      </c>
    </row>
    <row r="2830" spans="1:40" x14ac:dyDescent="0.25">
      <c r="A2830" t="str">
        <f>"20190312154310552"</f>
        <v>20190312154310552</v>
      </c>
      <c r="B2830" t="str">
        <f>"1552376590540126"</f>
        <v>1552376590540126</v>
      </c>
      <c r="C2830" t="s">
        <v>40</v>
      </c>
      <c r="D2830">
        <v>4.2685149999999998</v>
      </c>
      <c r="E2830">
        <v>0.53702689999999997</v>
      </c>
      <c r="F2830" t="s">
        <v>41</v>
      </c>
      <c r="G2830">
        <v>-488.41890000000001</v>
      </c>
      <c r="H2830">
        <v>0.95017640000000003</v>
      </c>
      <c r="I2830">
        <v>271.37189999999998</v>
      </c>
      <c r="J2830">
        <v>-488.02600000000001</v>
      </c>
      <c r="K2830">
        <v>1.1112979999999999</v>
      </c>
      <c r="L2830">
        <v>271.90320000000003</v>
      </c>
      <c r="M2830">
        <v>-0.52896049999999994</v>
      </c>
      <c r="N2830">
        <v>0</v>
      </c>
      <c r="O2830">
        <v>-0.84853969999999901</v>
      </c>
      <c r="P2830">
        <v>-0.5189011</v>
      </c>
      <c r="Q2830">
        <v>-2.7934850000000001E-2</v>
      </c>
      <c r="R2830">
        <v>-0.85437790000000002</v>
      </c>
      <c r="S2830">
        <v>-1.7589109999999999</v>
      </c>
      <c r="T2830">
        <v>-0.67276429999999998</v>
      </c>
      <c r="U2830">
        <v>-2.4212340000000001</v>
      </c>
      <c r="V2830">
        <v>-1.1600269999999999E-2</v>
      </c>
      <c r="W2830">
        <v>-1.448545E-2</v>
      </c>
      <c r="X2830">
        <v>0.99982780000000004</v>
      </c>
      <c r="Y2830">
        <v>5.8100909999999999E-2</v>
      </c>
      <c r="Z2830">
        <v>0.19018660000000001</v>
      </c>
      <c r="AA2830">
        <v>0.98002719999999999</v>
      </c>
      <c r="AB2830">
        <v>12</v>
      </c>
      <c r="AC2830">
        <v>-0.39289999999999697</v>
      </c>
      <c r="AD2830">
        <v>-0.161121599999999</v>
      </c>
      <c r="AE2830">
        <v>-0.53130000000004396</v>
      </c>
      <c r="AF2830">
        <v>4.9421046774658202E-2</v>
      </c>
      <c r="AG2830">
        <v>-0.161121599999999</v>
      </c>
      <c r="AH2830">
        <v>0.62175233651043005</v>
      </c>
      <c r="AI2830">
        <v>104.484357909</v>
      </c>
      <c r="AJ2830">
        <v>85.455302339156205</v>
      </c>
      <c r="AK2830">
        <v>0.64418830927535597</v>
      </c>
      <c r="AL2830">
        <v>90.829984166728394</v>
      </c>
      <c r="AM2830">
        <v>90.664731158056497</v>
      </c>
      <c r="AN2830">
        <v>1.0000000120893</v>
      </c>
    </row>
    <row r="2831" spans="1:40" x14ac:dyDescent="0.25">
      <c r="A2831" t="str">
        <f>"20190312154310563"</f>
        <v>20190312154310563</v>
      </c>
      <c r="B2831" t="str">
        <f>"1552376590549885"</f>
        <v>1552376590549885</v>
      </c>
      <c r="C2831" t="s">
        <v>40</v>
      </c>
      <c r="D2831">
        <v>4.2627329999999999</v>
      </c>
      <c r="E2831">
        <v>0.53885139999999998</v>
      </c>
      <c r="F2831" t="s">
        <v>41</v>
      </c>
      <c r="G2831">
        <v>-488.4742</v>
      </c>
      <c r="H2831">
        <v>0.9365097</v>
      </c>
      <c r="I2831">
        <v>271.2928</v>
      </c>
      <c r="J2831">
        <v>-488.05549999999999</v>
      </c>
      <c r="K2831">
        <v>1.111305</v>
      </c>
      <c r="L2831">
        <v>271.85309999999998</v>
      </c>
      <c r="M2831">
        <v>-0.52790579999999998</v>
      </c>
      <c r="N2831">
        <v>0</v>
      </c>
      <c r="O2831">
        <v>-0.84919619999999996</v>
      </c>
      <c r="P2831">
        <v>-0.51839570000000001</v>
      </c>
      <c r="Q2831">
        <v>-2.829336E-2</v>
      </c>
      <c r="R2831">
        <v>-0.85467269999999895</v>
      </c>
      <c r="S2831">
        <v>-1.7706599999999999</v>
      </c>
      <c r="T2831">
        <v>-0.69153819999999999</v>
      </c>
      <c r="U2831">
        <v>-2.4132389999999999</v>
      </c>
      <c r="V2831">
        <v>-1.094229E-2</v>
      </c>
      <c r="W2831">
        <v>-1.4844E-2</v>
      </c>
      <c r="X2831">
        <v>0.99982990000000005</v>
      </c>
      <c r="Y2831">
        <v>6.324581E-2</v>
      </c>
      <c r="Z2831">
        <v>0.19568749999999999</v>
      </c>
      <c r="AA2831">
        <v>0.97862479999999996</v>
      </c>
      <c r="AB2831">
        <v>12</v>
      </c>
      <c r="AC2831">
        <v>-0.41870000000000102</v>
      </c>
      <c r="AD2831">
        <v>-0.17479529999999999</v>
      </c>
      <c r="AE2831">
        <v>-0.56029999999998303</v>
      </c>
      <c r="AF2831">
        <v>5.62645282033769E-2</v>
      </c>
      <c r="AG2831">
        <v>-0.17479529999999999</v>
      </c>
      <c r="AH2831">
        <v>0.655938596844855</v>
      </c>
      <c r="AI2831">
        <v>104.869324954848</v>
      </c>
      <c r="AJ2831">
        <v>85.097333295509998</v>
      </c>
      <c r="AK2831">
        <v>0.68115676379731804</v>
      </c>
      <c r="AL2831">
        <v>90.850529827506804</v>
      </c>
      <c r="AM2831">
        <v>90.627028663836199</v>
      </c>
      <c r="AN2831">
        <v>0.99999995349022597</v>
      </c>
    </row>
    <row r="2832" spans="1:40" x14ac:dyDescent="0.25">
      <c r="A2832" t="str">
        <f>"20190312154310575"</f>
        <v>20190312154310575</v>
      </c>
      <c r="B2832" t="str">
        <f>"1552376590570381"</f>
        <v>1552376590570381</v>
      </c>
      <c r="C2832" t="s">
        <v>40</v>
      </c>
      <c r="D2832">
        <v>4.2860079999999998</v>
      </c>
      <c r="E2832">
        <v>0.54086859999999903</v>
      </c>
      <c r="F2832" t="s">
        <v>41</v>
      </c>
      <c r="G2832">
        <v>-488.4744</v>
      </c>
      <c r="H2832">
        <v>0.94595830000000003</v>
      </c>
      <c r="I2832">
        <v>271.28750000000002</v>
      </c>
      <c r="J2832">
        <v>-488.08339999999998</v>
      </c>
      <c r="K2832">
        <v>1.1113090000000001</v>
      </c>
      <c r="L2832">
        <v>271.80560000000003</v>
      </c>
      <c r="M2832">
        <v>-0.52690289999999995</v>
      </c>
      <c r="N2832">
        <v>0</v>
      </c>
      <c r="O2832">
        <v>-0.84981879999999999</v>
      </c>
      <c r="P2832">
        <v>-0.51783480000000004</v>
      </c>
      <c r="Q2832">
        <v>-2.859391E-2</v>
      </c>
      <c r="R2832">
        <v>-0.8550027</v>
      </c>
      <c r="S2832">
        <v>-1.7811889999999999</v>
      </c>
      <c r="T2832">
        <v>-0.70404919999999904</v>
      </c>
      <c r="U2832">
        <v>-2.4064939999999999</v>
      </c>
      <c r="V2832">
        <v>-1.0412090000000001E-2</v>
      </c>
      <c r="W2832">
        <v>-1.514618E-2</v>
      </c>
      <c r="X2832">
        <v>0.99983109999999997</v>
      </c>
      <c r="Y2832">
        <v>6.7981269999999996E-2</v>
      </c>
      <c r="Z2832">
        <v>0.1994427</v>
      </c>
      <c r="AA2832">
        <v>0.97754850000000004</v>
      </c>
      <c r="AB2832">
        <v>12</v>
      </c>
      <c r="AC2832">
        <v>-0.391000000000019</v>
      </c>
      <c r="AD2832">
        <v>-0.16535069999999999</v>
      </c>
      <c r="AE2832">
        <v>-0.518100000000004</v>
      </c>
      <c r="AF2832">
        <v>5.5682607930862299E-2</v>
      </c>
      <c r="AG2832">
        <v>-0.16535069999999999</v>
      </c>
      <c r="AH2832">
        <v>0.60697882676366899</v>
      </c>
      <c r="AI2832">
        <v>105.17773895982501</v>
      </c>
      <c r="AJ2832">
        <v>84.758509827893803</v>
      </c>
      <c r="AK2832">
        <v>0.63155736315545596</v>
      </c>
      <c r="AL2832">
        <v>90.867845353144304</v>
      </c>
      <c r="AM2832">
        <v>90.596648022550099</v>
      </c>
      <c r="AN2832">
        <v>1.0000000234569799</v>
      </c>
    </row>
    <row r="2833" spans="1:40" x14ac:dyDescent="0.25">
      <c r="A2833" t="str">
        <f>"20190312154310585"</f>
        <v>20190312154310585</v>
      </c>
      <c r="B2833" t="str">
        <f>"1552376590580143"</f>
        <v>1552376590580143</v>
      </c>
      <c r="C2833" t="s">
        <v>40</v>
      </c>
      <c r="D2833">
        <v>4.2757180000000004</v>
      </c>
      <c r="E2833">
        <v>0.54164000000000001</v>
      </c>
      <c r="F2833" t="s">
        <v>41</v>
      </c>
      <c r="G2833">
        <v>-488.52980000000002</v>
      </c>
      <c r="H2833">
        <v>0.93257769999999995</v>
      </c>
      <c r="I2833">
        <v>271.20859999999999</v>
      </c>
      <c r="J2833">
        <v>-488.1112</v>
      </c>
      <c r="K2833">
        <v>1.1113109999999999</v>
      </c>
      <c r="L2833">
        <v>271.75819999999999</v>
      </c>
      <c r="M2833">
        <v>-0.52590139999999996</v>
      </c>
      <c r="N2833">
        <v>0</v>
      </c>
      <c r="O2833">
        <v>-0.85043899999999994</v>
      </c>
      <c r="P2833">
        <v>-0.5173584</v>
      </c>
      <c r="Q2833">
        <v>-2.881997E-2</v>
      </c>
      <c r="R2833">
        <v>-0.85528389999999999</v>
      </c>
      <c r="S2833">
        <v>-1.7923279999999999</v>
      </c>
      <c r="T2833">
        <v>-0.71875330000000004</v>
      </c>
      <c r="U2833">
        <v>-2.3991699999999998</v>
      </c>
      <c r="V2833">
        <v>-9.7870260000000008E-3</v>
      </c>
      <c r="W2833">
        <v>-1.5374489999999999E-2</v>
      </c>
      <c r="X2833">
        <v>0.99983390000000005</v>
      </c>
      <c r="Y2833">
        <v>7.2877629999999999E-2</v>
      </c>
      <c r="Z2833">
        <v>0.2038073</v>
      </c>
      <c r="AA2833">
        <v>0.97629480000000002</v>
      </c>
      <c r="AB2833">
        <v>12</v>
      </c>
      <c r="AC2833">
        <v>-0.41860000000002601</v>
      </c>
      <c r="AD2833">
        <v>-0.17873330000000001</v>
      </c>
      <c r="AE2833">
        <v>-0.54959999999999798</v>
      </c>
      <c r="AF2833">
        <v>6.2763550152240902E-2</v>
      </c>
      <c r="AG2833">
        <v>-0.17873330000000001</v>
      </c>
      <c r="AH2833">
        <v>0.64447038206602303</v>
      </c>
      <c r="AI2833">
        <v>105.43098120072101</v>
      </c>
      <c r="AJ2833">
        <v>84.437631263326793</v>
      </c>
      <c r="AK2833">
        <v>0.67173426972049699</v>
      </c>
      <c r="AL2833">
        <v>90.880928101484102</v>
      </c>
      <c r="AM2833">
        <v>90.560830528670195</v>
      </c>
      <c r="AN2833">
        <v>0.99999999420494701</v>
      </c>
    </row>
    <row r="2834" spans="1:40" x14ac:dyDescent="0.25">
      <c r="A2834" t="str">
        <f>"20190312154310595"</f>
        <v>20190312154310595</v>
      </c>
      <c r="B2834" t="str">
        <f>"1552376590589901"</f>
        <v>1552376590589901</v>
      </c>
      <c r="C2834" t="s">
        <v>40</v>
      </c>
      <c r="D2834">
        <v>4.2631769999999998</v>
      </c>
      <c r="E2834">
        <v>0.54226419999999997</v>
      </c>
      <c r="F2834" t="s">
        <v>41</v>
      </c>
      <c r="G2834">
        <v>-488.52859999999998</v>
      </c>
      <c r="H2834">
        <v>0.94304339999999998</v>
      </c>
      <c r="I2834">
        <v>271.20170000000002</v>
      </c>
      <c r="J2834">
        <v>-488.13709999999998</v>
      </c>
      <c r="K2834">
        <v>1.1113120000000001</v>
      </c>
      <c r="L2834">
        <v>271.71390000000002</v>
      </c>
      <c r="M2834">
        <v>-0.52496180000000003</v>
      </c>
      <c r="N2834">
        <v>0</v>
      </c>
      <c r="O2834">
        <v>-0.85101970000000005</v>
      </c>
      <c r="P2834">
        <v>-0.51672750000000001</v>
      </c>
      <c r="Q2834">
        <v>-2.925465E-2</v>
      </c>
      <c r="R2834">
        <v>-0.85565040000000003</v>
      </c>
      <c r="S2834">
        <v>-1.7958069999999999</v>
      </c>
      <c r="T2834">
        <v>-0.72530530000000004</v>
      </c>
      <c r="U2834">
        <v>-2.3969119999999999</v>
      </c>
      <c r="V2834">
        <v>-9.4107989999999992E-3</v>
      </c>
      <c r="W2834">
        <v>-1.58178E-2</v>
      </c>
      <c r="X2834">
        <v>0.99983060000000001</v>
      </c>
      <c r="Y2834">
        <v>7.5040270000000006E-2</v>
      </c>
      <c r="Z2834">
        <v>0.20582220000000001</v>
      </c>
      <c r="AA2834">
        <v>0.97570809999999997</v>
      </c>
      <c r="AB2834">
        <v>12</v>
      </c>
      <c r="AC2834">
        <v>-0.39150000000000701</v>
      </c>
      <c r="AD2834">
        <v>-0.16826859999999999</v>
      </c>
      <c r="AE2834">
        <v>-0.51220000000000698</v>
      </c>
      <c r="AF2834">
        <v>6.0193857853343302E-2</v>
      </c>
      <c r="AG2834">
        <v>-0.16826859999999999</v>
      </c>
      <c r="AH2834">
        <v>0.60055944835492503</v>
      </c>
      <c r="AI2834">
        <v>105.57791510542</v>
      </c>
      <c r="AJ2834">
        <v>84.276379975833905</v>
      </c>
      <c r="AK2834">
        <v>0.62658540780774696</v>
      </c>
      <c r="AL2834">
        <v>90.906330980719105</v>
      </c>
      <c r="AM2834">
        <v>90.5392744953771</v>
      </c>
      <c r="AN2834">
        <v>0.99999999731550904</v>
      </c>
    </row>
    <row r="2835" spans="1:40" x14ac:dyDescent="0.25">
      <c r="A2835" t="str">
        <f>"20190312154310607"</f>
        <v>20190312154310607</v>
      </c>
      <c r="B2835" t="str">
        <f>"1552376590600638"</f>
        <v>1552376590600638</v>
      </c>
      <c r="C2835" t="s">
        <v>40</v>
      </c>
      <c r="D2835">
        <v>4.2430770000000004</v>
      </c>
      <c r="E2835">
        <v>0.54293210000000003</v>
      </c>
      <c r="F2835" t="s">
        <v>41</v>
      </c>
      <c r="G2835">
        <v>-488.58249999999998</v>
      </c>
      <c r="H2835">
        <v>0.93065189999999998</v>
      </c>
      <c r="I2835">
        <v>271.12139999999999</v>
      </c>
      <c r="J2835">
        <v>-488.16750000000002</v>
      </c>
      <c r="K2835">
        <v>1.11131</v>
      </c>
      <c r="L2835">
        <v>271.6619</v>
      </c>
      <c r="M2835">
        <v>-0.52385680000000001</v>
      </c>
      <c r="N2835">
        <v>0</v>
      </c>
      <c r="O2835">
        <v>-0.85170040000000002</v>
      </c>
      <c r="P2835">
        <v>-0.51562549999999996</v>
      </c>
      <c r="Q2835">
        <v>-2.9663350000000002E-2</v>
      </c>
      <c r="R2835">
        <v>-0.85630069999999903</v>
      </c>
      <c r="S2835">
        <v>-1.797882</v>
      </c>
      <c r="T2835">
        <v>-0.73088839999999999</v>
      </c>
      <c r="U2835">
        <v>-2.3953549999999999</v>
      </c>
      <c r="V2835">
        <v>-9.3921400000000002E-3</v>
      </c>
      <c r="W2835">
        <v>-1.623983E-2</v>
      </c>
      <c r="X2835">
        <v>0.99982400000000005</v>
      </c>
      <c r="Y2835">
        <v>7.6925709999999994E-2</v>
      </c>
      <c r="Z2835">
        <v>0.20759900000000001</v>
      </c>
      <c r="AA2835">
        <v>0.97518459999999996</v>
      </c>
      <c r="AB2835">
        <v>12</v>
      </c>
      <c r="AC2835">
        <v>-0.41499999999996301</v>
      </c>
      <c r="AD2835">
        <v>-0.18065809999999999</v>
      </c>
      <c r="AE2835">
        <v>-0.54050000000000797</v>
      </c>
      <c r="AF2835">
        <v>6.5699781810197005E-2</v>
      </c>
      <c r="AG2835">
        <v>-0.18065809999999999</v>
      </c>
      <c r="AH2835">
        <v>0.63329540624673197</v>
      </c>
      <c r="AI2835">
        <v>105.840967090538</v>
      </c>
      <c r="AJ2835">
        <v>84.077168165875705</v>
      </c>
      <c r="AK2835">
        <v>0.66182843849349005</v>
      </c>
      <c r="AL2835">
        <v>90.930514634629603</v>
      </c>
      <c r="AM2835">
        <v>90.538208879398795</v>
      </c>
      <c r="AN2835">
        <v>0.99999998767410403</v>
      </c>
    </row>
    <row r="2836" spans="1:40" x14ac:dyDescent="0.25">
      <c r="A2836" t="str">
        <f>"20190312154310618"</f>
        <v>20190312154310618</v>
      </c>
      <c r="B2836" t="str">
        <f>"1552376590610397"</f>
        <v>1552376590610397</v>
      </c>
      <c r="C2836" t="s">
        <v>40</v>
      </c>
      <c r="D2836">
        <v>4.2496049999999999</v>
      </c>
      <c r="E2836">
        <v>0.54329479999999997</v>
      </c>
      <c r="F2836" t="s">
        <v>41</v>
      </c>
      <c r="G2836">
        <v>-488.5804</v>
      </c>
      <c r="H2836">
        <v>0.9427565</v>
      </c>
      <c r="I2836">
        <v>271.11320000000001</v>
      </c>
      <c r="J2836">
        <v>-488.19499999999999</v>
      </c>
      <c r="K2836">
        <v>1.111308</v>
      </c>
      <c r="L2836">
        <v>271.61439999999999</v>
      </c>
      <c r="M2836">
        <v>-0.52284299999999995</v>
      </c>
      <c r="N2836">
        <v>0</v>
      </c>
      <c r="O2836">
        <v>-0.85232350000000001</v>
      </c>
      <c r="P2836">
        <v>-0.51454509999999998</v>
      </c>
      <c r="Q2836">
        <v>-3.0090249999999999E-2</v>
      </c>
      <c r="R2836">
        <v>-0.85693549999999996</v>
      </c>
      <c r="S2836">
        <v>-1.7991029999999999</v>
      </c>
      <c r="T2836">
        <v>-0.7362573</v>
      </c>
      <c r="U2836">
        <v>-2.3946230000000002</v>
      </c>
      <c r="V2836">
        <v>-9.4545259999999996E-3</v>
      </c>
      <c r="W2836">
        <v>-1.669259E-2</v>
      </c>
      <c r="X2836">
        <v>0.99981589999999998</v>
      </c>
      <c r="Y2836">
        <v>7.8332330000000006E-2</v>
      </c>
      <c r="Z2836">
        <v>0.2092666</v>
      </c>
      <c r="AA2836">
        <v>0.97471609999999997</v>
      </c>
      <c r="AB2836">
        <v>12</v>
      </c>
      <c r="AC2836">
        <v>-0.38540000000000402</v>
      </c>
      <c r="AD2836">
        <v>-0.16855149999999899</v>
      </c>
      <c r="AE2836">
        <v>-0.50119999999998299</v>
      </c>
      <c r="AF2836">
        <v>6.2033730206848901E-2</v>
      </c>
      <c r="AG2836">
        <v>-0.16855149999999899</v>
      </c>
      <c r="AH2836">
        <v>0.58702426732537305</v>
      </c>
      <c r="AI2836">
        <v>105.936098085727</v>
      </c>
      <c r="AJ2836">
        <v>83.967662543646099</v>
      </c>
      <c r="AK2836">
        <v>0.61388539831512301</v>
      </c>
      <c r="AL2836">
        <v>90.956459442829996</v>
      </c>
      <c r="AM2836">
        <v>90.541788034558905</v>
      </c>
      <c r="AN2836">
        <v>0.99999993225779904</v>
      </c>
    </row>
    <row r="2837" spans="1:40" x14ac:dyDescent="0.25">
      <c r="A2837" t="str">
        <f>"20190312154310629"</f>
        <v>20190312154310629</v>
      </c>
      <c r="B2837" t="str">
        <f>"1552376590620160"</f>
        <v>1552376590620160</v>
      </c>
      <c r="C2837" t="s">
        <v>40</v>
      </c>
      <c r="D2837">
        <v>4.2753550000000002</v>
      </c>
      <c r="E2837">
        <v>0.54364840000000003</v>
      </c>
      <c r="F2837" t="s">
        <v>41</v>
      </c>
      <c r="G2837">
        <v>-488.63310000000001</v>
      </c>
      <c r="H2837">
        <v>0.93122890000000003</v>
      </c>
      <c r="I2837">
        <v>271.03160000000003</v>
      </c>
      <c r="J2837">
        <v>-488.22199999999998</v>
      </c>
      <c r="K2837">
        <v>1.1113029999999999</v>
      </c>
      <c r="L2837">
        <v>271.56799999999998</v>
      </c>
      <c r="M2837">
        <v>-0.52185150000000002</v>
      </c>
      <c r="N2837">
        <v>0</v>
      </c>
      <c r="O2837">
        <v>-0.85293129999999995</v>
      </c>
      <c r="P2837">
        <v>-0.51326130000000003</v>
      </c>
      <c r="Q2837">
        <v>-3.023723E-2</v>
      </c>
      <c r="R2837">
        <v>-0.85769959999999901</v>
      </c>
      <c r="S2837">
        <v>-1.7984009999999999</v>
      </c>
      <c r="T2837">
        <v>-0.74055579999999999</v>
      </c>
      <c r="U2837">
        <v>-2.3950200000000001</v>
      </c>
      <c r="V2837">
        <v>-9.7858359999999991E-3</v>
      </c>
      <c r="W2837">
        <v>-1.6866909999999999E-2</v>
      </c>
      <c r="X2837">
        <v>0.99980990000000003</v>
      </c>
      <c r="Y2837">
        <v>7.9037289999999996E-2</v>
      </c>
      <c r="Z2837">
        <v>0.2106143</v>
      </c>
      <c r="AA2837">
        <v>0.97436889999999998</v>
      </c>
      <c r="AB2837">
        <v>12</v>
      </c>
      <c r="AC2837">
        <v>-0.41110000000003299</v>
      </c>
      <c r="AD2837">
        <v>-0.18007409999999999</v>
      </c>
      <c r="AE2837">
        <v>-0.53639999999995702</v>
      </c>
      <c r="AF2837">
        <v>6.6036785903615197E-2</v>
      </c>
      <c r="AG2837">
        <v>-0.18007409999999999</v>
      </c>
      <c r="AH2837">
        <v>0.62755100565098598</v>
      </c>
      <c r="AI2837">
        <v>105.92724756797</v>
      </c>
      <c r="AJ2837">
        <v>83.992909736701293</v>
      </c>
      <c r="AK2837">
        <v>0.65620713443001599</v>
      </c>
      <c r="AL2837">
        <v>90.966448540548399</v>
      </c>
      <c r="AM2837">
        <v>90.560775801893897</v>
      </c>
      <c r="AN2837">
        <v>1.00000004568858</v>
      </c>
    </row>
    <row r="2838" spans="1:40" x14ac:dyDescent="0.25">
      <c r="A2838" t="str">
        <f>"20190312154310640"</f>
        <v>20190312154310640</v>
      </c>
      <c r="B2838" t="str">
        <f>"1552376590629918"</f>
        <v>1552376590629918</v>
      </c>
      <c r="C2838" t="s">
        <v>40</v>
      </c>
      <c r="D2838">
        <v>4.2357209999999998</v>
      </c>
      <c r="E2838">
        <v>0.54381480000000004</v>
      </c>
      <c r="F2838" t="s">
        <v>41</v>
      </c>
      <c r="G2838">
        <v>-488.6859</v>
      </c>
      <c r="H2838">
        <v>0.91950319999999997</v>
      </c>
      <c r="I2838">
        <v>270.95010000000002</v>
      </c>
      <c r="J2838">
        <v>-488.25529999999998</v>
      </c>
      <c r="K2838">
        <v>1.111297</v>
      </c>
      <c r="L2838">
        <v>271.51029999999997</v>
      </c>
      <c r="M2838">
        <v>-0.52061709999999894</v>
      </c>
      <c r="N2838">
        <v>0</v>
      </c>
      <c r="O2838">
        <v>-0.85368639999999996</v>
      </c>
      <c r="P2838">
        <v>-0.51152470000000005</v>
      </c>
      <c r="Q2838">
        <v>-3.049694E-2</v>
      </c>
      <c r="R2838">
        <v>-0.85872780000000004</v>
      </c>
      <c r="S2838">
        <v>-1.7975159999999999</v>
      </c>
      <c r="T2838">
        <v>-0.74417829999999996</v>
      </c>
      <c r="U2838">
        <v>-2.3958439999999999</v>
      </c>
      <c r="V2838">
        <v>-1.0355970000000001E-2</v>
      </c>
      <c r="W2838">
        <v>-1.7179119999999999E-2</v>
      </c>
      <c r="X2838">
        <v>0.99979879999999999</v>
      </c>
      <c r="Y2838">
        <v>7.9919370000000003E-2</v>
      </c>
      <c r="Z2838">
        <v>0.2118082</v>
      </c>
      <c r="AA2838">
        <v>0.97403810000000002</v>
      </c>
      <c r="AB2838">
        <v>12</v>
      </c>
      <c r="AC2838">
        <v>-0.43060000000002602</v>
      </c>
      <c r="AD2838">
        <v>-0.19179379999999999</v>
      </c>
      <c r="AE2838">
        <v>-0.56019999999995196</v>
      </c>
      <c r="AF2838">
        <v>7.0742011673860294E-2</v>
      </c>
      <c r="AG2838">
        <v>-0.19179379999999999</v>
      </c>
      <c r="AH2838">
        <v>0.65426762004809802</v>
      </c>
      <c r="AI2838">
        <v>106.24845057253</v>
      </c>
      <c r="AJ2838">
        <v>83.828926659449806</v>
      </c>
      <c r="AK2838">
        <v>0.68546000071303004</v>
      </c>
      <c r="AL2838">
        <v>90.984339488219504</v>
      </c>
      <c r="AM2838">
        <v>90.593451557430598</v>
      </c>
      <c r="AN2838">
        <v>1.0000000043800199</v>
      </c>
    </row>
    <row r="2839" spans="1:40" x14ac:dyDescent="0.25">
      <c r="A2839" t="str">
        <f>"20190312154310652"</f>
        <v>20190312154310652</v>
      </c>
      <c r="B2839" t="str">
        <f>"1552376590640654"</f>
        <v>1552376590640654</v>
      </c>
      <c r="C2839" t="s">
        <v>40</v>
      </c>
      <c r="D2839">
        <v>4.2931460000000001</v>
      </c>
      <c r="E2839">
        <v>0.54411039999999999</v>
      </c>
      <c r="F2839" t="s">
        <v>41</v>
      </c>
      <c r="G2839">
        <v>-488.68220000000002</v>
      </c>
      <c r="H2839">
        <v>0.93389889999999998</v>
      </c>
      <c r="I2839">
        <v>270.93979999999999</v>
      </c>
      <c r="J2839">
        <v>-488.28359999999998</v>
      </c>
      <c r="K2839">
        <v>1.1112899999999999</v>
      </c>
      <c r="L2839">
        <v>271.46120000000002</v>
      </c>
      <c r="M2839">
        <v>-0.51956440000000004</v>
      </c>
      <c r="N2839">
        <v>0</v>
      </c>
      <c r="O2839">
        <v>-0.85432790000000003</v>
      </c>
      <c r="P2839">
        <v>-0.51000479999999904</v>
      </c>
      <c r="Q2839">
        <v>-3.0864510000000001E-2</v>
      </c>
      <c r="R2839">
        <v>-0.85961759999999998</v>
      </c>
      <c r="S2839">
        <v>-1.7933650000000001</v>
      </c>
      <c r="T2839">
        <v>-0.74639449999999996</v>
      </c>
      <c r="U2839">
        <v>-2.3987729999999998</v>
      </c>
      <c r="V2839">
        <v>-1.0884120000000001E-2</v>
      </c>
      <c r="W2839">
        <v>-1.7595860000000001E-2</v>
      </c>
      <c r="X2839">
        <v>0.99978599999999995</v>
      </c>
      <c r="Y2839">
        <v>7.9397019999999999E-2</v>
      </c>
      <c r="Z2839">
        <v>0.21252550000000001</v>
      </c>
      <c r="AA2839">
        <v>0.97392460000000003</v>
      </c>
      <c r="AB2839">
        <v>12</v>
      </c>
      <c r="AC2839">
        <v>-0.39860000000004397</v>
      </c>
      <c r="AD2839">
        <v>-0.177391099999999</v>
      </c>
      <c r="AE2839">
        <v>-0.52140000000002795</v>
      </c>
      <c r="AF2839">
        <v>6.4899180657444405E-2</v>
      </c>
      <c r="AG2839">
        <v>-0.177391099999999</v>
      </c>
      <c r="AH2839">
        <v>0.608172677977044</v>
      </c>
      <c r="AI2839">
        <v>106.17385849504799</v>
      </c>
      <c r="AJ2839">
        <v>83.908916911271703</v>
      </c>
      <c r="AK2839">
        <v>0.63683083487452696</v>
      </c>
      <c r="AL2839">
        <v>91.008220483455602</v>
      </c>
      <c r="AM2839">
        <v>90.623722982351495</v>
      </c>
      <c r="AN2839">
        <v>1.00000006207665</v>
      </c>
    </row>
    <row r="2840" spans="1:40" x14ac:dyDescent="0.25">
      <c r="A2840" t="str">
        <f>"20190312154310665"</f>
        <v>20190312154310665</v>
      </c>
      <c r="B2840" t="str">
        <f>"1552376590650414"</f>
        <v>1552376590650414</v>
      </c>
      <c r="C2840" t="s">
        <v>40</v>
      </c>
      <c r="D2840">
        <v>4.2869549999999998</v>
      </c>
      <c r="E2840">
        <v>0.54435529999999999</v>
      </c>
      <c r="F2840" t="s">
        <v>41</v>
      </c>
      <c r="G2840">
        <v>-488.73379999999997</v>
      </c>
      <c r="H2840">
        <v>0.92271720000000002</v>
      </c>
      <c r="I2840">
        <v>270.85739999999998</v>
      </c>
      <c r="J2840">
        <v>-488.31540000000001</v>
      </c>
      <c r="K2840">
        <v>1.1112799999999901</v>
      </c>
      <c r="L2840">
        <v>271.40570000000002</v>
      </c>
      <c r="M2840">
        <v>-0.51837639999999996</v>
      </c>
      <c r="N2840">
        <v>0</v>
      </c>
      <c r="O2840">
        <v>-0.85505039999999999</v>
      </c>
      <c r="P2840">
        <v>-0.50832409999999995</v>
      </c>
      <c r="Q2840">
        <v>-3.1012270000000002E-2</v>
      </c>
      <c r="R2840">
        <v>-0.86060759999999903</v>
      </c>
      <c r="S2840">
        <v>-1.7906489999999999</v>
      </c>
      <c r="T2840">
        <v>-0.74954770000000004</v>
      </c>
      <c r="U2840">
        <v>-2.4005740000000002</v>
      </c>
      <c r="V2840">
        <v>-1.1443760000000001E-2</v>
      </c>
      <c r="W2840">
        <v>-1.7806180000000001E-2</v>
      </c>
      <c r="X2840">
        <v>0.99977590000000005</v>
      </c>
      <c r="Y2840">
        <v>7.9578250000000003E-2</v>
      </c>
      <c r="Z2840">
        <v>0.21356249999999999</v>
      </c>
      <c r="AA2840">
        <v>0.97368290000000002</v>
      </c>
      <c r="AB2840">
        <v>12</v>
      </c>
      <c r="AC2840">
        <v>-0.41839999999996202</v>
      </c>
      <c r="AD2840">
        <v>-0.188562799999999</v>
      </c>
      <c r="AE2840">
        <v>-0.54830000000003998</v>
      </c>
      <c r="AF2840">
        <v>6.8419651132462206E-2</v>
      </c>
      <c r="AG2840">
        <v>-0.188562799999999</v>
      </c>
      <c r="AH2840">
        <v>0.63807901700828096</v>
      </c>
      <c r="AI2840">
        <v>106.37447599411399</v>
      </c>
      <c r="AJ2840">
        <v>83.879698879349704</v>
      </c>
      <c r="AK2840">
        <v>0.66886621244549405</v>
      </c>
      <c r="AL2840">
        <v>91.020272949092998</v>
      </c>
      <c r="AM2840">
        <v>90.655797480891493</v>
      </c>
      <c r="AN2840">
        <v>0.99999993495496697</v>
      </c>
    </row>
    <row r="2841" spans="1:40" x14ac:dyDescent="0.25">
      <c r="A2841" t="str">
        <f>"20190312154310677"</f>
        <v>20190312154310677</v>
      </c>
      <c r="B2841" t="str">
        <f>"1552376590669933"</f>
        <v>1552376590669933</v>
      </c>
      <c r="C2841" t="s">
        <v>40</v>
      </c>
      <c r="D2841">
        <v>4.3262090000000004</v>
      </c>
      <c r="E2841">
        <v>0.54480260000000003</v>
      </c>
      <c r="F2841" t="s">
        <v>41</v>
      </c>
      <c r="G2841">
        <v>-488.73050000000001</v>
      </c>
      <c r="H2841">
        <v>0.93666530000000003</v>
      </c>
      <c r="I2841">
        <v>270.84750000000003</v>
      </c>
      <c r="J2841">
        <v>-488.34629999999999</v>
      </c>
      <c r="K2841">
        <v>1.111272</v>
      </c>
      <c r="L2841">
        <v>271.35169999999999</v>
      </c>
      <c r="M2841">
        <v>-0.51721379999999995</v>
      </c>
      <c r="N2841">
        <v>0</v>
      </c>
      <c r="O2841">
        <v>-0.85575499999999904</v>
      </c>
      <c r="P2841">
        <v>-0.5065636</v>
      </c>
      <c r="Q2841">
        <v>-3.1311020000000002E-2</v>
      </c>
      <c r="R2841">
        <v>-0.86163400000000001</v>
      </c>
      <c r="S2841">
        <v>-1.78775</v>
      </c>
      <c r="T2841">
        <v>-0.75147989999999998</v>
      </c>
      <c r="U2841">
        <v>-2.402863</v>
      </c>
      <c r="V2841">
        <v>-1.212159E-2</v>
      </c>
      <c r="W2841">
        <v>-1.8171920000000001E-2</v>
      </c>
      <c r="X2841">
        <v>0.99976140000000002</v>
      </c>
      <c r="Y2841">
        <v>7.9640909999999995E-2</v>
      </c>
      <c r="Z2841">
        <v>0.21423890000000001</v>
      </c>
      <c r="AA2841">
        <v>0.97352919999999998</v>
      </c>
      <c r="AB2841">
        <v>12</v>
      </c>
      <c r="AC2841">
        <v>-0.38420000000002102</v>
      </c>
      <c r="AD2841">
        <v>-0.1746067</v>
      </c>
      <c r="AE2841">
        <v>-0.50419999999996801</v>
      </c>
      <c r="AF2841">
        <v>6.3211753345037897E-2</v>
      </c>
      <c r="AG2841">
        <v>-0.1746067</v>
      </c>
      <c r="AH2841">
        <v>0.58579433863336206</v>
      </c>
      <c r="AI2841">
        <v>106.507079651228</v>
      </c>
      <c r="AJ2841">
        <v>83.841171788809703</v>
      </c>
      <c r="AK2841">
        <v>0.61452276818743001</v>
      </c>
      <c r="AL2841">
        <v>91.041231628248397</v>
      </c>
      <c r="AM2841">
        <v>90.6946476619257</v>
      </c>
      <c r="AN2841">
        <v>1.0000000042752799</v>
      </c>
    </row>
    <row r="2842" spans="1:40" x14ac:dyDescent="0.25">
      <c r="A2842" t="str">
        <f>"20190312154310689"</f>
        <v>20190312154310689</v>
      </c>
      <c r="B2842" t="str">
        <f>"1552376590680669"</f>
        <v>1552376590680669</v>
      </c>
      <c r="C2842" t="s">
        <v>40</v>
      </c>
      <c r="D2842">
        <v>4.3662839999999896</v>
      </c>
      <c r="E2842">
        <v>0.54443419999999998</v>
      </c>
      <c r="F2842" t="s">
        <v>41</v>
      </c>
      <c r="G2842">
        <v>-488.78269999999998</v>
      </c>
      <c r="H2842">
        <v>0.926983</v>
      </c>
      <c r="I2842">
        <v>270.76459999999997</v>
      </c>
      <c r="J2842">
        <v>-488.37729999999999</v>
      </c>
      <c r="K2842">
        <v>1.1112599999999999</v>
      </c>
      <c r="L2842">
        <v>271.29719999999998</v>
      </c>
      <c r="M2842">
        <v>-0.51603980000000005</v>
      </c>
      <c r="N2842">
        <v>0</v>
      </c>
      <c r="O2842">
        <v>-0.85646420000000001</v>
      </c>
      <c r="P2842">
        <v>-0.50481160000000003</v>
      </c>
      <c r="Q2842">
        <v>-3.1434919999999998E-2</v>
      </c>
      <c r="R2842">
        <v>-0.862656599999999</v>
      </c>
      <c r="S2842">
        <v>-1.7852779999999999</v>
      </c>
      <c r="T2842">
        <v>-0.75548519999999997</v>
      </c>
      <c r="U2842">
        <v>-2.4047550000000002</v>
      </c>
      <c r="V2842">
        <v>-1.277847E-2</v>
      </c>
      <c r="W2842">
        <v>-1.8365449999999998E-2</v>
      </c>
      <c r="X2842">
        <v>0.99974969999999996</v>
      </c>
      <c r="Y2842">
        <v>7.9815830000000004E-2</v>
      </c>
      <c r="Z2842">
        <v>0.21548909999999999</v>
      </c>
      <c r="AA2842">
        <v>0.97323890000000002</v>
      </c>
      <c r="AB2842">
        <v>12</v>
      </c>
      <c r="AC2842">
        <v>-0.40539999999998599</v>
      </c>
      <c r="AD2842">
        <v>-0.184277</v>
      </c>
      <c r="AE2842">
        <v>-0.53260000000000196</v>
      </c>
      <c r="AF2842">
        <v>6.7274779164902598E-2</v>
      </c>
      <c r="AG2842">
        <v>-0.184277</v>
      </c>
      <c r="AH2842">
        <v>0.61852981737386403</v>
      </c>
      <c r="AI2842">
        <v>106.49827147903601</v>
      </c>
      <c r="AJ2842">
        <v>83.792590069357601</v>
      </c>
      <c r="AK2842">
        <v>0.64889370749085795</v>
      </c>
      <c r="AL2842">
        <v>91.052321913804207</v>
      </c>
      <c r="AM2842">
        <v>90.732295826347595</v>
      </c>
      <c r="AN2842">
        <v>1.00000002084966</v>
      </c>
    </row>
    <row r="2843" spans="1:40" x14ac:dyDescent="0.25">
      <c r="A2843" t="str">
        <f>"20190312154310702"</f>
        <v>20190312154310702</v>
      </c>
      <c r="B2843" t="str">
        <f>"1552376590690430"</f>
        <v>1552376590690430</v>
      </c>
      <c r="C2843" t="s">
        <v>40</v>
      </c>
      <c r="D2843">
        <v>4.3538610000000002</v>
      </c>
      <c r="E2843">
        <v>0.54415839999999904</v>
      </c>
      <c r="F2843" t="s">
        <v>41</v>
      </c>
      <c r="G2843">
        <v>-488.83260000000001</v>
      </c>
      <c r="H2843">
        <v>0.91782379999999997</v>
      </c>
      <c r="I2843">
        <v>270.68009999999998</v>
      </c>
      <c r="J2843">
        <v>-488.40910000000002</v>
      </c>
      <c r="K2843">
        <v>1.111253</v>
      </c>
      <c r="L2843">
        <v>271.24119999999999</v>
      </c>
      <c r="M2843">
        <v>-0.51482519999999998</v>
      </c>
      <c r="N2843">
        <v>0</v>
      </c>
      <c r="O2843">
        <v>-0.85719619999999996</v>
      </c>
      <c r="P2843">
        <v>-0.50305739999999999</v>
      </c>
      <c r="Q2843">
        <v>-3.1402810000000003E-2</v>
      </c>
      <c r="R2843">
        <v>-0.86368239999999996</v>
      </c>
      <c r="S2843">
        <v>-1.777374</v>
      </c>
      <c r="T2843">
        <v>-0.755503699999999</v>
      </c>
      <c r="U2843">
        <v>-2.410034</v>
      </c>
      <c r="V2843">
        <v>-1.3392940000000001E-2</v>
      </c>
      <c r="W2843">
        <v>-1.8407360000000001E-2</v>
      </c>
      <c r="X2843">
        <v>0.99974079999999999</v>
      </c>
      <c r="Y2843">
        <v>7.8140619999999994E-2</v>
      </c>
      <c r="Z2843">
        <v>0.21558089999999999</v>
      </c>
      <c r="AA2843">
        <v>0.97335450000000001</v>
      </c>
      <c r="AB2843">
        <v>12</v>
      </c>
      <c r="AC2843">
        <v>-0.42349999999999</v>
      </c>
      <c r="AD2843">
        <v>-0.1934292</v>
      </c>
      <c r="AE2843">
        <v>-0.56110000000001004</v>
      </c>
      <c r="AF2843">
        <v>6.8940934793415898E-2</v>
      </c>
      <c r="AG2843">
        <v>-0.1934292</v>
      </c>
      <c r="AH2843">
        <v>0.64985960534250797</v>
      </c>
      <c r="AI2843">
        <v>106.48805750223799</v>
      </c>
      <c r="AJ2843">
        <v>83.944375545011496</v>
      </c>
      <c r="AK2843">
        <v>0.68153152132439898</v>
      </c>
      <c r="AL2843">
        <v>91.054723676985404</v>
      </c>
      <c r="AM2843">
        <v>90.767511976918598</v>
      </c>
      <c r="AN2843">
        <v>0.999999934464324</v>
      </c>
    </row>
    <row r="2844" spans="1:40" x14ac:dyDescent="0.25">
      <c r="A2844" t="str">
        <f>"20190312154310717"</f>
        <v>20190312154310717</v>
      </c>
      <c r="B2844" t="str">
        <f>"1552376590709950"</f>
        <v>1552376590709950</v>
      </c>
      <c r="C2844" t="s">
        <v>40</v>
      </c>
      <c r="D2844">
        <v>4.3480449999999999</v>
      </c>
      <c r="E2844">
        <v>0.54360509999999995</v>
      </c>
      <c r="F2844" t="s">
        <v>41</v>
      </c>
      <c r="G2844">
        <v>-488.82859999999999</v>
      </c>
      <c r="H2844">
        <v>0.93247809999999998</v>
      </c>
      <c r="I2844">
        <v>270.66950000000003</v>
      </c>
      <c r="J2844">
        <v>-488.4495</v>
      </c>
      <c r="K2844">
        <v>1.1112500000000001</v>
      </c>
      <c r="L2844">
        <v>271.17</v>
      </c>
      <c r="M2844">
        <v>-0.51327029999999996</v>
      </c>
      <c r="N2844">
        <v>0</v>
      </c>
      <c r="O2844">
        <v>-0.858129699999999</v>
      </c>
      <c r="P2844">
        <v>-0.50079269999999998</v>
      </c>
      <c r="Q2844">
        <v>-3.1048539999999999E-2</v>
      </c>
      <c r="R2844">
        <v>-0.86501049999999902</v>
      </c>
      <c r="S2844">
        <v>-1.770905</v>
      </c>
      <c r="T2844">
        <v>-0.75510619999999995</v>
      </c>
      <c r="U2844">
        <v>-2.414612</v>
      </c>
      <c r="V2844">
        <v>-1.4205799999999999E-2</v>
      </c>
      <c r="W2844">
        <v>-1.814613E-2</v>
      </c>
      <c r="X2844">
        <v>0.99973440000000002</v>
      </c>
      <c r="Y2844">
        <v>7.7378379999999997E-2</v>
      </c>
      <c r="Z2844">
        <v>0.2156429</v>
      </c>
      <c r="AA2844">
        <v>0.97340170000000004</v>
      </c>
      <c r="AB2844">
        <v>12</v>
      </c>
      <c r="AC2844">
        <v>-0.379099999999993</v>
      </c>
      <c r="AD2844">
        <v>-0.17877190000000001</v>
      </c>
      <c r="AE2844">
        <v>-0.50049999999998795</v>
      </c>
      <c r="AF2844">
        <v>6.3299198362480102E-2</v>
      </c>
      <c r="AG2844">
        <v>-0.17877190000000001</v>
      </c>
      <c r="AH2844">
        <v>0.57732292318352796</v>
      </c>
      <c r="AI2844">
        <v>107.108994874364</v>
      </c>
      <c r="AJ2844">
        <v>83.742933812251593</v>
      </c>
      <c r="AK2844">
        <v>0.60767420413912299</v>
      </c>
      <c r="AL2844">
        <v>91.039753753042604</v>
      </c>
      <c r="AM2844">
        <v>90.814093833660806</v>
      </c>
      <c r="AN2844">
        <v>0.99999997866548795</v>
      </c>
    </row>
    <row r="2845" spans="1:40" x14ac:dyDescent="0.25">
      <c r="A2845" t="str">
        <f>"20190312154310728"</f>
        <v>20190312154310728</v>
      </c>
      <c r="B2845" t="str">
        <f>"1552376590720685"</f>
        <v>1552376590720685</v>
      </c>
      <c r="C2845" t="s">
        <v>40</v>
      </c>
      <c r="D2845">
        <v>4.3358059999999998</v>
      </c>
      <c r="E2845">
        <v>0.54347129999999999</v>
      </c>
      <c r="F2845" t="s">
        <v>41</v>
      </c>
      <c r="G2845">
        <v>-488.87790000000001</v>
      </c>
      <c r="H2845">
        <v>0.92850239999999995</v>
      </c>
      <c r="I2845">
        <v>270.58170000000001</v>
      </c>
      <c r="J2845">
        <v>-488.47680000000003</v>
      </c>
      <c r="K2845">
        <v>1.1112489999999999</v>
      </c>
      <c r="L2845">
        <v>271.12150000000003</v>
      </c>
      <c r="M2845">
        <v>-0.51220829999999995</v>
      </c>
      <c r="N2845">
        <v>0</v>
      </c>
      <c r="O2845">
        <v>-0.85876509999999995</v>
      </c>
      <c r="P2845">
        <v>-0.499359</v>
      </c>
      <c r="Q2845">
        <v>-3.071012E-2</v>
      </c>
      <c r="R2845">
        <v>-0.86585129999999999</v>
      </c>
      <c r="S2845">
        <v>-1.760864</v>
      </c>
      <c r="T2845">
        <v>-0.75311899999999998</v>
      </c>
      <c r="U2845">
        <v>-2.4216609999999998</v>
      </c>
      <c r="V2845">
        <v>-1.4631099999999999E-2</v>
      </c>
      <c r="W2845">
        <v>-1.7869960000000001E-2</v>
      </c>
      <c r="X2845">
        <v>0.99973330000000005</v>
      </c>
      <c r="Y2845">
        <v>7.4716450000000004E-2</v>
      </c>
      <c r="Z2845">
        <v>0.21509159999999999</v>
      </c>
      <c r="AA2845">
        <v>0.97373149999999997</v>
      </c>
      <c r="AB2845">
        <v>12</v>
      </c>
      <c r="AC2845">
        <v>-0.40109999999998502</v>
      </c>
      <c r="AD2845">
        <v>-0.18274660000000001</v>
      </c>
      <c r="AE2845">
        <v>-0.53980000000001305</v>
      </c>
      <c r="AF2845">
        <v>6.3292582416116197E-2</v>
      </c>
      <c r="AG2845">
        <v>-0.18274660000000001</v>
      </c>
      <c r="AH2845">
        <v>0.62305553165218297</v>
      </c>
      <c r="AI2845">
        <v>106.267526205709</v>
      </c>
      <c r="AJ2845">
        <v>84.1995531436325</v>
      </c>
      <c r="AK2845">
        <v>0.652380614613008</v>
      </c>
      <c r="AL2845">
        <v>91.023927750323296</v>
      </c>
      <c r="AM2845">
        <v>90.838464055709295</v>
      </c>
      <c r="AN2845">
        <v>1.0000000378432501</v>
      </c>
    </row>
    <row r="2846" spans="1:40" x14ac:dyDescent="0.25">
      <c r="A2846" t="str">
        <f>"20190312154310739"</f>
        <v>20190312154310739</v>
      </c>
      <c r="B2846" t="str">
        <f>"1552376590730446"</f>
        <v>1552376590730446</v>
      </c>
      <c r="C2846" t="s">
        <v>40</v>
      </c>
      <c r="D2846">
        <v>4.4280819999999999</v>
      </c>
      <c r="E2846">
        <v>0.54344269999999995</v>
      </c>
      <c r="F2846" t="s">
        <v>41</v>
      </c>
      <c r="G2846">
        <v>-488.92840000000001</v>
      </c>
      <c r="H2846">
        <v>0.91809640000000003</v>
      </c>
      <c r="I2846">
        <v>270.4982</v>
      </c>
      <c r="J2846">
        <v>-488.50549999999998</v>
      </c>
      <c r="K2846">
        <v>1.1112519999999999</v>
      </c>
      <c r="L2846">
        <v>271.07049999999998</v>
      </c>
      <c r="M2846">
        <v>-0.51107979999999997</v>
      </c>
      <c r="N2846">
        <v>0</v>
      </c>
      <c r="O2846">
        <v>-0.85943780000000003</v>
      </c>
      <c r="P2846">
        <v>-0.49814510000000001</v>
      </c>
      <c r="Q2846">
        <v>-3.0284160000000001E-2</v>
      </c>
      <c r="R2846">
        <v>-0.86656489999999997</v>
      </c>
      <c r="S2846">
        <v>-1.7557069999999999</v>
      </c>
      <c r="T2846">
        <v>-0.75211110000000003</v>
      </c>
      <c r="U2846">
        <v>-2.4255680000000002</v>
      </c>
      <c r="V2846">
        <v>-1.472654E-2</v>
      </c>
      <c r="W2846">
        <v>-1.7505110000000001E-2</v>
      </c>
      <c r="X2846">
        <v>0.99973829999999997</v>
      </c>
      <c r="Y2846">
        <v>7.3960799999999993E-2</v>
      </c>
      <c r="Z2846">
        <v>0.21491160000000001</v>
      </c>
      <c r="AA2846">
        <v>0.9738289</v>
      </c>
      <c r="AB2846">
        <v>12</v>
      </c>
      <c r="AC2846">
        <v>-0.42290000000002598</v>
      </c>
      <c r="AD2846">
        <v>-0.19315560000000001</v>
      </c>
      <c r="AE2846">
        <v>-0.57229999999998404</v>
      </c>
      <c r="AF2846">
        <v>6.6100839589238097E-2</v>
      </c>
      <c r="AG2846">
        <v>-0.19315560000000001</v>
      </c>
      <c r="AH2846">
        <v>0.65946138197783899</v>
      </c>
      <c r="AI2846">
        <v>106.24816394358901</v>
      </c>
      <c r="AJ2846">
        <v>84.276099376578699</v>
      </c>
      <c r="AK2846">
        <v>0.69033884515206301</v>
      </c>
      <c r="AL2846">
        <v>91.0030201689612</v>
      </c>
      <c r="AM2846">
        <v>90.843928424598303</v>
      </c>
      <c r="AN2846">
        <v>0.99999998417168601</v>
      </c>
    </row>
    <row r="2847" spans="1:40" x14ac:dyDescent="0.25">
      <c r="A2847" t="str">
        <f>"20190312154310750"</f>
        <v>20190312154310750</v>
      </c>
      <c r="B2847" t="str">
        <f>"1552376590740206"</f>
        <v>1552376590740206</v>
      </c>
      <c r="C2847" t="s">
        <v>40</v>
      </c>
      <c r="D2847">
        <v>4.3298819999999996</v>
      </c>
      <c r="E2847">
        <v>0.54330959999999995</v>
      </c>
      <c r="F2847" t="s">
        <v>41</v>
      </c>
      <c r="G2847">
        <v>-488.9255</v>
      </c>
      <c r="H2847">
        <v>0.93167960000000005</v>
      </c>
      <c r="I2847">
        <v>270.4889</v>
      </c>
      <c r="J2847">
        <v>-488.53269999999998</v>
      </c>
      <c r="K2847">
        <v>1.1112550000000001</v>
      </c>
      <c r="L2847">
        <v>271.02190000000002</v>
      </c>
      <c r="M2847">
        <v>-0.50999939999999999</v>
      </c>
      <c r="N2847">
        <v>0</v>
      </c>
      <c r="O2847">
        <v>-0.86008019999999996</v>
      </c>
      <c r="P2847">
        <v>-0.49728559999999999</v>
      </c>
      <c r="Q2847">
        <v>-2.9821509999999999E-2</v>
      </c>
      <c r="R2847">
        <v>-0.86707459999999903</v>
      </c>
      <c r="S2847">
        <v>-1.7522279999999999</v>
      </c>
      <c r="T2847">
        <v>-0.75022390000000005</v>
      </c>
      <c r="U2847">
        <v>-2.4284970000000001</v>
      </c>
      <c r="V2847">
        <v>-1.446969E-2</v>
      </c>
      <c r="W2847">
        <v>-1.7098639999999998E-2</v>
      </c>
      <c r="X2847">
        <v>0.99974909999999995</v>
      </c>
      <c r="Y2847">
        <v>7.3809970000000003E-2</v>
      </c>
      <c r="Z2847">
        <v>0.2145106</v>
      </c>
      <c r="AA2847">
        <v>0.97392880000000004</v>
      </c>
      <c r="AB2847">
        <v>12</v>
      </c>
      <c r="AC2847">
        <v>-0.39280000000002202</v>
      </c>
      <c r="AD2847">
        <v>-0.179575399999999</v>
      </c>
      <c r="AE2847">
        <v>-0.53300000000001502</v>
      </c>
      <c r="AF2847">
        <v>6.1491847200294998E-2</v>
      </c>
      <c r="AG2847">
        <v>-0.179575399999999</v>
      </c>
      <c r="AH2847">
        <v>0.61366300214663105</v>
      </c>
      <c r="AI2847">
        <v>106.23400304736499</v>
      </c>
      <c r="AJ2847">
        <v>84.277801230243796</v>
      </c>
      <c r="AK2847">
        <v>0.64234792111509198</v>
      </c>
      <c r="AL2847">
        <v>90.979727651600101</v>
      </c>
      <c r="AM2847">
        <v>90.829202332873805</v>
      </c>
      <c r="AN2847">
        <v>0.99999999918467697</v>
      </c>
    </row>
    <row r="2848" spans="1:40" x14ac:dyDescent="0.25">
      <c r="A2848" t="str">
        <f>"20190312154310761"</f>
        <v>20190312154310761</v>
      </c>
      <c r="B2848" t="str">
        <f>"1552376590749966"</f>
        <v>1552376590749966</v>
      </c>
      <c r="C2848" t="s">
        <v>40</v>
      </c>
      <c r="D2848">
        <v>4.2953580000000002</v>
      </c>
      <c r="E2848">
        <v>0.54315869999999999</v>
      </c>
      <c r="F2848" t="s">
        <v>41</v>
      </c>
      <c r="G2848">
        <v>-488.97629999999998</v>
      </c>
      <c r="H2848">
        <v>0.92145030000000006</v>
      </c>
      <c r="I2848">
        <v>270.40550000000002</v>
      </c>
      <c r="J2848">
        <v>-488.56099999999998</v>
      </c>
      <c r="K2848">
        <v>1.111264</v>
      </c>
      <c r="L2848">
        <v>270.97129999999999</v>
      </c>
      <c r="M2848">
        <v>-0.50886439999999999</v>
      </c>
      <c r="N2848">
        <v>0</v>
      </c>
      <c r="O2848">
        <v>-0.86075309999999905</v>
      </c>
      <c r="P2848">
        <v>-0.49625940000000002</v>
      </c>
      <c r="Q2848">
        <v>-2.9454319999999999E-2</v>
      </c>
      <c r="R2848">
        <v>-0.86767450000000002</v>
      </c>
      <c r="S2848">
        <v>-1.74890099999999</v>
      </c>
      <c r="T2848">
        <v>-0.74870179999999997</v>
      </c>
      <c r="U2848">
        <v>-2.4310909999999999</v>
      </c>
      <c r="V2848">
        <v>-1.4339620000000001E-2</v>
      </c>
      <c r="W2848">
        <v>-1.6786430000000001E-2</v>
      </c>
      <c r="X2848">
        <v>0.99975630000000004</v>
      </c>
      <c r="Y2848">
        <v>7.3807079999999997E-2</v>
      </c>
      <c r="Z2848">
        <v>0.21423600000000001</v>
      </c>
      <c r="AA2848">
        <v>0.97398940000000001</v>
      </c>
      <c r="AB2848">
        <v>12</v>
      </c>
      <c r="AC2848">
        <v>-0.415300000000002</v>
      </c>
      <c r="AD2848">
        <v>-0.1898137</v>
      </c>
      <c r="AE2848">
        <v>-0.565799999999967</v>
      </c>
      <c r="AF2848">
        <v>6.4819932389312995E-2</v>
      </c>
      <c r="AG2848">
        <v>-0.1898137</v>
      </c>
      <c r="AH2848">
        <v>0.65080183999484997</v>
      </c>
      <c r="AI2848">
        <v>106.18406522685601</v>
      </c>
      <c r="AJ2848">
        <v>84.312093131873098</v>
      </c>
      <c r="AK2848">
        <v>0.68100947077359197</v>
      </c>
      <c r="AL2848">
        <v>90.961836734576707</v>
      </c>
      <c r="AM2848">
        <v>90.821743630508706</v>
      </c>
      <c r="AN2848">
        <v>1.0000000341617801</v>
      </c>
    </row>
    <row r="2849" spans="1:40" x14ac:dyDescent="0.25">
      <c r="A2849" t="str">
        <f>"20190312154310773"</f>
        <v>20190312154310773</v>
      </c>
      <c r="B2849" t="str">
        <f>"1552376590760702"</f>
        <v>1552376590760702</v>
      </c>
      <c r="C2849" t="s">
        <v>40</v>
      </c>
      <c r="D2849">
        <v>4.3313160000000002</v>
      </c>
      <c r="E2849">
        <v>0.54304669999999999</v>
      </c>
      <c r="F2849" t="s">
        <v>41</v>
      </c>
      <c r="G2849">
        <v>-488.97329999999999</v>
      </c>
      <c r="H2849">
        <v>0.93469349999999995</v>
      </c>
      <c r="I2849">
        <v>270.3963</v>
      </c>
      <c r="J2849">
        <v>-488.5874</v>
      </c>
      <c r="K2849">
        <v>1.1112690000000001</v>
      </c>
      <c r="L2849">
        <v>270.92380000000003</v>
      </c>
      <c r="M2849">
        <v>-0.50778990000000002</v>
      </c>
      <c r="N2849">
        <v>0</v>
      </c>
      <c r="O2849">
        <v>-0.8613883</v>
      </c>
      <c r="P2849">
        <v>-0.49541750000000001</v>
      </c>
      <c r="Q2849">
        <v>-2.8936259999999998E-2</v>
      </c>
      <c r="R2849">
        <v>-0.86817319999999998</v>
      </c>
      <c r="S2849">
        <v>-1.74472</v>
      </c>
      <c r="T2849">
        <v>-0.74775700000000001</v>
      </c>
      <c r="U2849">
        <v>-2.4342039999999998</v>
      </c>
      <c r="V2849">
        <v>-1.4070859999999999E-2</v>
      </c>
      <c r="W2849">
        <v>-1.6316460000000001E-2</v>
      </c>
      <c r="X2849">
        <v>0.99976779999999998</v>
      </c>
      <c r="Y2849">
        <v>7.338894E-2</v>
      </c>
      <c r="Z2849">
        <v>0.2140881</v>
      </c>
      <c r="AA2849">
        <v>0.97405359999999996</v>
      </c>
      <c r="AB2849">
        <v>12</v>
      </c>
      <c r="AC2849">
        <v>-0.38589999999999203</v>
      </c>
      <c r="AD2849">
        <v>-0.1765755</v>
      </c>
      <c r="AE2849">
        <v>-0.52750000000003106</v>
      </c>
      <c r="AF2849">
        <v>6.0164409260929502E-2</v>
      </c>
      <c r="AG2849">
        <v>-0.1765755</v>
      </c>
      <c r="AH2849">
        <v>0.60614843610085001</v>
      </c>
      <c r="AI2849">
        <v>106.165970262679</v>
      </c>
      <c r="AJ2849">
        <v>84.331565410736701</v>
      </c>
      <c r="AK2849">
        <v>0.63420390248679004</v>
      </c>
      <c r="AL2849">
        <v>90.9349058413911</v>
      </c>
      <c r="AM2849">
        <v>90.806334898360703</v>
      </c>
      <c r="AN2849">
        <v>0.99999993494245298</v>
      </c>
    </row>
    <row r="2850" spans="1:40" x14ac:dyDescent="0.25">
      <c r="A2850" t="str">
        <f>"20190312154310784"</f>
        <v>20190312154310784</v>
      </c>
      <c r="B2850" t="str">
        <f>"1552376590770462"</f>
        <v>1552376590770462</v>
      </c>
      <c r="C2850" t="s">
        <v>40</v>
      </c>
      <c r="D2850">
        <v>4.3001620000000003</v>
      </c>
      <c r="E2850">
        <v>0.54282759999999997</v>
      </c>
      <c r="F2850" t="s">
        <v>41</v>
      </c>
      <c r="G2850">
        <v>-489.02409999999998</v>
      </c>
      <c r="H2850">
        <v>0.9244</v>
      </c>
      <c r="I2850">
        <v>270.31310000000002</v>
      </c>
      <c r="J2850">
        <v>-488.61590000000001</v>
      </c>
      <c r="K2850">
        <v>1.1112820000000001</v>
      </c>
      <c r="L2850">
        <v>270.87240000000003</v>
      </c>
      <c r="M2850">
        <v>-0.5066174</v>
      </c>
      <c r="N2850">
        <v>0</v>
      </c>
      <c r="O2850">
        <v>-0.86207900000000004</v>
      </c>
      <c r="P2850">
        <v>-0.49461860000000002</v>
      </c>
      <c r="Q2850">
        <v>-2.8677770000000002E-2</v>
      </c>
      <c r="R2850">
        <v>-0.86863699999999999</v>
      </c>
      <c r="S2850">
        <v>-1.741638</v>
      </c>
      <c r="T2850">
        <v>-0.74629429999999997</v>
      </c>
      <c r="U2850">
        <v>-2.436798</v>
      </c>
      <c r="V2850">
        <v>-1.363375E-2</v>
      </c>
      <c r="W2850">
        <v>-1.610572E-2</v>
      </c>
      <c r="X2850">
        <v>0.99977729999999998</v>
      </c>
      <c r="Y2850">
        <v>7.3489810000000003E-2</v>
      </c>
      <c r="Z2850">
        <v>0.21382860000000001</v>
      </c>
      <c r="AA2850">
        <v>0.97410300000000005</v>
      </c>
      <c r="AB2850">
        <v>12</v>
      </c>
      <c r="AC2850">
        <v>-0.40819999999996498</v>
      </c>
      <c r="AD2850">
        <v>-0.18688199999999899</v>
      </c>
      <c r="AE2850">
        <v>-0.55930000000000701</v>
      </c>
      <c r="AF2850">
        <v>6.3900189750296099E-2</v>
      </c>
      <c r="AG2850">
        <v>-0.18688199999999899</v>
      </c>
      <c r="AH2850">
        <v>0.64223342102844305</v>
      </c>
      <c r="AI2850">
        <v>106.148792541422</v>
      </c>
      <c r="AJ2850">
        <v>84.317952337836104</v>
      </c>
      <c r="AK2850">
        <v>0.67191657462814602</v>
      </c>
      <c r="AL2850">
        <v>90.922829716620299</v>
      </c>
      <c r="AM2850">
        <v>90.7812819090327</v>
      </c>
      <c r="AN2850">
        <v>0.99999996147553405</v>
      </c>
    </row>
    <row r="2851" spans="1:40" x14ac:dyDescent="0.25">
      <c r="A2851" t="str">
        <f>"20190312154310795"</f>
        <v>20190312154310795</v>
      </c>
      <c r="B2851" t="str">
        <f>"1552376590789982"</f>
        <v>1552376590789982</v>
      </c>
      <c r="C2851" t="s">
        <v>40</v>
      </c>
      <c r="D2851">
        <v>4.289771</v>
      </c>
      <c r="E2851">
        <v>0.54261949999999903</v>
      </c>
      <c r="F2851" t="s">
        <v>41</v>
      </c>
      <c r="G2851">
        <v>-489.02120000000002</v>
      </c>
      <c r="H2851">
        <v>0.93777299999999997</v>
      </c>
      <c r="I2851">
        <v>270.30380000000002</v>
      </c>
      <c r="J2851">
        <v>-488.64449999999999</v>
      </c>
      <c r="K2851">
        <v>1.1112979999999999</v>
      </c>
      <c r="L2851">
        <v>270.82060000000001</v>
      </c>
      <c r="M2851">
        <v>-0.50541789999999998</v>
      </c>
      <c r="N2851">
        <v>0</v>
      </c>
      <c r="O2851">
        <v>-0.86278349999999904</v>
      </c>
      <c r="P2851">
        <v>-0.49378300000000003</v>
      </c>
      <c r="Q2851">
        <v>-2.864063E-2</v>
      </c>
      <c r="R2851">
        <v>-0.86911349999999998</v>
      </c>
      <c r="S2851">
        <v>-1.7379150000000001</v>
      </c>
      <c r="T2851">
        <v>-0.74502539999999995</v>
      </c>
      <c r="U2851">
        <v>-2.439514</v>
      </c>
      <c r="V2851">
        <v>-1.320469E-2</v>
      </c>
      <c r="W2851">
        <v>-1.610996E-2</v>
      </c>
      <c r="X2851">
        <v>0.99978299999999998</v>
      </c>
      <c r="Y2851">
        <v>7.3418769999999994E-2</v>
      </c>
      <c r="Z2851">
        <v>0.2136316</v>
      </c>
      <c r="AA2851">
        <v>0.97415160000000001</v>
      </c>
      <c r="AB2851">
        <v>12</v>
      </c>
      <c r="AC2851">
        <v>-0.37670000000002701</v>
      </c>
      <c r="AD2851">
        <v>-0.17352499999999901</v>
      </c>
      <c r="AE2851">
        <v>-0.51679999999998905</v>
      </c>
      <c r="AF2851">
        <v>5.9439453620524503E-2</v>
      </c>
      <c r="AG2851">
        <v>-0.17352499999999901</v>
      </c>
      <c r="AH2851">
        <v>0.59269147603764005</v>
      </c>
      <c r="AI2851">
        <v>106.24154379768</v>
      </c>
      <c r="AJ2851">
        <v>84.273106765021893</v>
      </c>
      <c r="AK2851">
        <v>0.62042498341006802</v>
      </c>
      <c r="AL2851">
        <v>90.923072673585395</v>
      </c>
      <c r="AM2851">
        <v>90.756693221729904</v>
      </c>
      <c r="AN2851">
        <v>0.99999997086909798</v>
      </c>
    </row>
    <row r="2852" spans="1:40" x14ac:dyDescent="0.25">
      <c r="A2852" t="str">
        <f>"20190312154310808"</f>
        <v>20190312154310808</v>
      </c>
      <c r="B2852" t="str">
        <f>"1552376590800717"</f>
        <v>1552376590800717</v>
      </c>
      <c r="C2852" t="s">
        <v>40</v>
      </c>
      <c r="D2852">
        <v>4.2908359999999997</v>
      </c>
      <c r="E2852">
        <v>0.5425335</v>
      </c>
      <c r="F2852" t="s">
        <v>41</v>
      </c>
      <c r="G2852">
        <v>-489.07130000000001</v>
      </c>
      <c r="H2852">
        <v>0.92812099999999997</v>
      </c>
      <c r="I2852">
        <v>270.2199</v>
      </c>
      <c r="J2852">
        <v>-488.67439999999999</v>
      </c>
      <c r="K2852">
        <v>1.1113189999999999</v>
      </c>
      <c r="L2852">
        <v>270.76620000000003</v>
      </c>
      <c r="M2852">
        <v>-0.5041504</v>
      </c>
      <c r="N2852">
        <v>0</v>
      </c>
      <c r="O2852">
        <v>-0.8635254</v>
      </c>
      <c r="P2852">
        <v>-0.49305070000000001</v>
      </c>
      <c r="Q2852">
        <v>-2.8918030000000001E-2</v>
      </c>
      <c r="R2852">
        <v>-0.86952009999999902</v>
      </c>
      <c r="S2852">
        <v>-1.73407</v>
      </c>
      <c r="T2852">
        <v>-0.7452223</v>
      </c>
      <c r="U2852">
        <v>-2.441986</v>
      </c>
      <c r="V2852">
        <v>-1.2572470000000001E-2</v>
      </c>
      <c r="W2852">
        <v>-1.6427150000000001E-2</v>
      </c>
      <c r="X2852">
        <v>0.99978599999999995</v>
      </c>
      <c r="Y2852">
        <v>7.3376250000000004E-2</v>
      </c>
      <c r="Z2852">
        <v>0.21386140000000001</v>
      </c>
      <c r="AA2852">
        <v>0.97410430000000003</v>
      </c>
      <c r="AB2852">
        <v>12</v>
      </c>
      <c r="AC2852">
        <v>-0.39690000000001602</v>
      </c>
      <c r="AD2852">
        <v>-0.183198</v>
      </c>
      <c r="AE2852">
        <v>-0.54630000000002998</v>
      </c>
      <c r="AF2852">
        <v>6.2705728563514099E-2</v>
      </c>
      <c r="AG2852">
        <v>-0.183198</v>
      </c>
      <c r="AH2852">
        <v>0.62583005433464101</v>
      </c>
      <c r="AI2852">
        <v>106.239236772968</v>
      </c>
      <c r="AJ2852">
        <v>84.278282815141907</v>
      </c>
      <c r="AK2852">
        <v>0.65510058197744003</v>
      </c>
      <c r="AL2852">
        <v>90.941248717440999</v>
      </c>
      <c r="AM2852">
        <v>90.720465681569607</v>
      </c>
      <c r="AN2852">
        <v>0.99999998202751095</v>
      </c>
    </row>
    <row r="2853" spans="1:40" x14ac:dyDescent="0.25">
      <c r="A2853" t="str">
        <f>"20190312154310819"</f>
        <v>20190312154310819</v>
      </c>
      <c r="B2853" t="str">
        <f>"1552376590810479"</f>
        <v>1552376590810479</v>
      </c>
      <c r="C2853" t="s">
        <v>40</v>
      </c>
      <c r="D2853">
        <v>4.2766970000000004</v>
      </c>
      <c r="E2853">
        <v>0.54241609999999996</v>
      </c>
      <c r="F2853" t="s">
        <v>41</v>
      </c>
      <c r="G2853">
        <v>-489.12130000000002</v>
      </c>
      <c r="H2853">
        <v>0.91888590000000003</v>
      </c>
      <c r="I2853">
        <v>270.13569999999999</v>
      </c>
      <c r="J2853">
        <v>-488.70249999999999</v>
      </c>
      <c r="K2853">
        <v>1.1113379999999999</v>
      </c>
      <c r="L2853">
        <v>270.71480000000003</v>
      </c>
      <c r="M2853">
        <v>-0.50292429999999999</v>
      </c>
      <c r="N2853">
        <v>0</v>
      </c>
      <c r="O2853">
        <v>-0.86424020000000001</v>
      </c>
      <c r="P2853">
        <v>-0.49230190000000001</v>
      </c>
      <c r="Q2853">
        <v>-2.940226E-2</v>
      </c>
      <c r="R2853">
        <v>-0.86992809999999898</v>
      </c>
      <c r="S2853">
        <v>-1.7312320000000001</v>
      </c>
      <c r="T2853">
        <v>-0.74602219999999997</v>
      </c>
      <c r="U2853">
        <v>-2.443695</v>
      </c>
      <c r="V2853">
        <v>-1.20041E-2</v>
      </c>
      <c r="W2853">
        <v>-1.693977E-2</v>
      </c>
      <c r="X2853">
        <v>0.99978449999999996</v>
      </c>
      <c r="Y2853">
        <v>7.3668200000000003E-2</v>
      </c>
      <c r="Z2853">
        <v>0.21427280000000001</v>
      </c>
      <c r="AA2853">
        <v>0.97399190000000002</v>
      </c>
      <c r="AB2853">
        <v>12</v>
      </c>
      <c r="AC2853">
        <v>-0.41880000000003198</v>
      </c>
      <c r="AD2853">
        <v>-0.19245209999999899</v>
      </c>
      <c r="AE2853">
        <v>-0.57910000000003903</v>
      </c>
      <c r="AF2853">
        <v>6.5925187206635594E-2</v>
      </c>
      <c r="AG2853">
        <v>-0.19245209999999899</v>
      </c>
      <c r="AH2853">
        <v>0.66307762257453295</v>
      </c>
      <c r="AI2853">
        <v>106.109601819026</v>
      </c>
      <c r="AJ2853">
        <v>84.322139296011201</v>
      </c>
      <c r="AK2853">
        <v>0.69358191633125499</v>
      </c>
      <c r="AL2853">
        <v>90.970623702859001</v>
      </c>
      <c r="AM2853">
        <v>90.687899461594199</v>
      </c>
      <c r="AN2853">
        <v>1.0000000503323501</v>
      </c>
    </row>
    <row r="2854" spans="1:40" x14ac:dyDescent="0.25">
      <c r="A2854" t="str">
        <f>"20190312154310830"</f>
        <v>20190312154310830</v>
      </c>
      <c r="B2854" t="str">
        <f>"1552376590820238"</f>
        <v>1552376590820238</v>
      </c>
      <c r="C2854" t="s">
        <v>40</v>
      </c>
      <c r="D2854">
        <v>4.277209</v>
      </c>
      <c r="E2854">
        <v>0.54232009999999997</v>
      </c>
      <c r="F2854" t="s">
        <v>41</v>
      </c>
      <c r="G2854">
        <v>-489.11829999999998</v>
      </c>
      <c r="H2854">
        <v>0.93165520000000002</v>
      </c>
      <c r="I2854">
        <v>270.1268</v>
      </c>
      <c r="J2854">
        <v>-488.73039999999997</v>
      </c>
      <c r="K2854">
        <v>1.1113569999999999</v>
      </c>
      <c r="L2854">
        <v>270.6635</v>
      </c>
      <c r="M2854">
        <v>-0.50169180000000002</v>
      </c>
      <c r="N2854">
        <v>0</v>
      </c>
      <c r="O2854">
        <v>-0.86495669999999902</v>
      </c>
      <c r="P2854">
        <v>-0.49156460000000002</v>
      </c>
      <c r="Q2854">
        <v>-3.0156840000000001E-2</v>
      </c>
      <c r="R2854">
        <v>-0.87031899999999995</v>
      </c>
      <c r="S2854">
        <v>-1.72820999999999</v>
      </c>
      <c r="T2854">
        <v>-0.74743649999999995</v>
      </c>
      <c r="U2854">
        <v>-2.4452210000000001</v>
      </c>
      <c r="V2854">
        <v>-1.1410409999999999E-2</v>
      </c>
      <c r="W2854">
        <v>-1.7720550000000002E-2</v>
      </c>
      <c r="X2854">
        <v>0.9997779</v>
      </c>
      <c r="Y2854">
        <v>7.3925179999999993E-2</v>
      </c>
      <c r="Z2854">
        <v>0.21486730000000001</v>
      </c>
      <c r="AA2854">
        <v>0.97384139999999997</v>
      </c>
      <c r="AB2854">
        <v>12</v>
      </c>
      <c r="AC2854">
        <v>-0.38790000000000102</v>
      </c>
      <c r="AD2854">
        <v>-0.179701799999999</v>
      </c>
      <c r="AE2854">
        <v>-0.53669999999999596</v>
      </c>
      <c r="AF2854">
        <v>6.17187993386899E-2</v>
      </c>
      <c r="AG2854">
        <v>-0.179701799999999</v>
      </c>
      <c r="AH2854">
        <v>0.61368688924715897</v>
      </c>
      <c r="AI2854">
        <v>106.243668904138</v>
      </c>
      <c r="AJ2854">
        <v>84.257044898858794</v>
      </c>
      <c r="AK2854">
        <v>0.64242785209617403</v>
      </c>
      <c r="AL2854">
        <v>91.015365838048893</v>
      </c>
      <c r="AM2854">
        <v>90.653885180031594</v>
      </c>
      <c r="AN2854">
        <v>1.0000000323385301</v>
      </c>
    </row>
    <row r="2855" spans="1:40" x14ac:dyDescent="0.25">
      <c r="A2855" t="str">
        <f>"20190312154310842"</f>
        <v>20190312154310842</v>
      </c>
      <c r="B2855" t="str">
        <f>"1552376590829998"</f>
        <v>1552376590829998</v>
      </c>
      <c r="C2855" t="s">
        <v>40</v>
      </c>
      <c r="D2855">
        <v>4.2432400000000001</v>
      </c>
      <c r="E2855">
        <v>0.54223060000000001</v>
      </c>
      <c r="F2855" t="s">
        <v>41</v>
      </c>
      <c r="G2855">
        <v>-489.16800000000001</v>
      </c>
      <c r="H2855">
        <v>0.92142919999999995</v>
      </c>
      <c r="I2855">
        <v>270.04320000000001</v>
      </c>
      <c r="J2855">
        <v>-488.75880000000001</v>
      </c>
      <c r="K2855">
        <v>1.11138</v>
      </c>
      <c r="L2855">
        <v>270.61099999999999</v>
      </c>
      <c r="M2855">
        <v>-0.50040879999999999</v>
      </c>
      <c r="N2855">
        <v>0</v>
      </c>
      <c r="O2855">
        <v>-0.86569979999999902</v>
      </c>
      <c r="P2855">
        <v>-0.4907511</v>
      </c>
      <c r="Q2855">
        <v>-3.098273E-2</v>
      </c>
      <c r="R2855">
        <v>-0.87074879999999999</v>
      </c>
      <c r="S2855">
        <v>-1.72522</v>
      </c>
      <c r="T2855">
        <v>-0.74948169999999903</v>
      </c>
      <c r="U2855">
        <v>-2.4465940000000002</v>
      </c>
      <c r="V2855">
        <v>-1.084484E-2</v>
      </c>
      <c r="W2855">
        <v>-1.8567030000000002E-2</v>
      </c>
      <c r="X2855">
        <v>0.99976880000000001</v>
      </c>
      <c r="Y2855">
        <v>7.4247789999999994E-2</v>
      </c>
      <c r="Z2855">
        <v>0.2156518</v>
      </c>
      <c r="AA2855">
        <v>0.9736435</v>
      </c>
      <c r="AB2855">
        <v>12</v>
      </c>
      <c r="AC2855">
        <v>-0.40919999999999801</v>
      </c>
      <c r="AD2855">
        <v>-0.1899508</v>
      </c>
      <c r="AE2855">
        <v>-0.56779999999997699</v>
      </c>
      <c r="AF2855">
        <v>6.5307199261660606E-2</v>
      </c>
      <c r="AG2855">
        <v>-0.1899508</v>
      </c>
      <c r="AH2855">
        <v>0.64859090528211505</v>
      </c>
      <c r="AI2855">
        <v>106.24577646843299</v>
      </c>
      <c r="AJ2855">
        <v>84.250216070748806</v>
      </c>
      <c r="AK2855">
        <v>0.67898195786833404</v>
      </c>
      <c r="AL2855">
        <v>91.063873589476401</v>
      </c>
      <c r="AM2855">
        <v>90.621482879151202</v>
      </c>
      <c r="AN2855">
        <v>0.99999999930554295</v>
      </c>
    </row>
    <row r="2856" spans="1:40" x14ac:dyDescent="0.25">
      <c r="A2856" t="str">
        <f>"20190312154310853"</f>
        <v>20190312154310853</v>
      </c>
      <c r="B2856" t="str">
        <f>"1552376590840734"</f>
        <v>1552376590840734</v>
      </c>
      <c r="C2856" t="s">
        <v>40</v>
      </c>
      <c r="D2856">
        <v>4.2661660000000001</v>
      </c>
      <c r="E2856">
        <v>0.54212190000000005</v>
      </c>
      <c r="F2856" t="s">
        <v>41</v>
      </c>
      <c r="G2856">
        <v>-489.16480000000001</v>
      </c>
      <c r="H2856">
        <v>0.93433949999999999</v>
      </c>
      <c r="I2856">
        <v>270.0342</v>
      </c>
      <c r="J2856">
        <v>-488.7851</v>
      </c>
      <c r="K2856">
        <v>1.111399</v>
      </c>
      <c r="L2856">
        <v>270.56229999999999</v>
      </c>
      <c r="M2856">
        <v>-0.49920199999999998</v>
      </c>
      <c r="N2856">
        <v>0</v>
      </c>
      <c r="O2856">
        <v>-0.86639659999999996</v>
      </c>
      <c r="P2856">
        <v>-0.48992730000000001</v>
      </c>
      <c r="Q2856">
        <v>-3.1428190000000002E-2</v>
      </c>
      <c r="R2856">
        <v>-0.87119679999999999</v>
      </c>
      <c r="S2856">
        <v>-1.7219850000000001</v>
      </c>
      <c r="T2856">
        <v>-0.75179180000000001</v>
      </c>
      <c r="U2856">
        <v>-2.4480590000000002</v>
      </c>
      <c r="V2856">
        <v>-1.0387560000000001E-2</v>
      </c>
      <c r="W2856">
        <v>-1.902765E-2</v>
      </c>
      <c r="X2856">
        <v>0.99976500000000001</v>
      </c>
      <c r="Y2856">
        <v>7.4389990000000003E-2</v>
      </c>
      <c r="Z2856">
        <v>0.21649209999999999</v>
      </c>
      <c r="AA2856">
        <v>0.97344609999999998</v>
      </c>
      <c r="AB2856">
        <v>12</v>
      </c>
      <c r="AC2856">
        <v>-0.37970000000001303</v>
      </c>
      <c r="AD2856">
        <v>-0.17705950000000001</v>
      </c>
      <c r="AE2856">
        <v>-0.52809999999999402</v>
      </c>
      <c r="AF2856">
        <v>6.0838918718434103E-2</v>
      </c>
      <c r="AG2856">
        <v>-0.17705950000000001</v>
      </c>
      <c r="AH2856">
        <v>0.60249443233986599</v>
      </c>
      <c r="AI2856">
        <v>106.298417654418</v>
      </c>
      <c r="AJ2856">
        <v>84.233909574018099</v>
      </c>
      <c r="AK2856">
        <v>0.63091281614151395</v>
      </c>
      <c r="AL2856">
        <v>91.090269830355197</v>
      </c>
      <c r="AM2856">
        <v>90.595281823670007</v>
      </c>
      <c r="AN2856">
        <v>1.0000000040461301</v>
      </c>
    </row>
    <row r="2857" spans="1:40" x14ac:dyDescent="0.25">
      <c r="A2857" t="str">
        <f>"20190312154310866"</f>
        <v>20190312154310866</v>
      </c>
      <c r="B2857" t="str">
        <f>"1552376590850493"</f>
        <v>1552376590850493</v>
      </c>
      <c r="C2857" t="s">
        <v>40</v>
      </c>
      <c r="D2857">
        <v>4.2645589999999904</v>
      </c>
      <c r="E2857">
        <v>0.54201969999999899</v>
      </c>
      <c r="F2857" t="s">
        <v>41</v>
      </c>
      <c r="G2857">
        <v>-489.21429999999998</v>
      </c>
      <c r="H2857">
        <v>0.92347590000000002</v>
      </c>
      <c r="I2857">
        <v>269.95080000000002</v>
      </c>
      <c r="J2857">
        <v>-488.81639999999999</v>
      </c>
      <c r="K2857">
        <v>1.111423</v>
      </c>
      <c r="L2857">
        <v>270.50400000000002</v>
      </c>
      <c r="M2857">
        <v>-0.49774040000000003</v>
      </c>
      <c r="N2857">
        <v>0</v>
      </c>
      <c r="O2857">
        <v>-0.86723729999999999</v>
      </c>
      <c r="P2857">
        <v>-0.48878929999999998</v>
      </c>
      <c r="Q2857">
        <v>-3.1620189999999999E-2</v>
      </c>
      <c r="R2857">
        <v>-0.87182879999999996</v>
      </c>
      <c r="S2857">
        <v>-1.71884199999999</v>
      </c>
      <c r="T2857">
        <v>-0.75290970000000002</v>
      </c>
      <c r="U2857">
        <v>-2.449738</v>
      </c>
      <c r="V2857">
        <v>-1.000233E-2</v>
      </c>
      <c r="W2857">
        <v>-1.9233380000000001E-2</v>
      </c>
      <c r="X2857">
        <v>0.99976500000000001</v>
      </c>
      <c r="Y2857">
        <v>7.4853429999999999E-2</v>
      </c>
      <c r="Z2857">
        <v>0.2170436</v>
      </c>
      <c r="AA2857">
        <v>0.97328780000000004</v>
      </c>
      <c r="AB2857">
        <v>12</v>
      </c>
      <c r="AC2857">
        <v>-0.39789999999999198</v>
      </c>
      <c r="AD2857">
        <v>-0.18794710000000001</v>
      </c>
      <c r="AE2857">
        <v>-0.55320000000000302</v>
      </c>
      <c r="AF2857">
        <v>6.4799696157078798E-2</v>
      </c>
      <c r="AG2857">
        <v>-0.18794710000000001</v>
      </c>
      <c r="AH2857">
        <v>0.62993845711663898</v>
      </c>
      <c r="AI2857">
        <v>106.53045412919801</v>
      </c>
      <c r="AJ2857">
        <v>84.126829339728005</v>
      </c>
      <c r="AK2857">
        <v>0.66056458637664694</v>
      </c>
      <c r="AL2857">
        <v>91.102059439434498</v>
      </c>
      <c r="AM2857">
        <v>90.573206878129696</v>
      </c>
      <c r="AN2857">
        <v>1.0000000123683199</v>
      </c>
    </row>
    <row r="2858" spans="1:40" x14ac:dyDescent="0.25">
      <c r="A2858" t="str">
        <f>"20190312154310879"</f>
        <v>20190312154310879</v>
      </c>
      <c r="B2858" t="str">
        <f>"1552376590870014"</f>
        <v>1552376590870014</v>
      </c>
      <c r="C2858" t="s">
        <v>40</v>
      </c>
      <c r="D2858">
        <v>4.2648359999999998</v>
      </c>
      <c r="E2858">
        <v>0.5418501</v>
      </c>
      <c r="F2858" t="s">
        <v>41</v>
      </c>
      <c r="G2858">
        <v>-489.2106</v>
      </c>
      <c r="H2858">
        <v>0.93828149999999999</v>
      </c>
      <c r="I2858">
        <v>269.94040000000001</v>
      </c>
      <c r="J2858">
        <v>-488.84719999999999</v>
      </c>
      <c r="K2858">
        <v>1.1114459999999999</v>
      </c>
      <c r="L2858">
        <v>270.44639999999998</v>
      </c>
      <c r="M2858">
        <v>-0.49626120000000001</v>
      </c>
      <c r="N2858">
        <v>0</v>
      </c>
      <c r="O2858">
        <v>-0.86808459999999998</v>
      </c>
      <c r="P2858">
        <v>-0.48744169999999998</v>
      </c>
      <c r="Q2858">
        <v>-3.182223E-2</v>
      </c>
      <c r="R2858">
        <v>-0.87257559999999901</v>
      </c>
      <c r="S2858">
        <v>-1.714661</v>
      </c>
      <c r="T2858">
        <v>-0.7535094</v>
      </c>
      <c r="U2858">
        <v>-2.4523009999999998</v>
      </c>
      <c r="V2858">
        <v>-9.8373420000000007E-3</v>
      </c>
      <c r="W2858">
        <v>-1.944102E-2</v>
      </c>
      <c r="X2858">
        <v>0.99976259999999995</v>
      </c>
      <c r="Y2858">
        <v>7.4919100000000002E-2</v>
      </c>
      <c r="Z2858">
        <v>0.21742139999999999</v>
      </c>
      <c r="AA2858">
        <v>0.97319840000000002</v>
      </c>
      <c r="AB2858">
        <v>12</v>
      </c>
      <c r="AC2858">
        <v>-0.36340000000001199</v>
      </c>
      <c r="AD2858">
        <v>-0.173164499999999</v>
      </c>
      <c r="AE2858">
        <v>-0.50599999999997103</v>
      </c>
      <c r="AF2858">
        <v>5.9742747168510801E-2</v>
      </c>
      <c r="AG2858">
        <v>-0.173164499999999</v>
      </c>
      <c r="AH2858">
        <v>0.57519757004598204</v>
      </c>
      <c r="AI2858">
        <v>106.66987557323699</v>
      </c>
      <c r="AJ2858">
        <v>84.070250799999201</v>
      </c>
      <c r="AK2858">
        <v>0.60366164735412298</v>
      </c>
      <c r="AL2858">
        <v>91.113958583174494</v>
      </c>
      <c r="AM2858">
        <v>90.563753824097105</v>
      </c>
      <c r="AN2858">
        <v>0.99999999145751195</v>
      </c>
    </row>
    <row r="2859" spans="1:40" x14ac:dyDescent="0.25">
      <c r="A2859" t="str">
        <f>"20190312154310892"</f>
        <v>20190312154310892</v>
      </c>
      <c r="B2859" t="str">
        <f>"1552376590879773"</f>
        <v>1552376590879773</v>
      </c>
      <c r="C2859" t="s">
        <v>40</v>
      </c>
      <c r="D2859">
        <v>4.3115019999999999</v>
      </c>
      <c r="E2859">
        <v>0.54177940000000002</v>
      </c>
      <c r="F2859" t="s">
        <v>41</v>
      </c>
      <c r="G2859">
        <v>-489.25940000000003</v>
      </c>
      <c r="H2859">
        <v>0.93027499999999996</v>
      </c>
      <c r="I2859">
        <v>269.8553</v>
      </c>
      <c r="J2859">
        <v>-488.87759999999997</v>
      </c>
      <c r="K2859">
        <v>1.111469</v>
      </c>
      <c r="L2859">
        <v>270.38929999999999</v>
      </c>
      <c r="M2859">
        <v>-0.49477979999999999</v>
      </c>
      <c r="N2859">
        <v>0</v>
      </c>
      <c r="O2859">
        <v>-0.86892990000000003</v>
      </c>
      <c r="P2859">
        <v>-0.48620079999999999</v>
      </c>
      <c r="Q2859">
        <v>-3.1280219999999997E-2</v>
      </c>
      <c r="R2859">
        <v>-0.87328739999999905</v>
      </c>
      <c r="S2859">
        <v>-1.7099</v>
      </c>
      <c r="T2859">
        <v>-0.75391189999999997</v>
      </c>
      <c r="U2859">
        <v>-2.4553530000000001</v>
      </c>
      <c r="V2859">
        <v>-9.5638019999999997E-3</v>
      </c>
      <c r="W2859">
        <v>-1.8899869999999999E-2</v>
      </c>
      <c r="X2859">
        <v>0.99977559999999999</v>
      </c>
      <c r="Y2859">
        <v>7.4750709999999998E-2</v>
      </c>
      <c r="Z2859">
        <v>0.217725</v>
      </c>
      <c r="AA2859">
        <v>0.97314350000000005</v>
      </c>
      <c r="AB2859">
        <v>12</v>
      </c>
      <c r="AC2859">
        <v>-0.38180000000005498</v>
      </c>
      <c r="AD2859">
        <v>-0.18119399999999999</v>
      </c>
      <c r="AE2859">
        <v>-0.53399999999999104</v>
      </c>
      <c r="AF2859">
        <v>6.2768074527898704E-2</v>
      </c>
      <c r="AG2859">
        <v>-0.18119399999999999</v>
      </c>
      <c r="AH2859">
        <v>0.60673972430813905</v>
      </c>
      <c r="AI2859">
        <v>106.544060044228</v>
      </c>
      <c r="AJ2859">
        <v>84.093681724423902</v>
      </c>
      <c r="AK2859">
        <v>0.63632082306762205</v>
      </c>
      <c r="AL2859">
        <v>91.082947305625893</v>
      </c>
      <c r="AM2859">
        <v>90.548071764626201</v>
      </c>
      <c r="AN2859">
        <v>0.99999996087503495</v>
      </c>
    </row>
    <row r="2860" spans="1:40" x14ac:dyDescent="0.25">
      <c r="A2860" t="str">
        <f>"20190312154310909"</f>
        <v>20190312154310909</v>
      </c>
      <c r="B2860" t="str">
        <f>"1552376590900270"</f>
        <v>1552376590900270</v>
      </c>
      <c r="C2860" t="s">
        <v>40</v>
      </c>
      <c r="D2860">
        <v>4.2268780000000001</v>
      </c>
      <c r="E2860">
        <v>0.54153560000000001</v>
      </c>
      <c r="F2860" t="s">
        <v>41</v>
      </c>
      <c r="G2860">
        <v>-489.30759999999998</v>
      </c>
      <c r="H2860">
        <v>0.92214620000000003</v>
      </c>
      <c r="I2860">
        <v>269.77010000000001</v>
      </c>
      <c r="J2860">
        <v>-488.9171</v>
      </c>
      <c r="K2860">
        <v>1.111504</v>
      </c>
      <c r="L2860">
        <v>270.31459999999998</v>
      </c>
      <c r="M2860">
        <v>-0.4928091</v>
      </c>
      <c r="N2860">
        <v>0</v>
      </c>
      <c r="O2860">
        <v>-0.87004899999999996</v>
      </c>
      <c r="P2860">
        <v>-0.48430689999999998</v>
      </c>
      <c r="Q2860">
        <v>-3.109775E-2</v>
      </c>
      <c r="R2860">
        <v>-0.8743457</v>
      </c>
      <c r="S2860">
        <v>-1.7062379999999999</v>
      </c>
      <c r="T2860">
        <v>-0.75234160000000005</v>
      </c>
      <c r="U2860">
        <v>-2.458405</v>
      </c>
      <c r="V2860">
        <v>-9.4675360000000004E-3</v>
      </c>
      <c r="W2860">
        <v>-1.871043E-2</v>
      </c>
      <c r="X2860">
        <v>0.99978009999999995</v>
      </c>
      <c r="Y2860">
        <v>7.5508530000000004E-2</v>
      </c>
      <c r="Z2860">
        <v>0.21756220000000001</v>
      </c>
      <c r="AA2860">
        <v>0.97312129999999997</v>
      </c>
      <c r="AB2860">
        <v>12</v>
      </c>
      <c r="AC2860">
        <v>-0.39049999999997398</v>
      </c>
      <c r="AD2860">
        <v>-0.18935779999999999</v>
      </c>
      <c r="AE2860">
        <v>-0.54449999999997001</v>
      </c>
      <c r="AF2860">
        <v>6.6142687351597507E-2</v>
      </c>
      <c r="AG2860">
        <v>-0.18935779999999999</v>
      </c>
      <c r="AH2860">
        <v>0.61696212863972999</v>
      </c>
      <c r="AI2860">
        <v>106.97066609366701</v>
      </c>
      <c r="AJ2860">
        <v>83.880860443507004</v>
      </c>
      <c r="AK2860">
        <v>0.64874763944587799</v>
      </c>
      <c r="AL2860">
        <v>91.072091251015806</v>
      </c>
      <c r="AM2860">
        <v>90.542552948963802</v>
      </c>
      <c r="AN2860">
        <v>0.99999998139235202</v>
      </c>
    </row>
    <row r="2861" spans="1:40" x14ac:dyDescent="0.25">
      <c r="A2861" t="str">
        <f>"20190312154310920"</f>
        <v>20190312154310920</v>
      </c>
      <c r="B2861" t="str">
        <f>"1552376590910030"</f>
        <v>1552376590910030</v>
      </c>
      <c r="C2861" t="s">
        <v>40</v>
      </c>
      <c r="D2861">
        <v>4.2346890000000004</v>
      </c>
      <c r="E2861">
        <v>0.54138920000000001</v>
      </c>
      <c r="F2861" t="s">
        <v>41</v>
      </c>
      <c r="G2861">
        <v>-489.3544</v>
      </c>
      <c r="H2861">
        <v>0.91876590000000002</v>
      </c>
      <c r="I2861">
        <v>269.6814</v>
      </c>
      <c r="J2861">
        <v>-488.94490000000002</v>
      </c>
      <c r="K2861">
        <v>1.111526</v>
      </c>
      <c r="L2861">
        <v>270.26139999999998</v>
      </c>
      <c r="M2861">
        <v>-0.491373</v>
      </c>
      <c r="N2861">
        <v>0</v>
      </c>
      <c r="O2861">
        <v>-0.87086079999999999</v>
      </c>
      <c r="P2861">
        <v>-0.48289559999999998</v>
      </c>
      <c r="Q2861">
        <v>-3.088465E-2</v>
      </c>
      <c r="R2861">
        <v>-0.87513349999999901</v>
      </c>
      <c r="S2861">
        <v>-1.6994320000000001</v>
      </c>
      <c r="T2861">
        <v>-0.75048269999999995</v>
      </c>
      <c r="U2861">
        <v>-2.4630740000000002</v>
      </c>
      <c r="V2861">
        <v>-9.4351569999999996E-3</v>
      </c>
      <c r="W2861">
        <v>-1.848431E-2</v>
      </c>
      <c r="X2861">
        <v>0.99978460000000002</v>
      </c>
      <c r="Y2861">
        <v>7.4538179999999996E-2</v>
      </c>
      <c r="Z2861">
        <v>0.2171756</v>
      </c>
      <c r="AA2861">
        <v>0.97328250000000005</v>
      </c>
      <c r="AB2861">
        <v>12</v>
      </c>
      <c r="AC2861">
        <v>-0.40949999999997899</v>
      </c>
      <c r="AD2861">
        <v>-0.19276009999999999</v>
      </c>
      <c r="AE2861">
        <v>-0.57999999999998397</v>
      </c>
      <c r="AF2861">
        <v>6.6709520591327204E-2</v>
      </c>
      <c r="AG2861">
        <v>-0.19276009999999999</v>
      </c>
      <c r="AH2861">
        <v>0.65787872159539595</v>
      </c>
      <c r="AI2861">
        <v>106.251807904464</v>
      </c>
      <c r="AJ2861">
        <v>84.209944734124903</v>
      </c>
      <c r="AK2861">
        <v>0.68877502032051596</v>
      </c>
      <c r="AL2861">
        <v>91.059133301022399</v>
      </c>
      <c r="AM2861">
        <v>90.540695093170697</v>
      </c>
      <c r="AN2861">
        <v>0.99999996915047495</v>
      </c>
    </row>
    <row r="2862" spans="1:40" x14ac:dyDescent="0.25">
      <c r="A2862" t="str">
        <f>"20190312154310931"</f>
        <v>20190312154310931</v>
      </c>
      <c r="B2862" t="str">
        <f>"1552376590919790"</f>
        <v>1552376590919790</v>
      </c>
      <c r="C2862" t="s">
        <v>40</v>
      </c>
      <c r="D2862">
        <v>4.2939040000000004</v>
      </c>
      <c r="E2862">
        <v>0.54132440000000004</v>
      </c>
      <c r="F2862" t="s">
        <v>41</v>
      </c>
      <c r="G2862">
        <v>-489.35059999999999</v>
      </c>
      <c r="H2862">
        <v>0.93258620000000003</v>
      </c>
      <c r="I2862">
        <v>269.67160000000001</v>
      </c>
      <c r="J2862">
        <v>-488.97140000000002</v>
      </c>
      <c r="K2862">
        <v>1.1115429999999999</v>
      </c>
      <c r="L2862">
        <v>270.21080000000001</v>
      </c>
      <c r="M2862">
        <v>-0.49000009999999999</v>
      </c>
      <c r="N2862">
        <v>0</v>
      </c>
      <c r="O2862">
        <v>-0.87163389999999996</v>
      </c>
      <c r="P2862">
        <v>-0.48124129999999998</v>
      </c>
      <c r="Q2862">
        <v>-3.056213E-2</v>
      </c>
      <c r="R2862">
        <v>-0.87605580000000005</v>
      </c>
      <c r="S2862">
        <v>-1.6945190000000001</v>
      </c>
      <c r="T2862">
        <v>-0.7492723</v>
      </c>
      <c r="U2862">
        <v>-2.466583</v>
      </c>
      <c r="V2862">
        <v>-9.7541539999999993E-3</v>
      </c>
      <c r="W2862">
        <v>-1.8148190000000002E-2</v>
      </c>
      <c r="X2862">
        <v>0.99978769999999995</v>
      </c>
      <c r="Y2862">
        <v>7.4185299999999996E-2</v>
      </c>
      <c r="Z2862">
        <v>0.21698619999999999</v>
      </c>
      <c r="AA2862">
        <v>0.97335170000000004</v>
      </c>
      <c r="AB2862">
        <v>12</v>
      </c>
      <c r="AC2862">
        <v>-0.37919999999996801</v>
      </c>
      <c r="AD2862">
        <v>-0.1789568</v>
      </c>
      <c r="AE2862">
        <v>-0.53919999999999302</v>
      </c>
      <c r="AF2862">
        <v>6.17682150358531E-2</v>
      </c>
      <c r="AG2862">
        <v>-0.1789568</v>
      </c>
      <c r="AH2862">
        <v>0.61082480737087197</v>
      </c>
      <c r="AI2862">
        <v>106.250827860751</v>
      </c>
      <c r="AJ2862">
        <v>84.225728481162193</v>
      </c>
      <c r="AK2862">
        <v>0.63949026103187701</v>
      </c>
      <c r="AL2862">
        <v>91.039871807998693</v>
      </c>
      <c r="AM2862">
        <v>90.558972795984403</v>
      </c>
      <c r="AN2862">
        <v>0.99999997269591001</v>
      </c>
    </row>
    <row r="2863" spans="1:40" x14ac:dyDescent="0.25">
      <c r="A2863" t="str">
        <f>"20190312154310942"</f>
        <v>20190312154310942</v>
      </c>
      <c r="B2863" t="str">
        <f>"1552376590930526"</f>
        <v>1552376590930526</v>
      </c>
      <c r="C2863" t="s">
        <v>40</v>
      </c>
      <c r="D2863">
        <v>4.2386790000000003</v>
      </c>
      <c r="E2863">
        <v>0.54132440000000004</v>
      </c>
      <c r="F2863" t="s">
        <v>41</v>
      </c>
      <c r="G2863">
        <v>-489.39819999999997</v>
      </c>
      <c r="H2863">
        <v>0.92294620000000005</v>
      </c>
      <c r="I2863">
        <v>269.5872</v>
      </c>
      <c r="J2863">
        <v>-488.9975</v>
      </c>
      <c r="K2863">
        <v>1.111561</v>
      </c>
      <c r="L2863">
        <v>270.16070000000002</v>
      </c>
      <c r="M2863">
        <v>-0.4886221</v>
      </c>
      <c r="N2863">
        <v>0</v>
      </c>
      <c r="O2863">
        <v>-0.87240680000000004</v>
      </c>
      <c r="P2863">
        <v>-0.4797148</v>
      </c>
      <c r="Q2863">
        <v>-3.056969E-2</v>
      </c>
      <c r="R2863">
        <v>-0.87689209999999995</v>
      </c>
      <c r="S2863">
        <v>-1.6899409999999999</v>
      </c>
      <c r="T2863">
        <v>-0.74741359999999901</v>
      </c>
      <c r="U2863">
        <v>-2.4700009999999999</v>
      </c>
      <c r="V2863">
        <v>-9.9148150000000004E-3</v>
      </c>
      <c r="W2863">
        <v>-1.8137449999999999E-2</v>
      </c>
      <c r="X2863">
        <v>0.99978630000000002</v>
      </c>
      <c r="Y2863">
        <v>7.3969439999999997E-2</v>
      </c>
      <c r="Z2863">
        <v>0.2166177</v>
      </c>
      <c r="AA2863">
        <v>0.97345020000000004</v>
      </c>
      <c r="AB2863">
        <v>11</v>
      </c>
      <c r="AC2863">
        <v>-0.40069999999997202</v>
      </c>
      <c r="AD2863">
        <v>-0.1886148</v>
      </c>
      <c r="AE2863">
        <v>-0.57350000000002399</v>
      </c>
      <c r="AF2863">
        <v>6.4654711140294294E-2</v>
      </c>
      <c r="AG2863">
        <v>-0.1886148</v>
      </c>
      <c r="AH2863">
        <v>0.64899897757320701</v>
      </c>
      <c r="AI2863">
        <v>106.129481662849</v>
      </c>
      <c r="AJ2863">
        <v>84.3108392341898</v>
      </c>
      <c r="AK2863">
        <v>0.67893699806590502</v>
      </c>
      <c r="AL2863">
        <v>91.039256365118803</v>
      </c>
      <c r="AM2863">
        <v>90.568179852662894</v>
      </c>
      <c r="AN2863">
        <v>0.99999995815833698</v>
      </c>
    </row>
    <row r="2864" spans="1:40" x14ac:dyDescent="0.25">
      <c r="A2864" t="str">
        <f>"20190312154310953"</f>
        <v>20190312154310953</v>
      </c>
      <c r="B2864" t="str">
        <f>"1552376590940286"</f>
        <v>1552376590940286</v>
      </c>
      <c r="C2864" t="s">
        <v>40</v>
      </c>
      <c r="D2864">
        <v>4.272367</v>
      </c>
      <c r="E2864">
        <v>0.55861969999999905</v>
      </c>
      <c r="F2864" t="s">
        <v>41</v>
      </c>
      <c r="G2864">
        <v>-489.39449999999999</v>
      </c>
      <c r="H2864">
        <v>0.93556130000000004</v>
      </c>
      <c r="I2864">
        <v>269.57819999999998</v>
      </c>
      <c r="J2864">
        <v>-489.02190000000002</v>
      </c>
      <c r="K2864">
        <v>1.111575</v>
      </c>
      <c r="L2864">
        <v>270.11360000000002</v>
      </c>
      <c r="M2864">
        <v>-0.48731360000000001</v>
      </c>
      <c r="N2864">
        <v>0</v>
      </c>
      <c r="O2864">
        <v>-0.87313799999999997</v>
      </c>
      <c r="P2864">
        <v>-0.47788350000000002</v>
      </c>
      <c r="Q2864">
        <v>-3.0614740000000001E-2</v>
      </c>
      <c r="R2864">
        <v>-0.87788999999999995</v>
      </c>
      <c r="S2864">
        <v>-1.6851499999999999</v>
      </c>
      <c r="T2864">
        <v>-0.74750139999999998</v>
      </c>
      <c r="U2864">
        <v>-2.4732059999999998</v>
      </c>
      <c r="V2864">
        <v>-1.0501669999999999E-2</v>
      </c>
      <c r="W2864">
        <v>-1.81645E-2</v>
      </c>
      <c r="X2864">
        <v>0.99977990000000005</v>
      </c>
      <c r="Y2864">
        <v>7.3576580000000003E-2</v>
      </c>
      <c r="Z2864">
        <v>0.2167839</v>
      </c>
      <c r="AA2864">
        <v>0.97344299999999995</v>
      </c>
      <c r="AB2864">
        <v>11</v>
      </c>
      <c r="AC2864">
        <v>-0.37259999999997701</v>
      </c>
      <c r="AD2864">
        <v>-0.176013699999999</v>
      </c>
      <c r="AE2864">
        <v>-0.53540000000003796</v>
      </c>
      <c r="AF2864">
        <v>6.0055683285843202E-2</v>
      </c>
      <c r="AG2864">
        <v>-0.176013699999999</v>
      </c>
      <c r="AH2864">
        <v>0.60504627581181603</v>
      </c>
      <c r="AI2864">
        <v>106.14503981438</v>
      </c>
      <c r="AJ2864">
        <v>84.331502486591305</v>
      </c>
      <c r="AK2864">
        <v>0.63298380986907299</v>
      </c>
      <c r="AL2864">
        <v>91.040806384855998</v>
      </c>
      <c r="AM2864">
        <v>90.601811699759097</v>
      </c>
      <c r="AN2864">
        <v>1.0000000412885199</v>
      </c>
    </row>
    <row r="2865" spans="1:40" x14ac:dyDescent="0.25">
      <c r="A2865" t="str">
        <f>"20190312154310965"</f>
        <v>20190312154310965</v>
      </c>
      <c r="B2865" t="str">
        <f>"1552376590950046"</f>
        <v>1552376590950046</v>
      </c>
      <c r="C2865" t="s">
        <v>40</v>
      </c>
      <c r="D2865">
        <v>4.2821889999999998</v>
      </c>
      <c r="E2865">
        <v>0.56009799999999998</v>
      </c>
      <c r="F2865" t="s">
        <v>41</v>
      </c>
      <c r="G2865">
        <v>-489.4735</v>
      </c>
      <c r="H2865">
        <v>0.92684789999999995</v>
      </c>
      <c r="I2865">
        <v>269.51</v>
      </c>
      <c r="J2865">
        <v>-489.05</v>
      </c>
      <c r="K2865">
        <v>1.1115889999999999</v>
      </c>
      <c r="L2865">
        <v>270.0591</v>
      </c>
      <c r="M2865">
        <v>-0.48578569999999999</v>
      </c>
      <c r="N2865">
        <v>0</v>
      </c>
      <c r="O2865">
        <v>-0.8739886</v>
      </c>
      <c r="P2865">
        <v>-0.47621039999999998</v>
      </c>
      <c r="Q2865">
        <v>-3.0480489999999999E-2</v>
      </c>
      <c r="R2865">
        <v>-0.87880340000000001</v>
      </c>
      <c r="S2865">
        <v>-1.802216</v>
      </c>
      <c r="T2865">
        <v>-0.73853979999999997</v>
      </c>
      <c r="U2865">
        <v>-2.4105219999999998</v>
      </c>
      <c r="V2865">
        <v>-1.0659979999999999E-2</v>
      </c>
      <c r="W2865">
        <v>-1.800562E-2</v>
      </c>
      <c r="X2865">
        <v>0.99978109999999998</v>
      </c>
      <c r="Y2865">
        <v>0.1181222</v>
      </c>
      <c r="Z2865">
        <v>0.21599280000000001</v>
      </c>
      <c r="AA2865">
        <v>0.96922359999999996</v>
      </c>
      <c r="AB2865">
        <v>11</v>
      </c>
      <c r="AC2865">
        <v>-0.42349999999999</v>
      </c>
      <c r="AD2865">
        <v>-0.18474109999999999</v>
      </c>
      <c r="AE2865">
        <v>-0.54910000000000903</v>
      </c>
      <c r="AF2865">
        <v>9.6545031580662397E-2</v>
      </c>
      <c r="AG2865">
        <v>-0.18474109999999999</v>
      </c>
      <c r="AH2865">
        <v>0.64024921938871004</v>
      </c>
      <c r="AI2865">
        <v>105.924506072425</v>
      </c>
      <c r="AJ2865">
        <v>81.424809852765193</v>
      </c>
      <c r="AK2865">
        <v>0.673327023132128</v>
      </c>
      <c r="AL2865">
        <v>91.031701741248398</v>
      </c>
      <c r="AM2865">
        <v>90.610882442251594</v>
      </c>
      <c r="AN2865">
        <v>1.0000000427211899</v>
      </c>
    </row>
    <row r="2866" spans="1:40" x14ac:dyDescent="0.25">
      <c r="A2866" t="str">
        <f>"20190312154310977"</f>
        <v>20190312154310977</v>
      </c>
      <c r="B2866" t="str">
        <f>"1552376590970542"</f>
        <v>1552376590970542</v>
      </c>
      <c r="C2866" t="s">
        <v>40</v>
      </c>
      <c r="D2866">
        <v>4.2567079999999997</v>
      </c>
      <c r="E2866">
        <v>0.56057539999999995</v>
      </c>
      <c r="F2866" t="s">
        <v>41</v>
      </c>
      <c r="G2866">
        <v>-489.46899999999999</v>
      </c>
      <c r="H2866">
        <v>0.93909759999999998</v>
      </c>
      <c r="I2866">
        <v>269.50130000000001</v>
      </c>
      <c r="J2866">
        <v>-489.07619999999997</v>
      </c>
      <c r="K2866">
        <v>1.111602</v>
      </c>
      <c r="L2866">
        <v>270.00790000000001</v>
      </c>
      <c r="M2866">
        <v>-0.48432770000000003</v>
      </c>
      <c r="N2866">
        <v>0</v>
      </c>
      <c r="O2866">
        <v>-0.87479699999999905</v>
      </c>
      <c r="P2866">
        <v>-0.4743308</v>
      </c>
      <c r="Q2866">
        <v>-3.0797669999999999E-2</v>
      </c>
      <c r="R2866">
        <v>-0.87980769999999997</v>
      </c>
      <c r="S2866">
        <v>-1.8075559999999999</v>
      </c>
      <c r="T2866">
        <v>-0.74558679999999999</v>
      </c>
      <c r="U2866">
        <v>-2.408417</v>
      </c>
      <c r="V2866">
        <v>-1.112282E-2</v>
      </c>
      <c r="W2866">
        <v>-1.8299880000000001E-2</v>
      </c>
      <c r="X2866">
        <v>0.99977070000000001</v>
      </c>
      <c r="Y2866">
        <v>0.1212367</v>
      </c>
      <c r="Z2866">
        <v>0.2182027</v>
      </c>
      <c r="AA2866">
        <v>0.96834359999999997</v>
      </c>
      <c r="AB2866">
        <v>11</v>
      </c>
      <c r="AC2866">
        <v>-0.39280000000002202</v>
      </c>
      <c r="AD2866">
        <v>-0.172504399999999</v>
      </c>
      <c r="AE2866">
        <v>-0.50659999999999095</v>
      </c>
      <c r="AF2866">
        <v>9.1632049255010603E-2</v>
      </c>
      <c r="AG2866">
        <v>-0.172504399999999</v>
      </c>
      <c r="AH2866">
        <v>0.59069105267050104</v>
      </c>
      <c r="AI2866">
        <v>106.097431203285</v>
      </c>
      <c r="AJ2866">
        <v>81.182169040508697</v>
      </c>
      <c r="AK2866">
        <v>0.62214959629900701</v>
      </c>
      <c r="AL2866">
        <v>91.048564391003495</v>
      </c>
      <c r="AM2866">
        <v>90.637410509153895</v>
      </c>
      <c r="AN2866">
        <v>1.00000002765562</v>
      </c>
    </row>
    <row r="2867" spans="1:40" x14ac:dyDescent="0.25">
      <c r="A2867" t="str">
        <f>"20190312154310991"</f>
        <v>20190312154310991</v>
      </c>
      <c r="B2867" t="str">
        <f>"1552376590980302"</f>
        <v>1552376590980302</v>
      </c>
      <c r="C2867" t="s">
        <v>40</v>
      </c>
      <c r="D2867">
        <v>4.3038910000000001</v>
      </c>
      <c r="E2867">
        <v>0.56099809999999894</v>
      </c>
      <c r="F2867" t="s">
        <v>41</v>
      </c>
      <c r="G2867">
        <v>-489.51859999999999</v>
      </c>
      <c r="H2867">
        <v>0.9291372</v>
      </c>
      <c r="I2867">
        <v>269.41789999999997</v>
      </c>
      <c r="J2867">
        <v>-489.10840000000002</v>
      </c>
      <c r="K2867">
        <v>1.111618</v>
      </c>
      <c r="L2867">
        <v>269.94479999999999</v>
      </c>
      <c r="M2867">
        <v>-0.48251729999999998</v>
      </c>
      <c r="N2867">
        <v>0</v>
      </c>
      <c r="O2867">
        <v>-0.87579660000000004</v>
      </c>
      <c r="P2867">
        <v>-0.47190959999999899</v>
      </c>
      <c r="Q2867">
        <v>-3.0961280000000001E-2</v>
      </c>
      <c r="R2867">
        <v>-0.88110339999999998</v>
      </c>
      <c r="S2867">
        <v>-1.805725</v>
      </c>
      <c r="T2867">
        <v>-0.74596370000000001</v>
      </c>
      <c r="U2867">
        <v>-2.4101560000000002</v>
      </c>
      <c r="V2867">
        <v>-1.180165E-2</v>
      </c>
      <c r="W2867">
        <v>-1.8435469999999999E-2</v>
      </c>
      <c r="X2867">
        <v>0.99976039999999999</v>
      </c>
      <c r="Y2867">
        <v>0.1224426</v>
      </c>
      <c r="Z2867">
        <v>0.21856819999999999</v>
      </c>
      <c r="AA2867">
        <v>0.96810940000000001</v>
      </c>
      <c r="AB2867">
        <v>11</v>
      </c>
      <c r="AC2867">
        <v>-0.41019999999997397</v>
      </c>
      <c r="AD2867">
        <v>-0.1824808</v>
      </c>
      <c r="AE2867">
        <v>-0.52690000000001103</v>
      </c>
      <c r="AF2867">
        <v>9.7723589017288795E-2</v>
      </c>
      <c r="AG2867">
        <v>-0.1824808</v>
      </c>
      <c r="AH2867">
        <v>0.61361263797594801</v>
      </c>
      <c r="AI2867">
        <v>106.366800036128</v>
      </c>
      <c r="AJ2867">
        <v>80.951101160253302</v>
      </c>
      <c r="AK2867">
        <v>0.64758753207799002</v>
      </c>
      <c r="AL2867">
        <v>91.056334464027501</v>
      </c>
      <c r="AM2867">
        <v>90.676315376266501</v>
      </c>
      <c r="AN2867">
        <v>1.0000000014524999</v>
      </c>
    </row>
    <row r="2868" spans="1:40" x14ac:dyDescent="0.25">
      <c r="A2868" t="str">
        <f>"20190312154311002"</f>
        <v>20190312154311002</v>
      </c>
      <c r="B2868" t="str">
        <f>"1552376590990062"</f>
        <v>1552376590990062</v>
      </c>
      <c r="C2868" t="s">
        <v>40</v>
      </c>
      <c r="D2868">
        <v>4.3147849999999996</v>
      </c>
      <c r="E2868">
        <v>0.56113990000000002</v>
      </c>
      <c r="F2868" t="s">
        <v>41</v>
      </c>
      <c r="G2868">
        <v>-489.56619999999998</v>
      </c>
      <c r="H2868">
        <v>0.92175750000000001</v>
      </c>
      <c r="I2868">
        <v>269.33240000000001</v>
      </c>
      <c r="J2868">
        <v>-489.13630000000001</v>
      </c>
      <c r="K2868">
        <v>1.1116299999999999</v>
      </c>
      <c r="L2868">
        <v>269.8897</v>
      </c>
      <c r="M2868">
        <v>-0.48090840000000001</v>
      </c>
      <c r="N2868">
        <v>0</v>
      </c>
      <c r="O2868">
        <v>-0.87668060000000003</v>
      </c>
      <c r="P2868">
        <v>-0.4702191</v>
      </c>
      <c r="Q2868">
        <v>-3.1197220000000001E-2</v>
      </c>
      <c r="R2868">
        <v>-0.88199839999999996</v>
      </c>
      <c r="S2868">
        <v>-1.8021849999999999</v>
      </c>
      <c r="T2868">
        <v>-0.74900719999999898</v>
      </c>
      <c r="U2868">
        <v>-2.4133</v>
      </c>
      <c r="V2868">
        <v>-1.18774E-2</v>
      </c>
      <c r="W2868">
        <v>-1.8646220000000002E-2</v>
      </c>
      <c r="X2868">
        <v>0.99975559999999997</v>
      </c>
      <c r="Y2868">
        <v>0.1226056</v>
      </c>
      <c r="Z2868">
        <v>0.21958220000000001</v>
      </c>
      <c r="AA2868">
        <v>0.96785929999999998</v>
      </c>
      <c r="AB2868">
        <v>11</v>
      </c>
      <c r="AC2868">
        <v>-0.42989999999997502</v>
      </c>
      <c r="AD2868">
        <v>-0.189872499999999</v>
      </c>
      <c r="AE2868">
        <v>-0.55729999999999702</v>
      </c>
      <c r="AF2868">
        <v>0.101497101265784</v>
      </c>
      <c r="AG2868">
        <v>-0.189872499999999</v>
      </c>
      <c r="AH2868">
        <v>0.64820014486154198</v>
      </c>
      <c r="AI2868">
        <v>106.14025216413199</v>
      </c>
      <c r="AJ2868">
        <v>81.100718907781499</v>
      </c>
      <c r="AK2868">
        <v>0.68302024539550099</v>
      </c>
      <c r="AL2868">
        <v>91.068411619718503</v>
      </c>
      <c r="AM2868">
        <v>90.680659230622197</v>
      </c>
      <c r="AN2868">
        <v>1.0000000069412001</v>
      </c>
    </row>
    <row r="2869" spans="1:40" x14ac:dyDescent="0.25">
      <c r="A2869" t="str">
        <f>"20190312154311014"</f>
        <v>20190312154311014</v>
      </c>
      <c r="B2869" t="str">
        <f>"1552376590999822"</f>
        <v>1552376590999822</v>
      </c>
      <c r="C2869" t="s">
        <v>40</v>
      </c>
      <c r="D2869">
        <v>4.2827599999999997</v>
      </c>
      <c r="E2869">
        <v>0.56112059999999997</v>
      </c>
      <c r="F2869" t="s">
        <v>41</v>
      </c>
      <c r="G2869">
        <v>-489.55939999999998</v>
      </c>
      <c r="H2869">
        <v>0.93512169999999895</v>
      </c>
      <c r="I2869">
        <v>269.32209999999998</v>
      </c>
      <c r="J2869">
        <v>-489.16160000000002</v>
      </c>
      <c r="K2869">
        <v>1.1116410000000001</v>
      </c>
      <c r="L2869">
        <v>269.83949999999999</v>
      </c>
      <c r="M2869">
        <v>-0.47943059999999998</v>
      </c>
      <c r="N2869">
        <v>0</v>
      </c>
      <c r="O2869">
        <v>-0.87748909999999902</v>
      </c>
      <c r="P2869">
        <v>-0.46819810000000001</v>
      </c>
      <c r="Q2869">
        <v>-3.1374480000000003E-2</v>
      </c>
      <c r="R2869">
        <v>-0.88306659999999904</v>
      </c>
      <c r="S2869">
        <v>-1.7989200000000001</v>
      </c>
      <c r="T2869">
        <v>-0.75218119999999999</v>
      </c>
      <c r="U2869">
        <v>-2.4157410000000001</v>
      </c>
      <c r="V2869">
        <v>-1.247851E-2</v>
      </c>
      <c r="W2869">
        <v>-1.880312E-2</v>
      </c>
      <c r="X2869">
        <v>0.99974529999999995</v>
      </c>
      <c r="Y2869">
        <v>0.12281549999999999</v>
      </c>
      <c r="Z2869">
        <v>0.22064710000000001</v>
      </c>
      <c r="AA2869">
        <v>0.96759039999999996</v>
      </c>
      <c r="AB2869">
        <v>11</v>
      </c>
      <c r="AC2869">
        <v>-0.39779999999996102</v>
      </c>
      <c r="AD2869">
        <v>-0.17651929999999999</v>
      </c>
      <c r="AE2869">
        <v>-0.51740000000000896</v>
      </c>
      <c r="AF2869">
        <v>9.4129983214921997E-2</v>
      </c>
      <c r="AG2869">
        <v>-0.17651929999999999</v>
      </c>
      <c r="AH2869">
        <v>0.60082958353271199</v>
      </c>
      <c r="AI2869">
        <v>106.185485907808</v>
      </c>
      <c r="AJ2869">
        <v>81.096036634550103</v>
      </c>
      <c r="AK2869">
        <v>0.63325800860362103</v>
      </c>
      <c r="AL2869">
        <v>91.077402946121396</v>
      </c>
      <c r="AM2869">
        <v>90.715110971053505</v>
      </c>
      <c r="AN2869">
        <v>0.99999996770282096</v>
      </c>
    </row>
    <row r="2870" spans="1:40" x14ac:dyDescent="0.25">
      <c r="A2870" t="str">
        <f>"20190312154311025"</f>
        <v>20190312154311025</v>
      </c>
      <c r="B2870" t="str">
        <f>"1552376591020319"</f>
        <v>1552376591020319</v>
      </c>
      <c r="C2870" t="s">
        <v>40</v>
      </c>
      <c r="D2870">
        <v>4.3093500000000002</v>
      </c>
      <c r="E2870">
        <v>0.56117309999999998</v>
      </c>
      <c r="F2870" t="s">
        <v>41</v>
      </c>
      <c r="G2870">
        <v>-489.60719999999998</v>
      </c>
      <c r="H2870">
        <v>0.9243517</v>
      </c>
      <c r="I2870">
        <v>269.23849999999999</v>
      </c>
      <c r="J2870">
        <v>-489.18709999999999</v>
      </c>
      <c r="K2870">
        <v>1.1116520000000001</v>
      </c>
      <c r="L2870">
        <v>269.78870000000001</v>
      </c>
      <c r="M2870">
        <v>-0.4779217</v>
      </c>
      <c r="N2870">
        <v>0</v>
      </c>
      <c r="O2870">
        <v>-0.87831170000000003</v>
      </c>
      <c r="P2870">
        <v>-0.46643600000000002</v>
      </c>
      <c r="Q2870">
        <v>-3.1792790000000001E-2</v>
      </c>
      <c r="R2870">
        <v>-0.88398369999999904</v>
      </c>
      <c r="S2870">
        <v>-1.7927550000000001</v>
      </c>
      <c r="T2870">
        <v>-0.75440680000000004</v>
      </c>
      <c r="U2870">
        <v>-2.4199220000000001</v>
      </c>
      <c r="V2870">
        <v>-1.274585E-2</v>
      </c>
      <c r="W2870">
        <v>-1.9200700000000001E-2</v>
      </c>
      <c r="X2870">
        <v>0.99973440000000002</v>
      </c>
      <c r="Y2870">
        <v>0.1220234</v>
      </c>
      <c r="Z2870">
        <v>0.22141430000000001</v>
      </c>
      <c r="AA2870">
        <v>0.96751540000000003</v>
      </c>
      <c r="AB2870">
        <v>11</v>
      </c>
      <c r="AC2870">
        <v>-0.42009999999998998</v>
      </c>
      <c r="AD2870">
        <v>-0.1873003</v>
      </c>
      <c r="AE2870">
        <v>-0.55020000000001801</v>
      </c>
      <c r="AF2870">
        <v>9.8801641474863894E-2</v>
      </c>
      <c r="AG2870">
        <v>-0.1873003</v>
      </c>
      <c r="AH2870">
        <v>0.63741301949279106</v>
      </c>
      <c r="AI2870">
        <v>106.192074019402</v>
      </c>
      <c r="AJ2870">
        <v>81.189036729762705</v>
      </c>
      <c r="AK2870">
        <v>0.67166846297644101</v>
      </c>
      <c r="AL2870">
        <v>91.100186684395098</v>
      </c>
      <c r="AM2870">
        <v>90.730437851967395</v>
      </c>
      <c r="AN2870">
        <v>0.99999999705803599</v>
      </c>
    </row>
    <row r="2871" spans="1:40" x14ac:dyDescent="0.25">
      <c r="A2871" t="str">
        <f>"20190312154311035"</f>
        <v>20190312154311035</v>
      </c>
      <c r="B2871" t="str">
        <f>"1552376591030078"</f>
        <v>1552376591030078</v>
      </c>
      <c r="C2871" t="s">
        <v>40</v>
      </c>
      <c r="D2871">
        <v>4.3261000000000003</v>
      </c>
      <c r="E2871">
        <v>0.56124960000000002</v>
      </c>
      <c r="F2871" t="s">
        <v>41</v>
      </c>
      <c r="G2871">
        <v>-489.60050000000001</v>
      </c>
      <c r="H2871">
        <v>0.93670750000000003</v>
      </c>
      <c r="I2871">
        <v>269.22879999999998</v>
      </c>
      <c r="J2871">
        <v>-489.21140000000003</v>
      </c>
      <c r="K2871">
        <v>1.1116619999999999</v>
      </c>
      <c r="L2871">
        <v>269.74</v>
      </c>
      <c r="M2871">
        <v>-0.47645949999999998</v>
      </c>
      <c r="N2871">
        <v>0</v>
      </c>
      <c r="O2871">
        <v>-0.87910549999999998</v>
      </c>
      <c r="P2871">
        <v>-0.46473049999999999</v>
      </c>
      <c r="Q2871">
        <v>-3.2003070000000002E-2</v>
      </c>
      <c r="R2871">
        <v>-0.88487369999999899</v>
      </c>
      <c r="S2871">
        <v>-1.7879640000000001</v>
      </c>
      <c r="T2871">
        <v>-0.75754670000000002</v>
      </c>
      <c r="U2871">
        <v>-2.4230649999999998</v>
      </c>
      <c r="V2871">
        <v>-1.300513E-2</v>
      </c>
      <c r="W2871">
        <v>-1.939221E-2</v>
      </c>
      <c r="X2871">
        <v>0.99972740000000004</v>
      </c>
      <c r="Y2871">
        <v>0.12168710000000001</v>
      </c>
      <c r="Z2871">
        <v>0.22245799999999999</v>
      </c>
      <c r="AA2871">
        <v>0.96731829999999996</v>
      </c>
      <c r="AB2871">
        <v>11</v>
      </c>
      <c r="AC2871">
        <v>-0.38909999999998401</v>
      </c>
      <c r="AD2871">
        <v>-0.17495450000000001</v>
      </c>
      <c r="AE2871">
        <v>-0.51120000000002996</v>
      </c>
      <c r="AF2871">
        <v>9.1700869524784595E-2</v>
      </c>
      <c r="AG2871">
        <v>-0.17495450000000001</v>
      </c>
      <c r="AH2871">
        <v>0.59100859994200095</v>
      </c>
      <c r="AI2871">
        <v>106.305607405453</v>
      </c>
      <c r="AJ2871">
        <v>81.180317335631997</v>
      </c>
      <c r="AK2871">
        <v>0.62314467962685405</v>
      </c>
      <c r="AL2871">
        <v>91.111161402933206</v>
      </c>
      <c r="AM2871">
        <v>90.745300201905906</v>
      </c>
      <c r="AN2871">
        <v>1.00000003276288</v>
      </c>
    </row>
    <row r="2872" spans="1:40" x14ac:dyDescent="0.25">
      <c r="A2872" t="str">
        <f>"20190312154311046"</f>
        <v>20190312154311046</v>
      </c>
      <c r="B2872" t="str">
        <f>"1552376591040426"</f>
        <v>1552376591040426</v>
      </c>
      <c r="C2872" t="s">
        <v>40</v>
      </c>
      <c r="D2872">
        <v>4.4583320000000004</v>
      </c>
      <c r="E2872">
        <v>0.56170759999999997</v>
      </c>
      <c r="F2872" t="s">
        <v>41</v>
      </c>
      <c r="G2872">
        <v>-489.649</v>
      </c>
      <c r="H2872">
        <v>0.92602810000000002</v>
      </c>
      <c r="I2872">
        <v>269.14580000000001</v>
      </c>
      <c r="J2872">
        <v>-489.23469999999998</v>
      </c>
      <c r="K2872">
        <v>1.111669</v>
      </c>
      <c r="L2872">
        <v>269.69310000000002</v>
      </c>
      <c r="M2872">
        <v>-0.47504439999999998</v>
      </c>
      <c r="N2872">
        <v>0</v>
      </c>
      <c r="O2872">
        <v>-0.87987070000000001</v>
      </c>
      <c r="P2872">
        <v>-0.46314830000000001</v>
      </c>
      <c r="Q2872">
        <v>-3.230094E-2</v>
      </c>
      <c r="R2872">
        <v>-0.88569189999999998</v>
      </c>
      <c r="S2872">
        <v>-1.7845759999999999</v>
      </c>
      <c r="T2872">
        <v>-0.75865479999999996</v>
      </c>
      <c r="U2872">
        <v>-2.425659</v>
      </c>
      <c r="V2872">
        <v>-1.317715E-2</v>
      </c>
      <c r="W2872">
        <v>-1.9672140000000001E-2</v>
      </c>
      <c r="X2872">
        <v>0.99971960000000004</v>
      </c>
      <c r="Y2872">
        <v>0.121852</v>
      </c>
      <c r="Z2872">
        <v>0.22293250000000001</v>
      </c>
      <c r="AA2872">
        <v>0.9671883</v>
      </c>
      <c r="AB2872">
        <v>11</v>
      </c>
      <c r="AC2872">
        <v>-0.41430000000002498</v>
      </c>
      <c r="AD2872">
        <v>-0.1856409</v>
      </c>
      <c r="AE2872">
        <v>-0.547300000000007</v>
      </c>
      <c r="AF2872">
        <v>9.7421539160936294E-2</v>
      </c>
      <c r="AG2872">
        <v>-0.1856409</v>
      </c>
      <c r="AH2872">
        <v>0.63218043893457898</v>
      </c>
      <c r="AI2872">
        <v>106.18409388321901</v>
      </c>
      <c r="AJ2872">
        <v>81.239405959452398</v>
      </c>
      <c r="AK2872">
        <v>0.66603724176416201</v>
      </c>
      <c r="AL2872">
        <v>91.127203358574604</v>
      </c>
      <c r="AM2872">
        <v>90.755163110356406</v>
      </c>
      <c r="AN2872">
        <v>0.99999995449922996</v>
      </c>
    </row>
    <row r="2873" spans="1:40" x14ac:dyDescent="0.25">
      <c r="A2873" t="str">
        <f>"20190312154311057"</f>
        <v>20190312154311057</v>
      </c>
      <c r="B2873" t="str">
        <f>"1552376591050149"</f>
        <v>1552376591050149</v>
      </c>
      <c r="C2873" t="s">
        <v>40</v>
      </c>
      <c r="D2873">
        <v>4.357037</v>
      </c>
      <c r="E2873">
        <v>0.56174250000000003</v>
      </c>
      <c r="F2873" t="s">
        <v>41</v>
      </c>
      <c r="G2873">
        <v>-489.64339999999999</v>
      </c>
      <c r="H2873">
        <v>0.93735020000000002</v>
      </c>
      <c r="I2873">
        <v>269.13720000000001</v>
      </c>
      <c r="J2873">
        <v>-489.25959999999998</v>
      </c>
      <c r="K2873">
        <v>1.1116779999999999</v>
      </c>
      <c r="L2873">
        <v>269.64260000000002</v>
      </c>
      <c r="M2873">
        <v>-0.47349859999999999</v>
      </c>
      <c r="N2873">
        <v>0</v>
      </c>
      <c r="O2873">
        <v>-0.88070319999999902</v>
      </c>
      <c r="P2873">
        <v>-0.46151700000000001</v>
      </c>
      <c r="Q2873">
        <v>-3.2473879999999997E-2</v>
      </c>
      <c r="R2873">
        <v>-0.88653700000000002</v>
      </c>
      <c r="S2873">
        <v>-1.78302</v>
      </c>
      <c r="T2873">
        <v>-0.76198920000000003</v>
      </c>
      <c r="U2873">
        <v>-2.427063</v>
      </c>
      <c r="V2873">
        <v>-1.325863E-2</v>
      </c>
      <c r="W2873">
        <v>-1.982664E-2</v>
      </c>
      <c r="X2873">
        <v>0.99971549999999998</v>
      </c>
      <c r="Y2873">
        <v>0.1227615</v>
      </c>
      <c r="Z2873">
        <v>0.2240771</v>
      </c>
      <c r="AA2873">
        <v>0.96680869999999997</v>
      </c>
      <c r="AB2873">
        <v>11</v>
      </c>
      <c r="AC2873">
        <v>-0.38380000000000702</v>
      </c>
      <c r="AD2873">
        <v>-0.1743278</v>
      </c>
      <c r="AE2873">
        <v>-0.50540000000000795</v>
      </c>
      <c r="AF2873">
        <v>9.1789213489137794E-2</v>
      </c>
      <c r="AG2873">
        <v>-0.1743278</v>
      </c>
      <c r="AH2873">
        <v>0.58290083351242805</v>
      </c>
      <c r="AI2873">
        <v>106.45866826585799</v>
      </c>
      <c r="AJ2873">
        <v>81.051135956322</v>
      </c>
      <c r="AK2873">
        <v>0.61529572018280598</v>
      </c>
      <c r="AL2873">
        <v>91.136057250333593</v>
      </c>
      <c r="AM2873">
        <v>90.7598351795219</v>
      </c>
      <c r="AN2873">
        <v>0.99999998393170797</v>
      </c>
    </row>
    <row r="2874" spans="1:40" x14ac:dyDescent="0.25">
      <c r="A2874" t="str">
        <f>"20190312154311069"</f>
        <v>20190312154311069</v>
      </c>
      <c r="B2874" t="str">
        <f>"1552376591059909"</f>
        <v>1552376591059909</v>
      </c>
      <c r="C2874" t="s">
        <v>40</v>
      </c>
      <c r="D2874">
        <v>4.3465499999999997</v>
      </c>
      <c r="E2874">
        <v>0.5616795</v>
      </c>
      <c r="F2874" t="s">
        <v>41</v>
      </c>
      <c r="G2874">
        <v>-489.69119999999998</v>
      </c>
      <c r="H2874">
        <v>0.92710599999999999</v>
      </c>
      <c r="I2874">
        <v>269.05380000000002</v>
      </c>
      <c r="J2874">
        <v>-489.28570000000002</v>
      </c>
      <c r="K2874">
        <v>1.1116900000000001</v>
      </c>
      <c r="L2874">
        <v>269.58960000000002</v>
      </c>
      <c r="M2874">
        <v>-0.4718675</v>
      </c>
      <c r="N2874">
        <v>0</v>
      </c>
      <c r="O2874">
        <v>-0.88157809999999903</v>
      </c>
      <c r="P2874">
        <v>-0.45956320000000001</v>
      </c>
      <c r="Q2874">
        <v>-3.2662089999999998E-2</v>
      </c>
      <c r="R2874">
        <v>-0.88754460000000002</v>
      </c>
      <c r="S2874">
        <v>-1.7795099999999999</v>
      </c>
      <c r="T2874">
        <v>-0.76220390000000005</v>
      </c>
      <c r="U2874">
        <v>-2.4296259999999998</v>
      </c>
      <c r="V2874">
        <v>-1.3605620000000001E-2</v>
      </c>
      <c r="W2874">
        <v>-1.9997020000000001E-2</v>
      </c>
      <c r="X2874">
        <v>0.99970749999999997</v>
      </c>
      <c r="Y2874">
        <v>0.1231748</v>
      </c>
      <c r="Z2874">
        <v>0.2243474</v>
      </c>
      <c r="AA2874">
        <v>0.96669349999999998</v>
      </c>
      <c r="AB2874">
        <v>11</v>
      </c>
      <c r="AC2874">
        <v>-0.40549999999996</v>
      </c>
      <c r="AD2874">
        <v>-0.184584</v>
      </c>
      <c r="AE2874">
        <v>-0.53579999999999395</v>
      </c>
      <c r="AF2874">
        <v>9.7318086203681306E-2</v>
      </c>
      <c r="AG2874">
        <v>-0.184584</v>
      </c>
      <c r="AH2874">
        <v>0.61717317492878399</v>
      </c>
      <c r="AI2874">
        <v>106.45869531342299</v>
      </c>
      <c r="AJ2874">
        <v>81.039176928281904</v>
      </c>
      <c r="AK2874">
        <v>0.65149427534708504</v>
      </c>
      <c r="AL2874">
        <v>91.145821177396797</v>
      </c>
      <c r="AM2874">
        <v>90.779724549032906</v>
      </c>
      <c r="AN2874">
        <v>1.0000000396303499</v>
      </c>
    </row>
    <row r="2875" spans="1:40" x14ac:dyDescent="0.25">
      <c r="A2875" t="str">
        <f>"20190312154311082"</f>
        <v>20190312154311082</v>
      </c>
      <c r="B2875" t="str">
        <f>"1552376591070645"</f>
        <v>1552376591070645</v>
      </c>
      <c r="C2875" t="s">
        <v>40</v>
      </c>
      <c r="D2875">
        <v>4.3351699999999997</v>
      </c>
      <c r="E2875">
        <v>0.56154110000000002</v>
      </c>
      <c r="F2875" t="s">
        <v>41</v>
      </c>
      <c r="G2875">
        <v>-489.73759999999999</v>
      </c>
      <c r="H2875">
        <v>0.9173983</v>
      </c>
      <c r="I2875">
        <v>268.96969999999999</v>
      </c>
      <c r="J2875">
        <v>-489.31360000000001</v>
      </c>
      <c r="K2875">
        <v>1.1116999999999999</v>
      </c>
      <c r="L2875">
        <v>269.5324</v>
      </c>
      <c r="M2875">
        <v>-0.47008129999999998</v>
      </c>
      <c r="N2875">
        <v>0</v>
      </c>
      <c r="O2875">
        <v>-0.88253150000000002</v>
      </c>
      <c r="P2875">
        <v>-0.45775539999999998</v>
      </c>
      <c r="Q2875">
        <v>-3.2707970000000003E-2</v>
      </c>
      <c r="R2875">
        <v>-0.88847640000000006</v>
      </c>
      <c r="S2875">
        <v>-1.7734989999999999</v>
      </c>
      <c r="T2875">
        <v>-0.76322849999999998</v>
      </c>
      <c r="U2875">
        <v>-2.433716</v>
      </c>
      <c r="V2875">
        <v>-1.361514E-2</v>
      </c>
      <c r="W2875">
        <v>-2.0025790000000002E-2</v>
      </c>
      <c r="X2875">
        <v>0.99970669999999995</v>
      </c>
      <c r="Y2875">
        <v>0.12279080000000001</v>
      </c>
      <c r="Z2875">
        <v>0.22482920000000001</v>
      </c>
      <c r="AA2875">
        <v>0.96663030000000005</v>
      </c>
      <c r="AB2875">
        <v>11</v>
      </c>
      <c r="AC2875">
        <v>-0.42399999999997801</v>
      </c>
      <c r="AD2875">
        <v>-0.19430169999999899</v>
      </c>
      <c r="AE2875">
        <v>-0.56270000000000597</v>
      </c>
      <c r="AF2875">
        <v>0.10193503623130799</v>
      </c>
      <c r="AG2875">
        <v>-0.19430169999999899</v>
      </c>
      <c r="AH2875">
        <v>0.646781685476845</v>
      </c>
      <c r="AI2875">
        <v>106.528268999484</v>
      </c>
      <c r="AJ2875">
        <v>81.043656692706506</v>
      </c>
      <c r="AK2875">
        <v>0.68298642073077598</v>
      </c>
      <c r="AL2875">
        <v>91.147470015475506</v>
      </c>
      <c r="AM2875">
        <v>90.780270687656795</v>
      </c>
      <c r="AN2875">
        <v>0.99999994516361501</v>
      </c>
    </row>
    <row r="2876" spans="1:40" x14ac:dyDescent="0.25">
      <c r="A2876" t="str">
        <f>"20190312154311098"</f>
        <v>20190312154311098</v>
      </c>
      <c r="B2876" t="str">
        <f>"1552376591090164"</f>
        <v>1552376591090164</v>
      </c>
      <c r="C2876" t="s">
        <v>40</v>
      </c>
      <c r="D2876">
        <v>4.3788850000000004</v>
      </c>
      <c r="E2876">
        <v>0.56147530000000001</v>
      </c>
      <c r="F2876" t="s">
        <v>41</v>
      </c>
      <c r="G2876">
        <v>-489.72989999999999</v>
      </c>
      <c r="H2876">
        <v>0.93198429999999999</v>
      </c>
      <c r="I2876">
        <v>268.95839999999998</v>
      </c>
      <c r="J2876">
        <v>-489.34820000000002</v>
      </c>
      <c r="K2876">
        <v>1.1117090000000001</v>
      </c>
      <c r="L2876">
        <v>269.46109999999999</v>
      </c>
      <c r="M2876">
        <v>-0.46783239999999998</v>
      </c>
      <c r="N2876">
        <v>0</v>
      </c>
      <c r="O2876">
        <v>-0.88372530000000005</v>
      </c>
      <c r="P2876">
        <v>-0.45507229999999999</v>
      </c>
      <c r="Q2876">
        <v>-3.3556460000000003E-2</v>
      </c>
      <c r="R2876">
        <v>-0.88982209999999995</v>
      </c>
      <c r="S2876">
        <v>-1.7675780000000001</v>
      </c>
      <c r="T2876">
        <v>-0.76373519999999995</v>
      </c>
      <c r="U2876">
        <v>-2.4377439999999999</v>
      </c>
      <c r="V2876">
        <v>-1.4068239999999999E-2</v>
      </c>
      <c r="W2876">
        <v>-2.0860030000000002E-2</v>
      </c>
      <c r="X2876">
        <v>0.9996834</v>
      </c>
      <c r="Y2876">
        <v>0.12297329999999999</v>
      </c>
      <c r="Z2876">
        <v>0.2252499</v>
      </c>
      <c r="AA2876">
        <v>0.96650919999999896</v>
      </c>
      <c r="AB2876">
        <v>11</v>
      </c>
      <c r="AC2876">
        <v>-0.38169999999996601</v>
      </c>
      <c r="AD2876">
        <v>-0.17972469999999899</v>
      </c>
      <c r="AE2876">
        <v>-0.50270000000000403</v>
      </c>
      <c r="AF2876">
        <v>9.4486298377592703E-2</v>
      </c>
      <c r="AG2876">
        <v>-0.17972469999999899</v>
      </c>
      <c r="AH2876">
        <v>0.57615816465178904</v>
      </c>
      <c r="AI2876">
        <v>107.109650360906</v>
      </c>
      <c r="AJ2876">
        <v>80.686753648936005</v>
      </c>
      <c r="AK2876">
        <v>0.61089021850583602</v>
      </c>
      <c r="AL2876">
        <v>91.195278401970498</v>
      </c>
      <c r="AM2876">
        <v>90.806252832843896</v>
      </c>
      <c r="AN2876">
        <v>0.99999997823192899</v>
      </c>
    </row>
    <row r="2877" spans="1:40" x14ac:dyDescent="0.25">
      <c r="A2877" t="str">
        <f>"20190312154311113"</f>
        <v>20190312154311113</v>
      </c>
      <c r="B2877" t="str">
        <f>"1552376591099924"</f>
        <v>1552376591099924</v>
      </c>
      <c r="C2877" t="s">
        <v>40</v>
      </c>
      <c r="D2877">
        <v>4.4956839999999998</v>
      </c>
      <c r="E2877">
        <v>0.56160429999999995</v>
      </c>
      <c r="F2877" t="s">
        <v>41</v>
      </c>
      <c r="G2877">
        <v>-489.77379999999999</v>
      </c>
      <c r="H2877">
        <v>0.92641439999999997</v>
      </c>
      <c r="I2877">
        <v>268.87099999999998</v>
      </c>
      <c r="J2877">
        <v>-489.37990000000002</v>
      </c>
      <c r="K2877">
        <v>1.111712</v>
      </c>
      <c r="L2877">
        <v>269.39519999999999</v>
      </c>
      <c r="M2877">
        <v>-0.46572819999999998</v>
      </c>
      <c r="N2877">
        <v>0</v>
      </c>
      <c r="O2877">
        <v>-0.88483599999999996</v>
      </c>
      <c r="P2877">
        <v>-0.45271159999999999</v>
      </c>
      <c r="Q2877">
        <v>-3.4047290000000001E-2</v>
      </c>
      <c r="R2877">
        <v>-0.89100689999999905</v>
      </c>
      <c r="S2877">
        <v>-1.760254</v>
      </c>
      <c r="T2877">
        <v>-0.76754840000000002</v>
      </c>
      <c r="U2877">
        <v>-2.4423520000000001</v>
      </c>
      <c r="V2877">
        <v>-1.4328840000000001E-2</v>
      </c>
      <c r="W2877">
        <v>-2.1343040000000001E-2</v>
      </c>
      <c r="X2877">
        <v>0.99966960000000005</v>
      </c>
      <c r="Y2877">
        <v>0.1223779</v>
      </c>
      <c r="Z2877">
        <v>0.2265547</v>
      </c>
      <c r="AA2877">
        <v>0.96627980000000002</v>
      </c>
      <c r="AB2877">
        <v>11</v>
      </c>
      <c r="AC2877">
        <v>-0.39389999999997299</v>
      </c>
      <c r="AD2877">
        <v>-0.18529760000000001</v>
      </c>
      <c r="AE2877">
        <v>-0.52420000000000699</v>
      </c>
      <c r="AF2877">
        <v>9.6689079579097101E-2</v>
      </c>
      <c r="AG2877">
        <v>-0.18529760000000001</v>
      </c>
      <c r="AH2877">
        <v>0.59946105567554198</v>
      </c>
      <c r="AI2877">
        <v>106.970248925829</v>
      </c>
      <c r="AJ2877">
        <v>80.837484106930404</v>
      </c>
      <c r="AK2877">
        <v>0.634852373349307</v>
      </c>
      <c r="AL2877">
        <v>91.222958882258595</v>
      </c>
      <c r="AM2877">
        <v>90.821197163821097</v>
      </c>
      <c r="AN2877">
        <v>1.0000000750881699</v>
      </c>
    </row>
    <row r="2878" spans="1:40" x14ac:dyDescent="0.25">
      <c r="A2878" t="str">
        <f>"20190312154311125"</f>
        <v>20190312154311125</v>
      </c>
      <c r="B2878" t="str">
        <f>"1552376591120420"</f>
        <v>1552376591120420</v>
      </c>
      <c r="C2878" t="s">
        <v>40</v>
      </c>
      <c r="D2878">
        <v>4.4255240000000002</v>
      </c>
      <c r="E2878">
        <v>0.56154099999999996</v>
      </c>
      <c r="F2878" t="s">
        <v>41</v>
      </c>
      <c r="G2878">
        <v>-489.81819999999999</v>
      </c>
      <c r="H2878">
        <v>0.91960509999999995</v>
      </c>
      <c r="I2878">
        <v>268.78460000000001</v>
      </c>
      <c r="J2878">
        <v>-489.40719999999999</v>
      </c>
      <c r="K2878">
        <v>1.111715</v>
      </c>
      <c r="L2878">
        <v>269.33819999999997</v>
      </c>
      <c r="M2878">
        <v>-0.4638891</v>
      </c>
      <c r="N2878">
        <v>0</v>
      </c>
      <c r="O2878">
        <v>-0.88580149999999902</v>
      </c>
      <c r="P2878">
        <v>-0.45068009999999997</v>
      </c>
      <c r="Q2878">
        <v>-3.4553680000000003E-2</v>
      </c>
      <c r="R2878">
        <v>-0.8920167</v>
      </c>
      <c r="S2878">
        <v>-1.7545170000000001</v>
      </c>
      <c r="T2878">
        <v>-0.77031369999999999</v>
      </c>
      <c r="U2878">
        <v>-2.4461360000000001</v>
      </c>
      <c r="V2878">
        <v>-1.451935E-2</v>
      </c>
      <c r="W2878">
        <v>-2.184815E-2</v>
      </c>
      <c r="X2878">
        <v>0.99965579999999998</v>
      </c>
      <c r="Y2878">
        <v>0.12209830000000001</v>
      </c>
      <c r="Z2878">
        <v>0.22753590000000001</v>
      </c>
      <c r="AA2878">
        <v>0.96608459999999996</v>
      </c>
      <c r="AB2878">
        <v>11</v>
      </c>
      <c r="AC2878">
        <v>-0.41100000000000098</v>
      </c>
      <c r="AD2878">
        <v>-0.1921099</v>
      </c>
      <c r="AE2878">
        <v>-0.55359999999996001</v>
      </c>
      <c r="AF2878">
        <v>9.9536801039810593E-2</v>
      </c>
      <c r="AG2878">
        <v>-0.1921099</v>
      </c>
      <c r="AH2878">
        <v>0.63202738610935405</v>
      </c>
      <c r="AI2878">
        <v>106.712774943678</v>
      </c>
      <c r="AJ2878">
        <v>81.050105877593197</v>
      </c>
      <c r="AK2878">
        <v>0.66803623047816196</v>
      </c>
      <c r="AL2878">
        <v>91.251906476838002</v>
      </c>
      <c r="AM2878">
        <v>90.832125403118695</v>
      </c>
      <c r="AN2878">
        <v>0.99999993582823998</v>
      </c>
    </row>
    <row r="2879" spans="1:40" x14ac:dyDescent="0.25">
      <c r="A2879" t="str">
        <f>"20190312154311137"</f>
        <v>20190312154311137</v>
      </c>
      <c r="B2879" t="str">
        <f>"1552376591130180"</f>
        <v>1552376591130180</v>
      </c>
      <c r="C2879" t="s">
        <v>40</v>
      </c>
      <c r="D2879">
        <v>4.4405549999999998</v>
      </c>
      <c r="E2879">
        <v>0.56153690000000001</v>
      </c>
      <c r="F2879" t="s">
        <v>41</v>
      </c>
      <c r="G2879">
        <v>-489.81049999999999</v>
      </c>
      <c r="H2879">
        <v>0.93370229999999999</v>
      </c>
      <c r="I2879">
        <v>268.77359999999999</v>
      </c>
      <c r="J2879">
        <v>-489.43090000000001</v>
      </c>
      <c r="K2879">
        <v>1.1117159999999999</v>
      </c>
      <c r="L2879">
        <v>269.28829999999999</v>
      </c>
      <c r="M2879">
        <v>-0.46226400000000001</v>
      </c>
      <c r="N2879">
        <v>0</v>
      </c>
      <c r="O2879">
        <v>-0.88665079999999996</v>
      </c>
      <c r="P2879">
        <v>-0.44888899999999998</v>
      </c>
      <c r="Q2879">
        <v>-3.4988369999999998E-2</v>
      </c>
      <c r="R2879">
        <v>-0.89290270000000005</v>
      </c>
      <c r="S2879">
        <v>-1.74884</v>
      </c>
      <c r="T2879">
        <v>-0.77330279999999996</v>
      </c>
      <c r="U2879">
        <v>-2.4496769999999999</v>
      </c>
      <c r="V2879">
        <v>-1.468271E-2</v>
      </c>
      <c r="W2879">
        <v>-2.2287540000000002E-2</v>
      </c>
      <c r="X2879">
        <v>0.99964379999999997</v>
      </c>
      <c r="Y2879">
        <v>0.1216309</v>
      </c>
      <c r="Z2879">
        <v>0.22855510000000001</v>
      </c>
      <c r="AA2879">
        <v>0.96590290000000001</v>
      </c>
      <c r="AB2879">
        <v>11</v>
      </c>
      <c r="AC2879">
        <v>-0.37959999999998201</v>
      </c>
      <c r="AD2879">
        <v>-0.178013699999999</v>
      </c>
      <c r="AE2879">
        <v>-0.51470000000000404</v>
      </c>
      <c r="AF2879">
        <v>9.1559642032982905E-2</v>
      </c>
      <c r="AG2879">
        <v>-0.178013699999999</v>
      </c>
      <c r="AH2879">
        <v>0.58644974670987204</v>
      </c>
      <c r="AI2879">
        <v>106.694591997096</v>
      </c>
      <c r="AJ2879">
        <v>81.126315547637205</v>
      </c>
      <c r="AK2879">
        <v>0.61967358411745399</v>
      </c>
      <c r="AL2879">
        <v>91.277087693874506</v>
      </c>
      <c r="AM2879">
        <v>90.841496567327496</v>
      </c>
      <c r="AN2879">
        <v>1.00000002164531</v>
      </c>
    </row>
    <row r="2880" spans="1:40" x14ac:dyDescent="0.25">
      <c r="A2880" t="str">
        <f>"20190312154311148"</f>
        <v>20190312154311148</v>
      </c>
      <c r="B2880" t="str">
        <f>"1552376591140607"</f>
        <v>1552376591140607</v>
      </c>
      <c r="C2880" t="s">
        <v>40</v>
      </c>
      <c r="D2880">
        <v>4.4939850000000003</v>
      </c>
      <c r="E2880">
        <v>0.56154289999999996</v>
      </c>
      <c r="F2880" t="s">
        <v>41</v>
      </c>
      <c r="G2880">
        <v>-489.85640000000001</v>
      </c>
      <c r="H2880">
        <v>0.92285499999999998</v>
      </c>
      <c r="I2880">
        <v>268.6902</v>
      </c>
      <c r="J2880">
        <v>-489.45530000000002</v>
      </c>
      <c r="K2880">
        <v>1.1117189999999999</v>
      </c>
      <c r="L2880">
        <v>269.23680000000002</v>
      </c>
      <c r="M2880">
        <v>-0.46057500000000001</v>
      </c>
      <c r="N2880">
        <v>0</v>
      </c>
      <c r="O2880">
        <v>-0.88752949999999997</v>
      </c>
      <c r="P2880">
        <v>-0.44707449999999999</v>
      </c>
      <c r="Q2880">
        <v>-3.5275319999999999E-2</v>
      </c>
      <c r="R2880">
        <v>-0.89380139999999997</v>
      </c>
      <c r="S2880">
        <v>-1.74383499999999</v>
      </c>
      <c r="T2880">
        <v>-0.77530600000000005</v>
      </c>
      <c r="U2880">
        <v>-2.45282</v>
      </c>
      <c r="V2880">
        <v>-1.4803210000000001E-2</v>
      </c>
      <c r="W2880">
        <v>-2.2580900000000001E-2</v>
      </c>
      <c r="X2880">
        <v>0.99963539999999995</v>
      </c>
      <c r="Y2880">
        <v>0.12152209999999999</v>
      </c>
      <c r="Z2880">
        <v>0.22932130000000001</v>
      </c>
      <c r="AA2880">
        <v>0.96573500000000001</v>
      </c>
      <c r="AB2880">
        <v>11</v>
      </c>
      <c r="AC2880">
        <v>-0.40109999999998502</v>
      </c>
      <c r="AD2880">
        <v>-0.188864</v>
      </c>
      <c r="AE2880">
        <v>-0.54660000000001197</v>
      </c>
      <c r="AF2880">
        <v>9.6739158997600702E-2</v>
      </c>
      <c r="AG2880">
        <v>-0.188864</v>
      </c>
      <c r="AH2880">
        <v>0.62167203960022699</v>
      </c>
      <c r="AI2880">
        <v>106.70908906027</v>
      </c>
      <c r="AJ2880">
        <v>81.155070176617301</v>
      </c>
      <c r="AK2880">
        <v>0.65688979304010298</v>
      </c>
      <c r="AL2880">
        <v>91.293900265459698</v>
      </c>
      <c r="AM2880">
        <v>90.8484087950863</v>
      </c>
      <c r="AN2880">
        <v>0.99999998250213595</v>
      </c>
    </row>
    <row r="2881" spans="1:40" x14ac:dyDescent="0.25">
      <c r="A2881" t="str">
        <f>"20190312154311160"</f>
        <v>20190312154311160</v>
      </c>
      <c r="B2881" t="str">
        <f>"1552376591150352"</f>
        <v>1552376591150352</v>
      </c>
      <c r="C2881" t="s">
        <v>40</v>
      </c>
      <c r="D2881">
        <v>4.5053219999999996</v>
      </c>
      <c r="E2881">
        <v>0.56154040000000005</v>
      </c>
      <c r="F2881" t="s">
        <v>41</v>
      </c>
      <c r="G2881">
        <v>-489.90179999999998</v>
      </c>
      <c r="H2881">
        <v>0.91241969999999994</v>
      </c>
      <c r="I2881">
        <v>268.60629999999998</v>
      </c>
      <c r="J2881">
        <v>-489.4812</v>
      </c>
      <c r="K2881">
        <v>1.111718</v>
      </c>
      <c r="L2881">
        <v>269.1816</v>
      </c>
      <c r="M2881">
        <v>-0.45874579999999998</v>
      </c>
      <c r="N2881">
        <v>0</v>
      </c>
      <c r="O2881">
        <v>-0.888476499999999</v>
      </c>
      <c r="P2881">
        <v>-0.44494240000000002</v>
      </c>
      <c r="Q2881">
        <v>-3.5528999999999998E-2</v>
      </c>
      <c r="R2881">
        <v>-0.89485409999999899</v>
      </c>
      <c r="S2881">
        <v>-1.7386470000000001</v>
      </c>
      <c r="T2881">
        <v>-0.77675719999999904</v>
      </c>
      <c r="U2881">
        <v>-2.4561459999999999</v>
      </c>
      <c r="V2881">
        <v>-1.512105E-2</v>
      </c>
      <c r="W2881">
        <v>-2.2851110000000001E-2</v>
      </c>
      <c r="X2881">
        <v>0.99962450000000003</v>
      </c>
      <c r="Y2881">
        <v>0.12150859999999999</v>
      </c>
      <c r="Z2881">
        <v>0.22995009999999999</v>
      </c>
      <c r="AA2881">
        <v>0.96558719999999998</v>
      </c>
      <c r="AB2881">
        <v>11</v>
      </c>
      <c r="AC2881">
        <v>-0.42059999999997899</v>
      </c>
      <c r="AD2881">
        <v>-0.19929829999999901</v>
      </c>
      <c r="AE2881">
        <v>-0.57530000000002701</v>
      </c>
      <c r="AF2881">
        <v>0.101822325293505</v>
      </c>
      <c r="AG2881">
        <v>-0.19929829999999901</v>
      </c>
      <c r="AH2881">
        <v>0.65307067239647199</v>
      </c>
      <c r="AI2881">
        <v>106.77954016245801</v>
      </c>
      <c r="AJ2881">
        <v>81.1381802586113</v>
      </c>
      <c r="AK2881">
        <v>0.69035418551309402</v>
      </c>
      <c r="AL2881">
        <v>91.309386157392794</v>
      </c>
      <c r="AM2881">
        <v>90.866631695560102</v>
      </c>
      <c r="AN2881">
        <v>0.99999998019079195</v>
      </c>
    </row>
    <row r="2882" spans="1:40" x14ac:dyDescent="0.25">
      <c r="A2882" t="str">
        <f>"20190312154311176"</f>
        <v>20190312154311176</v>
      </c>
      <c r="B2882" t="str">
        <f>"1552376591169876"</f>
        <v>1552376591169876</v>
      </c>
      <c r="C2882" t="s">
        <v>40</v>
      </c>
      <c r="D2882">
        <v>4.5117940000000001</v>
      </c>
      <c r="E2882">
        <v>0.56140009999999996</v>
      </c>
      <c r="F2882" t="s">
        <v>41</v>
      </c>
      <c r="G2882">
        <v>-489.89420000000001</v>
      </c>
      <c r="H2882">
        <v>0.92637530000000001</v>
      </c>
      <c r="I2882">
        <v>268.59550000000002</v>
      </c>
      <c r="J2882">
        <v>-489.51429999999999</v>
      </c>
      <c r="K2882">
        <v>1.1117170000000001</v>
      </c>
      <c r="L2882">
        <v>269.11070000000001</v>
      </c>
      <c r="M2882">
        <v>-0.45637060000000002</v>
      </c>
      <c r="N2882">
        <v>0</v>
      </c>
      <c r="O2882">
        <v>-0.88969920000000002</v>
      </c>
      <c r="P2882">
        <v>-0.44246160000000001</v>
      </c>
      <c r="Q2882">
        <v>-3.5976170000000002E-2</v>
      </c>
      <c r="R2882">
        <v>-0.89606580000000002</v>
      </c>
      <c r="S2882">
        <v>-1.7326349999999999</v>
      </c>
      <c r="T2882">
        <v>-0.77827369999999996</v>
      </c>
      <c r="U2882">
        <v>-2.4601139999999999</v>
      </c>
      <c r="V2882">
        <v>-1.5210019999999999E-2</v>
      </c>
      <c r="W2882">
        <v>-2.3324669999999999E-2</v>
      </c>
      <c r="X2882">
        <v>0.99961219999999995</v>
      </c>
      <c r="Y2882">
        <v>0.1217583</v>
      </c>
      <c r="Z2882">
        <v>0.2306676</v>
      </c>
      <c r="AA2882">
        <v>0.96538449999999998</v>
      </c>
      <c r="AB2882">
        <v>11</v>
      </c>
      <c r="AC2882">
        <v>-0.37990000000002</v>
      </c>
      <c r="AD2882">
        <v>-0.1853417</v>
      </c>
      <c r="AE2882">
        <v>-0.515199999999993</v>
      </c>
      <c r="AF2882">
        <v>9.4924917908062803E-2</v>
      </c>
      <c r="AG2882">
        <v>-0.1853417</v>
      </c>
      <c r="AH2882">
        <v>0.58292962412557303</v>
      </c>
      <c r="AI2882">
        <v>107.42264700981799</v>
      </c>
      <c r="AJ2882">
        <v>80.751072392410705</v>
      </c>
      <c r="AK2882">
        <v>0.61900664978813003</v>
      </c>
      <c r="AL2882">
        <v>91.336526398798</v>
      </c>
      <c r="AM2882">
        <v>90.871740767246393</v>
      </c>
      <c r="AN2882">
        <v>0.99999996766392396</v>
      </c>
    </row>
    <row r="2883" spans="1:40" x14ac:dyDescent="0.25">
      <c r="A2883" t="str">
        <f>"20190312154311187"</f>
        <v>20190312154311187</v>
      </c>
      <c r="B2883" t="str">
        <f>"1552376591180608"</f>
        <v>1552376591180608</v>
      </c>
      <c r="C2883" t="s">
        <v>40</v>
      </c>
      <c r="D2883">
        <v>4.5298080000000001</v>
      </c>
      <c r="E2883">
        <v>0.56112119999999999</v>
      </c>
      <c r="F2883" t="s">
        <v>41</v>
      </c>
      <c r="G2883">
        <v>-489.93650000000002</v>
      </c>
      <c r="H2883">
        <v>0.92097879999999999</v>
      </c>
      <c r="I2883">
        <v>268.5077</v>
      </c>
      <c r="J2883">
        <v>-489.53809999999999</v>
      </c>
      <c r="K2883">
        <v>1.1117170000000001</v>
      </c>
      <c r="L2883">
        <v>269.05939999999998</v>
      </c>
      <c r="M2883">
        <v>-0.45464539999999998</v>
      </c>
      <c r="N2883">
        <v>0</v>
      </c>
      <c r="O2883">
        <v>-0.89058230000000005</v>
      </c>
      <c r="P2883">
        <v>-0.44067699999999999</v>
      </c>
      <c r="Q2883">
        <v>-3.6656620000000001E-2</v>
      </c>
      <c r="R2883">
        <v>-0.89691719999999897</v>
      </c>
      <c r="S2883">
        <v>-1.725525</v>
      </c>
      <c r="T2883">
        <v>-0.77964540000000004</v>
      </c>
      <c r="U2883">
        <v>-2.464661</v>
      </c>
      <c r="V2883">
        <v>-1.524695E-2</v>
      </c>
      <c r="W2883">
        <v>-2.402839E-2</v>
      </c>
      <c r="X2883">
        <v>0.99959500000000001</v>
      </c>
      <c r="Y2883">
        <v>0.12090430000000001</v>
      </c>
      <c r="Z2883">
        <v>0.23121749999999999</v>
      </c>
      <c r="AA2883">
        <v>0.96536029999999995</v>
      </c>
      <c r="AB2883">
        <v>11</v>
      </c>
      <c r="AC2883">
        <v>-0.398400000000037</v>
      </c>
      <c r="AD2883">
        <v>-0.1907382</v>
      </c>
      <c r="AE2883">
        <v>-0.55169999999998198</v>
      </c>
      <c r="AF2883">
        <v>9.6414125845571394E-2</v>
      </c>
      <c r="AG2883">
        <v>-0.1907382</v>
      </c>
      <c r="AH2883">
        <v>0.62353383239474502</v>
      </c>
      <c r="AI2883">
        <v>106.82038963270099</v>
      </c>
      <c r="AJ2883">
        <v>81.2102314551136</v>
      </c>
      <c r="AK2883">
        <v>0.65914428218917598</v>
      </c>
      <c r="AL2883">
        <v>91.376857850466294</v>
      </c>
      <c r="AM2883">
        <v>90.873872064203198</v>
      </c>
      <c r="AN2883">
        <v>0.99999999851764698</v>
      </c>
    </row>
    <row r="2884" spans="1:40" x14ac:dyDescent="0.25">
      <c r="A2884" t="str">
        <f>"20190312154311199"</f>
        <v>20190312154311199</v>
      </c>
      <c r="B2884" t="str">
        <f>"1552376591190370"</f>
        <v>1552376591190370</v>
      </c>
      <c r="C2884" t="s">
        <v>40</v>
      </c>
      <c r="D2884">
        <v>4.5827049999999998</v>
      </c>
      <c r="E2884">
        <v>0.56112119999999999</v>
      </c>
      <c r="F2884" t="s">
        <v>41</v>
      </c>
      <c r="G2884">
        <v>-489.92930000000001</v>
      </c>
      <c r="H2884">
        <v>0.93384049999999996</v>
      </c>
      <c r="I2884">
        <v>268.49770000000001</v>
      </c>
      <c r="J2884">
        <v>-489.5616</v>
      </c>
      <c r="K2884">
        <v>1.111712</v>
      </c>
      <c r="L2884">
        <v>269.00830000000002</v>
      </c>
      <c r="M2884">
        <v>-0.45290140000000001</v>
      </c>
      <c r="N2884">
        <v>0</v>
      </c>
      <c r="O2884">
        <v>-0.89147089999999996</v>
      </c>
      <c r="P2884">
        <v>-0.43872450000000002</v>
      </c>
      <c r="Q2884">
        <v>-3.6645949999999997E-2</v>
      </c>
      <c r="R2884">
        <v>-0.89787419999999996</v>
      </c>
      <c r="S2884">
        <v>-1.7186889999999999</v>
      </c>
      <c r="T2884">
        <v>-0.7814875</v>
      </c>
      <c r="U2884">
        <v>-2.468445</v>
      </c>
      <c r="V2884">
        <v>-1.5464759999999999E-2</v>
      </c>
      <c r="W2884">
        <v>-2.404974E-2</v>
      </c>
      <c r="X2884">
        <v>0.99959109999999995</v>
      </c>
      <c r="Y2884">
        <v>0.1202546</v>
      </c>
      <c r="Z2884">
        <v>0.23194529999999999</v>
      </c>
      <c r="AA2884">
        <v>0.96526690000000004</v>
      </c>
      <c r="AB2884">
        <v>11</v>
      </c>
      <c r="AC2884">
        <v>-0.36770000000001302</v>
      </c>
      <c r="AD2884">
        <v>-0.17787149999999899</v>
      </c>
      <c r="AE2884">
        <v>-0.51060000000001005</v>
      </c>
      <c r="AF2884">
        <v>8.9405571121054295E-2</v>
      </c>
      <c r="AG2884">
        <v>-0.17787149999999899</v>
      </c>
      <c r="AH2884">
        <v>0.57575693295388297</v>
      </c>
      <c r="AI2884">
        <v>106.97619443913101</v>
      </c>
      <c r="AJ2884">
        <v>81.1734035451137</v>
      </c>
      <c r="AK2884">
        <v>0.60920248891825302</v>
      </c>
      <c r="AL2884">
        <v>91.378081524812799</v>
      </c>
      <c r="AM2884">
        <v>90.886357226215097</v>
      </c>
      <c r="AN2884">
        <v>0.99999995799756602</v>
      </c>
    </row>
    <row r="2885" spans="1:40" x14ac:dyDescent="0.25">
      <c r="A2885" t="str">
        <f>"20190312154311210"</f>
        <v>20190312154311210</v>
      </c>
      <c r="B2885" t="str">
        <f>"1552376591200130"</f>
        <v>1552376591200130</v>
      </c>
      <c r="C2885" t="s">
        <v>40</v>
      </c>
      <c r="D2885">
        <v>4.574579</v>
      </c>
      <c r="E2885">
        <v>0.534645699999999</v>
      </c>
      <c r="F2885" t="s">
        <v>41</v>
      </c>
      <c r="G2885">
        <v>-489.97410000000002</v>
      </c>
      <c r="H2885">
        <v>0.92375469999999904</v>
      </c>
      <c r="I2885">
        <v>268.41340000000002</v>
      </c>
      <c r="J2885">
        <v>-489.58679999999998</v>
      </c>
      <c r="K2885">
        <v>1.111702</v>
      </c>
      <c r="L2885">
        <v>268.95339999999999</v>
      </c>
      <c r="M2885">
        <v>-0.4510207</v>
      </c>
      <c r="N2885">
        <v>0</v>
      </c>
      <c r="O2885">
        <v>-0.89242440000000001</v>
      </c>
      <c r="P2885">
        <v>-0.4368321</v>
      </c>
      <c r="Q2885">
        <v>-3.7124200000000003E-2</v>
      </c>
      <c r="R2885">
        <v>-0.89877689999999999</v>
      </c>
      <c r="S2885">
        <v>-1.713287</v>
      </c>
      <c r="T2885">
        <v>-0.78145540000000002</v>
      </c>
      <c r="U2885">
        <v>-2.4721679999999999</v>
      </c>
      <c r="V2885">
        <v>-1.5451700000000001E-2</v>
      </c>
      <c r="W2885">
        <v>-2.4565110000000001E-2</v>
      </c>
      <c r="X2885">
        <v>0.99957879999999999</v>
      </c>
      <c r="Y2885">
        <v>0.12022679999999999</v>
      </c>
      <c r="Z2885">
        <v>0.2321415</v>
      </c>
      <c r="AA2885">
        <v>0.96522319999999995</v>
      </c>
      <c r="AB2885">
        <v>11</v>
      </c>
      <c r="AC2885">
        <v>-0.387300000000038</v>
      </c>
      <c r="AD2885">
        <v>-0.18794730000000001</v>
      </c>
      <c r="AE2885">
        <v>-0.53999999999996295</v>
      </c>
      <c r="AF2885">
        <v>9.4531248118361499E-2</v>
      </c>
      <c r="AG2885">
        <v>-0.18794730000000001</v>
      </c>
      <c r="AH2885">
        <v>0.60800656979442502</v>
      </c>
      <c r="AI2885">
        <v>106.985327981081</v>
      </c>
      <c r="AJ2885">
        <v>81.162560672736305</v>
      </c>
      <c r="AK2885">
        <v>0.64337573264872805</v>
      </c>
      <c r="AL2885">
        <v>91.407618736620407</v>
      </c>
      <c r="AM2885">
        <v>90.885619712063502</v>
      </c>
      <c r="AN2885">
        <v>0.99999998853582095</v>
      </c>
    </row>
    <row r="2886" spans="1:40" x14ac:dyDescent="0.25">
      <c r="A2886" t="str">
        <f>"20190312154311221"</f>
        <v>20190312154311221</v>
      </c>
      <c r="B2886" t="str">
        <f>"1552376591210864"</f>
        <v>1552376591210864</v>
      </c>
      <c r="C2886" t="s">
        <v>40</v>
      </c>
      <c r="D2886">
        <v>4.5571760000000001</v>
      </c>
      <c r="E2886">
        <v>0.53322799999999904</v>
      </c>
      <c r="F2886" t="s">
        <v>41</v>
      </c>
      <c r="G2886">
        <v>-489.97050000000002</v>
      </c>
      <c r="H2886">
        <v>0.91640160000000004</v>
      </c>
      <c r="I2886">
        <v>268.30459999999999</v>
      </c>
      <c r="J2886">
        <v>-489.60989999999998</v>
      </c>
      <c r="K2886">
        <v>1.1116969999999999</v>
      </c>
      <c r="L2886">
        <v>268.90269999999998</v>
      </c>
      <c r="M2886">
        <v>-0.44926500000000003</v>
      </c>
      <c r="N2886">
        <v>0</v>
      </c>
      <c r="O2886">
        <v>-0.89331039999999995</v>
      </c>
      <c r="P2886">
        <v>-0.4347434</v>
      </c>
      <c r="Q2886">
        <v>-3.7350729999999999E-2</v>
      </c>
      <c r="R2886">
        <v>-0.89977969999999896</v>
      </c>
      <c r="S2886">
        <v>-1.5182500000000001</v>
      </c>
      <c r="T2886">
        <v>-0.77309939999999999</v>
      </c>
      <c r="U2886">
        <v>-2.5680239999999999</v>
      </c>
      <c r="V2886">
        <v>-1.5801920000000001E-2</v>
      </c>
      <c r="W2886">
        <v>-2.4835650000000001E-2</v>
      </c>
      <c r="X2886">
        <v>0.99956670000000003</v>
      </c>
      <c r="Y2886">
        <v>5.2878149999999999E-2</v>
      </c>
      <c r="Z2886">
        <v>0.22788159999999999</v>
      </c>
      <c r="AA2886">
        <v>0.97225200000000001</v>
      </c>
      <c r="AB2886">
        <v>11</v>
      </c>
      <c r="AC2886">
        <v>-0.36060000000003301</v>
      </c>
      <c r="AD2886">
        <v>-0.19529540000000001</v>
      </c>
      <c r="AE2886">
        <v>-0.59809999999998797</v>
      </c>
      <c r="AF2886">
        <v>4.9551814923561498E-2</v>
      </c>
      <c r="AG2886">
        <v>-0.19529540000000001</v>
      </c>
      <c r="AH2886">
        <v>0.64584649354633406</v>
      </c>
      <c r="AI2886">
        <v>106.778091568535</v>
      </c>
      <c r="AJ2886">
        <v>85.612643818382395</v>
      </c>
      <c r="AK2886">
        <v>0.67654517132965697</v>
      </c>
      <c r="AL2886">
        <v>91.423124181767193</v>
      </c>
      <c r="AM2886">
        <v>90.905700351849703</v>
      </c>
      <c r="AN2886">
        <v>1.0000000489677401</v>
      </c>
    </row>
    <row r="2887" spans="1:40" x14ac:dyDescent="0.25">
      <c r="A2887" t="str">
        <f>"20190312154311232"</f>
        <v>20190312154311232</v>
      </c>
      <c r="B2887" t="str">
        <f>"1552376591220624"</f>
        <v>1552376591220624</v>
      </c>
      <c r="C2887" t="s">
        <v>40</v>
      </c>
      <c r="D2887">
        <v>4.5561740000000004</v>
      </c>
      <c r="E2887">
        <v>0.53268549999999903</v>
      </c>
      <c r="F2887" t="s">
        <v>41</v>
      </c>
      <c r="G2887">
        <v>-489.96480000000003</v>
      </c>
      <c r="H2887">
        <v>0.92942449999999999</v>
      </c>
      <c r="I2887">
        <v>268.2944</v>
      </c>
      <c r="J2887">
        <v>-489.63159999999999</v>
      </c>
      <c r="K2887">
        <v>1.111694</v>
      </c>
      <c r="L2887">
        <v>268.85469999999998</v>
      </c>
      <c r="M2887">
        <v>-0.44759379999999999</v>
      </c>
      <c r="N2887">
        <v>0</v>
      </c>
      <c r="O2887">
        <v>-0.89414950000000004</v>
      </c>
      <c r="P2887">
        <v>-0.4328842</v>
      </c>
      <c r="Q2887">
        <v>-3.7721879999999999E-2</v>
      </c>
      <c r="R2887">
        <v>-0.90066029999999997</v>
      </c>
      <c r="S2887">
        <v>-1.502777</v>
      </c>
      <c r="T2887">
        <v>-0.77201889999999995</v>
      </c>
      <c r="U2887">
        <v>-2.5760190000000001</v>
      </c>
      <c r="V2887">
        <v>-1.5988120000000001E-2</v>
      </c>
      <c r="W2887">
        <v>-2.5252380000000001E-2</v>
      </c>
      <c r="X2887">
        <v>0.99955329999999998</v>
      </c>
      <c r="Y2887">
        <v>4.9120980000000002E-2</v>
      </c>
      <c r="Z2887">
        <v>0.227628</v>
      </c>
      <c r="AA2887">
        <v>0.97250840000000005</v>
      </c>
      <c r="AB2887">
        <v>11</v>
      </c>
      <c r="AC2887">
        <v>-0.33320000000003303</v>
      </c>
      <c r="AD2887">
        <v>-0.182269499999999</v>
      </c>
      <c r="AE2887">
        <v>-0.56029999999998303</v>
      </c>
      <c r="AF2887">
        <v>4.3728882066845103E-2</v>
      </c>
      <c r="AG2887">
        <v>-0.182269499999999</v>
      </c>
      <c r="AH2887">
        <v>0.60303716071059599</v>
      </c>
      <c r="AI2887">
        <v>106.776008838118</v>
      </c>
      <c r="AJ2887">
        <v>85.852490034610398</v>
      </c>
      <c r="AK2887">
        <v>0.63149679568067796</v>
      </c>
      <c r="AL2887">
        <v>91.447008539210501</v>
      </c>
      <c r="AM2887">
        <v>90.916383035146495</v>
      </c>
      <c r="AN2887">
        <v>1.00000005110884</v>
      </c>
    </row>
    <row r="2888" spans="1:40" x14ac:dyDescent="0.25">
      <c r="A2888" t="str">
        <f>"20190312154311243"</f>
        <v>20190312154311243</v>
      </c>
      <c r="B2888" t="str">
        <f>"1552376591230384"</f>
        <v>1552376591230384</v>
      </c>
      <c r="C2888" t="s">
        <v>40</v>
      </c>
      <c r="D2888">
        <v>4.5839639999999999</v>
      </c>
      <c r="E2888">
        <v>0.5328273</v>
      </c>
      <c r="F2888" t="s">
        <v>41</v>
      </c>
      <c r="G2888">
        <v>-490.0059</v>
      </c>
      <c r="H2888">
        <v>0.91986440000000003</v>
      </c>
      <c r="I2888">
        <v>268.20870000000002</v>
      </c>
      <c r="J2888">
        <v>-489.65339999999998</v>
      </c>
      <c r="K2888">
        <v>1.1116919999999999</v>
      </c>
      <c r="L2888">
        <v>268.80630000000002</v>
      </c>
      <c r="M2888">
        <v>-0.44589380000000001</v>
      </c>
      <c r="N2888">
        <v>0</v>
      </c>
      <c r="O2888">
        <v>-0.89499899999999999</v>
      </c>
      <c r="P2888">
        <v>-0.43113309999999999</v>
      </c>
      <c r="Q2888">
        <v>-3.799872E-2</v>
      </c>
      <c r="R2888">
        <v>-0.90148790000000001</v>
      </c>
      <c r="S2888">
        <v>-1.4935909999999999</v>
      </c>
      <c r="T2888">
        <v>-0.76741400000000004</v>
      </c>
      <c r="U2888">
        <v>-2.5809329999999999</v>
      </c>
      <c r="V2888">
        <v>-1.6024210000000001E-2</v>
      </c>
      <c r="W2888">
        <v>-2.5580450000000001E-2</v>
      </c>
      <c r="X2888">
        <v>0.99954430000000005</v>
      </c>
      <c r="Y2888">
        <v>4.7785170000000002E-2</v>
      </c>
      <c r="Z2888">
        <v>0.22649279999999999</v>
      </c>
      <c r="AA2888">
        <v>0.97284000000000004</v>
      </c>
      <c r="AB2888">
        <v>11</v>
      </c>
      <c r="AC2888">
        <v>-0.35250000000002002</v>
      </c>
      <c r="AD2888">
        <v>-0.19182759999999899</v>
      </c>
      <c r="AE2888">
        <v>-0.59759999999999902</v>
      </c>
      <c r="AF2888">
        <v>4.5543394212333402E-2</v>
      </c>
      <c r="AG2888">
        <v>-0.19182759999999899</v>
      </c>
      <c r="AH2888">
        <v>0.64293547524577999</v>
      </c>
      <c r="AI2888">
        <v>106.573867003237</v>
      </c>
      <c r="AJ2888">
        <v>85.948127170373198</v>
      </c>
      <c r="AK2888">
        <v>0.67248647139377904</v>
      </c>
      <c r="AL2888">
        <v>91.465811756209604</v>
      </c>
      <c r="AM2888">
        <v>90.918459502002506</v>
      </c>
      <c r="AN2888">
        <v>0.99999997119540796</v>
      </c>
    </row>
    <row r="2889" spans="1:40" x14ac:dyDescent="0.25">
      <c r="A2889" t="str">
        <f>"20190312154311254"</f>
        <v>20190312154311254</v>
      </c>
      <c r="B2889" t="str">
        <f>"1552376591240145"</f>
        <v>1552376591240145</v>
      </c>
      <c r="C2889" t="s">
        <v>40</v>
      </c>
      <c r="D2889">
        <v>4.5975349999999997</v>
      </c>
      <c r="E2889">
        <v>0.53317490000000001</v>
      </c>
      <c r="F2889" t="s">
        <v>41</v>
      </c>
      <c r="G2889">
        <v>-490.00290000000001</v>
      </c>
      <c r="H2889">
        <v>0.93126030000000004</v>
      </c>
      <c r="I2889">
        <v>268.20080000000002</v>
      </c>
      <c r="J2889">
        <v>-489.6764</v>
      </c>
      <c r="K2889">
        <v>1.111688</v>
      </c>
      <c r="L2889">
        <v>268.75490000000002</v>
      </c>
      <c r="M2889">
        <v>-0.4440791</v>
      </c>
      <c r="N2889">
        <v>0</v>
      </c>
      <c r="O2889">
        <v>-0.89590170000000002</v>
      </c>
      <c r="P2889">
        <v>-0.4290291</v>
      </c>
      <c r="Q2889">
        <v>-3.8191070000000001E-2</v>
      </c>
      <c r="R2889">
        <v>-0.90248320000000004</v>
      </c>
      <c r="S2889">
        <v>-1.4893799999999999</v>
      </c>
      <c r="T2889">
        <v>-0.77099490000000004</v>
      </c>
      <c r="U2889">
        <v>-2.5830690000000001</v>
      </c>
      <c r="V2889">
        <v>-1.6324370000000001E-2</v>
      </c>
      <c r="W2889">
        <v>-2.58328E-2</v>
      </c>
      <c r="X2889">
        <v>0.999533</v>
      </c>
      <c r="Y2889">
        <v>4.8122270000000002E-2</v>
      </c>
      <c r="Z2889">
        <v>0.22773769999999999</v>
      </c>
      <c r="AA2889">
        <v>0.97253270000000003</v>
      </c>
      <c r="AB2889">
        <v>11</v>
      </c>
      <c r="AC2889">
        <v>-0.32650000000001</v>
      </c>
      <c r="AD2889">
        <v>-0.180427699999999</v>
      </c>
      <c r="AE2889">
        <v>-0.55410000000000503</v>
      </c>
      <c r="AF2889">
        <v>4.3062101677420701E-2</v>
      </c>
      <c r="AG2889">
        <v>-0.180427699999999</v>
      </c>
      <c r="AH2889">
        <v>0.59465847225990298</v>
      </c>
      <c r="AI2889">
        <v>106.836947152398</v>
      </c>
      <c r="AJ2889">
        <v>85.858164659001304</v>
      </c>
      <c r="AK2889">
        <v>0.62291829171942703</v>
      </c>
      <c r="AL2889">
        <v>91.480275056515495</v>
      </c>
      <c r="AM2889">
        <v>90.935671315654702</v>
      </c>
      <c r="AN2889">
        <v>1.0000000183503599</v>
      </c>
    </row>
    <row r="2890" spans="1:40" x14ac:dyDescent="0.25">
      <c r="A2890" t="str">
        <f>"20190312154311267"</f>
        <v>20190312154311267</v>
      </c>
      <c r="B2890" t="str">
        <f>"1552376591260641"</f>
        <v>1552376591260641</v>
      </c>
      <c r="C2890" t="s">
        <v>40</v>
      </c>
      <c r="D2890">
        <v>4.6116999999999999</v>
      </c>
      <c r="E2890">
        <v>0.53356910000000002</v>
      </c>
      <c r="F2890" t="s">
        <v>41</v>
      </c>
      <c r="G2890">
        <v>-490.04410000000001</v>
      </c>
      <c r="H2890">
        <v>0.92075419999999997</v>
      </c>
      <c r="I2890">
        <v>268.11559999999997</v>
      </c>
      <c r="J2890">
        <v>-489.70209999999997</v>
      </c>
      <c r="K2890">
        <v>1.1116790000000001</v>
      </c>
      <c r="L2890">
        <v>268.6968</v>
      </c>
      <c r="M2890">
        <v>-0.44201560000000001</v>
      </c>
      <c r="N2890">
        <v>0</v>
      </c>
      <c r="O2890">
        <v>-0.89692240000000001</v>
      </c>
      <c r="P2890">
        <v>-0.42691869999999998</v>
      </c>
      <c r="Q2890">
        <v>-3.7884380000000002E-2</v>
      </c>
      <c r="R2890">
        <v>-0.90349619999999997</v>
      </c>
      <c r="S2890">
        <v>-1.4857479999999901</v>
      </c>
      <c r="T2890">
        <v>-0.77283979999999997</v>
      </c>
      <c r="U2890">
        <v>-2.585175</v>
      </c>
      <c r="V2890">
        <v>-1.6364980000000001E-2</v>
      </c>
      <c r="W2890">
        <v>-2.559678E-2</v>
      </c>
      <c r="X2890">
        <v>0.99953840000000005</v>
      </c>
      <c r="Y2890">
        <v>4.8963920000000001E-2</v>
      </c>
      <c r="Z2890">
        <v>0.22853589999999999</v>
      </c>
      <c r="AA2890">
        <v>0.97230340000000004</v>
      </c>
      <c r="AB2890">
        <v>11</v>
      </c>
      <c r="AC2890">
        <v>-0.34200000000004099</v>
      </c>
      <c r="AD2890">
        <v>-0.19092480000000001</v>
      </c>
      <c r="AE2890">
        <v>-0.58120000000002303</v>
      </c>
      <c r="AF2890">
        <v>4.6152331774563397E-2</v>
      </c>
      <c r="AG2890">
        <v>-0.19092480000000001</v>
      </c>
      <c r="AH2890">
        <v>0.62260531967585997</v>
      </c>
      <c r="AI2890">
        <v>107.004447272082</v>
      </c>
      <c r="AJ2890">
        <v>85.760546565134504</v>
      </c>
      <c r="AK2890">
        <v>0.65285503832929703</v>
      </c>
      <c r="AL2890">
        <v>91.466747645275007</v>
      </c>
      <c r="AM2890">
        <v>90.937993495447898</v>
      </c>
      <c r="AN2890">
        <v>1.0000000103956601</v>
      </c>
    </row>
    <row r="2891" spans="1:40" x14ac:dyDescent="0.25">
      <c r="A2891" t="str">
        <f>"20190312154311280"</f>
        <v>20190312154311280</v>
      </c>
      <c r="B2891" t="str">
        <f>"1552376591270400"</f>
        <v>1552376591270400</v>
      </c>
      <c r="C2891" t="s">
        <v>40</v>
      </c>
      <c r="D2891">
        <v>4.6308550000000004</v>
      </c>
      <c r="E2891">
        <v>0.53367290000000001</v>
      </c>
      <c r="F2891" t="s">
        <v>41</v>
      </c>
      <c r="G2891">
        <v>-490.041</v>
      </c>
      <c r="H2891">
        <v>0.93545420000000001</v>
      </c>
      <c r="I2891">
        <v>268.10599999999999</v>
      </c>
      <c r="J2891">
        <v>-489.72649999999999</v>
      </c>
      <c r="K2891">
        <v>1.111677</v>
      </c>
      <c r="L2891">
        <v>268.64159999999998</v>
      </c>
      <c r="M2891">
        <v>-0.44003209999999998</v>
      </c>
      <c r="N2891">
        <v>0</v>
      </c>
      <c r="O2891">
        <v>-0.89789839999999999</v>
      </c>
      <c r="P2891">
        <v>-0.42487279999999999</v>
      </c>
      <c r="Q2891">
        <v>-3.8294019999999998E-2</v>
      </c>
      <c r="R2891">
        <v>-0.90444310000000006</v>
      </c>
      <c r="S2891">
        <v>-1.482605</v>
      </c>
      <c r="T2891">
        <v>-0.77250699999999894</v>
      </c>
      <c r="U2891">
        <v>-2.587494</v>
      </c>
      <c r="V2891">
        <v>-1.6407669999999999E-2</v>
      </c>
      <c r="W2891">
        <v>-2.6079350000000001E-2</v>
      </c>
      <c r="X2891">
        <v>0.9995252</v>
      </c>
      <c r="Y2891">
        <v>4.9901569999999999E-2</v>
      </c>
      <c r="Z2891">
        <v>0.22869</v>
      </c>
      <c r="AA2891">
        <v>0.97221950000000001</v>
      </c>
      <c r="AB2891">
        <v>11</v>
      </c>
      <c r="AC2891">
        <v>-0.31450000000000899</v>
      </c>
      <c r="AD2891">
        <v>-0.17622280000000001</v>
      </c>
      <c r="AE2891">
        <v>-0.53559999999998797</v>
      </c>
      <c r="AF2891">
        <v>4.3231311681462499E-2</v>
      </c>
      <c r="AG2891">
        <v>-0.17622280000000001</v>
      </c>
      <c r="AH2891">
        <v>0.57320862809047501</v>
      </c>
      <c r="AI2891">
        <v>107.043526817439</v>
      </c>
      <c r="AJ2891">
        <v>85.686926053176805</v>
      </c>
      <c r="AK2891">
        <v>0.60124167592317201</v>
      </c>
      <c r="AL2891">
        <v>91.494406141872503</v>
      </c>
      <c r="AM2891">
        <v>90.940452341821697</v>
      </c>
      <c r="AN2891">
        <v>0.999999984783145</v>
      </c>
    </row>
    <row r="2892" spans="1:40" x14ac:dyDescent="0.25">
      <c r="A2892" t="str">
        <f>"20190312154311292"</f>
        <v>20190312154311292</v>
      </c>
      <c r="B2892" t="str">
        <f>"1552376591280161"</f>
        <v>1552376591280161</v>
      </c>
      <c r="C2892" t="s">
        <v>40</v>
      </c>
      <c r="D2892">
        <v>4.7821920000000002</v>
      </c>
      <c r="E2892">
        <v>0.53367290000000001</v>
      </c>
      <c r="F2892" t="s">
        <v>41</v>
      </c>
      <c r="G2892">
        <v>-490.08139999999997</v>
      </c>
      <c r="H2892">
        <v>0.92604759999999997</v>
      </c>
      <c r="I2892">
        <v>268.0197</v>
      </c>
      <c r="J2892">
        <v>-489.75369999999998</v>
      </c>
      <c r="K2892">
        <v>1.1116740000000001</v>
      </c>
      <c r="L2892">
        <v>268.57960000000003</v>
      </c>
      <c r="M2892">
        <v>-0.43779020000000002</v>
      </c>
      <c r="N2892">
        <v>0</v>
      </c>
      <c r="O2892">
        <v>-0.89899459999999998</v>
      </c>
      <c r="P2892">
        <v>-0.42247849999999998</v>
      </c>
      <c r="Q2892">
        <v>-3.8091270000000003E-2</v>
      </c>
      <c r="R2892">
        <v>-0.90557240000000006</v>
      </c>
      <c r="S2892">
        <v>-1.4771729999999901</v>
      </c>
      <c r="T2892">
        <v>-0.77412150000000002</v>
      </c>
      <c r="U2892">
        <v>-2.5902400000000001</v>
      </c>
      <c r="V2892">
        <v>-1.6560709999999999E-2</v>
      </c>
      <c r="W2892">
        <v>-2.596095E-2</v>
      </c>
      <c r="X2892">
        <v>0.99952580000000002</v>
      </c>
      <c r="Y2892">
        <v>5.033062E-2</v>
      </c>
      <c r="Z2892">
        <v>0.22944200000000001</v>
      </c>
      <c r="AA2892">
        <v>0.97202010000000005</v>
      </c>
      <c r="AB2892">
        <v>11</v>
      </c>
      <c r="AC2892">
        <v>-0.327699999999993</v>
      </c>
      <c r="AD2892">
        <v>-0.1856264</v>
      </c>
      <c r="AE2892">
        <v>-0.55990000000002704</v>
      </c>
      <c r="AF2892">
        <v>4.57406710727098E-2</v>
      </c>
      <c r="AG2892">
        <v>-0.1856264</v>
      </c>
      <c r="AH2892">
        <v>0.59790806520732998</v>
      </c>
      <c r="AI2892">
        <v>107.200185927025</v>
      </c>
      <c r="AJ2892">
        <v>85.625326276262797</v>
      </c>
      <c r="AK2892">
        <v>0.62772878204453397</v>
      </c>
      <c r="AL2892">
        <v>91.487619961814403</v>
      </c>
      <c r="AM2892">
        <v>90.949222098072795</v>
      </c>
      <c r="AN2892">
        <v>1.0000000264531199</v>
      </c>
    </row>
    <row r="2893" spans="1:40" x14ac:dyDescent="0.25">
      <c r="A2893" t="str">
        <f>"20190312154311311"</f>
        <v>20190312154311311</v>
      </c>
      <c r="B2893" t="str">
        <f>"1552376591300657"</f>
        <v>1552376591300657</v>
      </c>
      <c r="C2893" t="s">
        <v>40</v>
      </c>
      <c r="D2893">
        <v>4.6380480000000004</v>
      </c>
      <c r="E2893">
        <v>0.53419869999999903</v>
      </c>
      <c r="F2893" t="s">
        <v>41</v>
      </c>
      <c r="G2893">
        <v>-490.12099999999998</v>
      </c>
      <c r="H2893">
        <v>0.91865770000000002</v>
      </c>
      <c r="I2893">
        <v>267.9316</v>
      </c>
      <c r="J2893">
        <v>-489.79020000000003</v>
      </c>
      <c r="K2893">
        <v>1.1116729999999999</v>
      </c>
      <c r="L2893">
        <v>268.49549999999999</v>
      </c>
      <c r="M2893">
        <v>-0.43472759999999999</v>
      </c>
      <c r="N2893">
        <v>0</v>
      </c>
      <c r="O2893">
        <v>-0.90048119999999998</v>
      </c>
      <c r="P2893">
        <v>-0.41931180000000001</v>
      </c>
      <c r="Q2893">
        <v>-3.7824570000000002E-2</v>
      </c>
      <c r="R2893">
        <v>-0.90705409999999997</v>
      </c>
      <c r="S2893">
        <v>-1.470215</v>
      </c>
      <c r="T2893">
        <v>-0.77359029999999995</v>
      </c>
      <c r="U2893">
        <v>-2.5944210000000001</v>
      </c>
      <c r="V2893">
        <v>-1.6654680000000002E-2</v>
      </c>
      <c r="W2893">
        <v>-2.5813030000000001E-2</v>
      </c>
      <c r="X2893">
        <v>0.99952810000000003</v>
      </c>
      <c r="Y2893">
        <v>5.1078890000000002E-2</v>
      </c>
      <c r="Z2893">
        <v>0.2296656</v>
      </c>
      <c r="AA2893">
        <v>0.97192829999999997</v>
      </c>
      <c r="AB2893">
        <v>11</v>
      </c>
      <c r="AC2893">
        <v>-0.33079999999995302</v>
      </c>
      <c r="AD2893">
        <v>-0.193015299999999</v>
      </c>
      <c r="AE2893">
        <v>-0.56389999999998897</v>
      </c>
      <c r="AF2893">
        <v>4.8511657130308201E-2</v>
      </c>
      <c r="AG2893">
        <v>-0.193015299999999</v>
      </c>
      <c r="AH2893">
        <v>0.59939133653340604</v>
      </c>
      <c r="AI2893">
        <v>107.795035733061</v>
      </c>
      <c r="AJ2893">
        <v>85.372859498377196</v>
      </c>
      <c r="AK2893">
        <v>0.63156809705915395</v>
      </c>
      <c r="AL2893">
        <v>91.479141884253295</v>
      </c>
      <c r="AM2893">
        <v>90.954605053868704</v>
      </c>
      <c r="AN2893">
        <v>1.0000000567866401</v>
      </c>
    </row>
    <row r="2894" spans="1:40" x14ac:dyDescent="0.25">
      <c r="A2894" t="str">
        <f>"20190312154311325"</f>
        <v>20190312154311325</v>
      </c>
      <c r="B2894" t="str">
        <f>"1552376591310418"</f>
        <v>1552376591310418</v>
      </c>
      <c r="C2894" t="s">
        <v>40</v>
      </c>
      <c r="D2894">
        <v>4.6575680000000004</v>
      </c>
      <c r="E2894">
        <v>0.53418540000000003</v>
      </c>
      <c r="F2894" t="s">
        <v>41</v>
      </c>
      <c r="G2894">
        <v>-490.1601</v>
      </c>
      <c r="H2894">
        <v>0.91756749999999998</v>
      </c>
      <c r="I2894">
        <v>267.83980000000003</v>
      </c>
      <c r="J2894">
        <v>-489.8184</v>
      </c>
      <c r="K2894">
        <v>1.111672</v>
      </c>
      <c r="L2894">
        <v>268.42989999999998</v>
      </c>
      <c r="M2894">
        <v>-0.4323149</v>
      </c>
      <c r="N2894">
        <v>0</v>
      </c>
      <c r="O2894">
        <v>-0.90164310000000003</v>
      </c>
      <c r="P2894">
        <v>-0.41669119999999998</v>
      </c>
      <c r="Q2894">
        <v>-3.7569709999999999E-2</v>
      </c>
      <c r="R2894">
        <v>-0.9082713</v>
      </c>
      <c r="S2894">
        <v>-1.4650570000000001</v>
      </c>
      <c r="T2894">
        <v>-0.76937029999999995</v>
      </c>
      <c r="U2894">
        <v>-2.5980219999999998</v>
      </c>
      <c r="V2894">
        <v>-1.686731E-2</v>
      </c>
      <c r="W2894">
        <v>-2.5653260000000001E-2</v>
      </c>
      <c r="X2894">
        <v>0.99952859999999999</v>
      </c>
      <c r="Y2894">
        <v>5.1848180000000001E-2</v>
      </c>
      <c r="Z2894">
        <v>0.22875010000000001</v>
      </c>
      <c r="AA2894">
        <v>0.97210350000000001</v>
      </c>
      <c r="AB2894">
        <v>11</v>
      </c>
      <c r="AC2894">
        <v>-0.341700000000003</v>
      </c>
      <c r="AD2894">
        <v>-0.19410450000000001</v>
      </c>
      <c r="AE2894">
        <v>-0.590099999999949</v>
      </c>
      <c r="AF2894">
        <v>4.90146276108522E-2</v>
      </c>
      <c r="AG2894">
        <v>-0.19410450000000001</v>
      </c>
      <c r="AH2894">
        <v>0.62887347750363698</v>
      </c>
      <c r="AI2894">
        <v>107.104233541867</v>
      </c>
      <c r="AJ2894">
        <v>85.543355788526796</v>
      </c>
      <c r="AK2894">
        <v>0.65997033368750602</v>
      </c>
      <c r="AL2894">
        <v>91.469984775828806</v>
      </c>
      <c r="AM2894">
        <v>90.966789697255393</v>
      </c>
      <c r="AN2894">
        <v>1.0000000090566099</v>
      </c>
    </row>
    <row r="2895" spans="1:40" x14ac:dyDescent="0.25">
      <c r="A2895" t="str">
        <f>"20190312154311343"</f>
        <v>20190312154311343</v>
      </c>
      <c r="B2895" t="str">
        <f>"1552376591330914"</f>
        <v>1552376591330914</v>
      </c>
      <c r="C2895" t="s">
        <v>40</v>
      </c>
      <c r="D2895">
        <v>4.6679240000000002</v>
      </c>
      <c r="E2895">
        <v>0.53417950000000003</v>
      </c>
      <c r="F2895" t="s">
        <v>41</v>
      </c>
      <c r="G2895">
        <v>-490.15550000000002</v>
      </c>
      <c r="H2895">
        <v>0.93405289999999996</v>
      </c>
      <c r="I2895">
        <v>267.82839999999999</v>
      </c>
      <c r="J2895">
        <v>-489.85419999999999</v>
      </c>
      <c r="K2895">
        <v>1.1116740000000001</v>
      </c>
      <c r="L2895">
        <v>268.3458</v>
      </c>
      <c r="M2895">
        <v>-0.4292011</v>
      </c>
      <c r="N2895">
        <v>0</v>
      </c>
      <c r="O2895">
        <v>-0.90313120000000002</v>
      </c>
      <c r="P2895">
        <v>-0.4133694</v>
      </c>
      <c r="Q2895">
        <v>-3.775978E-2</v>
      </c>
      <c r="R2895">
        <v>-0.90978040000000004</v>
      </c>
      <c r="S2895">
        <v>-1.457886</v>
      </c>
      <c r="T2895">
        <v>-0.76890899999999995</v>
      </c>
      <c r="U2895">
        <v>-2.602325</v>
      </c>
      <c r="V2895">
        <v>-1.7065440000000001E-2</v>
      </c>
      <c r="W2895">
        <v>-2.5964370000000001E-2</v>
      </c>
      <c r="X2895">
        <v>0.99951719999999999</v>
      </c>
      <c r="Y2895">
        <v>5.2562089999999999E-2</v>
      </c>
      <c r="Z2895">
        <v>0.22898460000000001</v>
      </c>
      <c r="AA2895">
        <v>0.97200989999999998</v>
      </c>
      <c r="AB2895">
        <v>11</v>
      </c>
      <c r="AC2895">
        <v>-0.30130000000002599</v>
      </c>
      <c r="AD2895">
        <v>-0.177621099999999</v>
      </c>
      <c r="AE2895">
        <v>-0.51740000000000896</v>
      </c>
      <c r="AF2895">
        <v>4.5999962838597697E-2</v>
      </c>
      <c r="AG2895">
        <v>-0.177621099999999</v>
      </c>
      <c r="AH2895">
        <v>0.54837891722413201</v>
      </c>
      <c r="AI2895">
        <v>107.888447486933</v>
      </c>
      <c r="AJ2895">
        <v>85.205052835949999</v>
      </c>
      <c r="AK2895">
        <v>0.57826005274640302</v>
      </c>
      <c r="AL2895">
        <v>91.487816010744694</v>
      </c>
      <c r="AM2895">
        <v>90.978154946484295</v>
      </c>
      <c r="AN2895">
        <v>1.00000000542386</v>
      </c>
    </row>
    <row r="2896" spans="1:40" x14ac:dyDescent="0.25">
      <c r="A2896" t="str">
        <f>"20190312154311358"</f>
        <v>20190312154311358</v>
      </c>
      <c r="B2896" t="str">
        <f>"1552376591350433"</f>
        <v>1552376591350433</v>
      </c>
      <c r="C2896" t="s">
        <v>40</v>
      </c>
      <c r="D2896">
        <v>4.6957060000000004</v>
      </c>
      <c r="E2896">
        <v>0.53411609999999998</v>
      </c>
      <c r="F2896" t="s">
        <v>41</v>
      </c>
      <c r="G2896">
        <v>-490.19279999999998</v>
      </c>
      <c r="H2896">
        <v>0.93166780000000005</v>
      </c>
      <c r="I2896">
        <v>267.7362</v>
      </c>
      <c r="J2896">
        <v>-489.88150000000002</v>
      </c>
      <c r="K2896">
        <v>1.1116740000000001</v>
      </c>
      <c r="L2896">
        <v>268.28140000000002</v>
      </c>
      <c r="M2896">
        <v>-0.42679620000000001</v>
      </c>
      <c r="N2896">
        <v>0</v>
      </c>
      <c r="O2896">
        <v>-0.90427139999999995</v>
      </c>
      <c r="P2896">
        <v>-0.41054439999999998</v>
      </c>
      <c r="Q2896">
        <v>-3.7688760000000002E-2</v>
      </c>
      <c r="R2896">
        <v>-0.91106160000000003</v>
      </c>
      <c r="S2896">
        <v>-1.448151</v>
      </c>
      <c r="T2896">
        <v>-0.76944279999999998</v>
      </c>
      <c r="U2896">
        <v>-2.6075740000000001</v>
      </c>
      <c r="V2896">
        <v>-1.7506770000000001E-2</v>
      </c>
      <c r="W2896">
        <v>-2.598468E-2</v>
      </c>
      <c r="X2896">
        <v>0.99950899999999998</v>
      </c>
      <c r="Y2896">
        <v>5.1585020000000002E-2</v>
      </c>
      <c r="Z2896">
        <v>0.2293548</v>
      </c>
      <c r="AA2896">
        <v>0.97197500000000003</v>
      </c>
      <c r="AB2896">
        <v>11</v>
      </c>
      <c r="AC2896">
        <v>-0.31129999999996</v>
      </c>
      <c r="AD2896">
        <v>-0.18000620000000001</v>
      </c>
      <c r="AE2896">
        <v>-0.545200000000022</v>
      </c>
      <c r="AF2896">
        <v>4.51057332766596E-2</v>
      </c>
      <c r="AG2896">
        <v>-0.18000620000000001</v>
      </c>
      <c r="AH2896">
        <v>0.57836742266685304</v>
      </c>
      <c r="AI2896">
        <v>107.23856196906701</v>
      </c>
      <c r="AJ2896">
        <v>85.540641475127799</v>
      </c>
      <c r="AK2896">
        <v>0.60740895187275901</v>
      </c>
      <c r="AL2896">
        <v>91.488980139730799</v>
      </c>
      <c r="AM2896">
        <v>91.003454172716602</v>
      </c>
      <c r="AN2896">
        <v>0.999999965835767</v>
      </c>
    </row>
    <row r="2897" spans="1:40" x14ac:dyDescent="0.25">
      <c r="A2897" t="str">
        <f>"20190312154311369"</f>
        <v>20190312154311369</v>
      </c>
      <c r="B2897" t="str">
        <f>"1552376591360193"</f>
        <v>1552376591360193</v>
      </c>
      <c r="C2897" t="s">
        <v>40</v>
      </c>
      <c r="D2897">
        <v>4.6486159999999996</v>
      </c>
      <c r="E2897">
        <v>0.5341186</v>
      </c>
      <c r="F2897" t="s">
        <v>41</v>
      </c>
      <c r="G2897">
        <v>-490.23160000000001</v>
      </c>
      <c r="H2897">
        <v>0.92505879999999996</v>
      </c>
      <c r="I2897">
        <v>267.64679999999998</v>
      </c>
      <c r="J2897">
        <v>-489.90600000000001</v>
      </c>
      <c r="K2897">
        <v>1.1116729999999999</v>
      </c>
      <c r="L2897">
        <v>268.22280000000001</v>
      </c>
      <c r="M2897">
        <v>-0.42460419999999999</v>
      </c>
      <c r="N2897">
        <v>0</v>
      </c>
      <c r="O2897">
        <v>-0.90530370000000004</v>
      </c>
      <c r="P2897">
        <v>-0.4081727</v>
      </c>
      <c r="Q2897">
        <v>-3.7420799999999997E-2</v>
      </c>
      <c r="R2897">
        <v>-0.91213739999999999</v>
      </c>
      <c r="S2897">
        <v>-1.440002</v>
      </c>
      <c r="T2897">
        <v>-0.76965490000000003</v>
      </c>
      <c r="U2897">
        <v>-2.6121219999999998</v>
      </c>
      <c r="V2897">
        <v>-1.768987E-2</v>
      </c>
      <c r="W2897">
        <v>-2.5796820000000002E-2</v>
      </c>
      <c r="X2897">
        <v>0.99951069999999997</v>
      </c>
      <c r="Y2897">
        <v>5.0945699999999997E-2</v>
      </c>
      <c r="Z2897">
        <v>0.2296147</v>
      </c>
      <c r="AA2897">
        <v>0.97194740000000002</v>
      </c>
      <c r="AB2897">
        <v>11</v>
      </c>
      <c r="AC2897">
        <v>-0.32560000000000799</v>
      </c>
      <c r="AD2897">
        <v>-0.18661419999999901</v>
      </c>
      <c r="AE2897">
        <v>-0.57600000000002105</v>
      </c>
      <c r="AF2897">
        <v>4.6499415999839498E-2</v>
      </c>
      <c r="AG2897">
        <v>-0.18661419999999901</v>
      </c>
      <c r="AH2897">
        <v>0.61113713811655002</v>
      </c>
      <c r="AI2897">
        <v>106.93421438541399</v>
      </c>
      <c r="AJ2897">
        <v>85.648935923836007</v>
      </c>
      <c r="AK2897">
        <v>0.64068374172851705</v>
      </c>
      <c r="AL2897">
        <v>91.478212859672198</v>
      </c>
      <c r="AM2897">
        <v>91.013945206454096</v>
      </c>
      <c r="AN2897">
        <v>1.0000000234185999</v>
      </c>
    </row>
    <row r="2898" spans="1:40" x14ac:dyDescent="0.25">
      <c r="A2898" t="str">
        <f>"20190312154311381"</f>
        <v>20190312154311381</v>
      </c>
      <c r="B2898" t="str">
        <f>"1552376591369952"</f>
        <v>1552376591369952</v>
      </c>
      <c r="C2898" t="s">
        <v>40</v>
      </c>
      <c r="D2898">
        <v>4.7242920000000002</v>
      </c>
      <c r="E2898">
        <v>0.53420719999999899</v>
      </c>
      <c r="F2898" t="s">
        <v>41</v>
      </c>
      <c r="G2898">
        <v>-490.27010000000001</v>
      </c>
      <c r="H2898">
        <v>0.91640509999999997</v>
      </c>
      <c r="I2898">
        <v>267.55810000000002</v>
      </c>
      <c r="J2898">
        <v>-489.92829999999998</v>
      </c>
      <c r="K2898">
        <v>1.111672</v>
      </c>
      <c r="L2898">
        <v>268.16919999999999</v>
      </c>
      <c r="M2898">
        <v>-0.42258309999999999</v>
      </c>
      <c r="N2898">
        <v>0</v>
      </c>
      <c r="O2898">
        <v>-0.90624959999999999</v>
      </c>
      <c r="P2898">
        <v>-0.40561599999999998</v>
      </c>
      <c r="Q2898">
        <v>-3.7233099999999998E-2</v>
      </c>
      <c r="R2898">
        <v>-0.91328480000000001</v>
      </c>
      <c r="S2898">
        <v>-1.4331670000000001</v>
      </c>
      <c r="T2898">
        <v>-0.76854319999999998</v>
      </c>
      <c r="U2898">
        <v>-2.6161500000000002</v>
      </c>
      <c r="V2898">
        <v>-1.8262319999999999E-2</v>
      </c>
      <c r="W2898">
        <v>-2.5679629999999998E-2</v>
      </c>
      <c r="X2898">
        <v>0.99950340000000004</v>
      </c>
      <c r="Y2898">
        <v>5.0619730000000002E-2</v>
      </c>
      <c r="Z2898">
        <v>0.2294842</v>
      </c>
      <c r="AA2898">
        <v>0.97199519999999995</v>
      </c>
      <c r="AB2898">
        <v>11</v>
      </c>
      <c r="AC2898">
        <v>-0.34180000000003402</v>
      </c>
      <c r="AD2898">
        <v>-0.19526689999999999</v>
      </c>
      <c r="AE2898">
        <v>-0.61109999999996401</v>
      </c>
      <c r="AF2898">
        <v>4.7801462703078598E-2</v>
      </c>
      <c r="AG2898">
        <v>-0.19526689999999999</v>
      </c>
      <c r="AH2898">
        <v>0.64790645466345698</v>
      </c>
      <c r="AI2898">
        <v>106.72890746315301</v>
      </c>
      <c r="AJ2898">
        <v>85.780457416109797</v>
      </c>
      <c r="AK2898">
        <v>0.67837815123037004</v>
      </c>
      <c r="AL2898">
        <v>91.471496175035995</v>
      </c>
      <c r="AM2898">
        <v>91.046757263501405</v>
      </c>
      <c r="AN2898">
        <v>1.00000000117013</v>
      </c>
    </row>
    <row r="2899" spans="1:40" x14ac:dyDescent="0.25">
      <c r="A2899" t="str">
        <f>"20190312154311393"</f>
        <v>20190312154311393</v>
      </c>
      <c r="B2899" t="str">
        <f>"1552376591380689"</f>
        <v>1552376591380689</v>
      </c>
      <c r="C2899" t="s">
        <v>40</v>
      </c>
      <c r="D2899">
        <v>4.6791929999999997</v>
      </c>
      <c r="E2899">
        <v>0.53431619999999902</v>
      </c>
      <c r="F2899" t="s">
        <v>41</v>
      </c>
      <c r="G2899">
        <v>-490.26589999999999</v>
      </c>
      <c r="H2899">
        <v>0.92961340000000003</v>
      </c>
      <c r="I2899">
        <v>267.5489</v>
      </c>
      <c r="J2899">
        <v>-489.95030000000003</v>
      </c>
      <c r="K2899">
        <v>1.111675</v>
      </c>
      <c r="L2899">
        <v>268.11579999999998</v>
      </c>
      <c r="M2899">
        <v>-0.42056300000000002</v>
      </c>
      <c r="N2899">
        <v>0</v>
      </c>
      <c r="O2899">
        <v>-0.90718969999999999</v>
      </c>
      <c r="P2899">
        <v>-0.40322550000000001</v>
      </c>
      <c r="Q2899">
        <v>-3.6851660000000001E-2</v>
      </c>
      <c r="R2899">
        <v>-0.91435840000000002</v>
      </c>
      <c r="S2899">
        <v>-1.426239</v>
      </c>
      <c r="T2899">
        <v>-0.76900389999999996</v>
      </c>
      <c r="U2899">
        <v>-2.6200559999999999</v>
      </c>
      <c r="V2899">
        <v>-1.8657099999999999E-2</v>
      </c>
      <c r="W2899">
        <v>-2.5364999999999999E-2</v>
      </c>
      <c r="X2899">
        <v>0.99950410000000001</v>
      </c>
      <c r="Y2899">
        <v>5.0227470000000003E-2</v>
      </c>
      <c r="Z2899">
        <v>0.22980110000000001</v>
      </c>
      <c r="AA2899">
        <v>0.97194060000000004</v>
      </c>
      <c r="AB2899">
        <v>11</v>
      </c>
      <c r="AC2899">
        <v>-0.31559999999996002</v>
      </c>
      <c r="AD2899">
        <v>-0.18206159999999999</v>
      </c>
      <c r="AE2899">
        <v>-0.56689999999997498</v>
      </c>
      <c r="AF2899">
        <v>4.4399260386521103E-2</v>
      </c>
      <c r="AG2899">
        <v>-0.18206159999999999</v>
      </c>
      <c r="AH2899">
        <v>0.59983019969989804</v>
      </c>
      <c r="AI2899">
        <v>106.840739105376</v>
      </c>
      <c r="AJ2899">
        <v>85.766702766857193</v>
      </c>
      <c r="AK2899">
        <v>0.62842182408749203</v>
      </c>
      <c r="AL2899">
        <v>91.453463392103103</v>
      </c>
      <c r="AM2899">
        <v>91.069379263959405</v>
      </c>
      <c r="AN2899">
        <v>0.99999995826110899</v>
      </c>
    </row>
    <row r="2900" spans="1:40" x14ac:dyDescent="0.25">
      <c r="A2900" t="str">
        <f>"20190312154311404"</f>
        <v>20190312154311404</v>
      </c>
      <c r="B2900" t="str">
        <f>"1552376591390449"</f>
        <v>1552376591390449</v>
      </c>
      <c r="C2900" t="s">
        <v>40</v>
      </c>
      <c r="D2900">
        <v>4.6856679999999997</v>
      </c>
      <c r="E2900">
        <v>0.53445290000000001</v>
      </c>
      <c r="F2900" t="s">
        <v>41</v>
      </c>
      <c r="G2900">
        <v>-490.30500000000001</v>
      </c>
      <c r="H2900">
        <v>0.92006480000000002</v>
      </c>
      <c r="I2900">
        <v>267.46089999999998</v>
      </c>
      <c r="J2900">
        <v>-489.97210000000001</v>
      </c>
      <c r="K2900">
        <v>1.1116790000000001</v>
      </c>
      <c r="L2900">
        <v>268.06290000000001</v>
      </c>
      <c r="M2900">
        <v>-0.41854780000000003</v>
      </c>
      <c r="N2900">
        <v>0</v>
      </c>
      <c r="O2900">
        <v>-0.90812210000000004</v>
      </c>
      <c r="P2900">
        <v>-0.40070220000000001</v>
      </c>
      <c r="Q2900">
        <v>-3.6688020000000002E-2</v>
      </c>
      <c r="R2900">
        <v>-0.9154736</v>
      </c>
      <c r="S2900">
        <v>-1.420166</v>
      </c>
      <c r="T2900">
        <v>-0.76860830000000002</v>
      </c>
      <c r="U2900">
        <v>-2.6237789999999999</v>
      </c>
      <c r="V2900">
        <v>-1.919618E-2</v>
      </c>
      <c r="W2900">
        <v>-2.5265050000000001E-2</v>
      </c>
      <c r="X2900">
        <v>0.99949650000000001</v>
      </c>
      <c r="Y2900">
        <v>5.0131889999999998E-2</v>
      </c>
      <c r="Z2900">
        <v>0.2298713</v>
      </c>
      <c r="AA2900">
        <v>0.97192900000000004</v>
      </c>
      <c r="AB2900">
        <v>11</v>
      </c>
      <c r="AC2900">
        <v>-0.33289999999999498</v>
      </c>
      <c r="AD2900">
        <v>-0.19161420000000001</v>
      </c>
      <c r="AE2900">
        <v>-0.60200000000003195</v>
      </c>
      <c r="AF2900">
        <v>4.6726079533456699E-2</v>
      </c>
      <c r="AG2900">
        <v>-0.19161420000000001</v>
      </c>
      <c r="AH2900">
        <v>0.63667215365887897</v>
      </c>
      <c r="AI2900">
        <v>106.70738348509001</v>
      </c>
      <c r="AJ2900">
        <v>85.802524262853495</v>
      </c>
      <c r="AK2900">
        <v>0.66652138704983999</v>
      </c>
      <c r="AL2900">
        <v>91.447734732008698</v>
      </c>
      <c r="AM2900">
        <v>91.100278883932404</v>
      </c>
      <c r="AN2900">
        <v>1.0000000347951701</v>
      </c>
    </row>
    <row r="2901" spans="1:40" x14ac:dyDescent="0.25">
      <c r="A2901" t="str">
        <f>"20190312154311415"</f>
        <v>20190312154311415</v>
      </c>
      <c r="B2901" t="str">
        <f>"1552376591409972"</f>
        <v>1552376591409972</v>
      </c>
      <c r="C2901" t="s">
        <v>40</v>
      </c>
      <c r="D2901">
        <v>4.8052989999999998</v>
      </c>
      <c r="E2901">
        <v>0.53455229999999998</v>
      </c>
      <c r="F2901" t="s">
        <v>41</v>
      </c>
      <c r="G2901">
        <v>-490.30110000000002</v>
      </c>
      <c r="H2901">
        <v>0.93308009999999997</v>
      </c>
      <c r="I2901">
        <v>267.452</v>
      </c>
      <c r="J2901">
        <v>-489.99299999999999</v>
      </c>
      <c r="K2901">
        <v>1.11168</v>
      </c>
      <c r="L2901">
        <v>268.01150000000001</v>
      </c>
      <c r="M2901">
        <v>-0.41658899999999999</v>
      </c>
      <c r="N2901">
        <v>0</v>
      </c>
      <c r="O2901">
        <v>-0.90902289999999997</v>
      </c>
      <c r="P2901">
        <v>-0.39794429999999997</v>
      </c>
      <c r="Q2901">
        <v>-3.6424610000000003E-2</v>
      </c>
      <c r="R2901">
        <v>-0.91668640000000001</v>
      </c>
      <c r="S2901">
        <v>-1.4138790000000001</v>
      </c>
      <c r="T2901">
        <v>-0.76922250000000003</v>
      </c>
      <c r="U2901">
        <v>-2.6272890000000002</v>
      </c>
      <c r="V2901">
        <v>-2.005463E-2</v>
      </c>
      <c r="W2901">
        <v>-2.506036E-2</v>
      </c>
      <c r="X2901">
        <v>0.99948479999999995</v>
      </c>
      <c r="Y2901">
        <v>4.9907809999999997E-2</v>
      </c>
      <c r="Z2901">
        <v>0.2302323</v>
      </c>
      <c r="AA2901">
        <v>0.97185509999999997</v>
      </c>
      <c r="AB2901">
        <v>11</v>
      </c>
      <c r="AC2901">
        <v>-0.30809999999996701</v>
      </c>
      <c r="AD2901">
        <v>-0.17859990000000001</v>
      </c>
      <c r="AE2901">
        <v>-0.55950000000001399</v>
      </c>
      <c r="AF2901">
        <v>4.3583771267988299E-2</v>
      </c>
      <c r="AG2901">
        <v>-0.17859990000000001</v>
      </c>
      <c r="AH2901">
        <v>0.59079794876012703</v>
      </c>
      <c r="AI2901">
        <v>106.77719744267399</v>
      </c>
      <c r="AJ2901">
        <v>85.780874167796398</v>
      </c>
      <c r="AK2901">
        <v>0.61874040247677697</v>
      </c>
      <c r="AL2901">
        <v>91.436003140633005</v>
      </c>
      <c r="AM2901">
        <v>91.149483706895396</v>
      </c>
      <c r="AN2901">
        <v>1.0000000376294</v>
      </c>
    </row>
    <row r="2902" spans="1:40" x14ac:dyDescent="0.25">
      <c r="A2902" t="str">
        <f>"20190312154311427"</f>
        <v>20190312154311427</v>
      </c>
      <c r="B2902" t="str">
        <f>"1552376591420706"</f>
        <v>1552376591420706</v>
      </c>
      <c r="C2902" t="s">
        <v>40</v>
      </c>
      <c r="D2902">
        <v>4.8159320000000001</v>
      </c>
      <c r="E2902">
        <v>0.50371440000000001</v>
      </c>
      <c r="F2902" t="s">
        <v>41</v>
      </c>
      <c r="G2902">
        <v>-490.33920000000001</v>
      </c>
      <c r="H2902">
        <v>0.92230140000000005</v>
      </c>
      <c r="I2902">
        <v>267.36399999999998</v>
      </c>
      <c r="J2902">
        <v>-490.01650000000001</v>
      </c>
      <c r="K2902">
        <v>1.111683</v>
      </c>
      <c r="L2902">
        <v>267.9538</v>
      </c>
      <c r="M2902">
        <v>-0.41437800000000002</v>
      </c>
      <c r="N2902">
        <v>0</v>
      </c>
      <c r="O2902">
        <v>-0.9100338</v>
      </c>
      <c r="P2902">
        <v>-0.39533210000000002</v>
      </c>
      <c r="Q2902">
        <v>-3.6283790000000003E-2</v>
      </c>
      <c r="R2902">
        <v>-0.91782169999999996</v>
      </c>
      <c r="S2902">
        <v>-1.406525</v>
      </c>
      <c r="T2902">
        <v>-0.7700342</v>
      </c>
      <c r="U2902">
        <v>-2.6314389999999999</v>
      </c>
      <c r="V2902">
        <v>-2.0473109999999999E-2</v>
      </c>
      <c r="W2902">
        <v>-2.4981469999999999E-2</v>
      </c>
      <c r="X2902">
        <v>0.99947830000000004</v>
      </c>
      <c r="Y2902">
        <v>4.9546890000000003E-2</v>
      </c>
      <c r="Z2902">
        <v>0.23066149999999999</v>
      </c>
      <c r="AA2902">
        <v>0.97177179999999996</v>
      </c>
      <c r="AB2902">
        <v>11</v>
      </c>
      <c r="AC2902">
        <v>-0.32269999999999699</v>
      </c>
      <c r="AD2902">
        <v>-0.18938160000000001</v>
      </c>
      <c r="AE2902">
        <v>-0.58979999999996802</v>
      </c>
      <c r="AF2902">
        <v>4.5648794275968498E-2</v>
      </c>
      <c r="AG2902">
        <v>-0.18938160000000001</v>
      </c>
      <c r="AH2902">
        <v>0.62120917542120002</v>
      </c>
      <c r="AI2902">
        <v>106.91136182207801</v>
      </c>
      <c r="AJ2902">
        <v>85.797243831532498</v>
      </c>
      <c r="AK2902">
        <v>0.65103766593408197</v>
      </c>
      <c r="AL2902">
        <v>91.431481647613495</v>
      </c>
      <c r="AM2902">
        <v>91.173470976324595</v>
      </c>
      <c r="AN2902">
        <v>1.0000000471236601</v>
      </c>
    </row>
    <row r="2903" spans="1:40" x14ac:dyDescent="0.25">
      <c r="A2903" t="str">
        <f>"20190312154311439"</f>
        <v>20190312154311439</v>
      </c>
      <c r="B2903" t="str">
        <f>"1552376591430465"</f>
        <v>1552376591430465</v>
      </c>
      <c r="C2903" t="s">
        <v>40</v>
      </c>
      <c r="D2903">
        <v>4.7797989999999997</v>
      </c>
      <c r="E2903">
        <v>0.49301689999999998</v>
      </c>
      <c r="F2903" t="s">
        <v>41</v>
      </c>
      <c r="G2903">
        <v>-490.28960000000001</v>
      </c>
      <c r="H2903">
        <v>0.95661450000000003</v>
      </c>
      <c r="I2903">
        <v>267.32069999999999</v>
      </c>
      <c r="J2903">
        <v>-490.03879999999998</v>
      </c>
      <c r="K2903">
        <v>1.1116870000000001</v>
      </c>
      <c r="L2903">
        <v>267.8981</v>
      </c>
      <c r="M2903">
        <v>-0.4122345</v>
      </c>
      <c r="N2903">
        <v>0</v>
      </c>
      <c r="O2903">
        <v>-0.91100729999999996</v>
      </c>
      <c r="P2903">
        <v>-0.39255380000000001</v>
      </c>
      <c r="Q2903">
        <v>-3.6383579999999999E-2</v>
      </c>
      <c r="R2903">
        <v>-0.91900879999999996</v>
      </c>
      <c r="S2903">
        <v>-1.1790160000000001</v>
      </c>
      <c r="T2903">
        <v>-0.67037559999999996</v>
      </c>
      <c r="U2903">
        <v>-2.734283</v>
      </c>
      <c r="V2903">
        <v>-2.1140249999999999E-2</v>
      </c>
      <c r="W2903">
        <v>-2.5136149999999999E-2</v>
      </c>
      <c r="X2903">
        <v>0.99946049999999997</v>
      </c>
      <c r="Y2903">
        <v>-2.6562220000000001E-2</v>
      </c>
      <c r="Z2903">
        <v>0.19930800000000001</v>
      </c>
      <c r="AA2903">
        <v>0.97957680000000003</v>
      </c>
      <c r="AB2903">
        <v>11</v>
      </c>
      <c r="AC2903">
        <v>-0.250800000000026</v>
      </c>
      <c r="AD2903">
        <v>-0.1550725</v>
      </c>
      <c r="AE2903">
        <v>-0.57740000000001102</v>
      </c>
      <c r="AF2903">
        <v>-8.9981620565846802E-3</v>
      </c>
      <c r="AG2903">
        <v>-0.1550725</v>
      </c>
      <c r="AH2903">
        <v>0.59343408808842002</v>
      </c>
      <c r="AI2903">
        <v>104.64309004528801</v>
      </c>
      <c r="AJ2903">
        <v>90.868701704252601</v>
      </c>
      <c r="AK2903">
        <v>0.61342682047818997</v>
      </c>
      <c r="AL2903">
        <v>91.440346990518293</v>
      </c>
      <c r="AM2903">
        <v>91.211720239992601</v>
      </c>
      <c r="AN2903">
        <v>1.0000000136335601</v>
      </c>
    </row>
    <row r="2904" spans="1:40" x14ac:dyDescent="0.25">
      <c r="A2904" t="str">
        <f>"20190312154311455"</f>
        <v>20190312154311455</v>
      </c>
      <c r="B2904" t="str">
        <f>"1552376591449985"</f>
        <v>1552376591449985</v>
      </c>
      <c r="C2904" t="s">
        <v>40</v>
      </c>
      <c r="D2904">
        <v>4.7292959999999997</v>
      </c>
      <c r="E2904">
        <v>0.44003439999999999</v>
      </c>
      <c r="F2904" t="s">
        <v>41</v>
      </c>
      <c r="G2904">
        <v>-490.30860000000001</v>
      </c>
      <c r="H2904">
        <v>0.95955539999999995</v>
      </c>
      <c r="I2904">
        <v>267.21589999999998</v>
      </c>
      <c r="J2904">
        <v>-490.06900000000002</v>
      </c>
      <c r="K2904">
        <v>1.111691</v>
      </c>
      <c r="L2904">
        <v>267.82229999999998</v>
      </c>
      <c r="M2904">
        <v>-0.4093041</v>
      </c>
      <c r="N2904">
        <v>0</v>
      </c>
      <c r="O2904">
        <v>-0.91232869999999999</v>
      </c>
      <c r="P2904">
        <v>-0.38883499999999999</v>
      </c>
      <c r="Q2904">
        <v>-3.6873690000000001E-2</v>
      </c>
      <c r="R2904">
        <v>-0.92056930000000003</v>
      </c>
      <c r="S2904">
        <v>-1.095337</v>
      </c>
      <c r="T2904">
        <v>-0.61905829999999995</v>
      </c>
      <c r="U2904">
        <v>-2.7720030000000002</v>
      </c>
      <c r="V2904">
        <v>-2.195774E-2</v>
      </c>
      <c r="W2904">
        <v>-2.5697000000000001E-2</v>
      </c>
      <c r="X2904">
        <v>0.9994286</v>
      </c>
      <c r="Y2904">
        <v>-5.2251239999999997E-2</v>
      </c>
      <c r="Z2904">
        <v>0.1836711</v>
      </c>
      <c r="AA2904">
        <v>0.98159799999999997</v>
      </c>
      <c r="AB2904">
        <v>11</v>
      </c>
      <c r="AC2904">
        <v>-0.23959999999999501</v>
      </c>
      <c r="AD2904">
        <v>-0.15213559999999901</v>
      </c>
      <c r="AE2904">
        <v>-0.60640000000000704</v>
      </c>
      <c r="AF2904">
        <v>-2.8081107068810798E-2</v>
      </c>
      <c r="AG2904">
        <v>-0.15213559999999901</v>
      </c>
      <c r="AH2904">
        <v>0.61771634581942703</v>
      </c>
      <c r="AI2904">
        <v>103.82212570836199</v>
      </c>
      <c r="AJ2904">
        <v>92.602848346870005</v>
      </c>
      <c r="AK2904">
        <v>0.63679452985564799</v>
      </c>
      <c r="AL2904">
        <v>91.472491729554804</v>
      </c>
      <c r="AM2904">
        <v>91.258602630379002</v>
      </c>
      <c r="AN2904">
        <v>1.0000000023264299</v>
      </c>
    </row>
    <row r="2905" spans="1:40" x14ac:dyDescent="0.25">
      <c r="A2905" t="str">
        <f>"20190312154311468"</f>
        <v>20190312154311468</v>
      </c>
      <c r="B2905" t="str">
        <f>"1552376591460722"</f>
        <v>1552376591460722</v>
      </c>
      <c r="C2905" t="s">
        <v>40</v>
      </c>
      <c r="D2905">
        <v>4.6823959999999998</v>
      </c>
      <c r="E2905">
        <v>0.428983</v>
      </c>
      <c r="F2905" t="s">
        <v>43</v>
      </c>
      <c r="G2905">
        <v>-491.99360000000001</v>
      </c>
      <c r="H2905" s="1">
        <v>-6.2524699999999999E-7</v>
      </c>
      <c r="I2905">
        <v>259.81009999999998</v>
      </c>
      <c r="J2905">
        <v>-490.0933</v>
      </c>
      <c r="K2905">
        <v>1.111693</v>
      </c>
      <c r="L2905">
        <v>267.76100000000002</v>
      </c>
      <c r="M2905">
        <v>-0.4069256</v>
      </c>
      <c r="N2905">
        <v>0</v>
      </c>
      <c r="O2905">
        <v>-0.91339250000000005</v>
      </c>
      <c r="P2905">
        <v>-0.38629590000000003</v>
      </c>
      <c r="Q2905">
        <v>-3.681773E-2</v>
      </c>
      <c r="R2905">
        <v>-0.92164000000000001</v>
      </c>
      <c r="S2905">
        <v>-0.70712280000000005</v>
      </c>
      <c r="T2905">
        <v>-0.40845310000000001</v>
      </c>
      <c r="U2905">
        <v>-2.9437869999999999</v>
      </c>
      <c r="V2905">
        <v>-2.210881E-2</v>
      </c>
      <c r="W2905">
        <v>-2.5692619999999999E-2</v>
      </c>
      <c r="X2905">
        <v>0.99942540000000002</v>
      </c>
      <c r="Y2905">
        <v>-0.1840743</v>
      </c>
      <c r="Z2905">
        <v>0.11715009999999999</v>
      </c>
      <c r="AA2905">
        <v>0.97590600000000005</v>
      </c>
      <c r="AB2905">
        <v>12</v>
      </c>
      <c r="AC2905">
        <v>-1.9003000000000101</v>
      </c>
      <c r="AD2905">
        <v>-1.111693625247</v>
      </c>
      <c r="AE2905">
        <v>-7.9508999999999901</v>
      </c>
      <c r="AF2905">
        <v>-1.47256677529448</v>
      </c>
      <c r="AG2905">
        <v>-1.111693625247</v>
      </c>
      <c r="AH2905">
        <v>7.8901638330268797</v>
      </c>
      <c r="AI2905">
        <v>97.885559770237606</v>
      </c>
      <c r="AJ2905">
        <v>100.571672231696</v>
      </c>
      <c r="AK2905">
        <v>8.1030241845943891</v>
      </c>
      <c r="AL2905">
        <v>91.472240664860905</v>
      </c>
      <c r="AM2905">
        <v>91.267263101495402</v>
      </c>
      <c r="AN2905">
        <v>1.0000000201836201</v>
      </c>
    </row>
    <row r="2906" spans="1:40" x14ac:dyDescent="0.25">
      <c r="A2906" t="str">
        <f>"20190312154311481"</f>
        <v>20190312154311481</v>
      </c>
      <c r="B2906" t="str">
        <f>"1552376591470480"</f>
        <v>1552376591470480</v>
      </c>
      <c r="C2906" t="s">
        <v>40</v>
      </c>
      <c r="D2906">
        <v>4.7914250000000003</v>
      </c>
      <c r="E2906">
        <v>0.42211359999999998</v>
      </c>
      <c r="F2906" t="s">
        <v>43</v>
      </c>
      <c r="G2906">
        <v>-491.95510000000002</v>
      </c>
      <c r="H2906" s="1">
        <v>-4.3711469999999998E-6</v>
      </c>
      <c r="I2906">
        <v>258.8125</v>
      </c>
      <c r="J2906">
        <v>-490.11559999999997</v>
      </c>
      <c r="K2906">
        <v>1.111693</v>
      </c>
      <c r="L2906">
        <v>267.70370000000003</v>
      </c>
      <c r="M2906">
        <v>-0.40469080000000002</v>
      </c>
      <c r="N2906">
        <v>0</v>
      </c>
      <c r="O2906">
        <v>-0.91438560000000002</v>
      </c>
      <c r="P2906">
        <v>-0.3837758</v>
      </c>
      <c r="Q2906">
        <v>-3.6935120000000002E-2</v>
      </c>
      <c r="R2906">
        <v>-0.92268760000000005</v>
      </c>
      <c r="S2906">
        <v>-0.62008669999999899</v>
      </c>
      <c r="T2906">
        <v>-0.37025400000000003</v>
      </c>
      <c r="U2906">
        <v>-2.9803160000000002</v>
      </c>
      <c r="V2906">
        <v>-2.2392749999999999E-2</v>
      </c>
      <c r="W2906">
        <v>-2.5853649999999999E-2</v>
      </c>
      <c r="X2906">
        <v>0.99941489999999999</v>
      </c>
      <c r="Y2906">
        <v>-0.21116199999999999</v>
      </c>
      <c r="Z2906">
        <v>0.10524020000000001</v>
      </c>
      <c r="AA2906">
        <v>0.97176910000000005</v>
      </c>
      <c r="AB2906">
        <v>12</v>
      </c>
      <c r="AC2906">
        <v>-1.8395000000000401</v>
      </c>
      <c r="AD2906">
        <v>-1.111697371147</v>
      </c>
      <c r="AE2906">
        <v>-8.8912000000000209</v>
      </c>
      <c r="AF2906">
        <v>-1.8879895494433301</v>
      </c>
      <c r="AG2906">
        <v>-1.111697371147</v>
      </c>
      <c r="AH2906">
        <v>8.7438803610237503</v>
      </c>
      <c r="AI2906">
        <v>97.084171648819904</v>
      </c>
      <c r="AJ2906">
        <v>102.18432204413701</v>
      </c>
      <c r="AK2906">
        <v>9.0142009824342804</v>
      </c>
      <c r="AL2906">
        <v>91.481470108102201</v>
      </c>
      <c r="AM2906">
        <v>91.2835464343636</v>
      </c>
      <c r="AN2906">
        <v>0.99999999440644705</v>
      </c>
    </row>
    <row r="2907" spans="1:40" x14ac:dyDescent="0.25">
      <c r="A2907" t="str">
        <f>"20190312154311494"</f>
        <v>20190312154311494</v>
      </c>
      <c r="B2907" t="str">
        <f>"1552376591490001"</f>
        <v>1552376591490001</v>
      </c>
      <c r="C2907" t="s">
        <v>40</v>
      </c>
      <c r="D2907">
        <v>4.9315579999999999</v>
      </c>
      <c r="E2907">
        <v>0.41353269999999998</v>
      </c>
      <c r="F2907" t="s">
        <v>43</v>
      </c>
      <c r="G2907">
        <v>-491.71969999999999</v>
      </c>
      <c r="H2907" s="1">
        <v>-4.4298030000000002E-6</v>
      </c>
      <c r="I2907">
        <v>259.10759999999999</v>
      </c>
      <c r="J2907">
        <v>-490.14080000000001</v>
      </c>
      <c r="K2907">
        <v>1.1116980000000001</v>
      </c>
      <c r="L2907">
        <v>267.63889999999998</v>
      </c>
      <c r="M2907">
        <v>-0.40215849999999997</v>
      </c>
      <c r="N2907">
        <v>0</v>
      </c>
      <c r="O2907">
        <v>-0.9155025</v>
      </c>
      <c r="P2907">
        <v>-0.3812295</v>
      </c>
      <c r="Q2907">
        <v>-3.6939729999999997E-2</v>
      </c>
      <c r="R2907">
        <v>-0.92374230000000002</v>
      </c>
      <c r="S2907">
        <v>-0.56033330000000003</v>
      </c>
      <c r="T2907">
        <v>-0.38833689999999998</v>
      </c>
      <c r="U2907">
        <v>-3.002777</v>
      </c>
      <c r="V2907">
        <v>-2.2382719999999998E-2</v>
      </c>
      <c r="W2907">
        <v>-2.590371E-2</v>
      </c>
      <c r="X2907">
        <v>0.99941380000000002</v>
      </c>
      <c r="Y2907">
        <v>-0.2285731</v>
      </c>
      <c r="Z2907">
        <v>0.1096468</v>
      </c>
      <c r="AA2907">
        <v>0.96733239999999998</v>
      </c>
      <c r="AB2907">
        <v>12</v>
      </c>
      <c r="AC2907">
        <v>-1.57889999999997</v>
      </c>
      <c r="AD2907">
        <v>-1.1117024298029901</v>
      </c>
      <c r="AE2907">
        <v>-8.5312999999999803</v>
      </c>
      <c r="AF2907">
        <v>-1.9534981833475999</v>
      </c>
      <c r="AG2907">
        <v>-1.1117024298029901</v>
      </c>
      <c r="AH2907">
        <v>8.3094916592655501</v>
      </c>
      <c r="AI2907">
        <v>97.420235456981104</v>
      </c>
      <c r="AJ2907">
        <v>103.229567148005</v>
      </c>
      <c r="AK2907">
        <v>8.60811762699465</v>
      </c>
      <c r="AL2907">
        <v>91.484339337949606</v>
      </c>
      <c r="AM2907">
        <v>91.282973121275106</v>
      </c>
      <c r="AN2907">
        <v>0.99999996598840002</v>
      </c>
    </row>
    <row r="2908" spans="1:40" x14ac:dyDescent="0.25">
      <c r="A2908" t="str">
        <f>"20190312154311507"</f>
        <v>20190312154311507</v>
      </c>
      <c r="B2908" t="str">
        <f>"1552376591500737"</f>
        <v>1552376591500737</v>
      </c>
      <c r="C2908" t="s">
        <v>40</v>
      </c>
      <c r="D2908">
        <v>4.7860620000000003</v>
      </c>
      <c r="E2908">
        <v>0.41136</v>
      </c>
      <c r="F2908" t="s">
        <v>43</v>
      </c>
      <c r="G2908">
        <v>-491.55290000000002</v>
      </c>
      <c r="H2908" s="1">
        <v>-4.3242769999999998E-6</v>
      </c>
      <c r="I2908">
        <v>258.88440000000003</v>
      </c>
      <c r="J2908">
        <v>-490.16480000000001</v>
      </c>
      <c r="K2908">
        <v>1.1117030000000001</v>
      </c>
      <c r="L2908">
        <v>267.57670000000002</v>
      </c>
      <c r="M2908">
        <v>-0.39971699999999999</v>
      </c>
      <c r="N2908">
        <v>0</v>
      </c>
      <c r="O2908">
        <v>-0.91657160000000004</v>
      </c>
      <c r="P2908">
        <v>-0.37871270000000001</v>
      </c>
      <c r="Q2908">
        <v>-3.6799859999999997E-2</v>
      </c>
      <c r="R2908">
        <v>-0.92478249999999995</v>
      </c>
      <c r="S2908">
        <v>-0.4888306</v>
      </c>
      <c r="T2908">
        <v>-0.3848414</v>
      </c>
      <c r="U2908">
        <v>-3.0305789999999999</v>
      </c>
      <c r="V2908">
        <v>-2.2442340000000002E-2</v>
      </c>
      <c r="W2908">
        <v>-2.580495E-2</v>
      </c>
      <c r="X2908">
        <v>0.99941500000000005</v>
      </c>
      <c r="Y2908">
        <v>-0.24963560000000001</v>
      </c>
      <c r="Z2908">
        <v>0.10776479999999999</v>
      </c>
      <c r="AA2908">
        <v>0.96232470000000003</v>
      </c>
      <c r="AB2908">
        <v>12</v>
      </c>
      <c r="AC2908">
        <v>-1.3880999999999999</v>
      </c>
      <c r="AD2908">
        <v>-1.1117073242769999</v>
      </c>
      <c r="AE2908">
        <v>-8.6922999999999799</v>
      </c>
      <c r="AF2908">
        <v>-2.1677259180626698</v>
      </c>
      <c r="AG2908">
        <v>-1.1117073242769999</v>
      </c>
      <c r="AH2908">
        <v>8.3886819707013593</v>
      </c>
      <c r="AI2908">
        <v>97.311664111322898</v>
      </c>
      <c r="AJ2908">
        <v>104.488893671133</v>
      </c>
      <c r="AK2908">
        <v>8.7352684009286108</v>
      </c>
      <c r="AL2908">
        <v>91.4786789407963</v>
      </c>
      <c r="AM2908">
        <v>91.286387837141106</v>
      </c>
      <c r="AN2908">
        <v>0.99999994814708704</v>
      </c>
    </row>
    <row r="2909" spans="1:40" x14ac:dyDescent="0.25">
      <c r="A2909" t="str">
        <f>"20190312154311523"</f>
        <v>20190312154311523</v>
      </c>
      <c r="B2909" t="str">
        <f>"1552376591510496"</f>
        <v>1552376591510496</v>
      </c>
      <c r="C2909" t="s">
        <v>40</v>
      </c>
      <c r="D2909">
        <v>4.7731120000000002</v>
      </c>
      <c r="E2909">
        <v>0.40991490000000003</v>
      </c>
      <c r="F2909" t="s">
        <v>43</v>
      </c>
      <c r="G2909">
        <v>-491.4923</v>
      </c>
      <c r="H2909" s="1">
        <v>-4.3152959999999999E-6</v>
      </c>
      <c r="I2909">
        <v>258.88959999999997</v>
      </c>
      <c r="J2909">
        <v>-490.19220000000001</v>
      </c>
      <c r="K2909">
        <v>1.11171</v>
      </c>
      <c r="L2909">
        <v>267.50479999999999</v>
      </c>
      <c r="M2909">
        <v>-0.39688499999999999</v>
      </c>
      <c r="N2909">
        <v>0</v>
      </c>
      <c r="O2909">
        <v>-0.91780209999999995</v>
      </c>
      <c r="P2909">
        <v>-0.37583539999999999</v>
      </c>
      <c r="Q2909">
        <v>-3.706802E-2</v>
      </c>
      <c r="R2909">
        <v>-0.92594500000000002</v>
      </c>
      <c r="S2909">
        <v>-0.46432499999999999</v>
      </c>
      <c r="T2909">
        <v>-0.38883519999999999</v>
      </c>
      <c r="U2909">
        <v>-3.0384220000000002</v>
      </c>
      <c r="V2909">
        <v>-2.2457410000000001E-2</v>
      </c>
      <c r="W2909">
        <v>-2.6115320000000001E-2</v>
      </c>
      <c r="X2909">
        <v>0.99940660000000003</v>
      </c>
      <c r="Y2909">
        <v>-0.25462119999999999</v>
      </c>
      <c r="Z2909">
        <v>0.108796699999999</v>
      </c>
      <c r="AA2909">
        <v>0.96090129999999996</v>
      </c>
      <c r="AB2909">
        <v>12</v>
      </c>
      <c r="AC2909">
        <v>-1.30009999999998</v>
      </c>
      <c r="AD2909">
        <v>-1.1117143152959901</v>
      </c>
      <c r="AE2909">
        <v>-8.6152000000000104</v>
      </c>
      <c r="AF2909">
        <v>-2.1904816534754801</v>
      </c>
      <c r="AG2909">
        <v>-1.1117143152959901</v>
      </c>
      <c r="AH2909">
        <v>8.2886056935124106</v>
      </c>
      <c r="AI2909">
        <v>97.388526559589494</v>
      </c>
      <c r="AJ2909">
        <v>104.803473443176</v>
      </c>
      <c r="AK2909">
        <v>8.64494667048751</v>
      </c>
      <c r="AL2909">
        <v>91.496467827336105</v>
      </c>
      <c r="AM2909">
        <v>91.2872621699223</v>
      </c>
      <c r="AN2909">
        <v>0.99999994866308395</v>
      </c>
    </row>
    <row r="2910" spans="1:40" x14ac:dyDescent="0.25">
      <c r="A2910" t="str">
        <f>"20190312154311535"</f>
        <v>20190312154311535</v>
      </c>
      <c r="B2910" t="str">
        <f>"1552376591530017"</f>
        <v>1552376591530017</v>
      </c>
      <c r="C2910" t="s">
        <v>40</v>
      </c>
      <c r="D2910">
        <v>4.7463350000000002</v>
      </c>
      <c r="E2910">
        <v>0.4083522</v>
      </c>
      <c r="F2910" t="s">
        <v>43</v>
      </c>
      <c r="G2910">
        <v>-491.4511</v>
      </c>
      <c r="H2910" s="1">
        <v>-4.3012950000000003E-6</v>
      </c>
      <c r="I2910">
        <v>258.86989999999997</v>
      </c>
      <c r="J2910">
        <v>-490.21519999999998</v>
      </c>
      <c r="K2910">
        <v>1.1117140000000001</v>
      </c>
      <c r="L2910">
        <v>267.44389999999999</v>
      </c>
      <c r="M2910">
        <v>-0.3944781</v>
      </c>
      <c r="N2910">
        <v>0</v>
      </c>
      <c r="O2910">
        <v>-0.91883930000000003</v>
      </c>
      <c r="P2910">
        <v>-0.37349759999999999</v>
      </c>
      <c r="Q2910">
        <v>-3.7143099999999998E-2</v>
      </c>
      <c r="R2910">
        <v>-0.92688740000000003</v>
      </c>
      <c r="S2910">
        <v>-0.44381710000000002</v>
      </c>
      <c r="T2910">
        <v>-0.39191930000000003</v>
      </c>
      <c r="U2910">
        <v>-3.044098</v>
      </c>
      <c r="V2910">
        <v>-2.235823E-2</v>
      </c>
      <c r="W2910">
        <v>-2.622302E-2</v>
      </c>
      <c r="X2910">
        <v>0.99940600000000002</v>
      </c>
      <c r="Y2910">
        <v>-0.2586946</v>
      </c>
      <c r="Z2910">
        <v>0.10961849999999999</v>
      </c>
      <c r="AA2910">
        <v>0.95971919999999999</v>
      </c>
      <c r="AB2910">
        <v>12</v>
      </c>
      <c r="AC2910">
        <v>-1.23590000000001</v>
      </c>
      <c r="AD2910">
        <v>-1.1117183012949901</v>
      </c>
      <c r="AE2910">
        <v>-8.5740000000000105</v>
      </c>
      <c r="AF2910">
        <v>-2.2103931044952798</v>
      </c>
      <c r="AG2910">
        <v>-1.1117183012949901</v>
      </c>
      <c r="AH2910">
        <v>8.2306138532811293</v>
      </c>
      <c r="AI2910">
        <v>97.432199476372404</v>
      </c>
      <c r="AJ2910">
        <v>105.032513929069</v>
      </c>
      <c r="AK2910">
        <v>8.5944609871508302</v>
      </c>
      <c r="AL2910">
        <v>91.502640702599294</v>
      </c>
      <c r="AM2910">
        <v>91.281579826547897</v>
      </c>
      <c r="AN2910">
        <v>0.99999994503132505</v>
      </c>
    </row>
    <row r="2911" spans="1:40" x14ac:dyDescent="0.25">
      <c r="A2911" t="str">
        <f>"20190312154311546"</f>
        <v>20190312154311546</v>
      </c>
      <c r="B2911" t="str">
        <f>"1552376591540752"</f>
        <v>1552376591540752</v>
      </c>
      <c r="C2911" t="s">
        <v>40</v>
      </c>
      <c r="D2911">
        <v>4.9142549999999998</v>
      </c>
      <c r="E2911">
        <v>0.40796510000000002</v>
      </c>
      <c r="F2911" t="s">
        <v>43</v>
      </c>
      <c r="G2911">
        <v>-491.4006</v>
      </c>
      <c r="H2911" s="1">
        <v>-4.3100929999999996E-6</v>
      </c>
      <c r="I2911">
        <v>258.9221</v>
      </c>
      <c r="J2911">
        <v>-490.23649999999998</v>
      </c>
      <c r="K2911">
        <v>1.11172</v>
      </c>
      <c r="L2911">
        <v>267.38740000000001</v>
      </c>
      <c r="M2911">
        <v>-0.39223710000000001</v>
      </c>
      <c r="N2911">
        <v>0</v>
      </c>
      <c r="O2911">
        <v>-0.91979869999999997</v>
      </c>
      <c r="P2911">
        <v>-0.3711991</v>
      </c>
      <c r="Q2911">
        <v>-3.7128149999999999E-2</v>
      </c>
      <c r="R2911">
        <v>-0.92781089999999999</v>
      </c>
      <c r="S2911">
        <v>-0.42422490000000002</v>
      </c>
      <c r="T2911">
        <v>-0.39786090000000002</v>
      </c>
      <c r="U2911">
        <v>-3.0497740000000002</v>
      </c>
      <c r="V2911">
        <v>-2.239872E-2</v>
      </c>
      <c r="W2911">
        <v>-2.6237130000000001E-2</v>
      </c>
      <c r="X2911">
        <v>0.99940479999999998</v>
      </c>
      <c r="Y2911">
        <v>-0.26265719999999998</v>
      </c>
      <c r="Z2911">
        <v>0.1112079</v>
      </c>
      <c r="AA2911">
        <v>0.95845919999999896</v>
      </c>
      <c r="AB2911">
        <v>12</v>
      </c>
      <c r="AC2911">
        <v>-1.1641000000000099</v>
      </c>
      <c r="AD2911">
        <v>-1.1117243100929901</v>
      </c>
      <c r="AE2911">
        <v>-8.4653000000000098</v>
      </c>
      <c r="AF2911">
        <v>-2.2123545349009799</v>
      </c>
      <c r="AG2911">
        <v>-1.1117243100929901</v>
      </c>
      <c r="AH2911">
        <v>8.1062588309971204</v>
      </c>
      <c r="AI2911">
        <v>97.536749201763698</v>
      </c>
      <c r="AJ2911">
        <v>105.265359177915</v>
      </c>
      <c r="AK2911">
        <v>8.4759586929660902</v>
      </c>
      <c r="AL2911">
        <v>91.503449308669204</v>
      </c>
      <c r="AM2911">
        <v>91.283901489295303</v>
      </c>
      <c r="AN2911">
        <v>1.00000002195565</v>
      </c>
    </row>
    <row r="2912" spans="1:40" x14ac:dyDescent="0.25">
      <c r="A2912" t="str">
        <f>"20190312154311558"</f>
        <v>20190312154311558</v>
      </c>
      <c r="B2912" t="str">
        <f>"1552376591550513"</f>
        <v>1552376591550513</v>
      </c>
      <c r="C2912" t="s">
        <v>40</v>
      </c>
      <c r="D2912">
        <v>4.7398150000000001</v>
      </c>
      <c r="E2912">
        <v>0.40764119999999998</v>
      </c>
      <c r="F2912" t="s">
        <v>43</v>
      </c>
      <c r="G2912">
        <v>-491.39400000000001</v>
      </c>
      <c r="H2912" s="1">
        <v>-4.2856059999999998E-6</v>
      </c>
      <c r="I2912">
        <v>258.85359999999997</v>
      </c>
      <c r="J2912">
        <v>-490.25560000000002</v>
      </c>
      <c r="K2912">
        <v>1.111726</v>
      </c>
      <c r="L2912">
        <v>267.33580000000001</v>
      </c>
      <c r="M2912">
        <v>-0.39018910000000001</v>
      </c>
      <c r="N2912">
        <v>0</v>
      </c>
      <c r="O2912">
        <v>-0.92066959999999998</v>
      </c>
      <c r="P2912">
        <v>-0.36930109999999999</v>
      </c>
      <c r="Q2912">
        <v>-3.7016420000000001E-2</v>
      </c>
      <c r="R2912">
        <v>-0.92857230000000002</v>
      </c>
      <c r="S2912">
        <v>-0.41394039999999999</v>
      </c>
      <c r="T2912">
        <v>-0.39758070000000001</v>
      </c>
      <c r="U2912">
        <v>-3.0518800000000001</v>
      </c>
      <c r="V2912">
        <v>-2.2220070000000001E-2</v>
      </c>
      <c r="W2912">
        <v>-2.6148009999999999E-2</v>
      </c>
      <c r="X2912">
        <v>0.9994111</v>
      </c>
      <c r="Y2912">
        <v>-0.26376870000000002</v>
      </c>
      <c r="Z2912">
        <v>0.1112229</v>
      </c>
      <c r="AA2912">
        <v>0.95815209999999995</v>
      </c>
      <c r="AB2912">
        <v>12</v>
      </c>
      <c r="AC2912">
        <v>-1.1383999999999901</v>
      </c>
      <c r="AD2912">
        <v>-1.1117302856060001</v>
      </c>
      <c r="AE2912">
        <v>-8.4822000000000308</v>
      </c>
      <c r="AF2912">
        <v>-2.2241756983033101</v>
      </c>
      <c r="AG2912">
        <v>-1.1117302856060001</v>
      </c>
      <c r="AH2912">
        <v>8.1170200384012396</v>
      </c>
      <c r="AI2912">
        <v>97.524840084572702</v>
      </c>
      <c r="AJ2912">
        <v>105.323706941851</v>
      </c>
      <c r="AK2912">
        <v>8.4893413212489008</v>
      </c>
      <c r="AL2912">
        <v>91.498341391798505</v>
      </c>
      <c r="AM2912">
        <v>91.273656577173199</v>
      </c>
      <c r="AN2912">
        <v>0.99999999837048703</v>
      </c>
    </row>
    <row r="2913" spans="1:40" x14ac:dyDescent="0.25">
      <c r="A2913" t="str">
        <f>"20190312154311569"</f>
        <v>20190312154311569</v>
      </c>
      <c r="B2913" t="str">
        <f>"1552376591560273"</f>
        <v>1552376591560273</v>
      </c>
      <c r="C2913" t="s">
        <v>40</v>
      </c>
      <c r="D2913">
        <v>4.7360319999999998</v>
      </c>
      <c r="E2913">
        <v>0.40740860000000001</v>
      </c>
      <c r="F2913" t="s">
        <v>43</v>
      </c>
      <c r="G2913">
        <v>-491.3886</v>
      </c>
      <c r="H2913" s="1">
        <v>-4.2663299999999997E-6</v>
      </c>
      <c r="I2913">
        <v>258.7998</v>
      </c>
      <c r="J2913">
        <v>-490.27569999999997</v>
      </c>
      <c r="K2913">
        <v>1.111731</v>
      </c>
      <c r="L2913">
        <v>267.28179999999998</v>
      </c>
      <c r="M2913">
        <v>-0.3880344</v>
      </c>
      <c r="N2913">
        <v>0</v>
      </c>
      <c r="O2913">
        <v>-0.92158019999999996</v>
      </c>
      <c r="P2913">
        <v>-0.36717509999999998</v>
      </c>
      <c r="Q2913">
        <v>-3.6697609999999999E-2</v>
      </c>
      <c r="R2913">
        <v>-0.92942800000000003</v>
      </c>
      <c r="S2913">
        <v>-0.405304</v>
      </c>
      <c r="T2913">
        <v>-0.39770939999999999</v>
      </c>
      <c r="U2913">
        <v>-3.0536799999999999</v>
      </c>
      <c r="V2913">
        <v>-2.2174960000000001E-2</v>
      </c>
      <c r="W2913">
        <v>-2.5853049999999999E-2</v>
      </c>
      <c r="X2913">
        <v>0.99941970000000002</v>
      </c>
      <c r="Y2913">
        <v>-0.2642504</v>
      </c>
      <c r="Z2913">
        <v>0.111376</v>
      </c>
      <c r="AA2913">
        <v>0.95800160000000001</v>
      </c>
      <c r="AB2913">
        <v>12</v>
      </c>
      <c r="AC2913">
        <v>-1.11290000000002</v>
      </c>
      <c r="AD2913">
        <v>-1.11173526633</v>
      </c>
      <c r="AE2913">
        <v>-8.4819999999999691</v>
      </c>
      <c r="AF2913">
        <v>-2.2281853642692702</v>
      </c>
      <c r="AG2913">
        <v>-1.11173526633</v>
      </c>
      <c r="AH2913">
        <v>8.1121753853871006</v>
      </c>
      <c r="AI2913">
        <v>97.528066496280999</v>
      </c>
      <c r="AJ2913">
        <v>105.35876445146199</v>
      </c>
      <c r="AK2913">
        <v>8.4857618870214502</v>
      </c>
      <c r="AL2913">
        <v>91.481435825100405</v>
      </c>
      <c r="AM2913">
        <v>91.271060782747696</v>
      </c>
      <c r="AN2913">
        <v>0.99999992289669404</v>
      </c>
    </row>
    <row r="2914" spans="1:40" x14ac:dyDescent="0.25">
      <c r="A2914" t="str">
        <f>"20190312154311579"</f>
        <v>20190312154311579</v>
      </c>
      <c r="B2914" t="str">
        <f>"1552376591570035"</f>
        <v>1552376591570035</v>
      </c>
      <c r="C2914" t="s">
        <v>40</v>
      </c>
      <c r="D2914">
        <v>4.7427929999999998</v>
      </c>
      <c r="E2914">
        <v>0.40733390000000003</v>
      </c>
      <c r="F2914" t="s">
        <v>43</v>
      </c>
      <c r="G2914">
        <v>-491.38209999999998</v>
      </c>
      <c r="H2914" s="1">
        <v>-4.2493089999999997E-6</v>
      </c>
      <c r="I2914">
        <v>258.75310000000002</v>
      </c>
      <c r="J2914">
        <v>-490.29570000000001</v>
      </c>
      <c r="K2914">
        <v>1.111737</v>
      </c>
      <c r="L2914">
        <v>267.22730000000001</v>
      </c>
      <c r="M2914">
        <v>-0.38585160000000002</v>
      </c>
      <c r="N2914">
        <v>0</v>
      </c>
      <c r="O2914">
        <v>-0.92249630000000005</v>
      </c>
      <c r="P2914">
        <v>-0.36483890000000002</v>
      </c>
      <c r="Q2914">
        <v>-3.6395219999999999E-2</v>
      </c>
      <c r="R2914">
        <v>-0.93035889999999999</v>
      </c>
      <c r="S2914">
        <v>-0.39639279999999999</v>
      </c>
      <c r="T2914">
        <v>-0.39829209999999998</v>
      </c>
      <c r="U2914">
        <v>-3.0554809999999999</v>
      </c>
      <c r="V2914">
        <v>-2.2324759999999999E-2</v>
      </c>
      <c r="W2914">
        <v>-2.5574329999999999E-2</v>
      </c>
      <c r="X2914">
        <v>0.99942359999999997</v>
      </c>
      <c r="Y2914">
        <v>-0.26479029999999998</v>
      </c>
      <c r="Z2914">
        <v>0.1116547</v>
      </c>
      <c r="AA2914">
        <v>0.95782009999999995</v>
      </c>
      <c r="AB2914">
        <v>12</v>
      </c>
      <c r="AC2914">
        <v>-1.0863999999999601</v>
      </c>
      <c r="AD2914">
        <v>-1.111741249309</v>
      </c>
      <c r="AE2914">
        <v>-8.4741999999999909</v>
      </c>
      <c r="AF2914">
        <v>-2.2299591404453301</v>
      </c>
      <c r="AG2914">
        <v>-1.111741249309</v>
      </c>
      <c r="AH2914">
        <v>8.0999427741964194</v>
      </c>
      <c r="AI2914">
        <v>97.538137391945796</v>
      </c>
      <c r="AJ2914">
        <v>105.392525445972</v>
      </c>
      <c r="AK2914">
        <v>8.4745359353021499</v>
      </c>
      <c r="AL2914">
        <v>91.465460968474105</v>
      </c>
      <c r="AM2914">
        <v>91.279639427905494</v>
      </c>
      <c r="AN2914">
        <v>0.99999998675048296</v>
      </c>
    </row>
    <row r="2915" spans="1:40" x14ac:dyDescent="0.25">
      <c r="A2915" t="str">
        <f>"20190312154311591"</f>
        <v>20190312154311591</v>
      </c>
      <c r="B2915" t="str">
        <f>"1552376591580768"</f>
        <v>1552376591580768</v>
      </c>
      <c r="C2915" t="s">
        <v>40</v>
      </c>
      <c r="D2915">
        <v>4.7382619999999998</v>
      </c>
      <c r="E2915">
        <v>0.4071265</v>
      </c>
      <c r="F2915" t="s">
        <v>43</v>
      </c>
      <c r="G2915">
        <v>-491.3793</v>
      </c>
      <c r="H2915" s="1">
        <v>-4.2292250000000002E-6</v>
      </c>
      <c r="I2915">
        <v>258.69560000000001</v>
      </c>
      <c r="J2915">
        <v>-490.31540000000001</v>
      </c>
      <c r="K2915">
        <v>1.111742</v>
      </c>
      <c r="L2915">
        <v>267.17309999999998</v>
      </c>
      <c r="M2915">
        <v>-0.3836791</v>
      </c>
      <c r="N2915">
        <v>0</v>
      </c>
      <c r="O2915">
        <v>-0.92340230000000001</v>
      </c>
      <c r="P2915">
        <v>-0.36227490000000001</v>
      </c>
      <c r="Q2915">
        <v>-3.6142649999999998E-2</v>
      </c>
      <c r="R2915">
        <v>-0.93137029999999998</v>
      </c>
      <c r="S2915">
        <v>-0.3882446</v>
      </c>
      <c r="T2915">
        <v>-0.39831139999999998</v>
      </c>
      <c r="U2915">
        <v>-3.056702</v>
      </c>
      <c r="V2915">
        <v>-2.27295E-2</v>
      </c>
      <c r="W2915">
        <v>-2.5346299999999999E-2</v>
      </c>
      <c r="X2915">
        <v>0.99942030000000004</v>
      </c>
      <c r="Y2915">
        <v>-0.26508219999999999</v>
      </c>
      <c r="Z2915">
        <v>0.1117993</v>
      </c>
      <c r="AA2915">
        <v>0.95772250000000003</v>
      </c>
      <c r="AB2915">
        <v>12</v>
      </c>
      <c r="AC2915">
        <v>-1.0638999999999801</v>
      </c>
      <c r="AD2915">
        <v>-1.111746229225</v>
      </c>
      <c r="AE2915">
        <v>-8.4774999999999601</v>
      </c>
      <c r="AF2915">
        <v>-2.2325662854538701</v>
      </c>
      <c r="AG2915">
        <v>-1.111746229225</v>
      </c>
      <c r="AH2915">
        <v>8.0996895051533109</v>
      </c>
      <c r="AI2915">
        <v>97.537773237844206</v>
      </c>
      <c r="AJ2915">
        <v>105.41012559121501</v>
      </c>
      <c r="AK2915">
        <v>8.4749809425763303</v>
      </c>
      <c r="AL2915">
        <v>91.452391554932404</v>
      </c>
      <c r="AM2915">
        <v>91.302835213507294</v>
      </c>
      <c r="AN2915">
        <v>1.0000000005730101</v>
      </c>
    </row>
    <row r="2916" spans="1:40" x14ac:dyDescent="0.25">
      <c r="A2916" t="str">
        <f>"20190312154311603"</f>
        <v>20190312154311603</v>
      </c>
      <c r="B2916" t="str">
        <f>"1552376591590529"</f>
        <v>1552376591590529</v>
      </c>
      <c r="C2916" t="s">
        <v>40</v>
      </c>
      <c r="D2916">
        <v>4.7640750000000001</v>
      </c>
      <c r="E2916">
        <v>0.40705720000000001</v>
      </c>
      <c r="F2916" t="s">
        <v>43</v>
      </c>
      <c r="G2916">
        <v>-491.3673</v>
      </c>
      <c r="H2916" s="1">
        <v>-4.2145460000000001E-6</v>
      </c>
      <c r="I2916">
        <v>258.65870000000001</v>
      </c>
      <c r="J2916">
        <v>-490.33609999999999</v>
      </c>
      <c r="K2916">
        <v>1.11175</v>
      </c>
      <c r="L2916">
        <v>267.1157</v>
      </c>
      <c r="M2916">
        <v>-0.38136930000000002</v>
      </c>
      <c r="N2916">
        <v>0</v>
      </c>
      <c r="O2916">
        <v>-0.92435880000000004</v>
      </c>
      <c r="P2916">
        <v>-0.35968869999999997</v>
      </c>
      <c r="Q2916">
        <v>-3.5980529999999997E-2</v>
      </c>
      <c r="R2916">
        <v>-0.93237840000000005</v>
      </c>
      <c r="S2916">
        <v>-0.3778687</v>
      </c>
      <c r="T2916">
        <v>-0.39936749999999999</v>
      </c>
      <c r="U2916">
        <v>-3.0585629999999999</v>
      </c>
      <c r="V2916">
        <v>-2.3006459999999999E-2</v>
      </c>
      <c r="W2916">
        <v>-2.5209539999999999E-2</v>
      </c>
      <c r="X2916">
        <v>0.99941740000000001</v>
      </c>
      <c r="Y2916">
        <v>-0.2659475</v>
      </c>
      <c r="Z2916">
        <v>0.1122109</v>
      </c>
      <c r="AA2916">
        <v>0.95743440000000002</v>
      </c>
      <c r="AB2916">
        <v>12</v>
      </c>
      <c r="AC2916">
        <v>-1.0312000000000101</v>
      </c>
      <c r="AD2916">
        <v>-1.111754214546</v>
      </c>
      <c r="AE2916">
        <v>-8.4569999999999901</v>
      </c>
      <c r="AF2916">
        <v>-2.23413191688388</v>
      </c>
      <c r="AG2916">
        <v>-1.111754214546</v>
      </c>
      <c r="AH2916">
        <v>8.0735754066808791</v>
      </c>
      <c r="AI2916">
        <v>97.559844640728201</v>
      </c>
      <c r="AJ2916">
        <v>105.467910841388</v>
      </c>
      <c r="AK2916">
        <v>8.4504415685195102</v>
      </c>
      <c r="AL2916">
        <v>91.444553311008704</v>
      </c>
      <c r="AM2916">
        <v>91.318708573491506</v>
      </c>
      <c r="AN2916">
        <v>0.99999997876575097</v>
      </c>
    </row>
    <row r="2917" spans="1:40" x14ac:dyDescent="0.25">
      <c r="A2917" t="str">
        <f>"20190312154311614"</f>
        <v>20190312154311614</v>
      </c>
      <c r="B2917" t="str">
        <f>"1552376591610049"</f>
        <v>1552376591610049</v>
      </c>
      <c r="C2917" t="s">
        <v>40</v>
      </c>
      <c r="D2917">
        <v>4.7421689999999996</v>
      </c>
      <c r="E2917">
        <v>0.40705469999999999</v>
      </c>
      <c r="F2917" t="s">
        <v>43</v>
      </c>
      <c r="G2917">
        <v>-491.36520000000002</v>
      </c>
      <c r="H2917" s="1">
        <v>-4.188292E-6</v>
      </c>
      <c r="I2917">
        <v>258.58269999999999</v>
      </c>
      <c r="J2917">
        <v>-490.35570000000001</v>
      </c>
      <c r="K2917">
        <v>1.111748</v>
      </c>
      <c r="L2917">
        <v>267.06110000000001</v>
      </c>
      <c r="M2917">
        <v>-0.37916529999999998</v>
      </c>
      <c r="N2917">
        <v>0</v>
      </c>
      <c r="O2917">
        <v>-0.92526540000000002</v>
      </c>
      <c r="P2917">
        <v>-0.35701090000000002</v>
      </c>
      <c r="Q2917">
        <v>-3.5820610000000003E-2</v>
      </c>
      <c r="R2917">
        <v>-0.93341320000000005</v>
      </c>
      <c r="S2917">
        <v>-0.36901859999999997</v>
      </c>
      <c r="T2917">
        <v>-0.39866600000000002</v>
      </c>
      <c r="U2917">
        <v>-3.0598749999999999</v>
      </c>
      <c r="V2917">
        <v>-2.3495479999999999E-2</v>
      </c>
      <c r="W2917">
        <v>-2.5075170000000001E-2</v>
      </c>
      <c r="X2917">
        <v>0.9994094</v>
      </c>
      <c r="Y2917">
        <v>-0.26642650000000001</v>
      </c>
      <c r="Z2917">
        <v>0.11215020000000001</v>
      </c>
      <c r="AA2917">
        <v>0.95730839999999995</v>
      </c>
      <c r="AB2917">
        <v>12</v>
      </c>
      <c r="AC2917">
        <v>-1.0095000000000001</v>
      </c>
      <c r="AD2917">
        <v>-1.1117521882920001</v>
      </c>
      <c r="AE2917">
        <v>-8.4784000000000201</v>
      </c>
      <c r="AF2917">
        <v>-2.2427696766708101</v>
      </c>
      <c r="AG2917">
        <v>-1.1117521882920001</v>
      </c>
      <c r="AH2917">
        <v>8.0908484686612692</v>
      </c>
      <c r="AI2917">
        <v>97.542963126581697</v>
      </c>
      <c r="AJ2917">
        <v>105.493284651651</v>
      </c>
      <c r="AK2917">
        <v>8.4692288724301594</v>
      </c>
      <c r="AL2917">
        <v>91.436852047453399</v>
      </c>
      <c r="AM2917">
        <v>91.346739299050796</v>
      </c>
      <c r="AN2917">
        <v>0.999999975269659</v>
      </c>
    </row>
    <row r="2918" spans="1:40" x14ac:dyDescent="0.25">
      <c r="A2918" t="str">
        <f>"20190312154311626"</f>
        <v>20190312154311626</v>
      </c>
      <c r="B2918" t="str">
        <f>"1552376591620784"</f>
        <v>1552376591620784</v>
      </c>
      <c r="C2918" t="s">
        <v>40</v>
      </c>
      <c r="D2918">
        <v>4.8021659999999997</v>
      </c>
      <c r="E2918">
        <v>0.40690589999999999</v>
      </c>
      <c r="F2918" t="s">
        <v>43</v>
      </c>
      <c r="G2918">
        <v>-491.35789999999997</v>
      </c>
      <c r="H2918" s="1">
        <v>-4.1764980000000001E-6</v>
      </c>
      <c r="I2918">
        <v>258.55180000000001</v>
      </c>
      <c r="J2918">
        <v>-490.37599999999998</v>
      </c>
      <c r="K2918">
        <v>1.111753</v>
      </c>
      <c r="L2918">
        <v>267.00400000000002</v>
      </c>
      <c r="M2918">
        <v>-0.37685600000000002</v>
      </c>
      <c r="N2918">
        <v>0</v>
      </c>
      <c r="O2918">
        <v>-0.92620880000000005</v>
      </c>
      <c r="P2918">
        <v>-0.35431119999999999</v>
      </c>
      <c r="Q2918">
        <v>-3.5756860000000001E-2</v>
      </c>
      <c r="R2918">
        <v>-0.93444400000000005</v>
      </c>
      <c r="S2918">
        <v>-0.3605042</v>
      </c>
      <c r="T2918">
        <v>-0.39989920000000001</v>
      </c>
      <c r="U2918">
        <v>-3.060791</v>
      </c>
      <c r="V2918">
        <v>-2.3891519999999999E-2</v>
      </c>
      <c r="W2918">
        <v>-2.5038109999999999E-2</v>
      </c>
      <c r="X2918">
        <v>0.99940099999999998</v>
      </c>
      <c r="Y2918">
        <v>-0.26668750000000002</v>
      </c>
      <c r="Z2918">
        <v>0.1126496</v>
      </c>
      <c r="AA2918">
        <v>0.95717699999999994</v>
      </c>
      <c r="AB2918">
        <v>12</v>
      </c>
      <c r="AC2918">
        <v>-0.981899999999996</v>
      </c>
      <c r="AD2918">
        <v>-1.1117571764980001</v>
      </c>
      <c r="AE2918">
        <v>-8.4521999999999995</v>
      </c>
      <c r="AF2918">
        <v>-2.2377502092848598</v>
      </c>
      <c r="AG2918">
        <v>-1.1117571764980001</v>
      </c>
      <c r="AH2918">
        <v>8.0613998263713604</v>
      </c>
      <c r="AI2918">
        <v>97.569480944576497</v>
      </c>
      <c r="AJ2918">
        <v>105.514031474419</v>
      </c>
      <c r="AK2918">
        <v>8.4397687870740601</v>
      </c>
      <c r="AL2918">
        <v>91.434727912871097</v>
      </c>
      <c r="AM2918">
        <v>91.369442880498397</v>
      </c>
      <c r="AN2918">
        <v>1.00000003524064</v>
      </c>
    </row>
    <row r="2919" spans="1:40" x14ac:dyDescent="0.25">
      <c r="A2919" t="str">
        <f>"20190312154311638"</f>
        <v>20190312154311638</v>
      </c>
      <c r="B2919" t="str">
        <f>"1552376591630545"</f>
        <v>1552376591630545</v>
      </c>
      <c r="C2919" t="s">
        <v>40</v>
      </c>
      <c r="D2919">
        <v>4.7534130000000001</v>
      </c>
      <c r="E2919">
        <v>0.40696909999999997</v>
      </c>
      <c r="F2919" t="s">
        <v>43</v>
      </c>
      <c r="G2919">
        <v>-491.339</v>
      </c>
      <c r="H2919" s="1">
        <v>-4.1800480000000003E-6</v>
      </c>
      <c r="I2919">
        <v>258.57209999999998</v>
      </c>
      <c r="J2919">
        <v>-490.39510000000001</v>
      </c>
      <c r="K2919">
        <v>1.1117549999999901</v>
      </c>
      <c r="L2919">
        <v>266.94979999999998</v>
      </c>
      <c r="M2919">
        <v>-0.3746487</v>
      </c>
      <c r="N2919">
        <v>0</v>
      </c>
      <c r="O2919">
        <v>-0.92710409999999999</v>
      </c>
      <c r="P2919">
        <v>-0.3515819</v>
      </c>
      <c r="Q2919">
        <v>-3.5723440000000002E-2</v>
      </c>
      <c r="R2919">
        <v>-0.93547570000000002</v>
      </c>
      <c r="S2919">
        <v>-0.34976200000000002</v>
      </c>
      <c r="T2919">
        <v>-0.40377210000000002</v>
      </c>
      <c r="U2919">
        <v>-3.0623469999999999</v>
      </c>
      <c r="V2919">
        <v>-2.4428120000000001E-2</v>
      </c>
      <c r="W2919">
        <v>-2.503271E-2</v>
      </c>
      <c r="X2919">
        <v>0.9993881</v>
      </c>
      <c r="Y2919">
        <v>-0.26777509999999999</v>
      </c>
      <c r="Z2919">
        <v>0.11383840000000001</v>
      </c>
      <c r="AA2919">
        <v>0.95673260000000004</v>
      </c>
      <c r="AB2919">
        <v>12</v>
      </c>
      <c r="AC2919">
        <v>-0.94389999999998497</v>
      </c>
      <c r="AD2919">
        <v>-1.11175918004799</v>
      </c>
      <c r="AE2919">
        <v>-8.3777000000000008</v>
      </c>
      <c r="AF2919">
        <v>-2.2250396362029399</v>
      </c>
      <c r="AG2919">
        <v>-1.11175918004799</v>
      </c>
      <c r="AH2919">
        <v>7.98229319029838</v>
      </c>
      <c r="AI2919">
        <v>97.641368304276199</v>
      </c>
      <c r="AJ2919">
        <v>105.575648194303</v>
      </c>
      <c r="AK2919">
        <v>8.3608501022909802</v>
      </c>
      <c r="AL2919">
        <v>91.434418509371298</v>
      </c>
      <c r="AM2919">
        <v>91.400206321084596</v>
      </c>
      <c r="AN2919">
        <v>0.99999997201914304</v>
      </c>
    </row>
    <row r="2920" spans="1:40" x14ac:dyDescent="0.25">
      <c r="A2920" t="str">
        <f>"20190312154311650"</f>
        <v>20190312154311650</v>
      </c>
      <c r="B2920" t="str">
        <f>"1552376591640306"</f>
        <v>1552376591640306</v>
      </c>
      <c r="C2920" t="s">
        <v>40</v>
      </c>
      <c r="D2920">
        <v>4.7344089999999897</v>
      </c>
      <c r="E2920">
        <v>0.40692810000000001</v>
      </c>
      <c r="F2920" t="s">
        <v>43</v>
      </c>
      <c r="G2920">
        <v>-491.33510000000001</v>
      </c>
      <c r="H2920" s="1">
        <v>-4.158174E-6</v>
      </c>
      <c r="I2920">
        <v>258.50979999999998</v>
      </c>
      <c r="J2920">
        <v>-490.4169</v>
      </c>
      <c r="K2920">
        <v>1.1117669999999999</v>
      </c>
      <c r="L2920">
        <v>266.88749999999999</v>
      </c>
      <c r="M2920">
        <v>-0.37210690000000002</v>
      </c>
      <c r="N2920">
        <v>0</v>
      </c>
      <c r="O2920">
        <v>-0.92812749999999999</v>
      </c>
      <c r="P2920">
        <v>-0.34837839999999998</v>
      </c>
      <c r="Q2920">
        <v>-3.5841320000000003E-2</v>
      </c>
      <c r="R2920">
        <v>-0.93666859999999996</v>
      </c>
      <c r="S2920">
        <v>-0.3411865</v>
      </c>
      <c r="T2920">
        <v>-0.4035145</v>
      </c>
      <c r="U2920">
        <v>-3.0632929999999998</v>
      </c>
      <c r="V2920">
        <v>-2.510662E-2</v>
      </c>
      <c r="W2920">
        <v>-2.518422E-2</v>
      </c>
      <c r="X2920">
        <v>0.99936749999999996</v>
      </c>
      <c r="Y2920">
        <v>-0.26781329999999998</v>
      </c>
      <c r="Z2920">
        <v>0.1139438</v>
      </c>
      <c r="AA2920">
        <v>0.95670940000000004</v>
      </c>
      <c r="AB2920">
        <v>12</v>
      </c>
      <c r="AC2920">
        <v>-0.91820000000001301</v>
      </c>
      <c r="AD2920">
        <v>-1.111771158174</v>
      </c>
      <c r="AE2920">
        <v>-8.3777000000000008</v>
      </c>
      <c r="AF2920">
        <v>-2.2265778957002702</v>
      </c>
      <c r="AG2920">
        <v>-1.111771158174</v>
      </c>
      <c r="AH2920">
        <v>7.9788653188034999</v>
      </c>
      <c r="AI2920">
        <v>97.644082796703202</v>
      </c>
      <c r="AJ2920">
        <v>105.59226335808</v>
      </c>
      <c r="AK2920">
        <v>8.3579887538434701</v>
      </c>
      <c r="AL2920">
        <v>91.443102099571504</v>
      </c>
      <c r="AM2920">
        <v>91.439111083568307</v>
      </c>
      <c r="AN2920">
        <v>0.99999999368054104</v>
      </c>
    </row>
    <row r="2921" spans="1:40" x14ac:dyDescent="0.25">
      <c r="A2921" t="str">
        <f>"20190312154311661"</f>
        <v>20190312154311661</v>
      </c>
      <c r="B2921" t="str">
        <f>"1552376591650066"</f>
        <v>1552376591650066</v>
      </c>
      <c r="C2921" t="s">
        <v>40</v>
      </c>
      <c r="D2921">
        <v>4.7202310000000001</v>
      </c>
      <c r="E2921">
        <v>0.4062714</v>
      </c>
      <c r="F2921" t="s">
        <v>43</v>
      </c>
      <c r="G2921">
        <v>-491.32760000000002</v>
      </c>
      <c r="H2921" s="1">
        <v>-4.1358960000000004E-6</v>
      </c>
      <c r="I2921">
        <v>258.44830000000002</v>
      </c>
      <c r="J2921">
        <v>-490.4366</v>
      </c>
      <c r="K2921">
        <v>1.1117729999999999</v>
      </c>
      <c r="L2921">
        <v>266.83019999999999</v>
      </c>
      <c r="M2921">
        <v>-0.36975970000000002</v>
      </c>
      <c r="N2921">
        <v>0</v>
      </c>
      <c r="O2921">
        <v>-0.92906560000000005</v>
      </c>
      <c r="P2921">
        <v>-0.34555079999999999</v>
      </c>
      <c r="Q2921">
        <v>-3.5548370000000003E-2</v>
      </c>
      <c r="R2921">
        <v>-0.93772670000000002</v>
      </c>
      <c r="S2921">
        <v>-0.33071899999999999</v>
      </c>
      <c r="T2921">
        <v>-0.40370440000000002</v>
      </c>
      <c r="U2921">
        <v>-3.0644230000000001</v>
      </c>
      <c r="V2921">
        <v>-2.559999E-2</v>
      </c>
      <c r="W2921">
        <v>-2.4924310000000002E-2</v>
      </c>
      <c r="X2921">
        <v>0.99936150000000001</v>
      </c>
      <c r="Y2921">
        <v>-0.26864700000000002</v>
      </c>
      <c r="Z2921">
        <v>0.1141387</v>
      </c>
      <c r="AA2921">
        <v>0.95645239999999998</v>
      </c>
      <c r="AB2921">
        <v>12</v>
      </c>
      <c r="AC2921">
        <v>-0.891000000000019</v>
      </c>
      <c r="AD2921">
        <v>-1.11177713589599</v>
      </c>
      <c r="AE2921">
        <v>-8.3818999999999697</v>
      </c>
      <c r="AF2921">
        <v>-2.2327785475000899</v>
      </c>
      <c r="AG2921">
        <v>-1.11177713589599</v>
      </c>
      <c r="AH2921">
        <v>7.9784570766792102</v>
      </c>
      <c r="AI2921">
        <v>97.642960317163897</v>
      </c>
      <c r="AJ2921">
        <v>105.634325439463</v>
      </c>
      <c r="AK2921">
        <v>8.3592539001091701</v>
      </c>
      <c r="AL2921">
        <v>91.428205676543897</v>
      </c>
      <c r="AM2921">
        <v>91.467387605403701</v>
      </c>
      <c r="AN2921">
        <v>0.99999999419961305</v>
      </c>
    </row>
    <row r="2922" spans="1:40" x14ac:dyDescent="0.25">
      <c r="A2922" t="str">
        <f>"20190312154311673"</f>
        <v>20190312154311673</v>
      </c>
      <c r="B2922" t="str">
        <f>"1552376591670560"</f>
        <v>1552376591670560</v>
      </c>
      <c r="C2922" t="s">
        <v>40</v>
      </c>
      <c r="D2922">
        <v>4.8538800000000002</v>
      </c>
      <c r="E2922">
        <v>0.38724950000000002</v>
      </c>
      <c r="F2922" t="s">
        <v>43</v>
      </c>
      <c r="G2922">
        <v>-491.3159</v>
      </c>
      <c r="H2922" s="1">
        <v>-4.0869060000000004E-6</v>
      </c>
      <c r="I2922">
        <v>258.31040000000002</v>
      </c>
      <c r="J2922">
        <v>-490.45530000000002</v>
      </c>
      <c r="K2922">
        <v>1.11178</v>
      </c>
      <c r="L2922">
        <v>266.7758</v>
      </c>
      <c r="M2922">
        <v>-0.36752259999999998</v>
      </c>
      <c r="N2922">
        <v>0</v>
      </c>
      <c r="O2922">
        <v>-0.92995300000000003</v>
      </c>
      <c r="P2922">
        <v>-0.3427519</v>
      </c>
      <c r="Q2922">
        <v>-3.5210980000000003E-2</v>
      </c>
      <c r="R2922">
        <v>-0.93876610000000005</v>
      </c>
      <c r="S2922">
        <v>-0.31655879999999997</v>
      </c>
      <c r="T2922">
        <v>-0.40027839999999998</v>
      </c>
      <c r="U2922">
        <v>-3.0674130000000002</v>
      </c>
      <c r="V2922">
        <v>-2.618061E-2</v>
      </c>
      <c r="W2922">
        <v>-2.462052E-2</v>
      </c>
      <c r="X2922">
        <v>0.99935399999999996</v>
      </c>
      <c r="Y2922">
        <v>-0.27078180000000002</v>
      </c>
      <c r="Z2922">
        <v>0.113231</v>
      </c>
      <c r="AA2922">
        <v>0.95595810000000003</v>
      </c>
      <c r="AB2922">
        <v>12</v>
      </c>
      <c r="AC2922">
        <v>-0.86059999999997605</v>
      </c>
      <c r="AD2922">
        <v>-1.1117840869059901</v>
      </c>
      <c r="AE2922">
        <v>-8.4653999999999794</v>
      </c>
      <c r="AF2922">
        <v>-2.2722491470069701</v>
      </c>
      <c r="AG2922">
        <v>-1.1117840869059901</v>
      </c>
      <c r="AH2922">
        <v>8.0517253088561294</v>
      </c>
      <c r="AI2922">
        <v>97.569677889855299</v>
      </c>
      <c r="AJ2922">
        <v>105.759410837057</v>
      </c>
      <c r="AK2922">
        <v>8.4397547648759108</v>
      </c>
      <c r="AL2922">
        <v>91.410794431889101</v>
      </c>
      <c r="AM2922">
        <v>91.5006648646401</v>
      </c>
      <c r="AN2922">
        <v>1.0000000058305201</v>
      </c>
    </row>
    <row r="2923" spans="1:40" x14ac:dyDescent="0.25">
      <c r="A2923" t="str">
        <f>"20190312154311684"</f>
        <v>20190312154311684</v>
      </c>
      <c r="B2923" t="str">
        <f>"1552376591680321"</f>
        <v>1552376591680321</v>
      </c>
      <c r="C2923" t="s">
        <v>40</v>
      </c>
      <c r="D2923">
        <v>4.6894099999999996</v>
      </c>
      <c r="E2923">
        <v>0.38691049999999999</v>
      </c>
      <c r="F2923" t="s">
        <v>43</v>
      </c>
      <c r="G2923">
        <v>-491.20069999999998</v>
      </c>
      <c r="H2923" s="1">
        <v>-1.922E-6</v>
      </c>
      <c r="I2923">
        <v>253.32470000000001</v>
      </c>
      <c r="J2923">
        <v>-490.47399999999999</v>
      </c>
      <c r="K2923">
        <v>1.111791</v>
      </c>
      <c r="L2923">
        <v>266.72109999999998</v>
      </c>
      <c r="M2923">
        <v>-0.36526459999999999</v>
      </c>
      <c r="N2923">
        <v>0</v>
      </c>
      <c r="O2923">
        <v>-0.93084259999999996</v>
      </c>
      <c r="P2923">
        <v>-0.34007969999999998</v>
      </c>
      <c r="Q2923">
        <v>-3.4536690000000002E-2</v>
      </c>
      <c r="R2923">
        <v>-0.9397624</v>
      </c>
      <c r="S2923">
        <v>-0.17303470000000001</v>
      </c>
      <c r="T2923">
        <v>-0.2581098</v>
      </c>
      <c r="U2923">
        <v>-3.1228030000000002</v>
      </c>
      <c r="V2923">
        <v>-2.6608940000000001E-2</v>
      </c>
      <c r="W2923">
        <v>-2.3981240000000001E-2</v>
      </c>
      <c r="X2923">
        <v>0.99935819999999997</v>
      </c>
      <c r="Y2923">
        <v>-0.31334450000000003</v>
      </c>
      <c r="Z2923">
        <v>7.1745199999999995E-2</v>
      </c>
      <c r="AA2923">
        <v>0.94692549999999998</v>
      </c>
      <c r="AB2923">
        <v>12</v>
      </c>
      <c r="AC2923">
        <v>-0.72669999999999302</v>
      </c>
      <c r="AD2923">
        <v>-1.111792922</v>
      </c>
      <c r="AE2923">
        <v>-13.3963999999999</v>
      </c>
      <c r="AF2923">
        <v>-4.1882646820207503</v>
      </c>
      <c r="AG2923">
        <v>-1.111792922</v>
      </c>
      <c r="AH2923">
        <v>12.6492344759269</v>
      </c>
      <c r="AI2923">
        <v>94.769664694807403</v>
      </c>
      <c r="AJ2923">
        <v>108.320128302782</v>
      </c>
      <c r="AK2923">
        <v>13.3708929161463</v>
      </c>
      <c r="AL2923">
        <v>91.374155609842106</v>
      </c>
      <c r="AM2923">
        <v>91.525198703703694</v>
      </c>
      <c r="AN2923">
        <v>0.99999997373354998</v>
      </c>
    </row>
    <row r="2924" spans="1:40" x14ac:dyDescent="0.25">
      <c r="A2924" t="str">
        <f>"20190312154311701"</f>
        <v>20190312154311701</v>
      </c>
      <c r="B2924" t="str">
        <f>"1552376591690081"</f>
        <v>1552376591690081</v>
      </c>
      <c r="C2924" t="s">
        <v>40</v>
      </c>
      <c r="D2924">
        <v>4.6781030000000001</v>
      </c>
      <c r="E2924">
        <v>0.38679560000000002</v>
      </c>
      <c r="F2924" t="s">
        <v>43</v>
      </c>
      <c r="G2924">
        <v>-491.20549999999997</v>
      </c>
      <c r="H2924" s="1">
        <v>-1.625915E-6</v>
      </c>
      <c r="I2924">
        <v>252.63140000000001</v>
      </c>
      <c r="J2924">
        <v>-490.5027</v>
      </c>
      <c r="K2924">
        <v>1.111796</v>
      </c>
      <c r="L2924">
        <v>266.63560000000001</v>
      </c>
      <c r="M2924">
        <v>-0.36172199999999999</v>
      </c>
      <c r="N2924">
        <v>0</v>
      </c>
      <c r="O2924">
        <v>-0.93222579999999999</v>
      </c>
      <c r="P2924">
        <v>-0.33629809999999999</v>
      </c>
      <c r="Q2924">
        <v>-3.3788550000000001E-2</v>
      </c>
      <c r="R2924">
        <v>-0.94114949999999997</v>
      </c>
      <c r="S2924">
        <v>-0.1622314</v>
      </c>
      <c r="T2924">
        <v>-0.246558</v>
      </c>
      <c r="U2924">
        <v>-3.124603</v>
      </c>
      <c r="V2924">
        <v>-2.6838589999999999E-2</v>
      </c>
      <c r="W2924">
        <v>-2.3292670000000001E-2</v>
      </c>
      <c r="X2924">
        <v>0.99936840000000005</v>
      </c>
      <c r="Y2924">
        <v>-0.31301830000000003</v>
      </c>
      <c r="Z2924">
        <v>6.8685209999999997E-2</v>
      </c>
      <c r="AA2924">
        <v>0.9472602</v>
      </c>
      <c r="AB2924">
        <v>12</v>
      </c>
      <c r="AC2924">
        <v>-0.70279999999996701</v>
      </c>
      <c r="AD2924">
        <v>-1.111797625915</v>
      </c>
      <c r="AE2924">
        <v>-14.0041999999999</v>
      </c>
      <c r="AF2924">
        <v>-4.3831497043878498</v>
      </c>
      <c r="AG2924">
        <v>-1.111797625915</v>
      </c>
      <c r="AH2924">
        <v>13.2268846004593</v>
      </c>
      <c r="AI2924">
        <v>94.561909237676701</v>
      </c>
      <c r="AJ2924">
        <v>108.33426023759</v>
      </c>
      <c r="AK2924">
        <v>13.978503908714</v>
      </c>
      <c r="AL2924">
        <v>91.334692354118403</v>
      </c>
      <c r="AM2924">
        <v>91.538340027739494</v>
      </c>
      <c r="AN2924">
        <v>1.0000000286537301</v>
      </c>
    </row>
    <row r="2925" spans="1:40" x14ac:dyDescent="0.25">
      <c r="A2925" t="str">
        <f>"20190312154311715"</f>
        <v>20190312154311715</v>
      </c>
      <c r="B2925" t="str">
        <f>"1552376591710577"</f>
        <v>1552376591710577</v>
      </c>
      <c r="C2925" t="s">
        <v>40</v>
      </c>
      <c r="D2925">
        <v>4.6561260000000004</v>
      </c>
      <c r="E2925">
        <v>0.38751029999999997</v>
      </c>
      <c r="F2925" t="s">
        <v>43</v>
      </c>
      <c r="G2925">
        <v>-491.2099</v>
      </c>
      <c r="H2925" s="1">
        <v>-1.309471E-6</v>
      </c>
      <c r="I2925">
        <v>251.89109999999999</v>
      </c>
      <c r="J2925">
        <v>-490.52480000000003</v>
      </c>
      <c r="K2925">
        <v>1.1118030000000001</v>
      </c>
      <c r="L2925">
        <v>266.56950000000001</v>
      </c>
      <c r="M2925">
        <v>-0.35896670000000003</v>
      </c>
      <c r="N2925">
        <v>0</v>
      </c>
      <c r="O2925">
        <v>-0.93329079999999998</v>
      </c>
      <c r="P2925">
        <v>-0.33334160000000002</v>
      </c>
      <c r="Q2925">
        <v>-3.3995350000000001E-2</v>
      </c>
      <c r="R2925">
        <v>-0.94219330000000001</v>
      </c>
      <c r="S2925">
        <v>-0.14990229999999999</v>
      </c>
      <c r="T2925">
        <v>-0.23567929999999901</v>
      </c>
      <c r="U2925">
        <v>-3.1255489999999999</v>
      </c>
      <c r="V2925">
        <v>-2.7019499999999998E-2</v>
      </c>
      <c r="W2925">
        <v>-2.3553089999999999E-2</v>
      </c>
      <c r="X2925">
        <v>0.99935739999999995</v>
      </c>
      <c r="Y2925">
        <v>-0.31394689999999997</v>
      </c>
      <c r="Z2925">
        <v>6.5764050000000004E-2</v>
      </c>
      <c r="AA2925">
        <v>0.94716020000000001</v>
      </c>
      <c r="AB2925">
        <v>12</v>
      </c>
      <c r="AC2925">
        <v>-0.68509999999997695</v>
      </c>
      <c r="AD2925">
        <v>-1.111804309471</v>
      </c>
      <c r="AE2925">
        <v>-14.6784</v>
      </c>
      <c r="AF2925">
        <v>-4.6035625877385096</v>
      </c>
      <c r="AG2925">
        <v>-1.111804309471</v>
      </c>
      <c r="AH2925">
        <v>13.866537082654499</v>
      </c>
      <c r="AI2925">
        <v>94.351537202437598</v>
      </c>
      <c r="AJ2925">
        <v>108.365691054064</v>
      </c>
      <c r="AK2925">
        <v>14.652977444411</v>
      </c>
      <c r="AL2925">
        <v>91.349617444357605</v>
      </c>
      <c r="AM2925">
        <v>91.548721471000604</v>
      </c>
      <c r="AN2925">
        <v>1.0000000071817701</v>
      </c>
    </row>
    <row r="2926" spans="1:40" x14ac:dyDescent="0.25">
      <c r="A2926" t="str">
        <f>"20190312154311729"</f>
        <v>20190312154311729</v>
      </c>
      <c r="B2926" t="str">
        <f>"1552376591720337"</f>
        <v>1552376591720337</v>
      </c>
      <c r="C2926" t="s">
        <v>40</v>
      </c>
      <c r="D2926">
        <v>4.6428510000000003</v>
      </c>
      <c r="E2926">
        <v>0.38802750000000003</v>
      </c>
      <c r="F2926" t="s">
        <v>43</v>
      </c>
      <c r="G2926">
        <v>-491.19349999999997</v>
      </c>
      <c r="H2926" s="1">
        <v>-1.4142339999999901E-6</v>
      </c>
      <c r="I2926">
        <v>252.1455</v>
      </c>
      <c r="J2926">
        <v>-490.54730000000001</v>
      </c>
      <c r="K2926">
        <v>1.111802</v>
      </c>
      <c r="L2926">
        <v>266.50119999999998</v>
      </c>
      <c r="M2926">
        <v>-0.35610579999999997</v>
      </c>
      <c r="N2926">
        <v>0</v>
      </c>
      <c r="O2926">
        <v>-0.93438690000000002</v>
      </c>
      <c r="P2926">
        <v>-0.33061849999999998</v>
      </c>
      <c r="Q2926">
        <v>-3.4155970000000001E-2</v>
      </c>
      <c r="R2926">
        <v>-0.94314659999999995</v>
      </c>
      <c r="S2926">
        <v>-0.1448364</v>
      </c>
      <c r="T2926">
        <v>-0.24081159999999999</v>
      </c>
      <c r="U2926">
        <v>-3.1241759999999998</v>
      </c>
      <c r="V2926">
        <v>-2.6840670000000001E-2</v>
      </c>
      <c r="W2926">
        <v>-2.3773720000000002E-2</v>
      </c>
      <c r="X2926">
        <v>0.99935700000000005</v>
      </c>
      <c r="Y2926">
        <v>-0.31255450000000001</v>
      </c>
      <c r="Z2926">
        <v>6.7362459999999999E-2</v>
      </c>
      <c r="AA2926">
        <v>0.94750829999999997</v>
      </c>
      <c r="AB2926">
        <v>12</v>
      </c>
      <c r="AC2926">
        <v>-0.64619999999996403</v>
      </c>
      <c r="AD2926">
        <v>-1.1118034142340001</v>
      </c>
      <c r="AE2926">
        <v>-14.355699999999899</v>
      </c>
      <c r="AF2926">
        <v>-4.4817673704057901</v>
      </c>
      <c r="AG2926">
        <v>-1.1118034142340001</v>
      </c>
      <c r="AH2926">
        <v>13.5634533297139</v>
      </c>
      <c r="AI2926">
        <v>94.450450238601405</v>
      </c>
      <c r="AJ2926">
        <v>108.285087589402</v>
      </c>
      <c r="AK2926">
        <v>14.327931177307599</v>
      </c>
      <c r="AL2926">
        <v>91.362262145772306</v>
      </c>
      <c r="AM2926">
        <v>91.538476733613805</v>
      </c>
      <c r="AN2926">
        <v>1.00000001238884</v>
      </c>
    </row>
    <row r="2927" spans="1:40" x14ac:dyDescent="0.25">
      <c r="A2927" t="str">
        <f>"20190312154311741"</f>
        <v>20190312154311741</v>
      </c>
      <c r="B2927" t="str">
        <f>"1552376591730097"</f>
        <v>1552376591730097</v>
      </c>
      <c r="C2927" t="s">
        <v>40</v>
      </c>
      <c r="D2927">
        <v>4.6050829999999996</v>
      </c>
      <c r="E2927">
        <v>0.38844210000000001</v>
      </c>
      <c r="F2927" t="s">
        <v>43</v>
      </c>
      <c r="G2927">
        <v>-491.18889999999999</v>
      </c>
      <c r="H2927" s="1">
        <v>-1.4247159999999999E-6</v>
      </c>
      <c r="I2927">
        <v>252.1728</v>
      </c>
      <c r="J2927">
        <v>-490.56900000000002</v>
      </c>
      <c r="K2927">
        <v>1.1118030000000001</v>
      </c>
      <c r="L2927">
        <v>266.43459999999999</v>
      </c>
      <c r="M2927">
        <v>-0.3533038</v>
      </c>
      <c r="N2927">
        <v>0</v>
      </c>
      <c r="O2927">
        <v>-0.93545069999999997</v>
      </c>
      <c r="P2927">
        <v>-0.32777089999999998</v>
      </c>
      <c r="Q2927">
        <v>-3.4606680000000001E-2</v>
      </c>
      <c r="R2927">
        <v>-0.9441233</v>
      </c>
      <c r="S2927">
        <v>-0.1398315</v>
      </c>
      <c r="T2927">
        <v>-0.24232880000000001</v>
      </c>
      <c r="U2927">
        <v>-3.1230159999999998</v>
      </c>
      <c r="V2927">
        <v>-2.6852239999999999E-2</v>
      </c>
      <c r="W2927">
        <v>-2.429417E-2</v>
      </c>
      <c r="X2927">
        <v>0.99934420000000002</v>
      </c>
      <c r="Y2927">
        <v>-0.31120779999999998</v>
      </c>
      <c r="Z2927">
        <v>6.795089E-2</v>
      </c>
      <c r="AA2927">
        <v>0.94790949999999996</v>
      </c>
      <c r="AB2927">
        <v>12</v>
      </c>
      <c r="AC2927">
        <v>-0.61989999999997203</v>
      </c>
      <c r="AD2927">
        <v>-1.1118044247159999</v>
      </c>
      <c r="AE2927">
        <v>-14.2617999999999</v>
      </c>
      <c r="AF2927">
        <v>-4.4322189918926798</v>
      </c>
      <c r="AG2927">
        <v>-1.1118044247159999</v>
      </c>
      <c r="AH2927">
        <v>13.4791967613453</v>
      </c>
      <c r="AI2927">
        <v>94.480296630201906</v>
      </c>
      <c r="AJ2927">
        <v>108.201858872626</v>
      </c>
      <c r="AK2927">
        <v>14.2326884179333</v>
      </c>
      <c r="AL2927">
        <v>91.392090312132197</v>
      </c>
      <c r="AM2927">
        <v>91.539159298382202</v>
      </c>
      <c r="AN2927">
        <v>1.00000003978132</v>
      </c>
    </row>
    <row r="2928" spans="1:40" x14ac:dyDescent="0.25">
      <c r="A2928" t="str">
        <f>"20190312154311757"</f>
        <v>20190312154311757</v>
      </c>
      <c r="B2928" t="str">
        <f>"1552376591750593"</f>
        <v>1552376591750593</v>
      </c>
      <c r="C2928" t="s">
        <v>40</v>
      </c>
      <c r="D2928">
        <v>4.592231</v>
      </c>
      <c r="E2928">
        <v>0.38930959999999998</v>
      </c>
      <c r="F2928" t="s">
        <v>43</v>
      </c>
      <c r="G2928">
        <v>-491.17509999999999</v>
      </c>
      <c r="H2928" s="1">
        <v>-1.4400739999999999E-6</v>
      </c>
      <c r="I2928">
        <v>252.21709999999999</v>
      </c>
      <c r="J2928">
        <v>-490.59370000000001</v>
      </c>
      <c r="K2928">
        <v>1.1118049999999999</v>
      </c>
      <c r="L2928">
        <v>266.35770000000002</v>
      </c>
      <c r="M2928">
        <v>-0.35005890000000001</v>
      </c>
      <c r="N2928">
        <v>0</v>
      </c>
      <c r="O2928">
        <v>-0.93667080000000003</v>
      </c>
      <c r="P2928">
        <v>-0.32502890000000001</v>
      </c>
      <c r="Q2928">
        <v>-3.4842150000000002E-2</v>
      </c>
      <c r="R2928">
        <v>-0.94506230000000002</v>
      </c>
      <c r="S2928">
        <v>-0.13311770000000001</v>
      </c>
      <c r="T2928">
        <v>-0.24416959999999999</v>
      </c>
      <c r="U2928">
        <v>-3.1223749999999999</v>
      </c>
      <c r="V2928">
        <v>-2.6283540000000001E-2</v>
      </c>
      <c r="W2928">
        <v>-2.461257E-2</v>
      </c>
      <c r="X2928">
        <v>0.99935149999999995</v>
      </c>
      <c r="Y2928">
        <v>-0.3099404</v>
      </c>
      <c r="Z2928">
        <v>6.8638199999999996E-2</v>
      </c>
      <c r="AA2928">
        <v>0.94827510000000004</v>
      </c>
      <c r="AB2928">
        <v>12</v>
      </c>
      <c r="AC2928">
        <v>-0.58139999999997305</v>
      </c>
      <c r="AD2928">
        <v>-1.111806440074</v>
      </c>
      <c r="AE2928">
        <v>-14.140599999999999</v>
      </c>
      <c r="AF2928">
        <v>-4.3786743719035099</v>
      </c>
      <c r="AG2928">
        <v>-1.111806440074</v>
      </c>
      <c r="AH2928">
        <v>13.3668349659565</v>
      </c>
      <c r="AI2928">
        <v>94.519466490488597</v>
      </c>
      <c r="AJ2928">
        <v>108.137631597276</v>
      </c>
      <c r="AK2928">
        <v>14.1096130287996</v>
      </c>
      <c r="AL2928">
        <v>91.410338783929603</v>
      </c>
      <c r="AM2928">
        <v>91.506565835308706</v>
      </c>
      <c r="AN2928">
        <v>1.00000001181459</v>
      </c>
    </row>
    <row r="2929" spans="1:40" x14ac:dyDescent="0.25">
      <c r="A2929" t="str">
        <f>"20190312154311769"</f>
        <v>20190312154311769</v>
      </c>
      <c r="B2929" t="str">
        <f>"1552376591760353"</f>
        <v>1552376591760353</v>
      </c>
      <c r="C2929" t="s">
        <v>40</v>
      </c>
      <c r="D2929">
        <v>4.5470889999999997</v>
      </c>
      <c r="E2929">
        <v>0.3898819</v>
      </c>
      <c r="F2929" t="s">
        <v>43</v>
      </c>
      <c r="G2929">
        <v>-491.18880000000001</v>
      </c>
      <c r="H2929" s="1">
        <v>-1.4181870000000001E-6</v>
      </c>
      <c r="I2929">
        <v>252.1576</v>
      </c>
      <c r="J2929">
        <v>-490.6114</v>
      </c>
      <c r="K2929">
        <v>1.111807</v>
      </c>
      <c r="L2929">
        <v>266.3023</v>
      </c>
      <c r="M2929">
        <v>-0.3477111</v>
      </c>
      <c r="N2929">
        <v>0</v>
      </c>
      <c r="O2929">
        <v>-0.93754539999999997</v>
      </c>
      <c r="P2929">
        <v>-0.32280310000000001</v>
      </c>
      <c r="Q2929">
        <v>-3.4501070000000002E-2</v>
      </c>
      <c r="R2929">
        <v>-0.94583729999999999</v>
      </c>
      <c r="S2929">
        <v>-0.13076779999999999</v>
      </c>
      <c r="T2929">
        <v>-0.24431800000000001</v>
      </c>
      <c r="U2929">
        <v>-3.1204529999999999</v>
      </c>
      <c r="V2929">
        <v>-2.6136949999999999E-2</v>
      </c>
      <c r="W2929">
        <v>-2.4334870000000001E-2</v>
      </c>
      <c r="X2929">
        <v>0.99936210000000003</v>
      </c>
      <c r="Y2929">
        <v>-0.30824659999999998</v>
      </c>
      <c r="Z2929">
        <v>6.8845760000000006E-2</v>
      </c>
      <c r="AA2929">
        <v>0.94881210000000005</v>
      </c>
      <c r="AB2929">
        <v>12</v>
      </c>
      <c r="AC2929">
        <v>-0.57740000000001102</v>
      </c>
      <c r="AD2929">
        <v>-1.111808418187</v>
      </c>
      <c r="AE2929">
        <v>-14.1447</v>
      </c>
      <c r="AF2929">
        <v>-4.3503284986139903</v>
      </c>
      <c r="AG2929">
        <v>-1.111808418187</v>
      </c>
      <c r="AH2929">
        <v>13.3802474417596</v>
      </c>
      <c r="AI2929">
        <v>94.518208903283906</v>
      </c>
      <c r="AJ2929">
        <v>108.01093170884199</v>
      </c>
      <c r="AK2929">
        <v>14.1135572272663</v>
      </c>
      <c r="AL2929">
        <v>91.394423042114099</v>
      </c>
      <c r="AM2929">
        <v>91.498151290437093</v>
      </c>
      <c r="AN2929">
        <v>0.99999996648481404</v>
      </c>
    </row>
    <row r="2930" spans="1:40" x14ac:dyDescent="0.25">
      <c r="A2930" t="str">
        <f>"20190312154311779"</f>
        <v>20190312154311779</v>
      </c>
      <c r="B2930" t="str">
        <f>"1552376591770113"</f>
        <v>1552376591770113</v>
      </c>
      <c r="C2930" t="s">
        <v>40</v>
      </c>
      <c r="D2930">
        <v>4.4832530000000004</v>
      </c>
      <c r="E2930">
        <v>0.39065179999999999</v>
      </c>
      <c r="F2930" t="s">
        <v>43</v>
      </c>
      <c r="G2930">
        <v>-491.19409999999999</v>
      </c>
      <c r="H2930" s="1">
        <v>-1.3775069999999999E-6</v>
      </c>
      <c r="I2930">
        <v>252.05950000000001</v>
      </c>
      <c r="J2930">
        <v>-490.62959999999998</v>
      </c>
      <c r="K2930">
        <v>1.111807</v>
      </c>
      <c r="L2930">
        <v>266.24439999999998</v>
      </c>
      <c r="M2930">
        <v>-0.34524319999999997</v>
      </c>
      <c r="N2930">
        <v>0</v>
      </c>
      <c r="O2930">
        <v>-0.93845780000000001</v>
      </c>
      <c r="P2930">
        <v>-0.32066220000000001</v>
      </c>
      <c r="Q2930">
        <v>-3.4051070000000003E-2</v>
      </c>
      <c r="R2930">
        <v>-0.94658129999999996</v>
      </c>
      <c r="S2930">
        <v>-0.1276245</v>
      </c>
      <c r="T2930">
        <v>-0.2434973</v>
      </c>
      <c r="U2930">
        <v>-3.1193240000000002</v>
      </c>
      <c r="V2930">
        <v>-2.5775019999999999E-2</v>
      </c>
      <c r="W2930">
        <v>-2.3955730000000001E-2</v>
      </c>
      <c r="X2930">
        <v>0.99938070000000001</v>
      </c>
      <c r="Y2930">
        <v>-0.30668339999999999</v>
      </c>
      <c r="Z2930">
        <v>6.8766999999999995E-2</v>
      </c>
      <c r="AA2930">
        <v>0.94932419999999995</v>
      </c>
      <c r="AB2930">
        <v>12</v>
      </c>
      <c r="AC2930">
        <v>-0.56450000000000899</v>
      </c>
      <c r="AD2930">
        <v>-1.111808377507</v>
      </c>
      <c r="AE2930">
        <v>-14.184899999999899</v>
      </c>
      <c r="AF2930">
        <v>-4.3410814233149804</v>
      </c>
      <c r="AG2930">
        <v>-1.111808377507</v>
      </c>
      <c r="AH2930">
        <v>13.4251773096339</v>
      </c>
      <c r="AI2930">
        <v>94.505488600183199</v>
      </c>
      <c r="AJ2930">
        <v>107.918808261188</v>
      </c>
      <c r="AK2930">
        <v>14.153320867812401</v>
      </c>
      <c r="AL2930">
        <v>91.372693530017102</v>
      </c>
      <c r="AM2930">
        <v>91.477387495973005</v>
      </c>
      <c r="AN2930">
        <v>1.0000000060941601</v>
      </c>
    </row>
    <row r="2931" spans="1:40" x14ac:dyDescent="0.25">
      <c r="A2931" t="str">
        <f>"20190312154311791"</f>
        <v>20190312154311791</v>
      </c>
      <c r="B2931" t="str">
        <f>"1552376591780849"</f>
        <v>1552376591780849</v>
      </c>
      <c r="C2931" t="s">
        <v>40</v>
      </c>
      <c r="D2931">
        <v>4.519069</v>
      </c>
      <c r="E2931">
        <v>0.39107320000000001</v>
      </c>
      <c r="F2931" t="s">
        <v>43</v>
      </c>
      <c r="G2931">
        <v>-491.21179999999998</v>
      </c>
      <c r="H2931" s="1">
        <v>-1.3137119999999999E-6</v>
      </c>
      <c r="I2931">
        <v>251.8998</v>
      </c>
      <c r="J2931">
        <v>-490.64769999999999</v>
      </c>
      <c r="K2931">
        <v>1.1118079999999999</v>
      </c>
      <c r="L2931">
        <v>266.1866</v>
      </c>
      <c r="M2931">
        <v>-0.342779</v>
      </c>
      <c r="N2931">
        <v>0</v>
      </c>
      <c r="O2931">
        <v>-0.93936140000000001</v>
      </c>
      <c r="P2931">
        <v>-0.31869059999999999</v>
      </c>
      <c r="Q2931">
        <v>-3.383978E-2</v>
      </c>
      <c r="R2931">
        <v>-0.94725470000000001</v>
      </c>
      <c r="S2931">
        <v>-0.1265259</v>
      </c>
      <c r="T2931">
        <v>-0.24164769999999999</v>
      </c>
      <c r="U2931">
        <v>-3.117737</v>
      </c>
      <c r="V2931">
        <v>-2.5234699999999999E-2</v>
      </c>
      <c r="W2931">
        <v>-2.3816650000000002E-2</v>
      </c>
      <c r="X2931">
        <v>0.9993978</v>
      </c>
      <c r="Y2931">
        <v>-0.3044983</v>
      </c>
      <c r="Z2931">
        <v>6.8413790000000002E-2</v>
      </c>
      <c r="AA2931">
        <v>0.95005280000000003</v>
      </c>
      <c r="AB2931">
        <v>12</v>
      </c>
      <c r="AC2931">
        <v>-0.56409999999999605</v>
      </c>
      <c r="AD2931">
        <v>-1.111809313712</v>
      </c>
      <c r="AE2931">
        <v>-14.286799999999999</v>
      </c>
      <c r="AF2931">
        <v>-4.34129531619124</v>
      </c>
      <c r="AG2931">
        <v>-1.111809313712</v>
      </c>
      <c r="AH2931">
        <v>13.5327019409934</v>
      </c>
      <c r="AI2931">
        <v>94.473157670650096</v>
      </c>
      <c r="AJ2931">
        <v>107.786258307995</v>
      </c>
      <c r="AK2931">
        <v>14.255419558757501</v>
      </c>
      <c r="AL2931">
        <v>91.364722576984093</v>
      </c>
      <c r="AM2931">
        <v>91.446405681061904</v>
      </c>
      <c r="AN2931">
        <v>0.99999999277307605</v>
      </c>
    </row>
    <row r="2932" spans="1:40" x14ac:dyDescent="0.25">
      <c r="A2932" t="str">
        <f>"20190312154311802"</f>
        <v>20190312154311802</v>
      </c>
      <c r="B2932" t="str">
        <f>"1552376591790609"</f>
        <v>1552376591790609</v>
      </c>
      <c r="C2932" t="s">
        <v>40</v>
      </c>
      <c r="D2932">
        <v>4.5157910000000001</v>
      </c>
      <c r="E2932">
        <v>0.39159260000000001</v>
      </c>
      <c r="F2932" t="s">
        <v>43</v>
      </c>
      <c r="G2932">
        <v>-491.22160000000002</v>
      </c>
      <c r="H2932" s="1">
        <v>-1.240546E-6</v>
      </c>
      <c r="I2932">
        <v>251.72319999999999</v>
      </c>
      <c r="J2932">
        <v>-490.66579999999999</v>
      </c>
      <c r="K2932">
        <v>1.1118079999999999</v>
      </c>
      <c r="L2932">
        <v>266.12830000000002</v>
      </c>
      <c r="M2932">
        <v>-0.34027770000000002</v>
      </c>
      <c r="N2932">
        <v>0</v>
      </c>
      <c r="O2932">
        <v>-0.94027139999999998</v>
      </c>
      <c r="P2932">
        <v>-0.31637589999999999</v>
      </c>
      <c r="Q2932">
        <v>-3.3529139999999999E-2</v>
      </c>
      <c r="R2932">
        <v>-0.94804140000000003</v>
      </c>
      <c r="S2932">
        <v>-0.1236877</v>
      </c>
      <c r="T2932">
        <v>-0.23959739999999999</v>
      </c>
      <c r="U2932">
        <v>-3.1169129999999998</v>
      </c>
      <c r="V2932">
        <v>-2.5019909999999999E-2</v>
      </c>
      <c r="W2932">
        <v>-2.3585660000000001E-2</v>
      </c>
      <c r="X2932">
        <v>0.99940870000000004</v>
      </c>
      <c r="Y2932">
        <v>-0.30281529999999901</v>
      </c>
      <c r="Z2932">
        <v>6.797984E-2</v>
      </c>
      <c r="AA2932">
        <v>0.95062170000000001</v>
      </c>
      <c r="AB2932">
        <v>12</v>
      </c>
      <c r="AC2932">
        <v>-0.55580000000003305</v>
      </c>
      <c r="AD2932">
        <v>-1.1118092405459901</v>
      </c>
      <c r="AE2932">
        <v>-14.405099999999999</v>
      </c>
      <c r="AF2932">
        <v>-4.3534571174850702</v>
      </c>
      <c r="AG2932">
        <v>-1.1118092405459901</v>
      </c>
      <c r="AH2932">
        <v>13.6533100541489</v>
      </c>
      <c r="AI2932">
        <v>94.436291889700598</v>
      </c>
      <c r="AJ2932">
        <v>107.68525985999401</v>
      </c>
      <c r="AK2932">
        <v>14.373641991362801</v>
      </c>
      <c r="AL2932">
        <v>91.351484076611499</v>
      </c>
      <c r="AM2932">
        <v>91.434083850020897</v>
      </c>
      <c r="AN2932">
        <v>1.00000001444486</v>
      </c>
    </row>
    <row r="2933" spans="1:40" x14ac:dyDescent="0.25">
      <c r="A2933" t="str">
        <f>"20190312154311815"</f>
        <v>20190312154311815</v>
      </c>
      <c r="B2933" t="str">
        <f>"1552376591810130"</f>
        <v>1552376591810130</v>
      </c>
      <c r="C2933" t="s">
        <v>40</v>
      </c>
      <c r="D2933">
        <v>4.45275</v>
      </c>
      <c r="E2933">
        <v>0.39231470000000002</v>
      </c>
      <c r="F2933" t="s">
        <v>43</v>
      </c>
      <c r="G2933">
        <v>-491.2242</v>
      </c>
      <c r="H2933" s="1">
        <v>-1.177071E-6</v>
      </c>
      <c r="I2933">
        <v>251.5736</v>
      </c>
      <c r="J2933">
        <v>-490.68310000000002</v>
      </c>
      <c r="K2933">
        <v>1.11181</v>
      </c>
      <c r="L2933">
        <v>266.07170000000002</v>
      </c>
      <c r="M2933">
        <v>-0.3378448</v>
      </c>
      <c r="N2933">
        <v>0</v>
      </c>
      <c r="O2933">
        <v>-0.94114909999999996</v>
      </c>
      <c r="P2933">
        <v>-0.31426979999999999</v>
      </c>
      <c r="Q2933">
        <v>-3.3673599999999998E-2</v>
      </c>
      <c r="R2933">
        <v>-0.94873640000000004</v>
      </c>
      <c r="S2933">
        <v>-0.1195679</v>
      </c>
      <c r="T2933">
        <v>-0.23803250000000001</v>
      </c>
      <c r="U2933">
        <v>-3.1160890000000001</v>
      </c>
      <c r="V2933">
        <v>-2.465092E-2</v>
      </c>
      <c r="W2933">
        <v>-2.3810850000000001E-2</v>
      </c>
      <c r="X2933">
        <v>0.99941250000000004</v>
      </c>
      <c r="Y2933">
        <v>-0.30159469999999999</v>
      </c>
      <c r="Z2933">
        <v>6.7671720000000005E-2</v>
      </c>
      <c r="AA2933">
        <v>0.95103159999999998</v>
      </c>
      <c r="AB2933">
        <v>12</v>
      </c>
      <c r="AC2933">
        <v>-0.54109999999997105</v>
      </c>
      <c r="AD2933">
        <v>-1.111811177071</v>
      </c>
      <c r="AE2933">
        <v>-14.498100000000001</v>
      </c>
      <c r="AF2933">
        <v>-4.3634447007003301</v>
      </c>
      <c r="AG2933">
        <v>-1.111811177071</v>
      </c>
      <c r="AH2933">
        <v>13.747632659047699</v>
      </c>
      <c r="AI2933">
        <v>94.4078352901264</v>
      </c>
      <c r="AJ2933">
        <v>107.609234158706</v>
      </c>
      <c r="AK2933">
        <v>14.466277250130499</v>
      </c>
      <c r="AL2933">
        <v>91.364390178079901</v>
      </c>
      <c r="AM2933">
        <v>91.412937457181897</v>
      </c>
      <c r="AN2933">
        <v>0.99999998479540897</v>
      </c>
    </row>
    <row r="2934" spans="1:40" x14ac:dyDescent="0.25">
      <c r="A2934" t="str">
        <f>"20190312154311825"</f>
        <v>20190312154311825</v>
      </c>
      <c r="B2934" t="str">
        <f>"1552376591820865"</f>
        <v>1552376591820865</v>
      </c>
      <c r="C2934" t="s">
        <v>40</v>
      </c>
      <c r="D2934">
        <v>4.4341080000000002</v>
      </c>
      <c r="E2934">
        <v>0.39253749999999998</v>
      </c>
      <c r="F2934" t="s">
        <v>43</v>
      </c>
      <c r="G2934">
        <v>-491.23840000000001</v>
      </c>
      <c r="H2934" s="1">
        <v>-1.1166630000000001E-6</v>
      </c>
      <c r="I2934">
        <v>251.42400000000001</v>
      </c>
      <c r="J2934">
        <v>-490.70139999999998</v>
      </c>
      <c r="K2934">
        <v>1.111812</v>
      </c>
      <c r="L2934">
        <v>266.01170000000002</v>
      </c>
      <c r="M2934">
        <v>-0.33525670000000002</v>
      </c>
      <c r="N2934">
        <v>0</v>
      </c>
      <c r="O2934">
        <v>-0.94207510000000005</v>
      </c>
      <c r="P2934">
        <v>-0.31245620000000002</v>
      </c>
      <c r="Q2934">
        <v>-3.3813610000000001E-2</v>
      </c>
      <c r="R2934">
        <v>-0.94933020000000001</v>
      </c>
      <c r="S2934">
        <v>-0.1180725</v>
      </c>
      <c r="T2934">
        <v>-0.23640990000000001</v>
      </c>
      <c r="U2934">
        <v>-3.1146240000000001</v>
      </c>
      <c r="V2934">
        <v>-2.381014E-2</v>
      </c>
      <c r="W2934">
        <v>-2.4038049999999998E-2</v>
      </c>
      <c r="X2934">
        <v>0.99942739999999997</v>
      </c>
      <c r="Y2934">
        <v>-0.2994117</v>
      </c>
      <c r="Z2934">
        <v>6.7375379999999999E-2</v>
      </c>
      <c r="AA2934">
        <v>0.95174219999999998</v>
      </c>
      <c r="AB2934">
        <v>12</v>
      </c>
      <c r="AC2934">
        <v>-0.53700000000003401</v>
      </c>
      <c r="AD2934">
        <v>-1.1118131166630001</v>
      </c>
      <c r="AE2934">
        <v>-14.5877</v>
      </c>
      <c r="AF2934">
        <v>-4.3596532103478696</v>
      </c>
      <c r="AG2934">
        <v>-1.1118131166630001</v>
      </c>
      <c r="AH2934">
        <v>13.8431165010574</v>
      </c>
      <c r="AI2934">
        <v>94.380646436950897</v>
      </c>
      <c r="AJ2934">
        <v>107.480931201353</v>
      </c>
      <c r="AK2934">
        <v>14.5559121659458</v>
      </c>
      <c r="AL2934">
        <v>91.377411569271203</v>
      </c>
      <c r="AM2934">
        <v>91.364743973824304</v>
      </c>
      <c r="AN2934">
        <v>0.99999993924268904</v>
      </c>
    </row>
    <row r="2935" spans="1:40" x14ac:dyDescent="0.25">
      <c r="A2935" t="str">
        <f>"20190312154311837"</f>
        <v>20190312154311837</v>
      </c>
      <c r="B2935" t="str">
        <f>"1552376591830625"</f>
        <v>1552376591830625</v>
      </c>
      <c r="C2935" t="s">
        <v>40</v>
      </c>
      <c r="D2935">
        <v>4.4053930000000001</v>
      </c>
      <c r="E2935">
        <v>0.39278819999999998</v>
      </c>
      <c r="F2935" t="s">
        <v>43</v>
      </c>
      <c r="G2935">
        <v>-491.2432</v>
      </c>
      <c r="H2935" s="1">
        <v>-1.042656E-6</v>
      </c>
      <c r="I2935">
        <v>251.24850000000001</v>
      </c>
      <c r="J2935">
        <v>-490.71789999999999</v>
      </c>
      <c r="K2935">
        <v>1.111815</v>
      </c>
      <c r="L2935">
        <v>265.95650000000001</v>
      </c>
      <c r="M2935">
        <v>-0.33286179999999999</v>
      </c>
      <c r="N2935">
        <v>0</v>
      </c>
      <c r="O2935">
        <v>-0.94292489999999995</v>
      </c>
      <c r="P2935">
        <v>-0.310162099999999</v>
      </c>
      <c r="Q2935">
        <v>-3.3809449999999998E-2</v>
      </c>
      <c r="R2935">
        <v>-0.95008269999999995</v>
      </c>
      <c r="S2935">
        <v>-0.1142883</v>
      </c>
      <c r="T2935">
        <v>-0.23452249999999999</v>
      </c>
      <c r="U2935">
        <v>-3.1141049999999999</v>
      </c>
      <c r="V2935">
        <v>-2.3683320000000001E-2</v>
      </c>
      <c r="W2935">
        <v>-2.4122109999999999E-2</v>
      </c>
      <c r="X2935">
        <v>0.99942850000000005</v>
      </c>
      <c r="Y2935">
        <v>-0.29813499999999998</v>
      </c>
      <c r="Z2935">
        <v>6.6962740000000007E-2</v>
      </c>
      <c r="AA2935">
        <v>0.95217200000000002</v>
      </c>
      <c r="AB2935">
        <v>12</v>
      </c>
      <c r="AC2935">
        <v>-0.52530000000001498</v>
      </c>
      <c r="AD2935">
        <v>-1.111816042656</v>
      </c>
      <c r="AE2935">
        <v>-14.707999999999901</v>
      </c>
      <c r="AF2935">
        <v>-4.3756517009783602</v>
      </c>
      <c r="AG2935">
        <v>-1.111816042656</v>
      </c>
      <c r="AH2935">
        <v>13.9643693120269</v>
      </c>
      <c r="AI2935">
        <v>94.344732581578597</v>
      </c>
      <c r="AJ2935">
        <v>107.398070758495</v>
      </c>
      <c r="AK2935">
        <v>14.6760373740209</v>
      </c>
      <c r="AL2935">
        <v>91.3822290949457</v>
      </c>
      <c r="AM2935">
        <v>91.357476168738799</v>
      </c>
      <c r="AN2935">
        <v>1.0000000512246601</v>
      </c>
    </row>
    <row r="2936" spans="1:40" x14ac:dyDescent="0.25">
      <c r="A2936" t="str">
        <f>"20190312154311850"</f>
        <v>20190312154311850</v>
      </c>
      <c r="B2936" t="str">
        <f>"1552376591840384"</f>
        <v>1552376591840384</v>
      </c>
      <c r="C2936" t="s">
        <v>40</v>
      </c>
      <c r="D2936">
        <v>4.315264</v>
      </c>
      <c r="E2936">
        <v>0.39317229999999997</v>
      </c>
      <c r="F2936" t="s">
        <v>43</v>
      </c>
      <c r="G2936">
        <v>-491.23270000000002</v>
      </c>
      <c r="H2936" s="1">
        <v>-9.9498420000000007E-7</v>
      </c>
      <c r="I2936">
        <v>251.1439</v>
      </c>
      <c r="J2936">
        <v>-490.73790000000002</v>
      </c>
      <c r="K2936">
        <v>1.111815</v>
      </c>
      <c r="L2936">
        <v>265.88920000000002</v>
      </c>
      <c r="M2936">
        <v>-0.32994089999999998</v>
      </c>
      <c r="N2936">
        <v>0</v>
      </c>
      <c r="O2936">
        <v>-0.94395200000000001</v>
      </c>
      <c r="P2936">
        <v>-0.30759930000000002</v>
      </c>
      <c r="Q2936">
        <v>-3.3447150000000002E-2</v>
      </c>
      <c r="R2936">
        <v>-0.95092840000000001</v>
      </c>
      <c r="S2936">
        <v>-0.1082153</v>
      </c>
      <c r="T2936">
        <v>-0.233732</v>
      </c>
      <c r="U2936">
        <v>-3.1139830000000002</v>
      </c>
      <c r="V2936">
        <v>-2.328744E-2</v>
      </c>
      <c r="W2936">
        <v>-2.3868319999999998E-2</v>
      </c>
      <c r="X2936">
        <v>0.99944379999999999</v>
      </c>
      <c r="Y2936">
        <v>-0.29703259999999998</v>
      </c>
      <c r="Z2936">
        <v>6.6870029999999997E-2</v>
      </c>
      <c r="AA2936">
        <v>0.95252300000000001</v>
      </c>
      <c r="AB2936">
        <v>12</v>
      </c>
      <c r="AC2936">
        <v>-0.49479999999999702</v>
      </c>
      <c r="AD2936">
        <v>-1.1118159949841999</v>
      </c>
      <c r="AE2936">
        <v>-14.7453</v>
      </c>
      <c r="AF2936">
        <v>-4.3733796897058701</v>
      </c>
      <c r="AG2936">
        <v>-1.1118159949841999</v>
      </c>
      <c r="AH2936">
        <v>14.003245380858001</v>
      </c>
      <c r="AI2936">
        <v>94.333986077736498</v>
      </c>
      <c r="AJ2936">
        <v>107.344203817652</v>
      </c>
      <c r="AK2936">
        <v>14.712357591955</v>
      </c>
      <c r="AL2936">
        <v>91.367683942795793</v>
      </c>
      <c r="AM2936">
        <v>91.3347730444587</v>
      </c>
      <c r="AN2936">
        <v>0.99999995545990605</v>
      </c>
    </row>
    <row r="2937" spans="1:40" x14ac:dyDescent="0.25">
      <c r="A2937" t="str">
        <f>"20190312154311868"</f>
        <v>20190312154311868</v>
      </c>
      <c r="B2937" t="str">
        <f>"1552376591859905"</f>
        <v>1552376591859905</v>
      </c>
      <c r="C2937" t="s">
        <v>40</v>
      </c>
      <c r="D2937">
        <v>4.3702180000000004</v>
      </c>
      <c r="E2937">
        <v>0.39379920000000002</v>
      </c>
      <c r="F2937" t="s">
        <v>43</v>
      </c>
      <c r="G2937">
        <v>-491.23230000000001</v>
      </c>
      <c r="H2937" s="1">
        <v>-8.9437340000000003E-7</v>
      </c>
      <c r="I2937">
        <v>250.90960000000001</v>
      </c>
      <c r="J2937">
        <v>-490.76670000000001</v>
      </c>
      <c r="K2937">
        <v>1.1118239999999999</v>
      </c>
      <c r="L2937">
        <v>265.79109999999997</v>
      </c>
      <c r="M2937">
        <v>-0.3256619</v>
      </c>
      <c r="N2937">
        <v>0</v>
      </c>
      <c r="O2937">
        <v>-0.94543840000000001</v>
      </c>
      <c r="P2937">
        <v>-0.30410199999999998</v>
      </c>
      <c r="Q2937">
        <v>-3.2372520000000002E-2</v>
      </c>
      <c r="R2937">
        <v>-0.95208950000000003</v>
      </c>
      <c r="S2937">
        <v>-0.1027527</v>
      </c>
      <c r="T2937">
        <v>-0.23108719999999999</v>
      </c>
      <c r="U2937">
        <v>-3.113464</v>
      </c>
      <c r="V2937">
        <v>-2.244867E-2</v>
      </c>
      <c r="W2937">
        <v>-2.2958260000000001E-2</v>
      </c>
      <c r="X2937">
        <v>0.99948440000000005</v>
      </c>
      <c r="Y2937">
        <v>-0.2943693</v>
      </c>
      <c r="Z2937">
        <v>6.6324380000000002E-2</v>
      </c>
      <c r="AA2937">
        <v>0.9533876</v>
      </c>
      <c r="AB2937">
        <v>12</v>
      </c>
      <c r="AC2937">
        <v>-0.46559999999999402</v>
      </c>
      <c r="AD2937">
        <v>-1.1118248943733999</v>
      </c>
      <c r="AE2937">
        <v>-14.8814999999999</v>
      </c>
      <c r="AF2937">
        <v>-4.3819056776654701</v>
      </c>
      <c r="AG2937">
        <v>-1.1118248943733999</v>
      </c>
      <c r="AH2937">
        <v>14.142946873219801</v>
      </c>
      <c r="AI2937">
        <v>94.294381527257102</v>
      </c>
      <c r="AJ2937">
        <v>107.21453632593099</v>
      </c>
      <c r="AK2937">
        <v>14.847902148870199</v>
      </c>
      <c r="AL2937">
        <v>91.315526925834405</v>
      </c>
      <c r="AM2937">
        <v>91.286661232251106</v>
      </c>
      <c r="AN2937">
        <v>1.00000004516517</v>
      </c>
    </row>
    <row r="2938" spans="1:40" x14ac:dyDescent="0.25">
      <c r="A2938" t="str">
        <f>"20190312154311879"</f>
        <v>20190312154311879</v>
      </c>
      <c r="B2938" t="str">
        <f>"1552376591870641"</f>
        <v>1552376591870641</v>
      </c>
      <c r="C2938" t="s">
        <v>40</v>
      </c>
      <c r="D2938">
        <v>4.3845140000000002</v>
      </c>
      <c r="E2938">
        <v>0.3941461</v>
      </c>
      <c r="F2938" t="s">
        <v>43</v>
      </c>
      <c r="G2938">
        <v>-491.24290000000002</v>
      </c>
      <c r="H2938" s="1">
        <v>-6.9035469999999903E-7</v>
      </c>
      <c r="I2938">
        <v>250.42750000000001</v>
      </c>
      <c r="J2938">
        <v>-490.78390000000002</v>
      </c>
      <c r="K2938">
        <v>1.1118269999999999</v>
      </c>
      <c r="L2938">
        <v>265.73140000000001</v>
      </c>
      <c r="M2938">
        <v>-0.32304820000000001</v>
      </c>
      <c r="N2938">
        <v>0</v>
      </c>
      <c r="O2938">
        <v>-0.9463357</v>
      </c>
      <c r="P2938">
        <v>-0.30179909999999999</v>
      </c>
      <c r="Q2938">
        <v>-3.211083E-2</v>
      </c>
      <c r="R2938">
        <v>-0.95283059999999997</v>
      </c>
      <c r="S2938">
        <v>-9.6466060000000006E-2</v>
      </c>
      <c r="T2938">
        <v>-0.22524710000000001</v>
      </c>
      <c r="U2938">
        <v>-3.112549</v>
      </c>
      <c r="V2938">
        <v>-2.21056E-2</v>
      </c>
      <c r="W2938">
        <v>-2.279842E-2</v>
      </c>
      <c r="X2938">
        <v>0.99949569999999999</v>
      </c>
      <c r="Y2938">
        <v>-0.29364040000000002</v>
      </c>
      <c r="Z2938">
        <v>6.4781870000000005E-2</v>
      </c>
      <c r="AA2938">
        <v>0.95371830000000002</v>
      </c>
      <c r="AB2938">
        <v>12</v>
      </c>
      <c r="AC2938">
        <v>-0.45900000000000302</v>
      </c>
      <c r="AD2938">
        <v>-1.1118276903547</v>
      </c>
      <c r="AE2938">
        <v>-15.303900000000001</v>
      </c>
      <c r="AF2938">
        <v>-4.4860727689821296</v>
      </c>
      <c r="AG2938">
        <v>-1.1118276903547</v>
      </c>
      <c r="AH2938">
        <v>14.554802813436201</v>
      </c>
      <c r="AI2938">
        <v>94.175199282526805</v>
      </c>
      <c r="AJ2938">
        <v>107.130313781138</v>
      </c>
      <c r="AK2938">
        <v>15.2709952078983</v>
      </c>
      <c r="AL2938">
        <v>91.306366377989306</v>
      </c>
      <c r="AM2938">
        <v>91.266990074742196</v>
      </c>
      <c r="AN2938">
        <v>1.00000003991217</v>
      </c>
    </row>
    <row r="2939" spans="1:40" x14ac:dyDescent="0.25">
      <c r="A2939" t="str">
        <f>"20190312154311891"</f>
        <v>20190312154311891</v>
      </c>
      <c r="B2939" t="str">
        <f>"1552376591880403"</f>
        <v>1552376591880403</v>
      </c>
      <c r="C2939" t="s">
        <v>40</v>
      </c>
      <c r="D2939">
        <v>4.388649</v>
      </c>
      <c r="E2939">
        <v>0.39439560000000001</v>
      </c>
      <c r="F2939" t="s">
        <v>43</v>
      </c>
      <c r="G2939">
        <v>-491.23739999999998</v>
      </c>
      <c r="H2939" s="1">
        <v>-6.2304259999999995E-7</v>
      </c>
      <c r="I2939">
        <v>250.2739</v>
      </c>
      <c r="J2939">
        <v>-490.80040000000002</v>
      </c>
      <c r="K2939">
        <v>1.111828</v>
      </c>
      <c r="L2939">
        <v>265.6737</v>
      </c>
      <c r="M2939">
        <v>-0.32051929999999901</v>
      </c>
      <c r="N2939">
        <v>0</v>
      </c>
      <c r="O2939">
        <v>-0.94719620000000004</v>
      </c>
      <c r="P2939">
        <v>-0.29943599999999998</v>
      </c>
      <c r="Q2939">
        <v>-3.1699339999999999E-2</v>
      </c>
      <c r="R2939">
        <v>-0.95358969999999998</v>
      </c>
      <c r="S2939">
        <v>-9.1308589999999995E-2</v>
      </c>
      <c r="T2939">
        <v>-0.22384039999999999</v>
      </c>
      <c r="U2939">
        <v>-3.1120000000000001</v>
      </c>
      <c r="V2939">
        <v>-2.1918449999999999E-2</v>
      </c>
      <c r="W2939">
        <v>-2.2484919999999999E-2</v>
      </c>
      <c r="X2939">
        <v>0.99950689999999998</v>
      </c>
      <c r="Y2939">
        <v>-0.29266039999999999</v>
      </c>
      <c r="Z2939">
        <v>6.4494620000000003E-2</v>
      </c>
      <c r="AA2939">
        <v>0.95403899999999997</v>
      </c>
      <c r="AB2939">
        <v>12</v>
      </c>
      <c r="AC2939">
        <v>-0.43699999999995498</v>
      </c>
      <c r="AD2939">
        <v>-1.1118286230426</v>
      </c>
      <c r="AE2939">
        <v>-15.399800000000001</v>
      </c>
      <c r="AF2939">
        <v>-4.4987735416094301</v>
      </c>
      <c r="AG2939">
        <v>-1.1118286230426</v>
      </c>
      <c r="AH2939">
        <v>14.651030733186801</v>
      </c>
      <c r="AI2939">
        <v>94.149220916658606</v>
      </c>
      <c r="AJ2939">
        <v>107.069728033096</v>
      </c>
      <c r="AK2939">
        <v>15.3664513733811</v>
      </c>
      <c r="AL2939">
        <v>91.288399575883901</v>
      </c>
      <c r="AM2939">
        <v>91.256252887634801</v>
      </c>
      <c r="AN2939">
        <v>1.0000000166127001</v>
      </c>
    </row>
    <row r="2940" spans="1:40" x14ac:dyDescent="0.25">
      <c r="A2940" t="str">
        <f>"20190312154311903"</f>
        <v>20190312154311903</v>
      </c>
      <c r="B2940" t="str">
        <f>"1552376591900897"</f>
        <v>1552376591900897</v>
      </c>
      <c r="C2940" t="s">
        <v>40</v>
      </c>
      <c r="D2940">
        <v>4.2773070000000004</v>
      </c>
      <c r="E2940">
        <v>0.3947966</v>
      </c>
      <c r="F2940" t="s">
        <v>43</v>
      </c>
      <c r="G2940">
        <v>-491.2278</v>
      </c>
      <c r="H2940" s="1">
        <v>-5.3585119999999898E-7</v>
      </c>
      <c r="I2940">
        <v>250.07669999999999</v>
      </c>
      <c r="J2940">
        <v>-490.81970000000001</v>
      </c>
      <c r="K2940">
        <v>1.111828</v>
      </c>
      <c r="L2940">
        <v>265.60559999999998</v>
      </c>
      <c r="M2940">
        <v>-0.31752590000000003</v>
      </c>
      <c r="N2940">
        <v>0</v>
      </c>
      <c r="O2940">
        <v>-0.94820490000000002</v>
      </c>
      <c r="P2940">
        <v>-0.29651119999999997</v>
      </c>
      <c r="Q2940">
        <v>-3.1736170000000001E-2</v>
      </c>
      <c r="R2940">
        <v>-0.95450179999999996</v>
      </c>
      <c r="S2940">
        <v>-8.5266110000000006E-2</v>
      </c>
      <c r="T2940">
        <v>-0.2218292</v>
      </c>
      <c r="U2940">
        <v>-3.1118769999999998</v>
      </c>
      <c r="V2940">
        <v>-2.182305E-2</v>
      </c>
      <c r="W2940">
        <v>-2.2634870000000001E-2</v>
      </c>
      <c r="X2940">
        <v>0.99950559999999999</v>
      </c>
      <c r="Y2940">
        <v>-0.2914892</v>
      </c>
      <c r="Z2940">
        <v>6.4041490000000006E-2</v>
      </c>
      <c r="AA2940">
        <v>0.95442800000000005</v>
      </c>
      <c r="AB2940">
        <v>12</v>
      </c>
      <c r="AC2940">
        <v>-0.40809999999999003</v>
      </c>
      <c r="AD2940">
        <v>-1.1118285358511999</v>
      </c>
      <c r="AE2940">
        <v>-15.528899999999901</v>
      </c>
      <c r="AF2940">
        <v>-4.5208991644167602</v>
      </c>
      <c r="AG2940">
        <v>-1.1118285358511999</v>
      </c>
      <c r="AH2940">
        <v>14.7790830068712</v>
      </c>
      <c r="AI2940">
        <v>94.114730289715894</v>
      </c>
      <c r="AJ2940">
        <v>107.008792391661</v>
      </c>
      <c r="AK2940">
        <v>15.4950310252012</v>
      </c>
      <c r="AL2940">
        <v>91.296993268894198</v>
      </c>
      <c r="AM2940">
        <v>91.250788417137699</v>
      </c>
      <c r="AN2940">
        <v>1.0000000136412801</v>
      </c>
    </row>
    <row r="2941" spans="1:40" x14ac:dyDescent="0.25">
      <c r="A2941" t="str">
        <f>"20190312154311918"</f>
        <v>20190312154311918</v>
      </c>
      <c r="B2941" t="str">
        <f>"1552376591910658"</f>
        <v>1552376591910658</v>
      </c>
      <c r="C2941" t="s">
        <v>40</v>
      </c>
      <c r="D2941">
        <v>4.2528449999999998</v>
      </c>
      <c r="E2941">
        <v>0.3947966</v>
      </c>
      <c r="F2941" t="s">
        <v>43</v>
      </c>
      <c r="G2941">
        <v>-491.22410000000002</v>
      </c>
      <c r="H2941" s="1">
        <v>-3.780328E-7</v>
      </c>
      <c r="I2941">
        <v>249.71109999999999</v>
      </c>
      <c r="J2941">
        <v>-490.84</v>
      </c>
      <c r="K2941">
        <v>1.1118250000000001</v>
      </c>
      <c r="L2941">
        <v>265.53250000000003</v>
      </c>
      <c r="M2941">
        <v>-0.31431779999999998</v>
      </c>
      <c r="N2941">
        <v>0</v>
      </c>
      <c r="O2941">
        <v>-0.94927430000000002</v>
      </c>
      <c r="P2941">
        <v>-0.29323769999999999</v>
      </c>
      <c r="Q2941">
        <v>-3.1911620000000002E-2</v>
      </c>
      <c r="R2941">
        <v>-0.95550690000000005</v>
      </c>
      <c r="S2941">
        <v>-7.91626E-2</v>
      </c>
      <c r="T2941">
        <v>-0.2176285</v>
      </c>
      <c r="U2941">
        <v>-3.1111759999999999</v>
      </c>
      <c r="V2941">
        <v>-2.1865329999999999E-2</v>
      </c>
      <c r="W2941">
        <v>-2.292717E-2</v>
      </c>
      <c r="X2941">
        <v>0.999498</v>
      </c>
      <c r="Y2941">
        <v>-0.29011819999999999</v>
      </c>
      <c r="Z2941">
        <v>6.2975690000000001E-2</v>
      </c>
      <c r="AA2941">
        <v>0.95491649999999995</v>
      </c>
      <c r="AB2941">
        <v>12</v>
      </c>
      <c r="AC2941">
        <v>-0.38410000000004602</v>
      </c>
      <c r="AD2941">
        <v>-1.1118253780328</v>
      </c>
      <c r="AE2941">
        <v>-15.821400000000001</v>
      </c>
      <c r="AF2941">
        <v>-4.5858883145893001</v>
      </c>
      <c r="AG2941">
        <v>-1.1118253780328</v>
      </c>
      <c r="AH2941">
        <v>15.065846510249999</v>
      </c>
      <c r="AI2941">
        <v>94.038355356172204</v>
      </c>
      <c r="AJ2941">
        <v>106.929708201171</v>
      </c>
      <c r="AK2941">
        <v>15.7875349049666</v>
      </c>
      <c r="AL2941">
        <v>91.313745190615805</v>
      </c>
      <c r="AM2941">
        <v>91.253220450014197</v>
      </c>
      <c r="AN2941">
        <v>0.99999999989210797</v>
      </c>
    </row>
    <row r="2942" spans="1:40" x14ac:dyDescent="0.25">
      <c r="A2942" t="str">
        <f>"20190312154311932"</f>
        <v>20190312154311932</v>
      </c>
      <c r="B2942" t="str">
        <f>"1552376591920417"</f>
        <v>1552376591920417</v>
      </c>
      <c r="C2942" t="s">
        <v>40</v>
      </c>
      <c r="D2942">
        <v>4.5743780000000003</v>
      </c>
      <c r="E2942">
        <v>0.40291850000000001</v>
      </c>
      <c r="F2942" t="s">
        <v>43</v>
      </c>
      <c r="G2942">
        <v>-491.19049999999999</v>
      </c>
      <c r="H2942" s="1">
        <v>-3.384218E-7</v>
      </c>
      <c r="I2942">
        <v>249.6396</v>
      </c>
      <c r="J2942">
        <v>-490.86</v>
      </c>
      <c r="K2942">
        <v>1.1118209999999999</v>
      </c>
      <c r="L2942">
        <v>265.46030000000002</v>
      </c>
      <c r="M2942">
        <v>-0.31113859999999999</v>
      </c>
      <c r="N2942">
        <v>0</v>
      </c>
      <c r="O2942">
        <v>-0.95032229999999995</v>
      </c>
      <c r="P2942">
        <v>-0.28999750000000002</v>
      </c>
      <c r="Q2942">
        <v>-3.2158909999999999E-2</v>
      </c>
      <c r="R2942">
        <v>-0.95648739999999999</v>
      </c>
      <c r="S2942">
        <v>-6.8603520000000001E-2</v>
      </c>
      <c r="T2942">
        <v>-0.21766450000000001</v>
      </c>
      <c r="U2942">
        <v>-3.111389</v>
      </c>
      <c r="V2942">
        <v>-2.190185E-2</v>
      </c>
      <c r="W2942">
        <v>-2.3286330000000001E-2</v>
      </c>
      <c r="X2942">
        <v>0.99948890000000001</v>
      </c>
      <c r="Y2942">
        <v>-0.2901553</v>
      </c>
      <c r="Z2942">
        <v>6.3092190000000006E-2</v>
      </c>
      <c r="AA2942">
        <v>0.95489749999999995</v>
      </c>
      <c r="AB2942">
        <v>12</v>
      </c>
      <c r="AC2942">
        <v>-0.33049999999997198</v>
      </c>
      <c r="AD2942">
        <v>-1.1118213384218001</v>
      </c>
      <c r="AE2942">
        <v>-15.8207</v>
      </c>
      <c r="AF2942">
        <v>-4.5858951677018602</v>
      </c>
      <c r="AG2942">
        <v>-1.1118213384218001</v>
      </c>
      <c r="AH2942">
        <v>15.0638387620178</v>
      </c>
      <c r="AI2942">
        <v>94.038831183293397</v>
      </c>
      <c r="AJ2942">
        <v>106.931859406398</v>
      </c>
      <c r="AK2942">
        <v>15.785620653803599</v>
      </c>
      <c r="AL2942">
        <v>91.334329034954393</v>
      </c>
      <c r="AM2942">
        <v>91.255324365264798</v>
      </c>
      <c r="AN2942">
        <v>1.0000000027107501</v>
      </c>
    </row>
    <row r="2943" spans="1:40" x14ac:dyDescent="0.25">
      <c r="A2943" t="str">
        <f>"20190312154311946"</f>
        <v>20190312154311946</v>
      </c>
      <c r="B2943" t="str">
        <f>"1552376591940913"</f>
        <v>1552376591940913</v>
      </c>
      <c r="C2943" t="s">
        <v>40</v>
      </c>
      <c r="D2943">
        <v>4.3601729999999996</v>
      </c>
      <c r="E2943">
        <v>0.40436509999999998</v>
      </c>
      <c r="F2943" t="s">
        <v>43</v>
      </c>
      <c r="G2943">
        <v>-491.9348</v>
      </c>
      <c r="H2943" s="1">
        <v>-4.4377169999999997E-6</v>
      </c>
      <c r="I2943">
        <v>239.0187</v>
      </c>
      <c r="J2943">
        <v>-490.88299999999998</v>
      </c>
      <c r="K2943">
        <v>1.1118170000000001</v>
      </c>
      <c r="L2943">
        <v>265.37560000000002</v>
      </c>
      <c r="M2943">
        <v>-0.30740800000000001</v>
      </c>
      <c r="N2943">
        <v>0</v>
      </c>
      <c r="O2943">
        <v>-0.95153670000000001</v>
      </c>
      <c r="P2943">
        <v>-0.28595229999999999</v>
      </c>
      <c r="Q2943">
        <v>-3.2542799999999997E-2</v>
      </c>
      <c r="R2943">
        <v>-0.95769119999999996</v>
      </c>
      <c r="S2943">
        <v>-0.12576289999999901</v>
      </c>
      <c r="T2943">
        <v>-0.13009609999999999</v>
      </c>
      <c r="U2943">
        <v>-3.0939640000000002</v>
      </c>
      <c r="V2943">
        <v>-2.2198019999999999E-2</v>
      </c>
      <c r="W2943">
        <v>-2.379622E-2</v>
      </c>
      <c r="X2943">
        <v>0.99947039999999998</v>
      </c>
      <c r="Y2943">
        <v>-0.26854489999999998</v>
      </c>
      <c r="Z2943">
        <v>3.8179699999999997E-2</v>
      </c>
      <c r="AA2943">
        <v>0.96251019999999998</v>
      </c>
      <c r="AB2943">
        <v>13</v>
      </c>
      <c r="AC2943">
        <v>-1.0517999999999501</v>
      </c>
      <c r="AD2943">
        <v>-1.1118214377169999</v>
      </c>
      <c r="AE2943">
        <v>-26.3569</v>
      </c>
      <c r="AF2943">
        <v>-7.0891787501727901</v>
      </c>
      <c r="AG2943">
        <v>-1.1118214377169999</v>
      </c>
      <c r="AH2943">
        <v>25.3588305040638</v>
      </c>
      <c r="AI2943">
        <v>92.417858025733395</v>
      </c>
      <c r="AJ2943">
        <v>105.61858162250699</v>
      </c>
      <c r="AK2943">
        <v>26.354561024519199</v>
      </c>
      <c r="AL2943">
        <v>91.363551619318201</v>
      </c>
      <c r="AM2943">
        <v>91.272317616663599</v>
      </c>
      <c r="AN2943">
        <v>1.0000000463271801</v>
      </c>
    </row>
    <row r="2944" spans="1:40" x14ac:dyDescent="0.25">
      <c r="A2944" t="str">
        <f>"20190312154311959"</f>
        <v>20190312154311959</v>
      </c>
      <c r="B2944" t="str">
        <f>"1552376591950673"</f>
        <v>1552376591950673</v>
      </c>
      <c r="C2944" t="s">
        <v>40</v>
      </c>
      <c r="D2944">
        <v>4.3196079999999997</v>
      </c>
      <c r="E2944">
        <v>0.40418399999999999</v>
      </c>
      <c r="F2944" t="s">
        <v>43</v>
      </c>
      <c r="G2944">
        <v>-491.91340000000002</v>
      </c>
      <c r="H2944" s="1">
        <v>-4.6358230000000002E-6</v>
      </c>
      <c r="I2944">
        <v>239.61199999999999</v>
      </c>
      <c r="J2944">
        <v>-490.89960000000002</v>
      </c>
      <c r="K2944">
        <v>1.1118159999999999</v>
      </c>
      <c r="L2944">
        <v>265.31319999999999</v>
      </c>
      <c r="M2944">
        <v>-0.30466539999999998</v>
      </c>
      <c r="N2944">
        <v>0</v>
      </c>
      <c r="O2944">
        <v>-0.95241909999999996</v>
      </c>
      <c r="P2944">
        <v>-0.28327469999999999</v>
      </c>
      <c r="Q2944">
        <v>-3.2862580000000002E-2</v>
      </c>
      <c r="R2944">
        <v>-0.95847570000000004</v>
      </c>
      <c r="S2944">
        <v>-0.12362670000000001</v>
      </c>
      <c r="T2944">
        <v>-0.13339419999999999</v>
      </c>
      <c r="U2944">
        <v>-3.0910639999999998</v>
      </c>
      <c r="V2944">
        <v>-2.2105820000000002E-2</v>
      </c>
      <c r="W2944">
        <v>-2.4200530000000001E-2</v>
      </c>
      <c r="X2944">
        <v>0.99946270000000004</v>
      </c>
      <c r="Y2944">
        <v>-0.26639790000000002</v>
      </c>
      <c r="Z2944">
        <v>3.925261E-2</v>
      </c>
      <c r="AA2944">
        <v>0.96306349999999996</v>
      </c>
      <c r="AB2944">
        <v>13</v>
      </c>
      <c r="AC2944">
        <v>-1.0138</v>
      </c>
      <c r="AD2944">
        <v>-1.1118206358229901</v>
      </c>
      <c r="AE2944">
        <v>-25.7012</v>
      </c>
      <c r="AF2944">
        <v>-6.8521645906006796</v>
      </c>
      <c r="AG2944">
        <v>-1.1118206358229901</v>
      </c>
      <c r="AH2944">
        <v>24.7419064332096</v>
      </c>
      <c r="AI2944">
        <v>92.4797379179751</v>
      </c>
      <c r="AJ2944">
        <v>105.479842030984</v>
      </c>
      <c r="AK2944">
        <v>25.697280763781599</v>
      </c>
      <c r="AL2944">
        <v>91.386723597851599</v>
      </c>
      <c r="AM2944">
        <v>91.267044499936105</v>
      </c>
      <c r="AN2944">
        <v>1.0000000108107201</v>
      </c>
    </row>
    <row r="2945" spans="1:40" x14ac:dyDescent="0.25">
      <c r="A2945" t="str">
        <f>"20190312154311970"</f>
        <v>20190312154311970</v>
      </c>
      <c r="B2945" t="str">
        <f>"1552376591960433"</f>
        <v>1552376591960433</v>
      </c>
      <c r="C2945" t="s">
        <v>40</v>
      </c>
      <c r="D2945">
        <v>4.3529010000000001</v>
      </c>
      <c r="E2945">
        <v>0.40369670000000002</v>
      </c>
      <c r="F2945" t="s">
        <v>43</v>
      </c>
      <c r="G2945">
        <v>-491.87560000000002</v>
      </c>
      <c r="H2945" s="1">
        <v>-4.3684060000000001E-6</v>
      </c>
      <c r="I2945">
        <v>238.8459</v>
      </c>
      <c r="J2945">
        <v>-490.91590000000002</v>
      </c>
      <c r="K2945">
        <v>1.111815</v>
      </c>
      <c r="L2945">
        <v>265.25200000000001</v>
      </c>
      <c r="M2945">
        <v>-0.30196620000000002</v>
      </c>
      <c r="N2945">
        <v>0</v>
      </c>
      <c r="O2945">
        <v>-0.95327910000000005</v>
      </c>
      <c r="P2945">
        <v>-0.28037269999999997</v>
      </c>
      <c r="Q2945">
        <v>-3.2761449999999998E-2</v>
      </c>
      <c r="R2945">
        <v>-0.95933210000000002</v>
      </c>
      <c r="S2945">
        <v>-0.1140137</v>
      </c>
      <c r="T2945">
        <v>-0.12987779999999999</v>
      </c>
      <c r="U2945">
        <v>-3.0917970000000001</v>
      </c>
      <c r="V2945">
        <v>-2.2299329999999999E-2</v>
      </c>
      <c r="W2945">
        <v>-2.4181939999999999E-2</v>
      </c>
      <c r="X2945">
        <v>0.99945879999999998</v>
      </c>
      <c r="Y2945">
        <v>-0.26666519999999999</v>
      </c>
      <c r="Z2945">
        <v>3.8264779999999998E-2</v>
      </c>
      <c r="AA2945">
        <v>0.96302929999999998</v>
      </c>
      <c r="AB2945">
        <v>13</v>
      </c>
      <c r="AC2945">
        <v>-0.959699999999997</v>
      </c>
      <c r="AD2945">
        <v>-1.111819368406</v>
      </c>
      <c r="AE2945">
        <v>-26.406099999999999</v>
      </c>
      <c r="AF2945">
        <v>-7.0466778790733198</v>
      </c>
      <c r="AG2945">
        <v>-1.111819368406</v>
      </c>
      <c r="AH2945">
        <v>25.418137967165102</v>
      </c>
      <c r="AI2945">
        <v>92.413666037291193</v>
      </c>
      <c r="AJ2945">
        <v>105.49498544191199</v>
      </c>
      <c r="AK2945">
        <v>26.400256611579099</v>
      </c>
      <c r="AL2945">
        <v>91.385658228468102</v>
      </c>
      <c r="AM2945">
        <v>91.278137280713196</v>
      </c>
      <c r="AN2945">
        <v>0.99999995961902499</v>
      </c>
    </row>
    <row r="2946" spans="1:40" x14ac:dyDescent="0.25">
      <c r="A2946" t="str">
        <f>"20190312154311981"</f>
        <v>20190312154311981</v>
      </c>
      <c r="B2946" t="str">
        <f>"1552376591970194"</f>
        <v>1552376591970194</v>
      </c>
      <c r="C2946" t="s">
        <v>40</v>
      </c>
      <c r="D2946">
        <v>4.3075780000000004</v>
      </c>
      <c r="E2946">
        <v>0.4039142</v>
      </c>
      <c r="F2946" t="s">
        <v>43</v>
      </c>
      <c r="G2946">
        <v>-491.83519999999999</v>
      </c>
      <c r="H2946" s="1">
        <v>-3.7281739999999999E-6</v>
      </c>
      <c r="I2946">
        <v>237.1413</v>
      </c>
      <c r="J2946">
        <v>-490.93279999999999</v>
      </c>
      <c r="K2946">
        <v>1.1118140000000001</v>
      </c>
      <c r="L2946">
        <v>265.18729999999999</v>
      </c>
      <c r="M2946">
        <v>-0.29912109999999997</v>
      </c>
      <c r="N2946">
        <v>0</v>
      </c>
      <c r="O2946">
        <v>-0.95417640000000004</v>
      </c>
      <c r="P2946">
        <v>-0.27721079999999998</v>
      </c>
      <c r="Q2946">
        <v>-3.269114E-2</v>
      </c>
      <c r="R2946">
        <v>-0.96025269999999996</v>
      </c>
      <c r="S2946">
        <v>-0.1011658</v>
      </c>
      <c r="T2946">
        <v>-0.1223505</v>
      </c>
      <c r="U2946">
        <v>-3.093445</v>
      </c>
      <c r="V2946">
        <v>-2.2610040000000001E-2</v>
      </c>
      <c r="W2946">
        <v>-2.4192869999999998E-2</v>
      </c>
      <c r="X2946">
        <v>0.9994516</v>
      </c>
      <c r="Y2946">
        <v>-0.26780100000000001</v>
      </c>
      <c r="Z2946">
        <v>3.6080130000000002E-2</v>
      </c>
      <c r="AA2946">
        <v>0.96279840000000005</v>
      </c>
      <c r="AB2946">
        <v>13</v>
      </c>
      <c r="AC2946">
        <v>-0.90239999999999998</v>
      </c>
      <c r="AD2946">
        <v>-1.11181772817399</v>
      </c>
      <c r="AE2946">
        <v>-28.0459999999999</v>
      </c>
      <c r="AF2946">
        <v>-7.5165796256173998</v>
      </c>
      <c r="AG2946">
        <v>-1.11181772817399</v>
      </c>
      <c r="AH2946">
        <v>26.9893868937971</v>
      </c>
      <c r="AI2946">
        <v>92.272553152452204</v>
      </c>
      <c r="AJ2946">
        <v>105.562589612336</v>
      </c>
      <c r="AK2946">
        <v>28.038582575301401</v>
      </c>
      <c r="AL2946">
        <v>91.386284591976505</v>
      </c>
      <c r="AM2946">
        <v>91.295949638550795</v>
      </c>
      <c r="AN2946">
        <v>1.0000000048050901</v>
      </c>
    </row>
    <row r="2947" spans="1:40" x14ac:dyDescent="0.25">
      <c r="A2947" t="str">
        <f>"20190312154311996"</f>
        <v>20190312154311996</v>
      </c>
      <c r="B2947" t="str">
        <f>"1552376591990689"</f>
        <v>1552376591990689</v>
      </c>
      <c r="C2947" t="s">
        <v>40</v>
      </c>
      <c r="D2947">
        <v>4.3419619999999997</v>
      </c>
      <c r="E2947">
        <v>0.40433269999999999</v>
      </c>
      <c r="F2947" t="s">
        <v>43</v>
      </c>
      <c r="G2947">
        <v>-491.79199999999997</v>
      </c>
      <c r="H2947" s="1">
        <v>-3.454563E-6</v>
      </c>
      <c r="I2947">
        <v>236.53030000000001</v>
      </c>
      <c r="J2947">
        <v>-490.952</v>
      </c>
      <c r="K2947">
        <v>1.1118129999999999</v>
      </c>
      <c r="L2947">
        <v>265.11309999999997</v>
      </c>
      <c r="M2947">
        <v>-0.29585610000000001</v>
      </c>
      <c r="N2947">
        <v>0</v>
      </c>
      <c r="O2947">
        <v>-0.9551946</v>
      </c>
      <c r="P2947">
        <v>-0.2736402</v>
      </c>
      <c r="Q2947">
        <v>-3.2543389999999998E-2</v>
      </c>
      <c r="R2947">
        <v>-0.96128150000000001</v>
      </c>
      <c r="S2947">
        <v>-9.2742920000000006E-2</v>
      </c>
      <c r="T2947">
        <v>-0.1200106</v>
      </c>
      <c r="U2947">
        <v>-3.0932620000000002</v>
      </c>
      <c r="V2947">
        <v>-2.2907940000000002E-2</v>
      </c>
      <c r="W2947">
        <v>-2.4132689999999998E-2</v>
      </c>
      <c r="X2947">
        <v>0.99944630000000001</v>
      </c>
      <c r="Y2947">
        <v>-0.26712259999999999</v>
      </c>
      <c r="Z2947">
        <v>3.5457040000000002E-2</v>
      </c>
      <c r="AA2947">
        <v>0.96301000000000003</v>
      </c>
      <c r="AB2947">
        <v>13</v>
      </c>
      <c r="AC2947">
        <v>-0.83999999999997499</v>
      </c>
      <c r="AD2947">
        <v>-1.111816454563</v>
      </c>
      <c r="AE2947">
        <v>-28.582799999999899</v>
      </c>
      <c r="AF2947">
        <v>-7.6427555491018602</v>
      </c>
      <c r="AG2947">
        <v>-1.111816454563</v>
      </c>
      <c r="AH2947">
        <v>27.510064825950899</v>
      </c>
      <c r="AI2947">
        <v>92.229975955584294</v>
      </c>
      <c r="AJ2947">
        <v>105.526181543853</v>
      </c>
      <c r="AK2947">
        <v>28.573615713451201</v>
      </c>
      <c r="AL2947">
        <v>91.382835485277397</v>
      </c>
      <c r="AM2947">
        <v>91.313025526086406</v>
      </c>
      <c r="AN2947">
        <v>1.00000003351268</v>
      </c>
    </row>
    <row r="2948" spans="1:40" x14ac:dyDescent="0.25">
      <c r="A2948" t="str">
        <f>"20190312154312008"</f>
        <v>20190312154312008</v>
      </c>
      <c r="B2948" t="str">
        <f>"1552376592000449"</f>
        <v>1552376592000449</v>
      </c>
      <c r="C2948" t="s">
        <v>40</v>
      </c>
      <c r="D2948">
        <v>4.3503749999999997</v>
      </c>
      <c r="E2948">
        <v>0.4045781</v>
      </c>
      <c r="F2948" t="s">
        <v>43</v>
      </c>
      <c r="G2948">
        <v>-491.76830000000001</v>
      </c>
      <c r="H2948" s="1">
        <v>-2.957383E-6</v>
      </c>
      <c r="I2948">
        <v>235.3861</v>
      </c>
      <c r="J2948">
        <v>-490.96949999999998</v>
      </c>
      <c r="K2948">
        <v>1.111815</v>
      </c>
      <c r="L2948">
        <v>265.04469999999998</v>
      </c>
      <c r="M2948">
        <v>-0.29284719999999997</v>
      </c>
      <c r="N2948">
        <v>0</v>
      </c>
      <c r="O2948">
        <v>-0.95612200000000003</v>
      </c>
      <c r="P2948">
        <v>-0.27052530000000002</v>
      </c>
      <c r="Q2948">
        <v>-3.2399589999999999E-2</v>
      </c>
      <c r="R2948">
        <v>-0.96216789999999996</v>
      </c>
      <c r="S2948">
        <v>-8.4930420000000006E-2</v>
      </c>
      <c r="T2948">
        <v>-0.1156713</v>
      </c>
      <c r="U2948">
        <v>-3.092743</v>
      </c>
      <c r="V2948">
        <v>-2.2998999999999999E-2</v>
      </c>
      <c r="W2948">
        <v>-2.4064820000000001E-2</v>
      </c>
      <c r="X2948">
        <v>0.99944580000000005</v>
      </c>
      <c r="Y2948">
        <v>-0.2665131</v>
      </c>
      <c r="Z2948">
        <v>3.423839E-2</v>
      </c>
      <c r="AA2948">
        <v>0.96322300000000005</v>
      </c>
      <c r="AB2948">
        <v>13</v>
      </c>
      <c r="AC2948">
        <v>-0.79880000000002804</v>
      </c>
      <c r="AD2948">
        <v>-1.111817957383</v>
      </c>
      <c r="AE2948">
        <v>-29.6585999999999</v>
      </c>
      <c r="AF2948">
        <v>-7.9108608939075298</v>
      </c>
      <c r="AG2948">
        <v>-1.111817957383</v>
      </c>
      <c r="AH2948">
        <v>28.552089851163799</v>
      </c>
      <c r="AI2948">
        <v>92.149086582629295</v>
      </c>
      <c r="AJ2948">
        <v>105.48633217424801</v>
      </c>
      <c r="AK2948">
        <v>29.648603577943501</v>
      </c>
      <c r="AL2948">
        <v>91.378945753477197</v>
      </c>
      <c r="AM2948">
        <v>91.318243677524805</v>
      </c>
      <c r="AN2948">
        <v>0.99999998835013604</v>
      </c>
    </row>
    <row r="2949" spans="1:40" x14ac:dyDescent="0.25">
      <c r="A2949" t="str">
        <f>"20190312154312019"</f>
        <v>20190312154312019</v>
      </c>
      <c r="B2949" t="str">
        <f>"1552376592010209"</f>
        <v>1552376592010209</v>
      </c>
      <c r="C2949" t="s">
        <v>40</v>
      </c>
      <c r="D2949">
        <v>4.2704879999999896</v>
      </c>
      <c r="E2949">
        <v>0.4048505</v>
      </c>
      <c r="F2949" t="s">
        <v>43</v>
      </c>
      <c r="G2949">
        <v>-491.71480000000003</v>
      </c>
      <c r="H2949" s="1">
        <v>-2.7627069999999998E-6</v>
      </c>
      <c r="I2949">
        <v>234.96549999999999</v>
      </c>
      <c r="J2949">
        <v>-490.9855</v>
      </c>
      <c r="K2949">
        <v>1.1118189999999999</v>
      </c>
      <c r="L2949">
        <v>264.98070000000001</v>
      </c>
      <c r="M2949">
        <v>-0.2900375</v>
      </c>
      <c r="N2949">
        <v>0</v>
      </c>
      <c r="O2949">
        <v>-0.95697860000000001</v>
      </c>
      <c r="P2949">
        <v>-0.26748640000000001</v>
      </c>
      <c r="Q2949">
        <v>-3.2496610000000002E-2</v>
      </c>
      <c r="R2949">
        <v>-0.96301360000000003</v>
      </c>
      <c r="S2949">
        <v>-7.6629639999999999E-2</v>
      </c>
      <c r="T2949">
        <v>-0.11431040000000001</v>
      </c>
      <c r="U2949">
        <v>-3.0925600000000002</v>
      </c>
      <c r="V2949">
        <v>-2.3216230000000001E-2</v>
      </c>
      <c r="W2949">
        <v>-2.422585E-2</v>
      </c>
      <c r="X2949">
        <v>0.99943689999999996</v>
      </c>
      <c r="Y2949">
        <v>-0.26626359999999999</v>
      </c>
      <c r="Z2949">
        <v>3.3887559999999997E-2</v>
      </c>
      <c r="AA2949">
        <v>0.96330439999999995</v>
      </c>
      <c r="AB2949">
        <v>13</v>
      </c>
      <c r="AC2949">
        <v>-0.72930000000002304</v>
      </c>
      <c r="AD2949">
        <v>-1.1118217627069999</v>
      </c>
      <c r="AE2949">
        <v>-30.0152</v>
      </c>
      <c r="AF2949">
        <v>-7.9969240316826697</v>
      </c>
      <c r="AG2949">
        <v>-1.1118217627069999</v>
      </c>
      <c r="AH2949">
        <v>28.896818101514299</v>
      </c>
      <c r="AI2949">
        <v>92.123658094496193</v>
      </c>
      <c r="AJ2949">
        <v>105.468929521155</v>
      </c>
      <c r="AK2949">
        <v>30.003550423117201</v>
      </c>
      <c r="AL2949">
        <v>91.388174765891307</v>
      </c>
      <c r="AM2949">
        <v>91.330702133425902</v>
      </c>
      <c r="AN2949">
        <v>1.00000000111262</v>
      </c>
    </row>
    <row r="2950" spans="1:40" x14ac:dyDescent="0.25">
      <c r="A2950" t="str">
        <f>"20190312154312038"</f>
        <v>20190312154312038</v>
      </c>
      <c r="B2950" t="str">
        <f>"1552376592030705"</f>
        <v>1552376592030705</v>
      </c>
      <c r="C2950" t="s">
        <v>40</v>
      </c>
      <c r="D2950">
        <v>4.3346679999999997</v>
      </c>
      <c r="E2950">
        <v>0.40569559999999999</v>
      </c>
      <c r="F2950" t="s">
        <v>43</v>
      </c>
      <c r="G2950">
        <v>-491.7097</v>
      </c>
      <c r="H2950" s="1">
        <v>-1.7456989999999901E-6</v>
      </c>
      <c r="I2950">
        <v>232.59800000000001</v>
      </c>
      <c r="J2950">
        <v>-491.01</v>
      </c>
      <c r="K2950">
        <v>1.1118319999999999</v>
      </c>
      <c r="L2950">
        <v>264.8818</v>
      </c>
      <c r="M2950">
        <v>-0.28569229999999901</v>
      </c>
      <c r="N2950">
        <v>0</v>
      </c>
      <c r="O2950">
        <v>-0.95828550000000001</v>
      </c>
      <c r="P2950">
        <v>-0.26320189999999999</v>
      </c>
      <c r="Q2950">
        <v>-3.2079179999999999E-2</v>
      </c>
      <c r="R2950">
        <v>-0.9642075</v>
      </c>
      <c r="S2950">
        <v>-6.9152829999999998E-2</v>
      </c>
      <c r="T2950">
        <v>-0.10617600000000001</v>
      </c>
      <c r="U2950">
        <v>-3.0924680000000002</v>
      </c>
      <c r="V2950">
        <v>-2.312968E-2</v>
      </c>
      <c r="W2950">
        <v>-2.3899239999999999E-2</v>
      </c>
      <c r="X2950">
        <v>0.99944670000000002</v>
      </c>
      <c r="Y2950">
        <v>-0.26421509999999998</v>
      </c>
      <c r="Z2950">
        <v>3.1557309999999998E-2</v>
      </c>
      <c r="AA2950">
        <v>0.96394740000000001</v>
      </c>
      <c r="AB2950">
        <v>13</v>
      </c>
      <c r="AC2950">
        <v>-0.69970000000000698</v>
      </c>
      <c r="AD2950">
        <v>-1.111833745699</v>
      </c>
      <c r="AE2950">
        <v>-32.283799999999999</v>
      </c>
      <c r="AF2950">
        <v>-8.5428872758891892</v>
      </c>
      <c r="AG2950">
        <v>-1.111833745699</v>
      </c>
      <c r="AH2950">
        <v>31.1011967700511</v>
      </c>
      <c r="AI2950">
        <v>91.974324228859999</v>
      </c>
      <c r="AJ2950">
        <v>105.35922234412701</v>
      </c>
      <c r="AK2950">
        <v>32.272302951851202</v>
      </c>
      <c r="AL2950">
        <v>91.369456067445299</v>
      </c>
      <c r="AM2950">
        <v>91.325730060875102</v>
      </c>
      <c r="AN2950">
        <v>0.99999993095518203</v>
      </c>
    </row>
    <row r="2951" spans="1:40" x14ac:dyDescent="0.25">
      <c r="A2951" t="str">
        <f>"20190312154312049"</f>
        <v>20190312154312049</v>
      </c>
      <c r="B2951" t="str">
        <f>"1552376592040466"</f>
        <v>1552376592040466</v>
      </c>
      <c r="C2951" t="s">
        <v>40</v>
      </c>
      <c r="D2951">
        <v>4.3287269999999998</v>
      </c>
      <c r="E2951">
        <v>0.40604400000000002</v>
      </c>
      <c r="F2951" t="s">
        <v>43</v>
      </c>
      <c r="G2951">
        <v>-491.66199999999998</v>
      </c>
      <c r="H2951" s="1">
        <v>-1.579651E-6</v>
      </c>
      <c r="I2951">
        <v>232.2405</v>
      </c>
      <c r="J2951">
        <v>-491.02480000000003</v>
      </c>
      <c r="K2951">
        <v>1.1118440000000001</v>
      </c>
      <c r="L2951">
        <v>264.82150000000001</v>
      </c>
      <c r="M2951">
        <v>-0.28304479999999999</v>
      </c>
      <c r="N2951">
        <v>0</v>
      </c>
      <c r="O2951">
        <v>-0.95907149999999997</v>
      </c>
      <c r="P2951">
        <v>-0.26057340000000001</v>
      </c>
      <c r="Q2951">
        <v>-3.1569159999999999E-2</v>
      </c>
      <c r="R2951">
        <v>-0.96493790000000002</v>
      </c>
      <c r="S2951">
        <v>-6.1737060000000003E-2</v>
      </c>
      <c r="T2951">
        <v>-0.10528849999999999</v>
      </c>
      <c r="U2951">
        <v>-3.0910639999999998</v>
      </c>
      <c r="V2951">
        <v>-2.3099419999999999E-2</v>
      </c>
      <c r="W2951">
        <v>-2.3441300000000002E-2</v>
      </c>
      <c r="X2951">
        <v>0.99945830000000002</v>
      </c>
      <c r="Y2951">
        <v>-0.26385310000000001</v>
      </c>
      <c r="Z2951">
        <v>3.1350280000000001E-2</v>
      </c>
      <c r="AA2951">
        <v>0.9640533</v>
      </c>
      <c r="AB2951">
        <v>13</v>
      </c>
      <c r="AC2951">
        <v>-0.63719999999995003</v>
      </c>
      <c r="AD2951">
        <v>-1.1118455796510001</v>
      </c>
      <c r="AE2951">
        <v>-32.581000000000003</v>
      </c>
      <c r="AF2951">
        <v>-8.6010403353319003</v>
      </c>
      <c r="AG2951">
        <v>-1.1118455796510001</v>
      </c>
      <c r="AH2951">
        <v>31.392381230697701</v>
      </c>
      <c r="AI2951">
        <v>91.956392990690702</v>
      </c>
      <c r="AJ2951">
        <v>105.322168690787</v>
      </c>
      <c r="AK2951">
        <v>32.568323487346603</v>
      </c>
      <c r="AL2951">
        <v>91.343210609292896</v>
      </c>
      <c r="AM2951">
        <v>91.323980896916197</v>
      </c>
      <c r="AN2951">
        <v>0.99999998559445802</v>
      </c>
    </row>
    <row r="2952" spans="1:40" x14ac:dyDescent="0.25">
      <c r="A2952" t="str">
        <f>"20190312154312059"</f>
        <v>20190312154312059</v>
      </c>
      <c r="B2952" t="str">
        <f>"1552376592050226"</f>
        <v>1552376592050226</v>
      </c>
      <c r="C2952" t="s">
        <v>40</v>
      </c>
      <c r="D2952">
        <v>4.360087</v>
      </c>
      <c r="E2952">
        <v>0.40650429999999999</v>
      </c>
      <c r="F2952" t="s">
        <v>43</v>
      </c>
      <c r="G2952">
        <v>-491.62090000000001</v>
      </c>
      <c r="H2952" s="1">
        <v>-1.5250640000000001E-6</v>
      </c>
      <c r="I2952">
        <v>232.1387</v>
      </c>
      <c r="J2952">
        <v>-491.03969999999998</v>
      </c>
      <c r="K2952">
        <v>1.1118520000000001</v>
      </c>
      <c r="L2952">
        <v>264.75940000000003</v>
      </c>
      <c r="M2952">
        <v>-0.28031820000000002</v>
      </c>
      <c r="N2952">
        <v>0</v>
      </c>
      <c r="O2952">
        <v>-0.95987219999999995</v>
      </c>
      <c r="P2952">
        <v>-0.25811509999999999</v>
      </c>
      <c r="Q2952">
        <v>-3.0779830000000001E-2</v>
      </c>
      <c r="R2952">
        <v>-0.96562420000000004</v>
      </c>
      <c r="S2952">
        <v>-5.6365970000000001E-2</v>
      </c>
      <c r="T2952">
        <v>-0.1051319</v>
      </c>
      <c r="U2952">
        <v>-3.090363</v>
      </c>
      <c r="V2952">
        <v>-2.281482E-2</v>
      </c>
      <c r="W2952">
        <v>-2.269871E-2</v>
      </c>
      <c r="X2952">
        <v>0.99948199999999998</v>
      </c>
      <c r="Y2952">
        <v>-0.26278240000000003</v>
      </c>
      <c r="Z2952">
        <v>3.135686E-2</v>
      </c>
      <c r="AA2952">
        <v>0.96434549999999997</v>
      </c>
      <c r="AB2952">
        <v>13</v>
      </c>
      <c r="AC2952">
        <v>-0.58120000000002303</v>
      </c>
      <c r="AD2952">
        <v>-1.111853525064</v>
      </c>
      <c r="AE2952">
        <v>-32.620699999999999</v>
      </c>
      <c r="AF2952">
        <v>-8.5766254855578907</v>
      </c>
      <c r="AG2952">
        <v>-1.111853525064</v>
      </c>
      <c r="AH2952">
        <v>31.439166991988898</v>
      </c>
      <c r="AI2952">
        <v>91.954085964925795</v>
      </c>
      <c r="AJ2952">
        <v>105.259032277492</v>
      </c>
      <c r="AK2952">
        <v>32.606992258270097</v>
      </c>
      <c r="AL2952">
        <v>91.300651978907396</v>
      </c>
      <c r="AM2952">
        <v>91.307643286429993</v>
      </c>
      <c r="AN2952">
        <v>1.0000000078856399</v>
      </c>
    </row>
    <row r="2953" spans="1:40" x14ac:dyDescent="0.25">
      <c r="A2953" t="str">
        <f>"20190312154312072"</f>
        <v>20190312154312072</v>
      </c>
      <c r="B2953" t="str">
        <f>"1552376592059986"</f>
        <v>1552376592059986</v>
      </c>
      <c r="C2953" t="s">
        <v>40</v>
      </c>
      <c r="D2953">
        <v>4.3151060000000001</v>
      </c>
      <c r="E2953">
        <v>0.40697489999999997</v>
      </c>
      <c r="F2953" t="s">
        <v>43</v>
      </c>
      <c r="G2953">
        <v>-491.59739999999999</v>
      </c>
      <c r="H2953" s="1">
        <v>-1.3588339999999999E-6</v>
      </c>
      <c r="I2953">
        <v>231.76589999999999</v>
      </c>
      <c r="J2953">
        <v>-491.05529999999999</v>
      </c>
      <c r="K2953">
        <v>1.111861</v>
      </c>
      <c r="L2953">
        <v>264.69400000000002</v>
      </c>
      <c r="M2953">
        <v>-0.27744999999999997</v>
      </c>
      <c r="N2953">
        <v>0</v>
      </c>
      <c r="O2953">
        <v>-0.96070580000000005</v>
      </c>
      <c r="P2953">
        <v>-0.2555289</v>
      </c>
      <c r="Q2953">
        <v>-3.008711E-2</v>
      </c>
      <c r="R2953">
        <v>-0.96633360000000001</v>
      </c>
      <c r="S2953">
        <v>-5.2215579999999998E-2</v>
      </c>
      <c r="T2953">
        <v>-0.10411579999999999</v>
      </c>
      <c r="U2953">
        <v>-3.089569</v>
      </c>
      <c r="V2953">
        <v>-2.2513950000000001E-2</v>
      </c>
      <c r="W2953">
        <v>-2.2053360000000001E-2</v>
      </c>
      <c r="X2953">
        <v>0.99950329999999998</v>
      </c>
      <c r="Y2953">
        <v>-0.26119049999999999</v>
      </c>
      <c r="Z2953">
        <v>3.1111670000000001E-2</v>
      </c>
      <c r="AA2953">
        <v>0.96478580000000003</v>
      </c>
      <c r="AB2953">
        <v>13</v>
      </c>
      <c r="AC2953">
        <v>-0.54210000000000402</v>
      </c>
      <c r="AD2953">
        <v>-1.111862358834</v>
      </c>
      <c r="AE2953">
        <v>-32.928100000000001</v>
      </c>
      <c r="AF2953">
        <v>-8.6055773124106807</v>
      </c>
      <c r="AG2953">
        <v>-1.111862358834</v>
      </c>
      <c r="AH2953">
        <v>31.749479150436599</v>
      </c>
      <c r="AI2953">
        <v>91.935876233458004</v>
      </c>
      <c r="AJ2953">
        <v>105.165433077388</v>
      </c>
      <c r="AK2953">
        <v>32.913851569041299</v>
      </c>
      <c r="AL2953">
        <v>91.263666849466503</v>
      </c>
      <c r="AM2953">
        <v>91.290377145418802</v>
      </c>
      <c r="AN2953">
        <v>1.00000003767139</v>
      </c>
    </row>
    <row r="2954" spans="1:40" x14ac:dyDescent="0.25">
      <c r="A2954" t="str">
        <f>"20190312154312083"</f>
        <v>20190312154312083</v>
      </c>
      <c r="B2954" t="str">
        <f>"1552376592080481"</f>
        <v>1552376592080481</v>
      </c>
      <c r="C2954" t="s">
        <v>40</v>
      </c>
      <c r="D2954">
        <v>4.3282150000000001</v>
      </c>
      <c r="E2954">
        <v>0.40793020000000002</v>
      </c>
      <c r="F2954" t="s">
        <v>43</v>
      </c>
      <c r="G2954">
        <v>-491.57470000000001</v>
      </c>
      <c r="H2954" s="1">
        <v>-9.8499620000000008E-7</v>
      </c>
      <c r="I2954">
        <v>230.9085</v>
      </c>
      <c r="J2954">
        <v>-491.07080000000002</v>
      </c>
      <c r="K2954">
        <v>1.1118680000000001</v>
      </c>
      <c r="L2954">
        <v>264.62799999999999</v>
      </c>
      <c r="M2954">
        <v>-0.27455659999999998</v>
      </c>
      <c r="N2954">
        <v>0</v>
      </c>
      <c r="O2954">
        <v>-0.96153690000000003</v>
      </c>
      <c r="P2954">
        <v>-0.2527875</v>
      </c>
      <c r="Q2954">
        <v>-2.9564489999999999E-2</v>
      </c>
      <c r="R2954">
        <v>-0.96707019999999999</v>
      </c>
      <c r="S2954">
        <v>-4.7485350000000003E-2</v>
      </c>
      <c r="T2954">
        <v>-0.10165299999999999</v>
      </c>
      <c r="U2954">
        <v>-3.088867</v>
      </c>
      <c r="V2954">
        <v>-2.2345460000000001E-2</v>
      </c>
      <c r="W2954">
        <v>-2.1575440000000001E-2</v>
      </c>
      <c r="X2954">
        <v>0.99951749999999995</v>
      </c>
      <c r="Y2954">
        <v>-0.25975740000000003</v>
      </c>
      <c r="Z2954">
        <v>3.043094E-2</v>
      </c>
      <c r="AA2954">
        <v>0.96519429999999995</v>
      </c>
      <c r="AB2954">
        <v>13</v>
      </c>
      <c r="AC2954">
        <v>-0.50389999999998702</v>
      </c>
      <c r="AD2954">
        <v>-1.1118689849962</v>
      </c>
      <c r="AE2954">
        <v>-33.719499999999897</v>
      </c>
      <c r="AF2954">
        <v>-8.7641529724413392</v>
      </c>
      <c r="AG2954">
        <v>-1.1118689849962</v>
      </c>
      <c r="AH2954">
        <v>32.526600477329801</v>
      </c>
      <c r="AI2954">
        <v>91.890431051385903</v>
      </c>
      <c r="AJ2954">
        <v>105.079970422377</v>
      </c>
      <c r="AK2954">
        <v>33.704990262214601</v>
      </c>
      <c r="AL2954">
        <v>91.2362775480983</v>
      </c>
      <c r="AM2954">
        <v>91.280705254676207</v>
      </c>
      <c r="AN2954">
        <v>1.0000000260000199</v>
      </c>
    </row>
    <row r="2955" spans="1:40" x14ac:dyDescent="0.25">
      <c r="A2955" t="str">
        <f>"20190312154312095"</f>
        <v>20190312154312095</v>
      </c>
      <c r="B2955" t="str">
        <f>"1552376592090241"</f>
        <v>1552376592090241</v>
      </c>
      <c r="C2955" t="s">
        <v>40</v>
      </c>
      <c r="D2955">
        <v>4.3465769999999999</v>
      </c>
      <c r="E2955">
        <v>0.40841820000000001</v>
      </c>
      <c r="F2955" t="s">
        <v>43</v>
      </c>
      <c r="G2955">
        <v>-491.57499999999999</v>
      </c>
      <c r="H2955" s="1">
        <v>-9.0249150000000002E-7</v>
      </c>
      <c r="I2955">
        <v>230.71600000000001</v>
      </c>
      <c r="J2955">
        <v>-491.08519999999999</v>
      </c>
      <c r="K2955">
        <v>1.111877</v>
      </c>
      <c r="L2955">
        <v>264.56580000000002</v>
      </c>
      <c r="M2955">
        <v>-0.27182979999999901</v>
      </c>
      <c r="N2955">
        <v>0</v>
      </c>
      <c r="O2955">
        <v>-0.96231169999999999</v>
      </c>
      <c r="P2955">
        <v>-0.25077640000000001</v>
      </c>
      <c r="Q2955">
        <v>-2.9337160000000001E-2</v>
      </c>
      <c r="R2955">
        <v>-0.96760040000000003</v>
      </c>
      <c r="S2955">
        <v>-4.5898439999999999E-2</v>
      </c>
      <c r="T2955">
        <v>-0.10121520000000001</v>
      </c>
      <c r="U2955">
        <v>-3.0870669999999998</v>
      </c>
      <c r="V2955">
        <v>-2.1592030000000002E-2</v>
      </c>
      <c r="W2955">
        <v>-2.1384139999999999E-2</v>
      </c>
      <c r="X2955">
        <v>0.99953809999999998</v>
      </c>
      <c r="Y2955">
        <v>-0.25750669999999998</v>
      </c>
      <c r="Z2955">
        <v>3.0365659999999999E-2</v>
      </c>
      <c r="AA2955">
        <v>0.96579930000000003</v>
      </c>
      <c r="AB2955">
        <v>13</v>
      </c>
      <c r="AC2955">
        <v>-0.48980000000000201</v>
      </c>
      <c r="AD2955">
        <v>-1.1118779024915</v>
      </c>
      <c r="AE2955">
        <v>-33.849800000000002</v>
      </c>
      <c r="AF2955">
        <v>-8.72091926991164</v>
      </c>
      <c r="AG2955">
        <v>-1.1118779024915</v>
      </c>
      <c r="AH2955">
        <v>32.673014572854903</v>
      </c>
      <c r="AI2955">
        <v>91.883171924417795</v>
      </c>
      <c r="AJ2955">
        <v>104.944702776016</v>
      </c>
      <c r="AK2955">
        <v>33.835138342562701</v>
      </c>
      <c r="AL2955">
        <v>91.225314423013899</v>
      </c>
      <c r="AM2955">
        <v>91.237511415933099</v>
      </c>
      <c r="AN2955">
        <v>0.99999995527733399</v>
      </c>
    </row>
    <row r="2956" spans="1:40" x14ac:dyDescent="0.25">
      <c r="A2956" t="str">
        <f>"20190312154312108"</f>
        <v>20190312154312108</v>
      </c>
      <c r="B2956" t="str">
        <f>"1552376592100002"</f>
        <v>1552376592100002</v>
      </c>
      <c r="C2956" t="s">
        <v>40</v>
      </c>
      <c r="D2956">
        <v>4.2940990000000001</v>
      </c>
      <c r="E2956">
        <v>0.40898139999999999</v>
      </c>
      <c r="F2956" t="s">
        <v>43</v>
      </c>
      <c r="G2956">
        <v>-491.5573</v>
      </c>
      <c r="H2956" s="1">
        <v>-8.3044250000000003E-7</v>
      </c>
      <c r="I2956">
        <v>230.559</v>
      </c>
      <c r="J2956">
        <v>-491.10309999999998</v>
      </c>
      <c r="K2956">
        <v>1.111888</v>
      </c>
      <c r="L2956">
        <v>264.48759999999999</v>
      </c>
      <c r="M2956">
        <v>-0.26840429999999998</v>
      </c>
      <c r="N2956">
        <v>0</v>
      </c>
      <c r="O2956">
        <v>-0.9632733</v>
      </c>
      <c r="P2956">
        <v>-0.2478573</v>
      </c>
      <c r="Q2956">
        <v>-2.9117380000000002E-2</v>
      </c>
      <c r="R2956">
        <v>-0.96835930000000003</v>
      </c>
      <c r="S2956">
        <v>-4.2846679999999998E-2</v>
      </c>
      <c r="T2956">
        <v>-0.1009091</v>
      </c>
      <c r="U2956">
        <v>-3.0863040000000002</v>
      </c>
      <c r="V2956">
        <v>-2.105257E-2</v>
      </c>
      <c r="W2956">
        <v>-2.1208910000000001E-2</v>
      </c>
      <c r="X2956">
        <v>0.99955340000000004</v>
      </c>
      <c r="Y2956">
        <v>-0.2550192</v>
      </c>
      <c r="Z2956">
        <v>3.0339339999999999E-2</v>
      </c>
      <c r="AA2956">
        <v>0.96645990000000004</v>
      </c>
      <c r="AB2956">
        <v>13</v>
      </c>
      <c r="AC2956">
        <v>-0.45420000000001398</v>
      </c>
      <c r="AD2956">
        <v>-1.1118888304424901</v>
      </c>
      <c r="AE2956">
        <v>-33.928599999999904</v>
      </c>
      <c r="AF2956">
        <v>-8.6600405121671606</v>
      </c>
      <c r="AG2956">
        <v>-1.1118888304424901</v>
      </c>
      <c r="AH2956">
        <v>32.770280395540297</v>
      </c>
      <c r="AI2956">
        <v>91.878838827913398</v>
      </c>
      <c r="AJ2956">
        <v>104.80287465708</v>
      </c>
      <c r="AK2956">
        <v>33.913476313199901</v>
      </c>
      <c r="AL2956">
        <v>91.215272134179898</v>
      </c>
      <c r="AM2956">
        <v>91.206583953769396</v>
      </c>
      <c r="AN2956">
        <v>1.00000001400927</v>
      </c>
    </row>
    <row r="2957" spans="1:40" x14ac:dyDescent="0.25">
      <c r="A2957" t="str">
        <f>"20190312154312121"</f>
        <v>20190312154312121</v>
      </c>
      <c r="B2957" t="str">
        <f>"1552376592110737"</f>
        <v>1552376592110737</v>
      </c>
      <c r="C2957" t="s">
        <v>40</v>
      </c>
      <c r="D2957">
        <v>4.282877</v>
      </c>
      <c r="E2957">
        <v>0.40930050000000001</v>
      </c>
      <c r="F2957" t="s">
        <v>43</v>
      </c>
      <c r="G2957">
        <v>-491.52659999999997</v>
      </c>
      <c r="H2957" s="1">
        <v>-7.104535E-7</v>
      </c>
      <c r="I2957">
        <v>230.29839999999999</v>
      </c>
      <c r="J2957">
        <v>-491.11970000000002</v>
      </c>
      <c r="K2957">
        <v>1.1119019999999999</v>
      </c>
      <c r="L2957">
        <v>264.41370000000001</v>
      </c>
      <c r="M2957">
        <v>-0.2651635</v>
      </c>
      <c r="N2957">
        <v>0</v>
      </c>
      <c r="O2957">
        <v>-0.96417050000000004</v>
      </c>
      <c r="P2957">
        <v>-0.24514659999999999</v>
      </c>
      <c r="Q2957">
        <v>-2.8949809999999999E-2</v>
      </c>
      <c r="R2957">
        <v>-0.96905350000000001</v>
      </c>
      <c r="S2957">
        <v>-3.8208010000000001E-2</v>
      </c>
      <c r="T2957">
        <v>-0.1003377</v>
      </c>
      <c r="U2957">
        <v>-3.0852659999999998</v>
      </c>
      <c r="V2957">
        <v>-2.0489250000000001E-2</v>
      </c>
      <c r="W2957">
        <v>-2.1076080000000001E-2</v>
      </c>
      <c r="X2957">
        <v>0.99956789999999995</v>
      </c>
      <c r="Y2957">
        <v>-0.25321539999999998</v>
      </c>
      <c r="Z2957">
        <v>3.0229450000000001E-2</v>
      </c>
      <c r="AA2957">
        <v>0.96693750000000001</v>
      </c>
      <c r="AB2957">
        <v>13</v>
      </c>
      <c r="AC2957">
        <v>-0.40689999999995002</v>
      </c>
      <c r="AD2957">
        <v>-1.1119027104535</v>
      </c>
      <c r="AE2957">
        <v>-34.115299999999998</v>
      </c>
      <c r="AF2957">
        <v>-8.6449045065718302</v>
      </c>
      <c r="AG2957">
        <v>-1.1119027104535</v>
      </c>
      <c r="AH2957">
        <v>32.966895005583403</v>
      </c>
      <c r="AI2957">
        <v>91.868600033999201</v>
      </c>
      <c r="AJ2957">
        <v>104.693823225423</v>
      </c>
      <c r="AK2957">
        <v>34.099660817586198</v>
      </c>
      <c r="AL2957">
        <v>91.207659852926994</v>
      </c>
      <c r="AM2957">
        <v>91.174290582667695</v>
      </c>
      <c r="AN2957">
        <v>0.99999999861206901</v>
      </c>
    </row>
    <row r="2958" spans="1:40" x14ac:dyDescent="0.25">
      <c r="A2958" t="str">
        <f>"20190312154312139"</f>
        <v>20190312154312139</v>
      </c>
      <c r="B2958" t="str">
        <f>"1552376592130257"</f>
        <v>1552376592130257</v>
      </c>
      <c r="C2958" t="s">
        <v>40</v>
      </c>
      <c r="D2958">
        <v>4.3017899999999996</v>
      </c>
      <c r="E2958">
        <v>0.40922710000000001</v>
      </c>
      <c r="F2958" t="s">
        <v>49</v>
      </c>
      <c r="G2958">
        <v>-491.48910000000001</v>
      </c>
      <c r="H2958" s="1">
        <v>6.144761E-6</v>
      </c>
      <c r="I2958">
        <v>229.2516</v>
      </c>
      <c r="J2958">
        <v>-491.14069999999998</v>
      </c>
      <c r="K2958">
        <v>1.1119190000000001</v>
      </c>
      <c r="L2958">
        <v>264.31869999999998</v>
      </c>
      <c r="M2958">
        <v>-0.26099939999999999</v>
      </c>
      <c r="N2958">
        <v>0</v>
      </c>
      <c r="O2958">
        <v>-0.96530629999999995</v>
      </c>
      <c r="P2958">
        <v>-0.24229909999999999</v>
      </c>
      <c r="Q2958">
        <v>-2.9214009999999999E-2</v>
      </c>
      <c r="R2958">
        <v>-0.96976189999999995</v>
      </c>
      <c r="S2958">
        <v>-3.2409670000000002E-2</v>
      </c>
      <c r="T2958">
        <v>-9.7543000000000005E-2</v>
      </c>
      <c r="U2958">
        <v>-3.0846559999999998</v>
      </c>
      <c r="V2958">
        <v>-1.9106410000000001E-2</v>
      </c>
      <c r="W2958">
        <v>-2.1374110000000002E-2</v>
      </c>
      <c r="X2958">
        <v>0.99958899999999995</v>
      </c>
      <c r="Y2958">
        <v>-0.25085380000000002</v>
      </c>
      <c r="Z2958">
        <v>2.9457770000000001E-2</v>
      </c>
      <c r="AA2958">
        <v>0.96757669999999996</v>
      </c>
      <c r="AB2958">
        <v>13</v>
      </c>
      <c r="AC2958">
        <v>-0.34840000000002602</v>
      </c>
      <c r="AD2958">
        <v>-1.1119128552390001</v>
      </c>
      <c r="AE2958">
        <v>-35.067099999999897</v>
      </c>
      <c r="AF2958">
        <v>-8.8076029842416403</v>
      </c>
      <c r="AG2958">
        <v>-1.1119128552390001</v>
      </c>
      <c r="AH2958">
        <v>33.908406597647399</v>
      </c>
      <c r="AI2958">
        <v>91.817869555622806</v>
      </c>
      <c r="AJ2958">
        <v>104.560631219474</v>
      </c>
      <c r="AK2958">
        <v>35.051251882308698</v>
      </c>
      <c r="AL2958">
        <v>91.224739513366103</v>
      </c>
      <c r="AM2958">
        <v>91.095033422473705</v>
      </c>
      <c r="AN2958">
        <v>1.00000003820118</v>
      </c>
    </row>
    <row r="2959" spans="1:40" x14ac:dyDescent="0.25">
      <c r="A2959" t="str">
        <f>"20190312154312151"</f>
        <v>20190312154312151</v>
      </c>
      <c r="B2959" t="str">
        <f>"1552376592140018"</f>
        <v>1552376592140018</v>
      </c>
      <c r="C2959" t="s">
        <v>40</v>
      </c>
      <c r="D2959">
        <v>4.3103040000000004</v>
      </c>
      <c r="E2959">
        <v>0.4092459</v>
      </c>
      <c r="F2959" t="s">
        <v>49</v>
      </c>
      <c r="G2959">
        <v>-491.44850000000002</v>
      </c>
      <c r="H2959" s="1">
        <v>4.6646140000000002E-6</v>
      </c>
      <c r="I2959">
        <v>224.2149</v>
      </c>
      <c r="J2959">
        <v>-491.1576</v>
      </c>
      <c r="K2959">
        <v>1.1119330000000001</v>
      </c>
      <c r="L2959">
        <v>264.2407</v>
      </c>
      <c r="M2959">
        <v>-0.25758259999999999</v>
      </c>
      <c r="N2959">
        <v>0</v>
      </c>
      <c r="O2959">
        <v>-0.96622399999999997</v>
      </c>
      <c r="P2959">
        <v>-0.2394811</v>
      </c>
      <c r="Q2959">
        <v>-2.9409560000000001E-2</v>
      </c>
      <c r="R2959">
        <v>-0.97045559999999997</v>
      </c>
      <c r="S2959">
        <v>-2.368164E-2</v>
      </c>
      <c r="T2959">
        <v>-8.5536000000000001E-2</v>
      </c>
      <c r="U2959">
        <v>-3.0850520000000001</v>
      </c>
      <c r="V2959">
        <v>-1.847E-2</v>
      </c>
      <c r="W2959">
        <v>-2.1592879999999998E-2</v>
      </c>
      <c r="X2959">
        <v>0.99959620000000005</v>
      </c>
      <c r="Y2959">
        <v>-0.25016709999999998</v>
      </c>
      <c r="Z2959">
        <v>2.5872019999999999E-2</v>
      </c>
      <c r="AA2959">
        <v>0.96785690000000002</v>
      </c>
      <c r="AB2959">
        <v>13</v>
      </c>
      <c r="AC2959">
        <v>-0.29090000000002098</v>
      </c>
      <c r="AD2959">
        <v>-1.1119283353859899</v>
      </c>
      <c r="AE2959">
        <v>-40.025799999999997</v>
      </c>
      <c r="AF2959">
        <v>-10.0214543208875</v>
      </c>
      <c r="AG2959">
        <v>-1.1119283353859899</v>
      </c>
      <c r="AH2959">
        <v>38.720147622702797</v>
      </c>
      <c r="AI2959">
        <v>91.592469437553603</v>
      </c>
      <c r="AJ2959">
        <v>104.510739215008</v>
      </c>
      <c r="AK2959">
        <v>40.011445403191502</v>
      </c>
      <c r="AL2959">
        <v>91.237277078446894</v>
      </c>
      <c r="AM2959">
        <v>91.058560083790795</v>
      </c>
      <c r="AN2959">
        <v>0.99999997821056696</v>
      </c>
    </row>
    <row r="2960" spans="1:40" x14ac:dyDescent="0.25">
      <c r="A2960" t="str">
        <f>"20190312154312165"</f>
        <v>20190312154312165</v>
      </c>
      <c r="B2960" t="str">
        <f>"1552376592160513"</f>
        <v>1552376592160513</v>
      </c>
      <c r="C2960" t="s">
        <v>40</v>
      </c>
      <c r="D2960">
        <v>4.3244879999999997</v>
      </c>
      <c r="E2960">
        <v>0.40951510000000002</v>
      </c>
      <c r="F2960" t="s">
        <v>49</v>
      </c>
      <c r="G2960">
        <v>-491.36309999999997</v>
      </c>
      <c r="H2960" s="1">
        <v>4.0537879999999997E-6</v>
      </c>
      <c r="I2960">
        <v>222.09569999999999</v>
      </c>
      <c r="J2960">
        <v>-491.17469999999997</v>
      </c>
      <c r="K2960">
        <v>1.1119490000000001</v>
      </c>
      <c r="L2960">
        <v>264.16050000000001</v>
      </c>
      <c r="M2960">
        <v>-0.25406990000000002</v>
      </c>
      <c r="N2960">
        <v>0</v>
      </c>
      <c r="O2960">
        <v>-0.96715370000000001</v>
      </c>
      <c r="P2960">
        <v>-0.23623160000000001</v>
      </c>
      <c r="Q2960">
        <v>-2.9800460000000001E-2</v>
      </c>
      <c r="R2960">
        <v>-0.97123979999999999</v>
      </c>
      <c r="S2960">
        <v>-1.504517E-2</v>
      </c>
      <c r="T2960">
        <v>-8.1396700000000002E-2</v>
      </c>
      <c r="U2960">
        <v>-3.0851440000000001</v>
      </c>
      <c r="V2960">
        <v>-1.817765E-2</v>
      </c>
      <c r="W2960">
        <v>-2.200094E-2</v>
      </c>
      <c r="X2960">
        <v>0.9995927</v>
      </c>
      <c r="Y2960">
        <v>-0.2493583</v>
      </c>
      <c r="Z2960">
        <v>2.465972E-2</v>
      </c>
      <c r="AA2960">
        <v>0.96809730000000005</v>
      </c>
      <c r="AB2960">
        <v>13</v>
      </c>
      <c r="AC2960">
        <v>-0.18840000000000101</v>
      </c>
      <c r="AD2960">
        <v>-1.1119449462119999</v>
      </c>
      <c r="AE2960">
        <v>-42.064799999999998</v>
      </c>
      <c r="AF2960">
        <v>-10.4981789579106</v>
      </c>
      <c r="AG2960">
        <v>-1.1119449462119999</v>
      </c>
      <c r="AH2960">
        <v>40.703818966618996</v>
      </c>
      <c r="AI2960">
        <v>91.515251856895603</v>
      </c>
      <c r="AJ2960">
        <v>104.462332655843</v>
      </c>
      <c r="AK2960">
        <v>42.050553640386497</v>
      </c>
      <c r="AL2960">
        <v>91.260662701852496</v>
      </c>
      <c r="AM2960">
        <v>91.041812172319993</v>
      </c>
      <c r="AN2960">
        <v>1.0000000171068399</v>
      </c>
    </row>
    <row r="2961" spans="1:40" x14ac:dyDescent="0.25">
      <c r="A2961" t="str">
        <f>"20190312154312181"</f>
        <v>20190312154312181</v>
      </c>
      <c r="B2961" t="str">
        <f>"1552376592170274"</f>
        <v>1552376592170274</v>
      </c>
      <c r="C2961" t="s">
        <v>40</v>
      </c>
      <c r="D2961">
        <v>4.3108610000000001</v>
      </c>
      <c r="E2961">
        <v>0.40963349999999998</v>
      </c>
      <c r="F2961" t="s">
        <v>49</v>
      </c>
      <c r="G2961">
        <v>-491.27820000000003</v>
      </c>
      <c r="H2961" s="1">
        <v>3.2671029999999999E-6</v>
      </c>
      <c r="I2961">
        <v>218.84649999999999</v>
      </c>
      <c r="J2961">
        <v>-491.19380000000001</v>
      </c>
      <c r="K2961">
        <v>1.111966</v>
      </c>
      <c r="L2961">
        <v>264.06880000000001</v>
      </c>
      <c r="M2961">
        <v>-0.25005909999999998</v>
      </c>
      <c r="N2961">
        <v>0</v>
      </c>
      <c r="O2961">
        <v>-0.96819840000000001</v>
      </c>
      <c r="P2961">
        <v>-0.23263020000000001</v>
      </c>
      <c r="Q2961">
        <v>-3.0303170000000001E-2</v>
      </c>
      <c r="R2961">
        <v>-0.9720934</v>
      </c>
      <c r="S2961">
        <v>-7.0495610000000002E-3</v>
      </c>
      <c r="T2961">
        <v>-7.5698020000000005E-2</v>
      </c>
      <c r="U2961">
        <v>-3.0848390000000001</v>
      </c>
      <c r="V2961">
        <v>-1.773226E-2</v>
      </c>
      <c r="W2961">
        <v>-2.25133E-2</v>
      </c>
      <c r="X2961">
        <v>0.99958930000000001</v>
      </c>
      <c r="Y2961">
        <v>-0.24785309999999999</v>
      </c>
      <c r="Z2961">
        <v>2.297973E-2</v>
      </c>
      <c r="AA2961">
        <v>0.96852510000000003</v>
      </c>
      <c r="AB2961">
        <v>13</v>
      </c>
      <c r="AC2961">
        <v>-8.4400000000016406E-2</v>
      </c>
      <c r="AD2961">
        <v>-1.1119627328970001</v>
      </c>
      <c r="AE2961">
        <v>-45.222299999999997</v>
      </c>
      <c r="AF2961">
        <v>-11.220097685196301</v>
      </c>
      <c r="AG2961">
        <v>-1.1119627328970001</v>
      </c>
      <c r="AH2961">
        <v>43.780158374096999</v>
      </c>
      <c r="AI2961">
        <v>91.4094002726154</v>
      </c>
      <c r="AJ2961">
        <v>104.374537399465</v>
      </c>
      <c r="AK2961">
        <v>45.208730577685103</v>
      </c>
      <c r="AL2961">
        <v>91.290026030720995</v>
      </c>
      <c r="AM2961">
        <v>91.016294497696805</v>
      </c>
      <c r="AN2961">
        <v>1.0000000251980401</v>
      </c>
    </row>
    <row r="2962" spans="1:40" x14ac:dyDescent="0.25">
      <c r="A2962" t="str">
        <f>"20190312154312193"</f>
        <v>20190312154312193</v>
      </c>
      <c r="B2962" t="str">
        <f>"1552376592180034"</f>
        <v>1552376592180034</v>
      </c>
      <c r="C2962" t="s">
        <v>40</v>
      </c>
      <c r="D2962">
        <v>4.368093</v>
      </c>
      <c r="E2962">
        <v>0.4097421</v>
      </c>
      <c r="F2962" t="s">
        <v>49</v>
      </c>
      <c r="G2962">
        <v>-491.14510000000001</v>
      </c>
      <c r="H2962" s="1">
        <v>3.2371829999999999E-6</v>
      </c>
      <c r="I2962">
        <v>217.6217</v>
      </c>
      <c r="J2962">
        <v>-491.20780000000002</v>
      </c>
      <c r="K2962">
        <v>1.1119810000000001</v>
      </c>
      <c r="L2962">
        <v>264.00060000000002</v>
      </c>
      <c r="M2962">
        <v>-0.24706829999999999</v>
      </c>
      <c r="N2962">
        <v>0</v>
      </c>
      <c r="O2962">
        <v>-0.96896610000000005</v>
      </c>
      <c r="P2962">
        <v>-0.229656</v>
      </c>
      <c r="Q2962">
        <v>-3.0489570000000001E-2</v>
      </c>
      <c r="R2962">
        <v>-0.9727943</v>
      </c>
      <c r="S2962">
        <v>3.2348630000000001E-3</v>
      </c>
      <c r="T2962">
        <v>-7.3847889999999999E-2</v>
      </c>
      <c r="U2962">
        <v>-3.0846559999999998</v>
      </c>
      <c r="V2962">
        <v>-1.7699779999999998E-2</v>
      </c>
      <c r="W2962">
        <v>-2.2703500000000001E-2</v>
      </c>
      <c r="X2962">
        <v>0.99958559999999996</v>
      </c>
      <c r="Y2962">
        <v>-0.24809059999999999</v>
      </c>
      <c r="Z2962">
        <v>2.244643E-2</v>
      </c>
      <c r="AA2962">
        <v>0.96847669999999997</v>
      </c>
      <c r="AB2962">
        <v>13</v>
      </c>
      <c r="AC2962">
        <v>6.2700000000006598E-2</v>
      </c>
      <c r="AD2962">
        <v>-1.11197776281699</v>
      </c>
      <c r="AE2962">
        <v>-46.378900000000002</v>
      </c>
      <c r="AF2962">
        <v>-11.51324866949</v>
      </c>
      <c r="AG2962">
        <v>-1.11197776281699</v>
      </c>
      <c r="AH2962">
        <v>44.899671972390202</v>
      </c>
      <c r="AI2962">
        <v>91.374245051728195</v>
      </c>
      <c r="AJ2962">
        <v>104.382007957895</v>
      </c>
      <c r="AK2962">
        <v>46.3656330992984</v>
      </c>
      <c r="AL2962">
        <v>91.300926439780895</v>
      </c>
      <c r="AM2962">
        <v>91.014437104954794</v>
      </c>
      <c r="AN2962">
        <v>1.00000005142582</v>
      </c>
    </row>
    <row r="2963" spans="1:40" x14ac:dyDescent="0.25">
      <c r="A2963" t="str">
        <f>"20190312154312205"</f>
        <v>20190312154312205</v>
      </c>
      <c r="B2963" t="str">
        <f>"1552376592200529"</f>
        <v>1552376592200529</v>
      </c>
      <c r="C2963" t="s">
        <v>40</v>
      </c>
      <c r="D2963">
        <v>4.4005640000000001</v>
      </c>
      <c r="E2963">
        <v>0.41017100000000001</v>
      </c>
      <c r="F2963" t="s">
        <v>49</v>
      </c>
      <c r="G2963">
        <v>-491.02249999999998</v>
      </c>
      <c r="H2963" s="1">
        <v>3.1822129999999999E-6</v>
      </c>
      <c r="I2963">
        <v>215.86680000000001</v>
      </c>
      <c r="J2963">
        <v>-491.22199999999998</v>
      </c>
      <c r="K2963">
        <v>1.1119969999999999</v>
      </c>
      <c r="L2963">
        <v>263.93</v>
      </c>
      <c r="M2963">
        <v>-0.24397730000000001</v>
      </c>
      <c r="N2963">
        <v>0</v>
      </c>
      <c r="O2963">
        <v>-0.96974899999999997</v>
      </c>
      <c r="P2963">
        <v>-0.22657769999999999</v>
      </c>
      <c r="Q2963">
        <v>-3.027415E-2</v>
      </c>
      <c r="R2963">
        <v>-0.97352269999999996</v>
      </c>
      <c r="S2963">
        <v>1.1871339999999999E-2</v>
      </c>
      <c r="T2963">
        <v>-7.1257589999999996E-2</v>
      </c>
      <c r="U2963">
        <v>-3.0845030000000002</v>
      </c>
      <c r="V2963">
        <v>-1.7676509999999999E-2</v>
      </c>
      <c r="W2963">
        <v>-2.2487119999999999E-2</v>
      </c>
      <c r="X2963">
        <v>0.99959089999999995</v>
      </c>
      <c r="Y2963">
        <v>-0.2477134</v>
      </c>
      <c r="Z2963">
        <v>2.1688619999999999E-2</v>
      </c>
      <c r="AA2963">
        <v>0.96859059999999997</v>
      </c>
      <c r="AB2963">
        <v>13</v>
      </c>
      <c r="AC2963">
        <v>0.19950000000000001</v>
      </c>
      <c r="AD2963">
        <v>-1.1119938177869999</v>
      </c>
      <c r="AE2963">
        <v>-48.063200000000002</v>
      </c>
      <c r="AF2963">
        <v>-11.913786870054899</v>
      </c>
      <c r="AG2963">
        <v>-1.1119938177869999</v>
      </c>
      <c r="AH2963">
        <v>46.537099185651599</v>
      </c>
      <c r="AI2963">
        <v>91.326060780751405</v>
      </c>
      <c r="AJ2963">
        <v>104.359671024821</v>
      </c>
      <c r="AK2963">
        <v>48.0507694886468</v>
      </c>
      <c r="AL2963">
        <v>91.288525617423403</v>
      </c>
      <c r="AM2963">
        <v>91.013098326430693</v>
      </c>
      <c r="AN2963">
        <v>1.00000004846724</v>
      </c>
    </row>
    <row r="2964" spans="1:40" x14ac:dyDescent="0.25">
      <c r="A2964" t="str">
        <f>"20190312154312216"</f>
        <v>20190312154312216</v>
      </c>
      <c r="B2964" t="str">
        <f>"1552376592210290"</f>
        <v>1552376592210290</v>
      </c>
      <c r="C2964" t="s">
        <v>40</v>
      </c>
      <c r="D2964">
        <v>4.3780449999999904</v>
      </c>
      <c r="E2964">
        <v>0.41042610000000002</v>
      </c>
      <c r="F2964" t="s">
        <v>49</v>
      </c>
      <c r="G2964">
        <v>-490.92779999999999</v>
      </c>
      <c r="H2964" s="1">
        <v>3.0196139999999998E-6</v>
      </c>
      <c r="I2964">
        <v>211.76240000000001</v>
      </c>
      <c r="J2964">
        <v>-491.23480000000001</v>
      </c>
      <c r="K2964">
        <v>1.112007</v>
      </c>
      <c r="L2964">
        <v>263.8657</v>
      </c>
      <c r="M2964">
        <v>-0.2411577</v>
      </c>
      <c r="N2964">
        <v>0</v>
      </c>
      <c r="O2964">
        <v>-0.97045400000000004</v>
      </c>
      <c r="P2964">
        <v>-0.22372410000000001</v>
      </c>
      <c r="Q2964">
        <v>-2.9904989999999999E-2</v>
      </c>
      <c r="R2964">
        <v>-0.974194</v>
      </c>
      <c r="S2964">
        <v>1.7395020000000001E-2</v>
      </c>
      <c r="T2964">
        <v>-6.5729140000000005E-2</v>
      </c>
      <c r="U2964">
        <v>-3.0835880000000002</v>
      </c>
      <c r="V2964">
        <v>-1.770478E-2</v>
      </c>
      <c r="W2964">
        <v>-2.2112130000000001E-2</v>
      </c>
      <c r="X2964">
        <v>0.99959869999999995</v>
      </c>
      <c r="Y2964">
        <v>-0.24663389999999999</v>
      </c>
      <c r="Z2964">
        <v>2.0037969999999999E-2</v>
      </c>
      <c r="AA2964">
        <v>0.96890149999999997</v>
      </c>
      <c r="AB2964">
        <v>13</v>
      </c>
      <c r="AC2964">
        <v>0.30700000000001598</v>
      </c>
      <c r="AD2964">
        <v>-1.112003980386</v>
      </c>
      <c r="AE2964">
        <v>-52.103299999999898</v>
      </c>
      <c r="AF2964">
        <v>-12.8575837828493</v>
      </c>
      <c r="AG2964">
        <v>-1.112003980386</v>
      </c>
      <c r="AH2964">
        <v>50.468398449856799</v>
      </c>
      <c r="AI2964">
        <v>91.223173285189006</v>
      </c>
      <c r="AJ2964">
        <v>104.292911102106</v>
      </c>
      <c r="AK2964">
        <v>52.092353140157698</v>
      </c>
      <c r="AL2964">
        <v>91.267035012544696</v>
      </c>
      <c r="AM2964">
        <v>91.014710317325395</v>
      </c>
      <c r="AN2964">
        <v>0.99999998328483697</v>
      </c>
    </row>
    <row r="2965" spans="1:40" x14ac:dyDescent="0.25">
      <c r="A2965" t="str">
        <f>"20190312154312227"</f>
        <v>20190312154312227</v>
      </c>
      <c r="B2965" t="str">
        <f>"1552376592220050"</f>
        <v>1552376592220050</v>
      </c>
      <c r="C2965" t="s">
        <v>40</v>
      </c>
      <c r="D2965">
        <v>4.3631890000000002</v>
      </c>
      <c r="E2965">
        <v>0.41042610000000002</v>
      </c>
      <c r="F2965" t="s">
        <v>49</v>
      </c>
      <c r="G2965">
        <v>-490.79309999999998</v>
      </c>
      <c r="H2965" s="1">
        <v>2.801568E-6</v>
      </c>
      <c r="I2965">
        <v>208.899</v>
      </c>
      <c r="J2965">
        <v>-491.24799999999999</v>
      </c>
      <c r="K2965">
        <v>1.112023</v>
      </c>
      <c r="L2965">
        <v>263.79860000000002</v>
      </c>
      <c r="M2965">
        <v>-0.23822260000000001</v>
      </c>
      <c r="N2965">
        <v>0</v>
      </c>
      <c r="O2965">
        <v>-0.9711784</v>
      </c>
      <c r="P2965">
        <v>-0.22051219999999999</v>
      </c>
      <c r="Q2965">
        <v>-2.9772739999999999E-2</v>
      </c>
      <c r="R2965">
        <v>-0.97492970000000001</v>
      </c>
      <c r="S2965">
        <v>2.478027E-2</v>
      </c>
      <c r="T2965">
        <v>-6.2374590000000001E-2</v>
      </c>
      <c r="U2965">
        <v>-3.0831909999999998</v>
      </c>
      <c r="V2965">
        <v>-1.7977949999999999E-2</v>
      </c>
      <c r="W2965">
        <v>-2.197354E-2</v>
      </c>
      <c r="X2965">
        <v>0.99959690000000001</v>
      </c>
      <c r="Y2965">
        <v>-0.24602570000000001</v>
      </c>
      <c r="Z2965">
        <v>1.9041499999999999E-2</v>
      </c>
      <c r="AA2965">
        <v>0.9690763</v>
      </c>
      <c r="AB2965">
        <v>14</v>
      </c>
      <c r="AC2965">
        <v>0.45490000000006597</v>
      </c>
      <c r="AD2965">
        <v>-1.112020198432</v>
      </c>
      <c r="AE2965">
        <v>-54.8996</v>
      </c>
      <c r="AF2965">
        <v>-13.5149924488467</v>
      </c>
      <c r="AG2965">
        <v>-1.112020198432</v>
      </c>
      <c r="AH2965">
        <v>53.188780175559302</v>
      </c>
      <c r="AI2965">
        <v>91.160833483804097</v>
      </c>
      <c r="AJ2965">
        <v>104.25684370994</v>
      </c>
      <c r="AK2965">
        <v>54.890235437444403</v>
      </c>
      <c r="AL2965">
        <v>91.259092435900698</v>
      </c>
      <c r="AM2965">
        <v>91.030364957276205</v>
      </c>
      <c r="AN2965">
        <v>1.0000000028179701</v>
      </c>
    </row>
    <row r="2966" spans="1:40" x14ac:dyDescent="0.25">
      <c r="A2966" t="str">
        <f>"20190312154312240"</f>
        <v>20190312154312240</v>
      </c>
      <c r="B2966" t="str">
        <f>"1552376592230786"</f>
        <v>1552376592230786</v>
      </c>
      <c r="C2966" t="s">
        <v>40</v>
      </c>
      <c r="D2966">
        <v>4.3643989999999997</v>
      </c>
      <c r="E2966">
        <v>0.42030109999999898</v>
      </c>
      <c r="F2966" t="s">
        <v>49</v>
      </c>
      <c r="G2966">
        <v>-490.62360000000001</v>
      </c>
      <c r="H2966" s="1">
        <v>2.6818899999999998E-6</v>
      </c>
      <c r="I2966">
        <v>208.46420000000001</v>
      </c>
      <c r="J2966">
        <v>-491.26150000000001</v>
      </c>
      <c r="K2966">
        <v>1.1120380000000001</v>
      </c>
      <c r="L2966">
        <v>263.72809999999998</v>
      </c>
      <c r="M2966">
        <v>-0.2351338</v>
      </c>
      <c r="N2966">
        <v>0</v>
      </c>
      <c r="O2966">
        <v>-0.97193099999999999</v>
      </c>
      <c r="P2966">
        <v>-0.2171527</v>
      </c>
      <c r="Q2966">
        <v>-2.9291190000000002E-2</v>
      </c>
      <c r="R2966">
        <v>-0.97569839999999997</v>
      </c>
      <c r="S2966">
        <v>3.4790040000000001E-2</v>
      </c>
      <c r="T2966">
        <v>-6.1959029999999998E-2</v>
      </c>
      <c r="U2966">
        <v>-3.0830989999999998</v>
      </c>
      <c r="V2966">
        <v>-1.8248879999999999E-2</v>
      </c>
      <c r="W2966">
        <v>-2.1478819999999999E-2</v>
      </c>
      <c r="X2966">
        <v>0.99960269999999996</v>
      </c>
      <c r="Y2966">
        <v>-0.24609039999999999</v>
      </c>
      <c r="Z2966">
        <v>1.8937369999999999E-2</v>
      </c>
      <c r="AA2966">
        <v>0.96906190000000003</v>
      </c>
      <c r="AB2966">
        <v>14</v>
      </c>
      <c r="AC2966">
        <v>0.63790000000000102</v>
      </c>
      <c r="AD2966">
        <v>-1.11203531810999</v>
      </c>
      <c r="AE2966">
        <v>-55.2638999999999</v>
      </c>
      <c r="AF2966">
        <v>-13.609319448998599</v>
      </c>
      <c r="AG2966">
        <v>-1.11203531810999</v>
      </c>
      <c r="AH2966">
        <v>53.542695484953697</v>
      </c>
      <c r="AI2966">
        <v>91.153155559004404</v>
      </c>
      <c r="AJ2966">
        <v>104.261265438718</v>
      </c>
      <c r="AK2966">
        <v>55.256406309206298</v>
      </c>
      <c r="AL2966">
        <v>91.230740428605202</v>
      </c>
      <c r="AM2966">
        <v>91.045883197838194</v>
      </c>
      <c r="AN2966">
        <v>0.99999995958856702</v>
      </c>
    </row>
    <row r="2967" spans="1:40" x14ac:dyDescent="0.25">
      <c r="A2967" t="str">
        <f>"20190312154312252"</f>
        <v>20190312154312252</v>
      </c>
      <c r="B2967" t="str">
        <f>"1552376592240546"</f>
        <v>1552376592240546</v>
      </c>
      <c r="C2967" t="s">
        <v>40</v>
      </c>
      <c r="D2967">
        <v>4.3974310000000001</v>
      </c>
      <c r="E2967">
        <v>0.42075800000000002</v>
      </c>
      <c r="F2967" t="s">
        <v>56</v>
      </c>
      <c r="G2967">
        <v>0</v>
      </c>
      <c r="H2967">
        <v>0</v>
      </c>
      <c r="I2967">
        <v>0</v>
      </c>
      <c r="J2967">
        <v>-491.27530000000002</v>
      </c>
      <c r="K2967">
        <v>1.112058</v>
      </c>
      <c r="L2967">
        <v>263.65519999999998</v>
      </c>
      <c r="M2967">
        <v>-0.23194400000000001</v>
      </c>
      <c r="N2967">
        <v>0</v>
      </c>
      <c r="O2967">
        <v>-0.97269680000000003</v>
      </c>
      <c r="P2967">
        <v>-0.21357390000000001</v>
      </c>
      <c r="Q2967">
        <v>-2.899032E-2</v>
      </c>
      <c r="R2967">
        <v>-0.97649660000000005</v>
      </c>
      <c r="S2967">
        <v>-3.6071779999999998E-2</v>
      </c>
      <c r="T2967">
        <v>1.3488529999999999E-3</v>
      </c>
      <c r="U2967">
        <v>-3.0667719999999998</v>
      </c>
      <c r="V2967">
        <v>-1.863747E-2</v>
      </c>
      <c r="W2967">
        <v>-2.1162770000000001E-2</v>
      </c>
      <c r="X2967">
        <v>0.99960230000000005</v>
      </c>
      <c r="Y2967">
        <v>-0.22049479999999999</v>
      </c>
      <c r="Z2967">
        <v>-4.1641680000000002E-4</v>
      </c>
      <c r="AA2967">
        <v>0.97538809999999998</v>
      </c>
      <c r="AB2967">
        <v>14</v>
      </c>
      <c r="AC2967">
        <v>-3.6071779999999998E-2</v>
      </c>
      <c r="AD2967">
        <v>1.3488529999999999E-3</v>
      </c>
      <c r="AE2967">
        <v>-3.0667719999999998</v>
      </c>
      <c r="AF2967">
        <v>-0.67625360295908499</v>
      </c>
      <c r="AG2967">
        <v>1.3488529999999999E-3</v>
      </c>
      <c r="AH2967">
        <v>2.9914994733366398</v>
      </c>
      <c r="AI2967">
        <v>89.974801436625398</v>
      </c>
      <c r="AJ2967">
        <v>102.738090516509</v>
      </c>
      <c r="AK2967">
        <v>3.0669838365881499</v>
      </c>
      <c r="AL2967">
        <v>91.212627944837607</v>
      </c>
      <c r="AM2967">
        <v>91.068149461316494</v>
      </c>
      <c r="AN2967">
        <v>0.99999998814368096</v>
      </c>
    </row>
    <row r="2968" spans="1:40" x14ac:dyDescent="0.25">
      <c r="A2968" t="str">
        <f>"20190312154312266"</f>
        <v>20190312154312266</v>
      </c>
      <c r="B2968" t="str">
        <f>"1552376592260066"</f>
        <v>1552376592260066</v>
      </c>
      <c r="C2968" t="s">
        <v>40</v>
      </c>
      <c r="D2968">
        <v>4.5283009999999999</v>
      </c>
      <c r="E2968">
        <v>0.418045</v>
      </c>
      <c r="F2968" t="s">
        <v>56</v>
      </c>
      <c r="G2968">
        <v>0</v>
      </c>
      <c r="H2968">
        <v>0</v>
      </c>
      <c r="I2968">
        <v>0</v>
      </c>
      <c r="J2968">
        <v>-491.29180000000002</v>
      </c>
      <c r="K2968">
        <v>1.1120779999999999</v>
      </c>
      <c r="L2968">
        <v>263.56650000000002</v>
      </c>
      <c r="M2968">
        <v>-0.22805880000000001</v>
      </c>
      <c r="N2968">
        <v>0</v>
      </c>
      <c r="O2968">
        <v>-0.9736148</v>
      </c>
      <c r="P2968">
        <v>-0.2094424</v>
      </c>
      <c r="Q2968">
        <v>-2.8586279999999999E-2</v>
      </c>
      <c r="R2968">
        <v>-0.97740309999999997</v>
      </c>
      <c r="S2968">
        <v>-2.7618409999999999E-2</v>
      </c>
      <c r="T2968">
        <v>-2.533436E-3</v>
      </c>
      <c r="U2968">
        <v>-3.0661010000000002</v>
      </c>
      <c r="V2968">
        <v>-1.8878349999999999E-2</v>
      </c>
      <c r="W2968">
        <v>-2.0733680000000001E-2</v>
      </c>
      <c r="X2968">
        <v>0.99960680000000002</v>
      </c>
      <c r="Y2968">
        <v>-0.2192868</v>
      </c>
      <c r="Z2968">
        <v>7.835486E-4</v>
      </c>
      <c r="AA2968">
        <v>0.97566010000000003</v>
      </c>
      <c r="AB2968">
        <v>14</v>
      </c>
      <c r="AC2968">
        <v>-2.7618409999999999E-2</v>
      </c>
      <c r="AD2968">
        <v>-2.533436E-3</v>
      </c>
      <c r="AE2968">
        <v>-3.0661010000000002</v>
      </c>
      <c r="AF2968">
        <v>-0.67238247953977004</v>
      </c>
      <c r="AG2968">
        <v>-2.533436E-3</v>
      </c>
      <c r="AH2968">
        <v>2.9915927335446399</v>
      </c>
      <c r="AI2968">
        <v>90.047340047859294</v>
      </c>
      <c r="AJ2968">
        <v>102.667150345387</v>
      </c>
      <c r="AK2968">
        <v>3.0662243395562401</v>
      </c>
      <c r="AL2968">
        <v>91.188037469031997</v>
      </c>
      <c r="AM2968">
        <v>91.081946629844296</v>
      </c>
      <c r="AN2968">
        <v>1.0000000160956499</v>
      </c>
    </row>
    <row r="2969" spans="1:40" x14ac:dyDescent="0.25">
      <c r="A2969" t="str">
        <f>"20190312154312282"</f>
        <v>20190312154312282</v>
      </c>
      <c r="B2969" t="str">
        <f>"1552376592270802"</f>
        <v>1552376592270802</v>
      </c>
      <c r="C2969" t="s">
        <v>40</v>
      </c>
      <c r="D2969">
        <v>4.4371790000000004</v>
      </c>
      <c r="E2969">
        <v>0.418045</v>
      </c>
      <c r="F2969" t="s">
        <v>42</v>
      </c>
      <c r="G2969">
        <v>-490.53570000000002</v>
      </c>
      <c r="H2969">
        <v>-0.05</v>
      </c>
      <c r="I2969">
        <v>-70.107060000000004</v>
      </c>
      <c r="J2969">
        <v>-491.30849999999998</v>
      </c>
      <c r="K2969">
        <v>1.112098</v>
      </c>
      <c r="L2969">
        <v>263.47399999999999</v>
      </c>
      <c r="M2969">
        <v>-0.22401009999999999</v>
      </c>
      <c r="N2969">
        <v>0</v>
      </c>
      <c r="O2969">
        <v>-0.97455409999999998</v>
      </c>
      <c r="P2969">
        <v>-0.20458309999999999</v>
      </c>
      <c r="Q2969">
        <v>-2.8518669999999999E-2</v>
      </c>
      <c r="R2969">
        <v>-0.97843369999999996</v>
      </c>
      <c r="S2969">
        <v>6.9580079999999999E-3</v>
      </c>
      <c r="T2969">
        <v>-1.069355E-2</v>
      </c>
      <c r="U2969">
        <v>-3.0704959999999999</v>
      </c>
      <c r="V2969">
        <v>-1.9690590000000001E-2</v>
      </c>
      <c r="W2969">
        <v>-2.0635830000000001E-2</v>
      </c>
      <c r="X2969">
        <v>0.99959310000000001</v>
      </c>
      <c r="Y2969">
        <v>-0.22622510000000001</v>
      </c>
      <c r="Z2969">
        <v>3.3047319999999999E-3</v>
      </c>
      <c r="AA2969">
        <v>0.97406939999999997</v>
      </c>
      <c r="AB2969">
        <v>14</v>
      </c>
      <c r="AC2969">
        <v>0.77279999999996096</v>
      </c>
      <c r="AD2969">
        <v>-1.1620979999999901</v>
      </c>
      <c r="AE2969">
        <v>-333.58105999999998</v>
      </c>
      <c r="AF2969">
        <v>-75.480153157493703</v>
      </c>
      <c r="AG2969">
        <v>-1.1620979999999901</v>
      </c>
      <c r="AH2969">
        <v>324.92609374368402</v>
      </c>
      <c r="AI2969">
        <v>90.199602671701797</v>
      </c>
      <c r="AJ2969">
        <v>103.07783097529899</v>
      </c>
      <c r="AK2969">
        <v>333.57993103298298</v>
      </c>
      <c r="AL2969">
        <v>91.182429942266893</v>
      </c>
      <c r="AM2969">
        <v>91.128500998685496</v>
      </c>
      <c r="AN2969">
        <v>0.99999996119097201</v>
      </c>
    </row>
    <row r="2970" spans="1:40" x14ac:dyDescent="0.25">
      <c r="A2970" t="str">
        <f>"20190312154312296"</f>
        <v>20190312154312296</v>
      </c>
      <c r="B2970" t="str">
        <f>"1552376592290322"</f>
        <v>1552376592290322</v>
      </c>
      <c r="C2970" t="s">
        <v>40</v>
      </c>
      <c r="D2970">
        <v>4.5646190000000004</v>
      </c>
      <c r="E2970">
        <v>0.39086929999999998</v>
      </c>
      <c r="F2970" t="s">
        <v>42</v>
      </c>
      <c r="G2970">
        <v>-488.75819999999999</v>
      </c>
      <c r="H2970">
        <v>-0.05</v>
      </c>
      <c r="I2970">
        <v>-86.582179999999994</v>
      </c>
      <c r="J2970">
        <v>-491.32209999999998</v>
      </c>
      <c r="K2970">
        <v>1.112114</v>
      </c>
      <c r="L2970">
        <v>263.39710000000002</v>
      </c>
      <c r="M2970">
        <v>-0.2206427</v>
      </c>
      <c r="N2970">
        <v>0</v>
      </c>
      <c r="O2970">
        <v>-0.97532169999999896</v>
      </c>
      <c r="P2970">
        <v>-0.20076340000000001</v>
      </c>
      <c r="Q2970">
        <v>-2.8413620000000001E-2</v>
      </c>
      <c r="R2970">
        <v>-0.97922799999999999</v>
      </c>
      <c r="S2970">
        <v>2.2369380000000001E-2</v>
      </c>
      <c r="T2970">
        <v>-1.019347E-2</v>
      </c>
      <c r="U2970">
        <v>-3.070557</v>
      </c>
      <c r="V2970">
        <v>-2.0139649999999999E-2</v>
      </c>
      <c r="W2970">
        <v>-2.0500379999999999E-2</v>
      </c>
      <c r="X2970">
        <v>0.999587</v>
      </c>
      <c r="Y2970">
        <v>-0.22774929999999999</v>
      </c>
      <c r="Z2970">
        <v>3.1532999999999999E-3</v>
      </c>
      <c r="AA2970">
        <v>0.97371470000000004</v>
      </c>
      <c r="AB2970">
        <v>14</v>
      </c>
      <c r="AC2970">
        <v>2.5638999999999799</v>
      </c>
      <c r="AD2970">
        <v>-1.1621139999999901</v>
      </c>
      <c r="AE2970">
        <v>-349.97927999999899</v>
      </c>
      <c r="AF2970">
        <v>-79.722687985900194</v>
      </c>
      <c r="AG2970">
        <v>-1.1621139999999901</v>
      </c>
      <c r="AH2970">
        <v>340.78389348618202</v>
      </c>
      <c r="AI2970">
        <v>90.190248206242302</v>
      </c>
      <c r="AJ2970">
        <v>103.166935380033</v>
      </c>
      <c r="AK2970">
        <v>349.98674196067401</v>
      </c>
      <c r="AL2970">
        <v>91.174667516469796</v>
      </c>
      <c r="AM2970">
        <v>91.154237543362399</v>
      </c>
      <c r="AN2970">
        <v>1.0000000208256301</v>
      </c>
    </row>
    <row r="2971" spans="1:40" x14ac:dyDescent="0.25">
      <c r="A2971" t="str">
        <f>"20190312154312309"</f>
        <v>20190312154312309</v>
      </c>
      <c r="B2971" t="str">
        <f>"1552376592300083"</f>
        <v>1552376592300083</v>
      </c>
      <c r="C2971" t="s">
        <v>40</v>
      </c>
      <c r="D2971">
        <v>4.5843590000000001</v>
      </c>
      <c r="E2971">
        <v>0.39001269999999999</v>
      </c>
      <c r="F2971" t="s">
        <v>43</v>
      </c>
      <c r="G2971">
        <v>-489.25990000000002</v>
      </c>
      <c r="H2971" s="1">
        <v>-3.8490209999999999E-6</v>
      </c>
      <c r="I2971">
        <v>238.2989</v>
      </c>
      <c r="J2971">
        <v>-491.3365</v>
      </c>
      <c r="K2971">
        <v>1.112133</v>
      </c>
      <c r="L2971">
        <v>263.31439999999998</v>
      </c>
      <c r="M2971">
        <v>-0.21702440000000001</v>
      </c>
      <c r="N2971">
        <v>0</v>
      </c>
      <c r="O2971">
        <v>-0.97613289999999997</v>
      </c>
      <c r="P2971">
        <v>-0.19686380000000001</v>
      </c>
      <c r="Q2971">
        <v>-2.8530929999999999E-2</v>
      </c>
      <c r="R2971">
        <v>-0.98001550000000004</v>
      </c>
      <c r="S2971">
        <v>0.25570680000000001</v>
      </c>
      <c r="T2971">
        <v>-0.13789749999999901</v>
      </c>
      <c r="U2971">
        <v>-3.1120610000000002</v>
      </c>
      <c r="V2971">
        <v>-2.040987E-2</v>
      </c>
      <c r="W2971">
        <v>-2.0580500000000002E-2</v>
      </c>
      <c r="X2971">
        <v>0.99957980000000002</v>
      </c>
      <c r="Y2971">
        <v>-0.29616360000000003</v>
      </c>
      <c r="Z2971">
        <v>4.1617130000000002E-2</v>
      </c>
      <c r="AA2971">
        <v>0.95423009999999997</v>
      </c>
      <c r="AB2971">
        <v>14</v>
      </c>
      <c r="AC2971">
        <v>2.07659999999998</v>
      </c>
      <c r="AD2971">
        <v>-1.112136849021</v>
      </c>
      <c r="AE2971">
        <v>-25.0154999999999</v>
      </c>
      <c r="AF2971">
        <v>-7.4416458911369903</v>
      </c>
      <c r="AG2971">
        <v>-1.112136849021</v>
      </c>
      <c r="AH2971">
        <v>23.921600744997601</v>
      </c>
      <c r="AI2971">
        <v>92.541833270486805</v>
      </c>
      <c r="AJ2971">
        <v>107.280122806893</v>
      </c>
      <c r="AK2971">
        <v>25.077039780307</v>
      </c>
      <c r="AL2971">
        <v>91.179259108623597</v>
      </c>
      <c r="AM2971">
        <v>91.169728459307294</v>
      </c>
      <c r="AN2971">
        <v>0.99999994817085203</v>
      </c>
    </row>
    <row r="2972" spans="1:40" x14ac:dyDescent="0.25">
      <c r="A2972" t="str">
        <f>"20190312154312323"</f>
        <v>20190312154312323</v>
      </c>
      <c r="B2972" t="str">
        <f>"1552376592320577"</f>
        <v>1552376592320577</v>
      </c>
      <c r="C2972" t="s">
        <v>40</v>
      </c>
      <c r="D2972">
        <v>4.5855040000000002</v>
      </c>
      <c r="E2972">
        <v>0.3899648</v>
      </c>
      <c r="F2972" t="s">
        <v>43</v>
      </c>
      <c r="G2972">
        <v>-489.29270000000002</v>
      </c>
      <c r="H2972" s="1">
        <v>-3.7628550000000002E-7</v>
      </c>
      <c r="I2972">
        <v>240.20079999999999</v>
      </c>
      <c r="J2972">
        <v>-491.351</v>
      </c>
      <c r="K2972">
        <v>1.1121540000000001</v>
      </c>
      <c r="L2972">
        <v>263.2285</v>
      </c>
      <c r="M2972">
        <v>-0.21326809999999999</v>
      </c>
      <c r="N2972">
        <v>0</v>
      </c>
      <c r="O2972">
        <v>-0.9769601</v>
      </c>
      <c r="P2972">
        <v>-0.19285379999999999</v>
      </c>
      <c r="Q2972">
        <v>-2.8448649999999999E-2</v>
      </c>
      <c r="R2972">
        <v>-0.98081529999999995</v>
      </c>
      <c r="S2972">
        <v>0.275177</v>
      </c>
      <c r="T2972">
        <v>-0.1497396</v>
      </c>
      <c r="U2972">
        <v>-3.1120610000000002</v>
      </c>
      <c r="V2972">
        <v>-2.065444E-2</v>
      </c>
      <c r="W2972">
        <v>-2.0453610000000001E-2</v>
      </c>
      <c r="X2972">
        <v>0.99957750000000001</v>
      </c>
      <c r="Y2972">
        <v>-0.29840109999999997</v>
      </c>
      <c r="Z2972">
        <v>4.5213959999999997E-2</v>
      </c>
      <c r="AA2972">
        <v>0.95336900000000002</v>
      </c>
      <c r="AB2972">
        <v>14</v>
      </c>
      <c r="AC2972">
        <v>2.0582999999999698</v>
      </c>
      <c r="AD2972">
        <v>-1.1121543762855</v>
      </c>
      <c r="AE2972">
        <v>-23.027699999999999</v>
      </c>
      <c r="AF2972">
        <v>-6.9061968341125501</v>
      </c>
      <c r="AG2972">
        <v>-1.1121543762855</v>
      </c>
      <c r="AH2972">
        <v>22.0079712150349</v>
      </c>
      <c r="AI2972">
        <v>92.760430173102193</v>
      </c>
      <c r="AJ2972">
        <v>107.42208353573299</v>
      </c>
      <c r="AK2972">
        <v>23.092926169500501</v>
      </c>
      <c r="AL2972">
        <v>91.171987176475497</v>
      </c>
      <c r="AM2972">
        <v>91.183743989341394</v>
      </c>
      <c r="AN2972">
        <v>1.00000006727999</v>
      </c>
    </row>
    <row r="2973" spans="1:40" x14ac:dyDescent="0.25">
      <c r="A2973" t="str">
        <f>"20190312154312341"</f>
        <v>20190312154312341</v>
      </c>
      <c r="B2973" t="str">
        <f>"1552376592330338"</f>
        <v>1552376592330338</v>
      </c>
      <c r="C2973" t="s">
        <v>40</v>
      </c>
      <c r="D2973">
        <v>4.5953739999999996</v>
      </c>
      <c r="E2973">
        <v>0.38993800000000001</v>
      </c>
      <c r="F2973" t="s">
        <v>43</v>
      </c>
      <c r="G2973">
        <v>-489.30169999999998</v>
      </c>
      <c r="H2973" s="1">
        <v>-7.8284809999999898E-7</v>
      </c>
      <c r="I2973">
        <v>241.16890000000001</v>
      </c>
      <c r="J2973">
        <v>-491.36739999999998</v>
      </c>
      <c r="K2973">
        <v>1.1121760000000001</v>
      </c>
      <c r="L2973">
        <v>263.12950000000001</v>
      </c>
      <c r="M2973">
        <v>-0.2089501</v>
      </c>
      <c r="N2973">
        <v>0</v>
      </c>
      <c r="O2973">
        <v>-0.97789230000000005</v>
      </c>
      <c r="P2973">
        <v>-0.1885761</v>
      </c>
      <c r="Q2973">
        <v>-2.8166219999999999E-2</v>
      </c>
      <c r="R2973">
        <v>-0.98165480000000005</v>
      </c>
      <c r="S2973">
        <v>0.28900150000000002</v>
      </c>
      <c r="T2973">
        <v>-0.15684189999999901</v>
      </c>
      <c r="U2973">
        <v>-3.1109619999999998</v>
      </c>
      <c r="V2973">
        <v>-2.0599760000000002E-2</v>
      </c>
      <c r="W2973">
        <v>-2.011512E-2</v>
      </c>
      <c r="X2973">
        <v>0.99958539999999996</v>
      </c>
      <c r="Y2973">
        <v>-0.29840630000000001</v>
      </c>
      <c r="Z2973">
        <v>4.7430670000000001E-2</v>
      </c>
      <c r="AA2973">
        <v>0.95325959999999998</v>
      </c>
      <c r="AB2973">
        <v>14</v>
      </c>
      <c r="AC2973">
        <v>2.0656999999999899</v>
      </c>
      <c r="AD2973">
        <v>-1.1121767828481</v>
      </c>
      <c r="AE2973">
        <v>-21.960599999999999</v>
      </c>
      <c r="AF2973">
        <v>-6.5921619460313803</v>
      </c>
      <c r="AG2973">
        <v>-1.1121767828481</v>
      </c>
      <c r="AH2973">
        <v>20.99080745465</v>
      </c>
      <c r="AI2973">
        <v>92.893827232365297</v>
      </c>
      <c r="AJ2973">
        <v>107.43489342509</v>
      </c>
      <c r="AK2973">
        <v>22.029696636976201</v>
      </c>
      <c r="AL2973">
        <v>91.1525892502614</v>
      </c>
      <c r="AM2973">
        <v>91.180601737954305</v>
      </c>
      <c r="AN2973">
        <v>0.99999997002891505</v>
      </c>
    </row>
    <row r="2974" spans="1:40" x14ac:dyDescent="0.25">
      <c r="A2974" t="str">
        <f>"20190312154312355"</f>
        <v>20190312154312355</v>
      </c>
      <c r="B2974" t="str">
        <f>"1552376592350833"</f>
        <v>1552376592350833</v>
      </c>
      <c r="C2974" t="s">
        <v>40</v>
      </c>
      <c r="D2974">
        <v>4.5862239999999996</v>
      </c>
      <c r="E2974">
        <v>0.390463</v>
      </c>
      <c r="F2974" t="s">
        <v>43</v>
      </c>
      <c r="G2974">
        <v>-489.27</v>
      </c>
      <c r="H2974" s="1">
        <v>-9.9364839999999992E-7</v>
      </c>
      <c r="I2974">
        <v>241.64709999999999</v>
      </c>
      <c r="J2974">
        <v>-491.38240000000002</v>
      </c>
      <c r="K2974">
        <v>1.112187</v>
      </c>
      <c r="L2974">
        <v>263.036</v>
      </c>
      <c r="M2974">
        <v>-0.20487820000000001</v>
      </c>
      <c r="N2974">
        <v>0</v>
      </c>
      <c r="O2974">
        <v>-0.97875310000000004</v>
      </c>
      <c r="P2974">
        <v>-0.18461610000000001</v>
      </c>
      <c r="Q2974">
        <v>-2.785176E-2</v>
      </c>
      <c r="R2974">
        <v>-0.98241630000000002</v>
      </c>
      <c r="S2974">
        <v>0.30361939999999998</v>
      </c>
      <c r="T2974">
        <v>-0.16099939999999999</v>
      </c>
      <c r="U2974">
        <v>-3.1098020000000002</v>
      </c>
      <c r="V2974">
        <v>-2.047361E-2</v>
      </c>
      <c r="W2974">
        <v>-1.9745559999999999E-2</v>
      </c>
      <c r="X2974">
        <v>0.99959540000000002</v>
      </c>
      <c r="Y2974">
        <v>-0.29890090000000002</v>
      </c>
      <c r="Z2974">
        <v>4.8754560000000002E-2</v>
      </c>
      <c r="AA2974">
        <v>0.95303789999999999</v>
      </c>
      <c r="AB2974">
        <v>14</v>
      </c>
      <c r="AC2974">
        <v>2.1124000000000298</v>
      </c>
      <c r="AD2974">
        <v>-1.11218799364839</v>
      </c>
      <c r="AE2974">
        <v>-21.3889</v>
      </c>
      <c r="AF2974">
        <v>-6.4326296624391297</v>
      </c>
      <c r="AG2974">
        <v>-1.11218799364839</v>
      </c>
      <c r="AH2974">
        <v>20.447604496836099</v>
      </c>
      <c r="AI2974">
        <v>92.970138678043696</v>
      </c>
      <c r="AJ2974">
        <v>107.463099349697</v>
      </c>
      <c r="AK2974">
        <v>21.4643941485973</v>
      </c>
      <c r="AL2974">
        <v>91.131410769604997</v>
      </c>
      <c r="AM2974">
        <v>91.173362193153807</v>
      </c>
      <c r="AN2974">
        <v>1.0000000097736499</v>
      </c>
    </row>
    <row r="2975" spans="1:40" x14ac:dyDescent="0.25">
      <c r="A2975" t="str">
        <f>"20190312154312372"</f>
        <v>20190312154312372</v>
      </c>
      <c r="B2975" t="str">
        <f>"1552376592360593"</f>
        <v>1552376592360593</v>
      </c>
      <c r="C2975" t="s">
        <v>40</v>
      </c>
      <c r="D2975">
        <v>4.6093719999999996</v>
      </c>
      <c r="E2975">
        <v>0.3908934</v>
      </c>
      <c r="F2975" t="s">
        <v>43</v>
      </c>
      <c r="G2975">
        <v>-489.2321</v>
      </c>
      <c r="H2975" s="1">
        <v>-9.7481259999999993E-7</v>
      </c>
      <c r="I2975">
        <v>241.58760000000001</v>
      </c>
      <c r="J2975">
        <v>-491.39850000000001</v>
      </c>
      <c r="K2975">
        <v>1.1122000000000001</v>
      </c>
      <c r="L2975">
        <v>262.93360000000001</v>
      </c>
      <c r="M2975">
        <v>-0.20043659999999999</v>
      </c>
      <c r="N2975">
        <v>0</v>
      </c>
      <c r="O2975">
        <v>-0.97967179999999998</v>
      </c>
      <c r="P2975">
        <v>-0.1800099</v>
      </c>
      <c r="Q2975">
        <v>-2.6165810000000001E-2</v>
      </c>
      <c r="R2975">
        <v>-0.98331710000000006</v>
      </c>
      <c r="S2975">
        <v>0.311554</v>
      </c>
      <c r="T2975">
        <v>-0.16114510000000001</v>
      </c>
      <c r="U2975">
        <v>-3.107666</v>
      </c>
      <c r="V2975">
        <v>-2.0643970000000001E-2</v>
      </c>
      <c r="W2975">
        <v>-1.7999279999999999E-2</v>
      </c>
      <c r="X2975">
        <v>0.99962479999999998</v>
      </c>
      <c r="Y2975">
        <v>-0.29704459999999999</v>
      </c>
      <c r="Z2975">
        <v>4.8912129999999998E-2</v>
      </c>
      <c r="AA2975">
        <v>0.95361010000000002</v>
      </c>
      <c r="AB2975">
        <v>14</v>
      </c>
      <c r="AC2975">
        <v>2.1664000000000101</v>
      </c>
      <c r="AD2975">
        <v>-1.1122009748126001</v>
      </c>
      <c r="AE2975">
        <v>-21.346</v>
      </c>
      <c r="AF2975">
        <v>-6.38394508978653</v>
      </c>
      <c r="AG2975">
        <v>-1.1122009748126001</v>
      </c>
      <c r="AH2975">
        <v>20.423667745187799</v>
      </c>
      <c r="AI2975">
        <v>92.975356290374705</v>
      </c>
      <c r="AJ2975">
        <v>107.357983239604</v>
      </c>
      <c r="AK2975">
        <v>21.427037828024801</v>
      </c>
      <c r="AL2975">
        <v>91.031338528788098</v>
      </c>
      <c r="AM2975">
        <v>91.1830881371624</v>
      </c>
      <c r="AN2975">
        <v>0.99999994417645799</v>
      </c>
    </row>
    <row r="2976" spans="1:40" x14ac:dyDescent="0.25">
      <c r="A2976" t="str">
        <f>"20190312154312384"</f>
        <v>20190312154312384</v>
      </c>
      <c r="B2976" t="str">
        <f>"1552376592380114"</f>
        <v>1552376592380114</v>
      </c>
      <c r="C2976" t="s">
        <v>40</v>
      </c>
      <c r="D2976">
        <v>4.6365480000000003</v>
      </c>
      <c r="E2976">
        <v>0.39151619999999998</v>
      </c>
      <c r="F2976" t="s">
        <v>43</v>
      </c>
      <c r="G2976">
        <v>-489.1302</v>
      </c>
      <c r="H2976" s="1">
        <v>-7.9674430000000001E-7</v>
      </c>
      <c r="I2976">
        <v>241.13030000000001</v>
      </c>
      <c r="J2976">
        <v>-491.41</v>
      </c>
      <c r="K2976">
        <v>1.1122000000000001</v>
      </c>
      <c r="L2976">
        <v>262.85840000000002</v>
      </c>
      <c r="M2976">
        <v>-0.19719030000000001</v>
      </c>
      <c r="N2976">
        <v>0</v>
      </c>
      <c r="O2976">
        <v>-0.98033000000000003</v>
      </c>
      <c r="P2976">
        <v>-0.17657429999999999</v>
      </c>
      <c r="Q2976">
        <v>-2.517455E-2</v>
      </c>
      <c r="R2976">
        <v>-0.9839656</v>
      </c>
      <c r="S2976">
        <v>0.32312010000000002</v>
      </c>
      <c r="T2976">
        <v>-0.15843109999999999</v>
      </c>
      <c r="U2976">
        <v>-3.1058349999999999</v>
      </c>
      <c r="V2976">
        <v>-2.0835010000000001E-2</v>
      </c>
      <c r="W2976">
        <v>-1.696286E-2</v>
      </c>
      <c r="X2976">
        <v>0.99963900000000006</v>
      </c>
      <c r="Y2976">
        <v>-0.29745640000000001</v>
      </c>
      <c r="Z2976">
        <v>4.8156530000000003E-2</v>
      </c>
      <c r="AA2976">
        <v>0.95352009999999998</v>
      </c>
      <c r="AB2976">
        <v>14</v>
      </c>
      <c r="AC2976">
        <v>2.2798000000000198</v>
      </c>
      <c r="AD2976">
        <v>-1.1122007967442999</v>
      </c>
      <c r="AE2976">
        <v>-21.728100000000001</v>
      </c>
      <c r="AF2976">
        <v>-6.5028991677368904</v>
      </c>
      <c r="AG2976">
        <v>-1.1122007967442999</v>
      </c>
      <c r="AH2976">
        <v>20.7979740135101</v>
      </c>
      <c r="AI2976">
        <v>92.921823160707305</v>
      </c>
      <c r="AJ2976">
        <v>107.362889466303</v>
      </c>
      <c r="AK2976">
        <v>21.819266973587201</v>
      </c>
      <c r="AL2976">
        <v>90.971946917623498</v>
      </c>
      <c r="AM2976">
        <v>91.194016363414406</v>
      </c>
      <c r="AN2976">
        <v>0.99999998329103901</v>
      </c>
    </row>
    <row r="2977" spans="1:40" x14ac:dyDescent="0.25">
      <c r="A2977" t="str">
        <f>"20190312154312396"</f>
        <v>20190312154312396</v>
      </c>
      <c r="B2977" t="str">
        <f>"1552376592389874"</f>
        <v>1552376592389874</v>
      </c>
      <c r="C2977" t="s">
        <v>40</v>
      </c>
      <c r="D2977">
        <v>4.6079699999999999</v>
      </c>
      <c r="E2977">
        <v>0.39177000000000001</v>
      </c>
      <c r="F2977" t="s">
        <v>43</v>
      </c>
      <c r="G2977">
        <v>-489.09530000000001</v>
      </c>
      <c r="H2977" s="1">
        <v>-7.5100229999999997E-7</v>
      </c>
      <c r="I2977">
        <v>241.0093</v>
      </c>
      <c r="J2977">
        <v>-491.42099999999999</v>
      </c>
      <c r="K2977">
        <v>1.112195</v>
      </c>
      <c r="L2977">
        <v>262.78469999999999</v>
      </c>
      <c r="M2977">
        <v>-0.19403049999999999</v>
      </c>
      <c r="N2977">
        <v>0</v>
      </c>
      <c r="O2977">
        <v>-0.98095969999999999</v>
      </c>
      <c r="P2977">
        <v>-0.1729367</v>
      </c>
      <c r="Q2977">
        <v>-2.4468070000000001E-2</v>
      </c>
      <c r="R2977">
        <v>-0.98462899999999998</v>
      </c>
      <c r="S2977">
        <v>0.32882689999999998</v>
      </c>
      <c r="T2977">
        <v>-0.157999</v>
      </c>
      <c r="U2977">
        <v>-3.103882</v>
      </c>
      <c r="V2977">
        <v>-2.1315750000000001E-2</v>
      </c>
      <c r="W2977">
        <v>-1.6211920000000001E-2</v>
      </c>
      <c r="X2977">
        <v>0.99964140000000001</v>
      </c>
      <c r="Y2977">
        <v>-0.2961763</v>
      </c>
      <c r="Z2977">
        <v>4.810909E-2</v>
      </c>
      <c r="AA2977">
        <v>0.95392089999999996</v>
      </c>
      <c r="AB2977">
        <v>14</v>
      </c>
      <c r="AC2977">
        <v>2.3256999999999799</v>
      </c>
      <c r="AD2977">
        <v>-1.1121957510022999</v>
      </c>
      <c r="AE2977">
        <v>-21.775399999999902</v>
      </c>
      <c r="AF2977">
        <v>-6.4899984760565603</v>
      </c>
      <c r="AG2977">
        <v>-1.1121957510022999</v>
      </c>
      <c r="AH2977">
        <v>20.856472029462601</v>
      </c>
      <c r="AI2977">
        <v>92.914865784015802</v>
      </c>
      <c r="AJ2977">
        <v>107.284800250651</v>
      </c>
      <c r="AK2977">
        <v>21.871202187431798</v>
      </c>
      <c r="AL2977">
        <v>90.928915233455498</v>
      </c>
      <c r="AM2977">
        <v>91.221555508886894</v>
      </c>
      <c r="AN2977">
        <v>1.00000005807105</v>
      </c>
    </row>
    <row r="2978" spans="1:40" x14ac:dyDescent="0.25">
      <c r="A2978" t="str">
        <f>"20190312154312409"</f>
        <v>20190312154312409</v>
      </c>
      <c r="B2978" t="str">
        <f>"1552376592400610"</f>
        <v>1552376592400610</v>
      </c>
      <c r="C2978" t="s">
        <v>40</v>
      </c>
      <c r="D2978">
        <v>4.6460059999999999</v>
      </c>
      <c r="E2978">
        <v>0.39205210000000001</v>
      </c>
      <c r="F2978" t="s">
        <v>43</v>
      </c>
      <c r="G2978">
        <v>-489.03089999999997</v>
      </c>
      <c r="H2978" s="1">
        <v>-7.0459859999999905E-7</v>
      </c>
      <c r="I2978">
        <v>240.87450000000001</v>
      </c>
      <c r="J2978">
        <v>-491.4323</v>
      </c>
      <c r="K2978">
        <v>1.112187</v>
      </c>
      <c r="L2978">
        <v>262.70780000000002</v>
      </c>
      <c r="M2978">
        <v>-0.1907413</v>
      </c>
      <c r="N2978">
        <v>0</v>
      </c>
      <c r="O2978">
        <v>-0.98160420000000004</v>
      </c>
      <c r="P2978">
        <v>-0.169544899999999</v>
      </c>
      <c r="Q2978">
        <v>-2.3785520000000001E-2</v>
      </c>
      <c r="R2978">
        <v>-0.98523550000000004</v>
      </c>
      <c r="S2978">
        <v>0.33840940000000003</v>
      </c>
      <c r="T2978">
        <v>-0.15748039999999999</v>
      </c>
      <c r="U2978">
        <v>-3.1023559999999999</v>
      </c>
      <c r="V2978">
        <v>-2.141562E-2</v>
      </c>
      <c r="W2978">
        <v>-1.547953E-2</v>
      </c>
      <c r="X2978">
        <v>0.99965079999999995</v>
      </c>
      <c r="Y2978">
        <v>-0.29593760000000002</v>
      </c>
      <c r="Z2978">
        <v>4.8017919999999999E-2</v>
      </c>
      <c r="AA2978">
        <v>0.95399959999999995</v>
      </c>
      <c r="AB2978">
        <v>14</v>
      </c>
      <c r="AC2978">
        <v>2.4014000000000202</v>
      </c>
      <c r="AD2978">
        <v>-1.1121877045985999</v>
      </c>
      <c r="AE2978">
        <v>-21.833300000000001</v>
      </c>
      <c r="AF2978">
        <v>-6.5052890435297401</v>
      </c>
      <c r="AG2978">
        <v>-1.1121877045985999</v>
      </c>
      <c r="AH2978">
        <v>20.920719015262499</v>
      </c>
      <c r="AI2978">
        <v>92.906093587333103</v>
      </c>
      <c r="AJ2978">
        <v>107.273060309393</v>
      </c>
      <c r="AK2978">
        <v>21.937005974965999</v>
      </c>
      <c r="AL2978">
        <v>90.886947176177401</v>
      </c>
      <c r="AM2978">
        <v>91.227265540441707</v>
      </c>
      <c r="AN2978">
        <v>0.99999998328482198</v>
      </c>
    </row>
    <row r="2979" spans="1:40" x14ac:dyDescent="0.25">
      <c r="A2979" t="str">
        <f>"20190312154312421"</f>
        <v>20190312154312421</v>
      </c>
      <c r="B2979" t="str">
        <f>"1552376592410369"</f>
        <v>1552376592410369</v>
      </c>
      <c r="C2979" t="s">
        <v>40</v>
      </c>
      <c r="D2979">
        <v>4.6235679999999997</v>
      </c>
      <c r="E2979">
        <v>0.39242290000000002</v>
      </c>
      <c r="F2979" t="s">
        <v>43</v>
      </c>
      <c r="G2979">
        <v>-488.98910000000001</v>
      </c>
      <c r="H2979" s="1">
        <v>-7.1187770000000001E-7</v>
      </c>
      <c r="I2979">
        <v>240.8742</v>
      </c>
      <c r="J2979">
        <v>-491.44299999999998</v>
      </c>
      <c r="K2979">
        <v>1.1121780000000001</v>
      </c>
      <c r="L2979">
        <v>262.63310000000001</v>
      </c>
      <c r="M2979">
        <v>-0.18758649999999999</v>
      </c>
      <c r="N2979">
        <v>0</v>
      </c>
      <c r="O2979">
        <v>-0.98221159999999996</v>
      </c>
      <c r="P2979">
        <v>-0.16604469999999999</v>
      </c>
      <c r="Q2979">
        <v>-2.3561769999999999E-2</v>
      </c>
      <c r="R2979">
        <v>-0.98583699999999996</v>
      </c>
      <c r="S2979">
        <v>0.34698489999999999</v>
      </c>
      <c r="T2979">
        <v>-0.1579556</v>
      </c>
      <c r="U2979">
        <v>-3.1008610000000001</v>
      </c>
      <c r="V2979">
        <v>-2.1757490000000001E-2</v>
      </c>
      <c r="W2979">
        <v>-1.5206249999999999E-2</v>
      </c>
      <c r="X2979">
        <v>0.99964759999999997</v>
      </c>
      <c r="Y2979">
        <v>-0.2955238</v>
      </c>
      <c r="Z2979">
        <v>4.8227810000000003E-2</v>
      </c>
      <c r="AA2979">
        <v>0.9541172</v>
      </c>
      <c r="AB2979">
        <v>14</v>
      </c>
      <c r="AC2979">
        <v>2.4539000000000302</v>
      </c>
      <c r="AD2979">
        <v>-1.1121787118777</v>
      </c>
      <c r="AE2979">
        <v>-21.758900000000001</v>
      </c>
      <c r="AF2979">
        <v>-6.4754522271499901</v>
      </c>
      <c r="AG2979">
        <v>-1.1121787118777</v>
      </c>
      <c r="AH2979">
        <v>20.8584642356786</v>
      </c>
      <c r="AI2979">
        <v>92.915142948834401</v>
      </c>
      <c r="AJ2979">
        <v>107.24681047611099</v>
      </c>
      <c r="AK2979">
        <v>21.8687894796292</v>
      </c>
      <c r="AL2979">
        <v>90.871287552405406</v>
      </c>
      <c r="AM2979">
        <v>91.246854948102495</v>
      </c>
      <c r="AN2979">
        <v>0.99999997129796003</v>
      </c>
    </row>
    <row r="2980" spans="1:40" x14ac:dyDescent="0.25">
      <c r="A2980" t="str">
        <f>"20190312154312431"</f>
        <v>20190312154312431</v>
      </c>
      <c r="B2980" t="str">
        <f>"1552376592420129"</f>
        <v>1552376592420129</v>
      </c>
      <c r="C2980" t="s">
        <v>40</v>
      </c>
      <c r="D2980">
        <v>4.5995249999999999</v>
      </c>
      <c r="E2980">
        <v>0.39286199999999999</v>
      </c>
      <c r="F2980" t="s">
        <v>43</v>
      </c>
      <c r="G2980">
        <v>-488.95760000000001</v>
      </c>
      <c r="H2980" s="1">
        <v>-7.33878E-7</v>
      </c>
      <c r="I2980">
        <v>240.91239999999999</v>
      </c>
      <c r="J2980">
        <v>-491.45249999999999</v>
      </c>
      <c r="K2980">
        <v>1.11216</v>
      </c>
      <c r="L2980">
        <v>262.56630000000001</v>
      </c>
      <c r="M2980">
        <v>-0.18478259999999999</v>
      </c>
      <c r="N2980">
        <v>0</v>
      </c>
      <c r="O2980">
        <v>-0.98274249999999996</v>
      </c>
      <c r="P2980">
        <v>-0.16300029999999999</v>
      </c>
      <c r="Q2980">
        <v>-2.329167E-2</v>
      </c>
      <c r="R2980">
        <v>-0.98635119999999998</v>
      </c>
      <c r="S2980">
        <v>0.35461429999999999</v>
      </c>
      <c r="T2980">
        <v>-0.15868019999999999</v>
      </c>
      <c r="U2980">
        <v>-3.0989990000000001</v>
      </c>
      <c r="V2980">
        <v>-2.19945E-2</v>
      </c>
      <c r="W2980">
        <v>-1.489127E-2</v>
      </c>
      <c r="X2980">
        <v>0.99964719999999996</v>
      </c>
      <c r="Y2980">
        <v>-0.29517860000000001</v>
      </c>
      <c r="Z2980">
        <v>4.8514080000000001E-2</v>
      </c>
      <c r="AA2980">
        <v>0.95420959999999999</v>
      </c>
      <c r="AB2980">
        <v>14</v>
      </c>
      <c r="AC2980">
        <v>2.4948999999999701</v>
      </c>
      <c r="AD2980">
        <v>-1.112160733878</v>
      </c>
      <c r="AE2980">
        <v>-21.6539</v>
      </c>
      <c r="AF2980">
        <v>-6.43658556726926</v>
      </c>
      <c r="AG2980">
        <v>-1.112160733878</v>
      </c>
      <c r="AH2980">
        <v>20.7658879262212</v>
      </c>
      <c r="AI2980">
        <v>92.928472498205906</v>
      </c>
      <c r="AJ2980">
        <v>107.22132247907901</v>
      </c>
      <c r="AK2980">
        <v>21.768983362278</v>
      </c>
      <c r="AL2980">
        <v>90.853238444999405</v>
      </c>
      <c r="AM2980">
        <v>91.260433409655505</v>
      </c>
      <c r="AN2980">
        <v>1.0000000162101499</v>
      </c>
    </row>
    <row r="2981" spans="1:40" x14ac:dyDescent="0.25">
      <c r="A2981" t="str">
        <f>"20190312154312444"</f>
        <v>20190312154312444</v>
      </c>
      <c r="B2981" t="str">
        <f>"1552376592440626"</f>
        <v>1552376592440626</v>
      </c>
      <c r="C2981" t="s">
        <v>40</v>
      </c>
      <c r="D2981">
        <v>4.6078429999999999</v>
      </c>
      <c r="E2981">
        <v>0.39310030000000001</v>
      </c>
      <c r="F2981" t="s">
        <v>43</v>
      </c>
      <c r="G2981">
        <v>-488.94479999999999</v>
      </c>
      <c r="H2981" s="1">
        <v>-7.9986929999999998E-7</v>
      </c>
      <c r="I2981">
        <v>241.06100000000001</v>
      </c>
      <c r="J2981">
        <v>-491.46339999999998</v>
      </c>
      <c r="K2981">
        <v>1.112134</v>
      </c>
      <c r="L2981">
        <v>262.48689999999999</v>
      </c>
      <c r="M2981">
        <v>-0.18148919999999999</v>
      </c>
      <c r="N2981">
        <v>0</v>
      </c>
      <c r="O2981">
        <v>-0.9833556</v>
      </c>
      <c r="P2981">
        <v>-0.15958849999999999</v>
      </c>
      <c r="Q2981">
        <v>-2.335634E-2</v>
      </c>
      <c r="R2981">
        <v>-0.98690739999999999</v>
      </c>
      <c r="S2981">
        <v>0.36117549999999998</v>
      </c>
      <c r="T2981">
        <v>-0.160183299999999</v>
      </c>
      <c r="U2981">
        <v>-3.0973820000000001</v>
      </c>
      <c r="V2981">
        <v>-2.2103169999999998E-2</v>
      </c>
      <c r="W2981">
        <v>-1.490148E-2</v>
      </c>
      <c r="X2981">
        <v>0.99964459999999999</v>
      </c>
      <c r="Y2981">
        <v>-0.2940257</v>
      </c>
      <c r="Z2981">
        <v>4.9048509999999997E-2</v>
      </c>
      <c r="AA2981">
        <v>0.9545382</v>
      </c>
      <c r="AB2981">
        <v>14</v>
      </c>
      <c r="AC2981">
        <v>2.51859999999999</v>
      </c>
      <c r="AD2981">
        <v>-1.1121347998693001</v>
      </c>
      <c r="AE2981">
        <v>-21.425899999999999</v>
      </c>
      <c r="AF2981">
        <v>-6.3486110207439497</v>
      </c>
      <c r="AG2981">
        <v>-1.1121347998693001</v>
      </c>
      <c r="AH2981">
        <v>20.558302781197199</v>
      </c>
      <c r="AI2981">
        <v>92.958879807140505</v>
      </c>
      <c r="AJ2981">
        <v>107.161215030733</v>
      </c>
      <c r="AK2981">
        <v>21.544965048687601</v>
      </c>
      <c r="AL2981">
        <v>90.853823543312103</v>
      </c>
      <c r="AM2981">
        <v>91.266662204174096</v>
      </c>
      <c r="AN2981">
        <v>0.99999996526969903</v>
      </c>
    </row>
    <row r="2982" spans="1:40" x14ac:dyDescent="0.25">
      <c r="A2982" t="str">
        <f>"20190312154312461"</f>
        <v>20190312154312461</v>
      </c>
      <c r="B2982" t="str">
        <f>"1552376592450002"</f>
        <v>1552376592450002</v>
      </c>
      <c r="C2982" t="s">
        <v>40</v>
      </c>
      <c r="D2982">
        <v>4.6512159999999998</v>
      </c>
      <c r="E2982">
        <v>0.40132069999999997</v>
      </c>
      <c r="F2982" t="s">
        <v>43</v>
      </c>
      <c r="G2982">
        <v>-488.91449999999998</v>
      </c>
      <c r="H2982" s="1">
        <v>-8.5188050000000004E-7</v>
      </c>
      <c r="I2982">
        <v>241.16970000000001</v>
      </c>
      <c r="J2982">
        <v>-491.47730000000001</v>
      </c>
      <c r="K2982">
        <v>1.1120920000000001</v>
      </c>
      <c r="L2982">
        <v>262.38409999999999</v>
      </c>
      <c r="M2982">
        <v>-0.17729539999999999</v>
      </c>
      <c r="N2982">
        <v>0</v>
      </c>
      <c r="O2982">
        <v>-0.98411970000000004</v>
      </c>
      <c r="P2982">
        <v>-0.1552336</v>
      </c>
      <c r="Q2982">
        <v>-2.3411129999999999E-2</v>
      </c>
      <c r="R2982">
        <v>-0.98760040000000004</v>
      </c>
      <c r="S2982">
        <v>0.37017820000000001</v>
      </c>
      <c r="T2982">
        <v>-0.1615113</v>
      </c>
      <c r="U2982">
        <v>-3.095825</v>
      </c>
      <c r="V2982">
        <v>-2.2252850000000001E-2</v>
      </c>
      <c r="W2982">
        <v>-1.488448E-2</v>
      </c>
      <c r="X2982">
        <v>0.99964149999999996</v>
      </c>
      <c r="Y2982">
        <v>-0.29274109999999998</v>
      </c>
      <c r="Z2982">
        <v>4.9540269999999997E-2</v>
      </c>
      <c r="AA2982">
        <v>0.95490750000000002</v>
      </c>
      <c r="AB2982">
        <v>14</v>
      </c>
      <c r="AC2982">
        <v>2.5628000000000299</v>
      </c>
      <c r="AD2982">
        <v>-1.1120928518805</v>
      </c>
      <c r="AE2982">
        <v>-21.214399999999898</v>
      </c>
      <c r="AF2982">
        <v>-6.2665793629328501</v>
      </c>
      <c r="AG2982">
        <v>-1.1120928518805</v>
      </c>
      <c r="AH2982">
        <v>20.3687310921202</v>
      </c>
      <c r="AI2982">
        <v>92.987223846021394</v>
      </c>
      <c r="AJ2982">
        <v>107.10087235015099</v>
      </c>
      <c r="AK2982">
        <v>21.339915035591002</v>
      </c>
      <c r="AL2982">
        <v>90.852849434682199</v>
      </c>
      <c r="AM2982">
        <v>91.275241018122003</v>
      </c>
      <c r="AN2982">
        <v>0.99999993280011901</v>
      </c>
    </row>
    <row r="2983" spans="1:40" x14ac:dyDescent="0.25">
      <c r="A2983" t="str">
        <f>"20190312154312473"</f>
        <v>20190312154312473</v>
      </c>
      <c r="B2983" t="str">
        <f>"1552376592460726"</f>
        <v>1552376592460726</v>
      </c>
      <c r="C2983" t="s">
        <v>40</v>
      </c>
      <c r="D2983">
        <v>4.8062259999999997</v>
      </c>
      <c r="E2983">
        <v>0.40166550000000001</v>
      </c>
      <c r="F2983" t="s">
        <v>43</v>
      </c>
      <c r="G2983">
        <v>-489.47859999999997</v>
      </c>
      <c r="H2983" s="1">
        <v>-1.572349E-6</v>
      </c>
      <c r="I2983">
        <v>243.08240000000001</v>
      </c>
      <c r="J2983">
        <v>-491.48669999999998</v>
      </c>
      <c r="K2983">
        <v>1.1120559999999999</v>
      </c>
      <c r="L2983">
        <v>262.31310000000002</v>
      </c>
      <c r="M2983">
        <v>-0.17444270000000001</v>
      </c>
      <c r="N2983">
        <v>0</v>
      </c>
      <c r="O2983">
        <v>-0.98462919999999998</v>
      </c>
      <c r="P2983">
        <v>-0.15217320000000001</v>
      </c>
      <c r="Q2983">
        <v>-2.3491540000000002E-2</v>
      </c>
      <c r="R2983">
        <v>-0.98807480000000003</v>
      </c>
      <c r="S2983">
        <v>0.31930540000000002</v>
      </c>
      <c r="T2983">
        <v>-0.1776681</v>
      </c>
      <c r="U2983">
        <v>-3.0836489999999999</v>
      </c>
      <c r="V2983">
        <v>-2.2454000000000002E-2</v>
      </c>
      <c r="W2983">
        <v>-1.4913569999999999E-2</v>
      </c>
      <c r="X2983">
        <v>0.99963670000000004</v>
      </c>
      <c r="Y2983">
        <v>-0.27477580000000001</v>
      </c>
      <c r="Z2983">
        <v>5.4940629999999997E-2</v>
      </c>
      <c r="AA2983">
        <v>0.95993740000000005</v>
      </c>
      <c r="AB2983">
        <v>14</v>
      </c>
      <c r="AC2983">
        <v>2.00810000000001</v>
      </c>
      <c r="AD2983">
        <v>-1.1120575723489901</v>
      </c>
      <c r="AE2983">
        <v>-19.230699999999999</v>
      </c>
      <c r="AF2983">
        <v>-5.3145093539518804</v>
      </c>
      <c r="AG2983">
        <v>-1.1120575723489901</v>
      </c>
      <c r="AH2983">
        <v>18.524231505127599</v>
      </c>
      <c r="AI2983">
        <v>93.302575633531305</v>
      </c>
      <c r="AJ2983">
        <v>106.007920539655</v>
      </c>
      <c r="AK2983">
        <v>19.303570513586902</v>
      </c>
      <c r="AL2983">
        <v>90.8545162416344</v>
      </c>
      <c r="AM2983">
        <v>91.286770611878396</v>
      </c>
      <c r="AN2983">
        <v>1.0000000643365099</v>
      </c>
    </row>
    <row r="2984" spans="1:40" x14ac:dyDescent="0.25">
      <c r="A2984" t="str">
        <f>"20190312154312486"</f>
        <v>20190312154312486</v>
      </c>
      <c r="B2984" t="str">
        <f>"1552376592480245"</f>
        <v>1552376592480245</v>
      </c>
      <c r="C2984" t="s">
        <v>40</v>
      </c>
      <c r="D2984">
        <v>4.6785139999999998</v>
      </c>
      <c r="E2984">
        <v>0.40218379999999998</v>
      </c>
      <c r="F2984" t="s">
        <v>43</v>
      </c>
      <c r="G2984">
        <v>-489.35570000000001</v>
      </c>
      <c r="H2984" s="1">
        <v>-1.1935929999999999E-6</v>
      </c>
      <c r="I2984">
        <v>242.14869999999999</v>
      </c>
      <c r="J2984">
        <v>-491.49770000000001</v>
      </c>
      <c r="K2984">
        <v>1.1120110000000001</v>
      </c>
      <c r="L2984">
        <v>262.22910000000002</v>
      </c>
      <c r="M2984">
        <v>-0.17112469999999999</v>
      </c>
      <c r="N2984">
        <v>0</v>
      </c>
      <c r="O2984">
        <v>-0.98521049999999999</v>
      </c>
      <c r="P2984">
        <v>-0.148455</v>
      </c>
      <c r="Q2984">
        <v>-2.3537929999999999E-2</v>
      </c>
      <c r="R2984">
        <v>-0.98863909999999999</v>
      </c>
      <c r="S2984">
        <v>0.3257446</v>
      </c>
      <c r="T2984">
        <v>-0.169991</v>
      </c>
      <c r="U2984">
        <v>-3.0823670000000001</v>
      </c>
      <c r="V2984">
        <v>-2.2849149999999999E-2</v>
      </c>
      <c r="W2984">
        <v>-1.4897000000000001E-2</v>
      </c>
      <c r="X2984">
        <v>0.99962790000000001</v>
      </c>
      <c r="Y2984">
        <v>-0.27357520000000002</v>
      </c>
      <c r="Z2984">
        <v>5.2647390000000002E-2</v>
      </c>
      <c r="AA2984">
        <v>0.9604087</v>
      </c>
      <c r="AB2984">
        <v>14</v>
      </c>
      <c r="AC2984">
        <v>2.1419999999999901</v>
      </c>
      <c r="AD2984">
        <v>-1.1120121935930001</v>
      </c>
      <c r="AE2984">
        <v>-20.080400000000001</v>
      </c>
      <c r="AF2984">
        <v>-5.53001756021599</v>
      </c>
      <c r="AG2984">
        <v>-1.1120121935930001</v>
      </c>
      <c r="AH2984">
        <v>19.358915131363801</v>
      </c>
      <c r="AI2984">
        <v>93.161380377577203</v>
      </c>
      <c r="AJ2984">
        <v>105.942383069046</v>
      </c>
      <c r="AK2984">
        <v>20.163959442488999</v>
      </c>
      <c r="AL2984">
        <v>90.853566824515596</v>
      </c>
      <c r="AM2984">
        <v>91.309419166812901</v>
      </c>
      <c r="AN2984">
        <v>0.99999997136156504</v>
      </c>
    </row>
    <row r="2985" spans="1:40" x14ac:dyDescent="0.25">
      <c r="A2985" t="str">
        <f>"20190312154312498"</f>
        <v>20190312154312498</v>
      </c>
      <c r="B2985" t="str">
        <f>"1552376592490004"</f>
        <v>1552376592490004</v>
      </c>
      <c r="C2985" t="s">
        <v>40</v>
      </c>
      <c r="D2985">
        <v>4.6608210000000003</v>
      </c>
      <c r="E2985">
        <v>0.40248709999999999</v>
      </c>
      <c r="F2985" t="s">
        <v>43</v>
      </c>
      <c r="G2985">
        <v>-489.32389999999998</v>
      </c>
      <c r="H2985" s="1">
        <v>-1.192301E-6</v>
      </c>
      <c r="I2985">
        <v>242.13249999999999</v>
      </c>
      <c r="J2985">
        <v>-491.50709999999998</v>
      </c>
      <c r="K2985">
        <v>1.111964</v>
      </c>
      <c r="L2985">
        <v>262.15460000000002</v>
      </c>
      <c r="M2985">
        <v>-0.16826459999999999</v>
      </c>
      <c r="N2985">
        <v>0</v>
      </c>
      <c r="O2985">
        <v>-0.98570250000000004</v>
      </c>
      <c r="P2985">
        <v>-0.14495829999999901</v>
      </c>
      <c r="Q2985">
        <v>-2.3582570000000001E-2</v>
      </c>
      <c r="R2985">
        <v>-0.9891567</v>
      </c>
      <c r="S2985">
        <v>0.33319090000000001</v>
      </c>
      <c r="T2985">
        <v>-0.1704512</v>
      </c>
      <c r="U2985">
        <v>-3.080444</v>
      </c>
      <c r="V2985">
        <v>-2.3484540000000002E-2</v>
      </c>
      <c r="W2985">
        <v>-1.4878779999999999E-2</v>
      </c>
      <c r="X2985">
        <v>0.99961350000000004</v>
      </c>
      <c r="Y2985">
        <v>-0.27314070000000001</v>
      </c>
      <c r="Z2985">
        <v>5.285956E-2</v>
      </c>
      <c r="AA2985">
        <v>0.96052070000000001</v>
      </c>
      <c r="AB2985">
        <v>14</v>
      </c>
      <c r="AC2985">
        <v>2.1831999999999998</v>
      </c>
      <c r="AD2985">
        <v>-1.1119651923010001</v>
      </c>
      <c r="AE2985">
        <v>-20.022099999999998</v>
      </c>
      <c r="AF2985">
        <v>-5.5044324980506403</v>
      </c>
      <c r="AG2985">
        <v>-1.1119651923010001</v>
      </c>
      <c r="AH2985">
        <v>19.3103703022784</v>
      </c>
      <c r="AI2985">
        <v>93.169684440524804</v>
      </c>
      <c r="AJ2985">
        <v>105.910232874803</v>
      </c>
      <c r="AK2985">
        <v>20.110336768080298</v>
      </c>
      <c r="AL2985">
        <v>90.852522733472298</v>
      </c>
      <c r="AM2985">
        <v>91.345837712408994</v>
      </c>
      <c r="AN2985">
        <v>1.0000000255477699</v>
      </c>
    </row>
    <row r="2986" spans="1:40" x14ac:dyDescent="0.25">
      <c r="A2986" t="str">
        <f>"20190312154312511"</f>
        <v>20190312154312511</v>
      </c>
      <c r="B2986" t="str">
        <f>"1552376592500741"</f>
        <v>1552376592500741</v>
      </c>
      <c r="C2986" t="s">
        <v>40</v>
      </c>
      <c r="D2986">
        <v>4.6879039999999996</v>
      </c>
      <c r="E2986">
        <v>0.40287600000000001</v>
      </c>
      <c r="F2986" t="s">
        <v>43</v>
      </c>
      <c r="G2986">
        <v>-489.33150000000001</v>
      </c>
      <c r="H2986" s="1">
        <v>-1.365582E-6</v>
      </c>
      <c r="I2986">
        <v>242.5395</v>
      </c>
      <c r="J2986">
        <v>-491.51729999999998</v>
      </c>
      <c r="K2986">
        <v>1.1119129999999999</v>
      </c>
      <c r="L2986">
        <v>262.07369999999997</v>
      </c>
      <c r="M2986">
        <v>-0.16520090000000001</v>
      </c>
      <c r="N2986">
        <v>0</v>
      </c>
      <c r="O2986">
        <v>-0.98621990000000004</v>
      </c>
      <c r="P2986">
        <v>-0.14140899999999901</v>
      </c>
      <c r="Q2986">
        <v>-2.3472799999999999E-2</v>
      </c>
      <c r="R2986">
        <v>-0.98967300000000002</v>
      </c>
      <c r="S2986">
        <v>0.34149170000000001</v>
      </c>
      <c r="T2986">
        <v>-0.1745313</v>
      </c>
      <c r="U2986">
        <v>-3.078735</v>
      </c>
      <c r="V2986">
        <v>-2.3967929999999998E-2</v>
      </c>
      <c r="W2986">
        <v>-1.469346E-2</v>
      </c>
      <c r="X2986">
        <v>0.99960479999999996</v>
      </c>
      <c r="Y2986">
        <v>-0.27275969999999999</v>
      </c>
      <c r="Z2986">
        <v>5.418978E-2</v>
      </c>
      <c r="AA2986">
        <v>0.96055480000000004</v>
      </c>
      <c r="AB2986">
        <v>14</v>
      </c>
      <c r="AC2986">
        <v>2.1857999999999702</v>
      </c>
      <c r="AD2986">
        <v>-1.1119143655820001</v>
      </c>
      <c r="AE2986">
        <v>-19.534199999999899</v>
      </c>
      <c r="AF2986">
        <v>-5.3657890057127204</v>
      </c>
      <c r="AG2986">
        <v>-1.1119143655820001</v>
      </c>
      <c r="AH2986">
        <v>18.8443654974404</v>
      </c>
      <c r="AI2986">
        <v>93.248017294008704</v>
      </c>
      <c r="AJ2986">
        <v>105.893897985105</v>
      </c>
      <c r="AK2986">
        <v>19.624937100825001</v>
      </c>
      <c r="AL2986">
        <v>90.841903491806704</v>
      </c>
      <c r="AM2986">
        <v>91.373540976854002</v>
      </c>
      <c r="AN2986">
        <v>1.0000000578091399</v>
      </c>
    </row>
    <row r="2987" spans="1:40" x14ac:dyDescent="0.25">
      <c r="A2987" t="str">
        <f>"20190312154312526"</f>
        <v>20190312154312526</v>
      </c>
      <c r="B2987" t="str">
        <f>"1552376592520260"</f>
        <v>1552376592520260</v>
      </c>
      <c r="C2987" t="s">
        <v>40</v>
      </c>
      <c r="D2987">
        <v>4.6686529999999999</v>
      </c>
      <c r="E2987">
        <v>0.40340009999999998</v>
      </c>
      <c r="F2987" t="s">
        <v>43</v>
      </c>
      <c r="G2987">
        <v>-489.32369999999997</v>
      </c>
      <c r="H2987" s="1">
        <v>-1.4622510000000001E-6</v>
      </c>
      <c r="I2987">
        <v>242.76169999999999</v>
      </c>
      <c r="J2987">
        <v>-491.52839999999998</v>
      </c>
      <c r="K2987">
        <v>1.1118490000000001</v>
      </c>
      <c r="L2987">
        <v>261.98379999999997</v>
      </c>
      <c r="M2987">
        <v>-0.16189200000000001</v>
      </c>
      <c r="N2987">
        <v>0</v>
      </c>
      <c r="O2987">
        <v>-0.98676759999999997</v>
      </c>
      <c r="P2987">
        <v>-0.13769979999999901</v>
      </c>
      <c r="Q2987">
        <v>-2.349801E-2</v>
      </c>
      <c r="R2987">
        <v>-0.99019550000000001</v>
      </c>
      <c r="S2987">
        <v>0.34951779999999999</v>
      </c>
      <c r="T2987">
        <v>-0.1771634</v>
      </c>
      <c r="U2987">
        <v>-3.077026</v>
      </c>
      <c r="V2987">
        <v>-2.4363579999999999E-2</v>
      </c>
      <c r="W2987">
        <v>-1.461966E-2</v>
      </c>
      <c r="X2987">
        <v>0.99959620000000005</v>
      </c>
      <c r="Y2987">
        <v>-0.27206019999999997</v>
      </c>
      <c r="Z2987">
        <v>5.5079580000000003E-2</v>
      </c>
      <c r="AA2987">
        <v>0.96070259999999996</v>
      </c>
      <c r="AB2987">
        <v>14</v>
      </c>
      <c r="AC2987">
        <v>2.2046999999999999</v>
      </c>
      <c r="AD2987">
        <v>-1.1118504622509999</v>
      </c>
      <c r="AE2987">
        <v>-19.222099999999902</v>
      </c>
      <c r="AF2987">
        <v>-5.2702402011892202</v>
      </c>
      <c r="AG2987">
        <v>-1.1118504622509999</v>
      </c>
      <c r="AH2987">
        <v>18.550314528389901</v>
      </c>
      <c r="AI2987">
        <v>93.299753286107304</v>
      </c>
      <c r="AJ2987">
        <v>105.86012215746899</v>
      </c>
      <c r="AK2987">
        <v>19.316464798995501</v>
      </c>
      <c r="AL2987">
        <v>90.837674707330905</v>
      </c>
      <c r="AM2987">
        <v>91.396217775212193</v>
      </c>
      <c r="AN2987">
        <v>0.99999994077168397</v>
      </c>
    </row>
    <row r="2988" spans="1:40" x14ac:dyDescent="0.25">
      <c r="A2988" t="str">
        <f>"20190312154312541"</f>
        <v>20190312154312541</v>
      </c>
      <c r="B2988" t="str">
        <f>"1552376592530020"</f>
        <v>1552376592530020</v>
      </c>
      <c r="C2988" t="s">
        <v>40</v>
      </c>
      <c r="D2988">
        <v>4.6846050000000004</v>
      </c>
      <c r="E2988">
        <v>0.4037328</v>
      </c>
      <c r="F2988" t="s">
        <v>43</v>
      </c>
      <c r="G2988">
        <v>-489.32380000000001</v>
      </c>
      <c r="H2988" s="1">
        <v>-1.5455339999999999E-6</v>
      </c>
      <c r="I2988">
        <v>242.95590000000001</v>
      </c>
      <c r="J2988">
        <v>-491.53980000000001</v>
      </c>
      <c r="K2988">
        <v>1.111791</v>
      </c>
      <c r="L2988">
        <v>261.88940000000002</v>
      </c>
      <c r="M2988">
        <v>-0.15853390000000001</v>
      </c>
      <c r="N2988">
        <v>0</v>
      </c>
      <c r="O2988">
        <v>-0.98731170000000001</v>
      </c>
      <c r="P2988">
        <v>-0.13366710000000001</v>
      </c>
      <c r="Q2988">
        <v>-2.276624E-2</v>
      </c>
      <c r="R2988">
        <v>-0.9907648</v>
      </c>
      <c r="S2988">
        <v>0.35626219999999997</v>
      </c>
      <c r="T2988">
        <v>-0.17967749999999999</v>
      </c>
      <c r="U2988">
        <v>-3.074951</v>
      </c>
      <c r="V2988">
        <v>-2.504166E-2</v>
      </c>
      <c r="W2988">
        <v>-1.3770269999999999E-2</v>
      </c>
      <c r="X2988">
        <v>0.99959160000000002</v>
      </c>
      <c r="Y2988">
        <v>-0.27093339999999999</v>
      </c>
      <c r="Z2988">
        <v>5.5945880000000003E-2</v>
      </c>
      <c r="AA2988">
        <v>0.96097089999999996</v>
      </c>
      <c r="AB2988">
        <v>14</v>
      </c>
      <c r="AC2988">
        <v>2.2160000000000002</v>
      </c>
      <c r="AD2988">
        <v>-1.1117925455340001</v>
      </c>
      <c r="AE2988">
        <v>-18.933499999999999</v>
      </c>
      <c r="AF2988">
        <v>-5.1721055119815702</v>
      </c>
      <c r="AG2988">
        <v>-1.1117925455340001</v>
      </c>
      <c r="AH2988">
        <v>18.280530471471899</v>
      </c>
      <c r="AI2988">
        <v>93.349197619437305</v>
      </c>
      <c r="AJ2988">
        <v>105.79778525422699</v>
      </c>
      <c r="AK2988">
        <v>19.030621440451899</v>
      </c>
      <c r="AL2988">
        <v>90.789003261922105</v>
      </c>
      <c r="AM2988">
        <v>91.435067469570299</v>
      </c>
      <c r="AN2988">
        <v>1.00000003593099</v>
      </c>
    </row>
    <row r="2989" spans="1:40" x14ac:dyDescent="0.25">
      <c r="A2989" t="str">
        <f>"20190312154312557"</f>
        <v>20190312154312557</v>
      </c>
      <c r="B2989" t="str">
        <f>"1552376592550551"</f>
        <v>1552376592550551</v>
      </c>
      <c r="C2989" t="s">
        <v>40</v>
      </c>
      <c r="D2989">
        <v>4.7730309999999996</v>
      </c>
      <c r="E2989">
        <v>0.4043446</v>
      </c>
      <c r="F2989" t="s">
        <v>43</v>
      </c>
      <c r="G2989">
        <v>-489.25959999999998</v>
      </c>
      <c r="H2989" s="1">
        <v>-1.4716020000000001E-6</v>
      </c>
      <c r="I2989">
        <v>242.75700000000001</v>
      </c>
      <c r="J2989">
        <v>-491.55189999999999</v>
      </c>
      <c r="K2989">
        <v>1.111729</v>
      </c>
      <c r="L2989">
        <v>261.78739999999999</v>
      </c>
      <c r="M2989">
        <v>-0.1550194</v>
      </c>
      <c r="N2989">
        <v>0</v>
      </c>
      <c r="O2989">
        <v>-0.98786839999999998</v>
      </c>
      <c r="P2989">
        <v>-0.12993569999999999</v>
      </c>
      <c r="Q2989">
        <v>-2.244732E-2</v>
      </c>
      <c r="R2989">
        <v>-0.9912685</v>
      </c>
      <c r="S2989">
        <v>0.36627199999999999</v>
      </c>
      <c r="T2989">
        <v>-0.17858929999999901</v>
      </c>
      <c r="U2989">
        <v>-3.0732729999999999</v>
      </c>
      <c r="V2989">
        <v>-2.525488E-2</v>
      </c>
      <c r="W2989">
        <v>-1.330626E-2</v>
      </c>
      <c r="X2989">
        <v>0.99959249999999999</v>
      </c>
      <c r="Y2989">
        <v>-0.270657599999999</v>
      </c>
      <c r="Z2989">
        <v>5.5678480000000002E-2</v>
      </c>
      <c r="AA2989">
        <v>0.96106420000000004</v>
      </c>
      <c r="AB2989">
        <v>14</v>
      </c>
      <c r="AC2989">
        <v>2.2923000000000102</v>
      </c>
      <c r="AD2989">
        <v>-1.111730471602</v>
      </c>
      <c r="AE2989">
        <v>-19.030399999999901</v>
      </c>
      <c r="AF2989">
        <v>-5.1973101868792799</v>
      </c>
      <c r="AG2989">
        <v>-1.111730471602</v>
      </c>
      <c r="AH2989">
        <v>18.383124276848299</v>
      </c>
      <c r="AI2989">
        <v>93.330543779031203</v>
      </c>
      <c r="AJ2989">
        <v>105.78675482128899</v>
      </c>
      <c r="AK2989">
        <v>19.136019335226798</v>
      </c>
      <c r="AL2989">
        <v>90.762415026625106</v>
      </c>
      <c r="AM2989">
        <v>91.447280033606404</v>
      </c>
      <c r="AN2989">
        <v>1.0000000157876201</v>
      </c>
    </row>
    <row r="2990" spans="1:40" x14ac:dyDescent="0.25">
      <c r="A2990" t="str">
        <f>"20190312154312572"</f>
        <v>20190312154312572</v>
      </c>
      <c r="B2990" t="str">
        <f>"1552376592560290"</f>
        <v>1552376592560290</v>
      </c>
      <c r="C2990" t="s">
        <v>40</v>
      </c>
      <c r="D2990">
        <v>4.7792079999999997</v>
      </c>
      <c r="E2990">
        <v>0.4043446</v>
      </c>
      <c r="F2990" t="s">
        <v>43</v>
      </c>
      <c r="G2990">
        <v>-489.31779999999998</v>
      </c>
      <c r="H2990" s="1">
        <v>-1.739514E-6</v>
      </c>
      <c r="I2990">
        <v>243.40549999999999</v>
      </c>
      <c r="J2990">
        <v>-491.56270000000001</v>
      </c>
      <c r="K2990">
        <v>1.111675</v>
      </c>
      <c r="L2990">
        <v>261.69499999999999</v>
      </c>
      <c r="M2990">
        <v>-0.15193429999999999</v>
      </c>
      <c r="N2990">
        <v>0</v>
      </c>
      <c r="O2990">
        <v>-0.98834619999999995</v>
      </c>
      <c r="P2990">
        <v>-0.1266099</v>
      </c>
      <c r="Q2990">
        <v>-2.1920909999999998E-2</v>
      </c>
      <c r="R2990">
        <v>-0.99171039999999999</v>
      </c>
      <c r="S2990">
        <v>0.3732605</v>
      </c>
      <c r="T2990">
        <v>-0.1857414</v>
      </c>
      <c r="U2990">
        <v>-3.0711360000000001</v>
      </c>
      <c r="V2990">
        <v>-2.5493419999999999E-2</v>
      </c>
      <c r="W2990">
        <v>-1.2633800000000001E-2</v>
      </c>
      <c r="X2990">
        <v>0.99959520000000002</v>
      </c>
      <c r="Y2990">
        <v>-0.26987030000000001</v>
      </c>
      <c r="Z2990">
        <v>5.7982400000000003E-2</v>
      </c>
      <c r="AA2990">
        <v>0.96114929999999998</v>
      </c>
      <c r="AB2990">
        <v>14</v>
      </c>
      <c r="AC2990">
        <v>2.2449000000000199</v>
      </c>
      <c r="AD2990">
        <v>-1.1116767395139999</v>
      </c>
      <c r="AE2990">
        <v>-18.2895</v>
      </c>
      <c r="AF2990">
        <v>-4.9796359498241198</v>
      </c>
      <c r="AG2990">
        <v>-1.1116767395139999</v>
      </c>
      <c r="AH2990">
        <v>17.671739881339299</v>
      </c>
      <c r="AI2990">
        <v>93.464975348213599</v>
      </c>
      <c r="AJ2990">
        <v>105.737054328288</v>
      </c>
      <c r="AK2990">
        <v>18.393558377858099</v>
      </c>
      <c r="AL2990">
        <v>90.723882643897895</v>
      </c>
      <c r="AM2990">
        <v>91.460940191287804</v>
      </c>
      <c r="AN2990">
        <v>1.0000000456143801</v>
      </c>
    </row>
    <row r="2991" spans="1:40" x14ac:dyDescent="0.25">
      <c r="A2991" t="str">
        <f>"20190312154312583"</f>
        <v>20190312154312583</v>
      </c>
      <c r="B2991" t="str">
        <f>"1552376592580786"</f>
        <v>1552376592580786</v>
      </c>
      <c r="C2991" t="s">
        <v>40</v>
      </c>
      <c r="D2991">
        <v>4.8078269999999996</v>
      </c>
      <c r="E2991">
        <v>0.41421790000000003</v>
      </c>
      <c r="F2991" t="s">
        <v>43</v>
      </c>
      <c r="G2991">
        <v>-489.26150000000001</v>
      </c>
      <c r="H2991" s="1">
        <v>-1.6807620000000001E-6</v>
      </c>
      <c r="I2991">
        <v>243.24529999999999</v>
      </c>
      <c r="J2991">
        <v>-491.57170000000002</v>
      </c>
      <c r="K2991">
        <v>1.1116299999999999</v>
      </c>
      <c r="L2991">
        <v>261.61669999999998</v>
      </c>
      <c r="M2991">
        <v>-0.14941550000000001</v>
      </c>
      <c r="N2991">
        <v>0</v>
      </c>
      <c r="O2991">
        <v>-0.98872859999999996</v>
      </c>
      <c r="P2991">
        <v>-0.12338490000000001</v>
      </c>
      <c r="Q2991">
        <v>-2.0264399999999998E-2</v>
      </c>
      <c r="R2991">
        <v>-0.99215200000000003</v>
      </c>
      <c r="S2991">
        <v>0.38290410000000002</v>
      </c>
      <c r="T2991">
        <v>-0.18497279999999999</v>
      </c>
      <c r="U2991">
        <v>-3.069855</v>
      </c>
      <c r="V2991">
        <v>-2.6210839999999999E-2</v>
      </c>
      <c r="W2991">
        <v>-1.0842549999999999E-2</v>
      </c>
      <c r="X2991">
        <v>0.99959759999999998</v>
      </c>
      <c r="Y2991">
        <v>-0.27044109999999899</v>
      </c>
      <c r="Z2991">
        <v>5.7785910000000003E-2</v>
      </c>
      <c r="AA2991">
        <v>0.96100070000000004</v>
      </c>
      <c r="AB2991">
        <v>14</v>
      </c>
      <c r="AC2991">
        <v>2.3102</v>
      </c>
      <c r="AD2991">
        <v>-1.1116316807619999</v>
      </c>
      <c r="AE2991">
        <v>-18.371399999999898</v>
      </c>
      <c r="AF2991">
        <v>-5.0112986431383799</v>
      </c>
      <c r="AG2991">
        <v>-1.1116316807619999</v>
      </c>
      <c r="AH2991">
        <v>17.755959445986299</v>
      </c>
      <c r="AI2991">
        <v>93.448039315032602</v>
      </c>
      <c r="AJ2991">
        <v>105.760760670848</v>
      </c>
      <c r="AK2991">
        <v>18.4830445255078</v>
      </c>
      <c r="AL2991">
        <v>90.621244548357694</v>
      </c>
      <c r="AM2991">
        <v>91.502030882175802</v>
      </c>
      <c r="AN2991">
        <v>0.99999996547488301</v>
      </c>
    </row>
    <row r="2992" spans="1:40" x14ac:dyDescent="0.25">
      <c r="A2992" t="str">
        <f>"20190312154312595"</f>
        <v>20190312154312595</v>
      </c>
      <c r="B2992" t="str">
        <f>"1552376592590545"</f>
        <v>1552376592590545</v>
      </c>
      <c r="C2992" t="s">
        <v>40</v>
      </c>
      <c r="D2992">
        <v>4.7305260000000002</v>
      </c>
      <c r="E2992">
        <v>0.41066029999999998</v>
      </c>
      <c r="F2992" t="s">
        <v>43</v>
      </c>
      <c r="G2992">
        <v>-490.22359999999998</v>
      </c>
      <c r="H2992" s="1">
        <v>-3.9423490000000002E-6</v>
      </c>
      <c r="I2992">
        <v>248.64009999999999</v>
      </c>
      <c r="J2992">
        <v>-491.57990000000001</v>
      </c>
      <c r="K2992">
        <v>1.1115930000000001</v>
      </c>
      <c r="L2992">
        <v>261.54500000000002</v>
      </c>
      <c r="M2992">
        <v>-0.14718059999999999</v>
      </c>
      <c r="N2992">
        <v>0</v>
      </c>
      <c r="O2992">
        <v>-0.98906249999999996</v>
      </c>
      <c r="P2992">
        <v>-0.1205619</v>
      </c>
      <c r="Q2992">
        <v>-1.9532069999999999E-2</v>
      </c>
      <c r="R2992">
        <v>-0.99251369999999906</v>
      </c>
      <c r="S2992">
        <v>0.31768800000000003</v>
      </c>
      <c r="T2992">
        <v>-0.26195309999999999</v>
      </c>
      <c r="U2992">
        <v>-3.0578919999999998</v>
      </c>
      <c r="V2992">
        <v>-2.6802590000000001E-2</v>
      </c>
      <c r="W2992">
        <v>-9.9776719999999999E-3</v>
      </c>
      <c r="X2992">
        <v>0.99959089999999995</v>
      </c>
      <c r="Y2992">
        <v>-0.24824550000000001</v>
      </c>
      <c r="Z2992">
        <v>8.2398559999999996E-2</v>
      </c>
      <c r="AA2992">
        <v>0.96518630000000005</v>
      </c>
      <c r="AB2992">
        <v>14</v>
      </c>
      <c r="AC2992">
        <v>1.35630000000003</v>
      </c>
      <c r="AD2992">
        <v>-1.111596942349</v>
      </c>
      <c r="AE2992">
        <v>-12.9049</v>
      </c>
      <c r="AF2992">
        <v>-3.21735653124091</v>
      </c>
      <c r="AG2992">
        <v>-1.111596942349</v>
      </c>
      <c r="AH2992">
        <v>12.473181439277599</v>
      </c>
      <c r="AI2992">
        <v>94.932087967907293</v>
      </c>
      <c r="AJ2992">
        <v>104.46370894966201</v>
      </c>
      <c r="AK2992">
        <v>12.9293188540038</v>
      </c>
      <c r="AL2992">
        <v>90.571688009412696</v>
      </c>
      <c r="AM2992">
        <v>91.535935763752306</v>
      </c>
      <c r="AN2992">
        <v>0.99999995006602704</v>
      </c>
    </row>
    <row r="2993" spans="1:40" x14ac:dyDescent="0.25">
      <c r="A2993" t="str">
        <f>"20190312154312607"</f>
        <v>20190312154312607</v>
      </c>
      <c r="B2993" t="str">
        <f>"1552376592600305"</f>
        <v>1552376592600305</v>
      </c>
      <c r="C2993" t="s">
        <v>40</v>
      </c>
      <c r="D2993">
        <v>4.7483389999999996</v>
      </c>
      <c r="E2993">
        <v>0.40904740000000001</v>
      </c>
      <c r="F2993" t="s">
        <v>43</v>
      </c>
      <c r="G2993">
        <v>-489.67140000000001</v>
      </c>
      <c r="H2993" s="1">
        <v>-2.354381E-6</v>
      </c>
      <c r="I2993">
        <v>244.98500000000001</v>
      </c>
      <c r="J2993">
        <v>-491.5881</v>
      </c>
      <c r="K2993">
        <v>1.1115600000000001</v>
      </c>
      <c r="L2993">
        <v>261.47199999999998</v>
      </c>
      <c r="M2993">
        <v>-0.14493909999999999</v>
      </c>
      <c r="N2993">
        <v>0</v>
      </c>
      <c r="O2993">
        <v>-0.98939219999999894</v>
      </c>
      <c r="P2993">
        <v>-0.1178162</v>
      </c>
      <c r="Q2993">
        <v>-1.8860169999999999E-2</v>
      </c>
      <c r="R2993">
        <v>-0.99285639999999997</v>
      </c>
      <c r="S2993">
        <v>0.35281370000000001</v>
      </c>
      <c r="T2993">
        <v>-0.20550170000000001</v>
      </c>
      <c r="U2993">
        <v>-3.0614620000000001</v>
      </c>
      <c r="V2993">
        <v>-2.7308510000000001E-2</v>
      </c>
      <c r="W2993">
        <v>-9.1656270000000008E-3</v>
      </c>
      <c r="X2993">
        <v>0.99958499999999995</v>
      </c>
      <c r="Y2993">
        <v>-0.257023</v>
      </c>
      <c r="Z2993">
        <v>6.4573179999999994E-2</v>
      </c>
      <c r="AA2993">
        <v>0.96424560000000004</v>
      </c>
      <c r="AB2993">
        <v>14</v>
      </c>
      <c r="AC2993">
        <v>1.9166999999999901</v>
      </c>
      <c r="AD2993">
        <v>-1.111562354381</v>
      </c>
      <c r="AE2993">
        <v>-16.486999999999899</v>
      </c>
      <c r="AF2993">
        <v>-4.2670468021950496</v>
      </c>
      <c r="AG2993">
        <v>-1.111562354381</v>
      </c>
      <c r="AH2993">
        <v>15.963477164183701</v>
      </c>
      <c r="AI2993">
        <v>93.848480402528907</v>
      </c>
      <c r="AJ2993">
        <v>104.965321384877</v>
      </c>
      <c r="AK2993">
        <v>16.561275991034499</v>
      </c>
      <c r="AL2993">
        <v>90.525159113751002</v>
      </c>
      <c r="AM2993">
        <v>91.564922710470697</v>
      </c>
      <c r="AN2993">
        <v>0.99999996783086098</v>
      </c>
    </row>
    <row r="2994" spans="1:40" x14ac:dyDescent="0.25">
      <c r="A2994" t="str">
        <f>"20190312154312618"</f>
        <v>20190312154312618</v>
      </c>
      <c r="B2994" t="str">
        <f>"1552376592610065"</f>
        <v>1552376592610065</v>
      </c>
      <c r="C2994" t="s">
        <v>40</v>
      </c>
      <c r="D2994">
        <v>4.7402030000000002</v>
      </c>
      <c r="E2994">
        <v>0.4078851</v>
      </c>
      <c r="F2994" t="s">
        <v>43</v>
      </c>
      <c r="G2994">
        <v>-489.24079999999998</v>
      </c>
      <c r="H2994" s="1">
        <v>-1.228193E-6</v>
      </c>
      <c r="I2994">
        <v>242.18180000000001</v>
      </c>
      <c r="J2994">
        <v>-491.5958</v>
      </c>
      <c r="K2994">
        <v>1.1115360000000001</v>
      </c>
      <c r="L2994">
        <v>261.40289999999999</v>
      </c>
      <c r="M2994">
        <v>-0.14292260000000001</v>
      </c>
      <c r="N2994">
        <v>0</v>
      </c>
      <c r="O2994">
        <v>-0.98968420000000001</v>
      </c>
      <c r="P2994">
        <v>-0.1153399</v>
      </c>
      <c r="Q2994">
        <v>-1.8075500000000001E-2</v>
      </c>
      <c r="R2994">
        <v>-0.99316159999999998</v>
      </c>
      <c r="S2994">
        <v>0.37265009999999998</v>
      </c>
      <c r="T2994">
        <v>-0.1764674</v>
      </c>
      <c r="U2994">
        <v>-3.0624389999999999</v>
      </c>
      <c r="V2994">
        <v>-2.7770119999999999E-2</v>
      </c>
      <c r="W2994">
        <v>-8.2334480000000008E-3</v>
      </c>
      <c r="X2994">
        <v>0.99958040000000004</v>
      </c>
      <c r="Y2994">
        <v>-0.26124419999999998</v>
      </c>
      <c r="Z2994">
        <v>5.5436590000000001E-2</v>
      </c>
      <c r="AA2994">
        <v>0.96367959999999997</v>
      </c>
      <c r="AB2994">
        <v>14</v>
      </c>
      <c r="AC2994">
        <v>2.3550000000000102</v>
      </c>
      <c r="AD2994">
        <v>-1.111537228193</v>
      </c>
      <c r="AE2994">
        <v>-19.2210999999999</v>
      </c>
      <c r="AF2994">
        <v>-5.0614095031128503</v>
      </c>
      <c r="AG2994">
        <v>-1.111537228193</v>
      </c>
      <c r="AH2994">
        <v>18.625787840811999</v>
      </c>
      <c r="AI2994">
        <v>93.295960729475496</v>
      </c>
      <c r="AJ2994">
        <v>105.202563718381</v>
      </c>
      <c r="AK2994">
        <v>19.3332189212971</v>
      </c>
      <c r="AL2994">
        <v>90.471747164176804</v>
      </c>
      <c r="AM2994">
        <v>91.591369246436898</v>
      </c>
      <c r="AN2994">
        <v>0.99999997264747098</v>
      </c>
    </row>
    <row r="2995" spans="1:40" x14ac:dyDescent="0.25">
      <c r="A2995" t="str">
        <f>"20190312154312630"</f>
        <v>20190312154312630</v>
      </c>
      <c r="B2995" t="str">
        <f>"1552376592620802"</f>
        <v>1552376592620802</v>
      </c>
      <c r="C2995" t="s">
        <v>40</v>
      </c>
      <c r="D2995">
        <v>4.7274760000000002</v>
      </c>
      <c r="E2995">
        <v>0.4072654</v>
      </c>
      <c r="F2995" t="s">
        <v>43</v>
      </c>
      <c r="G2995">
        <v>-488.81990000000002</v>
      </c>
      <c r="H2995" s="1">
        <v>-4.4453450000000002E-6</v>
      </c>
      <c r="I2995">
        <v>239.50700000000001</v>
      </c>
      <c r="J2995">
        <v>-491.60390000000001</v>
      </c>
      <c r="K2995">
        <v>1.1115079999999999</v>
      </c>
      <c r="L2995">
        <v>261.32940000000002</v>
      </c>
      <c r="M2995">
        <v>-0.14080229999999999</v>
      </c>
      <c r="N2995">
        <v>0</v>
      </c>
      <c r="O2995">
        <v>-0.98998640000000004</v>
      </c>
      <c r="P2995">
        <v>-0.1128769</v>
      </c>
      <c r="Q2995">
        <v>-1.7407269999999999E-2</v>
      </c>
      <c r="R2995">
        <v>-0.99345669999999997</v>
      </c>
      <c r="S2995">
        <v>0.38830569999999998</v>
      </c>
      <c r="T2995">
        <v>-0.15548879999999901</v>
      </c>
      <c r="U2995">
        <v>-3.0629270000000002</v>
      </c>
      <c r="V2995">
        <v>-2.8113010000000001E-2</v>
      </c>
      <c r="W2995">
        <v>-7.4031330000000001E-3</v>
      </c>
      <c r="X2995">
        <v>0.9995773</v>
      </c>
      <c r="Y2995">
        <v>-0.26405279999999998</v>
      </c>
      <c r="Z2995">
        <v>4.8844899999999997E-2</v>
      </c>
      <c r="AA2995">
        <v>0.96327059999999998</v>
      </c>
      <c r="AB2995">
        <v>14</v>
      </c>
      <c r="AC2995">
        <v>2.78399999999999</v>
      </c>
      <c r="AD2995">
        <v>-1.111512445345</v>
      </c>
      <c r="AE2995">
        <v>-21.822399999999998</v>
      </c>
      <c r="AF2995">
        <v>-5.8142201060090501</v>
      </c>
      <c r="AG2995">
        <v>-1.111512445345</v>
      </c>
      <c r="AH2995">
        <v>21.158949688745</v>
      </c>
      <c r="AI2995">
        <v>92.899779286955194</v>
      </c>
      <c r="AJ2995">
        <v>105.3649444438</v>
      </c>
      <c r="AK2995">
        <v>21.971385192748301</v>
      </c>
      <c r="AL2995">
        <v>90.424172166303705</v>
      </c>
      <c r="AM2995">
        <v>91.6110132909795</v>
      </c>
      <c r="AN2995">
        <v>0.99999996319238205</v>
      </c>
    </row>
    <row r="2996" spans="1:40" x14ac:dyDescent="0.25">
      <c r="A2996" t="str">
        <f>"20190312154312642"</f>
        <v>20190312154312642</v>
      </c>
      <c r="B2996" t="str">
        <f>"1552376592630562"</f>
        <v>1552376592630562</v>
      </c>
      <c r="C2996" t="s">
        <v>40</v>
      </c>
      <c r="D2996">
        <v>4.7226920000000003</v>
      </c>
      <c r="E2996">
        <v>0.40708149999999999</v>
      </c>
      <c r="F2996" t="s">
        <v>43</v>
      </c>
      <c r="G2996">
        <v>-488.47840000000002</v>
      </c>
      <c r="H2996" s="1">
        <v>-3.6119410000000002E-6</v>
      </c>
      <c r="I2996">
        <v>237.42310000000001</v>
      </c>
      <c r="J2996">
        <v>-491.61239999999998</v>
      </c>
      <c r="K2996">
        <v>1.1114790000000001</v>
      </c>
      <c r="L2996">
        <v>261.2516</v>
      </c>
      <c r="M2996">
        <v>-0.13866589999999901</v>
      </c>
      <c r="N2996">
        <v>0</v>
      </c>
      <c r="O2996">
        <v>-0.99028590000000005</v>
      </c>
      <c r="P2996">
        <v>-0.1106958</v>
      </c>
      <c r="Q2996">
        <v>-1.6740359999999999E-2</v>
      </c>
      <c r="R2996">
        <v>-0.99371330000000002</v>
      </c>
      <c r="S2996">
        <v>0.40042109999999997</v>
      </c>
      <c r="T2996">
        <v>-0.14240239999999901</v>
      </c>
      <c r="U2996">
        <v>-3.0627749999999998</v>
      </c>
      <c r="V2996">
        <v>-2.815608E-2</v>
      </c>
      <c r="W2996">
        <v>-6.547621E-3</v>
      </c>
      <c r="X2996">
        <v>0.99958210000000003</v>
      </c>
      <c r="Y2996">
        <v>-0.26575169999999998</v>
      </c>
      <c r="Z2996">
        <v>4.4744260000000001E-2</v>
      </c>
      <c r="AA2996">
        <v>0.96300260000000004</v>
      </c>
      <c r="AB2996">
        <v>14</v>
      </c>
      <c r="AC2996">
        <v>3.1339999999999502</v>
      </c>
      <c r="AD2996">
        <v>-1.111482611941</v>
      </c>
      <c r="AE2996">
        <v>-23.828499999999899</v>
      </c>
      <c r="AF2996">
        <v>-6.3944186039036204</v>
      </c>
      <c r="AG2996">
        <v>-1.111482611941</v>
      </c>
      <c r="AH2996">
        <v>23.114235784254099</v>
      </c>
      <c r="AI2996">
        <v>92.653515566829199</v>
      </c>
      <c r="AJ2996">
        <v>105.463795161051</v>
      </c>
      <c r="AK2996">
        <v>24.008162752878199</v>
      </c>
      <c r="AL2996">
        <v>90.375153727710995</v>
      </c>
      <c r="AM2996">
        <v>91.613472365637605</v>
      </c>
      <c r="AN2996">
        <v>1.00000000541106</v>
      </c>
    </row>
    <row r="2997" spans="1:40" x14ac:dyDescent="0.25">
      <c r="A2997" t="str">
        <f>"20190312154312653"</f>
        <v>20190312154312653</v>
      </c>
      <c r="B2997" t="str">
        <f>"1552376592650604"</f>
        <v>1552376592650604</v>
      </c>
      <c r="C2997" t="s">
        <v>40</v>
      </c>
      <c r="D2997">
        <v>4.7611860000000004</v>
      </c>
      <c r="E2997">
        <v>0.40735830000000001</v>
      </c>
      <c r="F2997" t="s">
        <v>43</v>
      </c>
      <c r="G2997">
        <v>-488.20429999999999</v>
      </c>
      <c r="H2997" s="1">
        <v>-2.9106769999999999E-6</v>
      </c>
      <c r="I2997">
        <v>235.67509999999999</v>
      </c>
      <c r="J2997">
        <v>-491.6198</v>
      </c>
      <c r="K2997">
        <v>1.1114520000000001</v>
      </c>
      <c r="L2997">
        <v>261.1832</v>
      </c>
      <c r="M2997">
        <v>-0.1368354</v>
      </c>
      <c r="N2997">
        <v>0</v>
      </c>
      <c r="O2997">
        <v>-0.99053869999999999</v>
      </c>
      <c r="P2997">
        <v>-0.10847080000000001</v>
      </c>
      <c r="Q2997">
        <v>-1.6012160000000001E-2</v>
      </c>
      <c r="R2997">
        <v>-0.99397069999999998</v>
      </c>
      <c r="S2997">
        <v>0.40805049999999998</v>
      </c>
      <c r="T2997">
        <v>-0.1330769</v>
      </c>
      <c r="U2997">
        <v>-3.0622560000000001</v>
      </c>
      <c r="V2997">
        <v>-2.8551839999999998E-2</v>
      </c>
      <c r="W2997">
        <v>-5.6497930000000002E-3</v>
      </c>
      <c r="X2997">
        <v>0.99957629999999997</v>
      </c>
      <c r="Y2997">
        <v>-0.26636659999999901</v>
      </c>
      <c r="Z2997">
        <v>4.1832870000000001E-2</v>
      </c>
      <c r="AA2997">
        <v>0.96296360000000003</v>
      </c>
      <c r="AB2997">
        <v>14</v>
      </c>
      <c r="AC2997">
        <v>3.4155000000000002</v>
      </c>
      <c r="AD2997">
        <v>-1.111454910677</v>
      </c>
      <c r="AE2997">
        <v>-25.508099999999999</v>
      </c>
      <c r="AF2997">
        <v>-6.8611741685677003</v>
      </c>
      <c r="AG2997">
        <v>-1.111454910677</v>
      </c>
      <c r="AH2997">
        <v>24.7545819169219</v>
      </c>
      <c r="AI2997">
        <v>92.477514062262202</v>
      </c>
      <c r="AJ2997">
        <v>105.491662754985</v>
      </c>
      <c r="AK2997">
        <v>25.711872138595499</v>
      </c>
      <c r="AL2997">
        <v>90.323711031201597</v>
      </c>
      <c r="AM2997">
        <v>91.636148473511</v>
      </c>
      <c r="AN2997">
        <v>0.99999995362500804</v>
      </c>
    </row>
    <row r="2998" spans="1:40" x14ac:dyDescent="0.25">
      <c r="A2998" t="str">
        <f>"20190312154312665"</f>
        <v>20190312154312665</v>
      </c>
      <c r="B2998" t="str">
        <f>"1552376592660349"</f>
        <v>1552376592660349</v>
      </c>
      <c r="C2998" t="s">
        <v>40</v>
      </c>
      <c r="D2998">
        <v>4.7453379999999896</v>
      </c>
      <c r="E2998">
        <v>0.40762140000000002</v>
      </c>
      <c r="F2998" t="s">
        <v>43</v>
      </c>
      <c r="G2998">
        <v>-487.85739999999998</v>
      </c>
      <c r="H2998" s="1">
        <v>-1.9432619999999999E-6</v>
      </c>
      <c r="I2998">
        <v>233.2766</v>
      </c>
      <c r="J2998">
        <v>-491.62790000000001</v>
      </c>
      <c r="K2998">
        <v>1.1114269999999999</v>
      </c>
      <c r="L2998">
        <v>261.10680000000002</v>
      </c>
      <c r="M2998">
        <v>-0.13485069999999999</v>
      </c>
      <c r="N2998">
        <v>0</v>
      </c>
      <c r="O2998">
        <v>-0.99080900000000005</v>
      </c>
      <c r="P2998">
        <v>-0.1061817</v>
      </c>
      <c r="Q2998">
        <v>-1.524081E-2</v>
      </c>
      <c r="R2998">
        <v>-0.99423010000000001</v>
      </c>
      <c r="S2998">
        <v>0.41271970000000002</v>
      </c>
      <c r="T2998">
        <v>-0.12192359999999999</v>
      </c>
      <c r="U2998">
        <v>-3.0612789999999999</v>
      </c>
      <c r="V2998">
        <v>-2.8856550000000002E-2</v>
      </c>
      <c r="W2998">
        <v>-4.6828310000000001E-3</v>
      </c>
      <c r="X2998">
        <v>0.99957260000000003</v>
      </c>
      <c r="Y2998">
        <v>-0.26593810000000001</v>
      </c>
      <c r="Z2998">
        <v>3.8359360000000002E-2</v>
      </c>
      <c r="AA2998">
        <v>0.96322660000000004</v>
      </c>
      <c r="AB2998">
        <v>14</v>
      </c>
      <c r="AC2998">
        <v>3.7705000000000202</v>
      </c>
      <c r="AD2998">
        <v>-1.1114289432619999</v>
      </c>
      <c r="AE2998">
        <v>-27.830200000000001</v>
      </c>
      <c r="AF2998">
        <v>-7.4774789414389398</v>
      </c>
      <c r="AG2998">
        <v>-1.1114289432619999</v>
      </c>
      <c r="AH2998">
        <v>27.025159650414999</v>
      </c>
      <c r="AI2998">
        <v>92.269816068786895</v>
      </c>
      <c r="AJ2998">
        <v>105.466012738141</v>
      </c>
      <c r="AK2998">
        <v>28.062559037728601</v>
      </c>
      <c r="AL2998">
        <v>90.2683074314766</v>
      </c>
      <c r="AM2998">
        <v>91.653606197124503</v>
      </c>
      <c r="AN2998">
        <v>1.0000000060274099</v>
      </c>
    </row>
    <row r="2999" spans="1:40" x14ac:dyDescent="0.25">
      <c r="A2999" t="str">
        <f>"20190312154312678"</f>
        <v>20190312154312678</v>
      </c>
      <c r="B2999" t="str">
        <f>"1552376592670108"</f>
        <v>1552376592670108</v>
      </c>
      <c r="C2999" t="s">
        <v>40</v>
      </c>
      <c r="D2999">
        <v>4.7430000000000003</v>
      </c>
      <c r="E2999">
        <v>0.4079738</v>
      </c>
      <c r="F2999" t="s">
        <v>43</v>
      </c>
      <c r="G2999">
        <v>-487.72840000000002</v>
      </c>
      <c r="H2999" s="1">
        <v>-1.6377539999999901E-6</v>
      </c>
      <c r="I2999">
        <v>232.5112</v>
      </c>
      <c r="J2999">
        <v>-491.63670000000002</v>
      </c>
      <c r="K2999">
        <v>1.1113980000000001</v>
      </c>
      <c r="L2999">
        <v>261.02319999999997</v>
      </c>
      <c r="M2999">
        <v>-0.13276959999999999</v>
      </c>
      <c r="N2999">
        <v>0</v>
      </c>
      <c r="O2999">
        <v>-0.99108759999999996</v>
      </c>
      <c r="P2999">
        <v>-0.1036395</v>
      </c>
      <c r="Q2999">
        <v>-1.47902E-2</v>
      </c>
      <c r="R2999">
        <v>-0.99450490000000002</v>
      </c>
      <c r="S2999">
        <v>0.41729739999999999</v>
      </c>
      <c r="T2999">
        <v>-0.1189388</v>
      </c>
      <c r="U2999">
        <v>-3.0601500000000001</v>
      </c>
      <c r="V2999">
        <v>-2.9316109999999999E-2</v>
      </c>
      <c r="W2999">
        <v>-4.0199249999999997E-3</v>
      </c>
      <c r="X2999">
        <v>0.99956210000000001</v>
      </c>
      <c r="Y2999">
        <v>-0.26538070000000002</v>
      </c>
      <c r="Z2999">
        <v>3.7450959999999998E-2</v>
      </c>
      <c r="AA2999">
        <v>0.96341600000000005</v>
      </c>
      <c r="AB2999">
        <v>14</v>
      </c>
      <c r="AC2999">
        <v>3.9082999999999899</v>
      </c>
      <c r="AD2999">
        <v>-1.1113996377540001</v>
      </c>
      <c r="AE2999">
        <v>-28.511999999999901</v>
      </c>
      <c r="AF2999">
        <v>-7.6480384464983802</v>
      </c>
      <c r="AG2999">
        <v>-1.1113996377540001</v>
      </c>
      <c r="AH2999">
        <v>27.699306095756398</v>
      </c>
      <c r="AI2999">
        <v>92.214898081743598</v>
      </c>
      <c r="AJ2999">
        <v>105.43532870472001</v>
      </c>
      <c r="AK2999">
        <v>28.757247076525399</v>
      </c>
      <c r="AL2999">
        <v>90.230325358425603</v>
      </c>
      <c r="AM2999">
        <v>91.679943654552304</v>
      </c>
      <c r="AN2999">
        <v>0.99999999292947295</v>
      </c>
    </row>
    <row r="3000" spans="1:40" x14ac:dyDescent="0.25">
      <c r="A3000" t="str">
        <f>"20190312154312692"</f>
        <v>20190312154312692</v>
      </c>
      <c r="B3000" t="str">
        <f>"1552376592680845"</f>
        <v>1552376592680845</v>
      </c>
      <c r="C3000" t="s">
        <v>40</v>
      </c>
      <c r="D3000">
        <v>4.7444050000000004</v>
      </c>
      <c r="E3000">
        <v>0.40845419999999999</v>
      </c>
      <c r="F3000" t="s">
        <v>43</v>
      </c>
      <c r="G3000">
        <v>-487.63080000000002</v>
      </c>
      <c r="H3000" s="1">
        <v>-1.449527E-6</v>
      </c>
      <c r="I3000">
        <v>232.03200000000001</v>
      </c>
      <c r="J3000">
        <v>-491.6454</v>
      </c>
      <c r="K3000">
        <v>1.1113690000000001</v>
      </c>
      <c r="L3000">
        <v>260.93950000000001</v>
      </c>
      <c r="M3000">
        <v>-0.13074669999999999</v>
      </c>
      <c r="N3000">
        <v>0</v>
      </c>
      <c r="O3000">
        <v>-0.99135419999999996</v>
      </c>
      <c r="P3000">
        <v>-0.1011671</v>
      </c>
      <c r="Q3000">
        <v>-1.4229729999999999E-2</v>
      </c>
      <c r="R3000">
        <v>-0.99476759999999997</v>
      </c>
      <c r="S3000">
        <v>0.4226685</v>
      </c>
      <c r="T3000">
        <v>-0.1172642</v>
      </c>
      <c r="U3000">
        <v>-3.0588679999999999</v>
      </c>
      <c r="V3000">
        <v>-2.9764220000000001E-2</v>
      </c>
      <c r="W3000">
        <v>-3.251772E-3</v>
      </c>
      <c r="X3000">
        <v>0.99955170000000004</v>
      </c>
      <c r="Y3000">
        <v>-0.26513049999999999</v>
      </c>
      <c r="Z3000">
        <v>3.6952079999999998E-2</v>
      </c>
      <c r="AA3000">
        <v>0.96350420000000003</v>
      </c>
      <c r="AB3000">
        <v>14</v>
      </c>
      <c r="AC3000">
        <v>4.0145999999999704</v>
      </c>
      <c r="AD3000">
        <v>-1.111370449527</v>
      </c>
      <c r="AE3000">
        <v>-28.907499999999999</v>
      </c>
      <c r="AF3000">
        <v>-7.7486883256836396</v>
      </c>
      <c r="AG3000">
        <v>-1.111370449527</v>
      </c>
      <c r="AH3000">
        <v>28.093655386837501</v>
      </c>
      <c r="AI3000">
        <v>92.183944652886296</v>
      </c>
      <c r="AJ3000">
        <v>105.419724832189</v>
      </c>
      <c r="AK3000">
        <v>29.163860993343299</v>
      </c>
      <c r="AL3000">
        <v>90.186313132080997</v>
      </c>
      <c r="AM3000">
        <v>91.705625035325696</v>
      </c>
      <c r="AN3000">
        <v>1.0000000418931101</v>
      </c>
    </row>
    <row r="3001" spans="1:40" x14ac:dyDescent="0.25">
      <c r="A3001" t="str">
        <f>"20190312154312708"</f>
        <v>20190312154312708</v>
      </c>
      <c r="B3001" t="str">
        <f>"1552376592700365"</f>
        <v>1552376592700365</v>
      </c>
      <c r="C3001" t="s">
        <v>40</v>
      </c>
      <c r="D3001">
        <v>4.7526890000000002</v>
      </c>
      <c r="E3001">
        <v>0.40959459999999998</v>
      </c>
      <c r="F3001" t="s">
        <v>43</v>
      </c>
      <c r="G3001">
        <v>-487.53820000000002</v>
      </c>
      <c r="H3001" s="1">
        <v>-1.276209E-6</v>
      </c>
      <c r="I3001">
        <v>231.4734</v>
      </c>
      <c r="J3001">
        <v>-491.65589999999997</v>
      </c>
      <c r="K3001">
        <v>1.1113329999999999</v>
      </c>
      <c r="L3001">
        <v>260.83920000000001</v>
      </c>
      <c r="M3001">
        <v>-0.1284177</v>
      </c>
      <c r="N3001">
        <v>0</v>
      </c>
      <c r="O3001">
        <v>-0.99165610000000004</v>
      </c>
      <c r="P3001">
        <v>-9.8115369999999993E-2</v>
      </c>
      <c r="Q3001">
        <v>-1.3110470000000001E-2</v>
      </c>
      <c r="R3001">
        <v>-0.99508890000000005</v>
      </c>
      <c r="S3001">
        <v>0.426178</v>
      </c>
      <c r="T3001">
        <v>-0.11531810000000001</v>
      </c>
      <c r="U3001">
        <v>-3.0574650000000001</v>
      </c>
      <c r="V3001">
        <v>-3.0488299999999999E-2</v>
      </c>
      <c r="W3001">
        <v>-1.8958650000000001E-3</v>
      </c>
      <c r="X3001">
        <v>0.99953340000000002</v>
      </c>
      <c r="Y3001">
        <v>-0.26401390000000002</v>
      </c>
      <c r="Z3001">
        <v>3.6376289999999999E-2</v>
      </c>
      <c r="AA3001">
        <v>0.96383269999999999</v>
      </c>
      <c r="AB3001">
        <v>14</v>
      </c>
      <c r="AC3001">
        <v>4.1176999999999504</v>
      </c>
      <c r="AD3001">
        <v>-1.1113342762089999</v>
      </c>
      <c r="AE3001">
        <v>-29.3658</v>
      </c>
      <c r="AF3001">
        <v>-7.8439124304727699</v>
      </c>
      <c r="AG3001">
        <v>-1.1113342762089999</v>
      </c>
      <c r="AH3001">
        <v>28.553699716700802</v>
      </c>
      <c r="AI3001">
        <v>92.149330500921295</v>
      </c>
      <c r="AJ3001">
        <v>105.360663698984</v>
      </c>
      <c r="AK3001">
        <v>29.632343707542301</v>
      </c>
      <c r="AL3001">
        <v>90.108625120035498</v>
      </c>
      <c r="AM3001">
        <v>91.747124665819896</v>
      </c>
      <c r="AN3001">
        <v>1.00000007422827</v>
      </c>
    </row>
    <row r="3002" spans="1:40" x14ac:dyDescent="0.25">
      <c r="A3002" t="str">
        <f>"20190312154312720"</f>
        <v>20190312154312720</v>
      </c>
      <c r="B3002" t="str">
        <f>"1552376592710124"</f>
        <v>1552376592710124</v>
      </c>
      <c r="C3002" t="s">
        <v>40</v>
      </c>
      <c r="D3002">
        <v>4.7829860000000002</v>
      </c>
      <c r="E3002">
        <v>0.4102729</v>
      </c>
      <c r="F3002" t="s">
        <v>43</v>
      </c>
      <c r="G3002">
        <v>-487.44940000000003</v>
      </c>
      <c r="H3002" s="1">
        <v>-1.040508E-6</v>
      </c>
      <c r="I3002">
        <v>230.7114</v>
      </c>
      <c r="J3002">
        <v>-491.66410000000002</v>
      </c>
      <c r="K3002">
        <v>1.1113059999999999</v>
      </c>
      <c r="L3002">
        <v>260.7595</v>
      </c>
      <c r="M3002">
        <v>-0.12666859999999999</v>
      </c>
      <c r="N3002">
        <v>0</v>
      </c>
      <c r="O3002">
        <v>-0.99187890000000001</v>
      </c>
      <c r="P3002">
        <v>-9.6232559999999995E-2</v>
      </c>
      <c r="Q3002">
        <v>-1.2580320000000001E-2</v>
      </c>
      <c r="R3002">
        <v>-0.99527960000000004</v>
      </c>
      <c r="S3002">
        <v>0.42660520000000002</v>
      </c>
      <c r="T3002">
        <v>-0.11270620000000001</v>
      </c>
      <c r="U3002">
        <v>-3.0554199999999998</v>
      </c>
      <c r="V3002">
        <v>-3.061941E-2</v>
      </c>
      <c r="W3002">
        <v>-1.194194E-3</v>
      </c>
      <c r="X3002">
        <v>0.99953040000000004</v>
      </c>
      <c r="Y3002">
        <v>-0.26253729999999997</v>
      </c>
      <c r="Z3002">
        <v>3.559652E-2</v>
      </c>
      <c r="AA3002">
        <v>0.96426500000000004</v>
      </c>
      <c r="AB3002">
        <v>14</v>
      </c>
      <c r="AC3002">
        <v>4.2146999999999899</v>
      </c>
      <c r="AD3002">
        <v>-1.1113070405080001</v>
      </c>
      <c r="AE3002">
        <v>-30.048100000000002</v>
      </c>
      <c r="AF3002">
        <v>-7.9764472276542904</v>
      </c>
      <c r="AG3002">
        <v>-1.1113070405080001</v>
      </c>
      <c r="AH3002">
        <v>29.232913878669301</v>
      </c>
      <c r="AI3002">
        <v>92.100373522731999</v>
      </c>
      <c r="AJ3002">
        <v>105.262113418016</v>
      </c>
      <c r="AK3002">
        <v>30.321971696305202</v>
      </c>
      <c r="AL3002">
        <v>90.068422292557401</v>
      </c>
      <c r="AM3002">
        <v>91.754638469246402</v>
      </c>
      <c r="AN3002">
        <v>0.99999999744610801</v>
      </c>
    </row>
    <row r="3003" spans="1:40" x14ac:dyDescent="0.25">
      <c r="A3003" t="str">
        <f>"20190312154312735"</f>
        <v>20190312154312735</v>
      </c>
      <c r="B3003" t="str">
        <f>"1552376592730621"</f>
        <v>1552376592730621</v>
      </c>
      <c r="C3003" t="s">
        <v>40</v>
      </c>
      <c r="D3003">
        <v>4.7763249999999999</v>
      </c>
      <c r="E3003">
        <v>0.41146939999999999</v>
      </c>
      <c r="F3003" t="s">
        <v>43</v>
      </c>
      <c r="G3003">
        <v>-487.4221</v>
      </c>
      <c r="H3003" s="1">
        <v>-9.4181679999999998E-7</v>
      </c>
      <c r="I3003">
        <v>230.4</v>
      </c>
      <c r="J3003">
        <v>-491.67309999999998</v>
      </c>
      <c r="K3003">
        <v>1.1112770000000001</v>
      </c>
      <c r="L3003">
        <v>260.67090000000002</v>
      </c>
      <c r="M3003">
        <v>-0.12477779999999999</v>
      </c>
      <c r="N3003">
        <v>0</v>
      </c>
      <c r="O3003">
        <v>-0.99211649999999996</v>
      </c>
      <c r="P3003">
        <v>-9.4181020000000004E-2</v>
      </c>
      <c r="Q3003">
        <v>-1.192768E-2</v>
      </c>
      <c r="R3003">
        <v>-0.99548380000000003</v>
      </c>
      <c r="S3003">
        <v>0.42672729999999998</v>
      </c>
      <c r="T3003">
        <v>-0.1117933</v>
      </c>
      <c r="U3003">
        <v>-3.0540470000000002</v>
      </c>
      <c r="V3003">
        <v>-3.0777189999999999E-2</v>
      </c>
      <c r="W3003">
        <v>-3.6034620000000001E-4</v>
      </c>
      <c r="X3003">
        <v>0.99952620000000003</v>
      </c>
      <c r="Y3003">
        <v>-0.26079639999999998</v>
      </c>
      <c r="Z3003">
        <v>3.5345910000000001E-2</v>
      </c>
      <c r="AA3003">
        <v>0.96474649999999995</v>
      </c>
      <c r="AB3003">
        <v>14</v>
      </c>
      <c r="AC3003">
        <v>4.2509999999999701</v>
      </c>
      <c r="AD3003">
        <v>-1.1112779418168</v>
      </c>
      <c r="AE3003">
        <v>-30.270900000000001</v>
      </c>
      <c r="AF3003">
        <v>-7.9846118571633502</v>
      </c>
      <c r="AG3003">
        <v>-1.1112779418168</v>
      </c>
      <c r="AH3003">
        <v>29.464883705740501</v>
      </c>
      <c r="AI3003">
        <v>92.084784479783096</v>
      </c>
      <c r="AJ3003">
        <v>105.162291185615</v>
      </c>
      <c r="AK3003">
        <v>30.547804126750801</v>
      </c>
      <c r="AL3003">
        <v>90.020646316976098</v>
      </c>
      <c r="AM3003">
        <v>91.763681727560694</v>
      </c>
      <c r="AN3003">
        <v>0.99999999488005897</v>
      </c>
    </row>
    <row r="3004" spans="1:40" x14ac:dyDescent="0.25">
      <c r="A3004" t="str">
        <f>"20190312154312753"</f>
        <v>20190312154312753</v>
      </c>
      <c r="B3004" t="str">
        <f>"1552376592740381"</f>
        <v>1552376592740381</v>
      </c>
      <c r="C3004" t="s">
        <v>40</v>
      </c>
      <c r="D3004">
        <v>4.724888</v>
      </c>
      <c r="E3004">
        <v>0.41146939999999999</v>
      </c>
      <c r="F3004" t="s">
        <v>43</v>
      </c>
      <c r="G3004">
        <v>-487.46030000000002</v>
      </c>
      <c r="H3004" s="1">
        <v>-9.0142419999999997E-7</v>
      </c>
      <c r="I3004">
        <v>230.31120000000001</v>
      </c>
      <c r="J3004">
        <v>-491.68430000000001</v>
      </c>
      <c r="K3004">
        <v>1.11124</v>
      </c>
      <c r="L3004">
        <v>260.55959999999999</v>
      </c>
      <c r="M3004">
        <v>-0.1225077</v>
      </c>
      <c r="N3004">
        <v>0</v>
      </c>
      <c r="O3004">
        <v>-0.99239699999999997</v>
      </c>
      <c r="P3004">
        <v>-9.1722330000000005E-2</v>
      </c>
      <c r="Q3004">
        <v>-1.0735629999999999E-2</v>
      </c>
      <c r="R3004">
        <v>-0.99572689999999997</v>
      </c>
      <c r="S3004">
        <v>0.42355350000000003</v>
      </c>
      <c r="T3004">
        <v>-0.11172700000000001</v>
      </c>
      <c r="U3004">
        <v>-3.0523380000000002</v>
      </c>
      <c r="V3004">
        <v>-3.096353E-2</v>
      </c>
      <c r="W3004">
        <v>1.041714E-3</v>
      </c>
      <c r="X3004">
        <v>0.99951990000000002</v>
      </c>
      <c r="Y3004">
        <v>-0.25767669999999998</v>
      </c>
      <c r="Z3004">
        <v>3.5377829999999999E-2</v>
      </c>
      <c r="AA3004">
        <v>0.96558330000000003</v>
      </c>
      <c r="AB3004">
        <v>14</v>
      </c>
      <c r="AC3004">
        <v>4.2239999999999798</v>
      </c>
      <c r="AD3004">
        <v>-1.1112409014242</v>
      </c>
      <c r="AE3004">
        <v>-30.248399999999901</v>
      </c>
      <c r="AF3004">
        <v>-7.8876582288877701</v>
      </c>
      <c r="AG3004">
        <v>-1.1112409014242</v>
      </c>
      <c r="AH3004">
        <v>29.464010403029199</v>
      </c>
      <c r="AI3004">
        <v>92.086494533564107</v>
      </c>
      <c r="AJ3004">
        <v>104.986936754978</v>
      </c>
      <c r="AK3004">
        <v>30.5217613794904</v>
      </c>
      <c r="AL3004">
        <v>89.940314169243706</v>
      </c>
      <c r="AM3004">
        <v>91.774364281407301</v>
      </c>
      <c r="AN3004">
        <v>0.99999992792706105</v>
      </c>
    </row>
    <row r="3005" spans="1:40" x14ac:dyDescent="0.25">
      <c r="A3005" t="str">
        <f>"20190312154312774"</f>
        <v>20190312154312774</v>
      </c>
      <c r="B3005" t="str">
        <f>"1552376592770638"</f>
        <v>1552376592770638</v>
      </c>
      <c r="C3005" t="s">
        <v>40</v>
      </c>
      <c r="D3005">
        <v>4.7607759999999999</v>
      </c>
      <c r="E3005">
        <v>0.42417779999999999</v>
      </c>
      <c r="F3005" t="s">
        <v>49</v>
      </c>
      <c r="G3005">
        <v>-487.22370000000001</v>
      </c>
      <c r="H3005" s="1">
        <v>5.706633E-6</v>
      </c>
      <c r="I3005">
        <v>228.97479999999999</v>
      </c>
      <c r="J3005">
        <v>-491.69760000000002</v>
      </c>
      <c r="K3005">
        <v>1.111199</v>
      </c>
      <c r="L3005">
        <v>260.42630000000003</v>
      </c>
      <c r="M3005">
        <v>-0.11995219999999999</v>
      </c>
      <c r="N3005">
        <v>0</v>
      </c>
      <c r="O3005">
        <v>-0.99270639999999999</v>
      </c>
      <c r="P3005">
        <v>-8.9505730000000006E-2</v>
      </c>
      <c r="Q3005">
        <v>-9.6679709999999992E-3</v>
      </c>
      <c r="R3005">
        <v>-0.99593929999999997</v>
      </c>
      <c r="S3005">
        <v>0.43093870000000001</v>
      </c>
      <c r="T3005">
        <v>-0.1073557</v>
      </c>
      <c r="U3005">
        <v>-3.0513919999999999</v>
      </c>
      <c r="V3005">
        <v>-3.0618389999999999E-2</v>
      </c>
      <c r="W3005">
        <v>2.338232E-3</v>
      </c>
      <c r="X3005">
        <v>0.99952839999999998</v>
      </c>
      <c r="Y3005">
        <v>-0.25752900000000001</v>
      </c>
      <c r="Z3005">
        <v>3.4017289999999999E-2</v>
      </c>
      <c r="AA3005">
        <v>0.96567159999999996</v>
      </c>
      <c r="AB3005">
        <v>14</v>
      </c>
      <c r="AC3005">
        <v>4.4739000000000102</v>
      </c>
      <c r="AD3005">
        <v>-1.1111932933669999</v>
      </c>
      <c r="AE3005">
        <v>-31.451499999999999</v>
      </c>
      <c r="AF3005">
        <v>-8.2045052601157593</v>
      </c>
      <c r="AG3005">
        <v>-1.1111932933669999</v>
      </c>
      <c r="AH3005">
        <v>30.650183531566199</v>
      </c>
      <c r="AI3005">
        <v>92.005739253815506</v>
      </c>
      <c r="AJ3005">
        <v>104.98572049600401</v>
      </c>
      <c r="AK3005">
        <v>31.7487386775787</v>
      </c>
      <c r="AL3005">
        <v>89.866029051161803</v>
      </c>
      <c r="AM3005">
        <v>91.754583563531398</v>
      </c>
      <c r="AN3005">
        <v>0.999999987770818</v>
      </c>
    </row>
    <row r="3006" spans="1:40" x14ac:dyDescent="0.25">
      <c r="A3006" t="str">
        <f>"20190312154312787"</f>
        <v>20190312154312787</v>
      </c>
      <c r="B3006" t="str">
        <f>"1552376592780396"</f>
        <v>1552376592780396</v>
      </c>
      <c r="C3006" t="s">
        <v>40</v>
      </c>
      <c r="D3006">
        <v>4.7654969999999999</v>
      </c>
      <c r="E3006">
        <v>0.42510910000000002</v>
      </c>
      <c r="F3006" t="s">
        <v>43</v>
      </c>
      <c r="G3006">
        <v>-488.71199999999999</v>
      </c>
      <c r="H3006" s="1">
        <v>-1.9172940000000001E-6</v>
      </c>
      <c r="I3006">
        <v>233.56950000000001</v>
      </c>
      <c r="J3006">
        <v>-491.70589999999999</v>
      </c>
      <c r="K3006">
        <v>1.1111679999999999</v>
      </c>
      <c r="L3006">
        <v>260.3433</v>
      </c>
      <c r="M3006">
        <v>-0.1184288</v>
      </c>
      <c r="N3006">
        <v>0</v>
      </c>
      <c r="O3006">
        <v>-0.99288799999999999</v>
      </c>
      <c r="P3006">
        <v>-8.7871539999999998E-2</v>
      </c>
      <c r="Q3006">
        <v>-9.5450229999999997E-3</v>
      </c>
      <c r="R3006">
        <v>-0.99608640000000004</v>
      </c>
      <c r="S3006">
        <v>0.33810420000000002</v>
      </c>
      <c r="T3006">
        <v>-0.12583720000000001</v>
      </c>
      <c r="U3006">
        <v>-3.041382</v>
      </c>
      <c r="V3006">
        <v>-3.072513E-2</v>
      </c>
      <c r="W3006">
        <v>2.5928629999999999E-3</v>
      </c>
      <c r="X3006">
        <v>0.99952450000000004</v>
      </c>
      <c r="Y3006">
        <v>-0.2273308</v>
      </c>
      <c r="Z3006">
        <v>4.0237330000000002E-2</v>
      </c>
      <c r="AA3006">
        <v>0.97298600000000002</v>
      </c>
      <c r="AB3006">
        <v>14</v>
      </c>
      <c r="AC3006">
        <v>2.9938999999999898</v>
      </c>
      <c r="AD3006">
        <v>-1.1111699172939999</v>
      </c>
      <c r="AE3006">
        <v>-26.773799999999898</v>
      </c>
      <c r="AF3006">
        <v>-6.1334172709100301</v>
      </c>
      <c r="AG3006">
        <v>-1.1111699172939999</v>
      </c>
      <c r="AH3006">
        <v>26.186215573134699</v>
      </c>
      <c r="AI3006">
        <v>92.365843080853594</v>
      </c>
      <c r="AJ3006">
        <v>103.182361808023</v>
      </c>
      <c r="AK3006">
        <v>26.9178638091301</v>
      </c>
      <c r="AL3006">
        <v>89.851439725495098</v>
      </c>
      <c r="AM3006">
        <v>91.760703310076096</v>
      </c>
      <c r="AN3006">
        <v>0.99999999132615103</v>
      </c>
    </row>
    <row r="3007" spans="1:40" x14ac:dyDescent="0.25">
      <c r="A3007" t="str">
        <f>"20190312154312799"</f>
        <v>20190312154312799</v>
      </c>
      <c r="B3007" t="str">
        <f>"1552376592790157"</f>
        <v>1552376592790157</v>
      </c>
      <c r="C3007" t="s">
        <v>40</v>
      </c>
      <c r="D3007">
        <v>4.750508</v>
      </c>
      <c r="E3007">
        <v>0.42610490000000001</v>
      </c>
      <c r="F3007" t="s">
        <v>43</v>
      </c>
      <c r="G3007">
        <v>-488.77890000000002</v>
      </c>
      <c r="H3007" s="1">
        <v>-2.010291E-6</v>
      </c>
      <c r="I3007">
        <v>233.81389999999999</v>
      </c>
      <c r="J3007">
        <v>-491.71260000000001</v>
      </c>
      <c r="K3007">
        <v>1.1111420000000001</v>
      </c>
      <c r="L3007">
        <v>260.274</v>
      </c>
      <c r="M3007">
        <v>-0.11723</v>
      </c>
      <c r="N3007">
        <v>0</v>
      </c>
      <c r="O3007">
        <v>-0.99302889999999999</v>
      </c>
      <c r="P3007">
        <v>-8.6714739999999998E-2</v>
      </c>
      <c r="Q3007">
        <v>-9.444895E-3</v>
      </c>
      <c r="R3007">
        <v>-0.99618859999999998</v>
      </c>
      <c r="S3007">
        <v>0.33541870000000001</v>
      </c>
      <c r="T3007">
        <v>-0.12733539999999999</v>
      </c>
      <c r="U3007">
        <v>-3.0401609999999999</v>
      </c>
      <c r="V3007">
        <v>-3.0679359999999999E-2</v>
      </c>
      <c r="W3007">
        <v>2.79218E-3</v>
      </c>
      <c r="X3007">
        <v>0.99952540000000001</v>
      </c>
      <c r="Y3007">
        <v>-0.2253463</v>
      </c>
      <c r="Z3007">
        <v>4.0752320000000002E-2</v>
      </c>
      <c r="AA3007">
        <v>0.97342600000000001</v>
      </c>
      <c r="AB3007">
        <v>14</v>
      </c>
      <c r="AC3007">
        <v>2.93369999999998</v>
      </c>
      <c r="AD3007">
        <v>-1.111144010291</v>
      </c>
      <c r="AE3007">
        <v>-26.460100000000001</v>
      </c>
      <c r="AF3007">
        <v>-6.0051587237956898</v>
      </c>
      <c r="AG3007">
        <v>-1.111144010291</v>
      </c>
      <c r="AH3007">
        <v>25.888582651628099</v>
      </c>
      <c r="AI3007">
        <v>92.394150568770002</v>
      </c>
      <c r="AJ3007">
        <v>103.059466788365</v>
      </c>
      <c r="AK3007">
        <v>26.5991594607755</v>
      </c>
      <c r="AL3007">
        <v>89.8400196660548</v>
      </c>
      <c r="AM3007">
        <v>91.758080525828504</v>
      </c>
      <c r="AN3007">
        <v>1.0000000223221599</v>
      </c>
    </row>
    <row r="3008" spans="1:40" x14ac:dyDescent="0.25">
      <c r="A3008" t="str">
        <f>"20190312154312811"</f>
        <v>20190312154312811</v>
      </c>
      <c r="B3008" t="str">
        <f>"1552376592799916"</f>
        <v>1552376592799916</v>
      </c>
      <c r="C3008" t="s">
        <v>40</v>
      </c>
      <c r="D3008">
        <v>4.738461</v>
      </c>
      <c r="E3008">
        <v>0.4268672</v>
      </c>
      <c r="F3008" t="s">
        <v>43</v>
      </c>
      <c r="G3008">
        <v>-488.84640000000002</v>
      </c>
      <c r="H3008" s="1">
        <v>-2.0783219999999998E-6</v>
      </c>
      <c r="I3008">
        <v>234.00040000000001</v>
      </c>
      <c r="J3008">
        <v>-491.72030000000001</v>
      </c>
      <c r="K3008">
        <v>1.1111120000000001</v>
      </c>
      <c r="L3008">
        <v>260.1952</v>
      </c>
      <c r="M3008">
        <v>-0.11589530000000001</v>
      </c>
      <c r="N3008">
        <v>0</v>
      </c>
      <c r="O3008">
        <v>-0.99318419999999996</v>
      </c>
      <c r="P3008">
        <v>-8.5629220000000006E-2</v>
      </c>
      <c r="Q3008">
        <v>-9.2782009999999998E-3</v>
      </c>
      <c r="R3008">
        <v>-0.99628410000000001</v>
      </c>
      <c r="S3008">
        <v>0.33154299999999998</v>
      </c>
      <c r="T3008">
        <v>-0.12852859999999999</v>
      </c>
      <c r="U3008">
        <v>-3.0391240000000002</v>
      </c>
      <c r="V3008">
        <v>-3.0425790000000001E-2</v>
      </c>
      <c r="W3008">
        <v>3.0677909999999998E-3</v>
      </c>
      <c r="X3008">
        <v>0.99953230000000004</v>
      </c>
      <c r="Y3008">
        <v>-0.22284409999999999</v>
      </c>
      <c r="Z3008">
        <v>4.1172340000000002E-2</v>
      </c>
      <c r="AA3008">
        <v>0.97398419999999997</v>
      </c>
      <c r="AB3008">
        <v>14</v>
      </c>
      <c r="AC3008">
        <v>2.8738999999999901</v>
      </c>
      <c r="AD3008">
        <v>-1.1111140783219999</v>
      </c>
      <c r="AE3008">
        <v>-26.194799999999901</v>
      </c>
      <c r="AF3008">
        <v>-5.8801642301449899</v>
      </c>
      <c r="AG3008">
        <v>-1.1111140783219999</v>
      </c>
      <c r="AH3008">
        <v>25.639577549404802</v>
      </c>
      <c r="AI3008">
        <v>92.418696433709201</v>
      </c>
      <c r="AJ3008">
        <v>102.916809046244</v>
      </c>
      <c r="AK3008">
        <v>26.328669597616699</v>
      </c>
      <c r="AL3008">
        <v>89.824228243940496</v>
      </c>
      <c r="AM3008">
        <v>91.743546676256599</v>
      </c>
      <c r="AN3008">
        <v>0.99999997939101604</v>
      </c>
    </row>
    <row r="3009" spans="1:40" x14ac:dyDescent="0.25">
      <c r="A3009" t="str">
        <f>"20190312154312824"</f>
        <v>20190312154312824</v>
      </c>
      <c r="B3009" t="str">
        <f>"1552376592820413"</f>
        <v>1552376592820413</v>
      </c>
      <c r="C3009" t="s">
        <v>40</v>
      </c>
      <c r="D3009">
        <v>4.7386939999999997</v>
      </c>
      <c r="E3009">
        <v>0.42777929999999997</v>
      </c>
      <c r="F3009" t="s">
        <v>43</v>
      </c>
      <c r="G3009">
        <v>-488.88040000000001</v>
      </c>
      <c r="H3009" s="1">
        <v>-2.0413799999999999E-6</v>
      </c>
      <c r="I3009">
        <v>233.92830000000001</v>
      </c>
      <c r="J3009">
        <v>-491.72809999999998</v>
      </c>
      <c r="K3009">
        <v>1.111081</v>
      </c>
      <c r="L3009">
        <v>260.11559999999997</v>
      </c>
      <c r="M3009">
        <v>-0.114610199999999</v>
      </c>
      <c r="N3009">
        <v>0</v>
      </c>
      <c r="O3009">
        <v>-0.99333210000000005</v>
      </c>
      <c r="P3009">
        <v>-8.4458210000000006E-2</v>
      </c>
      <c r="Q3009">
        <v>-9.1365070000000003E-3</v>
      </c>
      <c r="R3009">
        <v>-0.99638510000000002</v>
      </c>
      <c r="S3009">
        <v>0.32849119999999998</v>
      </c>
      <c r="T3009">
        <v>-0.12852060000000001</v>
      </c>
      <c r="U3009">
        <v>-3.0382389999999999</v>
      </c>
      <c r="V3009">
        <v>-3.0307560000000001E-2</v>
      </c>
      <c r="W3009">
        <v>3.3105000000000001E-3</v>
      </c>
      <c r="X3009">
        <v>0.99953510000000001</v>
      </c>
      <c r="Y3009">
        <v>-0.22064600000000001</v>
      </c>
      <c r="Z3009">
        <v>4.1203910000000003E-2</v>
      </c>
      <c r="AA3009">
        <v>0.97448330000000005</v>
      </c>
      <c r="AB3009">
        <v>14</v>
      </c>
      <c r="AC3009">
        <v>2.8476999999999699</v>
      </c>
      <c r="AD3009">
        <v>-1.1110830413799999</v>
      </c>
      <c r="AE3009">
        <v>-26.187299999999901</v>
      </c>
      <c r="AF3009">
        <v>-5.82014309128866</v>
      </c>
      <c r="AG3009">
        <v>-1.1110830413799999</v>
      </c>
      <c r="AH3009">
        <v>25.642690446701899</v>
      </c>
      <c r="AI3009">
        <v>92.419576711299996</v>
      </c>
      <c r="AJ3009">
        <v>102.78781789148699</v>
      </c>
      <c r="AK3009">
        <v>26.318361356157698</v>
      </c>
      <c r="AL3009">
        <v>89.810321968228095</v>
      </c>
      <c r="AM3009">
        <v>91.736770813899199</v>
      </c>
      <c r="AN3009">
        <v>0.99999996186770601</v>
      </c>
    </row>
    <row r="3010" spans="1:40" x14ac:dyDescent="0.25">
      <c r="A3010" t="str">
        <f>"20190312154312841"</f>
        <v>20190312154312841</v>
      </c>
      <c r="B3010" t="str">
        <f>"1552376592830173"</f>
        <v>1552376592830173</v>
      </c>
      <c r="C3010" t="s">
        <v>40</v>
      </c>
      <c r="D3010">
        <v>4.7519359999999997</v>
      </c>
      <c r="E3010">
        <v>0.4280755</v>
      </c>
      <c r="F3010" t="s">
        <v>43</v>
      </c>
      <c r="G3010">
        <v>-488.9554</v>
      </c>
      <c r="H3010" s="1">
        <v>-2.1382530000000001E-6</v>
      </c>
      <c r="I3010">
        <v>234.18520000000001</v>
      </c>
      <c r="J3010">
        <v>-491.738</v>
      </c>
      <c r="K3010">
        <v>1.11104</v>
      </c>
      <c r="L3010">
        <v>260.0138</v>
      </c>
      <c r="M3010">
        <v>-0.1130541</v>
      </c>
      <c r="N3010">
        <v>0</v>
      </c>
      <c r="O3010">
        <v>-0.99350910000000003</v>
      </c>
      <c r="P3010">
        <v>-8.3080490000000007E-2</v>
      </c>
      <c r="Q3010">
        <v>-8.1062540000000002E-3</v>
      </c>
      <c r="R3010">
        <v>-0.99651009999999995</v>
      </c>
      <c r="S3010">
        <v>0.324768099999999</v>
      </c>
      <c r="T3010">
        <v>-0.130139899999999</v>
      </c>
      <c r="U3010">
        <v>-3.037201</v>
      </c>
      <c r="V3010">
        <v>-3.0125829999999999E-2</v>
      </c>
      <c r="W3010">
        <v>4.4582370000000003E-3</v>
      </c>
      <c r="X3010">
        <v>0.99953619999999999</v>
      </c>
      <c r="Y3010">
        <v>-0.21796969999999999</v>
      </c>
      <c r="Z3010">
        <v>4.1763300000000003E-2</v>
      </c>
      <c r="AA3010">
        <v>0.97506150000000003</v>
      </c>
      <c r="AB3010">
        <v>14</v>
      </c>
      <c r="AC3010">
        <v>2.7826000000000501</v>
      </c>
      <c r="AD3010">
        <v>-1.111042138253</v>
      </c>
      <c r="AE3010">
        <v>-25.828599999999899</v>
      </c>
      <c r="AF3010">
        <v>-5.67463820363613</v>
      </c>
      <c r="AG3010">
        <v>-1.111042138253</v>
      </c>
      <c r="AH3010">
        <v>25.302091810621899</v>
      </c>
      <c r="AI3010">
        <v>92.453435281934901</v>
      </c>
      <c r="AJ3010">
        <v>102.640864450837</v>
      </c>
      <c r="AK3010">
        <v>25.954417415312498</v>
      </c>
      <c r="AL3010">
        <v>89.744560996878704</v>
      </c>
      <c r="AM3010">
        <v>91.726361221799607</v>
      </c>
      <c r="AN3010">
        <v>1.00000002831038</v>
      </c>
    </row>
    <row r="3011" spans="1:40" x14ac:dyDescent="0.25">
      <c r="A3011" t="str">
        <f>"20190312154312855"</f>
        <v>20190312154312855</v>
      </c>
      <c r="B3011" t="str">
        <f>"1552376592850669"</f>
        <v>1552376592850669</v>
      </c>
      <c r="C3011" t="s">
        <v>40</v>
      </c>
      <c r="D3011">
        <v>4.7825839999999999</v>
      </c>
      <c r="E3011">
        <v>0.42837750000000002</v>
      </c>
      <c r="F3011" t="s">
        <v>43</v>
      </c>
      <c r="G3011">
        <v>-488.86110000000002</v>
      </c>
      <c r="H3011" s="1">
        <v>-1.7590710000000001E-6</v>
      </c>
      <c r="I3011">
        <v>233.26230000000001</v>
      </c>
      <c r="J3011">
        <v>-491.74619999999999</v>
      </c>
      <c r="K3011">
        <v>1.1109979999999999</v>
      </c>
      <c r="L3011">
        <v>259.92849999999999</v>
      </c>
      <c r="M3011">
        <v>-0.1118133</v>
      </c>
      <c r="N3011">
        <v>0</v>
      </c>
      <c r="O3011">
        <v>-0.99364819999999998</v>
      </c>
      <c r="P3011">
        <v>-8.2186519999999999E-2</v>
      </c>
      <c r="Q3011">
        <v>-7.67774699999999E-3</v>
      </c>
      <c r="R3011">
        <v>-0.99658729999999995</v>
      </c>
      <c r="S3011">
        <v>0.32656859999999999</v>
      </c>
      <c r="T3011">
        <v>-0.1261206</v>
      </c>
      <c r="U3011">
        <v>-3.0367130000000002</v>
      </c>
      <c r="V3011">
        <v>-2.977496E-2</v>
      </c>
      <c r="W3011">
        <v>4.9770309999999998E-3</v>
      </c>
      <c r="X3011">
        <v>0.99954430000000005</v>
      </c>
      <c r="Y3011">
        <v>-0.21734500000000001</v>
      </c>
      <c r="Z3011">
        <v>4.0492489999999999E-2</v>
      </c>
      <c r="AA3011">
        <v>0.97525459999999997</v>
      </c>
      <c r="AB3011">
        <v>14</v>
      </c>
      <c r="AC3011">
        <v>2.88509999999996</v>
      </c>
      <c r="AD3011">
        <v>-1.1109997590709999</v>
      </c>
      <c r="AE3011">
        <v>-26.6661999999999</v>
      </c>
      <c r="AF3011">
        <v>-5.8388632443665598</v>
      </c>
      <c r="AG3011">
        <v>-1.1109997590709999</v>
      </c>
      <c r="AH3011">
        <v>26.131502030111101</v>
      </c>
      <c r="AI3011">
        <v>92.375985611944799</v>
      </c>
      <c r="AJ3011">
        <v>102.59536503695701</v>
      </c>
      <c r="AK3011">
        <v>26.798918687155499</v>
      </c>
      <c r="AL3011">
        <v>89.714835969965307</v>
      </c>
      <c r="AM3011">
        <v>91.706252746855398</v>
      </c>
      <c r="AN3011">
        <v>1.00000006337153</v>
      </c>
    </row>
    <row r="3012" spans="1:40" x14ac:dyDescent="0.25">
      <c r="A3012" t="str">
        <f>"20190312154312866"</f>
        <v>20190312154312866</v>
      </c>
      <c r="B3012" t="str">
        <f>"1552376592859958"</f>
        <v>1552376592859958</v>
      </c>
      <c r="C3012" t="s">
        <v>40</v>
      </c>
      <c r="D3012">
        <v>4.742254</v>
      </c>
      <c r="E3012">
        <v>0.4284617</v>
      </c>
      <c r="F3012" t="s">
        <v>43</v>
      </c>
      <c r="G3012">
        <v>-488.67180000000002</v>
      </c>
      <c r="H3012" s="1">
        <v>-9.9822580000000002E-7</v>
      </c>
      <c r="I3012">
        <v>231.41040000000001</v>
      </c>
      <c r="J3012">
        <v>-491.75369999999998</v>
      </c>
      <c r="K3012">
        <v>1.1109659999999999</v>
      </c>
      <c r="L3012">
        <v>259.851</v>
      </c>
      <c r="M3012">
        <v>-0.11072510000000001</v>
      </c>
      <c r="N3012">
        <v>0</v>
      </c>
      <c r="O3012">
        <v>-0.99376900000000001</v>
      </c>
      <c r="P3012">
        <v>-8.1201770000000006E-2</v>
      </c>
      <c r="Q3012">
        <v>-7.1908980000000003E-3</v>
      </c>
      <c r="R3012">
        <v>-0.99667190000000006</v>
      </c>
      <c r="S3012">
        <v>0.3273315</v>
      </c>
      <c r="T3012">
        <v>-0.1182879</v>
      </c>
      <c r="U3012">
        <v>-3.0363159999999998</v>
      </c>
      <c r="V3012">
        <v>-2.96686E-2</v>
      </c>
      <c r="W3012">
        <v>5.5411210000000004E-3</v>
      </c>
      <c r="X3012">
        <v>0.9995444</v>
      </c>
      <c r="Y3012">
        <v>-0.2165426</v>
      </c>
      <c r="Z3012">
        <v>3.7996620000000002E-2</v>
      </c>
      <c r="AA3012">
        <v>0.97553350000000005</v>
      </c>
      <c r="AB3012">
        <v>14</v>
      </c>
      <c r="AC3012">
        <v>3.0818999999999601</v>
      </c>
      <c r="AD3012">
        <v>-1.1109669982257999</v>
      </c>
      <c r="AE3012">
        <v>-28.4405999999999</v>
      </c>
      <c r="AF3012">
        <v>-6.2029364963975704</v>
      </c>
      <c r="AG3012">
        <v>-1.1109669982257999</v>
      </c>
      <c r="AH3012">
        <v>27.882368849594702</v>
      </c>
      <c r="AI3012">
        <v>92.227335816031996</v>
      </c>
      <c r="AJ3012">
        <v>102.54222961262199</v>
      </c>
      <c r="AK3012">
        <v>28.585611092196999</v>
      </c>
      <c r="AL3012">
        <v>89.682515518305195</v>
      </c>
      <c r="AM3012">
        <v>91.700161205395005</v>
      </c>
      <c r="AN3012">
        <v>0.99999996870962704</v>
      </c>
    </row>
    <row r="3013" spans="1:40" x14ac:dyDescent="0.25">
      <c r="A3013" t="str">
        <f>"20190312154312879"</f>
        <v>20190312154312879</v>
      </c>
      <c r="B3013" t="str">
        <f>"1552376592870695"</f>
        <v>1552376592870695</v>
      </c>
      <c r="C3013" t="s">
        <v>40</v>
      </c>
      <c r="D3013">
        <v>4.7638480000000003</v>
      </c>
      <c r="E3013">
        <v>0.42846689999999998</v>
      </c>
      <c r="F3013" t="s">
        <v>43</v>
      </c>
      <c r="G3013">
        <v>-488.55270000000002</v>
      </c>
      <c r="H3013" s="1">
        <v>-6.3284119999999995E-7</v>
      </c>
      <c r="I3013">
        <v>230.37610000000001</v>
      </c>
      <c r="J3013">
        <v>-491.7604</v>
      </c>
      <c r="K3013">
        <v>1.110946</v>
      </c>
      <c r="L3013">
        <v>259.78050000000002</v>
      </c>
      <c r="M3013">
        <v>-0.109802</v>
      </c>
      <c r="N3013">
        <v>0</v>
      </c>
      <c r="O3013">
        <v>-0.9938707</v>
      </c>
      <c r="P3013">
        <v>-8.0537399999999995E-2</v>
      </c>
      <c r="Q3013">
        <v>-6.824938E-3</v>
      </c>
      <c r="R3013">
        <v>-0.99672819999999995</v>
      </c>
      <c r="S3013">
        <v>0.3297119</v>
      </c>
      <c r="T3013">
        <v>-0.11443440000000001</v>
      </c>
      <c r="U3013">
        <v>-3.036041</v>
      </c>
      <c r="V3013">
        <v>-2.9406849999999998E-2</v>
      </c>
      <c r="W3013">
        <v>5.9693139999999999E-3</v>
      </c>
      <c r="X3013">
        <v>0.99954969999999999</v>
      </c>
      <c r="Y3013">
        <v>-0.2164064</v>
      </c>
      <c r="Z3013">
        <v>3.6768660000000002E-2</v>
      </c>
      <c r="AA3013">
        <v>0.97561070000000005</v>
      </c>
      <c r="AB3013">
        <v>14</v>
      </c>
      <c r="AC3013">
        <v>3.20769999999998</v>
      </c>
      <c r="AD3013">
        <v>-1.1109466328411901</v>
      </c>
      <c r="AE3013">
        <v>-29.404399999999999</v>
      </c>
      <c r="AF3013">
        <v>-6.4081891706155503</v>
      </c>
      <c r="AG3013">
        <v>-1.1109466328411901</v>
      </c>
      <c r="AH3013">
        <v>28.833660861814099</v>
      </c>
      <c r="AI3013">
        <v>92.153982460704199</v>
      </c>
      <c r="AJ3013">
        <v>102.530150227134</v>
      </c>
      <c r="AK3013">
        <v>29.558063021137301</v>
      </c>
      <c r="AL3013">
        <v>89.657981469727005</v>
      </c>
      <c r="AM3013">
        <v>91.685161360250902</v>
      </c>
      <c r="AN3013">
        <v>0.99999999915332105</v>
      </c>
    </row>
    <row r="3014" spans="1:40" x14ac:dyDescent="0.25">
      <c r="A3014" t="str">
        <f>"20190312154312892"</f>
        <v>20190312154312892</v>
      </c>
      <c r="B3014" t="str">
        <f>"1552376592880455"</f>
        <v>1552376592880455</v>
      </c>
      <c r="C3014" t="s">
        <v>40</v>
      </c>
      <c r="D3014">
        <v>4.7527140000000001</v>
      </c>
      <c r="E3014">
        <v>0.42862519999999998</v>
      </c>
      <c r="F3014" t="s">
        <v>49</v>
      </c>
      <c r="G3014">
        <v>-488.45139999999998</v>
      </c>
      <c r="H3014" s="1">
        <v>6.1735780000000003E-6</v>
      </c>
      <c r="I3014">
        <v>229.42760000000001</v>
      </c>
      <c r="J3014">
        <v>-491.76799999999997</v>
      </c>
      <c r="K3014">
        <v>1.1109209999999901</v>
      </c>
      <c r="L3014">
        <v>259.70100000000002</v>
      </c>
      <c r="M3014">
        <v>-0.1087863</v>
      </c>
      <c r="N3014">
        <v>0</v>
      </c>
      <c r="O3014">
        <v>-0.99398149999999996</v>
      </c>
      <c r="P3014">
        <v>-7.9856380000000005E-2</v>
      </c>
      <c r="Q3014">
        <v>-6.4626950000000001E-3</v>
      </c>
      <c r="R3014">
        <v>-0.99678540000000004</v>
      </c>
      <c r="S3014">
        <v>0.33096310000000001</v>
      </c>
      <c r="T3014">
        <v>-0.1111137</v>
      </c>
      <c r="U3014">
        <v>-3.035828</v>
      </c>
      <c r="V3014">
        <v>-2.906837E-2</v>
      </c>
      <c r="W3014">
        <v>6.3994129999999996E-3</v>
      </c>
      <c r="X3014">
        <v>0.99955700000000003</v>
      </c>
      <c r="Y3014">
        <v>-0.2158178</v>
      </c>
      <c r="Z3014">
        <v>3.5713340000000003E-2</v>
      </c>
      <c r="AA3014">
        <v>0.97578030000000004</v>
      </c>
      <c r="AB3014">
        <v>14</v>
      </c>
      <c r="AC3014">
        <v>3.31660000000005</v>
      </c>
      <c r="AD3014">
        <v>-1.1109148264219999</v>
      </c>
      <c r="AE3014">
        <v>-30.273399999999899</v>
      </c>
      <c r="AF3014">
        <v>-6.5817604085530403</v>
      </c>
      <c r="AG3014">
        <v>-1.1109148264219999</v>
      </c>
      <c r="AH3014">
        <v>29.693360660881101</v>
      </c>
      <c r="AI3014">
        <v>92.091875926343207</v>
      </c>
      <c r="AJ3014">
        <v>102.49797841061999</v>
      </c>
      <c r="AK3014">
        <v>30.434345223190199</v>
      </c>
      <c r="AL3014">
        <v>89.633338162883504</v>
      </c>
      <c r="AM3014">
        <v>91.665763575972406</v>
      </c>
      <c r="AN3014">
        <v>1.00000005943509</v>
      </c>
    </row>
    <row r="3015" spans="1:40" x14ac:dyDescent="0.25">
      <c r="A3015" t="str">
        <f>"20190312154312908"</f>
        <v>20190312154312908</v>
      </c>
      <c r="B3015" t="str">
        <f>"1552376592899974"</f>
        <v>1552376592899974</v>
      </c>
      <c r="C3015" t="s">
        <v>40</v>
      </c>
      <c r="D3015">
        <v>4.7634410000000003</v>
      </c>
      <c r="E3015">
        <v>0.429031</v>
      </c>
      <c r="F3015" t="s">
        <v>49</v>
      </c>
      <c r="G3015">
        <v>-488.35289999999998</v>
      </c>
      <c r="H3015" s="1">
        <v>5.8471310000000001E-6</v>
      </c>
      <c r="I3015">
        <v>228.45840000000001</v>
      </c>
      <c r="J3015">
        <v>-491.77789999999999</v>
      </c>
      <c r="K3015">
        <v>1.110895</v>
      </c>
      <c r="L3015">
        <v>259.59730000000002</v>
      </c>
      <c r="M3015">
        <v>-0.1075385</v>
      </c>
      <c r="N3015">
        <v>0</v>
      </c>
      <c r="O3015">
        <v>-0.99411640000000001</v>
      </c>
      <c r="P3015">
        <v>-7.9037759999999999E-2</v>
      </c>
      <c r="Q3015">
        <v>-5.2352309999999999E-3</v>
      </c>
      <c r="R3015">
        <v>-0.99685809999999997</v>
      </c>
      <c r="S3015">
        <v>0.33181759999999999</v>
      </c>
      <c r="T3015">
        <v>-0.1079386</v>
      </c>
      <c r="U3015">
        <v>-3.0355829999999999</v>
      </c>
      <c r="V3015">
        <v>-2.8635810000000001E-2</v>
      </c>
      <c r="W3015">
        <v>7.7073459999999899E-3</v>
      </c>
      <c r="X3015">
        <v>0.99956020000000001</v>
      </c>
      <c r="Y3015">
        <v>-0.21487590000000001</v>
      </c>
      <c r="Z3015">
        <v>3.4707300000000003E-2</v>
      </c>
      <c r="AA3015">
        <v>0.97602440000000001</v>
      </c>
      <c r="AB3015">
        <v>14</v>
      </c>
      <c r="AC3015">
        <v>3.42500000000001</v>
      </c>
      <c r="AD3015">
        <v>-1.1108891528689999</v>
      </c>
      <c r="AE3015">
        <v>-31.1389</v>
      </c>
      <c r="AF3015">
        <v>-6.74556418284996</v>
      </c>
      <c r="AG3015">
        <v>-1.1108891528689999</v>
      </c>
      <c r="AH3015">
        <v>30.551523373554598</v>
      </c>
      <c r="AI3015">
        <v>92.033490687390696</v>
      </c>
      <c r="AJ3015">
        <v>102.45075231176899</v>
      </c>
      <c r="AK3015">
        <v>31.307064558973899</v>
      </c>
      <c r="AL3015">
        <v>89.558397232151293</v>
      </c>
      <c r="AM3015">
        <v>91.640984120650401</v>
      </c>
      <c r="AN3015">
        <v>1.00000000311038</v>
      </c>
    </row>
    <row r="3016" spans="1:40" x14ac:dyDescent="0.25">
      <c r="A3016" t="str">
        <f>"20190312154312919"</f>
        <v>20190312154312919</v>
      </c>
      <c r="B3016" t="str">
        <f>"1552376592910710"</f>
        <v>1552376592910710</v>
      </c>
      <c r="C3016" t="s">
        <v>40</v>
      </c>
      <c r="D3016">
        <v>4.7855449999999999</v>
      </c>
      <c r="E3016">
        <v>0.42926019999999998</v>
      </c>
      <c r="F3016" t="s">
        <v>49</v>
      </c>
      <c r="G3016">
        <v>-488.21170000000001</v>
      </c>
      <c r="H3016" s="1">
        <v>5.3340390000000001E-6</v>
      </c>
      <c r="I3016">
        <v>226.92339999999999</v>
      </c>
      <c r="J3016">
        <v>-491.78449999999998</v>
      </c>
      <c r="K3016">
        <v>1.1108819999999999</v>
      </c>
      <c r="L3016">
        <v>259.52780000000001</v>
      </c>
      <c r="M3016">
        <v>-0.1067583</v>
      </c>
      <c r="N3016">
        <v>0</v>
      </c>
      <c r="O3016">
        <v>-0.99419990000000003</v>
      </c>
      <c r="P3016">
        <v>-7.8643630000000006E-2</v>
      </c>
      <c r="Q3016">
        <v>-4.6970780000000004E-3</v>
      </c>
      <c r="R3016">
        <v>-0.99689179999999999</v>
      </c>
      <c r="S3016">
        <v>0.33126830000000002</v>
      </c>
      <c r="T3016">
        <v>-0.1031932</v>
      </c>
      <c r="U3016">
        <v>-3.0351560000000002</v>
      </c>
      <c r="V3016">
        <v>-2.824722E-2</v>
      </c>
      <c r="W3016">
        <v>8.2924060000000004E-3</v>
      </c>
      <c r="X3016">
        <v>0.99956659999999997</v>
      </c>
      <c r="Y3016">
        <v>-0.21395549999999999</v>
      </c>
      <c r="Z3016">
        <v>3.3195870000000002E-2</v>
      </c>
      <c r="AA3016">
        <v>0.97627920000000001</v>
      </c>
      <c r="AB3016">
        <v>14</v>
      </c>
      <c r="AC3016">
        <v>3.5727999999999698</v>
      </c>
      <c r="AD3016">
        <v>-1.1108766659610001</v>
      </c>
      <c r="AE3016">
        <v>-32.604399999999998</v>
      </c>
      <c r="AF3016">
        <v>-7.0254041288492104</v>
      </c>
      <c r="AG3016">
        <v>-1.1108766659610001</v>
      </c>
      <c r="AH3016">
        <v>31.999869410277899</v>
      </c>
      <c r="AI3016">
        <v>91.942011764230799</v>
      </c>
      <c r="AJ3016">
        <v>102.38253779206801</v>
      </c>
      <c r="AK3016">
        <v>32.780817445809198</v>
      </c>
      <c r="AL3016">
        <v>89.524874702437998</v>
      </c>
      <c r="AM3016">
        <v>91.618717418311206</v>
      </c>
      <c r="AN3016">
        <v>1.0000000286352699</v>
      </c>
    </row>
    <row r="3017" spans="1:40" x14ac:dyDescent="0.25">
      <c r="A3017" t="str">
        <f>"20190312154312934"</f>
        <v>20190312154312934</v>
      </c>
      <c r="B3017" t="str">
        <f>"1552376592920471"</f>
        <v>1552376592920471</v>
      </c>
      <c r="C3017" t="s">
        <v>40</v>
      </c>
      <c r="D3017">
        <v>4.8275790000000001</v>
      </c>
      <c r="E3017">
        <v>0.42951879999999998</v>
      </c>
      <c r="F3017" t="s">
        <v>49</v>
      </c>
      <c r="G3017">
        <v>-488.17689999999999</v>
      </c>
      <c r="H3017" s="1">
        <v>5.1786940000000003E-6</v>
      </c>
      <c r="I3017">
        <v>226.45189999999999</v>
      </c>
      <c r="J3017">
        <v>-491.79250000000002</v>
      </c>
      <c r="K3017">
        <v>1.110868</v>
      </c>
      <c r="L3017">
        <v>259.44260000000003</v>
      </c>
      <c r="M3017">
        <v>-0.1058279</v>
      </c>
      <c r="N3017">
        <v>0</v>
      </c>
      <c r="O3017">
        <v>-0.99429889999999999</v>
      </c>
      <c r="P3017">
        <v>-7.8047770000000002E-2</v>
      </c>
      <c r="Q3017">
        <v>-4.1186800000000004E-3</v>
      </c>
      <c r="R3017">
        <v>-0.99694139999999998</v>
      </c>
      <c r="S3017">
        <v>0.33102419999999999</v>
      </c>
      <c r="T3017">
        <v>-0.1019306</v>
      </c>
      <c r="U3017">
        <v>-3.0349430000000002</v>
      </c>
      <c r="V3017">
        <v>-2.790962E-2</v>
      </c>
      <c r="W3017">
        <v>8.9256230000000006E-3</v>
      </c>
      <c r="X3017">
        <v>0.99957059999999998</v>
      </c>
      <c r="Y3017">
        <v>-0.21297260000000001</v>
      </c>
      <c r="Z3017">
        <v>3.2801230000000001E-2</v>
      </c>
      <c r="AA3017">
        <v>0.97650740000000003</v>
      </c>
      <c r="AB3017">
        <v>14</v>
      </c>
      <c r="AC3017">
        <v>3.6156000000000201</v>
      </c>
      <c r="AD3017">
        <v>-1.1108628213059999</v>
      </c>
      <c r="AE3017">
        <v>-32.990699999999997</v>
      </c>
      <c r="AF3017">
        <v>-7.0789956279790598</v>
      </c>
      <c r="AG3017">
        <v>-1.1108628213059999</v>
      </c>
      <c r="AH3017">
        <v>32.386459820825301</v>
      </c>
      <c r="AI3017">
        <v>91.919211082263303</v>
      </c>
      <c r="AJ3017">
        <v>102.329729402054</v>
      </c>
      <c r="AK3017">
        <v>33.1696996524635</v>
      </c>
      <c r="AL3017">
        <v>89.488592681555701</v>
      </c>
      <c r="AM3017">
        <v>91.599374837291904</v>
      </c>
      <c r="AN3017">
        <v>0.99999999900942105</v>
      </c>
    </row>
    <row r="3018" spans="1:40" x14ac:dyDescent="0.25">
      <c r="A3018" t="str">
        <f>"20190312154312954"</f>
        <v>20190312154312954</v>
      </c>
      <c r="B3018" t="str">
        <f>"1552376592950727"</f>
        <v>1552376592950727</v>
      </c>
      <c r="C3018" t="s">
        <v>40</v>
      </c>
      <c r="D3018">
        <v>4.8278670000000004</v>
      </c>
      <c r="E3018">
        <v>0.4302569</v>
      </c>
      <c r="F3018" t="s">
        <v>49</v>
      </c>
      <c r="G3018">
        <v>-488.12549999999999</v>
      </c>
      <c r="H3018" s="1">
        <v>4.963263E-6</v>
      </c>
      <c r="I3018">
        <v>225.8005</v>
      </c>
      <c r="J3018">
        <v>-491.80380000000002</v>
      </c>
      <c r="K3018">
        <v>1.110854</v>
      </c>
      <c r="L3018">
        <v>259.3229</v>
      </c>
      <c r="M3018">
        <v>-0.1045927</v>
      </c>
      <c r="N3018">
        <v>0</v>
      </c>
      <c r="O3018">
        <v>-0.9944286</v>
      </c>
      <c r="P3018">
        <v>-7.7829560000000006E-2</v>
      </c>
      <c r="Q3018">
        <v>-3.6384939999999999E-3</v>
      </c>
      <c r="R3018">
        <v>-0.99696019999999996</v>
      </c>
      <c r="S3018">
        <v>0.33078000000000002</v>
      </c>
      <c r="T3018">
        <v>-0.100206</v>
      </c>
      <c r="U3018">
        <v>-3.0346980000000001</v>
      </c>
      <c r="V3018">
        <v>-2.6886609999999998E-2</v>
      </c>
      <c r="W3018">
        <v>9.4753919999999991E-3</v>
      </c>
      <c r="X3018">
        <v>0.99959359999999997</v>
      </c>
      <c r="Y3018">
        <v>-0.2116915</v>
      </c>
      <c r="Z3018">
        <v>3.2260619999999997E-2</v>
      </c>
      <c r="AA3018">
        <v>0.97680400000000001</v>
      </c>
      <c r="AB3018">
        <v>14</v>
      </c>
      <c r="AC3018">
        <v>3.6783000000000299</v>
      </c>
      <c r="AD3018">
        <v>-1.1108490367370001</v>
      </c>
      <c r="AE3018">
        <v>-33.522399999999998</v>
      </c>
      <c r="AF3018">
        <v>-7.1568562710319403</v>
      </c>
      <c r="AG3018">
        <v>-1.1108490367370001</v>
      </c>
      <c r="AH3018">
        <v>32.918029113790503</v>
      </c>
      <c r="AI3018">
        <v>91.888675614060105</v>
      </c>
      <c r="AJ3018">
        <v>102.266041814357</v>
      </c>
      <c r="AK3018">
        <v>33.705358891472898</v>
      </c>
      <c r="AL3018">
        <v>89.457091915288899</v>
      </c>
      <c r="AM3018">
        <v>91.540744094771796</v>
      </c>
      <c r="AN3018">
        <v>1.0000000190059</v>
      </c>
    </row>
    <row r="3019" spans="1:40" x14ac:dyDescent="0.25">
      <c r="A3019" t="str">
        <f>"20190312154312976"</f>
        <v>20190312154312976</v>
      </c>
      <c r="B3019" t="str">
        <f>"1552376592970247"</f>
        <v>1552376592970247</v>
      </c>
      <c r="C3019" t="s">
        <v>40</v>
      </c>
      <c r="D3019">
        <v>4.8505379999999896</v>
      </c>
      <c r="E3019">
        <v>0.43601380000000001</v>
      </c>
      <c r="F3019" t="s">
        <v>49</v>
      </c>
      <c r="G3019">
        <v>-488.25920000000002</v>
      </c>
      <c r="H3019" s="1">
        <v>5.1716639999999998E-6</v>
      </c>
      <c r="I3019">
        <v>226.35849999999999</v>
      </c>
      <c r="J3019">
        <v>-491.81659999999999</v>
      </c>
      <c r="K3019">
        <v>1.1108439999999999</v>
      </c>
      <c r="L3019">
        <v>259.18630000000002</v>
      </c>
      <c r="M3019">
        <v>-0.1032739</v>
      </c>
      <c r="N3019">
        <v>0</v>
      </c>
      <c r="O3019">
        <v>-0.99456540000000004</v>
      </c>
      <c r="P3019">
        <v>-7.802547E-2</v>
      </c>
      <c r="Q3019">
        <v>-3.7522340000000001E-3</v>
      </c>
      <c r="R3019">
        <v>-0.99694439999999995</v>
      </c>
      <c r="S3019">
        <v>0.32626339999999998</v>
      </c>
      <c r="T3019">
        <v>-0.1022482</v>
      </c>
      <c r="U3019">
        <v>-3.0342099999999999</v>
      </c>
      <c r="V3019">
        <v>-2.5364190000000002E-2</v>
      </c>
      <c r="W3019">
        <v>9.4296169999999995E-3</v>
      </c>
      <c r="X3019">
        <v>0.99963380000000002</v>
      </c>
      <c r="Y3019">
        <v>-0.2089722</v>
      </c>
      <c r="Z3019">
        <v>3.2942029999999997E-2</v>
      </c>
      <c r="AA3019">
        <v>0.97736659999999997</v>
      </c>
      <c r="AB3019">
        <v>14</v>
      </c>
      <c r="AC3019">
        <v>3.5573999999999701</v>
      </c>
      <c r="AD3019">
        <v>-1.110838828336</v>
      </c>
      <c r="AE3019">
        <v>-32.827800000000003</v>
      </c>
      <c r="AF3019">
        <v>-6.9210924020071998</v>
      </c>
      <c r="AG3019">
        <v>-1.110838828336</v>
      </c>
      <c r="AH3019">
        <v>32.248322204977001</v>
      </c>
      <c r="AI3019">
        <v>91.928962967860002</v>
      </c>
      <c r="AJ3019">
        <v>102.11299591102799</v>
      </c>
      <c r="AK3019">
        <v>33.001360092815403</v>
      </c>
      <c r="AL3019">
        <v>89.459714734810802</v>
      </c>
      <c r="AM3019">
        <v>91.4534815467334</v>
      </c>
      <c r="AN3019">
        <v>0.99999999695678099</v>
      </c>
    </row>
    <row r="3020" spans="1:40" x14ac:dyDescent="0.25">
      <c r="A3020" t="str">
        <f>"20190312154312990"</f>
        <v>20190312154312990</v>
      </c>
      <c r="B3020" t="str">
        <f>"1552376592980007"</f>
        <v>1552376592980007</v>
      </c>
      <c r="C3020" t="s">
        <v>40</v>
      </c>
      <c r="D3020">
        <v>4.8352930000000001</v>
      </c>
      <c r="E3020">
        <v>0.43570819999999999</v>
      </c>
      <c r="F3020" t="s">
        <v>49</v>
      </c>
      <c r="G3020">
        <v>-489.04860000000002</v>
      </c>
      <c r="H3020" s="1">
        <v>6.2673839999999999E-6</v>
      </c>
      <c r="I3020">
        <v>229.2174</v>
      </c>
      <c r="J3020">
        <v>-491.82459999999998</v>
      </c>
      <c r="K3020">
        <v>1.11084</v>
      </c>
      <c r="L3020">
        <v>259.09989999999999</v>
      </c>
      <c r="M3020">
        <v>-0.1024771</v>
      </c>
      <c r="N3020">
        <v>0</v>
      </c>
      <c r="O3020">
        <v>-0.99464759999999997</v>
      </c>
      <c r="P3020">
        <v>-7.7995330000000002E-2</v>
      </c>
      <c r="Q3020">
        <v>-3.8903610000000002E-3</v>
      </c>
      <c r="R3020">
        <v>-0.99694629999999995</v>
      </c>
      <c r="S3020">
        <v>0.27990720000000002</v>
      </c>
      <c r="T3020">
        <v>-0.1123348</v>
      </c>
      <c r="U3020">
        <v>-3.03064</v>
      </c>
      <c r="V3020">
        <v>-2.4593440000000001E-2</v>
      </c>
      <c r="W3020">
        <v>9.3304400000000006E-3</v>
      </c>
      <c r="X3020">
        <v>0.99965400000000004</v>
      </c>
      <c r="Y3020">
        <v>-0.19347349999999999</v>
      </c>
      <c r="Z3020">
        <v>3.6320810000000002E-2</v>
      </c>
      <c r="AA3020">
        <v>0.980433</v>
      </c>
      <c r="AB3020">
        <v>14</v>
      </c>
      <c r="AC3020">
        <v>2.7759999999999501</v>
      </c>
      <c r="AD3020">
        <v>-1.110833732616</v>
      </c>
      <c r="AE3020">
        <v>-29.8825</v>
      </c>
      <c r="AF3020">
        <v>-5.8159540419962701</v>
      </c>
      <c r="AG3020">
        <v>-1.110833732616</v>
      </c>
      <c r="AH3020">
        <v>29.400371087780599</v>
      </c>
      <c r="AI3020">
        <v>92.122680749100994</v>
      </c>
      <c r="AJ3020">
        <v>101.189730186608</v>
      </c>
      <c r="AK3020">
        <v>29.990683438350199</v>
      </c>
      <c r="AL3020">
        <v>89.465397413756193</v>
      </c>
      <c r="AM3020">
        <v>91.409303749168203</v>
      </c>
      <c r="AN3020">
        <v>1.00000000705881</v>
      </c>
    </row>
    <row r="3021" spans="1:40" x14ac:dyDescent="0.25">
      <c r="A3021" t="str">
        <f>"20190312154313009"</f>
        <v>20190312154313009</v>
      </c>
      <c r="B3021" t="str">
        <f>"1552376593000503"</f>
        <v>1552376593000503</v>
      </c>
      <c r="C3021" t="s">
        <v>40</v>
      </c>
      <c r="D3021">
        <v>4.8078059999999896</v>
      </c>
      <c r="E3021">
        <v>0.43650830000000002</v>
      </c>
      <c r="F3021" t="s">
        <v>43</v>
      </c>
      <c r="G3021">
        <v>-489.08330000000001</v>
      </c>
      <c r="H3021" s="1">
        <v>-2.676567E-7</v>
      </c>
      <c r="I3021">
        <v>229.71780000000001</v>
      </c>
      <c r="J3021">
        <v>-491.83530000000002</v>
      </c>
      <c r="K3021">
        <v>1.11084</v>
      </c>
      <c r="L3021">
        <v>258.9846</v>
      </c>
      <c r="M3021">
        <v>-0.1014631</v>
      </c>
      <c r="N3021">
        <v>0</v>
      </c>
      <c r="O3021">
        <v>-0.99475089999999999</v>
      </c>
      <c r="P3021">
        <v>-7.9007190000000005E-2</v>
      </c>
      <c r="Q3021">
        <v>-3.763429E-3</v>
      </c>
      <c r="R3021">
        <v>-0.99686719999999895</v>
      </c>
      <c r="S3021">
        <v>0.28277590000000002</v>
      </c>
      <c r="T3021">
        <v>-0.1145868</v>
      </c>
      <c r="U3021">
        <v>-3.030853</v>
      </c>
      <c r="V3021">
        <v>-2.2559880000000001E-2</v>
      </c>
      <c r="W3021">
        <v>9.5035239999999993E-3</v>
      </c>
      <c r="X3021">
        <v>0.99970029999999999</v>
      </c>
      <c r="Y3021">
        <v>-0.19338459999999999</v>
      </c>
      <c r="Z3021">
        <v>3.704992E-2</v>
      </c>
      <c r="AA3021">
        <v>0.98042320000000005</v>
      </c>
      <c r="AB3021">
        <v>14</v>
      </c>
      <c r="AC3021">
        <v>2.7519999999999998</v>
      </c>
      <c r="AD3021">
        <v>-1.1108402676567</v>
      </c>
      <c r="AE3021">
        <v>-29.2667999999999</v>
      </c>
      <c r="AF3021">
        <v>-5.6994178989923601</v>
      </c>
      <c r="AG3021">
        <v>-1.1108402676567</v>
      </c>
      <c r="AH3021">
        <v>28.7953653550877</v>
      </c>
      <c r="AI3021">
        <v>92.167204995009001</v>
      </c>
      <c r="AJ3021">
        <v>101.19575319774199</v>
      </c>
      <c r="AK3021">
        <v>29.3749961092863</v>
      </c>
      <c r="AL3021">
        <v>89.4554799752637</v>
      </c>
      <c r="AM3021">
        <v>91.292753997796595</v>
      </c>
      <c r="AN3021">
        <v>0.99999997748706104</v>
      </c>
    </row>
    <row r="3022" spans="1:40" x14ac:dyDescent="0.25">
      <c r="A3022" t="str">
        <f>"20190312154313020"</f>
        <v>20190312154313020</v>
      </c>
      <c r="B3022" t="str">
        <f>"1552376593010263"</f>
        <v>1552376593010263</v>
      </c>
      <c r="C3022" t="s">
        <v>40</v>
      </c>
      <c r="D3022">
        <v>4.84023</v>
      </c>
      <c r="E3022">
        <v>0.43667099999999998</v>
      </c>
      <c r="F3022" t="s">
        <v>43</v>
      </c>
      <c r="G3022">
        <v>-489.35939999999999</v>
      </c>
      <c r="H3022" s="1">
        <v>-9.5409910000000002E-7</v>
      </c>
      <c r="I3022">
        <v>231.59190000000001</v>
      </c>
      <c r="J3022">
        <v>-491.84210000000002</v>
      </c>
      <c r="K3022">
        <v>1.1108420000000001</v>
      </c>
      <c r="L3022">
        <v>258.91030000000001</v>
      </c>
      <c r="M3022">
        <v>-0.1008375</v>
      </c>
      <c r="N3022">
        <v>0</v>
      </c>
      <c r="O3022">
        <v>-0.99481419999999998</v>
      </c>
      <c r="P3022">
        <v>-7.9527210000000001E-2</v>
      </c>
      <c r="Q3022">
        <v>-3.8368600000000001E-3</v>
      </c>
      <c r="R3022">
        <v>-0.99682570000000004</v>
      </c>
      <c r="S3022">
        <v>0.2739258</v>
      </c>
      <c r="T3022">
        <v>-0.1229026</v>
      </c>
      <c r="U3022">
        <v>-3.0307010000000001</v>
      </c>
      <c r="V3022">
        <v>-2.1409129999999998E-2</v>
      </c>
      <c r="W3022">
        <v>9.4567950000000005E-3</v>
      </c>
      <c r="X3022">
        <v>0.99972609999999995</v>
      </c>
      <c r="Y3022">
        <v>-0.18992249999999999</v>
      </c>
      <c r="Z3022">
        <v>3.9759290000000003E-2</v>
      </c>
      <c r="AA3022">
        <v>0.98099369999999997</v>
      </c>
      <c r="AB3022">
        <v>14</v>
      </c>
      <c r="AC3022">
        <v>2.4827000000000199</v>
      </c>
      <c r="AD3022">
        <v>-1.1108429540991001</v>
      </c>
      <c r="AE3022">
        <v>-27.3184</v>
      </c>
      <c r="AF3022">
        <v>-5.2164509559415002</v>
      </c>
      <c r="AG3022">
        <v>-1.1108429540991001</v>
      </c>
      <c r="AH3022">
        <v>26.884670924814898</v>
      </c>
      <c r="AI3022">
        <v>92.322777193141405</v>
      </c>
      <c r="AJ3022">
        <v>100.980695747355</v>
      </c>
      <c r="AK3022">
        <v>27.408591050617702</v>
      </c>
      <c r="AL3022">
        <v>89.458157497724102</v>
      </c>
      <c r="AM3022">
        <v>91.226801349360898</v>
      </c>
      <c r="AN3022">
        <v>1.00000002842011</v>
      </c>
    </row>
    <row r="3023" spans="1:40" x14ac:dyDescent="0.25">
      <c r="A3023" t="str">
        <f>"20190312154313032"</f>
        <v>20190312154313032</v>
      </c>
      <c r="B3023" t="str">
        <f>"1552376593020023"</f>
        <v>1552376593020023</v>
      </c>
      <c r="C3023" t="s">
        <v>40</v>
      </c>
      <c r="D3023">
        <v>4.8188459999999997</v>
      </c>
      <c r="E3023">
        <v>0.43703160000000002</v>
      </c>
      <c r="F3023" t="s">
        <v>43</v>
      </c>
      <c r="G3023">
        <v>-489.44580000000002</v>
      </c>
      <c r="H3023" s="1">
        <v>-1.167973E-6</v>
      </c>
      <c r="I3023">
        <v>232.12620000000001</v>
      </c>
      <c r="J3023">
        <v>-491.84840000000003</v>
      </c>
      <c r="K3023">
        <v>1.1108450000000001</v>
      </c>
      <c r="L3023">
        <v>258.84120000000001</v>
      </c>
      <c r="M3023">
        <v>-0.10026450000000001</v>
      </c>
      <c r="N3023">
        <v>0</v>
      </c>
      <c r="O3023">
        <v>-0.99487159999999997</v>
      </c>
      <c r="P3023">
        <v>-8.0263089999999995E-2</v>
      </c>
      <c r="Q3023">
        <v>-3.8218760000000001E-3</v>
      </c>
      <c r="R3023">
        <v>-0.99676670000000001</v>
      </c>
      <c r="S3023">
        <v>0.27114870000000002</v>
      </c>
      <c r="T3023">
        <v>-0.125695</v>
      </c>
      <c r="U3023">
        <v>-3.0307010000000001</v>
      </c>
      <c r="V3023">
        <v>-2.0095780000000001E-2</v>
      </c>
      <c r="W3023">
        <v>9.4949409999999998E-3</v>
      </c>
      <c r="X3023">
        <v>0.999753</v>
      </c>
      <c r="Y3023">
        <v>-0.18846189999999999</v>
      </c>
      <c r="Z3023">
        <v>4.0672180000000002E-2</v>
      </c>
      <c r="AA3023">
        <v>0.9812379</v>
      </c>
      <c r="AB3023">
        <v>14</v>
      </c>
      <c r="AC3023">
        <v>2.4026000000000001</v>
      </c>
      <c r="AD3023">
        <v>-1.110846167973</v>
      </c>
      <c r="AE3023">
        <v>-26.715</v>
      </c>
      <c r="AF3023">
        <v>-5.0606149678132999</v>
      </c>
      <c r="AG3023">
        <v>-1.110846167973</v>
      </c>
      <c r="AH3023">
        <v>26.294339016848699</v>
      </c>
      <c r="AI3023">
        <v>92.375567553920803</v>
      </c>
      <c r="AJ3023">
        <v>100.893955802619</v>
      </c>
      <c r="AK3023">
        <v>26.799926630390701</v>
      </c>
      <c r="AL3023">
        <v>89.455971794426802</v>
      </c>
      <c r="AM3023">
        <v>91.151532775214903</v>
      </c>
      <c r="AN3023">
        <v>1.0000000276437</v>
      </c>
    </row>
    <row r="3024" spans="1:40" x14ac:dyDescent="0.25">
      <c r="A3024" t="str">
        <f>"20190312154313044"</f>
        <v>20190312154313044</v>
      </c>
      <c r="B3024" t="str">
        <f>"1552376593040518"</f>
        <v>1552376593040518</v>
      </c>
      <c r="C3024" t="s">
        <v>40</v>
      </c>
      <c r="D3024">
        <v>4.8573180000000002</v>
      </c>
      <c r="E3024">
        <v>0.437226</v>
      </c>
      <c r="F3024" t="s">
        <v>43</v>
      </c>
      <c r="G3024">
        <v>-489.5403</v>
      </c>
      <c r="H3024" s="1">
        <v>-1.321024E-6</v>
      </c>
      <c r="I3024">
        <v>232.52199999999999</v>
      </c>
      <c r="J3024">
        <v>-491.85509999999999</v>
      </c>
      <c r="K3024">
        <v>1.110851</v>
      </c>
      <c r="L3024">
        <v>258.7681</v>
      </c>
      <c r="M3024">
        <v>-9.9670259999999997E-2</v>
      </c>
      <c r="N3024">
        <v>0</v>
      </c>
      <c r="O3024">
        <v>-0.99493109999999996</v>
      </c>
      <c r="P3024">
        <v>-8.0883590000000005E-2</v>
      </c>
      <c r="Q3024">
        <v>-3.7911120000000001E-3</v>
      </c>
      <c r="R3024">
        <v>-0.9967163</v>
      </c>
      <c r="S3024">
        <v>0.2657776</v>
      </c>
      <c r="T3024">
        <v>-0.1279131</v>
      </c>
      <c r="U3024">
        <v>-3.03064</v>
      </c>
      <c r="V3024">
        <v>-1.8876299999999999E-2</v>
      </c>
      <c r="W3024">
        <v>9.5488199999999995E-3</v>
      </c>
      <c r="X3024">
        <v>0.9997762</v>
      </c>
      <c r="Y3024">
        <v>-0.18614839999999999</v>
      </c>
      <c r="Z3024">
        <v>4.1405789999999998E-2</v>
      </c>
      <c r="AA3024">
        <v>0.98164879999999999</v>
      </c>
      <c r="AB3024">
        <v>14</v>
      </c>
      <c r="AC3024">
        <v>2.3147999999999902</v>
      </c>
      <c r="AD3024">
        <v>-1.110852321024</v>
      </c>
      <c r="AE3024">
        <v>-26.246099999999899</v>
      </c>
      <c r="AF3024">
        <v>-4.9107308460584198</v>
      </c>
      <c r="AG3024">
        <v>-1.110852321024</v>
      </c>
      <c r="AH3024">
        <v>25.838718348287699</v>
      </c>
      <c r="AI3024">
        <v>92.418493235670695</v>
      </c>
      <c r="AJ3024">
        <v>100.76090843513001</v>
      </c>
      <c r="AK3024">
        <v>26.324677323828499</v>
      </c>
      <c r="AL3024">
        <v>89.452884585013905</v>
      </c>
      <c r="AM3024">
        <v>91.081645909852398</v>
      </c>
      <c r="AN3024">
        <v>0.99999997237575999</v>
      </c>
    </row>
    <row r="3025" spans="1:40" x14ac:dyDescent="0.25">
      <c r="A3025" t="str">
        <f>"20190312154313057"</f>
        <v>20190312154313057</v>
      </c>
      <c r="B3025" t="str">
        <f>"1552376593050279"</f>
        <v>1552376593050279</v>
      </c>
      <c r="C3025" t="s">
        <v>40</v>
      </c>
      <c r="D3025">
        <v>4.8479729999999996</v>
      </c>
      <c r="E3025">
        <v>0.4372317</v>
      </c>
      <c r="F3025" t="s">
        <v>43</v>
      </c>
      <c r="G3025">
        <v>-489.64030000000002</v>
      </c>
      <c r="H3025" s="1">
        <v>-1.6186559999999999E-6</v>
      </c>
      <c r="I3025">
        <v>233.25720000000001</v>
      </c>
      <c r="J3025">
        <v>-491.86180000000002</v>
      </c>
      <c r="K3025">
        <v>1.1108549999999999</v>
      </c>
      <c r="L3025">
        <v>258.69409999999999</v>
      </c>
      <c r="M3025">
        <v>-9.9082320000000002E-2</v>
      </c>
      <c r="N3025">
        <v>0</v>
      </c>
      <c r="O3025">
        <v>-0.99498940000000002</v>
      </c>
      <c r="P3025">
        <v>-8.1542519999999993E-2</v>
      </c>
      <c r="Q3025">
        <v>-3.9474030000000004E-3</v>
      </c>
      <c r="R3025">
        <v>-0.9966621</v>
      </c>
      <c r="S3025">
        <v>0.26312259999999998</v>
      </c>
      <c r="T3025">
        <v>-0.131970899999999</v>
      </c>
      <c r="U3025">
        <v>-3.0307309999999998</v>
      </c>
      <c r="V3025">
        <v>-1.7624419999999998E-2</v>
      </c>
      <c r="W3025">
        <v>9.4138829999999996E-3</v>
      </c>
      <c r="X3025">
        <v>0.99980040000000003</v>
      </c>
      <c r="Y3025">
        <v>-0.1847068</v>
      </c>
      <c r="Z3025">
        <v>4.2726930000000003E-2</v>
      </c>
      <c r="AA3025">
        <v>0.98186450000000003</v>
      </c>
      <c r="AB3025">
        <v>14</v>
      </c>
      <c r="AC3025">
        <v>2.22149999999999</v>
      </c>
      <c r="AD3025">
        <v>-1.1108566186559901</v>
      </c>
      <c r="AE3025">
        <v>-25.436899999999898</v>
      </c>
      <c r="AF3025">
        <v>-4.7222011380798197</v>
      </c>
      <c r="AG3025">
        <v>-1.1108566186559901</v>
      </c>
      <c r="AH3025">
        <v>25.044175863099301</v>
      </c>
      <c r="AI3025">
        <v>92.495818101392999</v>
      </c>
      <c r="AJ3025">
        <v>100.67803062434299</v>
      </c>
      <c r="AK3025">
        <v>25.509683076775801</v>
      </c>
      <c r="AL3025">
        <v>89.460616290168304</v>
      </c>
      <c r="AM3025">
        <v>91.009901881269599</v>
      </c>
      <c r="AN3025">
        <v>1.0000000406068099</v>
      </c>
    </row>
    <row r="3026" spans="1:40" x14ac:dyDescent="0.25">
      <c r="A3026" t="str">
        <f>"20190312154313068"</f>
        <v>20190312154313068</v>
      </c>
      <c r="B3026" t="str">
        <f>"1552376593060039"</f>
        <v>1552376593060039</v>
      </c>
      <c r="C3026" t="s">
        <v>40</v>
      </c>
      <c r="D3026">
        <v>4.8289739999999997</v>
      </c>
      <c r="E3026">
        <v>0.4369982</v>
      </c>
      <c r="F3026" t="s">
        <v>43</v>
      </c>
      <c r="G3026">
        <v>-489.69880000000001</v>
      </c>
      <c r="H3026" s="1">
        <v>-1.741847E-6</v>
      </c>
      <c r="I3026">
        <v>233.5685</v>
      </c>
      <c r="J3026">
        <v>-491.86860000000001</v>
      </c>
      <c r="K3026">
        <v>1.11086</v>
      </c>
      <c r="L3026">
        <v>258.61970000000002</v>
      </c>
      <c r="M3026">
        <v>-9.8497029999999999E-2</v>
      </c>
      <c r="N3026">
        <v>0</v>
      </c>
      <c r="O3026">
        <v>-0.99504729999999997</v>
      </c>
      <c r="P3026">
        <v>-8.2032019999999997E-2</v>
      </c>
      <c r="Q3026">
        <v>-4.3300109999999999E-3</v>
      </c>
      <c r="R3026">
        <v>-0.99662019999999996</v>
      </c>
      <c r="S3026">
        <v>0.26092530000000003</v>
      </c>
      <c r="T3026">
        <v>-0.13400139999999999</v>
      </c>
      <c r="U3026">
        <v>-3.030869</v>
      </c>
      <c r="V3026">
        <v>-1.6544639999999999E-2</v>
      </c>
      <c r="W3026">
        <v>9.0510239999999995E-3</v>
      </c>
      <c r="X3026">
        <v>0.99982210000000005</v>
      </c>
      <c r="Y3026">
        <v>-0.18341569999999999</v>
      </c>
      <c r="Z3026">
        <v>4.3391640000000002E-2</v>
      </c>
      <c r="AA3026">
        <v>0.98207730000000004</v>
      </c>
      <c r="AB3026">
        <v>14</v>
      </c>
      <c r="AC3026">
        <v>2.1698</v>
      </c>
      <c r="AD3026">
        <v>-1.1108617418469999</v>
      </c>
      <c r="AE3026">
        <v>-25.051200000000001</v>
      </c>
      <c r="AF3026">
        <v>-4.6179241509446296</v>
      </c>
      <c r="AG3026">
        <v>-1.1108617418469999</v>
      </c>
      <c r="AH3026">
        <v>24.667480799225199</v>
      </c>
      <c r="AI3026">
        <v>92.5345129850907</v>
      </c>
      <c r="AJ3026">
        <v>100.603434819171</v>
      </c>
      <c r="AK3026">
        <v>25.1205861048965</v>
      </c>
      <c r="AL3026">
        <v>89.4814074120697</v>
      </c>
      <c r="AM3026">
        <v>90.948020190302699</v>
      </c>
      <c r="AN3026">
        <v>0.99999993889829197</v>
      </c>
    </row>
    <row r="3027" spans="1:40" x14ac:dyDescent="0.25">
      <c r="A3027" t="str">
        <f>"20190312154313080"</f>
        <v>20190312154313080</v>
      </c>
      <c r="B3027" t="str">
        <f>"1552376593070775"</f>
        <v>1552376593070775</v>
      </c>
      <c r="C3027" t="s">
        <v>40</v>
      </c>
      <c r="D3027">
        <v>4.8561139999999998</v>
      </c>
      <c r="E3027">
        <v>0.4369613</v>
      </c>
      <c r="F3027" t="s">
        <v>43</v>
      </c>
      <c r="G3027">
        <v>-489.68619999999999</v>
      </c>
      <c r="H3027" s="1">
        <v>-1.6216299999999901E-6</v>
      </c>
      <c r="I3027">
        <v>233.28309999999999</v>
      </c>
      <c r="J3027">
        <v>-491.875</v>
      </c>
      <c r="K3027">
        <v>1.11087</v>
      </c>
      <c r="L3027">
        <v>258.54849999999999</v>
      </c>
      <c r="M3027">
        <v>-9.7946359999999996E-2</v>
      </c>
      <c r="N3027">
        <v>0</v>
      </c>
      <c r="O3027">
        <v>-0.99510160000000003</v>
      </c>
      <c r="P3027">
        <v>-8.2808610000000005E-2</v>
      </c>
      <c r="Q3027">
        <v>-5.162397E-3</v>
      </c>
      <c r="R3027">
        <v>-0.99655229999999995</v>
      </c>
      <c r="S3027">
        <v>0.26107789999999997</v>
      </c>
      <c r="T3027">
        <v>-0.13289389999999901</v>
      </c>
      <c r="U3027">
        <v>-3.0310519999999999</v>
      </c>
      <c r="V3027">
        <v>-1.5211260000000001E-2</v>
      </c>
      <c r="W3027">
        <v>8.2356630000000007E-3</v>
      </c>
      <c r="X3027">
        <v>0.99985040000000003</v>
      </c>
      <c r="Y3027">
        <v>-0.1829171</v>
      </c>
      <c r="Z3027">
        <v>4.3036650000000003E-2</v>
      </c>
      <c r="AA3027">
        <v>0.98218589999999995</v>
      </c>
      <c r="AB3027">
        <v>14</v>
      </c>
      <c r="AC3027">
        <v>2.1888000000000098</v>
      </c>
      <c r="AD3027">
        <v>-1.1108716216299901</v>
      </c>
      <c r="AE3027">
        <v>-25.2654</v>
      </c>
      <c r="AF3027">
        <v>-4.6442382258850596</v>
      </c>
      <c r="AG3027">
        <v>-1.1108716216299901</v>
      </c>
      <c r="AH3027">
        <v>24.8817472824717</v>
      </c>
      <c r="AI3027">
        <v>92.512989083133206</v>
      </c>
      <c r="AJ3027">
        <v>100.57273436451899</v>
      </c>
      <c r="AK3027">
        <v>25.3358309965807</v>
      </c>
      <c r="AL3027">
        <v>89.528125941576107</v>
      </c>
      <c r="AM3027">
        <v>90.871604160519695</v>
      </c>
      <c r="AN3027">
        <v>1.00000001547799</v>
      </c>
    </row>
    <row r="3028" spans="1:40" x14ac:dyDescent="0.25">
      <c r="A3028" t="str">
        <f>"20190312154313093"</f>
        <v>20190312154313093</v>
      </c>
      <c r="B3028" t="str">
        <f>"1552376593080535"</f>
        <v>1552376593080535</v>
      </c>
      <c r="C3028" t="s">
        <v>40</v>
      </c>
      <c r="D3028">
        <v>4.8411569999999999</v>
      </c>
      <c r="E3028">
        <v>0.43690519999999999</v>
      </c>
      <c r="F3028" t="s">
        <v>43</v>
      </c>
      <c r="G3028">
        <v>-489.7595</v>
      </c>
      <c r="H3028" s="1">
        <v>-1.8445910000000001E-6</v>
      </c>
      <c r="I3028">
        <v>233.8331</v>
      </c>
      <c r="J3028">
        <v>-491.88150000000002</v>
      </c>
      <c r="K3028">
        <v>1.110878</v>
      </c>
      <c r="L3028">
        <v>258.47489999999999</v>
      </c>
      <c r="M3028">
        <v>-9.73797E-2</v>
      </c>
      <c r="N3028">
        <v>0</v>
      </c>
      <c r="O3028">
        <v>-0.99515690000000001</v>
      </c>
      <c r="P3028">
        <v>-8.3253270000000004E-2</v>
      </c>
      <c r="Q3028">
        <v>-5.6555889999999999E-3</v>
      </c>
      <c r="R3028">
        <v>-0.99651250000000002</v>
      </c>
      <c r="S3028">
        <v>0.25946039999999998</v>
      </c>
      <c r="T3028">
        <v>-0.1362437</v>
      </c>
      <c r="U3028">
        <v>-3.0312350000000001</v>
      </c>
      <c r="V3028">
        <v>-1.419579E-2</v>
      </c>
      <c r="W3028">
        <v>7.7588419999999898E-3</v>
      </c>
      <c r="X3028">
        <v>0.99986909999999896</v>
      </c>
      <c r="Y3028">
        <v>-0.18182770000000001</v>
      </c>
      <c r="Z3028">
        <v>4.4125919999999999E-2</v>
      </c>
      <c r="AA3028">
        <v>0.98233990000000004</v>
      </c>
      <c r="AB3028">
        <v>14</v>
      </c>
      <c r="AC3028">
        <v>2.1220000000000101</v>
      </c>
      <c r="AD3028">
        <v>-1.110879844591</v>
      </c>
      <c r="AE3028">
        <v>-24.6417999999999</v>
      </c>
      <c r="AF3028">
        <v>-4.5026565476252802</v>
      </c>
      <c r="AG3028">
        <v>-1.110879844591</v>
      </c>
      <c r="AH3028">
        <v>24.2690464522992</v>
      </c>
      <c r="AI3028">
        <v>92.576886163792196</v>
      </c>
      <c r="AJ3028">
        <v>100.510623677925</v>
      </c>
      <c r="AK3028">
        <v>24.708188636944801</v>
      </c>
      <c r="AL3028">
        <v>89.555446625135104</v>
      </c>
      <c r="AM3028">
        <v>90.813410685466394</v>
      </c>
      <c r="AN3028">
        <v>0.99999996860885598</v>
      </c>
    </row>
    <row r="3029" spans="1:40" x14ac:dyDescent="0.25">
      <c r="A3029" t="str">
        <f>"20190312154313109"</f>
        <v>20190312154313109</v>
      </c>
      <c r="B3029" t="str">
        <f>"1552376593100054"</f>
        <v>1552376593100054</v>
      </c>
      <c r="C3029" t="s">
        <v>40</v>
      </c>
      <c r="D3029">
        <v>4.8675790000000001</v>
      </c>
      <c r="E3029">
        <v>0.43686950000000002</v>
      </c>
      <c r="F3029" t="s">
        <v>43</v>
      </c>
      <c r="G3029">
        <v>-489.81659999999999</v>
      </c>
      <c r="H3029" s="1">
        <v>-2.0136570000000002E-6</v>
      </c>
      <c r="I3029">
        <v>234.2508</v>
      </c>
      <c r="J3029">
        <v>-491.89060000000001</v>
      </c>
      <c r="K3029">
        <v>1.110889</v>
      </c>
      <c r="L3029">
        <v>258.37369999999999</v>
      </c>
      <c r="M3029">
        <v>-9.6604339999999997E-2</v>
      </c>
      <c r="N3029">
        <v>0</v>
      </c>
      <c r="O3029">
        <v>-0.99523220000000001</v>
      </c>
      <c r="P3029">
        <v>-8.5666270000000003E-2</v>
      </c>
      <c r="Q3029">
        <v>-6.8694519999999998E-3</v>
      </c>
      <c r="R3029">
        <v>-0.99630030000000003</v>
      </c>
      <c r="S3029">
        <v>0.25839230000000002</v>
      </c>
      <c r="T3029">
        <v>-0.13901079999999999</v>
      </c>
      <c r="U3029">
        <v>-3.0312960000000002</v>
      </c>
      <c r="V3029">
        <v>-1.099428E-2</v>
      </c>
      <c r="W3029">
        <v>6.5663029999999999E-3</v>
      </c>
      <c r="X3029">
        <v>0.99991799999999997</v>
      </c>
      <c r="Y3029">
        <v>-0.18071280000000001</v>
      </c>
      <c r="Z3029">
        <v>4.5029920000000001E-2</v>
      </c>
      <c r="AA3029">
        <v>0.9825045</v>
      </c>
      <c r="AB3029">
        <v>14</v>
      </c>
      <c r="AC3029">
        <v>2.0740000000000101</v>
      </c>
      <c r="AD3029">
        <v>-1.110891013657</v>
      </c>
      <c r="AE3029">
        <v>-24.122899999999898</v>
      </c>
      <c r="AF3029">
        <v>-4.3856524991582901</v>
      </c>
      <c r="AG3029">
        <v>-1.110891013657</v>
      </c>
      <c r="AH3029">
        <v>23.75966007469</v>
      </c>
      <c r="AI3029">
        <v>92.632527245966799</v>
      </c>
      <c r="AJ3029">
        <v>100.458168755088</v>
      </c>
      <c r="AK3029">
        <v>24.186555636394701</v>
      </c>
      <c r="AL3029">
        <v>89.623775846978106</v>
      </c>
      <c r="AM3029">
        <v>90.629952115944207</v>
      </c>
      <c r="AN3029">
        <v>0.99999999862590305</v>
      </c>
    </row>
    <row r="3030" spans="1:40" x14ac:dyDescent="0.25">
      <c r="A3030" t="str">
        <f>"20190312154313121"</f>
        <v>20190312154313121</v>
      </c>
      <c r="B3030" t="str">
        <f>"1552376593110790"</f>
        <v>1552376593110790</v>
      </c>
      <c r="C3030" t="s">
        <v>40</v>
      </c>
      <c r="D3030">
        <v>4.8731269999999904</v>
      </c>
      <c r="E3030">
        <v>0.43674299999999999</v>
      </c>
      <c r="F3030" t="s">
        <v>43</v>
      </c>
      <c r="G3030">
        <v>-489.9461</v>
      </c>
      <c r="H3030" s="1">
        <v>-2.2979250000000001E-6</v>
      </c>
      <c r="I3030">
        <v>234.96700000000001</v>
      </c>
      <c r="J3030">
        <v>-491.89679999999998</v>
      </c>
      <c r="K3030">
        <v>1.1109</v>
      </c>
      <c r="L3030">
        <v>258.30380000000002</v>
      </c>
      <c r="M3030">
        <v>-9.6069020000000005E-2</v>
      </c>
      <c r="N3030">
        <v>0</v>
      </c>
      <c r="O3030">
        <v>-0.9952841</v>
      </c>
      <c r="P3030">
        <v>-8.6648580000000003E-2</v>
      </c>
      <c r="Q3030">
        <v>-7.4940559999999998E-3</v>
      </c>
      <c r="R3030">
        <v>-0.99621110000000002</v>
      </c>
      <c r="S3030">
        <v>0.25186160000000002</v>
      </c>
      <c r="T3030">
        <v>-0.14389189999999999</v>
      </c>
      <c r="U3030">
        <v>-3.0318299999999998</v>
      </c>
      <c r="V3030">
        <v>-9.4695019999999994E-3</v>
      </c>
      <c r="W3030">
        <v>5.9550100000000002E-3</v>
      </c>
      <c r="X3030">
        <v>0.99993739999999998</v>
      </c>
      <c r="Y3030">
        <v>-0.17806089999999999</v>
      </c>
      <c r="Z3030">
        <v>4.6618769999999997E-2</v>
      </c>
      <c r="AA3030">
        <v>0.98291459999999997</v>
      </c>
      <c r="AB3030">
        <v>14</v>
      </c>
      <c r="AC3030">
        <v>1.9506999999999799</v>
      </c>
      <c r="AD3030">
        <v>-1.1109022979250001</v>
      </c>
      <c r="AE3030">
        <v>-23.3368</v>
      </c>
      <c r="AF3030">
        <v>-4.1744275781401798</v>
      </c>
      <c r="AG3030">
        <v>-1.1109022979250001</v>
      </c>
      <c r="AH3030">
        <v>22.989687204701401</v>
      </c>
      <c r="AI3030">
        <v>92.722040138713297</v>
      </c>
      <c r="AJ3030">
        <v>100.291539716153</v>
      </c>
      <c r="AK3030">
        <v>23.392000070337801</v>
      </c>
      <c r="AL3030">
        <v>89.658801032756401</v>
      </c>
      <c r="AM3030">
        <v>90.542580245597506</v>
      </c>
      <c r="AN3030">
        <v>0.99999996876549302</v>
      </c>
    </row>
    <row r="3031" spans="1:40" x14ac:dyDescent="0.25">
      <c r="A3031" t="str">
        <f>"20190312154313134"</f>
        <v>20190312154313134</v>
      </c>
      <c r="B3031" t="str">
        <f>"1552376593130311"</f>
        <v>1552376593130311</v>
      </c>
      <c r="C3031" t="s">
        <v>40</v>
      </c>
      <c r="D3031">
        <v>4.9621250000000003</v>
      </c>
      <c r="E3031">
        <v>0.45103680000000002</v>
      </c>
      <c r="F3031" t="s">
        <v>43</v>
      </c>
      <c r="G3031">
        <v>-489.99650000000003</v>
      </c>
      <c r="H3031" s="1">
        <v>-2.4316090000000002E-6</v>
      </c>
      <c r="I3031">
        <v>235.2594</v>
      </c>
      <c r="J3031">
        <v>-491.9033</v>
      </c>
      <c r="K3031">
        <v>1.110914</v>
      </c>
      <c r="L3031">
        <v>258.2294</v>
      </c>
      <c r="M3031">
        <v>-9.5498180000000002E-2</v>
      </c>
      <c r="N3031">
        <v>0</v>
      </c>
      <c r="O3031">
        <v>-0.99533870000000002</v>
      </c>
      <c r="P3031">
        <v>-8.7812520000000005E-2</v>
      </c>
      <c r="Q3031">
        <v>-8.0202590000000001E-3</v>
      </c>
      <c r="R3031">
        <v>-0.99610500000000002</v>
      </c>
      <c r="S3031">
        <v>0.25003049999999999</v>
      </c>
      <c r="T3031">
        <v>-0.14616689999999999</v>
      </c>
      <c r="U3031">
        <v>-3.0320589999999998</v>
      </c>
      <c r="V3031">
        <v>-7.72725699999999E-3</v>
      </c>
      <c r="W3031">
        <v>5.441464E-3</v>
      </c>
      <c r="X3031">
        <v>0.99995540000000005</v>
      </c>
      <c r="Y3031">
        <v>-0.1768979</v>
      </c>
      <c r="Z3031">
        <v>4.7360770000000003E-2</v>
      </c>
      <c r="AA3031">
        <v>0.98308899999999999</v>
      </c>
      <c r="AB3031">
        <v>14</v>
      </c>
      <c r="AC3031">
        <v>1.9067999999999701</v>
      </c>
      <c r="AD3031">
        <v>-1.1109164316090001</v>
      </c>
      <c r="AE3031">
        <v>-22.97</v>
      </c>
      <c r="AF3031">
        <v>-4.0823917034300896</v>
      </c>
      <c r="AG3031">
        <v>-1.1109164316090001</v>
      </c>
      <c r="AH3031">
        <v>22.630315240610599</v>
      </c>
      <c r="AI3031">
        <v>92.765807664943594</v>
      </c>
      <c r="AJ3031">
        <v>100.225883941577</v>
      </c>
      <c r="AK3031">
        <v>23.022407025063</v>
      </c>
      <c r="AL3031">
        <v>89.688225558853702</v>
      </c>
      <c r="AM3031">
        <v>90.442750147439099</v>
      </c>
      <c r="AN3031">
        <v>1.00000006101018</v>
      </c>
    </row>
    <row r="3032" spans="1:40" x14ac:dyDescent="0.25">
      <c r="A3032" t="str">
        <f>"20190312154313148"</f>
        <v>20190312154313148</v>
      </c>
      <c r="B3032" t="str">
        <f>"1552376593140071"</f>
        <v>1552376593140071</v>
      </c>
      <c r="C3032" t="s">
        <v>40</v>
      </c>
      <c r="D3032">
        <v>4.9787109999999997</v>
      </c>
      <c r="E3032">
        <v>0.45978639999999998</v>
      </c>
      <c r="F3032" t="s">
        <v>43</v>
      </c>
      <c r="G3032">
        <v>-491.09820000000002</v>
      </c>
      <c r="H3032" s="1">
        <v>-5.3690740000000005E-7</v>
      </c>
      <c r="I3032">
        <v>240.15950000000001</v>
      </c>
      <c r="J3032">
        <v>-491.911</v>
      </c>
      <c r="K3032">
        <v>1.11093</v>
      </c>
      <c r="L3032">
        <v>258.14060000000001</v>
      </c>
      <c r="M3032">
        <v>-9.4812880000000002E-2</v>
      </c>
      <c r="N3032">
        <v>0</v>
      </c>
      <c r="O3032">
        <v>-0.99540390000000001</v>
      </c>
      <c r="P3032">
        <v>-8.8888229999999999E-2</v>
      </c>
      <c r="Q3032">
        <v>-8.5026019999999997E-3</v>
      </c>
      <c r="R3032">
        <v>-0.99600569999999999</v>
      </c>
      <c r="S3032">
        <v>0.1346436</v>
      </c>
      <c r="T3032">
        <v>-0.1857954</v>
      </c>
      <c r="U3032">
        <v>-3.0221100000000001</v>
      </c>
      <c r="V3032">
        <v>-5.9582740000000004E-3</v>
      </c>
      <c r="W3032">
        <v>4.9732170000000003E-3</v>
      </c>
      <c r="X3032">
        <v>0.99996989999999997</v>
      </c>
      <c r="Y3032">
        <v>-0.13895260000000001</v>
      </c>
      <c r="Z3032">
        <v>6.0620390000000003E-2</v>
      </c>
      <c r="AA3032">
        <v>0.98844189999999998</v>
      </c>
      <c r="AB3032">
        <v>14</v>
      </c>
      <c r="AC3032">
        <v>0.81279999999998098</v>
      </c>
      <c r="AD3032">
        <v>-1.1109305369073901</v>
      </c>
      <c r="AE3032">
        <v>-17.981099999999898</v>
      </c>
      <c r="AF3032">
        <v>-2.5045915002287602</v>
      </c>
      <c r="AG3032">
        <v>-1.1109305369073901</v>
      </c>
      <c r="AH3032">
        <v>17.7553744567285</v>
      </c>
      <c r="AI3032">
        <v>93.545247283672296</v>
      </c>
      <c r="AJ3032">
        <v>98.029225888757793</v>
      </c>
      <c r="AK3032">
        <v>17.9655355427969</v>
      </c>
      <c r="AL3032">
        <v>89.715054485662705</v>
      </c>
      <c r="AM3032">
        <v>90.341390189242802</v>
      </c>
      <c r="AN3032">
        <v>1.00000001741119</v>
      </c>
    </row>
    <row r="3033" spans="1:40" x14ac:dyDescent="0.25">
      <c r="A3033" t="str">
        <f>"20190312154313166"</f>
        <v>20190312154313166</v>
      </c>
      <c r="B3033" t="str">
        <f>"1552376593160567"</f>
        <v>1552376593160567</v>
      </c>
      <c r="C3033" t="s">
        <v>40</v>
      </c>
      <c r="D3033">
        <v>4.9871230000000004</v>
      </c>
      <c r="E3033">
        <v>0.46949970000000002</v>
      </c>
      <c r="F3033" t="s">
        <v>43</v>
      </c>
      <c r="G3033">
        <v>-491.54259999999999</v>
      </c>
      <c r="H3033" s="1">
        <v>-6.9380330000000004E-7</v>
      </c>
      <c r="I3033">
        <v>240.24959999999999</v>
      </c>
      <c r="J3033">
        <v>-491.91989999999998</v>
      </c>
      <c r="K3033">
        <v>1.1109519999999999</v>
      </c>
      <c r="L3033">
        <v>258.03870000000001</v>
      </c>
      <c r="M3033">
        <v>-9.4014520000000004E-2</v>
      </c>
      <c r="N3033">
        <v>0</v>
      </c>
      <c r="O3033">
        <v>-0.99547969999999997</v>
      </c>
      <c r="P3033">
        <v>-9.142778E-2</v>
      </c>
      <c r="Q3033">
        <v>-9.5841329999999999E-3</v>
      </c>
      <c r="R3033">
        <v>-0.99576600000000004</v>
      </c>
      <c r="S3033">
        <v>6.2103270000000002E-2</v>
      </c>
      <c r="T3033">
        <v>-0.1872731</v>
      </c>
      <c r="U3033">
        <v>-3.0159449999999999</v>
      </c>
      <c r="V3033">
        <v>-2.6052409999999999E-3</v>
      </c>
      <c r="W3033">
        <v>3.9074959999999999E-3</v>
      </c>
      <c r="X3033">
        <v>0.99998900000000002</v>
      </c>
      <c r="Y3033">
        <v>-0.11445959999999999</v>
      </c>
      <c r="Z3033">
        <v>6.1353100000000001E-2</v>
      </c>
      <c r="AA3033">
        <v>0.99153159999999896</v>
      </c>
      <c r="AB3033">
        <v>14</v>
      </c>
      <c r="AC3033">
        <v>0.37729999999999098</v>
      </c>
      <c r="AD3033">
        <v>-1.1109526938033001</v>
      </c>
      <c r="AE3033">
        <v>-17.789100000000001</v>
      </c>
      <c r="AF3033">
        <v>-2.0402602305873101</v>
      </c>
      <c r="AG3033">
        <v>-1.1109526938033001</v>
      </c>
      <c r="AH3033">
        <v>17.606183581378399</v>
      </c>
      <c r="AI3033">
        <v>93.586646154911406</v>
      </c>
      <c r="AJ3033">
        <v>96.610132388767099</v>
      </c>
      <c r="AK3033">
        <v>17.758788753672999</v>
      </c>
      <c r="AL3033">
        <v>89.776116407265107</v>
      </c>
      <c r="AM3033">
        <v>90.149270618174199</v>
      </c>
      <c r="AN3033">
        <v>1.0000000279633201</v>
      </c>
    </row>
    <row r="3034" spans="1:40" x14ac:dyDescent="0.25">
      <c r="A3034" t="str">
        <f>"20190312154313189"</f>
        <v>20190312154313189</v>
      </c>
      <c r="B3034" t="str">
        <f>"1552376593180086"</f>
        <v>1552376593180086</v>
      </c>
      <c r="C3034" t="s">
        <v>40</v>
      </c>
      <c r="D3034">
        <v>4.9400240000000002</v>
      </c>
      <c r="E3034">
        <v>0.47379749999999998</v>
      </c>
      <c r="F3034" t="s">
        <v>43</v>
      </c>
      <c r="G3034">
        <v>-492.04750000000001</v>
      </c>
      <c r="H3034" s="1">
        <v>-1.147516E-6</v>
      </c>
      <c r="I3034">
        <v>240.9941</v>
      </c>
      <c r="J3034">
        <v>-491.93150000000003</v>
      </c>
      <c r="K3034">
        <v>1.1109770000000001</v>
      </c>
      <c r="L3034">
        <v>257.90129999999999</v>
      </c>
      <c r="M3034">
        <v>-9.2916470000000001E-2</v>
      </c>
      <c r="N3034">
        <v>0</v>
      </c>
      <c r="O3034">
        <v>-0.99558250000000004</v>
      </c>
      <c r="P3034">
        <v>-9.3405559999999999E-2</v>
      </c>
      <c r="Q3034">
        <v>-1.065847E-2</v>
      </c>
      <c r="R3034">
        <v>-0.99557169999999895</v>
      </c>
      <c r="S3034">
        <v>-2.2521969999999999E-2</v>
      </c>
      <c r="T3034">
        <v>-0.19610920000000001</v>
      </c>
      <c r="U3034">
        <v>-3.0087739999999998</v>
      </c>
      <c r="V3034">
        <v>4.8564749999999997E-4</v>
      </c>
      <c r="W3034">
        <v>2.8508309999999999E-3</v>
      </c>
      <c r="X3034">
        <v>0.99999579999999999</v>
      </c>
      <c r="Y3034">
        <v>-8.5484790000000005E-2</v>
      </c>
      <c r="Z3034">
        <v>6.4499390000000004E-2</v>
      </c>
      <c r="AA3034">
        <v>0.99424959999999996</v>
      </c>
      <c r="AB3034">
        <v>14</v>
      </c>
      <c r="AC3034">
        <v>-0.115999999999985</v>
      </c>
      <c r="AD3034">
        <v>-1.1109781475159899</v>
      </c>
      <c r="AE3034">
        <v>-16.9071999999999</v>
      </c>
      <c r="AF3034">
        <v>-1.44934448954761</v>
      </c>
      <c r="AG3034">
        <v>-1.1109781475159899</v>
      </c>
      <c r="AH3034">
        <v>16.772406488624</v>
      </c>
      <c r="AI3034">
        <v>93.775618153391704</v>
      </c>
      <c r="AJ3034">
        <v>94.938799368392907</v>
      </c>
      <c r="AK3034">
        <v>16.8715290152753</v>
      </c>
      <c r="AL3034">
        <v>89.8366591913299</v>
      </c>
      <c r="AM3034">
        <v>89.972174333238698</v>
      </c>
      <c r="AN3034">
        <v>0.99999998155426195</v>
      </c>
    </row>
    <row r="3035" spans="1:40" x14ac:dyDescent="0.25">
      <c r="A3035" t="str">
        <f>"20190312154313201"</f>
        <v>20190312154313201</v>
      </c>
      <c r="B3035" t="str">
        <f>"1552376593189849"</f>
        <v>1552376593189849</v>
      </c>
      <c r="C3035" t="s">
        <v>40</v>
      </c>
      <c r="D3035">
        <v>4.9172200000000004</v>
      </c>
      <c r="E3035">
        <v>0.47480030000000001</v>
      </c>
      <c r="F3035" t="s">
        <v>43</v>
      </c>
      <c r="G3035">
        <v>-492.29759999999999</v>
      </c>
      <c r="H3035" s="1">
        <v>-9.888899999999999E-7</v>
      </c>
      <c r="I3035">
        <v>240.4692</v>
      </c>
      <c r="J3035">
        <v>-491.93779999999998</v>
      </c>
      <c r="K3035">
        <v>1.110992</v>
      </c>
      <c r="L3035">
        <v>257.8261</v>
      </c>
      <c r="M3035">
        <v>-9.2300590000000002E-2</v>
      </c>
      <c r="N3035">
        <v>0</v>
      </c>
      <c r="O3035">
        <v>-0.99563950000000001</v>
      </c>
      <c r="P3035">
        <v>-9.3985739999999998E-2</v>
      </c>
      <c r="Q3035">
        <v>-1.0938639999999999E-2</v>
      </c>
      <c r="R3035">
        <v>-0.99551339999999999</v>
      </c>
      <c r="S3035">
        <v>-6.3110349999999996E-2</v>
      </c>
      <c r="T3035">
        <v>-0.19153790000000001</v>
      </c>
      <c r="U3035">
        <v>-3.0053709999999998</v>
      </c>
      <c r="V3035">
        <v>1.6873729999999901E-3</v>
      </c>
      <c r="W3035">
        <v>2.5790349999999999E-3</v>
      </c>
      <c r="X3035">
        <v>0.99999519999999997</v>
      </c>
      <c r="Y3035">
        <v>-7.1425530000000001E-2</v>
      </c>
      <c r="Z3035">
        <v>6.3107789999999997E-2</v>
      </c>
      <c r="AA3035">
        <v>0.99544750000000004</v>
      </c>
      <c r="AB3035">
        <v>13</v>
      </c>
      <c r="AC3035">
        <v>-0.359800000000007</v>
      </c>
      <c r="AD3035">
        <v>-1.1109929888900001</v>
      </c>
      <c r="AE3035">
        <v>-17.3568999999999</v>
      </c>
      <c r="AF3035">
        <v>-1.23886100916488</v>
      </c>
      <c r="AG3035">
        <v>-1.1109929888900001</v>
      </c>
      <c r="AH3035">
        <v>17.245379919999401</v>
      </c>
      <c r="AI3035">
        <v>93.676603484671702</v>
      </c>
      <c r="AJ3035">
        <v>94.108913924211194</v>
      </c>
      <c r="AK3035">
        <v>17.325478654470398</v>
      </c>
      <c r="AL3035">
        <v>89.852232007985407</v>
      </c>
      <c r="AM3035">
        <v>89.903320276329694</v>
      </c>
      <c r="AN3035">
        <v>0.99999994933610403</v>
      </c>
    </row>
    <row r="3036" spans="1:40" x14ac:dyDescent="0.25">
      <c r="A3036" t="str">
        <f>"20190312154313214"</f>
        <v>20190312154313214</v>
      </c>
      <c r="B3036" t="str">
        <f>"1552376593200583"</f>
        <v>1552376593200583</v>
      </c>
      <c r="C3036" t="s">
        <v>40</v>
      </c>
      <c r="D3036">
        <v>4.9371900000000002</v>
      </c>
      <c r="E3036">
        <v>0.47577720000000001</v>
      </c>
      <c r="F3036" t="s">
        <v>43</v>
      </c>
      <c r="G3036">
        <v>-492.3365</v>
      </c>
      <c r="H3036" s="1">
        <v>-1.3442199999999999E-6</v>
      </c>
      <c r="I3036">
        <v>241.27340000000001</v>
      </c>
      <c r="J3036">
        <v>-491.94369999999998</v>
      </c>
      <c r="K3036">
        <v>1.1110040000000001</v>
      </c>
      <c r="L3036">
        <v>257.75459999999998</v>
      </c>
      <c r="M3036">
        <v>-9.1707849999999994E-2</v>
      </c>
      <c r="N3036">
        <v>0</v>
      </c>
      <c r="O3036">
        <v>-0.99569419999999997</v>
      </c>
      <c r="P3036">
        <v>-9.4821199999999994E-2</v>
      </c>
      <c r="Q3036">
        <v>-1.118448E-2</v>
      </c>
      <c r="R3036">
        <v>-0.99543159999999997</v>
      </c>
      <c r="S3036">
        <v>-7.2357179999999993E-2</v>
      </c>
      <c r="T3036">
        <v>-0.2016548</v>
      </c>
      <c r="U3036">
        <v>-3.0044710000000001</v>
      </c>
      <c r="V3036">
        <v>3.1222390000000002E-3</v>
      </c>
      <c r="W3036">
        <v>2.3410940000000002E-3</v>
      </c>
      <c r="X3036">
        <v>0.9999924</v>
      </c>
      <c r="Y3036">
        <v>-6.7768159999999994E-2</v>
      </c>
      <c r="Z3036">
        <v>6.6458169999999997E-2</v>
      </c>
      <c r="AA3036">
        <v>0.99548519999999896</v>
      </c>
      <c r="AB3036">
        <v>13</v>
      </c>
      <c r="AC3036">
        <v>-0.39280000000002202</v>
      </c>
      <c r="AD3036">
        <v>-1.1110053442200001</v>
      </c>
      <c r="AE3036">
        <v>-16.481199999999902</v>
      </c>
      <c r="AF3036">
        <v>-1.1153834947465799</v>
      </c>
      <c r="AG3036">
        <v>-1.1110053442200001</v>
      </c>
      <c r="AH3036">
        <v>16.373399629654099</v>
      </c>
      <c r="AI3036">
        <v>93.872865634056296</v>
      </c>
      <c r="AJ3036">
        <v>93.897064024571307</v>
      </c>
      <c r="AK3036">
        <v>16.4489096492015</v>
      </c>
      <c r="AL3036">
        <v>89.865865073785699</v>
      </c>
      <c r="AM3036">
        <v>89.821108104395194</v>
      </c>
      <c r="AN3036">
        <v>1.00000001457762</v>
      </c>
    </row>
    <row r="3037" spans="1:40" x14ac:dyDescent="0.25">
      <c r="A3037" t="str">
        <f>"20190312154313224"</f>
        <v>20190312154313224</v>
      </c>
      <c r="B3037" t="str">
        <f>"1552376593220103"</f>
        <v>1552376593220103</v>
      </c>
      <c r="C3037" t="s">
        <v>40</v>
      </c>
      <c r="D3037">
        <v>4.9018649999999999</v>
      </c>
      <c r="E3037">
        <v>0.47685899999999998</v>
      </c>
      <c r="F3037" t="s">
        <v>43</v>
      </c>
      <c r="G3037">
        <v>-492.39440000000002</v>
      </c>
      <c r="H3037" s="1">
        <v>-1.395537E-6</v>
      </c>
      <c r="I3037">
        <v>241.3571</v>
      </c>
      <c r="J3037">
        <v>-491.94959999999998</v>
      </c>
      <c r="K3037">
        <v>1.111016</v>
      </c>
      <c r="L3037">
        <v>257.68439999999998</v>
      </c>
      <c r="M3037">
        <v>-9.1119099999999995E-2</v>
      </c>
      <c r="N3037">
        <v>0</v>
      </c>
      <c r="O3037">
        <v>-0.99574819999999997</v>
      </c>
      <c r="P3037">
        <v>-9.5185809999999996E-2</v>
      </c>
      <c r="Q3037">
        <v>-1.163176E-2</v>
      </c>
      <c r="R3037">
        <v>-0.99539169999999999</v>
      </c>
      <c r="S3037">
        <v>-8.255005E-2</v>
      </c>
      <c r="T3037">
        <v>-0.20350789999999999</v>
      </c>
      <c r="U3037">
        <v>-3.0036160000000001</v>
      </c>
      <c r="V3037">
        <v>4.0805009999999899E-3</v>
      </c>
      <c r="W3037">
        <v>1.9004969999999999E-3</v>
      </c>
      <c r="X3037">
        <v>0.99998989999999999</v>
      </c>
      <c r="Y3037">
        <v>-6.3796130000000006E-2</v>
      </c>
      <c r="Z3037">
        <v>6.7096550000000005E-2</v>
      </c>
      <c r="AA3037">
        <v>0.99570479999999995</v>
      </c>
      <c r="AB3037">
        <v>13</v>
      </c>
      <c r="AC3037">
        <v>-0.44480000000004299</v>
      </c>
      <c r="AD3037">
        <v>-1.111017395537</v>
      </c>
      <c r="AE3037">
        <v>-16.327299999999902</v>
      </c>
      <c r="AF3037">
        <v>-1.0401031477715801</v>
      </c>
      <c r="AG3037">
        <v>-1.111017395537</v>
      </c>
      <c r="AH3037">
        <v>16.224828725557199</v>
      </c>
      <c r="AI3037">
        <v>93.909292470280803</v>
      </c>
      <c r="AJ3037">
        <v>93.667963986729404</v>
      </c>
      <c r="AK3037">
        <v>16.296049870592999</v>
      </c>
      <c r="AL3037">
        <v>89.891109480774205</v>
      </c>
      <c r="AM3037">
        <v>89.766203450672194</v>
      </c>
      <c r="AN3037">
        <v>1.00000003123963</v>
      </c>
    </row>
    <row r="3038" spans="1:40" x14ac:dyDescent="0.25">
      <c r="A3038" t="str">
        <f>"20190312154313237"</f>
        <v>20190312154313237</v>
      </c>
      <c r="B3038" t="str">
        <f>"1552376593229863"</f>
        <v>1552376593229863</v>
      </c>
      <c r="C3038" t="s">
        <v>40</v>
      </c>
      <c r="D3038">
        <v>4.9367429999999999</v>
      </c>
      <c r="E3038">
        <v>0.47733890000000001</v>
      </c>
      <c r="F3038" t="s">
        <v>43</v>
      </c>
      <c r="G3038">
        <v>-492.4221</v>
      </c>
      <c r="H3038" s="1">
        <v>-1.784467E-6</v>
      </c>
      <c r="I3038">
        <v>242.2465</v>
      </c>
      <c r="J3038">
        <v>-491.95530000000002</v>
      </c>
      <c r="K3038">
        <v>1.111027</v>
      </c>
      <c r="L3038">
        <v>257.61380000000003</v>
      </c>
      <c r="M3038">
        <v>-9.0516009999999994E-2</v>
      </c>
      <c r="N3038">
        <v>0</v>
      </c>
      <c r="O3038">
        <v>-0.9958032</v>
      </c>
      <c r="P3038">
        <v>-9.5345330000000006E-2</v>
      </c>
      <c r="Q3038">
        <v>-1.171006E-2</v>
      </c>
      <c r="R3038">
        <v>-0.99537549999999997</v>
      </c>
      <c r="S3038">
        <v>-9.1918949999999999E-2</v>
      </c>
      <c r="T3038">
        <v>-0.21608720000000001</v>
      </c>
      <c r="U3038">
        <v>-3.0026090000000001</v>
      </c>
      <c r="V3038">
        <v>4.8464559999999999E-3</v>
      </c>
      <c r="W3038">
        <v>1.828018E-3</v>
      </c>
      <c r="X3038">
        <v>0.99998659999999995</v>
      </c>
      <c r="Y3038">
        <v>-6.0086750000000001E-2</v>
      </c>
      <c r="Z3038">
        <v>7.1258050000000003E-2</v>
      </c>
      <c r="AA3038">
        <v>0.99564649999999999</v>
      </c>
      <c r="AB3038">
        <v>13</v>
      </c>
      <c r="AC3038">
        <v>-0.46679999999997701</v>
      </c>
      <c r="AD3038">
        <v>-1.1110287844669999</v>
      </c>
      <c r="AE3038">
        <v>-15.3673</v>
      </c>
      <c r="AF3038">
        <v>-0.92141857799034999</v>
      </c>
      <c r="AG3038">
        <v>-1.1110287844669999</v>
      </c>
      <c r="AH3038">
        <v>15.2667362036836</v>
      </c>
      <c r="AI3038">
        <v>94.154798932480006</v>
      </c>
      <c r="AJ3038">
        <v>93.4538772071582</v>
      </c>
      <c r="AK3038">
        <v>15.334817620977599</v>
      </c>
      <c r="AL3038">
        <v>89.895262226962402</v>
      </c>
      <c r="AM3038">
        <v>89.722316978752602</v>
      </c>
      <c r="AN3038">
        <v>1.0000000149825601</v>
      </c>
    </row>
    <row r="3039" spans="1:40" x14ac:dyDescent="0.25">
      <c r="A3039" t="str">
        <f>"20190312154313250"</f>
        <v>20190312154313250</v>
      </c>
      <c r="B3039" t="str">
        <f>"1552376593240599"</f>
        <v>1552376593240599</v>
      </c>
      <c r="C3039" t="s">
        <v>40</v>
      </c>
      <c r="D3039">
        <v>4.95479</v>
      </c>
      <c r="E3039">
        <v>0.47769980000000001</v>
      </c>
      <c r="F3039" t="s">
        <v>43</v>
      </c>
      <c r="G3039">
        <v>-492.44709999999998</v>
      </c>
      <c r="H3039" s="1">
        <v>-1.7724660000000001E-6</v>
      </c>
      <c r="I3039">
        <v>242.203</v>
      </c>
      <c r="J3039">
        <v>-491.9615</v>
      </c>
      <c r="K3039">
        <v>1.1110420000000001</v>
      </c>
      <c r="L3039">
        <v>257.5367</v>
      </c>
      <c r="M3039">
        <v>-8.985303E-2</v>
      </c>
      <c r="N3039">
        <v>0</v>
      </c>
      <c r="O3039">
        <v>-0.99586300000000005</v>
      </c>
      <c r="P3039">
        <v>-9.5539319999999997E-2</v>
      </c>
      <c r="Q3039">
        <v>-1.1545430000000001E-2</v>
      </c>
      <c r="R3039">
        <v>-0.99535890000000005</v>
      </c>
      <c r="S3039">
        <v>-9.5794679999999993E-2</v>
      </c>
      <c r="T3039">
        <v>-0.2164452</v>
      </c>
      <c r="U3039">
        <v>-3.002243</v>
      </c>
      <c r="V3039">
        <v>5.706638E-3</v>
      </c>
      <c r="W3039">
        <v>1.9992019999999998E-3</v>
      </c>
      <c r="X3039">
        <v>0.99998169999999997</v>
      </c>
      <c r="Y3039">
        <v>-5.813463E-2</v>
      </c>
      <c r="Z3039">
        <v>7.139334E-2</v>
      </c>
      <c r="AA3039">
        <v>0.99575259999999999</v>
      </c>
      <c r="AB3039">
        <v>13</v>
      </c>
      <c r="AC3039">
        <v>-0.485599999999976</v>
      </c>
      <c r="AD3039">
        <v>-1.1110437724660001</v>
      </c>
      <c r="AE3039">
        <v>-15.333699999999901</v>
      </c>
      <c r="AF3039">
        <v>-0.889604463113843</v>
      </c>
      <c r="AG3039">
        <v>-1.1110437724660001</v>
      </c>
      <c r="AH3039">
        <v>15.2353936113796</v>
      </c>
      <c r="AI3039">
        <v>94.163854324866705</v>
      </c>
      <c r="AJ3039">
        <v>93.341743126038907</v>
      </c>
      <c r="AK3039">
        <v>15.3017330018137</v>
      </c>
      <c r="AL3039">
        <v>89.885454084575699</v>
      </c>
      <c r="AM3039">
        <v>89.6730312932213</v>
      </c>
      <c r="AN3039">
        <v>0.99999998143039404</v>
      </c>
    </row>
    <row r="3040" spans="1:40" x14ac:dyDescent="0.25">
      <c r="A3040" t="str">
        <f>"20190312154313265"</f>
        <v>20190312154313265</v>
      </c>
      <c r="B3040" t="str">
        <f>"1552376593260119"</f>
        <v>1552376593260119</v>
      </c>
      <c r="C3040" t="s">
        <v>40</v>
      </c>
      <c r="D3040">
        <v>4.9469799999999999</v>
      </c>
      <c r="E3040">
        <v>0.4783058</v>
      </c>
      <c r="F3040" t="s">
        <v>43</v>
      </c>
      <c r="G3040">
        <v>-492.4751</v>
      </c>
      <c r="H3040" s="1">
        <v>-1.670961E-6</v>
      </c>
      <c r="I3040">
        <v>241.94900000000001</v>
      </c>
      <c r="J3040">
        <v>-491.96910000000003</v>
      </c>
      <c r="K3040">
        <v>1.1110549999999999</v>
      </c>
      <c r="L3040">
        <v>257.44209999999998</v>
      </c>
      <c r="M3040">
        <v>-8.9026380000000002E-2</v>
      </c>
      <c r="N3040">
        <v>0</v>
      </c>
      <c r="O3040">
        <v>-0.99593730000000003</v>
      </c>
      <c r="P3040">
        <v>-9.5603209999999994E-2</v>
      </c>
      <c r="Q3040">
        <v>-1.1294500000000001E-2</v>
      </c>
      <c r="R3040">
        <v>-0.99535569999999896</v>
      </c>
      <c r="S3040">
        <v>-9.8907469999999997E-2</v>
      </c>
      <c r="T3040">
        <v>-0.21397939999999999</v>
      </c>
      <c r="U3040">
        <v>-3.002075</v>
      </c>
      <c r="V3040">
        <v>6.6002350000000003E-3</v>
      </c>
      <c r="W3040">
        <v>2.256217E-3</v>
      </c>
      <c r="X3040">
        <v>0.99997570000000002</v>
      </c>
      <c r="Y3040">
        <v>-5.6270830000000001E-2</v>
      </c>
      <c r="Z3040">
        <v>7.0598540000000001E-2</v>
      </c>
      <c r="AA3040">
        <v>0.99591640000000003</v>
      </c>
      <c r="AB3040">
        <v>13</v>
      </c>
      <c r="AC3040">
        <v>-0.50599999999997103</v>
      </c>
      <c r="AD3040">
        <v>-1.1110566709609999</v>
      </c>
      <c r="AE3040">
        <v>-15.493099999999901</v>
      </c>
      <c r="AF3040">
        <v>-0.87095618540031405</v>
      </c>
      <c r="AG3040">
        <v>-1.1110566709609999</v>
      </c>
      <c r="AH3040">
        <v>15.397519952090001</v>
      </c>
      <c r="AI3040">
        <v>94.120640507054901</v>
      </c>
      <c r="AJ3040">
        <v>93.237469018213801</v>
      </c>
      <c r="AK3040">
        <v>15.462103100095501</v>
      </c>
      <c r="AL3040">
        <v>89.8707281820612</v>
      </c>
      <c r="AM3040">
        <v>89.621830692670301</v>
      </c>
      <c r="AN3040">
        <v>1.0000000271038401</v>
      </c>
    </row>
    <row r="3041" spans="1:40" x14ac:dyDescent="0.25">
      <c r="A3041" t="str">
        <f>"20190312154313290"</f>
        <v>20190312154313290</v>
      </c>
      <c r="B3041" t="str">
        <f>"1552376593280615"</f>
        <v>1552376593280615</v>
      </c>
      <c r="C3041" t="s">
        <v>40</v>
      </c>
      <c r="D3041">
        <v>4.9440289999999996</v>
      </c>
      <c r="E3041">
        <v>0.47878140000000002</v>
      </c>
      <c r="F3041" t="s">
        <v>43</v>
      </c>
      <c r="G3041">
        <v>-492.51679999999999</v>
      </c>
      <c r="H3041" s="1">
        <v>-1.5652369999999901E-6</v>
      </c>
      <c r="I3041">
        <v>241.67670000000001</v>
      </c>
      <c r="J3041">
        <v>-491.98</v>
      </c>
      <c r="K3041">
        <v>1.1110799999999901</v>
      </c>
      <c r="L3041">
        <v>257.30430000000001</v>
      </c>
      <c r="M3041">
        <v>-8.7802350000000001E-2</v>
      </c>
      <c r="N3041">
        <v>0</v>
      </c>
      <c r="O3041">
        <v>-0.99604590000000004</v>
      </c>
      <c r="P3041">
        <v>-9.4857590000000006E-2</v>
      </c>
      <c r="Q3041">
        <v>-1.072353E-2</v>
      </c>
      <c r="R3041">
        <v>-0.99543329999999997</v>
      </c>
      <c r="S3041">
        <v>-0.1042786</v>
      </c>
      <c r="T3041">
        <v>-0.21153469999999999</v>
      </c>
      <c r="U3041">
        <v>-3.0015869999999998</v>
      </c>
      <c r="V3041">
        <v>7.0788530000000004E-3</v>
      </c>
      <c r="W3041">
        <v>2.834619E-3</v>
      </c>
      <c r="X3041">
        <v>0.9999709</v>
      </c>
      <c r="Y3041">
        <v>-5.3256280000000003E-2</v>
      </c>
      <c r="Z3041">
        <v>6.982244E-2</v>
      </c>
      <c r="AA3041">
        <v>0.99613680000000004</v>
      </c>
      <c r="AB3041">
        <v>13</v>
      </c>
      <c r="AC3041">
        <v>-0.53679999999997097</v>
      </c>
      <c r="AD3041">
        <v>-1.1110815652370001</v>
      </c>
      <c r="AE3041">
        <v>-15.627599999999999</v>
      </c>
      <c r="AF3041">
        <v>-0.83333194056352999</v>
      </c>
      <c r="AG3041">
        <v>-1.1110815652370001</v>
      </c>
      <c r="AH3041">
        <v>15.5359313486122</v>
      </c>
      <c r="AI3041">
        <v>94.084799471072699</v>
      </c>
      <c r="AJ3041">
        <v>93.070346403122002</v>
      </c>
      <c r="AK3041">
        <v>15.597887909475499</v>
      </c>
      <c r="AL3041">
        <v>89.837588072894107</v>
      </c>
      <c r="AM3041">
        <v>89.594406571428095</v>
      </c>
      <c r="AN3041">
        <v>0.99999997303573995</v>
      </c>
    </row>
    <row r="3042" spans="1:40" x14ac:dyDescent="0.25">
      <c r="A3042" t="str">
        <f>"20190312154313304"</f>
        <v>20190312154313304</v>
      </c>
      <c r="B3042" t="str">
        <f>"1552376593290376"</f>
        <v>1552376593290376</v>
      </c>
      <c r="C3042" t="s">
        <v>40</v>
      </c>
      <c r="D3042">
        <v>4.9227019999999904</v>
      </c>
      <c r="E3042">
        <v>0.47895579999999999</v>
      </c>
      <c r="F3042" t="s">
        <v>43</v>
      </c>
      <c r="G3042">
        <v>-492.54680000000002</v>
      </c>
      <c r="H3042" s="1">
        <v>-1.389745E-6</v>
      </c>
      <c r="I3042">
        <v>241.249</v>
      </c>
      <c r="J3042">
        <v>-491.98649999999998</v>
      </c>
      <c r="K3042">
        <v>1.1110880000000001</v>
      </c>
      <c r="L3042">
        <v>257.22140000000002</v>
      </c>
      <c r="M3042">
        <v>-8.7057419999999996E-2</v>
      </c>
      <c r="N3042">
        <v>0</v>
      </c>
      <c r="O3042">
        <v>-0.99611130000000003</v>
      </c>
      <c r="P3042">
        <v>-9.4133300000000003E-2</v>
      </c>
      <c r="Q3042">
        <v>-1.034762E-2</v>
      </c>
      <c r="R3042">
        <v>-0.995506</v>
      </c>
      <c r="S3042">
        <v>-0.105957</v>
      </c>
      <c r="T3042">
        <v>-0.20771049999999999</v>
      </c>
      <c r="U3042">
        <v>-3.0014340000000002</v>
      </c>
      <c r="V3042">
        <v>7.0983469999999996E-3</v>
      </c>
      <c r="W3042">
        <v>3.2141790000000002E-3</v>
      </c>
      <c r="X3042">
        <v>0.99996969999999996</v>
      </c>
      <c r="Y3042">
        <v>-5.1948250000000001E-2</v>
      </c>
      <c r="Z3042">
        <v>6.8578130000000001E-2</v>
      </c>
      <c r="AA3042">
        <v>0.99629239999999997</v>
      </c>
      <c r="AB3042">
        <v>13</v>
      </c>
      <c r="AC3042">
        <v>-0.56030000000003999</v>
      </c>
      <c r="AD3042">
        <v>-1.1110893897449901</v>
      </c>
      <c r="AE3042">
        <v>-15.972399999999899</v>
      </c>
      <c r="AF3042">
        <v>-0.82846702307036502</v>
      </c>
      <c r="AG3042">
        <v>-1.1110893897449901</v>
      </c>
      <c r="AH3042">
        <v>15.883761705036999</v>
      </c>
      <c r="AI3042">
        <v>93.995980685251396</v>
      </c>
      <c r="AJ3042">
        <v>92.985734118239293</v>
      </c>
      <c r="AK3042">
        <v>15.944113745916299</v>
      </c>
      <c r="AL3042">
        <v>89.815840802511403</v>
      </c>
      <c r="AM3042">
        <v>89.593289183073693</v>
      </c>
      <c r="AN3042">
        <v>1.0000000591974301</v>
      </c>
    </row>
    <row r="3043" spans="1:40" x14ac:dyDescent="0.25">
      <c r="A3043" t="str">
        <f>"20190312154313316"</f>
        <v>20190312154313316</v>
      </c>
      <c r="B3043" t="str">
        <f>"1552376593309895"</f>
        <v>1552376593309895</v>
      </c>
      <c r="C3043" t="s">
        <v>40</v>
      </c>
      <c r="D3043">
        <v>4.9154369999999998</v>
      </c>
      <c r="E3043">
        <v>0.4791918</v>
      </c>
      <c r="F3043" t="s">
        <v>43</v>
      </c>
      <c r="G3043">
        <v>-492.55689999999998</v>
      </c>
      <c r="H3043" s="1">
        <v>-1.28032E-6</v>
      </c>
      <c r="I3043">
        <v>240.98769999999999</v>
      </c>
      <c r="J3043">
        <v>-491.99209999999999</v>
      </c>
      <c r="K3043">
        <v>1.1110960000000001</v>
      </c>
      <c r="L3043">
        <v>257.14690000000002</v>
      </c>
      <c r="M3043">
        <v>-8.6382650000000005E-2</v>
      </c>
      <c r="N3043">
        <v>0</v>
      </c>
      <c r="O3043">
        <v>-0.99616979999999999</v>
      </c>
      <c r="P3043">
        <v>-9.315387E-2</v>
      </c>
      <c r="Q3043">
        <v>-9.9106260000000005E-3</v>
      </c>
      <c r="R3043">
        <v>-0.9956024</v>
      </c>
      <c r="S3043">
        <v>-0.1054688</v>
      </c>
      <c r="T3043">
        <v>-0.2054279</v>
      </c>
      <c r="U3043">
        <v>-3.0014340000000002</v>
      </c>
      <c r="V3043">
        <v>6.7910999999999996E-3</v>
      </c>
      <c r="W3043">
        <v>3.6533429999999999E-3</v>
      </c>
      <c r="X3043">
        <v>0.99997029999999998</v>
      </c>
      <c r="Y3043">
        <v>-5.1431879999999999E-2</v>
      </c>
      <c r="Z3043">
        <v>6.7835140000000002E-2</v>
      </c>
      <c r="AA3043">
        <v>0.99636999999999998</v>
      </c>
      <c r="AB3043">
        <v>13</v>
      </c>
      <c r="AC3043">
        <v>-0.56479999999999098</v>
      </c>
      <c r="AD3043">
        <v>-1.1110972803200001</v>
      </c>
      <c r="AE3043">
        <v>-16.159199999999998</v>
      </c>
      <c r="AF3043">
        <v>-0.82939789518962004</v>
      </c>
      <c r="AG3043">
        <v>-1.1110972803200001</v>
      </c>
      <c r="AH3043">
        <v>16.071687770699199</v>
      </c>
      <c r="AI3043">
        <v>93.949544861876902</v>
      </c>
      <c r="AJ3043">
        <v>92.954193797364496</v>
      </c>
      <c r="AK3043">
        <v>16.131385118263101</v>
      </c>
      <c r="AL3043">
        <v>89.7906784063468</v>
      </c>
      <c r="AM3043">
        <v>89.610893057122695</v>
      </c>
      <c r="AN3043">
        <v>1.00000003341818</v>
      </c>
    </row>
    <row r="3044" spans="1:40" x14ac:dyDescent="0.25">
      <c r="A3044" t="str">
        <f>"20190312154313333"</f>
        <v>20190312154313333</v>
      </c>
      <c r="B3044" t="str">
        <f>"1552376593320631"</f>
        <v>1552376593320631</v>
      </c>
      <c r="C3044" t="s">
        <v>40</v>
      </c>
      <c r="D3044">
        <v>4.8876249999999999</v>
      </c>
      <c r="E3044">
        <v>0.4792922</v>
      </c>
      <c r="F3044" t="s">
        <v>43</v>
      </c>
      <c r="G3044">
        <v>-492.5607</v>
      </c>
      <c r="H3044" s="1">
        <v>-1.1683060000000001E-6</v>
      </c>
      <c r="I3044">
        <v>240.7242</v>
      </c>
      <c r="J3044">
        <v>-491.99959999999999</v>
      </c>
      <c r="K3044">
        <v>1.111103</v>
      </c>
      <c r="L3044">
        <v>257.04950000000002</v>
      </c>
      <c r="M3044">
        <v>-8.5497409999999996E-2</v>
      </c>
      <c r="N3044">
        <v>0</v>
      </c>
      <c r="O3044">
        <v>-0.99624630000000003</v>
      </c>
      <c r="P3044">
        <v>-9.1699970000000006E-2</v>
      </c>
      <c r="Q3044">
        <v>-9.8499520000000004E-3</v>
      </c>
      <c r="R3044">
        <v>-0.99573840000000002</v>
      </c>
      <c r="S3044">
        <v>-0.1039124</v>
      </c>
      <c r="T3044">
        <v>-0.20306940000000001</v>
      </c>
      <c r="U3044">
        <v>-3.0014799999999999</v>
      </c>
      <c r="V3044">
        <v>6.2193589999999998E-3</v>
      </c>
      <c r="W3044">
        <v>3.7162860000000001E-3</v>
      </c>
      <c r="X3044">
        <v>0.99997380000000002</v>
      </c>
      <c r="Y3044">
        <v>-5.1059199999999999E-2</v>
      </c>
      <c r="Z3044">
        <v>6.7067870000000002E-2</v>
      </c>
      <c r="AA3044">
        <v>0.99644109999999997</v>
      </c>
      <c r="AB3044">
        <v>13</v>
      </c>
      <c r="AC3044">
        <v>-0.56110000000001004</v>
      </c>
      <c r="AD3044">
        <v>-1.1111041683059999</v>
      </c>
      <c r="AE3044">
        <v>-16.325299999999999</v>
      </c>
      <c r="AF3044">
        <v>-0.83299978648207096</v>
      </c>
      <c r="AG3044">
        <v>-1.1111041683059999</v>
      </c>
      <c r="AH3044">
        <v>16.2383586129673</v>
      </c>
      <c r="AI3044">
        <v>93.909218715089494</v>
      </c>
      <c r="AJ3044">
        <v>92.9366005608873</v>
      </c>
      <c r="AK3044">
        <v>16.297629630115999</v>
      </c>
      <c r="AL3044">
        <v>89.787072016400998</v>
      </c>
      <c r="AM3044">
        <v>89.643652236346</v>
      </c>
      <c r="AN3044">
        <v>1.00000004594722</v>
      </c>
    </row>
    <row r="3045" spans="1:40" x14ac:dyDescent="0.25">
      <c r="A3045" t="str">
        <f>"20190312154313346"</f>
        <v>20190312154313346</v>
      </c>
      <c r="B3045" t="str">
        <f>"1552376593340152"</f>
        <v>1552376593340152</v>
      </c>
      <c r="C3045" t="s">
        <v>40</v>
      </c>
      <c r="D3045">
        <v>4.9228940000000003</v>
      </c>
      <c r="E3045">
        <v>0.47953469999999998</v>
      </c>
      <c r="F3045" t="s">
        <v>43</v>
      </c>
      <c r="G3045">
        <v>-492.55309999999997</v>
      </c>
      <c r="H3045" s="1">
        <v>-1.088253E-6</v>
      </c>
      <c r="I3045">
        <v>240.54239999999999</v>
      </c>
      <c r="J3045">
        <v>-492.00580000000002</v>
      </c>
      <c r="K3045">
        <v>1.1111040000000001</v>
      </c>
      <c r="L3045">
        <v>256.96660000000003</v>
      </c>
      <c r="M3045">
        <v>-8.4741170000000005E-2</v>
      </c>
      <c r="N3045">
        <v>0</v>
      </c>
      <c r="O3045">
        <v>-0.99631080000000005</v>
      </c>
      <c r="P3045">
        <v>-9.0713340000000003E-2</v>
      </c>
      <c r="Q3045">
        <v>-9.5833989999999994E-3</v>
      </c>
      <c r="R3045">
        <v>-0.99583129999999997</v>
      </c>
      <c r="S3045">
        <v>-0.100647</v>
      </c>
      <c r="T3045">
        <v>-0.2020373</v>
      </c>
      <c r="U3045">
        <v>-3.0015719999999999</v>
      </c>
      <c r="V3045">
        <v>5.9871269999999897E-3</v>
      </c>
      <c r="W3045">
        <v>3.9847429999999998E-3</v>
      </c>
      <c r="X3045">
        <v>0.99997409999999998</v>
      </c>
      <c r="Y3045">
        <v>-5.1384180000000002E-2</v>
      </c>
      <c r="Z3045">
        <v>6.6733669999999995E-2</v>
      </c>
      <c r="AA3045">
        <v>0.99644679999999997</v>
      </c>
      <c r="AB3045">
        <v>13</v>
      </c>
      <c r="AC3045">
        <v>-0.54729999999995005</v>
      </c>
      <c r="AD3045">
        <v>-1.111105088253</v>
      </c>
      <c r="AE3045">
        <v>-16.424199999999999</v>
      </c>
      <c r="AF3045">
        <v>-0.84275015534049302</v>
      </c>
      <c r="AG3045">
        <v>-1.111105088253</v>
      </c>
      <c r="AH3045">
        <v>16.336810423003801</v>
      </c>
      <c r="AI3045">
        <v>93.885678697910507</v>
      </c>
      <c r="AJ3045">
        <v>92.953040562144494</v>
      </c>
      <c r="AK3045">
        <v>16.396223868276302</v>
      </c>
      <c r="AL3045">
        <v>89.771690430848494</v>
      </c>
      <c r="AM3045">
        <v>89.656958105630807</v>
      </c>
      <c r="AN3045">
        <v>0.99999996226864896</v>
      </c>
    </row>
    <row r="3046" spans="1:40" x14ac:dyDescent="0.25">
      <c r="A3046" t="str">
        <f>"20190312154313360"</f>
        <v>20190312154313360</v>
      </c>
      <c r="B3046" t="str">
        <f>"1552376593349911"</f>
        <v>1552376593349911</v>
      </c>
      <c r="C3046" t="s">
        <v>40</v>
      </c>
      <c r="D3046">
        <v>4.897621</v>
      </c>
      <c r="E3046">
        <v>0.47960530000000001</v>
      </c>
      <c r="F3046" t="s">
        <v>43</v>
      </c>
      <c r="G3046">
        <v>-492.55680000000001</v>
      </c>
      <c r="H3046" s="1">
        <v>-1.0140759999999999E-6</v>
      </c>
      <c r="I3046">
        <v>240.36709999999999</v>
      </c>
      <c r="J3046">
        <v>-492.01150000000001</v>
      </c>
      <c r="K3046">
        <v>1.1111059999999999</v>
      </c>
      <c r="L3046">
        <v>256.88959999999997</v>
      </c>
      <c r="M3046">
        <v>-8.4036479999999997E-2</v>
      </c>
      <c r="N3046">
        <v>0</v>
      </c>
      <c r="O3046">
        <v>-0.99637039999999999</v>
      </c>
      <c r="P3046">
        <v>-8.9671260000000003E-2</v>
      </c>
      <c r="Q3046">
        <v>-9.5837709999999996E-3</v>
      </c>
      <c r="R3046">
        <v>-0.99592559999999997</v>
      </c>
      <c r="S3046">
        <v>-9.9639889999999995E-2</v>
      </c>
      <c r="T3046">
        <v>-0.20091249999999999</v>
      </c>
      <c r="U3046">
        <v>-3.0015559999999999</v>
      </c>
      <c r="V3046">
        <v>5.6480509999999899E-3</v>
      </c>
      <c r="W3046">
        <v>3.9852200000000003E-3</v>
      </c>
      <c r="X3046">
        <v>0.99997610000000003</v>
      </c>
      <c r="Y3046">
        <v>-5.1010809999999997E-2</v>
      </c>
      <c r="Z3046">
        <v>6.6371089999999994E-2</v>
      </c>
      <c r="AA3046">
        <v>0.99649019999999999</v>
      </c>
      <c r="AB3046">
        <v>13</v>
      </c>
      <c r="AC3046">
        <v>-0.54529999999999701</v>
      </c>
      <c r="AD3046">
        <v>-1.111107014076</v>
      </c>
      <c r="AE3046">
        <v>-16.522499999999901</v>
      </c>
      <c r="AF3046">
        <v>-0.84144853412361598</v>
      </c>
      <c r="AG3046">
        <v>-1.111107014076</v>
      </c>
      <c r="AH3046">
        <v>16.435627029398599</v>
      </c>
      <c r="AI3046">
        <v>93.862471115201402</v>
      </c>
      <c r="AJ3046">
        <v>92.9307913517885</v>
      </c>
      <c r="AK3046">
        <v>16.494618221765698</v>
      </c>
      <c r="AL3046">
        <v>89.771663107221698</v>
      </c>
      <c r="AM3046">
        <v>89.676386222053907</v>
      </c>
      <c r="AN3046">
        <v>0.99999999151487795</v>
      </c>
    </row>
    <row r="3047" spans="1:40" x14ac:dyDescent="0.25">
      <c r="A3047" t="str">
        <f>"20190312154313374"</f>
        <v>20190312154313374</v>
      </c>
      <c r="B3047" t="str">
        <f>"1552376593360647"</f>
        <v>1552376593360647</v>
      </c>
      <c r="C3047" t="s">
        <v>40</v>
      </c>
      <c r="D3047">
        <v>4.8905779999999996</v>
      </c>
      <c r="E3047">
        <v>0.47968070000000002</v>
      </c>
      <c r="F3047" t="s">
        <v>43</v>
      </c>
      <c r="G3047">
        <v>-492.54739999999998</v>
      </c>
      <c r="H3047" s="1">
        <v>-9.7779619999999996E-7</v>
      </c>
      <c r="I3047">
        <v>240.2884</v>
      </c>
      <c r="J3047">
        <v>-492.01749999999998</v>
      </c>
      <c r="K3047">
        <v>1.1111040000000001</v>
      </c>
      <c r="L3047">
        <v>256.80779999999999</v>
      </c>
      <c r="M3047">
        <v>-8.3286499999999999E-2</v>
      </c>
      <c r="N3047">
        <v>0</v>
      </c>
      <c r="O3047">
        <v>-0.99643349999999997</v>
      </c>
      <c r="P3047">
        <v>-8.8698449999999998E-2</v>
      </c>
      <c r="Q3047">
        <v>-9.2793690000000009E-3</v>
      </c>
      <c r="R3047">
        <v>-0.99601569999999995</v>
      </c>
      <c r="S3047">
        <v>-9.6893309999999996E-2</v>
      </c>
      <c r="T3047">
        <v>-0.20089660000000001</v>
      </c>
      <c r="U3047">
        <v>-3.001617</v>
      </c>
      <c r="V3047">
        <v>5.4234599999999997E-3</v>
      </c>
      <c r="W3047">
        <v>4.2908699999999996E-3</v>
      </c>
      <c r="X3047">
        <v>0.99997610000000003</v>
      </c>
      <c r="Y3047">
        <v>-5.1170609999999998E-2</v>
      </c>
      <c r="Z3047">
        <v>6.6371520000000003E-2</v>
      </c>
      <c r="AA3047">
        <v>0.99648199999999998</v>
      </c>
      <c r="AB3047">
        <v>13</v>
      </c>
      <c r="AC3047">
        <v>-0.52989999999999704</v>
      </c>
      <c r="AD3047">
        <v>-1.1111049777961901</v>
      </c>
      <c r="AE3047">
        <v>-16.519399999999901</v>
      </c>
      <c r="AF3047">
        <v>-0.84409599804693503</v>
      </c>
      <c r="AG3047">
        <v>-1.1111049777961901</v>
      </c>
      <c r="AH3047">
        <v>16.4318715181881</v>
      </c>
      <c r="AI3047">
        <v>93.863310106738197</v>
      </c>
      <c r="AJ3047">
        <v>92.940667156587807</v>
      </c>
      <c r="AK3047">
        <v>16.4910113066435</v>
      </c>
      <c r="AL3047">
        <v>89.754150507347205</v>
      </c>
      <c r="AM3047">
        <v>89.689254251617498</v>
      </c>
      <c r="AN3047">
        <v>1.00000001302746</v>
      </c>
    </row>
    <row r="3048" spans="1:40" x14ac:dyDescent="0.25">
      <c r="A3048" t="str">
        <f>"20190312154313389"</f>
        <v>20190312154313389</v>
      </c>
      <c r="B3048" t="str">
        <f>"1552376593380167"</f>
        <v>1552376593380167</v>
      </c>
      <c r="C3048" t="s">
        <v>40</v>
      </c>
      <c r="D3048">
        <v>4.8779430000000001</v>
      </c>
      <c r="E3048">
        <v>0.47986760000000001</v>
      </c>
      <c r="F3048" t="s">
        <v>43</v>
      </c>
      <c r="G3048">
        <v>-492.5446</v>
      </c>
      <c r="H3048" s="1">
        <v>-9.0358730000000001E-7</v>
      </c>
      <c r="I3048">
        <v>240.1172</v>
      </c>
      <c r="J3048">
        <v>-492.02420000000001</v>
      </c>
      <c r="K3048">
        <v>1.111105</v>
      </c>
      <c r="L3048">
        <v>256.71589999999998</v>
      </c>
      <c r="M3048">
        <v>-8.244303E-2</v>
      </c>
      <c r="N3048">
        <v>0</v>
      </c>
      <c r="O3048">
        <v>-0.99650349999999999</v>
      </c>
      <c r="P3048">
        <v>-8.6953900000000001E-2</v>
      </c>
      <c r="Q3048">
        <v>-9.1853939999999995E-3</v>
      </c>
      <c r="R3048">
        <v>-0.99617</v>
      </c>
      <c r="S3048">
        <v>-9.47876E-2</v>
      </c>
      <c r="T3048">
        <v>-0.19982269999999999</v>
      </c>
      <c r="U3048">
        <v>-3.0016630000000002</v>
      </c>
      <c r="V3048">
        <v>4.5184509999999997E-3</v>
      </c>
      <c r="W3048">
        <v>4.3852830000000002E-3</v>
      </c>
      <c r="X3048">
        <v>0.99998019999999999</v>
      </c>
      <c r="Y3048">
        <v>-5.1023359999999997E-2</v>
      </c>
      <c r="Z3048">
        <v>6.6025230000000004E-2</v>
      </c>
      <c r="AA3048">
        <v>0.99651250000000002</v>
      </c>
      <c r="AB3048">
        <v>13</v>
      </c>
      <c r="AC3048">
        <v>-0.52039999999999498</v>
      </c>
      <c r="AD3048">
        <v>-1.1111059035873001</v>
      </c>
      <c r="AE3048">
        <v>-16.598699999999901</v>
      </c>
      <c r="AF3048">
        <v>-0.846157065480029</v>
      </c>
      <c r="AG3048">
        <v>-1.1111059035873001</v>
      </c>
      <c r="AH3048">
        <v>16.5111793759772</v>
      </c>
      <c r="AI3048">
        <v>93.844836436784206</v>
      </c>
      <c r="AJ3048">
        <v>92.933700378629595</v>
      </c>
      <c r="AK3048">
        <v>16.570141293729002</v>
      </c>
      <c r="AL3048">
        <v>89.748740992777599</v>
      </c>
      <c r="AM3048">
        <v>89.741108463613799</v>
      </c>
      <c r="AN3048">
        <v>1.0000000237492299</v>
      </c>
    </row>
    <row r="3049" spans="1:40" x14ac:dyDescent="0.25">
      <c r="A3049" t="str">
        <f>"20190312154313401"</f>
        <v>20190312154313401</v>
      </c>
      <c r="B3049" t="str">
        <f>"1552376593390903"</f>
        <v>1552376593390903</v>
      </c>
      <c r="C3049" t="s">
        <v>40</v>
      </c>
      <c r="D3049">
        <v>4.871988</v>
      </c>
      <c r="E3049">
        <v>0.48001650000000001</v>
      </c>
      <c r="F3049" t="s">
        <v>43</v>
      </c>
      <c r="G3049">
        <v>-492.5333</v>
      </c>
      <c r="H3049" s="1">
        <v>-8.4162269999999904E-7</v>
      </c>
      <c r="I3049">
        <v>239.97980000000001</v>
      </c>
      <c r="J3049">
        <v>-492.02929999999998</v>
      </c>
      <c r="K3049">
        <v>1.111105</v>
      </c>
      <c r="L3049">
        <v>256.64440000000002</v>
      </c>
      <c r="M3049">
        <v>-8.1786369999999997E-2</v>
      </c>
      <c r="N3049">
        <v>0</v>
      </c>
      <c r="O3049">
        <v>-0.99655780000000005</v>
      </c>
      <c r="P3049">
        <v>-8.6141969999999998E-2</v>
      </c>
      <c r="Q3049">
        <v>-9.1097090000000006E-3</v>
      </c>
      <c r="R3049">
        <v>-0.99624159999999995</v>
      </c>
      <c r="S3049">
        <v>-9.1308589999999995E-2</v>
      </c>
      <c r="T3049">
        <v>-0.1992826</v>
      </c>
      <c r="U3049">
        <v>-3.0017239999999998</v>
      </c>
      <c r="V3049">
        <v>4.3622490000000003E-3</v>
      </c>
      <c r="W3049">
        <v>4.4615770000000004E-3</v>
      </c>
      <c r="X3049">
        <v>0.99998050000000005</v>
      </c>
      <c r="Y3049">
        <v>-5.1519389999999998E-2</v>
      </c>
      <c r="Z3049">
        <v>6.5851930000000003E-2</v>
      </c>
      <c r="AA3049">
        <v>0.99649849999999995</v>
      </c>
      <c r="AB3049">
        <v>13</v>
      </c>
      <c r="AC3049">
        <v>-0.50400000000001899</v>
      </c>
      <c r="AD3049">
        <v>-1.1111058416227</v>
      </c>
      <c r="AE3049">
        <v>-16.6646</v>
      </c>
      <c r="AF3049">
        <v>-0.85694493406928396</v>
      </c>
      <c r="AG3049">
        <v>-1.1111058416227</v>
      </c>
      <c r="AH3049">
        <v>16.576362535603501</v>
      </c>
      <c r="AI3049">
        <v>93.829674204609205</v>
      </c>
      <c r="AJ3049">
        <v>92.959374085118796</v>
      </c>
      <c r="AK3049">
        <v>16.635645635895099</v>
      </c>
      <c r="AL3049">
        <v>89.744369611566199</v>
      </c>
      <c r="AM3049">
        <v>89.750058254672197</v>
      </c>
      <c r="AN3049">
        <v>0.99999996763295695</v>
      </c>
    </row>
    <row r="3050" spans="1:40" x14ac:dyDescent="0.25">
      <c r="A3050" t="str">
        <f>"20190312154313413"</f>
        <v>20190312154313413</v>
      </c>
      <c r="B3050" t="str">
        <f>"1552376593400663"</f>
        <v>1552376593400663</v>
      </c>
      <c r="C3050" t="s">
        <v>40</v>
      </c>
      <c r="D3050">
        <v>4.7820320000000001</v>
      </c>
      <c r="E3050">
        <v>0.4801319</v>
      </c>
      <c r="F3050" t="s">
        <v>43</v>
      </c>
      <c r="G3050">
        <v>-492.5308</v>
      </c>
      <c r="H3050" s="1">
        <v>-8.0223999999999901E-7</v>
      </c>
      <c r="I3050">
        <v>239.8895</v>
      </c>
      <c r="J3050">
        <v>-492.03379999999999</v>
      </c>
      <c r="K3050">
        <v>1.1110979999999999</v>
      </c>
      <c r="L3050">
        <v>256.58229999999998</v>
      </c>
      <c r="M3050">
        <v>-8.1216750000000004E-2</v>
      </c>
      <c r="N3050">
        <v>0</v>
      </c>
      <c r="O3050">
        <v>-0.99660400000000005</v>
      </c>
      <c r="P3050">
        <v>-8.5154659999999993E-2</v>
      </c>
      <c r="Q3050">
        <v>-8.9909710000000004E-3</v>
      </c>
      <c r="R3050">
        <v>-0.99632730000000003</v>
      </c>
      <c r="S3050">
        <v>-8.984375E-2</v>
      </c>
      <c r="T3050">
        <v>-0.1990634</v>
      </c>
      <c r="U3050">
        <v>-3.00177</v>
      </c>
      <c r="V3050">
        <v>3.9426679999999999E-3</v>
      </c>
      <c r="W3050">
        <v>4.57983E-3</v>
      </c>
      <c r="X3050">
        <v>0.99998180000000003</v>
      </c>
      <c r="Y3050">
        <v>-5.1434760000000003E-2</v>
      </c>
      <c r="Z3050">
        <v>6.5784060000000005E-2</v>
      </c>
      <c r="AA3050">
        <v>0.99650729999999998</v>
      </c>
      <c r="AB3050">
        <v>13</v>
      </c>
      <c r="AC3050">
        <v>-0.49700000000001399</v>
      </c>
      <c r="AD3050">
        <v>-1.1110988022399999</v>
      </c>
      <c r="AE3050">
        <v>-16.692799999999899</v>
      </c>
      <c r="AF3050">
        <v>-0.85670983726343697</v>
      </c>
      <c r="AG3050">
        <v>-1.1110988022399999</v>
      </c>
      <c r="AH3050">
        <v>16.604512817826802</v>
      </c>
      <c r="AI3050">
        <v>93.823196717327903</v>
      </c>
      <c r="AJ3050">
        <v>92.953556763732493</v>
      </c>
      <c r="AK3050">
        <v>16.663683212632801</v>
      </c>
      <c r="AL3050">
        <v>89.737594168505794</v>
      </c>
      <c r="AM3050">
        <v>89.774098822710499</v>
      </c>
      <c r="AN3050">
        <v>1.0000000599025101</v>
      </c>
    </row>
    <row r="3051" spans="1:40" x14ac:dyDescent="0.25">
      <c r="A3051" t="str">
        <f>"20190312154313424"</f>
        <v>20190312154313424</v>
      </c>
      <c r="B3051" t="str">
        <f>"1552376593410423"</f>
        <v>1552376593410423</v>
      </c>
      <c r="C3051" t="s">
        <v>40</v>
      </c>
      <c r="D3051">
        <v>4.8786849999999999</v>
      </c>
      <c r="E3051">
        <v>0.48026380000000002</v>
      </c>
      <c r="F3051" t="s">
        <v>43</v>
      </c>
      <c r="G3051">
        <v>-492.5317</v>
      </c>
      <c r="H3051" s="1">
        <v>-7.1360269999999998E-7</v>
      </c>
      <c r="I3051">
        <v>239.6823</v>
      </c>
      <c r="J3051">
        <v>-492.03840000000002</v>
      </c>
      <c r="K3051">
        <v>1.111097</v>
      </c>
      <c r="L3051">
        <v>256.51740000000001</v>
      </c>
      <c r="M3051">
        <v>-8.0621579999999998E-2</v>
      </c>
      <c r="N3051">
        <v>0</v>
      </c>
      <c r="O3051">
        <v>-0.99665269999999995</v>
      </c>
      <c r="P3051">
        <v>-8.4179799999999999E-2</v>
      </c>
      <c r="Q3051">
        <v>-9.2048609999999999E-3</v>
      </c>
      <c r="R3051">
        <v>-0.99640830000000002</v>
      </c>
      <c r="S3051">
        <v>-8.8439939999999995E-2</v>
      </c>
      <c r="T3051">
        <v>-0.19734789999999999</v>
      </c>
      <c r="U3051">
        <v>-3.0016940000000001</v>
      </c>
      <c r="V3051">
        <v>3.5618669999999998E-3</v>
      </c>
      <c r="W3051">
        <v>4.3652559999999997E-3</v>
      </c>
      <c r="X3051">
        <v>0.99998410000000004</v>
      </c>
      <c r="Y3051">
        <v>-5.1302130000000001E-2</v>
      </c>
      <c r="Z3051">
        <v>6.5226640000000002E-2</v>
      </c>
      <c r="AA3051">
        <v>0.99655090000000002</v>
      </c>
      <c r="AB3051">
        <v>13</v>
      </c>
      <c r="AC3051">
        <v>-0.49329999999997598</v>
      </c>
      <c r="AD3051">
        <v>-1.1110977136027</v>
      </c>
      <c r="AE3051">
        <v>-16.835100000000001</v>
      </c>
      <c r="AF3051">
        <v>-0.86195172766166195</v>
      </c>
      <c r="AG3051">
        <v>-1.1110977136027</v>
      </c>
      <c r="AH3051">
        <v>16.7471766393735</v>
      </c>
      <c r="AI3051">
        <v>93.790744368880894</v>
      </c>
      <c r="AJ3051">
        <v>92.946326912119204</v>
      </c>
      <c r="AK3051">
        <v>16.806112706404502</v>
      </c>
      <c r="AL3051">
        <v>89.749888453192696</v>
      </c>
      <c r="AM3051">
        <v>89.795917671871905</v>
      </c>
      <c r="AN3051">
        <v>0.99999997130464002</v>
      </c>
    </row>
    <row r="3052" spans="1:40" x14ac:dyDescent="0.25">
      <c r="A3052" t="str">
        <f>"20190312154313436"</f>
        <v>20190312154313436</v>
      </c>
      <c r="B3052" t="str">
        <f>"1552376593429943"</f>
        <v>1552376593429943</v>
      </c>
      <c r="C3052" t="s">
        <v>40</v>
      </c>
      <c r="D3052">
        <v>4.880439</v>
      </c>
      <c r="E3052">
        <v>0.48053980000000002</v>
      </c>
      <c r="F3052" t="s">
        <v>43</v>
      </c>
      <c r="G3052">
        <v>-492.52539999999999</v>
      </c>
      <c r="H3052" s="1">
        <v>-7.0417229999999996E-7</v>
      </c>
      <c r="I3052">
        <v>239.6643</v>
      </c>
      <c r="J3052">
        <v>-492.04340000000002</v>
      </c>
      <c r="K3052">
        <v>1.1110930000000001</v>
      </c>
      <c r="L3052">
        <v>256.44589999999999</v>
      </c>
      <c r="M3052">
        <v>-7.9966930000000006E-2</v>
      </c>
      <c r="N3052">
        <v>0</v>
      </c>
      <c r="O3052">
        <v>-0.99670519999999996</v>
      </c>
      <c r="P3052">
        <v>-8.3073830000000001E-2</v>
      </c>
      <c r="Q3052">
        <v>-9.0629119999999994E-3</v>
      </c>
      <c r="R3052">
        <v>-0.99650229999999995</v>
      </c>
      <c r="S3052">
        <v>-8.6730959999999996E-2</v>
      </c>
      <c r="T3052">
        <v>-0.1978927</v>
      </c>
      <c r="U3052">
        <v>-3.001633</v>
      </c>
      <c r="V3052">
        <v>3.108595E-3</v>
      </c>
      <c r="W3052">
        <v>4.5073509999999997E-3</v>
      </c>
      <c r="X3052">
        <v>0.99998500000000001</v>
      </c>
      <c r="Y3052">
        <v>-5.1212840000000003E-2</v>
      </c>
      <c r="Z3052">
        <v>6.541313E-2</v>
      </c>
      <c r="AA3052">
        <v>0.99654319999999996</v>
      </c>
      <c r="AB3052">
        <v>13</v>
      </c>
      <c r="AC3052">
        <v>-0.48199999999997001</v>
      </c>
      <c r="AD3052">
        <v>-1.1110937041722999</v>
      </c>
      <c r="AE3052">
        <v>-16.781599999999901</v>
      </c>
      <c r="AF3052">
        <v>-0.85788286766869004</v>
      </c>
      <c r="AG3052">
        <v>-1.1110937041722999</v>
      </c>
      <c r="AH3052">
        <v>16.693277949237501</v>
      </c>
      <c r="AI3052">
        <v>93.802949340639998</v>
      </c>
      <c r="AJ3052">
        <v>92.941894618106502</v>
      </c>
      <c r="AK3052">
        <v>16.752194510707898</v>
      </c>
      <c r="AL3052">
        <v>89.741746933848503</v>
      </c>
      <c r="AM3052">
        <v>89.821888528338107</v>
      </c>
      <c r="AN3052">
        <v>0.99999998990045502</v>
      </c>
    </row>
    <row r="3053" spans="1:40" x14ac:dyDescent="0.25">
      <c r="A3053" t="str">
        <f>"20190312154313447"</f>
        <v>20190312154313447</v>
      </c>
      <c r="B3053" t="str">
        <f>"1552376593440680"</f>
        <v>1552376593440680</v>
      </c>
      <c r="C3053" t="s">
        <v>40</v>
      </c>
      <c r="D3053">
        <v>4.7891879999999896</v>
      </c>
      <c r="E3053">
        <v>0.48059839999999998</v>
      </c>
      <c r="F3053" t="s">
        <v>43</v>
      </c>
      <c r="G3053">
        <v>-492.52159999999998</v>
      </c>
      <c r="H3053" s="1">
        <v>-4.7367199999999996E-6</v>
      </c>
      <c r="I3053">
        <v>239.5915</v>
      </c>
      <c r="J3053">
        <v>-492.048</v>
      </c>
      <c r="K3053">
        <v>1.111094</v>
      </c>
      <c r="L3053">
        <v>256.37869999999998</v>
      </c>
      <c r="M3053">
        <v>-7.935093E-2</v>
      </c>
      <c r="N3053">
        <v>0</v>
      </c>
      <c r="O3053">
        <v>-0.99675480000000005</v>
      </c>
      <c r="P3053">
        <v>-8.2175219999999993E-2</v>
      </c>
      <c r="Q3053">
        <v>-8.8271100000000009E-3</v>
      </c>
      <c r="R3053">
        <v>-0.99657929999999995</v>
      </c>
      <c r="S3053">
        <v>-8.5174559999999996E-2</v>
      </c>
      <c r="T3053">
        <v>-0.19787679999999999</v>
      </c>
      <c r="U3053">
        <v>-3.001633</v>
      </c>
      <c r="V3053">
        <v>2.824516E-3</v>
      </c>
      <c r="W3053">
        <v>4.7424299999999997E-3</v>
      </c>
      <c r="X3053">
        <v>0.99998469999999995</v>
      </c>
      <c r="Y3053">
        <v>-5.1111910000000003E-2</v>
      </c>
      <c r="Z3053">
        <v>6.541342E-2</v>
      </c>
      <c r="AA3053">
        <v>0.9965484</v>
      </c>
      <c r="AB3053">
        <v>13</v>
      </c>
      <c r="AC3053">
        <v>-0.47359999999997598</v>
      </c>
      <c r="AD3053">
        <v>-1.11109873672</v>
      </c>
      <c r="AE3053">
        <v>-16.787199999999899</v>
      </c>
      <c r="AF3053">
        <v>-0.856347227264876</v>
      </c>
      <c r="AG3053">
        <v>-1.11109873672</v>
      </c>
      <c r="AH3053">
        <v>16.698745074563799</v>
      </c>
      <c r="AI3053">
        <v>93.801746199369504</v>
      </c>
      <c r="AJ3053">
        <v>92.935677984200694</v>
      </c>
      <c r="AK3053">
        <v>16.757564203715699</v>
      </c>
      <c r="AL3053">
        <v>89.728277739993004</v>
      </c>
      <c r="AM3053">
        <v>89.838165108331694</v>
      </c>
      <c r="AN3053">
        <v>0.99999993438351198</v>
      </c>
    </row>
    <row r="3054" spans="1:40" x14ac:dyDescent="0.25">
      <c r="A3054" t="str">
        <f>"20190312154313459"</f>
        <v>20190312154313459</v>
      </c>
      <c r="B3054" t="str">
        <f>"1552376593450439"</f>
        <v>1552376593450439</v>
      </c>
      <c r="C3054" t="s">
        <v>40</v>
      </c>
      <c r="D3054">
        <v>4.8386490000000002</v>
      </c>
      <c r="E3054">
        <v>0.48080420000000001</v>
      </c>
      <c r="F3054" t="s">
        <v>43</v>
      </c>
      <c r="G3054">
        <v>-492.51089999999999</v>
      </c>
      <c r="H3054" s="1">
        <v>-7.0114830000000003E-7</v>
      </c>
      <c r="I3054">
        <v>239.6662</v>
      </c>
      <c r="J3054">
        <v>-492.0523</v>
      </c>
      <c r="K3054">
        <v>1.1110930000000001</v>
      </c>
      <c r="L3054">
        <v>256.31599999999997</v>
      </c>
      <c r="M3054">
        <v>-7.8777159999999999E-2</v>
      </c>
      <c r="N3054">
        <v>0</v>
      </c>
      <c r="O3054">
        <v>-0.99680029999999997</v>
      </c>
      <c r="P3054">
        <v>-8.1263390000000005E-2</v>
      </c>
      <c r="Q3054">
        <v>-8.8621029999999996E-3</v>
      </c>
      <c r="R3054">
        <v>-0.99665369999999998</v>
      </c>
      <c r="S3054">
        <v>-8.3129880000000003E-2</v>
      </c>
      <c r="T3054">
        <v>-0.1995605</v>
      </c>
      <c r="U3054">
        <v>-3.0016780000000001</v>
      </c>
      <c r="V3054">
        <v>2.4853150000000001E-3</v>
      </c>
      <c r="W3054">
        <v>4.7066670000000003E-3</v>
      </c>
      <c r="X3054">
        <v>0.99998580000000004</v>
      </c>
      <c r="Y3054">
        <v>-5.1216770000000002E-2</v>
      </c>
      <c r="Z3054">
        <v>6.597153E-2</v>
      </c>
      <c r="AA3054">
        <v>0.99650620000000001</v>
      </c>
      <c r="AB3054">
        <v>13</v>
      </c>
      <c r="AC3054">
        <v>-0.45859999999998902</v>
      </c>
      <c r="AD3054">
        <v>-1.1110937011483</v>
      </c>
      <c r="AE3054">
        <v>-16.6497999999999</v>
      </c>
      <c r="AF3054">
        <v>-0.85078373987505895</v>
      </c>
      <c r="AG3054">
        <v>-1.1110937011483</v>
      </c>
      <c r="AH3054">
        <v>16.560484476455599</v>
      </c>
      <c r="AI3054">
        <v>93.833356710812893</v>
      </c>
      <c r="AJ3054">
        <v>92.940946546246494</v>
      </c>
      <c r="AK3054">
        <v>16.619506860304099</v>
      </c>
      <c r="AL3054">
        <v>89.730326840176602</v>
      </c>
      <c r="AM3054">
        <v>89.857600210857299</v>
      </c>
      <c r="AN3054">
        <v>0.99999996485326803</v>
      </c>
    </row>
    <row r="3055" spans="1:40" x14ac:dyDescent="0.25">
      <c r="A3055" t="str">
        <f>"20190312154313469"</f>
        <v>20190312154313469</v>
      </c>
      <c r="B3055" t="str">
        <f>"1552376593460199"</f>
        <v>1552376593460199</v>
      </c>
      <c r="C3055" t="s">
        <v>40</v>
      </c>
      <c r="D3055">
        <v>4.8347989999999896</v>
      </c>
      <c r="E3055">
        <v>0.48097230000000002</v>
      </c>
      <c r="F3055" t="s">
        <v>43</v>
      </c>
      <c r="G3055">
        <v>-492.50920000000002</v>
      </c>
      <c r="H3055" s="1">
        <v>-6.8977580000000004E-7</v>
      </c>
      <c r="I3055">
        <v>239.64070000000001</v>
      </c>
      <c r="J3055">
        <v>-492.05700000000002</v>
      </c>
      <c r="K3055">
        <v>1.1110869999999999</v>
      </c>
      <c r="L3055">
        <v>256.24799999999999</v>
      </c>
      <c r="M3055">
        <v>-7.8154199999999993E-2</v>
      </c>
      <c r="N3055">
        <v>0</v>
      </c>
      <c r="O3055">
        <v>-0.99684930000000005</v>
      </c>
      <c r="P3055">
        <v>-8.0552319999999997E-2</v>
      </c>
      <c r="Q3055">
        <v>-8.5226090000000004E-3</v>
      </c>
      <c r="R3055">
        <v>-0.9967144</v>
      </c>
      <c r="S3055">
        <v>-8.2244869999999998E-2</v>
      </c>
      <c r="T3055">
        <v>-0.19999729999999999</v>
      </c>
      <c r="U3055">
        <v>-3.0015559999999999</v>
      </c>
      <c r="V3055">
        <v>2.3962969999999999E-3</v>
      </c>
      <c r="W3055">
        <v>5.0461719999999998E-3</v>
      </c>
      <c r="X3055">
        <v>0.9999844</v>
      </c>
      <c r="Y3055">
        <v>-5.0885390000000003E-2</v>
      </c>
      <c r="Z3055">
        <v>6.6123680000000004E-2</v>
      </c>
      <c r="AA3055">
        <v>0.99651310000000004</v>
      </c>
      <c r="AB3055">
        <v>13</v>
      </c>
      <c r="AC3055">
        <v>-0.452200000000061</v>
      </c>
      <c r="AD3055">
        <v>-1.1110876897758</v>
      </c>
      <c r="AE3055">
        <v>-16.607299999999899</v>
      </c>
      <c r="AF3055">
        <v>-0.84346008009384499</v>
      </c>
      <c r="AG3055">
        <v>-1.1110876897758</v>
      </c>
      <c r="AH3055">
        <v>16.517957149643301</v>
      </c>
      <c r="AI3055">
        <v>93.8432367429469</v>
      </c>
      <c r="AJ3055">
        <v>92.923168085337295</v>
      </c>
      <c r="AK3055">
        <v>16.576756291824299</v>
      </c>
      <c r="AL3055">
        <v>89.710874415567901</v>
      </c>
      <c r="AM3055">
        <v>89.862700416372604</v>
      </c>
      <c r="AN3055">
        <v>1.00000000316726</v>
      </c>
    </row>
    <row r="3056" spans="1:40" x14ac:dyDescent="0.25">
      <c r="A3056" t="str">
        <f>"20190312154313481"</f>
        <v>20190312154313481</v>
      </c>
      <c r="B3056" t="str">
        <f>"1552376593469958"</f>
        <v>1552376593469958</v>
      </c>
      <c r="C3056" t="s">
        <v>40</v>
      </c>
      <c r="D3056">
        <v>4.8196870000000001</v>
      </c>
      <c r="E3056">
        <v>0.48110130000000001</v>
      </c>
      <c r="F3056" t="s">
        <v>43</v>
      </c>
      <c r="G3056">
        <v>-492.50959999999998</v>
      </c>
      <c r="H3056" s="1">
        <v>-4.7061199999999901E-6</v>
      </c>
      <c r="I3056">
        <v>239.5078</v>
      </c>
      <c r="J3056">
        <v>-492.0616</v>
      </c>
      <c r="K3056">
        <v>1.1110850000000001</v>
      </c>
      <c r="L3056">
        <v>256.17939999999999</v>
      </c>
      <c r="M3056">
        <v>-7.7526949999999997E-2</v>
      </c>
      <c r="N3056">
        <v>0</v>
      </c>
      <c r="O3056">
        <v>-0.99689810000000001</v>
      </c>
      <c r="P3056">
        <v>-8.0005409999999999E-2</v>
      </c>
      <c r="Q3056">
        <v>-8.6078439999999999E-3</v>
      </c>
      <c r="R3056">
        <v>-0.99675720000000001</v>
      </c>
      <c r="S3056">
        <v>-8.1146239999999994E-2</v>
      </c>
      <c r="T3056">
        <v>-0.19922519999999999</v>
      </c>
      <c r="U3056">
        <v>-3.0016020000000001</v>
      </c>
      <c r="V3056">
        <v>2.4769990000000001E-3</v>
      </c>
      <c r="W3056">
        <v>4.9603420000000004E-3</v>
      </c>
      <c r="X3056">
        <v>0.9999846</v>
      </c>
      <c r="Y3056">
        <v>-5.0621449999999998E-2</v>
      </c>
      <c r="Z3056">
        <v>6.5874160000000001E-2</v>
      </c>
      <c r="AA3056">
        <v>0.99654299999999996</v>
      </c>
      <c r="AB3056">
        <v>13</v>
      </c>
      <c r="AC3056">
        <v>-0.44799999999997903</v>
      </c>
      <c r="AD3056">
        <v>-1.11108970612</v>
      </c>
      <c r="AE3056">
        <v>-16.671599999999899</v>
      </c>
      <c r="AF3056">
        <v>-0.84222750275190805</v>
      </c>
      <c r="AG3056">
        <v>-1.11108970612</v>
      </c>
      <c r="AH3056">
        <v>16.582548175977699</v>
      </c>
      <c r="AI3056">
        <v>93.828371374442</v>
      </c>
      <c r="AJ3056">
        <v>92.907553816196994</v>
      </c>
      <c r="AK3056">
        <v>16.641056802681099</v>
      </c>
      <c r="AL3056">
        <v>89.715792164542606</v>
      </c>
      <c r="AM3056">
        <v>89.858076516082505</v>
      </c>
      <c r="AN3056">
        <v>0.99999997037698096</v>
      </c>
    </row>
    <row r="3057" spans="1:40" x14ac:dyDescent="0.25">
      <c r="A3057" t="str">
        <f>"20190312154313494"</f>
        <v>20190312154313494</v>
      </c>
      <c r="B3057" t="str">
        <f>"1552376593480697"</f>
        <v>1552376593480697</v>
      </c>
      <c r="C3057" t="s">
        <v>40</v>
      </c>
      <c r="D3057">
        <v>4.8129369999999998</v>
      </c>
      <c r="E3057">
        <v>0.48124889999999998</v>
      </c>
      <c r="F3057" t="s">
        <v>43</v>
      </c>
      <c r="G3057">
        <v>-492.50940000000003</v>
      </c>
      <c r="H3057" s="1">
        <v>-4.7048019999999999E-6</v>
      </c>
      <c r="I3057">
        <v>239.50399999999999</v>
      </c>
      <c r="J3057">
        <v>-492.06599999999997</v>
      </c>
      <c r="K3057">
        <v>1.1110819999999999</v>
      </c>
      <c r="L3057">
        <v>256.11349999999999</v>
      </c>
      <c r="M3057">
        <v>-7.6925229999999997E-2</v>
      </c>
      <c r="N3057">
        <v>0</v>
      </c>
      <c r="O3057">
        <v>-0.99694479999999996</v>
      </c>
      <c r="P3057">
        <v>-7.9574590000000001E-2</v>
      </c>
      <c r="Q3057">
        <v>-8.6992760000000006E-3</v>
      </c>
      <c r="R3057">
        <v>-0.99679130000000005</v>
      </c>
      <c r="S3057">
        <v>-8.0596920000000002E-2</v>
      </c>
      <c r="T3057">
        <v>-0.1999956</v>
      </c>
      <c r="U3057">
        <v>-3.0015559999999999</v>
      </c>
      <c r="V3057">
        <v>2.6485240000000002E-3</v>
      </c>
      <c r="W3057">
        <v>4.8687909999999999E-3</v>
      </c>
      <c r="X3057">
        <v>0.9999846</v>
      </c>
      <c r="Y3057">
        <v>-5.02009E-2</v>
      </c>
      <c r="Z3057">
        <v>6.6134289999999998E-2</v>
      </c>
      <c r="AA3057">
        <v>0.99654710000000002</v>
      </c>
      <c r="AB3057">
        <v>13</v>
      </c>
      <c r="AC3057">
        <v>-0.44340000000005297</v>
      </c>
      <c r="AD3057">
        <v>-1.1110867048019999</v>
      </c>
      <c r="AE3057">
        <v>-16.609499999999901</v>
      </c>
      <c r="AF3057">
        <v>-0.83200053245829897</v>
      </c>
      <c r="AG3057">
        <v>-1.1110867048019999</v>
      </c>
      <c r="AH3057">
        <v>16.5205116310559</v>
      </c>
      <c r="AI3057">
        <v>93.842776821593404</v>
      </c>
      <c r="AJ3057">
        <v>92.883075262753593</v>
      </c>
      <c r="AK3057">
        <v>16.5787226016799</v>
      </c>
      <c r="AL3057">
        <v>89.7210377110693</v>
      </c>
      <c r="AM3057">
        <v>89.848248770725505</v>
      </c>
      <c r="AN3057">
        <v>0.99999996002116898</v>
      </c>
    </row>
    <row r="3058" spans="1:40" x14ac:dyDescent="0.25">
      <c r="A3058" t="str">
        <f>"20190312154313506"</f>
        <v>20190312154313506</v>
      </c>
      <c r="B3058" t="str">
        <f>"1552376593500216"</f>
        <v>1552376593500216</v>
      </c>
      <c r="C3058" t="s">
        <v>40</v>
      </c>
      <c r="D3058">
        <v>4.7913629999999996</v>
      </c>
      <c r="E3058">
        <v>0.48152800000000001</v>
      </c>
      <c r="F3058" t="s">
        <v>43</v>
      </c>
      <c r="G3058">
        <v>-492.51339999999999</v>
      </c>
      <c r="H3058" s="1">
        <v>-4.690414E-6</v>
      </c>
      <c r="I3058">
        <v>239.4597</v>
      </c>
      <c r="J3058">
        <v>-492.07080000000002</v>
      </c>
      <c r="K3058">
        <v>1.111081</v>
      </c>
      <c r="L3058">
        <v>256.04219999999998</v>
      </c>
      <c r="M3058">
        <v>-7.6273720000000003E-2</v>
      </c>
      <c r="N3058">
        <v>0</v>
      </c>
      <c r="O3058">
        <v>-0.99699479999999996</v>
      </c>
      <c r="P3058">
        <v>-7.9032640000000001E-2</v>
      </c>
      <c r="Q3058">
        <v>-8.6909940000000005E-3</v>
      </c>
      <c r="R3058">
        <v>-0.99683429999999995</v>
      </c>
      <c r="S3058">
        <v>-8.0627439999999995E-2</v>
      </c>
      <c r="T3058">
        <v>-0.20024819999999999</v>
      </c>
      <c r="U3058">
        <v>-3.0014799999999999</v>
      </c>
      <c r="V3058">
        <v>2.7583389999999998E-3</v>
      </c>
      <c r="W3058">
        <v>4.8764189999999999E-3</v>
      </c>
      <c r="X3058">
        <v>0.99998430000000005</v>
      </c>
      <c r="Y3058">
        <v>-4.9537610000000003E-2</v>
      </c>
      <c r="Z3058">
        <v>6.6225229999999996E-2</v>
      </c>
      <c r="AA3058">
        <v>0.99657430000000002</v>
      </c>
      <c r="AB3058">
        <v>13</v>
      </c>
      <c r="AC3058">
        <v>-0.44259999999997002</v>
      </c>
      <c r="AD3058">
        <v>-1.1110856904140001</v>
      </c>
      <c r="AE3058">
        <v>-16.5824999999999</v>
      </c>
      <c r="AF3058">
        <v>-0.81993625225856004</v>
      </c>
      <c r="AG3058">
        <v>-1.1110856904140001</v>
      </c>
      <c r="AH3058">
        <v>16.4939503748353</v>
      </c>
      <c r="AI3058">
        <v>93.849067560610493</v>
      </c>
      <c r="AJ3058">
        <v>92.845906808306495</v>
      </c>
      <c r="AK3058">
        <v>16.551652661795998</v>
      </c>
      <c r="AL3058">
        <v>89.720600663170998</v>
      </c>
      <c r="AM3058">
        <v>89.841956736380396</v>
      </c>
      <c r="AN3058">
        <v>0.99999999407139595</v>
      </c>
    </row>
    <row r="3059" spans="1:40" x14ac:dyDescent="0.25">
      <c r="A3059" t="str">
        <f>"20190312154313522"</f>
        <v>20190312154313522</v>
      </c>
      <c r="B3059" t="str">
        <f>"1552376593509975"</f>
        <v>1552376593509975</v>
      </c>
      <c r="C3059" t="s">
        <v>40</v>
      </c>
      <c r="D3059">
        <v>4.8287279999999999</v>
      </c>
      <c r="E3059">
        <v>0.48166110000000001</v>
      </c>
      <c r="F3059" t="s">
        <v>43</v>
      </c>
      <c r="G3059">
        <v>-492.51960000000003</v>
      </c>
      <c r="H3059" s="1">
        <v>-4.6617900000000001E-6</v>
      </c>
      <c r="I3059">
        <v>239.3723</v>
      </c>
      <c r="J3059">
        <v>-492.07679999999999</v>
      </c>
      <c r="K3059">
        <v>1.111086</v>
      </c>
      <c r="L3059">
        <v>255.95050000000001</v>
      </c>
      <c r="M3059">
        <v>-7.5435290000000002E-2</v>
      </c>
      <c r="N3059">
        <v>0</v>
      </c>
      <c r="O3059">
        <v>-0.99705860000000002</v>
      </c>
      <c r="P3059">
        <v>-7.9041669999999994E-2</v>
      </c>
      <c r="Q3059">
        <v>-8.9655299999999993E-3</v>
      </c>
      <c r="R3059">
        <v>-0.99683120000000003</v>
      </c>
      <c r="S3059">
        <v>-8.0810549999999995E-2</v>
      </c>
      <c r="T3059">
        <v>-0.2000459</v>
      </c>
      <c r="U3059">
        <v>-3.0013429999999999</v>
      </c>
      <c r="V3059">
        <v>3.6087929999999999E-3</v>
      </c>
      <c r="W3059">
        <v>4.6012880000000003E-3</v>
      </c>
      <c r="X3059">
        <v>0.99998290000000001</v>
      </c>
      <c r="Y3059">
        <v>-4.8635610000000003E-2</v>
      </c>
      <c r="Z3059">
        <v>6.6169409999999998E-2</v>
      </c>
      <c r="AA3059">
        <v>0.99662240000000002</v>
      </c>
      <c r="AB3059">
        <v>13</v>
      </c>
      <c r="AC3059">
        <v>-0.442800000000033</v>
      </c>
      <c r="AD3059">
        <v>-1.1110906617899901</v>
      </c>
      <c r="AE3059">
        <v>-16.578199999999999</v>
      </c>
      <c r="AF3059">
        <v>-0.80554229978953096</v>
      </c>
      <c r="AG3059">
        <v>-1.1110906617899901</v>
      </c>
      <c r="AH3059">
        <v>16.4903416823357</v>
      </c>
      <c r="AI3059">
        <v>93.850087177849801</v>
      </c>
      <c r="AJ3059">
        <v>92.796637900945399</v>
      </c>
      <c r="AK3059">
        <v>16.547349928482401</v>
      </c>
      <c r="AL3059">
        <v>89.736364686406404</v>
      </c>
      <c r="AM3059">
        <v>89.793228753808194</v>
      </c>
      <c r="AN3059">
        <v>0.99999999776529203</v>
      </c>
    </row>
    <row r="3060" spans="1:40" x14ac:dyDescent="0.25">
      <c r="A3060" t="str">
        <f>"20190312154313534"</f>
        <v>20190312154313534</v>
      </c>
      <c r="B3060" t="str">
        <f>"1552376593520711"</f>
        <v>1552376593520711</v>
      </c>
      <c r="C3060" t="s">
        <v>40</v>
      </c>
      <c r="D3060">
        <v>4.8194520000000001</v>
      </c>
      <c r="E3060">
        <v>0.4817842</v>
      </c>
      <c r="F3060" t="s">
        <v>43</v>
      </c>
      <c r="G3060">
        <v>-492.53019999999998</v>
      </c>
      <c r="H3060" s="1">
        <v>-4.6606809999999998E-6</v>
      </c>
      <c r="I3060">
        <v>239.36359999999999</v>
      </c>
      <c r="J3060">
        <v>-492.08120000000002</v>
      </c>
      <c r="K3060">
        <v>1.111083</v>
      </c>
      <c r="L3060">
        <v>255.88239999999999</v>
      </c>
      <c r="M3060">
        <v>-7.4813920000000006E-2</v>
      </c>
      <c r="N3060">
        <v>0</v>
      </c>
      <c r="O3060">
        <v>-0.99710540000000003</v>
      </c>
      <c r="P3060">
        <v>-7.8761429999999993E-2</v>
      </c>
      <c r="Q3060">
        <v>-8.8018939999999993E-3</v>
      </c>
      <c r="R3060">
        <v>-0.99685500000000005</v>
      </c>
      <c r="S3060">
        <v>-8.203125E-2</v>
      </c>
      <c r="T3060">
        <v>-0.20104169999999999</v>
      </c>
      <c r="U3060">
        <v>-3.0012509999999999</v>
      </c>
      <c r="V3060">
        <v>3.9505829999999997E-3</v>
      </c>
      <c r="W3060">
        <v>4.7643649999999996E-3</v>
      </c>
      <c r="X3060">
        <v>0.99998089999999995</v>
      </c>
      <c r="Y3060">
        <v>-4.7607860000000002E-2</v>
      </c>
      <c r="Z3060">
        <v>6.6505289999999995E-2</v>
      </c>
      <c r="AA3060">
        <v>0.99664969999999997</v>
      </c>
      <c r="AB3060">
        <v>13</v>
      </c>
      <c r="AC3060">
        <v>-0.44899999999995499</v>
      </c>
      <c r="AD3060">
        <v>-1.1110876606810001</v>
      </c>
      <c r="AE3060">
        <v>-16.518799999999999</v>
      </c>
      <c r="AF3060">
        <v>-0.78466093211434695</v>
      </c>
      <c r="AG3060">
        <v>-1.1110876606810001</v>
      </c>
      <c r="AH3060">
        <v>16.431806743688401</v>
      </c>
      <c r="AI3060">
        <v>93.863954043084206</v>
      </c>
      <c r="AJ3060">
        <v>92.733943663763199</v>
      </c>
      <c r="AK3060">
        <v>16.488010232591101</v>
      </c>
      <c r="AL3060">
        <v>89.727020975256394</v>
      </c>
      <c r="AM3060">
        <v>89.773645121704803</v>
      </c>
      <c r="AN3060">
        <v>1.0000000533223501</v>
      </c>
    </row>
    <row r="3061" spans="1:40" x14ac:dyDescent="0.25">
      <c r="A3061" t="str">
        <f>"20190312154313546"</f>
        <v>20190312154313546</v>
      </c>
      <c r="B3061" t="str">
        <f>"1552376593540231"</f>
        <v>1552376593540231</v>
      </c>
      <c r="C3061" t="s">
        <v>40</v>
      </c>
      <c r="D3061">
        <v>4.8155260000000002</v>
      </c>
      <c r="E3061">
        <v>0.48205039999999999</v>
      </c>
      <c r="F3061" t="s">
        <v>43</v>
      </c>
      <c r="G3061">
        <v>-492.53539999999998</v>
      </c>
      <c r="H3061" s="1">
        <v>-4.62366E-6</v>
      </c>
      <c r="I3061">
        <v>239.25200000000001</v>
      </c>
      <c r="J3061">
        <v>-492.08580000000001</v>
      </c>
      <c r="K3061">
        <v>1.111083</v>
      </c>
      <c r="L3061">
        <v>255.8098</v>
      </c>
      <c r="M3061">
        <v>-7.4150170000000001E-2</v>
      </c>
      <c r="N3061">
        <v>0</v>
      </c>
      <c r="O3061">
        <v>-0.99715500000000001</v>
      </c>
      <c r="P3061">
        <v>-7.8558909999999996E-2</v>
      </c>
      <c r="Q3061">
        <v>-8.9276689999999992E-3</v>
      </c>
      <c r="R3061">
        <v>-0.99686960000000002</v>
      </c>
      <c r="S3061">
        <v>-8.1970210000000002E-2</v>
      </c>
      <c r="T3061">
        <v>-0.20051459999999999</v>
      </c>
      <c r="U3061">
        <v>-3.001236</v>
      </c>
      <c r="V3061">
        <v>4.4133009999999997E-3</v>
      </c>
      <c r="W3061">
        <v>4.6380040000000003E-3</v>
      </c>
      <c r="X3061">
        <v>0.99997950000000002</v>
      </c>
      <c r="Y3061">
        <v>-4.6962759999999999E-2</v>
      </c>
      <c r="Z3061">
        <v>6.6338010000000003E-2</v>
      </c>
      <c r="AA3061">
        <v>0.99669140000000001</v>
      </c>
      <c r="AB3061">
        <v>13</v>
      </c>
      <c r="AC3061">
        <v>-0.44959999999997502</v>
      </c>
      <c r="AD3061">
        <v>-1.11108762366</v>
      </c>
      <c r="AE3061">
        <v>-16.557799999999901</v>
      </c>
      <c r="AF3061">
        <v>-0.77602261214352897</v>
      </c>
      <c r="AG3061">
        <v>-1.11108762366</v>
      </c>
      <c r="AH3061">
        <v>16.471435986345799</v>
      </c>
      <c r="AI3061">
        <v>93.854801826124501</v>
      </c>
      <c r="AJ3061">
        <v>92.697394863581195</v>
      </c>
      <c r="AK3061">
        <v>16.5270968489416</v>
      </c>
      <c r="AL3061">
        <v>89.734260991209297</v>
      </c>
      <c r="AM3061">
        <v>89.747132936945704</v>
      </c>
      <c r="AN3061">
        <v>0.99999999436353504</v>
      </c>
    </row>
    <row r="3062" spans="1:40" x14ac:dyDescent="0.25">
      <c r="A3062" t="str">
        <f>"20190312154313559"</f>
        <v>20190312154313559</v>
      </c>
      <c r="B3062" t="str">
        <f>"1552376593550967"</f>
        <v>1552376593550967</v>
      </c>
      <c r="C3062" t="s">
        <v>40</v>
      </c>
      <c r="D3062">
        <v>4.8052159999999997</v>
      </c>
      <c r="E3062">
        <v>0.4821763</v>
      </c>
      <c r="F3062" t="s">
        <v>43</v>
      </c>
      <c r="G3062">
        <v>-492.55009999999999</v>
      </c>
      <c r="H3062" s="1">
        <v>-4.61189E-6</v>
      </c>
      <c r="I3062">
        <v>239.2098</v>
      </c>
      <c r="J3062">
        <v>-492.0908</v>
      </c>
      <c r="K3062">
        <v>1.111081</v>
      </c>
      <c r="L3062">
        <v>255.73179999999999</v>
      </c>
      <c r="M3062">
        <v>-7.343827E-2</v>
      </c>
      <c r="N3062">
        <v>0</v>
      </c>
      <c r="O3062">
        <v>-0.99720779999999998</v>
      </c>
      <c r="P3062">
        <v>-7.8194089999999994E-2</v>
      </c>
      <c r="Q3062">
        <v>-9.1530020000000004E-3</v>
      </c>
      <c r="R3062">
        <v>-0.99689660000000002</v>
      </c>
      <c r="S3062">
        <v>-8.3923339999999999E-2</v>
      </c>
      <c r="T3062">
        <v>-0.20086609999999999</v>
      </c>
      <c r="U3062">
        <v>-3.0009920000000001</v>
      </c>
      <c r="V3062">
        <v>4.7616189999999999E-3</v>
      </c>
      <c r="W3062">
        <v>4.4119859999999997E-3</v>
      </c>
      <c r="X3062">
        <v>0.99997899999999995</v>
      </c>
      <c r="Y3062">
        <v>-4.5599439999999998E-2</v>
      </c>
      <c r="Z3062">
        <v>6.6465969999999999E-2</v>
      </c>
      <c r="AA3062">
        <v>0.99674620000000003</v>
      </c>
      <c r="AB3062">
        <v>13</v>
      </c>
      <c r="AC3062">
        <v>-0.459299999999984</v>
      </c>
      <c r="AD3062">
        <v>-1.1110856118900001</v>
      </c>
      <c r="AE3062">
        <v>-16.521999999999899</v>
      </c>
      <c r="AF3062">
        <v>-0.75200060878855002</v>
      </c>
      <c r="AG3062">
        <v>-1.1110856118900001</v>
      </c>
      <c r="AH3062">
        <v>16.436835120812901</v>
      </c>
      <c r="AI3062">
        <v>93.863128067834694</v>
      </c>
      <c r="AJ3062">
        <v>92.619508946824595</v>
      </c>
      <c r="AK3062">
        <v>16.4914997784118</v>
      </c>
      <c r="AL3062">
        <v>89.747211020387496</v>
      </c>
      <c r="AM3062">
        <v>89.727175660287202</v>
      </c>
      <c r="AN3062">
        <v>1.0000000695384801</v>
      </c>
    </row>
    <row r="3063" spans="1:40" x14ac:dyDescent="0.25">
      <c r="A3063" t="str">
        <f>"20190312154313574"</f>
        <v>20190312154313574</v>
      </c>
      <c r="B3063" t="str">
        <f>"1552376593559751"</f>
        <v>1552376593559751</v>
      </c>
      <c r="C3063" t="s">
        <v>40</v>
      </c>
      <c r="D3063">
        <v>4.8373280000000003</v>
      </c>
      <c r="E3063">
        <v>0.48225790000000002</v>
      </c>
      <c r="F3063" t="s">
        <v>43</v>
      </c>
      <c r="G3063">
        <v>-492.55309999999997</v>
      </c>
      <c r="H3063" s="1">
        <v>-4.6162470000000002E-6</v>
      </c>
      <c r="I3063">
        <v>239.22110000000001</v>
      </c>
      <c r="J3063">
        <v>-492.0958</v>
      </c>
      <c r="K3063">
        <v>1.1110789999999999</v>
      </c>
      <c r="L3063">
        <v>255.6534</v>
      </c>
      <c r="M3063">
        <v>-7.2722350000000005E-2</v>
      </c>
      <c r="N3063">
        <v>0</v>
      </c>
      <c r="O3063">
        <v>-0.99726020000000004</v>
      </c>
      <c r="P3063">
        <v>-7.7751249999999994E-2</v>
      </c>
      <c r="Q3063">
        <v>-9.4739579999999993E-3</v>
      </c>
      <c r="R3063">
        <v>-0.99692769999999997</v>
      </c>
      <c r="S3063">
        <v>-8.4014889999999995E-2</v>
      </c>
      <c r="T3063">
        <v>-0.20194599999999999</v>
      </c>
      <c r="U3063">
        <v>-3.0009160000000001</v>
      </c>
      <c r="V3063">
        <v>5.0358579999999998E-3</v>
      </c>
      <c r="W3063">
        <v>4.0901219999999999E-3</v>
      </c>
      <c r="X3063">
        <v>0.99997899999999995</v>
      </c>
      <c r="Y3063">
        <v>-4.4851839999999997E-2</v>
      </c>
      <c r="Z3063">
        <v>6.6829780000000005E-2</v>
      </c>
      <c r="AA3063">
        <v>0.99675579999999997</v>
      </c>
      <c r="AB3063">
        <v>13</v>
      </c>
      <c r="AC3063">
        <v>-0.457299999999975</v>
      </c>
      <c r="AD3063">
        <v>-1.1110836162469999</v>
      </c>
      <c r="AE3063">
        <v>-16.432299999999898</v>
      </c>
      <c r="AF3063">
        <v>-0.735655469130716</v>
      </c>
      <c r="AG3063">
        <v>-1.1110836162469999</v>
      </c>
      <c r="AH3063">
        <v>16.347361272049099</v>
      </c>
      <c r="AI3063">
        <v>93.884332004551695</v>
      </c>
      <c r="AJ3063">
        <v>92.576656518887901</v>
      </c>
      <c r="AK3063">
        <v>16.401582738578799</v>
      </c>
      <c r="AL3063">
        <v>89.765652628775797</v>
      </c>
      <c r="AM3063">
        <v>89.711462970216701</v>
      </c>
      <c r="AN3063">
        <v>1.00000004470238</v>
      </c>
    </row>
    <row r="3064" spans="1:40" x14ac:dyDescent="0.25">
      <c r="A3064" t="str">
        <f>"20190312154313591"</f>
        <v>20190312154313591</v>
      </c>
      <c r="B3064" t="str">
        <f>"1552376593580254"</f>
        <v>1552376593580254</v>
      </c>
      <c r="C3064" t="s">
        <v>40</v>
      </c>
      <c r="D3064">
        <v>4.9335290000000001</v>
      </c>
      <c r="E3064">
        <v>0.48246220000000001</v>
      </c>
      <c r="F3064" t="s">
        <v>43</v>
      </c>
      <c r="G3064">
        <v>-492.55189999999999</v>
      </c>
      <c r="H3064" s="1">
        <v>-4.6150470000000001E-6</v>
      </c>
      <c r="I3064">
        <v>239.21809999999999</v>
      </c>
      <c r="J3064">
        <v>-492.10210000000001</v>
      </c>
      <c r="K3064">
        <v>1.1110719999999901</v>
      </c>
      <c r="L3064">
        <v>255.55160000000001</v>
      </c>
      <c r="M3064">
        <v>-7.1791640000000004E-2</v>
      </c>
      <c r="N3064">
        <v>0</v>
      </c>
      <c r="O3064">
        <v>-0.99732750000000003</v>
      </c>
      <c r="P3064">
        <v>-7.7192849999999993E-2</v>
      </c>
      <c r="Q3064">
        <v>-1.017762E-2</v>
      </c>
      <c r="R3064">
        <v>-0.99696419999999997</v>
      </c>
      <c r="S3064">
        <v>-8.3282469999999997E-2</v>
      </c>
      <c r="T3064">
        <v>-0.20286760000000001</v>
      </c>
      <c r="U3064">
        <v>-3.000839</v>
      </c>
      <c r="V3064">
        <v>5.4101469999999997E-3</v>
      </c>
      <c r="W3064">
        <v>3.3848860000000001E-3</v>
      </c>
      <c r="X3064">
        <v>0.99997959999999997</v>
      </c>
      <c r="Y3064">
        <v>-4.4162519999999997E-2</v>
      </c>
      <c r="Z3064">
        <v>6.7143159999999993E-2</v>
      </c>
      <c r="AA3064">
        <v>0.99676549999999997</v>
      </c>
      <c r="AB3064">
        <v>13</v>
      </c>
      <c r="AC3064">
        <v>-0.44979999999998199</v>
      </c>
      <c r="AD3064">
        <v>-1.11107661504699</v>
      </c>
      <c r="AE3064">
        <v>-16.333500000000001</v>
      </c>
      <c r="AF3064">
        <v>-0.72074480552507703</v>
      </c>
      <c r="AG3064">
        <v>-1.11107661504699</v>
      </c>
      <c r="AH3064">
        <v>16.248510883508001</v>
      </c>
      <c r="AI3064">
        <v>93.907977260249197</v>
      </c>
      <c r="AJ3064">
        <v>92.539837854297204</v>
      </c>
      <c r="AK3064">
        <v>16.30239461707</v>
      </c>
      <c r="AL3064">
        <v>89.806059940698105</v>
      </c>
      <c r="AM3064">
        <v>89.690018111120196</v>
      </c>
      <c r="AN3064">
        <v>0.99999996377997602</v>
      </c>
    </row>
    <row r="3065" spans="1:40" x14ac:dyDescent="0.25">
      <c r="A3065" t="str">
        <f>"20190312154313612"</f>
        <v>20190312154313612</v>
      </c>
      <c r="B3065" t="str">
        <f>"1552376593600751"</f>
        <v>1552376593600751</v>
      </c>
      <c r="C3065" t="s">
        <v>40</v>
      </c>
      <c r="D3065">
        <v>4.834498</v>
      </c>
      <c r="E3065">
        <v>0.51409970000000005</v>
      </c>
      <c r="F3065" t="s">
        <v>43</v>
      </c>
      <c r="G3065">
        <v>-492.55290000000002</v>
      </c>
      <c r="H3065" s="1">
        <v>-4.6483799999999997E-6</v>
      </c>
      <c r="I3065">
        <v>239.31559999999999</v>
      </c>
      <c r="J3065">
        <v>-492.10910000000001</v>
      </c>
      <c r="K3065">
        <v>1.11107</v>
      </c>
      <c r="L3065">
        <v>255.43639999999999</v>
      </c>
      <c r="M3065">
        <v>-7.0735820000000005E-2</v>
      </c>
      <c r="N3065">
        <v>0</v>
      </c>
      <c r="O3065">
        <v>-0.99740309999999999</v>
      </c>
      <c r="P3065">
        <v>-7.6191910000000002E-2</v>
      </c>
      <c r="Q3065">
        <v>-1.109837E-2</v>
      </c>
      <c r="R3065">
        <v>-0.99703149999999996</v>
      </c>
      <c r="S3065">
        <v>-8.3312990000000003E-2</v>
      </c>
      <c r="T3065">
        <v>-0.2053393</v>
      </c>
      <c r="U3065">
        <v>-3.0005950000000001</v>
      </c>
      <c r="V3065">
        <v>5.4663759999999898E-3</v>
      </c>
      <c r="W3065">
        <v>2.4622099999999998E-3</v>
      </c>
      <c r="X3065">
        <v>0.99998200000000004</v>
      </c>
      <c r="Y3065">
        <v>-4.3094090000000002E-2</v>
      </c>
      <c r="Z3065">
        <v>6.7972240000000003E-2</v>
      </c>
      <c r="AA3065">
        <v>0.99675610000000003</v>
      </c>
      <c r="AB3065">
        <v>13</v>
      </c>
      <c r="AC3065">
        <v>-0.44380000000001002</v>
      </c>
      <c r="AD3065">
        <v>-1.11107464838</v>
      </c>
      <c r="AE3065">
        <v>-16.120799999999999</v>
      </c>
      <c r="AF3065">
        <v>-0.694438298022103</v>
      </c>
      <c r="AG3065">
        <v>-1.11107464838</v>
      </c>
      <c r="AH3065">
        <v>16.035691475483301</v>
      </c>
      <c r="AI3065">
        <v>93.959853129420196</v>
      </c>
      <c r="AJ3065">
        <v>92.4796896777397</v>
      </c>
      <c r="AK3065">
        <v>16.089130881465302</v>
      </c>
      <c r="AL3065">
        <v>89.858925612236206</v>
      </c>
      <c r="AM3065">
        <v>89.6867972079814</v>
      </c>
      <c r="AN3065">
        <v>0.999999972034328</v>
      </c>
    </row>
    <row r="3066" spans="1:40" x14ac:dyDescent="0.25">
      <c r="A3066" t="str">
        <f>"20190312154313624"</f>
        <v>20190312154313624</v>
      </c>
      <c r="B3066" t="str">
        <f>"1552376593610510"</f>
        <v>1552376593610510</v>
      </c>
      <c r="C3066" t="s">
        <v>40</v>
      </c>
      <c r="D3066">
        <v>4.8631260000000003</v>
      </c>
      <c r="E3066">
        <v>0.55188769999999998</v>
      </c>
      <c r="F3066" t="s">
        <v>41</v>
      </c>
      <c r="G3066">
        <v>-492.197</v>
      </c>
      <c r="H3066">
        <v>1.0185759999999999</v>
      </c>
      <c r="I3066">
        <v>254.6309</v>
      </c>
      <c r="J3066">
        <v>-492.11329999999998</v>
      </c>
      <c r="K3066">
        <v>1.1110690000000001</v>
      </c>
      <c r="L3066">
        <v>255.36600000000001</v>
      </c>
      <c r="M3066">
        <v>-7.0089029999999997E-2</v>
      </c>
      <c r="N3066">
        <v>0</v>
      </c>
      <c r="O3066">
        <v>-0.99744889999999997</v>
      </c>
      <c r="P3066">
        <v>-7.5549779999999997E-2</v>
      </c>
      <c r="Q3066">
        <v>-1.152648E-2</v>
      </c>
      <c r="R3066">
        <v>-0.99707539999999995</v>
      </c>
      <c r="S3066">
        <v>-0.32519530000000002</v>
      </c>
      <c r="T3066">
        <v>-0.34224359999999998</v>
      </c>
      <c r="U3066">
        <v>-2.98027</v>
      </c>
      <c r="V3066">
        <v>5.4715629999999996E-3</v>
      </c>
      <c r="W3066">
        <v>2.033057E-3</v>
      </c>
      <c r="X3066">
        <v>0.99998299999999996</v>
      </c>
      <c r="Y3066">
        <v>3.7823570000000001E-2</v>
      </c>
      <c r="Z3066">
        <v>0.11329589999999901</v>
      </c>
      <c r="AA3066">
        <v>0.99284110000000003</v>
      </c>
      <c r="AB3066">
        <v>13</v>
      </c>
      <c r="AC3066">
        <v>-8.3699999999964803E-2</v>
      </c>
      <c r="AD3066">
        <v>-9.2493000000000103E-2</v>
      </c>
      <c r="AE3066">
        <v>-0.73509999999998799</v>
      </c>
      <c r="AF3066">
        <v>3.1475032944152298E-2</v>
      </c>
      <c r="AG3066">
        <v>-9.2493000000000103E-2</v>
      </c>
      <c r="AH3066">
        <v>0.72778432893862599</v>
      </c>
      <c r="AI3066">
        <v>97.236113594377699</v>
      </c>
      <c r="AJ3066">
        <v>87.523629729065902</v>
      </c>
      <c r="AK3066">
        <v>0.73431305462757601</v>
      </c>
      <c r="AL3066">
        <v>89.883514338315806</v>
      </c>
      <c r="AM3066">
        <v>89.6865003318117</v>
      </c>
      <c r="AN3066">
        <v>1.00000003580571</v>
      </c>
    </row>
    <row r="3067" spans="1:40" x14ac:dyDescent="0.25">
      <c r="A3067" t="str">
        <f>"20190312154313637"</f>
        <v>20190312154313637</v>
      </c>
      <c r="B3067" t="str">
        <f>"1552376593630030"</f>
        <v>1552376593630030</v>
      </c>
      <c r="C3067" t="s">
        <v>40</v>
      </c>
      <c r="D3067">
        <v>4.8119690000000004</v>
      </c>
      <c r="E3067">
        <v>0.56001859999999903</v>
      </c>
      <c r="F3067" t="s">
        <v>41</v>
      </c>
      <c r="G3067">
        <v>-492.25659999999999</v>
      </c>
      <c r="H3067">
        <v>0.95026290000000002</v>
      </c>
      <c r="I3067">
        <v>254.66890000000001</v>
      </c>
      <c r="J3067">
        <v>-492.11759999999998</v>
      </c>
      <c r="K3067">
        <v>1.1110679999999999</v>
      </c>
      <c r="L3067">
        <v>255.29259999999999</v>
      </c>
      <c r="M3067">
        <v>-6.9413390000000005E-2</v>
      </c>
      <c r="N3067">
        <v>0</v>
      </c>
      <c r="O3067">
        <v>-0.9974961</v>
      </c>
      <c r="P3067">
        <v>-7.4837000000000001E-2</v>
      </c>
      <c r="Q3067">
        <v>-1.170818E-2</v>
      </c>
      <c r="R3067">
        <v>-0.99712699999999999</v>
      </c>
      <c r="S3067">
        <v>-0.60736080000000003</v>
      </c>
      <c r="T3067">
        <v>-0.68166470000000001</v>
      </c>
      <c r="U3067">
        <v>-2.954895</v>
      </c>
      <c r="V3067">
        <v>5.4343739999999996E-3</v>
      </c>
      <c r="W3067">
        <v>1.849952E-3</v>
      </c>
      <c r="X3067">
        <v>0.99998350000000003</v>
      </c>
      <c r="Y3067">
        <v>0.1278733</v>
      </c>
      <c r="Z3067">
        <v>0.22088540000000001</v>
      </c>
      <c r="AA3067">
        <v>0.96688059999999998</v>
      </c>
      <c r="AB3067">
        <v>13</v>
      </c>
      <c r="AC3067">
        <v>-0.13900000000001</v>
      </c>
      <c r="AD3067">
        <v>-0.16080509999999901</v>
      </c>
      <c r="AE3067">
        <v>-0.62369999999998504</v>
      </c>
      <c r="AF3067">
        <v>8.96878135173204E-2</v>
      </c>
      <c r="AG3067">
        <v>-0.16080509999999901</v>
      </c>
      <c r="AH3067">
        <v>0.594214262526093</v>
      </c>
      <c r="AI3067">
        <v>104.980646881613</v>
      </c>
      <c r="AJ3067">
        <v>81.416840971825593</v>
      </c>
      <c r="AK3067">
        <v>0.62208743265633903</v>
      </c>
      <c r="AL3067">
        <v>89.894005495256195</v>
      </c>
      <c r="AM3067">
        <v>89.688631233103905</v>
      </c>
      <c r="AN3067">
        <v>0.99999997750771197</v>
      </c>
    </row>
    <row r="3068" spans="1:40" x14ac:dyDescent="0.25">
      <c r="A3068" t="str">
        <f>"20190312154313650"</f>
        <v>20190312154313650</v>
      </c>
      <c r="B3068" t="str">
        <f>"1552376593640767"</f>
        <v>1552376593640767</v>
      </c>
      <c r="C3068" t="s">
        <v>40</v>
      </c>
      <c r="D3068">
        <v>4.7787379999999997</v>
      </c>
      <c r="E3068">
        <v>0.56135310000000005</v>
      </c>
      <c r="F3068" t="s">
        <v>41</v>
      </c>
      <c r="G3068">
        <v>-492.28039999999999</v>
      </c>
      <c r="H3068">
        <v>0.91797649999999997</v>
      </c>
      <c r="I3068">
        <v>254.571</v>
      </c>
      <c r="J3068">
        <v>-492.12189999999998</v>
      </c>
      <c r="K3068">
        <v>1.1110679999999999</v>
      </c>
      <c r="L3068">
        <v>255.22059999999999</v>
      </c>
      <c r="M3068">
        <v>-6.8748130000000005E-2</v>
      </c>
      <c r="N3068">
        <v>0</v>
      </c>
      <c r="O3068">
        <v>-0.99754219999999905</v>
      </c>
      <c r="P3068">
        <v>-7.431509E-2</v>
      </c>
      <c r="Q3068">
        <v>-1.1923670000000001E-2</v>
      </c>
      <c r="R3068">
        <v>-0.99716380000000004</v>
      </c>
      <c r="S3068">
        <v>-0.66390990000000005</v>
      </c>
      <c r="T3068">
        <v>-0.78954590000000002</v>
      </c>
      <c r="U3068">
        <v>-2.9495089999999999</v>
      </c>
      <c r="V3068">
        <v>5.5782660000000001E-3</v>
      </c>
      <c r="W3068">
        <v>1.632992E-3</v>
      </c>
      <c r="X3068">
        <v>0.99998310000000001</v>
      </c>
      <c r="Y3068">
        <v>0.1448305</v>
      </c>
      <c r="Z3068">
        <v>0.25338690000000003</v>
      </c>
      <c r="AA3068">
        <v>0.95646180000000003</v>
      </c>
      <c r="AB3068">
        <v>13</v>
      </c>
      <c r="AC3068">
        <v>-0.158500000000003</v>
      </c>
      <c r="AD3068">
        <v>-0.1930915</v>
      </c>
      <c r="AE3068">
        <v>-0.64959999999999196</v>
      </c>
      <c r="AF3068">
        <v>0.10472862308613801</v>
      </c>
      <c r="AG3068">
        <v>-0.1930915</v>
      </c>
      <c r="AH3068">
        <v>0.60823872359004205</v>
      </c>
      <c r="AI3068">
        <v>107.372620202566</v>
      </c>
      <c r="AJ3068">
        <v>80.2304118711493</v>
      </c>
      <c r="AK3068">
        <v>0.646689072692753</v>
      </c>
      <c r="AL3068">
        <v>89.906436408088993</v>
      </c>
      <c r="AM3068">
        <v>89.680386814904296</v>
      </c>
      <c r="AN3068">
        <v>0.99999999200002399</v>
      </c>
    </row>
    <row r="3069" spans="1:40" x14ac:dyDescent="0.25">
      <c r="A3069" t="str">
        <f>"20190312154313662"</f>
        <v>20190312154313662</v>
      </c>
      <c r="B3069" t="str">
        <f>"1552376593650526"</f>
        <v>1552376593650526</v>
      </c>
      <c r="C3069" t="s">
        <v>40</v>
      </c>
      <c r="D3069">
        <v>4.8217059999999998</v>
      </c>
      <c r="E3069">
        <v>0.56231769999999903</v>
      </c>
      <c r="F3069" t="s">
        <v>41</v>
      </c>
      <c r="G3069">
        <v>-492.2944</v>
      </c>
      <c r="H3069">
        <v>0.90298560000000005</v>
      </c>
      <c r="I3069">
        <v>254.46430000000001</v>
      </c>
      <c r="J3069">
        <v>-492.12619999999998</v>
      </c>
      <c r="K3069">
        <v>1.1110690000000001</v>
      </c>
      <c r="L3069">
        <v>255.14599999999999</v>
      </c>
      <c r="M3069">
        <v>-6.8056050000000007E-2</v>
      </c>
      <c r="N3069">
        <v>0</v>
      </c>
      <c r="O3069">
        <v>-0.99758959999999997</v>
      </c>
      <c r="P3069">
        <v>-7.3414359999999998E-2</v>
      </c>
      <c r="Q3069">
        <v>-1.2149119999999999E-2</v>
      </c>
      <c r="R3069">
        <v>-0.99722750000000004</v>
      </c>
      <c r="S3069">
        <v>-0.67178340000000003</v>
      </c>
      <c r="T3069">
        <v>-0.8116295</v>
      </c>
      <c r="U3069">
        <v>-2.9487760000000001</v>
      </c>
      <c r="V3069">
        <v>5.3691880000000004E-3</v>
      </c>
      <c r="W3069">
        <v>1.406018E-3</v>
      </c>
      <c r="X3069">
        <v>0.9999846</v>
      </c>
      <c r="Y3069">
        <v>0.14760909999999999</v>
      </c>
      <c r="Z3069">
        <v>0.25994789999999901</v>
      </c>
      <c r="AA3069">
        <v>0.95427390000000001</v>
      </c>
      <c r="AB3069">
        <v>13</v>
      </c>
      <c r="AC3069">
        <v>-0.16820000000001301</v>
      </c>
      <c r="AD3069">
        <v>-0.2080834</v>
      </c>
      <c r="AE3069">
        <v>-0.68169999999997799</v>
      </c>
      <c r="AF3069">
        <v>0.11160967442185001</v>
      </c>
      <c r="AG3069">
        <v>-0.2080834</v>
      </c>
      <c r="AH3069">
        <v>0.63573341330591204</v>
      </c>
      <c r="AI3069">
        <v>107.868382586164</v>
      </c>
      <c r="AJ3069">
        <v>80.042597582407097</v>
      </c>
      <c r="AK3069">
        <v>0.67816841092290503</v>
      </c>
      <c r="AL3069">
        <v>89.919441076351504</v>
      </c>
      <c r="AM3069">
        <v>89.6923664068253</v>
      </c>
      <c r="AN3069">
        <v>1.0000000026517699</v>
      </c>
    </row>
    <row r="3070" spans="1:40" x14ac:dyDescent="0.25">
      <c r="A3070" t="str">
        <f>"20190312154313679"</f>
        <v>20190312154313679</v>
      </c>
      <c r="B3070" t="str">
        <f>"1552376593671022"</f>
        <v>1552376593671022</v>
      </c>
      <c r="C3070" t="s">
        <v>40</v>
      </c>
      <c r="D3070">
        <v>4.8111179999999996</v>
      </c>
      <c r="E3070">
        <v>0.56360159999999904</v>
      </c>
      <c r="F3070" t="s">
        <v>41</v>
      </c>
      <c r="G3070">
        <v>-492.2842</v>
      </c>
      <c r="H3070">
        <v>0.91777880000000001</v>
      </c>
      <c r="I3070">
        <v>254.45760000000001</v>
      </c>
      <c r="J3070">
        <v>-492.13159999999999</v>
      </c>
      <c r="K3070">
        <v>1.111075</v>
      </c>
      <c r="L3070">
        <v>255.0522</v>
      </c>
      <c r="M3070">
        <v>-6.7181110000000002E-2</v>
      </c>
      <c r="N3070">
        <v>0</v>
      </c>
      <c r="O3070">
        <v>-0.9976488</v>
      </c>
      <c r="P3070">
        <v>-7.2847190000000006E-2</v>
      </c>
      <c r="Q3070">
        <v>-1.2206420000000001E-2</v>
      </c>
      <c r="R3070">
        <v>-0.99726820000000005</v>
      </c>
      <c r="S3070">
        <v>-0.67565920000000002</v>
      </c>
      <c r="T3070">
        <v>-0.82815609999999995</v>
      </c>
      <c r="U3070">
        <v>-2.9485320000000002</v>
      </c>
      <c r="V3070">
        <v>5.67754E-3</v>
      </c>
      <c r="W3070">
        <v>1.3468899999999999E-3</v>
      </c>
      <c r="X3070">
        <v>0.99998299999999996</v>
      </c>
      <c r="Y3070">
        <v>0.14938779999999999</v>
      </c>
      <c r="Z3070">
        <v>0.26484000000000002</v>
      </c>
      <c r="AA3070">
        <v>0.95265049999999996</v>
      </c>
      <c r="AB3070">
        <v>13</v>
      </c>
      <c r="AC3070">
        <v>-0.15260000000000601</v>
      </c>
      <c r="AD3070">
        <v>-0.1932962</v>
      </c>
      <c r="AE3070">
        <v>-0.59459999999998503</v>
      </c>
      <c r="AF3070">
        <v>0.10217494384038101</v>
      </c>
      <c r="AG3070">
        <v>-0.1932962</v>
      </c>
      <c r="AH3070">
        <v>0.54906883172218102</v>
      </c>
      <c r="AI3070">
        <v>109.090846233924</v>
      </c>
      <c r="AJ3070">
        <v>79.458536550338493</v>
      </c>
      <c r="AK3070">
        <v>0.590998918824718</v>
      </c>
      <c r="AL3070">
        <v>89.922828866084103</v>
      </c>
      <c r="AM3070">
        <v>89.674698885195596</v>
      </c>
      <c r="AN3070">
        <v>1.0000000244310601</v>
      </c>
    </row>
    <row r="3071" spans="1:40" x14ac:dyDescent="0.25">
      <c r="A3071" t="str">
        <f>"20190312154313691"</f>
        <v>20190312154313691</v>
      </c>
      <c r="B3071" t="str">
        <f>"1552376593680783"</f>
        <v>1552376593680783</v>
      </c>
      <c r="C3071" t="s">
        <v>40</v>
      </c>
      <c r="D3071">
        <v>4.7983379999999904</v>
      </c>
      <c r="E3071">
        <v>0.56407929999999995</v>
      </c>
      <c r="F3071" t="s">
        <v>41</v>
      </c>
      <c r="G3071">
        <v>-492.29520000000002</v>
      </c>
      <c r="H3071">
        <v>0.90886140000000004</v>
      </c>
      <c r="I3071">
        <v>254.34829999999999</v>
      </c>
      <c r="J3071">
        <v>-492.1354</v>
      </c>
      <c r="K3071">
        <v>1.111078</v>
      </c>
      <c r="L3071">
        <v>254.98339999999999</v>
      </c>
      <c r="M3071">
        <v>-6.6537310000000002E-2</v>
      </c>
      <c r="N3071">
        <v>0</v>
      </c>
      <c r="O3071">
        <v>-0.99769189999999996</v>
      </c>
      <c r="P3071">
        <v>-7.2186360000000005E-2</v>
      </c>
      <c r="Q3071">
        <v>-1.220857E-2</v>
      </c>
      <c r="R3071">
        <v>-0.99731650000000005</v>
      </c>
      <c r="S3071">
        <v>-0.68356319999999904</v>
      </c>
      <c r="T3071">
        <v>-0.84732269999999899</v>
      </c>
      <c r="U3071">
        <v>-2.9478759999999999</v>
      </c>
      <c r="V3071">
        <v>5.6602120000000004E-3</v>
      </c>
      <c r="W3071">
        <v>1.3440289999999901E-3</v>
      </c>
      <c r="X3071">
        <v>0.99998310000000001</v>
      </c>
      <c r="Y3071">
        <v>0.1521439</v>
      </c>
      <c r="Z3071">
        <v>0.27045970000000003</v>
      </c>
      <c r="AA3071">
        <v>0.95063339999999996</v>
      </c>
      <c r="AB3071">
        <v>13</v>
      </c>
      <c r="AC3071">
        <v>-0.15980000000001801</v>
      </c>
      <c r="AD3071">
        <v>-0.2022166</v>
      </c>
      <c r="AE3071">
        <v>-0.635099999999994</v>
      </c>
      <c r="AF3071">
        <v>0.106983895953252</v>
      </c>
      <c r="AG3071">
        <v>-0.2022166</v>
      </c>
      <c r="AH3071">
        <v>0.58824117104622298</v>
      </c>
      <c r="AI3071">
        <v>108.686395281532</v>
      </c>
      <c r="AJ3071">
        <v>79.692234894374494</v>
      </c>
      <c r="AK3071">
        <v>0.63116145527331402</v>
      </c>
      <c r="AL3071">
        <v>89.922992789293403</v>
      </c>
      <c r="AM3071">
        <v>89.675691723865896</v>
      </c>
      <c r="AN3071">
        <v>1.0000000223497201</v>
      </c>
    </row>
    <row r="3072" spans="1:40" x14ac:dyDescent="0.25">
      <c r="A3072" t="str">
        <f>"20190312154313704"</f>
        <v>20190312154313704</v>
      </c>
      <c r="B3072" t="str">
        <f>"1552376593690543"</f>
        <v>1552376593690543</v>
      </c>
      <c r="C3072" t="s">
        <v>40</v>
      </c>
      <c r="D3072">
        <v>4.8003850000000003</v>
      </c>
      <c r="E3072">
        <v>0.56446750000000001</v>
      </c>
      <c r="F3072" t="s">
        <v>41</v>
      </c>
      <c r="G3072">
        <v>-492.30779999999999</v>
      </c>
      <c r="H3072">
        <v>0.89641610000000005</v>
      </c>
      <c r="I3072">
        <v>254.24100000000001</v>
      </c>
      <c r="J3072">
        <v>-492.13929999999999</v>
      </c>
      <c r="K3072">
        <v>1.111081</v>
      </c>
      <c r="L3072">
        <v>254.9136</v>
      </c>
      <c r="M3072">
        <v>-6.5879519999999997E-2</v>
      </c>
      <c r="N3072">
        <v>0</v>
      </c>
      <c r="O3072">
        <v>-0.9977357</v>
      </c>
      <c r="P3072">
        <v>-7.1334729999999999E-2</v>
      </c>
      <c r="Q3072">
        <v>-1.2023600000000001E-2</v>
      </c>
      <c r="R3072">
        <v>-0.99738009999999999</v>
      </c>
      <c r="S3072">
        <v>-0.68505859999999996</v>
      </c>
      <c r="T3072">
        <v>-0.8522573</v>
      </c>
      <c r="U3072">
        <v>-2.9480900000000001</v>
      </c>
      <c r="V3072">
        <v>5.4653050000000002E-3</v>
      </c>
      <c r="W3072">
        <v>1.5271340000000001E-3</v>
      </c>
      <c r="X3072">
        <v>0.99998390000000004</v>
      </c>
      <c r="Y3072">
        <v>0.1531467</v>
      </c>
      <c r="Z3072">
        <v>0.27188119999999999</v>
      </c>
      <c r="AA3072">
        <v>0.95006670000000004</v>
      </c>
      <c r="AB3072">
        <v>13</v>
      </c>
      <c r="AC3072">
        <v>-0.16849999999999399</v>
      </c>
      <c r="AD3072">
        <v>-0.21466489999999899</v>
      </c>
      <c r="AE3072">
        <v>-0.67260000000001696</v>
      </c>
      <c r="AF3072">
        <v>0.112989670368332</v>
      </c>
      <c r="AG3072">
        <v>-0.21466489999999899</v>
      </c>
      <c r="AH3072">
        <v>0.62256961604233296</v>
      </c>
      <c r="AI3072">
        <v>108.74015011816201</v>
      </c>
      <c r="AJ3072">
        <v>79.713399895422896</v>
      </c>
      <c r="AK3072">
        <v>0.66816211485016996</v>
      </c>
      <c r="AL3072">
        <v>89.912501633124904</v>
      </c>
      <c r="AM3072">
        <v>89.686859165998996</v>
      </c>
      <c r="AN3072">
        <v>1.0000000009781</v>
      </c>
    </row>
    <row r="3073" spans="1:40" x14ac:dyDescent="0.25">
      <c r="A3073" t="str">
        <f>"20190312154313716"</f>
        <v>20190312154313716</v>
      </c>
      <c r="B3073" t="str">
        <f>"1552376593710063"</f>
        <v>1552376593710063</v>
      </c>
      <c r="C3073" t="s">
        <v>40</v>
      </c>
      <c r="D3073">
        <v>4.8112370000000002</v>
      </c>
      <c r="E3073">
        <v>0.56487169999999998</v>
      </c>
      <c r="F3073" t="s">
        <v>41</v>
      </c>
      <c r="G3073">
        <v>-492.29730000000001</v>
      </c>
      <c r="H3073">
        <v>0.91343399999999997</v>
      </c>
      <c r="I3073">
        <v>254.23320000000001</v>
      </c>
      <c r="J3073">
        <v>-492.14319999999998</v>
      </c>
      <c r="K3073">
        <v>1.111086</v>
      </c>
      <c r="L3073">
        <v>254.84289999999999</v>
      </c>
      <c r="M3073">
        <v>-6.521159E-2</v>
      </c>
      <c r="N3073">
        <v>0</v>
      </c>
      <c r="O3073">
        <v>-0.99777950000000004</v>
      </c>
      <c r="P3073">
        <v>-7.0731050000000004E-2</v>
      </c>
      <c r="Q3073">
        <v>-1.155583E-2</v>
      </c>
      <c r="R3073">
        <v>-0.99742830000000005</v>
      </c>
      <c r="S3073">
        <v>-0.68533330000000003</v>
      </c>
      <c r="T3073">
        <v>-0.85648729999999995</v>
      </c>
      <c r="U3073">
        <v>-2.948502</v>
      </c>
      <c r="V3073">
        <v>5.5286729999999996E-3</v>
      </c>
      <c r="W3073">
        <v>1.9934800000000002E-3</v>
      </c>
      <c r="X3073">
        <v>0.9999827</v>
      </c>
      <c r="Y3073">
        <v>0.15378439999999999</v>
      </c>
      <c r="Z3073">
        <v>0.27309559999999999</v>
      </c>
      <c r="AA3073">
        <v>0.94961519999999999</v>
      </c>
      <c r="AB3073">
        <v>13</v>
      </c>
      <c r="AC3073">
        <v>-0.15410000000002799</v>
      </c>
      <c r="AD3073">
        <v>-0.19765199999999999</v>
      </c>
      <c r="AE3073">
        <v>-0.60969999999997504</v>
      </c>
      <c r="AF3073">
        <v>0.103759251267716</v>
      </c>
      <c r="AG3073">
        <v>-0.19765199999999999</v>
      </c>
      <c r="AH3073">
        <v>0.56285244369765297</v>
      </c>
      <c r="AI3073">
        <v>109.05196425571199</v>
      </c>
      <c r="AJ3073">
        <v>79.555051506059698</v>
      </c>
      <c r="AK3073">
        <v>0.60550406167428505</v>
      </c>
      <c r="AL3073">
        <v>89.885781930407703</v>
      </c>
      <c r="AM3073">
        <v>89.683228118174895</v>
      </c>
      <c r="AN3073">
        <v>0.99999997024346998</v>
      </c>
    </row>
    <row r="3074" spans="1:40" x14ac:dyDescent="0.25">
      <c r="A3074" t="str">
        <f>"20190312154313729"</f>
        <v>20190312154313729</v>
      </c>
      <c r="B3074" t="str">
        <f>"1552376593720799"</f>
        <v>1552376593720799</v>
      </c>
      <c r="C3074" t="s">
        <v>40</v>
      </c>
      <c r="D3074">
        <v>4.8080290000000003</v>
      </c>
      <c r="E3074">
        <v>0.56502640000000004</v>
      </c>
      <c r="F3074" t="s">
        <v>41</v>
      </c>
      <c r="G3074">
        <v>-492.31060000000002</v>
      </c>
      <c r="H3074">
        <v>0.90162439999999999</v>
      </c>
      <c r="I3074">
        <v>254.1258</v>
      </c>
      <c r="J3074">
        <v>-492.1472</v>
      </c>
      <c r="K3074">
        <v>1.1110899999999999</v>
      </c>
      <c r="L3074">
        <v>254.77</v>
      </c>
      <c r="M3074">
        <v>-6.4521800000000004E-2</v>
      </c>
      <c r="N3074">
        <v>0</v>
      </c>
      <c r="O3074">
        <v>-0.99782439999999994</v>
      </c>
      <c r="P3074">
        <v>-7.0076579999999999E-2</v>
      </c>
      <c r="Q3074">
        <v>-1.1022540000000001E-2</v>
      </c>
      <c r="R3074">
        <v>-0.9974809</v>
      </c>
      <c r="S3074">
        <v>-0.68661499999999998</v>
      </c>
      <c r="T3074">
        <v>-0.86188390000000004</v>
      </c>
      <c r="U3074">
        <v>-2.9490660000000002</v>
      </c>
      <c r="V3074">
        <v>5.5629109999999898E-3</v>
      </c>
      <c r="W3074">
        <v>2.5251520000000001E-3</v>
      </c>
      <c r="X3074">
        <v>0.99998129999999996</v>
      </c>
      <c r="Y3074">
        <v>0.15471969999999999</v>
      </c>
      <c r="Z3074">
        <v>0.27462320000000001</v>
      </c>
      <c r="AA3074">
        <v>0.9490227</v>
      </c>
      <c r="AB3074">
        <v>13</v>
      </c>
      <c r="AC3074">
        <v>-0.163400000000024</v>
      </c>
      <c r="AD3074">
        <v>-0.209465599999999</v>
      </c>
      <c r="AE3074">
        <v>-0.64420000000001199</v>
      </c>
      <c r="AF3074">
        <v>0.110512849965862</v>
      </c>
      <c r="AG3074">
        <v>-0.209465599999999</v>
      </c>
      <c r="AH3074">
        <v>0.59436016667648806</v>
      </c>
      <c r="AI3074">
        <v>109.11035983693399</v>
      </c>
      <c r="AJ3074">
        <v>79.466945911622105</v>
      </c>
      <c r="AK3074">
        <v>0.63980695160543599</v>
      </c>
      <c r="AL3074">
        <v>89.855319288423402</v>
      </c>
      <c r="AM3074">
        <v>89.681266005446901</v>
      </c>
      <c r="AN3074">
        <v>0.99999996136055203</v>
      </c>
    </row>
    <row r="3075" spans="1:40" x14ac:dyDescent="0.25">
      <c r="A3075" t="str">
        <f>"20190312154313746"</f>
        <v>20190312154313746</v>
      </c>
      <c r="B3075" t="str">
        <f>"1552376593740318"</f>
        <v>1552376593740318</v>
      </c>
      <c r="C3075" t="s">
        <v>40</v>
      </c>
      <c r="D3075">
        <v>4.7867689999999996</v>
      </c>
      <c r="E3075">
        <v>0.56538959999999905</v>
      </c>
      <c r="F3075" t="s">
        <v>41</v>
      </c>
      <c r="G3075">
        <v>-492.32220000000001</v>
      </c>
      <c r="H3075">
        <v>0.89108220000000005</v>
      </c>
      <c r="I3075">
        <v>254.018</v>
      </c>
      <c r="J3075">
        <v>-492.15219999999999</v>
      </c>
      <c r="K3075">
        <v>1.1110949999999999</v>
      </c>
      <c r="L3075">
        <v>254.67590000000001</v>
      </c>
      <c r="M3075">
        <v>-6.3627470000000005E-2</v>
      </c>
      <c r="N3075">
        <v>0</v>
      </c>
      <c r="O3075">
        <v>-0.99788180000000004</v>
      </c>
      <c r="P3075">
        <v>-6.8597749999999999E-2</v>
      </c>
      <c r="Q3075">
        <v>-1.0205820000000001E-2</v>
      </c>
      <c r="R3075">
        <v>-0.99759229999999999</v>
      </c>
      <c r="S3075">
        <v>-0.68640140000000005</v>
      </c>
      <c r="T3075">
        <v>-0.86307109999999998</v>
      </c>
      <c r="U3075">
        <v>-2.9497990000000001</v>
      </c>
      <c r="V3075">
        <v>4.9753649999999998E-3</v>
      </c>
      <c r="W3075">
        <v>3.3395859999999999E-3</v>
      </c>
      <c r="X3075">
        <v>0.99998209999999998</v>
      </c>
      <c r="Y3075">
        <v>0.15546779999999999</v>
      </c>
      <c r="Z3075">
        <v>0.27491979999999999</v>
      </c>
      <c r="AA3075">
        <v>0.94881450000000001</v>
      </c>
      <c r="AB3075">
        <v>13</v>
      </c>
      <c r="AC3075">
        <v>-0.170000000000015</v>
      </c>
      <c r="AD3075">
        <v>-0.22001280000000001</v>
      </c>
      <c r="AE3075">
        <v>-0.65790000000001203</v>
      </c>
      <c r="AF3075">
        <v>0.115665359530552</v>
      </c>
      <c r="AG3075">
        <v>-0.22001280000000001</v>
      </c>
      <c r="AH3075">
        <v>0.60405801660233804</v>
      </c>
      <c r="AI3075">
        <v>109.683434431416</v>
      </c>
      <c r="AJ3075">
        <v>79.160181719247404</v>
      </c>
      <c r="AK3075">
        <v>0.65319996553943704</v>
      </c>
      <c r="AL3075">
        <v>89.808655471481899</v>
      </c>
      <c r="AM3075">
        <v>89.714929833466798</v>
      </c>
      <c r="AN3075">
        <v>1.0000000537059699</v>
      </c>
    </row>
    <row r="3076" spans="1:40" x14ac:dyDescent="0.25">
      <c r="A3076" t="str">
        <f>"20190312154313760"</f>
        <v>20190312154313760</v>
      </c>
      <c r="B3076" t="str">
        <f>"1552376593750078"</f>
        <v>1552376593750078</v>
      </c>
      <c r="C3076" t="s">
        <v>40</v>
      </c>
      <c r="D3076">
        <v>4.7802379999999998</v>
      </c>
      <c r="E3076">
        <v>0.56550409999999995</v>
      </c>
      <c r="F3076" t="s">
        <v>41</v>
      </c>
      <c r="G3076">
        <v>-492.30759999999998</v>
      </c>
      <c r="H3076">
        <v>0.91536309999999999</v>
      </c>
      <c r="I3076">
        <v>254.00710000000001</v>
      </c>
      <c r="J3076">
        <v>-492.15609999999998</v>
      </c>
      <c r="K3076">
        <v>1.111094</v>
      </c>
      <c r="L3076">
        <v>254.6011</v>
      </c>
      <c r="M3076">
        <v>-6.2914890000000001E-2</v>
      </c>
      <c r="N3076">
        <v>0</v>
      </c>
      <c r="O3076">
        <v>-0.99792709999999996</v>
      </c>
      <c r="P3076">
        <v>-6.7649340000000002E-2</v>
      </c>
      <c r="Q3076">
        <v>-9.6167609999999997E-3</v>
      </c>
      <c r="R3076">
        <v>-0.99766299999999997</v>
      </c>
      <c r="S3076">
        <v>-0.68572999999999995</v>
      </c>
      <c r="T3076">
        <v>-0.86367399999999905</v>
      </c>
      <c r="U3076">
        <v>-2.9512480000000001</v>
      </c>
      <c r="V3076">
        <v>4.7378530000000002E-3</v>
      </c>
      <c r="W3076">
        <v>3.927046E-3</v>
      </c>
      <c r="X3076">
        <v>0.99998100000000001</v>
      </c>
      <c r="Y3076">
        <v>0.1558602</v>
      </c>
      <c r="Z3076">
        <v>0.2749915</v>
      </c>
      <c r="AA3076">
        <v>0.9487293</v>
      </c>
      <c r="AB3076">
        <v>13</v>
      </c>
      <c r="AC3076">
        <v>-0.151499999999998</v>
      </c>
      <c r="AD3076">
        <v>-0.19573090000000001</v>
      </c>
      <c r="AE3076">
        <v>-0.59399999999999398</v>
      </c>
      <c r="AF3076">
        <v>0.103294361099694</v>
      </c>
      <c r="AG3076">
        <v>-0.19573090000000001</v>
      </c>
      <c r="AH3076">
        <v>0.54662823282944495</v>
      </c>
      <c r="AI3076">
        <v>109.384051652468</v>
      </c>
      <c r="AJ3076">
        <v>79.299202088765298</v>
      </c>
      <c r="AK3076">
        <v>0.58973107021425097</v>
      </c>
      <c r="AL3076">
        <v>89.774996245216897</v>
      </c>
      <c r="AM3076">
        <v>89.728537892585706</v>
      </c>
      <c r="AN3076">
        <v>0.99999993465116499</v>
      </c>
    </row>
    <row r="3077" spans="1:40" x14ac:dyDescent="0.25">
      <c r="A3077" t="str">
        <f>"20190312154313782"</f>
        <v>20190312154313782</v>
      </c>
      <c r="B3077" t="str">
        <f>"1552376593770575"</f>
        <v>1552376593770575</v>
      </c>
      <c r="C3077" t="s">
        <v>40</v>
      </c>
      <c r="D3077">
        <v>4.782095</v>
      </c>
      <c r="E3077">
        <v>0.56567730000000005</v>
      </c>
      <c r="F3077" t="s">
        <v>41</v>
      </c>
      <c r="G3077">
        <v>-492.31909999999999</v>
      </c>
      <c r="H3077">
        <v>0.90592600000000001</v>
      </c>
      <c r="I3077">
        <v>253.899</v>
      </c>
      <c r="J3077">
        <v>-492.1626</v>
      </c>
      <c r="K3077">
        <v>1.1110960000000001</v>
      </c>
      <c r="L3077">
        <v>254.47569999999999</v>
      </c>
      <c r="M3077">
        <v>-6.1718710000000003E-2</v>
      </c>
      <c r="N3077">
        <v>0</v>
      </c>
      <c r="O3077">
        <v>-0.99800180000000005</v>
      </c>
      <c r="P3077">
        <v>-6.5694779999999994E-2</v>
      </c>
      <c r="Q3077">
        <v>-8.9698360000000001E-3</v>
      </c>
      <c r="R3077">
        <v>-0.99779969999999996</v>
      </c>
      <c r="S3077">
        <v>-0.68389889999999998</v>
      </c>
      <c r="T3077">
        <v>-0.86302160000000006</v>
      </c>
      <c r="U3077">
        <v>-2.9523160000000002</v>
      </c>
      <c r="V3077">
        <v>3.9765360000000001E-3</v>
      </c>
      <c r="W3077">
        <v>4.5707710000000004E-3</v>
      </c>
      <c r="X3077">
        <v>0.99998160000000003</v>
      </c>
      <c r="Y3077">
        <v>0.1564247</v>
      </c>
      <c r="Z3077">
        <v>0.27474510000000002</v>
      </c>
      <c r="AA3077">
        <v>0.94870779999999999</v>
      </c>
      <c r="AB3077">
        <v>13</v>
      </c>
      <c r="AC3077">
        <v>-0.15649999999999401</v>
      </c>
      <c r="AD3077">
        <v>-0.20516999999999899</v>
      </c>
      <c r="AE3077">
        <v>-0.576699999999988</v>
      </c>
      <c r="AF3077">
        <v>0.10788665227394501</v>
      </c>
      <c r="AG3077">
        <v>-0.20516999999999899</v>
      </c>
      <c r="AH3077">
        <v>0.52354121675527798</v>
      </c>
      <c r="AI3077">
        <v>110.998003376328</v>
      </c>
      <c r="AJ3077">
        <v>78.355998259556998</v>
      </c>
      <c r="AK3077">
        <v>0.57256411368551197</v>
      </c>
      <c r="AL3077">
        <v>89.738113188262801</v>
      </c>
      <c r="AM3077">
        <v>89.772158278788993</v>
      </c>
      <c r="AN3077">
        <v>0.99999995256232499</v>
      </c>
    </row>
    <row r="3078" spans="1:40" x14ac:dyDescent="0.25">
      <c r="A3078" t="str">
        <f>"20190312154313796"</f>
        <v>20190312154313796</v>
      </c>
      <c r="B3078" t="str">
        <f>"1552376593790094"</f>
        <v>1552376593790094</v>
      </c>
      <c r="C3078" t="s">
        <v>40</v>
      </c>
      <c r="D3078">
        <v>4.7652580000000002</v>
      </c>
      <c r="E3078">
        <v>0.56642999999999999</v>
      </c>
      <c r="F3078" t="s">
        <v>41</v>
      </c>
      <c r="G3078">
        <v>-492.32150000000001</v>
      </c>
      <c r="H3078">
        <v>0.90916989999999998</v>
      </c>
      <c r="I3078">
        <v>253.78559999999999</v>
      </c>
      <c r="J3078">
        <v>-492.16660000000002</v>
      </c>
      <c r="K3078">
        <v>1.111097</v>
      </c>
      <c r="L3078">
        <v>254.39689999999999</v>
      </c>
      <c r="M3078">
        <v>-6.0965659999999998E-2</v>
      </c>
      <c r="N3078">
        <v>0</v>
      </c>
      <c r="O3078">
        <v>-0.9980483</v>
      </c>
      <c r="P3078">
        <v>-6.4531530000000004E-2</v>
      </c>
      <c r="Q3078">
        <v>-8.5460780000000004E-3</v>
      </c>
      <c r="R3078">
        <v>-0.99787919999999997</v>
      </c>
      <c r="S3078">
        <v>-0.67956539999999999</v>
      </c>
      <c r="T3078">
        <v>-0.86445810000000001</v>
      </c>
      <c r="U3078">
        <v>-2.9541019999999998</v>
      </c>
      <c r="V3078">
        <v>3.5647230000000001E-3</v>
      </c>
      <c r="W3078">
        <v>4.9918130000000003E-3</v>
      </c>
      <c r="X3078">
        <v>0.99998120000000001</v>
      </c>
      <c r="Y3078">
        <v>0.15569929999999901</v>
      </c>
      <c r="Z3078">
        <v>0.27509329999999999</v>
      </c>
      <c r="AA3078">
        <v>0.94872619999999996</v>
      </c>
      <c r="AB3078">
        <v>13</v>
      </c>
      <c r="AC3078">
        <v>-0.15489999999999701</v>
      </c>
      <c r="AD3078">
        <v>-0.201927099999999</v>
      </c>
      <c r="AE3078">
        <v>-0.61129999999999995</v>
      </c>
      <c r="AF3078">
        <v>0.106427971323741</v>
      </c>
      <c r="AG3078">
        <v>-0.201927099999999</v>
      </c>
      <c r="AH3078">
        <v>0.56198632495728895</v>
      </c>
      <c r="AI3078">
        <v>109.44480263419401</v>
      </c>
      <c r="AJ3078">
        <v>79.276420790487705</v>
      </c>
      <c r="AK3078">
        <v>0.60657241631440595</v>
      </c>
      <c r="AL3078">
        <v>89.713988998849601</v>
      </c>
      <c r="AM3078">
        <v>89.795753442282106</v>
      </c>
      <c r="AN3078">
        <v>1.00000001290026</v>
      </c>
    </row>
    <row r="3079" spans="1:40" x14ac:dyDescent="0.25">
      <c r="A3079" t="str">
        <f>"20190312154313812"</f>
        <v>20190312154313812</v>
      </c>
      <c r="B3079" t="str">
        <f>"1552376593800830"</f>
        <v>1552376593800830</v>
      </c>
      <c r="C3079" t="s">
        <v>40</v>
      </c>
      <c r="D3079">
        <v>4.7573100000000004</v>
      </c>
      <c r="E3079">
        <v>0.56642999999999999</v>
      </c>
      <c r="F3079" t="s">
        <v>41</v>
      </c>
      <c r="G3079">
        <v>-492.33300000000003</v>
      </c>
      <c r="H3079">
        <v>0.89945439999999999</v>
      </c>
      <c r="I3079">
        <v>253.6781</v>
      </c>
      <c r="J3079">
        <v>-492.17110000000002</v>
      </c>
      <c r="K3079">
        <v>1.1111</v>
      </c>
      <c r="L3079">
        <v>254.3058</v>
      </c>
      <c r="M3079">
        <v>-6.0095669999999997E-2</v>
      </c>
      <c r="N3079">
        <v>0</v>
      </c>
      <c r="O3079">
        <v>-0.99810120000000002</v>
      </c>
      <c r="P3079">
        <v>-6.2866309999999995E-2</v>
      </c>
      <c r="Q3079">
        <v>-7.49731099999999E-3</v>
      </c>
      <c r="R3079">
        <v>-0.99799389999999999</v>
      </c>
      <c r="S3079">
        <v>-0.68231200000000003</v>
      </c>
      <c r="T3079">
        <v>-0.87029519999999905</v>
      </c>
      <c r="U3079">
        <v>-2.9547880000000002</v>
      </c>
      <c r="V3079">
        <v>2.7662849999999998E-3</v>
      </c>
      <c r="W3079">
        <v>6.0379780000000003E-3</v>
      </c>
      <c r="X3079">
        <v>0.99997789999999998</v>
      </c>
      <c r="Y3079">
        <v>0.1572443</v>
      </c>
      <c r="Z3079">
        <v>0.27671000000000001</v>
      </c>
      <c r="AA3079">
        <v>0.94800099999999998</v>
      </c>
      <c r="AB3079">
        <v>13</v>
      </c>
      <c r="AC3079">
        <v>-0.16190000000000199</v>
      </c>
      <c r="AD3079">
        <v>-0.21164559999999999</v>
      </c>
      <c r="AE3079">
        <v>-0.62770000000000403</v>
      </c>
      <c r="AF3079">
        <v>0.111948518112404</v>
      </c>
      <c r="AG3079">
        <v>-0.21164559999999999</v>
      </c>
      <c r="AH3079">
        <v>0.57500243663717499</v>
      </c>
      <c r="AI3079">
        <v>109.864483464804</v>
      </c>
      <c r="AJ3079">
        <v>78.982778832568201</v>
      </c>
      <c r="AK3079">
        <v>0.62285964136843197</v>
      </c>
      <c r="AL3079">
        <v>89.654047226140307</v>
      </c>
      <c r="AM3079">
        <v>89.841500446034701</v>
      </c>
      <c r="AN3079">
        <v>0.99999995499971805</v>
      </c>
    </row>
    <row r="3080" spans="1:40" x14ac:dyDescent="0.25">
      <c r="A3080" t="str">
        <f>"20190312154313825"</f>
        <v>20190312154313825</v>
      </c>
      <c r="B3080" t="str">
        <f>"1552376593820351"</f>
        <v>1552376593820351</v>
      </c>
      <c r="C3080" t="s">
        <v>40</v>
      </c>
      <c r="D3080">
        <v>4.5617559999999999</v>
      </c>
      <c r="E3080">
        <v>0.57562729999999995</v>
      </c>
      <c r="F3080" t="s">
        <v>41</v>
      </c>
      <c r="G3080">
        <v>-492.34019999999998</v>
      </c>
      <c r="H3080">
        <v>0.89494229999999997</v>
      </c>
      <c r="I3080">
        <v>253.5686</v>
      </c>
      <c r="J3080">
        <v>-492.17469999999997</v>
      </c>
      <c r="K3080">
        <v>1.1111</v>
      </c>
      <c r="L3080">
        <v>254.23240000000001</v>
      </c>
      <c r="M3080">
        <v>-5.9394339999999997E-2</v>
      </c>
      <c r="N3080">
        <v>0</v>
      </c>
      <c r="O3080">
        <v>-0.99814309999999995</v>
      </c>
      <c r="P3080">
        <v>-6.1814910000000001E-2</v>
      </c>
      <c r="Q3080">
        <v>-7.2346859999999997E-3</v>
      </c>
      <c r="R3080">
        <v>-0.998062</v>
      </c>
      <c r="S3080">
        <v>-0.67755129999999997</v>
      </c>
      <c r="T3080">
        <v>-0.86704150000000002</v>
      </c>
      <c r="U3080">
        <v>-2.956833</v>
      </c>
      <c r="V3080">
        <v>2.4151509999999999E-3</v>
      </c>
      <c r="W3080">
        <v>6.2983249999999996E-3</v>
      </c>
      <c r="X3080">
        <v>0.99997720000000001</v>
      </c>
      <c r="Y3080">
        <v>0.15641079999999999</v>
      </c>
      <c r="Z3080">
        <v>0.27566410000000002</v>
      </c>
      <c r="AA3080">
        <v>0.94844349999999999</v>
      </c>
      <c r="AB3080">
        <v>13</v>
      </c>
      <c r="AC3080">
        <v>-0.165500000000008</v>
      </c>
      <c r="AD3080">
        <v>-0.21615769999999901</v>
      </c>
      <c r="AE3080">
        <v>-0.66380000000000905</v>
      </c>
      <c r="AF3080">
        <v>0.114361134109633</v>
      </c>
      <c r="AG3080">
        <v>-0.21615769999999901</v>
      </c>
      <c r="AH3080">
        <v>0.611418512769348</v>
      </c>
      <c r="AI3080">
        <v>109.162761738835</v>
      </c>
      <c r="AJ3080">
        <v>79.405679630371395</v>
      </c>
      <c r="AK3080">
        <v>0.65850984656359801</v>
      </c>
      <c r="AL3080">
        <v>89.639130155971003</v>
      </c>
      <c r="AM3080">
        <v>89.861619154791995</v>
      </c>
      <c r="AN3080">
        <v>0.99999995118599705</v>
      </c>
    </row>
    <row r="3081" spans="1:40" x14ac:dyDescent="0.25">
      <c r="A3081" t="str">
        <f>"20190312154313906"</f>
        <v>20190312154313906</v>
      </c>
      <c r="B3081" t="str">
        <f>"1552376593900132"</f>
        <v>1552376593900132</v>
      </c>
      <c r="C3081" t="s">
        <v>40</v>
      </c>
      <c r="D3081">
        <v>3.21699</v>
      </c>
      <c r="E3081">
        <v>0.57562729999999995</v>
      </c>
      <c r="F3081" t="s">
        <v>41</v>
      </c>
      <c r="G3081">
        <v>-492.33870000000002</v>
      </c>
      <c r="H3081">
        <v>0.87511159999999999</v>
      </c>
      <c r="I3081">
        <v>253.57740000000001</v>
      </c>
      <c r="J3081">
        <v>-492.19560000000001</v>
      </c>
      <c r="K3081">
        <v>1.111065</v>
      </c>
      <c r="L3081">
        <v>253.78360000000001</v>
      </c>
      <c r="M3081">
        <v>-5.5201380000000001E-2</v>
      </c>
      <c r="N3081">
        <v>0</v>
      </c>
      <c r="O3081">
        <v>-0.99838389999999999</v>
      </c>
      <c r="P3081">
        <v>-5.5316780000000003E-2</v>
      </c>
      <c r="Q3081">
        <v>-5.0983629999999999E-3</v>
      </c>
      <c r="R3081">
        <v>-0.99845609999999996</v>
      </c>
      <c r="S3081">
        <v>-0.73867799999999995</v>
      </c>
      <c r="T3081">
        <v>-1.0638160000000001</v>
      </c>
      <c r="U3081">
        <v>-2.9523320000000002</v>
      </c>
      <c r="V3081">
        <v>1.040398E-4</v>
      </c>
      <c r="W3081">
        <v>8.4201940000000006E-3</v>
      </c>
      <c r="X3081">
        <v>0.99996450000000003</v>
      </c>
      <c r="Y3081">
        <v>0.17510479999999901</v>
      </c>
      <c r="Z3081">
        <v>0.33115840000000002</v>
      </c>
      <c r="AA3081">
        <v>0.92718520000000004</v>
      </c>
      <c r="AB3081">
        <v>12</v>
      </c>
      <c r="AC3081">
        <v>-0.143100000000004</v>
      </c>
      <c r="AD3081">
        <v>-0.23595340000000001</v>
      </c>
      <c r="AE3081">
        <v>-0.206199999999995</v>
      </c>
      <c r="AF3081">
        <v>6.9805877519189805E-2</v>
      </c>
      <c r="AG3081">
        <v>-0.23595340000000001</v>
      </c>
      <c r="AH3081">
        <v>0.113488163212403</v>
      </c>
      <c r="AI3081">
        <v>150.54744140119101</v>
      </c>
      <c r="AJ3081">
        <v>58.404580615814197</v>
      </c>
      <c r="AK3081">
        <v>0.27097311803407498</v>
      </c>
      <c r="AL3081">
        <v>89.517552698824005</v>
      </c>
      <c r="AM3081">
        <v>89.994038746955596</v>
      </c>
      <c r="AN3081">
        <v>0.99999995587576196</v>
      </c>
    </row>
    <row r="3082" spans="1:40" x14ac:dyDescent="0.25">
      <c r="A3082" t="str">
        <f>"20190312154313925"</f>
        <v>20190312154313925</v>
      </c>
      <c r="B3082" t="str">
        <f>"1552376593920629"</f>
        <v>1552376593920629</v>
      </c>
      <c r="C3082" t="s">
        <v>40</v>
      </c>
      <c r="D3082">
        <v>4.4344429999999999</v>
      </c>
      <c r="E3082">
        <v>0.46846589999999999</v>
      </c>
      <c r="F3082" t="s">
        <v>41</v>
      </c>
      <c r="G3082">
        <v>-492.35500000000002</v>
      </c>
      <c r="H3082">
        <v>0.87866619999999995</v>
      </c>
      <c r="I3082">
        <v>253.13200000000001</v>
      </c>
      <c r="J3082">
        <v>-492.20010000000002</v>
      </c>
      <c r="K3082">
        <v>1.111049</v>
      </c>
      <c r="L3082">
        <v>253.68340000000001</v>
      </c>
      <c r="M3082">
        <v>-5.4309839999999998E-2</v>
      </c>
      <c r="N3082">
        <v>0</v>
      </c>
      <c r="O3082">
        <v>-0.99843280000000001</v>
      </c>
      <c r="P3082">
        <v>-5.4082150000000002E-2</v>
      </c>
      <c r="Q3082">
        <v>-5.2216520000000002E-3</v>
      </c>
      <c r="R3082">
        <v>-0.9985231</v>
      </c>
      <c r="S3082">
        <v>-0.72299190000000002</v>
      </c>
      <c r="T3082">
        <v>-1.0556760000000001</v>
      </c>
      <c r="U3082">
        <v>-2.9592130000000001</v>
      </c>
      <c r="V3082">
        <v>-2.3918919999999999E-4</v>
      </c>
      <c r="W3082">
        <v>8.2933590000000001E-3</v>
      </c>
      <c r="X3082">
        <v>0.99996560000000001</v>
      </c>
      <c r="Y3082">
        <v>0.1710537</v>
      </c>
      <c r="Z3082">
        <v>0.32856560000000001</v>
      </c>
      <c r="AA3082">
        <v>0.92886230000000003</v>
      </c>
      <c r="AB3082">
        <v>12</v>
      </c>
      <c r="AC3082">
        <v>-0.15489999999999701</v>
      </c>
      <c r="AD3082">
        <v>-0.232382799999999</v>
      </c>
      <c r="AE3082">
        <v>-0.551400000000001</v>
      </c>
      <c r="AF3082">
        <v>0.107092451678826</v>
      </c>
      <c r="AG3082">
        <v>-0.232382799999999</v>
      </c>
      <c r="AH3082">
        <v>0.47998378041852902</v>
      </c>
      <c r="AI3082">
        <v>115.292070978944</v>
      </c>
      <c r="AJ3082">
        <v>77.422357304061094</v>
      </c>
      <c r="AK3082">
        <v>0.54392553571907598</v>
      </c>
      <c r="AL3082">
        <v>89.524820093152499</v>
      </c>
      <c r="AM3082">
        <v>90.013705002855801</v>
      </c>
      <c r="AN3082">
        <v>1.00000001909916</v>
      </c>
    </row>
    <row r="3083" spans="1:40" x14ac:dyDescent="0.25">
      <c r="A3083" t="str">
        <f>"20190312154313937"</f>
        <v>20190312154313937</v>
      </c>
      <c r="B3083" t="str">
        <f>"1552376593930388"</f>
        <v>1552376593930388</v>
      </c>
      <c r="C3083" t="s">
        <v>40</v>
      </c>
      <c r="D3083">
        <v>4.5893940000000004</v>
      </c>
      <c r="E3083">
        <v>0.46349570000000001</v>
      </c>
      <c r="F3083" t="s">
        <v>41</v>
      </c>
      <c r="G3083">
        <v>-492.17079999999999</v>
      </c>
      <c r="H3083">
        <v>0.88258559999999997</v>
      </c>
      <c r="I3083">
        <v>253.005</v>
      </c>
      <c r="J3083">
        <v>-492.20310000000001</v>
      </c>
      <c r="K3083">
        <v>1.111035</v>
      </c>
      <c r="L3083">
        <v>253.61439999999999</v>
      </c>
      <c r="M3083">
        <v>-5.3711790000000002E-2</v>
      </c>
      <c r="N3083">
        <v>0</v>
      </c>
      <c r="O3083">
        <v>-0.99846500000000005</v>
      </c>
      <c r="P3083">
        <v>-5.3442599999999903E-2</v>
      </c>
      <c r="Q3083">
        <v>-5.3985309999999998E-3</v>
      </c>
      <c r="R3083">
        <v>-0.9985562</v>
      </c>
      <c r="S3083">
        <v>0.1321716</v>
      </c>
      <c r="T3083">
        <v>-1.0126949999999999</v>
      </c>
      <c r="U3083">
        <v>-3.0062869999999999</v>
      </c>
      <c r="V3083">
        <v>-2.8019619999999999E-4</v>
      </c>
      <c r="W3083">
        <v>8.1145509999999994E-3</v>
      </c>
      <c r="X3083">
        <v>0.99996700000000005</v>
      </c>
      <c r="Y3083">
        <v>-9.5238459999999997E-2</v>
      </c>
      <c r="Z3083">
        <v>0.31768109999999999</v>
      </c>
      <c r="AA3083">
        <v>0.94340250000000003</v>
      </c>
      <c r="AB3083">
        <v>12</v>
      </c>
      <c r="AC3083">
        <v>3.2300000000020597E-2</v>
      </c>
      <c r="AD3083">
        <v>-0.2284494</v>
      </c>
      <c r="AE3083">
        <v>-0.60939999999999295</v>
      </c>
      <c r="AF3083">
        <v>-5.7000384925298402E-2</v>
      </c>
      <c r="AG3083">
        <v>-0.2284494</v>
      </c>
      <c r="AH3083">
        <v>0.53220308356992196</v>
      </c>
      <c r="AI3083">
        <v>113.113337655319</v>
      </c>
      <c r="AJ3083">
        <v>96.113228592716894</v>
      </c>
      <c r="AK3083">
        <v>0.581960732698801</v>
      </c>
      <c r="AL3083">
        <v>89.535065355307694</v>
      </c>
      <c r="AM3083">
        <v>90.016054589076901</v>
      </c>
      <c r="AN3083">
        <v>0.99999996276841996</v>
      </c>
    </row>
    <row r="3084" spans="1:40" x14ac:dyDescent="0.25">
      <c r="A3084" t="str">
        <f>"20190312154313948"</f>
        <v>20190312154313948</v>
      </c>
      <c r="B3084" t="str">
        <f>"1552376593940149"</f>
        <v>1552376593940149</v>
      </c>
      <c r="C3084" t="s">
        <v>40</v>
      </c>
      <c r="D3084">
        <v>4.534662</v>
      </c>
      <c r="E3084">
        <v>0.46158959999999999</v>
      </c>
      <c r="F3084" t="s">
        <v>41</v>
      </c>
      <c r="G3084">
        <v>-492.16230000000002</v>
      </c>
      <c r="H3084">
        <v>0.88713369999999903</v>
      </c>
      <c r="I3084">
        <v>252.89160000000001</v>
      </c>
      <c r="J3084">
        <v>-492.20589999999999</v>
      </c>
      <c r="K3084">
        <v>1.111022</v>
      </c>
      <c r="L3084">
        <v>253.54910000000001</v>
      </c>
      <c r="M3084">
        <v>-5.3153590000000001E-2</v>
      </c>
      <c r="N3084">
        <v>0</v>
      </c>
      <c r="O3084">
        <v>-0.99849520000000003</v>
      </c>
      <c r="P3084">
        <v>-5.2861739999999997E-2</v>
      </c>
      <c r="Q3084">
        <v>-5.4535919999999898E-3</v>
      </c>
      <c r="R3084">
        <v>-0.99858729999999996</v>
      </c>
      <c r="S3084">
        <v>0.16998289999999999</v>
      </c>
      <c r="T3084">
        <v>-0.93199589999999999</v>
      </c>
      <c r="U3084">
        <v>-3.0083769999999999</v>
      </c>
      <c r="V3084">
        <v>-3.0260699999999998E-4</v>
      </c>
      <c r="W3084">
        <v>8.0578100000000003E-3</v>
      </c>
      <c r="X3084">
        <v>0.99996750000000001</v>
      </c>
      <c r="Y3084">
        <v>-0.10689899999999999</v>
      </c>
      <c r="Z3084">
        <v>0.29423460000000001</v>
      </c>
      <c r="AA3084">
        <v>0.94973609999999997</v>
      </c>
      <c r="AB3084">
        <v>12</v>
      </c>
      <c r="AC3084">
        <v>4.3599999999969399E-2</v>
      </c>
      <c r="AD3084">
        <v>-0.22388830000000001</v>
      </c>
      <c r="AE3084">
        <v>-0.65749999999999797</v>
      </c>
      <c r="AF3084">
        <v>-7.0366710502681895E-2</v>
      </c>
      <c r="AG3084">
        <v>-0.22388830000000001</v>
      </c>
      <c r="AH3084">
        <v>0.58654089355639805</v>
      </c>
      <c r="AI3084">
        <v>110.756308821625</v>
      </c>
      <c r="AJ3084">
        <v>96.841021106828194</v>
      </c>
      <c r="AK3084">
        <v>0.63174968511095897</v>
      </c>
      <c r="AL3084">
        <v>89.538316503566904</v>
      </c>
      <c r="AM3084">
        <v>90.017338666928495</v>
      </c>
      <c r="AN3084">
        <v>1.0000000104646201</v>
      </c>
    </row>
    <row r="3085" spans="1:40" x14ac:dyDescent="0.25">
      <c r="A3085" t="str">
        <f>"20190312154313961"</f>
        <v>20190312154313961</v>
      </c>
      <c r="B3085" t="str">
        <f>"1552376593950885"</f>
        <v>1552376593950885</v>
      </c>
      <c r="C3085" t="s">
        <v>40</v>
      </c>
      <c r="D3085">
        <v>4.6620780000000002</v>
      </c>
      <c r="E3085">
        <v>0.46025500000000003</v>
      </c>
      <c r="F3085" t="s">
        <v>41</v>
      </c>
      <c r="G3085">
        <v>-492.15940000000001</v>
      </c>
      <c r="H3085">
        <v>0.893622899999999</v>
      </c>
      <c r="I3085">
        <v>252.7784</v>
      </c>
      <c r="J3085">
        <v>-492.20890000000003</v>
      </c>
      <c r="K3085">
        <v>1.1110040000000001</v>
      </c>
      <c r="L3085">
        <v>253.48009999999999</v>
      </c>
      <c r="M3085">
        <v>-5.2584739999999998E-2</v>
      </c>
      <c r="N3085">
        <v>0</v>
      </c>
      <c r="O3085">
        <v>-0.9985252</v>
      </c>
      <c r="P3085">
        <v>-5.2367669999999998E-2</v>
      </c>
      <c r="Q3085">
        <v>-5.5522760000000001E-3</v>
      </c>
      <c r="R3085">
        <v>-0.99861250000000001</v>
      </c>
      <c r="S3085">
        <v>0.18249509999999999</v>
      </c>
      <c r="T3085">
        <v>-0.84895180000000003</v>
      </c>
      <c r="U3085">
        <v>-3.009277</v>
      </c>
      <c r="V3085">
        <v>-2.267925E-4</v>
      </c>
      <c r="W3085">
        <v>7.9562460000000002E-3</v>
      </c>
      <c r="X3085">
        <v>0.99996830000000003</v>
      </c>
      <c r="Y3085">
        <v>-0.1106864</v>
      </c>
      <c r="Z3085">
        <v>0.2698854</v>
      </c>
      <c r="AA3085">
        <v>0.95650950000000001</v>
      </c>
      <c r="AB3085">
        <v>12</v>
      </c>
      <c r="AC3085">
        <v>4.9500000000023102E-2</v>
      </c>
      <c r="AD3085">
        <v>-0.21738109999999999</v>
      </c>
      <c r="AE3085">
        <v>-0.701699999999988</v>
      </c>
      <c r="AF3085">
        <v>-7.8807758917578796E-2</v>
      </c>
      <c r="AG3085">
        <v>-0.21738109999999999</v>
      </c>
      <c r="AH3085">
        <v>0.63726920964004496</v>
      </c>
      <c r="AI3085">
        <v>108.702742293048</v>
      </c>
      <c r="AJ3085">
        <v>97.049678706316698</v>
      </c>
      <c r="AK3085">
        <v>0.67792127202063002</v>
      </c>
      <c r="AL3085">
        <v>89.544135863419797</v>
      </c>
      <c r="AM3085">
        <v>90.012994664783307</v>
      </c>
      <c r="AN3085">
        <v>0.99999997714507005</v>
      </c>
    </row>
    <row r="3086" spans="1:40" x14ac:dyDescent="0.25">
      <c r="A3086" t="str">
        <f>"20190312154313983"</f>
        <v>20190312154313983</v>
      </c>
      <c r="B3086" t="str">
        <f>"1552376593980165"</f>
        <v>1552376593980165</v>
      </c>
      <c r="C3086" t="s">
        <v>40</v>
      </c>
      <c r="D3086">
        <v>4.5159609999999999</v>
      </c>
      <c r="E3086">
        <v>0.45508019999999999</v>
      </c>
      <c r="F3086" t="s">
        <v>41</v>
      </c>
      <c r="G3086">
        <v>-492.16379999999998</v>
      </c>
      <c r="H3086">
        <v>0.92754400000000004</v>
      </c>
      <c r="I3086">
        <v>252.7645</v>
      </c>
      <c r="J3086">
        <v>-492.21390000000002</v>
      </c>
      <c r="K3086">
        <v>1.110973</v>
      </c>
      <c r="L3086">
        <v>253.36529999999999</v>
      </c>
      <c r="M3086">
        <v>-5.1665330000000002E-2</v>
      </c>
      <c r="N3086">
        <v>0</v>
      </c>
      <c r="O3086">
        <v>-0.99857309999999999</v>
      </c>
      <c r="P3086">
        <v>-5.1508440000000003E-2</v>
      </c>
      <c r="Q3086">
        <v>-5.3277109999999997E-3</v>
      </c>
      <c r="R3086">
        <v>-0.99865809999999999</v>
      </c>
      <c r="S3086">
        <v>0.19073490000000001</v>
      </c>
      <c r="T3086">
        <v>-0.77179089999999995</v>
      </c>
      <c r="U3086">
        <v>-3.009903</v>
      </c>
      <c r="V3086">
        <v>-1.6623580000000001E-4</v>
      </c>
      <c r="W3086">
        <v>8.1774919999999997E-3</v>
      </c>
      <c r="X3086">
        <v>0.99996660000000004</v>
      </c>
      <c r="Y3086">
        <v>-0.1127591</v>
      </c>
      <c r="Z3086">
        <v>0.24685840000000001</v>
      </c>
      <c r="AA3086">
        <v>0.96246889999999996</v>
      </c>
      <c r="AB3086">
        <v>12</v>
      </c>
      <c r="AC3086">
        <v>5.0100000000043103E-2</v>
      </c>
      <c r="AD3086">
        <v>-0.18342899999999901</v>
      </c>
      <c r="AE3086">
        <v>-0.60079999999999201</v>
      </c>
      <c r="AF3086">
        <v>-7.4207141501800897E-2</v>
      </c>
      <c r="AG3086">
        <v>-0.18342899999999901</v>
      </c>
      <c r="AH3086">
        <v>0.54679261749496999</v>
      </c>
      <c r="AI3086">
        <v>108.387647047505</v>
      </c>
      <c r="AJ3086">
        <v>97.728592957384393</v>
      </c>
      <c r="AK3086">
        <v>0.58149382149586804</v>
      </c>
      <c r="AL3086">
        <v>89.531459022759094</v>
      </c>
      <c r="AM3086">
        <v>90.009524927788803</v>
      </c>
      <c r="AN3086">
        <v>1.00000005006265</v>
      </c>
    </row>
    <row r="3087" spans="1:40" x14ac:dyDescent="0.25">
      <c r="A3087" t="str">
        <f>"20190312154313998"</f>
        <v>20190312154313998</v>
      </c>
      <c r="B3087" t="str">
        <f>"1552376593990901"</f>
        <v>1552376593990901</v>
      </c>
      <c r="C3087" t="s">
        <v>40</v>
      </c>
      <c r="D3087">
        <v>4.53165</v>
      </c>
      <c r="E3087">
        <v>0.45508019999999999</v>
      </c>
      <c r="F3087" t="s">
        <v>43</v>
      </c>
      <c r="G3087">
        <v>-491.76819999999998</v>
      </c>
      <c r="H3087" s="1">
        <v>-3.8284170000000003E-6</v>
      </c>
      <c r="I3087">
        <v>247.41659999999999</v>
      </c>
      <c r="J3087">
        <v>-492.21730000000002</v>
      </c>
      <c r="K3087">
        <v>1.1109549999999999</v>
      </c>
      <c r="L3087">
        <v>253.28319999999999</v>
      </c>
      <c r="M3087">
        <v>-5.1036940000000003E-2</v>
      </c>
      <c r="N3087">
        <v>0</v>
      </c>
      <c r="O3087">
        <v>-0.99860570000000004</v>
      </c>
      <c r="P3087">
        <v>-5.087904E-2</v>
      </c>
      <c r="Q3087">
        <v>-5.5278489999999996E-3</v>
      </c>
      <c r="R3087">
        <v>-0.99868979999999996</v>
      </c>
      <c r="S3087">
        <v>0.22570799999999999</v>
      </c>
      <c r="T3087">
        <v>-0.5626409</v>
      </c>
      <c r="U3087">
        <v>-3.0126499999999998</v>
      </c>
      <c r="V3087">
        <v>-1.6671289999999999E-4</v>
      </c>
      <c r="W3087">
        <v>7.9743669999999996E-3</v>
      </c>
      <c r="X3087">
        <v>0.99996819999999997</v>
      </c>
      <c r="Y3087">
        <v>-0.1242557</v>
      </c>
      <c r="Z3087">
        <v>0.18226700000000001</v>
      </c>
      <c r="AA3087">
        <v>0.97536619999999996</v>
      </c>
      <c r="AB3087">
        <v>12</v>
      </c>
      <c r="AC3087">
        <v>0.44910000000004402</v>
      </c>
      <c r="AD3087">
        <v>-1.110958828417</v>
      </c>
      <c r="AE3087">
        <v>-5.8666</v>
      </c>
      <c r="AF3087">
        <v>-0.72220694878738301</v>
      </c>
      <c r="AG3087">
        <v>-1.110958828417</v>
      </c>
      <c r="AH3087">
        <v>5.6351260971466299</v>
      </c>
      <c r="AI3087">
        <v>101.06453311027001</v>
      </c>
      <c r="AJ3087">
        <v>97.3033075873184</v>
      </c>
      <c r="AK3087">
        <v>5.7888218599346697</v>
      </c>
      <c r="AL3087">
        <v>89.543097588496806</v>
      </c>
      <c r="AM3087">
        <v>90.009552249233394</v>
      </c>
      <c r="AN3087">
        <v>1.0000000096667401</v>
      </c>
    </row>
    <row r="3088" spans="1:40" x14ac:dyDescent="0.25">
      <c r="A3088" t="str">
        <f>"20190312154314014"</f>
        <v>20190312154314014</v>
      </c>
      <c r="B3088" t="str">
        <f>"1552376594010421"</f>
        <v>1552376594010421</v>
      </c>
      <c r="C3088" t="s">
        <v>40</v>
      </c>
      <c r="D3088">
        <v>4.5132940000000001</v>
      </c>
      <c r="E3088">
        <v>0.4561789</v>
      </c>
      <c r="F3088" t="s">
        <v>43</v>
      </c>
      <c r="G3088">
        <v>-491.76839999999999</v>
      </c>
      <c r="H3088" s="1">
        <v>-3.7963649999999999E-6</v>
      </c>
      <c r="I3088">
        <v>247.3417</v>
      </c>
      <c r="J3088">
        <v>-492.22109999999998</v>
      </c>
      <c r="K3088">
        <v>1.110941</v>
      </c>
      <c r="L3088">
        <v>253.19479999999999</v>
      </c>
      <c r="M3088">
        <v>-5.0383860000000003E-2</v>
      </c>
      <c r="N3088">
        <v>0</v>
      </c>
      <c r="O3088">
        <v>-0.99863869999999999</v>
      </c>
      <c r="P3088">
        <v>-5.0151880000000003E-2</v>
      </c>
      <c r="Q3088">
        <v>-5.1804499999999996E-3</v>
      </c>
      <c r="R3088">
        <v>-0.99872819999999995</v>
      </c>
      <c r="S3088">
        <v>0.22756960000000001</v>
      </c>
      <c r="T3088">
        <v>-0.56326999999999905</v>
      </c>
      <c r="U3088">
        <v>-3.0124050000000002</v>
      </c>
      <c r="V3088">
        <v>-2.4061960000000001E-4</v>
      </c>
      <c r="W3088">
        <v>8.3191069999999992E-3</v>
      </c>
      <c r="X3088">
        <v>0.9999654</v>
      </c>
      <c r="Y3088">
        <v>-0.12420920000000001</v>
      </c>
      <c r="Z3088">
        <v>0.1824838</v>
      </c>
      <c r="AA3088">
        <v>0.97533159999999997</v>
      </c>
      <c r="AB3088">
        <v>12</v>
      </c>
      <c r="AC3088">
        <v>0.452699999999993</v>
      </c>
      <c r="AD3088">
        <v>-1.1109447963650001</v>
      </c>
      <c r="AE3088">
        <v>-5.85309999999998</v>
      </c>
      <c r="AF3088">
        <v>-0.72122539231799399</v>
      </c>
      <c r="AG3088">
        <v>-1.1109447963650001</v>
      </c>
      <c r="AH3088">
        <v>5.62153806292749</v>
      </c>
      <c r="AI3088">
        <v>101.090294273734</v>
      </c>
      <c r="AJ3088">
        <v>97.310927424023006</v>
      </c>
      <c r="AK3088">
        <v>5.7754700761095901</v>
      </c>
      <c r="AL3088">
        <v>89.523344797333394</v>
      </c>
      <c r="AM3088">
        <v>90.013786964310995</v>
      </c>
      <c r="AN3088">
        <v>1.00000003331811</v>
      </c>
    </row>
    <row r="3089" spans="1:40" x14ac:dyDescent="0.25">
      <c r="A3089" t="str">
        <f>"20190312154314026"</f>
        <v>20190312154314026</v>
      </c>
      <c r="B3089" t="str">
        <f>"1552376594020180"</f>
        <v>1552376594020180</v>
      </c>
      <c r="C3089" t="s">
        <v>40</v>
      </c>
      <c r="D3089">
        <v>4.4592289999999997</v>
      </c>
      <c r="E3089">
        <v>0.45613500000000001</v>
      </c>
      <c r="F3089" t="s">
        <v>57</v>
      </c>
      <c r="G3089">
        <v>-479.7826</v>
      </c>
      <c r="H3089">
        <v>0.72085549999999998</v>
      </c>
      <c r="I3089">
        <v>64.450009999999907</v>
      </c>
      <c r="J3089">
        <v>-492.22379999999998</v>
      </c>
      <c r="K3089">
        <v>1.1109290000000001</v>
      </c>
      <c r="L3089">
        <v>253.12909999999999</v>
      </c>
      <c r="M3089">
        <v>-4.9913930000000002E-2</v>
      </c>
      <c r="N3089">
        <v>0</v>
      </c>
      <c r="O3089">
        <v>-0.99866239999999995</v>
      </c>
      <c r="P3089">
        <v>-4.9208090000000003E-2</v>
      </c>
      <c r="Q3089">
        <v>-4.5752939999999997E-3</v>
      </c>
      <c r="R3089">
        <v>-0.99877800000000005</v>
      </c>
      <c r="S3089">
        <v>0.19860839999999999</v>
      </c>
      <c r="T3089">
        <v>-6.228328E-3</v>
      </c>
      <c r="U3089">
        <v>-3.0137480000000001</v>
      </c>
      <c r="V3089">
        <v>-7.1552929999999903E-4</v>
      </c>
      <c r="W3089">
        <v>8.9213290000000004E-3</v>
      </c>
      <c r="X3089">
        <v>0.99995990000000001</v>
      </c>
      <c r="Y3089">
        <v>-0.11548650000000001</v>
      </c>
      <c r="Z3089">
        <v>2.0536259999999998E-3</v>
      </c>
      <c r="AA3089">
        <v>0.99330689999999999</v>
      </c>
      <c r="AB3089">
        <v>12</v>
      </c>
      <c r="AC3089">
        <v>12.441199999999901</v>
      </c>
      <c r="AD3089">
        <v>-0.39007350000000002</v>
      </c>
      <c r="AE3089">
        <v>-188.67909</v>
      </c>
      <c r="AF3089">
        <v>-21.844168613534499</v>
      </c>
      <c r="AG3089">
        <v>-0.39007350000000002</v>
      </c>
      <c r="AH3089">
        <v>187.82201799981601</v>
      </c>
      <c r="AI3089">
        <v>90.118196456383004</v>
      </c>
      <c r="AJ3089">
        <v>96.633838664012799</v>
      </c>
      <c r="AK3089">
        <v>189.08841927858799</v>
      </c>
      <c r="AL3089">
        <v>89.488838695322798</v>
      </c>
      <c r="AM3089">
        <v>90.040998446048505</v>
      </c>
      <c r="AN3089">
        <v>0.99999995185065604</v>
      </c>
    </row>
    <row r="3090" spans="1:40" x14ac:dyDescent="0.25">
      <c r="A3090" t="str">
        <f>"20190312154314038"</f>
        <v>20190312154314038</v>
      </c>
      <c r="B3090" t="str">
        <f>"1552376594030918"</f>
        <v>1552376594030918</v>
      </c>
      <c r="C3090" t="s">
        <v>40</v>
      </c>
      <c r="D3090">
        <v>4.5048959999999996</v>
      </c>
      <c r="E3090">
        <v>0.45622269999999998</v>
      </c>
      <c r="F3090" t="s">
        <v>57</v>
      </c>
      <c r="G3090">
        <v>-479.5462</v>
      </c>
      <c r="H3090">
        <v>-4.0789430000000002E-2</v>
      </c>
      <c r="I3090">
        <v>64.450009999999907</v>
      </c>
      <c r="J3090">
        <v>-492.22649999999999</v>
      </c>
      <c r="K3090">
        <v>1.1109199999999999</v>
      </c>
      <c r="L3090">
        <v>253.06479999999999</v>
      </c>
      <c r="M3090">
        <v>-4.9472250000000002E-2</v>
      </c>
      <c r="N3090">
        <v>0</v>
      </c>
      <c r="O3090">
        <v>-0.99868449999999998</v>
      </c>
      <c r="P3090">
        <v>-4.8363000000000003E-2</v>
      </c>
      <c r="Q3090">
        <v>-4.3003679999999997E-3</v>
      </c>
      <c r="R3090">
        <v>-0.99882070000000001</v>
      </c>
      <c r="S3090">
        <v>0.2024841</v>
      </c>
      <c r="T3090">
        <v>-1.8394830000000001E-2</v>
      </c>
      <c r="U3090">
        <v>-3.0135649999999998</v>
      </c>
      <c r="V3090">
        <v>-1.1189150000000001E-3</v>
      </c>
      <c r="W3090">
        <v>9.1940689999999992E-3</v>
      </c>
      <c r="X3090">
        <v>0.99995710000000004</v>
      </c>
      <c r="Y3090">
        <v>-0.1163218</v>
      </c>
      <c r="Z3090">
        <v>6.0651200000000002E-3</v>
      </c>
      <c r="AA3090">
        <v>0.99319299999999999</v>
      </c>
      <c r="AB3090">
        <v>12</v>
      </c>
      <c r="AC3090">
        <v>12.6802999999999</v>
      </c>
      <c r="AD3090">
        <v>-1.1517094299999999</v>
      </c>
      <c r="AE3090">
        <v>-188.61479</v>
      </c>
      <c r="AF3090">
        <v>-21.9959999055304</v>
      </c>
      <c r="AG3090">
        <v>-1.1517094299999999</v>
      </c>
      <c r="AH3090">
        <v>187.749440162843</v>
      </c>
      <c r="AI3090">
        <v>90.349077078146706</v>
      </c>
      <c r="AJ3090">
        <v>96.682091709808901</v>
      </c>
      <c r="AK3090">
        <v>189.03704062409599</v>
      </c>
      <c r="AL3090">
        <v>89.473211223889095</v>
      </c>
      <c r="AM3090">
        <v>90.064111830774905</v>
      </c>
      <c r="AN3090">
        <v>0.99999999235798198</v>
      </c>
    </row>
    <row r="3091" spans="1:40" x14ac:dyDescent="0.25">
      <c r="A3091" t="str">
        <f>"20190312154314050"</f>
        <v>20190312154314050</v>
      </c>
      <c r="B3091" t="str">
        <f>"1552376594040677"</f>
        <v>1552376594040677</v>
      </c>
      <c r="C3091" t="s">
        <v>40</v>
      </c>
      <c r="D3091">
        <v>4.581931</v>
      </c>
      <c r="E3091">
        <v>0.45653159999999998</v>
      </c>
      <c r="F3091" t="s">
        <v>43</v>
      </c>
      <c r="G3091">
        <v>-487.94479999999999</v>
      </c>
      <c r="H3091" s="1">
        <v>-7.7213019999999995E-7</v>
      </c>
      <c r="I3091">
        <v>190.31010000000001</v>
      </c>
      <c r="J3091">
        <v>-492.2294</v>
      </c>
      <c r="K3091">
        <v>1.1109100000000001</v>
      </c>
      <c r="L3091">
        <v>252.99510000000001</v>
      </c>
      <c r="M3091">
        <v>-4.9003749999999999E-2</v>
      </c>
      <c r="N3091">
        <v>0</v>
      </c>
      <c r="O3091">
        <v>-0.99870740000000002</v>
      </c>
      <c r="P3091">
        <v>-4.7762140000000002E-2</v>
      </c>
      <c r="Q3091">
        <v>-3.7410550000000001E-3</v>
      </c>
      <c r="R3091">
        <v>-0.9988515</v>
      </c>
      <c r="S3091">
        <v>0.2055969</v>
      </c>
      <c r="T3091">
        <v>-5.3343300000000003E-2</v>
      </c>
      <c r="U3091">
        <v>-3.013306</v>
      </c>
      <c r="V3091">
        <v>-1.251463E-3</v>
      </c>
      <c r="W3091">
        <v>9.7514690000000005E-3</v>
      </c>
      <c r="X3091">
        <v>0.9999517</v>
      </c>
      <c r="Y3091">
        <v>-0.11687359999999999</v>
      </c>
      <c r="Z3091">
        <v>1.75868E-2</v>
      </c>
      <c r="AA3091">
        <v>0.99299110000000002</v>
      </c>
      <c r="AB3091">
        <v>12</v>
      </c>
      <c r="AC3091">
        <v>4.28460000000001</v>
      </c>
      <c r="AD3091">
        <v>-1.1109107721302001</v>
      </c>
      <c r="AE3091">
        <v>-62.685000000000002</v>
      </c>
      <c r="AF3091">
        <v>-7.3492339438596197</v>
      </c>
      <c r="AG3091">
        <v>-1.1109107721302001</v>
      </c>
      <c r="AH3091">
        <v>62.380194725865003</v>
      </c>
      <c r="AI3091">
        <v>91.013249785112507</v>
      </c>
      <c r="AJ3091">
        <v>96.719247227619107</v>
      </c>
      <c r="AK3091">
        <v>62.821445831356399</v>
      </c>
      <c r="AL3091">
        <v>89.441273143673897</v>
      </c>
      <c r="AM3091">
        <v>90.071706974126997</v>
      </c>
      <c r="AN3091">
        <v>1.00000002982009</v>
      </c>
    </row>
    <row r="3092" spans="1:40" x14ac:dyDescent="0.25">
      <c r="A3092" t="str">
        <f>"20190312154314062"</f>
        <v>20190312154314062</v>
      </c>
      <c r="B3092" t="str">
        <f>"1552376594050438"</f>
        <v>1552376594050438</v>
      </c>
      <c r="C3092" t="s">
        <v>40</v>
      </c>
      <c r="D3092">
        <v>4.4864930000000003</v>
      </c>
      <c r="E3092">
        <v>0.45688430000000002</v>
      </c>
      <c r="F3092" t="s">
        <v>49</v>
      </c>
      <c r="G3092">
        <v>-489.0797</v>
      </c>
      <c r="H3092" s="1">
        <v>2.0851920000000002E-6</v>
      </c>
      <c r="I3092">
        <v>206.8502</v>
      </c>
      <c r="J3092">
        <v>-492.23200000000003</v>
      </c>
      <c r="K3092">
        <v>1.1109020000000001</v>
      </c>
      <c r="L3092">
        <v>252.93109999999999</v>
      </c>
      <c r="M3092">
        <v>-4.8589550000000002E-2</v>
      </c>
      <c r="N3092">
        <v>0</v>
      </c>
      <c r="O3092">
        <v>-0.9987279</v>
      </c>
      <c r="P3092">
        <v>-4.6791659999999999E-2</v>
      </c>
      <c r="Q3092">
        <v>-3.5854900000000002E-3</v>
      </c>
      <c r="R3092">
        <v>-0.99889830000000002</v>
      </c>
      <c r="S3092">
        <v>0.20565800000000001</v>
      </c>
      <c r="T3092">
        <v>-7.2536229999999993E-2</v>
      </c>
      <c r="U3092">
        <v>-3.0130159999999999</v>
      </c>
      <c r="V3092">
        <v>-1.8083789999999999E-3</v>
      </c>
      <c r="W3092">
        <v>9.9040480000000004E-3</v>
      </c>
      <c r="X3092">
        <v>0.99994930000000004</v>
      </c>
      <c r="Y3092">
        <v>-0.1164792</v>
      </c>
      <c r="Z3092">
        <v>2.3914930000000001E-2</v>
      </c>
      <c r="AA3092">
        <v>0.99290509999999998</v>
      </c>
      <c r="AB3092">
        <v>12</v>
      </c>
      <c r="AC3092">
        <v>3.1522999999999599</v>
      </c>
      <c r="AD3092">
        <v>-1.1108999148080001</v>
      </c>
      <c r="AE3092">
        <v>-46.0808999999999</v>
      </c>
      <c r="AF3092">
        <v>-5.3847145992536403</v>
      </c>
      <c r="AG3092">
        <v>-1.1108999148080001</v>
      </c>
      <c r="AH3092">
        <v>45.846757045151897</v>
      </c>
      <c r="AI3092">
        <v>91.378574199896505</v>
      </c>
      <c r="AJ3092">
        <v>96.698716058738199</v>
      </c>
      <c r="AK3092">
        <v>46.175257243390803</v>
      </c>
      <c r="AL3092">
        <v>89.432530561545505</v>
      </c>
      <c r="AM3092">
        <v>90.103617624916694</v>
      </c>
      <c r="AN3092">
        <v>0.99999998148594105</v>
      </c>
    </row>
    <row r="3093" spans="1:40" x14ac:dyDescent="0.25">
      <c r="A3093" t="str">
        <f>"20190312154314074"</f>
        <v>20190312154314074</v>
      </c>
      <c r="B3093" t="str">
        <f>"1552376594070606"</f>
        <v>1552376594070606</v>
      </c>
      <c r="C3093" t="s">
        <v>40</v>
      </c>
      <c r="D3093">
        <v>4.4997109999999996</v>
      </c>
      <c r="E3093">
        <v>0.45708670000000001</v>
      </c>
      <c r="F3093" t="s">
        <v>49</v>
      </c>
      <c r="G3093">
        <v>-489.66419999999999</v>
      </c>
      <c r="H3093" s="1">
        <v>3.3055689999999999E-6</v>
      </c>
      <c r="I3093">
        <v>215.5592</v>
      </c>
      <c r="J3093">
        <v>-492.2346</v>
      </c>
      <c r="K3093">
        <v>1.110895</v>
      </c>
      <c r="L3093">
        <v>252.8682</v>
      </c>
      <c r="M3093">
        <v>-4.8191850000000001E-2</v>
      </c>
      <c r="N3093">
        <v>0</v>
      </c>
      <c r="O3093">
        <v>-0.9987471</v>
      </c>
      <c r="P3093">
        <v>-4.6208399999999997E-2</v>
      </c>
      <c r="Q3093">
        <v>-3.1900299999999999E-3</v>
      </c>
      <c r="R3093">
        <v>-0.99892689999999995</v>
      </c>
      <c r="S3093">
        <v>0.20700070000000001</v>
      </c>
      <c r="T3093">
        <v>-8.9553949999999993E-2</v>
      </c>
      <c r="U3093">
        <v>-3.0126949999999999</v>
      </c>
      <c r="V3093">
        <v>-1.9943280000000001E-3</v>
      </c>
      <c r="W3093">
        <v>1.0297890000000001E-2</v>
      </c>
      <c r="X3093">
        <v>0.99994499999999997</v>
      </c>
      <c r="Y3093">
        <v>-0.1165211</v>
      </c>
      <c r="Z3093">
        <v>2.952461E-2</v>
      </c>
      <c r="AA3093">
        <v>0.99274929999999995</v>
      </c>
      <c r="AB3093">
        <v>12</v>
      </c>
      <c r="AC3093">
        <v>2.5703999999999998</v>
      </c>
      <c r="AD3093">
        <v>-1.1108916944310001</v>
      </c>
      <c r="AE3093">
        <v>-37.308999999999997</v>
      </c>
      <c r="AF3093">
        <v>-4.3617173445944299</v>
      </c>
      <c r="AG3093">
        <v>-1.1108916944310001</v>
      </c>
      <c r="AH3093">
        <v>37.109014554783599</v>
      </c>
      <c r="AI3093">
        <v>91.702972452465502</v>
      </c>
      <c r="AJ3093">
        <v>96.703670366437606</v>
      </c>
      <c r="AK3093">
        <v>37.380979384949697</v>
      </c>
      <c r="AL3093">
        <v>89.409963944188107</v>
      </c>
      <c r="AM3093">
        <v>90.114272710855005</v>
      </c>
      <c r="AN3093">
        <v>1.0000000134538101</v>
      </c>
    </row>
    <row r="3094" spans="1:40" x14ac:dyDescent="0.25">
      <c r="A3094" t="str">
        <f>"20190312154314086"</f>
        <v>20190312154314086</v>
      </c>
      <c r="B3094" t="str">
        <f>"1552376594080365"</f>
        <v>1552376594080365</v>
      </c>
      <c r="C3094" t="s">
        <v>40</v>
      </c>
      <c r="D3094">
        <v>4.5264639999999998</v>
      </c>
      <c r="E3094">
        <v>0.45725870000000002</v>
      </c>
      <c r="F3094" t="s">
        <v>49</v>
      </c>
      <c r="G3094">
        <v>-490.11649999999997</v>
      </c>
      <c r="H3094" s="1">
        <v>4.2715459999999997E-6</v>
      </c>
      <c r="I3094">
        <v>222.0849</v>
      </c>
      <c r="J3094">
        <v>-492.2373</v>
      </c>
      <c r="K3094">
        <v>1.110886</v>
      </c>
      <c r="L3094">
        <v>252.80289999999999</v>
      </c>
      <c r="M3094">
        <v>-4.7788549999999999E-2</v>
      </c>
      <c r="N3094">
        <v>0</v>
      </c>
      <c r="O3094">
        <v>-0.99876670000000001</v>
      </c>
      <c r="P3094">
        <v>-4.5405380000000002E-2</v>
      </c>
      <c r="Q3094">
        <v>-3.0550149999999999E-3</v>
      </c>
      <c r="R3094">
        <v>-0.99896410000000002</v>
      </c>
      <c r="S3094">
        <v>0.2072754</v>
      </c>
      <c r="T3094">
        <v>-0.1087123</v>
      </c>
      <c r="U3094">
        <v>-3.0124659999999999</v>
      </c>
      <c r="V3094">
        <v>-2.3938919999999999E-3</v>
      </c>
      <c r="W3094">
        <v>1.0430450000000001E-2</v>
      </c>
      <c r="X3094">
        <v>0.99994269999999996</v>
      </c>
      <c r="Y3094">
        <v>-0.116201</v>
      </c>
      <c r="Z3094">
        <v>3.5837679999999997E-2</v>
      </c>
      <c r="AA3094">
        <v>0.99257899999999999</v>
      </c>
      <c r="AB3094">
        <v>12</v>
      </c>
      <c r="AC3094">
        <v>2.1208000000000302</v>
      </c>
      <c r="AD3094">
        <v>-1.110881728454</v>
      </c>
      <c r="AE3094">
        <v>-30.7179999999999</v>
      </c>
      <c r="AF3094">
        <v>-3.5818161180184598</v>
      </c>
      <c r="AG3094">
        <v>-1.110881728454</v>
      </c>
      <c r="AH3094">
        <v>30.541784557986102</v>
      </c>
      <c r="AI3094">
        <v>92.068907241496703</v>
      </c>
      <c r="AJ3094">
        <v>96.688861955925105</v>
      </c>
      <c r="AK3094">
        <v>30.771156444052501</v>
      </c>
      <c r="AL3094">
        <v>89.402368378330607</v>
      </c>
      <c r="AM3094">
        <v>90.137167505870707</v>
      </c>
      <c r="AN3094">
        <v>0.99999996414469905</v>
      </c>
    </row>
    <row r="3095" spans="1:40" x14ac:dyDescent="0.25">
      <c r="A3095" t="str">
        <f>"20190312154314102"</f>
        <v>20190312154314102</v>
      </c>
      <c r="B3095" t="str">
        <f>"1552376594090126"</f>
        <v>1552376594090126</v>
      </c>
      <c r="C3095" t="s">
        <v>40</v>
      </c>
      <c r="D3095">
        <v>4.5477879999999997</v>
      </c>
      <c r="E3095">
        <v>0.45745859999999999</v>
      </c>
      <c r="F3095" t="s">
        <v>49</v>
      </c>
      <c r="G3095">
        <v>-490.22739999999999</v>
      </c>
      <c r="H3095" s="1">
        <v>4.7908909999999997E-6</v>
      </c>
      <c r="I3095">
        <v>223.82480000000001</v>
      </c>
      <c r="J3095">
        <v>-492.24090000000001</v>
      </c>
      <c r="K3095">
        <v>1.110884</v>
      </c>
      <c r="L3095">
        <v>252.7132</v>
      </c>
      <c r="M3095">
        <v>-4.7254119999999997E-2</v>
      </c>
      <c r="N3095">
        <v>0</v>
      </c>
      <c r="O3095">
        <v>-0.99879220000000002</v>
      </c>
      <c r="P3095">
        <v>-4.4479409999999997E-2</v>
      </c>
      <c r="Q3095">
        <v>-2.6267759999999999E-3</v>
      </c>
      <c r="R3095">
        <v>-0.99900699999999998</v>
      </c>
      <c r="S3095">
        <v>0.20892330000000001</v>
      </c>
      <c r="T3095">
        <v>-0.1154748</v>
      </c>
      <c r="U3095">
        <v>-3.012238</v>
      </c>
      <c r="V3095">
        <v>-2.7853399999999999E-3</v>
      </c>
      <c r="W3095">
        <v>1.0855760000000001E-2</v>
      </c>
      <c r="X3095">
        <v>0.99993719999999997</v>
      </c>
      <c r="Y3095">
        <v>-0.11620949999999999</v>
      </c>
      <c r="Z3095">
        <v>3.8067419999999998E-2</v>
      </c>
      <c r="AA3095">
        <v>0.99249489999999996</v>
      </c>
      <c r="AB3095">
        <v>12</v>
      </c>
      <c r="AC3095">
        <v>2.0135000000000201</v>
      </c>
      <c r="AD3095">
        <v>-1.1108792091090001</v>
      </c>
      <c r="AE3095">
        <v>-28.888399999999901</v>
      </c>
      <c r="AF3095">
        <v>-3.3715084958214101</v>
      </c>
      <c r="AG3095">
        <v>-1.1108792091090001</v>
      </c>
      <c r="AH3095">
        <v>28.718706436159501</v>
      </c>
      <c r="AI3095">
        <v>92.200081359948697</v>
      </c>
      <c r="AJ3095">
        <v>96.695741116643603</v>
      </c>
      <c r="AK3095">
        <v>28.937263545832</v>
      </c>
      <c r="AL3095">
        <v>89.377998554278506</v>
      </c>
      <c r="AM3095">
        <v>90.159597836501703</v>
      </c>
      <c r="AN3095">
        <v>1.0000000047939599</v>
      </c>
    </row>
    <row r="3096" spans="1:40" x14ac:dyDescent="0.25">
      <c r="A3096" t="str">
        <f>"20190312154314115"</f>
        <v>20190312154314115</v>
      </c>
      <c r="B3096" t="str">
        <f>"1552376594110622"</f>
        <v>1552376594110622</v>
      </c>
      <c r="C3096" t="s">
        <v>40</v>
      </c>
      <c r="D3096">
        <v>4.5653639999999998</v>
      </c>
      <c r="E3096">
        <v>0.45758559999999998</v>
      </c>
      <c r="F3096" t="s">
        <v>49</v>
      </c>
      <c r="G3096">
        <v>-490.29509999999999</v>
      </c>
      <c r="H3096" s="1">
        <v>5.075886E-6</v>
      </c>
      <c r="I3096">
        <v>224.83189999999999</v>
      </c>
      <c r="J3096">
        <v>-492.24360000000001</v>
      </c>
      <c r="K3096">
        <v>1.110884</v>
      </c>
      <c r="L3096">
        <v>252.64699999999999</v>
      </c>
      <c r="M3096">
        <v>-4.6869750000000002E-2</v>
      </c>
      <c r="N3096">
        <v>0</v>
      </c>
      <c r="O3096">
        <v>-0.99881019999999998</v>
      </c>
      <c r="P3096">
        <v>-4.3774500000000001E-2</v>
      </c>
      <c r="Q3096">
        <v>-2.2808960000000001E-3</v>
      </c>
      <c r="R3096">
        <v>-0.99903909999999996</v>
      </c>
      <c r="S3096">
        <v>0.21020510000000001</v>
      </c>
      <c r="T3096">
        <v>-0.120008199999999</v>
      </c>
      <c r="U3096">
        <v>-3.0120239999999998</v>
      </c>
      <c r="V3096">
        <v>-3.1066969999999998E-3</v>
      </c>
      <c r="W3096">
        <v>1.1199539999999999E-2</v>
      </c>
      <c r="X3096">
        <v>0.9999325</v>
      </c>
      <c r="Y3096">
        <v>-0.1162484</v>
      </c>
      <c r="Z3096">
        <v>3.956279E-2</v>
      </c>
      <c r="AA3096">
        <v>0.99243190000000003</v>
      </c>
      <c r="AB3096">
        <v>12</v>
      </c>
      <c r="AC3096">
        <v>1.9485000000000201</v>
      </c>
      <c r="AD3096">
        <v>-1.110878924114</v>
      </c>
      <c r="AE3096">
        <v>-27.815100000000001</v>
      </c>
      <c r="AF3096">
        <v>-3.2450126221004898</v>
      </c>
      <c r="AG3096">
        <v>-1.110878924114</v>
      </c>
      <c r="AH3096">
        <v>27.6493054744919</v>
      </c>
      <c r="AI3096">
        <v>92.285094579916404</v>
      </c>
      <c r="AJ3096">
        <v>96.693797780690502</v>
      </c>
      <c r="AK3096">
        <v>27.861232063988101</v>
      </c>
      <c r="AL3096">
        <v>89.358300237869699</v>
      </c>
      <c r="AM3096">
        <v>90.178012069405</v>
      </c>
      <c r="AN3096">
        <v>1.0000000429093501</v>
      </c>
    </row>
    <row r="3097" spans="1:40" x14ac:dyDescent="0.25">
      <c r="A3097" t="str">
        <f>"20190312154314126"</f>
        <v>20190312154314126</v>
      </c>
      <c r="B3097" t="str">
        <f>"1552376594120381"</f>
        <v>1552376594120381</v>
      </c>
      <c r="C3097" t="s">
        <v>40</v>
      </c>
      <c r="D3097">
        <v>4.5711510000000004</v>
      </c>
      <c r="E3097">
        <v>0.45770359999999999</v>
      </c>
      <c r="F3097" t="s">
        <v>49</v>
      </c>
      <c r="G3097">
        <v>-490.39409999999998</v>
      </c>
      <c r="H3097" s="1">
        <v>5.5298589999999997E-6</v>
      </c>
      <c r="I3097">
        <v>226.3681</v>
      </c>
      <c r="J3097">
        <v>-492.24619999999999</v>
      </c>
      <c r="K3097">
        <v>1.110884</v>
      </c>
      <c r="L3097">
        <v>252.58369999999999</v>
      </c>
      <c r="M3097">
        <v>-4.6507430000000002E-2</v>
      </c>
      <c r="N3097">
        <v>0</v>
      </c>
      <c r="O3097">
        <v>-0.99882709999999997</v>
      </c>
      <c r="P3097">
        <v>-4.3488329999999999E-2</v>
      </c>
      <c r="Q3097">
        <v>-2.2778059999999998E-3</v>
      </c>
      <c r="R3097">
        <v>-0.99905169999999999</v>
      </c>
      <c r="S3097">
        <v>0.2119751</v>
      </c>
      <c r="T3097">
        <v>-0.1273204</v>
      </c>
      <c r="U3097">
        <v>-3.0118870000000002</v>
      </c>
      <c r="V3097">
        <v>-3.029931E-3</v>
      </c>
      <c r="W3097">
        <v>1.12005E-2</v>
      </c>
      <c r="X3097">
        <v>0.99993270000000001</v>
      </c>
      <c r="Y3097">
        <v>-0.1164647</v>
      </c>
      <c r="Z3097">
        <v>4.1970790000000001E-2</v>
      </c>
      <c r="AA3097">
        <v>0.99230759999999996</v>
      </c>
      <c r="AB3097">
        <v>12</v>
      </c>
      <c r="AC3097">
        <v>1.8521000000000001</v>
      </c>
      <c r="AD3097">
        <v>-1.1108784701409999</v>
      </c>
      <c r="AE3097">
        <v>-26.215599999999899</v>
      </c>
      <c r="AF3097">
        <v>-3.0639520334300601</v>
      </c>
      <c r="AG3097">
        <v>-1.1108784701409999</v>
      </c>
      <c r="AH3097">
        <v>26.054532286408801</v>
      </c>
      <c r="AI3097">
        <v>92.424734134398093</v>
      </c>
      <c r="AJ3097">
        <v>96.707045096175094</v>
      </c>
      <c r="AK3097">
        <v>26.257579966594498</v>
      </c>
      <c r="AL3097">
        <v>89.358245214554998</v>
      </c>
      <c r="AM3097">
        <v>90.173613411378994</v>
      </c>
      <c r="AN3097">
        <v>1.0000000181057001</v>
      </c>
    </row>
    <row r="3098" spans="1:40" x14ac:dyDescent="0.25">
      <c r="A3098" t="str">
        <f>"20190312154314137"</f>
        <v>20190312154314137</v>
      </c>
      <c r="B3098" t="str">
        <f>"1552376594130142"</f>
        <v>1552376594130142</v>
      </c>
      <c r="C3098" t="s">
        <v>40</v>
      </c>
      <c r="D3098">
        <v>4.5627069999999996</v>
      </c>
      <c r="E3098">
        <v>0.45789950000000001</v>
      </c>
      <c r="F3098" t="s">
        <v>49</v>
      </c>
      <c r="G3098">
        <v>-490.44470000000001</v>
      </c>
      <c r="H3098" s="1">
        <v>5.7040430000000001E-6</v>
      </c>
      <c r="I3098">
        <v>226.9667</v>
      </c>
      <c r="J3098">
        <v>-492.24860000000001</v>
      </c>
      <c r="K3098">
        <v>1.1108830000000001</v>
      </c>
      <c r="L3098">
        <v>252.524</v>
      </c>
      <c r="M3098">
        <v>-4.6174880000000001E-2</v>
      </c>
      <c r="N3098">
        <v>0</v>
      </c>
      <c r="O3098">
        <v>-0.99884249999999997</v>
      </c>
      <c r="P3098">
        <v>-4.2930879999999998E-2</v>
      </c>
      <c r="Q3098">
        <v>-2.1193520000000001E-3</v>
      </c>
      <c r="R3098">
        <v>-0.99907599999999996</v>
      </c>
      <c r="S3098">
        <v>0.21179200000000001</v>
      </c>
      <c r="T3098">
        <v>-0.130604</v>
      </c>
      <c r="U3098">
        <v>-3.011749</v>
      </c>
      <c r="V3098">
        <v>-3.2554540000000001E-3</v>
      </c>
      <c r="W3098">
        <v>1.135689E-2</v>
      </c>
      <c r="X3098">
        <v>0.99993019999999999</v>
      </c>
      <c r="Y3098">
        <v>-0.11607389999999999</v>
      </c>
      <c r="Z3098">
        <v>4.3055259999999998E-2</v>
      </c>
      <c r="AA3098">
        <v>0.99230689999999999</v>
      </c>
      <c r="AB3098">
        <v>12</v>
      </c>
      <c r="AC3098">
        <v>1.8038999999999901</v>
      </c>
      <c r="AD3098">
        <v>-1.1108772959569999</v>
      </c>
      <c r="AE3098">
        <v>-25.557300000000001</v>
      </c>
      <c r="AF3098">
        <v>-2.9765921380619398</v>
      </c>
      <c r="AG3098">
        <v>-1.1108772959569999</v>
      </c>
      <c r="AH3098">
        <v>25.3989839052009</v>
      </c>
      <c r="AI3098">
        <v>92.487352652623599</v>
      </c>
      <c r="AJ3098">
        <v>96.684195031454095</v>
      </c>
      <c r="AK3098">
        <v>25.596924278899198</v>
      </c>
      <c r="AL3098">
        <v>89.349284140065706</v>
      </c>
      <c r="AM3098">
        <v>90.186536135808296</v>
      </c>
      <c r="AN3098">
        <v>0.99999999090162905</v>
      </c>
    </row>
    <row r="3099" spans="1:40" x14ac:dyDescent="0.25">
      <c r="A3099" t="str">
        <f>"20190312154314149"</f>
        <v>20190312154314149</v>
      </c>
      <c r="B3099" t="str">
        <f>"1552376594140878"</f>
        <v>1552376594140878</v>
      </c>
      <c r="C3099" t="s">
        <v>40</v>
      </c>
      <c r="D3099">
        <v>4.5625349999999996</v>
      </c>
      <c r="E3099">
        <v>0.45811499999999999</v>
      </c>
      <c r="F3099" t="s">
        <v>49</v>
      </c>
      <c r="G3099">
        <v>-490.48090000000002</v>
      </c>
      <c r="H3099" s="1">
        <v>5.8411909999999996E-6</v>
      </c>
      <c r="I3099">
        <v>227.43530000000001</v>
      </c>
      <c r="J3099">
        <v>-492.25099999999998</v>
      </c>
      <c r="K3099">
        <v>1.1108769999999999</v>
      </c>
      <c r="L3099">
        <v>252.4606</v>
      </c>
      <c r="M3099">
        <v>-4.5824539999999997E-2</v>
      </c>
      <c r="N3099">
        <v>0</v>
      </c>
      <c r="O3099">
        <v>-0.99885869999999999</v>
      </c>
      <c r="P3099">
        <v>-4.2503220000000001E-2</v>
      </c>
      <c r="Q3099">
        <v>-2.0201490000000002E-3</v>
      </c>
      <c r="R3099">
        <v>-0.99909460000000005</v>
      </c>
      <c r="S3099">
        <v>0.21218870000000001</v>
      </c>
      <c r="T3099">
        <v>-0.1333482</v>
      </c>
      <c r="U3099">
        <v>-3.011612</v>
      </c>
      <c r="V3099">
        <v>-3.3326919999999999E-3</v>
      </c>
      <c r="W3099">
        <v>1.145463E-2</v>
      </c>
      <c r="X3099">
        <v>0.99992879999999995</v>
      </c>
      <c r="Y3099">
        <v>-0.115856</v>
      </c>
      <c r="Z3099">
        <v>4.3961600000000003E-2</v>
      </c>
      <c r="AA3099">
        <v>0.99229270000000003</v>
      </c>
      <c r="AB3099">
        <v>12</v>
      </c>
      <c r="AC3099">
        <v>1.77009999999995</v>
      </c>
      <c r="AD3099">
        <v>-1.1108711588089999</v>
      </c>
      <c r="AE3099">
        <v>-25.025299999999898</v>
      </c>
      <c r="AF3099">
        <v>-2.9094127143581101</v>
      </c>
      <c r="AG3099">
        <v>-1.1108711588089999</v>
      </c>
      <c r="AH3099">
        <v>24.869125073441801</v>
      </c>
      <c r="AI3099">
        <v>92.540325099148902</v>
      </c>
      <c r="AJ3099">
        <v>96.672641621554703</v>
      </c>
      <c r="AK3099">
        <v>25.063361685784098</v>
      </c>
      <c r="AL3099">
        <v>89.343683666092502</v>
      </c>
      <c r="AM3099">
        <v>90.190962075473706</v>
      </c>
      <c r="AN3099">
        <v>0.99999996022692095</v>
      </c>
    </row>
    <row r="3100" spans="1:40" x14ac:dyDescent="0.25">
      <c r="A3100" t="str">
        <f>"20190312154314162"</f>
        <v>20190312154314162</v>
      </c>
      <c r="B3100" t="str">
        <f>"1552376594150638"</f>
        <v>1552376594150638</v>
      </c>
      <c r="C3100" t="s">
        <v>40</v>
      </c>
      <c r="D3100">
        <v>4.5513450000000004</v>
      </c>
      <c r="E3100">
        <v>0.45831339999999998</v>
      </c>
      <c r="F3100" t="s">
        <v>49</v>
      </c>
      <c r="G3100">
        <v>-490.5197</v>
      </c>
      <c r="H3100" s="1">
        <v>5.953147E-6</v>
      </c>
      <c r="I3100">
        <v>227.8244</v>
      </c>
      <c r="J3100">
        <v>-492.25380000000001</v>
      </c>
      <c r="K3100">
        <v>1.1108750000000001</v>
      </c>
      <c r="L3100">
        <v>252.39160000000001</v>
      </c>
      <c r="M3100">
        <v>-4.5450329999999997E-2</v>
      </c>
      <c r="N3100">
        <v>0</v>
      </c>
      <c r="O3100">
        <v>-0.99887590000000004</v>
      </c>
      <c r="P3100">
        <v>-4.1962270000000003E-2</v>
      </c>
      <c r="Q3100">
        <v>-2.0069060000000001E-3</v>
      </c>
      <c r="R3100">
        <v>-0.99911740000000004</v>
      </c>
      <c r="S3100">
        <v>0.21163940000000001</v>
      </c>
      <c r="T3100">
        <v>-0.135788299999999</v>
      </c>
      <c r="U3100">
        <v>-3.0114290000000001</v>
      </c>
      <c r="V3100">
        <v>-3.4990960000000002E-3</v>
      </c>
      <c r="W3100">
        <v>1.1465599999999999E-2</v>
      </c>
      <c r="X3100">
        <v>0.99992809999999999</v>
      </c>
      <c r="Y3100">
        <v>-0.1153054</v>
      </c>
      <c r="Z3100">
        <v>4.4770020000000001E-2</v>
      </c>
      <c r="AA3100">
        <v>0.99232070000000006</v>
      </c>
      <c r="AB3100">
        <v>12</v>
      </c>
      <c r="AC3100">
        <v>1.73410000000001</v>
      </c>
      <c r="AD3100">
        <v>-1.110869046853</v>
      </c>
      <c r="AE3100">
        <v>-24.5672</v>
      </c>
      <c r="AF3100">
        <v>-2.8432116905765801</v>
      </c>
      <c r="AG3100">
        <v>-1.110869046853</v>
      </c>
      <c r="AH3100">
        <v>24.413316393861599</v>
      </c>
      <c r="AI3100">
        <v>92.587842391346598</v>
      </c>
      <c r="AJ3100">
        <v>96.642828004292497</v>
      </c>
      <c r="AK3100">
        <v>24.603412367057501</v>
      </c>
      <c r="AL3100">
        <v>89.343055086268507</v>
      </c>
      <c r="AM3100">
        <v>90.200497030318004</v>
      </c>
      <c r="AN3100">
        <v>0.99999995441289202</v>
      </c>
    </row>
    <row r="3101" spans="1:40" x14ac:dyDescent="0.25">
      <c r="A3101" t="str">
        <f>"20190312154314176"</f>
        <v>20190312154314176</v>
      </c>
      <c r="B3101" t="str">
        <f>"1552376594170962"</f>
        <v>1552376594170962</v>
      </c>
      <c r="C3101" t="s">
        <v>40</v>
      </c>
      <c r="D3101">
        <v>4.5968010000000001</v>
      </c>
      <c r="E3101">
        <v>0.45862940000000002</v>
      </c>
      <c r="F3101" t="s">
        <v>49</v>
      </c>
      <c r="G3101">
        <v>-490.54880000000003</v>
      </c>
      <c r="H3101" s="1">
        <v>6.0538289999999997E-6</v>
      </c>
      <c r="I3101">
        <v>228.17019999999999</v>
      </c>
      <c r="J3101">
        <v>-492.25670000000002</v>
      </c>
      <c r="K3101">
        <v>1.1108739999999999</v>
      </c>
      <c r="L3101">
        <v>252.3158</v>
      </c>
      <c r="M3101">
        <v>-4.5042909999999999E-2</v>
      </c>
      <c r="N3101">
        <v>0</v>
      </c>
      <c r="O3101">
        <v>-0.99889430000000001</v>
      </c>
      <c r="P3101">
        <v>-4.1346479999999998E-2</v>
      </c>
      <c r="Q3101">
        <v>-2.102352E-3</v>
      </c>
      <c r="R3101">
        <v>-0.99914289999999994</v>
      </c>
      <c r="S3101">
        <v>0.2119751</v>
      </c>
      <c r="T3101">
        <v>-0.1381067</v>
      </c>
      <c r="U3101">
        <v>-3.0112760000000001</v>
      </c>
      <c r="V3101">
        <v>-3.7074629999999998E-3</v>
      </c>
      <c r="W3101">
        <v>1.1368329999999999E-2</v>
      </c>
      <c r="X3101">
        <v>0.9999285</v>
      </c>
      <c r="Y3101">
        <v>-0.1150115</v>
      </c>
      <c r="Z3101">
        <v>4.5536979999999998E-2</v>
      </c>
      <c r="AA3101">
        <v>0.99231990000000003</v>
      </c>
      <c r="AB3101">
        <v>12</v>
      </c>
      <c r="AC3101">
        <v>1.70789999999999</v>
      </c>
      <c r="AD3101">
        <v>-1.1108679461709901</v>
      </c>
      <c r="AE3101">
        <v>-24.145600000000002</v>
      </c>
      <c r="AF3101">
        <v>-2.7879811560738599</v>
      </c>
      <c r="AG3101">
        <v>-1.1108679461709901</v>
      </c>
      <c r="AH3101">
        <v>23.993620044050001</v>
      </c>
      <c r="AI3101">
        <v>92.633123056507301</v>
      </c>
      <c r="AJ3101">
        <v>96.627862062787102</v>
      </c>
      <c r="AK3101">
        <v>24.180584553287598</v>
      </c>
      <c r="AL3101">
        <v>89.348628636473507</v>
      </c>
      <c r="AM3101">
        <v>90.212436198391202</v>
      </c>
      <c r="AN3101">
        <v>0.99999999466056699</v>
      </c>
    </row>
    <row r="3102" spans="1:40" x14ac:dyDescent="0.25">
      <c r="A3102" t="str">
        <f>"20190312154314195"</f>
        <v>20190312154314195</v>
      </c>
      <c r="B3102" t="str">
        <f>"1552376594190482"</f>
        <v>1552376594190482</v>
      </c>
      <c r="C3102" t="s">
        <v>40</v>
      </c>
      <c r="D3102">
        <v>4.5850299999999997</v>
      </c>
      <c r="E3102">
        <v>0.4584394</v>
      </c>
      <c r="F3102" t="s">
        <v>49</v>
      </c>
      <c r="G3102">
        <v>-490.62509999999997</v>
      </c>
      <c r="H3102" s="1">
        <v>6.3101129999999997E-6</v>
      </c>
      <c r="I3102">
        <v>229.0522</v>
      </c>
      <c r="J3102">
        <v>-492.2604</v>
      </c>
      <c r="K3102">
        <v>1.1108789999999999</v>
      </c>
      <c r="L3102">
        <v>252.22149999999999</v>
      </c>
      <c r="M3102">
        <v>-4.4539530000000001E-2</v>
      </c>
      <c r="N3102">
        <v>0</v>
      </c>
      <c r="O3102">
        <v>-0.9989169</v>
      </c>
      <c r="P3102">
        <v>-4.1184390000000001E-2</v>
      </c>
      <c r="Q3102">
        <v>-2.3513290000000001E-3</v>
      </c>
      <c r="R3102">
        <v>-0.99914890000000001</v>
      </c>
      <c r="S3102">
        <v>0.2111816</v>
      </c>
      <c r="T3102">
        <v>-0.14377989999999999</v>
      </c>
      <c r="U3102">
        <v>-3.0110169999999998</v>
      </c>
      <c r="V3102">
        <v>-3.3660809999999999E-3</v>
      </c>
      <c r="W3102">
        <v>1.1116579999999999E-2</v>
      </c>
      <c r="X3102">
        <v>0.9999325</v>
      </c>
      <c r="Y3102">
        <v>-0.1142505</v>
      </c>
      <c r="Z3102">
        <v>4.7411590000000003E-2</v>
      </c>
      <c r="AA3102">
        <v>0.99231999999999998</v>
      </c>
      <c r="AB3102">
        <v>12</v>
      </c>
      <c r="AC3102">
        <v>1.63530000000002</v>
      </c>
      <c r="AD3102">
        <v>-1.1108726898870001</v>
      </c>
      <c r="AE3102">
        <v>-23.1693</v>
      </c>
      <c r="AF3102">
        <v>-2.6596364525732699</v>
      </c>
      <c r="AG3102">
        <v>-1.1108726898870001</v>
      </c>
      <c r="AH3102">
        <v>23.0208029565872</v>
      </c>
      <c r="AI3102">
        <v>92.744447374803002</v>
      </c>
      <c r="AJ3102">
        <v>96.590270825067805</v>
      </c>
      <c r="AK3102">
        <v>23.200540359203</v>
      </c>
      <c r="AL3102">
        <v>89.363053736548594</v>
      </c>
      <c r="AM3102">
        <v>90.192874525327596</v>
      </c>
      <c r="AN3102">
        <v>0.99999995670422104</v>
      </c>
    </row>
    <row r="3103" spans="1:40" x14ac:dyDescent="0.25">
      <c r="A3103" t="str">
        <f>"20190312154314210"</f>
        <v>20190312154314210</v>
      </c>
      <c r="B3103" t="str">
        <f>"1552376594200242"</f>
        <v>1552376594200242</v>
      </c>
      <c r="C3103" t="s">
        <v>40</v>
      </c>
      <c r="D3103">
        <v>4.5715690000000002</v>
      </c>
      <c r="E3103">
        <v>0.4584394</v>
      </c>
      <c r="F3103" t="s">
        <v>49</v>
      </c>
      <c r="G3103">
        <v>-490.65170000000001</v>
      </c>
      <c r="H3103" s="1">
        <v>6.4355940000000001E-6</v>
      </c>
      <c r="I3103">
        <v>229.55930000000001</v>
      </c>
      <c r="J3103">
        <v>-492.26369999999997</v>
      </c>
      <c r="K3103">
        <v>1.1108830000000001</v>
      </c>
      <c r="L3103">
        <v>252.13640000000001</v>
      </c>
      <c r="M3103">
        <v>-4.4087269999999998E-2</v>
      </c>
      <c r="N3103">
        <v>0</v>
      </c>
      <c r="O3103">
        <v>-0.99893699999999996</v>
      </c>
      <c r="P3103">
        <v>-4.0871280000000003E-2</v>
      </c>
      <c r="Q3103">
        <v>-2.4579279999999998E-3</v>
      </c>
      <c r="R3103">
        <v>-0.99916150000000004</v>
      </c>
      <c r="S3103">
        <v>0.21374509999999999</v>
      </c>
      <c r="T3103">
        <v>-0.14759529999999901</v>
      </c>
      <c r="U3103">
        <v>-3.011002</v>
      </c>
      <c r="V3103">
        <v>-3.226381E-3</v>
      </c>
      <c r="W3103">
        <v>1.1007869999999999E-2</v>
      </c>
      <c r="X3103">
        <v>0.9999342</v>
      </c>
      <c r="Y3103">
        <v>-0.1146374</v>
      </c>
      <c r="Z3103">
        <v>4.8665930000000003E-2</v>
      </c>
      <c r="AA3103">
        <v>0.99221459999999995</v>
      </c>
      <c r="AB3103">
        <v>12</v>
      </c>
      <c r="AC3103">
        <v>1.6119999999999599</v>
      </c>
      <c r="AD3103">
        <v>-1.1108765644059999</v>
      </c>
      <c r="AE3103">
        <v>-22.577100000000002</v>
      </c>
      <c r="AF3103">
        <v>-2.5996234551578001</v>
      </c>
      <c r="AG3103">
        <v>-1.1108765644059999</v>
      </c>
      <c r="AH3103">
        <v>22.430041054280199</v>
      </c>
      <c r="AI3103">
        <v>92.816507523312893</v>
      </c>
      <c r="AJ3103">
        <v>96.611038194864605</v>
      </c>
      <c r="AK3103">
        <v>22.607495008219001</v>
      </c>
      <c r="AL3103">
        <v>89.369282765383801</v>
      </c>
      <c r="AM3103">
        <v>90.184869537307705</v>
      </c>
      <c r="AN3103">
        <v>0.99999999353296698</v>
      </c>
    </row>
    <row r="3104" spans="1:40" x14ac:dyDescent="0.25">
      <c r="A3104" t="str">
        <f>"20190312154314226"</f>
        <v>20190312154314226</v>
      </c>
      <c r="B3104" t="str">
        <f>"1552376594220738"</f>
        <v>1552376594220738</v>
      </c>
      <c r="C3104" t="s">
        <v>40</v>
      </c>
      <c r="D3104">
        <v>4.6198509999999997</v>
      </c>
      <c r="E3104">
        <v>0.41042430000000002</v>
      </c>
      <c r="F3104" t="s">
        <v>49</v>
      </c>
      <c r="G3104">
        <v>-490.65170000000001</v>
      </c>
      <c r="H3104" s="1">
        <v>6.4253290000000003E-6</v>
      </c>
      <c r="I3104">
        <v>229.5128</v>
      </c>
      <c r="J3104">
        <v>-492.26710000000003</v>
      </c>
      <c r="K3104">
        <v>1.1108899999999999</v>
      </c>
      <c r="L3104">
        <v>252.04679999999999</v>
      </c>
      <c r="M3104">
        <v>-4.3610599999999999E-2</v>
      </c>
      <c r="N3104">
        <v>0</v>
      </c>
      <c r="O3104">
        <v>-0.99895800000000001</v>
      </c>
      <c r="P3104">
        <v>-4.075989E-2</v>
      </c>
      <c r="Q3104">
        <v>-2.7354929999999999E-3</v>
      </c>
      <c r="R3104">
        <v>-0.99916550000000004</v>
      </c>
      <c r="S3104">
        <v>0.2145386</v>
      </c>
      <c r="T3104">
        <v>-0.14784359999999999</v>
      </c>
      <c r="U3104">
        <v>-3.01091</v>
      </c>
      <c r="V3104">
        <v>-2.8611560000000001E-3</v>
      </c>
      <c r="W3104">
        <v>1.072798E-2</v>
      </c>
      <c r="X3104">
        <v>0.99993840000000001</v>
      </c>
      <c r="Y3104">
        <v>-0.1144254</v>
      </c>
      <c r="Z3104">
        <v>4.8750769999999999E-2</v>
      </c>
      <c r="AA3104">
        <v>0.99223490000000003</v>
      </c>
      <c r="AB3104">
        <v>12</v>
      </c>
      <c r="AC3104">
        <v>1.6154000000000199</v>
      </c>
      <c r="AD3104">
        <v>-1.110883574671</v>
      </c>
      <c r="AE3104">
        <v>-22.533999999999899</v>
      </c>
      <c r="AF3104">
        <v>-2.5904097673805202</v>
      </c>
      <c r="AG3104">
        <v>-1.110883574671</v>
      </c>
      <c r="AH3104">
        <v>22.387971065485601</v>
      </c>
      <c r="AI3104">
        <v>92.821871725577296</v>
      </c>
      <c r="AJ3104">
        <v>96.600083678705204</v>
      </c>
      <c r="AK3104">
        <v>22.564696619020499</v>
      </c>
      <c r="AL3104">
        <v>89.385320256831704</v>
      </c>
      <c r="AM3104">
        <v>90.163941814763504</v>
      </c>
      <c r="AN3104">
        <v>1.0000000397815401</v>
      </c>
    </row>
    <row r="3105" spans="1:40" x14ac:dyDescent="0.25">
      <c r="A3105" t="str">
        <f>"20190312154314239"</f>
        <v>20190312154314239</v>
      </c>
      <c r="B3105" t="str">
        <f>"1552376594230498"</f>
        <v>1552376594230498</v>
      </c>
      <c r="C3105" t="s">
        <v>40</v>
      </c>
      <c r="D3105">
        <v>4.6182650000000001</v>
      </c>
      <c r="E3105">
        <v>0.40913490000000002</v>
      </c>
      <c r="F3105" t="s">
        <v>49</v>
      </c>
      <c r="G3105">
        <v>-487.48790000000002</v>
      </c>
      <c r="H3105" s="1">
        <v>5.4228409999999996E-6</v>
      </c>
      <c r="I3105">
        <v>227.83179999999999</v>
      </c>
      <c r="J3105">
        <v>-492.26949999999999</v>
      </c>
      <c r="K3105">
        <v>1.1108960000000001</v>
      </c>
      <c r="L3105">
        <v>251.98099999999999</v>
      </c>
      <c r="M3105">
        <v>-4.3259029999999997E-2</v>
      </c>
      <c r="N3105">
        <v>0</v>
      </c>
      <c r="O3105">
        <v>-0.99897329999999995</v>
      </c>
      <c r="P3105">
        <v>-4.0686449999999999E-2</v>
      </c>
      <c r="Q3105">
        <v>-2.8444780000000001E-3</v>
      </c>
      <c r="R3105">
        <v>-0.99916799999999995</v>
      </c>
      <c r="S3105">
        <v>0.59732059999999998</v>
      </c>
      <c r="T3105">
        <v>-0.13884170000000001</v>
      </c>
      <c r="U3105">
        <v>-3.0264739999999999</v>
      </c>
      <c r="V3105">
        <v>-2.5827039999999999E-3</v>
      </c>
      <c r="W3105">
        <v>1.0617359999999999E-2</v>
      </c>
      <c r="X3105">
        <v>0.9999403</v>
      </c>
      <c r="Y3105">
        <v>-0.23569860000000001</v>
      </c>
      <c r="Z3105">
        <v>4.4687320000000003E-2</v>
      </c>
      <c r="AA3105">
        <v>0.9707983</v>
      </c>
      <c r="AB3105">
        <v>12</v>
      </c>
      <c r="AC3105">
        <v>4.7815999999999601</v>
      </c>
      <c r="AD3105">
        <v>-1.1108905771590001</v>
      </c>
      <c r="AE3105">
        <v>-24.1492</v>
      </c>
      <c r="AF3105">
        <v>-5.8100577499322004</v>
      </c>
      <c r="AG3105">
        <v>-1.1108905771590001</v>
      </c>
      <c r="AH3105">
        <v>23.8711154061454</v>
      </c>
      <c r="AI3105">
        <v>92.588977549286099</v>
      </c>
      <c r="AJ3105">
        <v>103.67939744414301</v>
      </c>
      <c r="AK3105">
        <v>24.5931087840777</v>
      </c>
      <c r="AL3105">
        <v>89.391658653199499</v>
      </c>
      <c r="AM3105">
        <v>90.147986544668001</v>
      </c>
      <c r="AN3105">
        <v>1.0000000011287</v>
      </c>
    </row>
    <row r="3106" spans="1:40" x14ac:dyDescent="0.25">
      <c r="A3106" t="str">
        <f>"20190312154314251"</f>
        <v>20190312154314251</v>
      </c>
      <c r="B3106" t="str">
        <f>"1552376594240258"</f>
        <v>1552376594240258</v>
      </c>
      <c r="C3106" t="s">
        <v>40</v>
      </c>
      <c r="D3106">
        <v>4.6676440000000001</v>
      </c>
      <c r="E3106">
        <v>0.40829959999999998</v>
      </c>
      <c r="F3106" t="s">
        <v>43</v>
      </c>
      <c r="G3106">
        <v>-487.8972</v>
      </c>
      <c r="H3106" s="1">
        <v>-7.6030849999999997E-7</v>
      </c>
      <c r="I3106">
        <v>230.23820000000001</v>
      </c>
      <c r="J3106">
        <v>-492.27190000000002</v>
      </c>
      <c r="K3106">
        <v>1.1109009999999999</v>
      </c>
      <c r="L3106">
        <v>251.91669999999999</v>
      </c>
      <c r="M3106">
        <v>-4.2914140000000003E-2</v>
      </c>
      <c r="N3106">
        <v>0</v>
      </c>
      <c r="O3106">
        <v>-0.99898830000000005</v>
      </c>
      <c r="P3106">
        <v>-4.0930300000000003E-2</v>
      </c>
      <c r="Q3106">
        <v>-2.8853799999999999E-3</v>
      </c>
      <c r="R3106">
        <v>-0.99915810000000005</v>
      </c>
      <c r="S3106">
        <v>0.60867309999999997</v>
      </c>
      <c r="T3106">
        <v>-0.15464849999999999</v>
      </c>
      <c r="U3106">
        <v>-3.02684</v>
      </c>
      <c r="V3106">
        <v>-1.9933680000000001E-3</v>
      </c>
      <c r="W3106">
        <v>1.057492E-2</v>
      </c>
      <c r="X3106">
        <v>0.99994209999999994</v>
      </c>
      <c r="Y3106">
        <v>-0.2387946</v>
      </c>
      <c r="Z3106">
        <v>4.9720640000000003E-2</v>
      </c>
      <c r="AA3106">
        <v>0.9697964</v>
      </c>
      <c r="AB3106">
        <v>12</v>
      </c>
      <c r="AC3106">
        <v>4.3747000000000096</v>
      </c>
      <c r="AD3106">
        <v>-1.1109017603085001</v>
      </c>
      <c r="AE3106">
        <v>-21.6784999999999</v>
      </c>
      <c r="AF3106">
        <v>-5.2877252383200704</v>
      </c>
      <c r="AG3106">
        <v>-1.1109017603085001</v>
      </c>
      <c r="AH3106">
        <v>21.416732457752499</v>
      </c>
      <c r="AI3106">
        <v>92.882897777596796</v>
      </c>
      <c r="AJ3106">
        <v>103.868786619364</v>
      </c>
      <c r="AK3106">
        <v>22.087792331602</v>
      </c>
      <c r="AL3106">
        <v>89.394090423674299</v>
      </c>
      <c r="AM3106">
        <v>90.114218035349694</v>
      </c>
      <c r="AN3106">
        <v>1.0000000029006999</v>
      </c>
    </row>
    <row r="3107" spans="1:40" x14ac:dyDescent="0.25">
      <c r="A3107" t="str">
        <f>"20190312154314263"</f>
        <v>20190312154314263</v>
      </c>
      <c r="B3107" t="str">
        <f>"1552376594250993"</f>
        <v>1552376594250993</v>
      </c>
      <c r="C3107" t="s">
        <v>40</v>
      </c>
      <c r="D3107">
        <v>4.8120149999999997</v>
      </c>
      <c r="E3107">
        <v>0.40821669999999999</v>
      </c>
      <c r="F3107" t="s">
        <v>43</v>
      </c>
      <c r="G3107">
        <v>-488.05619999999999</v>
      </c>
      <c r="H3107" s="1">
        <v>-1.028531E-6</v>
      </c>
      <c r="I3107">
        <v>231.1506</v>
      </c>
      <c r="J3107">
        <v>-492.27440000000001</v>
      </c>
      <c r="K3107">
        <v>1.1109119999999999</v>
      </c>
      <c r="L3107">
        <v>251.8485</v>
      </c>
      <c r="M3107">
        <v>-4.2547359999999999E-2</v>
      </c>
      <c r="N3107">
        <v>0</v>
      </c>
      <c r="O3107">
        <v>-0.9990038</v>
      </c>
      <c r="P3107">
        <v>-4.0601520000000002E-2</v>
      </c>
      <c r="Q3107">
        <v>-2.9619490000000002E-3</v>
      </c>
      <c r="R3107">
        <v>-0.99917109999999998</v>
      </c>
      <c r="S3107">
        <v>0.61456299999999997</v>
      </c>
      <c r="T3107">
        <v>-0.16194439999999999</v>
      </c>
      <c r="U3107">
        <v>-3.0272220000000001</v>
      </c>
      <c r="V3107">
        <v>-1.955226E-3</v>
      </c>
      <c r="W3107">
        <v>1.049625E-2</v>
      </c>
      <c r="X3107">
        <v>0.99994300000000003</v>
      </c>
      <c r="Y3107">
        <v>-0.24020359999999999</v>
      </c>
      <c r="Z3107">
        <v>5.2035629999999999E-2</v>
      </c>
      <c r="AA3107">
        <v>0.96932689999999999</v>
      </c>
      <c r="AB3107">
        <v>12</v>
      </c>
      <c r="AC3107">
        <v>4.2182000000000199</v>
      </c>
      <c r="AD3107">
        <v>-1.110913028531</v>
      </c>
      <c r="AE3107">
        <v>-20.697900000000001</v>
      </c>
      <c r="AF3107">
        <v>-5.0810466969113799</v>
      </c>
      <c r="AG3107">
        <v>-1.110913028531</v>
      </c>
      <c r="AH3107">
        <v>20.443120782622199</v>
      </c>
      <c r="AI3107">
        <v>93.018819426967795</v>
      </c>
      <c r="AJ3107">
        <v>103.957784806465</v>
      </c>
      <c r="AK3107">
        <v>21.094367746534498</v>
      </c>
      <c r="AL3107">
        <v>89.398598130298396</v>
      </c>
      <c r="AM3107">
        <v>90.112032440872099</v>
      </c>
      <c r="AN3107">
        <v>0.99999999871088596</v>
      </c>
    </row>
    <row r="3108" spans="1:40" x14ac:dyDescent="0.25">
      <c r="A3108" t="str">
        <f>"20190312154314283"</f>
        <v>20190312154314283</v>
      </c>
      <c r="B3108" t="str">
        <f>"1552376594270787"</f>
        <v>1552376594270787</v>
      </c>
      <c r="C3108" t="s">
        <v>40</v>
      </c>
      <c r="D3108">
        <v>4.6842540000000001</v>
      </c>
      <c r="E3108">
        <v>0.4081361</v>
      </c>
      <c r="F3108" t="s">
        <v>43</v>
      </c>
      <c r="G3108">
        <v>-488.07729999999998</v>
      </c>
      <c r="H3108" s="1">
        <v>-1.050917E-6</v>
      </c>
      <c r="I3108">
        <v>231.2329</v>
      </c>
      <c r="J3108">
        <v>-492.27800000000002</v>
      </c>
      <c r="K3108">
        <v>1.1109230000000001</v>
      </c>
      <c r="L3108">
        <v>251.75040000000001</v>
      </c>
      <c r="M3108">
        <v>-4.2015259999999999E-2</v>
      </c>
      <c r="N3108">
        <v>0</v>
      </c>
      <c r="O3108">
        <v>-0.99902670000000005</v>
      </c>
      <c r="P3108">
        <v>-4.0394159999999998E-2</v>
      </c>
      <c r="Q3108">
        <v>-2.6875100000000002E-3</v>
      </c>
      <c r="R3108">
        <v>-0.99918070000000003</v>
      </c>
      <c r="S3108">
        <v>0.61627200000000004</v>
      </c>
      <c r="T3108">
        <v>-0.16311719999999999</v>
      </c>
      <c r="U3108">
        <v>-3.0270229999999998</v>
      </c>
      <c r="V3108">
        <v>-1.6309899999999999E-3</v>
      </c>
      <c r="W3108">
        <v>1.076851E-2</v>
      </c>
      <c r="X3108">
        <v>0.99994070000000002</v>
      </c>
      <c r="Y3108">
        <v>-0.2402205</v>
      </c>
      <c r="Z3108">
        <v>5.241353E-2</v>
      </c>
      <c r="AA3108">
        <v>0.96930229999999995</v>
      </c>
      <c r="AB3108">
        <v>12</v>
      </c>
      <c r="AC3108">
        <v>4.2007000000000403</v>
      </c>
      <c r="AD3108">
        <v>-1.110924050917</v>
      </c>
      <c r="AE3108">
        <v>-20.517499999999998</v>
      </c>
      <c r="AF3108">
        <v>-5.0449206543966802</v>
      </c>
      <c r="AG3108">
        <v>-1.110924050917</v>
      </c>
      <c r="AH3108">
        <v>20.265846557759101</v>
      </c>
      <c r="AI3108">
        <v>93.044928279815196</v>
      </c>
      <c r="AJ3108">
        <v>103.97891068960401</v>
      </c>
      <c r="AK3108">
        <v>20.9138689237238</v>
      </c>
      <c r="AL3108">
        <v>89.382997907830699</v>
      </c>
      <c r="AM3108">
        <v>90.093454302396495</v>
      </c>
      <c r="AN3108">
        <v>1.00000001222624</v>
      </c>
    </row>
    <row r="3109" spans="1:40" x14ac:dyDescent="0.25">
      <c r="A3109" t="str">
        <f>"20190312154314297"</f>
        <v>20190312154314297</v>
      </c>
      <c r="B3109" t="str">
        <f>"1552376594290307"</f>
        <v>1552376594290307</v>
      </c>
      <c r="C3109" t="s">
        <v>40</v>
      </c>
      <c r="D3109">
        <v>4.5164900000000001</v>
      </c>
      <c r="E3109">
        <v>0.40457959999999998</v>
      </c>
      <c r="F3109" t="s">
        <v>43</v>
      </c>
      <c r="G3109">
        <v>-488.27390000000003</v>
      </c>
      <c r="H3109" s="1">
        <v>-1.381162E-6</v>
      </c>
      <c r="I3109">
        <v>232.1386</v>
      </c>
      <c r="J3109">
        <v>-492.28059999999999</v>
      </c>
      <c r="K3109">
        <v>1.11093</v>
      </c>
      <c r="L3109">
        <v>251.6755</v>
      </c>
      <c r="M3109">
        <v>-4.1606110000000002E-2</v>
      </c>
      <c r="N3109">
        <v>0</v>
      </c>
      <c r="O3109">
        <v>-0.99904360000000003</v>
      </c>
      <c r="P3109">
        <v>-3.9872669999999999E-2</v>
      </c>
      <c r="Q3109">
        <v>-2.5772260000000002E-3</v>
      </c>
      <c r="R3109">
        <v>-0.99920169999999997</v>
      </c>
      <c r="S3109">
        <v>0.61801149999999905</v>
      </c>
      <c r="T3109">
        <v>-0.17146739999999999</v>
      </c>
      <c r="U3109">
        <v>-3.0270229999999998</v>
      </c>
      <c r="V3109">
        <v>-1.7430379999999999E-3</v>
      </c>
      <c r="W3109">
        <v>1.0876739999999999E-2</v>
      </c>
      <c r="X3109">
        <v>0.99993929999999998</v>
      </c>
      <c r="Y3109">
        <v>-0.24032890000000001</v>
      </c>
      <c r="Z3109">
        <v>5.5086030000000001E-2</v>
      </c>
      <c r="AA3109">
        <v>0.96912719999999997</v>
      </c>
      <c r="AB3109">
        <v>12</v>
      </c>
      <c r="AC3109">
        <v>4.0066999999999604</v>
      </c>
      <c r="AD3109">
        <v>-1.1109313811620001</v>
      </c>
      <c r="AE3109">
        <v>-19.536899999999999</v>
      </c>
      <c r="AF3109">
        <v>-4.8012599135253904</v>
      </c>
      <c r="AG3109">
        <v>-1.1109313811620001</v>
      </c>
      <c r="AH3109">
        <v>19.293395603433201</v>
      </c>
      <c r="AI3109">
        <v>93.198174160735206</v>
      </c>
      <c r="AJ3109">
        <v>103.97448767935199</v>
      </c>
      <c r="AK3109">
        <v>19.912844578348199</v>
      </c>
      <c r="AL3109">
        <v>89.376796397835705</v>
      </c>
      <c r="AM3109">
        <v>90.099874682172199</v>
      </c>
      <c r="AN3109">
        <v>0.99999997266949303</v>
      </c>
    </row>
    <row r="3110" spans="1:40" x14ac:dyDescent="0.25">
      <c r="A3110" t="str">
        <f>"20190312154314310"</f>
        <v>20190312154314310</v>
      </c>
      <c r="B3110" t="str">
        <f>"1552376594300068"</f>
        <v>1552376594300068</v>
      </c>
      <c r="C3110" t="s">
        <v>40</v>
      </c>
      <c r="D3110">
        <v>4.5494709999999996</v>
      </c>
      <c r="E3110">
        <v>0.40347450000000001</v>
      </c>
      <c r="F3110" t="s">
        <v>43</v>
      </c>
      <c r="G3110">
        <v>-487.59070000000003</v>
      </c>
      <c r="H3110" s="1">
        <v>-6.6474050000000002E-7</v>
      </c>
      <c r="I3110">
        <v>229.71770000000001</v>
      </c>
      <c r="J3110">
        <v>-492.28309999999999</v>
      </c>
      <c r="K3110">
        <v>1.1109370000000001</v>
      </c>
      <c r="L3110">
        <v>251.60480000000001</v>
      </c>
      <c r="M3110">
        <v>-4.1217810000000001E-2</v>
      </c>
      <c r="N3110">
        <v>0</v>
      </c>
      <c r="O3110">
        <v>-0.99905980000000005</v>
      </c>
      <c r="P3110">
        <v>-3.922904E-2</v>
      </c>
      <c r="Q3110">
        <v>-2.065136E-3</v>
      </c>
      <c r="R3110">
        <v>-0.99922829999999996</v>
      </c>
      <c r="S3110">
        <v>0.646698</v>
      </c>
      <c r="T3110">
        <v>-0.15318799999999999</v>
      </c>
      <c r="U3110">
        <v>-3.0278019999999999</v>
      </c>
      <c r="V3110">
        <v>-1.9990730000000001E-3</v>
      </c>
      <c r="W3110">
        <v>1.138693E-2</v>
      </c>
      <c r="X3110">
        <v>0.99993319999999997</v>
      </c>
      <c r="Y3110">
        <v>-0.24875710000000001</v>
      </c>
      <c r="Z3110">
        <v>4.9117849999999998E-2</v>
      </c>
      <c r="AA3110">
        <v>0.9673197</v>
      </c>
      <c r="AB3110">
        <v>12</v>
      </c>
      <c r="AC3110">
        <v>4.6923999999999602</v>
      </c>
      <c r="AD3110">
        <v>-1.1109376647405</v>
      </c>
      <c r="AE3110">
        <v>-21.8871</v>
      </c>
      <c r="AF3110">
        <v>-5.5768948274363499</v>
      </c>
      <c r="AG3110">
        <v>-1.1109376647405</v>
      </c>
      <c r="AH3110">
        <v>21.6218115161657</v>
      </c>
      <c r="AI3110">
        <v>92.848238041328301</v>
      </c>
      <c r="AJ3110">
        <v>104.463020639227</v>
      </c>
      <c r="AK3110">
        <v>22.357072072429801</v>
      </c>
      <c r="AL3110">
        <v>89.347562889998002</v>
      </c>
      <c r="AM3110">
        <v>90.1145459449112</v>
      </c>
      <c r="AN3110">
        <v>1.00000003146496</v>
      </c>
    </row>
    <row r="3111" spans="1:40" x14ac:dyDescent="0.25">
      <c r="A3111" t="str">
        <f>"20190312154314327"</f>
        <v>20190312154314327</v>
      </c>
      <c r="B3111" t="str">
        <f>"1552376594320564"</f>
        <v>1552376594320564</v>
      </c>
      <c r="C3111" t="s">
        <v>40</v>
      </c>
      <c r="D3111">
        <v>4.5664339999999903</v>
      </c>
      <c r="E3111">
        <v>0.40161370000000002</v>
      </c>
      <c r="F3111" t="s">
        <v>49</v>
      </c>
      <c r="G3111">
        <v>-487.2457</v>
      </c>
      <c r="H3111" s="1">
        <v>5.5399460000000001E-6</v>
      </c>
      <c r="I3111">
        <v>228.4178</v>
      </c>
      <c r="J3111">
        <v>-492.28629999999998</v>
      </c>
      <c r="K3111">
        <v>1.11094</v>
      </c>
      <c r="L3111">
        <v>251.51400000000001</v>
      </c>
      <c r="M3111">
        <v>-4.0716889999999999E-2</v>
      </c>
      <c r="N3111">
        <v>0</v>
      </c>
      <c r="O3111">
        <v>-0.99908030000000003</v>
      </c>
      <c r="P3111">
        <v>-3.7807559999999997E-2</v>
      </c>
      <c r="Q3111">
        <v>-1.4762550000000001E-3</v>
      </c>
      <c r="R3111">
        <v>-0.99928410000000001</v>
      </c>
      <c r="S3111">
        <v>0.65780640000000001</v>
      </c>
      <c r="T3111">
        <v>-0.14507030000000001</v>
      </c>
      <c r="U3111">
        <v>-3.027863</v>
      </c>
      <c r="V3111">
        <v>-2.9207159999999999E-3</v>
      </c>
      <c r="W3111">
        <v>1.197292E-2</v>
      </c>
      <c r="X3111">
        <v>0.99992409999999998</v>
      </c>
      <c r="Y3111">
        <v>-0.25168459999999998</v>
      </c>
      <c r="Z3111">
        <v>4.6485930000000002E-2</v>
      </c>
      <c r="AA3111">
        <v>0.96669229999999995</v>
      </c>
      <c r="AB3111">
        <v>12</v>
      </c>
      <c r="AC3111">
        <v>5.04059999999998</v>
      </c>
      <c r="AD3111">
        <v>-1.1109344600540001</v>
      </c>
      <c r="AE3111">
        <v>-23.0962</v>
      </c>
      <c r="AF3111">
        <v>-5.9637389753395498</v>
      </c>
      <c r="AG3111">
        <v>-1.1109344600540001</v>
      </c>
      <c r="AH3111">
        <v>22.821387388172202</v>
      </c>
      <c r="AI3111">
        <v>92.696520714045704</v>
      </c>
      <c r="AJ3111">
        <v>104.64516189798501</v>
      </c>
      <c r="AK3111">
        <v>23.613895914514998</v>
      </c>
      <c r="AL3111">
        <v>89.313985854668005</v>
      </c>
      <c r="AM3111">
        <v>90.167356926427999</v>
      </c>
      <c r="AN3111">
        <v>1.0000000435780401</v>
      </c>
    </row>
    <row r="3112" spans="1:40" x14ac:dyDescent="0.25">
      <c r="A3112" t="str">
        <f>"20190312154314341"</f>
        <v>20190312154314341</v>
      </c>
      <c r="B3112" t="str">
        <f>"1552376594330325"</f>
        <v>1552376594330325</v>
      </c>
      <c r="C3112" t="s">
        <v>40</v>
      </c>
      <c r="D3112">
        <v>4.5235729999999998</v>
      </c>
      <c r="E3112">
        <v>0.40055950000000001</v>
      </c>
      <c r="F3112" t="s">
        <v>49</v>
      </c>
      <c r="G3112">
        <v>-486.78899999999999</v>
      </c>
      <c r="H3112" s="1">
        <v>4.9501530000000002E-6</v>
      </c>
      <c r="I3112">
        <v>226.90620000000001</v>
      </c>
      <c r="J3112">
        <v>-492.28859999999997</v>
      </c>
      <c r="K3112">
        <v>1.1109450000000001</v>
      </c>
      <c r="L3112">
        <v>251.44640000000001</v>
      </c>
      <c r="M3112">
        <v>-4.0341509999999997E-2</v>
      </c>
      <c r="N3112">
        <v>0</v>
      </c>
      <c r="O3112">
        <v>-0.99909579999999998</v>
      </c>
      <c r="P3112">
        <v>-3.6918859999999998E-2</v>
      </c>
      <c r="Q3112">
        <v>-1.243093E-3</v>
      </c>
      <c r="R3112">
        <v>-0.99931789999999998</v>
      </c>
      <c r="S3112">
        <v>0.6763306</v>
      </c>
      <c r="T3112">
        <v>-0.136679299999999</v>
      </c>
      <c r="U3112">
        <v>-3.0275270000000001</v>
      </c>
      <c r="V3112">
        <v>-3.4342209999999999E-3</v>
      </c>
      <c r="W3112">
        <v>1.220417E-2</v>
      </c>
      <c r="X3112">
        <v>0.99991969999999997</v>
      </c>
      <c r="Y3112">
        <v>-0.2570074</v>
      </c>
      <c r="Z3112">
        <v>4.3748799999999997E-2</v>
      </c>
      <c r="AA3112">
        <v>0.96541869999999996</v>
      </c>
      <c r="AB3112">
        <v>12</v>
      </c>
      <c r="AC3112">
        <v>5.4995999999999796</v>
      </c>
      <c r="AD3112">
        <v>-1.1109400498469999</v>
      </c>
      <c r="AE3112">
        <v>-24.540199999999999</v>
      </c>
      <c r="AF3112">
        <v>-6.4725696627816003</v>
      </c>
      <c r="AG3112">
        <v>-1.1109400498469999</v>
      </c>
      <c r="AH3112">
        <v>24.251014183990801</v>
      </c>
      <c r="AI3112">
        <v>92.534297590128006</v>
      </c>
      <c r="AJ3112">
        <v>104.94384050499799</v>
      </c>
      <c r="AK3112">
        <v>25.124490736849602</v>
      </c>
      <c r="AL3112">
        <v>89.300735257199193</v>
      </c>
      <c r="AM3112">
        <v>90.1967813970967</v>
      </c>
      <c r="AN3112">
        <v>1.0000000710436701</v>
      </c>
    </row>
    <row r="3113" spans="1:40" x14ac:dyDescent="0.25">
      <c r="A3113" t="str">
        <f>"20190312154314352"</f>
        <v>20190312154314352</v>
      </c>
      <c r="B3113" t="str">
        <f>"1552376594340084"</f>
        <v>1552376594340084</v>
      </c>
      <c r="C3113" t="s">
        <v>40</v>
      </c>
      <c r="D3113">
        <v>4.7839</v>
      </c>
      <c r="E3113">
        <v>0.40040120000000001</v>
      </c>
      <c r="F3113" t="s">
        <v>49</v>
      </c>
      <c r="G3113">
        <v>-486.46609999999998</v>
      </c>
      <c r="H3113" s="1">
        <v>4.571223E-6</v>
      </c>
      <c r="I3113">
        <v>225.79920000000001</v>
      </c>
      <c r="J3113">
        <v>-492.29079999999999</v>
      </c>
      <c r="K3113">
        <v>1.1109500000000001</v>
      </c>
      <c r="L3113">
        <v>251.38239999999999</v>
      </c>
      <c r="M3113">
        <v>-3.9985880000000001E-2</v>
      </c>
      <c r="N3113">
        <v>0</v>
      </c>
      <c r="O3113">
        <v>-0.9991101</v>
      </c>
      <c r="P3113">
        <v>-3.5901519999999999E-2</v>
      </c>
      <c r="Q3113">
        <v>-8.4354389999999997E-4</v>
      </c>
      <c r="R3113">
        <v>-0.99935529999999995</v>
      </c>
      <c r="S3113">
        <v>0.68725590000000003</v>
      </c>
      <c r="T3113">
        <v>-0.131129</v>
      </c>
      <c r="U3113">
        <v>-3.0272519999999998</v>
      </c>
      <c r="V3113">
        <v>-4.0969489999999999E-3</v>
      </c>
      <c r="W3113">
        <v>1.260182E-2</v>
      </c>
      <c r="X3113">
        <v>0.99991220000000003</v>
      </c>
      <c r="Y3113">
        <v>-0.26001400000000002</v>
      </c>
      <c r="Z3113">
        <v>4.1946589999999999E-2</v>
      </c>
      <c r="AA3113">
        <v>0.96469329999999998</v>
      </c>
      <c r="AB3113">
        <v>12</v>
      </c>
      <c r="AC3113">
        <v>5.8247</v>
      </c>
      <c r="AD3113">
        <v>-1.110945428777</v>
      </c>
      <c r="AE3113">
        <v>-25.583199999999898</v>
      </c>
      <c r="AF3113">
        <v>-6.8308535129764101</v>
      </c>
      <c r="AG3113">
        <v>-1.110945428777</v>
      </c>
      <c r="AH3113">
        <v>25.284479730519799</v>
      </c>
      <c r="AI3113">
        <v>92.428868314887794</v>
      </c>
      <c r="AJ3113">
        <v>105.118115980263</v>
      </c>
      <c r="AK3113">
        <v>26.214493600001699</v>
      </c>
      <c r="AL3113">
        <v>89.277949787470803</v>
      </c>
      <c r="AM3113">
        <v>90.234757184685904</v>
      </c>
      <c r="AN3113">
        <v>0.99999999928363004</v>
      </c>
    </row>
    <row r="3114" spans="1:40" x14ac:dyDescent="0.25">
      <c r="A3114" t="str">
        <f>"20190312154314364"</f>
        <v>20190312154314364</v>
      </c>
      <c r="B3114" t="str">
        <f>"1552376594360580"</f>
        <v>1552376594360580</v>
      </c>
      <c r="C3114" t="s">
        <v>40</v>
      </c>
      <c r="D3114">
        <v>4.7497099999999897</v>
      </c>
      <c r="E3114">
        <v>0.36621290000000001</v>
      </c>
      <c r="F3114" t="s">
        <v>49</v>
      </c>
      <c r="G3114">
        <v>-486.61579999999998</v>
      </c>
      <c r="H3114" s="1">
        <v>4.7916970000000003E-6</v>
      </c>
      <c r="I3114">
        <v>226.54339999999999</v>
      </c>
      <c r="J3114">
        <v>-492.2928</v>
      </c>
      <c r="K3114">
        <v>1.110954</v>
      </c>
      <c r="L3114">
        <v>251.31890000000001</v>
      </c>
      <c r="M3114">
        <v>-3.963212E-2</v>
      </c>
      <c r="N3114">
        <v>0</v>
      </c>
      <c r="O3114">
        <v>-0.99912420000000002</v>
      </c>
      <c r="P3114">
        <v>-3.4781430000000002E-2</v>
      </c>
      <c r="Q3114">
        <v>-1.6049559999999999E-4</v>
      </c>
      <c r="R3114">
        <v>-0.99939529999999999</v>
      </c>
      <c r="S3114">
        <v>0.69149780000000005</v>
      </c>
      <c r="T3114">
        <v>-0.1353704</v>
      </c>
      <c r="U3114">
        <v>-3.026672</v>
      </c>
      <c r="V3114">
        <v>-4.8635930000000003E-3</v>
      </c>
      <c r="W3114">
        <v>1.328316E-2</v>
      </c>
      <c r="X3114">
        <v>0.99989989999999995</v>
      </c>
      <c r="Y3114">
        <v>-0.26098440000000001</v>
      </c>
      <c r="Z3114">
        <v>4.3297349999999998E-2</v>
      </c>
      <c r="AA3114">
        <v>0.9643716</v>
      </c>
      <c r="AB3114">
        <v>12</v>
      </c>
      <c r="AC3114">
        <v>5.67700000000002</v>
      </c>
      <c r="AD3114">
        <v>-1.1109492083029999</v>
      </c>
      <c r="AE3114">
        <v>-24.775500000000001</v>
      </c>
      <c r="AF3114">
        <v>-6.6418445861758002</v>
      </c>
      <c r="AG3114">
        <v>-1.1109492083029999</v>
      </c>
      <c r="AH3114">
        <v>24.484245320240198</v>
      </c>
      <c r="AI3114">
        <v>92.507459980315701</v>
      </c>
      <c r="AJ3114">
        <v>105.17738219745701</v>
      </c>
      <c r="AK3114">
        <v>25.393435698070601</v>
      </c>
      <c r="AL3114">
        <v>89.238908575394206</v>
      </c>
      <c r="AM3114">
        <v>90.278689051317102</v>
      </c>
      <c r="AN3114">
        <v>0.999999953448231</v>
      </c>
    </row>
    <row r="3115" spans="1:40" x14ac:dyDescent="0.25">
      <c r="A3115" t="str">
        <f>"20190312154314383"</f>
        <v>20190312154314383</v>
      </c>
      <c r="B3115" t="str">
        <f>"1552376594380100"</f>
        <v>1552376594380100</v>
      </c>
      <c r="C3115" t="s">
        <v>40</v>
      </c>
      <c r="D3115">
        <v>4.712707</v>
      </c>
      <c r="E3115">
        <v>0.352302</v>
      </c>
      <c r="F3115" t="s">
        <v>43</v>
      </c>
      <c r="G3115">
        <v>-487.45909999999998</v>
      </c>
      <c r="H3115" s="1">
        <v>-3.269869E-6</v>
      </c>
      <c r="I3115">
        <v>236.20429999999999</v>
      </c>
      <c r="J3115">
        <v>-492.29599999999999</v>
      </c>
      <c r="K3115">
        <v>1.110959</v>
      </c>
      <c r="L3115">
        <v>251.2236</v>
      </c>
      <c r="M3115">
        <v>-3.9100969999999999E-2</v>
      </c>
      <c r="N3115">
        <v>0</v>
      </c>
      <c r="O3115">
        <v>-0.9991449</v>
      </c>
      <c r="P3115">
        <v>-3.2983030000000003E-2</v>
      </c>
      <c r="Q3115">
        <v>9.6034430000000001E-4</v>
      </c>
      <c r="R3115">
        <v>-0.9994556</v>
      </c>
      <c r="S3115">
        <v>0.97079470000000001</v>
      </c>
      <c r="T3115">
        <v>-0.2231197</v>
      </c>
      <c r="U3115">
        <v>-3.0355530000000002</v>
      </c>
      <c r="V3115">
        <v>-6.1322310000000001E-3</v>
      </c>
      <c r="W3115">
        <v>1.440029E-2</v>
      </c>
      <c r="X3115">
        <v>0.99987749999999997</v>
      </c>
      <c r="Y3115">
        <v>-0.34088740000000001</v>
      </c>
      <c r="Z3115">
        <v>6.9304439999999995E-2</v>
      </c>
      <c r="AA3115">
        <v>0.93754610000000005</v>
      </c>
      <c r="AB3115">
        <v>12</v>
      </c>
      <c r="AC3115">
        <v>4.8369000000000097</v>
      </c>
      <c r="AD3115">
        <v>-1.110962269869</v>
      </c>
      <c r="AE3115">
        <v>-15.019299999999999</v>
      </c>
      <c r="AF3115">
        <v>-5.3937841487009699</v>
      </c>
      <c r="AG3115">
        <v>-1.110962269869</v>
      </c>
      <c r="AH3115">
        <v>14.745569745061299</v>
      </c>
      <c r="AI3115">
        <v>94.047328808524199</v>
      </c>
      <c r="AJ3115">
        <v>110.09202183650299</v>
      </c>
      <c r="AK3115">
        <v>15.7403612320149</v>
      </c>
      <c r="AL3115">
        <v>89.174895635694995</v>
      </c>
      <c r="AM3115">
        <v>90.351389595447699</v>
      </c>
      <c r="AN3115">
        <v>0.99999999380768501</v>
      </c>
    </row>
    <row r="3116" spans="1:40" x14ac:dyDescent="0.25">
      <c r="A3116" t="str">
        <f>"20190312154314397"</f>
        <v>20190312154314397</v>
      </c>
      <c r="B3116" t="str">
        <f>"1552376594390835"</f>
        <v>1552376594390835</v>
      </c>
      <c r="C3116" t="s">
        <v>40</v>
      </c>
      <c r="D3116">
        <v>4.7650110000000003</v>
      </c>
      <c r="E3116">
        <v>0.3491938</v>
      </c>
      <c r="F3116" t="s">
        <v>43</v>
      </c>
      <c r="G3116">
        <v>-486.6893</v>
      </c>
      <c r="H3116" s="1">
        <v>-3.1292750000000002E-6</v>
      </c>
      <c r="I3116">
        <v>235.5583</v>
      </c>
      <c r="J3116">
        <v>-492.29849999999999</v>
      </c>
      <c r="K3116">
        <v>1.1109629999999999</v>
      </c>
      <c r="L3116">
        <v>251.1473</v>
      </c>
      <c r="M3116">
        <v>-3.8675889999999997E-2</v>
      </c>
      <c r="N3116">
        <v>0</v>
      </c>
      <c r="O3116">
        <v>-0.99916139999999998</v>
      </c>
      <c r="P3116">
        <v>-3.2021679999999997E-2</v>
      </c>
      <c r="Q3116">
        <v>1.6095629999999901E-3</v>
      </c>
      <c r="R3116">
        <v>-0.99948610000000004</v>
      </c>
      <c r="S3116">
        <v>1.0872189999999999</v>
      </c>
      <c r="T3116">
        <v>-0.21543119999999999</v>
      </c>
      <c r="U3116">
        <v>-3.0377350000000001</v>
      </c>
      <c r="V3116">
        <v>-6.669019E-3</v>
      </c>
      <c r="W3116">
        <v>1.504728E-2</v>
      </c>
      <c r="X3116">
        <v>0.99986450000000004</v>
      </c>
      <c r="Y3116">
        <v>-0.37239749999999999</v>
      </c>
      <c r="Z3116">
        <v>6.6074279999999999E-2</v>
      </c>
      <c r="AA3116">
        <v>0.92571820000000005</v>
      </c>
      <c r="AB3116">
        <v>12</v>
      </c>
      <c r="AC3116">
        <v>5.60919999999998</v>
      </c>
      <c r="AD3116">
        <v>-1.1109661292749999</v>
      </c>
      <c r="AE3116">
        <v>-15.589</v>
      </c>
      <c r="AF3116">
        <v>-6.1801851608112504</v>
      </c>
      <c r="AG3116">
        <v>-1.1109661292749999</v>
      </c>
      <c r="AH3116">
        <v>15.291612611193701</v>
      </c>
      <c r="AI3116">
        <v>93.853550226774004</v>
      </c>
      <c r="AJ3116">
        <v>112.006353709677</v>
      </c>
      <c r="AK3116">
        <v>16.530648826138901</v>
      </c>
      <c r="AL3116">
        <v>89.137821788211895</v>
      </c>
      <c r="AM3116">
        <v>90.382152757672202</v>
      </c>
      <c r="AN3116">
        <v>0.999999957405034</v>
      </c>
    </row>
    <row r="3117" spans="1:40" x14ac:dyDescent="0.25">
      <c r="A3117" t="str">
        <f>"20190312154314417"</f>
        <v>20190312154314417</v>
      </c>
      <c r="B3117" t="str">
        <f>"1552376594410356"</f>
        <v>1552376594410356</v>
      </c>
      <c r="C3117" t="s">
        <v>40</v>
      </c>
      <c r="D3117">
        <v>4.7338789999999999</v>
      </c>
      <c r="E3117">
        <v>0.34631499999999998</v>
      </c>
      <c r="F3117" t="s">
        <v>43</v>
      </c>
      <c r="G3117">
        <v>-486.39839999999998</v>
      </c>
      <c r="H3117" s="1">
        <v>-2.9752459999999999E-6</v>
      </c>
      <c r="I3117">
        <v>235.0789</v>
      </c>
      <c r="J3117">
        <v>-492.30180000000001</v>
      </c>
      <c r="K3117">
        <v>1.1109690000000001</v>
      </c>
      <c r="L3117">
        <v>251.04689999999999</v>
      </c>
      <c r="M3117">
        <v>-3.8117579999999998E-2</v>
      </c>
      <c r="N3117">
        <v>0</v>
      </c>
      <c r="O3117">
        <v>-0.99918309999999999</v>
      </c>
      <c r="P3117">
        <v>-3.0677449999999998E-2</v>
      </c>
      <c r="Q3117">
        <v>2.912722E-3</v>
      </c>
      <c r="R3117">
        <v>-0.99952540000000001</v>
      </c>
      <c r="S3117">
        <v>1.1153869999999999</v>
      </c>
      <c r="T3117">
        <v>-0.21002109999999999</v>
      </c>
      <c r="U3117">
        <v>-3.0376280000000002</v>
      </c>
      <c r="V3117">
        <v>-7.4555400000000001E-3</v>
      </c>
      <c r="W3117">
        <v>1.6347460000000001E-2</v>
      </c>
      <c r="X3117">
        <v>0.99983860000000002</v>
      </c>
      <c r="Y3117">
        <v>-0.37950689999999998</v>
      </c>
      <c r="Z3117">
        <v>6.4232280000000003E-2</v>
      </c>
      <c r="AA3117">
        <v>0.92295649999999996</v>
      </c>
      <c r="AB3117">
        <v>12</v>
      </c>
      <c r="AC3117">
        <v>5.9034000000000297</v>
      </c>
      <c r="AD3117">
        <v>-1.1109719752459899</v>
      </c>
      <c r="AE3117">
        <v>-15.9679999999999</v>
      </c>
      <c r="AF3117">
        <v>-6.4802286357205103</v>
      </c>
      <c r="AG3117">
        <v>-1.1109719752459899</v>
      </c>
      <c r="AH3117">
        <v>15.6646402614238</v>
      </c>
      <c r="AI3117">
        <v>93.749567324631897</v>
      </c>
      <c r="AJ3117">
        <v>112.474151848896</v>
      </c>
      <c r="AK3117">
        <v>16.9884836410085</v>
      </c>
      <c r="AL3117">
        <v>89.063317837031704</v>
      </c>
      <c r="AM3117">
        <v>90.427232014169505</v>
      </c>
      <c r="AN3117">
        <v>1.0000000252875501</v>
      </c>
    </row>
    <row r="3118" spans="1:40" x14ac:dyDescent="0.25">
      <c r="A3118" t="str">
        <f>"20190312154314429"</f>
        <v>20190312154314429</v>
      </c>
      <c r="B3118" t="str">
        <f>"1552376594420116"</f>
        <v>1552376594420116</v>
      </c>
      <c r="C3118" t="s">
        <v>40</v>
      </c>
      <c r="D3118">
        <v>4.7214210000000003</v>
      </c>
      <c r="E3118">
        <v>0.34564260000000002</v>
      </c>
      <c r="F3118" t="s">
        <v>43</v>
      </c>
      <c r="G3118">
        <v>-486.15179999999998</v>
      </c>
      <c r="H3118" s="1">
        <v>-2.8542339999999998E-6</v>
      </c>
      <c r="I3118">
        <v>234.69489999999999</v>
      </c>
      <c r="J3118">
        <v>-492.30380000000002</v>
      </c>
      <c r="K3118">
        <v>1.1109709999999999</v>
      </c>
      <c r="L3118">
        <v>250.98050000000001</v>
      </c>
      <c r="M3118">
        <v>-3.7748820000000002E-2</v>
      </c>
      <c r="N3118">
        <v>0</v>
      </c>
      <c r="O3118">
        <v>-0.99919690000000005</v>
      </c>
      <c r="P3118">
        <v>-2.9878970000000001E-2</v>
      </c>
      <c r="Q3118">
        <v>3.3351959999999999E-3</v>
      </c>
      <c r="R3118">
        <v>-0.99954810000000005</v>
      </c>
      <c r="S3118">
        <v>1.142242</v>
      </c>
      <c r="T3118">
        <v>-0.20634169999999999</v>
      </c>
      <c r="U3118">
        <v>-3.0370789999999999</v>
      </c>
      <c r="V3118">
        <v>-7.8850440000000008E-3</v>
      </c>
      <c r="W3118">
        <v>1.6767489999999999E-2</v>
      </c>
      <c r="X3118">
        <v>0.9998283</v>
      </c>
      <c r="Y3118">
        <v>-0.38640869999999999</v>
      </c>
      <c r="Z3118">
        <v>6.2936530000000004E-2</v>
      </c>
      <c r="AA3118">
        <v>0.92017789999999999</v>
      </c>
      <c r="AB3118">
        <v>12</v>
      </c>
      <c r="AC3118">
        <v>6.1520000000000401</v>
      </c>
      <c r="AD3118">
        <v>-1.110973854234</v>
      </c>
      <c r="AE3118">
        <v>-16.285599999999999</v>
      </c>
      <c r="AF3118">
        <v>-6.7350034012757103</v>
      </c>
      <c r="AG3118">
        <v>-1.110973854234</v>
      </c>
      <c r="AH3118">
        <v>15.9766727795376</v>
      </c>
      <c r="AI3118">
        <v>93.666302544895899</v>
      </c>
      <c r="AJ3118">
        <v>112.857968294119</v>
      </c>
      <c r="AK3118">
        <v>17.373790801791198</v>
      </c>
      <c r="AL3118">
        <v>89.039248544377202</v>
      </c>
      <c r="AM3118">
        <v>90.4518479589305</v>
      </c>
      <c r="AN3118">
        <v>0.99999997606033497</v>
      </c>
    </row>
    <row r="3119" spans="1:40" x14ac:dyDescent="0.25">
      <c r="A3119" t="str">
        <f>"20190312154314441"</f>
        <v>20190312154314441</v>
      </c>
      <c r="B3119" t="str">
        <f>"1552376594430852"</f>
        <v>1552376594430852</v>
      </c>
      <c r="C3119" t="s">
        <v>40</v>
      </c>
      <c r="D3119">
        <v>4.7784879999999896</v>
      </c>
      <c r="E3119">
        <v>0.345333</v>
      </c>
      <c r="F3119" t="s">
        <v>43</v>
      </c>
      <c r="G3119">
        <v>-486.14580000000001</v>
      </c>
      <c r="H3119" s="1">
        <v>-2.8649610000000001E-6</v>
      </c>
      <c r="I3119">
        <v>234.7174</v>
      </c>
      <c r="J3119">
        <v>-492.30579999999998</v>
      </c>
      <c r="K3119">
        <v>1.110973</v>
      </c>
      <c r="L3119">
        <v>250.91669999999999</v>
      </c>
      <c r="M3119">
        <v>-3.7395020000000001E-2</v>
      </c>
      <c r="N3119">
        <v>0</v>
      </c>
      <c r="O3119">
        <v>-0.9992105</v>
      </c>
      <c r="P3119">
        <v>-2.887847E-2</v>
      </c>
      <c r="Q3119">
        <v>4.0224479999999996E-3</v>
      </c>
      <c r="R3119">
        <v>-0.99957510000000005</v>
      </c>
      <c r="S3119">
        <v>1.14975</v>
      </c>
      <c r="T3119">
        <v>-0.20742820000000001</v>
      </c>
      <c r="U3119">
        <v>-3.0364529999999998</v>
      </c>
      <c r="V3119">
        <v>-8.5318990000000008E-3</v>
      </c>
      <c r="W3119">
        <v>1.7453090000000001E-2</v>
      </c>
      <c r="X3119">
        <v>0.99981129999999996</v>
      </c>
      <c r="Y3119">
        <v>-0.3881288</v>
      </c>
      <c r="Z3119">
        <v>6.3229560000000004E-2</v>
      </c>
      <c r="AA3119">
        <v>0.91943350000000001</v>
      </c>
      <c r="AB3119">
        <v>12</v>
      </c>
      <c r="AC3119">
        <v>6.1599999999999602</v>
      </c>
      <c r="AD3119">
        <v>-1.110975864961</v>
      </c>
      <c r="AE3119">
        <v>-16.199299999999901</v>
      </c>
      <c r="AF3119">
        <v>-6.7338472696617098</v>
      </c>
      <c r="AG3119">
        <v>-1.110975864961</v>
      </c>
      <c r="AH3119">
        <v>15.8922880512907</v>
      </c>
      <c r="AI3119">
        <v>93.682869808782499</v>
      </c>
      <c r="AJ3119">
        <v>112.963244008773</v>
      </c>
      <c r="AK3119">
        <v>17.295773643548099</v>
      </c>
      <c r="AL3119">
        <v>88.999960848407198</v>
      </c>
      <c r="AM3119">
        <v>90.488922198121799</v>
      </c>
      <c r="AN3119">
        <v>1.0000000196293899</v>
      </c>
    </row>
    <row r="3120" spans="1:40" x14ac:dyDescent="0.25">
      <c r="A3120" t="str">
        <f>"20190312154314454"</f>
        <v>20190312154314454</v>
      </c>
      <c r="B3120" t="str">
        <f>"1552376594450371"</f>
        <v>1552376594450371</v>
      </c>
      <c r="C3120" t="s">
        <v>40</v>
      </c>
      <c r="D3120">
        <v>4.6958330000000004</v>
      </c>
      <c r="E3120">
        <v>0.34479270000000001</v>
      </c>
      <c r="F3120" t="s">
        <v>43</v>
      </c>
      <c r="G3120">
        <v>-485.98790000000002</v>
      </c>
      <c r="H3120" s="1">
        <v>-2.7202810000000001E-6</v>
      </c>
      <c r="I3120">
        <v>234.31489999999999</v>
      </c>
      <c r="J3120">
        <v>-492.30770000000001</v>
      </c>
      <c r="K3120">
        <v>1.1109709999999999</v>
      </c>
      <c r="L3120">
        <v>250.85470000000001</v>
      </c>
      <c r="M3120">
        <v>-3.7051470000000003E-2</v>
      </c>
      <c r="N3120">
        <v>0</v>
      </c>
      <c r="O3120">
        <v>-0.99922310000000003</v>
      </c>
      <c r="P3120">
        <v>-2.8318039999999999E-2</v>
      </c>
      <c r="Q3120">
        <v>4.3135659999999996E-3</v>
      </c>
      <c r="R3120">
        <v>-0.99958970000000003</v>
      </c>
      <c r="S3120">
        <v>1.155151</v>
      </c>
      <c r="T3120">
        <v>-0.203128</v>
      </c>
      <c r="U3120">
        <v>-3.0354459999999999</v>
      </c>
      <c r="V3120">
        <v>-8.7492519999999904E-3</v>
      </c>
      <c r="W3120">
        <v>1.7742009999999999E-2</v>
      </c>
      <c r="X3120">
        <v>0.99980429999999998</v>
      </c>
      <c r="Y3120">
        <v>-0.38937240000000001</v>
      </c>
      <c r="Z3120">
        <v>6.1908900000000003E-2</v>
      </c>
      <c r="AA3120">
        <v>0.91899750000000002</v>
      </c>
      <c r="AB3120">
        <v>12</v>
      </c>
      <c r="AC3120">
        <v>6.3197999999999803</v>
      </c>
      <c r="AD3120">
        <v>-1.1109737202809999</v>
      </c>
      <c r="AE3120">
        <v>-16.5398</v>
      </c>
      <c r="AF3120">
        <v>-6.9011691924849901</v>
      </c>
      <c r="AG3120">
        <v>-1.1109737202809999</v>
      </c>
      <c r="AH3120">
        <v>16.2303634062357</v>
      </c>
      <c r="AI3120">
        <v>93.604435736081001</v>
      </c>
      <c r="AJ3120">
        <v>113.035253140988</v>
      </c>
      <c r="AK3120">
        <v>17.671590056611599</v>
      </c>
      <c r="AL3120">
        <v>88.983404351386497</v>
      </c>
      <c r="AM3120">
        <v>90.5013805379632</v>
      </c>
      <c r="AN3120">
        <v>0.99999998331394402</v>
      </c>
    </row>
    <row r="3121" spans="1:40" x14ac:dyDescent="0.25">
      <c r="A3121" t="str">
        <f>"20190312154314465"</f>
        <v>20190312154314465</v>
      </c>
      <c r="B3121" t="str">
        <f>"1552376594460132"</f>
        <v>1552376594460132</v>
      </c>
      <c r="C3121" t="s">
        <v>40</v>
      </c>
      <c r="D3121">
        <v>4.6952230000000004</v>
      </c>
      <c r="E3121">
        <v>0.34457500000000002</v>
      </c>
      <c r="F3121" t="s">
        <v>43</v>
      </c>
      <c r="G3121">
        <v>-486.0659</v>
      </c>
      <c r="H3121" s="1">
        <v>-2.803251E-6</v>
      </c>
      <c r="I3121">
        <v>234.54050000000001</v>
      </c>
      <c r="J3121">
        <v>-492.30959999999999</v>
      </c>
      <c r="K3121">
        <v>1.1109709999999999</v>
      </c>
      <c r="L3121">
        <v>250.7921</v>
      </c>
      <c r="M3121">
        <v>-3.6704529999999999E-2</v>
      </c>
      <c r="N3121">
        <v>0</v>
      </c>
      <c r="O3121">
        <v>-0.99923600000000001</v>
      </c>
      <c r="P3121">
        <v>-2.7462380000000002E-2</v>
      </c>
      <c r="Q3121">
        <v>4.9135689999999996E-3</v>
      </c>
      <c r="R3121">
        <v>-0.99961080000000002</v>
      </c>
      <c r="S3121">
        <v>1.1611940000000001</v>
      </c>
      <c r="T3121">
        <v>-0.20668149999999999</v>
      </c>
      <c r="U3121">
        <v>-3.035034</v>
      </c>
      <c r="V3121">
        <v>-9.2583130000000007E-3</v>
      </c>
      <c r="W3121">
        <v>1.834034E-2</v>
      </c>
      <c r="X3121">
        <v>0.99978889999999998</v>
      </c>
      <c r="Y3121">
        <v>-0.39066719999999999</v>
      </c>
      <c r="Z3121">
        <v>6.2956990000000004E-2</v>
      </c>
      <c r="AA3121">
        <v>0.91837659999999999</v>
      </c>
      <c r="AB3121">
        <v>12</v>
      </c>
      <c r="AC3121">
        <v>6.2436999999999898</v>
      </c>
      <c r="AD3121">
        <v>-1.1109738032509999</v>
      </c>
      <c r="AE3121">
        <v>-16.2515999999999</v>
      </c>
      <c r="AF3121">
        <v>-6.8083285285311197</v>
      </c>
      <c r="AG3121">
        <v>-1.1109738032509999</v>
      </c>
      <c r="AH3121">
        <v>15.9465176820464</v>
      </c>
      <c r="AI3121">
        <v>93.666117397736201</v>
      </c>
      <c r="AJ3121">
        <v>113.11994608102501</v>
      </c>
      <c r="AK3121">
        <v>17.374666222052699</v>
      </c>
      <c r="AL3121">
        <v>88.949116966321199</v>
      </c>
      <c r="AM3121">
        <v>90.530559099284702</v>
      </c>
      <c r="AN3121">
        <v>0.99999996449706496</v>
      </c>
    </row>
    <row r="3122" spans="1:40" x14ac:dyDescent="0.25">
      <c r="A3122" t="str">
        <f>"20190312154314476"</f>
        <v>20190312154314476</v>
      </c>
      <c r="B3122" t="str">
        <f>"1552376594470868"</f>
        <v>1552376594470868</v>
      </c>
      <c r="C3122" t="s">
        <v>40</v>
      </c>
      <c r="D3122">
        <v>4.6965709999999996</v>
      </c>
      <c r="E3122">
        <v>0.344497</v>
      </c>
      <c r="F3122" t="s">
        <v>43</v>
      </c>
      <c r="G3122">
        <v>-485.95740000000001</v>
      </c>
      <c r="H3122" s="1">
        <v>-2.702219E-6</v>
      </c>
      <c r="I3122">
        <v>234.26009999999999</v>
      </c>
      <c r="J3122">
        <v>-492.31130000000002</v>
      </c>
      <c r="K3122">
        <v>1.1109719999999901</v>
      </c>
      <c r="L3122">
        <v>250.7347</v>
      </c>
      <c r="M3122">
        <v>-3.6387250000000003E-2</v>
      </c>
      <c r="N3122">
        <v>0</v>
      </c>
      <c r="O3122">
        <v>-0.99924769999999896</v>
      </c>
      <c r="P3122">
        <v>-2.6840699999999999E-2</v>
      </c>
      <c r="Q3122">
        <v>5.2814990000000003E-3</v>
      </c>
      <c r="R3122">
        <v>-0.99962589999999996</v>
      </c>
      <c r="S3122">
        <v>1.1658630000000001</v>
      </c>
      <c r="T3122">
        <v>-0.2039021</v>
      </c>
      <c r="U3122">
        <v>-3.0341800000000001</v>
      </c>
      <c r="V3122">
        <v>-9.5624079999999997E-3</v>
      </c>
      <c r="W3122">
        <v>1.8706009999999999E-2</v>
      </c>
      <c r="X3122">
        <v>0.99977930000000004</v>
      </c>
      <c r="Y3122">
        <v>-0.39171260000000002</v>
      </c>
      <c r="Z3122">
        <v>6.2100530000000001E-2</v>
      </c>
      <c r="AA3122">
        <v>0.91798959999999996</v>
      </c>
      <c r="AB3122">
        <v>12</v>
      </c>
      <c r="AC3122">
        <v>6.3539000000000003</v>
      </c>
      <c r="AD3122">
        <v>-1.11097470221899</v>
      </c>
      <c r="AE3122">
        <v>-16.474599999999999</v>
      </c>
      <c r="AF3122">
        <v>-6.9218093691852998</v>
      </c>
      <c r="AG3122">
        <v>-1.11097470221899</v>
      </c>
      <c r="AH3122">
        <v>16.168459949949099</v>
      </c>
      <c r="AI3122">
        <v>93.614421265269101</v>
      </c>
      <c r="AJ3122">
        <v>113.176041611315</v>
      </c>
      <c r="AK3122">
        <v>17.6228490002445</v>
      </c>
      <c r="AL3122">
        <v>88.928162062307194</v>
      </c>
      <c r="AM3122">
        <v>90.547989855797397</v>
      </c>
      <c r="AN3122">
        <v>1.00000000158268</v>
      </c>
    </row>
    <row r="3123" spans="1:40" x14ac:dyDescent="0.25">
      <c r="A3123" t="str">
        <f>"20190312154314494"</f>
        <v>20190312154314494</v>
      </c>
      <c r="B3123" t="str">
        <f>"1552376594490387"</f>
        <v>1552376594490387</v>
      </c>
      <c r="C3123" t="s">
        <v>40</v>
      </c>
      <c r="D3123">
        <v>4.707554</v>
      </c>
      <c r="E3123">
        <v>0.34422730000000001</v>
      </c>
      <c r="F3123" t="s">
        <v>43</v>
      </c>
      <c r="G3123">
        <v>-485.98509999999999</v>
      </c>
      <c r="H3123" s="1">
        <v>-2.7153160000000001E-6</v>
      </c>
      <c r="I3123">
        <v>234.3022</v>
      </c>
      <c r="J3123">
        <v>-492.3141</v>
      </c>
      <c r="K3123">
        <v>1.1109709999999999</v>
      </c>
      <c r="L3123">
        <v>250.64420000000001</v>
      </c>
      <c r="M3123">
        <v>-3.5887059999999998E-2</v>
      </c>
      <c r="N3123">
        <v>0</v>
      </c>
      <c r="O3123">
        <v>-0.99926579999999998</v>
      </c>
      <c r="P3123">
        <v>-2.5819209999999999E-2</v>
      </c>
      <c r="Q3123">
        <v>6.0669440000000003E-3</v>
      </c>
      <c r="R3123">
        <v>-0.99964830000000005</v>
      </c>
      <c r="S3123">
        <v>1.1678770000000001</v>
      </c>
      <c r="T3123">
        <v>-0.20509649999999999</v>
      </c>
      <c r="U3123">
        <v>-3.0335999999999999</v>
      </c>
      <c r="V3123">
        <v>-1.00838E-2</v>
      </c>
      <c r="W3123">
        <v>1.9488829999999999E-2</v>
      </c>
      <c r="X3123">
        <v>0.99975919999999896</v>
      </c>
      <c r="Y3123">
        <v>-0.3918336</v>
      </c>
      <c r="Z3123">
        <v>6.2466760000000003E-2</v>
      </c>
      <c r="AA3123">
        <v>0.91791299999999998</v>
      </c>
      <c r="AB3123">
        <v>12</v>
      </c>
      <c r="AC3123">
        <v>6.3289999999999997</v>
      </c>
      <c r="AD3123">
        <v>-1.110973715316</v>
      </c>
      <c r="AE3123">
        <v>-16.341999999999999</v>
      </c>
      <c r="AF3123">
        <v>-6.8837766018241497</v>
      </c>
      <c r="AG3123">
        <v>-1.110973715316</v>
      </c>
      <c r="AH3123">
        <v>16.039859761459599</v>
      </c>
      <c r="AI3123">
        <v>93.641923065388895</v>
      </c>
      <c r="AJ3123">
        <v>113.22740725533799</v>
      </c>
      <c r="AK3123">
        <v>17.489932649019401</v>
      </c>
      <c r="AL3123">
        <v>88.883301571187999</v>
      </c>
      <c r="AM3123">
        <v>90.577878743650203</v>
      </c>
      <c r="AN3123">
        <v>0.99999997775092397</v>
      </c>
    </row>
    <row r="3124" spans="1:40" x14ac:dyDescent="0.25">
      <c r="A3124" t="str">
        <f>"20190312154314505"</f>
        <v>20190312154314505</v>
      </c>
      <c r="B3124" t="str">
        <f>"1552376594500148"</f>
        <v>1552376594500148</v>
      </c>
      <c r="C3124" t="s">
        <v>40</v>
      </c>
      <c r="D3124">
        <v>4.7132670000000001</v>
      </c>
      <c r="E3124">
        <v>0.344225</v>
      </c>
      <c r="F3124" t="s">
        <v>43</v>
      </c>
      <c r="G3124">
        <v>-485.79770000000002</v>
      </c>
      <c r="H3124" s="1">
        <v>-2.5302860000000002E-6</v>
      </c>
      <c r="I3124">
        <v>233.79329999999999</v>
      </c>
      <c r="J3124">
        <v>-492.31580000000002</v>
      </c>
      <c r="K3124">
        <v>1.1109709999999999</v>
      </c>
      <c r="L3124">
        <v>250.58529999999999</v>
      </c>
      <c r="M3124">
        <v>-3.5561870000000002E-2</v>
      </c>
      <c r="N3124">
        <v>0</v>
      </c>
      <c r="O3124">
        <v>-0.99927750000000004</v>
      </c>
      <c r="P3124">
        <v>-2.522773E-2</v>
      </c>
      <c r="Q3124">
        <v>6.2613340000000003E-3</v>
      </c>
      <c r="R3124">
        <v>-0.9996623</v>
      </c>
      <c r="S3124">
        <v>1.1727289999999999</v>
      </c>
      <c r="T3124">
        <v>-0.19993720000000001</v>
      </c>
      <c r="U3124">
        <v>-3.032578</v>
      </c>
      <c r="V3124">
        <v>-1.035025E-2</v>
      </c>
      <c r="W3124">
        <v>1.9681440000000001E-2</v>
      </c>
      <c r="X3124">
        <v>0.99975270000000005</v>
      </c>
      <c r="Y3124">
        <v>-0.39295150000000001</v>
      </c>
      <c r="Z3124">
        <v>6.0890029999999998E-2</v>
      </c>
      <c r="AA3124">
        <v>0.91754100000000005</v>
      </c>
      <c r="AB3124">
        <v>12</v>
      </c>
      <c r="AC3124">
        <v>6.5180999999999996</v>
      </c>
      <c r="AD3124">
        <v>-1.110973530286</v>
      </c>
      <c r="AE3124">
        <v>-16.792000000000002</v>
      </c>
      <c r="AF3124">
        <v>-7.0842359809797504</v>
      </c>
      <c r="AG3124">
        <v>-1.110973530286</v>
      </c>
      <c r="AH3124">
        <v>16.486842706264301</v>
      </c>
      <c r="AI3124">
        <v>93.542768917920796</v>
      </c>
      <c r="AJ3124">
        <v>113.25272640376301</v>
      </c>
      <c r="AK3124">
        <v>17.9787831635043</v>
      </c>
      <c r="AL3124">
        <v>88.872263709413502</v>
      </c>
      <c r="AM3124">
        <v>90.593151142581306</v>
      </c>
      <c r="AN3124">
        <v>0.99999997395641205</v>
      </c>
    </row>
    <row r="3125" spans="1:40" x14ac:dyDescent="0.25">
      <c r="A3125" t="str">
        <f>"20190312154314516"</f>
        <v>20190312154314516</v>
      </c>
      <c r="B3125" t="str">
        <f>"1552376594510884"</f>
        <v>1552376594510884</v>
      </c>
      <c r="C3125" t="s">
        <v>40</v>
      </c>
      <c r="D3125">
        <v>4.7063769999999998</v>
      </c>
      <c r="E3125">
        <v>0.34422429999999998</v>
      </c>
      <c r="F3125" t="s">
        <v>43</v>
      </c>
      <c r="G3125">
        <v>-485.82089999999999</v>
      </c>
      <c r="H3125" s="1">
        <v>-2.5384219999999999E-6</v>
      </c>
      <c r="I3125">
        <v>233.8219</v>
      </c>
      <c r="J3125">
        <v>-492.31740000000002</v>
      </c>
      <c r="K3125">
        <v>1.110967</v>
      </c>
      <c r="L3125">
        <v>250.5299</v>
      </c>
      <c r="M3125">
        <v>-3.525665E-2</v>
      </c>
      <c r="N3125">
        <v>0</v>
      </c>
      <c r="O3125">
        <v>-0.99928839999999997</v>
      </c>
      <c r="P3125">
        <v>-2.4749409999999999E-2</v>
      </c>
      <c r="Q3125">
        <v>6.3537719999999997E-3</v>
      </c>
      <c r="R3125">
        <v>-0.99967379999999995</v>
      </c>
      <c r="S3125">
        <v>1.1747129999999999</v>
      </c>
      <c r="T3125">
        <v>-0.2009377</v>
      </c>
      <c r="U3125">
        <v>-3.0319370000000001</v>
      </c>
      <c r="V3125">
        <v>-1.0523279999999999E-2</v>
      </c>
      <c r="W3125">
        <v>1.9772499999999998E-2</v>
      </c>
      <c r="X3125">
        <v>0.99974909999999995</v>
      </c>
      <c r="Y3125">
        <v>-0.39325120000000002</v>
      </c>
      <c r="Z3125">
        <v>6.11955E-2</v>
      </c>
      <c r="AA3125">
        <v>0.91739230000000005</v>
      </c>
      <c r="AB3125">
        <v>12</v>
      </c>
      <c r="AC3125">
        <v>6.4965000000000197</v>
      </c>
      <c r="AD3125">
        <v>-1.110969538422</v>
      </c>
      <c r="AE3125">
        <v>-16.707999999999998</v>
      </c>
      <c r="AF3125">
        <v>-7.0544872235904004</v>
      </c>
      <c r="AG3125">
        <v>-1.110969538422</v>
      </c>
      <c r="AH3125">
        <v>16.405536514670398</v>
      </c>
      <c r="AI3125">
        <v>93.559861759031406</v>
      </c>
      <c r="AJ3125">
        <v>113.268018781344</v>
      </c>
      <c r="AK3125">
        <v>17.892503224459201</v>
      </c>
      <c r="AL3125">
        <v>88.867045343643298</v>
      </c>
      <c r="AM3125">
        <v>90.603068574455705</v>
      </c>
      <c r="AN3125">
        <v>0.99999997706450805</v>
      </c>
    </row>
    <row r="3126" spans="1:40" x14ac:dyDescent="0.25">
      <c r="A3126" t="str">
        <f>"20190312154314528"</f>
        <v>20190312154314528</v>
      </c>
      <c r="B3126" t="str">
        <f>"1552376594520644"</f>
        <v>1552376594520644</v>
      </c>
      <c r="C3126" t="s">
        <v>40</v>
      </c>
      <c r="D3126">
        <v>4.705565</v>
      </c>
      <c r="E3126">
        <v>0.34417819999999999</v>
      </c>
      <c r="F3126" t="s">
        <v>43</v>
      </c>
      <c r="G3126">
        <v>-485.8777</v>
      </c>
      <c r="H3126" s="1">
        <v>-2.5773190000000002E-6</v>
      </c>
      <c r="I3126">
        <v>233.93610000000001</v>
      </c>
      <c r="J3126">
        <v>-492.31920000000002</v>
      </c>
      <c r="K3126">
        <v>1.1109659999999999</v>
      </c>
      <c r="L3126">
        <v>250.4675</v>
      </c>
      <c r="M3126">
        <v>-3.4912569999999997E-2</v>
      </c>
      <c r="N3126">
        <v>0</v>
      </c>
      <c r="O3126">
        <v>-0.99930039999999998</v>
      </c>
      <c r="P3126">
        <v>-2.4097199999999999E-2</v>
      </c>
      <c r="Q3126">
        <v>6.5252189999999996E-3</v>
      </c>
      <c r="R3126">
        <v>-0.99968849999999998</v>
      </c>
      <c r="S3126">
        <v>1.1764220000000001</v>
      </c>
      <c r="T3126">
        <v>-0.20295540000000001</v>
      </c>
      <c r="U3126">
        <v>-3.0314179999999999</v>
      </c>
      <c r="V3126">
        <v>-1.083072E-2</v>
      </c>
      <c r="W3126">
        <v>1.994222E-2</v>
      </c>
      <c r="X3126">
        <v>0.99974240000000003</v>
      </c>
      <c r="Y3126">
        <v>-0.39342339999999998</v>
      </c>
      <c r="Z3126">
        <v>6.1809990000000002E-2</v>
      </c>
      <c r="AA3126">
        <v>0.91727720000000001</v>
      </c>
      <c r="AB3126">
        <v>12</v>
      </c>
      <c r="AC3126">
        <v>6.4415000000000102</v>
      </c>
      <c r="AD3126">
        <v>-1.1109685773189999</v>
      </c>
      <c r="AE3126">
        <v>-16.531399999999898</v>
      </c>
      <c r="AF3126">
        <v>-6.9873804412653397</v>
      </c>
      <c r="AG3126">
        <v>-1.1109685773189999</v>
      </c>
      <c r="AH3126">
        <v>16.232762037457899</v>
      </c>
      <c r="AI3126">
        <v>93.597072568903002</v>
      </c>
      <c r="AJ3126">
        <v>113.289425315049</v>
      </c>
      <c r="AK3126">
        <v>17.707633946281501</v>
      </c>
      <c r="AL3126">
        <v>88.857319133859605</v>
      </c>
      <c r="AM3126">
        <v>90.620690159463805</v>
      </c>
      <c r="AN3126">
        <v>0.99999993149600097</v>
      </c>
    </row>
    <row r="3127" spans="1:40" x14ac:dyDescent="0.25">
      <c r="A3127" t="str">
        <f>"20190312154314539"</f>
        <v>20190312154314539</v>
      </c>
      <c r="B3127" t="str">
        <f>"1552376594530403"</f>
        <v>1552376594530403</v>
      </c>
      <c r="C3127" t="s">
        <v>40</v>
      </c>
      <c r="D3127">
        <v>4.7090269999999999</v>
      </c>
      <c r="E3127">
        <v>0.34421889999999999</v>
      </c>
      <c r="F3127" t="s">
        <v>43</v>
      </c>
      <c r="G3127">
        <v>-485.8897</v>
      </c>
      <c r="H3127" s="1">
        <v>-2.5758899999999999E-6</v>
      </c>
      <c r="I3127">
        <v>233.93770000000001</v>
      </c>
      <c r="J3127">
        <v>-492.32089999999999</v>
      </c>
      <c r="K3127">
        <v>1.110965</v>
      </c>
      <c r="L3127">
        <v>250.4091</v>
      </c>
      <c r="M3127">
        <v>-3.4590629999999997E-2</v>
      </c>
      <c r="N3127">
        <v>0</v>
      </c>
      <c r="O3127">
        <v>-0.99931170000000002</v>
      </c>
      <c r="P3127">
        <v>-2.335837E-2</v>
      </c>
      <c r="Q3127">
        <v>6.8131950000000002E-3</v>
      </c>
      <c r="R3127">
        <v>-0.99970429999999999</v>
      </c>
      <c r="S3127">
        <v>1.178833</v>
      </c>
      <c r="T3127">
        <v>-0.20369229999999999</v>
      </c>
      <c r="U3127">
        <v>-3.0306850000000001</v>
      </c>
      <c r="V3127">
        <v>-1.124826E-2</v>
      </c>
      <c r="W3127">
        <v>2.0228739999999999E-2</v>
      </c>
      <c r="X3127">
        <v>0.99973210000000001</v>
      </c>
      <c r="Y3127">
        <v>-0.39383099999999999</v>
      </c>
      <c r="Z3127">
        <v>6.2034260000000001E-2</v>
      </c>
      <c r="AA3127">
        <v>0.91708719999999999</v>
      </c>
      <c r="AB3127">
        <v>12</v>
      </c>
      <c r="AC3127">
        <v>6.4311999999999898</v>
      </c>
      <c r="AD3127">
        <v>-1.1109675758899999</v>
      </c>
      <c r="AE3127">
        <v>-16.4713999999999</v>
      </c>
      <c r="AF3127">
        <v>-6.9696453775379101</v>
      </c>
      <c r="AG3127">
        <v>-1.1109675758899999</v>
      </c>
      <c r="AH3127">
        <v>16.1752105636252</v>
      </c>
      <c r="AI3127">
        <v>93.609264896564298</v>
      </c>
      <c r="AJ3127">
        <v>113.31045464171601</v>
      </c>
      <c r="AK3127">
        <v>17.647879261286</v>
      </c>
      <c r="AL3127">
        <v>88.840899511228301</v>
      </c>
      <c r="AM3127">
        <v>90.644623326452702</v>
      </c>
      <c r="AN3127">
        <v>0.99999999852271204</v>
      </c>
    </row>
    <row r="3128" spans="1:40" x14ac:dyDescent="0.25">
      <c r="A3128" t="str">
        <f>"20190312154314550"</f>
        <v>20190312154314550</v>
      </c>
      <c r="B3128" t="str">
        <f>"1552376594540164"</f>
        <v>1552376594540164</v>
      </c>
      <c r="C3128" t="s">
        <v>40</v>
      </c>
      <c r="D3128">
        <v>4.6928359999999998</v>
      </c>
      <c r="E3128">
        <v>0.34422009999999997</v>
      </c>
      <c r="F3128" t="s">
        <v>43</v>
      </c>
      <c r="G3128">
        <v>-485.86399999999998</v>
      </c>
      <c r="H3128" s="1">
        <v>-2.5350880000000002E-6</v>
      </c>
      <c r="I3128">
        <v>233.83199999999999</v>
      </c>
      <c r="J3128">
        <v>-492.32240000000002</v>
      </c>
      <c r="K3128">
        <v>1.110968</v>
      </c>
      <c r="L3128">
        <v>250.35230000000001</v>
      </c>
      <c r="M3128">
        <v>-3.4277719999999998E-2</v>
      </c>
      <c r="N3128">
        <v>0</v>
      </c>
      <c r="O3128">
        <v>-0.99932240000000006</v>
      </c>
      <c r="P3128">
        <v>-2.287256E-2</v>
      </c>
      <c r="Q3128">
        <v>6.7402060000000003E-3</v>
      </c>
      <c r="R3128">
        <v>-0.99971589999999999</v>
      </c>
      <c r="S3128">
        <v>1.180145</v>
      </c>
      <c r="T3128">
        <v>-0.2030566</v>
      </c>
      <c r="U3128">
        <v>-3.0298769999999999</v>
      </c>
      <c r="V3128">
        <v>-1.142084E-2</v>
      </c>
      <c r="W3128">
        <v>2.0153890000000001E-2</v>
      </c>
      <c r="X3128">
        <v>0.9997317</v>
      </c>
      <c r="Y3128">
        <v>-0.39397510000000002</v>
      </c>
      <c r="Z3128">
        <v>6.1851150000000001E-2</v>
      </c>
      <c r="AA3128">
        <v>0.91703769999999996</v>
      </c>
      <c r="AB3128">
        <v>12</v>
      </c>
      <c r="AC3128">
        <v>6.4583999999999797</v>
      </c>
      <c r="AD3128">
        <v>-1.1109705350879999</v>
      </c>
      <c r="AE3128">
        <v>-16.520299999999999</v>
      </c>
      <c r="AF3128">
        <v>-6.99349859872357</v>
      </c>
      <c r="AG3128">
        <v>-1.1109705350879999</v>
      </c>
      <c r="AH3128">
        <v>16.225540323356402</v>
      </c>
      <c r="AI3128">
        <v>93.597934202688805</v>
      </c>
      <c r="AJ3128">
        <v>113.316907966139</v>
      </c>
      <c r="AK3128">
        <v>17.703430090382099</v>
      </c>
      <c r="AL3128">
        <v>88.845189026667896</v>
      </c>
      <c r="AM3128">
        <v>90.654513072439499</v>
      </c>
      <c r="AN3128">
        <v>1.00000004342666</v>
      </c>
    </row>
    <row r="3129" spans="1:40" x14ac:dyDescent="0.25">
      <c r="A3129" t="str">
        <f>"20190312154314562"</f>
        <v>20190312154314562</v>
      </c>
      <c r="B3129" t="str">
        <f>"1552376594550899"</f>
        <v>1552376594550899</v>
      </c>
      <c r="C3129" t="s">
        <v>40</v>
      </c>
      <c r="D3129">
        <v>4.6978239999999998</v>
      </c>
      <c r="E3129">
        <v>0.34423870000000001</v>
      </c>
      <c r="F3129" t="s">
        <v>43</v>
      </c>
      <c r="G3129">
        <v>-485.91340000000002</v>
      </c>
      <c r="H3129" s="1">
        <v>-2.5660430000000002E-6</v>
      </c>
      <c r="I3129">
        <v>233.92449999999999</v>
      </c>
      <c r="J3129">
        <v>-492.32409999999999</v>
      </c>
      <c r="K3129">
        <v>1.1109690000000001</v>
      </c>
      <c r="L3129">
        <v>250.2929</v>
      </c>
      <c r="M3129">
        <v>-3.3950349999999997E-2</v>
      </c>
      <c r="N3129">
        <v>0</v>
      </c>
      <c r="O3129">
        <v>-0.99933360000000004</v>
      </c>
      <c r="P3129">
        <v>-2.2252259999999999E-2</v>
      </c>
      <c r="Q3129">
        <v>6.7081170000000004E-3</v>
      </c>
      <c r="R3129">
        <v>-0.99973009999999995</v>
      </c>
      <c r="S3129">
        <v>1.181824</v>
      </c>
      <c r="T3129">
        <v>-0.20486280000000001</v>
      </c>
      <c r="U3129">
        <v>-3.0292819999999998</v>
      </c>
      <c r="V3129">
        <v>-1.171355E-2</v>
      </c>
      <c r="W3129">
        <v>2.0120519999999999E-2</v>
      </c>
      <c r="X3129">
        <v>0.99972890000000003</v>
      </c>
      <c r="Y3129">
        <v>-0.3941635</v>
      </c>
      <c r="Z3129">
        <v>6.2402810000000003E-2</v>
      </c>
      <c r="AA3129">
        <v>0.91691929999999999</v>
      </c>
      <c r="AB3129">
        <v>12</v>
      </c>
      <c r="AC3129">
        <v>6.4106999999999603</v>
      </c>
      <c r="AD3129">
        <v>-1.110971566043</v>
      </c>
      <c r="AE3129">
        <v>-16.368400000000001</v>
      </c>
      <c r="AF3129">
        <v>-6.9350673214588996</v>
      </c>
      <c r="AG3129">
        <v>-1.110971566043</v>
      </c>
      <c r="AH3129">
        <v>16.077083985343101</v>
      </c>
      <c r="AI3129">
        <v>93.6306175241982</v>
      </c>
      <c r="AJ3129">
        <v>113.333604458278</v>
      </c>
      <c r="AK3129">
        <v>17.544288131625599</v>
      </c>
      <c r="AL3129">
        <v>88.847101276062801</v>
      </c>
      <c r="AM3129">
        <v>90.671288255287394</v>
      </c>
      <c r="AN3129">
        <v>0.99999995803693997</v>
      </c>
    </row>
    <row r="3130" spans="1:40" x14ac:dyDescent="0.25">
      <c r="A3130" t="str">
        <f>"20190312154314574"</f>
        <v>20190312154314574</v>
      </c>
      <c r="B3130" t="str">
        <f>"1552376594570422"</f>
        <v>1552376594570422</v>
      </c>
      <c r="C3130" t="s">
        <v>40</v>
      </c>
      <c r="D3130">
        <v>4.7194979999999997</v>
      </c>
      <c r="E3130">
        <v>0.34426790000000002</v>
      </c>
      <c r="F3130" t="s">
        <v>43</v>
      </c>
      <c r="G3130">
        <v>-485.96179999999998</v>
      </c>
      <c r="H3130" s="1">
        <v>-2.5948530000000001E-6</v>
      </c>
      <c r="I3130">
        <v>234.01169999999999</v>
      </c>
      <c r="J3130">
        <v>-492.32569999999998</v>
      </c>
      <c r="K3130">
        <v>1.110968</v>
      </c>
      <c r="L3130">
        <v>250.2338</v>
      </c>
      <c r="M3130">
        <v>-3.3624399999999999E-2</v>
      </c>
      <c r="N3130">
        <v>0</v>
      </c>
      <c r="O3130">
        <v>-0.99934460000000003</v>
      </c>
      <c r="P3130">
        <v>-2.1467239999999999E-2</v>
      </c>
      <c r="Q3130">
        <v>7.0168440000000004E-3</v>
      </c>
      <c r="R3130">
        <v>-0.99974510000000005</v>
      </c>
      <c r="S3130">
        <v>1.1834720000000001</v>
      </c>
      <c r="T3130">
        <v>-0.2066549</v>
      </c>
      <c r="U3130">
        <v>-3.0285190000000002</v>
      </c>
      <c r="V3130">
        <v>-1.2172550000000001E-2</v>
      </c>
      <c r="W3130">
        <v>2.042706E-2</v>
      </c>
      <c r="X3130">
        <v>0.99971719999999997</v>
      </c>
      <c r="Y3130">
        <v>-0.3943624</v>
      </c>
      <c r="Z3130">
        <v>6.2953350000000005E-2</v>
      </c>
      <c r="AA3130">
        <v>0.9167961</v>
      </c>
      <c r="AB3130">
        <v>12</v>
      </c>
      <c r="AC3130">
        <v>6.3639000000000001</v>
      </c>
      <c r="AD3130">
        <v>-1.110970594853</v>
      </c>
      <c r="AE3130">
        <v>-16.222100000000001</v>
      </c>
      <c r="AF3130">
        <v>-6.8778521448258001</v>
      </c>
      <c r="AG3130">
        <v>-1.110970594853</v>
      </c>
      <c r="AH3130">
        <v>15.9341570057002</v>
      </c>
      <c r="AI3130">
        <v>93.662722011812903</v>
      </c>
      <c r="AJ3130">
        <v>113.347058564975</v>
      </c>
      <c r="AK3130">
        <v>17.390700539973</v>
      </c>
      <c r="AL3130">
        <v>88.829534216168099</v>
      </c>
      <c r="AM3130">
        <v>90.697598558781095</v>
      </c>
      <c r="AN3130">
        <v>0.99999995786479201</v>
      </c>
    </row>
    <row r="3131" spans="1:40" x14ac:dyDescent="0.25">
      <c r="A3131" t="str">
        <f>"20190312154314588"</f>
        <v>20190312154314588</v>
      </c>
      <c r="B3131" t="str">
        <f>"1552376594580179"</f>
        <v>1552376594580179</v>
      </c>
      <c r="C3131" t="s">
        <v>40</v>
      </c>
      <c r="D3131">
        <v>4.6953319999999996</v>
      </c>
      <c r="E3131">
        <v>0.34429399999999999</v>
      </c>
      <c r="F3131" t="s">
        <v>43</v>
      </c>
      <c r="G3131">
        <v>-485.91989999999998</v>
      </c>
      <c r="H3131" s="1">
        <v>-2.5438000000000001E-6</v>
      </c>
      <c r="I3131">
        <v>233.87540000000001</v>
      </c>
      <c r="J3131">
        <v>-492.32769999999999</v>
      </c>
      <c r="K3131">
        <v>1.110968</v>
      </c>
      <c r="L3131">
        <v>250.1609</v>
      </c>
      <c r="M3131">
        <v>-3.322195E-2</v>
      </c>
      <c r="N3131">
        <v>0</v>
      </c>
      <c r="O3131">
        <v>-0.99935790000000002</v>
      </c>
      <c r="P3131">
        <v>-2.1068610000000002E-2</v>
      </c>
      <c r="Q3131">
        <v>6.9320270000000003E-3</v>
      </c>
      <c r="R3131">
        <v>-0.99975420000000004</v>
      </c>
      <c r="S3131">
        <v>1.185608</v>
      </c>
      <c r="T3131">
        <v>-0.2056221</v>
      </c>
      <c r="U3131">
        <v>-3.027679</v>
      </c>
      <c r="V3131">
        <v>-1.216828E-2</v>
      </c>
      <c r="W3131">
        <v>2.0340299999999999E-2</v>
      </c>
      <c r="X3131">
        <v>0.99971909999999997</v>
      </c>
      <c r="Y3131">
        <v>-0.39464670000000002</v>
      </c>
      <c r="Z3131">
        <v>6.2645790000000007E-2</v>
      </c>
      <c r="AA3131">
        <v>0.91669489999999998</v>
      </c>
      <c r="AB3131">
        <v>12</v>
      </c>
      <c r="AC3131">
        <v>6.4077999999999999</v>
      </c>
      <c r="AD3131">
        <v>-1.1109705437999999</v>
      </c>
      <c r="AE3131">
        <v>-16.2854999999999</v>
      </c>
      <c r="AF3131">
        <v>-6.9174705909404404</v>
      </c>
      <c r="AG3131">
        <v>-1.1109705437999999</v>
      </c>
      <c r="AH3131">
        <v>15.999135679080499</v>
      </c>
      <c r="AI3131">
        <v>93.646928608079904</v>
      </c>
      <c r="AJ3131">
        <v>113.381979000901</v>
      </c>
      <c r="AK3131">
        <v>17.4659095784715</v>
      </c>
      <c r="AL3131">
        <v>88.8345063233362</v>
      </c>
      <c r="AM3131">
        <v>90.697352547644499</v>
      </c>
      <c r="AN3131">
        <v>1.00000003687352</v>
      </c>
    </row>
    <row r="3132" spans="1:40" x14ac:dyDescent="0.25">
      <c r="A3132" t="str">
        <f>"20190312154314607"</f>
        <v>20190312154314607</v>
      </c>
      <c r="B3132" t="str">
        <f>"1552376594600675"</f>
        <v>1552376594600675</v>
      </c>
      <c r="C3132" t="s">
        <v>40</v>
      </c>
      <c r="D3132">
        <v>4.6983699999999997</v>
      </c>
      <c r="E3132">
        <v>0.34433180000000002</v>
      </c>
      <c r="F3132" t="s">
        <v>43</v>
      </c>
      <c r="G3132">
        <v>-485.94009999999997</v>
      </c>
      <c r="H3132" s="1">
        <v>-2.5348529999999998E-6</v>
      </c>
      <c r="I3132">
        <v>233.8629</v>
      </c>
      <c r="J3132">
        <v>-492.33030000000002</v>
      </c>
      <c r="K3132">
        <v>1.1109690000000001</v>
      </c>
      <c r="L3132">
        <v>250.0651</v>
      </c>
      <c r="M3132">
        <v>-3.2692819999999997E-2</v>
      </c>
      <c r="N3132">
        <v>0</v>
      </c>
      <c r="O3132">
        <v>-0.99937560000000003</v>
      </c>
      <c r="P3132">
        <v>-2.0104730000000001E-2</v>
      </c>
      <c r="Q3132">
        <v>7.1969859999999998E-3</v>
      </c>
      <c r="R3132">
        <v>-0.99977210000000005</v>
      </c>
      <c r="S3132">
        <v>1.1864319999999999</v>
      </c>
      <c r="T3132">
        <v>-0.2063526</v>
      </c>
      <c r="U3132">
        <v>-3.0272060000000001</v>
      </c>
      <c r="V3132">
        <v>-1.260344E-2</v>
      </c>
      <c r="W3132">
        <v>2.0602499999999999E-2</v>
      </c>
      <c r="X3132">
        <v>0.99970829999999999</v>
      </c>
      <c r="Y3132">
        <v>-0.39441999999999999</v>
      </c>
      <c r="Z3132">
        <v>6.2878409999999996E-2</v>
      </c>
      <c r="AA3132">
        <v>0.91677649999999999</v>
      </c>
      <c r="AB3132">
        <v>11</v>
      </c>
      <c r="AC3132">
        <v>6.3902000000000498</v>
      </c>
      <c r="AD3132">
        <v>-1.110971534853</v>
      </c>
      <c r="AE3132">
        <v>-16.202200000000001</v>
      </c>
      <c r="AF3132">
        <v>-6.8884986541744597</v>
      </c>
      <c r="AG3132">
        <v>-1.110971534853</v>
      </c>
      <c r="AH3132">
        <v>15.9198302829816</v>
      </c>
      <c r="AI3132">
        <v>93.664605057791405</v>
      </c>
      <c r="AJ3132">
        <v>113.398099046041</v>
      </c>
      <c r="AK3132">
        <v>17.381791268415199</v>
      </c>
      <c r="AL3132">
        <v>88.819480174964099</v>
      </c>
      <c r="AM3132">
        <v>90.7222963588586</v>
      </c>
      <c r="AN3132">
        <v>0.99999999739748602</v>
      </c>
    </row>
    <row r="3133" spans="1:40" x14ac:dyDescent="0.25">
      <c r="A3133" t="str">
        <f>"20190312154314621"</f>
        <v>20190312154314621</v>
      </c>
      <c r="B3133" t="str">
        <f>"1552376594610437"</f>
        <v>1552376594610437</v>
      </c>
      <c r="C3133" t="s">
        <v>40</v>
      </c>
      <c r="D3133">
        <v>4.6631939999999998</v>
      </c>
      <c r="E3133">
        <v>0.34436339999999999</v>
      </c>
      <c r="F3133" t="s">
        <v>43</v>
      </c>
      <c r="G3133">
        <v>-485.96269999999998</v>
      </c>
      <c r="H3133" s="1">
        <v>-2.5301339999999998E-6</v>
      </c>
      <c r="I3133">
        <v>233.8612</v>
      </c>
      <c r="J3133">
        <v>-492.33199999999999</v>
      </c>
      <c r="K3133">
        <v>1.1109719999999901</v>
      </c>
      <c r="L3133">
        <v>249.9992</v>
      </c>
      <c r="M3133">
        <v>-3.23296E-2</v>
      </c>
      <c r="N3133">
        <v>0</v>
      </c>
      <c r="O3133">
        <v>-0.99938740000000004</v>
      </c>
      <c r="P3133">
        <v>-1.9751899999999999E-2</v>
      </c>
      <c r="Q3133">
        <v>7.5795309999999996E-3</v>
      </c>
      <c r="R3133">
        <v>-0.99977669999999996</v>
      </c>
      <c r="S3133">
        <v>1.1891480000000001</v>
      </c>
      <c r="T3133">
        <v>-0.2074744</v>
      </c>
      <c r="U3133">
        <v>-3.0260769999999999</v>
      </c>
      <c r="V3133">
        <v>-1.2592849999999999E-2</v>
      </c>
      <c r="W3133">
        <v>2.0983890000000002E-2</v>
      </c>
      <c r="X3133">
        <v>0.99970049999999999</v>
      </c>
      <c r="Y3133">
        <v>-0.39490730000000002</v>
      </c>
      <c r="Z3133">
        <v>6.3224929999999999E-2</v>
      </c>
      <c r="AA3133">
        <v>0.91654290000000005</v>
      </c>
      <c r="AB3133">
        <v>11</v>
      </c>
      <c r="AC3133">
        <v>6.3693000000000097</v>
      </c>
      <c r="AD3133">
        <v>-1.1109745301339999</v>
      </c>
      <c r="AE3133">
        <v>-16.138000000000002</v>
      </c>
      <c r="AF3133">
        <v>-6.8596239520805797</v>
      </c>
      <c r="AG3133">
        <v>-1.1109745301339999</v>
      </c>
      <c r="AH3133">
        <v>15.858598855064701</v>
      </c>
      <c r="AI3133">
        <v>93.678926164555605</v>
      </c>
      <c r="AJ3133">
        <v>113.390856228182</v>
      </c>
      <c r="AK3133">
        <v>17.314267608432701</v>
      </c>
      <c r="AL3133">
        <v>88.797623411000998</v>
      </c>
      <c r="AM3133">
        <v>90.721695146148704</v>
      </c>
      <c r="AN3133">
        <v>0.99999999660545202</v>
      </c>
    </row>
    <row r="3134" spans="1:40" x14ac:dyDescent="0.25">
      <c r="A3134" t="str">
        <f>"20190312154314632"</f>
        <v>20190312154314632</v>
      </c>
      <c r="B3134" t="str">
        <f>"1552376594630932"</f>
        <v>1552376594630932</v>
      </c>
      <c r="C3134" t="s">
        <v>40</v>
      </c>
      <c r="D3134">
        <v>4.6943449999999904</v>
      </c>
      <c r="E3134">
        <v>0.34443359999999901</v>
      </c>
      <c r="F3134" t="s">
        <v>43</v>
      </c>
      <c r="G3134">
        <v>-485.98230000000001</v>
      </c>
      <c r="H3134" s="1">
        <v>-2.5213650000000002E-6</v>
      </c>
      <c r="I3134">
        <v>233.84889999999999</v>
      </c>
      <c r="J3134">
        <v>-492.33359999999999</v>
      </c>
      <c r="K3134">
        <v>1.110973</v>
      </c>
      <c r="L3134">
        <v>249.93530000000001</v>
      </c>
      <c r="M3134">
        <v>-3.1976829999999998E-2</v>
      </c>
      <c r="N3134">
        <v>0</v>
      </c>
      <c r="O3134">
        <v>-0.99939889999999998</v>
      </c>
      <c r="P3134">
        <v>-1.9176840000000001E-2</v>
      </c>
      <c r="Q3134">
        <v>7.5792419999999999E-3</v>
      </c>
      <c r="R3134">
        <v>-0.99978789999999995</v>
      </c>
      <c r="S3134">
        <v>1.1896059999999999</v>
      </c>
      <c r="T3134">
        <v>-0.20813889999999999</v>
      </c>
      <c r="U3134">
        <v>-3.0257420000000002</v>
      </c>
      <c r="V3134">
        <v>-1.2814509999999999E-2</v>
      </c>
      <c r="W3134">
        <v>2.09815E-2</v>
      </c>
      <c r="X3134">
        <v>0.99969770000000002</v>
      </c>
      <c r="Y3134">
        <v>-0.394733</v>
      </c>
      <c r="Z3134">
        <v>6.343501E-2</v>
      </c>
      <c r="AA3134">
        <v>0.91660339999999996</v>
      </c>
      <c r="AB3134">
        <v>11</v>
      </c>
      <c r="AC3134">
        <v>6.3512999999999797</v>
      </c>
      <c r="AD3134">
        <v>-1.1109755213650001</v>
      </c>
      <c r="AE3134">
        <v>-16.086400000000001</v>
      </c>
      <c r="AF3134">
        <v>-6.8342883101531999</v>
      </c>
      <c r="AG3134">
        <v>-1.1109755213650001</v>
      </c>
      <c r="AH3134">
        <v>15.8098210772719</v>
      </c>
      <c r="AI3134">
        <v>93.690607954106994</v>
      </c>
      <c r="AJ3134">
        <v>113.377920385575</v>
      </c>
      <c r="AK3134">
        <v>17.259554044375498</v>
      </c>
      <c r="AL3134">
        <v>88.797760337898495</v>
      </c>
      <c r="AM3134">
        <v>90.734399139025001</v>
      </c>
      <c r="AN3134">
        <v>0.99999996319703899</v>
      </c>
    </row>
    <row r="3135" spans="1:40" x14ac:dyDescent="0.25">
      <c r="A3135" t="str">
        <f>"20190312154314643"</f>
        <v>20190312154314643</v>
      </c>
      <c r="B3135" t="str">
        <f>"1552376594640692"</f>
        <v>1552376594640692</v>
      </c>
      <c r="C3135" t="s">
        <v>40</v>
      </c>
      <c r="D3135">
        <v>4.7247459999999997</v>
      </c>
      <c r="E3135">
        <v>0.34460679999999999</v>
      </c>
      <c r="F3135" t="s">
        <v>43</v>
      </c>
      <c r="G3135">
        <v>-485.88810000000001</v>
      </c>
      <c r="H3135" s="1">
        <v>-2.426507E-6</v>
      </c>
      <c r="I3135">
        <v>233.5635</v>
      </c>
      <c r="J3135">
        <v>-492.33499999999998</v>
      </c>
      <c r="K3135">
        <v>1.110973</v>
      </c>
      <c r="L3135">
        <v>249.8794</v>
      </c>
      <c r="M3135">
        <v>-3.1668380000000003E-2</v>
      </c>
      <c r="N3135">
        <v>0</v>
      </c>
      <c r="O3135">
        <v>-0.99940839999999997</v>
      </c>
      <c r="P3135">
        <v>-1.894914E-2</v>
      </c>
      <c r="Q3135">
        <v>7.6515239999999998E-3</v>
      </c>
      <c r="R3135">
        <v>-0.99979119999999999</v>
      </c>
      <c r="S3135">
        <v>1.1909479999999999</v>
      </c>
      <c r="T3135">
        <v>-0.20527680000000001</v>
      </c>
      <c r="U3135">
        <v>-3.025055</v>
      </c>
      <c r="V3135">
        <v>-1.273441E-2</v>
      </c>
      <c r="W3135">
        <v>2.1052540000000002E-2</v>
      </c>
      <c r="X3135">
        <v>0.99969730000000001</v>
      </c>
      <c r="Y3135">
        <v>-0.39489269999999999</v>
      </c>
      <c r="Z3135">
        <v>6.2573489999999996E-2</v>
      </c>
      <c r="AA3135">
        <v>0.91659380000000001</v>
      </c>
      <c r="AB3135">
        <v>11</v>
      </c>
      <c r="AC3135">
        <v>6.4468999999999701</v>
      </c>
      <c r="AD3135">
        <v>-1.110975426507</v>
      </c>
      <c r="AE3135">
        <v>-16.315899999999999</v>
      </c>
      <c r="AF3135">
        <v>-6.93260836653418</v>
      </c>
      <c r="AG3135">
        <v>-1.110975426507</v>
      </c>
      <c r="AH3135">
        <v>16.039211057053802</v>
      </c>
      <c r="AI3135">
        <v>93.638037271135801</v>
      </c>
      <c r="AJ3135">
        <v>113.375389343726</v>
      </c>
      <c r="AK3135">
        <v>17.5086154933724</v>
      </c>
      <c r="AL3135">
        <v>88.793689230695193</v>
      </c>
      <c r="AM3135">
        <v>90.729809400761695</v>
      </c>
      <c r="AN3135">
        <v>1.00000003313289</v>
      </c>
    </row>
    <row r="3136" spans="1:40" x14ac:dyDescent="0.25">
      <c r="A3136" t="str">
        <f>"20190312154314662"</f>
        <v>20190312154314662</v>
      </c>
      <c r="B3136" t="str">
        <f>"1552376594650452"</f>
        <v>1552376594650452</v>
      </c>
      <c r="C3136" t="s">
        <v>40</v>
      </c>
      <c r="D3136">
        <v>4.8524070000000004</v>
      </c>
      <c r="E3136">
        <v>0.34460679999999999</v>
      </c>
      <c r="F3136" t="s">
        <v>43</v>
      </c>
      <c r="G3136">
        <v>-485.9135</v>
      </c>
      <c r="H3136" s="1">
        <v>-2.4180360000000001E-6</v>
      </c>
      <c r="I3136">
        <v>233.55850000000001</v>
      </c>
      <c r="J3136">
        <v>-492.3374</v>
      </c>
      <c r="K3136">
        <v>1.1109709999999999</v>
      </c>
      <c r="L3136">
        <v>249.78450000000001</v>
      </c>
      <c r="M3136">
        <v>-3.114426E-2</v>
      </c>
      <c r="N3136">
        <v>0</v>
      </c>
      <c r="O3136">
        <v>-0.99942509999999996</v>
      </c>
      <c r="P3136">
        <v>-1.8142459999999999E-2</v>
      </c>
      <c r="Q3136">
        <v>7.6509289999999999E-3</v>
      </c>
      <c r="R3136">
        <v>-0.99980650000000004</v>
      </c>
      <c r="S3136">
        <v>1.190094</v>
      </c>
      <c r="T3136">
        <v>-0.20589750000000001</v>
      </c>
      <c r="U3136">
        <v>-3.0247649999999999</v>
      </c>
      <c r="V3136">
        <v>-1.301661E-2</v>
      </c>
      <c r="W3136">
        <v>2.1049200000000001E-2</v>
      </c>
      <c r="X3136">
        <v>0.99969370000000002</v>
      </c>
      <c r="Y3136">
        <v>-0.39421200000000001</v>
      </c>
      <c r="Z3136">
        <v>6.2781740000000003E-2</v>
      </c>
      <c r="AA3136">
        <v>0.91687260000000004</v>
      </c>
      <c r="AB3136">
        <v>11</v>
      </c>
      <c r="AC3136">
        <v>6.4238999999999997</v>
      </c>
      <c r="AD3136">
        <v>-1.110973418036</v>
      </c>
      <c r="AE3136">
        <v>-16.225999999999999</v>
      </c>
      <c r="AF3136">
        <v>-6.8982186050868801</v>
      </c>
      <c r="AG3136">
        <v>-1.110973418036</v>
      </c>
      <c r="AH3136">
        <v>15.953386762170799</v>
      </c>
      <c r="AI3136">
        <v>93.6573238610206</v>
      </c>
      <c r="AJ3136">
        <v>113.38357738443899</v>
      </c>
      <c r="AK3136">
        <v>17.4163782412577</v>
      </c>
      <c r="AL3136">
        <v>88.793880597889</v>
      </c>
      <c r="AM3136">
        <v>90.745983169035</v>
      </c>
      <c r="AN3136">
        <v>0.99999999738811096</v>
      </c>
    </row>
    <row r="3137" spans="1:40" x14ac:dyDescent="0.25">
      <c r="A3137" t="str">
        <f>"20190312154314673"</f>
        <v>20190312154314673</v>
      </c>
      <c r="B3137" t="str">
        <f>"1552376594670947"</f>
        <v>1552376594670947</v>
      </c>
      <c r="C3137" t="s">
        <v>40</v>
      </c>
      <c r="D3137">
        <v>4.6906929999999996</v>
      </c>
      <c r="E3137">
        <v>0.39887620000000001</v>
      </c>
      <c r="F3137" t="s">
        <v>43</v>
      </c>
      <c r="G3137">
        <v>-485.91430000000003</v>
      </c>
      <c r="H3137" s="1">
        <v>-2.3983750000000001E-6</v>
      </c>
      <c r="I3137">
        <v>233.50129999999999</v>
      </c>
      <c r="J3137">
        <v>-492.33879999999999</v>
      </c>
      <c r="K3137">
        <v>1.1109690000000001</v>
      </c>
      <c r="L3137">
        <v>249.72720000000001</v>
      </c>
      <c r="M3137">
        <v>-3.0827899999999998E-2</v>
      </c>
      <c r="N3137">
        <v>0</v>
      </c>
      <c r="O3137">
        <v>-0.99943490000000001</v>
      </c>
      <c r="P3137">
        <v>-1.7704149999999998E-2</v>
      </c>
      <c r="Q3137">
        <v>7.60802599999999E-3</v>
      </c>
      <c r="R3137">
        <v>-0.99981430000000004</v>
      </c>
      <c r="S3137">
        <v>1.19278</v>
      </c>
      <c r="T3137">
        <v>-0.20630860000000001</v>
      </c>
      <c r="U3137">
        <v>-3.0238040000000002</v>
      </c>
      <c r="V3137">
        <v>-1.3138179999999999E-2</v>
      </c>
      <c r="W3137">
        <v>2.1004390000000001E-2</v>
      </c>
      <c r="X3137">
        <v>0.99969300000000005</v>
      </c>
      <c r="Y3137">
        <v>-0.39472230000000003</v>
      </c>
      <c r="Z3137">
        <v>6.2909039999999999E-2</v>
      </c>
      <c r="AA3137">
        <v>0.91664429999999997</v>
      </c>
      <c r="AB3137">
        <v>11</v>
      </c>
      <c r="AC3137">
        <v>6.4244999999999601</v>
      </c>
      <c r="AD3137">
        <v>-1.110971398375</v>
      </c>
      <c r="AE3137">
        <v>-16.225899999999999</v>
      </c>
      <c r="AF3137">
        <v>-6.8937631043562204</v>
      </c>
      <c r="AG3137">
        <v>-1.110971398375</v>
      </c>
      <c r="AH3137">
        <v>15.955452731505501</v>
      </c>
      <c r="AI3137">
        <v>93.657290231022998</v>
      </c>
      <c r="AJ3137">
        <v>113.36739339541801</v>
      </c>
      <c r="AK3137">
        <v>17.416506511189301</v>
      </c>
      <c r="AL3137">
        <v>88.796448526719701</v>
      </c>
      <c r="AM3137">
        <v>90.752950086167999</v>
      </c>
      <c r="AN3137">
        <v>0.99999994521099</v>
      </c>
    </row>
    <row r="3138" spans="1:40" x14ac:dyDescent="0.25">
      <c r="A3138" t="str">
        <f>"20190312154314684"</f>
        <v>20190312154314684</v>
      </c>
      <c r="B3138" t="str">
        <f>"1552376594680708"</f>
        <v>1552376594680708</v>
      </c>
      <c r="C3138" t="s">
        <v>40</v>
      </c>
      <c r="D3138">
        <v>4.7034250000000002</v>
      </c>
      <c r="E3138">
        <v>0.41115010000000002</v>
      </c>
      <c r="F3138" t="s">
        <v>43</v>
      </c>
      <c r="G3138">
        <v>-488.42</v>
      </c>
      <c r="H3138" s="1">
        <v>-2.2398870000000002E-6</v>
      </c>
      <c r="I3138">
        <v>234.20070000000001</v>
      </c>
      <c r="J3138">
        <v>-492.34019999999998</v>
      </c>
      <c r="K3138">
        <v>1.1109690000000001</v>
      </c>
      <c r="L3138">
        <v>249.66990000000001</v>
      </c>
      <c r="M3138">
        <v>-3.051133E-2</v>
      </c>
      <c r="N3138">
        <v>0</v>
      </c>
      <c r="O3138">
        <v>-0.99944469999999996</v>
      </c>
      <c r="P3138">
        <v>-1.7159170000000001E-2</v>
      </c>
      <c r="Q3138">
        <v>7.3452949999999999E-3</v>
      </c>
      <c r="R3138">
        <v>-0.99982579999999999</v>
      </c>
      <c r="S3138">
        <v>0.76113889999999995</v>
      </c>
      <c r="T3138">
        <v>-0.21577930000000001</v>
      </c>
      <c r="U3138">
        <v>-3.0156559999999999</v>
      </c>
      <c r="V3138">
        <v>-1.3366589999999999E-2</v>
      </c>
      <c r="W3138">
        <v>2.074028E-2</v>
      </c>
      <c r="X3138">
        <v>0.99969549999999996</v>
      </c>
      <c r="Y3138">
        <v>-0.27361069999999998</v>
      </c>
      <c r="Z3138">
        <v>6.8883929999999996E-2</v>
      </c>
      <c r="AA3138">
        <v>0.95937070000000002</v>
      </c>
      <c r="AB3138">
        <v>11</v>
      </c>
      <c r="AC3138">
        <v>3.9201999999999599</v>
      </c>
      <c r="AD3138">
        <v>-1.110971239887</v>
      </c>
      <c r="AE3138">
        <v>-15.469200000000001</v>
      </c>
      <c r="AF3138">
        <v>-4.3692267782249203</v>
      </c>
      <c r="AG3138">
        <v>-1.110971239887</v>
      </c>
      <c r="AH3138">
        <v>15.2683755016244</v>
      </c>
      <c r="AI3138">
        <v>94.001606722202297</v>
      </c>
      <c r="AJ3138">
        <v>105.9691019672</v>
      </c>
      <c r="AK3138">
        <v>15.920040521117301</v>
      </c>
      <c r="AL3138">
        <v>88.811584229432697</v>
      </c>
      <c r="AM3138">
        <v>90.766036818463704</v>
      </c>
      <c r="AN3138">
        <v>0.99999995883147696</v>
      </c>
    </row>
    <row r="3139" spans="1:40" x14ac:dyDescent="0.25">
      <c r="A3139" t="str">
        <f>"20190312154314696"</f>
        <v>20190312154314696</v>
      </c>
      <c r="B3139" t="str">
        <f>"1552376594690468"</f>
        <v>1552376594690468</v>
      </c>
      <c r="C3139" t="s">
        <v>40</v>
      </c>
      <c r="D3139">
        <v>4.7428239999999997</v>
      </c>
      <c r="E3139">
        <v>0.41886970000000001</v>
      </c>
      <c r="F3139" t="s">
        <v>43</v>
      </c>
      <c r="G3139">
        <v>-488.77640000000002</v>
      </c>
      <c r="H3139" s="1">
        <v>-1.875988E-6</v>
      </c>
      <c r="I3139">
        <v>233.49979999999999</v>
      </c>
      <c r="J3139">
        <v>-492.34160000000003</v>
      </c>
      <c r="K3139">
        <v>1.110968</v>
      </c>
      <c r="L3139">
        <v>249.6156</v>
      </c>
      <c r="M3139">
        <v>-3.0211289999999998E-2</v>
      </c>
      <c r="N3139">
        <v>0</v>
      </c>
      <c r="O3139">
        <v>-0.99945399999999995</v>
      </c>
      <c r="P3139">
        <v>-1.651627E-2</v>
      </c>
      <c r="Q3139">
        <v>7.3192109999999999E-3</v>
      </c>
      <c r="R3139">
        <v>-0.99983690000000003</v>
      </c>
      <c r="S3139">
        <v>0.66415409999999997</v>
      </c>
      <c r="T3139">
        <v>-0.2070391</v>
      </c>
      <c r="U3139">
        <v>-3.0134430000000001</v>
      </c>
      <c r="V3139">
        <v>-1.370934E-2</v>
      </c>
      <c r="W3139">
        <v>2.0712629999999999E-2</v>
      </c>
      <c r="X3139">
        <v>0.99969149999999996</v>
      </c>
      <c r="Y3139">
        <v>-0.2441593</v>
      </c>
      <c r="Z3139">
        <v>6.6662920000000001E-2</v>
      </c>
      <c r="AA3139">
        <v>0.96744110000000005</v>
      </c>
      <c r="AB3139">
        <v>11</v>
      </c>
      <c r="AC3139">
        <v>3.5651999999999999</v>
      </c>
      <c r="AD3139">
        <v>-1.110969875988</v>
      </c>
      <c r="AE3139">
        <v>-16.1158</v>
      </c>
      <c r="AF3139">
        <v>-4.0322268291993097</v>
      </c>
      <c r="AG3139">
        <v>-1.110969875988</v>
      </c>
      <c r="AH3139">
        <v>15.928558443938201</v>
      </c>
      <c r="AI3139">
        <v>93.8681237047184</v>
      </c>
      <c r="AJ3139">
        <v>104.20568569823401</v>
      </c>
      <c r="AK3139">
        <v>16.468517886240502</v>
      </c>
      <c r="AL3139">
        <v>88.813168879237196</v>
      </c>
      <c r="AM3139">
        <v>90.785680469779393</v>
      </c>
      <c r="AN3139">
        <v>1.0000000271084999</v>
      </c>
    </row>
    <row r="3140" spans="1:40" x14ac:dyDescent="0.25">
      <c r="A3140" t="str">
        <f>"20190312154314708"</f>
        <v>20190312154314708</v>
      </c>
      <c r="B3140" t="str">
        <f>"1552376594700228"</f>
        <v>1552376594700228</v>
      </c>
      <c r="C3140" t="s">
        <v>40</v>
      </c>
      <c r="D3140">
        <v>4.7760610000000003</v>
      </c>
      <c r="E3140">
        <v>0.42376770000000002</v>
      </c>
      <c r="F3140" t="s">
        <v>43</v>
      </c>
      <c r="G3140">
        <v>-489.0222</v>
      </c>
      <c r="H3140" s="1">
        <v>-1.6519410000000001E-6</v>
      </c>
      <c r="I3140">
        <v>233.07919999999999</v>
      </c>
      <c r="J3140">
        <v>-492.34300000000002</v>
      </c>
      <c r="K3140">
        <v>1.1109659999999999</v>
      </c>
      <c r="L3140">
        <v>249.55410000000001</v>
      </c>
      <c r="M3140">
        <v>-2.9871789999999999E-2</v>
      </c>
      <c r="N3140">
        <v>0</v>
      </c>
      <c r="O3140">
        <v>-0.99946400000000002</v>
      </c>
      <c r="P3140">
        <v>-1.5882449999999999E-2</v>
      </c>
      <c r="Q3140">
        <v>7.2497059999999999E-3</v>
      </c>
      <c r="R3140">
        <v>-0.99984770000000001</v>
      </c>
      <c r="S3140">
        <v>0.60458369999999995</v>
      </c>
      <c r="T3140">
        <v>-0.20235349999999999</v>
      </c>
      <c r="U3140">
        <v>-3.0119630000000002</v>
      </c>
      <c r="V3140">
        <v>-1.4003E-2</v>
      </c>
      <c r="W3140">
        <v>2.0641119999999999E-2</v>
      </c>
      <c r="X3140">
        <v>0.99968889999999999</v>
      </c>
      <c r="Y3140">
        <v>-0.225581</v>
      </c>
      <c r="Z3140">
        <v>6.547306E-2</v>
      </c>
      <c r="AA3140">
        <v>0.97202189999999999</v>
      </c>
      <c r="AB3140">
        <v>11</v>
      </c>
      <c r="AC3140">
        <v>3.3208000000000202</v>
      </c>
      <c r="AD3140">
        <v>-1.1109676519409999</v>
      </c>
      <c r="AE3140">
        <v>-16.474900000000002</v>
      </c>
      <c r="AF3140">
        <v>-3.79491369020832</v>
      </c>
      <c r="AG3140">
        <v>-1.1109676519409999</v>
      </c>
      <c r="AH3140">
        <v>16.297124316199699</v>
      </c>
      <c r="AI3140">
        <v>93.798480926461707</v>
      </c>
      <c r="AJ3140">
        <v>103.10818425991</v>
      </c>
      <c r="AK3140">
        <v>16.7699695890439</v>
      </c>
      <c r="AL3140">
        <v>88.817266966046205</v>
      </c>
      <c r="AM3140">
        <v>90.802509994677095</v>
      </c>
      <c r="AN3140">
        <v>1.00000001831353</v>
      </c>
    </row>
    <row r="3141" spans="1:40" x14ac:dyDescent="0.25">
      <c r="A3141" t="str">
        <f>"20190312154314719"</f>
        <v>20190312154314719</v>
      </c>
      <c r="B3141" t="str">
        <f>"1552376594709987"</f>
        <v>1552376594709987</v>
      </c>
      <c r="C3141" t="s">
        <v>40</v>
      </c>
      <c r="D3141">
        <v>4.7374599999999996</v>
      </c>
      <c r="E3141">
        <v>0.42720459999999899</v>
      </c>
      <c r="F3141" t="s">
        <v>43</v>
      </c>
      <c r="G3141">
        <v>-489.16019999999997</v>
      </c>
      <c r="H3141" s="1">
        <v>-1.4497489999999999E-6</v>
      </c>
      <c r="I3141">
        <v>232.66489999999999</v>
      </c>
      <c r="J3141">
        <v>-492.34440000000001</v>
      </c>
      <c r="K3141">
        <v>1.110967</v>
      </c>
      <c r="L3141">
        <v>249.4967</v>
      </c>
      <c r="M3141">
        <v>-2.9554560000000001E-2</v>
      </c>
      <c r="N3141">
        <v>0</v>
      </c>
      <c r="O3141">
        <v>-0.99947350000000001</v>
      </c>
      <c r="P3141">
        <v>-1.5346810000000001E-2</v>
      </c>
      <c r="Q3141">
        <v>7.0683159999999998E-3</v>
      </c>
      <c r="R3141">
        <v>-0.99985740000000001</v>
      </c>
      <c r="S3141">
        <v>0.56741330000000001</v>
      </c>
      <c r="T3141">
        <v>-0.19805900000000001</v>
      </c>
      <c r="U3141">
        <v>-3.0109409999999999</v>
      </c>
      <c r="V3141">
        <v>-1.4221370000000001E-2</v>
      </c>
      <c r="W3141">
        <v>2.0458529999999999E-2</v>
      </c>
      <c r="X3141">
        <v>0.99968959999999996</v>
      </c>
      <c r="Y3141">
        <v>-0.21377209999999999</v>
      </c>
      <c r="Z3141">
        <v>6.4272789999999996E-2</v>
      </c>
      <c r="AA3141">
        <v>0.97476689999999999</v>
      </c>
      <c r="AB3141">
        <v>11</v>
      </c>
      <c r="AC3141">
        <v>3.1842000000000299</v>
      </c>
      <c r="AD3141">
        <v>-1.110968449749</v>
      </c>
      <c r="AE3141">
        <v>-16.831800000000001</v>
      </c>
      <c r="AF3141">
        <v>-3.6648952015823402</v>
      </c>
      <c r="AG3141">
        <v>-1.110968449749</v>
      </c>
      <c r="AH3141">
        <v>16.660256577271099</v>
      </c>
      <c r="AI3141">
        <v>93.726217931663101</v>
      </c>
      <c r="AJ3141">
        <v>102.406233527655</v>
      </c>
      <c r="AK3141">
        <v>17.094731848011701</v>
      </c>
      <c r="AL3141">
        <v>88.827730846214706</v>
      </c>
      <c r="AM3141">
        <v>90.815022503399902</v>
      </c>
      <c r="AN3141">
        <v>1.00000004758129</v>
      </c>
    </row>
    <row r="3142" spans="1:40" x14ac:dyDescent="0.25">
      <c r="A3142" t="str">
        <f>"20190312154314730"</f>
        <v>20190312154314730</v>
      </c>
      <c r="B3142" t="str">
        <f>"1552376594720724"</f>
        <v>1552376594720724</v>
      </c>
      <c r="C3142" t="s">
        <v>40</v>
      </c>
      <c r="D3142">
        <v>4.7160120000000001</v>
      </c>
      <c r="E3142">
        <v>0.42971280000000001</v>
      </c>
      <c r="F3142" t="s">
        <v>43</v>
      </c>
      <c r="G3142">
        <v>-489.28089999999997</v>
      </c>
      <c r="H3142" s="1">
        <v>-1.339821E-6</v>
      </c>
      <c r="I3142">
        <v>232.45859999999999</v>
      </c>
      <c r="J3142">
        <v>-492.34559999999999</v>
      </c>
      <c r="K3142">
        <v>1.110967</v>
      </c>
      <c r="L3142">
        <v>249.4402</v>
      </c>
      <c r="M3142">
        <v>-2.9242540000000001E-2</v>
      </c>
      <c r="N3142">
        <v>0</v>
      </c>
      <c r="O3142">
        <v>-0.9994828</v>
      </c>
      <c r="P3142">
        <v>-1.462981E-2</v>
      </c>
      <c r="Q3142">
        <v>6.8387889999999996E-3</v>
      </c>
      <c r="R3142">
        <v>-0.99986960000000003</v>
      </c>
      <c r="S3142">
        <v>0.54122919999999997</v>
      </c>
      <c r="T3142">
        <v>-0.19627749999999999</v>
      </c>
      <c r="U3142">
        <v>-3.0101619999999998</v>
      </c>
      <c r="V3142">
        <v>-1.4626149999999999E-2</v>
      </c>
      <c r="W3142">
        <v>2.0226830000000001E-2</v>
      </c>
      <c r="X3142">
        <v>0.99968840000000003</v>
      </c>
      <c r="Y3142">
        <v>-0.2053093</v>
      </c>
      <c r="Z3142">
        <v>6.3822219999999999E-2</v>
      </c>
      <c r="AA3142">
        <v>0.97661390000000003</v>
      </c>
      <c r="AB3142">
        <v>11</v>
      </c>
      <c r="AC3142">
        <v>3.06470000000001</v>
      </c>
      <c r="AD3142">
        <v>-1.110968339821</v>
      </c>
      <c r="AE3142">
        <v>-16.9816</v>
      </c>
      <c r="AF3142">
        <v>-3.5453232662474798</v>
      </c>
      <c r="AG3142">
        <v>-1.110968339821</v>
      </c>
      <c r="AH3142">
        <v>16.815010255062401</v>
      </c>
      <c r="AI3142">
        <v>93.698949782203897</v>
      </c>
      <c r="AJ3142">
        <v>101.90601867619201</v>
      </c>
      <c r="AK3142">
        <v>17.2205730912805</v>
      </c>
      <c r="AL3142">
        <v>88.841008938983805</v>
      </c>
      <c r="AM3142">
        <v>90.838218067329294</v>
      </c>
      <c r="AN3142">
        <v>0.99999997300511501</v>
      </c>
    </row>
    <row r="3143" spans="1:40" x14ac:dyDescent="0.25">
      <c r="A3143" t="str">
        <f>"20190312154314742"</f>
        <v>20190312154314742</v>
      </c>
      <c r="B3143" t="str">
        <f>"1552376594730484"</f>
        <v>1552376594730484</v>
      </c>
      <c r="C3143" t="s">
        <v>40</v>
      </c>
      <c r="D3143">
        <v>4.7317499999999999</v>
      </c>
      <c r="E3143">
        <v>0.43164200000000003</v>
      </c>
      <c r="F3143" t="s">
        <v>43</v>
      </c>
      <c r="G3143">
        <v>-489.36939999999998</v>
      </c>
      <c r="H3143" s="1">
        <v>-1.271415E-6</v>
      </c>
      <c r="I3143">
        <v>232.3357</v>
      </c>
      <c r="J3143">
        <v>-492.34699999999998</v>
      </c>
      <c r="K3143">
        <v>1.110965</v>
      </c>
      <c r="L3143">
        <v>249.381</v>
      </c>
      <c r="M3143">
        <v>-2.8915199999999999E-2</v>
      </c>
      <c r="N3143">
        <v>0</v>
      </c>
      <c r="O3143">
        <v>-0.99949209999999999</v>
      </c>
      <c r="P3143">
        <v>-1.371694E-2</v>
      </c>
      <c r="Q3143">
        <v>6.8521959999999996E-3</v>
      </c>
      <c r="R3143">
        <v>-0.99988239999999995</v>
      </c>
      <c r="S3143">
        <v>0.52365109999999904</v>
      </c>
      <c r="T3143">
        <v>-0.19546520000000001</v>
      </c>
      <c r="U3143">
        <v>-3.0093839999999998</v>
      </c>
      <c r="V3143">
        <v>-1.5211519999999999E-2</v>
      </c>
      <c r="W3143">
        <v>2.023875E-2</v>
      </c>
      <c r="X3143">
        <v>0.9996794</v>
      </c>
      <c r="Y3143">
        <v>-0.1994998</v>
      </c>
      <c r="Z3143">
        <v>6.3646839999999996E-2</v>
      </c>
      <c r="AA3143">
        <v>0.9778287</v>
      </c>
      <c r="AB3143">
        <v>11</v>
      </c>
      <c r="AC3143">
        <v>2.97759999999999</v>
      </c>
      <c r="AD3143">
        <v>-1.1109662714149999</v>
      </c>
      <c r="AE3143">
        <v>-17.045299999999902</v>
      </c>
      <c r="AF3143">
        <v>-3.45502464473519</v>
      </c>
      <c r="AG3143">
        <v>-1.1109662714149999</v>
      </c>
      <c r="AH3143">
        <v>16.882471581864099</v>
      </c>
      <c r="AI3143">
        <v>93.688735742084503</v>
      </c>
      <c r="AJ3143">
        <v>101.56596755202099</v>
      </c>
      <c r="AK3143">
        <v>17.268158212861</v>
      </c>
      <c r="AL3143">
        <v>88.840325806830606</v>
      </c>
      <c r="AM3143">
        <v>90.871768127854395</v>
      </c>
      <c r="AN3143">
        <v>0.99999995006331499</v>
      </c>
    </row>
    <row r="3144" spans="1:40" x14ac:dyDescent="0.25">
      <c r="A3144" t="str">
        <f>"20190312154314752"</f>
        <v>20190312154314752</v>
      </c>
      <c r="B3144" t="str">
        <f>"1552376594740244"</f>
        <v>1552376594740244</v>
      </c>
      <c r="C3144" t="s">
        <v>40</v>
      </c>
      <c r="D3144">
        <v>4.7122999999999999</v>
      </c>
      <c r="E3144">
        <v>0.43314279999999999</v>
      </c>
      <c r="F3144" t="s">
        <v>43</v>
      </c>
      <c r="G3144">
        <v>-489.41609999999997</v>
      </c>
      <c r="H3144" s="1">
        <v>-1.164155E-6</v>
      </c>
      <c r="I3144">
        <v>232.10499999999999</v>
      </c>
      <c r="J3144">
        <v>-492.34820000000002</v>
      </c>
      <c r="K3144">
        <v>1.1109579999999999</v>
      </c>
      <c r="L3144">
        <v>249.32669999999999</v>
      </c>
      <c r="M3144">
        <v>-2.8615430000000001E-2</v>
      </c>
      <c r="N3144">
        <v>0</v>
      </c>
      <c r="O3144">
        <v>-0.99950090000000003</v>
      </c>
      <c r="P3144">
        <v>-1.3048809999999999E-2</v>
      </c>
      <c r="Q3144">
        <v>6.8143140000000001E-3</v>
      </c>
      <c r="R3144">
        <v>-0.99989159999999999</v>
      </c>
      <c r="S3144">
        <v>0.51043700000000003</v>
      </c>
      <c r="T3144">
        <v>-0.19348080000000001</v>
      </c>
      <c r="U3144">
        <v>-3.0086979999999999</v>
      </c>
      <c r="V3144">
        <v>-1.558001E-2</v>
      </c>
      <c r="W3144">
        <v>2.0199180000000001E-2</v>
      </c>
      <c r="X3144">
        <v>0.99967459999999997</v>
      </c>
      <c r="Y3144">
        <v>-0.19507640000000001</v>
      </c>
      <c r="Z3144">
        <v>6.3069810000000004E-2</v>
      </c>
      <c r="AA3144">
        <v>0.97875809999999996</v>
      </c>
      <c r="AB3144">
        <v>11</v>
      </c>
      <c r="AC3144">
        <v>2.9321000000000401</v>
      </c>
      <c r="AD3144">
        <v>-1.1109591641549901</v>
      </c>
      <c r="AE3144">
        <v>-17.221699999999998</v>
      </c>
      <c r="AF3144">
        <v>-3.4099589579643799</v>
      </c>
      <c r="AG3144">
        <v>-1.1109591641549901</v>
      </c>
      <c r="AH3144">
        <v>17.061734226395899</v>
      </c>
      <c r="AI3144">
        <v>93.653452001581698</v>
      </c>
      <c r="AJ3144">
        <v>101.30222181256499</v>
      </c>
      <c r="AK3144">
        <v>17.434587037598298</v>
      </c>
      <c r="AL3144">
        <v>88.842593550940293</v>
      </c>
      <c r="AM3144">
        <v>90.892887098904893</v>
      </c>
      <c r="AN3144">
        <v>1.0000000247347101</v>
      </c>
    </row>
    <row r="3145" spans="1:40" x14ac:dyDescent="0.25">
      <c r="A3145" t="str">
        <f>"20190312154314765"</f>
        <v>20190312154314765</v>
      </c>
      <c r="B3145" t="str">
        <f>"1552376594760740"</f>
        <v>1552376594760740</v>
      </c>
      <c r="C3145" t="s">
        <v>40</v>
      </c>
      <c r="D3145">
        <v>4.6923750000000002</v>
      </c>
      <c r="E3145">
        <v>0.43559579999999998</v>
      </c>
      <c r="F3145" t="s">
        <v>43</v>
      </c>
      <c r="G3145">
        <v>-489.44529999999997</v>
      </c>
      <c r="H3145" s="1">
        <v>-1.0623960000000001E-6</v>
      </c>
      <c r="I3145">
        <v>231.87989999999999</v>
      </c>
      <c r="J3145">
        <v>-492.34960000000001</v>
      </c>
      <c r="K3145">
        <v>1.1109579999999999</v>
      </c>
      <c r="L3145">
        <v>249.2653</v>
      </c>
      <c r="M3145">
        <v>-2.827621E-2</v>
      </c>
      <c r="N3145">
        <v>0</v>
      </c>
      <c r="O3145">
        <v>-0.99951069999999997</v>
      </c>
      <c r="P3145">
        <v>-1.24834E-2</v>
      </c>
      <c r="Q3145">
        <v>6.6393869999999897E-3</v>
      </c>
      <c r="R3145">
        <v>-0.99990020000000002</v>
      </c>
      <c r="S3145">
        <v>0.50051880000000004</v>
      </c>
      <c r="T3145">
        <v>-0.19155169999999999</v>
      </c>
      <c r="U3145">
        <v>-3.0081790000000002</v>
      </c>
      <c r="V3145">
        <v>-1.5806009999999999E-2</v>
      </c>
      <c r="W3145">
        <v>2.0022310000000001E-2</v>
      </c>
      <c r="X3145">
        <v>0.99967459999999997</v>
      </c>
      <c r="Y3145">
        <v>-0.1916378</v>
      </c>
      <c r="Z3145">
        <v>6.2493229999999997E-2</v>
      </c>
      <c r="AA3145">
        <v>0.97947410000000001</v>
      </c>
      <c r="AB3145">
        <v>11</v>
      </c>
      <c r="AC3145">
        <v>2.9043000000000299</v>
      </c>
      <c r="AD3145">
        <v>-1.110959062396</v>
      </c>
      <c r="AE3145">
        <v>-17.385400000000001</v>
      </c>
      <c r="AF3145">
        <v>-3.38134301852861</v>
      </c>
      <c r="AG3145">
        <v>-1.110959062396</v>
      </c>
      <c r="AH3145">
        <v>17.2278780666418</v>
      </c>
      <c r="AI3145">
        <v>93.620781112628293</v>
      </c>
      <c r="AJ3145">
        <v>101.10438004709501</v>
      </c>
      <c r="AK3145">
        <v>17.591688188640401</v>
      </c>
      <c r="AL3145">
        <v>88.852729493240105</v>
      </c>
      <c r="AM3145">
        <v>90.905836968697599</v>
      </c>
      <c r="AN3145">
        <v>1.0000000143675001</v>
      </c>
    </row>
    <row r="3146" spans="1:40" x14ac:dyDescent="0.25">
      <c r="A3146" t="str">
        <f>"20190312154314777"</f>
        <v>20190312154314777</v>
      </c>
      <c r="B3146" t="str">
        <f>"1552376594770499"</f>
        <v>1552376594770499</v>
      </c>
      <c r="C3146" t="s">
        <v>40</v>
      </c>
      <c r="D3146">
        <v>4.685289</v>
      </c>
      <c r="E3146">
        <v>0.4364982</v>
      </c>
      <c r="F3146" t="s">
        <v>43</v>
      </c>
      <c r="G3146">
        <v>-489.51499999999999</v>
      </c>
      <c r="H3146" s="1">
        <v>-9.3406120000000005E-7</v>
      </c>
      <c r="I3146">
        <v>231.6096</v>
      </c>
      <c r="J3146">
        <v>-492.35079999999999</v>
      </c>
      <c r="K3146">
        <v>1.1109560000000001</v>
      </c>
      <c r="L3146">
        <v>249.21039999999999</v>
      </c>
      <c r="M3146">
        <v>-2.797256E-2</v>
      </c>
      <c r="N3146">
        <v>0</v>
      </c>
      <c r="O3146">
        <v>-0.99951909999999999</v>
      </c>
      <c r="P3146">
        <v>-1.208831E-2</v>
      </c>
      <c r="Q3146">
        <v>6.7775149999999996E-3</v>
      </c>
      <c r="R3146">
        <v>-0.99990380000000001</v>
      </c>
      <c r="S3146">
        <v>0.48284909999999998</v>
      </c>
      <c r="T3146">
        <v>-0.1892461</v>
      </c>
      <c r="U3146">
        <v>-3.007568</v>
      </c>
      <c r="V3146">
        <v>-1.589749E-2</v>
      </c>
      <c r="W3146">
        <v>2.0158659999999998E-2</v>
      </c>
      <c r="X3146">
        <v>0.99967039999999996</v>
      </c>
      <c r="Y3146">
        <v>-0.1857704</v>
      </c>
      <c r="Z3146">
        <v>6.1821229999999998E-2</v>
      </c>
      <c r="AA3146">
        <v>0.98064649999999998</v>
      </c>
      <c r="AB3146">
        <v>11</v>
      </c>
      <c r="AC3146">
        <v>2.8357999999999999</v>
      </c>
      <c r="AD3146">
        <v>-1.1109569340612</v>
      </c>
      <c r="AE3146">
        <v>-17.6007999999999</v>
      </c>
      <c r="AF3146">
        <v>-3.3142036491046998</v>
      </c>
      <c r="AG3146">
        <v>-1.1109569340612</v>
      </c>
      <c r="AH3146">
        <v>17.4468286603705</v>
      </c>
      <c r="AI3146">
        <v>93.579646248896495</v>
      </c>
      <c r="AJ3146">
        <v>100.755768015371</v>
      </c>
      <c r="AK3146">
        <v>17.7935381934399</v>
      </c>
      <c r="AL3146">
        <v>88.8449156261144</v>
      </c>
      <c r="AM3146">
        <v>90.911082601855597</v>
      </c>
      <c r="AN3146">
        <v>1.0000000051987199</v>
      </c>
    </row>
    <row r="3147" spans="1:40" x14ac:dyDescent="0.25">
      <c r="A3147" t="str">
        <f>"20190312154314790"</f>
        <v>20190312154314790</v>
      </c>
      <c r="B3147" t="str">
        <f>"1552376594780260"</f>
        <v>1552376594780260</v>
      </c>
      <c r="C3147" t="s">
        <v>40</v>
      </c>
      <c r="D3147">
        <v>4.6935399999999996</v>
      </c>
      <c r="E3147">
        <v>0.4372742</v>
      </c>
      <c r="F3147" t="s">
        <v>43</v>
      </c>
      <c r="G3147">
        <v>-489.5367</v>
      </c>
      <c r="H3147" s="1">
        <v>-8.630586E-7</v>
      </c>
      <c r="I3147">
        <v>231.453</v>
      </c>
      <c r="J3147">
        <v>-492.35230000000001</v>
      </c>
      <c r="K3147">
        <v>1.110959</v>
      </c>
      <c r="L3147">
        <v>249.14320000000001</v>
      </c>
      <c r="M3147">
        <v>-2.7601520000000001E-2</v>
      </c>
      <c r="N3147">
        <v>0</v>
      </c>
      <c r="O3147">
        <v>-0.99952949999999996</v>
      </c>
      <c r="P3147">
        <v>-1.174446E-2</v>
      </c>
      <c r="Q3147">
        <v>6.6938980000000002E-3</v>
      </c>
      <c r="R3147">
        <v>-0.99990869999999998</v>
      </c>
      <c r="S3147">
        <v>0.47659299999999999</v>
      </c>
      <c r="T3147">
        <v>-0.1881468</v>
      </c>
      <c r="U3147">
        <v>-3.0073089999999998</v>
      </c>
      <c r="V3147">
        <v>-1.5869870000000001E-2</v>
      </c>
      <c r="W3147">
        <v>2.0073799999999999E-2</v>
      </c>
      <c r="X3147">
        <v>0.99967249999999996</v>
      </c>
      <c r="Y3147">
        <v>-0.18343209999999999</v>
      </c>
      <c r="Z3147">
        <v>6.1493310000000002E-2</v>
      </c>
      <c r="AA3147">
        <v>0.98110710000000001</v>
      </c>
      <c r="AB3147">
        <v>11</v>
      </c>
      <c r="AC3147">
        <v>2.8156000000000101</v>
      </c>
      <c r="AD3147">
        <v>-1.1109598630586</v>
      </c>
      <c r="AE3147">
        <v>-17.690200000000001</v>
      </c>
      <c r="AF3147">
        <v>-3.2901914339524101</v>
      </c>
      <c r="AG3147">
        <v>-1.1109598630586</v>
      </c>
      <c r="AH3147">
        <v>17.538276022555099</v>
      </c>
      <c r="AI3147">
        <v>93.562566980809393</v>
      </c>
      <c r="AJ3147">
        <v>100.62522441187799</v>
      </c>
      <c r="AK3147">
        <v>17.878778407170699</v>
      </c>
      <c r="AL3147">
        <v>88.849778676550997</v>
      </c>
      <c r="AM3147">
        <v>90.909498059951204</v>
      </c>
      <c r="AN3147">
        <v>0.99999995873825198</v>
      </c>
    </row>
    <row r="3148" spans="1:40" x14ac:dyDescent="0.25">
      <c r="A3148" t="str">
        <f>"20190312154314808"</f>
        <v>20190312154314808</v>
      </c>
      <c r="B3148" t="str">
        <f>"1552376594800755"</f>
        <v>1552376594800755</v>
      </c>
      <c r="C3148" t="s">
        <v>40</v>
      </c>
      <c r="D3148">
        <v>4.7191159999999996</v>
      </c>
      <c r="E3148">
        <v>0.438612</v>
      </c>
      <c r="F3148" t="s">
        <v>43</v>
      </c>
      <c r="G3148">
        <v>-489.56259999999997</v>
      </c>
      <c r="H3148" s="1">
        <v>-8.1642119999999996E-7</v>
      </c>
      <c r="I3148">
        <v>231.35499999999999</v>
      </c>
      <c r="J3148">
        <v>-492.35419999999999</v>
      </c>
      <c r="K3148">
        <v>1.110954</v>
      </c>
      <c r="L3148">
        <v>249.0522</v>
      </c>
      <c r="M3148">
        <v>-2.7098069999999998E-2</v>
      </c>
      <c r="N3148">
        <v>0</v>
      </c>
      <c r="O3148">
        <v>-0.99954339999999997</v>
      </c>
      <c r="P3148">
        <v>-1.108953E-2</v>
      </c>
      <c r="Q3148">
        <v>6.5071169999999998E-3</v>
      </c>
      <c r="R3148">
        <v>-0.99991739999999996</v>
      </c>
      <c r="S3148">
        <v>0.47158810000000001</v>
      </c>
      <c r="T3148">
        <v>-0.18780549999999999</v>
      </c>
      <c r="U3148">
        <v>-3.0070649999999999</v>
      </c>
      <c r="V3148">
        <v>-1.602104E-2</v>
      </c>
      <c r="W3148">
        <v>1.9884530000000001E-2</v>
      </c>
      <c r="X3148">
        <v>0.9996739</v>
      </c>
      <c r="Y3148">
        <v>-0.1813565</v>
      </c>
      <c r="Z3148">
        <v>6.1408190000000001E-2</v>
      </c>
      <c r="AA3148">
        <v>0.98149830000000005</v>
      </c>
      <c r="AB3148">
        <v>11</v>
      </c>
      <c r="AC3148">
        <v>2.7916000000000101</v>
      </c>
      <c r="AD3148">
        <v>-1.1109548164212</v>
      </c>
      <c r="AE3148">
        <v>-17.697199999999999</v>
      </c>
      <c r="AF3148">
        <v>-3.25765145077568</v>
      </c>
      <c r="AG3148">
        <v>-1.1109548164212</v>
      </c>
      <c r="AH3148">
        <v>17.547573870518999</v>
      </c>
      <c r="AI3148">
        <v>93.561919622450702</v>
      </c>
      <c r="AJ3148">
        <v>100.517048157861</v>
      </c>
      <c r="AK3148">
        <v>17.881942353116699</v>
      </c>
      <c r="AL3148">
        <v>88.860625246754694</v>
      </c>
      <c r="AM3148">
        <v>90.9181588110078</v>
      </c>
      <c r="AN3148">
        <v>0.99999998729860595</v>
      </c>
    </row>
    <row r="3149" spans="1:40" x14ac:dyDescent="0.25">
      <c r="A3149" t="str">
        <f>"20190312154314821"</f>
        <v>20190312154314821</v>
      </c>
      <c r="B3149" t="str">
        <f>"1552376594810516"</f>
        <v>1552376594810516</v>
      </c>
      <c r="C3149" t="s">
        <v>40</v>
      </c>
      <c r="D3149">
        <v>4.7051629999999998</v>
      </c>
      <c r="E3149">
        <v>0.43919740000000002</v>
      </c>
      <c r="F3149" t="s">
        <v>43</v>
      </c>
      <c r="G3149">
        <v>-489.61180000000002</v>
      </c>
      <c r="H3149" s="1">
        <v>-7.5573199999999995E-7</v>
      </c>
      <c r="I3149">
        <v>231.23390000000001</v>
      </c>
      <c r="J3149">
        <v>-492.35559999999998</v>
      </c>
      <c r="K3149">
        <v>1.1109519999999999</v>
      </c>
      <c r="L3149">
        <v>248.98410000000001</v>
      </c>
      <c r="M3149">
        <v>-2.6722039999999999E-2</v>
      </c>
      <c r="N3149">
        <v>0</v>
      </c>
      <c r="O3149">
        <v>-0.99955309999999997</v>
      </c>
      <c r="P3149">
        <v>-1.0986630000000001E-2</v>
      </c>
      <c r="Q3149">
        <v>6.4846779999999998E-3</v>
      </c>
      <c r="R3149">
        <v>-0.99991850000000004</v>
      </c>
      <c r="S3149">
        <v>0.46273799999999998</v>
      </c>
      <c r="T3149">
        <v>-0.1874595</v>
      </c>
      <c r="U3149">
        <v>-3.0066069999999998</v>
      </c>
      <c r="V3149">
        <v>-1.574791E-2</v>
      </c>
      <c r="W3149">
        <v>1.9860699999999998E-2</v>
      </c>
      <c r="X3149">
        <v>0.99967870000000003</v>
      </c>
      <c r="Y3149">
        <v>-0.17818819999999999</v>
      </c>
      <c r="Z3149">
        <v>6.133723E-2</v>
      </c>
      <c r="AA3149">
        <v>0.98208280000000003</v>
      </c>
      <c r="AB3149">
        <v>11</v>
      </c>
      <c r="AC3149">
        <v>2.7437999999999598</v>
      </c>
      <c r="AD3149">
        <v>-1.110952755732</v>
      </c>
      <c r="AE3149">
        <v>-17.7502</v>
      </c>
      <c r="AF3149">
        <v>-3.20492256238271</v>
      </c>
      <c r="AG3149">
        <v>-1.110952755732</v>
      </c>
      <c r="AH3149">
        <v>17.603186407747302</v>
      </c>
      <c r="AI3149">
        <v>93.5529457515036</v>
      </c>
      <c r="AJ3149">
        <v>100.318530032379</v>
      </c>
      <c r="AK3149">
        <v>17.927016382048599</v>
      </c>
      <c r="AL3149">
        <v>88.861990859352005</v>
      </c>
      <c r="AM3149">
        <v>90.902504128681798</v>
      </c>
      <c r="AN3149">
        <v>0.99999997365377302</v>
      </c>
    </row>
    <row r="3150" spans="1:40" x14ac:dyDescent="0.25">
      <c r="A3150" t="str">
        <f>"20190312154314834"</f>
        <v>20190312154314834</v>
      </c>
      <c r="B3150" t="str">
        <f>"1552376594831013"</f>
        <v>1552376594831013</v>
      </c>
      <c r="C3150" t="s">
        <v>40</v>
      </c>
      <c r="D3150">
        <v>4.6994569999999998</v>
      </c>
      <c r="E3150">
        <v>0.44018790000000002</v>
      </c>
      <c r="F3150" t="s">
        <v>43</v>
      </c>
      <c r="G3150">
        <v>-489.64100000000002</v>
      </c>
      <c r="H3150" s="1">
        <v>-7.2695600000000004E-7</v>
      </c>
      <c r="I3150">
        <v>231.1789</v>
      </c>
      <c r="J3150">
        <v>-492.3569</v>
      </c>
      <c r="K3150">
        <v>1.110949</v>
      </c>
      <c r="L3150">
        <v>248.92009999999999</v>
      </c>
      <c r="M3150">
        <v>-2.6367990000000001E-2</v>
      </c>
      <c r="N3150">
        <v>0</v>
      </c>
      <c r="O3150">
        <v>-0.99956290000000003</v>
      </c>
      <c r="P3150">
        <v>-1.044322E-2</v>
      </c>
      <c r="Q3150">
        <v>6.4220120000000004E-3</v>
      </c>
      <c r="R3150">
        <v>-0.99992490000000001</v>
      </c>
      <c r="S3150">
        <v>0.458374</v>
      </c>
      <c r="T3150">
        <v>-0.1875898</v>
      </c>
      <c r="U3150">
        <v>-3.0065</v>
      </c>
      <c r="V3150">
        <v>-1.5936700000000002E-2</v>
      </c>
      <c r="W3150">
        <v>1.9796339999999999E-2</v>
      </c>
      <c r="X3150">
        <v>0.99967700000000004</v>
      </c>
      <c r="Y3150">
        <v>-0.1764512</v>
      </c>
      <c r="Z3150">
        <v>6.1399090000000003E-2</v>
      </c>
      <c r="AA3150">
        <v>0.9823925</v>
      </c>
      <c r="AB3150">
        <v>11</v>
      </c>
      <c r="AC3150">
        <v>2.7159000000000302</v>
      </c>
      <c r="AD3150">
        <v>-1.110949726956</v>
      </c>
      <c r="AE3150">
        <v>-17.7411999999999</v>
      </c>
      <c r="AF3150">
        <v>-3.17064895210956</v>
      </c>
      <c r="AG3150">
        <v>-1.110949726956</v>
      </c>
      <c r="AH3150">
        <v>17.595993043028901</v>
      </c>
      <c r="AI3150">
        <v>93.555549795705403</v>
      </c>
      <c r="AJ3150">
        <v>100.214602970809</v>
      </c>
      <c r="AK3150">
        <v>17.913854840420498</v>
      </c>
      <c r="AL3150">
        <v>88.865679158255702</v>
      </c>
      <c r="AM3150">
        <v>90.913323311587504</v>
      </c>
      <c r="AN3150">
        <v>0.99999998890664199</v>
      </c>
    </row>
    <row r="3151" spans="1:40" x14ac:dyDescent="0.25">
      <c r="A3151" t="str">
        <f>"20190312154314852"</f>
        <v>20190312154314852</v>
      </c>
      <c r="B3151" t="str">
        <f>"1552376594840772"</f>
        <v>1552376594840772</v>
      </c>
      <c r="C3151" t="s">
        <v>40</v>
      </c>
      <c r="D3151">
        <v>4.6967189999999999</v>
      </c>
      <c r="E3151">
        <v>0.44058910000000001</v>
      </c>
      <c r="F3151" t="s">
        <v>43</v>
      </c>
      <c r="G3151">
        <v>-489.67450000000002</v>
      </c>
      <c r="H3151" s="1">
        <v>-6.9032E-7</v>
      </c>
      <c r="I3151">
        <v>231.10730000000001</v>
      </c>
      <c r="J3151">
        <v>-492.35849999999999</v>
      </c>
      <c r="K3151">
        <v>1.1109450000000001</v>
      </c>
      <c r="L3151">
        <v>248.83459999999999</v>
      </c>
      <c r="M3151">
        <v>-2.5895990000000001E-2</v>
      </c>
      <c r="N3151">
        <v>0</v>
      </c>
      <c r="O3151">
        <v>-0.99957510000000005</v>
      </c>
      <c r="P3151">
        <v>-1.0299900000000001E-2</v>
      </c>
      <c r="Q3151">
        <v>6.1965500000000003E-3</v>
      </c>
      <c r="R3151">
        <v>-0.99992760000000003</v>
      </c>
      <c r="S3151">
        <v>0.45269779999999998</v>
      </c>
      <c r="T3151">
        <v>-0.1874893</v>
      </c>
      <c r="U3151">
        <v>-3.0061650000000002</v>
      </c>
      <c r="V3151">
        <v>-1.560785E-2</v>
      </c>
      <c r="W3151">
        <v>1.9568929999999998E-2</v>
      </c>
      <c r="X3151">
        <v>0.99968670000000004</v>
      </c>
      <c r="Y3151">
        <v>-0.17418910000000001</v>
      </c>
      <c r="Z3151">
        <v>6.1395289999999998E-2</v>
      </c>
      <c r="AA3151">
        <v>0.98279640000000001</v>
      </c>
      <c r="AB3151">
        <v>11</v>
      </c>
      <c r="AC3151">
        <v>2.6839999999999602</v>
      </c>
      <c r="AD3151">
        <v>-1.1109456903199999</v>
      </c>
      <c r="AE3151">
        <v>-17.7272999999999</v>
      </c>
      <c r="AF3151">
        <v>-3.1301889382667301</v>
      </c>
      <c r="AG3151">
        <v>-1.1109456903199999</v>
      </c>
      <c r="AH3151">
        <v>17.584330552864799</v>
      </c>
      <c r="AI3151">
        <v>93.559232625110496</v>
      </c>
      <c r="AJ3151">
        <v>100.093502319525</v>
      </c>
      <c r="AK3151">
        <v>17.895277704145901</v>
      </c>
      <c r="AL3151">
        <v>88.878711354583999</v>
      </c>
      <c r="AM3151">
        <v>90.894471519586801</v>
      </c>
      <c r="AN3151">
        <v>1.00000002307992</v>
      </c>
    </row>
    <row r="3152" spans="1:40" x14ac:dyDescent="0.25">
      <c r="A3152" t="str">
        <f>"20190312154314863"</f>
        <v>20190312154314863</v>
      </c>
      <c r="B3152" t="str">
        <f>"1552376594850531"</f>
        <v>1552376594850531</v>
      </c>
      <c r="C3152" t="s">
        <v>40</v>
      </c>
      <c r="D3152">
        <v>4.676094</v>
      </c>
      <c r="E3152">
        <v>0.44098920000000003</v>
      </c>
      <c r="F3152" t="s">
        <v>43</v>
      </c>
      <c r="G3152">
        <v>-489.70310000000001</v>
      </c>
      <c r="H3152" s="1">
        <v>-6.6989549999999896E-7</v>
      </c>
      <c r="I3152">
        <v>231.07159999999999</v>
      </c>
      <c r="J3152">
        <v>-492.35969999999998</v>
      </c>
      <c r="K3152">
        <v>1.1109439999999999</v>
      </c>
      <c r="L3152">
        <v>248.77629999999999</v>
      </c>
      <c r="M3152">
        <v>-2.5573499999999999E-2</v>
      </c>
      <c r="N3152">
        <v>0</v>
      </c>
      <c r="O3152">
        <v>-0.99958340000000001</v>
      </c>
      <c r="P3152">
        <v>-1.008825E-2</v>
      </c>
      <c r="Q3152">
        <v>6.0857079999999996E-3</v>
      </c>
      <c r="R3152">
        <v>-0.9999304</v>
      </c>
      <c r="S3152">
        <v>0.44937129999999997</v>
      </c>
      <c r="T3152">
        <v>-0.18800529999999999</v>
      </c>
      <c r="U3152">
        <v>-3.0060419999999999</v>
      </c>
      <c r="V3152">
        <v>-1.54973E-2</v>
      </c>
      <c r="W3152">
        <v>1.945641E-2</v>
      </c>
      <c r="X3152">
        <v>0.99969059999999998</v>
      </c>
      <c r="Y3152">
        <v>-0.17281189999999999</v>
      </c>
      <c r="Z3152">
        <v>6.1579410000000001E-2</v>
      </c>
      <c r="AA3152">
        <v>0.98302800000000001</v>
      </c>
      <c r="AB3152">
        <v>11</v>
      </c>
      <c r="AC3152">
        <v>2.6565999999999601</v>
      </c>
      <c r="AD3152">
        <v>-1.1109446698954999</v>
      </c>
      <c r="AE3152">
        <v>-17.704699999999999</v>
      </c>
      <c r="AF3152">
        <v>-3.0966185663120198</v>
      </c>
      <c r="AG3152">
        <v>-1.1109446698954999</v>
      </c>
      <c r="AH3152">
        <v>17.563333045221299</v>
      </c>
      <c r="AI3152">
        <v>93.564510736352801</v>
      </c>
      <c r="AJ3152">
        <v>99.999142839805202</v>
      </c>
      <c r="AK3152">
        <v>17.868797168868401</v>
      </c>
      <c r="AL3152">
        <v>88.885159485243904</v>
      </c>
      <c r="AM3152">
        <v>90.888133555003293</v>
      </c>
      <c r="AN3152">
        <v>1.0000000069628601</v>
      </c>
    </row>
    <row r="3153" spans="1:40" x14ac:dyDescent="0.25">
      <c r="A3153" t="str">
        <f>"20190312154314874"</f>
        <v>20190312154314874</v>
      </c>
      <c r="B3153" t="str">
        <f>"1552376594870052"</f>
        <v>1552376594870052</v>
      </c>
      <c r="C3153" t="s">
        <v>40</v>
      </c>
      <c r="D3153">
        <v>4.7003409999999999</v>
      </c>
      <c r="E3153">
        <v>0.44160470000000002</v>
      </c>
      <c r="F3153" t="s">
        <v>43</v>
      </c>
      <c r="G3153">
        <v>-489.72460000000001</v>
      </c>
      <c r="H3153" s="1">
        <v>-6.6008330000000002E-7</v>
      </c>
      <c r="I3153">
        <v>231.05760000000001</v>
      </c>
      <c r="J3153">
        <v>-492.36070000000001</v>
      </c>
      <c r="K3153">
        <v>1.1109439999999999</v>
      </c>
      <c r="L3153">
        <v>248.7218</v>
      </c>
      <c r="M3153">
        <v>-2.5272659999999999E-2</v>
      </c>
      <c r="N3153">
        <v>0</v>
      </c>
      <c r="O3153">
        <v>-0.99959129999999996</v>
      </c>
      <c r="P3153">
        <v>-9.9823770000000006E-3</v>
      </c>
      <c r="Q3153">
        <v>5.8184269999999897E-3</v>
      </c>
      <c r="R3153">
        <v>-0.99993319999999997</v>
      </c>
      <c r="S3153">
        <v>0.44702150000000002</v>
      </c>
      <c r="T3153">
        <v>-0.1884633</v>
      </c>
      <c r="U3153">
        <v>-3.0058440000000002</v>
      </c>
      <c r="V3153">
        <v>-1.530193E-2</v>
      </c>
      <c r="W3153">
        <v>1.9187530000000001E-2</v>
      </c>
      <c r="X3153">
        <v>0.9996988</v>
      </c>
      <c r="Y3153">
        <v>-0.1717716</v>
      </c>
      <c r="Z3153">
        <v>6.1742760000000001E-2</v>
      </c>
      <c r="AA3153">
        <v>0.98320010000000002</v>
      </c>
      <c r="AB3153">
        <v>11</v>
      </c>
      <c r="AC3153">
        <v>2.6360999999999901</v>
      </c>
      <c r="AD3153">
        <v>-1.1109446600833</v>
      </c>
      <c r="AE3153">
        <v>-17.664199999999902</v>
      </c>
      <c r="AF3153">
        <v>-3.06984094608223</v>
      </c>
      <c r="AG3153">
        <v>-1.1109446600833</v>
      </c>
      <c r="AH3153">
        <v>17.524123892077299</v>
      </c>
      <c r="AI3153">
        <v>93.573154097512401</v>
      </c>
      <c r="AJ3153">
        <v>99.936140711335895</v>
      </c>
      <c r="AK3153">
        <v>17.825628731040201</v>
      </c>
      <c r="AL3153">
        <v>88.900568043896101</v>
      </c>
      <c r="AM3153">
        <v>90.8769316786383</v>
      </c>
      <c r="AN3153">
        <v>1.00000000054533</v>
      </c>
    </row>
    <row r="3154" spans="1:40" x14ac:dyDescent="0.25">
      <c r="A3154" t="str">
        <f>"20190312154314885"</f>
        <v>20190312154314885</v>
      </c>
      <c r="B3154" t="str">
        <f>"1552376594880789"</f>
        <v>1552376594880789</v>
      </c>
      <c r="C3154" t="s">
        <v>40</v>
      </c>
      <c r="D3154">
        <v>4.675084</v>
      </c>
      <c r="E3154">
        <v>0.44196350000000001</v>
      </c>
      <c r="F3154" t="s">
        <v>43</v>
      </c>
      <c r="G3154">
        <v>-489.76569999999998</v>
      </c>
      <c r="H3154" s="1">
        <v>-6.637486E-7</v>
      </c>
      <c r="I3154">
        <v>231.0831</v>
      </c>
      <c r="J3154">
        <v>-492.36180000000002</v>
      </c>
      <c r="K3154">
        <v>1.1109420000000001</v>
      </c>
      <c r="L3154">
        <v>248.66460000000001</v>
      </c>
      <c r="M3154">
        <v>-2.4956679999999998E-2</v>
      </c>
      <c r="N3154">
        <v>0</v>
      </c>
      <c r="O3154">
        <v>-0.99959889999999996</v>
      </c>
      <c r="P3154">
        <v>-9.5209749999999992E-3</v>
      </c>
      <c r="Q3154">
        <v>5.8986919999999997E-3</v>
      </c>
      <c r="R3154">
        <v>-0.99993699999999996</v>
      </c>
      <c r="S3154">
        <v>0.44219969999999997</v>
      </c>
      <c r="T3154">
        <v>-0.18931039999999999</v>
      </c>
      <c r="U3154">
        <v>-3.005722</v>
      </c>
      <c r="V3154">
        <v>-1.5447300000000001E-2</v>
      </c>
      <c r="W3154">
        <v>1.9266189999999999E-2</v>
      </c>
      <c r="X3154">
        <v>0.99969509999999995</v>
      </c>
      <c r="Y3154">
        <v>-0.1699195</v>
      </c>
      <c r="Z3154">
        <v>6.2039669999999998E-2</v>
      </c>
      <c r="AA3154">
        <v>0.98350320000000002</v>
      </c>
      <c r="AB3154">
        <v>11</v>
      </c>
      <c r="AC3154">
        <v>2.5961000000000301</v>
      </c>
      <c r="AD3154">
        <v>-1.1109426637486</v>
      </c>
      <c r="AE3154">
        <v>-17.581499999999998</v>
      </c>
      <c r="AF3154">
        <v>-3.0222966873919099</v>
      </c>
      <c r="AG3154">
        <v>-1.1109426637486</v>
      </c>
      <c r="AH3154">
        <v>17.443067562111199</v>
      </c>
      <c r="AI3154">
        <v>93.590865952196793</v>
      </c>
      <c r="AJ3154">
        <v>99.829838124592001</v>
      </c>
      <c r="AK3154">
        <v>17.737786695220301</v>
      </c>
      <c r="AL3154">
        <v>88.896060378177793</v>
      </c>
      <c r="AM3154">
        <v>90.885264581379104</v>
      </c>
      <c r="AN3154">
        <v>1.0000000490592</v>
      </c>
    </row>
    <row r="3155" spans="1:40" x14ac:dyDescent="0.25">
      <c r="A3155" t="str">
        <f>"20190312154314898"</f>
        <v>20190312154314898</v>
      </c>
      <c r="B3155" t="str">
        <f>"1552376594890548"</f>
        <v>1552376594890548</v>
      </c>
      <c r="C3155" t="s">
        <v>40</v>
      </c>
      <c r="D3155">
        <v>4.7335520000000004</v>
      </c>
      <c r="E3155">
        <v>0.44226120000000002</v>
      </c>
      <c r="F3155" t="s">
        <v>43</v>
      </c>
      <c r="G3155">
        <v>-489.76909999999998</v>
      </c>
      <c r="H3155" s="1">
        <v>-6.2746500000000001E-7</v>
      </c>
      <c r="I3155">
        <v>230.9999</v>
      </c>
      <c r="J3155">
        <v>-492.36290000000002</v>
      </c>
      <c r="K3155">
        <v>1.1109439999999999</v>
      </c>
      <c r="L3155">
        <v>248.6087</v>
      </c>
      <c r="M3155">
        <v>-2.4647700000000002E-2</v>
      </c>
      <c r="N3155">
        <v>0</v>
      </c>
      <c r="O3155">
        <v>-0.99960700000000002</v>
      </c>
      <c r="P3155">
        <v>-9.192258E-3</v>
      </c>
      <c r="Q3155">
        <v>5.7492330000000003E-3</v>
      </c>
      <c r="R3155">
        <v>-0.99994139999999998</v>
      </c>
      <c r="S3155">
        <v>0.44113160000000001</v>
      </c>
      <c r="T3155">
        <v>-0.18901879999999999</v>
      </c>
      <c r="U3155">
        <v>-3.0055239999999999</v>
      </c>
      <c r="V3155">
        <v>-1.546689E-2</v>
      </c>
      <c r="W3155">
        <v>1.911554E-2</v>
      </c>
      <c r="X3155">
        <v>0.99969759999999996</v>
      </c>
      <c r="Y3155">
        <v>-0.16928289999999999</v>
      </c>
      <c r="Z3155">
        <v>6.1954240000000001E-2</v>
      </c>
      <c r="AA3155">
        <v>0.98361829999999995</v>
      </c>
      <c r="AB3155">
        <v>11</v>
      </c>
      <c r="AC3155">
        <v>2.5938000000000399</v>
      </c>
      <c r="AD3155">
        <v>-1.1109446274649999</v>
      </c>
      <c r="AE3155">
        <v>-17.608799999999999</v>
      </c>
      <c r="AF3155">
        <v>-3.0153197351315</v>
      </c>
      <c r="AG3155">
        <v>-1.1109446274649999</v>
      </c>
      <c r="AH3155">
        <v>17.471446335406799</v>
      </c>
      <c r="AI3155">
        <v>93.585463616156005</v>
      </c>
      <c r="AJ3155">
        <v>99.791965393677998</v>
      </c>
      <c r="AK3155">
        <v>17.7645092282722</v>
      </c>
      <c r="AL3155">
        <v>88.904693479291495</v>
      </c>
      <c r="AM3155">
        <v>90.886384863394099</v>
      </c>
      <c r="AN3155">
        <v>0.99999996000076097</v>
      </c>
    </row>
    <row r="3156" spans="1:40" x14ac:dyDescent="0.25">
      <c r="A3156" t="str">
        <f>"20190312154314910"</f>
        <v>20190312154314910</v>
      </c>
      <c r="B3156" t="str">
        <f>"1552376594900308"</f>
        <v>1552376594900308</v>
      </c>
      <c r="C3156" t="s">
        <v>40</v>
      </c>
      <c r="D3156">
        <v>4.743036</v>
      </c>
      <c r="E3156">
        <v>0.44250410000000001</v>
      </c>
      <c r="F3156" t="s">
        <v>43</v>
      </c>
      <c r="G3156">
        <v>-489.81220000000002</v>
      </c>
      <c r="H3156" s="1">
        <v>-6.9388719999999903E-7</v>
      </c>
      <c r="I3156">
        <v>231.17259999999999</v>
      </c>
      <c r="J3156">
        <v>-492.36399999999998</v>
      </c>
      <c r="K3156">
        <v>1.1109420000000001</v>
      </c>
      <c r="L3156">
        <v>248.54839999999999</v>
      </c>
      <c r="M3156">
        <v>-2.4314700000000002E-2</v>
      </c>
      <c r="N3156">
        <v>0</v>
      </c>
      <c r="O3156">
        <v>-0.99961509999999998</v>
      </c>
      <c r="P3156">
        <v>-8.8851920000000001E-3</v>
      </c>
      <c r="Q3156">
        <v>5.5350180000000001E-3</v>
      </c>
      <c r="R3156">
        <v>-0.99994530000000004</v>
      </c>
      <c r="S3156">
        <v>0.43963619999999998</v>
      </c>
      <c r="T3156">
        <v>-0.19148560000000001</v>
      </c>
      <c r="U3156">
        <v>-3.005341</v>
      </c>
      <c r="V3156">
        <v>-1.5440250000000001E-2</v>
      </c>
      <c r="W3156">
        <v>1.8900050000000002E-2</v>
      </c>
      <c r="X3156">
        <v>0.99970219999999999</v>
      </c>
      <c r="Y3156">
        <v>-0.1684766</v>
      </c>
      <c r="Z3156">
        <v>6.2770709999999993E-2</v>
      </c>
      <c r="AA3156">
        <v>0.98370500000000005</v>
      </c>
      <c r="AB3156">
        <v>11</v>
      </c>
      <c r="AC3156">
        <v>2.5518000000000098</v>
      </c>
      <c r="AD3156">
        <v>-1.1109426938872</v>
      </c>
      <c r="AE3156">
        <v>-17.375799999999899</v>
      </c>
      <c r="AF3156">
        <v>-2.9617190803896198</v>
      </c>
      <c r="AG3156">
        <v>-1.1109426938872</v>
      </c>
      <c r="AH3156">
        <v>17.239625256372701</v>
      </c>
      <c r="AI3156">
        <v>93.6340205083537</v>
      </c>
      <c r="AJ3156">
        <v>99.748094313534693</v>
      </c>
      <c r="AK3156">
        <v>17.527425725428401</v>
      </c>
      <c r="AL3156">
        <v>88.917042476847001</v>
      </c>
      <c r="AM3156">
        <v>90.884854335961293</v>
      </c>
      <c r="AN3156">
        <v>1.00000005094745</v>
      </c>
    </row>
    <row r="3157" spans="1:40" x14ac:dyDescent="0.25">
      <c r="A3157" t="str">
        <f>"20190312154314922"</f>
        <v>20190312154314922</v>
      </c>
      <c r="B3157" t="str">
        <f>"1552376594910070"</f>
        <v>1552376594910070</v>
      </c>
      <c r="C3157" t="s">
        <v>40</v>
      </c>
      <c r="D3157">
        <v>4.6795049999999998</v>
      </c>
      <c r="E3157">
        <v>0.44281700000000002</v>
      </c>
      <c r="F3157" t="s">
        <v>43</v>
      </c>
      <c r="G3157">
        <v>-489.85469999999998</v>
      </c>
      <c r="H3157" s="1">
        <v>-7.6354289999999995E-7</v>
      </c>
      <c r="I3157">
        <v>231.35249999999999</v>
      </c>
      <c r="J3157">
        <v>-492.36509999999998</v>
      </c>
      <c r="K3157">
        <v>1.1109469999999999</v>
      </c>
      <c r="L3157">
        <v>248.4855</v>
      </c>
      <c r="M3157">
        <v>-2.3966600000000001E-2</v>
      </c>
      <c r="N3157">
        <v>0</v>
      </c>
      <c r="O3157">
        <v>-0.9996237</v>
      </c>
      <c r="P3157">
        <v>-8.435896E-3</v>
      </c>
      <c r="Q3157">
        <v>5.5452189999999997E-3</v>
      </c>
      <c r="R3157">
        <v>-0.99994950000000005</v>
      </c>
      <c r="S3157">
        <v>0.43850709999999998</v>
      </c>
      <c r="T3157">
        <v>-0.19414770000000001</v>
      </c>
      <c r="U3157">
        <v>-3.0051420000000002</v>
      </c>
      <c r="V3157">
        <v>-1.5541309999999999E-2</v>
      </c>
      <c r="W3157">
        <v>1.890768E-2</v>
      </c>
      <c r="X3157">
        <v>0.99970040000000004</v>
      </c>
      <c r="Y3157">
        <v>-0.1677727</v>
      </c>
      <c r="Z3157">
        <v>6.3650310000000002E-2</v>
      </c>
      <c r="AA3157">
        <v>0.9837688</v>
      </c>
      <c r="AB3157">
        <v>11</v>
      </c>
      <c r="AC3157">
        <v>2.5104000000000002</v>
      </c>
      <c r="AD3157">
        <v>-1.1109477635428999</v>
      </c>
      <c r="AE3157">
        <v>-17.132999999999999</v>
      </c>
      <c r="AF3157">
        <v>-2.9083637347476499</v>
      </c>
      <c r="AG3157">
        <v>-1.1109477635428999</v>
      </c>
      <c r="AH3157">
        <v>16.997940025742</v>
      </c>
      <c r="AI3157">
        <v>93.685992409908494</v>
      </c>
      <c r="AJ3157">
        <v>99.709342288334298</v>
      </c>
      <c r="AK3157">
        <v>17.280704547721399</v>
      </c>
      <c r="AL3157">
        <v>88.916605134716505</v>
      </c>
      <c r="AM3157">
        <v>90.890646585309398</v>
      </c>
      <c r="AN3157">
        <v>0.99999996121982804</v>
      </c>
    </row>
    <row r="3158" spans="1:40" x14ac:dyDescent="0.25">
      <c r="A3158" t="str">
        <f>"20190312154314934"</f>
        <v>20190312154314934</v>
      </c>
      <c r="B3158" t="str">
        <f>"1552376594930564"</f>
        <v>1552376594930564</v>
      </c>
      <c r="C3158" t="s">
        <v>40</v>
      </c>
      <c r="D3158">
        <v>4.6757169999999997</v>
      </c>
      <c r="E3158">
        <v>0.44332860000000002</v>
      </c>
      <c r="F3158" t="s">
        <v>43</v>
      </c>
      <c r="G3158">
        <v>-489.86349999999999</v>
      </c>
      <c r="H3158" s="1">
        <v>-7.3395180000000005E-7</v>
      </c>
      <c r="I3158">
        <v>231.28720000000001</v>
      </c>
      <c r="J3158">
        <v>-492.36599999999999</v>
      </c>
      <c r="K3158">
        <v>1.110946</v>
      </c>
      <c r="L3158">
        <v>248.42789999999999</v>
      </c>
      <c r="M3158">
        <v>-2.364873E-2</v>
      </c>
      <c r="N3158">
        <v>0</v>
      </c>
      <c r="O3158">
        <v>-0.99963109999999999</v>
      </c>
      <c r="P3158">
        <v>-7.8778200000000007E-3</v>
      </c>
      <c r="Q3158">
        <v>5.6045069999999999E-3</v>
      </c>
      <c r="R3158">
        <v>-0.99995339999999999</v>
      </c>
      <c r="S3158">
        <v>0.43707279999999998</v>
      </c>
      <c r="T3158">
        <v>-0.1941069</v>
      </c>
      <c r="U3158">
        <v>-3.0049130000000002</v>
      </c>
      <c r="V3158">
        <v>-1.5781549999999998E-2</v>
      </c>
      <c r="W3158">
        <v>1.8965840000000001E-2</v>
      </c>
      <c r="X3158">
        <v>0.99969560000000002</v>
      </c>
      <c r="Y3158">
        <v>-0.16701009999999999</v>
      </c>
      <c r="Z3158">
        <v>6.3648839999999998E-2</v>
      </c>
      <c r="AA3158">
        <v>0.98389859999999896</v>
      </c>
      <c r="AB3158">
        <v>11</v>
      </c>
      <c r="AC3158">
        <v>2.5024999999999902</v>
      </c>
      <c r="AD3158">
        <v>-1.1109467339518</v>
      </c>
      <c r="AE3158">
        <v>-17.140699999999899</v>
      </c>
      <c r="AF3158">
        <v>-2.8952833520304702</v>
      </c>
      <c r="AG3158">
        <v>-1.1109467339518</v>
      </c>
      <c r="AH3158">
        <v>17.006768590017501</v>
      </c>
      <c r="AI3158">
        <v>93.684603578420493</v>
      </c>
      <c r="AJ3158">
        <v>99.661576731573106</v>
      </c>
      <c r="AK3158">
        <v>17.287193126954701</v>
      </c>
      <c r="AL3158">
        <v>88.913272285389198</v>
      </c>
      <c r="AM3158">
        <v>90.904416411815802</v>
      </c>
      <c r="AN3158">
        <v>1.00000002653333</v>
      </c>
    </row>
    <row r="3159" spans="1:40" x14ac:dyDescent="0.25">
      <c r="A3159" t="str">
        <f>"20190312154314953"</f>
        <v>20190312154314953</v>
      </c>
      <c r="B3159" t="str">
        <f>"1552376594940324"</f>
        <v>1552376594940324</v>
      </c>
      <c r="C3159" t="s">
        <v>40</v>
      </c>
      <c r="D3159">
        <v>4.6880600000000001</v>
      </c>
      <c r="E3159">
        <v>0.44356129999999999</v>
      </c>
      <c r="F3159" t="s">
        <v>43</v>
      </c>
      <c r="G3159">
        <v>-489.87630000000001</v>
      </c>
      <c r="H3159" s="1">
        <v>-7.120443E-7</v>
      </c>
      <c r="I3159">
        <v>231.2414</v>
      </c>
      <c r="J3159">
        <v>-492.36759999999998</v>
      </c>
      <c r="K3159">
        <v>1.1109469999999999</v>
      </c>
      <c r="L3159">
        <v>248.33940000000001</v>
      </c>
      <c r="M3159">
        <v>-2.3159450000000002E-2</v>
      </c>
      <c r="N3159">
        <v>0</v>
      </c>
      <c r="O3159">
        <v>-0.99964229999999998</v>
      </c>
      <c r="P3159">
        <v>-6.93912E-3</v>
      </c>
      <c r="Q3159">
        <v>5.3810680000000001E-3</v>
      </c>
      <c r="R3159">
        <v>-0.99996119999999999</v>
      </c>
      <c r="S3159">
        <v>0.4352722</v>
      </c>
      <c r="T3159">
        <v>-0.19422220000000001</v>
      </c>
      <c r="U3159">
        <v>-3.0046539999999999</v>
      </c>
      <c r="V3159">
        <v>-1.6230660000000001E-2</v>
      </c>
      <c r="W3159">
        <v>1.873938E-2</v>
      </c>
      <c r="X3159">
        <v>0.99969269999999999</v>
      </c>
      <c r="Y3159">
        <v>-0.16596169999999999</v>
      </c>
      <c r="Z3159">
        <v>6.370141E-2</v>
      </c>
      <c r="AA3159">
        <v>0.98407259999999996</v>
      </c>
      <c r="AB3159">
        <v>11</v>
      </c>
      <c r="AC3159">
        <v>2.4912999999999599</v>
      </c>
      <c r="AD3159">
        <v>-1.1109477120443001</v>
      </c>
      <c r="AE3159">
        <v>-17.097999999999999</v>
      </c>
      <c r="AF3159">
        <v>-2.8747630430659701</v>
      </c>
      <c r="AG3159">
        <v>-1.1109477120443001</v>
      </c>
      <c r="AH3159">
        <v>16.965574857690399</v>
      </c>
      <c r="AI3159">
        <v>93.694012727953194</v>
      </c>
      <c r="AJ3159">
        <v>99.617238974020594</v>
      </c>
      <c r="AK3159">
        <v>17.243236286282499</v>
      </c>
      <c r="AL3159">
        <v>88.926249815251097</v>
      </c>
      <c r="AM3159">
        <v>90.930152455168397</v>
      </c>
      <c r="AN3159">
        <v>1.00000004656005</v>
      </c>
    </row>
    <row r="3160" spans="1:40" x14ac:dyDescent="0.25">
      <c r="A3160" t="str">
        <f>"20190312154314963"</f>
        <v>20190312154314963</v>
      </c>
      <c r="B3160" t="str">
        <f>"1552376594960820"</f>
        <v>1552376594960820</v>
      </c>
      <c r="C3160" t="s">
        <v>40</v>
      </c>
      <c r="D3160">
        <v>4.672955</v>
      </c>
      <c r="E3160">
        <v>0.44396590000000002</v>
      </c>
      <c r="F3160" t="s">
        <v>43</v>
      </c>
      <c r="G3160">
        <v>-489.88709999999998</v>
      </c>
      <c r="H3160" s="1">
        <v>-7.1246190000000003E-7</v>
      </c>
      <c r="I3160">
        <v>231.24680000000001</v>
      </c>
      <c r="J3160">
        <v>-492.36849999999998</v>
      </c>
      <c r="K3160">
        <v>1.110946</v>
      </c>
      <c r="L3160">
        <v>248.28360000000001</v>
      </c>
      <c r="M3160">
        <v>-2.2851219999999998E-2</v>
      </c>
      <c r="N3160">
        <v>0</v>
      </c>
      <c r="O3160">
        <v>-0.99964949999999997</v>
      </c>
      <c r="P3160">
        <v>-6.2597249999999998E-3</v>
      </c>
      <c r="Q3160">
        <v>5.4478679999999998E-3</v>
      </c>
      <c r="R3160">
        <v>-0.99996529999999995</v>
      </c>
      <c r="S3160">
        <v>0.43597409999999998</v>
      </c>
      <c r="T3160">
        <v>-0.1952614</v>
      </c>
      <c r="U3160">
        <v>-3.0042110000000002</v>
      </c>
      <c r="V3160">
        <v>-1.6601499999999901E-2</v>
      </c>
      <c r="W3160">
        <v>1.8804700000000001E-2</v>
      </c>
      <c r="X3160">
        <v>0.9996853</v>
      </c>
      <c r="Y3160">
        <v>-0.16590009999999999</v>
      </c>
      <c r="Z3160">
        <v>6.4050060000000006E-2</v>
      </c>
      <c r="AA3160">
        <v>0.9840603</v>
      </c>
      <c r="AB3160">
        <v>11</v>
      </c>
      <c r="AC3160">
        <v>2.4813999999999998</v>
      </c>
      <c r="AD3160">
        <v>-1.1109467124618999</v>
      </c>
      <c r="AE3160">
        <v>-17.036799999999999</v>
      </c>
      <c r="AF3160">
        <v>-2.8581973187569099</v>
      </c>
      <c r="AG3160">
        <v>-1.1109467124618999</v>
      </c>
      <c r="AH3160">
        <v>16.905251698769298</v>
      </c>
      <c r="AI3160">
        <v>93.707382373414404</v>
      </c>
      <c r="AJ3160">
        <v>99.596336016124198</v>
      </c>
      <c r="AK3160">
        <v>17.1811242213547</v>
      </c>
      <c r="AL3160">
        <v>88.922506505241103</v>
      </c>
      <c r="AM3160">
        <v>90.951407864777494</v>
      </c>
      <c r="AN3160">
        <v>0.99999996279021397</v>
      </c>
    </row>
    <row r="3161" spans="1:40" x14ac:dyDescent="0.25">
      <c r="A3161" t="str">
        <f>"20190312154314975"</f>
        <v>20190312154314975</v>
      </c>
      <c r="B3161" t="str">
        <f>"1552376594970580"</f>
        <v>1552376594970580</v>
      </c>
      <c r="C3161" t="s">
        <v>40</v>
      </c>
      <c r="D3161">
        <v>4.668005</v>
      </c>
      <c r="E3161">
        <v>0.44418740000000001</v>
      </c>
      <c r="F3161" t="s">
        <v>43</v>
      </c>
      <c r="G3161">
        <v>-489.88959999999997</v>
      </c>
      <c r="H3161" s="1">
        <v>-6.7229019999999897E-7</v>
      </c>
      <c r="I3161">
        <v>231.1542</v>
      </c>
      <c r="J3161">
        <v>-492.36939999999998</v>
      </c>
      <c r="K3161">
        <v>1.110938</v>
      </c>
      <c r="L3161">
        <v>248.2304</v>
      </c>
      <c r="M3161">
        <v>-2.2557109999999998E-2</v>
      </c>
      <c r="N3161">
        <v>0</v>
      </c>
      <c r="O3161">
        <v>-0.99965630000000005</v>
      </c>
      <c r="P3161">
        <v>-5.6832000000000002E-3</v>
      </c>
      <c r="Q3161">
        <v>5.6128840000000003E-3</v>
      </c>
      <c r="R3161">
        <v>-0.99996819999999997</v>
      </c>
      <c r="S3161">
        <v>0.43472290000000002</v>
      </c>
      <c r="T3161">
        <v>-0.19482160000000001</v>
      </c>
      <c r="U3161">
        <v>-3.0039060000000002</v>
      </c>
      <c r="V3161">
        <v>-1.6884599999999899E-2</v>
      </c>
      <c r="W3161">
        <v>1.8968220000000001E-2</v>
      </c>
      <c r="X3161">
        <v>0.9996775</v>
      </c>
      <c r="Y3161">
        <v>-0.16522390000000001</v>
      </c>
      <c r="Z3161">
        <v>6.3918989999999995E-2</v>
      </c>
      <c r="AA3161">
        <v>0.98418260000000002</v>
      </c>
      <c r="AB3161">
        <v>11</v>
      </c>
      <c r="AC3161">
        <v>2.4798000000000102</v>
      </c>
      <c r="AD3161">
        <v>-1.1109386722901999</v>
      </c>
      <c r="AE3161">
        <v>-17.0762</v>
      </c>
      <c r="AF3161">
        <v>-2.85256885240132</v>
      </c>
      <c r="AG3161">
        <v>-1.1109386722901999</v>
      </c>
      <c r="AH3161">
        <v>16.945670804061098</v>
      </c>
      <c r="AI3161">
        <v>93.698982302974102</v>
      </c>
      <c r="AJ3161">
        <v>99.555365605849303</v>
      </c>
      <c r="AK3161">
        <v>17.2199620438283</v>
      </c>
      <c r="AL3161">
        <v>88.9131358610463</v>
      </c>
      <c r="AM3161">
        <v>90.967636404442302</v>
      </c>
      <c r="AN3161">
        <v>0.999999993546689</v>
      </c>
    </row>
    <row r="3162" spans="1:40" x14ac:dyDescent="0.25">
      <c r="A3162" t="str">
        <f>"20190312154314989"</f>
        <v>20190312154314989</v>
      </c>
      <c r="B3162" t="str">
        <f>"1552376594980340"</f>
        <v>1552376594980340</v>
      </c>
      <c r="C3162" t="s">
        <v>40</v>
      </c>
      <c r="D3162">
        <v>4.696237</v>
      </c>
      <c r="E3162">
        <v>0.4443935</v>
      </c>
      <c r="F3162" t="s">
        <v>43</v>
      </c>
      <c r="G3162">
        <v>-489.87909999999999</v>
      </c>
      <c r="H3162" s="1">
        <v>-6.2399640000000005E-7</v>
      </c>
      <c r="I3162">
        <v>231.03729999999999</v>
      </c>
      <c r="J3162">
        <v>-492.37049999999999</v>
      </c>
      <c r="K3162">
        <v>1.1109389999999999</v>
      </c>
      <c r="L3162">
        <v>248.16220000000001</v>
      </c>
      <c r="M3162">
        <v>-2.217972E-2</v>
      </c>
      <c r="N3162">
        <v>0</v>
      </c>
      <c r="O3162">
        <v>-0.99966489999999997</v>
      </c>
      <c r="P3162">
        <v>-4.8807340000000003E-3</v>
      </c>
      <c r="Q3162">
        <v>5.3198500000000001E-3</v>
      </c>
      <c r="R3162">
        <v>-0.99997400000000003</v>
      </c>
      <c r="S3162">
        <v>0.43505859999999902</v>
      </c>
      <c r="T3162">
        <v>-0.1940827</v>
      </c>
      <c r="U3162">
        <v>-3.0036619999999998</v>
      </c>
      <c r="V3162">
        <v>-1.730895E-2</v>
      </c>
      <c r="W3162">
        <v>1.867311E-2</v>
      </c>
      <c r="X3162">
        <v>0.9996758</v>
      </c>
      <c r="Y3162">
        <v>-0.16497290000000001</v>
      </c>
      <c r="Z3162">
        <v>6.3684350000000001E-2</v>
      </c>
      <c r="AA3162">
        <v>0.98423989999999995</v>
      </c>
      <c r="AB3162">
        <v>11</v>
      </c>
      <c r="AC3162">
        <v>2.4913999999999898</v>
      </c>
      <c r="AD3162">
        <v>-1.1109396239964</v>
      </c>
      <c r="AE3162">
        <v>-17.1249</v>
      </c>
      <c r="AF3162">
        <v>-2.8588642441376302</v>
      </c>
      <c r="AG3162">
        <v>-1.1109396239964</v>
      </c>
      <c r="AH3162">
        <v>16.9953808799503</v>
      </c>
      <c r="AI3162">
        <v>93.6882695446116</v>
      </c>
      <c r="AJ3162">
        <v>99.548570712529298</v>
      </c>
      <c r="AK3162">
        <v>17.269923649777802</v>
      </c>
      <c r="AL3162">
        <v>88.930047415655494</v>
      </c>
      <c r="AM3162">
        <v>90.9919522866428</v>
      </c>
      <c r="AN3162">
        <v>0.99999999494640701</v>
      </c>
    </row>
    <row r="3163" spans="1:40" x14ac:dyDescent="0.25">
      <c r="A3163" t="str">
        <f>"20190312154315010"</f>
        <v>20190312154315010</v>
      </c>
      <c r="B3163" t="str">
        <f>"1552376595000836"</f>
        <v>1552376595000836</v>
      </c>
      <c r="C3163" t="s">
        <v>40</v>
      </c>
      <c r="D3163">
        <v>4.6580969999999997</v>
      </c>
      <c r="E3163">
        <v>0.44478640000000003</v>
      </c>
      <c r="F3163" t="s">
        <v>43</v>
      </c>
      <c r="G3163">
        <v>-489.89069999999998</v>
      </c>
      <c r="H3163" s="1">
        <v>-6.2905749999999897E-7</v>
      </c>
      <c r="I3163">
        <v>231.0539</v>
      </c>
      <c r="J3163">
        <v>-492.37209999999999</v>
      </c>
      <c r="K3163">
        <v>1.110941</v>
      </c>
      <c r="L3163">
        <v>248.06030000000001</v>
      </c>
      <c r="M3163">
        <v>-2.1616590000000001E-2</v>
      </c>
      <c r="N3163">
        <v>0</v>
      </c>
      <c r="O3163">
        <v>-0.99967729999999999</v>
      </c>
      <c r="P3163">
        <v>-3.5716329999999998E-3</v>
      </c>
      <c r="Q3163">
        <v>5.7236379999999996E-3</v>
      </c>
      <c r="R3163">
        <v>-0.99997740000000002</v>
      </c>
      <c r="S3163">
        <v>0.43530269999999999</v>
      </c>
      <c r="T3163">
        <v>-0.195019</v>
      </c>
      <c r="U3163">
        <v>-3.00325</v>
      </c>
      <c r="V3163">
        <v>-1.8054810000000001E-2</v>
      </c>
      <c r="W3163">
        <v>1.9073590000000001E-2</v>
      </c>
      <c r="X3163">
        <v>0.99965510000000002</v>
      </c>
      <c r="Y3163">
        <v>-0.16451189999999999</v>
      </c>
      <c r="Z3163">
        <v>6.4002240000000002E-2</v>
      </c>
      <c r="AA3163">
        <v>0.98429650000000002</v>
      </c>
      <c r="AB3163">
        <v>11</v>
      </c>
      <c r="AC3163">
        <v>2.4813999999999998</v>
      </c>
      <c r="AD3163">
        <v>-1.1109416290575</v>
      </c>
      <c r="AE3163">
        <v>-17.006399999999999</v>
      </c>
      <c r="AF3163">
        <v>-2.8366206788864998</v>
      </c>
      <c r="AG3163">
        <v>-1.1109416290575</v>
      </c>
      <c r="AH3163">
        <v>16.878257388886301</v>
      </c>
      <c r="AI3163">
        <v>93.713890095122906</v>
      </c>
      <c r="AJ3163">
        <v>99.540179642979496</v>
      </c>
      <c r="AK3163">
        <v>17.150981915463401</v>
      </c>
      <c r="AL3163">
        <v>88.907097572338401</v>
      </c>
      <c r="AM3163">
        <v>91.034708824837494</v>
      </c>
      <c r="AN3163">
        <v>1.00000004847781</v>
      </c>
    </row>
    <row r="3164" spans="1:40" x14ac:dyDescent="0.25">
      <c r="A3164" t="str">
        <f>"20190312154315024"</f>
        <v>20190312154315024</v>
      </c>
      <c r="B3164" t="str">
        <f>"1552376595010596"</f>
        <v>1552376595010596</v>
      </c>
      <c r="C3164" t="s">
        <v>40</v>
      </c>
      <c r="D3164">
        <v>4.6560990000000002</v>
      </c>
      <c r="E3164">
        <v>0.44494709999999899</v>
      </c>
      <c r="F3164" t="s">
        <v>43</v>
      </c>
      <c r="G3164">
        <v>-489.86669999999998</v>
      </c>
      <c r="H3164" s="1">
        <v>-5.3730380000000005E-7</v>
      </c>
      <c r="I3164">
        <v>230.83009999999999</v>
      </c>
      <c r="J3164">
        <v>-492.37310000000002</v>
      </c>
      <c r="K3164">
        <v>1.110941</v>
      </c>
      <c r="L3164">
        <v>247.99019999999999</v>
      </c>
      <c r="M3164">
        <v>-2.122957E-2</v>
      </c>
      <c r="N3164">
        <v>0</v>
      </c>
      <c r="O3164">
        <v>-0.99968559999999995</v>
      </c>
      <c r="P3164">
        <v>-3.0017479999999998E-3</v>
      </c>
      <c r="Q3164">
        <v>5.6224389999999999E-3</v>
      </c>
      <c r="R3164">
        <v>-0.99997999999999998</v>
      </c>
      <c r="S3164">
        <v>0.43661499999999998</v>
      </c>
      <c r="T3164">
        <v>-0.1936069</v>
      </c>
      <c r="U3164">
        <v>-3.0027469999999998</v>
      </c>
      <c r="V3164">
        <v>-1.8237420000000001E-2</v>
      </c>
      <c r="W3164">
        <v>1.8970130000000002E-2</v>
      </c>
      <c r="X3164">
        <v>0.99965369999999998</v>
      </c>
      <c r="Y3164">
        <v>-0.1645789</v>
      </c>
      <c r="Z3164">
        <v>6.3549679999999997E-2</v>
      </c>
      <c r="AA3164">
        <v>0.98431460000000004</v>
      </c>
      <c r="AB3164">
        <v>11</v>
      </c>
      <c r="AC3164">
        <v>2.5064000000000402</v>
      </c>
      <c r="AD3164">
        <v>-1.1109415373038001</v>
      </c>
      <c r="AE3164">
        <v>-17.1601</v>
      </c>
      <c r="AF3164">
        <v>-2.8584388325662098</v>
      </c>
      <c r="AG3164">
        <v>-1.1109415373038001</v>
      </c>
      <c r="AH3164">
        <v>17.0331186145192</v>
      </c>
      <c r="AI3164">
        <v>93.680365280587694</v>
      </c>
      <c r="AJ3164">
        <v>99.526411850805104</v>
      </c>
      <c r="AK3164">
        <v>17.3069926155618</v>
      </c>
      <c r="AL3164">
        <v>88.913026407581498</v>
      </c>
      <c r="AM3164">
        <v>91.045173232754905</v>
      </c>
      <c r="AN3164">
        <v>0.999999994622081</v>
      </c>
    </row>
    <row r="3165" spans="1:40" x14ac:dyDescent="0.25">
      <c r="A3165" t="str">
        <f>"20190312154315041"</f>
        <v>20190312154315041</v>
      </c>
      <c r="B3165" t="str">
        <f>"1552376595030116"</f>
        <v>1552376595030116</v>
      </c>
      <c r="C3165" t="s">
        <v>40</v>
      </c>
      <c r="D3165">
        <v>4.6655449999999998</v>
      </c>
      <c r="E3165">
        <v>0.44523760000000001</v>
      </c>
      <c r="F3165" t="s">
        <v>43</v>
      </c>
      <c r="G3165">
        <v>-489.86579999999998</v>
      </c>
      <c r="H3165" s="1">
        <v>-5.0949100000000002E-7</v>
      </c>
      <c r="I3165">
        <v>230.76490000000001</v>
      </c>
      <c r="J3165">
        <v>-492.37439999999998</v>
      </c>
      <c r="K3165">
        <v>1.110948</v>
      </c>
      <c r="L3165">
        <v>247.90309999999999</v>
      </c>
      <c r="M3165">
        <v>-2.074792E-2</v>
      </c>
      <c r="N3165">
        <v>0</v>
      </c>
      <c r="O3165">
        <v>-0.99969569999999996</v>
      </c>
      <c r="P3165">
        <v>-2.2222399999999999E-3</v>
      </c>
      <c r="Q3165">
        <v>6.0663330000000001E-3</v>
      </c>
      <c r="R3165">
        <v>-0.99997930000000002</v>
      </c>
      <c r="S3165">
        <v>0.43704219999999999</v>
      </c>
      <c r="T3165">
        <v>-0.1936436</v>
      </c>
      <c r="U3165">
        <v>-3.002472</v>
      </c>
      <c r="V3165">
        <v>-1.8535179999999998E-2</v>
      </c>
      <c r="W3165">
        <v>1.9411600000000001E-2</v>
      </c>
      <c r="X3165">
        <v>0.99963970000000002</v>
      </c>
      <c r="Y3165">
        <v>-0.1642535</v>
      </c>
      <c r="Z3165">
        <v>6.3569470000000003E-2</v>
      </c>
      <c r="AA3165">
        <v>0.98436769999999996</v>
      </c>
      <c r="AB3165">
        <v>11</v>
      </c>
      <c r="AC3165">
        <v>2.5085999999999999</v>
      </c>
      <c r="AD3165">
        <v>-1.1109485094910001</v>
      </c>
      <c r="AE3165">
        <v>-17.138199999999902</v>
      </c>
      <c r="AF3165">
        <v>-2.8519410396078202</v>
      </c>
      <c r="AG3165">
        <v>-1.1109485094910001</v>
      </c>
      <c r="AH3165">
        <v>17.012470170555499</v>
      </c>
      <c r="AI3165">
        <v>93.684949855984897</v>
      </c>
      <c r="AJ3165">
        <v>99.516477775862896</v>
      </c>
      <c r="AK3165">
        <v>17.2855985024581</v>
      </c>
      <c r="AL3165">
        <v>88.887727326776997</v>
      </c>
      <c r="AM3165">
        <v>91.062248635809397</v>
      </c>
      <c r="AN3165">
        <v>0.99999994646413903</v>
      </c>
    </row>
    <row r="3166" spans="1:40" x14ac:dyDescent="0.25">
      <c r="A3166" t="str">
        <f>"20190312154315053"</f>
        <v>20190312154315053</v>
      </c>
      <c r="B3166" t="str">
        <f>"1552376595040854"</f>
        <v>1552376595040854</v>
      </c>
      <c r="C3166" t="s">
        <v>40</v>
      </c>
      <c r="D3166">
        <v>4.6445850000000002</v>
      </c>
      <c r="E3166">
        <v>0.44535960000000002</v>
      </c>
      <c r="F3166" t="s">
        <v>43</v>
      </c>
      <c r="G3166">
        <v>-489.83589999999998</v>
      </c>
      <c r="H3166" s="1">
        <v>-3.9256249999999998E-7</v>
      </c>
      <c r="I3166">
        <v>230.48</v>
      </c>
      <c r="J3166">
        <v>-492.37520000000001</v>
      </c>
      <c r="K3166">
        <v>1.110948</v>
      </c>
      <c r="L3166">
        <v>247.84790000000001</v>
      </c>
      <c r="M3166">
        <v>-2.044261E-2</v>
      </c>
      <c r="N3166">
        <v>0</v>
      </c>
      <c r="O3166">
        <v>-0.99970210000000004</v>
      </c>
      <c r="P3166">
        <v>-1.7742719999999999E-3</v>
      </c>
      <c r="Q3166">
        <v>5.9717540000000001E-3</v>
      </c>
      <c r="R3166">
        <v>-0.9999808</v>
      </c>
      <c r="S3166">
        <v>0.43740839999999998</v>
      </c>
      <c r="T3166">
        <v>-0.19142970000000001</v>
      </c>
      <c r="U3166">
        <v>-3.0022129999999998</v>
      </c>
      <c r="V3166">
        <v>-1.8677740000000002E-2</v>
      </c>
      <c r="W3166">
        <v>1.9315300000000001E-2</v>
      </c>
      <c r="X3166">
        <v>0.99963900000000006</v>
      </c>
      <c r="Y3166">
        <v>-0.1640885</v>
      </c>
      <c r="Z3166">
        <v>6.2851909999999997E-2</v>
      </c>
      <c r="AA3166">
        <v>0.98444129999999996</v>
      </c>
      <c r="AB3166">
        <v>11</v>
      </c>
      <c r="AC3166">
        <v>2.5393000000000199</v>
      </c>
      <c r="AD3166">
        <v>-1.1109483925624899</v>
      </c>
      <c r="AE3166">
        <v>-17.367899999999999</v>
      </c>
      <c r="AF3166">
        <v>-2.8822996420106102</v>
      </c>
      <c r="AG3166">
        <v>-1.1109483925624899</v>
      </c>
      <c r="AH3166">
        <v>17.243279408240799</v>
      </c>
      <c r="AI3166">
        <v>93.636043294484296</v>
      </c>
      <c r="AJ3166">
        <v>99.489540936765295</v>
      </c>
      <c r="AK3166">
        <v>17.517777892984402</v>
      </c>
      <c r="AL3166">
        <v>88.893246042828196</v>
      </c>
      <c r="AM3166">
        <v>91.070417585660493</v>
      </c>
      <c r="AN3166">
        <v>1.00000003455329</v>
      </c>
    </row>
    <row r="3167" spans="1:40" x14ac:dyDescent="0.25">
      <c r="A3167" t="str">
        <f>"20190312154315066"</f>
        <v>20190312154315066</v>
      </c>
      <c r="B3167" t="str">
        <f>"1552376595060373"</f>
        <v>1552376595060373</v>
      </c>
      <c r="C3167" t="s">
        <v>40</v>
      </c>
      <c r="D3167">
        <v>4.6596330000000004</v>
      </c>
      <c r="E3167">
        <v>0.44563730000000001</v>
      </c>
      <c r="F3167" t="s">
        <v>43</v>
      </c>
      <c r="G3167">
        <v>-489.8372</v>
      </c>
      <c r="H3167" s="1">
        <v>-3.7893220000000001E-7</v>
      </c>
      <c r="I3167">
        <v>230.4487</v>
      </c>
      <c r="J3167">
        <v>-492.37599999999998</v>
      </c>
      <c r="K3167">
        <v>1.1109469999999999</v>
      </c>
      <c r="L3167">
        <v>247.78700000000001</v>
      </c>
      <c r="M3167">
        <v>-2.0105350000000001E-2</v>
      </c>
      <c r="N3167">
        <v>0</v>
      </c>
      <c r="O3167">
        <v>-0.99970879999999995</v>
      </c>
      <c r="P3167">
        <v>-1.5643670000000001E-3</v>
      </c>
      <c r="Q3167">
        <v>6.1612660000000003E-3</v>
      </c>
      <c r="R3167">
        <v>-0.99997979999999997</v>
      </c>
      <c r="S3167">
        <v>0.43789670000000003</v>
      </c>
      <c r="T3167">
        <v>-0.1916795</v>
      </c>
      <c r="U3167">
        <v>-3.0019990000000001</v>
      </c>
      <c r="V3167">
        <v>-1.855039E-2</v>
      </c>
      <c r="W3167">
        <v>1.9503139999999999E-2</v>
      </c>
      <c r="X3167">
        <v>0.99963769999999996</v>
      </c>
      <c r="Y3167">
        <v>-0.16392179999999901</v>
      </c>
      <c r="Z3167">
        <v>6.2938789999999994E-2</v>
      </c>
      <c r="AA3167">
        <v>0.98446350000000005</v>
      </c>
      <c r="AB3167">
        <v>11</v>
      </c>
      <c r="AC3167">
        <v>2.5387999999999802</v>
      </c>
      <c r="AD3167">
        <v>-1.1109473789322</v>
      </c>
      <c r="AE3167">
        <v>-17.3383</v>
      </c>
      <c r="AF3167">
        <v>-2.87535318765865</v>
      </c>
      <c r="AG3167">
        <v>-1.1109473789322</v>
      </c>
      <c r="AH3167">
        <v>17.214554630361</v>
      </c>
      <c r="AI3167">
        <v>93.642164456971301</v>
      </c>
      <c r="AJ3167">
        <v>99.482595687815405</v>
      </c>
      <c r="AK3167">
        <v>17.488360447858401</v>
      </c>
      <c r="AL3167">
        <v>88.882481549135505</v>
      </c>
      <c r="AM3167">
        <v>91.063122245379603</v>
      </c>
      <c r="AN3167">
        <v>1.0000000103501501</v>
      </c>
    </row>
    <row r="3168" spans="1:40" x14ac:dyDescent="0.25">
      <c r="A3168" t="str">
        <f>"20190312154315078"</f>
        <v>20190312154315078</v>
      </c>
      <c r="B3168" t="str">
        <f>"1552376595070132"</f>
        <v>1552376595070132</v>
      </c>
      <c r="C3168" t="s">
        <v>40</v>
      </c>
      <c r="D3168">
        <v>4.6264440000000002</v>
      </c>
      <c r="E3168">
        <v>0.44576719999999997</v>
      </c>
      <c r="F3168" t="s">
        <v>43</v>
      </c>
      <c r="G3168">
        <v>-489.84219999999999</v>
      </c>
      <c r="H3168" s="1">
        <v>-3.2722370000000002E-7</v>
      </c>
      <c r="I3168">
        <v>230.33029999999999</v>
      </c>
      <c r="J3168">
        <v>-492.37700000000001</v>
      </c>
      <c r="K3168">
        <v>1.110943</v>
      </c>
      <c r="L3168">
        <v>247.72229999999999</v>
      </c>
      <c r="M3168">
        <v>-1.974797E-2</v>
      </c>
      <c r="N3168">
        <v>0</v>
      </c>
      <c r="O3168">
        <v>-0.99971589999999999</v>
      </c>
      <c r="P3168">
        <v>-9.4019510000000004E-4</v>
      </c>
      <c r="Q3168">
        <v>5.8543220000000003E-3</v>
      </c>
      <c r="R3168">
        <v>-0.9999825</v>
      </c>
      <c r="S3168">
        <v>0.43573000000000001</v>
      </c>
      <c r="T3168">
        <v>-0.19104399999999999</v>
      </c>
      <c r="U3168">
        <v>-3.001938</v>
      </c>
      <c r="V3168">
        <v>-1.8816490000000002E-2</v>
      </c>
      <c r="W3168">
        <v>1.919421E-2</v>
      </c>
      <c r="X3168">
        <v>0.99963869999999999</v>
      </c>
      <c r="Y3168">
        <v>-0.16287789999999999</v>
      </c>
      <c r="Z3168">
        <v>6.274159E-2</v>
      </c>
      <c r="AA3168">
        <v>0.98464929999999995</v>
      </c>
      <c r="AB3168">
        <v>11</v>
      </c>
      <c r="AC3168">
        <v>2.5347999999999602</v>
      </c>
      <c r="AD3168">
        <v>-1.1109433272236999</v>
      </c>
      <c r="AE3168">
        <v>-17.3919999999999</v>
      </c>
      <c r="AF3168">
        <v>-2.8663408177877101</v>
      </c>
      <c r="AG3168">
        <v>-1.1109433272236999</v>
      </c>
      <c r="AH3168">
        <v>17.269548053196701</v>
      </c>
      <c r="AI3168">
        <v>93.631202369015597</v>
      </c>
      <c r="AJ3168">
        <v>99.423848426354994</v>
      </c>
      <c r="AK3168">
        <v>17.541020344372502</v>
      </c>
      <c r="AL3168">
        <v>88.900185241683005</v>
      </c>
      <c r="AM3168">
        <v>91.078367773483805</v>
      </c>
      <c r="AN3168">
        <v>1.0000000042655599</v>
      </c>
    </row>
    <row r="3169" spans="1:40" x14ac:dyDescent="0.25">
      <c r="A3169" t="str">
        <f>"20190312154315091"</f>
        <v>20190312154315091</v>
      </c>
      <c r="B3169" t="str">
        <f>"1552376595080869"</f>
        <v>1552376595080869</v>
      </c>
      <c r="C3169" t="s">
        <v>40</v>
      </c>
      <c r="D3169">
        <v>4.6237320000000004</v>
      </c>
      <c r="E3169">
        <v>0.44586710000000002</v>
      </c>
      <c r="F3169" t="s">
        <v>43</v>
      </c>
      <c r="G3169">
        <v>-489.84050000000002</v>
      </c>
      <c r="H3169" s="1">
        <v>-3.1849360000000002E-7</v>
      </c>
      <c r="I3169">
        <v>230.3092</v>
      </c>
      <c r="J3169">
        <v>-492.3777</v>
      </c>
      <c r="K3169">
        <v>1.110941</v>
      </c>
      <c r="L3169">
        <v>247.6651</v>
      </c>
      <c r="M3169">
        <v>-1.943251E-2</v>
      </c>
      <c r="N3169">
        <v>0</v>
      </c>
      <c r="O3169">
        <v>-0.99972240000000001</v>
      </c>
      <c r="P3169">
        <v>-4.3889539999999999E-4</v>
      </c>
      <c r="Q3169">
        <v>5.9784729999999998E-3</v>
      </c>
      <c r="R3169">
        <v>-0.99998240000000005</v>
      </c>
      <c r="S3169">
        <v>0.43722529999999998</v>
      </c>
      <c r="T3169">
        <v>-0.19149849999999999</v>
      </c>
      <c r="U3169">
        <v>-3.0015719999999999</v>
      </c>
      <c r="V3169">
        <v>-1.900234E-2</v>
      </c>
      <c r="W3169">
        <v>1.9316730000000001E-2</v>
      </c>
      <c r="X3169">
        <v>0.99963279999999999</v>
      </c>
      <c r="Y3169">
        <v>-0.1630626</v>
      </c>
      <c r="Z3169">
        <v>6.2895229999999996E-2</v>
      </c>
      <c r="AA3169">
        <v>0.98460890000000001</v>
      </c>
      <c r="AB3169">
        <v>11</v>
      </c>
      <c r="AC3169">
        <v>2.5371999999999799</v>
      </c>
      <c r="AD3169">
        <v>-1.1109413184935999</v>
      </c>
      <c r="AE3169">
        <v>-17.355899999999899</v>
      </c>
      <c r="AF3169">
        <v>-2.8625364468744299</v>
      </c>
      <c r="AG3169">
        <v>-1.1109413184935999</v>
      </c>
      <c r="AH3169">
        <v>17.234179013270701</v>
      </c>
      <c r="AI3169">
        <v>93.638557691109298</v>
      </c>
      <c r="AJ3169">
        <v>99.430532862049901</v>
      </c>
      <c r="AK3169">
        <v>17.505577162272701</v>
      </c>
      <c r="AL3169">
        <v>88.893164034088002</v>
      </c>
      <c r="AM3169">
        <v>91.089022658469105</v>
      </c>
      <c r="AN3169">
        <v>0.99999997990960399</v>
      </c>
    </row>
    <row r="3170" spans="1:40" x14ac:dyDescent="0.25">
      <c r="A3170" t="str">
        <f>"20190312154315102"</f>
        <v>20190312154315102</v>
      </c>
      <c r="B3170" t="str">
        <f>"1552376595090629"</f>
        <v>1552376595090629</v>
      </c>
      <c r="C3170" t="s">
        <v>40</v>
      </c>
      <c r="D3170">
        <v>4.6130649999999997</v>
      </c>
      <c r="E3170">
        <v>0.44598749999999998</v>
      </c>
      <c r="F3170" t="s">
        <v>43</v>
      </c>
      <c r="G3170">
        <v>-489.83150000000001</v>
      </c>
      <c r="H3170" s="1">
        <v>-2.7321E-7</v>
      </c>
      <c r="I3170">
        <v>230.2</v>
      </c>
      <c r="J3170">
        <v>-492.3784</v>
      </c>
      <c r="K3170">
        <v>1.1109370000000001</v>
      </c>
      <c r="L3170">
        <v>247.6088</v>
      </c>
      <c r="M3170">
        <v>-1.9121679999999999E-2</v>
      </c>
      <c r="N3170">
        <v>0</v>
      </c>
      <c r="O3170">
        <v>-0.99972810000000001</v>
      </c>
      <c r="P3170">
        <v>-1.053172E-4</v>
      </c>
      <c r="Q3170">
        <v>5.8266960000000001E-3</v>
      </c>
      <c r="R3170">
        <v>-0.99998310000000001</v>
      </c>
      <c r="S3170">
        <v>0.43756099999999998</v>
      </c>
      <c r="T3170">
        <v>-0.1909151</v>
      </c>
      <c r="U3170">
        <v>-3.0013890000000001</v>
      </c>
      <c r="V3170">
        <v>-1.9025279999999999E-2</v>
      </c>
      <c r="W3170">
        <v>1.9163690000000001E-2</v>
      </c>
      <c r="X3170">
        <v>0.9996353</v>
      </c>
      <c r="Y3170">
        <v>-0.16287399999999999</v>
      </c>
      <c r="Z3170">
        <v>6.2709189999999998E-2</v>
      </c>
      <c r="AA3170">
        <v>0.98465199999999997</v>
      </c>
      <c r="AB3170">
        <v>11</v>
      </c>
      <c r="AC3170">
        <v>2.5468999999999902</v>
      </c>
      <c r="AD3170">
        <v>-1.11093727321</v>
      </c>
      <c r="AE3170">
        <v>-17.408799999999999</v>
      </c>
      <c r="AF3170">
        <v>-2.8679150805640701</v>
      </c>
      <c r="AG3170">
        <v>-1.11093727321</v>
      </c>
      <c r="AH3170">
        <v>17.287984289015899</v>
      </c>
      <c r="AI3170">
        <v>93.627370822132306</v>
      </c>
      <c r="AJ3170">
        <v>99.419056398655499</v>
      </c>
      <c r="AK3170">
        <v>17.559428217103001</v>
      </c>
      <c r="AL3170">
        <v>88.901934193646198</v>
      </c>
      <c r="AM3170">
        <v>91.090334304756894</v>
      </c>
      <c r="AN3170">
        <v>0.99999997064979196</v>
      </c>
    </row>
    <row r="3171" spans="1:40" x14ac:dyDescent="0.25">
      <c r="A3171" t="str">
        <f>"20190312154315120"</f>
        <v>20190312154315120</v>
      </c>
      <c r="B3171" t="str">
        <f>"1552376595110148"</f>
        <v>1552376595110148</v>
      </c>
      <c r="C3171" t="s">
        <v>40</v>
      </c>
      <c r="D3171">
        <v>4.6183329999999998</v>
      </c>
      <c r="E3171">
        <v>0.44618540000000001</v>
      </c>
      <c r="F3171" t="s">
        <v>43</v>
      </c>
      <c r="G3171">
        <v>-489.83580000000001</v>
      </c>
      <c r="H3171" s="1">
        <v>-2.5966830000000002E-7</v>
      </c>
      <c r="I3171">
        <v>230.17019999999999</v>
      </c>
      <c r="J3171">
        <v>-492.37950000000001</v>
      </c>
      <c r="K3171">
        <v>1.1109370000000001</v>
      </c>
      <c r="L3171">
        <v>247.524</v>
      </c>
      <c r="M3171">
        <v>-1.8653960000000001E-2</v>
      </c>
      <c r="N3171">
        <v>0</v>
      </c>
      <c r="O3171">
        <v>-0.99973690000000004</v>
      </c>
      <c r="P3171">
        <v>8.4264649999999904E-4</v>
      </c>
      <c r="Q3171">
        <v>5.6819039999999998E-3</v>
      </c>
      <c r="R3171">
        <v>-0.99998339999999997</v>
      </c>
      <c r="S3171">
        <v>0.43759160000000002</v>
      </c>
      <c r="T3171">
        <v>-0.1911929</v>
      </c>
      <c r="U3171">
        <v>-3.0012050000000001</v>
      </c>
      <c r="V3171">
        <v>-1.9504859999999999E-2</v>
      </c>
      <c r="W3171">
        <v>1.9016370000000001E-2</v>
      </c>
      <c r="X3171">
        <v>0.99962890000000004</v>
      </c>
      <c r="Y3171">
        <v>-0.16242989999999999</v>
      </c>
      <c r="Z3171">
        <v>6.280695E-2</v>
      </c>
      <c r="AA3171">
        <v>0.98471920000000002</v>
      </c>
      <c r="AB3171">
        <v>11</v>
      </c>
      <c r="AC3171">
        <v>2.5436999999999999</v>
      </c>
      <c r="AD3171">
        <v>-1.1109372596683</v>
      </c>
      <c r="AE3171">
        <v>-17.3538</v>
      </c>
      <c r="AF3171">
        <v>-2.8555468782285498</v>
      </c>
      <c r="AG3171">
        <v>-1.1109372596683</v>
      </c>
      <c r="AH3171">
        <v>17.2341825568483</v>
      </c>
      <c r="AI3171">
        <v>93.638781321420396</v>
      </c>
      <c r="AJ3171">
        <v>99.407916211021103</v>
      </c>
      <c r="AK3171">
        <v>17.5044388076697</v>
      </c>
      <c r="AL3171">
        <v>88.910376578370204</v>
      </c>
      <c r="AM3171">
        <v>91.1178191882492</v>
      </c>
      <c r="AN3171">
        <v>0.99999999980340304</v>
      </c>
    </row>
    <row r="3172" spans="1:40" x14ac:dyDescent="0.25">
      <c r="A3172" t="str">
        <f>"20190312154315134"</f>
        <v>20190312154315134</v>
      </c>
      <c r="B3172" t="str">
        <f>"1552376595130646"</f>
        <v>1552376595130646</v>
      </c>
      <c r="C3172" t="s">
        <v>40</v>
      </c>
      <c r="D3172">
        <v>4.6027120000000004</v>
      </c>
      <c r="E3172">
        <v>0.44637549999999998</v>
      </c>
      <c r="F3172" t="s">
        <v>43</v>
      </c>
      <c r="G3172">
        <v>-489.83449999999999</v>
      </c>
      <c r="H3172" s="1">
        <v>-2.3267910000000001E-7</v>
      </c>
      <c r="I3172">
        <v>230.10669999999999</v>
      </c>
      <c r="J3172">
        <v>-492.3802</v>
      </c>
      <c r="K3172">
        <v>1.1109389999999999</v>
      </c>
      <c r="L3172">
        <v>247.46129999999999</v>
      </c>
      <c r="M3172">
        <v>-1.8308290000000001E-2</v>
      </c>
      <c r="N3172">
        <v>0</v>
      </c>
      <c r="O3172">
        <v>-0.9997433</v>
      </c>
      <c r="P3172">
        <v>1.315618E-3</v>
      </c>
      <c r="Q3172">
        <v>5.5563799999999997E-3</v>
      </c>
      <c r="R3172">
        <v>-0.99998350000000003</v>
      </c>
      <c r="S3172">
        <v>0.43847659999999999</v>
      </c>
      <c r="T3172">
        <v>-0.19140009999999999</v>
      </c>
      <c r="U3172">
        <v>-3.0007779999999999</v>
      </c>
      <c r="V3172">
        <v>-1.9632170000000001E-2</v>
      </c>
      <c r="W3172">
        <v>1.8889079999999999E-2</v>
      </c>
      <c r="X3172">
        <v>0.99962879999999998</v>
      </c>
      <c r="Y3172">
        <v>-0.16239239999999999</v>
      </c>
      <c r="Z3172">
        <v>6.2883019999999998E-2</v>
      </c>
      <c r="AA3172">
        <v>0.9847205</v>
      </c>
      <c r="AB3172">
        <v>11</v>
      </c>
      <c r="AC3172">
        <v>2.5457000000000098</v>
      </c>
      <c r="AD3172">
        <v>-1.1109392326791001</v>
      </c>
      <c r="AE3172">
        <v>-17.354600000000001</v>
      </c>
      <c r="AF3172">
        <v>-2.8515954444323999</v>
      </c>
      <c r="AG3172">
        <v>-1.1109392326791001</v>
      </c>
      <c r="AH3172">
        <v>17.235937306752501</v>
      </c>
      <c r="AI3172">
        <v>93.638562230941801</v>
      </c>
      <c r="AJ3172">
        <v>99.394190594185304</v>
      </c>
      <c r="AK3172">
        <v>17.505522482911399</v>
      </c>
      <c r="AL3172">
        <v>88.917671045445204</v>
      </c>
      <c r="AM3172">
        <v>91.125113539149098</v>
      </c>
      <c r="AN3172">
        <v>0.99999997861579704</v>
      </c>
    </row>
    <row r="3173" spans="1:40" x14ac:dyDescent="0.25">
      <c r="A3173" t="str">
        <f>"20190312154315153"</f>
        <v>20190312154315153</v>
      </c>
      <c r="B3173" t="str">
        <f>"1552376595140404"</f>
        <v>1552376595140404</v>
      </c>
      <c r="C3173" t="s">
        <v>40</v>
      </c>
      <c r="D3173">
        <v>4.6298750000000002</v>
      </c>
      <c r="E3173">
        <v>0.44645629999999997</v>
      </c>
      <c r="F3173" t="s">
        <v>43</v>
      </c>
      <c r="G3173">
        <v>-489.82619999999997</v>
      </c>
      <c r="H3173" s="1">
        <v>-1.8294039999999999E-7</v>
      </c>
      <c r="I3173">
        <v>229.98740000000001</v>
      </c>
      <c r="J3173">
        <v>-492.38130000000001</v>
      </c>
      <c r="K3173">
        <v>1.110938</v>
      </c>
      <c r="L3173">
        <v>247.36920000000001</v>
      </c>
      <c r="M3173">
        <v>-1.7803490000000002E-2</v>
      </c>
      <c r="N3173">
        <v>0</v>
      </c>
      <c r="O3173">
        <v>-0.99975259999999999</v>
      </c>
      <c r="P3173">
        <v>2.2318720000000002E-3</v>
      </c>
      <c r="Q3173">
        <v>5.7423860000000004E-3</v>
      </c>
      <c r="R3173">
        <v>-0.99998100000000001</v>
      </c>
      <c r="S3173">
        <v>0.43856810000000002</v>
      </c>
      <c r="T3173">
        <v>-0.19076679999999999</v>
      </c>
      <c r="U3173">
        <v>-3.0005649999999999</v>
      </c>
      <c r="V3173">
        <v>-2.0043459999999999E-2</v>
      </c>
      <c r="W3173">
        <v>1.907263E-2</v>
      </c>
      <c r="X3173">
        <v>0.99961719999999998</v>
      </c>
      <c r="Y3173">
        <v>-0.16193550000000001</v>
      </c>
      <c r="Z3173">
        <v>6.2683299999999997E-2</v>
      </c>
      <c r="AA3173">
        <v>0.98480840000000003</v>
      </c>
      <c r="AB3173">
        <v>11</v>
      </c>
      <c r="AC3173">
        <v>2.5551000000000301</v>
      </c>
      <c r="AD3173">
        <v>-1.1109381829403999</v>
      </c>
      <c r="AE3173">
        <v>-17.381799999999998</v>
      </c>
      <c r="AF3173">
        <v>-2.85277213436903</v>
      </c>
      <c r="AG3173">
        <v>-1.1109381829403999</v>
      </c>
      <c r="AH3173">
        <v>17.264517297414699</v>
      </c>
      <c r="AI3173">
        <v>93.632671560093797</v>
      </c>
      <c r="AJ3173">
        <v>99.382717157042293</v>
      </c>
      <c r="AK3173">
        <v>17.533854396842699</v>
      </c>
      <c r="AL3173">
        <v>88.907152561745406</v>
      </c>
      <c r="AM3173">
        <v>91.148691516319204</v>
      </c>
      <c r="AN3173">
        <v>1.00000002601986</v>
      </c>
    </row>
    <row r="3174" spans="1:40" x14ac:dyDescent="0.25">
      <c r="A3174" t="str">
        <f>"20190312154315164"</f>
        <v>20190312154315164</v>
      </c>
      <c r="B3174" t="str">
        <f>"1552376595160900"</f>
        <v>1552376595160900</v>
      </c>
      <c r="C3174" t="s">
        <v>40</v>
      </c>
      <c r="D3174">
        <v>4.6487439999999998</v>
      </c>
      <c r="E3174">
        <v>0.44661020000000001</v>
      </c>
      <c r="F3174" t="s">
        <v>43</v>
      </c>
      <c r="G3174">
        <v>-489.8159</v>
      </c>
      <c r="H3174" s="1">
        <v>-1.4553089999999999E-7</v>
      </c>
      <c r="I3174">
        <v>229.89590000000001</v>
      </c>
      <c r="J3174">
        <v>-492.38200000000001</v>
      </c>
      <c r="K3174">
        <v>1.110935</v>
      </c>
      <c r="L3174">
        <v>247.30930000000001</v>
      </c>
      <c r="M3174">
        <v>-1.747626E-2</v>
      </c>
      <c r="N3174">
        <v>0</v>
      </c>
      <c r="O3174">
        <v>-0.99975860000000005</v>
      </c>
      <c r="P3174">
        <v>2.7550259999999998E-3</v>
      </c>
      <c r="Q3174">
        <v>5.9727030000000002E-3</v>
      </c>
      <c r="R3174">
        <v>-0.9999787</v>
      </c>
      <c r="S3174">
        <v>0.44049070000000001</v>
      </c>
      <c r="T3174">
        <v>-0.1907452</v>
      </c>
      <c r="U3174">
        <v>-3.0001370000000001</v>
      </c>
      <c r="V3174">
        <v>-2.023927E-2</v>
      </c>
      <c r="W3174">
        <v>1.9300990000000001E-2</v>
      </c>
      <c r="X3174">
        <v>0.99960890000000002</v>
      </c>
      <c r="Y3174">
        <v>-0.16225039999999999</v>
      </c>
      <c r="Z3174">
        <v>6.2681059999999997E-2</v>
      </c>
      <c r="AA3174">
        <v>0.98475679999999999</v>
      </c>
      <c r="AB3174">
        <v>11</v>
      </c>
      <c r="AC3174">
        <v>2.5660999999999401</v>
      </c>
      <c r="AD3174">
        <v>-1.1109351455309</v>
      </c>
      <c r="AE3174">
        <v>-17.4133999999999</v>
      </c>
      <c r="AF3174">
        <v>-2.8586682182858398</v>
      </c>
      <c r="AG3174">
        <v>-1.1109351455309</v>
      </c>
      <c r="AH3174">
        <v>17.2969853612401</v>
      </c>
      <c r="AI3174">
        <v>93.625843154866701</v>
      </c>
      <c r="AJ3174">
        <v>99.384429620274602</v>
      </c>
      <c r="AK3174">
        <v>17.566782957239699</v>
      </c>
      <c r="AL3174">
        <v>88.894066120465595</v>
      </c>
      <c r="AM3174">
        <v>91.159919972892297</v>
      </c>
      <c r="AN3174">
        <v>1.0000000546121599</v>
      </c>
    </row>
    <row r="3175" spans="1:40" x14ac:dyDescent="0.25">
      <c r="A3175" t="str">
        <f>"20190312154315178"</f>
        <v>20190312154315178</v>
      </c>
      <c r="B3175" t="str">
        <f>"1552376595170661"</f>
        <v>1552376595170661</v>
      </c>
      <c r="C3175" t="s">
        <v>40</v>
      </c>
      <c r="D3175">
        <v>4.6243509999999999</v>
      </c>
      <c r="E3175">
        <v>0.44666889999999998</v>
      </c>
      <c r="F3175" t="s">
        <v>43</v>
      </c>
      <c r="G3175">
        <v>-489.8134</v>
      </c>
      <c r="H3175" s="1">
        <v>-1.115157E-7</v>
      </c>
      <c r="I3175">
        <v>229.81559999999999</v>
      </c>
      <c r="J3175">
        <v>-492.3827</v>
      </c>
      <c r="K3175">
        <v>1.1109309999999999</v>
      </c>
      <c r="L3175">
        <v>247.25299999999999</v>
      </c>
      <c r="M3175">
        <v>-1.7171269999999999E-2</v>
      </c>
      <c r="N3175">
        <v>0</v>
      </c>
      <c r="O3175">
        <v>-0.99976379999999998</v>
      </c>
      <c r="P3175">
        <v>3.18214E-3</v>
      </c>
      <c r="Q3175">
        <v>5.7816079999999997E-3</v>
      </c>
      <c r="R3175">
        <v>-0.99997840000000005</v>
      </c>
      <c r="S3175">
        <v>0.44049070000000001</v>
      </c>
      <c r="T3175">
        <v>-0.19051309999999999</v>
      </c>
      <c r="U3175">
        <v>-2.9999850000000001</v>
      </c>
      <c r="V3175">
        <v>-2.036137E-2</v>
      </c>
      <c r="W3175">
        <v>1.9107909999999999E-2</v>
      </c>
      <c r="X3175">
        <v>0.99961009999999995</v>
      </c>
      <c r="Y3175">
        <v>-0.1619572</v>
      </c>
      <c r="Z3175">
        <v>6.2610269999999996E-2</v>
      </c>
      <c r="AA3175">
        <v>0.9848095</v>
      </c>
      <c r="AB3175">
        <v>11</v>
      </c>
      <c r="AC3175">
        <v>2.5692999999999899</v>
      </c>
      <c r="AD3175">
        <v>-1.1109311115156999</v>
      </c>
      <c r="AE3175">
        <v>-17.437399999999901</v>
      </c>
      <c r="AF3175">
        <v>-2.8570199906370402</v>
      </c>
      <c r="AG3175">
        <v>-1.1109311115156999</v>
      </c>
      <c r="AH3175">
        <v>17.321892317859302</v>
      </c>
      <c r="AI3175">
        <v>93.620823508294293</v>
      </c>
      <c r="AJ3175">
        <v>99.365867994900896</v>
      </c>
      <c r="AK3175">
        <v>17.591039896292301</v>
      </c>
      <c r="AL3175">
        <v>88.905130796942402</v>
      </c>
      <c r="AM3175">
        <v>91.166914239046704</v>
      </c>
      <c r="AN3175">
        <v>1.0000000248174199</v>
      </c>
    </row>
    <row r="3176" spans="1:40" x14ac:dyDescent="0.25">
      <c r="A3176" t="str">
        <f>"20190312154315192"</f>
        <v>20190312154315192</v>
      </c>
      <c r="B3176" t="str">
        <f>"1552376595180420"</f>
        <v>1552376595180420</v>
      </c>
      <c r="C3176" t="s">
        <v>40</v>
      </c>
      <c r="D3176">
        <v>4.6376299999999997</v>
      </c>
      <c r="E3176">
        <v>0.44672650000000003</v>
      </c>
      <c r="F3176" t="s">
        <v>43</v>
      </c>
      <c r="G3176">
        <v>-489.82029999999997</v>
      </c>
      <c r="H3176" s="1">
        <v>-1.2050770000000001E-7</v>
      </c>
      <c r="I3176">
        <v>229.83940000000001</v>
      </c>
      <c r="J3176">
        <v>-492.38350000000003</v>
      </c>
      <c r="K3176">
        <v>1.110927</v>
      </c>
      <c r="L3176">
        <v>247.1824</v>
      </c>
      <c r="M3176">
        <v>-1.6790989999999999E-2</v>
      </c>
      <c r="N3176">
        <v>0</v>
      </c>
      <c r="O3176">
        <v>-0.99977000000000005</v>
      </c>
      <c r="P3176">
        <v>3.6836540000000002E-3</v>
      </c>
      <c r="Q3176">
        <v>5.5660819999999904E-3</v>
      </c>
      <c r="R3176">
        <v>-0.99997749999999996</v>
      </c>
      <c r="S3176">
        <v>0.44140629999999997</v>
      </c>
      <c r="T3176">
        <v>-0.19137660000000001</v>
      </c>
      <c r="U3176">
        <v>-2.9997859999999998</v>
      </c>
      <c r="V3176">
        <v>-2.0482050000000002E-2</v>
      </c>
      <c r="W3176">
        <v>1.889099E-2</v>
      </c>
      <c r="X3176">
        <v>0.99961169999999999</v>
      </c>
      <c r="Y3176">
        <v>-0.1618829</v>
      </c>
      <c r="Z3176">
        <v>6.2896610000000006E-2</v>
      </c>
      <c r="AA3176">
        <v>0.98480350000000005</v>
      </c>
      <c r="AB3176">
        <v>11</v>
      </c>
      <c r="AC3176">
        <v>2.5632000000000499</v>
      </c>
      <c r="AD3176">
        <v>-1.1109271205077</v>
      </c>
      <c r="AE3176">
        <v>-17.3429999999999</v>
      </c>
      <c r="AF3176">
        <v>-2.8426559876458102</v>
      </c>
      <c r="AG3176">
        <v>-1.1109271205077</v>
      </c>
      <c r="AH3176">
        <v>17.2283319011514</v>
      </c>
      <c r="AI3176">
        <v>93.640384893271005</v>
      </c>
      <c r="AJ3176">
        <v>99.369324308467597</v>
      </c>
      <c r="AK3176">
        <v>17.496578872094101</v>
      </c>
      <c r="AL3176">
        <v>88.917561578752</v>
      </c>
      <c r="AM3176">
        <v>91.173826626559404</v>
      </c>
      <c r="AN3176">
        <v>0.99999996732613505</v>
      </c>
    </row>
    <row r="3177" spans="1:40" x14ac:dyDescent="0.25">
      <c r="A3177" t="str">
        <f>"20190312154315210"</f>
        <v>20190312154315210</v>
      </c>
      <c r="B3177" t="str">
        <f>"1552376595200916"</f>
        <v>1552376595200916</v>
      </c>
      <c r="C3177" t="s">
        <v>40</v>
      </c>
      <c r="D3177">
        <v>4.6541819999999996</v>
      </c>
      <c r="E3177">
        <v>0.44689770000000001</v>
      </c>
      <c r="F3177" t="s">
        <v>43</v>
      </c>
      <c r="G3177">
        <v>-489.82560000000001</v>
      </c>
      <c r="H3177" s="1">
        <v>-1.219615E-7</v>
      </c>
      <c r="I3177">
        <v>229.8449</v>
      </c>
      <c r="J3177">
        <v>-492.3843</v>
      </c>
      <c r="K3177">
        <v>1.1109230000000001</v>
      </c>
      <c r="L3177">
        <v>247.09450000000001</v>
      </c>
      <c r="M3177">
        <v>-1.6324660000000001E-2</v>
      </c>
      <c r="N3177">
        <v>0</v>
      </c>
      <c r="O3177">
        <v>-0.99977819999999995</v>
      </c>
      <c r="P3177">
        <v>4.8998669999999996E-3</v>
      </c>
      <c r="Q3177">
        <v>5.3075939999999997E-3</v>
      </c>
      <c r="R3177">
        <v>-0.99997409999999998</v>
      </c>
      <c r="S3177">
        <v>0.44253540000000002</v>
      </c>
      <c r="T3177">
        <v>-0.19220029999999999</v>
      </c>
      <c r="U3177">
        <v>-2.9995270000000001</v>
      </c>
      <c r="V3177">
        <v>-2.1231440000000001E-2</v>
      </c>
      <c r="W3177">
        <v>1.8629730000000001E-2</v>
      </c>
      <c r="X3177">
        <v>0.99960099999999996</v>
      </c>
      <c r="Y3177">
        <v>-0.1617952</v>
      </c>
      <c r="Z3177">
        <v>6.3171099999999994E-2</v>
      </c>
      <c r="AA3177">
        <v>0.98480029999999996</v>
      </c>
      <c r="AB3177">
        <v>11</v>
      </c>
      <c r="AC3177">
        <v>2.55869999999998</v>
      </c>
      <c r="AD3177">
        <v>-1.1109231219614999</v>
      </c>
      <c r="AE3177">
        <v>-17.249600000000001</v>
      </c>
      <c r="AF3177">
        <v>-2.8284985079515601</v>
      </c>
      <c r="AG3177">
        <v>-1.1109231219614999</v>
      </c>
      <c r="AH3177">
        <v>17.1359822275525</v>
      </c>
      <c r="AI3177">
        <v>93.659900467131905</v>
      </c>
      <c r="AJ3177">
        <v>99.372840027206905</v>
      </c>
      <c r="AK3177">
        <v>17.4033456810864</v>
      </c>
      <c r="AL3177">
        <v>88.932533344457795</v>
      </c>
      <c r="AM3177">
        <v>91.216774516914199</v>
      </c>
      <c r="AN3177">
        <v>1.0000000000426701</v>
      </c>
    </row>
    <row r="3178" spans="1:40" x14ac:dyDescent="0.25">
      <c r="A3178" t="str">
        <f>"20190312154315224"</f>
        <v>20190312154315224</v>
      </c>
      <c r="B3178" t="str">
        <f>"1552376595220436"</f>
        <v>1552376595220436</v>
      </c>
      <c r="C3178" t="s">
        <v>40</v>
      </c>
      <c r="D3178">
        <v>4.617451</v>
      </c>
      <c r="E3178">
        <v>0.44704929999999898</v>
      </c>
      <c r="F3178" t="s">
        <v>43</v>
      </c>
      <c r="G3178">
        <v>-489.8295</v>
      </c>
      <c r="H3178" s="1">
        <v>-1.340255E-7</v>
      </c>
      <c r="I3178">
        <v>229.87469999999999</v>
      </c>
      <c r="J3178">
        <v>-492.38499999999999</v>
      </c>
      <c r="K3178">
        <v>1.110919</v>
      </c>
      <c r="L3178">
        <v>247.02940000000001</v>
      </c>
      <c r="M3178">
        <v>-1.5985160000000002E-2</v>
      </c>
      <c r="N3178">
        <v>0</v>
      </c>
      <c r="O3178">
        <v>-0.99978359999999999</v>
      </c>
      <c r="P3178">
        <v>5.5254930000000002E-3</v>
      </c>
      <c r="Q3178">
        <v>5.3485249999999998E-3</v>
      </c>
      <c r="R3178">
        <v>-0.99997060000000004</v>
      </c>
      <c r="S3178">
        <v>0.44494630000000002</v>
      </c>
      <c r="T3178">
        <v>-0.19347520000000001</v>
      </c>
      <c r="U3178">
        <v>-2.9989469999999998</v>
      </c>
      <c r="V3178">
        <v>-2.1517410000000001E-2</v>
      </c>
      <c r="W3178">
        <v>1.8668819999999999E-2</v>
      </c>
      <c r="X3178">
        <v>0.99959419999999999</v>
      </c>
      <c r="Y3178">
        <v>-0.1622584</v>
      </c>
      <c r="Z3178">
        <v>6.3594910000000004E-2</v>
      </c>
      <c r="AA3178">
        <v>0.98469689999999999</v>
      </c>
      <c r="AB3178">
        <v>11</v>
      </c>
      <c r="AC3178">
        <v>2.5554999999999901</v>
      </c>
      <c r="AD3178">
        <v>-1.1109191340255</v>
      </c>
      <c r="AE3178">
        <v>-17.154699999999998</v>
      </c>
      <c r="AF3178">
        <v>-2.8178576160823301</v>
      </c>
      <c r="AG3178">
        <v>-1.1109191340255</v>
      </c>
      <c r="AH3178">
        <v>17.0417374495768</v>
      </c>
      <c r="AI3178">
        <v>93.679901702380107</v>
      </c>
      <c r="AJ3178">
        <v>99.388926745369801</v>
      </c>
      <c r="AK3178">
        <v>17.308820819661999</v>
      </c>
      <c r="AL3178">
        <v>88.930293310123602</v>
      </c>
      <c r="AM3178">
        <v>91.2331668261006</v>
      </c>
      <c r="AN3178">
        <v>1.00000004422346</v>
      </c>
    </row>
    <row r="3179" spans="1:40" x14ac:dyDescent="0.25">
      <c r="A3179" t="str">
        <f>"20190312154315242"</f>
        <v>20190312154315242</v>
      </c>
      <c r="B3179" t="str">
        <f>"1552376595240933"</f>
        <v>1552376595240933</v>
      </c>
      <c r="C3179" t="s">
        <v>40</v>
      </c>
      <c r="D3179">
        <v>4.5826799999999999</v>
      </c>
      <c r="E3179">
        <v>0.447158</v>
      </c>
      <c r="F3179" t="s">
        <v>43</v>
      </c>
      <c r="G3179">
        <v>-489.83580000000001</v>
      </c>
      <c r="H3179" s="1">
        <v>-1.2653610000000001E-7</v>
      </c>
      <c r="I3179">
        <v>229.85980000000001</v>
      </c>
      <c r="J3179">
        <v>-492.38589999999999</v>
      </c>
      <c r="K3179">
        <v>1.1109180000000001</v>
      </c>
      <c r="L3179">
        <v>246.94</v>
      </c>
      <c r="M3179">
        <v>-1.552712E-2</v>
      </c>
      <c r="N3179">
        <v>0</v>
      </c>
      <c r="O3179">
        <v>-0.99979070000000003</v>
      </c>
      <c r="P3179">
        <v>6.7833490000000001E-3</v>
      </c>
      <c r="Q3179">
        <v>5.6483100000000001E-3</v>
      </c>
      <c r="R3179">
        <v>-0.99996130000000005</v>
      </c>
      <c r="S3179">
        <v>0.44522089999999998</v>
      </c>
      <c r="T3179">
        <v>-0.1940221</v>
      </c>
      <c r="U3179">
        <v>-2.9986570000000001</v>
      </c>
      <c r="V3179">
        <v>-2.2316140000000002E-2</v>
      </c>
      <c r="W3179">
        <v>1.8965840000000001E-2</v>
      </c>
      <c r="X3179">
        <v>0.99957099999999999</v>
      </c>
      <c r="Y3179">
        <v>-0.16190660000000001</v>
      </c>
      <c r="Z3179">
        <v>6.3782119999999998E-2</v>
      </c>
      <c r="AA3179">
        <v>0.98474260000000002</v>
      </c>
      <c r="AB3179">
        <v>11</v>
      </c>
      <c r="AC3179">
        <v>2.55009999999998</v>
      </c>
      <c r="AD3179">
        <v>-1.1109181265360999</v>
      </c>
      <c r="AE3179">
        <v>-17.080199999999898</v>
      </c>
      <c r="AF3179">
        <v>-2.80342146313233</v>
      </c>
      <c r="AG3179">
        <v>-1.1109181265360999</v>
      </c>
      <c r="AH3179">
        <v>16.968324282371299</v>
      </c>
      <c r="AI3179">
        <v>93.695855640145595</v>
      </c>
      <c r="AJ3179">
        <v>99.381376023210194</v>
      </c>
      <c r="AK3179">
        <v>17.2341910148266</v>
      </c>
      <c r="AL3179">
        <v>88.913272200704299</v>
      </c>
      <c r="AM3179">
        <v>91.278956935493198</v>
      </c>
      <c r="AN3179">
        <v>0.99999994861620101</v>
      </c>
    </row>
    <row r="3180" spans="1:40" x14ac:dyDescent="0.25">
      <c r="A3180" t="str">
        <f>"20190312154315256"</f>
        <v>20190312154315256</v>
      </c>
      <c r="B3180" t="str">
        <f>"1552376595250692"</f>
        <v>1552376595250692</v>
      </c>
      <c r="C3180" t="s">
        <v>40</v>
      </c>
      <c r="D3180">
        <v>4.6365489999999996</v>
      </c>
      <c r="E3180">
        <v>0.447158</v>
      </c>
      <c r="F3180" t="s">
        <v>43</v>
      </c>
      <c r="G3180">
        <v>-489.81049999999999</v>
      </c>
      <c r="H3180" s="1">
        <v>-7.24683E-8</v>
      </c>
      <c r="I3180">
        <v>229.71289999999999</v>
      </c>
      <c r="J3180">
        <v>-492.38639999999998</v>
      </c>
      <c r="K3180">
        <v>1.110914</v>
      </c>
      <c r="L3180">
        <v>246.87950000000001</v>
      </c>
      <c r="M3180">
        <v>-1.522333E-2</v>
      </c>
      <c r="N3180">
        <v>0</v>
      </c>
      <c r="O3180">
        <v>-0.99979549999999995</v>
      </c>
      <c r="P3180">
        <v>7.7629780000000002E-3</v>
      </c>
      <c r="Q3180">
        <v>5.7965200000000003E-3</v>
      </c>
      <c r="R3180">
        <v>-0.99995339999999999</v>
      </c>
      <c r="S3180">
        <v>0.44821169999999999</v>
      </c>
      <c r="T3180">
        <v>-0.1933426</v>
      </c>
      <c r="U3180">
        <v>-2.9981840000000002</v>
      </c>
      <c r="V3180">
        <v>-2.2991930000000001E-2</v>
      </c>
      <c r="W3180">
        <v>1.9112210000000001E-2</v>
      </c>
      <c r="X3180">
        <v>0.99955300000000002</v>
      </c>
      <c r="Y3180">
        <v>-0.1625924</v>
      </c>
      <c r="Z3180">
        <v>6.3561759999999995E-2</v>
      </c>
      <c r="AA3180">
        <v>0.98464390000000002</v>
      </c>
      <c r="AB3180">
        <v>11</v>
      </c>
      <c r="AC3180">
        <v>2.5758999999999901</v>
      </c>
      <c r="AD3180">
        <v>-1.1109140724683</v>
      </c>
      <c r="AE3180">
        <v>-17.166599999999999</v>
      </c>
      <c r="AF3180">
        <v>-2.82538564658336</v>
      </c>
      <c r="AG3180">
        <v>-1.1109140724683</v>
      </c>
      <c r="AH3180">
        <v>17.0555396706125</v>
      </c>
      <c r="AI3180">
        <v>93.676733524794699</v>
      </c>
      <c r="AJ3180">
        <v>99.406079552297001</v>
      </c>
      <c r="AK3180">
        <v>17.323636095928698</v>
      </c>
      <c r="AL3180">
        <v>88.904884410540106</v>
      </c>
      <c r="AM3180">
        <v>91.317697300549995</v>
      </c>
      <c r="AN3180">
        <v>1.0000000526126001</v>
      </c>
    </row>
    <row r="3181" spans="1:40" x14ac:dyDescent="0.25">
      <c r="A3181" t="str">
        <f>"20190312154315277"</f>
        <v>20190312154315277</v>
      </c>
      <c r="B3181" t="str">
        <f>"1552376595270213"</f>
        <v>1552376595270213</v>
      </c>
      <c r="C3181" t="s">
        <v>40</v>
      </c>
      <c r="D3181">
        <v>4.6428089999999997</v>
      </c>
      <c r="E3181">
        <v>0.41365210000000002</v>
      </c>
      <c r="F3181" t="s">
        <v>43</v>
      </c>
      <c r="G3181">
        <v>-489.78969999999998</v>
      </c>
      <c r="H3181" s="1">
        <v>-4.6727010000000002E-8</v>
      </c>
      <c r="I3181">
        <v>229.62090000000001</v>
      </c>
      <c r="J3181">
        <v>-492.38740000000001</v>
      </c>
      <c r="K3181">
        <v>1.1109</v>
      </c>
      <c r="L3181">
        <v>246.77850000000001</v>
      </c>
      <c r="M3181">
        <v>-1.472817E-2</v>
      </c>
      <c r="N3181">
        <v>0</v>
      </c>
      <c r="O3181">
        <v>-0.99980290000000005</v>
      </c>
      <c r="P3181">
        <v>9.4720159999999998E-3</v>
      </c>
      <c r="Q3181">
        <v>6.0557129999999999E-3</v>
      </c>
      <c r="R3181">
        <v>-0.99993690000000002</v>
      </c>
      <c r="S3181">
        <v>0.4510498</v>
      </c>
      <c r="T3181">
        <v>-0.1929631</v>
      </c>
      <c r="U3181">
        <v>-2.9977719999999999</v>
      </c>
      <c r="V3181">
        <v>-2.4204799999999999E-2</v>
      </c>
      <c r="W3181">
        <v>1.9368690000000001E-2</v>
      </c>
      <c r="X3181">
        <v>0.9995193</v>
      </c>
      <c r="Y3181">
        <v>-0.1630364</v>
      </c>
      <c r="Z3181">
        <v>6.3440070000000001E-2</v>
      </c>
      <c r="AA3181">
        <v>0.98457830000000002</v>
      </c>
      <c r="AB3181">
        <v>11</v>
      </c>
      <c r="AC3181">
        <v>2.5977000000000299</v>
      </c>
      <c r="AD3181">
        <v>-1.11090004672701</v>
      </c>
      <c r="AE3181">
        <v>-17.157599999999999</v>
      </c>
      <c r="AF3181">
        <v>-2.8385078384800799</v>
      </c>
      <c r="AG3181">
        <v>-1.11090004672701</v>
      </c>
      <c r="AH3181">
        <v>17.047611233634399</v>
      </c>
      <c r="AI3181">
        <v>93.677890470786494</v>
      </c>
      <c r="AJ3181">
        <v>99.453294228507303</v>
      </c>
      <c r="AK3181">
        <v>17.3179754716326</v>
      </c>
      <c r="AL3181">
        <v>88.890186327056398</v>
      </c>
      <c r="AM3181">
        <v>91.387228723907896</v>
      </c>
      <c r="AN3181">
        <v>0.99999992478391997</v>
      </c>
    </row>
    <row r="3182" spans="1:40" x14ac:dyDescent="0.25">
      <c r="A3182" t="str">
        <f>"20190312154315299"</f>
        <v>20190312154315299</v>
      </c>
      <c r="B3182" t="str">
        <f>"1552376595290708"</f>
        <v>1552376595290708</v>
      </c>
      <c r="C3182" t="s">
        <v>40</v>
      </c>
      <c r="D3182">
        <v>4.6570070000000001</v>
      </c>
      <c r="E3182">
        <v>0.40129310000000001</v>
      </c>
      <c r="F3182" t="s">
        <v>49</v>
      </c>
      <c r="G3182">
        <v>-486.61189999999999</v>
      </c>
      <c r="H3182" s="1">
        <v>3.785348E-6</v>
      </c>
      <c r="I3182">
        <v>222.8193</v>
      </c>
      <c r="J3182">
        <v>-492.38830000000002</v>
      </c>
      <c r="K3182">
        <v>1.1108899999999999</v>
      </c>
      <c r="L3182">
        <v>246.67349999999999</v>
      </c>
      <c r="M3182">
        <v>-1.4229729999999999E-2</v>
      </c>
      <c r="N3182">
        <v>0</v>
      </c>
      <c r="O3182">
        <v>-0.99981030000000004</v>
      </c>
      <c r="P3182">
        <v>1.124761E-2</v>
      </c>
      <c r="Q3182">
        <v>7.0644920000000003E-3</v>
      </c>
      <c r="R3182">
        <v>-0.99991189999999996</v>
      </c>
      <c r="S3182">
        <v>0.72177119999999995</v>
      </c>
      <c r="T3182">
        <v>-0.1388305</v>
      </c>
      <c r="U3182">
        <v>-2.9942169999999999</v>
      </c>
      <c r="V3182">
        <v>-2.5481110000000001E-2</v>
      </c>
      <c r="W3182">
        <v>2.0373189999999999E-2</v>
      </c>
      <c r="X3182">
        <v>0.99946769999999996</v>
      </c>
      <c r="Y3182">
        <v>-0.24791659999999999</v>
      </c>
      <c r="Z3182">
        <v>4.4944100000000001E-2</v>
      </c>
      <c r="AA3182">
        <v>0.96773830000000005</v>
      </c>
      <c r="AB3182">
        <v>11</v>
      </c>
      <c r="AC3182">
        <v>5.7764000000000202</v>
      </c>
      <c r="AD3182">
        <v>-1.110886214652</v>
      </c>
      <c r="AE3182">
        <v>-23.854199999999899</v>
      </c>
      <c r="AF3182">
        <v>-6.1027816108057902</v>
      </c>
      <c r="AG3182">
        <v>-1.110886214652</v>
      </c>
      <c r="AH3182">
        <v>23.720985194498901</v>
      </c>
      <c r="AI3182">
        <v>92.596837253428504</v>
      </c>
      <c r="AJ3182">
        <v>104.427795588031</v>
      </c>
      <c r="AK3182">
        <v>24.5186286355646</v>
      </c>
      <c r="AL3182">
        <v>88.832621453292802</v>
      </c>
      <c r="AM3182">
        <v>91.460421251503703</v>
      </c>
      <c r="AN3182">
        <v>1.0000000185904401</v>
      </c>
    </row>
    <row r="3183" spans="1:40" x14ac:dyDescent="0.25">
      <c r="A3183" t="str">
        <f>"20190312154315313"</f>
        <v>20190312154315313</v>
      </c>
      <c r="B3183" t="str">
        <f>"1552376595310228"</f>
        <v>1552376595310228</v>
      </c>
      <c r="C3183" t="s">
        <v>40</v>
      </c>
      <c r="D3183">
        <v>4.6985330000000003</v>
      </c>
      <c r="E3183">
        <v>0.39368170000000002</v>
      </c>
      <c r="F3183" t="s">
        <v>49</v>
      </c>
      <c r="G3183">
        <v>-487.00259999999997</v>
      </c>
      <c r="H3183" s="1">
        <v>5.0943310000000003E-6</v>
      </c>
      <c r="I3183">
        <v>227.18809999999999</v>
      </c>
      <c r="J3183">
        <v>-492.38889999999998</v>
      </c>
      <c r="K3183">
        <v>1.110887</v>
      </c>
      <c r="L3183">
        <v>246.61080000000001</v>
      </c>
      <c r="M3183">
        <v>-1.39393E-2</v>
      </c>
      <c r="N3183">
        <v>0</v>
      </c>
      <c r="O3183">
        <v>-0.99981410000000004</v>
      </c>
      <c r="P3183">
        <v>1.2065070000000001E-2</v>
      </c>
      <c r="Q3183">
        <v>7.1815050000000004E-3</v>
      </c>
      <c r="R3183">
        <v>-0.99990129999999999</v>
      </c>
      <c r="S3183">
        <v>0.82702640000000005</v>
      </c>
      <c r="T3183">
        <v>-0.170587299999999</v>
      </c>
      <c r="U3183">
        <v>-2.9921720000000001</v>
      </c>
      <c r="V3183">
        <v>-2.6008139999999999E-2</v>
      </c>
      <c r="W3183">
        <v>2.048904E-2</v>
      </c>
      <c r="X3183">
        <v>0.9994518</v>
      </c>
      <c r="Y3183">
        <v>-0.27941860000000002</v>
      </c>
      <c r="Z3183">
        <v>5.4753620000000003E-2</v>
      </c>
      <c r="AA3183">
        <v>0.95860699999999999</v>
      </c>
      <c r="AB3183">
        <v>11</v>
      </c>
      <c r="AC3183">
        <v>5.3863000000000003</v>
      </c>
      <c r="AD3183">
        <v>-1.110881905669</v>
      </c>
      <c r="AE3183">
        <v>-19.422699999999999</v>
      </c>
      <c r="AF3183">
        <v>-5.63940887257532</v>
      </c>
      <c r="AG3183">
        <v>-1.110881905669</v>
      </c>
      <c r="AH3183">
        <v>19.2871370061434</v>
      </c>
      <c r="AI3183">
        <v>93.164225070049497</v>
      </c>
      <c r="AJ3183">
        <v>106.29850937862599</v>
      </c>
      <c r="AK3183">
        <v>20.125373162606699</v>
      </c>
      <c r="AL3183">
        <v>88.825982402869997</v>
      </c>
      <c r="AM3183">
        <v>91.490637598178395</v>
      </c>
      <c r="AN3183">
        <v>1.0000000623148</v>
      </c>
    </row>
    <row r="3184" spans="1:40" x14ac:dyDescent="0.25">
      <c r="A3184" t="str">
        <f>"20190312154315325"</f>
        <v>20190312154315325</v>
      </c>
      <c r="B3184" t="str">
        <f>"1552376595320964"</f>
        <v>1552376595320964</v>
      </c>
      <c r="C3184" t="s">
        <v>40</v>
      </c>
      <c r="D3184">
        <v>4.7012939999999999</v>
      </c>
      <c r="E3184">
        <v>0.39161499999999999</v>
      </c>
      <c r="F3184" t="s">
        <v>49</v>
      </c>
      <c r="G3184">
        <v>-487.10980000000001</v>
      </c>
      <c r="H3184" s="1">
        <v>5.6474819999999996E-6</v>
      </c>
      <c r="I3184">
        <v>228.8817</v>
      </c>
      <c r="J3184">
        <v>-492.38940000000002</v>
      </c>
      <c r="K3184">
        <v>1.1108830000000001</v>
      </c>
      <c r="L3184">
        <v>246.55019999999999</v>
      </c>
      <c r="M3184">
        <v>-1.366409E-2</v>
      </c>
      <c r="N3184">
        <v>0</v>
      </c>
      <c r="O3184">
        <v>-0.99981790000000004</v>
      </c>
      <c r="P3184">
        <v>1.274613E-2</v>
      </c>
      <c r="Q3184">
        <v>7.0024329999999997E-3</v>
      </c>
      <c r="R3184">
        <v>-0.99989430000000001</v>
      </c>
      <c r="S3184">
        <v>0.89056399999999902</v>
      </c>
      <c r="T3184">
        <v>-0.18740329999999999</v>
      </c>
      <c r="U3184">
        <v>-2.990875</v>
      </c>
      <c r="V3184">
        <v>-2.6413329999999999E-2</v>
      </c>
      <c r="W3184">
        <v>2.030788E-2</v>
      </c>
      <c r="X3184">
        <v>0.99944480000000002</v>
      </c>
      <c r="Y3184">
        <v>-0.2979368</v>
      </c>
      <c r="Z3184">
        <v>5.9814150000000003E-2</v>
      </c>
      <c r="AA3184">
        <v>0.95270980000000005</v>
      </c>
      <c r="AB3184">
        <v>11</v>
      </c>
      <c r="AC3184">
        <v>5.2796000000000101</v>
      </c>
      <c r="AD3184">
        <v>-1.110877352518</v>
      </c>
      <c r="AE3184">
        <v>-17.668499999999899</v>
      </c>
      <c r="AF3184">
        <v>-5.5005906645091001</v>
      </c>
      <c r="AG3184">
        <v>-1.110877352518</v>
      </c>
      <c r="AH3184">
        <v>17.531082231617699</v>
      </c>
      <c r="AI3184">
        <v>93.459889146752801</v>
      </c>
      <c r="AJ3184">
        <v>107.419884834287</v>
      </c>
      <c r="AK3184">
        <v>18.407318934667401</v>
      </c>
      <c r="AL3184">
        <v>88.836364182953503</v>
      </c>
      <c r="AM3184">
        <v>91.513860641969998</v>
      </c>
      <c r="AN3184">
        <v>0.99999999111941096</v>
      </c>
    </row>
    <row r="3185" spans="1:40" x14ac:dyDescent="0.25">
      <c r="A3185" t="str">
        <f>"20190312154315338"</f>
        <v>20190312154315338</v>
      </c>
      <c r="B3185" t="str">
        <f>"1552376595330725"</f>
        <v>1552376595330725</v>
      </c>
      <c r="C3185" t="s">
        <v>40</v>
      </c>
      <c r="D3185">
        <v>4.6857850000000001</v>
      </c>
      <c r="E3185">
        <v>0.38998739999999998</v>
      </c>
      <c r="F3185" t="s">
        <v>49</v>
      </c>
      <c r="G3185">
        <v>-487.2002</v>
      </c>
      <c r="H3185" s="1">
        <v>5.8571689999999998E-6</v>
      </c>
      <c r="I3185">
        <v>229.48089999999999</v>
      </c>
      <c r="J3185">
        <v>-492.38990000000001</v>
      </c>
      <c r="K3185">
        <v>1.110876</v>
      </c>
      <c r="L3185">
        <v>246.49189999999999</v>
      </c>
      <c r="M3185">
        <v>-1.3404299999999999E-2</v>
      </c>
      <c r="N3185">
        <v>0</v>
      </c>
      <c r="O3185">
        <v>-0.99982170000000004</v>
      </c>
      <c r="P3185">
        <v>1.3555340000000001E-2</v>
      </c>
      <c r="Q3185">
        <v>6.9376860000000002E-3</v>
      </c>
      <c r="R3185">
        <v>-0.99988429999999995</v>
      </c>
      <c r="S3185">
        <v>0.90899660000000004</v>
      </c>
      <c r="T3185">
        <v>-0.19459580000000001</v>
      </c>
      <c r="U3185">
        <v>-2.990097</v>
      </c>
      <c r="V3185">
        <v>-2.696285E-2</v>
      </c>
      <c r="W3185">
        <v>2.0241140000000001E-2</v>
      </c>
      <c r="X3185">
        <v>0.99943150000000003</v>
      </c>
      <c r="Y3185">
        <v>-0.30309849999999999</v>
      </c>
      <c r="Z3185">
        <v>6.2011070000000001E-2</v>
      </c>
      <c r="AA3185">
        <v>0.95093950000000005</v>
      </c>
      <c r="AB3185">
        <v>11</v>
      </c>
      <c r="AC3185">
        <v>5.18970000000001</v>
      </c>
      <c r="AD3185">
        <v>-1.1108701428309999</v>
      </c>
      <c r="AE3185">
        <v>-17.0109999999999</v>
      </c>
      <c r="AF3185">
        <v>-5.3962217021892904</v>
      </c>
      <c r="AG3185">
        <v>-1.1108701428309999</v>
      </c>
      <c r="AH3185">
        <v>16.874068921987</v>
      </c>
      <c r="AI3185">
        <v>93.588015170861297</v>
      </c>
      <c r="AJ3185">
        <v>107.733951178344</v>
      </c>
      <c r="AK3185">
        <v>17.7507026091189</v>
      </c>
      <c r="AL3185">
        <v>88.840188912666406</v>
      </c>
      <c r="AM3185">
        <v>91.545361416135606</v>
      </c>
      <c r="AN3185">
        <v>1.0000000111104299</v>
      </c>
    </row>
    <row r="3186" spans="1:40" x14ac:dyDescent="0.25">
      <c r="A3186" t="str">
        <f>"20190312154315354"</f>
        <v>20190312154315354</v>
      </c>
      <c r="B3186" t="str">
        <f>"1552376595350245"</f>
        <v>1552376595350245</v>
      </c>
      <c r="C3186" t="s">
        <v>40</v>
      </c>
      <c r="D3186">
        <v>4.707103</v>
      </c>
      <c r="E3186">
        <v>0.38774979999999998</v>
      </c>
      <c r="F3186" t="s">
        <v>43</v>
      </c>
      <c r="G3186">
        <v>-487.26769999999999</v>
      </c>
      <c r="H3186" s="1">
        <v>-8.2373569999999996E-7</v>
      </c>
      <c r="I3186">
        <v>229.9323</v>
      </c>
      <c r="J3186">
        <v>-492.3904</v>
      </c>
      <c r="K3186">
        <v>1.1108690000000001</v>
      </c>
      <c r="L3186">
        <v>246.41909999999999</v>
      </c>
      <c r="M3186">
        <v>-1.308438E-2</v>
      </c>
      <c r="N3186">
        <v>0</v>
      </c>
      <c r="O3186">
        <v>-0.99982579999999999</v>
      </c>
      <c r="P3186">
        <v>1.522713E-2</v>
      </c>
      <c r="Q3186">
        <v>6.6187709999999999E-3</v>
      </c>
      <c r="R3186">
        <v>-0.99986200000000003</v>
      </c>
      <c r="S3186">
        <v>0.92462160000000004</v>
      </c>
      <c r="T3186">
        <v>-0.20052680000000001</v>
      </c>
      <c r="U3186">
        <v>-2.9891969999999999</v>
      </c>
      <c r="V3186">
        <v>-2.831407E-2</v>
      </c>
      <c r="W3186">
        <v>1.991981E-2</v>
      </c>
      <c r="X3186">
        <v>0.99940059999999997</v>
      </c>
      <c r="Y3186">
        <v>-0.30737979999999998</v>
      </c>
      <c r="Z3186">
        <v>6.3819299999999995E-2</v>
      </c>
      <c r="AA3186">
        <v>0.94944450000000002</v>
      </c>
      <c r="AB3186">
        <v>11</v>
      </c>
      <c r="AC3186">
        <v>5.1227</v>
      </c>
      <c r="AD3186">
        <v>-1.1108698237357</v>
      </c>
      <c r="AE3186">
        <v>-16.486799999999899</v>
      </c>
      <c r="AF3186">
        <v>-5.3159904862971104</v>
      </c>
      <c r="AG3186">
        <v>-1.1108698237357</v>
      </c>
      <c r="AH3186">
        <v>16.350659148970198</v>
      </c>
      <c r="AI3186">
        <v>93.696813503395802</v>
      </c>
      <c r="AJ3186">
        <v>108.01058344595501</v>
      </c>
      <c r="AK3186">
        <v>17.2289825939169</v>
      </c>
      <c r="AL3186">
        <v>88.858603491171294</v>
      </c>
      <c r="AM3186">
        <v>91.622815597099802</v>
      </c>
      <c r="AN3186">
        <v>1.00000002233538</v>
      </c>
    </row>
    <row r="3187" spans="1:40" x14ac:dyDescent="0.25">
      <c r="A3187" t="str">
        <f>"20190312154315365"</f>
        <v>20190312154315365</v>
      </c>
      <c r="B3187" t="str">
        <f>"1552376595360980"</f>
        <v>1552376595360980</v>
      </c>
      <c r="C3187" t="s">
        <v>40</v>
      </c>
      <c r="D3187">
        <v>4.7034180000000001</v>
      </c>
      <c r="E3187">
        <v>0.38694529999999999</v>
      </c>
      <c r="F3187" t="s">
        <v>43</v>
      </c>
      <c r="G3187">
        <v>-487.363</v>
      </c>
      <c r="H3187" s="1">
        <v>-1.014638E-6</v>
      </c>
      <c r="I3187">
        <v>230.56780000000001</v>
      </c>
      <c r="J3187">
        <v>-492.39089999999999</v>
      </c>
      <c r="K3187">
        <v>1.1108640000000001</v>
      </c>
      <c r="L3187">
        <v>246.3639</v>
      </c>
      <c r="M3187">
        <v>-1.2844799999999899E-2</v>
      </c>
      <c r="N3187">
        <v>0</v>
      </c>
      <c r="O3187">
        <v>-0.99982910000000003</v>
      </c>
      <c r="P3187">
        <v>1.601816E-2</v>
      </c>
      <c r="Q3187">
        <v>6.4921709999999997E-3</v>
      </c>
      <c r="R3187">
        <v>-0.99985069999999998</v>
      </c>
      <c r="S3187">
        <v>0.94747919999999997</v>
      </c>
      <c r="T3187">
        <v>-0.2093573</v>
      </c>
      <c r="U3187">
        <v>-2.9873660000000002</v>
      </c>
      <c r="V3187">
        <v>-2.886503E-2</v>
      </c>
      <c r="W3187">
        <v>1.9791570000000001E-2</v>
      </c>
      <c r="X3187">
        <v>0.99938740000000004</v>
      </c>
      <c r="Y3187">
        <v>-0.313870599999999</v>
      </c>
      <c r="Z3187">
        <v>6.6509490000000004E-2</v>
      </c>
      <c r="AA3187">
        <v>0.94713340000000001</v>
      </c>
      <c r="AB3187">
        <v>10</v>
      </c>
      <c r="AC3187">
        <v>5.0278999999999296</v>
      </c>
      <c r="AD3187">
        <v>-1.1108650146379999</v>
      </c>
      <c r="AE3187">
        <v>-15.7960999999999</v>
      </c>
      <c r="AF3187">
        <v>-5.2070178106834604</v>
      </c>
      <c r="AG3187">
        <v>-1.1108650146379999</v>
      </c>
      <c r="AH3187">
        <v>15.6598851445997</v>
      </c>
      <c r="AI3187">
        <v>93.850964633532698</v>
      </c>
      <c r="AJ3187">
        <v>108.392315470546</v>
      </c>
      <c r="AK3187">
        <v>16.5402254610866</v>
      </c>
      <c r="AL3187">
        <v>88.865952565800001</v>
      </c>
      <c r="AM3187">
        <v>91.654398223459197</v>
      </c>
      <c r="AN3187">
        <v>1.0000000357393599</v>
      </c>
    </row>
    <row r="3188" spans="1:40" x14ac:dyDescent="0.25">
      <c r="A3188" t="str">
        <f>"20190312154315376"</f>
        <v>20190312154315376</v>
      </c>
      <c r="B3188" t="str">
        <f>"1552376595370742"</f>
        <v>1552376595370742</v>
      </c>
      <c r="C3188" t="s">
        <v>40</v>
      </c>
      <c r="D3188">
        <v>4.7265160000000002</v>
      </c>
      <c r="E3188">
        <v>0.38637890000000003</v>
      </c>
      <c r="F3188" t="s">
        <v>43</v>
      </c>
      <c r="G3188">
        <v>-487.38780000000003</v>
      </c>
      <c r="H3188" s="1">
        <v>-1.0658180000000001E-6</v>
      </c>
      <c r="I3188">
        <v>230.73759999999999</v>
      </c>
      <c r="J3188">
        <v>-492.3913</v>
      </c>
      <c r="K3188">
        <v>1.1108559999999901</v>
      </c>
      <c r="L3188">
        <v>246.31180000000001</v>
      </c>
      <c r="M3188">
        <v>-1.2620950000000001E-2</v>
      </c>
      <c r="N3188">
        <v>0</v>
      </c>
      <c r="O3188">
        <v>-0.99983200000000005</v>
      </c>
      <c r="P3188">
        <v>1.6919969999999999E-2</v>
      </c>
      <c r="Q3188">
        <v>6.0831940000000001E-3</v>
      </c>
      <c r="R3188">
        <v>-0.99983869999999997</v>
      </c>
      <c r="S3188">
        <v>0.95620729999999998</v>
      </c>
      <c r="T3188">
        <v>-0.2123109</v>
      </c>
      <c r="U3188">
        <v>-2.986526</v>
      </c>
      <c r="V3188">
        <v>-2.954292E-2</v>
      </c>
      <c r="W3188">
        <v>1.938061E-2</v>
      </c>
      <c r="X3188">
        <v>0.99937560000000003</v>
      </c>
      <c r="Y3188">
        <v>-0.31622820000000001</v>
      </c>
      <c r="Z3188">
        <v>6.7405469999999995E-2</v>
      </c>
      <c r="AA3188">
        <v>0.9462855</v>
      </c>
      <c r="AB3188">
        <v>10</v>
      </c>
      <c r="AC3188">
        <v>5.0034999999999696</v>
      </c>
      <c r="AD3188">
        <v>-1.1108570658179999</v>
      </c>
      <c r="AE3188">
        <v>-15.574199999999999</v>
      </c>
      <c r="AF3188">
        <v>-5.1758115546606396</v>
      </c>
      <c r="AG3188">
        <v>-1.1108570658179999</v>
      </c>
      <c r="AH3188">
        <v>15.4386091787126</v>
      </c>
      <c r="AI3188">
        <v>93.902752829157905</v>
      </c>
      <c r="AJ3188">
        <v>108.533786623791</v>
      </c>
      <c r="AK3188">
        <v>16.320958367787899</v>
      </c>
      <c r="AL3188">
        <v>88.889503306657303</v>
      </c>
      <c r="AM3188">
        <v>91.693249088618202</v>
      </c>
      <c r="AN3188">
        <v>0.99999999102072901</v>
      </c>
    </row>
    <row r="3189" spans="1:40" x14ac:dyDescent="0.25">
      <c r="A3189" t="str">
        <f>"20190312154315389"</f>
        <v>20190312154315389</v>
      </c>
      <c r="B3189" t="str">
        <f>"1552376595380500"</f>
        <v>1552376595380500</v>
      </c>
      <c r="C3189" t="s">
        <v>40</v>
      </c>
      <c r="D3189">
        <v>4.710636</v>
      </c>
      <c r="E3189">
        <v>0.38587270000000001</v>
      </c>
      <c r="F3189" t="s">
        <v>43</v>
      </c>
      <c r="G3189">
        <v>-487.4246</v>
      </c>
      <c r="H3189" s="1">
        <v>-1.1203539999999999E-6</v>
      </c>
      <c r="I3189">
        <v>230.92670000000001</v>
      </c>
      <c r="J3189">
        <v>-492.39179999999999</v>
      </c>
      <c r="K3189">
        <v>1.110852</v>
      </c>
      <c r="L3189">
        <v>246.25470000000001</v>
      </c>
      <c r="M3189">
        <v>-1.2376180000000001E-2</v>
      </c>
      <c r="N3189">
        <v>0</v>
      </c>
      <c r="O3189">
        <v>-0.99983480000000002</v>
      </c>
      <c r="P3189">
        <v>1.734144E-2</v>
      </c>
      <c r="Q3189">
        <v>5.8918499999999997E-3</v>
      </c>
      <c r="R3189">
        <v>-0.99983230000000001</v>
      </c>
      <c r="S3189">
        <v>0.96380619999999995</v>
      </c>
      <c r="T3189">
        <v>-0.21556520000000001</v>
      </c>
      <c r="U3189">
        <v>-2.985535</v>
      </c>
      <c r="V3189">
        <v>-2.9718870000000001E-2</v>
      </c>
      <c r="W3189">
        <v>1.9187530000000001E-2</v>
      </c>
      <c r="X3189">
        <v>0.99937410000000004</v>
      </c>
      <c r="Y3189">
        <v>-0.31824849999999999</v>
      </c>
      <c r="Z3189">
        <v>6.8405859999999999E-2</v>
      </c>
      <c r="AA3189">
        <v>0.94553609999999999</v>
      </c>
      <c r="AB3189">
        <v>10</v>
      </c>
      <c r="AC3189">
        <v>4.9671999999999903</v>
      </c>
      <c r="AD3189">
        <v>-1.110853120354</v>
      </c>
      <c r="AE3189">
        <v>-15.327999999999999</v>
      </c>
      <c r="AF3189">
        <v>-5.13214496845199</v>
      </c>
      <c r="AG3189">
        <v>-1.110853120354</v>
      </c>
      <c r="AH3189">
        <v>15.1931314573797</v>
      </c>
      <c r="AI3189">
        <v>93.962559482608995</v>
      </c>
      <c r="AJ3189">
        <v>108.6646473743</v>
      </c>
      <c r="AK3189">
        <v>16.074954124769</v>
      </c>
      <c r="AL3189">
        <v>88.900568023665002</v>
      </c>
      <c r="AM3189">
        <v>91.7033302747151</v>
      </c>
      <c r="AN3189">
        <v>0.99999998214619301</v>
      </c>
    </row>
    <row r="3190" spans="1:40" x14ac:dyDescent="0.25">
      <c r="A3190" t="str">
        <f>"20190312154315402"</f>
        <v>20190312154315402</v>
      </c>
      <c r="B3190" t="str">
        <f>"1552376595400996"</f>
        <v>1552376595400996</v>
      </c>
      <c r="C3190" t="s">
        <v>40</v>
      </c>
      <c r="D3190">
        <v>4.796977</v>
      </c>
      <c r="E3190">
        <v>0.38520529999999997</v>
      </c>
      <c r="F3190" t="s">
        <v>43</v>
      </c>
      <c r="G3190">
        <v>-487.46550000000002</v>
      </c>
      <c r="H3190" s="1">
        <v>-1.1629549999999999E-6</v>
      </c>
      <c r="I3190">
        <v>231.0838</v>
      </c>
      <c r="J3190">
        <v>-492.3922</v>
      </c>
      <c r="K3190">
        <v>1.1108530000000001</v>
      </c>
      <c r="L3190">
        <v>246.18979999999999</v>
      </c>
      <c r="M3190">
        <v>-1.210057E-2</v>
      </c>
      <c r="N3190">
        <v>0</v>
      </c>
      <c r="O3190">
        <v>-0.99983840000000002</v>
      </c>
      <c r="P3190">
        <v>1.7656379999999999E-2</v>
      </c>
      <c r="Q3190">
        <v>5.3555060000000003E-3</v>
      </c>
      <c r="R3190">
        <v>-0.99982979999999999</v>
      </c>
      <c r="S3190">
        <v>0.96926880000000004</v>
      </c>
      <c r="T3190">
        <v>-0.21856829999999999</v>
      </c>
      <c r="U3190">
        <v>-2.9849700000000001</v>
      </c>
      <c r="V3190">
        <v>-2.9758719999999999E-2</v>
      </c>
      <c r="W3190">
        <v>1.864975E-2</v>
      </c>
      <c r="X3190">
        <v>0.99938309999999997</v>
      </c>
      <c r="Y3190">
        <v>-0.31958560000000003</v>
      </c>
      <c r="Z3190">
        <v>6.9331829999999997E-2</v>
      </c>
      <c r="AA3190">
        <v>0.94501760000000001</v>
      </c>
      <c r="AB3190">
        <v>10</v>
      </c>
      <c r="AC3190">
        <v>4.9266999999999799</v>
      </c>
      <c r="AD3190">
        <v>-1.1108541629549999</v>
      </c>
      <c r="AE3190">
        <v>-15.1059999999999</v>
      </c>
      <c r="AF3190">
        <v>-5.0842954697020097</v>
      </c>
      <c r="AG3190">
        <v>-1.1108541629549999</v>
      </c>
      <c r="AH3190">
        <v>14.972091770531501</v>
      </c>
      <c r="AI3190">
        <v>94.018693404373707</v>
      </c>
      <c r="AJ3190">
        <v>108.756708721321</v>
      </c>
      <c r="AK3190">
        <v>15.850791443325599</v>
      </c>
      <c r="AL3190">
        <v>88.931386070311405</v>
      </c>
      <c r="AM3190">
        <v>91.705597569290305</v>
      </c>
      <c r="AN3190">
        <v>0.99999998757835495</v>
      </c>
    </row>
    <row r="3191" spans="1:40" x14ac:dyDescent="0.25">
      <c r="A3191" t="str">
        <f>"20190312154315416"</f>
        <v>20190312154315416</v>
      </c>
      <c r="B3191" t="str">
        <f>"1552376595410758"</f>
        <v>1552376595410758</v>
      </c>
      <c r="C3191" t="s">
        <v>40</v>
      </c>
      <c r="D3191">
        <v>4.8277239999999999</v>
      </c>
      <c r="E3191">
        <v>0.3850285</v>
      </c>
      <c r="F3191" t="s">
        <v>43</v>
      </c>
      <c r="G3191">
        <v>-487.58260000000001</v>
      </c>
      <c r="H3191" s="1">
        <v>-1.264249E-6</v>
      </c>
      <c r="I3191">
        <v>231.47300000000001</v>
      </c>
      <c r="J3191">
        <v>-492.39269999999999</v>
      </c>
      <c r="K3191">
        <v>1.1108549999999999</v>
      </c>
      <c r="L3191">
        <v>246.12710000000001</v>
      </c>
      <c r="M3191">
        <v>-1.183414E-2</v>
      </c>
      <c r="N3191">
        <v>0</v>
      </c>
      <c r="O3191">
        <v>-0.99984170000000006</v>
      </c>
      <c r="P3191">
        <v>1.7982709999999999E-2</v>
      </c>
      <c r="Q3191">
        <v>4.945858E-3</v>
      </c>
      <c r="R3191">
        <v>-0.9998264</v>
      </c>
      <c r="S3191">
        <v>0.97537229999999997</v>
      </c>
      <c r="T3191">
        <v>-0.2252786</v>
      </c>
      <c r="U3191">
        <v>-2.9845280000000001</v>
      </c>
      <c r="V3191">
        <v>-2.9818509999999999E-2</v>
      </c>
      <c r="W3191">
        <v>1.8237840000000002E-2</v>
      </c>
      <c r="X3191">
        <v>0.99938890000000002</v>
      </c>
      <c r="Y3191">
        <v>-0.32107529999999901</v>
      </c>
      <c r="Z3191">
        <v>7.1419029999999994E-2</v>
      </c>
      <c r="AA3191">
        <v>0.94435690000000005</v>
      </c>
      <c r="AB3191">
        <v>10</v>
      </c>
      <c r="AC3191">
        <v>4.8100999999999701</v>
      </c>
      <c r="AD3191">
        <v>-1.1108562642490001</v>
      </c>
      <c r="AE3191">
        <v>-14.6541</v>
      </c>
      <c r="AF3191">
        <v>-4.9574801468282699</v>
      </c>
      <c r="AG3191">
        <v>-1.1108562642490001</v>
      </c>
      <c r="AH3191">
        <v>14.5208184453197</v>
      </c>
      <c r="AI3191">
        <v>94.140872138804497</v>
      </c>
      <c r="AJ3191">
        <v>108.85016173346899</v>
      </c>
      <c r="AK3191">
        <v>15.383913005732801</v>
      </c>
      <c r="AL3191">
        <v>88.954990769931797</v>
      </c>
      <c r="AM3191">
        <v>91.709012443288401</v>
      </c>
      <c r="AN3191">
        <v>0.99999996789484702</v>
      </c>
    </row>
    <row r="3192" spans="1:40" x14ac:dyDescent="0.25">
      <c r="A3192" t="str">
        <f>"20190312154315434"</f>
        <v>20190312154315434</v>
      </c>
      <c r="B3192" t="str">
        <f>"1552376595430277"</f>
        <v>1552376595430277</v>
      </c>
      <c r="C3192" t="s">
        <v>40</v>
      </c>
      <c r="D3192">
        <v>4.7629400000000004</v>
      </c>
      <c r="E3192">
        <v>0.38449179999999999</v>
      </c>
      <c r="F3192" t="s">
        <v>43</v>
      </c>
      <c r="G3192">
        <v>-487.62020000000001</v>
      </c>
      <c r="H3192" s="1">
        <v>-1.2848800000000001E-6</v>
      </c>
      <c r="I3192">
        <v>231.56299999999999</v>
      </c>
      <c r="J3192">
        <v>-492.39319999999998</v>
      </c>
      <c r="K3192">
        <v>1.1108559999999901</v>
      </c>
      <c r="L3192">
        <v>246.04750000000001</v>
      </c>
      <c r="M3192">
        <v>-1.1494570000000001E-2</v>
      </c>
      <c r="N3192">
        <v>0</v>
      </c>
      <c r="O3192">
        <v>-0.9998456</v>
      </c>
      <c r="P3192">
        <v>1.8901910000000001E-2</v>
      </c>
      <c r="Q3192">
        <v>3.9184199999999997E-3</v>
      </c>
      <c r="R3192">
        <v>-0.99981370000000003</v>
      </c>
      <c r="S3192">
        <v>0.97784420000000005</v>
      </c>
      <c r="T3192">
        <v>-0.2276038</v>
      </c>
      <c r="U3192">
        <v>-2.9840390000000001</v>
      </c>
      <c r="V3192">
        <v>-3.0397589999999999E-2</v>
      </c>
      <c r="W3192">
        <v>1.7208029999999999E-2</v>
      </c>
      <c r="X3192">
        <v>0.99938979999999999</v>
      </c>
      <c r="Y3192">
        <v>-0.32148959999999999</v>
      </c>
      <c r="Z3192">
        <v>7.2149530000000003E-2</v>
      </c>
      <c r="AA3192">
        <v>0.94416040000000001</v>
      </c>
      <c r="AB3192">
        <v>10</v>
      </c>
      <c r="AC3192">
        <v>4.7729999999999597</v>
      </c>
      <c r="AD3192">
        <v>-1.11085728487999</v>
      </c>
      <c r="AE3192">
        <v>-14.484500000000001</v>
      </c>
      <c r="AF3192">
        <v>-4.91312502208027</v>
      </c>
      <c r="AG3192">
        <v>-1.11085728487999</v>
      </c>
      <c r="AH3192">
        <v>14.3525247799081</v>
      </c>
      <c r="AI3192">
        <v>94.188092648160406</v>
      </c>
      <c r="AJ3192">
        <v>108.89698937144099</v>
      </c>
      <c r="AK3192">
        <v>15.210778052020901</v>
      </c>
      <c r="AL3192">
        <v>89.014003891942806</v>
      </c>
      <c r="AM3192">
        <v>91.742179898072706</v>
      </c>
      <c r="AN3192">
        <v>1.00000005105916</v>
      </c>
    </row>
    <row r="3193" spans="1:40" x14ac:dyDescent="0.25">
      <c r="A3193" t="str">
        <f>"20190312154315455"</f>
        <v>20190312154315455</v>
      </c>
      <c r="B3193" t="str">
        <f>"1552376595450773"</f>
        <v>1552376595450773</v>
      </c>
      <c r="C3193" t="s">
        <v>40</v>
      </c>
      <c r="D3193">
        <v>4.8296469999999996</v>
      </c>
      <c r="E3193">
        <v>0.38409579999999999</v>
      </c>
      <c r="F3193" t="s">
        <v>43</v>
      </c>
      <c r="G3193">
        <v>-487.74709999999999</v>
      </c>
      <c r="H3193" s="1">
        <v>-1.4026989999999999E-6</v>
      </c>
      <c r="I3193">
        <v>231.9709</v>
      </c>
      <c r="J3193">
        <v>-492.39389999999997</v>
      </c>
      <c r="K3193">
        <v>1.1108640000000001</v>
      </c>
      <c r="L3193">
        <v>245.9486</v>
      </c>
      <c r="M3193">
        <v>-1.1067270000000001E-2</v>
      </c>
      <c r="N3193">
        <v>0</v>
      </c>
      <c r="O3193">
        <v>-0.99985060000000003</v>
      </c>
      <c r="P3193">
        <v>2.0797590000000001E-2</v>
      </c>
      <c r="Q3193">
        <v>2.9383339999999999E-3</v>
      </c>
      <c r="R3193">
        <v>-0.99977959999999999</v>
      </c>
      <c r="S3193">
        <v>0.98452759999999995</v>
      </c>
      <c r="T3193">
        <v>-0.23539479999999999</v>
      </c>
      <c r="U3193">
        <v>-2.9828640000000002</v>
      </c>
      <c r="V3193">
        <v>-3.1865839999999999E-2</v>
      </c>
      <c r="W3193">
        <v>1.6223979999999999E-2</v>
      </c>
      <c r="X3193">
        <v>0.99936040000000004</v>
      </c>
      <c r="Y3193">
        <v>-0.32304719999999998</v>
      </c>
      <c r="Z3193">
        <v>7.458766E-2</v>
      </c>
      <c r="AA3193">
        <v>0.94343900000000003</v>
      </c>
      <c r="AB3193">
        <v>10</v>
      </c>
      <c r="AC3193">
        <v>4.6467999999999803</v>
      </c>
      <c r="AD3193">
        <v>-1.1108654026989999</v>
      </c>
      <c r="AE3193">
        <v>-13.9777</v>
      </c>
      <c r="AF3193">
        <v>-4.7740711925718298</v>
      </c>
      <c r="AG3193">
        <v>-1.1108654026989999</v>
      </c>
      <c r="AH3193">
        <v>13.8466582626913</v>
      </c>
      <c r="AI3193">
        <v>94.337283161201796</v>
      </c>
      <c r="AJ3193">
        <v>109.023244541224</v>
      </c>
      <c r="AK3193">
        <v>14.688625624557799</v>
      </c>
      <c r="AL3193">
        <v>89.070393568771394</v>
      </c>
      <c r="AM3193">
        <v>91.826327863489098</v>
      </c>
      <c r="AN3193">
        <v>0.99999992918705005</v>
      </c>
    </row>
    <row r="3194" spans="1:40" x14ac:dyDescent="0.25">
      <c r="A3194" t="str">
        <f>"20190312154315466"</f>
        <v>20190312154315466</v>
      </c>
      <c r="B3194" t="str">
        <f>"1552376595460532"</f>
        <v>1552376595460532</v>
      </c>
      <c r="C3194" t="s">
        <v>40</v>
      </c>
      <c r="D3194">
        <v>4.8207579999999997</v>
      </c>
      <c r="E3194">
        <v>0.38388309999999998</v>
      </c>
      <c r="F3194" t="s">
        <v>43</v>
      </c>
      <c r="G3194">
        <v>-487.81909999999999</v>
      </c>
      <c r="H3194" s="1">
        <v>-1.4984450000000001E-6</v>
      </c>
      <c r="I3194">
        <v>232.22389999999999</v>
      </c>
      <c r="J3194">
        <v>-492.39420000000001</v>
      </c>
      <c r="K3194">
        <v>1.1108629999999999</v>
      </c>
      <c r="L3194">
        <v>245.89580000000001</v>
      </c>
      <c r="M3194">
        <v>-1.083595E-2</v>
      </c>
      <c r="N3194">
        <v>0</v>
      </c>
      <c r="O3194">
        <v>-0.99985299999999999</v>
      </c>
      <c r="P3194">
        <v>2.1883650000000001E-2</v>
      </c>
      <c r="Q3194">
        <v>2.6658049999999998E-3</v>
      </c>
      <c r="R3194">
        <v>-0.99975709999999995</v>
      </c>
      <c r="S3194">
        <v>0.99353029999999998</v>
      </c>
      <c r="T3194">
        <v>-0.24125469999999999</v>
      </c>
      <c r="U3194">
        <v>-2.9806979999999998</v>
      </c>
      <c r="V3194">
        <v>-3.2720880000000001E-2</v>
      </c>
      <c r="W3194">
        <v>1.594887E-2</v>
      </c>
      <c r="X3194">
        <v>0.99933729999999998</v>
      </c>
      <c r="Y3194">
        <v>-0.32555430000000002</v>
      </c>
      <c r="Z3194">
        <v>7.6416860000000003E-2</v>
      </c>
      <c r="AA3194">
        <v>0.94243030000000005</v>
      </c>
      <c r="AB3194">
        <v>10</v>
      </c>
      <c r="AC3194">
        <v>4.5751000000000097</v>
      </c>
      <c r="AD3194">
        <v>-1.110864498445</v>
      </c>
      <c r="AE3194">
        <v>-13.671900000000001</v>
      </c>
      <c r="AF3194">
        <v>-4.6951175311653399</v>
      </c>
      <c r="AG3194">
        <v>-1.110864498445</v>
      </c>
      <c r="AH3194">
        <v>13.5411235704522</v>
      </c>
      <c r="AI3194">
        <v>94.432099925979699</v>
      </c>
      <c r="AJ3194">
        <v>109.12297987754199</v>
      </c>
      <c r="AK3194">
        <v>14.3749843866217</v>
      </c>
      <c r="AL3194">
        <v>89.086158344581406</v>
      </c>
      <c r="AM3194">
        <v>91.875341580452996</v>
      </c>
      <c r="AN3194">
        <v>1.00000003080677</v>
      </c>
    </row>
    <row r="3195" spans="1:40" x14ac:dyDescent="0.25">
      <c r="A3195" t="str">
        <f>"20190312154315478"</f>
        <v>20190312154315478</v>
      </c>
      <c r="B3195" t="str">
        <f>"1552376595470293"</f>
        <v>1552376595470293</v>
      </c>
      <c r="C3195" t="s">
        <v>40</v>
      </c>
      <c r="D3195">
        <v>4.8038499999999997</v>
      </c>
      <c r="E3195">
        <v>0.38371050000000001</v>
      </c>
      <c r="F3195" t="s">
        <v>43</v>
      </c>
      <c r="G3195">
        <v>-487.82650000000001</v>
      </c>
      <c r="H3195" s="1">
        <v>-1.515862E-6</v>
      </c>
      <c r="I3195">
        <v>232.26759999999999</v>
      </c>
      <c r="J3195">
        <v>-492.39440000000002</v>
      </c>
      <c r="K3195">
        <v>1.11087</v>
      </c>
      <c r="L3195">
        <v>245.8426</v>
      </c>
      <c r="M3195">
        <v>-1.0596120000000001E-2</v>
      </c>
      <c r="N3195">
        <v>0</v>
      </c>
      <c r="O3195">
        <v>-0.99985559999999996</v>
      </c>
      <c r="P3195">
        <v>2.339896E-2</v>
      </c>
      <c r="Q3195">
        <v>2.2116430000000001E-3</v>
      </c>
      <c r="R3195">
        <v>-0.99972399999999995</v>
      </c>
      <c r="S3195">
        <v>0.99862669999999998</v>
      </c>
      <c r="T3195">
        <v>-0.24286720000000001</v>
      </c>
      <c r="U3195">
        <v>-2.9795229999999999</v>
      </c>
      <c r="V3195">
        <v>-3.3995789999999998E-2</v>
      </c>
      <c r="W3195">
        <v>1.549212E-2</v>
      </c>
      <c r="X3195">
        <v>0.99930189999999997</v>
      </c>
      <c r="Y3195">
        <v>-0.32687650000000001</v>
      </c>
      <c r="Z3195">
        <v>7.6915120000000003E-2</v>
      </c>
      <c r="AA3195">
        <v>0.94193199999999999</v>
      </c>
      <c r="AB3195">
        <v>10</v>
      </c>
      <c r="AC3195">
        <v>4.5678999999999998</v>
      </c>
      <c r="AD3195">
        <v>-1.1108715158619999</v>
      </c>
      <c r="AE3195">
        <v>-13.574999999999999</v>
      </c>
      <c r="AF3195">
        <v>-4.6833264931727303</v>
      </c>
      <c r="AG3195">
        <v>-1.1108715158619999</v>
      </c>
      <c r="AH3195">
        <v>13.444954803149599</v>
      </c>
      <c r="AI3195">
        <v>94.461492817599407</v>
      </c>
      <c r="AJ3195">
        <v>109.204932531331</v>
      </c>
      <c r="AK3195">
        <v>14.280559940882601</v>
      </c>
      <c r="AL3195">
        <v>89.112331401321896</v>
      </c>
      <c r="AM3195">
        <v>91.948424583705204</v>
      </c>
      <c r="AN3195">
        <v>1.00000000343171</v>
      </c>
    </row>
    <row r="3196" spans="1:40" x14ac:dyDescent="0.25">
      <c r="A3196" t="str">
        <f>"20190312154315490"</f>
        <v>20190312154315490</v>
      </c>
      <c r="B3196" t="str">
        <f>"1552376595480053"</f>
        <v>1552376595480053</v>
      </c>
      <c r="C3196" t="s">
        <v>40</v>
      </c>
      <c r="D3196">
        <v>4.850994</v>
      </c>
      <c r="E3196">
        <v>0.3836135</v>
      </c>
      <c r="F3196" t="s">
        <v>43</v>
      </c>
      <c r="G3196">
        <v>-487.84879999999998</v>
      </c>
      <c r="H3196" s="1">
        <v>-1.5552500000000001E-6</v>
      </c>
      <c r="I3196">
        <v>232.36859999999999</v>
      </c>
      <c r="J3196">
        <v>-492.3947</v>
      </c>
      <c r="K3196">
        <v>1.1108750000000001</v>
      </c>
      <c r="L3196">
        <v>245.78870000000001</v>
      </c>
      <c r="M3196">
        <v>-1.035002E-2</v>
      </c>
      <c r="N3196">
        <v>0</v>
      </c>
      <c r="O3196">
        <v>-0.99985820000000003</v>
      </c>
      <c r="P3196">
        <v>2.489359E-2</v>
      </c>
      <c r="Q3196">
        <v>1.9621339999999999E-3</v>
      </c>
      <c r="R3196">
        <v>-0.99968829999999997</v>
      </c>
      <c r="S3196">
        <v>1.0046389999999901</v>
      </c>
      <c r="T3196">
        <v>-0.24551300000000001</v>
      </c>
      <c r="U3196">
        <v>-2.977875</v>
      </c>
      <c r="V3196">
        <v>-3.5244339999999999E-2</v>
      </c>
      <c r="W3196">
        <v>1.523943E-2</v>
      </c>
      <c r="X3196">
        <v>0.99926250000000005</v>
      </c>
      <c r="Y3196">
        <v>-0.32848840000000001</v>
      </c>
      <c r="Z3196">
        <v>7.7741939999999995E-2</v>
      </c>
      <c r="AA3196">
        <v>0.94130309999999995</v>
      </c>
      <c r="AB3196">
        <v>10</v>
      </c>
      <c r="AC3196">
        <v>4.5459000000000103</v>
      </c>
      <c r="AD3196">
        <v>-1.11087655525</v>
      </c>
      <c r="AE3196">
        <v>-13.4201</v>
      </c>
      <c r="AF3196">
        <v>-4.6559481037308696</v>
      </c>
      <c r="AG3196">
        <v>-1.11087655525</v>
      </c>
      <c r="AH3196">
        <v>13.2906326283873</v>
      </c>
      <c r="AI3196">
        <v>94.5103281462994</v>
      </c>
      <c r="AJ3196">
        <v>109.306277295283</v>
      </c>
      <c r="AK3196">
        <v>14.126316403379599</v>
      </c>
      <c r="AL3196">
        <v>89.126811155465006</v>
      </c>
      <c r="AM3196">
        <v>92.020004955423701</v>
      </c>
      <c r="AN3196">
        <v>0.99999997381750505</v>
      </c>
    </row>
    <row r="3197" spans="1:40" x14ac:dyDescent="0.25">
      <c r="A3197" t="str">
        <f>"20190312154315501"</f>
        <v>20190312154315501</v>
      </c>
      <c r="B3197" t="str">
        <f>"1552376595490788"</f>
        <v>1552376595490788</v>
      </c>
      <c r="C3197" t="s">
        <v>40</v>
      </c>
      <c r="D3197">
        <v>4.844913</v>
      </c>
      <c r="E3197">
        <v>0.38351449999999998</v>
      </c>
      <c r="F3197" t="s">
        <v>43</v>
      </c>
      <c r="G3197">
        <v>-487.85939999999999</v>
      </c>
      <c r="H3197" s="1">
        <v>-1.5766829999999901E-6</v>
      </c>
      <c r="I3197">
        <v>232.423</v>
      </c>
      <c r="J3197">
        <v>-492.39499999999998</v>
      </c>
      <c r="K3197">
        <v>1.110884</v>
      </c>
      <c r="L3197">
        <v>245.73490000000001</v>
      </c>
      <c r="M3197">
        <v>-1.009151E-2</v>
      </c>
      <c r="N3197">
        <v>0</v>
      </c>
      <c r="O3197">
        <v>-0.99986079999999999</v>
      </c>
      <c r="P3197">
        <v>2.6452730000000001E-2</v>
      </c>
      <c r="Q3197">
        <v>1.5971550000000001E-3</v>
      </c>
      <c r="R3197">
        <v>-0.99964909999999996</v>
      </c>
      <c r="S3197">
        <v>1.0099180000000001</v>
      </c>
      <c r="T3197">
        <v>-0.2473687</v>
      </c>
      <c r="U3197">
        <v>-2.9762729999999999</v>
      </c>
      <c r="V3197">
        <v>-3.654437E-2</v>
      </c>
      <c r="W3197">
        <v>1.4871830000000001E-2</v>
      </c>
      <c r="X3197">
        <v>0.99922140000000004</v>
      </c>
      <c r="Y3197">
        <v>-0.32988099999999998</v>
      </c>
      <c r="Z3197">
        <v>7.8324679999999994E-2</v>
      </c>
      <c r="AA3197">
        <v>0.94076760000000004</v>
      </c>
      <c r="AB3197">
        <v>10</v>
      </c>
      <c r="AC3197">
        <v>4.5355999999999801</v>
      </c>
      <c r="AD3197">
        <v>-1.1108855766829999</v>
      </c>
      <c r="AE3197">
        <v>-13.3119</v>
      </c>
      <c r="AF3197">
        <v>-4.6407613303723299</v>
      </c>
      <c r="AG3197">
        <v>-1.1108855766829999</v>
      </c>
      <c r="AH3197">
        <v>13.1831885155236</v>
      </c>
      <c r="AI3197">
        <v>94.544560786958399</v>
      </c>
      <c r="AJ3197">
        <v>109.393147288839</v>
      </c>
      <c r="AK3197">
        <v>14.0202422206535</v>
      </c>
      <c r="AL3197">
        <v>89.147875523674998</v>
      </c>
      <c r="AM3197">
        <v>92.094536166501896</v>
      </c>
      <c r="AN3197">
        <v>1.0000000342621</v>
      </c>
    </row>
    <row r="3198" spans="1:40" x14ac:dyDescent="0.25">
      <c r="A3198" t="str">
        <f>"20190312154315513"</f>
        <v>20190312154315513</v>
      </c>
      <c r="B3198" t="str">
        <f>"1552376595510308"</f>
        <v>1552376595510308</v>
      </c>
      <c r="C3198" t="s">
        <v>40</v>
      </c>
      <c r="D3198">
        <v>4.8846020000000001</v>
      </c>
      <c r="E3198">
        <v>0.38327670000000003</v>
      </c>
      <c r="F3198" t="s">
        <v>43</v>
      </c>
      <c r="G3198">
        <v>-487.88029999999998</v>
      </c>
      <c r="H3198" s="1">
        <v>-1.6092089999999901E-6</v>
      </c>
      <c r="I3198">
        <v>232.50739999999999</v>
      </c>
      <c r="J3198">
        <v>-492.39519999999999</v>
      </c>
      <c r="K3198">
        <v>1.1108960000000001</v>
      </c>
      <c r="L3198">
        <v>245.68180000000001</v>
      </c>
      <c r="M3198">
        <v>-9.8275559999999994E-3</v>
      </c>
      <c r="N3198">
        <v>0</v>
      </c>
      <c r="O3198">
        <v>-0.99986339999999996</v>
      </c>
      <c r="P3198">
        <v>2.8155159999999999E-2</v>
      </c>
      <c r="Q3198">
        <v>1.590721E-3</v>
      </c>
      <c r="R3198">
        <v>-0.99960260000000001</v>
      </c>
      <c r="S3198">
        <v>1.0152589999999999</v>
      </c>
      <c r="T3198">
        <v>-0.24981519999999999</v>
      </c>
      <c r="U3198">
        <v>-2.9745940000000002</v>
      </c>
      <c r="V3198">
        <v>-3.798327E-2</v>
      </c>
      <c r="W3198">
        <v>1.4861340000000001E-2</v>
      </c>
      <c r="X3198">
        <v>0.9991679</v>
      </c>
      <c r="Y3198">
        <v>-0.3312869</v>
      </c>
      <c r="Z3198">
        <v>7.9094360000000002E-2</v>
      </c>
      <c r="AA3198">
        <v>0.94020899999999996</v>
      </c>
      <c r="AB3198">
        <v>10</v>
      </c>
      <c r="AC3198">
        <v>4.5149000000000097</v>
      </c>
      <c r="AD3198">
        <v>-1.1108976092089999</v>
      </c>
      <c r="AE3198">
        <v>-13.1744</v>
      </c>
      <c r="AF3198">
        <v>-4.6148016502785101</v>
      </c>
      <c r="AG3198">
        <v>-1.1108976092089999</v>
      </c>
      <c r="AH3198">
        <v>13.046375563222499</v>
      </c>
      <c r="AI3198">
        <v>94.589623799523807</v>
      </c>
      <c r="AJ3198">
        <v>109.479852638363</v>
      </c>
      <c r="AK3198">
        <v>13.883025718704401</v>
      </c>
      <c r="AL3198">
        <v>89.148476627960207</v>
      </c>
      <c r="AM3198">
        <v>92.177045152058199</v>
      </c>
      <c r="AN3198">
        <v>1.0000000403084399</v>
      </c>
    </row>
    <row r="3199" spans="1:40" x14ac:dyDescent="0.25">
      <c r="A3199" t="str">
        <f>"20190312154315524"</f>
        <v>20190312154315524</v>
      </c>
      <c r="B3199" t="str">
        <f>"1552376595520068"</f>
        <v>1552376595520068</v>
      </c>
      <c r="C3199" t="s">
        <v>40</v>
      </c>
      <c r="D3199">
        <v>4.8385350000000003</v>
      </c>
      <c r="E3199">
        <v>0.38332100000000002</v>
      </c>
      <c r="F3199" t="s">
        <v>43</v>
      </c>
      <c r="G3199">
        <v>-487.8734</v>
      </c>
      <c r="H3199" s="1">
        <v>-1.6200120000000001E-6</v>
      </c>
      <c r="I3199">
        <v>232.52969999999999</v>
      </c>
      <c r="J3199">
        <v>-492.39550000000003</v>
      </c>
      <c r="K3199">
        <v>1.1109089999999999</v>
      </c>
      <c r="L3199">
        <v>245.62710000000001</v>
      </c>
      <c r="M3199">
        <v>-9.5444919999999999E-3</v>
      </c>
      <c r="N3199">
        <v>0</v>
      </c>
      <c r="O3199">
        <v>-0.99986640000000004</v>
      </c>
      <c r="P3199">
        <v>2.960925E-2</v>
      </c>
      <c r="Q3199">
        <v>1.73744E-3</v>
      </c>
      <c r="R3199">
        <v>-0.99956029999999996</v>
      </c>
      <c r="S3199">
        <v>1.022095</v>
      </c>
      <c r="T3199">
        <v>-0.25109979999999998</v>
      </c>
      <c r="U3199">
        <v>-2.9728089999999998</v>
      </c>
      <c r="V3199">
        <v>-3.915424E-2</v>
      </c>
      <c r="W3199">
        <v>1.500485E-2</v>
      </c>
      <c r="X3199">
        <v>0.99912049999999997</v>
      </c>
      <c r="Y3199">
        <v>-0.33311659999999998</v>
      </c>
      <c r="Z3199">
        <v>7.9488569999999995E-2</v>
      </c>
      <c r="AA3199">
        <v>0.93952910000000001</v>
      </c>
      <c r="AB3199">
        <v>10</v>
      </c>
      <c r="AC3199">
        <v>4.5221000000000204</v>
      </c>
      <c r="AD3199">
        <v>-1.110910620012</v>
      </c>
      <c r="AE3199">
        <v>-13.0974</v>
      </c>
      <c r="AF3199">
        <v>-4.6172333843523798</v>
      </c>
      <c r="AG3199">
        <v>-1.110910620012</v>
      </c>
      <c r="AH3199">
        <v>12.970265330802</v>
      </c>
      <c r="AI3199">
        <v>94.613216298852294</v>
      </c>
      <c r="AJ3199">
        <v>109.595019579946</v>
      </c>
      <c r="AK3199">
        <v>13.8123404708485</v>
      </c>
      <c r="AL3199">
        <v>89.140253147986698</v>
      </c>
      <c r="AM3199">
        <v>92.244199108815806</v>
      </c>
      <c r="AN3199">
        <v>0.99999998677687496</v>
      </c>
    </row>
    <row r="3200" spans="1:40" x14ac:dyDescent="0.25">
      <c r="A3200" t="str">
        <f>"20190312154315537"</f>
        <v>20190312154315537</v>
      </c>
      <c r="B3200" t="str">
        <f>"1552376595530805"</f>
        <v>1552376595530805</v>
      </c>
      <c r="C3200" t="s">
        <v>40</v>
      </c>
      <c r="D3200">
        <v>4.8620130000000001</v>
      </c>
      <c r="E3200">
        <v>0.38320019999999999</v>
      </c>
      <c r="F3200" t="s">
        <v>43</v>
      </c>
      <c r="G3200">
        <v>-487.87650000000002</v>
      </c>
      <c r="H3200" s="1">
        <v>-1.624897E-6</v>
      </c>
      <c r="I3200">
        <v>232.54239999999999</v>
      </c>
      <c r="J3200">
        <v>-492.3956</v>
      </c>
      <c r="K3200">
        <v>1.1109290000000001</v>
      </c>
      <c r="L3200">
        <v>245.5703</v>
      </c>
      <c r="M3200">
        <v>-9.2288130000000006E-3</v>
      </c>
      <c r="N3200">
        <v>0</v>
      </c>
      <c r="O3200">
        <v>-0.99986920000000001</v>
      </c>
      <c r="P3200">
        <v>3.1190989999999998E-2</v>
      </c>
      <c r="Q3200">
        <v>1.992775E-3</v>
      </c>
      <c r="R3200">
        <v>-0.9995117</v>
      </c>
      <c r="S3200">
        <v>1.0262150000000001</v>
      </c>
      <c r="T3200">
        <v>-0.2522739</v>
      </c>
      <c r="U3200">
        <v>-2.9713750000000001</v>
      </c>
      <c r="V3200">
        <v>-4.0421329999999998E-2</v>
      </c>
      <c r="W3200">
        <v>1.5255640000000001E-2</v>
      </c>
      <c r="X3200">
        <v>0.99906620000000002</v>
      </c>
      <c r="Y3200">
        <v>-0.33411279999999999</v>
      </c>
      <c r="Z3200">
        <v>7.9862390000000005E-2</v>
      </c>
      <c r="AA3200">
        <v>0.93914359999999997</v>
      </c>
      <c r="AB3200">
        <v>10</v>
      </c>
      <c r="AC3200">
        <v>4.5190999999999804</v>
      </c>
      <c r="AD3200">
        <v>-1.1109306248969999</v>
      </c>
      <c r="AE3200">
        <v>-13.027900000000001</v>
      </c>
      <c r="AF3200">
        <v>-4.6092337385279798</v>
      </c>
      <c r="AG3200">
        <v>-1.1109306248969999</v>
      </c>
      <c r="AH3200">
        <v>12.9018951633665</v>
      </c>
      <c r="AI3200">
        <v>94.635789905522003</v>
      </c>
      <c r="AJ3200">
        <v>109.659393077281</v>
      </c>
      <c r="AK3200">
        <v>13.745475667150201</v>
      </c>
      <c r="AL3200">
        <v>89.125882257879198</v>
      </c>
      <c r="AM3200">
        <v>92.316872644782194</v>
      </c>
      <c r="AN3200">
        <v>0.99999994522660696</v>
      </c>
    </row>
    <row r="3201" spans="1:40" x14ac:dyDescent="0.25">
      <c r="A3201" t="str">
        <f>"20190312154315550"</f>
        <v>20190312154315550</v>
      </c>
      <c r="B3201" t="str">
        <f>"1552376595540565"</f>
        <v>1552376595540565</v>
      </c>
      <c r="C3201" t="s">
        <v>40</v>
      </c>
      <c r="D3201">
        <v>4.8680979999999998</v>
      </c>
      <c r="E3201">
        <v>0.3831116</v>
      </c>
      <c r="F3201" t="s">
        <v>43</v>
      </c>
      <c r="G3201">
        <v>-487.84809999999999</v>
      </c>
      <c r="H3201" s="1">
        <v>-1.6060669999999999E-6</v>
      </c>
      <c r="I3201">
        <v>232.48679999999999</v>
      </c>
      <c r="J3201">
        <v>-492.39580000000001</v>
      </c>
      <c r="K3201">
        <v>1.110951</v>
      </c>
      <c r="L3201">
        <v>245.51050000000001</v>
      </c>
      <c r="M3201">
        <v>-8.8813099999999999E-3</v>
      </c>
      <c r="N3201">
        <v>0</v>
      </c>
      <c r="O3201">
        <v>-0.99987230000000005</v>
      </c>
      <c r="P3201">
        <v>3.2727289999999999E-2</v>
      </c>
      <c r="Q3201">
        <v>2.3222759999999999E-3</v>
      </c>
      <c r="R3201">
        <v>-0.99946170000000001</v>
      </c>
      <c r="S3201">
        <v>1.032227</v>
      </c>
      <c r="T3201">
        <v>-0.25216630000000001</v>
      </c>
      <c r="U3201">
        <v>-2.9697879999999999</v>
      </c>
      <c r="V3201">
        <v>-4.161016E-2</v>
      </c>
      <c r="W3201">
        <v>1.5581279999999999E-2</v>
      </c>
      <c r="X3201">
        <v>0.99901240000000002</v>
      </c>
      <c r="Y3201">
        <v>-0.3356382</v>
      </c>
      <c r="Z3201">
        <v>7.9821149999999993E-2</v>
      </c>
      <c r="AA3201">
        <v>0.93860299999999997</v>
      </c>
      <c r="AB3201">
        <v>10</v>
      </c>
      <c r="AC3201">
        <v>4.5477000000000096</v>
      </c>
      <c r="AD3201">
        <v>-1.1109526060670001</v>
      </c>
      <c r="AE3201">
        <v>-13.0237</v>
      </c>
      <c r="AF3201">
        <v>-4.6331491739460198</v>
      </c>
      <c r="AG3201">
        <v>-1.1109526060670001</v>
      </c>
      <c r="AH3201">
        <v>12.899133402925401</v>
      </c>
      <c r="AI3201">
        <v>94.634040776206405</v>
      </c>
      <c r="AJ3201">
        <v>109.757424524885</v>
      </c>
      <c r="AK3201">
        <v>13.750924678269</v>
      </c>
      <c r="AL3201">
        <v>89.107222270722104</v>
      </c>
      <c r="AM3201">
        <v>92.385064814234497</v>
      </c>
      <c r="AN3201">
        <v>0.99999997852771105</v>
      </c>
    </row>
    <row r="3202" spans="1:40" x14ac:dyDescent="0.25">
      <c r="A3202" t="str">
        <f>"20190312154315566"</f>
        <v>20190312154315566</v>
      </c>
      <c r="B3202" t="str">
        <f>"1552376595560084"</f>
        <v>1552376595560084</v>
      </c>
      <c r="C3202" t="s">
        <v>40</v>
      </c>
      <c r="D3202">
        <v>4.8962279999999998</v>
      </c>
      <c r="E3202">
        <v>0.38288549999999999</v>
      </c>
      <c r="F3202" t="s">
        <v>43</v>
      </c>
      <c r="G3202">
        <v>-487.8091</v>
      </c>
      <c r="H3202" s="1">
        <v>-1.569539E-6</v>
      </c>
      <c r="I3202">
        <v>232.38550000000001</v>
      </c>
      <c r="J3202">
        <v>-492.39589999999998</v>
      </c>
      <c r="K3202">
        <v>1.1109849999999999</v>
      </c>
      <c r="L3202">
        <v>245.4357</v>
      </c>
      <c r="M3202">
        <v>-8.4055350000000004E-3</v>
      </c>
      <c r="N3202">
        <v>0</v>
      </c>
      <c r="O3202">
        <v>-0.9998764</v>
      </c>
      <c r="P3202">
        <v>3.533116E-2</v>
      </c>
      <c r="Q3202">
        <v>2.4273369999999999E-3</v>
      </c>
      <c r="R3202">
        <v>-0.99937279999999995</v>
      </c>
      <c r="S3202">
        <v>1.0372920000000001</v>
      </c>
      <c r="T3202">
        <v>-0.25124190000000002</v>
      </c>
      <c r="U3202">
        <v>-2.9682309999999998</v>
      </c>
      <c r="V3202">
        <v>-4.3739840000000002E-2</v>
      </c>
      <c r="W3202">
        <v>1.5678540000000001E-2</v>
      </c>
      <c r="X3202">
        <v>0.99891989999999997</v>
      </c>
      <c r="Y3202">
        <v>-0.33677859999999998</v>
      </c>
      <c r="Z3202">
        <v>7.9531930000000001E-2</v>
      </c>
      <c r="AA3202">
        <v>0.93821900000000003</v>
      </c>
      <c r="AB3202">
        <v>10</v>
      </c>
      <c r="AC3202">
        <v>4.5867999999999798</v>
      </c>
      <c r="AD3202">
        <v>-1.110986569539</v>
      </c>
      <c r="AE3202">
        <v>-13.050199999999901</v>
      </c>
      <c r="AF3202">
        <v>-4.6662416726524301</v>
      </c>
      <c r="AG3202">
        <v>-1.110986569539</v>
      </c>
      <c r="AH3202">
        <v>12.9277895412276</v>
      </c>
      <c r="AI3202">
        <v>94.6213668418075</v>
      </c>
      <c r="AJ3202">
        <v>109.84687545229001</v>
      </c>
      <c r="AK3202">
        <v>13.7889754850593</v>
      </c>
      <c r="AL3202">
        <v>89.101649002186306</v>
      </c>
      <c r="AM3202">
        <v>92.507216448328506</v>
      </c>
      <c r="AN3202">
        <v>0.99999997841788302</v>
      </c>
    </row>
    <row r="3203" spans="1:40" x14ac:dyDescent="0.25">
      <c r="A3203" t="str">
        <f>"20190312154315578"</f>
        <v>20190312154315578</v>
      </c>
      <c r="B3203" t="str">
        <f>"1552376595570820"</f>
        <v>1552376595570820</v>
      </c>
      <c r="C3203" t="s">
        <v>40</v>
      </c>
      <c r="D3203">
        <v>4.8757109999999999</v>
      </c>
      <c r="E3203">
        <v>0.38288549999999999</v>
      </c>
      <c r="F3203" t="s">
        <v>43</v>
      </c>
      <c r="G3203">
        <v>-487.7679</v>
      </c>
      <c r="H3203" s="1">
        <v>-1.5559469999999901E-6</v>
      </c>
      <c r="I3203">
        <v>232.33680000000001</v>
      </c>
      <c r="J3203">
        <v>-492.39589999999998</v>
      </c>
      <c r="K3203">
        <v>1.1110150000000001</v>
      </c>
      <c r="L3203">
        <v>245.38229999999999</v>
      </c>
      <c r="M3203">
        <v>-8.0282210000000003E-3</v>
      </c>
      <c r="N3203">
        <v>0</v>
      </c>
      <c r="O3203">
        <v>-0.99987979999999999</v>
      </c>
      <c r="P3203">
        <v>3.6952899999999997E-2</v>
      </c>
      <c r="Q3203">
        <v>2.4806889999999999E-3</v>
      </c>
      <c r="R3203">
        <v>-0.99931420000000004</v>
      </c>
      <c r="S3203">
        <v>1.0477289999999999</v>
      </c>
      <c r="T3203">
        <v>-0.25151319999999999</v>
      </c>
      <c r="U3203">
        <v>-2.9654240000000001</v>
      </c>
      <c r="V3203">
        <v>-4.4984389999999999E-2</v>
      </c>
      <c r="W3203">
        <v>1.5727169999999999E-2</v>
      </c>
      <c r="X3203">
        <v>0.99886390000000003</v>
      </c>
      <c r="Y3203">
        <v>-0.33963549999999998</v>
      </c>
      <c r="Z3203">
        <v>7.9601329999999998E-2</v>
      </c>
      <c r="AA3203">
        <v>0.93718270000000004</v>
      </c>
      <c r="AB3203">
        <v>10</v>
      </c>
      <c r="AC3203">
        <v>4.6279999999999797</v>
      </c>
      <c r="AD3203">
        <v>-1.11101655594699</v>
      </c>
      <c r="AE3203">
        <v>-13.045499999999899</v>
      </c>
      <c r="AF3203">
        <v>-4.7022988047221901</v>
      </c>
      <c r="AG3203">
        <v>-1.11101655594699</v>
      </c>
      <c r="AH3203">
        <v>12.924657731634101</v>
      </c>
      <c r="AI3203">
        <v>94.618366039961401</v>
      </c>
      <c r="AJ3203">
        <v>109.99259383665201</v>
      </c>
      <c r="AK3203">
        <v>13.798287912504501</v>
      </c>
      <c r="AL3203">
        <v>89.098862397725497</v>
      </c>
      <c r="AM3203">
        <v>92.578604855501396</v>
      </c>
      <c r="AN3203">
        <v>1.00000001497154</v>
      </c>
    </row>
    <row r="3204" spans="1:40" x14ac:dyDescent="0.25">
      <c r="A3204" t="str">
        <f>"20190312154315592"</f>
        <v>20190312154315592</v>
      </c>
      <c r="B3204" t="str">
        <f>"1552376595580581"</f>
        <v>1552376595580581</v>
      </c>
      <c r="C3204" t="s">
        <v>40</v>
      </c>
      <c r="D3204">
        <v>4.7995970000000003</v>
      </c>
      <c r="E3204">
        <v>0.34953319999999999</v>
      </c>
      <c r="F3204" t="s">
        <v>43</v>
      </c>
      <c r="G3204">
        <v>-487.7296</v>
      </c>
      <c r="H3204" s="1">
        <v>-1.5233450000000001E-6</v>
      </c>
      <c r="I3204">
        <v>232.245</v>
      </c>
      <c r="J3204">
        <v>-492.39589999999998</v>
      </c>
      <c r="K3204">
        <v>1.111048</v>
      </c>
      <c r="L3204">
        <v>245.32390000000001</v>
      </c>
      <c r="M3204">
        <v>-7.5947269999999999E-3</v>
      </c>
      <c r="N3204">
        <v>0</v>
      </c>
      <c r="O3204">
        <v>-0.99988290000000002</v>
      </c>
      <c r="P3204">
        <v>3.7931230000000003E-2</v>
      </c>
      <c r="Q3204">
        <v>2.7701470000000001E-3</v>
      </c>
      <c r="R3204">
        <v>-0.99927650000000001</v>
      </c>
      <c r="S3204">
        <v>1.0527040000000001</v>
      </c>
      <c r="T3204">
        <v>-0.2506429</v>
      </c>
      <c r="U3204">
        <v>-2.9637600000000002</v>
      </c>
      <c r="V3204">
        <v>-4.5530960000000002E-2</v>
      </c>
      <c r="W3204">
        <v>1.6011330000000001E-2</v>
      </c>
      <c r="X3204">
        <v>0.99883460000000002</v>
      </c>
      <c r="Y3204">
        <v>-0.34079759999999998</v>
      </c>
      <c r="Z3204">
        <v>7.9331200000000004E-2</v>
      </c>
      <c r="AA3204">
        <v>0.93678360000000005</v>
      </c>
      <c r="AB3204">
        <v>10</v>
      </c>
      <c r="AC3204">
        <v>4.6662999999999704</v>
      </c>
      <c r="AD3204">
        <v>-1.111049523345</v>
      </c>
      <c r="AE3204">
        <v>-13.078900000000001</v>
      </c>
      <c r="AF3204">
        <v>-4.7351920883702503</v>
      </c>
      <c r="AG3204">
        <v>-1.111049523345</v>
      </c>
      <c r="AH3204">
        <v>12.9601150039858</v>
      </c>
      <c r="AI3204">
        <v>94.603645047643298</v>
      </c>
      <c r="AJ3204">
        <v>110.07061106971101</v>
      </c>
      <c r="AK3204">
        <v>13.842725745807</v>
      </c>
      <c r="AL3204">
        <v>89.082579160044901</v>
      </c>
      <c r="AM3204">
        <v>92.609968850098497</v>
      </c>
      <c r="AN3204">
        <v>0.99999999458202504</v>
      </c>
    </row>
    <row r="3205" spans="1:40" x14ac:dyDescent="0.25">
      <c r="A3205" t="str">
        <f>"20190312154315612"</f>
        <v>20190312154315612</v>
      </c>
      <c r="B3205" t="str">
        <f>"1552376595610837"</f>
        <v>1552376595610837</v>
      </c>
      <c r="C3205" t="s">
        <v>40</v>
      </c>
      <c r="D3205">
        <v>4.7382660000000003</v>
      </c>
      <c r="E3205">
        <v>0.33988629999999997</v>
      </c>
      <c r="F3205" t="s">
        <v>43</v>
      </c>
      <c r="G3205">
        <v>-487.00799999999998</v>
      </c>
      <c r="H3205" s="1">
        <v>-2.0999150000000002E-6</v>
      </c>
      <c r="I3205">
        <v>233.29060000000001</v>
      </c>
      <c r="J3205">
        <v>-492.39580000000001</v>
      </c>
      <c r="K3205">
        <v>1.1111120000000001</v>
      </c>
      <c r="L3205">
        <v>245.22919999999999</v>
      </c>
      <c r="M3205">
        <v>-6.7994199999999996E-3</v>
      </c>
      <c r="N3205">
        <v>0</v>
      </c>
      <c r="O3205">
        <v>-0.99988880000000002</v>
      </c>
      <c r="P3205">
        <v>4.0336820000000002E-2</v>
      </c>
      <c r="Q3205">
        <v>3.9894800000000001E-3</v>
      </c>
      <c r="R3205">
        <v>-0.99917829999999996</v>
      </c>
      <c r="S3205">
        <v>1.3220829999999999</v>
      </c>
      <c r="T3205">
        <v>-0.27262779999999998</v>
      </c>
      <c r="U3205">
        <v>-2.952728</v>
      </c>
      <c r="V3205">
        <v>-4.714455E-2</v>
      </c>
      <c r="W3205">
        <v>1.7220900000000001E-2</v>
      </c>
      <c r="X3205">
        <v>0.99873959999999995</v>
      </c>
      <c r="Y3205">
        <v>-0.41341270000000002</v>
      </c>
      <c r="Z3205">
        <v>8.3845920000000004E-2</v>
      </c>
      <c r="AA3205">
        <v>0.90667520000000001</v>
      </c>
      <c r="AB3205">
        <v>10</v>
      </c>
      <c r="AC3205">
        <v>5.3877999999999702</v>
      </c>
      <c r="AD3205">
        <v>-1.111114099915</v>
      </c>
      <c r="AE3205">
        <v>-11.9385999999999</v>
      </c>
      <c r="AF3205">
        <v>-5.4297841721336697</v>
      </c>
      <c r="AG3205">
        <v>-1.111114099915</v>
      </c>
      <c r="AH3205">
        <v>11.816651511573101</v>
      </c>
      <c r="AI3205">
        <v>94.883550773486704</v>
      </c>
      <c r="AJ3205">
        <v>114.67891238659401</v>
      </c>
      <c r="AK3205">
        <v>13.0518344934705</v>
      </c>
      <c r="AL3205">
        <v>89.013266314213396</v>
      </c>
      <c r="AM3205">
        <v>92.702586481068906</v>
      </c>
      <c r="AN3205">
        <v>0.999999978299835</v>
      </c>
    </row>
    <row r="3206" spans="1:40" x14ac:dyDescent="0.25">
      <c r="A3206" t="str">
        <f>"20190312154315627"</f>
        <v>20190312154315627</v>
      </c>
      <c r="B3206" t="str">
        <f>"1552376595620596"</f>
        <v>1552376595620596</v>
      </c>
      <c r="C3206" t="s">
        <v>40</v>
      </c>
      <c r="D3206">
        <v>4.7251839999999996</v>
      </c>
      <c r="E3206">
        <v>0.3391788</v>
      </c>
      <c r="F3206" t="s">
        <v>43</v>
      </c>
      <c r="G3206">
        <v>-486.7319</v>
      </c>
      <c r="H3206" s="1">
        <v>-2.1788939999999998E-6</v>
      </c>
      <c r="I3206">
        <v>233.3605</v>
      </c>
      <c r="J3206">
        <v>-492.39550000000003</v>
      </c>
      <c r="K3206">
        <v>1.1111580000000001</v>
      </c>
      <c r="L3206">
        <v>245.16309999999999</v>
      </c>
      <c r="M3206">
        <v>-6.1896549999999996E-3</v>
      </c>
      <c r="N3206">
        <v>0</v>
      </c>
      <c r="O3206">
        <v>-0.99989269999999997</v>
      </c>
      <c r="P3206">
        <v>4.1338729999999997E-2</v>
      </c>
      <c r="Q3206">
        <v>4.3542329999999999E-3</v>
      </c>
      <c r="R3206">
        <v>-0.99913589999999997</v>
      </c>
      <c r="S3206">
        <v>1.40625</v>
      </c>
      <c r="T3206">
        <v>-0.27587149999999999</v>
      </c>
      <c r="U3206">
        <v>-2.946793</v>
      </c>
      <c r="V3206">
        <v>-4.7539520000000002E-2</v>
      </c>
      <c r="W3206">
        <v>1.7579910000000001E-2</v>
      </c>
      <c r="X3206">
        <v>0.99871460000000001</v>
      </c>
      <c r="Y3206">
        <v>-0.43473889999999998</v>
      </c>
      <c r="Z3206">
        <v>8.4068980000000001E-2</v>
      </c>
      <c r="AA3206">
        <v>0.89662389999999903</v>
      </c>
      <c r="AB3206">
        <v>10</v>
      </c>
      <c r="AC3206">
        <v>5.6636000000000299</v>
      </c>
      <c r="AD3206">
        <v>-1.111160178894</v>
      </c>
      <c r="AE3206">
        <v>-11.802599999999901</v>
      </c>
      <c r="AF3206">
        <v>-5.6955190460220404</v>
      </c>
      <c r="AG3206">
        <v>-1.111160178894</v>
      </c>
      <c r="AH3206">
        <v>11.683144780876701</v>
      </c>
      <c r="AI3206">
        <v>94.886355230568498</v>
      </c>
      <c r="AJ3206">
        <v>115.98917797230899</v>
      </c>
      <c r="AK3206">
        <v>13.044902687168101</v>
      </c>
      <c r="AL3206">
        <v>88.992693418409203</v>
      </c>
      <c r="AM3206">
        <v>92.725262470222106</v>
      </c>
      <c r="AN3206">
        <v>0.99999995572529798</v>
      </c>
    </row>
    <row r="3207" spans="1:40" x14ac:dyDescent="0.25">
      <c r="A3207" t="str">
        <f>"20190312154315644"</f>
        <v>20190312154315644</v>
      </c>
      <c r="B3207" t="str">
        <f>"1552376595640117"</f>
        <v>1552376595640117</v>
      </c>
      <c r="C3207" t="s">
        <v>40</v>
      </c>
      <c r="D3207">
        <v>4.7083870000000001</v>
      </c>
      <c r="E3207">
        <v>0.33844259999999998</v>
      </c>
      <c r="F3207" t="s">
        <v>43</v>
      </c>
      <c r="G3207">
        <v>-486.6696</v>
      </c>
      <c r="H3207" s="1">
        <v>-2.140742E-6</v>
      </c>
      <c r="I3207">
        <v>233.2458</v>
      </c>
      <c r="J3207">
        <v>-492.39510000000001</v>
      </c>
      <c r="K3207">
        <v>1.111208</v>
      </c>
      <c r="L3207">
        <v>245.08359999999999</v>
      </c>
      <c r="M3207">
        <v>-5.3719359999999999E-3</v>
      </c>
      <c r="N3207">
        <v>0</v>
      </c>
      <c r="O3207">
        <v>-0.99989760000000005</v>
      </c>
      <c r="P3207">
        <v>4.2700179999999997E-2</v>
      </c>
      <c r="Q3207">
        <v>4.433551E-3</v>
      </c>
      <c r="R3207">
        <v>-0.99907829999999997</v>
      </c>
      <c r="S3207">
        <v>1.4151</v>
      </c>
      <c r="T3207">
        <v>-0.27461249999999998</v>
      </c>
      <c r="U3207">
        <v>-2.9452509999999998</v>
      </c>
      <c r="V3207">
        <v>-4.808569E-2</v>
      </c>
      <c r="W3207">
        <v>1.7652850000000001E-2</v>
      </c>
      <c r="X3207">
        <v>0.9986872</v>
      </c>
      <c r="Y3207">
        <v>-0.4363919</v>
      </c>
      <c r="Z3207">
        <v>8.364183E-2</v>
      </c>
      <c r="AA3207">
        <v>0.89586060000000001</v>
      </c>
      <c r="AB3207">
        <v>10</v>
      </c>
      <c r="AC3207">
        <v>5.72550000000001</v>
      </c>
      <c r="AD3207">
        <v>-1.1112101407420001</v>
      </c>
      <c r="AE3207">
        <v>-11.8377999999999</v>
      </c>
      <c r="AF3207">
        <v>-5.74796852920307</v>
      </c>
      <c r="AG3207">
        <v>-1.1112101407420001</v>
      </c>
      <c r="AH3207">
        <v>11.7231541920819</v>
      </c>
      <c r="AI3207">
        <v>94.864605719380805</v>
      </c>
      <c r="AJ3207">
        <v>116.11913090379799</v>
      </c>
      <c r="AK3207">
        <v>13.103674080231199</v>
      </c>
      <c r="AL3207">
        <v>88.988513650184402</v>
      </c>
      <c r="AM3207">
        <v>92.756599842736506</v>
      </c>
      <c r="AN3207">
        <v>0.99999999006986895</v>
      </c>
    </row>
    <row r="3208" spans="1:40" x14ac:dyDescent="0.25">
      <c r="A3208" t="str">
        <f>"20190312154315656"</f>
        <v>20190312154315656</v>
      </c>
      <c r="B3208" t="str">
        <f>"1552376595650853"</f>
        <v>1552376595650853</v>
      </c>
      <c r="C3208" t="s">
        <v>40</v>
      </c>
      <c r="D3208">
        <v>4.7282529999999996</v>
      </c>
      <c r="E3208">
        <v>0.33839540000000001</v>
      </c>
      <c r="F3208" t="s">
        <v>43</v>
      </c>
      <c r="G3208">
        <v>-486.57810000000001</v>
      </c>
      <c r="H3208" s="1">
        <v>-2.0805210000000002E-6</v>
      </c>
      <c r="I3208">
        <v>233.0676</v>
      </c>
      <c r="J3208">
        <v>-492.3947</v>
      </c>
      <c r="K3208">
        <v>1.1112409999999999</v>
      </c>
      <c r="L3208">
        <v>245.0324</v>
      </c>
      <c r="M3208">
        <v>-4.7961459999999899E-3</v>
      </c>
      <c r="N3208">
        <v>0</v>
      </c>
      <c r="O3208">
        <v>-0.99990049999999997</v>
      </c>
      <c r="P3208">
        <v>4.3578980000000003E-2</v>
      </c>
      <c r="Q3208">
        <v>4.3863849999999996E-3</v>
      </c>
      <c r="R3208">
        <v>-0.9990405</v>
      </c>
      <c r="S3208">
        <v>1.424774</v>
      </c>
      <c r="T3208">
        <v>-0.27217170000000002</v>
      </c>
      <c r="U3208">
        <v>-2.9430999999999998</v>
      </c>
      <c r="V3208">
        <v>-4.8390500000000003E-2</v>
      </c>
      <c r="W3208">
        <v>1.760136E-2</v>
      </c>
      <c r="X3208">
        <v>0.99867340000000004</v>
      </c>
      <c r="Y3208">
        <v>-0.43854589999999999</v>
      </c>
      <c r="Z3208">
        <v>8.2857260000000002E-2</v>
      </c>
      <c r="AA3208">
        <v>0.89488109999999998</v>
      </c>
      <c r="AB3208">
        <v>10</v>
      </c>
      <c r="AC3208">
        <v>5.8165999999999896</v>
      </c>
      <c r="AD3208">
        <v>-1.1112430805209901</v>
      </c>
      <c r="AE3208">
        <v>-11.964799999999901</v>
      </c>
      <c r="AF3208">
        <v>-5.8332244279585099</v>
      </c>
      <c r="AG3208">
        <v>-1.1112430805209901</v>
      </c>
      <c r="AH3208">
        <v>11.854056422309499</v>
      </c>
      <c r="AI3208">
        <v>94.807914642814097</v>
      </c>
      <c r="AJ3208">
        <v>116.20118893362999</v>
      </c>
      <c r="AK3208">
        <v>13.258205839186299</v>
      </c>
      <c r="AL3208">
        <v>88.991464282504495</v>
      </c>
      <c r="AM3208">
        <v>92.774084695787593</v>
      </c>
      <c r="AN3208">
        <v>1.0000000041158299</v>
      </c>
    </row>
    <row r="3209" spans="1:40" x14ac:dyDescent="0.25">
      <c r="A3209" t="str">
        <f>"20190312154315668"</f>
        <v>20190312154315668</v>
      </c>
      <c r="B3209" t="str">
        <f>"1552376595660612"</f>
        <v>1552376595660612</v>
      </c>
      <c r="C3209" t="s">
        <v>40</v>
      </c>
      <c r="D3209">
        <v>4.7150259999999999</v>
      </c>
      <c r="E3209">
        <v>0.33849430000000003</v>
      </c>
      <c r="F3209" t="s">
        <v>43</v>
      </c>
      <c r="G3209">
        <v>-486.52080000000001</v>
      </c>
      <c r="H3209" s="1">
        <v>-2.0425919999999999E-6</v>
      </c>
      <c r="I3209">
        <v>232.93</v>
      </c>
      <c r="J3209">
        <v>-492.39420000000001</v>
      </c>
      <c r="K3209">
        <v>1.1112759999999999</v>
      </c>
      <c r="L3209">
        <v>244.97819999999999</v>
      </c>
      <c r="M3209">
        <v>-4.1643970000000002E-3</v>
      </c>
      <c r="N3209">
        <v>0</v>
      </c>
      <c r="O3209">
        <v>-0.99990330000000005</v>
      </c>
      <c r="P3209">
        <v>4.4511660000000002E-2</v>
      </c>
      <c r="Q3209">
        <v>4.4852870000000001E-3</v>
      </c>
      <c r="R3209">
        <v>-0.99899899999999997</v>
      </c>
      <c r="S3209">
        <v>1.4277949999999999</v>
      </c>
      <c r="T3209">
        <v>-0.27011570000000001</v>
      </c>
      <c r="U3209">
        <v>-2.9418030000000002</v>
      </c>
      <c r="V3209">
        <v>-4.8693769999999997E-2</v>
      </c>
      <c r="W3209">
        <v>1.7695760000000001E-2</v>
      </c>
      <c r="X3209">
        <v>0.99865700000000002</v>
      </c>
      <c r="Y3209">
        <v>-0.4388997</v>
      </c>
      <c r="Z3209">
        <v>8.2244049999999999E-2</v>
      </c>
      <c r="AA3209">
        <v>0.89476420000000001</v>
      </c>
      <c r="AB3209">
        <v>10</v>
      </c>
      <c r="AC3209">
        <v>5.8734000000000002</v>
      </c>
      <c r="AD3209">
        <v>-1.1112780425919999</v>
      </c>
      <c r="AE3209">
        <v>-12.0481999999999</v>
      </c>
      <c r="AF3209">
        <v>-5.8830871536742197</v>
      </c>
      <c r="AG3209">
        <v>-1.1112780425919999</v>
      </c>
      <c r="AH3209">
        <v>11.9415490505307</v>
      </c>
      <c r="AI3209">
        <v>94.771927705865195</v>
      </c>
      <c r="AJ3209">
        <v>116.227483018207</v>
      </c>
      <c r="AK3209">
        <v>13.358377411643399</v>
      </c>
      <c r="AL3209">
        <v>88.986054727828702</v>
      </c>
      <c r="AM3209">
        <v>92.791488626722298</v>
      </c>
      <c r="AN3209">
        <v>1.00000001340389</v>
      </c>
    </row>
    <row r="3210" spans="1:40" x14ac:dyDescent="0.25">
      <c r="A3210" t="str">
        <f>"20190312154315679"</f>
        <v>20190312154315679</v>
      </c>
      <c r="B3210" t="str">
        <f>"1552376595670087"</f>
        <v>1552376595670087</v>
      </c>
      <c r="C3210" t="s">
        <v>40</v>
      </c>
      <c r="D3210">
        <v>4.7654820000000004</v>
      </c>
      <c r="E3210">
        <v>0.33832600000000002</v>
      </c>
      <c r="F3210" t="s">
        <v>41</v>
      </c>
      <c r="G3210">
        <v>-491.9581</v>
      </c>
      <c r="H3210">
        <v>1.028643</v>
      </c>
      <c r="I3210">
        <v>244.08090000000001</v>
      </c>
      <c r="J3210">
        <v>-492.39370000000002</v>
      </c>
      <c r="K3210">
        <v>1.1113109999999999</v>
      </c>
      <c r="L3210">
        <v>244.92410000000001</v>
      </c>
      <c r="M3210">
        <v>-3.459447E-3</v>
      </c>
      <c r="N3210">
        <v>0</v>
      </c>
      <c r="O3210">
        <v>-0.99990599999999996</v>
      </c>
      <c r="P3210">
        <v>4.56465E-2</v>
      </c>
      <c r="Q3210">
        <v>4.8456829999999999E-3</v>
      </c>
      <c r="R3210">
        <v>-0.99894620000000001</v>
      </c>
      <c r="S3210">
        <v>1.4297489999999999</v>
      </c>
      <c r="T3210">
        <v>-0.27077289999999998</v>
      </c>
      <c r="U3210">
        <v>-2.9405060000000001</v>
      </c>
      <c r="V3210">
        <v>-4.9125839999999997E-2</v>
      </c>
      <c r="W3210">
        <v>1.8051899999999999E-2</v>
      </c>
      <c r="X3210">
        <v>0.99862949999999995</v>
      </c>
      <c r="Y3210">
        <v>-0.43889470000000003</v>
      </c>
      <c r="Z3210">
        <v>8.2464339999999997E-2</v>
      </c>
      <c r="AA3210">
        <v>0.89474639999999905</v>
      </c>
      <c r="AB3210">
        <v>10</v>
      </c>
      <c r="AC3210">
        <v>0.43560000000002203</v>
      </c>
      <c r="AD3210">
        <v>-8.2668000000000103E-2</v>
      </c>
      <c r="AE3210">
        <v>-0.84319999999999595</v>
      </c>
      <c r="AF3210">
        <v>-0.43521263320616599</v>
      </c>
      <c r="AG3210">
        <v>-8.2668000000000103E-2</v>
      </c>
      <c r="AH3210">
        <v>0.83534996276720797</v>
      </c>
      <c r="AI3210">
        <v>95.0157181365837</v>
      </c>
      <c r="AJ3210">
        <v>117.519260340537</v>
      </c>
      <c r="AK3210">
        <v>0.94554407333630996</v>
      </c>
      <c r="AL3210">
        <v>88.965646185389502</v>
      </c>
      <c r="AM3210">
        <v>92.816295815977199</v>
      </c>
      <c r="AN3210">
        <v>1.00000004875978</v>
      </c>
    </row>
    <row r="3211" spans="1:40" x14ac:dyDescent="0.25">
      <c r="A3211" t="str">
        <f>"20190312154315692"</f>
        <v>20190312154315692</v>
      </c>
      <c r="B3211" t="str">
        <f>"1552376595680801"</f>
        <v>1552376595680801</v>
      </c>
      <c r="C3211" t="s">
        <v>40</v>
      </c>
      <c r="D3211">
        <v>4.7277879999999897</v>
      </c>
      <c r="E3211">
        <v>0.338449</v>
      </c>
      <c r="F3211" t="s">
        <v>43</v>
      </c>
      <c r="G3211">
        <v>-486.50909999999999</v>
      </c>
      <c r="H3211" s="1">
        <v>-2.0244660000000002E-6</v>
      </c>
      <c r="I3211">
        <v>232.86760000000001</v>
      </c>
      <c r="J3211">
        <v>-492.39299999999997</v>
      </c>
      <c r="K3211">
        <v>1.111345</v>
      </c>
      <c r="L3211">
        <v>244.8708</v>
      </c>
      <c r="M3211">
        <v>-2.7409349999999999E-3</v>
      </c>
      <c r="N3211">
        <v>0</v>
      </c>
      <c r="O3211">
        <v>-0.99990820000000002</v>
      </c>
      <c r="P3211">
        <v>4.6805739999999998E-2</v>
      </c>
      <c r="Q3211">
        <v>5.0591710000000003E-3</v>
      </c>
      <c r="R3211">
        <v>-0.99889150000000004</v>
      </c>
      <c r="S3211">
        <v>1.4344479999999999</v>
      </c>
      <c r="T3211">
        <v>-0.27089849999999999</v>
      </c>
      <c r="U3211">
        <v>-2.9389340000000002</v>
      </c>
      <c r="V3211">
        <v>-4.9568960000000002E-2</v>
      </c>
      <c r="W3211">
        <v>1.8261199999999998E-2</v>
      </c>
      <c r="X3211">
        <v>0.99860380000000004</v>
      </c>
      <c r="Y3211">
        <v>-0.4395927</v>
      </c>
      <c r="Z3211">
        <v>8.2499959999999997E-2</v>
      </c>
      <c r="AA3211">
        <v>0.89440039999999998</v>
      </c>
      <c r="AB3211">
        <v>10</v>
      </c>
      <c r="AC3211">
        <v>5.8839000000000397</v>
      </c>
      <c r="AD3211">
        <v>-1.111347024466</v>
      </c>
      <c r="AE3211">
        <v>-12.0031999999999</v>
      </c>
      <c r="AF3211">
        <v>-5.8761667584293003</v>
      </c>
      <c r="AG3211">
        <v>-1.111347024466</v>
      </c>
      <c r="AH3211">
        <v>11.904744636515399</v>
      </c>
      <c r="AI3211">
        <v>94.785128171347296</v>
      </c>
      <c r="AJ3211">
        <v>116.27088765344099</v>
      </c>
      <c r="AK3211">
        <v>13.3224386972619</v>
      </c>
      <c r="AL3211">
        <v>88.953652204823101</v>
      </c>
      <c r="AM3211">
        <v>92.8417306475977</v>
      </c>
      <c r="AN3211">
        <v>1.0000000512976699</v>
      </c>
    </row>
    <row r="3212" spans="1:40" x14ac:dyDescent="0.25">
      <c r="A3212" t="str">
        <f>"20190312154315704"</f>
        <v>20190312154315704</v>
      </c>
      <c r="B3212" t="str">
        <f>"1552376595700321"</f>
        <v>1552376595700321</v>
      </c>
      <c r="C3212" t="s">
        <v>40</v>
      </c>
      <c r="D3212">
        <v>4.7392519999999996</v>
      </c>
      <c r="E3212">
        <v>0.33858240000000001</v>
      </c>
      <c r="F3212" t="s">
        <v>43</v>
      </c>
      <c r="G3212">
        <v>-486.55250000000001</v>
      </c>
      <c r="H3212" s="1">
        <v>-2.0348570000000001E-6</v>
      </c>
      <c r="I3212">
        <v>232.93209999999999</v>
      </c>
      <c r="J3212">
        <v>-492.39229999999998</v>
      </c>
      <c r="K3212">
        <v>1.111378</v>
      </c>
      <c r="L3212">
        <v>244.81659999999999</v>
      </c>
      <c r="M3212">
        <v>-1.9645119999999999E-3</v>
      </c>
      <c r="N3212">
        <v>0</v>
      </c>
      <c r="O3212">
        <v>-0.99990999999999997</v>
      </c>
      <c r="P3212">
        <v>4.8219280000000003E-2</v>
      </c>
      <c r="Q3212">
        <v>5.2444919999999999E-3</v>
      </c>
      <c r="R3212">
        <v>-0.99882320000000002</v>
      </c>
      <c r="S3212">
        <v>1.4369809999999901</v>
      </c>
      <c r="T3212">
        <v>-0.27343149999999999</v>
      </c>
      <c r="U3212">
        <v>-2.9373629999999999</v>
      </c>
      <c r="V3212">
        <v>-5.020877E-2</v>
      </c>
      <c r="W3212">
        <v>1.8441889999999999E-2</v>
      </c>
      <c r="X3212">
        <v>0.99856849999999997</v>
      </c>
      <c r="Y3212">
        <v>-0.43967830000000002</v>
      </c>
      <c r="Z3212">
        <v>8.3288810000000005E-2</v>
      </c>
      <c r="AA3212">
        <v>0.894285199999999</v>
      </c>
      <c r="AB3212">
        <v>10</v>
      </c>
      <c r="AC3212">
        <v>5.8397999999999604</v>
      </c>
      <c r="AD3212">
        <v>-1.111380034857</v>
      </c>
      <c r="AE3212">
        <v>-11.884499999999999</v>
      </c>
      <c r="AF3212">
        <v>-5.8221257069408399</v>
      </c>
      <c r="AG3212">
        <v>-1.111380034857</v>
      </c>
      <c r="AH3212">
        <v>11.7899527007073</v>
      </c>
      <c r="AI3212">
        <v>94.831217339869397</v>
      </c>
      <c r="AJ3212">
        <v>116.28112519791701</v>
      </c>
      <c r="AK3212">
        <v>13.196033419714301</v>
      </c>
      <c r="AL3212">
        <v>88.943297671606004</v>
      </c>
      <c r="AM3212">
        <v>92.878450499136605</v>
      </c>
      <c r="AN3212">
        <v>1.0000000365419599</v>
      </c>
    </row>
    <row r="3213" spans="1:40" x14ac:dyDescent="0.25">
      <c r="A3213" t="str">
        <f>"20190312154315715"</f>
        <v>20190312154315715</v>
      </c>
      <c r="B3213" t="str">
        <f>"1552376595710082"</f>
        <v>1552376595710082</v>
      </c>
      <c r="C3213" t="s">
        <v>40</v>
      </c>
      <c r="D3213">
        <v>4.7325949999999999</v>
      </c>
      <c r="E3213">
        <v>0.33873019999999998</v>
      </c>
      <c r="F3213" t="s">
        <v>43</v>
      </c>
      <c r="G3213">
        <v>-486.62259999999998</v>
      </c>
      <c r="H3213" s="1">
        <v>-2.0682919999999999E-6</v>
      </c>
      <c r="I3213">
        <v>233.0575</v>
      </c>
      <c r="J3213">
        <v>-492.39139999999998</v>
      </c>
      <c r="K3213">
        <v>1.111405</v>
      </c>
      <c r="L3213">
        <v>244.7638</v>
      </c>
      <c r="M3213">
        <v>-1.16201E-3</v>
      </c>
      <c r="N3213">
        <v>0</v>
      </c>
      <c r="O3213">
        <v>-0.99991129999999995</v>
      </c>
      <c r="P3213">
        <v>4.9708969999999998E-2</v>
      </c>
      <c r="Q3213">
        <v>5.5988180000000002E-3</v>
      </c>
      <c r="R3213">
        <v>-0.99874850000000004</v>
      </c>
      <c r="S3213">
        <v>1.4403079999999999</v>
      </c>
      <c r="T3213">
        <v>-0.27743780000000001</v>
      </c>
      <c r="U3213">
        <v>-2.9354550000000001</v>
      </c>
      <c r="V3213">
        <v>-5.0898369999999998E-2</v>
      </c>
      <c r="W3213">
        <v>1.879231E-2</v>
      </c>
      <c r="X3213">
        <v>0.99852700000000005</v>
      </c>
      <c r="Y3213">
        <v>-0.43995879999999998</v>
      </c>
      <c r="Z3213">
        <v>8.4522719999999996E-2</v>
      </c>
      <c r="AA3213">
        <v>0.89403140000000003</v>
      </c>
      <c r="AB3213">
        <v>10</v>
      </c>
      <c r="AC3213">
        <v>5.7687999999999899</v>
      </c>
      <c r="AD3213">
        <v>-1.1114070682920001</v>
      </c>
      <c r="AE3213">
        <v>-11.706300000000001</v>
      </c>
      <c r="AF3213">
        <v>-5.74076506718351</v>
      </c>
      <c r="AG3213">
        <v>-1.1114070682920001</v>
      </c>
      <c r="AH3213">
        <v>11.615347442652499</v>
      </c>
      <c r="AI3213">
        <v>94.902797555590496</v>
      </c>
      <c r="AJ3213">
        <v>116.300407542321</v>
      </c>
      <c r="AK3213">
        <v>13.004149547032201</v>
      </c>
      <c r="AL3213">
        <v>88.923216546512606</v>
      </c>
      <c r="AM3213">
        <v>92.918038218178296</v>
      </c>
      <c r="AN3213">
        <v>0.99999998235639598</v>
      </c>
    </row>
    <row r="3214" spans="1:40" x14ac:dyDescent="0.25">
      <c r="A3214" t="str">
        <f>"20190312154315734"</f>
        <v>20190312154315734</v>
      </c>
      <c r="B3214" t="str">
        <f>"1552376595730577"</f>
        <v>1552376595730577</v>
      </c>
      <c r="C3214" t="s">
        <v>40</v>
      </c>
      <c r="D3214">
        <v>4.7541279999999997</v>
      </c>
      <c r="E3214">
        <v>0.33897529999999998</v>
      </c>
      <c r="F3214" t="s">
        <v>43</v>
      </c>
      <c r="G3214">
        <v>-486.61799999999999</v>
      </c>
      <c r="H3214" s="1">
        <v>-2.057154E-6</v>
      </c>
      <c r="I3214">
        <v>233.02959999999999</v>
      </c>
      <c r="J3214">
        <v>-492.39</v>
      </c>
      <c r="K3214">
        <v>1.1114470000000001</v>
      </c>
      <c r="L3214">
        <v>244.6832</v>
      </c>
      <c r="M3214">
        <v>1.3078370000000001E-4</v>
      </c>
      <c r="N3214">
        <v>0</v>
      </c>
      <c r="O3214">
        <v>-0.99991189999999996</v>
      </c>
      <c r="P3214">
        <v>5.2344990000000001E-2</v>
      </c>
      <c r="Q3214">
        <v>5.7322419999999898E-3</v>
      </c>
      <c r="R3214">
        <v>-0.99861259999999996</v>
      </c>
      <c r="S3214">
        <v>1.4433290000000001</v>
      </c>
      <c r="T3214">
        <v>-0.27784710000000001</v>
      </c>
      <c r="U3214">
        <v>-2.933487</v>
      </c>
      <c r="V3214">
        <v>-5.2245189999999997E-2</v>
      </c>
      <c r="W3214">
        <v>1.8919120000000001E-2</v>
      </c>
      <c r="X3214">
        <v>0.99845499999999998</v>
      </c>
      <c r="Y3214">
        <v>-0.43977169999999999</v>
      </c>
      <c r="Z3214">
        <v>8.4683140000000004E-2</v>
      </c>
      <c r="AA3214">
        <v>0.89410820000000002</v>
      </c>
      <c r="AB3214">
        <v>10</v>
      </c>
      <c r="AC3214">
        <v>5.7719999999999301</v>
      </c>
      <c r="AD3214">
        <v>-1.1114490571540001</v>
      </c>
      <c r="AE3214">
        <v>-11.653600000000001</v>
      </c>
      <c r="AF3214">
        <v>-5.7286321210546802</v>
      </c>
      <c r="AG3214">
        <v>-1.1114490571540001</v>
      </c>
      <c r="AH3214">
        <v>11.5698453365478</v>
      </c>
      <c r="AI3214">
        <v>94.920427797250795</v>
      </c>
      <c r="AJ3214">
        <v>116.341609416707</v>
      </c>
      <c r="AK3214">
        <v>12.958158283362</v>
      </c>
      <c r="AL3214">
        <v>88.915949530703301</v>
      </c>
      <c r="AM3214">
        <v>92.995329133251403</v>
      </c>
      <c r="AN3214">
        <v>0.99999994000235304</v>
      </c>
    </row>
    <row r="3215" spans="1:40" x14ac:dyDescent="0.25">
      <c r="A3215" t="str">
        <f>"20190312154315756"</f>
        <v>20190312154315756</v>
      </c>
      <c r="B3215" t="str">
        <f>"1552376595750097"</f>
        <v>1552376595750097</v>
      </c>
      <c r="C3215" t="s">
        <v>40</v>
      </c>
      <c r="D3215">
        <v>4.7685570000000004</v>
      </c>
      <c r="E3215">
        <v>0.33910289999999998</v>
      </c>
      <c r="F3215" t="s">
        <v>43</v>
      </c>
      <c r="G3215">
        <v>-486.66399999999999</v>
      </c>
      <c r="H3215" s="1">
        <v>-2.0809339999999999E-6</v>
      </c>
      <c r="I3215">
        <v>233.10409999999999</v>
      </c>
      <c r="J3215">
        <v>-492.38799999999998</v>
      </c>
      <c r="K3215">
        <v>1.111494</v>
      </c>
      <c r="L3215">
        <v>244.58529999999999</v>
      </c>
      <c r="M3215">
        <v>1.828463E-3</v>
      </c>
      <c r="N3215">
        <v>0</v>
      </c>
      <c r="O3215">
        <v>-0.99991019999999997</v>
      </c>
      <c r="P3215">
        <v>5.5215279999999999E-2</v>
      </c>
      <c r="Q3215">
        <v>5.6211109999999998E-3</v>
      </c>
      <c r="R3215">
        <v>-0.99845890000000004</v>
      </c>
      <c r="S3215">
        <v>1.4488529999999999</v>
      </c>
      <c r="T3215">
        <v>-0.28122829999999999</v>
      </c>
      <c r="U3215">
        <v>-2.9298549999999999</v>
      </c>
      <c r="V3215">
        <v>-5.3422190000000001E-2</v>
      </c>
      <c r="W3215">
        <v>1.8801829999999999E-2</v>
      </c>
      <c r="X3215">
        <v>0.99839500000000003</v>
      </c>
      <c r="Y3215">
        <v>-0.440002</v>
      </c>
      <c r="Z3215">
        <v>8.5761019999999993E-2</v>
      </c>
      <c r="AA3215">
        <v>0.89389219999999903</v>
      </c>
      <c r="AB3215">
        <v>10</v>
      </c>
      <c r="AC3215">
        <v>5.7240000000000402</v>
      </c>
      <c r="AD3215">
        <v>-1.111496080934</v>
      </c>
      <c r="AE3215">
        <v>-11.481199999999999</v>
      </c>
      <c r="AF3215">
        <v>-5.6605054661073</v>
      </c>
      <c r="AG3215">
        <v>-1.111496080934</v>
      </c>
      <c r="AH3215">
        <v>11.406029336280399</v>
      </c>
      <c r="AI3215">
        <v>94.988702868818294</v>
      </c>
      <c r="AJ3215">
        <v>116.393967841099</v>
      </c>
      <c r="AK3215">
        <v>12.781793727401899</v>
      </c>
      <c r="AL3215">
        <v>88.922671021503604</v>
      </c>
      <c r="AM3215">
        <v>93.062865724454696</v>
      </c>
      <c r="AN3215">
        <v>1.0000000076103699</v>
      </c>
    </row>
    <row r="3216" spans="1:40" x14ac:dyDescent="0.25">
      <c r="A3216" t="str">
        <f>"20190312154315768"</f>
        <v>20190312154315768</v>
      </c>
      <c r="B3216" t="str">
        <f>"1552376595760834"</f>
        <v>1552376595760834</v>
      </c>
      <c r="C3216" t="s">
        <v>40</v>
      </c>
      <c r="D3216">
        <v>4.7370900000000002</v>
      </c>
      <c r="E3216">
        <v>0.33927239999999997</v>
      </c>
      <c r="F3216" t="s">
        <v>43</v>
      </c>
      <c r="G3216">
        <v>-486.64839999999998</v>
      </c>
      <c r="H3216" s="1">
        <v>-2.061436E-6</v>
      </c>
      <c r="I3216">
        <v>233.0522</v>
      </c>
      <c r="J3216">
        <v>-492.38690000000003</v>
      </c>
      <c r="K3216">
        <v>1.1115120000000001</v>
      </c>
      <c r="L3216">
        <v>244.535</v>
      </c>
      <c r="M3216">
        <v>2.734747E-3</v>
      </c>
      <c r="N3216">
        <v>0</v>
      </c>
      <c r="O3216">
        <v>-0.99990809999999997</v>
      </c>
      <c r="P3216">
        <v>5.6885409999999997E-2</v>
      </c>
      <c r="Q3216">
        <v>5.3240759999999996E-3</v>
      </c>
      <c r="R3216">
        <v>-0.9983668</v>
      </c>
      <c r="S3216">
        <v>1.455994</v>
      </c>
      <c r="T3216">
        <v>-0.28196130000000003</v>
      </c>
      <c r="U3216">
        <v>-2.9256739999999999</v>
      </c>
      <c r="V3216">
        <v>-5.4188479999999997E-2</v>
      </c>
      <c r="W3216">
        <v>1.8501480000000001E-2</v>
      </c>
      <c r="X3216">
        <v>0.99835929999999995</v>
      </c>
      <c r="Y3216">
        <v>-0.44143660000000001</v>
      </c>
      <c r="Z3216">
        <v>8.6015949999999994E-2</v>
      </c>
      <c r="AA3216">
        <v>0.89316019999999896</v>
      </c>
      <c r="AB3216">
        <v>10</v>
      </c>
      <c r="AC3216">
        <v>5.7385000000000401</v>
      </c>
      <c r="AD3216">
        <v>-1.111514061436</v>
      </c>
      <c r="AE3216">
        <v>-11.4827999999999</v>
      </c>
      <c r="AF3216">
        <v>-5.6646032864407196</v>
      </c>
      <c r="AG3216">
        <v>-1.111514061436</v>
      </c>
      <c r="AH3216">
        <v>11.4128845543437</v>
      </c>
      <c r="AI3216">
        <v>94.985681303548503</v>
      </c>
      <c r="AJ3216">
        <v>116.396770421616</v>
      </c>
      <c r="AK3216">
        <v>12.7897274307274</v>
      </c>
      <c r="AL3216">
        <v>88.939882788510403</v>
      </c>
      <c r="AM3216">
        <v>93.106825010410802</v>
      </c>
      <c r="AN3216">
        <v>0.99999999401169504</v>
      </c>
    </row>
    <row r="3217" spans="1:40" x14ac:dyDescent="0.25">
      <c r="A3217" t="str">
        <f>"20190312154315779"</f>
        <v>20190312154315779</v>
      </c>
      <c r="B3217" t="str">
        <f>"1552376595770182"</f>
        <v>1552376595770182</v>
      </c>
      <c r="C3217" t="s">
        <v>40</v>
      </c>
      <c r="D3217">
        <v>4.7747999999999999</v>
      </c>
      <c r="E3217">
        <v>0.33937399999999901</v>
      </c>
      <c r="F3217" t="s">
        <v>41</v>
      </c>
      <c r="G3217">
        <v>-491.94589999999999</v>
      </c>
      <c r="H3217">
        <v>1.0257849999999999</v>
      </c>
      <c r="I3217">
        <v>243.65209999999999</v>
      </c>
      <c r="J3217">
        <v>-492.38560000000001</v>
      </c>
      <c r="K3217">
        <v>1.1115219999999999</v>
      </c>
      <c r="L3217">
        <v>244.48169999999999</v>
      </c>
      <c r="M3217">
        <v>3.7529820000000002E-3</v>
      </c>
      <c r="N3217">
        <v>0</v>
      </c>
      <c r="O3217">
        <v>-0.99990460000000003</v>
      </c>
      <c r="P3217">
        <v>5.8435389999999997E-2</v>
      </c>
      <c r="Q3217">
        <v>4.6592700000000001E-3</v>
      </c>
      <c r="R3217">
        <v>-0.99828039999999996</v>
      </c>
      <c r="S3217">
        <v>1.4595640000000001</v>
      </c>
      <c r="T3217">
        <v>-0.28382869999999999</v>
      </c>
      <c r="U3217">
        <v>-2.9232640000000001</v>
      </c>
      <c r="V3217">
        <v>-5.472088E-2</v>
      </c>
      <c r="W3217">
        <v>1.7834969999999999E-2</v>
      </c>
      <c r="X3217">
        <v>0.99834239999999996</v>
      </c>
      <c r="Y3217">
        <v>-0.44166800000000001</v>
      </c>
      <c r="Z3217">
        <v>8.6616570000000004E-2</v>
      </c>
      <c r="AA3217">
        <v>0.89298770000000005</v>
      </c>
      <c r="AB3217">
        <v>10</v>
      </c>
      <c r="AC3217">
        <v>0.43970000000001602</v>
      </c>
      <c r="AD3217">
        <v>-8.5736999999999897E-2</v>
      </c>
      <c r="AE3217">
        <v>-0.829599999999999</v>
      </c>
      <c r="AF3217">
        <v>-0.432972886605897</v>
      </c>
      <c r="AG3217">
        <v>-8.5736999999999897E-2</v>
      </c>
      <c r="AH3217">
        <v>0.82437062096993996</v>
      </c>
      <c r="AI3217">
        <v>95.260722680298201</v>
      </c>
      <c r="AJ3217">
        <v>117.709187199377</v>
      </c>
      <c r="AK3217">
        <v>0.93509532905645898</v>
      </c>
      <c r="AL3217">
        <v>88.978077314141501</v>
      </c>
      <c r="AM3217">
        <v>93.137341783693699</v>
      </c>
      <c r="AN3217">
        <v>1.0000000042503101</v>
      </c>
    </row>
    <row r="3218" spans="1:40" x14ac:dyDescent="0.25">
      <c r="A3218" t="str">
        <f>"20190312154315791"</f>
        <v>20190312154315791</v>
      </c>
      <c r="B3218" t="str">
        <f>"1552376595780901"</f>
        <v>1552376595780901</v>
      </c>
      <c r="C3218" t="s">
        <v>40</v>
      </c>
      <c r="D3218">
        <v>4.7388409999999999</v>
      </c>
      <c r="E3218">
        <v>0.3394952</v>
      </c>
      <c r="F3218" t="s">
        <v>43</v>
      </c>
      <c r="G3218">
        <v>-486.73680000000002</v>
      </c>
      <c r="H3218" s="1">
        <v>-2.110327E-6</v>
      </c>
      <c r="I3218">
        <v>233.20269999999999</v>
      </c>
      <c r="J3218">
        <v>-492.3843</v>
      </c>
      <c r="K3218">
        <v>1.111531</v>
      </c>
      <c r="L3218">
        <v>244.43209999999999</v>
      </c>
      <c r="M3218">
        <v>4.7148629999999997E-3</v>
      </c>
      <c r="N3218">
        <v>0</v>
      </c>
      <c r="O3218">
        <v>-0.99990060000000003</v>
      </c>
      <c r="P3218">
        <v>5.9961519999999997E-2</v>
      </c>
      <c r="Q3218">
        <v>4.2818079999999998E-3</v>
      </c>
      <c r="R3218">
        <v>-0.99819159999999996</v>
      </c>
      <c r="S3218">
        <v>1.4628300000000001</v>
      </c>
      <c r="T3218">
        <v>-0.2878462</v>
      </c>
      <c r="U3218">
        <v>-2.920868</v>
      </c>
      <c r="V3218">
        <v>-5.5286780000000001E-2</v>
      </c>
      <c r="W3218">
        <v>1.7455470000000001E-2</v>
      </c>
      <c r="X3218">
        <v>0.99831789999999998</v>
      </c>
      <c r="Y3218">
        <v>-0.44184790000000002</v>
      </c>
      <c r="Z3218">
        <v>8.7870790000000004E-2</v>
      </c>
      <c r="AA3218">
        <v>0.89277609999999996</v>
      </c>
      <c r="AB3218">
        <v>10</v>
      </c>
      <c r="AC3218">
        <v>5.6474999999999804</v>
      </c>
      <c r="AD3218">
        <v>-1.1115331103270001</v>
      </c>
      <c r="AE3218">
        <v>-11.229399999999901</v>
      </c>
      <c r="AF3218">
        <v>-5.5510781942085199</v>
      </c>
      <c r="AG3218">
        <v>-1.1115331103270001</v>
      </c>
      <c r="AH3218">
        <v>11.1685668440462</v>
      </c>
      <c r="AI3218">
        <v>95.092865948777103</v>
      </c>
      <c r="AJ3218">
        <v>116.428612467889</v>
      </c>
      <c r="AK3218">
        <v>12.521455998544999</v>
      </c>
      <c r="AL3218">
        <v>88.999824419504606</v>
      </c>
      <c r="AM3218">
        <v>93.169798643203805</v>
      </c>
      <c r="AN3218">
        <v>0.99999997546804897</v>
      </c>
    </row>
    <row r="3219" spans="1:40" x14ac:dyDescent="0.25">
      <c r="A3219" t="str">
        <f>"20190312154315804"</f>
        <v>20190312154315804</v>
      </c>
      <c r="B3219" t="str">
        <f>"1552376595800423"</f>
        <v>1552376595800423</v>
      </c>
      <c r="C3219" t="s">
        <v>40</v>
      </c>
      <c r="D3219">
        <v>4.7939939999999996</v>
      </c>
      <c r="E3219">
        <v>0.33978509999999901</v>
      </c>
      <c r="F3219" t="s">
        <v>41</v>
      </c>
      <c r="G3219">
        <v>-491.9366</v>
      </c>
      <c r="H3219">
        <v>1.0224879999999901</v>
      </c>
      <c r="I3219">
        <v>243.54040000000001</v>
      </c>
      <c r="J3219">
        <v>-492.38260000000002</v>
      </c>
      <c r="K3219">
        <v>1.1115379999999999</v>
      </c>
      <c r="L3219">
        <v>244.3749</v>
      </c>
      <c r="M3219">
        <v>5.8622469999999897E-3</v>
      </c>
      <c r="N3219">
        <v>0</v>
      </c>
      <c r="O3219">
        <v>-0.99989470000000003</v>
      </c>
      <c r="P3219">
        <v>6.1509340000000003E-2</v>
      </c>
      <c r="Q3219">
        <v>4.1084950000000002E-3</v>
      </c>
      <c r="R3219">
        <v>-0.99809840000000005</v>
      </c>
      <c r="S3219">
        <v>1.4662170000000001</v>
      </c>
      <c r="T3219">
        <v>-0.2914195</v>
      </c>
      <c r="U3219">
        <v>-2.9186100000000001</v>
      </c>
      <c r="V3219">
        <v>-5.5689679999999998E-2</v>
      </c>
      <c r="W3219">
        <v>1.7280980000000001E-2</v>
      </c>
      <c r="X3219">
        <v>0.99829860000000004</v>
      </c>
      <c r="Y3219">
        <v>-0.44187929999999997</v>
      </c>
      <c r="Z3219">
        <v>8.8989830000000006E-2</v>
      </c>
      <c r="AA3219">
        <v>0.89264969999999999</v>
      </c>
      <c r="AB3219">
        <v>10</v>
      </c>
      <c r="AC3219">
        <v>0.44600000000002599</v>
      </c>
      <c r="AD3219">
        <v>-8.9050000000000004E-2</v>
      </c>
      <c r="AE3219">
        <v>-0.83449999999999103</v>
      </c>
      <c r="AF3219">
        <v>-0.43722725150491598</v>
      </c>
      <c r="AG3219">
        <v>-8.9050000000000004E-2</v>
      </c>
      <c r="AH3219">
        <v>0.82975118227806399</v>
      </c>
      <c r="AI3219">
        <v>95.423760318776601</v>
      </c>
      <c r="AJ3219">
        <v>117.786440716906</v>
      </c>
      <c r="AK3219">
        <v>0.94211708213490597</v>
      </c>
      <c r="AL3219">
        <v>89.009823526286695</v>
      </c>
      <c r="AM3219">
        <v>93.192912391950301</v>
      </c>
      <c r="AN3219">
        <v>1.00000003374511</v>
      </c>
    </row>
    <row r="3220" spans="1:40" x14ac:dyDescent="0.25">
      <c r="A3220" t="str">
        <f>"20190312154315824"</f>
        <v>20190312154315824</v>
      </c>
      <c r="B3220" t="str">
        <f>"1552376595820918"</f>
        <v>1552376595820918</v>
      </c>
      <c r="C3220" t="s">
        <v>40</v>
      </c>
      <c r="D3220">
        <v>4.7924009999999999</v>
      </c>
      <c r="E3220">
        <v>0.34022350000000001</v>
      </c>
      <c r="F3220" t="s">
        <v>43</v>
      </c>
      <c r="G3220">
        <v>-486.8073</v>
      </c>
      <c r="H3220" s="1">
        <v>-2.1407729999999998E-6</v>
      </c>
      <c r="I3220">
        <v>233.30279999999999</v>
      </c>
      <c r="J3220">
        <v>-492.37990000000002</v>
      </c>
      <c r="K3220">
        <v>1.1115440000000001</v>
      </c>
      <c r="L3220">
        <v>244.28649999999999</v>
      </c>
      <c r="M3220">
        <v>7.7027839999999998E-3</v>
      </c>
      <c r="N3220">
        <v>0</v>
      </c>
      <c r="O3220">
        <v>-0.99988200000000005</v>
      </c>
      <c r="P3220">
        <v>6.4169100000000007E-2</v>
      </c>
      <c r="Q3220">
        <v>3.6503270000000001E-3</v>
      </c>
      <c r="R3220">
        <v>-0.99793270000000001</v>
      </c>
      <c r="S3220">
        <v>1.468567</v>
      </c>
      <c r="T3220">
        <v>-0.29278290000000001</v>
      </c>
      <c r="U3220">
        <v>-2.9164119999999998</v>
      </c>
      <c r="V3220">
        <v>-5.6512199999999999E-2</v>
      </c>
      <c r="W3220">
        <v>1.6821369999999999E-2</v>
      </c>
      <c r="X3220">
        <v>0.99826020000000004</v>
      </c>
      <c r="Y3220">
        <v>-0.44105450000000002</v>
      </c>
      <c r="Z3220">
        <v>8.9464459999999996E-2</v>
      </c>
      <c r="AA3220">
        <v>0.89301010000000003</v>
      </c>
      <c r="AB3220">
        <v>10</v>
      </c>
      <c r="AC3220">
        <v>5.57260000000002</v>
      </c>
      <c r="AD3220">
        <v>-1.1115461407730001</v>
      </c>
      <c r="AE3220">
        <v>-10.983700000000001</v>
      </c>
      <c r="AF3220">
        <v>-5.4434858232484</v>
      </c>
      <c r="AG3220">
        <v>-1.1115461407730001</v>
      </c>
      <c r="AH3220">
        <v>10.937220580342499</v>
      </c>
      <c r="AI3220">
        <v>95.198673728238404</v>
      </c>
      <c r="AJ3220">
        <v>116.459660728195</v>
      </c>
      <c r="AK3220">
        <v>12.267431139160401</v>
      </c>
      <c r="AL3220">
        <v>89.036161042140193</v>
      </c>
      <c r="AM3220">
        <v>93.240095384860496</v>
      </c>
      <c r="AN3220">
        <v>1.00000000707077</v>
      </c>
    </row>
    <row r="3221" spans="1:40" x14ac:dyDescent="0.25">
      <c r="A3221" t="str">
        <f>"20190312154315840"</f>
        <v>20190312154315840</v>
      </c>
      <c r="B3221" t="str">
        <f>"1552376595830678"</f>
        <v>1552376595830678</v>
      </c>
      <c r="C3221" t="s">
        <v>40</v>
      </c>
      <c r="D3221">
        <v>4.8158059999999896</v>
      </c>
      <c r="E3221">
        <v>0.34039350000000002</v>
      </c>
      <c r="F3221" t="s">
        <v>43</v>
      </c>
      <c r="G3221">
        <v>-486.84249999999997</v>
      </c>
      <c r="H3221" s="1">
        <v>-2.14889E-6</v>
      </c>
      <c r="I3221">
        <v>233.33629999999999</v>
      </c>
      <c r="J3221">
        <v>-492.37779999999998</v>
      </c>
      <c r="K3221">
        <v>1.1115469999999901</v>
      </c>
      <c r="L3221">
        <v>244.2218</v>
      </c>
      <c r="M3221">
        <v>9.1025859999999993E-3</v>
      </c>
      <c r="N3221">
        <v>0</v>
      </c>
      <c r="O3221">
        <v>-0.99987040000000005</v>
      </c>
      <c r="P3221">
        <v>6.5949099999999997E-2</v>
      </c>
      <c r="Q3221">
        <v>3.375449E-3</v>
      </c>
      <c r="R3221">
        <v>-0.99781779999999998</v>
      </c>
      <c r="S3221">
        <v>1.4728699999999999</v>
      </c>
      <c r="T3221">
        <v>-0.29565429999999998</v>
      </c>
      <c r="U3221">
        <v>-2.912582</v>
      </c>
      <c r="V3221">
        <v>-5.6894689999999998E-2</v>
      </c>
      <c r="W3221">
        <v>1.6545319999999999E-2</v>
      </c>
      <c r="X3221">
        <v>0.99824310000000005</v>
      </c>
      <c r="Y3221">
        <v>-0.44128410000000001</v>
      </c>
      <c r="Z3221">
        <v>9.0403880000000006E-2</v>
      </c>
      <c r="AA3221">
        <v>0.89280210000000004</v>
      </c>
      <c r="AB3221">
        <v>10</v>
      </c>
      <c r="AC3221">
        <v>5.5353000000000003</v>
      </c>
      <c r="AD3221">
        <v>-1.11154914888999</v>
      </c>
      <c r="AE3221">
        <v>-10.8855</v>
      </c>
      <c r="AF3221">
        <v>-5.3913098114582603</v>
      </c>
      <c r="AG3221">
        <v>-1.11154914888999</v>
      </c>
      <c r="AH3221">
        <v>10.845585494244199</v>
      </c>
      <c r="AI3221">
        <v>95.243627266011003</v>
      </c>
      <c r="AJ3221">
        <v>116.43184062643699</v>
      </c>
      <c r="AK3221">
        <v>12.162585568310901</v>
      </c>
      <c r="AL3221">
        <v>89.051979755895204</v>
      </c>
      <c r="AM3221">
        <v>93.262033794575601</v>
      </c>
      <c r="AN3221">
        <v>1.0000000200308501</v>
      </c>
    </row>
    <row r="3222" spans="1:40" x14ac:dyDescent="0.25">
      <c r="A3222" t="str">
        <f>"20190312154315858"</f>
        <v>20190312154315858</v>
      </c>
      <c r="B3222" t="str">
        <f>"1552376595850202"</f>
        <v>1552376595850202</v>
      </c>
      <c r="C3222" t="s">
        <v>40</v>
      </c>
      <c r="D3222">
        <v>4.8334190000000001</v>
      </c>
      <c r="E3222">
        <v>0.3407442</v>
      </c>
      <c r="F3222" t="s">
        <v>43</v>
      </c>
      <c r="G3222">
        <v>-486.85610000000003</v>
      </c>
      <c r="H3222" s="1">
        <v>-2.1465749999999999E-6</v>
      </c>
      <c r="I3222">
        <v>233.3365</v>
      </c>
      <c r="J3222">
        <v>-492.375</v>
      </c>
      <c r="K3222">
        <v>1.111556</v>
      </c>
      <c r="L3222">
        <v>244.14279999999999</v>
      </c>
      <c r="M3222">
        <v>1.0863080000000001E-2</v>
      </c>
      <c r="N3222">
        <v>0</v>
      </c>
      <c r="O3222">
        <v>-0.99985270000000004</v>
      </c>
      <c r="P3222">
        <v>6.8615229999999999E-2</v>
      </c>
      <c r="Q3222">
        <v>2.5090300000000002E-3</v>
      </c>
      <c r="R3222">
        <v>-0.99764039999999998</v>
      </c>
      <c r="S3222">
        <v>1.476135</v>
      </c>
      <c r="T3222">
        <v>-0.29715570000000002</v>
      </c>
      <c r="U3222">
        <v>-2.9100190000000001</v>
      </c>
      <c r="V3222">
        <v>-5.7803689999999998E-2</v>
      </c>
      <c r="W3222">
        <v>1.5677590000000002E-2</v>
      </c>
      <c r="X3222">
        <v>0.99820489999999995</v>
      </c>
      <c r="Y3222">
        <v>-0.44079859999999998</v>
      </c>
      <c r="Z3222">
        <v>9.0916999999999998E-2</v>
      </c>
      <c r="AA3222">
        <v>0.89298979999999994</v>
      </c>
      <c r="AB3222">
        <v>10</v>
      </c>
      <c r="AC3222">
        <v>5.5188999999999702</v>
      </c>
      <c r="AD3222">
        <v>-1.111558146575</v>
      </c>
      <c r="AE3222">
        <v>-10.806299999999901</v>
      </c>
      <c r="AF3222">
        <v>-5.3562258545519503</v>
      </c>
      <c r="AG3222">
        <v>-1.111558146575</v>
      </c>
      <c r="AH3222">
        <v>10.775196508451</v>
      </c>
      <c r="AI3222">
        <v>95.277749147865805</v>
      </c>
      <c r="AJ3222">
        <v>116.431440719009</v>
      </c>
      <c r="AK3222">
        <v>12.0842698047471</v>
      </c>
      <c r="AL3222">
        <v>89.101703493301301</v>
      </c>
      <c r="AM3222">
        <v>93.314162226298507</v>
      </c>
      <c r="AN3222">
        <v>1.0000000378949101</v>
      </c>
    </row>
    <row r="3223" spans="1:40" x14ac:dyDescent="0.25">
      <c r="A3223" t="str">
        <f>"20190312154315869"</f>
        <v>20190312154315869</v>
      </c>
      <c r="B3223" t="str">
        <f>"1552376595860934"</f>
        <v>1552376595860934</v>
      </c>
      <c r="C3223" t="s">
        <v>40</v>
      </c>
      <c r="D3223">
        <v>4.8657209999999997</v>
      </c>
      <c r="E3223">
        <v>0.34095209999999998</v>
      </c>
      <c r="F3223" t="s">
        <v>43</v>
      </c>
      <c r="G3223">
        <v>-486.9126</v>
      </c>
      <c r="H3223" s="1">
        <v>-2.1754470000000002E-6</v>
      </c>
      <c r="I3223">
        <v>233.4272</v>
      </c>
      <c r="J3223">
        <v>-492.37299999999999</v>
      </c>
      <c r="K3223">
        <v>1.1115600000000001</v>
      </c>
      <c r="L3223">
        <v>244.08969999999999</v>
      </c>
      <c r="M3223">
        <v>1.207042E-2</v>
      </c>
      <c r="N3223">
        <v>0</v>
      </c>
      <c r="O3223">
        <v>-0.99983889999999997</v>
      </c>
      <c r="P3223">
        <v>7.0402800000000001E-2</v>
      </c>
      <c r="Q3223">
        <v>1.864253E-3</v>
      </c>
      <c r="R3223">
        <v>-0.99751690000000004</v>
      </c>
      <c r="S3223">
        <v>1.4813229999999999</v>
      </c>
      <c r="T3223">
        <v>-0.3014406</v>
      </c>
      <c r="U3223">
        <v>-2.9059300000000001</v>
      </c>
      <c r="V3223">
        <v>-5.8385899999999998E-2</v>
      </c>
      <c r="W3223">
        <v>1.5031549999999999E-2</v>
      </c>
      <c r="X3223">
        <v>0.99818090000000004</v>
      </c>
      <c r="Y3223">
        <v>-0.4414323</v>
      </c>
      <c r="Z3223">
        <v>9.2278260000000001E-2</v>
      </c>
      <c r="AA3223">
        <v>0.89253689999999997</v>
      </c>
      <c r="AB3223">
        <v>10</v>
      </c>
      <c r="AC3223">
        <v>5.4604000000000497</v>
      </c>
      <c r="AD3223">
        <v>-1.111562175447</v>
      </c>
      <c r="AE3223">
        <v>-10.6624999999999</v>
      </c>
      <c r="AF3223">
        <v>-5.2857796044241301</v>
      </c>
      <c r="AG3223">
        <v>-1.111562175447</v>
      </c>
      <c r="AH3223">
        <v>10.6360622217983</v>
      </c>
      <c r="AI3223">
        <v>95.346666909063003</v>
      </c>
      <c r="AJ3223">
        <v>116.42589323998</v>
      </c>
      <c r="AK3223">
        <v>11.9289922492386</v>
      </c>
      <c r="AL3223">
        <v>89.138723176547401</v>
      </c>
      <c r="AM3223">
        <v>93.347547882313904</v>
      </c>
      <c r="AN3223">
        <v>0.99999998496951104</v>
      </c>
    </row>
    <row r="3224" spans="1:40" x14ac:dyDescent="0.25">
      <c r="A3224" t="str">
        <f>"20190312154315881"</f>
        <v>20190312154315881</v>
      </c>
      <c r="B3224" t="str">
        <f>"1552376595870694"</f>
        <v>1552376595870694</v>
      </c>
      <c r="C3224" t="s">
        <v>40</v>
      </c>
      <c r="D3224">
        <v>4.8988440000000004</v>
      </c>
      <c r="E3224">
        <v>0.34115210000000001</v>
      </c>
      <c r="F3224" t="s">
        <v>41</v>
      </c>
      <c r="G3224">
        <v>-491.91980000000001</v>
      </c>
      <c r="H3224">
        <v>1.0185759999999999</v>
      </c>
      <c r="I3224">
        <v>243.20310000000001</v>
      </c>
      <c r="J3224">
        <v>-492.37090000000001</v>
      </c>
      <c r="K3224">
        <v>1.1115660000000001</v>
      </c>
      <c r="L3224">
        <v>244.03639999999999</v>
      </c>
      <c r="M3224">
        <v>1.3315830000000001E-2</v>
      </c>
      <c r="N3224">
        <v>0</v>
      </c>
      <c r="O3224">
        <v>-0.99982289999999996</v>
      </c>
      <c r="P3224">
        <v>7.2145409999999993E-2</v>
      </c>
      <c r="Q3224">
        <v>1.5668079999999901E-3</v>
      </c>
      <c r="R3224">
        <v>-0.99739299999999997</v>
      </c>
      <c r="S3224">
        <v>1.4844360000000001</v>
      </c>
      <c r="T3224">
        <v>-0.3044444</v>
      </c>
      <c r="U3224">
        <v>-2.9032900000000001</v>
      </c>
      <c r="V3224">
        <v>-5.8885920000000001E-2</v>
      </c>
      <c r="W3224">
        <v>1.473261E-2</v>
      </c>
      <c r="X3224">
        <v>0.99815600000000004</v>
      </c>
      <c r="Y3224">
        <v>-0.44136249999999999</v>
      </c>
      <c r="Z3224">
        <v>9.3241930000000001E-2</v>
      </c>
      <c r="AA3224">
        <v>0.89247140000000003</v>
      </c>
      <c r="AB3224">
        <v>10</v>
      </c>
      <c r="AC3224">
        <v>0.451099999999996</v>
      </c>
      <c r="AD3224">
        <v>-9.29900000000001E-2</v>
      </c>
      <c r="AE3224">
        <v>-0.83329999999997995</v>
      </c>
      <c r="AF3224">
        <v>-0.43576623800008302</v>
      </c>
      <c r="AG3224">
        <v>-9.29900000000001E-2</v>
      </c>
      <c r="AH3224">
        <v>0.83122816822736401</v>
      </c>
      <c r="AI3224">
        <v>95.658444641239598</v>
      </c>
      <c r="AJ3224">
        <v>117.665498193568</v>
      </c>
      <c r="AK3224">
        <v>0.94312227305655505</v>
      </c>
      <c r="AL3224">
        <v>89.155853087644303</v>
      </c>
      <c r="AM3224">
        <v>93.376234455282301</v>
      </c>
      <c r="AN3224">
        <v>1.0000000008538199</v>
      </c>
    </row>
    <row r="3225" spans="1:40" x14ac:dyDescent="0.25">
      <c r="A3225" t="str">
        <f>"20190312154315893"</f>
        <v>20190312154315893</v>
      </c>
      <c r="B3225" t="str">
        <f>"1552376595890214"</f>
        <v>1552376595890214</v>
      </c>
      <c r="C3225" t="s">
        <v>40</v>
      </c>
      <c r="D3225">
        <v>4.8558859999999999</v>
      </c>
      <c r="E3225">
        <v>0.3414934</v>
      </c>
      <c r="F3225" t="s">
        <v>43</v>
      </c>
      <c r="G3225">
        <v>-486.95249999999999</v>
      </c>
      <c r="H3225" s="1">
        <v>-2.1883739999999998E-6</v>
      </c>
      <c r="I3225">
        <v>233.47380000000001</v>
      </c>
      <c r="J3225">
        <v>-492.36880000000002</v>
      </c>
      <c r="K3225">
        <v>1.111569</v>
      </c>
      <c r="L3225">
        <v>243.98609999999999</v>
      </c>
      <c r="M3225">
        <v>1.450541E-2</v>
      </c>
      <c r="N3225">
        <v>0</v>
      </c>
      <c r="O3225">
        <v>-0.99980619999999998</v>
      </c>
      <c r="P3225">
        <v>7.4187639999999999E-2</v>
      </c>
      <c r="Q3225">
        <v>1.2982619999999999E-3</v>
      </c>
      <c r="R3225">
        <v>-0.99724330000000005</v>
      </c>
      <c r="S3225">
        <v>1.4880070000000001</v>
      </c>
      <c r="T3225">
        <v>-0.30525849999999999</v>
      </c>
      <c r="U3225">
        <v>-2.9006959999999999</v>
      </c>
      <c r="V3225">
        <v>-5.9741910000000002E-2</v>
      </c>
      <c r="W3225">
        <v>1.4462269999999999E-2</v>
      </c>
      <c r="X3225">
        <v>0.99810909999999997</v>
      </c>
      <c r="Y3225">
        <v>-0.44147740000000002</v>
      </c>
      <c r="Z3225">
        <v>9.3532900000000002E-2</v>
      </c>
      <c r="AA3225">
        <v>0.89238410000000001</v>
      </c>
      <c r="AB3225">
        <v>10</v>
      </c>
      <c r="AC3225">
        <v>5.4163000000000299</v>
      </c>
      <c r="AD3225">
        <v>-1.111571188374</v>
      </c>
      <c r="AE3225">
        <v>-10.5122999999999</v>
      </c>
      <c r="AF3225">
        <v>-5.2171356162895499</v>
      </c>
      <c r="AG3225">
        <v>-1.111571188374</v>
      </c>
      <c r="AH3225">
        <v>10.497020591105301</v>
      </c>
      <c r="AI3225">
        <v>95.417019923649093</v>
      </c>
      <c r="AJ3225">
        <v>116.427885777372</v>
      </c>
      <c r="AK3225">
        <v>11.7746140418983</v>
      </c>
      <c r="AL3225">
        <v>89.171344090380003</v>
      </c>
      <c r="AM3225">
        <v>93.425357341451601</v>
      </c>
      <c r="AN3225">
        <v>1.0000000142834</v>
      </c>
    </row>
    <row r="3226" spans="1:40" x14ac:dyDescent="0.25">
      <c r="A3226" t="str">
        <f>"20190312154315905"</f>
        <v>20190312154315905</v>
      </c>
      <c r="B3226" t="str">
        <f>"1552376595900950"</f>
        <v>1552376595900950</v>
      </c>
      <c r="C3226" t="s">
        <v>40</v>
      </c>
      <c r="D3226">
        <v>4.8586199999999904</v>
      </c>
      <c r="E3226">
        <v>0.34166950000000001</v>
      </c>
      <c r="F3226" t="s">
        <v>43</v>
      </c>
      <c r="G3226">
        <v>-486.95850000000002</v>
      </c>
      <c r="H3226" s="1">
        <v>-2.1879249999999999E-6</v>
      </c>
      <c r="I3226">
        <v>233.4753</v>
      </c>
      <c r="J3226">
        <v>-492.36649999999997</v>
      </c>
      <c r="K3226">
        <v>1.111572</v>
      </c>
      <c r="L3226">
        <v>243.9331</v>
      </c>
      <c r="M3226">
        <v>1.5778090000000002E-2</v>
      </c>
      <c r="N3226">
        <v>0</v>
      </c>
      <c r="O3226">
        <v>-0.99978719999999999</v>
      </c>
      <c r="P3226">
        <v>7.5998510000000005E-2</v>
      </c>
      <c r="Q3226">
        <v>1.276604E-3</v>
      </c>
      <c r="R3226">
        <v>-0.99710710000000002</v>
      </c>
      <c r="S3226">
        <v>1.4915769999999999</v>
      </c>
      <c r="T3226">
        <v>-0.30645050000000001</v>
      </c>
      <c r="U3226">
        <v>-2.897751</v>
      </c>
      <c r="V3226">
        <v>-6.0283530000000002E-2</v>
      </c>
      <c r="W3226">
        <v>1.443938E-2</v>
      </c>
      <c r="X3226">
        <v>0.99807690000000004</v>
      </c>
      <c r="Y3226">
        <v>-0.44155670000000002</v>
      </c>
      <c r="Z3226">
        <v>9.3949199999999997E-2</v>
      </c>
      <c r="AA3226">
        <v>0.89230109999999996</v>
      </c>
      <c r="AB3226">
        <v>10</v>
      </c>
      <c r="AC3226">
        <v>5.4079999999999497</v>
      </c>
      <c r="AD3226">
        <v>-1.1115741879250001</v>
      </c>
      <c r="AE3226">
        <v>-10.457799999999899</v>
      </c>
      <c r="AF3226">
        <v>-5.1959905887551496</v>
      </c>
      <c r="AG3226">
        <v>-1.1115741879250001</v>
      </c>
      <c r="AH3226">
        <v>10.4486930516084</v>
      </c>
      <c r="AI3226">
        <v>95.441346250101503</v>
      </c>
      <c r="AJ3226">
        <v>116.44052356395601</v>
      </c>
      <c r="AK3226">
        <v>11.722162849083</v>
      </c>
      <c r="AL3226">
        <v>89.172655756437294</v>
      </c>
      <c r="AM3226">
        <v>93.456447913503496</v>
      </c>
      <c r="AN3226">
        <v>1.0000000489988199</v>
      </c>
    </row>
    <row r="3227" spans="1:40" x14ac:dyDescent="0.25">
      <c r="A3227" t="str">
        <f>"20190312154315917"</f>
        <v>20190312154315917</v>
      </c>
      <c r="B3227" t="str">
        <f>"1552376595910710"</f>
        <v>1552376595910710</v>
      </c>
      <c r="C3227" t="s">
        <v>40</v>
      </c>
      <c r="D3227">
        <v>4.9017850000000003</v>
      </c>
      <c r="E3227">
        <v>0.34186050000000001</v>
      </c>
      <c r="F3227" t="s">
        <v>43</v>
      </c>
      <c r="G3227">
        <v>-486.947</v>
      </c>
      <c r="H3227" s="1">
        <v>-2.174565E-6</v>
      </c>
      <c r="I3227">
        <v>233.43940000000001</v>
      </c>
      <c r="J3227">
        <v>-492.36430000000001</v>
      </c>
      <c r="K3227">
        <v>1.1115759999999999</v>
      </c>
      <c r="L3227">
        <v>243.8826</v>
      </c>
      <c r="M3227">
        <v>1.70187999999999E-2</v>
      </c>
      <c r="N3227">
        <v>0</v>
      </c>
      <c r="O3227">
        <v>-0.99976690000000001</v>
      </c>
      <c r="P3227">
        <v>7.7777479999999996E-2</v>
      </c>
      <c r="Q3227">
        <v>1.330894E-3</v>
      </c>
      <c r="R3227">
        <v>-0.99697029999999998</v>
      </c>
      <c r="S3227">
        <v>1.495209</v>
      </c>
      <c r="T3227">
        <v>-0.3066738</v>
      </c>
      <c r="U3227">
        <v>-2.8951419999999999</v>
      </c>
      <c r="V3227">
        <v>-6.082651E-2</v>
      </c>
      <c r="W3227">
        <v>1.4491830000000001E-2</v>
      </c>
      <c r="X3227">
        <v>0.99804309999999996</v>
      </c>
      <c r="Y3227">
        <v>-0.44165110000000002</v>
      </c>
      <c r="Z3227">
        <v>9.4061110000000003E-2</v>
      </c>
      <c r="AA3227">
        <v>0.8922426</v>
      </c>
      <c r="AB3227">
        <v>10</v>
      </c>
      <c r="AC3227">
        <v>5.4173000000000604</v>
      </c>
      <c r="AD3227">
        <v>-1.111578174565</v>
      </c>
      <c r="AE3227">
        <v>-10.4431999999999</v>
      </c>
      <c r="AF3227">
        <v>-5.1924146033893201</v>
      </c>
      <c r="AG3227">
        <v>-1.111578174565</v>
      </c>
      <c r="AH3227">
        <v>10.4406841910043</v>
      </c>
      <c r="AI3227">
        <v>95.445430474758695</v>
      </c>
      <c r="AJ3227">
        <v>116.442312947362</v>
      </c>
      <c r="AK3227">
        <v>11.7134393680057</v>
      </c>
      <c r="AL3227">
        <v>89.169650199139497</v>
      </c>
      <c r="AM3227">
        <v>93.487621816995798</v>
      </c>
      <c r="AN3227">
        <v>0.999999953456568</v>
      </c>
    </row>
    <row r="3228" spans="1:40" x14ac:dyDescent="0.25">
      <c r="A3228" t="str">
        <f>"20190312154315935"</f>
        <v>20190312154315935</v>
      </c>
      <c r="B3228" t="str">
        <f>"1552376595930230"</f>
        <v>1552376595930230</v>
      </c>
      <c r="C3228" t="s">
        <v>40</v>
      </c>
      <c r="D3228">
        <v>4.8794019999999998</v>
      </c>
      <c r="E3228">
        <v>0.34227980000000002</v>
      </c>
      <c r="F3228" t="s">
        <v>43</v>
      </c>
      <c r="G3228">
        <v>-486.93830000000003</v>
      </c>
      <c r="H3228" s="1">
        <v>-2.1635799999999998E-6</v>
      </c>
      <c r="I3228">
        <v>233.4102</v>
      </c>
      <c r="J3228">
        <v>-492.36070000000001</v>
      </c>
      <c r="K3228">
        <v>1.111583</v>
      </c>
      <c r="L3228">
        <v>243.8065</v>
      </c>
      <c r="M3228">
        <v>1.8923189999999999E-2</v>
      </c>
      <c r="N3228">
        <v>0</v>
      </c>
      <c r="O3228">
        <v>-0.99973259999999997</v>
      </c>
      <c r="P3228">
        <v>8.0698359999999997E-2</v>
      </c>
      <c r="Q3228">
        <v>1.405777E-3</v>
      </c>
      <c r="R3228">
        <v>-0.99673789999999995</v>
      </c>
      <c r="S3228">
        <v>1.498688</v>
      </c>
      <c r="T3228">
        <v>-0.30702649999999998</v>
      </c>
      <c r="U3228">
        <v>-2.8925779999999999</v>
      </c>
      <c r="V3228">
        <v>-6.1849609999999999E-2</v>
      </c>
      <c r="W3228">
        <v>1.456383E-2</v>
      </c>
      <c r="X3228">
        <v>0.99797919999999996</v>
      </c>
      <c r="Y3228">
        <v>-0.4411059</v>
      </c>
      <c r="Z3228">
        <v>9.4225729999999994E-2</v>
      </c>
      <c r="AA3228">
        <v>0.89249489999999998</v>
      </c>
      <c r="AB3228">
        <v>10</v>
      </c>
      <c r="AC3228">
        <v>5.4223999999999801</v>
      </c>
      <c r="AD3228">
        <v>-1.11158516358</v>
      </c>
      <c r="AE3228">
        <v>-10.396299999999901</v>
      </c>
      <c r="AF3228">
        <v>-5.1781428958204803</v>
      </c>
      <c r="AG3228">
        <v>-1.11158516358</v>
      </c>
      <c r="AH3228">
        <v>10.403556523397899</v>
      </c>
      <c r="AI3228">
        <v>95.4639076082602</v>
      </c>
      <c r="AJ3228">
        <v>116.46082243895999</v>
      </c>
      <c r="AK3228">
        <v>11.6740213191925</v>
      </c>
      <c r="AL3228">
        <v>89.165524490832098</v>
      </c>
      <c r="AM3228">
        <v>93.546361526580995</v>
      </c>
      <c r="AN3228">
        <v>0.99999998151702996</v>
      </c>
    </row>
    <row r="3229" spans="1:40" x14ac:dyDescent="0.25">
      <c r="A3229" t="str">
        <f>"20190312154315948"</f>
        <v>20190312154315948</v>
      </c>
      <c r="B3229" t="str">
        <f>"1552376595940967"</f>
        <v>1552376595940967</v>
      </c>
      <c r="C3229" t="s">
        <v>40</v>
      </c>
      <c r="D3229">
        <v>4.9039299999999999</v>
      </c>
      <c r="E3229">
        <v>0.34252939999999998</v>
      </c>
      <c r="F3229" t="s">
        <v>43</v>
      </c>
      <c r="G3229">
        <v>-486.93009999999998</v>
      </c>
      <c r="H3229" s="1">
        <v>-2.1502350000000001E-6</v>
      </c>
      <c r="I3229">
        <v>233.37559999999999</v>
      </c>
      <c r="J3229">
        <v>-492.3578</v>
      </c>
      <c r="K3229">
        <v>1.111585</v>
      </c>
      <c r="L3229">
        <v>243.7466</v>
      </c>
      <c r="M3229">
        <v>2.0448270000000001E-2</v>
      </c>
      <c r="N3229">
        <v>0</v>
      </c>
      <c r="O3229">
        <v>-0.99970250000000005</v>
      </c>
      <c r="P3229">
        <v>8.2735509999999998E-2</v>
      </c>
      <c r="Q3229">
        <v>1.3942659999999999E-3</v>
      </c>
      <c r="R3229">
        <v>-0.99657110000000004</v>
      </c>
      <c r="S3229">
        <v>1.5038450000000001</v>
      </c>
      <c r="T3229">
        <v>-0.30781720000000001</v>
      </c>
      <c r="U3229">
        <v>-2.888474</v>
      </c>
      <c r="V3229">
        <v>-6.2367369999999998E-2</v>
      </c>
      <c r="W3229">
        <v>1.4550479999999999E-2</v>
      </c>
      <c r="X3229">
        <v>0.99794720000000003</v>
      </c>
      <c r="Y3229">
        <v>-0.44149769999999999</v>
      </c>
      <c r="Z3229">
        <v>9.4533729999999996E-2</v>
      </c>
      <c r="AA3229">
        <v>0.89226849999999902</v>
      </c>
      <c r="AB3229">
        <v>10</v>
      </c>
      <c r="AC3229">
        <v>5.4277000000000104</v>
      </c>
      <c r="AD3229">
        <v>-1.1115871502349901</v>
      </c>
      <c r="AE3229">
        <v>-10.371</v>
      </c>
      <c r="AF3229">
        <v>-5.1678732386619597</v>
      </c>
      <c r="AG3229">
        <v>-1.1115871502349901</v>
      </c>
      <c r="AH3229">
        <v>10.3861654953818</v>
      </c>
      <c r="AI3229">
        <v>95.473347935030006</v>
      </c>
      <c r="AJ3229">
        <v>116.453687624247</v>
      </c>
      <c r="AK3229">
        <v>11.653968143980199</v>
      </c>
      <c r="AL3229">
        <v>89.1662894940158</v>
      </c>
      <c r="AM3229">
        <v>93.576086741196207</v>
      </c>
      <c r="AN3229">
        <v>1.0000000096483901</v>
      </c>
    </row>
    <row r="3230" spans="1:40" x14ac:dyDescent="0.25">
      <c r="A3230" t="str">
        <f>"20190312154315961"</f>
        <v>20190312154315961</v>
      </c>
      <c r="B3230" t="str">
        <f>"1552376595950726"</f>
        <v>1552376595950726</v>
      </c>
      <c r="C3230" t="s">
        <v>40</v>
      </c>
      <c r="D3230">
        <v>4.8813149999999998</v>
      </c>
      <c r="E3230">
        <v>0.34273870000000001</v>
      </c>
      <c r="F3230" t="s">
        <v>41</v>
      </c>
      <c r="G3230">
        <v>-491.89729999999997</v>
      </c>
      <c r="H3230">
        <v>1.0177480000000001</v>
      </c>
      <c r="I3230">
        <v>242.86500000000001</v>
      </c>
      <c r="J3230">
        <v>-492.35500000000002</v>
      </c>
      <c r="K3230">
        <v>1.1115900000000001</v>
      </c>
      <c r="L3230">
        <v>243.69200000000001</v>
      </c>
      <c r="M3230">
        <v>2.187824E-2</v>
      </c>
      <c r="N3230">
        <v>0</v>
      </c>
      <c r="O3230">
        <v>-0.99967220000000001</v>
      </c>
      <c r="P3230">
        <v>8.4834160000000006E-2</v>
      </c>
      <c r="Q3230">
        <v>1.4943160000000001E-3</v>
      </c>
      <c r="R3230">
        <v>-0.99639409999999895</v>
      </c>
      <c r="S3230">
        <v>1.5075379999999901</v>
      </c>
      <c r="T3230">
        <v>-0.30709180000000003</v>
      </c>
      <c r="U3230">
        <v>-2.8856199999999999</v>
      </c>
      <c r="V3230">
        <v>-6.3042490000000007E-2</v>
      </c>
      <c r="W3230">
        <v>1.4648690000000001E-2</v>
      </c>
      <c r="X3230">
        <v>0.99790330000000005</v>
      </c>
      <c r="Y3230">
        <v>-0.44148199999999999</v>
      </c>
      <c r="Z3230">
        <v>9.4365019999999994E-2</v>
      </c>
      <c r="AA3230">
        <v>0.89229419999999904</v>
      </c>
      <c r="AB3230">
        <v>10</v>
      </c>
      <c r="AC3230">
        <v>0.45770000000004502</v>
      </c>
      <c r="AD3230">
        <v>-9.3841999999999898E-2</v>
      </c>
      <c r="AE3230">
        <v>-0.82699999999999796</v>
      </c>
      <c r="AF3230">
        <v>-0.43520574946898</v>
      </c>
      <c r="AG3230">
        <v>-9.3841999999999898E-2</v>
      </c>
      <c r="AH3230">
        <v>0.82864867804140696</v>
      </c>
      <c r="AI3230">
        <v>95.725367909678795</v>
      </c>
      <c r="AJ3230">
        <v>117.708426177014</v>
      </c>
      <c r="AK3230">
        <v>0.94067475620143404</v>
      </c>
      <c r="AL3230">
        <v>89.160661840735202</v>
      </c>
      <c r="AM3230">
        <v>93.614854001196306</v>
      </c>
      <c r="AN3230">
        <v>0.99999996790750201</v>
      </c>
    </row>
    <row r="3231" spans="1:40" x14ac:dyDescent="0.25">
      <c r="A3231" t="str">
        <f>"20190312154315974"</f>
        <v>20190312154315974</v>
      </c>
      <c r="B3231" t="str">
        <f>"1552376595970246"</f>
        <v>1552376595970246</v>
      </c>
      <c r="C3231" t="s">
        <v>40</v>
      </c>
      <c r="D3231">
        <v>4.8881540000000001</v>
      </c>
      <c r="E3231">
        <v>0.34327600000000003</v>
      </c>
      <c r="F3231" t="s">
        <v>43</v>
      </c>
      <c r="G3231">
        <v>-486.87709999999998</v>
      </c>
      <c r="H3231" s="1">
        <v>-2.1055509999999999E-6</v>
      </c>
      <c r="I3231">
        <v>233.24959999999999</v>
      </c>
      <c r="J3231">
        <v>-492.35230000000001</v>
      </c>
      <c r="K3231">
        <v>1.1115950000000001</v>
      </c>
      <c r="L3231">
        <v>243.64060000000001</v>
      </c>
      <c r="M3231">
        <v>2.3237609999999999E-2</v>
      </c>
      <c r="N3231">
        <v>0</v>
      </c>
      <c r="O3231">
        <v>-0.99964149999999996</v>
      </c>
      <c r="P3231">
        <v>8.6731059999999999E-2</v>
      </c>
      <c r="Q3231">
        <v>1.6009189999999999E-3</v>
      </c>
      <c r="R3231">
        <v>-0.99623070000000002</v>
      </c>
      <c r="S3231">
        <v>1.512146</v>
      </c>
      <c r="T3231">
        <v>-0.30685129999999999</v>
      </c>
      <c r="U3231">
        <v>-2.882584</v>
      </c>
      <c r="V3231">
        <v>-6.3585329999999995E-2</v>
      </c>
      <c r="W3231">
        <v>1.475311E-2</v>
      </c>
      <c r="X3231">
        <v>0.99786730000000001</v>
      </c>
      <c r="Y3231">
        <v>-0.44176989999999999</v>
      </c>
      <c r="Z3231">
        <v>9.4334899999999999E-2</v>
      </c>
      <c r="AA3231">
        <v>0.89215489999999997</v>
      </c>
      <c r="AB3231">
        <v>10</v>
      </c>
      <c r="AC3231">
        <v>5.4752000000000196</v>
      </c>
      <c r="AD3231">
        <v>-1.1115971055509899</v>
      </c>
      <c r="AE3231">
        <v>-10.391</v>
      </c>
      <c r="AF3231">
        <v>-5.1857879130638196</v>
      </c>
      <c r="AG3231">
        <v>-1.1115971055509899</v>
      </c>
      <c r="AH3231">
        <v>10.4220830496216</v>
      </c>
      <c r="AI3231">
        <v>95.4546387513996</v>
      </c>
      <c r="AJ3231">
        <v>116.45387744592</v>
      </c>
      <c r="AK3231">
        <v>11.693924041892799</v>
      </c>
      <c r="AL3231">
        <v>89.154678352177399</v>
      </c>
      <c r="AM3231">
        <v>93.646028005575502</v>
      </c>
      <c r="AN3231">
        <v>0.999999948427584</v>
      </c>
    </row>
    <row r="3232" spans="1:40" x14ac:dyDescent="0.25">
      <c r="A3232" t="str">
        <f>"20190312154315986"</f>
        <v>20190312154315986</v>
      </c>
      <c r="B3232" t="str">
        <f>"1552376595980982"</f>
        <v>1552376595980982</v>
      </c>
      <c r="C3232" t="s">
        <v>40</v>
      </c>
      <c r="D3232">
        <v>4.923686</v>
      </c>
      <c r="E3232">
        <v>0.34327600000000003</v>
      </c>
      <c r="F3232" t="s">
        <v>43</v>
      </c>
      <c r="G3232">
        <v>-486.86840000000001</v>
      </c>
      <c r="H3232" s="1">
        <v>-2.0875680000000001E-6</v>
      </c>
      <c r="I3232">
        <v>233.20410000000001</v>
      </c>
      <c r="J3232">
        <v>-492.3492</v>
      </c>
      <c r="K3232">
        <v>1.11159599999999</v>
      </c>
      <c r="L3232">
        <v>243.58320000000001</v>
      </c>
      <c r="M3232">
        <v>2.4775749999999999E-2</v>
      </c>
      <c r="N3232">
        <v>0</v>
      </c>
      <c r="O3232">
        <v>-0.99960450000000001</v>
      </c>
      <c r="P3232">
        <v>8.8872399999999893E-2</v>
      </c>
      <c r="Q3232">
        <v>1.874833E-3</v>
      </c>
      <c r="R3232">
        <v>-0.99604139999999997</v>
      </c>
      <c r="S3232">
        <v>1.513336</v>
      </c>
      <c r="T3232">
        <v>-0.3067589</v>
      </c>
      <c r="U3232">
        <v>-2.8800810000000001</v>
      </c>
      <c r="V3232">
        <v>-6.4196009999999998E-2</v>
      </c>
      <c r="W3232">
        <v>1.5024869999999999E-2</v>
      </c>
      <c r="X3232">
        <v>0.99782420000000005</v>
      </c>
      <c r="Y3232">
        <v>-0.44099680000000002</v>
      </c>
      <c r="Z3232">
        <v>9.4383729999999999E-2</v>
      </c>
      <c r="AA3232">
        <v>0.89253209999999905</v>
      </c>
      <c r="AB3232">
        <v>10</v>
      </c>
      <c r="AC3232">
        <v>5.4807999999999799</v>
      </c>
      <c r="AD3232">
        <v>-1.1115980875679901</v>
      </c>
      <c r="AE3232">
        <v>-10.3790999999999</v>
      </c>
      <c r="AF3232">
        <v>-5.1755238689478302</v>
      </c>
      <c r="AG3232">
        <v>-1.1115980875679901</v>
      </c>
      <c r="AH3232">
        <v>10.41827207095</v>
      </c>
      <c r="AI3232">
        <v>95.458363626915599</v>
      </c>
      <c r="AJ3232">
        <v>116.41697905962501</v>
      </c>
      <c r="AK3232">
        <v>11.685978374559401</v>
      </c>
      <c r="AL3232">
        <v>89.139105972197598</v>
      </c>
      <c r="AM3232">
        <v>93.681107572023905</v>
      </c>
      <c r="AN3232">
        <v>1.0000000042620301</v>
      </c>
    </row>
    <row r="3233" spans="1:40" x14ac:dyDescent="0.25">
      <c r="A3233" t="str">
        <f>"20190312154316004"</f>
        <v>20190312154316004</v>
      </c>
      <c r="B3233" t="str">
        <f>"1552376596000502"</f>
        <v>1552376596000502</v>
      </c>
      <c r="C3233" t="s">
        <v>40</v>
      </c>
      <c r="D3233">
        <v>4.9184469999999996</v>
      </c>
      <c r="E3233">
        <v>0.35440830000000001</v>
      </c>
      <c r="F3233" t="s">
        <v>43</v>
      </c>
      <c r="G3233">
        <v>-486.82909999999998</v>
      </c>
      <c r="H3233" s="1">
        <v>-2.0637630000000001E-6</v>
      </c>
      <c r="I3233">
        <v>233.13229999999999</v>
      </c>
      <c r="J3233">
        <v>-492.3451</v>
      </c>
      <c r="K3233">
        <v>1.1115999999999999</v>
      </c>
      <c r="L3233">
        <v>243.51249999999999</v>
      </c>
      <c r="M3233">
        <v>2.671695E-2</v>
      </c>
      <c r="N3233">
        <v>0</v>
      </c>
      <c r="O3233">
        <v>-0.99955470000000002</v>
      </c>
      <c r="P3233">
        <v>9.1923710000000006E-2</v>
      </c>
      <c r="Q3233">
        <v>2.011461E-3</v>
      </c>
      <c r="R3233">
        <v>-0.99576439999999999</v>
      </c>
      <c r="S3233">
        <v>1.5195620000000001</v>
      </c>
      <c r="T3233">
        <v>-0.30600080000000002</v>
      </c>
      <c r="U3233">
        <v>-2.8769230000000001</v>
      </c>
      <c r="V3233">
        <v>-6.5315860000000003E-2</v>
      </c>
      <c r="W3233">
        <v>1.515742E-2</v>
      </c>
      <c r="X3233">
        <v>0.99774949999999996</v>
      </c>
      <c r="Y3233">
        <v>-0.44117960000000001</v>
      </c>
      <c r="Z3233">
        <v>9.4187409999999999E-2</v>
      </c>
      <c r="AA3233">
        <v>0.89246250000000005</v>
      </c>
      <c r="AB3233">
        <v>10</v>
      </c>
      <c r="AC3233">
        <v>5.5160000000000098</v>
      </c>
      <c r="AD3233">
        <v>-1.111602063763</v>
      </c>
      <c r="AE3233">
        <v>-10.3802</v>
      </c>
      <c r="AF3233">
        <v>-5.1902637808619403</v>
      </c>
      <c r="AG3233">
        <v>-1.111602063763</v>
      </c>
      <c r="AH3233">
        <v>10.430599752737599</v>
      </c>
      <c r="AI3233">
        <v>95.450186637531701</v>
      </c>
      <c r="AJ3233">
        <v>116.45492601245</v>
      </c>
      <c r="AK3233">
        <v>11.703499838292</v>
      </c>
      <c r="AL3233">
        <v>89.131510536576201</v>
      </c>
      <c r="AM3233">
        <v>93.745420065193898</v>
      </c>
      <c r="AN3233">
        <v>0.99999998684942204</v>
      </c>
    </row>
    <row r="3234" spans="1:40" x14ac:dyDescent="0.25">
      <c r="A3234" t="str">
        <f>"20190312154316025"</f>
        <v>20190312154316025</v>
      </c>
      <c r="B3234" t="str">
        <f>"1552376596020998"</f>
        <v>1552376596020998</v>
      </c>
      <c r="C3234" t="s">
        <v>40</v>
      </c>
      <c r="D3234">
        <v>4.9488799999999999</v>
      </c>
      <c r="E3234">
        <v>0.35471140000000001</v>
      </c>
      <c r="F3234" t="s">
        <v>43</v>
      </c>
      <c r="G3234">
        <v>-487.09359999999998</v>
      </c>
      <c r="H3234" s="1">
        <v>-1.9635750000000001E-6</v>
      </c>
      <c r="I3234">
        <v>233.00819999999999</v>
      </c>
      <c r="J3234">
        <v>-492.33940000000001</v>
      </c>
      <c r="K3234">
        <v>1.111604</v>
      </c>
      <c r="L3234">
        <v>243.4188</v>
      </c>
      <c r="M3234">
        <v>2.9352820000000002E-2</v>
      </c>
      <c r="N3234">
        <v>0</v>
      </c>
      <c r="O3234">
        <v>-0.99948049999999999</v>
      </c>
      <c r="P3234">
        <v>9.577128E-2</v>
      </c>
      <c r="Q3234">
        <v>1.252333E-3</v>
      </c>
      <c r="R3234">
        <v>-0.99540269999999997</v>
      </c>
      <c r="S3234">
        <v>1.4400329999999999</v>
      </c>
      <c r="T3234">
        <v>-0.30481930000000002</v>
      </c>
      <c r="U3234">
        <v>-2.8804630000000002</v>
      </c>
      <c r="V3234">
        <v>-6.6539269999999998E-2</v>
      </c>
      <c r="W3234">
        <v>1.439409E-2</v>
      </c>
      <c r="X3234">
        <v>0.99767989999999995</v>
      </c>
      <c r="Y3234">
        <v>-0.41870560000000001</v>
      </c>
      <c r="Z3234">
        <v>9.4800620000000002E-2</v>
      </c>
      <c r="AA3234">
        <v>0.90316030000000003</v>
      </c>
      <c r="AB3234">
        <v>10</v>
      </c>
      <c r="AC3234">
        <v>5.2458000000000302</v>
      </c>
      <c r="AD3234">
        <v>-1.111605963575</v>
      </c>
      <c r="AE3234">
        <v>-10.410600000000001</v>
      </c>
      <c r="AF3234">
        <v>-4.8934379133316499</v>
      </c>
      <c r="AG3234">
        <v>-1.111605963575</v>
      </c>
      <c r="AH3234">
        <v>10.4649530246607</v>
      </c>
      <c r="AI3234">
        <v>95.496185379432006</v>
      </c>
      <c r="AJ3234">
        <v>115.06090685900701</v>
      </c>
      <c r="AK3234">
        <v>11.6058883433472</v>
      </c>
      <c r="AL3234">
        <v>89.175250848421001</v>
      </c>
      <c r="AM3234">
        <v>93.815634372418302</v>
      </c>
      <c r="AN3234">
        <v>0.999999923571532</v>
      </c>
    </row>
    <row r="3235" spans="1:40" x14ac:dyDescent="0.25">
      <c r="A3235" t="str">
        <f>"20190312154316048"</f>
        <v>20190312154316048</v>
      </c>
      <c r="B3235" t="str">
        <f>"1552376596040527"</f>
        <v>1552376596040527</v>
      </c>
      <c r="C3235" t="s">
        <v>40</v>
      </c>
      <c r="D3235">
        <v>4.9255719999999998</v>
      </c>
      <c r="E3235">
        <v>0.35513929999999999</v>
      </c>
      <c r="F3235" t="s">
        <v>43</v>
      </c>
      <c r="G3235">
        <v>-487.16219999999998</v>
      </c>
      <c r="H3235" s="1">
        <v>-2.0071319999999998E-6</v>
      </c>
      <c r="I3235">
        <v>233.13810000000001</v>
      </c>
      <c r="J3235">
        <v>-492.33339999999998</v>
      </c>
      <c r="K3235">
        <v>1.111613</v>
      </c>
      <c r="L3235">
        <v>243.3252</v>
      </c>
      <c r="M3235">
        <v>3.2060930000000001E-2</v>
      </c>
      <c r="N3235">
        <v>0</v>
      </c>
      <c r="O3235">
        <v>-0.99939739999999999</v>
      </c>
      <c r="P3235">
        <v>9.9959919999999994E-2</v>
      </c>
      <c r="Q3235">
        <v>1.4859850000000001E-4</v>
      </c>
      <c r="R3235">
        <v>-0.99499170000000003</v>
      </c>
      <c r="S3235">
        <v>1.447754</v>
      </c>
      <c r="T3235">
        <v>-0.31085469999999998</v>
      </c>
      <c r="U3235">
        <v>-2.8749389999999999</v>
      </c>
      <c r="V3235">
        <v>-6.8033570000000002E-2</v>
      </c>
      <c r="W3235">
        <v>1.3284590000000001E-2</v>
      </c>
      <c r="X3235">
        <v>0.9975946</v>
      </c>
      <c r="Y3235">
        <v>-0.41879440000000001</v>
      </c>
      <c r="Z3235">
        <v>9.6753919999999993E-2</v>
      </c>
      <c r="AA3235">
        <v>0.90291200000000005</v>
      </c>
      <c r="AB3235">
        <v>10</v>
      </c>
      <c r="AC3235">
        <v>5.17119999999999</v>
      </c>
      <c r="AD3235">
        <v>-1.1116150071319999</v>
      </c>
      <c r="AE3235">
        <v>-10.1870999999999</v>
      </c>
      <c r="AF3235">
        <v>-4.7964932894860199</v>
      </c>
      <c r="AG3235">
        <v>-1.1116150071319999</v>
      </c>
      <c r="AH3235">
        <v>10.250621984032501</v>
      </c>
      <c r="AI3235">
        <v>95.609741199151003</v>
      </c>
      <c r="AJ3235">
        <v>115.075935828336</v>
      </c>
      <c r="AK3235">
        <v>11.3717758885627</v>
      </c>
      <c r="AL3235">
        <v>89.238826683164305</v>
      </c>
      <c r="AM3235">
        <v>93.9013945038907</v>
      </c>
      <c r="AN3235">
        <v>1.0000000164637799</v>
      </c>
    </row>
    <row r="3236" spans="1:40" x14ac:dyDescent="0.25">
      <c r="A3236" t="str">
        <f>"20190312154316061"</f>
        <v>20190312154316061</v>
      </c>
      <c r="B3236" t="str">
        <f>"1552376596050279"</f>
        <v>1552376596050279</v>
      </c>
      <c r="C3236" t="s">
        <v>40</v>
      </c>
      <c r="D3236">
        <v>4.9522130000000004</v>
      </c>
      <c r="E3236">
        <v>0.35549579999999997</v>
      </c>
      <c r="F3236" t="s">
        <v>43</v>
      </c>
      <c r="G3236">
        <v>-487.21800000000002</v>
      </c>
      <c r="H3236" s="1">
        <v>-2.0461580000000001E-6</v>
      </c>
      <c r="I3236">
        <v>233.25210000000001</v>
      </c>
      <c r="J3236">
        <v>-492.3297</v>
      </c>
      <c r="K3236">
        <v>1.1116200000000001</v>
      </c>
      <c r="L3236">
        <v>243.27070000000001</v>
      </c>
      <c r="M3236">
        <v>3.3686220000000003E-2</v>
      </c>
      <c r="N3236">
        <v>0</v>
      </c>
      <c r="O3236">
        <v>-0.9993438</v>
      </c>
      <c r="P3236">
        <v>0.102443699999999</v>
      </c>
      <c r="Q3236">
        <v>-2.7080780000000003E-4</v>
      </c>
      <c r="R3236">
        <v>-0.99473880000000003</v>
      </c>
      <c r="S3236">
        <v>1.4568479999999999</v>
      </c>
      <c r="T3236">
        <v>-0.31658229999999998</v>
      </c>
      <c r="U3236">
        <v>-2.8687740000000002</v>
      </c>
      <c r="V3236">
        <v>-6.8901110000000002E-2</v>
      </c>
      <c r="W3236">
        <v>1.286168E-2</v>
      </c>
      <c r="X3236">
        <v>0.9975406</v>
      </c>
      <c r="Y3236">
        <v>-0.42029450000000002</v>
      </c>
      <c r="Z3236">
        <v>9.8594860000000006E-2</v>
      </c>
      <c r="AA3236">
        <v>0.90201529999999996</v>
      </c>
      <c r="AB3236">
        <v>10</v>
      </c>
      <c r="AC3236">
        <v>5.1116999999999804</v>
      </c>
      <c r="AD3236">
        <v>-1.111622046158</v>
      </c>
      <c r="AE3236">
        <v>-10.0185999999999</v>
      </c>
      <c r="AF3236">
        <v>-4.7251234448121098</v>
      </c>
      <c r="AG3236">
        <v>-1.111622046158</v>
      </c>
      <c r="AH3236">
        <v>10.0865935892593</v>
      </c>
      <c r="AI3236">
        <v>95.6992463877246</v>
      </c>
      <c r="AJ3236">
        <v>115.10101430830299</v>
      </c>
      <c r="AK3236">
        <v>11.1938315771279</v>
      </c>
      <c r="AL3236">
        <v>89.2630597124937</v>
      </c>
      <c r="AM3236">
        <v>93.951200333668694</v>
      </c>
      <c r="AN3236">
        <v>1.0000000172100001</v>
      </c>
    </row>
    <row r="3237" spans="1:40" x14ac:dyDescent="0.25">
      <c r="A3237" t="str">
        <f>"20190312154316072"</f>
        <v>20190312154316072</v>
      </c>
      <c r="B3237" t="str">
        <f>"1552376596070774"</f>
        <v>1552376596070774</v>
      </c>
      <c r="C3237" t="s">
        <v>40</v>
      </c>
      <c r="D3237">
        <v>4.9694500000000001</v>
      </c>
      <c r="E3237">
        <v>0.35618040000000001</v>
      </c>
      <c r="F3237" t="s">
        <v>43</v>
      </c>
      <c r="G3237">
        <v>-487.21460000000002</v>
      </c>
      <c r="H3237" s="1">
        <v>-2.0410110000000001E-6</v>
      </c>
      <c r="I3237">
        <v>233.23869999999999</v>
      </c>
      <c r="J3237">
        <v>-492.32639999999998</v>
      </c>
      <c r="K3237">
        <v>1.1116280000000001</v>
      </c>
      <c r="L3237">
        <v>243.2208</v>
      </c>
      <c r="M3237">
        <v>3.518922E-2</v>
      </c>
      <c r="N3237">
        <v>0</v>
      </c>
      <c r="O3237">
        <v>-0.99929199999999996</v>
      </c>
      <c r="P3237">
        <v>0.1046228</v>
      </c>
      <c r="Q3237">
        <v>-4.3413829999999998E-4</v>
      </c>
      <c r="R3237">
        <v>-0.9945117</v>
      </c>
      <c r="S3237">
        <v>1.460968</v>
      </c>
      <c r="T3237">
        <v>-0.31749870000000002</v>
      </c>
      <c r="U3237">
        <v>-2.8653110000000002</v>
      </c>
      <c r="V3237">
        <v>-6.9586190000000006E-2</v>
      </c>
      <c r="W3237">
        <v>1.269575E-2</v>
      </c>
      <c r="X3237">
        <v>0.99749520000000003</v>
      </c>
      <c r="Y3237">
        <v>-0.42038599999999998</v>
      </c>
      <c r="Z3237">
        <v>9.8942379999999996E-2</v>
      </c>
      <c r="AA3237">
        <v>0.90193460000000003</v>
      </c>
      <c r="AB3237">
        <v>10</v>
      </c>
      <c r="AC3237">
        <v>5.1117999999999597</v>
      </c>
      <c r="AD3237">
        <v>-1.111630041011</v>
      </c>
      <c r="AE3237">
        <v>-9.9821000000000009</v>
      </c>
      <c r="AF3237">
        <v>-4.7110538619896998</v>
      </c>
      <c r="AG3237">
        <v>-1.111630041011</v>
      </c>
      <c r="AH3237">
        <v>10.057002540481699</v>
      </c>
      <c r="AI3237">
        <v>95.715990426513898</v>
      </c>
      <c r="AJ3237">
        <v>115.10004496509499</v>
      </c>
      <c r="AK3237">
        <v>11.1612297681708</v>
      </c>
      <c r="AL3237">
        <v>89.272567599009193</v>
      </c>
      <c r="AM3237">
        <v>93.990541642076295</v>
      </c>
      <c r="AN3237">
        <v>1.0000000469649</v>
      </c>
    </row>
    <row r="3238" spans="1:40" x14ac:dyDescent="0.25">
      <c r="A3238" t="str">
        <f>"20190312154316085"</f>
        <v>20190312154316085</v>
      </c>
      <c r="B3238" t="str">
        <f>"1552376596080534"</f>
        <v>1552376596080534</v>
      </c>
      <c r="C3238" t="s">
        <v>40</v>
      </c>
      <c r="D3238">
        <v>4.9546460000000003</v>
      </c>
      <c r="E3238">
        <v>0.35649189999999997</v>
      </c>
      <c r="F3238" t="s">
        <v>43</v>
      </c>
      <c r="G3238">
        <v>-487.26190000000003</v>
      </c>
      <c r="H3238" s="1">
        <v>-2.0583369999999998E-6</v>
      </c>
      <c r="I3238">
        <v>233.29859999999999</v>
      </c>
      <c r="J3238">
        <v>-492.32249999999999</v>
      </c>
      <c r="K3238">
        <v>1.111631</v>
      </c>
      <c r="L3238">
        <v>243.16679999999999</v>
      </c>
      <c r="M3238">
        <v>3.6840459999999998E-2</v>
      </c>
      <c r="N3238">
        <v>0</v>
      </c>
      <c r="O3238">
        <v>-0.99923260000000003</v>
      </c>
      <c r="P3238">
        <v>0.1069828</v>
      </c>
      <c r="Q3238">
        <v>-5.0306299999999999E-4</v>
      </c>
      <c r="R3238">
        <v>-0.9942607</v>
      </c>
      <c r="S3238">
        <v>1.461182</v>
      </c>
      <c r="T3238">
        <v>-0.32072200000000001</v>
      </c>
      <c r="U3238">
        <v>-2.8626860000000001</v>
      </c>
      <c r="V3238">
        <v>-7.0305419999999993E-2</v>
      </c>
      <c r="W3238">
        <v>1.262375E-2</v>
      </c>
      <c r="X3238">
        <v>0.99744560000000004</v>
      </c>
      <c r="Y3238">
        <v>-0.4192266</v>
      </c>
      <c r="Z3238">
        <v>0.100034</v>
      </c>
      <c r="AA3238">
        <v>0.90235370000000004</v>
      </c>
      <c r="AB3238">
        <v>10</v>
      </c>
      <c r="AC3238">
        <v>5.06059999999996</v>
      </c>
      <c r="AD3238">
        <v>-1.111633058337</v>
      </c>
      <c r="AE3238">
        <v>-9.8681999999999999</v>
      </c>
      <c r="AF3238">
        <v>-4.6468941043710403</v>
      </c>
      <c r="AG3238">
        <v>-1.111633058337</v>
      </c>
      <c r="AH3238">
        <v>9.9480006573928801</v>
      </c>
      <c r="AI3238">
        <v>95.781116682064294</v>
      </c>
      <c r="AJ3238">
        <v>115.03814338815</v>
      </c>
      <c r="AK3238">
        <v>11.035944452248501</v>
      </c>
      <c r="AL3238">
        <v>89.276693168479099</v>
      </c>
      <c r="AM3238">
        <v>94.031851644351804</v>
      </c>
      <c r="AN3238">
        <v>0.99999996805239899</v>
      </c>
    </row>
    <row r="3239" spans="1:40" x14ac:dyDescent="0.25">
      <c r="A3239" t="str">
        <f>"20190312154316102"</f>
        <v>20190312154316102</v>
      </c>
      <c r="B3239" t="str">
        <f>"1552376596101030"</f>
        <v>1552376596101030</v>
      </c>
      <c r="C3239" t="s">
        <v>40</v>
      </c>
      <c r="D3239">
        <v>5.0010110000000001</v>
      </c>
      <c r="E3239">
        <v>0.35712430000000001</v>
      </c>
      <c r="F3239" t="s">
        <v>43</v>
      </c>
      <c r="G3239">
        <v>-487.25040000000001</v>
      </c>
      <c r="H3239" s="1">
        <v>-2.0490030000000001E-6</v>
      </c>
      <c r="I3239">
        <v>233.27209999999999</v>
      </c>
      <c r="J3239">
        <v>-492.31709999999998</v>
      </c>
      <c r="K3239">
        <v>1.111642</v>
      </c>
      <c r="L3239">
        <v>243.09379999999999</v>
      </c>
      <c r="M3239">
        <v>3.9119269999999998E-2</v>
      </c>
      <c r="N3239">
        <v>0</v>
      </c>
      <c r="O3239">
        <v>-0.99914590000000003</v>
      </c>
      <c r="P3239">
        <v>0.1109525</v>
      </c>
      <c r="Q3239">
        <v>-6.1496939999999996E-4</v>
      </c>
      <c r="R3239">
        <v>-0.99382570000000003</v>
      </c>
      <c r="S3239">
        <v>1.4657899999999999</v>
      </c>
      <c r="T3239">
        <v>-0.32124819999999998</v>
      </c>
      <c r="U3239">
        <v>-2.8594360000000001</v>
      </c>
      <c r="V3239">
        <v>-7.2014309999999998E-2</v>
      </c>
      <c r="W3239">
        <v>1.2505509999999999E-2</v>
      </c>
      <c r="X3239">
        <v>0.99732520000000002</v>
      </c>
      <c r="Y3239">
        <v>-0.41871589999999997</v>
      </c>
      <c r="Z3239">
        <v>0.1002613</v>
      </c>
      <c r="AA3239">
        <v>0.90256570000000003</v>
      </c>
      <c r="AB3239">
        <v>10</v>
      </c>
      <c r="AC3239">
        <v>5.06669999999996</v>
      </c>
      <c r="AD3239">
        <v>-1.111644049003</v>
      </c>
      <c r="AE3239">
        <v>-9.8216999999999892</v>
      </c>
      <c r="AF3239">
        <v>-4.6317068351054003</v>
      </c>
      <c r="AG3239">
        <v>-1.111644049003</v>
      </c>
      <c r="AH3239">
        <v>9.9121156147819693</v>
      </c>
      <c r="AI3239">
        <v>95.801609438012406</v>
      </c>
      <c r="AJ3239">
        <v>115.045617731506</v>
      </c>
      <c r="AK3239">
        <v>10.997204038247601</v>
      </c>
      <c r="AL3239">
        <v>89.283468380521498</v>
      </c>
      <c r="AM3239">
        <v>94.130014266125897</v>
      </c>
      <c r="AN3239">
        <v>1.0000000015900801</v>
      </c>
    </row>
    <row r="3240" spans="1:40" x14ac:dyDescent="0.25">
      <c r="A3240" t="str">
        <f>"20190312154316116"</f>
        <v>20190312154316116</v>
      </c>
      <c r="B3240" t="str">
        <f>"1552376596110790"</f>
        <v>1552376596110790</v>
      </c>
      <c r="C3240" t="s">
        <v>40</v>
      </c>
      <c r="D3240">
        <v>5.0233910000000002</v>
      </c>
      <c r="E3240">
        <v>0.35712430000000001</v>
      </c>
      <c r="F3240" t="s">
        <v>43</v>
      </c>
      <c r="G3240">
        <v>-487.26769999999999</v>
      </c>
      <c r="H3240" s="1">
        <v>-2.0611259999999999E-6</v>
      </c>
      <c r="I3240">
        <v>233.30760000000001</v>
      </c>
      <c r="J3240">
        <v>-492.31270000000001</v>
      </c>
      <c r="K3240">
        <v>1.111653</v>
      </c>
      <c r="L3240">
        <v>243.036</v>
      </c>
      <c r="M3240">
        <v>4.0956810000000003E-2</v>
      </c>
      <c r="N3240">
        <v>0</v>
      </c>
      <c r="O3240">
        <v>-0.99907239999999997</v>
      </c>
      <c r="P3240">
        <v>0.1132865</v>
      </c>
      <c r="Q3240">
        <v>-5.5144459999999999E-4</v>
      </c>
      <c r="R3240">
        <v>-0.99356250000000002</v>
      </c>
      <c r="S3240">
        <v>1.4725950000000001</v>
      </c>
      <c r="T3240">
        <v>-0.32419710000000002</v>
      </c>
      <c r="U3240">
        <v>-2.854034</v>
      </c>
      <c r="V3240">
        <v>-7.2523089999999998E-2</v>
      </c>
      <c r="W3240">
        <v>1.2566539999999999E-2</v>
      </c>
      <c r="X3240">
        <v>0.99728760000000005</v>
      </c>
      <c r="Y3240">
        <v>-0.41939599999999999</v>
      </c>
      <c r="Z3240">
        <v>0.10126010000000001</v>
      </c>
      <c r="AA3240">
        <v>0.9021382</v>
      </c>
      <c r="AB3240">
        <v>10</v>
      </c>
      <c r="AC3240">
        <v>5.0450000000000097</v>
      </c>
      <c r="AD3240">
        <v>-1.1116550611259901</v>
      </c>
      <c r="AE3240">
        <v>-9.7283999999999597</v>
      </c>
      <c r="AF3240">
        <v>-4.59500356740757</v>
      </c>
      <c r="AG3240">
        <v>-1.1116550611259901</v>
      </c>
      <c r="AH3240">
        <v>9.8257728383392902</v>
      </c>
      <c r="AI3240">
        <v>95.851469114499693</v>
      </c>
      <c r="AJ3240">
        <v>115.063049945988</v>
      </c>
      <c r="AK3240">
        <v>10.903928036724199</v>
      </c>
      <c r="AL3240">
        <v>89.279971369671301</v>
      </c>
      <c r="AM3240">
        <v>94.159246975986207</v>
      </c>
      <c r="AN3240">
        <v>1.0000000368122299</v>
      </c>
    </row>
    <row r="3241" spans="1:40" x14ac:dyDescent="0.25">
      <c r="A3241" t="str">
        <f>"20190312154316130"</f>
        <v>20190312154316130</v>
      </c>
      <c r="B3241" t="str">
        <f>"1552376596120550"</f>
        <v>1552376596120550</v>
      </c>
      <c r="C3241" t="s">
        <v>40</v>
      </c>
      <c r="D3241">
        <v>5.0194159999999997</v>
      </c>
      <c r="E3241">
        <v>0.37523849999999997</v>
      </c>
      <c r="F3241" t="s">
        <v>43</v>
      </c>
      <c r="G3241">
        <v>-487.23140000000001</v>
      </c>
      <c r="H3241" s="1">
        <v>-2.0401230000000002E-6</v>
      </c>
      <c r="I3241">
        <v>233.24350000000001</v>
      </c>
      <c r="J3241">
        <v>-492.30829999999997</v>
      </c>
      <c r="K3241">
        <v>1.1116629999999901</v>
      </c>
      <c r="L3241">
        <v>242.97980000000001</v>
      </c>
      <c r="M3241">
        <v>4.2765610000000003E-2</v>
      </c>
      <c r="N3241">
        <v>0</v>
      </c>
      <c r="O3241">
        <v>-0.99899660000000001</v>
      </c>
      <c r="P3241">
        <v>0.1156336</v>
      </c>
      <c r="Q3241">
        <v>-5.053376E-4</v>
      </c>
      <c r="R3241">
        <v>-0.99329210000000001</v>
      </c>
      <c r="S3241">
        <v>1.479187</v>
      </c>
      <c r="T3241">
        <v>-0.32360450000000002</v>
      </c>
      <c r="U3241">
        <v>-2.8506010000000002</v>
      </c>
      <c r="V3241">
        <v>-7.3073730000000003E-2</v>
      </c>
      <c r="W3241">
        <v>1.2610410000000001E-2</v>
      </c>
      <c r="X3241">
        <v>0.99724679999999999</v>
      </c>
      <c r="Y3241">
        <v>-0.41984929999999898</v>
      </c>
      <c r="Z3241">
        <v>0.10111100000000001</v>
      </c>
      <c r="AA3241">
        <v>0.90194410000000003</v>
      </c>
      <c r="AB3241">
        <v>10</v>
      </c>
      <c r="AC3241">
        <v>5.0768999999999602</v>
      </c>
      <c r="AD3241">
        <v>-1.1116650401229999</v>
      </c>
      <c r="AE3241">
        <v>-9.7363</v>
      </c>
      <c r="AF3241">
        <v>-4.6086025049374904</v>
      </c>
      <c r="AG3241">
        <v>-1.1116650401229999</v>
      </c>
      <c r="AH3241">
        <v>9.8436336048312398</v>
      </c>
      <c r="AI3241">
        <v>95.839790834297403</v>
      </c>
      <c r="AJ3241">
        <v>115.08810201331301</v>
      </c>
      <c r="AK3241">
        <v>10.925755752171501</v>
      </c>
      <c r="AL3241">
        <v>89.277457568219603</v>
      </c>
      <c r="AM3241">
        <v>94.190885299065997</v>
      </c>
      <c r="AN3241">
        <v>0.99999998628335995</v>
      </c>
    </row>
    <row r="3242" spans="1:40" x14ac:dyDescent="0.25">
      <c r="A3242" t="str">
        <f>"20190312154316141"</f>
        <v>20190312154316141</v>
      </c>
      <c r="B3242" t="str">
        <f>"1552376596130311"</f>
        <v>1552376596130311</v>
      </c>
      <c r="C3242" t="s">
        <v>40</v>
      </c>
      <c r="D3242">
        <v>5.062481</v>
      </c>
      <c r="E3242">
        <v>0.38054939999999998</v>
      </c>
      <c r="F3242" t="s">
        <v>43</v>
      </c>
      <c r="G3242">
        <v>-487.2294</v>
      </c>
      <c r="H3242" s="1">
        <v>-1.5842250000000001E-6</v>
      </c>
      <c r="I3242">
        <v>232.1371</v>
      </c>
      <c r="J3242">
        <v>-492.30430000000001</v>
      </c>
      <c r="K3242">
        <v>1.1116699999999999</v>
      </c>
      <c r="L3242">
        <v>242.93119999999999</v>
      </c>
      <c r="M3242">
        <v>4.4362569999999997E-2</v>
      </c>
      <c r="N3242">
        <v>0</v>
      </c>
      <c r="O3242">
        <v>-0.9989268</v>
      </c>
      <c r="P3242">
        <v>0.1178347</v>
      </c>
      <c r="Q3242">
        <v>-4.2201100000000002E-4</v>
      </c>
      <c r="R3242">
        <v>-0.99303319999999995</v>
      </c>
      <c r="S3242">
        <v>1.3415220000000001</v>
      </c>
      <c r="T3242">
        <v>-0.29362959999999999</v>
      </c>
      <c r="U3242">
        <v>-2.863937</v>
      </c>
      <c r="V3242">
        <v>-7.369038E-2</v>
      </c>
      <c r="W3242">
        <v>1.269146E-2</v>
      </c>
      <c r="X3242">
        <v>0.99720039999999999</v>
      </c>
      <c r="Y3242">
        <v>-0.38175310000000001</v>
      </c>
      <c r="Z3242">
        <v>9.3172900000000003E-2</v>
      </c>
      <c r="AA3242">
        <v>0.91955609999999999</v>
      </c>
      <c r="AB3242">
        <v>10</v>
      </c>
      <c r="AC3242">
        <v>5.0749000000000102</v>
      </c>
      <c r="AD3242">
        <v>-1.111671584225</v>
      </c>
      <c r="AE3242">
        <v>-10.794099999999901</v>
      </c>
      <c r="AF3242">
        <v>-4.5514697557349901</v>
      </c>
      <c r="AG3242">
        <v>-1.111671584225</v>
      </c>
      <c r="AH3242">
        <v>10.913823180106499</v>
      </c>
      <c r="AI3242">
        <v>95.370669130114393</v>
      </c>
      <c r="AJ3242">
        <v>112.637949775707</v>
      </c>
      <c r="AK3242">
        <v>11.8770041279429</v>
      </c>
      <c r="AL3242">
        <v>89.272813377369005</v>
      </c>
      <c r="AM3242">
        <v>94.226319409449403</v>
      </c>
      <c r="AN3242">
        <v>0.99999999151081798</v>
      </c>
    </row>
    <row r="3243" spans="1:40" x14ac:dyDescent="0.25">
      <c r="A3243" t="str">
        <f>"20190312154316160"</f>
        <v>20190312154316160</v>
      </c>
      <c r="B3243" t="str">
        <f>"1552376596150806"</f>
        <v>1552376596150806</v>
      </c>
      <c r="C3243" t="s">
        <v>40</v>
      </c>
      <c r="D3243">
        <v>5.0853510000000002</v>
      </c>
      <c r="E3243">
        <v>0.38657209999999997</v>
      </c>
      <c r="F3243" t="s">
        <v>43</v>
      </c>
      <c r="G3243">
        <v>-487.28640000000001</v>
      </c>
      <c r="H3243" s="1">
        <v>-1.4951159999999999E-6</v>
      </c>
      <c r="I3243">
        <v>231.91980000000001</v>
      </c>
      <c r="J3243">
        <v>-492.2978</v>
      </c>
      <c r="K3243">
        <v>1.111688</v>
      </c>
      <c r="L3243">
        <v>242.8535</v>
      </c>
      <c r="M3243">
        <v>4.6949320000000003E-2</v>
      </c>
      <c r="N3243">
        <v>0</v>
      </c>
      <c r="O3243">
        <v>-0.99880860000000005</v>
      </c>
      <c r="P3243">
        <v>0.1210833</v>
      </c>
      <c r="Q3243">
        <v>-2.6609570000000001E-4</v>
      </c>
      <c r="R3243">
        <v>-0.99264249999999998</v>
      </c>
      <c r="S3243">
        <v>1.30603</v>
      </c>
      <c r="T3243">
        <v>-0.28933750000000003</v>
      </c>
      <c r="U3243">
        <v>-2.8659520000000001</v>
      </c>
      <c r="V3243">
        <v>-7.4371140000000002E-2</v>
      </c>
      <c r="W3243">
        <v>1.284451E-2</v>
      </c>
      <c r="X3243">
        <v>0.99714789999999998</v>
      </c>
      <c r="Y3243">
        <v>-0.36973240000000002</v>
      </c>
      <c r="Z3243">
        <v>9.22071E-2</v>
      </c>
      <c r="AA3243">
        <v>0.92455169999999998</v>
      </c>
      <c r="AB3243">
        <v>10</v>
      </c>
      <c r="AC3243">
        <v>5.0113999999999796</v>
      </c>
      <c r="AD3243">
        <v>-1.1116894951159999</v>
      </c>
      <c r="AE3243">
        <v>-10.9336999999999</v>
      </c>
      <c r="AF3243">
        <v>-4.4544425253863</v>
      </c>
      <c r="AG3243">
        <v>-1.1116894951159999</v>
      </c>
      <c r="AH3243">
        <v>11.0624354319622</v>
      </c>
      <c r="AI3243">
        <v>95.325657660983296</v>
      </c>
      <c r="AJ3243">
        <v>111.93286240947999</v>
      </c>
      <c r="AK3243">
        <v>11.977286396836901</v>
      </c>
      <c r="AL3243">
        <v>89.264043543129404</v>
      </c>
      <c r="AM3243">
        <v>94.265442931499393</v>
      </c>
      <c r="AN3243">
        <v>0.99999999118822402</v>
      </c>
    </row>
    <row r="3244" spans="1:40" x14ac:dyDescent="0.25">
      <c r="A3244" t="str">
        <f>"20190312154316182"</f>
        <v>20190312154316182</v>
      </c>
      <c r="B3244" t="str">
        <f>"1552376596170326"</f>
        <v>1552376596170326</v>
      </c>
      <c r="C3244" t="s">
        <v>40</v>
      </c>
      <c r="D3244">
        <v>5.0234259999999997</v>
      </c>
      <c r="E3244">
        <v>0.38891629999999999</v>
      </c>
      <c r="F3244" t="s">
        <v>43</v>
      </c>
      <c r="G3244">
        <v>-487.2389</v>
      </c>
      <c r="H3244" s="1">
        <v>-1.334327E-6</v>
      </c>
      <c r="I3244">
        <v>231.4102</v>
      </c>
      <c r="J3244">
        <v>-492.29</v>
      </c>
      <c r="K3244">
        <v>1.1116919999999999</v>
      </c>
      <c r="L3244">
        <v>242.76419999999999</v>
      </c>
      <c r="M3244">
        <v>4.9988940000000003E-2</v>
      </c>
      <c r="N3244">
        <v>0</v>
      </c>
      <c r="O3244">
        <v>-0.99866109999999997</v>
      </c>
      <c r="P3244">
        <v>0.1247438</v>
      </c>
      <c r="Q3244">
        <v>2.4898720000000001E-4</v>
      </c>
      <c r="R3244">
        <v>-0.99218899999999999</v>
      </c>
      <c r="S3244">
        <v>1.2677</v>
      </c>
      <c r="T3244">
        <v>-0.2785765</v>
      </c>
      <c r="U3244">
        <v>-2.8675540000000002</v>
      </c>
      <c r="V3244">
        <v>-7.5015849999999995E-2</v>
      </c>
      <c r="W3244">
        <v>1.335707E-2</v>
      </c>
      <c r="X3244">
        <v>0.99709289999999995</v>
      </c>
      <c r="Y3244">
        <v>-0.35649710000000001</v>
      </c>
      <c r="Z3244">
        <v>8.9210849999999994E-2</v>
      </c>
      <c r="AA3244">
        <v>0.93002750000000001</v>
      </c>
      <c r="AB3244">
        <v>9</v>
      </c>
      <c r="AC3244">
        <v>5.0511000000000204</v>
      </c>
      <c r="AD3244">
        <v>-1.1116933343269999</v>
      </c>
      <c r="AE3244">
        <v>-11.3539999999999</v>
      </c>
      <c r="AF3244">
        <v>-4.4416134032663601</v>
      </c>
      <c r="AG3244">
        <v>-1.1116933343269999</v>
      </c>
      <c r="AH3244">
        <v>11.500288317583401</v>
      </c>
      <c r="AI3244">
        <v>95.152700143683305</v>
      </c>
      <c r="AJ3244">
        <v>111.11743680832301</v>
      </c>
      <c r="AK3244">
        <v>12.378223744996999</v>
      </c>
      <c r="AL3244">
        <v>89.234673519459605</v>
      </c>
      <c r="AM3244">
        <v>94.302517470440804</v>
      </c>
      <c r="AN3244">
        <v>1.0000000201503001</v>
      </c>
    </row>
    <row r="3245" spans="1:40" x14ac:dyDescent="0.25">
      <c r="A3245" t="str">
        <f>"20190312154316194"</f>
        <v>20190312154316194</v>
      </c>
      <c r="B3245" t="str">
        <f>"1552376596190822"</f>
        <v>1552376596190822</v>
      </c>
      <c r="C3245" t="s">
        <v>40</v>
      </c>
      <c r="D3245">
        <v>5.1852349999999996</v>
      </c>
      <c r="E3245">
        <v>0.39060660000000003</v>
      </c>
      <c r="F3245" t="s">
        <v>43</v>
      </c>
      <c r="G3245">
        <v>-487.18329999999997</v>
      </c>
      <c r="H3245" s="1">
        <v>-1.262215E-6</v>
      </c>
      <c r="I3245">
        <v>231.15479999999999</v>
      </c>
      <c r="J3245">
        <v>-492.2851</v>
      </c>
      <c r="K3245">
        <v>1.1116980000000001</v>
      </c>
      <c r="L3245">
        <v>242.7099</v>
      </c>
      <c r="M3245">
        <v>5.1869310000000002E-2</v>
      </c>
      <c r="N3245">
        <v>0</v>
      </c>
      <c r="O3245">
        <v>-0.99856529999999999</v>
      </c>
      <c r="P3245">
        <v>0.1267143</v>
      </c>
      <c r="Q3245">
        <v>2.1338039999999999E-4</v>
      </c>
      <c r="R3245">
        <v>-0.99193949999999997</v>
      </c>
      <c r="S3245">
        <v>1.260345</v>
      </c>
      <c r="T3245">
        <v>-0.27436769999999999</v>
      </c>
      <c r="U3245">
        <v>-2.8652039999999999</v>
      </c>
      <c r="V3245">
        <v>-7.5119060000000001E-2</v>
      </c>
      <c r="W3245">
        <v>1.3320830000000001E-2</v>
      </c>
      <c r="X3245">
        <v>0.99708560000000002</v>
      </c>
      <c r="Y3245">
        <v>-0.3530623</v>
      </c>
      <c r="Z3245">
        <v>8.8029209999999997E-2</v>
      </c>
      <c r="AA3245">
        <v>0.93144939999999998</v>
      </c>
      <c r="AB3245">
        <v>9</v>
      </c>
      <c r="AC3245">
        <v>5.1018000000000203</v>
      </c>
      <c r="AD3245">
        <v>-1.1116992622149999</v>
      </c>
      <c r="AE3245">
        <v>-11.555099999999999</v>
      </c>
      <c r="AF3245">
        <v>-4.4609680996745196</v>
      </c>
      <c r="AG3245">
        <v>-1.1116992622149999</v>
      </c>
      <c r="AH3245">
        <v>11.713459698884501</v>
      </c>
      <c r="AI3245">
        <v>95.068500505822598</v>
      </c>
      <c r="AJ3245">
        <v>110.84889516817201</v>
      </c>
      <c r="AK3245">
        <v>12.583371954818601</v>
      </c>
      <c r="AL3245">
        <v>89.236750092192096</v>
      </c>
      <c r="AM3245">
        <v>94.308446207529798</v>
      </c>
      <c r="AN3245">
        <v>1.00000000570726</v>
      </c>
    </row>
    <row r="3246" spans="1:40" x14ac:dyDescent="0.25">
      <c r="A3246" t="str">
        <f>"20190312154316209"</f>
        <v>20190312154316209</v>
      </c>
      <c r="B3246" t="str">
        <f>"1552376596200582"</f>
        <v>1552376596200582</v>
      </c>
      <c r="C3246" t="s">
        <v>40</v>
      </c>
      <c r="D3246">
        <v>5.0031829999999999</v>
      </c>
      <c r="E3246">
        <v>0.39122390000000001</v>
      </c>
      <c r="F3246" t="s">
        <v>43</v>
      </c>
      <c r="G3246">
        <v>-487.14659999999998</v>
      </c>
      <c r="H3246" s="1">
        <v>-1.2050290000000001E-6</v>
      </c>
      <c r="I3246">
        <v>230.9581</v>
      </c>
      <c r="J3246">
        <v>-492.2799</v>
      </c>
      <c r="K3246">
        <v>1.111704</v>
      </c>
      <c r="L3246">
        <v>242.6541</v>
      </c>
      <c r="M3246">
        <v>5.3824370000000003E-2</v>
      </c>
      <c r="N3246">
        <v>0</v>
      </c>
      <c r="O3246">
        <v>-0.9984615</v>
      </c>
      <c r="P3246">
        <v>0.12860179999999999</v>
      </c>
      <c r="Q3246">
        <v>1.576243E-4</v>
      </c>
      <c r="R3246">
        <v>-0.99169649999999998</v>
      </c>
      <c r="S3246">
        <v>1.252472</v>
      </c>
      <c r="T3246">
        <v>-0.27097019999999999</v>
      </c>
      <c r="U3246">
        <v>-2.8644409999999998</v>
      </c>
      <c r="V3246">
        <v>-7.5064439999999996E-2</v>
      </c>
      <c r="W3246">
        <v>1.326505E-2</v>
      </c>
      <c r="X3246">
        <v>0.99709049999999999</v>
      </c>
      <c r="Y3246">
        <v>-0.34920649999999998</v>
      </c>
      <c r="Z3246">
        <v>8.7065900000000002E-2</v>
      </c>
      <c r="AA3246">
        <v>0.93299219999999905</v>
      </c>
      <c r="AB3246">
        <v>9</v>
      </c>
      <c r="AC3246">
        <v>5.1333000000000197</v>
      </c>
      <c r="AD3246">
        <v>-1.1117052050289999</v>
      </c>
      <c r="AE3246">
        <v>-11.6959999999999</v>
      </c>
      <c r="AF3246">
        <v>-4.4624672887961401</v>
      </c>
      <c r="AG3246">
        <v>-1.1117052050289999</v>
      </c>
      <c r="AH3246">
        <v>11.8654793120457</v>
      </c>
      <c r="AI3246">
        <v>95.011761195735403</v>
      </c>
      <c r="AJ3246">
        <v>110.610690276456</v>
      </c>
      <c r="AK3246">
        <v>12.7255295399071</v>
      </c>
      <c r="AL3246">
        <v>89.239946365645906</v>
      </c>
      <c r="AM3246">
        <v>94.305304187993698</v>
      </c>
      <c r="AN3246">
        <v>1.0000000484471301</v>
      </c>
    </row>
    <row r="3247" spans="1:40" x14ac:dyDescent="0.25">
      <c r="A3247" t="str">
        <f>"20190312154316223"</f>
        <v>20190312154316223</v>
      </c>
      <c r="B3247" t="str">
        <f>"1552376596210342"</f>
        <v>1552376596210342</v>
      </c>
      <c r="C3247" t="s">
        <v>40</v>
      </c>
      <c r="D3247">
        <v>4.9916939999999999</v>
      </c>
      <c r="E3247">
        <v>0.39177810000000002</v>
      </c>
      <c r="F3247" t="s">
        <v>43</v>
      </c>
      <c r="G3247">
        <v>-487.11720000000003</v>
      </c>
      <c r="H3247" s="1">
        <v>-1.179526E-6</v>
      </c>
      <c r="I3247">
        <v>230.86019999999999</v>
      </c>
      <c r="J3247">
        <v>-492.27420000000001</v>
      </c>
      <c r="K3247">
        <v>1.1117159999999999</v>
      </c>
      <c r="L3247">
        <v>242.5949</v>
      </c>
      <c r="M3247">
        <v>5.5938410000000001E-2</v>
      </c>
      <c r="N3247">
        <v>0</v>
      </c>
      <c r="O3247">
        <v>-0.99834529999999999</v>
      </c>
      <c r="P3247">
        <v>0.13053989999999999</v>
      </c>
      <c r="Q3247" s="1">
        <v>3.3548920000000001E-5</v>
      </c>
      <c r="R3247">
        <v>-0.99144319999999997</v>
      </c>
      <c r="S3247">
        <v>1.253082</v>
      </c>
      <c r="T3247">
        <v>-0.26983420000000002</v>
      </c>
      <c r="U3247">
        <v>-2.862625</v>
      </c>
      <c r="V3247">
        <v>-7.4901949999999995E-2</v>
      </c>
      <c r="W3247">
        <v>1.3140600000000001E-2</v>
      </c>
      <c r="X3247">
        <v>0.99710430000000005</v>
      </c>
      <c r="Y3247">
        <v>-0.34761789999999998</v>
      </c>
      <c r="Z3247">
        <v>8.6761329999999998E-2</v>
      </c>
      <c r="AA3247">
        <v>0.93361349999999999</v>
      </c>
      <c r="AB3247">
        <v>9</v>
      </c>
      <c r="AC3247">
        <v>5.1569999999999796</v>
      </c>
      <c r="AD3247">
        <v>-1.1117171795259999</v>
      </c>
      <c r="AE3247">
        <v>-11.7347</v>
      </c>
      <c r="AF3247">
        <v>-4.4589034168044996</v>
      </c>
      <c r="AG3247">
        <v>-1.1117171795259999</v>
      </c>
      <c r="AH3247">
        <v>11.915191868540299</v>
      </c>
      <c r="AI3247">
        <v>94.994062355014293</v>
      </c>
      <c r="AJ3247">
        <v>110.51685561278801</v>
      </c>
      <c r="AK3247">
        <v>12.7706511984226</v>
      </c>
      <c r="AL3247">
        <v>89.247077396043906</v>
      </c>
      <c r="AM3247">
        <v>94.295960303541506</v>
      </c>
      <c r="AN3247">
        <v>0.99999998128032597</v>
      </c>
    </row>
    <row r="3248" spans="1:40" x14ac:dyDescent="0.25">
      <c r="A3248" t="str">
        <f>"20190312154316239"</f>
        <v>20190312154316239</v>
      </c>
      <c r="B3248" t="str">
        <f>"1552376596230838"</f>
        <v>1552376596230838</v>
      </c>
      <c r="C3248" t="s">
        <v>40</v>
      </c>
      <c r="D3248">
        <v>5.0124069999999996</v>
      </c>
      <c r="E3248">
        <v>0.39285399999999998</v>
      </c>
      <c r="F3248" t="s">
        <v>43</v>
      </c>
      <c r="G3248">
        <v>-487.0573</v>
      </c>
      <c r="H3248" s="1">
        <v>-1.1399709999999999E-6</v>
      </c>
      <c r="I3248">
        <v>230.69710000000001</v>
      </c>
      <c r="J3248">
        <v>-492.26760000000002</v>
      </c>
      <c r="K3248">
        <v>1.1117220000000001</v>
      </c>
      <c r="L3248">
        <v>242.52780000000001</v>
      </c>
      <c r="M3248">
        <v>5.8361879999999998E-2</v>
      </c>
      <c r="N3248">
        <v>0</v>
      </c>
      <c r="O3248">
        <v>-0.99820660000000005</v>
      </c>
      <c r="P3248">
        <v>0.1322806</v>
      </c>
      <c r="Q3248">
        <v>-1.657463E-4</v>
      </c>
      <c r="R3248">
        <v>-0.99121230000000005</v>
      </c>
      <c r="S3248">
        <v>1.254364</v>
      </c>
      <c r="T3248">
        <v>-0.26730080000000001</v>
      </c>
      <c r="U3248">
        <v>-2.860703</v>
      </c>
      <c r="V3248">
        <v>-7.4231720000000001E-2</v>
      </c>
      <c r="W3248">
        <v>1.2943690000000001E-2</v>
      </c>
      <c r="X3248">
        <v>0.99715699999999996</v>
      </c>
      <c r="Y3248">
        <v>-0.34594999999999998</v>
      </c>
      <c r="Z3248">
        <v>8.6007520000000004E-2</v>
      </c>
      <c r="AA3248">
        <v>0.93430259999999998</v>
      </c>
      <c r="AB3248">
        <v>9</v>
      </c>
      <c r="AC3248">
        <v>5.2103000000000099</v>
      </c>
      <c r="AD3248">
        <v>-1.1117231399709999</v>
      </c>
      <c r="AE3248">
        <v>-11.8307</v>
      </c>
      <c r="AF3248">
        <v>-4.4777776078154297</v>
      </c>
      <c r="AG3248">
        <v>-1.1117231399709999</v>
      </c>
      <c r="AH3248">
        <v>12.0257013774143</v>
      </c>
      <c r="AI3248">
        <v>94.951441645057997</v>
      </c>
      <c r="AJ3248">
        <v>110.422847025555</v>
      </c>
      <c r="AK3248">
        <v>12.8803693372412</v>
      </c>
      <c r="AL3248">
        <v>89.258360470633505</v>
      </c>
      <c r="AM3248">
        <v>94.257437429300197</v>
      </c>
      <c r="AN3248">
        <v>0.99999998500698695</v>
      </c>
    </row>
    <row r="3249" spans="1:40" x14ac:dyDescent="0.25">
      <c r="A3249" t="str">
        <f>"20190312154316261"</f>
        <v>20190312154316261</v>
      </c>
      <c r="B3249" t="str">
        <f>"1552376596250358"</f>
        <v>1552376596250358</v>
      </c>
      <c r="C3249" t="s">
        <v>40</v>
      </c>
      <c r="D3249">
        <v>5.0156460000000003</v>
      </c>
      <c r="E3249">
        <v>0.39387919999999998</v>
      </c>
      <c r="F3249" t="s">
        <v>43</v>
      </c>
      <c r="G3249">
        <v>-487.06529999999998</v>
      </c>
      <c r="H3249" s="1">
        <v>-1.1160040000000001E-6</v>
      </c>
      <c r="I3249">
        <v>230.63290000000001</v>
      </c>
      <c r="J3249">
        <v>-492.25850000000003</v>
      </c>
      <c r="K3249">
        <v>1.1117220000000001</v>
      </c>
      <c r="L3249">
        <v>242.43889999999999</v>
      </c>
      <c r="M3249">
        <v>6.1619210000000001E-2</v>
      </c>
      <c r="N3249">
        <v>0</v>
      </c>
      <c r="O3249">
        <v>-0.99801090000000003</v>
      </c>
      <c r="P3249">
        <v>0.13434199999999999</v>
      </c>
      <c r="Q3249">
        <v>-4.3769940000000003E-4</v>
      </c>
      <c r="R3249">
        <v>-0.99093520000000002</v>
      </c>
      <c r="S3249">
        <v>1.250702</v>
      </c>
      <c r="T3249">
        <v>-0.26727000000000001</v>
      </c>
      <c r="U3249">
        <v>-2.8596499999999998</v>
      </c>
      <c r="V3249">
        <v>-7.3051309999999994E-2</v>
      </c>
      <c r="W3249">
        <v>1.2675250000000001E-2</v>
      </c>
      <c r="X3249">
        <v>0.99724760000000001</v>
      </c>
      <c r="Y3249">
        <v>-0.34200649999999999</v>
      </c>
      <c r="Z3249">
        <v>8.608586E-2</v>
      </c>
      <c r="AA3249">
        <v>0.93574610000000003</v>
      </c>
      <c r="AB3249">
        <v>9</v>
      </c>
      <c r="AC3249">
        <v>5.19320000000004</v>
      </c>
      <c r="AD3249">
        <v>-1.111723116004</v>
      </c>
      <c r="AE3249">
        <v>-11.8059999999999</v>
      </c>
      <c r="AF3249">
        <v>-4.4229280950315903</v>
      </c>
      <c r="AG3249">
        <v>-1.111723116004</v>
      </c>
      <c r="AH3249">
        <v>12.014328523567899</v>
      </c>
      <c r="AI3249">
        <v>94.962874505633707</v>
      </c>
      <c r="AJ3249">
        <v>110.21056694340599</v>
      </c>
      <c r="AK3249">
        <v>12.8507708365177</v>
      </c>
      <c r="AL3249">
        <v>89.273742197988</v>
      </c>
      <c r="AM3249">
        <v>94.189600709524896</v>
      </c>
      <c r="AN3249">
        <v>0.99999996578051797</v>
      </c>
    </row>
    <row r="3250" spans="1:40" x14ac:dyDescent="0.25">
      <c r="A3250" t="str">
        <f>"20190312154316278"</f>
        <v>20190312154316278</v>
      </c>
      <c r="B3250" t="str">
        <f>"1552376596270855"</f>
        <v>1552376596270855</v>
      </c>
      <c r="C3250" t="s">
        <v>40</v>
      </c>
      <c r="D3250">
        <v>5.0218109999999996</v>
      </c>
      <c r="E3250">
        <v>0.3947215</v>
      </c>
      <c r="F3250" t="s">
        <v>43</v>
      </c>
      <c r="G3250">
        <v>-487.09530000000001</v>
      </c>
      <c r="H3250" s="1">
        <v>-1.103604E-6</v>
      </c>
      <c r="I3250">
        <v>230.62</v>
      </c>
      <c r="J3250">
        <v>-492.2509</v>
      </c>
      <c r="K3250">
        <v>1.1117239999999999</v>
      </c>
      <c r="L3250">
        <v>242.36600000000001</v>
      </c>
      <c r="M3250">
        <v>6.4338270000000003E-2</v>
      </c>
      <c r="N3250">
        <v>0</v>
      </c>
      <c r="O3250">
        <v>-0.99783920000000004</v>
      </c>
      <c r="P3250">
        <v>0.13630989999999901</v>
      </c>
      <c r="Q3250">
        <v>-3.847616E-4</v>
      </c>
      <c r="R3250">
        <v>-0.99066620000000005</v>
      </c>
      <c r="S3250">
        <v>1.2485660000000001</v>
      </c>
      <c r="T3250">
        <v>-0.26883689999999999</v>
      </c>
      <c r="U3250">
        <v>-2.858063</v>
      </c>
      <c r="V3250">
        <v>-7.2315130000000005E-2</v>
      </c>
      <c r="W3250">
        <v>1.273056E-2</v>
      </c>
      <c r="X3250">
        <v>0.99730059999999998</v>
      </c>
      <c r="Y3250">
        <v>-0.33902929999999998</v>
      </c>
      <c r="Z3250">
        <v>8.6668079999999995E-2</v>
      </c>
      <c r="AA3250">
        <v>0.93677520000000003</v>
      </c>
      <c r="AB3250">
        <v>9</v>
      </c>
      <c r="AC3250">
        <v>5.15559999999999</v>
      </c>
      <c r="AD3250">
        <v>-1.1117251036039999</v>
      </c>
      <c r="AE3250">
        <v>-11.745999999999899</v>
      </c>
      <c r="AF3250">
        <v>-4.3564108592928301</v>
      </c>
      <c r="AG3250">
        <v>-1.1117251036039999</v>
      </c>
      <c r="AH3250">
        <v>11.9635329020343</v>
      </c>
      <c r="AI3250">
        <v>94.9902522098958</v>
      </c>
      <c r="AJ3250">
        <v>110.00863080071601</v>
      </c>
      <c r="AK3250">
        <v>12.7804682143889</v>
      </c>
      <c r="AL3250">
        <v>89.270572949213403</v>
      </c>
      <c r="AM3250">
        <v>94.147308136497202</v>
      </c>
      <c r="AN3250">
        <v>1.0000000159725899</v>
      </c>
    </row>
    <row r="3251" spans="1:40" x14ac:dyDescent="0.25">
      <c r="A3251" t="str">
        <f>"20190312154316294"</f>
        <v>20190312154316294</v>
      </c>
      <c r="B3251" t="str">
        <f>"1552376596290374"</f>
        <v>1552376596290374</v>
      </c>
      <c r="C3251" t="s">
        <v>40</v>
      </c>
      <c r="D3251">
        <v>5.0084269999999904</v>
      </c>
      <c r="E3251">
        <v>0.39549299999999998</v>
      </c>
      <c r="F3251" t="s">
        <v>43</v>
      </c>
      <c r="G3251">
        <v>-487.10140000000001</v>
      </c>
      <c r="H3251" s="1">
        <v>-1.0871139999999999E-6</v>
      </c>
      <c r="I3251">
        <v>230.5762</v>
      </c>
      <c r="J3251">
        <v>-492.24400000000003</v>
      </c>
      <c r="K3251">
        <v>1.111723</v>
      </c>
      <c r="L3251">
        <v>242.30289999999999</v>
      </c>
      <c r="M3251">
        <v>6.671966E-2</v>
      </c>
      <c r="N3251">
        <v>0</v>
      </c>
      <c r="O3251">
        <v>-0.99768279999999998</v>
      </c>
      <c r="P3251">
        <v>0.13726289999999999</v>
      </c>
      <c r="Q3251">
        <v>-8.5913839999999999E-4</v>
      </c>
      <c r="R3251">
        <v>-0.99053440000000004</v>
      </c>
      <c r="S3251">
        <v>1.2476499999999999</v>
      </c>
      <c r="T3251">
        <v>-0.26935700000000001</v>
      </c>
      <c r="U3251">
        <v>-2.856506</v>
      </c>
      <c r="V3251">
        <v>-7.0893120000000004E-2</v>
      </c>
      <c r="W3251">
        <v>1.226139E-2</v>
      </c>
      <c r="X3251">
        <v>0.99740859999999998</v>
      </c>
      <c r="Y3251">
        <v>-0.33671109999999999</v>
      </c>
      <c r="Z3251">
        <v>8.6899249999999997E-2</v>
      </c>
      <c r="AA3251">
        <v>0.93758949999999996</v>
      </c>
      <c r="AB3251">
        <v>9</v>
      </c>
      <c r="AC3251">
        <v>5.1426000000000096</v>
      </c>
      <c r="AD3251">
        <v>-1.1117240871139999</v>
      </c>
      <c r="AE3251">
        <v>-11.7266999999999</v>
      </c>
      <c r="AF3251">
        <v>-4.3161334793457202</v>
      </c>
      <c r="AG3251">
        <v>-1.1117240871139999</v>
      </c>
      <c r="AH3251">
        <v>11.953603192570499</v>
      </c>
      <c r="AI3251">
        <v>94.999258443259095</v>
      </c>
      <c r="AJ3251">
        <v>109.85332552319601</v>
      </c>
      <c r="AK3251">
        <v>12.757490660111401</v>
      </c>
      <c r="AL3251">
        <v>89.297456529834193</v>
      </c>
      <c r="AM3251">
        <v>94.065592630182095</v>
      </c>
      <c r="AN3251">
        <v>1.0000000457510101</v>
      </c>
    </row>
    <row r="3252" spans="1:40" x14ac:dyDescent="0.25">
      <c r="A3252" t="str">
        <f>"20190312154316308"</f>
        <v>20190312154316308</v>
      </c>
      <c r="B3252" t="str">
        <f>"1552376596301110"</f>
        <v>1552376596301110</v>
      </c>
      <c r="C3252" t="s">
        <v>40</v>
      </c>
      <c r="D3252">
        <v>5.0276519999999998</v>
      </c>
      <c r="E3252">
        <v>0.395814</v>
      </c>
      <c r="F3252" t="s">
        <v>43</v>
      </c>
      <c r="G3252">
        <v>-487.13889999999998</v>
      </c>
      <c r="H3252" s="1">
        <v>-1.080359E-6</v>
      </c>
      <c r="I3252">
        <v>230.5857</v>
      </c>
      <c r="J3252">
        <v>-492.2373</v>
      </c>
      <c r="K3252">
        <v>1.1117239999999999</v>
      </c>
      <c r="L3252">
        <v>242.24260000000001</v>
      </c>
      <c r="M3252">
        <v>6.9016869999999994E-2</v>
      </c>
      <c r="N3252">
        <v>0</v>
      </c>
      <c r="O3252">
        <v>-0.99752660000000004</v>
      </c>
      <c r="P3252">
        <v>0.13865269999999999</v>
      </c>
      <c r="Q3252">
        <v>-9.7714099999999995E-4</v>
      </c>
      <c r="R3252">
        <v>-0.99034080000000002</v>
      </c>
      <c r="S3252">
        <v>1.244324</v>
      </c>
      <c r="T3252">
        <v>-0.2709723</v>
      </c>
      <c r="U3252">
        <v>-2.8559570000000001</v>
      </c>
      <c r="V3252">
        <v>-6.9995249999999995E-2</v>
      </c>
      <c r="W3252">
        <v>1.2146479999999999E-2</v>
      </c>
      <c r="X3252">
        <v>0.99747339999999995</v>
      </c>
      <c r="Y3252">
        <v>-0.33367079999999999</v>
      </c>
      <c r="Z3252">
        <v>8.7478710000000001E-2</v>
      </c>
      <c r="AA3252">
        <v>0.93862199999999996</v>
      </c>
      <c r="AB3252">
        <v>9</v>
      </c>
      <c r="AC3252">
        <v>5.0984000000000202</v>
      </c>
      <c r="AD3252">
        <v>-1.111725080359</v>
      </c>
      <c r="AE3252">
        <v>-11.6569</v>
      </c>
      <c r="AF3252">
        <v>-4.24920384830535</v>
      </c>
      <c r="AG3252">
        <v>-1.111725080359</v>
      </c>
      <c r="AH3252">
        <v>11.890223931165099</v>
      </c>
      <c r="AI3252">
        <v>95.031671035601207</v>
      </c>
      <c r="AJ3252">
        <v>109.66534193822299</v>
      </c>
      <c r="AK3252">
        <v>12.6755311972321</v>
      </c>
      <c r="AL3252">
        <v>89.304040865445302</v>
      </c>
      <c r="AM3252">
        <v>94.014010885708402</v>
      </c>
      <c r="AN3252">
        <v>1.0000000278532499</v>
      </c>
    </row>
    <row r="3253" spans="1:40" x14ac:dyDescent="0.25">
      <c r="A3253" t="str">
        <f>"20190312154316322"</f>
        <v>20190312154316322</v>
      </c>
      <c r="B3253" t="str">
        <f>"1552376596310870"</f>
        <v>1552376596310870</v>
      </c>
      <c r="C3253" t="s">
        <v>40</v>
      </c>
      <c r="D3253">
        <v>5.2760579999999999</v>
      </c>
      <c r="E3253">
        <v>0.39614470000000002</v>
      </c>
      <c r="F3253" t="s">
        <v>43</v>
      </c>
      <c r="G3253">
        <v>-487.12740000000002</v>
      </c>
      <c r="H3253" s="1">
        <v>-1.064602E-6</v>
      </c>
      <c r="I3253">
        <v>230.53049999999999</v>
      </c>
      <c r="J3253">
        <v>-492.23090000000002</v>
      </c>
      <c r="K3253">
        <v>1.111728</v>
      </c>
      <c r="L3253">
        <v>242.1875</v>
      </c>
      <c r="M3253">
        <v>7.1145710000000001E-2</v>
      </c>
      <c r="N3253">
        <v>0</v>
      </c>
      <c r="O3253">
        <v>-0.99737699999999996</v>
      </c>
      <c r="P3253">
        <v>0.13985520000000001</v>
      </c>
      <c r="Q3253">
        <v>-1.2009379999999999E-3</v>
      </c>
      <c r="R3253">
        <v>-0.99017129999999998</v>
      </c>
      <c r="S3253">
        <v>1.245422</v>
      </c>
      <c r="T3253">
        <v>-0.27096120000000001</v>
      </c>
      <c r="U3253">
        <v>-2.8546140000000002</v>
      </c>
      <c r="V3253">
        <v>-6.9077410000000006E-2</v>
      </c>
      <c r="W3253">
        <v>1.1925720000000001E-2</v>
      </c>
      <c r="X3253">
        <v>0.99753999999999998</v>
      </c>
      <c r="Y3253">
        <v>-0.33212350000000002</v>
      </c>
      <c r="Z3253">
        <v>8.7510879999999999E-2</v>
      </c>
      <c r="AA3253">
        <v>0.93916759999999999</v>
      </c>
      <c r="AB3253">
        <v>9</v>
      </c>
      <c r="AC3253">
        <v>5.1034999999999897</v>
      </c>
      <c r="AD3253">
        <v>-1.1117290646019999</v>
      </c>
      <c r="AE3253">
        <v>-11.657</v>
      </c>
      <c r="AF3253">
        <v>-4.2288691211340703</v>
      </c>
      <c r="AG3253">
        <v>-1.1117290646019999</v>
      </c>
      <c r="AH3253">
        <v>11.8997545723965</v>
      </c>
      <c r="AI3253">
        <v>95.030836200132796</v>
      </c>
      <c r="AJ3253">
        <v>109.56391494437101</v>
      </c>
      <c r="AK3253">
        <v>12.6776746464023</v>
      </c>
      <c r="AL3253">
        <v>89.316690366006</v>
      </c>
      <c r="AM3253">
        <v>93.961280655887606</v>
      </c>
      <c r="AN3253">
        <v>0.99999998148491298</v>
      </c>
    </row>
    <row r="3254" spans="1:40" x14ac:dyDescent="0.25">
      <c r="A3254" t="str">
        <f>"20190312154316340"</f>
        <v>20190312154316340</v>
      </c>
      <c r="B3254" t="str">
        <f>"1552376596330389"</f>
        <v>1552376596330389</v>
      </c>
      <c r="C3254" t="s">
        <v>40</v>
      </c>
      <c r="D3254">
        <v>5.038227</v>
      </c>
      <c r="E3254">
        <v>0.39667429999999998</v>
      </c>
      <c r="F3254" t="s">
        <v>43</v>
      </c>
      <c r="G3254">
        <v>-487.1191</v>
      </c>
      <c r="H3254" s="1">
        <v>-1.051751E-6</v>
      </c>
      <c r="I3254">
        <v>230.4862</v>
      </c>
      <c r="J3254">
        <v>-492.22289999999998</v>
      </c>
      <c r="K3254">
        <v>1.1117250000000001</v>
      </c>
      <c r="L3254">
        <v>242.11869999999999</v>
      </c>
      <c r="M3254">
        <v>7.3823360000000005E-2</v>
      </c>
      <c r="N3254">
        <v>0</v>
      </c>
      <c r="O3254">
        <v>-0.99718229999999997</v>
      </c>
      <c r="P3254">
        <v>0.14063639999999999</v>
      </c>
      <c r="Q3254">
        <v>-1.094144E-3</v>
      </c>
      <c r="R3254">
        <v>-0.99006079999999996</v>
      </c>
      <c r="S3254">
        <v>1.246521</v>
      </c>
      <c r="T3254">
        <v>-0.27109660000000002</v>
      </c>
      <c r="U3254">
        <v>-2.8533780000000002</v>
      </c>
      <c r="V3254">
        <v>-6.718549E-2</v>
      </c>
      <c r="W3254">
        <v>1.20392E-2</v>
      </c>
      <c r="X3254">
        <v>0.99766779999999999</v>
      </c>
      <c r="Y3254">
        <v>-0.33004159999999999</v>
      </c>
      <c r="Z3254">
        <v>8.7589319999999998E-2</v>
      </c>
      <c r="AA3254">
        <v>0.93989400000000001</v>
      </c>
      <c r="AB3254">
        <v>9</v>
      </c>
      <c r="AC3254">
        <v>5.1037999999999704</v>
      </c>
      <c r="AD3254">
        <v>-1.1117260517509999</v>
      </c>
      <c r="AE3254">
        <v>-11.632499999999901</v>
      </c>
      <c r="AF3254">
        <v>-4.1988839287493098</v>
      </c>
      <c r="AG3254">
        <v>-1.1117260517509999</v>
      </c>
      <c r="AH3254">
        <v>11.8865237452899</v>
      </c>
      <c r="AI3254">
        <v>95.039749672103994</v>
      </c>
      <c r="AJ3254">
        <v>109.45563653747</v>
      </c>
      <c r="AK3254">
        <v>12.655275888284301</v>
      </c>
      <c r="AL3254">
        <v>89.310187942472297</v>
      </c>
      <c r="AM3254">
        <v>93.852626798954304</v>
      </c>
      <c r="AN3254">
        <v>0.99999993578000801</v>
      </c>
    </row>
    <row r="3255" spans="1:40" x14ac:dyDescent="0.25">
      <c r="A3255" t="str">
        <f>"20190312154316354"</f>
        <v>20190312154316354</v>
      </c>
      <c r="B3255" t="str">
        <f>"1552376596350886"</f>
        <v>1552376596350886</v>
      </c>
      <c r="C3255" t="s">
        <v>40</v>
      </c>
      <c r="D3255">
        <v>5.066192</v>
      </c>
      <c r="E3255">
        <v>0.39719670000000001</v>
      </c>
      <c r="F3255" t="s">
        <v>43</v>
      </c>
      <c r="G3255">
        <v>-487.101</v>
      </c>
      <c r="H3255" s="1">
        <v>-1.0205100000000001E-6</v>
      </c>
      <c r="I3255">
        <v>230.3802</v>
      </c>
      <c r="J3255">
        <v>-492.21589999999998</v>
      </c>
      <c r="K3255">
        <v>1.1117250000000001</v>
      </c>
      <c r="L3255">
        <v>242.0608</v>
      </c>
      <c r="M3255">
        <v>7.6101589999999997E-2</v>
      </c>
      <c r="N3255">
        <v>0</v>
      </c>
      <c r="O3255">
        <v>-0.99701119999999999</v>
      </c>
      <c r="P3255">
        <v>0.14237620000000001</v>
      </c>
      <c r="Q3255">
        <v>-1.4318969999999999E-3</v>
      </c>
      <c r="R3255">
        <v>-0.98981180000000002</v>
      </c>
      <c r="S3255">
        <v>1.2448429999999999</v>
      </c>
      <c r="T3255">
        <v>-0.27019520000000002</v>
      </c>
      <c r="U3255">
        <v>-2.852951</v>
      </c>
      <c r="V3255">
        <v>-6.665865E-2</v>
      </c>
      <c r="W3255">
        <v>1.170353E-2</v>
      </c>
      <c r="X3255">
        <v>0.99770720000000002</v>
      </c>
      <c r="Y3255">
        <v>-0.32748050000000001</v>
      </c>
      <c r="Z3255">
        <v>8.7339420000000001E-2</v>
      </c>
      <c r="AA3255">
        <v>0.9408126</v>
      </c>
      <c r="AB3255">
        <v>9</v>
      </c>
      <c r="AC3255">
        <v>5.1148999999999702</v>
      </c>
      <c r="AD3255">
        <v>-1.1117260205099999</v>
      </c>
      <c r="AE3255">
        <v>-11.680599999999901</v>
      </c>
      <c r="AF3255">
        <v>-4.1793060169885203</v>
      </c>
      <c r="AG3255">
        <v>-1.1117260205099999</v>
      </c>
      <c r="AH3255">
        <v>11.9452103659515</v>
      </c>
      <c r="AI3255">
        <v>95.020386769106295</v>
      </c>
      <c r="AJ3255">
        <v>109.283561066948</v>
      </c>
      <c r="AK3255">
        <v>12.703959391274401</v>
      </c>
      <c r="AL3255">
        <v>89.329421818258794</v>
      </c>
      <c r="AM3255">
        <v>93.822355551218294</v>
      </c>
      <c r="AN3255">
        <v>1.00000000258306</v>
      </c>
    </row>
    <row r="3256" spans="1:40" x14ac:dyDescent="0.25">
      <c r="A3256" t="str">
        <f>"20190312154316372"</f>
        <v>20190312154316372</v>
      </c>
      <c r="B3256" t="str">
        <f>"1552376596360646"</f>
        <v>1552376596360646</v>
      </c>
      <c r="C3256" t="s">
        <v>40</v>
      </c>
      <c r="D3256">
        <v>5.0271460000000001</v>
      </c>
      <c r="E3256">
        <v>0.3974491</v>
      </c>
      <c r="F3256" t="s">
        <v>43</v>
      </c>
      <c r="G3256">
        <v>-487.11099999999999</v>
      </c>
      <c r="H3256" s="1">
        <v>-1.0167290000000001E-6</v>
      </c>
      <c r="I3256">
        <v>230.37690000000001</v>
      </c>
      <c r="J3256">
        <v>-492.20679999999999</v>
      </c>
      <c r="K3256">
        <v>1.1117140000000001</v>
      </c>
      <c r="L3256">
        <v>241.98699999999999</v>
      </c>
      <c r="M3256">
        <v>7.9027910000000007E-2</v>
      </c>
      <c r="N3256">
        <v>0</v>
      </c>
      <c r="O3256">
        <v>-0.99678350000000004</v>
      </c>
      <c r="P3256">
        <v>0.14414679999999999</v>
      </c>
      <c r="Q3256">
        <v>-2.034035E-3</v>
      </c>
      <c r="R3256">
        <v>-0.98955420000000005</v>
      </c>
      <c r="S3256">
        <v>1.245789</v>
      </c>
      <c r="T3256">
        <v>-0.27130009999999999</v>
      </c>
      <c r="U3256">
        <v>-2.8512729999999999</v>
      </c>
      <c r="V3256">
        <v>-6.5513450000000001E-2</v>
      </c>
      <c r="W3256">
        <v>1.1104660000000001E-2</v>
      </c>
      <c r="X3256">
        <v>0.99778990000000001</v>
      </c>
      <c r="Y3256">
        <v>-0.32515840000000001</v>
      </c>
      <c r="Z3256">
        <v>8.7740819999999997E-2</v>
      </c>
      <c r="AA3256">
        <v>0.94158039999999998</v>
      </c>
      <c r="AB3256">
        <v>9</v>
      </c>
      <c r="AC3256">
        <v>5.0957999999999899</v>
      </c>
      <c r="AD3256">
        <v>-1.111715016729</v>
      </c>
      <c r="AE3256">
        <v>-11.6100999999999</v>
      </c>
      <c r="AF3256">
        <v>-4.1305016474266498</v>
      </c>
      <c r="AG3256">
        <v>-1.111715016729</v>
      </c>
      <c r="AH3256">
        <v>11.8851567214097</v>
      </c>
      <c r="AI3256">
        <v>95.049224285174404</v>
      </c>
      <c r="AJ3256">
        <v>109.164101549355</v>
      </c>
      <c r="AK3256">
        <v>12.631464856867799</v>
      </c>
      <c r="AL3256">
        <v>89.363736775205297</v>
      </c>
      <c r="AM3256">
        <v>93.756566438189296</v>
      </c>
      <c r="AN3256">
        <v>1.00000000507331</v>
      </c>
    </row>
    <row r="3257" spans="1:40" x14ac:dyDescent="0.25">
      <c r="A3257" t="str">
        <f>"20190312154316385"</f>
        <v>20190312154316385</v>
      </c>
      <c r="B3257" t="str">
        <f>"1552376596380167"</f>
        <v>1552376596380167</v>
      </c>
      <c r="C3257" t="s">
        <v>40</v>
      </c>
      <c r="D3257">
        <v>5.0384370000000001</v>
      </c>
      <c r="E3257">
        <v>0.39798460000000002</v>
      </c>
      <c r="F3257" t="s">
        <v>43</v>
      </c>
      <c r="G3257">
        <v>-487.11079999999998</v>
      </c>
      <c r="H3257" s="1">
        <v>-1.012782E-6</v>
      </c>
      <c r="I3257">
        <v>230.36519999999999</v>
      </c>
      <c r="J3257">
        <v>-492.20030000000003</v>
      </c>
      <c r="K3257">
        <v>1.111712</v>
      </c>
      <c r="L3257">
        <v>241.93510000000001</v>
      </c>
      <c r="M3257">
        <v>8.1107369999999998E-2</v>
      </c>
      <c r="N3257">
        <v>0</v>
      </c>
      <c r="O3257">
        <v>-0.99661639999999996</v>
      </c>
      <c r="P3257">
        <v>0.14579230000000001</v>
      </c>
      <c r="Q3257">
        <v>-2.7926309999999998E-3</v>
      </c>
      <c r="R3257">
        <v>-0.98931159999999996</v>
      </c>
      <c r="S3257">
        <v>1.249298</v>
      </c>
      <c r="T3257">
        <v>-0.27253959999999999</v>
      </c>
      <c r="U3257">
        <v>-2.8491209999999998</v>
      </c>
      <c r="V3257">
        <v>-6.5089099999999997E-2</v>
      </c>
      <c r="W3257">
        <v>1.0347490000000001E-2</v>
      </c>
      <c r="X3257">
        <v>0.99782579999999998</v>
      </c>
      <c r="Y3257">
        <v>-0.32440530000000001</v>
      </c>
      <c r="Z3257">
        <v>8.8167519999999999E-2</v>
      </c>
      <c r="AA3257">
        <v>0.94180019999999998</v>
      </c>
      <c r="AB3257">
        <v>9</v>
      </c>
      <c r="AC3257">
        <v>5.0895000000000401</v>
      </c>
      <c r="AD3257">
        <v>-1.1117130127820001</v>
      </c>
      <c r="AE3257">
        <v>-11.569900000000001</v>
      </c>
      <c r="AF3257">
        <v>-4.1025056835232601</v>
      </c>
      <c r="AG3257">
        <v>-1.1117130127820001</v>
      </c>
      <c r="AH3257">
        <v>11.852916125795799</v>
      </c>
      <c r="AI3257">
        <v>95.0650874601655</v>
      </c>
      <c r="AJ3257">
        <v>109.091649534748</v>
      </c>
      <c r="AK3257">
        <v>12.591984728043499</v>
      </c>
      <c r="AL3257">
        <v>89.407121910791901</v>
      </c>
      <c r="AM3257">
        <v>93.732169142386994</v>
      </c>
      <c r="AN3257">
        <v>0.99999999431687503</v>
      </c>
    </row>
    <row r="3258" spans="1:40" x14ac:dyDescent="0.25">
      <c r="A3258" t="str">
        <f>"20190312154316398"</f>
        <v>20190312154316398</v>
      </c>
      <c r="B3258" t="str">
        <f>"1552376596390902"</f>
        <v>1552376596390902</v>
      </c>
      <c r="C3258" t="s">
        <v>40</v>
      </c>
      <c r="D3258">
        <v>5.0447170000000003</v>
      </c>
      <c r="E3258">
        <v>0.3982251</v>
      </c>
      <c r="F3258" t="s">
        <v>43</v>
      </c>
      <c r="G3258">
        <v>-487.15100000000001</v>
      </c>
      <c r="H3258" s="1">
        <v>-1.024266E-6</v>
      </c>
      <c r="I3258">
        <v>230.43029999999999</v>
      </c>
      <c r="J3258">
        <v>-492.1934</v>
      </c>
      <c r="K3258">
        <v>1.1117079999999999</v>
      </c>
      <c r="L3258">
        <v>241.8818</v>
      </c>
      <c r="M3258">
        <v>8.3258830000000006E-2</v>
      </c>
      <c r="N3258">
        <v>0</v>
      </c>
      <c r="O3258">
        <v>-0.99643890000000002</v>
      </c>
      <c r="P3258">
        <v>0.14756839999999999</v>
      </c>
      <c r="Q3258">
        <v>-3.532398E-3</v>
      </c>
      <c r="R3258">
        <v>-0.98904539999999996</v>
      </c>
      <c r="S3258">
        <v>1.249725</v>
      </c>
      <c r="T3258">
        <v>-0.275153599999999</v>
      </c>
      <c r="U3258">
        <v>-2.8474729999999999</v>
      </c>
      <c r="V3258">
        <v>-6.4725119999999997E-2</v>
      </c>
      <c r="W3258">
        <v>9.6084240000000008E-3</v>
      </c>
      <c r="X3258">
        <v>0.99785690000000005</v>
      </c>
      <c r="Y3258">
        <v>-0.32265090000000002</v>
      </c>
      <c r="Z3258">
        <v>8.9053789999999994E-2</v>
      </c>
      <c r="AA3258">
        <v>0.94231940000000003</v>
      </c>
      <c r="AB3258">
        <v>9</v>
      </c>
      <c r="AC3258">
        <v>5.0423999999999802</v>
      </c>
      <c r="AD3258">
        <v>-1.1117090242659999</v>
      </c>
      <c r="AE3258">
        <v>-11.451499999999999</v>
      </c>
      <c r="AF3258">
        <v>-4.0394789139507399</v>
      </c>
      <c r="AG3258">
        <v>-1.1117090242659999</v>
      </c>
      <c r="AH3258">
        <v>11.738927952203699</v>
      </c>
      <c r="AI3258">
        <v>95.117144175523805</v>
      </c>
      <c r="AJ3258">
        <v>108.988836866063</v>
      </c>
      <c r="AK3258">
        <v>12.4641773221467</v>
      </c>
      <c r="AL3258">
        <v>89.449469401182498</v>
      </c>
      <c r="AM3258">
        <v>93.711241897900294</v>
      </c>
      <c r="AN3258">
        <v>1.0000000279241901</v>
      </c>
    </row>
    <row r="3259" spans="1:40" x14ac:dyDescent="0.25">
      <c r="A3259" t="str">
        <f>"20190312154316412"</f>
        <v>20190312154316412</v>
      </c>
      <c r="B3259" t="str">
        <f>"1552376596400662"</f>
        <v>1552376596400662</v>
      </c>
      <c r="C3259" t="s">
        <v>40</v>
      </c>
      <c r="D3259">
        <v>5.0497560000000004</v>
      </c>
      <c r="E3259">
        <v>0.3984627</v>
      </c>
      <c r="F3259" t="s">
        <v>43</v>
      </c>
      <c r="G3259">
        <v>-487.17110000000002</v>
      </c>
      <c r="H3259" s="1">
        <v>-1.035083E-6</v>
      </c>
      <c r="I3259">
        <v>230.4778</v>
      </c>
      <c r="J3259">
        <v>-492.18639999999999</v>
      </c>
      <c r="K3259">
        <v>1.1117060000000001</v>
      </c>
      <c r="L3259">
        <v>241.82849999999999</v>
      </c>
      <c r="M3259">
        <v>8.5424650000000005E-2</v>
      </c>
      <c r="N3259">
        <v>0</v>
      </c>
      <c r="O3259">
        <v>-0.99625549999999996</v>
      </c>
      <c r="P3259">
        <v>0.1491392</v>
      </c>
      <c r="Q3259">
        <v>-4.376413E-3</v>
      </c>
      <c r="R3259">
        <v>-0.98880670000000004</v>
      </c>
      <c r="S3259">
        <v>1.253082</v>
      </c>
      <c r="T3259">
        <v>-0.27737089999999998</v>
      </c>
      <c r="U3259">
        <v>-2.845291</v>
      </c>
      <c r="V3259">
        <v>-6.4139399999999999E-2</v>
      </c>
      <c r="W3259">
        <v>8.7663640000000004E-3</v>
      </c>
      <c r="X3259">
        <v>0.99790250000000003</v>
      </c>
      <c r="Y3259">
        <v>-0.32176500000000002</v>
      </c>
      <c r="Z3259">
        <v>8.979645E-2</v>
      </c>
      <c r="AA3259">
        <v>0.94255180000000005</v>
      </c>
      <c r="AB3259">
        <v>9</v>
      </c>
      <c r="AC3259">
        <v>5.0152999999999599</v>
      </c>
      <c r="AD3259">
        <v>-1.1117070350829901</v>
      </c>
      <c r="AE3259">
        <v>-11.3506999999999</v>
      </c>
      <c r="AF3259">
        <v>-3.99518408629122</v>
      </c>
      <c r="AG3259">
        <v>-1.1117070350829901</v>
      </c>
      <c r="AH3259">
        <v>11.6442168103498</v>
      </c>
      <c r="AI3259">
        <v>95.160117993282199</v>
      </c>
      <c r="AJ3259">
        <v>108.937329180012</v>
      </c>
      <c r="AK3259">
        <v>12.360629981584299</v>
      </c>
      <c r="AL3259">
        <v>89.4977179356069</v>
      </c>
      <c r="AM3259">
        <v>93.677582582097003</v>
      </c>
      <c r="AN3259">
        <v>1.0000000556381901</v>
      </c>
    </row>
    <row r="3260" spans="1:40" x14ac:dyDescent="0.25">
      <c r="A3260" t="str">
        <f>"20190312154316428"</f>
        <v>20190312154316428</v>
      </c>
      <c r="B3260" t="str">
        <f>"1552376596420182"</f>
        <v>1552376596420182</v>
      </c>
      <c r="C3260" t="s">
        <v>40</v>
      </c>
      <c r="D3260">
        <v>5.0505389999999997</v>
      </c>
      <c r="E3260">
        <v>0.40729979999999999</v>
      </c>
      <c r="F3260" t="s">
        <v>43</v>
      </c>
      <c r="G3260">
        <v>-487.18709999999999</v>
      </c>
      <c r="H3260" s="1">
        <v>-1.0405649999999999E-6</v>
      </c>
      <c r="I3260">
        <v>230.50649999999999</v>
      </c>
      <c r="J3260">
        <v>-492.17739999999998</v>
      </c>
      <c r="K3260">
        <v>1.111704</v>
      </c>
      <c r="L3260">
        <v>241.76070000000001</v>
      </c>
      <c r="M3260">
        <v>8.8199230000000003E-2</v>
      </c>
      <c r="N3260">
        <v>0</v>
      </c>
      <c r="O3260">
        <v>-0.99601379999999995</v>
      </c>
      <c r="P3260">
        <v>0.1507983</v>
      </c>
      <c r="Q3260">
        <v>-4.376039E-3</v>
      </c>
      <c r="R3260">
        <v>-0.98855490000000001</v>
      </c>
      <c r="S3260">
        <v>1.255493</v>
      </c>
      <c r="T3260">
        <v>-0.2791882</v>
      </c>
      <c r="U3260">
        <v>-2.8433380000000001</v>
      </c>
      <c r="V3260">
        <v>-6.303446E-2</v>
      </c>
      <c r="W3260">
        <v>8.7697009999999995E-3</v>
      </c>
      <c r="X3260">
        <v>0.99797279999999999</v>
      </c>
      <c r="Y3260">
        <v>-0.32001380000000001</v>
      </c>
      <c r="Z3260">
        <v>9.0415690000000007E-2</v>
      </c>
      <c r="AA3260">
        <v>0.9430887</v>
      </c>
      <c r="AB3260">
        <v>9</v>
      </c>
      <c r="AC3260">
        <v>4.9902999999999897</v>
      </c>
      <c r="AD3260">
        <v>-1.111705040565</v>
      </c>
      <c r="AE3260">
        <v>-11.254200000000001</v>
      </c>
      <c r="AF3260">
        <v>-3.9459715860287199</v>
      </c>
      <c r="AG3260">
        <v>-1.111705040565</v>
      </c>
      <c r="AH3260">
        <v>11.5562776146669</v>
      </c>
      <c r="AI3260">
        <v>95.201771811551296</v>
      </c>
      <c r="AJ3260">
        <v>108.852828281054</v>
      </c>
      <c r="AK3260">
        <v>12.2618975759144</v>
      </c>
      <c r="AL3260">
        <v>89.497526694330503</v>
      </c>
      <c r="AM3260">
        <v>93.614143738422598</v>
      </c>
      <c r="AN3260">
        <v>0.99999998017147995</v>
      </c>
    </row>
    <row r="3261" spans="1:40" x14ac:dyDescent="0.25">
      <c r="A3261" t="str">
        <f>"20190312154316451"</f>
        <v>20190312154316451</v>
      </c>
      <c r="B3261" t="str">
        <f>"1552376596440678"</f>
        <v>1552376596440678</v>
      </c>
      <c r="C3261" t="s">
        <v>40</v>
      </c>
      <c r="D3261">
        <v>5.0456810000000001</v>
      </c>
      <c r="E3261">
        <v>0.40661809999999998</v>
      </c>
      <c r="F3261" t="s">
        <v>43</v>
      </c>
      <c r="G3261">
        <v>-487.2817</v>
      </c>
      <c r="H3261" s="1">
        <v>-8.5613090000000001E-7</v>
      </c>
      <c r="I3261">
        <v>230.0385</v>
      </c>
      <c r="J3261">
        <v>-492.1651</v>
      </c>
      <c r="K3261">
        <v>1.111707</v>
      </c>
      <c r="L3261">
        <v>241.672</v>
      </c>
      <c r="M3261">
        <v>9.1875440000000003E-2</v>
      </c>
      <c r="N3261">
        <v>0</v>
      </c>
      <c r="O3261">
        <v>-0.9956815</v>
      </c>
      <c r="P3261">
        <v>0.15374119999999999</v>
      </c>
      <c r="Q3261">
        <v>-3.880227E-3</v>
      </c>
      <c r="R3261">
        <v>-0.98810370000000003</v>
      </c>
      <c r="S3261">
        <v>1.1910400000000001</v>
      </c>
      <c r="T3261">
        <v>-0.27046249999999999</v>
      </c>
      <c r="U3261">
        <v>-2.8518520000000001</v>
      </c>
      <c r="V3261">
        <v>-6.2322740000000001E-2</v>
      </c>
      <c r="W3261">
        <v>9.2670240000000004E-3</v>
      </c>
      <c r="X3261">
        <v>0.99801300000000004</v>
      </c>
      <c r="Y3261">
        <v>-0.29746709999999998</v>
      </c>
      <c r="Z3261">
        <v>8.8033159999999999E-2</v>
      </c>
      <c r="AA3261">
        <v>0.95066479999999998</v>
      </c>
      <c r="AB3261">
        <v>9</v>
      </c>
      <c r="AC3261">
        <v>4.8833999999999902</v>
      </c>
      <c r="AD3261">
        <v>-1.1117078561309</v>
      </c>
      <c r="AE3261">
        <v>-11.6334999999999</v>
      </c>
      <c r="AF3261">
        <v>-3.7645866979700799</v>
      </c>
      <c r="AG3261">
        <v>-1.1117078561309</v>
      </c>
      <c r="AH3261">
        <v>11.940289227452</v>
      </c>
      <c r="AI3261">
        <v>95.074370652495205</v>
      </c>
      <c r="AJ3261">
        <v>107.4992491319</v>
      </c>
      <c r="AK3261">
        <v>12.568950401649399</v>
      </c>
      <c r="AL3261">
        <v>89.469031022912006</v>
      </c>
      <c r="AM3261">
        <v>93.573299336115895</v>
      </c>
      <c r="AN3261">
        <v>0.99999997491196102</v>
      </c>
    </row>
    <row r="3262" spans="1:40" x14ac:dyDescent="0.25">
      <c r="A3262" t="str">
        <f>"20190312154316472"</f>
        <v>20190312154316472</v>
      </c>
      <c r="B3262" t="str">
        <f>"1552376596460199"</f>
        <v>1552376596460199</v>
      </c>
      <c r="C3262" t="s">
        <v>40</v>
      </c>
      <c r="D3262">
        <v>5.1582489999999996</v>
      </c>
      <c r="E3262">
        <v>0.40690609999999999</v>
      </c>
      <c r="F3262" t="s">
        <v>43</v>
      </c>
      <c r="G3262">
        <v>-487.24040000000002</v>
      </c>
      <c r="H3262" s="1">
        <v>-8.670896E-7</v>
      </c>
      <c r="I3262">
        <v>230.0384</v>
      </c>
      <c r="J3262">
        <v>-492.15309999999999</v>
      </c>
      <c r="K3262">
        <v>1.111704</v>
      </c>
      <c r="L3262">
        <v>241.58750000000001</v>
      </c>
      <c r="M3262">
        <v>9.5413049999999999E-2</v>
      </c>
      <c r="N3262">
        <v>0</v>
      </c>
      <c r="O3262">
        <v>-0.99534869999999998</v>
      </c>
      <c r="P3262">
        <v>0.15726189999999901</v>
      </c>
      <c r="Q3262">
        <v>-3.8950479999999999E-3</v>
      </c>
      <c r="R3262">
        <v>-0.98754929999999996</v>
      </c>
      <c r="S3262">
        <v>1.2053830000000001</v>
      </c>
      <c r="T3262">
        <v>-0.27210450000000003</v>
      </c>
      <c r="U3262">
        <v>-2.8474729999999999</v>
      </c>
      <c r="V3262">
        <v>-6.2333699999999999E-2</v>
      </c>
      <c r="W3262">
        <v>9.2512889999999993E-3</v>
      </c>
      <c r="X3262">
        <v>0.99801249999999997</v>
      </c>
      <c r="Y3262">
        <v>-0.29864619999999997</v>
      </c>
      <c r="Z3262">
        <v>8.8543839999999999E-2</v>
      </c>
      <c r="AA3262">
        <v>0.95024759999999997</v>
      </c>
      <c r="AB3262">
        <v>9</v>
      </c>
      <c r="AC3262">
        <v>4.9126999999999699</v>
      </c>
      <c r="AD3262">
        <v>-1.1117048670895999</v>
      </c>
      <c r="AE3262">
        <v>-11.549099999999999</v>
      </c>
      <c r="AF3262">
        <v>-3.7587590041918699</v>
      </c>
      <c r="AG3262">
        <v>-1.1117048670895999</v>
      </c>
      <c r="AH3262">
        <v>11.8720291744687</v>
      </c>
      <c r="AI3262">
        <v>95.101451871867894</v>
      </c>
      <c r="AJ3262">
        <v>107.568114202264</v>
      </c>
      <c r="AK3262">
        <v>12.502369122791899</v>
      </c>
      <c r="AL3262">
        <v>89.469932631038304</v>
      </c>
      <c r="AM3262">
        <v>93.573927889408907</v>
      </c>
      <c r="AN3262">
        <v>1.00000001333005</v>
      </c>
    </row>
    <row r="3263" spans="1:40" x14ac:dyDescent="0.25">
      <c r="A3263" t="str">
        <f>"20190312154316485"</f>
        <v>20190312154316485</v>
      </c>
      <c r="B3263" t="str">
        <f>"1552376596480695"</f>
        <v>1552376596480695</v>
      </c>
      <c r="C3263" t="s">
        <v>40</v>
      </c>
      <c r="D3263">
        <v>5.0756889999999997</v>
      </c>
      <c r="E3263">
        <v>0.40701989999999999</v>
      </c>
      <c r="F3263" t="s">
        <v>43</v>
      </c>
      <c r="G3263">
        <v>-487.17669999999998</v>
      </c>
      <c r="H3263" s="1">
        <v>-8.4537660000000002E-7</v>
      </c>
      <c r="I3263">
        <v>229.9248</v>
      </c>
      <c r="J3263">
        <v>-492.1456</v>
      </c>
      <c r="K3263">
        <v>1.1117030000000001</v>
      </c>
      <c r="L3263">
        <v>241.53579999999999</v>
      </c>
      <c r="M3263">
        <v>9.7590860000000001E-2</v>
      </c>
      <c r="N3263">
        <v>0</v>
      </c>
      <c r="O3263">
        <v>-0.99513750000000001</v>
      </c>
      <c r="P3263">
        <v>0.15919630000000001</v>
      </c>
      <c r="Q3263">
        <v>-4.261305E-3</v>
      </c>
      <c r="R3263">
        <v>-0.9872379</v>
      </c>
      <c r="S3263">
        <v>1.2133179999999999</v>
      </c>
      <c r="T3263">
        <v>-0.27104990000000001</v>
      </c>
      <c r="U3263">
        <v>-2.8435359999999998</v>
      </c>
      <c r="V3263">
        <v>-6.2104050000000001E-2</v>
      </c>
      <c r="W3263">
        <v>8.8850930000000002E-3</v>
      </c>
      <c r="X3263">
        <v>0.99803010000000003</v>
      </c>
      <c r="Y3263">
        <v>-0.29928719999999998</v>
      </c>
      <c r="Z3263">
        <v>8.8231630000000005E-2</v>
      </c>
      <c r="AA3263">
        <v>0.95007489999999994</v>
      </c>
      <c r="AB3263">
        <v>9</v>
      </c>
      <c r="AC3263">
        <v>4.9689000000000103</v>
      </c>
      <c r="AD3263">
        <v>-1.1117038453765999</v>
      </c>
      <c r="AE3263">
        <v>-11.610999999999899</v>
      </c>
      <c r="AF3263">
        <v>-3.78264053424222</v>
      </c>
      <c r="AG3263">
        <v>-1.1117038453765999</v>
      </c>
      <c r="AH3263">
        <v>11.947953037890199</v>
      </c>
      <c r="AI3263">
        <v>95.069218247302402</v>
      </c>
      <c r="AJ3263">
        <v>107.56743233973501</v>
      </c>
      <c r="AK3263">
        <v>12.5816468177559</v>
      </c>
      <c r="AL3263">
        <v>89.490914956415395</v>
      </c>
      <c r="AM3263">
        <v>93.560732121555901</v>
      </c>
      <c r="AN3263">
        <v>0.99999996920501499</v>
      </c>
    </row>
    <row r="3264" spans="1:40" x14ac:dyDescent="0.25">
      <c r="A3264" t="str">
        <f>"20190312154316499"</f>
        <v>20190312154316499</v>
      </c>
      <c r="B3264" t="str">
        <f>"1552376596490454"</f>
        <v>1552376596490454</v>
      </c>
      <c r="C3264" t="s">
        <v>40</v>
      </c>
      <c r="D3264">
        <v>5.0494899999999996</v>
      </c>
      <c r="E3264">
        <v>0.40712609999999999</v>
      </c>
      <c r="F3264" t="s">
        <v>43</v>
      </c>
      <c r="G3264">
        <v>-487.17840000000001</v>
      </c>
      <c r="H3264" s="1">
        <v>-8.5337799999999998E-7</v>
      </c>
      <c r="I3264">
        <v>229.9496</v>
      </c>
      <c r="J3264">
        <v>-492.1379</v>
      </c>
      <c r="K3264">
        <v>1.111699</v>
      </c>
      <c r="L3264">
        <v>241.48410000000001</v>
      </c>
      <c r="M3264">
        <v>9.978273E-2</v>
      </c>
      <c r="N3264">
        <v>0</v>
      </c>
      <c r="O3264">
        <v>-0.99492020000000003</v>
      </c>
      <c r="P3264">
        <v>0.1610134</v>
      </c>
      <c r="Q3264">
        <v>-4.2948769999999999E-3</v>
      </c>
      <c r="R3264">
        <v>-0.98694329999999997</v>
      </c>
      <c r="S3264">
        <v>1.218048</v>
      </c>
      <c r="T3264">
        <v>-0.27261010000000002</v>
      </c>
      <c r="U3264">
        <v>-2.8411409999999999</v>
      </c>
      <c r="V3264">
        <v>-6.1742379999999999E-2</v>
      </c>
      <c r="W3264">
        <v>8.8521910000000006E-3</v>
      </c>
      <c r="X3264">
        <v>0.99805279999999996</v>
      </c>
      <c r="Y3264">
        <v>-0.29879410000000001</v>
      </c>
      <c r="Z3264">
        <v>8.875363E-2</v>
      </c>
      <c r="AA3264">
        <v>0.95018150000000001</v>
      </c>
      <c r="AB3264">
        <v>9</v>
      </c>
      <c r="AC3264">
        <v>4.9594999999999896</v>
      </c>
      <c r="AD3264">
        <v>-1.111699853378</v>
      </c>
      <c r="AE3264">
        <v>-11.5345</v>
      </c>
      <c r="AF3264">
        <v>-3.7542653964956298</v>
      </c>
      <c r="AG3264">
        <v>-1.111699853378</v>
      </c>
      <c r="AH3264">
        <v>11.878713520035101</v>
      </c>
      <c r="AI3264">
        <v>95.099385048796293</v>
      </c>
      <c r="AJ3264">
        <v>107.539132008095</v>
      </c>
      <c r="AK3264">
        <v>12.507366634203599</v>
      </c>
      <c r="AL3264">
        <v>89.492800160108303</v>
      </c>
      <c r="AM3264">
        <v>93.539968368630994</v>
      </c>
      <c r="AN3264">
        <v>0.99999993718070002</v>
      </c>
    </row>
    <row r="3265" spans="1:40" x14ac:dyDescent="0.25">
      <c r="A3265" t="str">
        <f>"20190312154316516"</f>
        <v>20190312154316516</v>
      </c>
      <c r="B3265" t="str">
        <f>"1552376596510950"</f>
        <v>1552376596510950</v>
      </c>
      <c r="C3265" t="s">
        <v>40</v>
      </c>
      <c r="D3265">
        <v>5.0618410000000003</v>
      </c>
      <c r="E3265">
        <v>0.40738099999999999</v>
      </c>
      <c r="F3265" t="s">
        <v>43</v>
      </c>
      <c r="G3265">
        <v>-487.15289999999999</v>
      </c>
      <c r="H3265" s="1">
        <v>-8.4502530000000004E-7</v>
      </c>
      <c r="I3265">
        <v>229.9051</v>
      </c>
      <c r="J3265">
        <v>-492.12709999999998</v>
      </c>
      <c r="K3265">
        <v>1.1117030000000001</v>
      </c>
      <c r="L3265">
        <v>241.41290000000001</v>
      </c>
      <c r="M3265">
        <v>0.1028163</v>
      </c>
      <c r="N3265">
        <v>0</v>
      </c>
      <c r="O3265">
        <v>-0.99461109999999997</v>
      </c>
      <c r="P3265">
        <v>0.16323019999999999</v>
      </c>
      <c r="Q3265">
        <v>-4.2155910000000003E-3</v>
      </c>
      <c r="R3265">
        <v>-0.98657890000000004</v>
      </c>
      <c r="S3265">
        <v>1.2222900000000001</v>
      </c>
      <c r="T3265">
        <v>-0.27258120000000002</v>
      </c>
      <c r="U3265">
        <v>-2.8390810000000002</v>
      </c>
      <c r="V3265">
        <v>-6.0940880000000003E-2</v>
      </c>
      <c r="W3265">
        <v>8.9337280000000002E-3</v>
      </c>
      <c r="X3265">
        <v>0.99810140000000003</v>
      </c>
      <c r="Y3265">
        <v>-0.297332599999999</v>
      </c>
      <c r="Z3265">
        <v>8.8757219999999998E-2</v>
      </c>
      <c r="AA3265">
        <v>0.95063949999999997</v>
      </c>
      <c r="AB3265">
        <v>9</v>
      </c>
      <c r="AC3265">
        <v>4.97419999999999</v>
      </c>
      <c r="AD3265">
        <v>-1.1117038450253001</v>
      </c>
      <c r="AE3265">
        <v>-11.5078</v>
      </c>
      <c r="AF3265">
        <v>-3.7351687560887501</v>
      </c>
      <c r="AG3265">
        <v>-1.1117038450253001</v>
      </c>
      <c r="AH3265">
        <v>11.864978784104601</v>
      </c>
      <c r="AI3265">
        <v>95.107087243084706</v>
      </c>
      <c r="AJ3265">
        <v>107.474324608202</v>
      </c>
      <c r="AK3265">
        <v>12.4885985051469</v>
      </c>
      <c r="AL3265">
        <v>89.488128283053598</v>
      </c>
      <c r="AM3265">
        <v>93.493959649157503</v>
      </c>
      <c r="AN3265">
        <v>1.0000000035165499</v>
      </c>
    </row>
    <row r="3266" spans="1:40" x14ac:dyDescent="0.25">
      <c r="A3266" t="str">
        <f>"20190312154316530"</f>
        <v>20190312154316530</v>
      </c>
      <c r="B3266" t="str">
        <f>"1552376596520711"</f>
        <v>1552376596520711</v>
      </c>
      <c r="C3266" t="s">
        <v>40</v>
      </c>
      <c r="D3266">
        <v>5.0682419999999997</v>
      </c>
      <c r="E3266">
        <v>0.40747100000000003</v>
      </c>
      <c r="F3266" t="s">
        <v>43</v>
      </c>
      <c r="G3266">
        <v>-487.1431</v>
      </c>
      <c r="H3266" s="1">
        <v>-8.4241429999999997E-7</v>
      </c>
      <c r="I3266">
        <v>229.88980000000001</v>
      </c>
      <c r="J3266">
        <v>-492.11900000000003</v>
      </c>
      <c r="K3266">
        <v>1.1116999999999999</v>
      </c>
      <c r="L3266">
        <v>241.36060000000001</v>
      </c>
      <c r="M3266">
        <v>0.1050587</v>
      </c>
      <c r="N3266">
        <v>0</v>
      </c>
      <c r="O3266">
        <v>-0.99437699999999996</v>
      </c>
      <c r="P3266">
        <v>0.16513849999999999</v>
      </c>
      <c r="Q3266">
        <v>-4.0863979999999998E-3</v>
      </c>
      <c r="R3266">
        <v>-0.98626239999999998</v>
      </c>
      <c r="S3266">
        <v>1.226898</v>
      </c>
      <c r="T3266">
        <v>-0.27366750000000001</v>
      </c>
      <c r="U3266">
        <v>-2.8366389999999999</v>
      </c>
      <c r="V3266">
        <v>-6.0621929999999997E-2</v>
      </c>
      <c r="W3266">
        <v>9.0638999999999997E-3</v>
      </c>
      <c r="X3266">
        <v>0.99811970000000005</v>
      </c>
      <c r="Y3266">
        <v>-0.29676639999999999</v>
      </c>
      <c r="Z3266">
        <v>8.9126860000000002E-2</v>
      </c>
      <c r="AA3266">
        <v>0.95078189999999996</v>
      </c>
      <c r="AB3266">
        <v>9</v>
      </c>
      <c r="AC3266">
        <v>4.9759000000000198</v>
      </c>
      <c r="AD3266">
        <v>-1.1117008424143</v>
      </c>
      <c r="AE3266">
        <v>-11.470799999999899</v>
      </c>
      <c r="AF3266">
        <v>-3.7137865926776401</v>
      </c>
      <c r="AG3266">
        <v>-1.1117008424143</v>
      </c>
      <c r="AH3266">
        <v>11.83654799814</v>
      </c>
      <c r="AI3266">
        <v>95.120805323814395</v>
      </c>
      <c r="AJ3266">
        <v>107.41955622753601</v>
      </c>
      <c r="AK3266">
        <v>12.455198036613</v>
      </c>
      <c r="AL3266">
        <v>89.480669701135994</v>
      </c>
      <c r="AM3266">
        <v>93.475654477273395</v>
      </c>
      <c r="AN3266">
        <v>1.0000000541041101</v>
      </c>
    </row>
    <row r="3267" spans="1:40" x14ac:dyDescent="0.25">
      <c r="A3267" t="str">
        <f>"20190312154316542"</f>
        <v>20190312154316542</v>
      </c>
      <c r="B3267" t="str">
        <f>"1552376596530471"</f>
        <v>1552376596530471</v>
      </c>
      <c r="C3267" t="s">
        <v>40</v>
      </c>
      <c r="D3267">
        <v>5.0440820000000004</v>
      </c>
      <c r="E3267">
        <v>0.40762579999999998</v>
      </c>
      <c r="F3267" t="s">
        <v>43</v>
      </c>
      <c r="G3267">
        <v>-487.10180000000003</v>
      </c>
      <c r="H3267" s="1">
        <v>-8.2726480000000001E-7</v>
      </c>
      <c r="I3267">
        <v>229.81299999999999</v>
      </c>
      <c r="J3267">
        <v>-492.11149999999998</v>
      </c>
      <c r="K3267">
        <v>1.111699</v>
      </c>
      <c r="L3267">
        <v>241.31270000000001</v>
      </c>
      <c r="M3267">
        <v>0.10713019999999999</v>
      </c>
      <c r="N3267">
        <v>0</v>
      </c>
      <c r="O3267">
        <v>-0.99415580000000003</v>
      </c>
      <c r="P3267">
        <v>0.16671269999999999</v>
      </c>
      <c r="Q3267">
        <v>-3.745207E-3</v>
      </c>
      <c r="R3267">
        <v>-0.9859985</v>
      </c>
      <c r="S3267">
        <v>1.231506</v>
      </c>
      <c r="T3267">
        <v>-0.2728719</v>
      </c>
      <c r="U3267">
        <v>-2.8344269999999998</v>
      </c>
      <c r="V3267">
        <v>-6.0136269999999999E-2</v>
      </c>
      <c r="W3267">
        <v>9.4057749999999999E-3</v>
      </c>
      <c r="X3267">
        <v>0.99814590000000003</v>
      </c>
      <c r="Y3267">
        <v>-0.2963577</v>
      </c>
      <c r="Z3267">
        <v>8.8881630000000003E-2</v>
      </c>
      <c r="AA3267">
        <v>0.95093229999999995</v>
      </c>
      <c r="AB3267">
        <v>9</v>
      </c>
      <c r="AC3267">
        <v>5.0096999999999499</v>
      </c>
      <c r="AD3267">
        <v>-1.1116998272648</v>
      </c>
      <c r="AE3267">
        <v>-11.499700000000001</v>
      </c>
      <c r="AF3267">
        <v>-3.7195730977072299</v>
      </c>
      <c r="AG3267">
        <v>-1.1116998272648</v>
      </c>
      <c r="AH3267">
        <v>11.876954062696299</v>
      </c>
      <c r="AI3267">
        <v>95.104312336058996</v>
      </c>
      <c r="AJ3267">
        <v>107.38928689403799</v>
      </c>
      <c r="AK3267">
        <v>12.495324659348601</v>
      </c>
      <c r="AL3267">
        <v>89.461080863832606</v>
      </c>
      <c r="AM3267">
        <v>93.447787152235804</v>
      </c>
      <c r="AN3267">
        <v>1.00000003862983</v>
      </c>
    </row>
    <row r="3268" spans="1:40" x14ac:dyDescent="0.25">
      <c r="A3268" t="str">
        <f>"20190312154316554"</f>
        <v>20190312154316554</v>
      </c>
      <c r="B3268" t="str">
        <f>"1552376596550967"</f>
        <v>1552376596550967</v>
      </c>
      <c r="C3268" t="s">
        <v>40</v>
      </c>
      <c r="D3268">
        <v>5.082643</v>
      </c>
      <c r="E3268">
        <v>0.39908349999999998</v>
      </c>
      <c r="F3268" t="s">
        <v>43</v>
      </c>
      <c r="G3268">
        <v>-487.07249999999999</v>
      </c>
      <c r="H3268" s="1">
        <v>-8.1586589999999996E-7</v>
      </c>
      <c r="I3268">
        <v>229.75659999999999</v>
      </c>
      <c r="J3268">
        <v>-492.10379999999998</v>
      </c>
      <c r="K3268">
        <v>1.1116980000000001</v>
      </c>
      <c r="L3268">
        <v>241.26410000000001</v>
      </c>
      <c r="M3268">
        <v>0.10923620000000001</v>
      </c>
      <c r="N3268">
        <v>0</v>
      </c>
      <c r="O3268">
        <v>-0.9939268</v>
      </c>
      <c r="P3268">
        <v>0.16855989999999901</v>
      </c>
      <c r="Q3268">
        <v>-3.626195E-3</v>
      </c>
      <c r="R3268">
        <v>-0.98568509999999998</v>
      </c>
      <c r="S3268">
        <v>1.2351989999999999</v>
      </c>
      <c r="T3268">
        <v>-0.27250980000000002</v>
      </c>
      <c r="U3268">
        <v>-2.8327330000000002</v>
      </c>
      <c r="V3268">
        <v>-5.9892040000000001E-2</v>
      </c>
      <c r="W3268">
        <v>9.5249810000000001E-3</v>
      </c>
      <c r="X3268">
        <v>0.99815940000000003</v>
      </c>
      <c r="Y3268">
        <v>-0.29558879999999998</v>
      </c>
      <c r="Z3268">
        <v>8.8770959999999996E-2</v>
      </c>
      <c r="AA3268">
        <v>0.95118190000000002</v>
      </c>
      <c r="AB3268">
        <v>9</v>
      </c>
      <c r="AC3268">
        <v>5.0312999999999803</v>
      </c>
      <c r="AD3268">
        <v>-1.11169881586589</v>
      </c>
      <c r="AE3268">
        <v>-11.5075</v>
      </c>
      <c r="AF3268">
        <v>-3.7149329414559999</v>
      </c>
      <c r="AG3268">
        <v>-1.11169881586589</v>
      </c>
      <c r="AH3268">
        <v>11.895075012919101</v>
      </c>
      <c r="AI3268">
        <v>95.097825388735401</v>
      </c>
      <c r="AJ3268">
        <v>107.344027709678</v>
      </c>
      <c r="AK3268">
        <v>12.5111714311524</v>
      </c>
      <c r="AL3268">
        <v>89.454250528019301</v>
      </c>
      <c r="AM3268">
        <v>93.433771978558497</v>
      </c>
      <c r="AN3268">
        <v>0.99999998476338503</v>
      </c>
    </row>
    <row r="3269" spans="1:40" x14ac:dyDescent="0.25">
      <c r="A3269" t="str">
        <f>"20190312154316573"</f>
        <v>20190312154316573</v>
      </c>
      <c r="B3269" t="str">
        <f>"1552376596560727"</f>
        <v>1552376596560727</v>
      </c>
      <c r="C3269" t="s">
        <v>40</v>
      </c>
      <c r="D3269">
        <v>5.0408660000000003</v>
      </c>
      <c r="E3269">
        <v>0.3981963</v>
      </c>
      <c r="F3269" t="s">
        <v>43</v>
      </c>
      <c r="G3269">
        <v>-486.95589999999999</v>
      </c>
      <c r="H3269" s="1">
        <v>-9.8674040000000003E-7</v>
      </c>
      <c r="I3269">
        <v>230.16759999999999</v>
      </c>
      <c r="J3269">
        <v>-492.0926</v>
      </c>
      <c r="K3269">
        <v>1.111696</v>
      </c>
      <c r="L3269">
        <v>241.19479999999999</v>
      </c>
      <c r="M3269">
        <v>0.1122599</v>
      </c>
      <c r="N3269">
        <v>0</v>
      </c>
      <c r="O3269">
        <v>-0.99358990000000003</v>
      </c>
      <c r="P3269">
        <v>0.17129159999999999</v>
      </c>
      <c r="Q3269">
        <v>-3.2959909999999999E-3</v>
      </c>
      <c r="R3269">
        <v>-0.98521519999999996</v>
      </c>
      <c r="S3269">
        <v>1.307739</v>
      </c>
      <c r="T3269">
        <v>-0.2824103</v>
      </c>
      <c r="U3269">
        <v>-2.8189090000000001</v>
      </c>
      <c r="V3269">
        <v>-5.9622460000000002E-2</v>
      </c>
      <c r="W3269">
        <v>9.8544600000000006E-3</v>
      </c>
      <c r="X3269">
        <v>0.99817230000000001</v>
      </c>
      <c r="Y3269">
        <v>-0.31456319999999999</v>
      </c>
      <c r="Z3269">
        <v>9.1581659999999995E-2</v>
      </c>
      <c r="AA3269">
        <v>0.94480839999999999</v>
      </c>
      <c r="AB3269">
        <v>9</v>
      </c>
      <c r="AC3269">
        <v>5.13670000000001</v>
      </c>
      <c r="AD3269">
        <v>-1.1116969867403901</v>
      </c>
      <c r="AE3269">
        <v>-11.027199999999899</v>
      </c>
      <c r="AF3269">
        <v>-3.83418218427237</v>
      </c>
      <c r="AG3269">
        <v>-1.1116969867403901</v>
      </c>
      <c r="AH3269">
        <v>11.438651825720299</v>
      </c>
      <c r="AI3269">
        <v>95.264869196483502</v>
      </c>
      <c r="AJ3269">
        <v>108.53090902116</v>
      </c>
      <c r="AK3269">
        <v>12.115262225910501</v>
      </c>
      <c r="AL3269">
        <v>89.435371862376996</v>
      </c>
      <c r="AM3269">
        <v>93.418308891167399</v>
      </c>
      <c r="AN3269">
        <v>0.99999994430281502</v>
      </c>
    </row>
    <row r="3270" spans="1:40" x14ac:dyDescent="0.25">
      <c r="A3270" t="str">
        <f>"20190312154316585"</f>
        <v>20190312154316585</v>
      </c>
      <c r="B3270" t="str">
        <f>"1552376596580247"</f>
        <v>1552376596580247</v>
      </c>
      <c r="C3270" t="s">
        <v>40</v>
      </c>
      <c r="D3270">
        <v>5.0560269999999896</v>
      </c>
      <c r="E3270">
        <v>0.39772410000000002</v>
      </c>
      <c r="F3270" t="s">
        <v>43</v>
      </c>
      <c r="G3270">
        <v>-486.84160000000003</v>
      </c>
      <c r="H3270" s="1">
        <v>-9.6711360000000002E-7</v>
      </c>
      <c r="I3270">
        <v>230.0205</v>
      </c>
      <c r="J3270">
        <v>-492.08449999999999</v>
      </c>
      <c r="K3270">
        <v>1.111699</v>
      </c>
      <c r="L3270">
        <v>241.1456</v>
      </c>
      <c r="M3270">
        <v>0.11441949999999999</v>
      </c>
      <c r="N3270">
        <v>0</v>
      </c>
      <c r="O3270">
        <v>-0.99334339999999999</v>
      </c>
      <c r="P3270">
        <v>0.17343349999999999</v>
      </c>
      <c r="Q3270">
        <v>-3.278871E-3</v>
      </c>
      <c r="R3270">
        <v>-0.98484020000000005</v>
      </c>
      <c r="S3270">
        <v>1.3224180000000001</v>
      </c>
      <c r="T3270">
        <v>-0.2799702</v>
      </c>
      <c r="U3270">
        <v>-2.8141479999999999</v>
      </c>
      <c r="V3270">
        <v>-5.9622920000000003E-2</v>
      </c>
      <c r="W3270">
        <v>9.8711479999999997E-3</v>
      </c>
      <c r="X3270">
        <v>0.99817219999999995</v>
      </c>
      <c r="Y3270">
        <v>-0.31718639999999998</v>
      </c>
      <c r="Z3270">
        <v>9.0765639999999995E-2</v>
      </c>
      <c r="AA3270">
        <v>0.94400969999999995</v>
      </c>
      <c r="AB3270">
        <v>9</v>
      </c>
      <c r="AC3270">
        <v>5.2428999999999597</v>
      </c>
      <c r="AD3270">
        <v>-1.1116999671136001</v>
      </c>
      <c r="AE3270">
        <v>-11.1251</v>
      </c>
      <c r="AF3270">
        <v>-3.9035253565081098</v>
      </c>
      <c r="AG3270">
        <v>-1.1116999671136001</v>
      </c>
      <c r="AH3270">
        <v>11.557532352385399</v>
      </c>
      <c r="AI3270">
        <v>95.207032548584706</v>
      </c>
      <c r="AJ3270">
        <v>108.66225816661</v>
      </c>
      <c r="AK3270">
        <v>12.2494873812016</v>
      </c>
      <c r="AL3270">
        <v>89.434415715995399</v>
      </c>
      <c r="AM3270">
        <v>93.418335543259602</v>
      </c>
      <c r="AN3270">
        <v>1.0000000365024999</v>
      </c>
    </row>
    <row r="3271" spans="1:40" x14ac:dyDescent="0.25">
      <c r="A3271" t="str">
        <f>"20190312154316598"</f>
        <v>20190312154316598</v>
      </c>
      <c r="B3271" t="str">
        <f>"1552376596590983"</f>
        <v>1552376596590983</v>
      </c>
      <c r="C3271" t="s">
        <v>40</v>
      </c>
      <c r="D3271">
        <v>5.0712609999999998</v>
      </c>
      <c r="E3271">
        <v>0.39778599999999997</v>
      </c>
      <c r="F3271" t="s">
        <v>43</v>
      </c>
      <c r="G3271">
        <v>-486.68819999999999</v>
      </c>
      <c r="H3271" s="1">
        <v>-9.2014370000000001E-7</v>
      </c>
      <c r="I3271">
        <v>229.76259999999999</v>
      </c>
      <c r="J3271">
        <v>-492.07619999999997</v>
      </c>
      <c r="K3271">
        <v>1.111699</v>
      </c>
      <c r="L3271">
        <v>241.09630000000001</v>
      </c>
      <c r="M3271">
        <v>0.11659310000000001</v>
      </c>
      <c r="N3271">
        <v>0</v>
      </c>
      <c r="O3271">
        <v>-0.99309049999999999</v>
      </c>
      <c r="P3271">
        <v>0.17514289999999999</v>
      </c>
      <c r="Q3271">
        <v>-3.4098589999999999E-3</v>
      </c>
      <c r="R3271">
        <v>-0.9845372</v>
      </c>
      <c r="S3271">
        <v>1.3324279999999999</v>
      </c>
      <c r="T3271">
        <v>-0.27449479999999998</v>
      </c>
      <c r="U3271">
        <v>-2.810638</v>
      </c>
      <c r="V3271">
        <v>-5.9171300000000003E-2</v>
      </c>
      <c r="W3271">
        <v>9.7405010000000004E-3</v>
      </c>
      <c r="X3271">
        <v>0.99820030000000004</v>
      </c>
      <c r="Y3271">
        <v>-0.31838309999999997</v>
      </c>
      <c r="Z3271">
        <v>8.8988650000000002E-2</v>
      </c>
      <c r="AA3271">
        <v>0.94377610000000001</v>
      </c>
      <c r="AB3271">
        <v>9</v>
      </c>
      <c r="AC3271">
        <v>5.3879999999999697</v>
      </c>
      <c r="AD3271">
        <v>-1.1116999201436999</v>
      </c>
      <c r="AE3271">
        <v>-11.3337</v>
      </c>
      <c r="AF3271">
        <v>-3.998320170066</v>
      </c>
      <c r="AG3271">
        <v>-1.1116999201436999</v>
      </c>
      <c r="AH3271">
        <v>11.7921065481497</v>
      </c>
      <c r="AI3271">
        <v>95.1019693918835</v>
      </c>
      <c r="AJ3271">
        <v>108.73012798162701</v>
      </c>
      <c r="AK3271">
        <v>12.5010486655208</v>
      </c>
      <c r="AL3271">
        <v>89.441901565534096</v>
      </c>
      <c r="AM3271">
        <v>93.392408432160593</v>
      </c>
      <c r="AN3271">
        <v>0.99999997951175501</v>
      </c>
    </row>
    <row r="3272" spans="1:40" x14ac:dyDescent="0.25">
      <c r="A3272" t="str">
        <f>"20190312154316611"</f>
        <v>20190312154316611</v>
      </c>
      <c r="B3272" t="str">
        <f>"1552376596600743"</f>
        <v>1552376596600743</v>
      </c>
      <c r="C3272" t="s">
        <v>40</v>
      </c>
      <c r="D3272">
        <v>5.2382559999999998</v>
      </c>
      <c r="E3272">
        <v>0.39775110000000002</v>
      </c>
      <c r="F3272" t="s">
        <v>43</v>
      </c>
      <c r="G3272">
        <v>-486.65980000000002</v>
      </c>
      <c r="H3272" s="1">
        <v>-9.1314709999999996E-7</v>
      </c>
      <c r="I3272">
        <v>229.71969999999999</v>
      </c>
      <c r="J3272">
        <v>-492.06729999999999</v>
      </c>
      <c r="K3272">
        <v>1.1116980000000001</v>
      </c>
      <c r="L3272">
        <v>241.04390000000001</v>
      </c>
      <c r="M3272">
        <v>0.11891350000000001</v>
      </c>
      <c r="N3272">
        <v>0</v>
      </c>
      <c r="O3272">
        <v>-0.99281560000000002</v>
      </c>
      <c r="P3272">
        <v>0.1771199</v>
      </c>
      <c r="Q3272">
        <v>-3.1362339999999999E-3</v>
      </c>
      <c r="R3272">
        <v>-0.98418439999999996</v>
      </c>
      <c r="S3272">
        <v>1.337067</v>
      </c>
      <c r="T3272">
        <v>-0.27442499999999997</v>
      </c>
      <c r="U3272">
        <v>-2.8083339999999999</v>
      </c>
      <c r="V3272">
        <v>-5.8844140000000003E-2</v>
      </c>
      <c r="W3272">
        <v>1.001467E-2</v>
      </c>
      <c r="X3272">
        <v>0.99821689999999996</v>
      </c>
      <c r="Y3272">
        <v>-0.31774059999999998</v>
      </c>
      <c r="Z3272">
        <v>8.8974460000000005E-2</v>
      </c>
      <c r="AA3272">
        <v>0.94399390000000005</v>
      </c>
      <c r="AB3272">
        <v>9</v>
      </c>
      <c r="AC3272">
        <v>5.4074999999999704</v>
      </c>
      <c r="AD3272">
        <v>-1.11169891314709</v>
      </c>
      <c r="AE3272">
        <v>-11.324199999999999</v>
      </c>
      <c r="AF3272">
        <v>-3.9910840345343899</v>
      </c>
      <c r="AG3272">
        <v>-1.11169891314709</v>
      </c>
      <c r="AH3272">
        <v>11.7943569848462</v>
      </c>
      <c r="AI3272">
        <v>95.102042253733899</v>
      </c>
      <c r="AJ3272">
        <v>108.695268434959</v>
      </c>
      <c r="AK3272">
        <v>12.500859287672901</v>
      </c>
      <c r="AL3272">
        <v>89.426192056959806</v>
      </c>
      <c r="AM3272">
        <v>93.373639168485596</v>
      </c>
      <c r="AN3272">
        <v>0.99999995293657795</v>
      </c>
    </row>
    <row r="3273" spans="1:40" x14ac:dyDescent="0.25">
      <c r="A3273" t="str">
        <f>"20190312154316630"</f>
        <v>20190312154316630</v>
      </c>
      <c r="B3273" t="str">
        <f>"1552376596620262"</f>
        <v>1552376596620262</v>
      </c>
      <c r="C3273" t="s">
        <v>40</v>
      </c>
      <c r="D3273">
        <v>5.0225359999999997</v>
      </c>
      <c r="E3273">
        <v>0.39764169999999999</v>
      </c>
      <c r="F3273" t="s">
        <v>49</v>
      </c>
      <c r="G3273">
        <v>-486.5249</v>
      </c>
      <c r="H3273" s="1">
        <v>5.6724799999999998E-6</v>
      </c>
      <c r="I3273">
        <v>229.4648</v>
      </c>
      <c r="J3273">
        <v>-492.05459999999999</v>
      </c>
      <c r="K3273">
        <v>1.1116969999999999</v>
      </c>
      <c r="L3273">
        <v>240.97069999999999</v>
      </c>
      <c r="M3273">
        <v>0.12217219999999999</v>
      </c>
      <c r="N3273">
        <v>0</v>
      </c>
      <c r="O3273">
        <v>-0.99241970000000002</v>
      </c>
      <c r="P3273">
        <v>0.1800235</v>
      </c>
      <c r="Q3273">
        <v>-2.9836559999999999E-3</v>
      </c>
      <c r="R3273">
        <v>-0.98365769999999997</v>
      </c>
      <c r="S3273">
        <v>1.342957</v>
      </c>
      <c r="T3273">
        <v>-0.26936660000000001</v>
      </c>
      <c r="U3273">
        <v>-2.8056640000000002</v>
      </c>
      <c r="V3273">
        <v>-5.8512759999999997E-2</v>
      </c>
      <c r="W3273">
        <v>1.016677E-2</v>
      </c>
      <c r="X3273">
        <v>0.99823490000000004</v>
      </c>
      <c r="Y3273">
        <v>-0.31665349999999998</v>
      </c>
      <c r="Z3273">
        <v>8.7348690000000007E-2</v>
      </c>
      <c r="AA3273">
        <v>0.94451090000000004</v>
      </c>
      <c r="AB3273">
        <v>9</v>
      </c>
      <c r="AC3273">
        <v>5.5296999999999903</v>
      </c>
      <c r="AD3273">
        <v>-1.11169132752</v>
      </c>
      <c r="AE3273">
        <v>-11.505899999999899</v>
      </c>
      <c r="AF3273">
        <v>-4.0517167773306904</v>
      </c>
      <c r="AG3273">
        <v>-1.11169132752</v>
      </c>
      <c r="AH3273">
        <v>12.00429207242</v>
      </c>
      <c r="AI3273">
        <v>95.014552426249693</v>
      </c>
      <c r="AJ3273">
        <v>108.650687960223</v>
      </c>
      <c r="AK3273">
        <v>12.7183054929245</v>
      </c>
      <c r="AL3273">
        <v>89.417476958554602</v>
      </c>
      <c r="AM3273">
        <v>93.354623723487194</v>
      </c>
      <c r="AN3273">
        <v>1.0000000109365299</v>
      </c>
    </row>
    <row r="3274" spans="1:40" x14ac:dyDescent="0.25">
      <c r="A3274" t="str">
        <f>"20190312154316656"</f>
        <v>20190312154316656</v>
      </c>
      <c r="B3274" t="str">
        <f>"1552376596650518"</f>
        <v>1552376596650518</v>
      </c>
      <c r="C3274" t="s">
        <v>40</v>
      </c>
      <c r="D3274">
        <v>4.9799170000000004</v>
      </c>
      <c r="E3274">
        <v>0.3982947</v>
      </c>
      <c r="F3274" t="s">
        <v>49</v>
      </c>
      <c r="G3274">
        <v>-486.42759999999998</v>
      </c>
      <c r="H3274" s="1">
        <v>5.5998000000000002E-6</v>
      </c>
      <c r="I3274">
        <v>229.31360000000001</v>
      </c>
      <c r="J3274">
        <v>-492.03769999999997</v>
      </c>
      <c r="K3274">
        <v>1.1116900000000001</v>
      </c>
      <c r="L3274">
        <v>240.87530000000001</v>
      </c>
      <c r="M3274">
        <v>0.12645709999999999</v>
      </c>
      <c r="N3274">
        <v>0</v>
      </c>
      <c r="O3274">
        <v>-0.99188290000000001</v>
      </c>
      <c r="P3274">
        <v>0.1849568</v>
      </c>
      <c r="Q3274">
        <v>-2.6468329999999999E-3</v>
      </c>
      <c r="R3274">
        <v>-0.98274340000000004</v>
      </c>
      <c r="S3274">
        <v>1.352325</v>
      </c>
      <c r="T3274">
        <v>-0.26717190000000002</v>
      </c>
      <c r="U3274">
        <v>-2.8015439999999998</v>
      </c>
      <c r="V3274">
        <v>-5.9211310000000003E-2</v>
      </c>
      <c r="W3274">
        <v>1.049959E-2</v>
      </c>
      <c r="X3274">
        <v>0.99819020000000003</v>
      </c>
      <c r="Y3274">
        <v>-0.31569140000000001</v>
      </c>
      <c r="Z3274">
        <v>8.664086E-2</v>
      </c>
      <c r="AA3274">
        <v>0.94489809999999996</v>
      </c>
      <c r="AB3274">
        <v>9</v>
      </c>
      <c r="AC3274">
        <v>5.6100999999999797</v>
      </c>
      <c r="AD3274">
        <v>-1.1116844001999999</v>
      </c>
      <c r="AE3274">
        <v>-11.5617</v>
      </c>
      <c r="AF3274">
        <v>-4.0723911210926902</v>
      </c>
      <c r="AG3274">
        <v>-1.1116844001999999</v>
      </c>
      <c r="AH3274">
        <v>12.0879090586555</v>
      </c>
      <c r="AI3274">
        <v>94.980945818548406</v>
      </c>
      <c r="AJ3274">
        <v>108.618562766336</v>
      </c>
      <c r="AK3274">
        <v>12.8038180656837</v>
      </c>
      <c r="AL3274">
        <v>89.398406721339697</v>
      </c>
      <c r="AM3274">
        <v>93.394731190733097</v>
      </c>
      <c r="AN3274">
        <v>0.99999994799906</v>
      </c>
    </row>
    <row r="3275" spans="1:40" x14ac:dyDescent="0.25">
      <c r="A3275" t="str">
        <f>"20190312154316673"</f>
        <v>20190312154316673</v>
      </c>
      <c r="B3275" t="str">
        <f>"1552376596671014"</f>
        <v>1552376596671014</v>
      </c>
      <c r="C3275" t="s">
        <v>40</v>
      </c>
      <c r="D3275">
        <v>5.2871069999999998</v>
      </c>
      <c r="E3275">
        <v>0.39872760000000002</v>
      </c>
      <c r="F3275" t="s">
        <v>49</v>
      </c>
      <c r="G3275">
        <v>-486.34089999999998</v>
      </c>
      <c r="H3275" s="1">
        <v>5.5340069999999999E-6</v>
      </c>
      <c r="I3275">
        <v>229.17580000000001</v>
      </c>
      <c r="J3275">
        <v>-492.0249</v>
      </c>
      <c r="K3275">
        <v>1.111683</v>
      </c>
      <c r="L3275">
        <v>240.80500000000001</v>
      </c>
      <c r="M3275">
        <v>0.1296302</v>
      </c>
      <c r="N3275">
        <v>0</v>
      </c>
      <c r="O3275">
        <v>-0.9914731</v>
      </c>
      <c r="P3275">
        <v>0.18882399999999999</v>
      </c>
      <c r="Q3275">
        <v>-3.0929909999999998E-3</v>
      </c>
      <c r="R3275">
        <v>-0.9820063</v>
      </c>
      <c r="S3275">
        <v>1.3613280000000001</v>
      </c>
      <c r="T3275">
        <v>-0.26565159999999999</v>
      </c>
      <c r="U3275">
        <v>-2.7957459999999998</v>
      </c>
      <c r="V3275">
        <v>-5.9945520000000002E-2</v>
      </c>
      <c r="W3275">
        <v>1.004995E-2</v>
      </c>
      <c r="X3275">
        <v>0.99815109999999996</v>
      </c>
      <c r="Y3275">
        <v>-0.31590299999999999</v>
      </c>
      <c r="Z3275">
        <v>8.6197209999999996E-2</v>
      </c>
      <c r="AA3275">
        <v>0.94486789999999998</v>
      </c>
      <c r="AB3275">
        <v>9</v>
      </c>
      <c r="AC3275">
        <v>5.6840000000000197</v>
      </c>
      <c r="AD3275">
        <v>-1.111677465993</v>
      </c>
      <c r="AE3275">
        <v>-11.6291999999999</v>
      </c>
      <c r="AF3275">
        <v>-4.09817487716355</v>
      </c>
      <c r="AG3275">
        <v>-1.111677465993</v>
      </c>
      <c r="AH3275">
        <v>12.1781171684606</v>
      </c>
      <c r="AI3275">
        <v>94.944765770557794</v>
      </c>
      <c r="AJ3275">
        <v>108.599094119366</v>
      </c>
      <c r="AK3275">
        <v>12.897185812454101</v>
      </c>
      <c r="AL3275">
        <v>89.424170611691395</v>
      </c>
      <c r="AM3275">
        <v>93.436859294755095</v>
      </c>
      <c r="AN3275">
        <v>1.00000004264714</v>
      </c>
    </row>
    <row r="3276" spans="1:40" x14ac:dyDescent="0.25">
      <c r="A3276" t="str">
        <f>"20190312154316686"</f>
        <v>20190312154316686</v>
      </c>
      <c r="B3276" t="str">
        <f>"1552376596680775"</f>
        <v>1552376596680775</v>
      </c>
      <c r="C3276" t="s">
        <v>40</v>
      </c>
      <c r="D3276">
        <v>5.0153569999999998</v>
      </c>
      <c r="E3276">
        <v>0.3989605</v>
      </c>
      <c r="F3276" t="s">
        <v>49</v>
      </c>
      <c r="G3276">
        <v>-486.31380000000001</v>
      </c>
      <c r="H3276" s="1">
        <v>5.520497E-6</v>
      </c>
      <c r="I3276">
        <v>229.15539999999999</v>
      </c>
      <c r="J3276">
        <v>-492.0154</v>
      </c>
      <c r="K3276">
        <v>1.1116729999999999</v>
      </c>
      <c r="L3276">
        <v>240.75319999999999</v>
      </c>
      <c r="M3276">
        <v>0.13197619999999999</v>
      </c>
      <c r="N3276">
        <v>0</v>
      </c>
      <c r="O3276">
        <v>-0.99116360000000003</v>
      </c>
      <c r="P3276">
        <v>0.1912547</v>
      </c>
      <c r="Q3276">
        <v>-3.9200980000000003E-3</v>
      </c>
      <c r="R3276">
        <v>-0.98153270000000004</v>
      </c>
      <c r="S3276">
        <v>1.3682859999999999</v>
      </c>
      <c r="T3276">
        <v>-0.26634039999999998</v>
      </c>
      <c r="U3276">
        <v>-2.7910460000000001</v>
      </c>
      <c r="V3276">
        <v>-6.0053090000000003E-2</v>
      </c>
      <c r="W3276">
        <v>9.2217240000000006E-3</v>
      </c>
      <c r="X3276">
        <v>0.99815259999999995</v>
      </c>
      <c r="Y3276">
        <v>-0.3161757</v>
      </c>
      <c r="Z3276">
        <v>8.6459240000000007E-2</v>
      </c>
      <c r="AA3276">
        <v>0.94475279999999995</v>
      </c>
      <c r="AB3276">
        <v>9</v>
      </c>
      <c r="AC3276">
        <v>5.7015999999999796</v>
      </c>
      <c r="AD3276">
        <v>-1.1116674795029999</v>
      </c>
      <c r="AE3276">
        <v>-11.597799999999999</v>
      </c>
      <c r="AF3276">
        <v>-4.0906814943507097</v>
      </c>
      <c r="AG3276">
        <v>-1.1116674795029999</v>
      </c>
      <c r="AH3276">
        <v>12.1589097834903</v>
      </c>
      <c r="AI3276">
        <v>94.952620054264102</v>
      </c>
      <c r="AJ3276">
        <v>108.594735308221</v>
      </c>
      <c r="AK3276">
        <v>12.876667534586099</v>
      </c>
      <c r="AL3276">
        <v>89.471626653010006</v>
      </c>
      <c r="AM3276">
        <v>93.443006625978697</v>
      </c>
      <c r="AN3276">
        <v>1.00000001334942</v>
      </c>
    </row>
    <row r="3277" spans="1:40" x14ac:dyDescent="0.25">
      <c r="A3277" t="str">
        <f>"20190312154316699"</f>
        <v>20190312154316699</v>
      </c>
      <c r="B3277" t="str">
        <f>"1552376596690534"</f>
        <v>1552376596690534</v>
      </c>
      <c r="C3277" t="s">
        <v>40</v>
      </c>
      <c r="D3277">
        <v>5.0113409999999998</v>
      </c>
      <c r="E3277">
        <v>0.39920600000000001</v>
      </c>
      <c r="F3277" t="s">
        <v>49</v>
      </c>
      <c r="G3277">
        <v>-486.30680000000001</v>
      </c>
      <c r="H3277" s="1">
        <v>5.5214229999999998E-6</v>
      </c>
      <c r="I3277">
        <v>229.1644</v>
      </c>
      <c r="J3277">
        <v>-492.00670000000002</v>
      </c>
      <c r="K3277">
        <v>1.111666</v>
      </c>
      <c r="L3277">
        <v>240.7071</v>
      </c>
      <c r="M3277">
        <v>0.13407060000000001</v>
      </c>
      <c r="N3277">
        <v>0</v>
      </c>
      <c r="O3277">
        <v>-0.99088259999999995</v>
      </c>
      <c r="P3277">
        <v>0.19319230000000001</v>
      </c>
      <c r="Q3277">
        <v>-4.6922420000000001E-3</v>
      </c>
      <c r="R3277">
        <v>-0.98114970000000001</v>
      </c>
      <c r="S3277">
        <v>1.3732599999999999</v>
      </c>
      <c r="T3277">
        <v>-0.26742359999999998</v>
      </c>
      <c r="U3277">
        <v>-2.7877960000000002</v>
      </c>
      <c r="V3277">
        <v>-5.9913080000000001E-2</v>
      </c>
      <c r="W3277">
        <v>8.4497559999999992E-3</v>
      </c>
      <c r="X3277">
        <v>0.99816780000000005</v>
      </c>
      <c r="Y3277">
        <v>-0.31595000000000001</v>
      </c>
      <c r="Z3277">
        <v>8.6832190000000004E-2</v>
      </c>
      <c r="AA3277">
        <v>0.94479400000000002</v>
      </c>
      <c r="AB3277">
        <v>9</v>
      </c>
      <c r="AC3277">
        <v>5.6999000000000102</v>
      </c>
      <c r="AD3277">
        <v>-1.1116604785769999</v>
      </c>
      <c r="AE3277">
        <v>-11.5426999999999</v>
      </c>
      <c r="AF3277">
        <v>-4.0704045668972899</v>
      </c>
      <c r="AG3277">
        <v>-1.1116604785769999</v>
      </c>
      <c r="AH3277">
        <v>12.1124062554932</v>
      </c>
      <c r="AI3277">
        <v>94.972079954592999</v>
      </c>
      <c r="AJ3277">
        <v>108.575052047112</v>
      </c>
      <c r="AK3277">
        <v>12.826315435695401</v>
      </c>
      <c r="AL3277">
        <v>89.515858865676805</v>
      </c>
      <c r="AM3277">
        <v>93.434946533066096</v>
      </c>
      <c r="AN3277">
        <v>0.99999996624419196</v>
      </c>
    </row>
    <row r="3278" spans="1:40" x14ac:dyDescent="0.25">
      <c r="A3278" t="str">
        <f>"20190312154316718"</f>
        <v>20190312154316718</v>
      </c>
      <c r="B3278" t="str">
        <f>"1552376596711036"</f>
        <v>1552376596711036</v>
      </c>
      <c r="C3278" t="s">
        <v>40</v>
      </c>
      <c r="D3278">
        <v>5.0719629999999896</v>
      </c>
      <c r="E3278">
        <v>0.39946999999999999</v>
      </c>
      <c r="F3278" t="s">
        <v>49</v>
      </c>
      <c r="G3278">
        <v>-486.29419999999999</v>
      </c>
      <c r="H3278" s="1">
        <v>5.5147979999999996E-6</v>
      </c>
      <c r="I3278">
        <v>229.15389999999999</v>
      </c>
      <c r="J3278">
        <v>-491.99299999999999</v>
      </c>
      <c r="K3278">
        <v>1.1116520000000001</v>
      </c>
      <c r="L3278">
        <v>240.6354</v>
      </c>
      <c r="M3278">
        <v>0.1373431</v>
      </c>
      <c r="N3278">
        <v>0</v>
      </c>
      <c r="O3278">
        <v>-0.99043419999999904</v>
      </c>
      <c r="P3278">
        <v>0.19609760000000001</v>
      </c>
      <c r="Q3278">
        <v>-5.8134220000000004E-3</v>
      </c>
      <c r="R3278">
        <v>-0.98056750000000004</v>
      </c>
      <c r="S3278">
        <v>1.377167</v>
      </c>
      <c r="T3278">
        <v>-0.26799420000000002</v>
      </c>
      <c r="U3278">
        <v>-2.785202</v>
      </c>
      <c r="V3278">
        <v>-5.956997E-2</v>
      </c>
      <c r="W3278">
        <v>7.3282699999999996E-3</v>
      </c>
      <c r="X3278">
        <v>0.99819729999999995</v>
      </c>
      <c r="Y3278">
        <v>-0.31422329999999998</v>
      </c>
      <c r="Z3278">
        <v>8.7028990000000001E-2</v>
      </c>
      <c r="AA3278">
        <v>0.94535170000000002</v>
      </c>
      <c r="AB3278">
        <v>9</v>
      </c>
      <c r="AC3278">
        <v>5.6988000000000598</v>
      </c>
      <c r="AD3278">
        <v>-1.111646485202</v>
      </c>
      <c r="AE3278">
        <v>-11.4815</v>
      </c>
      <c r="AF3278">
        <v>-4.0373752631055799</v>
      </c>
      <c r="AG3278">
        <v>-1.111646485202</v>
      </c>
      <c r="AH3278">
        <v>12.064694581519699</v>
      </c>
      <c r="AI3278">
        <v>94.993690558666103</v>
      </c>
      <c r="AJ3278">
        <v>108.502498119713</v>
      </c>
      <c r="AK3278">
        <v>12.77078745687</v>
      </c>
      <c r="AL3278">
        <v>89.5801173278699</v>
      </c>
      <c r="AM3278">
        <v>93.415221296751497</v>
      </c>
      <c r="AN3278">
        <v>1.0000000672971301</v>
      </c>
    </row>
    <row r="3279" spans="1:40" x14ac:dyDescent="0.25">
      <c r="A3279" t="str">
        <f>"20190312154316730"</f>
        <v>20190312154316730</v>
      </c>
      <c r="B3279" t="str">
        <f>"1552376596720791"</f>
        <v>1552376596720791</v>
      </c>
      <c r="C3279" t="s">
        <v>40</v>
      </c>
      <c r="D3279">
        <v>4.9967059999999996</v>
      </c>
      <c r="E3279">
        <v>0.40551490000000001</v>
      </c>
      <c r="F3279" t="s">
        <v>49</v>
      </c>
      <c r="G3279">
        <v>-486.334</v>
      </c>
      <c r="H3279" s="1">
        <v>5.5563800000000002E-6</v>
      </c>
      <c r="I3279">
        <v>229.25399999999999</v>
      </c>
      <c r="J3279">
        <v>-491.98399999999998</v>
      </c>
      <c r="K3279">
        <v>1.111648</v>
      </c>
      <c r="L3279">
        <v>240.58840000000001</v>
      </c>
      <c r="M3279">
        <v>0.13949539999999999</v>
      </c>
      <c r="N3279">
        <v>0</v>
      </c>
      <c r="O3279">
        <v>-0.99013329999999999</v>
      </c>
      <c r="P3279">
        <v>0.1979165</v>
      </c>
      <c r="Q3279">
        <v>-6.2266190000000001E-3</v>
      </c>
      <c r="R3279">
        <v>-0.98019900000000004</v>
      </c>
      <c r="S3279">
        <v>1.3829039999999999</v>
      </c>
      <c r="T3279">
        <v>-0.27165099999999998</v>
      </c>
      <c r="U3279">
        <v>-2.7812649999999999</v>
      </c>
      <c r="V3279">
        <v>-5.9251709999999999E-2</v>
      </c>
      <c r="W3279">
        <v>6.9158170000000003E-3</v>
      </c>
      <c r="X3279">
        <v>0.99821910000000003</v>
      </c>
      <c r="Y3279">
        <v>-0.31420959999999998</v>
      </c>
      <c r="Z3279">
        <v>8.8239449999999997E-2</v>
      </c>
      <c r="AA3279">
        <v>0.94524399999999997</v>
      </c>
      <c r="AB3279">
        <v>9</v>
      </c>
      <c r="AC3279">
        <v>5.6500000000000297</v>
      </c>
      <c r="AD3279">
        <v>-1.1116424436200001</v>
      </c>
      <c r="AE3279">
        <v>-11.334399999999899</v>
      </c>
      <c r="AF3279">
        <v>-3.98282579202291</v>
      </c>
      <c r="AG3279">
        <v>-1.1116424436200001</v>
      </c>
      <c r="AH3279">
        <v>11.9199411259656</v>
      </c>
      <c r="AI3279">
        <v>95.054777477240705</v>
      </c>
      <c r="AJ3279">
        <v>108.476088667577</v>
      </c>
      <c r="AK3279">
        <v>12.616800175105601</v>
      </c>
      <c r="AL3279">
        <v>89.603749708413105</v>
      </c>
      <c r="AM3279">
        <v>93.396943881095893</v>
      </c>
      <c r="AN3279">
        <v>0.999999982633755</v>
      </c>
    </row>
    <row r="3280" spans="1:40" x14ac:dyDescent="0.25">
      <c r="A3280" t="str">
        <f>"20190312154316743"</f>
        <v>20190312154316743</v>
      </c>
      <c r="B3280" t="str">
        <f>"1552376596740311"</f>
        <v>1552376596740311</v>
      </c>
      <c r="C3280" t="s">
        <v>40</v>
      </c>
      <c r="D3280">
        <v>5.0003640000000003</v>
      </c>
      <c r="E3280">
        <v>0.40619729999999998</v>
      </c>
      <c r="F3280" t="s">
        <v>49</v>
      </c>
      <c r="G3280">
        <v>-486.28969999999998</v>
      </c>
      <c r="H3280" s="1">
        <v>5.3859679999999997E-6</v>
      </c>
      <c r="I3280">
        <v>228.74189999999999</v>
      </c>
      <c r="J3280">
        <v>-491.9744</v>
      </c>
      <c r="K3280">
        <v>1.1116429999999999</v>
      </c>
      <c r="L3280">
        <v>240.5394</v>
      </c>
      <c r="M3280">
        <v>0.1417418</v>
      </c>
      <c r="N3280">
        <v>0</v>
      </c>
      <c r="O3280">
        <v>-0.98981430000000004</v>
      </c>
      <c r="P3280">
        <v>0.19986719999999999</v>
      </c>
      <c r="Q3280">
        <v>-6.5083609999999998E-3</v>
      </c>
      <c r="R3280">
        <v>-0.97980140000000004</v>
      </c>
      <c r="S3280">
        <v>1.340271</v>
      </c>
      <c r="T3280">
        <v>-0.26164700000000002</v>
      </c>
      <c r="U3280">
        <v>-2.7883</v>
      </c>
      <c r="V3280">
        <v>-5.8973369999999997E-2</v>
      </c>
      <c r="W3280">
        <v>6.6335350000000003E-3</v>
      </c>
      <c r="X3280">
        <v>0.9982375</v>
      </c>
      <c r="Y3280">
        <v>-0.29950890000000002</v>
      </c>
      <c r="Z3280">
        <v>8.5260240000000001E-2</v>
      </c>
      <c r="AA3280">
        <v>0.95027629999999996</v>
      </c>
      <c r="AB3280">
        <v>9</v>
      </c>
      <c r="AC3280">
        <v>5.6847000000000198</v>
      </c>
      <c r="AD3280">
        <v>-1.1116376140319999</v>
      </c>
      <c r="AE3280">
        <v>-11.797499999999999</v>
      </c>
      <c r="AF3280">
        <v>-3.9266544064192699</v>
      </c>
      <c r="AG3280">
        <v>-1.1116376140319999</v>
      </c>
      <c r="AH3280">
        <v>12.3948855385184</v>
      </c>
      <c r="AI3280">
        <v>94.886760956697202</v>
      </c>
      <c r="AJ3280">
        <v>107.578011264414</v>
      </c>
      <c r="AK3280">
        <v>13.0494268274647</v>
      </c>
      <c r="AL3280">
        <v>89.619923647771998</v>
      </c>
      <c r="AM3280">
        <v>93.380961374845199</v>
      </c>
      <c r="AN3280">
        <v>0.99999998428100101</v>
      </c>
    </row>
    <row r="3281" spans="1:40" x14ac:dyDescent="0.25">
      <c r="A3281" t="str">
        <f>"20190312154316755"</f>
        <v>20190312154316755</v>
      </c>
      <c r="B3281" t="str">
        <f>"1552376596750070"</f>
        <v>1552376596750070</v>
      </c>
      <c r="C3281" t="s">
        <v>40</v>
      </c>
      <c r="D3281">
        <v>4.9989549999999996</v>
      </c>
      <c r="E3281">
        <v>0.40643000000000001</v>
      </c>
      <c r="F3281" t="s">
        <v>49</v>
      </c>
      <c r="G3281">
        <v>-486.27370000000002</v>
      </c>
      <c r="H3281" s="1">
        <v>5.3644730000000004E-6</v>
      </c>
      <c r="I3281">
        <v>228.68620000000001</v>
      </c>
      <c r="J3281">
        <v>-491.96539999999999</v>
      </c>
      <c r="K3281">
        <v>1.11165</v>
      </c>
      <c r="L3281">
        <v>240.49420000000001</v>
      </c>
      <c r="M3281">
        <v>0.14381679999999999</v>
      </c>
      <c r="N3281">
        <v>0</v>
      </c>
      <c r="O3281">
        <v>-0.98951500000000003</v>
      </c>
      <c r="P3281">
        <v>0.2016686</v>
      </c>
      <c r="Q3281">
        <v>-6.3223039999999999E-3</v>
      </c>
      <c r="R3281">
        <v>-0.97943349999999996</v>
      </c>
      <c r="S3281">
        <v>1.3402400000000001</v>
      </c>
      <c r="T3281">
        <v>-0.261351</v>
      </c>
      <c r="U3281">
        <v>-2.786743</v>
      </c>
      <c r="V3281">
        <v>-5.8716249999999998E-2</v>
      </c>
      <c r="W3281">
        <v>6.8199749999999998E-3</v>
      </c>
      <c r="X3281">
        <v>0.99825140000000001</v>
      </c>
      <c r="Y3281">
        <v>-0.29770980000000002</v>
      </c>
      <c r="Z3281">
        <v>8.5193190000000002E-2</v>
      </c>
      <c r="AA3281">
        <v>0.95084749999999996</v>
      </c>
      <c r="AB3281">
        <v>9</v>
      </c>
      <c r="AC3281">
        <v>5.69169999999996</v>
      </c>
      <c r="AD3281">
        <v>-1.111644635527</v>
      </c>
      <c r="AE3281">
        <v>-11.8079999999999</v>
      </c>
      <c r="AF3281">
        <v>-3.9060890926884202</v>
      </c>
      <c r="AG3281">
        <v>-1.111644635527</v>
      </c>
      <c r="AH3281">
        <v>12.414575400855499</v>
      </c>
      <c r="AI3281">
        <v>94.882089126002199</v>
      </c>
      <c r="AJ3281">
        <v>107.46552261090299</v>
      </c>
      <c r="AK3281">
        <v>13.061966474434101</v>
      </c>
      <c r="AL3281">
        <v>89.609241180593401</v>
      </c>
      <c r="AM3281">
        <v>93.366207813565097</v>
      </c>
      <c r="AN3281">
        <v>0.99999998383751099</v>
      </c>
    </row>
    <row r="3282" spans="1:40" x14ac:dyDescent="0.25">
      <c r="A3282" t="str">
        <f>"20190312154316773"</f>
        <v>20190312154316773</v>
      </c>
      <c r="B3282" t="str">
        <f>"1552376596770567"</f>
        <v>1552376596770567</v>
      </c>
      <c r="C3282" t="s">
        <v>40</v>
      </c>
      <c r="D3282">
        <v>4.9629589999999997</v>
      </c>
      <c r="E3282">
        <v>0.40680490000000002</v>
      </c>
      <c r="F3282" t="s">
        <v>49</v>
      </c>
      <c r="G3282">
        <v>-486.27390000000003</v>
      </c>
      <c r="H3282" s="1">
        <v>5.3692829999999997E-6</v>
      </c>
      <c r="I3282">
        <v>228.70160000000001</v>
      </c>
      <c r="J3282">
        <v>-491.95190000000002</v>
      </c>
      <c r="K3282">
        <v>1.1116459999999999</v>
      </c>
      <c r="L3282">
        <v>240.4272</v>
      </c>
      <c r="M3282">
        <v>0.14690889999999901</v>
      </c>
      <c r="N3282">
        <v>0</v>
      </c>
      <c r="O3282">
        <v>-0.98906079999999996</v>
      </c>
      <c r="P3282">
        <v>0.2046077</v>
      </c>
      <c r="Q3282">
        <v>-5.2998809999999898E-3</v>
      </c>
      <c r="R3282">
        <v>-0.97882999999999998</v>
      </c>
      <c r="S3282">
        <v>1.343933</v>
      </c>
      <c r="T3282">
        <v>-0.26249050000000002</v>
      </c>
      <c r="U3282">
        <v>-2.7845759999999999</v>
      </c>
      <c r="V3282">
        <v>-5.8593480000000003E-2</v>
      </c>
      <c r="W3282">
        <v>7.8408560000000002E-3</v>
      </c>
      <c r="X3282">
        <v>0.99825109999999995</v>
      </c>
      <c r="Y3282">
        <v>-0.29602469999999997</v>
      </c>
      <c r="Z3282">
        <v>8.5562009999999994E-2</v>
      </c>
      <c r="AA3282">
        <v>0.95134039999999997</v>
      </c>
      <c r="AB3282">
        <v>9</v>
      </c>
      <c r="AC3282">
        <v>5.6779999999999902</v>
      </c>
      <c r="AD3282">
        <v>-1.1116406307169999</v>
      </c>
      <c r="AE3282">
        <v>-11.725599999999901</v>
      </c>
      <c r="AF3282">
        <v>-3.8654924661744001</v>
      </c>
      <c r="AG3282">
        <v>-1.1116406307169999</v>
      </c>
      <c r="AH3282">
        <v>12.342714008510301</v>
      </c>
      <c r="AI3282">
        <v>94.912392439204993</v>
      </c>
      <c r="AJ3282">
        <v>107.38951806484501</v>
      </c>
      <c r="AK3282">
        <v>12.9815394308143</v>
      </c>
      <c r="AL3282">
        <v>89.550747425160196</v>
      </c>
      <c r="AM3282">
        <v>93.359186540497404</v>
      </c>
      <c r="AN3282">
        <v>0.99999996678626502</v>
      </c>
    </row>
    <row r="3283" spans="1:40" x14ac:dyDescent="0.25">
      <c r="A3283" t="str">
        <f>"20190312154316795"</f>
        <v>20190312154316795</v>
      </c>
      <c r="B3283" t="str">
        <f>"1552376596790087"</f>
        <v>1552376596790087</v>
      </c>
      <c r="C3283" t="s">
        <v>40</v>
      </c>
      <c r="D3283">
        <v>5.0787839999999997</v>
      </c>
      <c r="E3283">
        <v>0.4070648</v>
      </c>
      <c r="F3283" t="s">
        <v>49</v>
      </c>
      <c r="G3283">
        <v>-486.08510000000001</v>
      </c>
      <c r="H3283" s="1">
        <v>5.2044310000000003E-6</v>
      </c>
      <c r="I3283">
        <v>228.33150000000001</v>
      </c>
      <c r="J3283">
        <v>-491.93470000000002</v>
      </c>
      <c r="K3283">
        <v>1.1116469999999901</v>
      </c>
      <c r="L3283">
        <v>240.34280000000001</v>
      </c>
      <c r="M3283">
        <v>0.15080560000000001</v>
      </c>
      <c r="N3283">
        <v>0</v>
      </c>
      <c r="O3283">
        <v>-0.98847419999999997</v>
      </c>
      <c r="P3283">
        <v>0.2088759</v>
      </c>
      <c r="Q3283">
        <v>-4.347956E-3</v>
      </c>
      <c r="R3283">
        <v>-0.97793269999999999</v>
      </c>
      <c r="S3283">
        <v>1.349121</v>
      </c>
      <c r="T3283">
        <v>-0.25563180000000002</v>
      </c>
      <c r="U3283">
        <v>-2.7814939999999999</v>
      </c>
      <c r="V3283">
        <v>-5.90156999999999E-2</v>
      </c>
      <c r="W3283">
        <v>8.7897280000000001E-3</v>
      </c>
      <c r="X3283">
        <v>0.99821839999999995</v>
      </c>
      <c r="Y3283">
        <v>-0.294193599999999</v>
      </c>
      <c r="Z3283">
        <v>8.3343479999999998E-2</v>
      </c>
      <c r="AA3283">
        <v>0.95210499999999998</v>
      </c>
      <c r="AB3283">
        <v>9</v>
      </c>
      <c r="AC3283">
        <v>5.8495999999999997</v>
      </c>
      <c r="AD3283">
        <v>-1.1116417955689999</v>
      </c>
      <c r="AE3283">
        <v>-12.0113</v>
      </c>
      <c r="AF3283">
        <v>-3.9438529254260599</v>
      </c>
      <c r="AG3283">
        <v>-1.1116417955689999</v>
      </c>
      <c r="AH3283">
        <v>12.6684296076197</v>
      </c>
      <c r="AI3283">
        <v>94.789221296184493</v>
      </c>
      <c r="AJ3283">
        <v>107.29206949144999</v>
      </c>
      <c r="AK3283">
        <v>13.314609723993501</v>
      </c>
      <c r="AL3283">
        <v>89.496379219212599</v>
      </c>
      <c r="AM3283">
        <v>93.383447118666098</v>
      </c>
      <c r="AN3283">
        <v>1.00000004313168</v>
      </c>
    </row>
    <row r="3284" spans="1:40" x14ac:dyDescent="0.25">
      <c r="A3284" t="str">
        <f>"20190312154316808"</f>
        <v>20190312154316808</v>
      </c>
      <c r="B3284" t="str">
        <f>"1552376596800823"</f>
        <v>1552376596800823</v>
      </c>
      <c r="C3284" t="s">
        <v>40</v>
      </c>
      <c r="D3284">
        <v>4.9542979999999996</v>
      </c>
      <c r="E3284">
        <v>0.40724120000000003</v>
      </c>
      <c r="F3284" t="s">
        <v>49</v>
      </c>
      <c r="G3284">
        <v>-485.93119999999999</v>
      </c>
      <c r="H3284" s="1">
        <v>5.0848229999999996E-6</v>
      </c>
      <c r="I3284">
        <v>228.07769999999999</v>
      </c>
      <c r="J3284">
        <v>-491.92529999999999</v>
      </c>
      <c r="K3284">
        <v>1.1116440000000001</v>
      </c>
      <c r="L3284">
        <v>240.29740000000001</v>
      </c>
      <c r="M3284">
        <v>0.1529055</v>
      </c>
      <c r="N3284">
        <v>0</v>
      </c>
      <c r="O3284">
        <v>-0.98815160000000002</v>
      </c>
      <c r="P3284">
        <v>0.21130950000000001</v>
      </c>
      <c r="Q3284">
        <v>-3.9675520000000001E-3</v>
      </c>
      <c r="R3284">
        <v>-0.97741149999999999</v>
      </c>
      <c r="S3284">
        <v>1.358948</v>
      </c>
      <c r="T3284">
        <v>-0.2516313</v>
      </c>
      <c r="U3284">
        <v>-2.7763369999999998</v>
      </c>
      <c r="V3284">
        <v>-5.9380580000000002E-2</v>
      </c>
      <c r="W3284">
        <v>9.1683230000000008E-3</v>
      </c>
      <c r="X3284">
        <v>0.99819329999999995</v>
      </c>
      <c r="Y3284">
        <v>-0.29562680000000002</v>
      </c>
      <c r="Z3284">
        <v>8.2065509999999994E-2</v>
      </c>
      <c r="AA3284">
        <v>0.95177199999999995</v>
      </c>
      <c r="AB3284">
        <v>9</v>
      </c>
      <c r="AC3284">
        <v>5.9941000000000004</v>
      </c>
      <c r="AD3284">
        <v>-1.1116389151770001</v>
      </c>
      <c r="AE3284">
        <v>-12.2197</v>
      </c>
      <c r="AF3284">
        <v>-4.0281075563113298</v>
      </c>
      <c r="AG3284">
        <v>-1.1116389151770001</v>
      </c>
      <c r="AH3284">
        <v>12.9064976558328</v>
      </c>
      <c r="AI3284">
        <v>94.700224178257997</v>
      </c>
      <c r="AJ3284">
        <v>107.333101025784</v>
      </c>
      <c r="AK3284">
        <v>13.5661001508527</v>
      </c>
      <c r="AL3284">
        <v>89.474686420820106</v>
      </c>
      <c r="AM3284">
        <v>93.404402518369096</v>
      </c>
      <c r="AN3284">
        <v>0.99999998779632904</v>
      </c>
    </row>
    <row r="3285" spans="1:40" x14ac:dyDescent="0.25">
      <c r="A3285" t="str">
        <f>"20190312154316821"</f>
        <v>20190312154316821</v>
      </c>
      <c r="B3285" t="str">
        <f>"1552376596810582"</f>
        <v>1552376596810582</v>
      </c>
      <c r="C3285" t="s">
        <v>40</v>
      </c>
      <c r="D3285">
        <v>4.9892770000000004</v>
      </c>
      <c r="E3285">
        <v>0.40753010000000001</v>
      </c>
      <c r="F3285" t="s">
        <v>49</v>
      </c>
      <c r="G3285">
        <v>-485.8272</v>
      </c>
      <c r="H3285" s="1">
        <v>5.0028970000000001E-6</v>
      </c>
      <c r="I3285">
        <v>227.90260000000001</v>
      </c>
      <c r="J3285">
        <v>-491.91489999999999</v>
      </c>
      <c r="K3285">
        <v>1.1116410000000001</v>
      </c>
      <c r="L3285">
        <v>240.2483</v>
      </c>
      <c r="M3285">
        <v>0.1551825</v>
      </c>
      <c r="N3285">
        <v>0</v>
      </c>
      <c r="O3285">
        <v>-0.98779640000000002</v>
      </c>
      <c r="P3285">
        <v>0.21393519999999999</v>
      </c>
      <c r="Q3285">
        <v>-3.7989920000000002E-3</v>
      </c>
      <c r="R3285">
        <v>-0.97684059999999995</v>
      </c>
      <c r="S3285">
        <v>1.364441</v>
      </c>
      <c r="T3285">
        <v>-0.2487268</v>
      </c>
      <c r="U3285">
        <v>-2.7733150000000002</v>
      </c>
      <c r="V3285">
        <v>-5.9762679999999999E-2</v>
      </c>
      <c r="W3285">
        <v>9.3342540000000002E-3</v>
      </c>
      <c r="X3285">
        <v>0.99816890000000003</v>
      </c>
      <c r="Y3285">
        <v>-0.29538809999999999</v>
      </c>
      <c r="Z3285">
        <v>8.1129569999999998E-2</v>
      </c>
      <c r="AA3285">
        <v>0.95192639999999995</v>
      </c>
      <c r="AB3285">
        <v>9</v>
      </c>
      <c r="AC3285">
        <v>6.0876999999999803</v>
      </c>
      <c r="AD3285">
        <v>-1.1116359971030001</v>
      </c>
      <c r="AE3285">
        <v>-12.3456999999999</v>
      </c>
      <c r="AF3285">
        <v>-4.0713806588416199</v>
      </c>
      <c r="AG3285">
        <v>-1.1116359971030001</v>
      </c>
      <c r="AH3285">
        <v>13.055755794781501</v>
      </c>
      <c r="AI3285">
        <v>94.647047524575598</v>
      </c>
      <c r="AJ3285">
        <v>107.31986235204</v>
      </c>
      <c r="AK3285">
        <v>13.720956032005001</v>
      </c>
      <c r="AL3285">
        <v>89.465178836695699</v>
      </c>
      <c r="AM3285">
        <v>93.426340577308096</v>
      </c>
      <c r="AN3285">
        <v>0.99999992957286199</v>
      </c>
    </row>
    <row r="3286" spans="1:40" x14ac:dyDescent="0.25">
      <c r="A3286" t="str">
        <f>"20190312154316834"</f>
        <v>20190312154316834</v>
      </c>
      <c r="B3286" t="str">
        <f>"1552376596830102"</f>
        <v>1552376596830102</v>
      </c>
      <c r="C3286" t="s">
        <v>40</v>
      </c>
      <c r="D3286">
        <v>4.8943669999999999</v>
      </c>
      <c r="E3286">
        <v>0.40841480000000002</v>
      </c>
      <c r="F3286" t="s">
        <v>49</v>
      </c>
      <c r="G3286">
        <v>-485.85140000000001</v>
      </c>
      <c r="H3286" s="1">
        <v>5.0353529999999999E-6</v>
      </c>
      <c r="I3286">
        <v>227.98650000000001</v>
      </c>
      <c r="J3286">
        <v>-491.90449999999998</v>
      </c>
      <c r="K3286">
        <v>1.1116360000000001</v>
      </c>
      <c r="L3286">
        <v>240.19990000000001</v>
      </c>
      <c r="M3286">
        <v>0.15742700000000001</v>
      </c>
      <c r="N3286">
        <v>0</v>
      </c>
      <c r="O3286">
        <v>-0.98744129999999997</v>
      </c>
      <c r="P3286">
        <v>0.2166025</v>
      </c>
      <c r="Q3286">
        <v>-3.729422E-3</v>
      </c>
      <c r="R3286">
        <v>-0.97625289999999998</v>
      </c>
      <c r="S3286">
        <v>1.3698429999999999</v>
      </c>
      <c r="T3286">
        <v>-0.25113740000000001</v>
      </c>
      <c r="U3286">
        <v>-2.7701419999999999</v>
      </c>
      <c r="V3286">
        <v>-6.0220049999999997E-2</v>
      </c>
      <c r="W3286">
        <v>9.4010080000000006E-3</v>
      </c>
      <c r="X3286">
        <v>0.9981409</v>
      </c>
      <c r="Y3286">
        <v>-0.29511320000000002</v>
      </c>
      <c r="Z3286">
        <v>8.1919829999999999E-2</v>
      </c>
      <c r="AA3286">
        <v>0.95194400000000001</v>
      </c>
      <c r="AB3286">
        <v>9</v>
      </c>
      <c r="AC3286">
        <v>6.0530999999999704</v>
      </c>
      <c r="AD3286">
        <v>-1.111630964647</v>
      </c>
      <c r="AE3286">
        <v>-12.2134</v>
      </c>
      <c r="AF3286">
        <v>-4.0279316523727298</v>
      </c>
      <c r="AG3286">
        <v>-1.111630964647</v>
      </c>
      <c r="AH3286">
        <v>12.9281056981229</v>
      </c>
      <c r="AI3286">
        <v>94.693080571000806</v>
      </c>
      <c r="AJ3286">
        <v>107.305151313461</v>
      </c>
      <c r="AK3286">
        <v>13.586606409975399</v>
      </c>
      <c r="AL3286">
        <v>89.461354008209995</v>
      </c>
      <c r="AM3286">
        <v>93.452596145123707</v>
      </c>
      <c r="AN3286">
        <v>1.0000000448131099</v>
      </c>
    </row>
    <row r="3287" spans="1:40" x14ac:dyDescent="0.25">
      <c r="A3287" t="str">
        <f>"20190312154316855"</f>
        <v>20190312154316855</v>
      </c>
      <c r="B3287" t="str">
        <f>"1552376596850599"</f>
        <v>1552376596850599</v>
      </c>
      <c r="C3287" t="s">
        <v>40</v>
      </c>
      <c r="D3287">
        <v>4.8770720000000001</v>
      </c>
      <c r="E3287">
        <v>0.40898250000000003</v>
      </c>
      <c r="F3287" t="s">
        <v>49</v>
      </c>
      <c r="G3287">
        <v>-485.78609999999998</v>
      </c>
      <c r="H3287" s="1">
        <v>4.9716890000000001E-6</v>
      </c>
      <c r="I3287">
        <v>227.83709999999999</v>
      </c>
      <c r="J3287">
        <v>-491.88799999999998</v>
      </c>
      <c r="K3287">
        <v>1.1116239999999999</v>
      </c>
      <c r="L3287">
        <v>240.12289999999999</v>
      </c>
      <c r="M3287">
        <v>0.160999</v>
      </c>
      <c r="N3287">
        <v>0</v>
      </c>
      <c r="O3287">
        <v>-0.9868652</v>
      </c>
      <c r="P3287">
        <v>0.2200743</v>
      </c>
      <c r="Q3287">
        <v>-4.0784009999999997E-3</v>
      </c>
      <c r="R3287">
        <v>-0.97547459999999997</v>
      </c>
      <c r="S3287">
        <v>1.369934</v>
      </c>
      <c r="T3287">
        <v>-0.24889649999999999</v>
      </c>
      <c r="U3287">
        <v>-2.7680509999999998</v>
      </c>
      <c r="V3287">
        <v>-6.0158839999999998E-2</v>
      </c>
      <c r="W3287">
        <v>9.0500709999999998E-3</v>
      </c>
      <c r="X3287">
        <v>0.99814780000000003</v>
      </c>
      <c r="Y3287">
        <v>-0.29199180000000002</v>
      </c>
      <c r="Z3287">
        <v>8.1216979999999994E-2</v>
      </c>
      <c r="AA3287">
        <v>0.95296619999999999</v>
      </c>
      <c r="AB3287">
        <v>9</v>
      </c>
      <c r="AC3287">
        <v>6.1019000000000503</v>
      </c>
      <c r="AD3287">
        <v>-1.1116190283109999</v>
      </c>
      <c r="AE3287">
        <v>-12.285799999999901</v>
      </c>
      <c r="AF3287">
        <v>-4.0177244587415704</v>
      </c>
      <c r="AG3287">
        <v>-1.1116190283109999</v>
      </c>
      <c r="AH3287">
        <v>13.022468810402399</v>
      </c>
      <c r="AI3287">
        <v>94.663166404838094</v>
      </c>
      <c r="AJ3287">
        <v>107.14617077568001</v>
      </c>
      <c r="AK3287">
        <v>13.673423148881801</v>
      </c>
      <c r="AL3287">
        <v>89.481462054176603</v>
      </c>
      <c r="AM3287">
        <v>93.449071483111993</v>
      </c>
      <c r="AN3287">
        <v>1.0000000102300399</v>
      </c>
    </row>
    <row r="3288" spans="1:40" x14ac:dyDescent="0.25">
      <c r="A3288" t="str">
        <f>"20190312154316874"</f>
        <v>20190312154316874</v>
      </c>
      <c r="B3288" t="str">
        <f>"1552376596860358"</f>
        <v>1552376596860358</v>
      </c>
      <c r="C3288" t="s">
        <v>40</v>
      </c>
      <c r="D3288">
        <v>4.8008129999999998</v>
      </c>
      <c r="E3288">
        <v>0.40898250000000003</v>
      </c>
      <c r="F3288" t="s">
        <v>49</v>
      </c>
      <c r="G3288">
        <v>-485.66230000000002</v>
      </c>
      <c r="H3288" s="1">
        <v>4.8686539999999997E-6</v>
      </c>
      <c r="I3288">
        <v>227.61089999999999</v>
      </c>
      <c r="J3288">
        <v>-491.87189999999998</v>
      </c>
      <c r="K3288">
        <v>1.111613</v>
      </c>
      <c r="L3288">
        <v>240.05009999999999</v>
      </c>
      <c r="M3288">
        <v>0.16438349999999999</v>
      </c>
      <c r="N3288">
        <v>0</v>
      </c>
      <c r="O3288">
        <v>-0.98630709999999999</v>
      </c>
      <c r="P3288">
        <v>0.22309989999999999</v>
      </c>
      <c r="Q3288">
        <v>-4.0732059999999898E-3</v>
      </c>
      <c r="R3288">
        <v>-0.97478730000000002</v>
      </c>
      <c r="S3288">
        <v>1.3753660000000001</v>
      </c>
      <c r="T3288">
        <v>-0.24557419999999999</v>
      </c>
      <c r="U3288">
        <v>-2.7641140000000002</v>
      </c>
      <c r="V3288">
        <v>-5.9831380000000003E-2</v>
      </c>
      <c r="W3288">
        <v>9.0543640000000005E-3</v>
      </c>
      <c r="X3288">
        <v>0.99816749999999999</v>
      </c>
      <c r="Y3288">
        <v>-0.29079159999999998</v>
      </c>
      <c r="Z3288">
        <v>8.0155889999999994E-2</v>
      </c>
      <c r="AA3288">
        <v>0.95342300000000002</v>
      </c>
      <c r="AB3288">
        <v>9</v>
      </c>
      <c r="AC3288">
        <v>6.20959999999996</v>
      </c>
      <c r="AD3288">
        <v>-1.111608131346</v>
      </c>
      <c r="AE3288">
        <v>-12.4392</v>
      </c>
      <c r="AF3288">
        <v>-4.0542155715487</v>
      </c>
      <c r="AG3288">
        <v>-1.111608131346</v>
      </c>
      <c r="AH3288">
        <v>13.206374115127399</v>
      </c>
      <c r="AI3288">
        <v>94.600439034395706</v>
      </c>
      <c r="AJ3288">
        <v>107.065926054236</v>
      </c>
      <c r="AK3288">
        <v>13.859316498549701</v>
      </c>
      <c r="AL3288">
        <v>89.481216102666707</v>
      </c>
      <c r="AM3288">
        <v>93.430274716225298</v>
      </c>
      <c r="AN3288">
        <v>1.0000000667981901</v>
      </c>
    </row>
    <row r="3289" spans="1:40" x14ac:dyDescent="0.25">
      <c r="A3289" t="str">
        <f>"20190312154316897"</f>
        <v>20190312154316897</v>
      </c>
      <c r="B3289" t="str">
        <f>"1552376596890615"</f>
        <v>1552376596890615</v>
      </c>
      <c r="C3289" t="s">
        <v>40</v>
      </c>
      <c r="D3289">
        <v>4.7335120000000002</v>
      </c>
      <c r="E3289">
        <v>0.40952040000000001</v>
      </c>
      <c r="F3289" t="s">
        <v>49</v>
      </c>
      <c r="G3289">
        <v>-485.61099999999999</v>
      </c>
      <c r="H3289" s="1">
        <v>4.8412990000000003E-6</v>
      </c>
      <c r="I3289">
        <v>227.56659999999999</v>
      </c>
      <c r="J3289">
        <v>-491.8535</v>
      </c>
      <c r="K3289">
        <v>1.1116060000000001</v>
      </c>
      <c r="L3289">
        <v>239.96729999999999</v>
      </c>
      <c r="M3289">
        <v>0.16822529999999999</v>
      </c>
      <c r="N3289">
        <v>0</v>
      </c>
      <c r="O3289">
        <v>-0.98565939999999996</v>
      </c>
      <c r="P3289">
        <v>0.22630549999999999</v>
      </c>
      <c r="Q3289">
        <v>-3.9312080000000003E-3</v>
      </c>
      <c r="R3289">
        <v>-0.9740489</v>
      </c>
      <c r="S3289">
        <v>1.384125</v>
      </c>
      <c r="T3289">
        <v>-0.24574670000000001</v>
      </c>
      <c r="U3289">
        <v>-2.7597659999999999</v>
      </c>
      <c r="V3289">
        <v>-5.9225859999999998E-2</v>
      </c>
      <c r="W3289">
        <v>9.195501E-3</v>
      </c>
      <c r="X3289">
        <v>0.99820229999999999</v>
      </c>
      <c r="Y3289">
        <v>-0.29008260000000002</v>
      </c>
      <c r="Z3289">
        <v>8.0200309999999997E-2</v>
      </c>
      <c r="AA3289">
        <v>0.95363520000000002</v>
      </c>
      <c r="AB3289">
        <v>9</v>
      </c>
      <c r="AC3289">
        <v>6.2424999999999997</v>
      </c>
      <c r="AD3289">
        <v>-1.111601158701</v>
      </c>
      <c r="AE3289">
        <v>-12.400700000000001</v>
      </c>
      <c r="AF3289">
        <v>-4.0413167689251202</v>
      </c>
      <c r="AG3289">
        <v>-1.111601158701</v>
      </c>
      <c r="AH3289">
        <v>13.1896237389519</v>
      </c>
      <c r="AI3289">
        <v>94.606983700587506</v>
      </c>
      <c r="AJ3289">
        <v>107.035128189886</v>
      </c>
      <c r="AK3289">
        <v>13.8395835464057</v>
      </c>
      <c r="AL3289">
        <v>89.473129200983706</v>
      </c>
      <c r="AM3289">
        <v>93.395522362689604</v>
      </c>
      <c r="AN3289">
        <v>1.00000004572833</v>
      </c>
    </row>
    <row r="3290" spans="1:40" x14ac:dyDescent="0.25">
      <c r="A3290" t="str">
        <f>"20190312154316911"</f>
        <v>20190312154316911</v>
      </c>
      <c r="B3290" t="str">
        <f>"1552376596900374"</f>
        <v>1552376596900374</v>
      </c>
      <c r="C3290" t="s">
        <v>40</v>
      </c>
      <c r="D3290">
        <v>4.7348520000000001</v>
      </c>
      <c r="E3290">
        <v>0.40603499999999998</v>
      </c>
      <c r="F3290" t="s">
        <v>49</v>
      </c>
      <c r="G3290">
        <v>-485.59320000000002</v>
      </c>
      <c r="H3290" s="1">
        <v>4.8296040000000004E-6</v>
      </c>
      <c r="I3290">
        <v>227.54409999999999</v>
      </c>
      <c r="J3290">
        <v>-491.84249999999997</v>
      </c>
      <c r="K3290">
        <v>1.1116010000000001</v>
      </c>
      <c r="L3290">
        <v>239.9187</v>
      </c>
      <c r="M3290">
        <v>0.1704842</v>
      </c>
      <c r="N3290">
        <v>0</v>
      </c>
      <c r="O3290">
        <v>-0.98527120000000001</v>
      </c>
      <c r="P3290">
        <v>0.22797100000000001</v>
      </c>
      <c r="Q3290">
        <v>-3.7688029999999998E-3</v>
      </c>
      <c r="R3290">
        <v>-0.97366090000000005</v>
      </c>
      <c r="S3290">
        <v>1.388916</v>
      </c>
      <c r="T3290">
        <v>-0.24662439999999999</v>
      </c>
      <c r="U3290">
        <v>-2.7562709999999999</v>
      </c>
      <c r="V3290">
        <v>-5.8645070000000001E-2</v>
      </c>
      <c r="W3290">
        <v>9.3580959999999998E-3</v>
      </c>
      <c r="X3290">
        <v>0.99823499999999998</v>
      </c>
      <c r="Y3290">
        <v>-0.28968579999999999</v>
      </c>
      <c r="Z3290">
        <v>8.0503110000000003E-2</v>
      </c>
      <c r="AA3290">
        <v>0.95373019999999997</v>
      </c>
      <c r="AB3290">
        <v>9</v>
      </c>
      <c r="AC3290">
        <v>6.2492999999999403</v>
      </c>
      <c r="AD3290">
        <v>-1.111596170396</v>
      </c>
      <c r="AE3290">
        <v>-12.374599999999999</v>
      </c>
      <c r="AF3290">
        <v>-4.0220774954710103</v>
      </c>
      <c r="AG3290">
        <v>-1.111596170396</v>
      </c>
      <c r="AH3290">
        <v>13.1742061305848</v>
      </c>
      <c r="AI3290">
        <v>94.613746749597595</v>
      </c>
      <c r="AJ3290">
        <v>106.977400028657</v>
      </c>
      <c r="AK3290">
        <v>13.819278584526399</v>
      </c>
      <c r="AL3290">
        <v>89.463812750871</v>
      </c>
      <c r="AM3290">
        <v>93.362191534622596</v>
      </c>
      <c r="AN3290">
        <v>0.99999996671052405</v>
      </c>
    </row>
    <row r="3291" spans="1:40" x14ac:dyDescent="0.25">
      <c r="A3291" t="str">
        <f>"20190312154316922"</f>
        <v>20190312154316922</v>
      </c>
      <c r="B3291" t="str">
        <f>"1552376596910134"</f>
        <v>1552376596910134</v>
      </c>
      <c r="C3291" t="s">
        <v>40</v>
      </c>
      <c r="D3291">
        <v>4.7069549999999998</v>
      </c>
      <c r="E3291">
        <v>0.40630810000000001</v>
      </c>
      <c r="F3291" t="s">
        <v>49</v>
      </c>
      <c r="G3291">
        <v>-479.17720000000003</v>
      </c>
      <c r="H3291" s="1">
        <v>1.9210330000000002E-6</v>
      </c>
      <c r="I3291">
        <v>215.35480000000001</v>
      </c>
      <c r="J3291">
        <v>-491.83199999999999</v>
      </c>
      <c r="K3291">
        <v>1.1115950000000001</v>
      </c>
      <c r="L3291">
        <v>239.87289999999999</v>
      </c>
      <c r="M3291">
        <v>0.17260739999999999</v>
      </c>
      <c r="N3291">
        <v>0</v>
      </c>
      <c r="O3291">
        <v>-0.98490140000000004</v>
      </c>
      <c r="P3291">
        <v>0.22947300000000001</v>
      </c>
      <c r="Q3291">
        <v>-3.6790260000000002E-3</v>
      </c>
      <c r="R3291">
        <v>-0.97330830000000002</v>
      </c>
      <c r="S3291">
        <v>1.4173279999999999</v>
      </c>
      <c r="T3291">
        <v>-0.1243949</v>
      </c>
      <c r="U3291">
        <v>-2.748856</v>
      </c>
      <c r="V3291">
        <v>-5.8033349999999997E-2</v>
      </c>
      <c r="W3291">
        <v>9.4482139999999999E-3</v>
      </c>
      <c r="X3291">
        <v>0.99826990000000004</v>
      </c>
      <c r="Y3291">
        <v>-0.29758659999999998</v>
      </c>
      <c r="Z3291">
        <v>4.064297E-2</v>
      </c>
      <c r="AA3291">
        <v>0.95382929999999999</v>
      </c>
      <c r="AB3291">
        <v>9</v>
      </c>
      <c r="AC3291">
        <v>12.6547999999999</v>
      </c>
      <c r="AD3291">
        <v>-1.1115930789669899</v>
      </c>
      <c r="AE3291">
        <v>-24.518099999999901</v>
      </c>
      <c r="AF3291">
        <v>-8.21910841702109</v>
      </c>
      <c r="AG3291">
        <v>-1.1115930789669899</v>
      </c>
      <c r="AH3291">
        <v>26.291865145970501</v>
      </c>
      <c r="AI3291">
        <v>92.310812377124805</v>
      </c>
      <c r="AJ3291">
        <v>107.35978305085099</v>
      </c>
      <c r="AK3291">
        <v>27.5690325401137</v>
      </c>
      <c r="AL3291">
        <v>89.458649140888497</v>
      </c>
      <c r="AM3291">
        <v>93.327084044988894</v>
      </c>
      <c r="AN3291">
        <v>0.99999996585300999</v>
      </c>
    </row>
    <row r="3292" spans="1:40" x14ac:dyDescent="0.25">
      <c r="A3292" t="str">
        <f>"20190312154316941"</f>
        <v>20190312154316941</v>
      </c>
      <c r="B3292" t="str">
        <f>"1552376596930630"</f>
        <v>1552376596930630</v>
      </c>
      <c r="C3292" t="s">
        <v>40</v>
      </c>
      <c r="D3292">
        <v>4.7152949999999896</v>
      </c>
      <c r="E3292">
        <v>0.4067617</v>
      </c>
      <c r="F3292" t="s">
        <v>49</v>
      </c>
      <c r="G3292">
        <v>-478.98540000000003</v>
      </c>
      <c r="H3292" s="1">
        <v>1.9907619999999999E-6</v>
      </c>
      <c r="I3292">
        <v>215.00470000000001</v>
      </c>
      <c r="J3292">
        <v>-491.81619999999998</v>
      </c>
      <c r="K3292">
        <v>1.111583</v>
      </c>
      <c r="L3292">
        <v>239.80500000000001</v>
      </c>
      <c r="M3292">
        <v>0.17576169999999999</v>
      </c>
      <c r="N3292">
        <v>0</v>
      </c>
      <c r="O3292">
        <v>-0.98434350000000004</v>
      </c>
      <c r="P3292">
        <v>0.23100270000000001</v>
      </c>
      <c r="Q3292">
        <v>-3.0535800000000002E-3</v>
      </c>
      <c r="R3292">
        <v>-0.97294879999999995</v>
      </c>
      <c r="S3292">
        <v>1.4191590000000001</v>
      </c>
      <c r="T3292">
        <v>-0.122797699999999</v>
      </c>
      <c r="U3292">
        <v>-2.7471920000000001</v>
      </c>
      <c r="V3292">
        <v>-5.640498E-2</v>
      </c>
      <c r="W3292">
        <v>1.00757E-2</v>
      </c>
      <c r="X3292">
        <v>0.9983571</v>
      </c>
      <c r="Y3292">
        <v>-0.29527429999999999</v>
      </c>
      <c r="Z3292">
        <v>4.0118500000000001E-2</v>
      </c>
      <c r="AA3292">
        <v>0.95456980000000002</v>
      </c>
      <c r="AB3292">
        <v>9</v>
      </c>
      <c r="AC3292">
        <v>12.830799999999901</v>
      </c>
      <c r="AD3292">
        <v>-1.1115810092380001</v>
      </c>
      <c r="AE3292">
        <v>-24.8003</v>
      </c>
      <c r="AF3292">
        <v>-8.2586104732519807</v>
      </c>
      <c r="AG3292">
        <v>-1.1115810092380001</v>
      </c>
      <c r="AH3292">
        <v>26.627322418127299</v>
      </c>
      <c r="AI3292">
        <v>92.2832952579855</v>
      </c>
      <c r="AJ3292">
        <v>107.231564143003</v>
      </c>
      <c r="AK3292">
        <v>27.9007985270657</v>
      </c>
      <c r="AL3292">
        <v>89.422695128965998</v>
      </c>
      <c r="AM3292">
        <v>93.233647826222196</v>
      </c>
      <c r="AN3292">
        <v>0.999999970309849</v>
      </c>
    </row>
    <row r="3293" spans="1:40" x14ac:dyDescent="0.25">
      <c r="A3293" t="str">
        <f>"20190312154316954"</f>
        <v>20190312154316954</v>
      </c>
      <c r="B3293" t="str">
        <f>"1552376596950151"</f>
        <v>1552376596950151</v>
      </c>
      <c r="C3293" t="s">
        <v>40</v>
      </c>
      <c r="D3293">
        <v>4.7230720000000002</v>
      </c>
      <c r="E3293">
        <v>0.40676269999999998</v>
      </c>
      <c r="F3293" t="s">
        <v>49</v>
      </c>
      <c r="G3293">
        <v>-479.04759999999999</v>
      </c>
      <c r="H3293" s="1">
        <v>1.9681630000000001E-6</v>
      </c>
      <c r="I3293">
        <v>215.11879999999999</v>
      </c>
      <c r="J3293">
        <v>-491.80560000000003</v>
      </c>
      <c r="K3293">
        <v>1.1115759999999999</v>
      </c>
      <c r="L3293">
        <v>239.76009999999999</v>
      </c>
      <c r="M3293">
        <v>0.17784440000000001</v>
      </c>
      <c r="N3293">
        <v>0</v>
      </c>
      <c r="O3293">
        <v>-0.98396930000000005</v>
      </c>
      <c r="P3293">
        <v>0.23247979999999999</v>
      </c>
      <c r="Q3293">
        <v>-3.2055819999999998E-3</v>
      </c>
      <c r="R3293">
        <v>-0.97259609999999996</v>
      </c>
      <c r="S3293">
        <v>1.420258</v>
      </c>
      <c r="T3293">
        <v>-0.12364169999999999</v>
      </c>
      <c r="U3293">
        <v>-2.7458499999999999</v>
      </c>
      <c r="V3293">
        <v>-5.5808080000000003E-2</v>
      </c>
      <c r="W3293">
        <v>9.9240760000000004E-3</v>
      </c>
      <c r="X3293">
        <v>0.99839219999999895</v>
      </c>
      <c r="Y3293">
        <v>-0.29373880000000002</v>
      </c>
      <c r="Z3293">
        <v>4.0394579999999999E-2</v>
      </c>
      <c r="AA3293">
        <v>0.95503179999999999</v>
      </c>
      <c r="AB3293">
        <v>9</v>
      </c>
      <c r="AC3293">
        <v>12.757999999999999</v>
      </c>
      <c r="AD3293">
        <v>-1.111574031837</v>
      </c>
      <c r="AE3293">
        <v>-24.641300000000001</v>
      </c>
      <c r="AF3293">
        <v>-8.1587885493083103</v>
      </c>
      <c r="AG3293">
        <v>-1.111574031837</v>
      </c>
      <c r="AH3293">
        <v>26.475066406451699</v>
      </c>
      <c r="AI3293">
        <v>92.297684315320595</v>
      </c>
      <c r="AJ3293">
        <v>107.127663689358</v>
      </c>
      <c r="AK3293">
        <v>27.7259908505829</v>
      </c>
      <c r="AL3293">
        <v>89.431382999790102</v>
      </c>
      <c r="AM3293">
        <v>93.199387298343396</v>
      </c>
      <c r="AN3293">
        <v>1.00000000704928</v>
      </c>
    </row>
    <row r="3294" spans="1:40" x14ac:dyDescent="0.25">
      <c r="A3294" t="str">
        <f>"20190312154316966"</f>
        <v>20190312154316966</v>
      </c>
      <c r="B3294" t="str">
        <f>"1552376596960887"</f>
        <v>1552376596960887</v>
      </c>
      <c r="C3294" t="s">
        <v>40</v>
      </c>
      <c r="D3294">
        <v>4.715357</v>
      </c>
      <c r="E3294">
        <v>0.40675080000000002</v>
      </c>
      <c r="F3294" t="s">
        <v>49</v>
      </c>
      <c r="G3294">
        <v>-479.24849999999998</v>
      </c>
      <c r="H3294" s="1">
        <v>1.8988430000000001E-6</v>
      </c>
      <c r="I3294">
        <v>215.57079999999999</v>
      </c>
      <c r="J3294">
        <v>-491.79450000000003</v>
      </c>
      <c r="K3294">
        <v>1.111569</v>
      </c>
      <c r="L3294">
        <v>239.71260000000001</v>
      </c>
      <c r="M3294">
        <v>0.1800436</v>
      </c>
      <c r="N3294">
        <v>0</v>
      </c>
      <c r="O3294">
        <v>-0.98356949999999999</v>
      </c>
      <c r="P3294">
        <v>0.2339386</v>
      </c>
      <c r="Q3294">
        <v>-3.3542519999999998E-3</v>
      </c>
      <c r="R3294">
        <v>-0.9722459</v>
      </c>
      <c r="S3294">
        <v>1.4242859999999999</v>
      </c>
      <c r="T3294">
        <v>-0.12607960000000001</v>
      </c>
      <c r="U3294">
        <v>-2.743652</v>
      </c>
      <c r="V3294">
        <v>-5.5073570000000002E-2</v>
      </c>
      <c r="W3294">
        <v>9.7753059999999992E-3</v>
      </c>
      <c r="X3294">
        <v>0.99843440000000006</v>
      </c>
      <c r="Y3294">
        <v>-0.293004299999999</v>
      </c>
      <c r="Z3294">
        <v>4.1185359999999997E-2</v>
      </c>
      <c r="AA3294">
        <v>0.95522370000000001</v>
      </c>
      <c r="AB3294">
        <v>9</v>
      </c>
      <c r="AC3294">
        <v>12.545999999999999</v>
      </c>
      <c r="AD3294">
        <v>-1.1115671011570001</v>
      </c>
      <c r="AE3294">
        <v>-24.1418</v>
      </c>
      <c r="AF3294">
        <v>-7.9806659918843099</v>
      </c>
      <c r="AG3294">
        <v>-1.1115671011570001</v>
      </c>
      <c r="AH3294">
        <v>25.962908239257601</v>
      </c>
      <c r="AI3294">
        <v>92.343459344271494</v>
      </c>
      <c r="AJ3294">
        <v>107.086758774156</v>
      </c>
      <c r="AK3294">
        <v>27.184540005939098</v>
      </c>
      <c r="AL3294">
        <v>89.439907276041893</v>
      </c>
      <c r="AM3294">
        <v>93.157231605643204</v>
      </c>
      <c r="AN3294">
        <v>0.999999952911648</v>
      </c>
    </row>
    <row r="3295" spans="1:40" x14ac:dyDescent="0.25">
      <c r="A3295" t="str">
        <f>"20190312154316980"</f>
        <v>20190312154316980</v>
      </c>
      <c r="B3295" t="str">
        <f>"1552376596970647"</f>
        <v>1552376596970647</v>
      </c>
      <c r="C3295" t="s">
        <v>40</v>
      </c>
      <c r="D3295">
        <v>4.6788860000000003</v>
      </c>
      <c r="E3295">
        <v>0.40675440000000002</v>
      </c>
      <c r="F3295" t="s">
        <v>49</v>
      </c>
      <c r="G3295">
        <v>-479.35820000000001</v>
      </c>
      <c r="H3295" s="1">
        <v>1.862447E-6</v>
      </c>
      <c r="I3295">
        <v>215.85130000000001</v>
      </c>
      <c r="J3295">
        <v>-491.78320000000002</v>
      </c>
      <c r="K3295">
        <v>1.1115619999999999</v>
      </c>
      <c r="L3295">
        <v>239.66550000000001</v>
      </c>
      <c r="M3295">
        <v>0.1822279</v>
      </c>
      <c r="N3295">
        <v>0</v>
      </c>
      <c r="O3295">
        <v>-0.98316680000000001</v>
      </c>
      <c r="P3295">
        <v>0.2357001</v>
      </c>
      <c r="Q3295">
        <v>-3.7815359999999998E-3</v>
      </c>
      <c r="R3295">
        <v>-0.97181859999999998</v>
      </c>
      <c r="S3295">
        <v>1.4288019999999999</v>
      </c>
      <c r="T3295">
        <v>-0.12770770000000001</v>
      </c>
      <c r="U3295">
        <v>-2.741425</v>
      </c>
      <c r="V3295">
        <v>-5.466435E-2</v>
      </c>
      <c r="W3295">
        <v>9.3476059999999996E-3</v>
      </c>
      <c r="X3295">
        <v>0.99846100000000004</v>
      </c>
      <c r="Y3295">
        <v>-0.29242629999999997</v>
      </c>
      <c r="Z3295">
        <v>4.1709490000000002E-2</v>
      </c>
      <c r="AA3295">
        <v>0.95537810000000001</v>
      </c>
      <c r="AB3295">
        <v>9</v>
      </c>
      <c r="AC3295">
        <v>12.425000000000001</v>
      </c>
      <c r="AD3295">
        <v>-1.111560137553</v>
      </c>
      <c r="AE3295">
        <v>-23.8142</v>
      </c>
      <c r="AF3295">
        <v>-7.8634629648375398</v>
      </c>
      <c r="AG3295">
        <v>-1.111560137553</v>
      </c>
      <c r="AH3295">
        <v>25.635871317998301</v>
      </c>
      <c r="AI3295">
        <v>92.373738793626202</v>
      </c>
      <c r="AJ3295">
        <v>107.052699395953</v>
      </c>
      <c r="AK3295">
        <v>26.8378000956065</v>
      </c>
      <c r="AL3295">
        <v>89.464413810978598</v>
      </c>
      <c r="AM3295">
        <v>93.133735647254596</v>
      </c>
      <c r="AN3295">
        <v>0.99999996870992602</v>
      </c>
    </row>
    <row r="3296" spans="1:40" x14ac:dyDescent="0.25">
      <c r="A3296" t="str">
        <f>"20190312154316998"</f>
        <v>20190312154316998</v>
      </c>
      <c r="B3296" t="str">
        <f>"1552376596990167"</f>
        <v>1552376596990167</v>
      </c>
      <c r="C3296" t="s">
        <v>40</v>
      </c>
      <c r="D3296">
        <v>4.6593790000000004</v>
      </c>
      <c r="E3296">
        <v>0.40702719999999998</v>
      </c>
      <c r="F3296" t="s">
        <v>49</v>
      </c>
      <c r="G3296">
        <v>-479.37259999999998</v>
      </c>
      <c r="H3296" s="1">
        <v>1.8608010000000001E-6</v>
      </c>
      <c r="I3296">
        <v>215.9598</v>
      </c>
      <c r="J3296">
        <v>-491.767</v>
      </c>
      <c r="K3296">
        <v>1.111559</v>
      </c>
      <c r="L3296">
        <v>239.5985</v>
      </c>
      <c r="M3296">
        <v>0.18533240000000001</v>
      </c>
      <c r="N3296">
        <v>0</v>
      </c>
      <c r="O3296">
        <v>-0.98258659999999998</v>
      </c>
      <c r="P3296">
        <v>0.23833760000000001</v>
      </c>
      <c r="Q3296">
        <v>-3.5092130000000002E-3</v>
      </c>
      <c r="R3296">
        <v>-0.97117640000000005</v>
      </c>
      <c r="S3296">
        <v>1.4338070000000001</v>
      </c>
      <c r="T3296">
        <v>-0.12842000000000001</v>
      </c>
      <c r="U3296">
        <v>-2.7387540000000001</v>
      </c>
      <c r="V3296">
        <v>-5.4221430000000001E-2</v>
      </c>
      <c r="W3296">
        <v>9.6179590000000006E-3</v>
      </c>
      <c r="X3296">
        <v>0.9984826</v>
      </c>
      <c r="Y3296">
        <v>-0.29115439999999998</v>
      </c>
      <c r="Z3296">
        <v>4.1932369999999997E-2</v>
      </c>
      <c r="AA3296">
        <v>0.95575670000000001</v>
      </c>
      <c r="AB3296">
        <v>9</v>
      </c>
      <c r="AC3296">
        <v>12.394399999999999</v>
      </c>
      <c r="AD3296">
        <v>-1.111557139199</v>
      </c>
      <c r="AE3296">
        <v>-23.6387</v>
      </c>
      <c r="AF3296">
        <v>-7.78473720518401</v>
      </c>
      <c r="AG3296">
        <v>-1.111557139199</v>
      </c>
      <c r="AH3296">
        <v>25.4821987071618</v>
      </c>
      <c r="AI3296">
        <v>92.388858612908393</v>
      </c>
      <c r="AJ3296">
        <v>106.98775874699101</v>
      </c>
      <c r="AK3296">
        <v>26.667960994023499</v>
      </c>
      <c r="AL3296">
        <v>89.448923037345295</v>
      </c>
      <c r="AM3296">
        <v>93.108327317237098</v>
      </c>
      <c r="AN3296">
        <v>0.99999998555466496</v>
      </c>
    </row>
    <row r="3297" spans="1:40" x14ac:dyDescent="0.25">
      <c r="A3297" t="str">
        <f>"20190312154317013"</f>
        <v>20190312154317013</v>
      </c>
      <c r="B3297" t="str">
        <f>"1552376597010663"</f>
        <v>1552376597010663</v>
      </c>
      <c r="C3297" t="s">
        <v>40</v>
      </c>
      <c r="D3297">
        <v>4.6925869999999996</v>
      </c>
      <c r="E3297">
        <v>0.40628219999999998</v>
      </c>
      <c r="F3297" t="s">
        <v>49</v>
      </c>
      <c r="G3297">
        <v>-479.4248</v>
      </c>
      <c r="H3297" s="1">
        <v>1.845379E-6</v>
      </c>
      <c r="I3297">
        <v>216.13650000000001</v>
      </c>
      <c r="J3297">
        <v>-491.75420000000003</v>
      </c>
      <c r="K3297">
        <v>1.1115539999999999</v>
      </c>
      <c r="L3297">
        <v>239.54660000000001</v>
      </c>
      <c r="M3297">
        <v>0.18773860000000001</v>
      </c>
      <c r="N3297">
        <v>0</v>
      </c>
      <c r="O3297">
        <v>-0.98212960000000005</v>
      </c>
      <c r="P3297">
        <v>0.2407617</v>
      </c>
      <c r="Q3297">
        <v>-3.398734E-3</v>
      </c>
      <c r="R3297">
        <v>-0.97057839999999995</v>
      </c>
      <c r="S3297">
        <v>1.438965</v>
      </c>
      <c r="T3297">
        <v>-0.12959580000000001</v>
      </c>
      <c r="U3297">
        <v>-2.7354280000000002</v>
      </c>
      <c r="V3297">
        <v>-5.4268990000000003E-2</v>
      </c>
      <c r="W3297">
        <v>9.7266729999999999E-3</v>
      </c>
      <c r="X3297">
        <v>0.99847889999999995</v>
      </c>
      <c r="Y3297">
        <v>-0.2906936</v>
      </c>
      <c r="Z3297">
        <v>4.231708E-2</v>
      </c>
      <c r="AA3297">
        <v>0.95587999999999995</v>
      </c>
      <c r="AB3297">
        <v>8</v>
      </c>
      <c r="AC3297">
        <v>12.3294</v>
      </c>
      <c r="AD3297">
        <v>-1.1115521546210001</v>
      </c>
      <c r="AE3297">
        <v>-23.4101</v>
      </c>
      <c r="AF3297">
        <v>-7.7011747414322098</v>
      </c>
      <c r="AG3297">
        <v>-1.1115521546210001</v>
      </c>
      <c r="AH3297">
        <v>25.264089618872699</v>
      </c>
      <c r="AI3297">
        <v>92.409897309920893</v>
      </c>
      <c r="AJ3297">
        <v>106.952632929731</v>
      </c>
      <c r="AK3297">
        <v>26.435163416573499</v>
      </c>
      <c r="AL3297">
        <v>89.442693857402304</v>
      </c>
      <c r="AM3297">
        <v>93.111059920158993</v>
      </c>
      <c r="AN3297">
        <v>0.99999992259423598</v>
      </c>
    </row>
    <row r="3298" spans="1:40" x14ac:dyDescent="0.25">
      <c r="A3298" t="str">
        <f>"20190312154317032"</f>
        <v>20190312154317032</v>
      </c>
      <c r="B3298" t="str">
        <f>"1552376597020423"</f>
        <v>1552376597020423</v>
      </c>
      <c r="C3298" t="s">
        <v>40</v>
      </c>
      <c r="D3298">
        <v>4.7163380000000004</v>
      </c>
      <c r="E3298">
        <v>0.40593600000000002</v>
      </c>
      <c r="F3298" t="s">
        <v>49</v>
      </c>
      <c r="G3298">
        <v>-479.52530000000002</v>
      </c>
      <c r="H3298" s="1">
        <v>1.8186860000000001E-6</v>
      </c>
      <c r="I3298">
        <v>216.54499999999999</v>
      </c>
      <c r="J3298">
        <v>-491.73779999999999</v>
      </c>
      <c r="K3298">
        <v>1.11155</v>
      </c>
      <c r="L3298">
        <v>239.48009999999999</v>
      </c>
      <c r="M3298">
        <v>0.1908136</v>
      </c>
      <c r="N3298">
        <v>0</v>
      </c>
      <c r="O3298">
        <v>-0.98153699999999999</v>
      </c>
      <c r="P3298">
        <v>0.24379519999999999</v>
      </c>
      <c r="Q3298">
        <v>-3.2601689999999998E-3</v>
      </c>
      <c r="R3298">
        <v>-0.96982159999999995</v>
      </c>
      <c r="S3298">
        <v>1.45163</v>
      </c>
      <c r="T3298">
        <v>-0.13194600000000001</v>
      </c>
      <c r="U3298">
        <v>-2.7303769999999998</v>
      </c>
      <c r="V3298">
        <v>-5.426367E-2</v>
      </c>
      <c r="W3298">
        <v>9.8625650000000002E-3</v>
      </c>
      <c r="X3298">
        <v>0.99847790000000003</v>
      </c>
      <c r="Y3298">
        <v>-0.29187350000000001</v>
      </c>
      <c r="Z3298">
        <v>4.3062280000000001E-2</v>
      </c>
      <c r="AA3298">
        <v>0.95548710000000003</v>
      </c>
      <c r="AB3298">
        <v>8</v>
      </c>
      <c r="AC3298">
        <v>12.212499999999901</v>
      </c>
      <c r="AD3298">
        <v>-1.111548181314</v>
      </c>
      <c r="AE3298">
        <v>-22.935099999999998</v>
      </c>
      <c r="AF3298">
        <v>-7.59745550995539</v>
      </c>
      <c r="AG3298">
        <v>-1.111548181314</v>
      </c>
      <c r="AH3298">
        <v>24.798756538485499</v>
      </c>
      <c r="AI3298">
        <v>92.454000492664704</v>
      </c>
      <c r="AJ3298">
        <v>107.033198351005</v>
      </c>
      <c r="AK3298">
        <v>25.960261852304399</v>
      </c>
      <c r="AL3298">
        <v>89.434907469993703</v>
      </c>
      <c r="AM3298">
        <v>93.110758650710906</v>
      </c>
      <c r="AN3298">
        <v>0.99999996642932798</v>
      </c>
    </row>
    <row r="3299" spans="1:40" x14ac:dyDescent="0.25">
      <c r="A3299" t="str">
        <f>"20190312154317054"</f>
        <v>20190312154317054</v>
      </c>
      <c r="B3299" t="str">
        <f>"1552376597050679"</f>
        <v>1552376597050679</v>
      </c>
      <c r="C3299" t="s">
        <v>40</v>
      </c>
      <c r="D3299">
        <v>4.6686629999999996</v>
      </c>
      <c r="E3299">
        <v>0.40548640000000002</v>
      </c>
      <c r="F3299" t="s">
        <v>49</v>
      </c>
      <c r="G3299">
        <v>-480.06709999999998</v>
      </c>
      <c r="H3299" s="1">
        <v>1.698417E-6</v>
      </c>
      <c r="I3299">
        <v>217.73769999999999</v>
      </c>
      <c r="J3299">
        <v>-491.71719999999999</v>
      </c>
      <c r="K3299">
        <v>1.111542</v>
      </c>
      <c r="L3299">
        <v>239.39830000000001</v>
      </c>
      <c r="M3299">
        <v>0.19459180000000001</v>
      </c>
      <c r="N3299">
        <v>0</v>
      </c>
      <c r="O3299">
        <v>-0.98079479999999997</v>
      </c>
      <c r="P3299">
        <v>0.2472694</v>
      </c>
      <c r="Q3299">
        <v>-3.8520260000000001E-3</v>
      </c>
      <c r="R3299">
        <v>-0.96893910000000005</v>
      </c>
      <c r="S3299">
        <v>1.462799</v>
      </c>
      <c r="T3299">
        <v>-0.13932059999999999</v>
      </c>
      <c r="U3299">
        <v>-2.725174</v>
      </c>
      <c r="V3299">
        <v>-5.39964E-2</v>
      </c>
      <c r="W3299">
        <v>9.2684529999999994E-3</v>
      </c>
      <c r="X3299">
        <v>0.99849810000000006</v>
      </c>
      <c r="Y3299">
        <v>-0.29194150000000002</v>
      </c>
      <c r="Z3299">
        <v>4.5446960000000002E-2</v>
      </c>
      <c r="AA3299">
        <v>0.95535579999999998</v>
      </c>
      <c r="AB3299">
        <v>8</v>
      </c>
      <c r="AC3299">
        <v>11.6501</v>
      </c>
      <c r="AD3299">
        <v>-1.1115403015829901</v>
      </c>
      <c r="AE3299">
        <v>-21.660599999999999</v>
      </c>
      <c r="AF3299">
        <v>-7.1973150474829897</v>
      </c>
      <c r="AG3299">
        <v>-1.1115403015829901</v>
      </c>
      <c r="AH3299">
        <v>23.4657534481901</v>
      </c>
      <c r="AI3299">
        <v>92.592944748110199</v>
      </c>
      <c r="AJ3299">
        <v>107.051598959972</v>
      </c>
      <c r="AK3299">
        <v>24.5698687547576</v>
      </c>
      <c r="AL3299">
        <v>89.468949149384102</v>
      </c>
      <c r="AM3299">
        <v>93.095404305728195</v>
      </c>
      <c r="AN3299">
        <v>0.99999998556879099</v>
      </c>
    </row>
    <row r="3300" spans="1:40" x14ac:dyDescent="0.25">
      <c r="A3300" t="str">
        <f>"20190312154317076"</f>
        <v>20190312154317076</v>
      </c>
      <c r="B3300" t="str">
        <f>"1552376597070199"</f>
        <v>1552376597070199</v>
      </c>
      <c r="C3300" t="s">
        <v>40</v>
      </c>
      <c r="D3300">
        <v>4.8116849999999998</v>
      </c>
      <c r="E3300">
        <v>0.40559869999999998</v>
      </c>
      <c r="F3300" t="s">
        <v>49</v>
      </c>
      <c r="G3300">
        <v>-481.30439999999999</v>
      </c>
      <c r="H3300" s="1">
        <v>2.1355280000000001E-6</v>
      </c>
      <c r="I3300">
        <v>220.22919999999999</v>
      </c>
      <c r="J3300">
        <v>-491.69740000000002</v>
      </c>
      <c r="K3300">
        <v>1.1115299999999999</v>
      </c>
      <c r="L3300">
        <v>239.32069999999999</v>
      </c>
      <c r="M3300">
        <v>0.19816420000000001</v>
      </c>
      <c r="N3300">
        <v>0</v>
      </c>
      <c r="O3300">
        <v>-0.98007940000000004</v>
      </c>
      <c r="P3300">
        <v>0.25028830000000002</v>
      </c>
      <c r="Q3300">
        <v>-4.353974E-3</v>
      </c>
      <c r="R3300">
        <v>-0.96816170000000001</v>
      </c>
      <c r="S3300">
        <v>1.476807</v>
      </c>
      <c r="T3300">
        <v>-0.15764549999999999</v>
      </c>
      <c r="U3300">
        <v>-2.718674</v>
      </c>
      <c r="V3300">
        <v>-5.3469580000000003E-2</v>
      </c>
      <c r="W3300">
        <v>8.7649349999999997E-3</v>
      </c>
      <c r="X3300">
        <v>0.99853099999999995</v>
      </c>
      <c r="Y3300">
        <v>-0.2930779</v>
      </c>
      <c r="Z3300">
        <v>5.1391939999999997E-2</v>
      </c>
      <c r="AA3300">
        <v>0.95470639999999996</v>
      </c>
      <c r="AB3300">
        <v>8</v>
      </c>
      <c r="AC3300">
        <v>10.393000000000001</v>
      </c>
      <c r="AD3300">
        <v>-1.1115278644719999</v>
      </c>
      <c r="AE3300">
        <v>-19.0915</v>
      </c>
      <c r="AF3300">
        <v>-6.3865750751177899</v>
      </c>
      <c r="AG3300">
        <v>-1.1115278644719999</v>
      </c>
      <c r="AH3300">
        <v>20.718352968259602</v>
      </c>
      <c r="AI3300">
        <v>92.934919502176697</v>
      </c>
      <c r="AJ3300">
        <v>107.132274838988</v>
      </c>
      <c r="AK3300">
        <v>21.7088457800272</v>
      </c>
      <c r="AL3300">
        <v>89.497799780958502</v>
      </c>
      <c r="AM3300">
        <v>93.065160829555793</v>
      </c>
      <c r="AN3300">
        <v>0.99999998901596499</v>
      </c>
    </row>
    <row r="3301" spans="1:40" x14ac:dyDescent="0.25">
      <c r="A3301" t="str">
        <f>"20190312154317098"</f>
        <v>20190312154317098</v>
      </c>
      <c r="B3301" t="str">
        <f>"1552376597090695"</f>
        <v>1552376597090695</v>
      </c>
      <c r="C3301" t="s">
        <v>40</v>
      </c>
      <c r="D3301">
        <v>4.6579139999999999</v>
      </c>
      <c r="E3301">
        <v>0.40567890000000001</v>
      </c>
      <c r="F3301" t="s">
        <v>49</v>
      </c>
      <c r="G3301">
        <v>-481.54300000000001</v>
      </c>
      <c r="H3301" s="1">
        <v>2.2946309999999998E-6</v>
      </c>
      <c r="I3301">
        <v>220.75739999999999</v>
      </c>
      <c r="J3301">
        <v>-491.67720000000003</v>
      </c>
      <c r="K3301">
        <v>1.1115120000000001</v>
      </c>
      <c r="L3301">
        <v>239.24260000000001</v>
      </c>
      <c r="M3301">
        <v>0.20174449999999999</v>
      </c>
      <c r="N3301">
        <v>0</v>
      </c>
      <c r="O3301">
        <v>-0.97934880000000002</v>
      </c>
      <c r="P3301">
        <v>0.25351649999999998</v>
      </c>
      <c r="Q3301">
        <v>-4.2440450000000001E-3</v>
      </c>
      <c r="R3301">
        <v>-0.9673216</v>
      </c>
      <c r="S3301">
        <v>1.48468</v>
      </c>
      <c r="T3301">
        <v>-0.16251699999999999</v>
      </c>
      <c r="U3301">
        <v>-2.7141419999999998</v>
      </c>
      <c r="V3301">
        <v>-5.3151469999999999E-2</v>
      </c>
      <c r="W3301">
        <v>8.8726959999999994E-3</v>
      </c>
      <c r="X3301">
        <v>0.99854699999999996</v>
      </c>
      <c r="Y3301">
        <v>-0.29234700000000002</v>
      </c>
      <c r="Z3301">
        <v>5.296522E-2</v>
      </c>
      <c r="AA3301">
        <v>0.95484449999999998</v>
      </c>
      <c r="AB3301">
        <v>8</v>
      </c>
      <c r="AC3301">
        <v>10.1342</v>
      </c>
      <c r="AD3301">
        <v>-1.111509705369</v>
      </c>
      <c r="AE3301">
        <v>-18.485199999999999</v>
      </c>
      <c r="AF3301">
        <v>-6.1789939010126496</v>
      </c>
      <c r="AG3301">
        <v>-1.111509705369</v>
      </c>
      <c r="AH3301">
        <v>20.0938801902469</v>
      </c>
      <c r="AI3301">
        <v>93.026551557605202</v>
      </c>
      <c r="AJ3301">
        <v>107.092990518748</v>
      </c>
      <c r="AK3301">
        <v>21.051827487272401</v>
      </c>
      <c r="AL3301">
        <v>89.491625274190199</v>
      </c>
      <c r="AM3301">
        <v>93.046910805685897</v>
      </c>
      <c r="AN3301">
        <v>0.99999995735323299</v>
      </c>
    </row>
    <row r="3302" spans="1:40" x14ac:dyDescent="0.25">
      <c r="A3302" t="str">
        <f>"20190312154317119"</f>
        <v>20190312154317119</v>
      </c>
      <c r="B3302" t="str">
        <f>"1552376597110215"</f>
        <v>1552376597110215</v>
      </c>
      <c r="C3302" t="s">
        <v>40</v>
      </c>
      <c r="D3302">
        <v>4.6885370000000002</v>
      </c>
      <c r="E3302">
        <v>0.40580300000000002</v>
      </c>
      <c r="F3302" t="s">
        <v>49</v>
      </c>
      <c r="G3302">
        <v>-481.6952</v>
      </c>
      <c r="H3302" s="1">
        <v>2.4037660000000001E-6</v>
      </c>
      <c r="I3302">
        <v>221.12889999999999</v>
      </c>
      <c r="J3302">
        <v>-491.65629999999999</v>
      </c>
      <c r="K3302">
        <v>1.11148799999999</v>
      </c>
      <c r="L3302">
        <v>239.16329999999999</v>
      </c>
      <c r="M3302">
        <v>0.20535220000000001</v>
      </c>
      <c r="N3302">
        <v>0</v>
      </c>
      <c r="O3302">
        <v>-0.97859879999999999</v>
      </c>
      <c r="P3302">
        <v>0.25692930000000003</v>
      </c>
      <c r="Q3302">
        <v>-4.1030930000000004E-3</v>
      </c>
      <c r="R3302">
        <v>-0.9664218</v>
      </c>
      <c r="S3302">
        <v>1.493042</v>
      </c>
      <c r="T3302">
        <v>-0.16625200000000001</v>
      </c>
      <c r="U3302">
        <v>-2.70932</v>
      </c>
      <c r="V3302">
        <v>-5.29957E-2</v>
      </c>
      <c r="W3302">
        <v>9.0109720000000008E-3</v>
      </c>
      <c r="X3302">
        <v>0.9985541</v>
      </c>
      <c r="Y3302">
        <v>-0.29177009999999998</v>
      </c>
      <c r="Z3302">
        <v>5.4168059999999997E-2</v>
      </c>
      <c r="AA3302">
        <v>0.95495339999999995</v>
      </c>
      <c r="AB3302">
        <v>8</v>
      </c>
      <c r="AC3302">
        <v>9.9610999999999805</v>
      </c>
      <c r="AD3302">
        <v>-1.11148559623399</v>
      </c>
      <c r="AE3302">
        <v>-18.034400000000002</v>
      </c>
      <c r="AF3302">
        <v>-6.0275022893367396</v>
      </c>
      <c r="AG3302">
        <v>-1.11148559623399</v>
      </c>
      <c r="AH3302">
        <v>19.638540104922601</v>
      </c>
      <c r="AI3302">
        <v>93.097030078955598</v>
      </c>
      <c r="AJ3302">
        <v>107.062408066318</v>
      </c>
      <c r="AK3302">
        <v>20.572759696532</v>
      </c>
      <c r="AL3302">
        <v>89.483702356285704</v>
      </c>
      <c r="AM3302">
        <v>93.037976473391396</v>
      </c>
      <c r="AN3302">
        <v>1.00000001623084</v>
      </c>
    </row>
    <row r="3303" spans="1:40" x14ac:dyDescent="0.25">
      <c r="A3303" t="str">
        <f>"20190312154317135"</f>
        <v>20190312154317135</v>
      </c>
      <c r="B3303" t="str">
        <f>"1552376597130711"</f>
        <v>1552376597130711</v>
      </c>
      <c r="C3303" t="s">
        <v>40</v>
      </c>
      <c r="D3303">
        <v>4.6930500000000004</v>
      </c>
      <c r="E3303">
        <v>0.4059893</v>
      </c>
      <c r="F3303" t="s">
        <v>49</v>
      </c>
      <c r="G3303">
        <v>-481.84010000000001</v>
      </c>
      <c r="H3303" s="1">
        <v>2.5083779999999998E-6</v>
      </c>
      <c r="I3303">
        <v>221.48580000000001</v>
      </c>
      <c r="J3303">
        <v>-491.64269999999999</v>
      </c>
      <c r="K3303">
        <v>1.1114740000000001</v>
      </c>
      <c r="L3303">
        <v>239.11189999999999</v>
      </c>
      <c r="M3303">
        <v>0.20767350000000001</v>
      </c>
      <c r="N3303">
        <v>0</v>
      </c>
      <c r="O3303">
        <v>-0.97810889999999995</v>
      </c>
      <c r="P3303">
        <v>0.25902770000000003</v>
      </c>
      <c r="Q3303">
        <v>-4.0995440000000001E-3</v>
      </c>
      <c r="R3303">
        <v>-0.96586130000000003</v>
      </c>
      <c r="S3303">
        <v>1.501709</v>
      </c>
      <c r="T3303">
        <v>-0.17003689999999999</v>
      </c>
      <c r="U3303">
        <v>-2.7043300000000001</v>
      </c>
      <c r="V3303">
        <v>-5.279524E-2</v>
      </c>
      <c r="W3303">
        <v>9.0133560000000001E-3</v>
      </c>
      <c r="X3303">
        <v>0.99856469999999997</v>
      </c>
      <c r="Y3303">
        <v>-0.2925546</v>
      </c>
      <c r="Z3303">
        <v>5.5397710000000003E-2</v>
      </c>
      <c r="AA3303">
        <v>0.95464280000000001</v>
      </c>
      <c r="AB3303">
        <v>8</v>
      </c>
      <c r="AC3303">
        <v>9.8025999999999804</v>
      </c>
      <c r="AD3303">
        <v>-1.1114714916220001</v>
      </c>
      <c r="AE3303">
        <v>-17.626099999999902</v>
      </c>
      <c r="AF3303">
        <v>-5.9101051594790004</v>
      </c>
      <c r="AG3303">
        <v>-1.1114714916220001</v>
      </c>
      <c r="AH3303">
        <v>19.219300125847301</v>
      </c>
      <c r="AI3303">
        <v>93.163891080038695</v>
      </c>
      <c r="AJ3303">
        <v>107.093126974873</v>
      </c>
      <c r="AK3303">
        <v>20.138177901691598</v>
      </c>
      <c r="AL3303">
        <v>89.483565759042506</v>
      </c>
      <c r="AM3303">
        <v>93.026474448318694</v>
      </c>
      <c r="AN3303">
        <v>1.0000000190195599</v>
      </c>
    </row>
    <row r="3304" spans="1:40" x14ac:dyDescent="0.25">
      <c r="A3304" t="str">
        <f>"20190312154317147"</f>
        <v>20190312154317147</v>
      </c>
      <c r="B3304" t="str">
        <f>"1552376597140471"</f>
        <v>1552376597140471</v>
      </c>
      <c r="C3304" t="s">
        <v>40</v>
      </c>
      <c r="D3304">
        <v>4.6836609999999999</v>
      </c>
      <c r="E3304">
        <v>0.40609499999999998</v>
      </c>
      <c r="F3304" t="s">
        <v>49</v>
      </c>
      <c r="G3304">
        <v>-482.01479999999998</v>
      </c>
      <c r="H3304" s="1">
        <v>2.6188019999999999E-6</v>
      </c>
      <c r="I3304">
        <v>221.8451</v>
      </c>
      <c r="J3304">
        <v>-491.6309</v>
      </c>
      <c r="K3304">
        <v>1.111462</v>
      </c>
      <c r="L3304">
        <v>239.06739999999999</v>
      </c>
      <c r="M3304">
        <v>0.20967430000000001</v>
      </c>
      <c r="N3304">
        <v>0</v>
      </c>
      <c r="O3304">
        <v>-0.9776821</v>
      </c>
      <c r="P3304">
        <v>0.26113750000000002</v>
      </c>
      <c r="Q3304">
        <v>-4.187367E-3</v>
      </c>
      <c r="R3304">
        <v>-0.96529279999999995</v>
      </c>
      <c r="S3304">
        <v>1.506256</v>
      </c>
      <c r="T3304">
        <v>-0.17388619999999999</v>
      </c>
      <c r="U3304">
        <v>-2.7013400000000001</v>
      </c>
      <c r="V3304">
        <v>-5.293337E-2</v>
      </c>
      <c r="W3304">
        <v>8.923238E-3</v>
      </c>
      <c r="X3304">
        <v>0.99855819999999995</v>
      </c>
      <c r="Y3304">
        <v>-0.29223880000000002</v>
      </c>
      <c r="Z3304">
        <v>5.664628E-2</v>
      </c>
      <c r="AA3304">
        <v>0.95466629999999997</v>
      </c>
      <c r="AB3304">
        <v>8</v>
      </c>
      <c r="AC3304">
        <v>9.6161000000000101</v>
      </c>
      <c r="AD3304">
        <v>-1.111459381198</v>
      </c>
      <c r="AE3304">
        <v>-17.222299999999901</v>
      </c>
      <c r="AF3304">
        <v>-5.7725918202913302</v>
      </c>
      <c r="AG3304">
        <v>-1.111459381198</v>
      </c>
      <c r="AH3304">
        <v>18.796148900602802</v>
      </c>
      <c r="AI3304">
        <v>93.2352903003721</v>
      </c>
      <c r="AJ3304">
        <v>107.07254247295801</v>
      </c>
      <c r="AK3304">
        <v>19.693993291696302</v>
      </c>
      <c r="AL3304">
        <v>89.488729349346102</v>
      </c>
      <c r="AM3304">
        <v>93.034397654115693</v>
      </c>
      <c r="AN3304">
        <v>1.0000000223115999</v>
      </c>
    </row>
    <row r="3305" spans="1:40" x14ac:dyDescent="0.25">
      <c r="A3305" t="str">
        <f>"20190312154317165"</f>
        <v>20190312154317165</v>
      </c>
      <c r="B3305" t="str">
        <f>"1552376597160967"</f>
        <v>1552376597160967</v>
      </c>
      <c r="C3305" t="s">
        <v>40</v>
      </c>
      <c r="D3305">
        <v>4.6861579999999998</v>
      </c>
      <c r="E3305">
        <v>0.4063446</v>
      </c>
      <c r="F3305" t="s">
        <v>49</v>
      </c>
      <c r="G3305">
        <v>-482.07249999999999</v>
      </c>
      <c r="H3305" s="1">
        <v>2.6636249999999998E-6</v>
      </c>
      <c r="I3305">
        <v>222.00149999999999</v>
      </c>
      <c r="J3305">
        <v>-491.61369999999999</v>
      </c>
      <c r="K3305">
        <v>1.1114360000000001</v>
      </c>
      <c r="L3305">
        <v>239.00389999999999</v>
      </c>
      <c r="M3305">
        <v>0.21249170000000001</v>
      </c>
      <c r="N3305">
        <v>0</v>
      </c>
      <c r="O3305">
        <v>-0.97707370000000004</v>
      </c>
      <c r="P3305">
        <v>0.26375569999999998</v>
      </c>
      <c r="Q3305">
        <v>-3.9218869999999998E-3</v>
      </c>
      <c r="R3305">
        <v>-0.96458189999999999</v>
      </c>
      <c r="S3305">
        <v>1.511261</v>
      </c>
      <c r="T3305">
        <v>-0.1757321</v>
      </c>
      <c r="U3305">
        <v>-2.6982729999999999</v>
      </c>
      <c r="V3305">
        <v>-5.2764199999999997E-2</v>
      </c>
      <c r="W3305">
        <v>9.1864410000000001E-3</v>
      </c>
      <c r="X3305">
        <v>0.99856469999999997</v>
      </c>
      <c r="Y3305">
        <v>-0.29127609999999998</v>
      </c>
      <c r="Z3305">
        <v>5.7233359999999997E-2</v>
      </c>
      <c r="AA3305">
        <v>0.95492540000000004</v>
      </c>
      <c r="AB3305">
        <v>8</v>
      </c>
      <c r="AC3305">
        <v>9.5411999999999999</v>
      </c>
      <c r="AD3305">
        <v>-1.111433336375</v>
      </c>
      <c r="AE3305">
        <v>-17.002399999999898</v>
      </c>
      <c r="AF3305">
        <v>-5.6915879896125201</v>
      </c>
      <c r="AG3305">
        <v>-1.111433336375</v>
      </c>
      <c r="AH3305">
        <v>18.581263476217401</v>
      </c>
      <c r="AI3305">
        <v>93.273287381270194</v>
      </c>
      <c r="AJ3305">
        <v>107.030240801754</v>
      </c>
      <c r="AK3305">
        <v>19.465169156144398</v>
      </c>
      <c r="AL3305">
        <v>89.473648275309998</v>
      </c>
      <c r="AM3305">
        <v>93.024698392817399</v>
      </c>
      <c r="AN3305">
        <v>0.99999995579298695</v>
      </c>
    </row>
    <row r="3306" spans="1:40" x14ac:dyDescent="0.25">
      <c r="A3306" t="str">
        <f>"20190312154317180"</f>
        <v>20190312154317180</v>
      </c>
      <c r="B3306" t="str">
        <f>"1552376597170726"</f>
        <v>1552376597170726</v>
      </c>
      <c r="C3306" t="s">
        <v>40</v>
      </c>
      <c r="D3306">
        <v>4.6624759999999998</v>
      </c>
      <c r="E3306">
        <v>0.40646529999999997</v>
      </c>
      <c r="F3306" t="s">
        <v>49</v>
      </c>
      <c r="G3306">
        <v>-482.0917</v>
      </c>
      <c r="H3306" s="1">
        <v>2.6868670000000002E-6</v>
      </c>
      <c r="I3306">
        <v>222.09129999999999</v>
      </c>
      <c r="J3306">
        <v>-491.59969999999998</v>
      </c>
      <c r="K3306">
        <v>1.111413</v>
      </c>
      <c r="L3306">
        <v>238.95249999999999</v>
      </c>
      <c r="M3306">
        <v>0.21474499999999999</v>
      </c>
      <c r="N3306">
        <v>0</v>
      </c>
      <c r="O3306">
        <v>-0.97658089999999997</v>
      </c>
      <c r="P3306">
        <v>0.26613880000000001</v>
      </c>
      <c r="Q3306">
        <v>-3.4419009999999998E-3</v>
      </c>
      <c r="R3306">
        <v>-0.96392880000000003</v>
      </c>
      <c r="S3306">
        <v>1.51709</v>
      </c>
      <c r="T3306">
        <v>-0.17707819999999999</v>
      </c>
      <c r="U3306">
        <v>-2.6945950000000001</v>
      </c>
      <c r="V3306">
        <v>-5.292823E-2</v>
      </c>
      <c r="W3306">
        <v>9.6632560000000003E-3</v>
      </c>
      <c r="X3306">
        <v>0.99855150000000004</v>
      </c>
      <c r="Y3306">
        <v>-0.29118240000000001</v>
      </c>
      <c r="Z3306">
        <v>5.7667389999999999E-2</v>
      </c>
      <c r="AA3306">
        <v>0.95492790000000005</v>
      </c>
      <c r="AB3306">
        <v>8</v>
      </c>
      <c r="AC3306">
        <v>9.5079999999999796</v>
      </c>
      <c r="AD3306">
        <v>-1.111410313133</v>
      </c>
      <c r="AE3306">
        <v>-16.861199999999901</v>
      </c>
      <c r="AF3306">
        <v>-5.6463529993444297</v>
      </c>
      <c r="AG3306">
        <v>-1.111410313133</v>
      </c>
      <c r="AH3306">
        <v>18.448916610728102</v>
      </c>
      <c r="AI3306">
        <v>93.296883590520693</v>
      </c>
      <c r="AJ3306">
        <v>107.016906439601</v>
      </c>
      <c r="AK3306">
        <v>19.325606308391599</v>
      </c>
      <c r="AL3306">
        <v>89.446327562939103</v>
      </c>
      <c r="AM3306">
        <v>93.034123874879398</v>
      </c>
      <c r="AN3306">
        <v>0.99999993709985002</v>
      </c>
    </row>
    <row r="3307" spans="1:40" x14ac:dyDescent="0.25">
      <c r="A3307" t="str">
        <f>"20190312154317199"</f>
        <v>20190312154317199</v>
      </c>
      <c r="B3307" t="str">
        <f>"1552376597190247"</f>
        <v>1552376597190247</v>
      </c>
      <c r="C3307" t="s">
        <v>40</v>
      </c>
      <c r="D3307">
        <v>4.713044</v>
      </c>
      <c r="E3307">
        <v>0.40681489999999998</v>
      </c>
      <c r="F3307" t="s">
        <v>49</v>
      </c>
      <c r="G3307">
        <v>-482.00170000000003</v>
      </c>
      <c r="H3307" s="1">
        <v>2.6488259999999998E-6</v>
      </c>
      <c r="I3307">
        <v>221.9914</v>
      </c>
      <c r="J3307">
        <v>-491.58150000000001</v>
      </c>
      <c r="K3307">
        <v>1.1113839999999999</v>
      </c>
      <c r="L3307">
        <v>238.88589999999999</v>
      </c>
      <c r="M3307">
        <v>0.21762680000000001</v>
      </c>
      <c r="N3307">
        <v>0</v>
      </c>
      <c r="O3307">
        <v>-0.97594270000000005</v>
      </c>
      <c r="P3307">
        <v>0.26948860000000002</v>
      </c>
      <c r="Q3307">
        <v>-2.223498E-3</v>
      </c>
      <c r="R3307">
        <v>-0.96300090000000005</v>
      </c>
      <c r="S3307">
        <v>1.522888</v>
      </c>
      <c r="T3307">
        <v>-0.1763431</v>
      </c>
      <c r="U3307">
        <v>-2.691147</v>
      </c>
      <c r="V3307">
        <v>-5.3453229999999997E-2</v>
      </c>
      <c r="W3307">
        <v>1.087722E-2</v>
      </c>
      <c r="X3307">
        <v>0.99851109999999998</v>
      </c>
      <c r="Y3307">
        <v>-0.29044880000000001</v>
      </c>
      <c r="Z3307">
        <v>5.741487E-2</v>
      </c>
      <c r="AA3307">
        <v>0.95516650000000003</v>
      </c>
      <c r="AB3307">
        <v>8</v>
      </c>
      <c r="AC3307">
        <v>9.5797999999999703</v>
      </c>
      <c r="AD3307">
        <v>-1.1113813511739901</v>
      </c>
      <c r="AE3307">
        <v>-16.894499999999901</v>
      </c>
      <c r="AF3307">
        <v>-5.65461807153374</v>
      </c>
      <c r="AG3307">
        <v>-1.1113813511739901</v>
      </c>
      <c r="AH3307">
        <v>18.513879577956398</v>
      </c>
      <c r="AI3307">
        <v>93.285830353880698</v>
      </c>
      <c r="AJ3307">
        <v>106.984027941227</v>
      </c>
      <c r="AK3307">
        <v>19.390038965141901</v>
      </c>
      <c r="AL3307">
        <v>89.376768904578796</v>
      </c>
      <c r="AM3307">
        <v>93.064286299620306</v>
      </c>
      <c r="AN3307">
        <v>0.99999998926778499</v>
      </c>
    </row>
    <row r="3308" spans="1:40" x14ac:dyDescent="0.25">
      <c r="A3308" t="str">
        <f>"20190312154317221"</f>
        <v>20190312154317221</v>
      </c>
      <c r="B3308" t="str">
        <f>"1552376597210743"</f>
        <v>1552376597210743</v>
      </c>
      <c r="C3308" t="s">
        <v>40</v>
      </c>
      <c r="D3308">
        <v>4.6763949999999896</v>
      </c>
      <c r="E3308">
        <v>0.40708040000000001</v>
      </c>
      <c r="F3308" t="s">
        <v>49</v>
      </c>
      <c r="G3308">
        <v>-481.78429999999997</v>
      </c>
      <c r="H3308" s="1">
        <v>2.5405839999999998E-6</v>
      </c>
      <c r="I3308">
        <v>221.6763</v>
      </c>
      <c r="J3308">
        <v>-491.56029999999998</v>
      </c>
      <c r="K3308">
        <v>1.1113489999999999</v>
      </c>
      <c r="L3308">
        <v>238.80889999999999</v>
      </c>
      <c r="M3308">
        <v>0.22089600000000001</v>
      </c>
      <c r="N3308">
        <v>0</v>
      </c>
      <c r="O3308">
        <v>-0.97520819999999997</v>
      </c>
      <c r="P3308">
        <v>0.27319139999999997</v>
      </c>
      <c r="Q3308">
        <v>-1.347717E-3</v>
      </c>
      <c r="R3308">
        <v>-0.9619588</v>
      </c>
      <c r="S3308">
        <v>1.5295719999999999</v>
      </c>
      <c r="T3308">
        <v>-0.17351169999999999</v>
      </c>
      <c r="U3308">
        <v>-2.6868129999999999</v>
      </c>
      <c r="V3308">
        <v>-5.3948339999999997E-2</v>
      </c>
      <c r="W3308">
        <v>1.174739E-2</v>
      </c>
      <c r="X3308">
        <v>0.99847459999999999</v>
      </c>
      <c r="Y3308">
        <v>-0.28972550000000002</v>
      </c>
      <c r="Z3308">
        <v>5.6485689999999998E-2</v>
      </c>
      <c r="AA3308">
        <v>0.95544150000000005</v>
      </c>
      <c r="AB3308">
        <v>8</v>
      </c>
      <c r="AC3308">
        <v>9.7759999999999998</v>
      </c>
      <c r="AD3308">
        <v>-1.1113464594160001</v>
      </c>
      <c r="AE3308">
        <v>-17.132599999999901</v>
      </c>
      <c r="AF3308">
        <v>-5.7314195776902901</v>
      </c>
      <c r="AG3308">
        <v>-1.1113464594160001</v>
      </c>
      <c r="AH3308">
        <v>18.809266822042499</v>
      </c>
      <c r="AI3308">
        <v>93.234880231609097</v>
      </c>
      <c r="AJ3308">
        <v>106.946636483598</v>
      </c>
      <c r="AK3308">
        <v>19.6944860230263</v>
      </c>
      <c r="AL3308">
        <v>89.326908634513003</v>
      </c>
      <c r="AM3308">
        <v>93.092727209932804</v>
      </c>
      <c r="AN3308">
        <v>0.99999997570286303</v>
      </c>
    </row>
    <row r="3309" spans="1:40" x14ac:dyDescent="0.25">
      <c r="A3309" t="str">
        <f>"20190312154317235"</f>
        <v>20190312154317235</v>
      </c>
      <c r="B3309" t="str">
        <f>"1552376597220502"</f>
        <v>1552376597220502</v>
      </c>
      <c r="C3309" t="s">
        <v>40</v>
      </c>
      <c r="D3309">
        <v>4.6701110000000003</v>
      </c>
      <c r="E3309">
        <v>0.40722269999999999</v>
      </c>
      <c r="F3309" t="s">
        <v>49</v>
      </c>
      <c r="G3309">
        <v>-481.6816</v>
      </c>
      <c r="H3309" s="1">
        <v>2.5020860000000002E-6</v>
      </c>
      <c r="I3309">
        <v>221.58459999999999</v>
      </c>
      <c r="J3309">
        <v>-491.54750000000001</v>
      </c>
      <c r="K3309">
        <v>1.1113280000000001</v>
      </c>
      <c r="L3309">
        <v>238.76329999999999</v>
      </c>
      <c r="M3309">
        <v>0.2228</v>
      </c>
      <c r="N3309">
        <v>0</v>
      </c>
      <c r="O3309">
        <v>-0.97477499999999995</v>
      </c>
      <c r="P3309">
        <v>0.27521410000000002</v>
      </c>
      <c r="Q3309">
        <v>-1.264914E-3</v>
      </c>
      <c r="R3309">
        <v>-0.96138230000000002</v>
      </c>
      <c r="S3309">
        <v>1.5379940000000001</v>
      </c>
      <c r="T3309">
        <v>-0.17302310000000001</v>
      </c>
      <c r="U3309">
        <v>-2.6816249999999999</v>
      </c>
      <c r="V3309">
        <v>-5.4098260000000002E-2</v>
      </c>
      <c r="W3309">
        <v>1.182749E-2</v>
      </c>
      <c r="X3309">
        <v>0.99846550000000001</v>
      </c>
      <c r="Y3309">
        <v>-0.29091640000000002</v>
      </c>
      <c r="Z3309">
        <v>5.633254E-2</v>
      </c>
      <c r="AA3309">
        <v>0.95508859999999995</v>
      </c>
      <c r="AB3309">
        <v>8</v>
      </c>
      <c r="AC3309">
        <v>9.8658999999999999</v>
      </c>
      <c r="AD3309">
        <v>-1.1113254979139999</v>
      </c>
      <c r="AE3309">
        <v>-17.1786999999999</v>
      </c>
      <c r="AF3309">
        <v>-5.7719569664860204</v>
      </c>
      <c r="AG3309">
        <v>-1.1113254979139999</v>
      </c>
      <c r="AH3309">
        <v>18.885702319398899</v>
      </c>
      <c r="AI3309">
        <v>93.220935281240003</v>
      </c>
      <c r="AJ3309">
        <v>106.994501718707</v>
      </c>
      <c r="AK3309">
        <v>19.7792892613014</v>
      </c>
      <c r="AL3309">
        <v>89.322318894635401</v>
      </c>
      <c r="AM3309">
        <v>93.101333215135597</v>
      </c>
      <c r="AN3309">
        <v>0.99999993297248602</v>
      </c>
    </row>
    <row r="3310" spans="1:40" x14ac:dyDescent="0.25">
      <c r="A3310" t="str">
        <f>"20190312154317256"</f>
        <v>20190312154317256</v>
      </c>
      <c r="B3310" t="str">
        <f>"1552376597250758"</f>
        <v>1552376597250758</v>
      </c>
      <c r="C3310" t="s">
        <v>40</v>
      </c>
      <c r="D3310">
        <v>4.6810210000000003</v>
      </c>
      <c r="E3310">
        <v>0.40773589999999998</v>
      </c>
      <c r="F3310" t="s">
        <v>49</v>
      </c>
      <c r="G3310">
        <v>-481.66059999999999</v>
      </c>
      <c r="H3310" s="1">
        <v>2.5007320000000001E-6</v>
      </c>
      <c r="I3310">
        <v>221.59520000000001</v>
      </c>
      <c r="J3310">
        <v>-491.52640000000002</v>
      </c>
      <c r="K3310">
        <v>1.1112869999999999</v>
      </c>
      <c r="L3310">
        <v>238.68770000000001</v>
      </c>
      <c r="M3310">
        <v>0.2258897</v>
      </c>
      <c r="N3310">
        <v>0</v>
      </c>
      <c r="O3310">
        <v>-0.97406389999999998</v>
      </c>
      <c r="P3310">
        <v>0.27861200000000003</v>
      </c>
      <c r="Q3310">
        <v>-1.6058839999999999E-3</v>
      </c>
      <c r="R3310">
        <v>-0.96040239999999999</v>
      </c>
      <c r="S3310">
        <v>1.5426329999999999</v>
      </c>
      <c r="T3310">
        <v>-0.1733971</v>
      </c>
      <c r="U3310">
        <v>-2.6786799999999999</v>
      </c>
      <c r="V3310">
        <v>-5.4461269999999999E-2</v>
      </c>
      <c r="W3310">
        <v>1.148134E-2</v>
      </c>
      <c r="X3310">
        <v>0.9984499</v>
      </c>
      <c r="Y3310">
        <v>-0.28957569999999999</v>
      </c>
      <c r="Z3310">
        <v>5.6435220000000001E-2</v>
      </c>
      <c r="AA3310">
        <v>0.9554899</v>
      </c>
      <c r="AB3310">
        <v>8</v>
      </c>
      <c r="AC3310">
        <v>9.8658000000000303</v>
      </c>
      <c r="AD3310">
        <v>-1.111284499268</v>
      </c>
      <c r="AE3310">
        <v>-17.092500000000001</v>
      </c>
      <c r="AF3310">
        <v>-5.7312262401925098</v>
      </c>
      <c r="AG3310">
        <v>-1.111284499268</v>
      </c>
      <c r="AH3310">
        <v>18.819734397104401</v>
      </c>
      <c r="AI3310">
        <v>93.233066586626904</v>
      </c>
      <c r="AJ3310">
        <v>106.937211846989</v>
      </c>
      <c r="AK3310">
        <v>19.7044236209065</v>
      </c>
      <c r="AL3310">
        <v>89.342153239016</v>
      </c>
      <c r="AM3310">
        <v>93.122151423429898</v>
      </c>
      <c r="AN3310">
        <v>1.0000000269541001</v>
      </c>
    </row>
    <row r="3311" spans="1:40" x14ac:dyDescent="0.25">
      <c r="A3311" t="str">
        <f>"20190312154317280"</f>
        <v>20190312154317280</v>
      </c>
      <c r="B3311" t="str">
        <f>"1552376597270279"</f>
        <v>1552376597270279</v>
      </c>
      <c r="C3311" t="s">
        <v>40</v>
      </c>
      <c r="D3311">
        <v>4.6937740000000003</v>
      </c>
      <c r="E3311">
        <v>0.4080028</v>
      </c>
      <c r="F3311" t="s">
        <v>49</v>
      </c>
      <c r="G3311">
        <v>-481.70080000000002</v>
      </c>
      <c r="H3311" s="1">
        <v>2.5343469999999998E-6</v>
      </c>
      <c r="I3311">
        <v>221.71510000000001</v>
      </c>
      <c r="J3311">
        <v>-491.50380000000001</v>
      </c>
      <c r="K3311">
        <v>1.111246</v>
      </c>
      <c r="L3311">
        <v>238.6078</v>
      </c>
      <c r="M3311">
        <v>0.2290702</v>
      </c>
      <c r="N3311">
        <v>0</v>
      </c>
      <c r="O3311">
        <v>-0.97332090000000004</v>
      </c>
      <c r="P3311">
        <v>0.28227540000000001</v>
      </c>
      <c r="Q3311">
        <v>-1.237475E-3</v>
      </c>
      <c r="R3311">
        <v>-0.95933270000000004</v>
      </c>
      <c r="S3311">
        <v>1.548157</v>
      </c>
      <c r="T3311">
        <v>-0.17509659999999999</v>
      </c>
      <c r="U3311">
        <v>-2.674255</v>
      </c>
      <c r="V3311">
        <v>-5.5009959999999997E-2</v>
      </c>
      <c r="W3311">
        <v>1.184323E-2</v>
      </c>
      <c r="X3311">
        <v>0.99841559999999996</v>
      </c>
      <c r="Y3311">
        <v>-0.28859649999999998</v>
      </c>
      <c r="Z3311">
        <v>5.6984260000000002E-2</v>
      </c>
      <c r="AA3311">
        <v>0.95575359999999998</v>
      </c>
      <c r="AB3311">
        <v>8</v>
      </c>
      <c r="AC3311">
        <v>9.8029999999999902</v>
      </c>
      <c r="AD3311">
        <v>-1.1112434656529999</v>
      </c>
      <c r="AE3311">
        <v>-16.892699999999898</v>
      </c>
      <c r="AF3311">
        <v>-5.6540389083461804</v>
      </c>
      <c r="AG3311">
        <v>-1.1112434656529999</v>
      </c>
      <c r="AH3311">
        <v>18.628907190071299</v>
      </c>
      <c r="AI3311">
        <v>93.266921937781206</v>
      </c>
      <c r="AJ3311">
        <v>106.883510121166</v>
      </c>
      <c r="AK3311">
        <v>19.499723103504301</v>
      </c>
      <c r="AL3311">
        <v>89.321417064435394</v>
      </c>
      <c r="AM3311">
        <v>93.153651627990001</v>
      </c>
      <c r="AN3311">
        <v>1.00000003405969</v>
      </c>
    </row>
    <row r="3312" spans="1:40" x14ac:dyDescent="0.25">
      <c r="A3312" t="str">
        <f>"20190312154317301"</f>
        <v>20190312154317301</v>
      </c>
      <c r="B3312" t="str">
        <f>"1552376597290775"</f>
        <v>1552376597290775</v>
      </c>
      <c r="C3312" t="s">
        <v>40</v>
      </c>
      <c r="D3312">
        <v>4.6282880000000004</v>
      </c>
      <c r="E3312">
        <v>0.4077848</v>
      </c>
      <c r="F3312" t="s">
        <v>49</v>
      </c>
      <c r="G3312">
        <v>-481.66820000000001</v>
      </c>
      <c r="H3312" s="1">
        <v>2.5337520000000001E-6</v>
      </c>
      <c r="I3312">
        <v>221.73859999999999</v>
      </c>
      <c r="J3312">
        <v>-491.48239999999998</v>
      </c>
      <c r="K3312">
        <v>1.111208</v>
      </c>
      <c r="L3312">
        <v>238.53229999999999</v>
      </c>
      <c r="M3312">
        <v>0.23198750000000001</v>
      </c>
      <c r="N3312">
        <v>0</v>
      </c>
      <c r="O3312">
        <v>-0.97262999999999999</v>
      </c>
      <c r="P3312">
        <v>0.286072099999999</v>
      </c>
      <c r="Q3312" s="1">
        <v>2.826564E-6</v>
      </c>
      <c r="R3312">
        <v>-0.95820839999999996</v>
      </c>
      <c r="S3312">
        <v>1.5561830000000001</v>
      </c>
      <c r="T3312">
        <v>-0.17581840000000001</v>
      </c>
      <c r="U3312">
        <v>-2.669022</v>
      </c>
      <c r="V3312">
        <v>-5.5970289999999999E-2</v>
      </c>
      <c r="W3312">
        <v>1.3076239999999999E-2</v>
      </c>
      <c r="X3312">
        <v>0.99834679999999998</v>
      </c>
      <c r="Y3312">
        <v>-0.28867930000000003</v>
      </c>
      <c r="Z3312">
        <v>5.7213399999999998E-2</v>
      </c>
      <c r="AA3312">
        <v>0.95571490000000003</v>
      </c>
      <c r="AB3312">
        <v>8</v>
      </c>
      <c r="AC3312">
        <v>9.8141999999999694</v>
      </c>
      <c r="AD3312">
        <v>-1.111205466248</v>
      </c>
      <c r="AE3312">
        <v>-16.793700000000001</v>
      </c>
      <c r="AF3312">
        <v>-5.6317648323633502</v>
      </c>
      <c r="AG3312">
        <v>-1.111205466248</v>
      </c>
      <c r="AH3312">
        <v>18.551889071991901</v>
      </c>
      <c r="AI3312">
        <v>93.280289046225505</v>
      </c>
      <c r="AJ3312">
        <v>106.886625312654</v>
      </c>
      <c r="AK3312">
        <v>19.419684365477099</v>
      </c>
      <c r="AL3312">
        <v>89.250765281301796</v>
      </c>
      <c r="AM3312">
        <v>93.208812743460797</v>
      </c>
      <c r="AN3312">
        <v>0.99999999724273003</v>
      </c>
    </row>
    <row r="3313" spans="1:40" x14ac:dyDescent="0.25">
      <c r="A3313" t="str">
        <f>"20190312154317323"</f>
        <v>20190312154317323</v>
      </c>
      <c r="B3313" t="str">
        <f>"1552376597310813"</f>
        <v>1552376597310813</v>
      </c>
      <c r="C3313" t="s">
        <v>40</v>
      </c>
      <c r="D3313">
        <v>4.7733910000000002</v>
      </c>
      <c r="E3313">
        <v>0.40765059999999997</v>
      </c>
      <c r="F3313" t="s">
        <v>49</v>
      </c>
      <c r="G3313">
        <v>-481.24099999999999</v>
      </c>
      <c r="H3313" s="1">
        <v>2.3268950000000002E-6</v>
      </c>
      <c r="I3313">
        <v>221.14570000000001</v>
      </c>
      <c r="J3313">
        <v>-491.46100000000001</v>
      </c>
      <c r="K3313">
        <v>1.111181</v>
      </c>
      <c r="L3313">
        <v>238.4572</v>
      </c>
      <c r="M3313">
        <v>0.23478859999999999</v>
      </c>
      <c r="N3313">
        <v>0</v>
      </c>
      <c r="O3313">
        <v>-0.97195759999999998</v>
      </c>
      <c r="P3313">
        <v>0.29035050000000001</v>
      </c>
      <c r="Q3313">
        <v>1.6322719999999999E-3</v>
      </c>
      <c r="R3313">
        <v>-0.95691930000000003</v>
      </c>
      <c r="S3313">
        <v>1.56839</v>
      </c>
      <c r="T3313">
        <v>-0.1701715</v>
      </c>
      <c r="U3313">
        <v>-2.6626129999999999</v>
      </c>
      <c r="V3313">
        <v>-5.7555599999999998E-2</v>
      </c>
      <c r="W3313">
        <v>1.46978E-2</v>
      </c>
      <c r="X3313">
        <v>0.99823410000000001</v>
      </c>
      <c r="Y3313">
        <v>-0.29023459999999901</v>
      </c>
      <c r="Z3313">
        <v>5.5366270000000002E-2</v>
      </c>
      <c r="AA3313">
        <v>0.95535250000000005</v>
      </c>
      <c r="AB3313">
        <v>8</v>
      </c>
      <c r="AC3313">
        <v>10.220000000000001</v>
      </c>
      <c r="AD3313">
        <v>-1.111178673105</v>
      </c>
      <c r="AE3313">
        <v>-17.311499999999899</v>
      </c>
      <c r="AF3313">
        <v>-5.8514932857661197</v>
      </c>
      <c r="AG3313">
        <v>-1.111178673105</v>
      </c>
      <c r="AH3313">
        <v>19.168680014538001</v>
      </c>
      <c r="AI3313">
        <v>93.173386440172607</v>
      </c>
      <c r="AJ3313">
        <v>106.975503547016</v>
      </c>
      <c r="AK3313">
        <v>20.072692525335899</v>
      </c>
      <c r="AL3313">
        <v>89.157847765115406</v>
      </c>
      <c r="AM3313">
        <v>93.299873226036794</v>
      </c>
      <c r="AN3313">
        <v>0.99999999540950502</v>
      </c>
    </row>
    <row r="3314" spans="1:40" x14ac:dyDescent="0.25">
      <c r="A3314" t="str">
        <f>"20190312154317344"</f>
        <v>20190312154317344</v>
      </c>
      <c r="B3314" t="str">
        <f>"1552376597341069"</f>
        <v>1552376597341069</v>
      </c>
      <c r="C3314" t="s">
        <v>40</v>
      </c>
      <c r="D3314">
        <v>4.7001249999999999</v>
      </c>
      <c r="E3314">
        <v>0.40756199999999998</v>
      </c>
      <c r="F3314" t="s">
        <v>49</v>
      </c>
      <c r="G3314">
        <v>-480.80799999999999</v>
      </c>
      <c r="H3314" s="1">
        <v>2.121311E-6</v>
      </c>
      <c r="I3314">
        <v>220.56319999999999</v>
      </c>
      <c r="J3314">
        <v>-491.4393</v>
      </c>
      <c r="K3314">
        <v>1.1111359999999999</v>
      </c>
      <c r="L3314">
        <v>238.3817</v>
      </c>
      <c r="M3314">
        <v>0.23749439999999999</v>
      </c>
      <c r="N3314">
        <v>0</v>
      </c>
      <c r="O3314">
        <v>-0.9713001</v>
      </c>
      <c r="P3314">
        <v>0.29469869999999998</v>
      </c>
      <c r="Q3314">
        <v>3.762399E-3</v>
      </c>
      <c r="R3314">
        <v>-0.95558299999999996</v>
      </c>
      <c r="S3314">
        <v>1.581024</v>
      </c>
      <c r="T3314">
        <v>-0.1649119</v>
      </c>
      <c r="U3314">
        <v>-2.6556850000000001</v>
      </c>
      <c r="V3314">
        <v>-5.931662E-2</v>
      </c>
      <c r="W3314">
        <v>1.6820419999999999E-2</v>
      </c>
      <c r="X3314">
        <v>0.99809749999999997</v>
      </c>
      <c r="Y3314">
        <v>-0.2920702</v>
      </c>
      <c r="Z3314">
        <v>5.3650290000000003E-2</v>
      </c>
      <c r="AA3314">
        <v>0.95489089999999999</v>
      </c>
      <c r="AB3314">
        <v>8</v>
      </c>
      <c r="AC3314">
        <v>10.6312999999999</v>
      </c>
      <c r="AD3314">
        <v>-1.1111338786889999</v>
      </c>
      <c r="AE3314">
        <v>-17.8185</v>
      </c>
      <c r="AF3314">
        <v>-6.07748607827443</v>
      </c>
      <c r="AG3314">
        <v>-1.1111338786889999</v>
      </c>
      <c r="AH3314">
        <v>19.776981292614099</v>
      </c>
      <c r="AI3314">
        <v>93.074094701900407</v>
      </c>
      <c r="AJ3314">
        <v>107.082245356719</v>
      </c>
      <c r="AK3314">
        <v>20.719542576427699</v>
      </c>
      <c r="AL3314">
        <v>89.036215477604401</v>
      </c>
      <c r="AM3314">
        <v>93.401069825826994</v>
      </c>
      <c r="AN3314">
        <v>1.00000000372172</v>
      </c>
    </row>
    <row r="3315" spans="1:40" x14ac:dyDescent="0.25">
      <c r="A3315" t="str">
        <f>"20190312154317362"</f>
        <v>20190312154317362</v>
      </c>
      <c r="B3315" t="str">
        <f>"1552376597350830"</f>
        <v>1552376597350830</v>
      </c>
      <c r="C3315" t="s">
        <v>40</v>
      </c>
      <c r="D3315">
        <v>4.8471289999999998</v>
      </c>
      <c r="E3315">
        <v>0.40756199999999998</v>
      </c>
      <c r="F3315" t="s">
        <v>49</v>
      </c>
      <c r="G3315">
        <v>-480.2706</v>
      </c>
      <c r="H3315" s="1">
        <v>1.8612240000000001E-6</v>
      </c>
      <c r="I3315">
        <v>219.81790000000001</v>
      </c>
      <c r="J3315">
        <v>-491.4221</v>
      </c>
      <c r="K3315">
        <v>1.111102</v>
      </c>
      <c r="L3315">
        <v>238.3219</v>
      </c>
      <c r="M3315">
        <v>0.2395362</v>
      </c>
      <c r="N3315">
        <v>0</v>
      </c>
      <c r="O3315">
        <v>-0.97079870000000001</v>
      </c>
      <c r="P3315">
        <v>0.2974289</v>
      </c>
      <c r="Q3315">
        <v>4.5753809999999999E-3</v>
      </c>
      <c r="R3315">
        <v>-0.9547331</v>
      </c>
      <c r="S3315">
        <v>1.5935060000000001</v>
      </c>
      <c r="T3315">
        <v>-0.1585329</v>
      </c>
      <c r="U3315">
        <v>-2.6486049999999999</v>
      </c>
      <c r="V3315">
        <v>-6.0070569999999997E-2</v>
      </c>
      <c r="W3315">
        <v>1.7627110000000001E-2</v>
      </c>
      <c r="X3315">
        <v>0.99803850000000005</v>
      </c>
      <c r="Y3315">
        <v>-0.29454799999999998</v>
      </c>
      <c r="Z3315">
        <v>5.1580979999999998E-2</v>
      </c>
      <c r="AA3315">
        <v>0.95424359999999997</v>
      </c>
      <c r="AB3315">
        <v>8</v>
      </c>
      <c r="AC3315">
        <v>11.1515</v>
      </c>
      <c r="AD3315">
        <v>-1.111100138776</v>
      </c>
      <c r="AE3315">
        <v>-18.503999999999898</v>
      </c>
      <c r="AF3315">
        <v>-6.3771673810604996</v>
      </c>
      <c r="AG3315">
        <v>-1.111100138776</v>
      </c>
      <c r="AH3315">
        <v>20.582185960507999</v>
      </c>
      <c r="AI3315">
        <v>92.951851571904299</v>
      </c>
      <c r="AJ3315">
        <v>107.21502875273799</v>
      </c>
      <c r="AK3315">
        <v>21.576125375919201</v>
      </c>
      <c r="AL3315">
        <v>88.989988701218905</v>
      </c>
      <c r="AM3315">
        <v>93.444399175477201</v>
      </c>
      <c r="AN3315">
        <v>1.00000001793466</v>
      </c>
    </row>
    <row r="3316" spans="1:40" x14ac:dyDescent="0.25">
      <c r="A3316" t="str">
        <f>"20190312154317381"</f>
        <v>20190312154317381</v>
      </c>
      <c r="B3316" t="str">
        <f>"1552376597370350"</f>
        <v>1552376597370350</v>
      </c>
      <c r="C3316" t="s">
        <v>40</v>
      </c>
      <c r="D3316">
        <v>4.7867050000000004</v>
      </c>
      <c r="E3316">
        <v>0.40221190000000001</v>
      </c>
      <c r="F3316" t="s">
        <v>49</v>
      </c>
      <c r="G3316">
        <v>-480.04259999999999</v>
      </c>
      <c r="H3316" s="1">
        <v>1.772449E-6</v>
      </c>
      <c r="I3316">
        <v>219.53049999999999</v>
      </c>
      <c r="J3316">
        <v>-491.40260000000001</v>
      </c>
      <c r="K3316">
        <v>1.1110370000000001</v>
      </c>
      <c r="L3316">
        <v>238.2542</v>
      </c>
      <c r="M3316">
        <v>0.24177370000000001</v>
      </c>
      <c r="N3316">
        <v>0</v>
      </c>
      <c r="O3316">
        <v>-0.97024600000000005</v>
      </c>
      <c r="P3316">
        <v>0.30041050000000002</v>
      </c>
      <c r="Q3316">
        <v>5.8337110000000001E-3</v>
      </c>
      <c r="R3316">
        <v>-0.95379219999999998</v>
      </c>
      <c r="S3316">
        <v>1.601227</v>
      </c>
      <c r="T3316">
        <v>-0.1563447</v>
      </c>
      <c r="U3316">
        <v>-2.6441650000000001</v>
      </c>
      <c r="V3316">
        <v>-6.0890270000000003E-2</v>
      </c>
      <c r="W3316">
        <v>1.872412E-2</v>
      </c>
      <c r="X3316">
        <v>0.99796890000000005</v>
      </c>
      <c r="Y3316">
        <v>-0.29511399999999999</v>
      </c>
      <c r="Z3316">
        <v>5.0860410000000002E-2</v>
      </c>
      <c r="AA3316">
        <v>0.95410740000000005</v>
      </c>
      <c r="AB3316">
        <v>8</v>
      </c>
      <c r="AC3316">
        <v>11.36</v>
      </c>
      <c r="AD3316">
        <v>-1.111035227551</v>
      </c>
      <c r="AE3316">
        <v>-18.723700000000001</v>
      </c>
      <c r="AF3316">
        <v>-6.4789678571790503</v>
      </c>
      <c r="AG3316">
        <v>-1.111035227551</v>
      </c>
      <c r="AH3316">
        <v>20.861213215954098</v>
      </c>
      <c r="AI3316">
        <v>92.911662772458001</v>
      </c>
      <c r="AJ3316">
        <v>107.25347932200199</v>
      </c>
      <c r="AK3316">
        <v>21.872394487406201</v>
      </c>
      <c r="AL3316">
        <v>88.927124329008606</v>
      </c>
      <c r="AM3316">
        <v>93.491527536282405</v>
      </c>
      <c r="AN3316">
        <v>1.00000007150882</v>
      </c>
    </row>
    <row r="3317" spans="1:40" x14ac:dyDescent="0.25">
      <c r="A3317" t="str">
        <f>"20190312154317400"</f>
        <v>20190312154317400</v>
      </c>
      <c r="B3317" t="str">
        <f>"1552376597390149"</f>
        <v>1552376597390149</v>
      </c>
      <c r="C3317" t="s">
        <v>40</v>
      </c>
      <c r="D3317">
        <v>4.7620579999999997</v>
      </c>
      <c r="E3317">
        <v>0.40179009999999998</v>
      </c>
      <c r="F3317" t="s">
        <v>49</v>
      </c>
      <c r="G3317">
        <v>-484.3075</v>
      </c>
      <c r="H3317" s="1">
        <v>4.3541859999999998E-6</v>
      </c>
      <c r="I3317">
        <v>226.98230000000001</v>
      </c>
      <c r="J3317">
        <v>-491.38350000000003</v>
      </c>
      <c r="K3317">
        <v>1.110957</v>
      </c>
      <c r="L3317">
        <v>238.18790000000001</v>
      </c>
      <c r="M3317">
        <v>0.24386240000000001</v>
      </c>
      <c r="N3317">
        <v>0</v>
      </c>
      <c r="O3317">
        <v>-0.96972670000000005</v>
      </c>
      <c r="P3317">
        <v>0.30295929999999999</v>
      </c>
      <c r="Q3317">
        <v>6.5846910000000002E-3</v>
      </c>
      <c r="R3317">
        <v>-0.95298110000000003</v>
      </c>
      <c r="S3317">
        <v>1.6531070000000001</v>
      </c>
      <c r="T3317">
        <v>-0.25886049999999999</v>
      </c>
      <c r="U3317">
        <v>-2.6262509999999999</v>
      </c>
      <c r="V3317">
        <v>-6.1410760000000002E-2</v>
      </c>
      <c r="W3317">
        <v>1.922138E-2</v>
      </c>
      <c r="X3317">
        <v>0.99792749999999997</v>
      </c>
      <c r="Y3317">
        <v>-0.30831190000000003</v>
      </c>
      <c r="Z3317">
        <v>8.3836499999999994E-2</v>
      </c>
      <c r="AA3317">
        <v>0.94758390000000003</v>
      </c>
      <c r="AB3317">
        <v>8</v>
      </c>
      <c r="AC3317">
        <v>7.0760000000000201</v>
      </c>
      <c r="AD3317">
        <v>-1.110952645814</v>
      </c>
      <c r="AE3317">
        <v>-11.2056</v>
      </c>
      <c r="AF3317">
        <v>-4.1006784927206201</v>
      </c>
      <c r="AG3317">
        <v>-1.110952645814</v>
      </c>
      <c r="AH3317">
        <v>12.5050801318358</v>
      </c>
      <c r="AI3317">
        <v>94.8253082523552</v>
      </c>
      <c r="AJ3317">
        <v>108.15540412684</v>
      </c>
      <c r="AK3317">
        <v>13.2070742023181</v>
      </c>
      <c r="AL3317">
        <v>88.898628244424103</v>
      </c>
      <c r="AM3317">
        <v>93.5214440492216</v>
      </c>
      <c r="AN3317">
        <v>1.0000000190745599</v>
      </c>
    </row>
    <row r="3318" spans="1:40" x14ac:dyDescent="0.25">
      <c r="A3318" t="str">
        <f>"20190312154317414"</f>
        <v>20190312154317414</v>
      </c>
      <c r="B3318" t="str">
        <f>"1552376597410641"</f>
        <v>1552376597410641</v>
      </c>
      <c r="C3318" t="s">
        <v>40</v>
      </c>
      <c r="D3318">
        <v>4.775442</v>
      </c>
      <c r="E3318">
        <v>0.40196680000000001</v>
      </c>
      <c r="F3318" t="s">
        <v>49</v>
      </c>
      <c r="G3318">
        <v>-484.22059999999999</v>
      </c>
      <c r="H3318" s="1">
        <v>4.3171800000000002E-6</v>
      </c>
      <c r="I3318">
        <v>226.90199999999999</v>
      </c>
      <c r="J3318">
        <v>-491.3698</v>
      </c>
      <c r="K3318">
        <v>1.110911</v>
      </c>
      <c r="L3318">
        <v>238.1403</v>
      </c>
      <c r="M3318">
        <v>0.2452799</v>
      </c>
      <c r="N3318">
        <v>0</v>
      </c>
      <c r="O3318">
        <v>-0.96937130000000005</v>
      </c>
      <c r="P3318">
        <v>0.30463509999999999</v>
      </c>
      <c r="Q3318">
        <v>7.1853150000000003E-3</v>
      </c>
      <c r="R3318">
        <v>-0.95244260000000003</v>
      </c>
      <c r="S3318">
        <v>1.663483</v>
      </c>
      <c r="T3318">
        <v>-0.2580036</v>
      </c>
      <c r="U3318">
        <v>-2.620987</v>
      </c>
      <c r="V3318">
        <v>-6.1708100000000002E-2</v>
      </c>
      <c r="W3318">
        <v>1.9675720000000001E-2</v>
      </c>
      <c r="X3318">
        <v>0.99790029999999996</v>
      </c>
      <c r="Y3318">
        <v>-0.31047140000000001</v>
      </c>
      <c r="Z3318">
        <v>8.3544339999999995E-2</v>
      </c>
      <c r="AA3318">
        <v>0.94690439999999998</v>
      </c>
      <c r="AB3318">
        <v>8</v>
      </c>
      <c r="AC3318">
        <v>7.1492000000000004</v>
      </c>
      <c r="AD3318">
        <v>-1.11090668282</v>
      </c>
      <c r="AE3318">
        <v>-11.238299999999899</v>
      </c>
      <c r="AF3318">
        <v>-4.1451929327911596</v>
      </c>
      <c r="AG3318">
        <v>-1.11090668282</v>
      </c>
      <c r="AH3318">
        <v>12.561254451961499</v>
      </c>
      <c r="AI3318">
        <v>94.800685434106796</v>
      </c>
      <c r="AJ3318">
        <v>108.262803411942</v>
      </c>
      <c r="AK3318">
        <v>13.274104546632101</v>
      </c>
      <c r="AL3318">
        <v>88.872591552333105</v>
      </c>
      <c r="AM3318">
        <v>93.538547243569795</v>
      </c>
      <c r="AN3318">
        <v>1.0000000161516001</v>
      </c>
    </row>
    <row r="3319" spans="1:40" x14ac:dyDescent="0.25">
      <c r="A3319" t="str">
        <f>"20190312154317434"</f>
        <v>20190312154317434</v>
      </c>
      <c r="B3319" t="str">
        <f>"1552376597430161"</f>
        <v>1552376597430161</v>
      </c>
      <c r="C3319" t="s">
        <v>40</v>
      </c>
      <c r="D3319">
        <v>4.7831989999999998</v>
      </c>
      <c r="E3319">
        <v>0.40234059999999999</v>
      </c>
      <c r="F3319" t="s">
        <v>49</v>
      </c>
      <c r="G3319">
        <v>-484.20859999999999</v>
      </c>
      <c r="H3319" s="1">
        <v>4.3120130000000001E-6</v>
      </c>
      <c r="I3319">
        <v>226.89070000000001</v>
      </c>
      <c r="J3319">
        <v>-491.3503</v>
      </c>
      <c r="K3319">
        <v>1.11086</v>
      </c>
      <c r="L3319">
        <v>238.0729</v>
      </c>
      <c r="M3319">
        <v>0.24716389999999999</v>
      </c>
      <c r="N3319">
        <v>0</v>
      </c>
      <c r="O3319">
        <v>-0.96889360000000002</v>
      </c>
      <c r="P3319">
        <v>0.306907599999999</v>
      </c>
      <c r="Q3319">
        <v>8.7125280000000006E-3</v>
      </c>
      <c r="R3319">
        <v>-0.95169970000000004</v>
      </c>
      <c r="S3319">
        <v>1.66690099999999</v>
      </c>
      <c r="T3319">
        <v>-0.2585865</v>
      </c>
      <c r="U3319">
        <v>-2.618576</v>
      </c>
      <c r="V3319">
        <v>-6.2152140000000002E-2</v>
      </c>
      <c r="W3319">
        <v>2.1107839999999999E-2</v>
      </c>
      <c r="X3319">
        <v>0.99784340000000005</v>
      </c>
      <c r="Y3319">
        <v>-0.30989060000000002</v>
      </c>
      <c r="Z3319">
        <v>8.3716150000000003E-2</v>
      </c>
      <c r="AA3319">
        <v>0.94707940000000002</v>
      </c>
      <c r="AB3319">
        <v>8</v>
      </c>
      <c r="AC3319">
        <v>7.1417000000000099</v>
      </c>
      <c r="AD3319">
        <v>-1.110855687987</v>
      </c>
      <c r="AE3319">
        <v>-11.1821999999999</v>
      </c>
      <c r="AF3319">
        <v>-4.1271046132012703</v>
      </c>
      <c r="AG3319">
        <v>-1.110855687987</v>
      </c>
      <c r="AH3319">
        <v>12.5128011046084</v>
      </c>
      <c r="AI3319">
        <v>94.819206942115898</v>
      </c>
      <c r="AJ3319">
        <v>108.254136426522</v>
      </c>
      <c r="AK3319">
        <v>13.222601269467701</v>
      </c>
      <c r="AL3319">
        <v>88.790519957513894</v>
      </c>
      <c r="AM3319">
        <v>93.564147278391999</v>
      </c>
      <c r="AN3319">
        <v>0.99999994016979998</v>
      </c>
    </row>
    <row r="3320" spans="1:40" x14ac:dyDescent="0.25">
      <c r="A3320" t="str">
        <f>"20190312154317458"</f>
        <v>20190312154317458</v>
      </c>
      <c r="B3320" t="str">
        <f>"1552376597450658"</f>
        <v>1552376597450658</v>
      </c>
      <c r="C3320" t="s">
        <v>40</v>
      </c>
      <c r="D3320">
        <v>4.7997430000000003</v>
      </c>
      <c r="E3320">
        <v>0.40258110000000003</v>
      </c>
      <c r="F3320" t="s">
        <v>49</v>
      </c>
      <c r="G3320">
        <v>-484.17950000000002</v>
      </c>
      <c r="H3320" s="1">
        <v>4.2935880000000004E-6</v>
      </c>
      <c r="I3320">
        <v>226.8366</v>
      </c>
      <c r="J3320">
        <v>-491.32729999999998</v>
      </c>
      <c r="K3320">
        <v>1.1108309999999999</v>
      </c>
      <c r="L3320">
        <v>237.99299999999999</v>
      </c>
      <c r="M3320">
        <v>0.24922620000000001</v>
      </c>
      <c r="N3320">
        <v>0</v>
      </c>
      <c r="O3320">
        <v>-0.96836540000000004</v>
      </c>
      <c r="P3320">
        <v>0.30989440000000001</v>
      </c>
      <c r="Q3320">
        <v>1.108144E-2</v>
      </c>
      <c r="R3320">
        <v>-0.95070650000000001</v>
      </c>
      <c r="S3320">
        <v>1.669586</v>
      </c>
      <c r="T3320">
        <v>-0.25864209999999999</v>
      </c>
      <c r="U3320">
        <v>-2.6161650000000001</v>
      </c>
      <c r="V3320">
        <v>-6.3165100000000002E-2</v>
      </c>
      <c r="W3320">
        <v>2.3469500000000001E-2</v>
      </c>
      <c r="X3320">
        <v>0.99772709999999998</v>
      </c>
      <c r="Y3320">
        <v>-0.30895250000000002</v>
      </c>
      <c r="Z3320">
        <v>8.3722850000000001E-2</v>
      </c>
      <c r="AA3320">
        <v>0.94738529999999999</v>
      </c>
      <c r="AB3320">
        <v>8</v>
      </c>
      <c r="AC3320">
        <v>7.1477999999999602</v>
      </c>
      <c r="AD3320">
        <v>-1.1108267064120001</v>
      </c>
      <c r="AE3320">
        <v>-11.1563999999999</v>
      </c>
      <c r="AF3320">
        <v>-4.1126289848381399</v>
      </c>
      <c r="AG3320">
        <v>-1.1108267064120001</v>
      </c>
      <c r="AH3320">
        <v>12.498019600815301</v>
      </c>
      <c r="AI3320">
        <v>94.825850819445805</v>
      </c>
      <c r="AJ3320">
        <v>108.21443428591</v>
      </c>
      <c r="AK3320">
        <v>13.2040958448874</v>
      </c>
      <c r="AL3320">
        <v>88.655173233426694</v>
      </c>
      <c r="AM3320">
        <v>93.622503681682801</v>
      </c>
      <c r="AN3320">
        <v>1.0000000066813299</v>
      </c>
    </row>
    <row r="3321" spans="1:40" x14ac:dyDescent="0.25">
      <c r="A3321" t="str">
        <f>"20190312154317481"</f>
        <v>20190312154317481</v>
      </c>
      <c r="B3321" t="str">
        <f>"1552376597470176"</f>
        <v>1552376597470176</v>
      </c>
      <c r="C3321" t="s">
        <v>40</v>
      </c>
      <c r="D3321">
        <v>4.7829449999999998</v>
      </c>
      <c r="E3321">
        <v>0.40294550000000001</v>
      </c>
      <c r="F3321" t="s">
        <v>49</v>
      </c>
      <c r="G3321">
        <v>-484.02839999999998</v>
      </c>
      <c r="H3321" s="1">
        <v>4.2108289999999997E-6</v>
      </c>
      <c r="I3321">
        <v>226.6138</v>
      </c>
      <c r="J3321">
        <v>-491.3032</v>
      </c>
      <c r="K3321">
        <v>1.110778</v>
      </c>
      <c r="L3321">
        <v>237.9091</v>
      </c>
      <c r="M3321">
        <v>0.25123669999999998</v>
      </c>
      <c r="N3321">
        <v>0</v>
      </c>
      <c r="O3321">
        <v>-0.9678464</v>
      </c>
      <c r="P3321">
        <v>0.312104299999999</v>
      </c>
      <c r="Q3321">
        <v>1.188902E-2</v>
      </c>
      <c r="R3321">
        <v>-0.94997370000000003</v>
      </c>
      <c r="S3321">
        <v>1.6755979999999999</v>
      </c>
      <c r="T3321">
        <v>-0.2550113</v>
      </c>
      <c r="U3321">
        <v>-2.6123050000000001</v>
      </c>
      <c r="V3321">
        <v>-6.3413239999999996E-2</v>
      </c>
      <c r="W3321">
        <v>2.4236520000000001E-2</v>
      </c>
      <c r="X3321">
        <v>0.99769300000000005</v>
      </c>
      <c r="Y3321">
        <v>-0.30921349999999997</v>
      </c>
      <c r="Z3321">
        <v>8.2541989999999996E-2</v>
      </c>
      <c r="AA3321">
        <v>0.94740369999999996</v>
      </c>
      <c r="AB3321">
        <v>8</v>
      </c>
      <c r="AC3321">
        <v>7.2748000000000204</v>
      </c>
      <c r="AD3321">
        <v>-1.1107737891709999</v>
      </c>
      <c r="AE3321">
        <v>-11.2952999999999</v>
      </c>
      <c r="AF3321">
        <v>-4.17488103212174</v>
      </c>
      <c r="AG3321">
        <v>-1.1107737891709999</v>
      </c>
      <c r="AH3321">
        <v>12.6741595638255</v>
      </c>
      <c r="AI3321">
        <v>94.758391423862307</v>
      </c>
      <c r="AJ3321">
        <v>108.231935488465</v>
      </c>
      <c r="AK3321">
        <v>13.390211749348399</v>
      </c>
      <c r="AL3321">
        <v>88.611213686315196</v>
      </c>
      <c r="AM3321">
        <v>93.636820300879094</v>
      </c>
      <c r="AN3321">
        <v>0.99999998507900301</v>
      </c>
    </row>
    <row r="3322" spans="1:40" x14ac:dyDescent="0.25">
      <c r="A3322" t="str">
        <f>"20190312154317501"</f>
        <v>20190312154317501</v>
      </c>
      <c r="B3322" t="str">
        <f>"1552376597490673"</f>
        <v>1552376597490673</v>
      </c>
      <c r="C3322" t="s">
        <v>40</v>
      </c>
      <c r="D3322">
        <v>4.814082</v>
      </c>
      <c r="E3322">
        <v>0.4031209</v>
      </c>
      <c r="F3322" t="s">
        <v>49</v>
      </c>
      <c r="G3322">
        <v>-483.94659999999999</v>
      </c>
      <c r="H3322" s="1">
        <v>4.1621229999999999E-6</v>
      </c>
      <c r="I3322">
        <v>226.47559999999999</v>
      </c>
      <c r="J3322">
        <v>-491.28339999999997</v>
      </c>
      <c r="K3322">
        <v>1.1107450000000001</v>
      </c>
      <c r="L3322">
        <v>237.84059999999999</v>
      </c>
      <c r="M3322">
        <v>0.25275950000000003</v>
      </c>
      <c r="N3322">
        <v>0</v>
      </c>
      <c r="O3322">
        <v>-0.96745099999999995</v>
      </c>
      <c r="P3322">
        <v>0.3146235</v>
      </c>
      <c r="Q3322">
        <v>1.2343979999999999E-2</v>
      </c>
      <c r="R3322">
        <v>-0.94913670000000006</v>
      </c>
      <c r="S3322">
        <v>1.679047</v>
      </c>
      <c r="T3322">
        <v>-0.25351990000000002</v>
      </c>
      <c r="U3322">
        <v>-2.6095579999999998</v>
      </c>
      <c r="V3322">
        <v>-6.4490149999999996E-2</v>
      </c>
      <c r="W3322">
        <v>2.4613099999999999E-2</v>
      </c>
      <c r="X3322">
        <v>0.99761469999999997</v>
      </c>
      <c r="Y3322">
        <v>-0.30907849999999998</v>
      </c>
      <c r="Z3322">
        <v>8.2060019999999997E-2</v>
      </c>
      <c r="AA3322">
        <v>0.94748969999999999</v>
      </c>
      <c r="AB3322">
        <v>8</v>
      </c>
      <c r="AC3322">
        <v>7.3367999999999798</v>
      </c>
      <c r="AD3322">
        <v>-1.1107408378770001</v>
      </c>
      <c r="AE3322">
        <v>-11.365</v>
      </c>
      <c r="AF3322">
        <v>-4.1974030351860101</v>
      </c>
      <c r="AG3322">
        <v>-1.1107408378770001</v>
      </c>
      <c r="AH3322">
        <v>12.7644392023627</v>
      </c>
      <c r="AI3322">
        <v>94.725539566351401</v>
      </c>
      <c r="AJ3322">
        <v>108.202709796134</v>
      </c>
      <c r="AK3322">
        <v>13.482686883538101</v>
      </c>
      <c r="AL3322">
        <v>88.589630734423096</v>
      </c>
      <c r="AM3322">
        <v>93.6987017753777</v>
      </c>
      <c r="AN3322">
        <v>0.999999936897359</v>
      </c>
    </row>
    <row r="3323" spans="1:40" x14ac:dyDescent="0.25">
      <c r="A3323" t="str">
        <f>"20190312154317522"</f>
        <v>20190312154317522</v>
      </c>
      <c r="B3323" t="str">
        <f>"1552376597510193"</f>
        <v>1552376597510193</v>
      </c>
      <c r="C3323" t="s">
        <v>40</v>
      </c>
      <c r="D3323">
        <v>4.9808849999999998</v>
      </c>
      <c r="E3323">
        <v>0.40345130000000001</v>
      </c>
      <c r="F3323" t="s">
        <v>49</v>
      </c>
      <c r="G3323">
        <v>-483.90269999999998</v>
      </c>
      <c r="H3323" s="1">
        <v>4.1422790000000002E-6</v>
      </c>
      <c r="I3323">
        <v>226.4298</v>
      </c>
      <c r="J3323">
        <v>-491.26139999999998</v>
      </c>
      <c r="K3323">
        <v>1.110725</v>
      </c>
      <c r="L3323">
        <v>237.7638</v>
      </c>
      <c r="M3323">
        <v>0.25434250000000003</v>
      </c>
      <c r="N3323">
        <v>0</v>
      </c>
      <c r="O3323">
        <v>-0.96703709999999998</v>
      </c>
      <c r="P3323">
        <v>0.317577</v>
      </c>
      <c r="Q3323">
        <v>1.3204280000000001E-2</v>
      </c>
      <c r="R3323">
        <v>-0.94814100000000001</v>
      </c>
      <c r="S3323">
        <v>1.6852720000000001</v>
      </c>
      <c r="T3323">
        <v>-0.25361840000000002</v>
      </c>
      <c r="U3323">
        <v>-2.6054529999999998</v>
      </c>
      <c r="V3323">
        <v>-6.5965839999999998E-2</v>
      </c>
      <c r="W3323">
        <v>2.5393450000000001E-2</v>
      </c>
      <c r="X3323">
        <v>0.99749869999999996</v>
      </c>
      <c r="Y3323">
        <v>-0.30979810000000002</v>
      </c>
      <c r="Z3323">
        <v>8.208849E-2</v>
      </c>
      <c r="AA3323">
        <v>0.94725219999999999</v>
      </c>
      <c r="AB3323">
        <v>8</v>
      </c>
      <c r="AC3323">
        <v>7.35869999999999</v>
      </c>
      <c r="AD3323">
        <v>-1.1107208577209999</v>
      </c>
      <c r="AE3323">
        <v>-11.334</v>
      </c>
      <c r="AF3323">
        <v>-4.2053228601139896</v>
      </c>
      <c r="AG3323">
        <v>-1.1107208577209999</v>
      </c>
      <c r="AH3323">
        <v>12.746868663693199</v>
      </c>
      <c r="AI3323">
        <v>94.730435237622203</v>
      </c>
      <c r="AJ3323">
        <v>108.258253466253</v>
      </c>
      <c r="AK3323">
        <v>13.4685226328286</v>
      </c>
      <c r="AL3323">
        <v>88.544906060855297</v>
      </c>
      <c r="AM3323">
        <v>93.783532610204304</v>
      </c>
      <c r="AN3323">
        <v>0.99999998792574896</v>
      </c>
    </row>
    <row r="3324" spans="1:40" x14ac:dyDescent="0.25">
      <c r="A3324" t="str">
        <f>"20190312154317546"</f>
        <v>20190312154317546</v>
      </c>
      <c r="B3324" t="str">
        <f>"1552376597540449"</f>
        <v>1552376597540449</v>
      </c>
      <c r="C3324" t="s">
        <v>40</v>
      </c>
      <c r="D3324">
        <v>4.8638479999999999</v>
      </c>
      <c r="E3324">
        <v>0.4038911</v>
      </c>
      <c r="F3324" t="s">
        <v>49</v>
      </c>
      <c r="G3324">
        <v>-483.79790000000003</v>
      </c>
      <c r="H3324" s="1">
        <v>4.0867250000000002E-6</v>
      </c>
      <c r="I3324">
        <v>226.28370000000001</v>
      </c>
      <c r="J3324">
        <v>-491.23989999999998</v>
      </c>
      <c r="K3324">
        <v>1.110724</v>
      </c>
      <c r="L3324">
        <v>237.6891</v>
      </c>
      <c r="M3324">
        <v>0.25576260000000001</v>
      </c>
      <c r="N3324">
        <v>0</v>
      </c>
      <c r="O3324">
        <v>-0.96666280000000004</v>
      </c>
      <c r="P3324">
        <v>0.32090839999999998</v>
      </c>
      <c r="Q3324">
        <v>1.497221E-2</v>
      </c>
      <c r="R3324">
        <v>-0.94699199999999994</v>
      </c>
      <c r="S3324">
        <v>1.691071</v>
      </c>
      <c r="T3324">
        <v>-0.25166519999999998</v>
      </c>
      <c r="U3324">
        <v>-2.6011350000000002</v>
      </c>
      <c r="V3324">
        <v>-6.8014549999999993E-2</v>
      </c>
      <c r="W3324">
        <v>2.7120430000000001E-2</v>
      </c>
      <c r="X3324">
        <v>0.99731559999999997</v>
      </c>
      <c r="Y3324">
        <v>-0.31063279999999999</v>
      </c>
      <c r="Z3324">
        <v>8.1469860000000005E-2</v>
      </c>
      <c r="AA3324">
        <v>0.94703219999999999</v>
      </c>
      <c r="AB3324">
        <v>8</v>
      </c>
      <c r="AC3324">
        <v>7.4419999999999398</v>
      </c>
      <c r="AD3324">
        <v>-1.1107199132750001</v>
      </c>
      <c r="AE3324">
        <v>-11.405399999999901</v>
      </c>
      <c r="AF3324">
        <v>-4.2488844224386897</v>
      </c>
      <c r="AG3324">
        <v>-1.1107199132750001</v>
      </c>
      <c r="AH3324">
        <v>12.844084222914899</v>
      </c>
      <c r="AI3324">
        <v>94.693542655667201</v>
      </c>
      <c r="AJ3324">
        <v>108.304462041176</v>
      </c>
      <c r="AK3324">
        <v>13.574137802686399</v>
      </c>
      <c r="AL3324">
        <v>88.445923198613201</v>
      </c>
      <c r="AM3324">
        <v>93.901394911835794</v>
      </c>
      <c r="AN3324">
        <v>0.99999995136922204</v>
      </c>
    </row>
    <row r="3325" spans="1:40" x14ac:dyDescent="0.25">
      <c r="A3325" t="str">
        <f>"20190312154317567"</f>
        <v>20190312154317567</v>
      </c>
      <c r="B3325" t="str">
        <f>"1552376597560945"</f>
        <v>1552376597560945</v>
      </c>
      <c r="C3325" t="s">
        <v>40</v>
      </c>
      <c r="D3325">
        <v>4.8823349999999897</v>
      </c>
      <c r="E3325">
        <v>0.40420420000000001</v>
      </c>
      <c r="F3325" t="s">
        <v>49</v>
      </c>
      <c r="G3325">
        <v>-483.58850000000001</v>
      </c>
      <c r="H3325" s="1">
        <v>3.9739549999999998E-6</v>
      </c>
      <c r="I3325">
        <v>225.9836</v>
      </c>
      <c r="J3325">
        <v>-491.21719999999999</v>
      </c>
      <c r="K3325">
        <v>1.1107279999999999</v>
      </c>
      <c r="L3325">
        <v>237.60980000000001</v>
      </c>
      <c r="M3325">
        <v>0.25716319999999998</v>
      </c>
      <c r="N3325">
        <v>0</v>
      </c>
      <c r="O3325">
        <v>-0.96629149999999997</v>
      </c>
      <c r="P3325">
        <v>0.32303209999999999</v>
      </c>
      <c r="Q3325">
        <v>1.640173E-2</v>
      </c>
      <c r="R3325">
        <v>-0.94624609999999998</v>
      </c>
      <c r="S3325">
        <v>1.697327</v>
      </c>
      <c r="T3325">
        <v>-0.24639240000000001</v>
      </c>
      <c r="U3325">
        <v>-2.5966490000000002</v>
      </c>
      <c r="V3325">
        <v>-6.8812650000000003E-2</v>
      </c>
      <c r="W3325">
        <v>2.8531319999999999E-2</v>
      </c>
      <c r="X3325">
        <v>0.99722149999999998</v>
      </c>
      <c r="Y3325">
        <v>-0.31167979999999901</v>
      </c>
      <c r="Z3325">
        <v>7.9781749999999999E-2</v>
      </c>
      <c r="AA3325">
        <v>0.94683189999999995</v>
      </c>
      <c r="AB3325">
        <v>8</v>
      </c>
      <c r="AC3325">
        <v>7.6286999999999798</v>
      </c>
      <c r="AD3325">
        <v>-1.110724026045</v>
      </c>
      <c r="AE3325">
        <v>-11.626200000000001</v>
      </c>
      <c r="AF3325">
        <v>-4.3542600946084997</v>
      </c>
      <c r="AG3325">
        <v>-1.110724026045</v>
      </c>
      <c r="AH3325">
        <v>13.1134285367879</v>
      </c>
      <c r="AI3325">
        <v>94.595877433566102</v>
      </c>
      <c r="AJ3325">
        <v>108.368534816598</v>
      </c>
      <c r="AK3325">
        <v>13.862009119279101</v>
      </c>
      <c r="AL3325">
        <v>88.365053859877904</v>
      </c>
      <c r="AM3325">
        <v>93.947402278651396</v>
      </c>
      <c r="AN3325">
        <v>0.999999968541607</v>
      </c>
    </row>
    <row r="3326" spans="1:40" x14ac:dyDescent="0.25">
      <c r="A3326" t="str">
        <f>"20190312154317591"</f>
        <v>20190312154317591</v>
      </c>
      <c r="B3326" t="str">
        <f>"1552376597580980"</f>
        <v>1552376597580980</v>
      </c>
      <c r="C3326" t="s">
        <v>40</v>
      </c>
      <c r="D3326">
        <v>4.8956860000000004</v>
      </c>
      <c r="E3326">
        <v>0.40440700000000002</v>
      </c>
      <c r="F3326" t="s">
        <v>49</v>
      </c>
      <c r="G3326">
        <v>-483.40539999999999</v>
      </c>
      <c r="H3326" s="1">
        <v>3.8709469999999999E-6</v>
      </c>
      <c r="I3326">
        <v>225.70140000000001</v>
      </c>
      <c r="J3326">
        <v>-491.19380000000001</v>
      </c>
      <c r="K3326">
        <v>1.1107260000000001</v>
      </c>
      <c r="L3326">
        <v>237.5282</v>
      </c>
      <c r="M3326">
        <v>0.25848949999999998</v>
      </c>
      <c r="N3326">
        <v>0</v>
      </c>
      <c r="O3326">
        <v>-0.96593759999999995</v>
      </c>
      <c r="P3326">
        <v>0.32430490000000001</v>
      </c>
      <c r="Q3326">
        <v>1.7027520000000001E-2</v>
      </c>
      <c r="R3326">
        <v>-0.94579919999999995</v>
      </c>
      <c r="S3326">
        <v>1.7014769999999999</v>
      </c>
      <c r="T3326">
        <v>-0.241925</v>
      </c>
      <c r="U3326">
        <v>-2.5937649999999999</v>
      </c>
      <c r="V3326">
        <v>-6.8787210000000001E-2</v>
      </c>
      <c r="W3326">
        <v>2.913236E-2</v>
      </c>
      <c r="X3326">
        <v>0.99720589999999998</v>
      </c>
      <c r="Y3326">
        <v>-0.31198179999999998</v>
      </c>
      <c r="Z3326">
        <v>7.8339359999999997E-2</v>
      </c>
      <c r="AA3326">
        <v>0.9468529</v>
      </c>
      <c r="AB3326">
        <v>8</v>
      </c>
      <c r="AC3326">
        <v>7.7884000000000198</v>
      </c>
      <c r="AD3326">
        <v>-1.1107221290530001</v>
      </c>
      <c r="AE3326">
        <v>-11.826799999999899</v>
      </c>
      <c r="AF3326">
        <v>-4.4390251924769597</v>
      </c>
      <c r="AG3326">
        <v>-1.1107221290530001</v>
      </c>
      <c r="AH3326">
        <v>13.3559951053349</v>
      </c>
      <c r="AI3326">
        <v>94.512324093120398</v>
      </c>
      <c r="AJ3326">
        <v>108.384846061678</v>
      </c>
      <c r="AK3326">
        <v>14.118117918516701</v>
      </c>
      <c r="AL3326">
        <v>88.3306025179063</v>
      </c>
      <c r="AM3326">
        <v>93.946009071374903</v>
      </c>
      <c r="AN3326">
        <v>0.99999999082678104</v>
      </c>
    </row>
    <row r="3327" spans="1:40" x14ac:dyDescent="0.25">
      <c r="A3327" t="str">
        <f>"20190312154317613"</f>
        <v>20190312154317613</v>
      </c>
      <c r="B3327" t="str">
        <f>"1552376597600489"</f>
        <v>1552376597600489</v>
      </c>
      <c r="C3327" t="s">
        <v>40</v>
      </c>
      <c r="D3327">
        <v>4.949732</v>
      </c>
      <c r="E3327">
        <v>0.40914719999999999</v>
      </c>
      <c r="F3327" t="s">
        <v>49</v>
      </c>
      <c r="G3327">
        <v>-483.29140000000001</v>
      </c>
      <c r="H3327" s="1">
        <v>3.802224E-6</v>
      </c>
      <c r="I3327">
        <v>225.50479999999999</v>
      </c>
      <c r="J3327">
        <v>-491.17239999999998</v>
      </c>
      <c r="K3327">
        <v>1.1107260000000001</v>
      </c>
      <c r="L3327">
        <v>237.4537</v>
      </c>
      <c r="M3327">
        <v>0.259623299999999</v>
      </c>
      <c r="N3327">
        <v>0</v>
      </c>
      <c r="O3327">
        <v>-0.9656342</v>
      </c>
      <c r="P3327">
        <v>0.32447779999999998</v>
      </c>
      <c r="Q3327">
        <v>1.7790480000000001E-2</v>
      </c>
      <c r="R3327">
        <v>-0.94572619999999996</v>
      </c>
      <c r="S3327">
        <v>1.703613</v>
      </c>
      <c r="T3327">
        <v>-0.239453</v>
      </c>
      <c r="U3327">
        <v>-2.5920559999999999</v>
      </c>
      <c r="V3327">
        <v>-6.7802349999999997E-2</v>
      </c>
      <c r="W3327">
        <v>2.9868760000000001E-2</v>
      </c>
      <c r="X3327">
        <v>0.99725160000000002</v>
      </c>
      <c r="Y3327">
        <v>-0.31173339999999999</v>
      </c>
      <c r="Z3327">
        <v>7.7537690000000006E-2</v>
      </c>
      <c r="AA3327">
        <v>0.94700059999999997</v>
      </c>
      <c r="AB3327">
        <v>8</v>
      </c>
      <c r="AC3327">
        <v>7.88099999999997</v>
      </c>
      <c r="AD3327">
        <v>-1.110722197776</v>
      </c>
      <c r="AE3327">
        <v>-11.9489</v>
      </c>
      <c r="AF3327">
        <v>-4.4812964496857104</v>
      </c>
      <c r="AG3327">
        <v>-1.110722197776</v>
      </c>
      <c r="AH3327">
        <v>13.5040384716166</v>
      </c>
      <c r="AI3327">
        <v>94.463739820892002</v>
      </c>
      <c r="AJ3327">
        <v>108.35835341332201</v>
      </c>
      <c r="AK3327">
        <v>14.2714672235723</v>
      </c>
      <c r="AL3327">
        <v>88.288391595731795</v>
      </c>
      <c r="AM3327">
        <v>93.889509115993903</v>
      </c>
      <c r="AN3327">
        <v>1.0000000275959999</v>
      </c>
    </row>
    <row r="3328" spans="1:40" x14ac:dyDescent="0.25">
      <c r="A3328" t="str">
        <f>"20190312154317634"</f>
        <v>20190312154317634</v>
      </c>
      <c r="B3328" t="str">
        <f>"1552376597630745"</f>
        <v>1552376597630745</v>
      </c>
      <c r="C3328" t="s">
        <v>40</v>
      </c>
      <c r="D3328">
        <v>4.9976139999999996</v>
      </c>
      <c r="E3328">
        <v>0.40914149999999999</v>
      </c>
      <c r="F3328" t="s">
        <v>49</v>
      </c>
      <c r="G3328">
        <v>-483.46510000000001</v>
      </c>
      <c r="H3328" s="1">
        <v>3.8223039999999999E-6</v>
      </c>
      <c r="I3328">
        <v>225.42140000000001</v>
      </c>
      <c r="J3328">
        <v>-491.1508</v>
      </c>
      <c r="K3328">
        <v>1.110735</v>
      </c>
      <c r="L3328">
        <v>237.37809999999999</v>
      </c>
      <c r="M3328">
        <v>0.26071749999999999</v>
      </c>
      <c r="N3328">
        <v>0</v>
      </c>
      <c r="O3328">
        <v>-0.96533970000000002</v>
      </c>
      <c r="P3328">
        <v>0.32536079999999901</v>
      </c>
      <c r="Q3328">
        <v>1.811921E-2</v>
      </c>
      <c r="R3328">
        <v>-0.9454167</v>
      </c>
      <c r="S3328">
        <v>1.6681820000000001</v>
      </c>
      <c r="T3328">
        <v>-0.24040719999999999</v>
      </c>
      <c r="U3328">
        <v>-2.6042939999999999</v>
      </c>
      <c r="V3328">
        <v>-6.7605349999999995E-2</v>
      </c>
      <c r="W3328">
        <v>3.017332E-2</v>
      </c>
      <c r="X3328">
        <v>0.99725580000000003</v>
      </c>
      <c r="Y3328">
        <v>-0.2994887</v>
      </c>
      <c r="Z3328">
        <v>7.7928090000000005E-2</v>
      </c>
      <c r="AA3328">
        <v>0.95091210000000004</v>
      </c>
      <c r="AB3328">
        <v>8</v>
      </c>
      <c r="AC3328">
        <v>7.68569999999999</v>
      </c>
      <c r="AD3328">
        <v>-1.110731177696</v>
      </c>
      <c r="AE3328">
        <v>-11.9566999999999</v>
      </c>
      <c r="AF3328">
        <v>-4.2761909247663796</v>
      </c>
      <c r="AG3328">
        <v>-1.110731177696</v>
      </c>
      <c r="AH3328">
        <v>13.4648364950462</v>
      </c>
      <c r="AI3328">
        <v>94.495441261040099</v>
      </c>
      <c r="AJ3328">
        <v>107.61891593032099</v>
      </c>
      <c r="AK3328">
        <v>14.171145134126901</v>
      </c>
      <c r="AL3328">
        <v>88.270933714347393</v>
      </c>
      <c r="AM3328">
        <v>93.878226384760893</v>
      </c>
      <c r="AN3328">
        <v>1.0000000216110401</v>
      </c>
    </row>
    <row r="3329" spans="1:40" x14ac:dyDescent="0.25">
      <c r="A3329" t="str">
        <f>"20190312154317658"</f>
        <v>20190312154317658</v>
      </c>
      <c r="B3329" t="str">
        <f>"1552376597650266"</f>
        <v>1552376597650266</v>
      </c>
      <c r="C3329" t="s">
        <v>40</v>
      </c>
      <c r="D3329">
        <v>4.9791059999999998</v>
      </c>
      <c r="E3329">
        <v>0.40925149999999999</v>
      </c>
      <c r="F3329" t="s">
        <v>49</v>
      </c>
      <c r="G3329">
        <v>-483.6386</v>
      </c>
      <c r="H3329" s="1">
        <v>3.916781E-6</v>
      </c>
      <c r="I3329">
        <v>225.6747</v>
      </c>
      <c r="J3329">
        <v>-491.1275</v>
      </c>
      <c r="K3329">
        <v>1.110746</v>
      </c>
      <c r="L3329">
        <v>237.29730000000001</v>
      </c>
      <c r="M3329">
        <v>0.26183970000000001</v>
      </c>
      <c r="N3329">
        <v>0</v>
      </c>
      <c r="O3329">
        <v>-0.96503589999999995</v>
      </c>
      <c r="P3329">
        <v>0.32577709999999999</v>
      </c>
      <c r="Q3329">
        <v>1.8073639999999998E-2</v>
      </c>
      <c r="R3329">
        <v>-0.94527410000000001</v>
      </c>
      <c r="S3329">
        <v>1.67077599999999</v>
      </c>
      <c r="T3329">
        <v>-0.24703739999999999</v>
      </c>
      <c r="U3329">
        <v>-2.602951</v>
      </c>
      <c r="V3329">
        <v>-6.6885979999999998E-2</v>
      </c>
      <c r="W3329">
        <v>3.010993E-2</v>
      </c>
      <c r="X3329">
        <v>0.99730620000000003</v>
      </c>
      <c r="Y3329">
        <v>-0.29918090000000003</v>
      </c>
      <c r="Z3329">
        <v>8.0043790000000004E-2</v>
      </c>
      <c r="AA3329">
        <v>0.95083320000000005</v>
      </c>
      <c r="AB3329">
        <v>8</v>
      </c>
      <c r="AC3329">
        <v>7.4889000000000001</v>
      </c>
      <c r="AD3329">
        <v>-1.110742083219</v>
      </c>
      <c r="AE3329">
        <v>-11.6226</v>
      </c>
      <c r="AF3329">
        <v>-4.1572741523742103</v>
      </c>
      <c r="AG3329">
        <v>-1.110742083219</v>
      </c>
      <c r="AH3329">
        <v>13.0935752389992</v>
      </c>
      <c r="AI3329">
        <v>94.622509957893797</v>
      </c>
      <c r="AJ3329">
        <v>107.61489776485401</v>
      </c>
      <c r="AK3329">
        <v>13.782539275937699</v>
      </c>
      <c r="AL3329">
        <v>88.274567306349695</v>
      </c>
      <c r="AM3329">
        <v>93.836889844982593</v>
      </c>
      <c r="AN3329">
        <v>0.99999999938180195</v>
      </c>
    </row>
    <row r="3330" spans="1:40" x14ac:dyDescent="0.25">
      <c r="A3330" t="str">
        <f>"20190312154317681"</f>
        <v>20190312154317681</v>
      </c>
      <c r="B3330" t="str">
        <f>"1552376597670762"</f>
        <v>1552376597670762</v>
      </c>
      <c r="C3330" t="s">
        <v>40</v>
      </c>
      <c r="D3330">
        <v>4.9513509999999998</v>
      </c>
      <c r="E3330">
        <v>0.40901710000000002</v>
      </c>
      <c r="F3330" t="s">
        <v>49</v>
      </c>
      <c r="G3330">
        <v>-483.67950000000002</v>
      </c>
      <c r="H3330" s="1">
        <v>3.9320599999999998E-6</v>
      </c>
      <c r="I3330">
        <v>225.7029</v>
      </c>
      <c r="J3330">
        <v>-491.10399999999998</v>
      </c>
      <c r="K3330">
        <v>1.110771</v>
      </c>
      <c r="L3330">
        <v>237.21559999999999</v>
      </c>
      <c r="M3330">
        <v>0.262932</v>
      </c>
      <c r="N3330">
        <v>0</v>
      </c>
      <c r="O3330">
        <v>-0.96473900000000001</v>
      </c>
      <c r="P3330">
        <v>0.32669409999999999</v>
      </c>
      <c r="Q3330">
        <v>1.7403849999999998E-2</v>
      </c>
      <c r="R3330">
        <v>-0.94497019999999998</v>
      </c>
      <c r="S3330">
        <v>1.67169199999999</v>
      </c>
      <c r="T3330">
        <v>-0.2493023</v>
      </c>
      <c r="U3330">
        <v>-2.602325</v>
      </c>
      <c r="V3330">
        <v>-6.6723290000000005E-2</v>
      </c>
      <c r="W3330">
        <v>2.9423589999999999E-2</v>
      </c>
      <c r="X3330">
        <v>0.99733760000000005</v>
      </c>
      <c r="Y3330">
        <v>-0.2984097</v>
      </c>
      <c r="Z3330">
        <v>8.0754950000000006E-2</v>
      </c>
      <c r="AA3330">
        <v>0.95101539999999996</v>
      </c>
      <c r="AB3330">
        <v>8</v>
      </c>
      <c r="AC3330">
        <v>7.4245000000000196</v>
      </c>
      <c r="AD3330">
        <v>-1.1107670679399999</v>
      </c>
      <c r="AE3330">
        <v>-11.512699999999899</v>
      </c>
      <c r="AF3330">
        <v>-4.1089340963038401</v>
      </c>
      <c r="AG3330">
        <v>-1.1107670679399999</v>
      </c>
      <c r="AH3330">
        <v>12.9745380825717</v>
      </c>
      <c r="AI3330">
        <v>94.665925836046299</v>
      </c>
      <c r="AJ3330">
        <v>107.572584724853</v>
      </c>
      <c r="AK3330">
        <v>13.654881227718301</v>
      </c>
      <c r="AL3330">
        <v>88.3139091551798</v>
      </c>
      <c r="AM3330">
        <v>93.827464818866503</v>
      </c>
      <c r="AN3330">
        <v>1.00000001672533</v>
      </c>
    </row>
    <row r="3331" spans="1:40" x14ac:dyDescent="0.25">
      <c r="A3331" t="str">
        <f>"20190312154317702"</f>
        <v>20190312154317702</v>
      </c>
      <c r="B3331" t="str">
        <f>"1552376597690281"</f>
        <v>1552376597690281</v>
      </c>
      <c r="C3331" t="s">
        <v>40</v>
      </c>
      <c r="D3331">
        <v>4.9876399999999999</v>
      </c>
      <c r="E3331">
        <v>0.40899950000000002</v>
      </c>
      <c r="F3331" t="s">
        <v>49</v>
      </c>
      <c r="G3331">
        <v>-483.73880000000003</v>
      </c>
      <c r="H3331" s="1">
        <v>3.9653360000000001E-6</v>
      </c>
      <c r="I3331">
        <v>225.79390000000001</v>
      </c>
      <c r="J3331">
        <v>-491.08199999999999</v>
      </c>
      <c r="K3331">
        <v>1.1107959999999999</v>
      </c>
      <c r="L3331">
        <v>237.1396</v>
      </c>
      <c r="M3331">
        <v>0.26393319999999998</v>
      </c>
      <c r="N3331">
        <v>0</v>
      </c>
      <c r="O3331">
        <v>-0.96446580000000004</v>
      </c>
      <c r="P3331">
        <v>0.32734099999999999</v>
      </c>
      <c r="Q3331">
        <v>1.6185209999999998E-2</v>
      </c>
      <c r="R3331">
        <v>-0.94476769999999999</v>
      </c>
      <c r="S3331">
        <v>1.676453</v>
      </c>
      <c r="T3331">
        <v>-0.25283099999999997</v>
      </c>
      <c r="U3331">
        <v>-2.5998079999999999</v>
      </c>
      <c r="V3331">
        <v>-6.6367060000000005E-2</v>
      </c>
      <c r="W3331">
        <v>2.8189570000000001E-2</v>
      </c>
      <c r="X3331">
        <v>0.99739699999999998</v>
      </c>
      <c r="Y3331">
        <v>-0.29901820000000001</v>
      </c>
      <c r="Z3331">
        <v>8.1876099999999993E-2</v>
      </c>
      <c r="AA3331">
        <v>0.95072840000000003</v>
      </c>
      <c r="AB3331">
        <v>8</v>
      </c>
      <c r="AC3331">
        <v>7.3431999999999604</v>
      </c>
      <c r="AD3331">
        <v>-1.1107920346639999</v>
      </c>
      <c r="AE3331">
        <v>-11.3456999999999</v>
      </c>
      <c r="AF3331">
        <v>-4.0606235405472901</v>
      </c>
      <c r="AG3331">
        <v>-1.1107920346639999</v>
      </c>
      <c r="AH3331">
        <v>12.795151254768101</v>
      </c>
      <c r="AI3331">
        <v>94.730251447031804</v>
      </c>
      <c r="AJ3331">
        <v>107.60717039601199</v>
      </c>
      <c r="AK3331">
        <v>13.469907873282301</v>
      </c>
      <c r="AL3331">
        <v>88.3846426348059</v>
      </c>
      <c r="AM3331">
        <v>93.806864497835605</v>
      </c>
      <c r="AN3331">
        <v>1.0000000070594099</v>
      </c>
    </row>
    <row r="3332" spans="1:40" x14ac:dyDescent="0.25">
      <c r="A3332" t="str">
        <f>"20190312154317724"</f>
        <v>20190312154317724</v>
      </c>
      <c r="B3332" t="str">
        <f>"1552376597710777"</f>
        <v>1552376597710777</v>
      </c>
      <c r="C3332" t="s">
        <v>40</v>
      </c>
      <c r="D3332">
        <v>4.9813660000000004</v>
      </c>
      <c r="E3332">
        <v>0.40892539999999999</v>
      </c>
      <c r="F3332" t="s">
        <v>49</v>
      </c>
      <c r="G3332">
        <v>-483.89819999999997</v>
      </c>
      <c r="H3332" s="1">
        <v>4.051818E-6</v>
      </c>
      <c r="I3332">
        <v>226.02520000000001</v>
      </c>
      <c r="J3332">
        <v>-491.06099999999998</v>
      </c>
      <c r="K3332">
        <v>1.1108119999999999</v>
      </c>
      <c r="L3332">
        <v>237.0669</v>
      </c>
      <c r="M3332">
        <v>0.26488650000000002</v>
      </c>
      <c r="N3332">
        <v>0</v>
      </c>
      <c r="O3332">
        <v>-0.96420439999999996</v>
      </c>
      <c r="P3332">
        <v>0.32777859999999998</v>
      </c>
      <c r="Q3332">
        <v>1.6006670000000001E-2</v>
      </c>
      <c r="R3332">
        <v>-0.94461899999999999</v>
      </c>
      <c r="S3332">
        <v>1.67925999999999</v>
      </c>
      <c r="T3332">
        <v>-0.25965260000000001</v>
      </c>
      <c r="U3332">
        <v>-2.5980379999999998</v>
      </c>
      <c r="V3332">
        <v>-6.5843299999999993E-2</v>
      </c>
      <c r="W3332">
        <v>2.7998430000000001E-2</v>
      </c>
      <c r="X3332">
        <v>0.99743709999999997</v>
      </c>
      <c r="Y3332">
        <v>-0.29899379999999998</v>
      </c>
      <c r="Z3332">
        <v>8.4060019999999999E-2</v>
      </c>
      <c r="AA3332">
        <v>0.95054539999999998</v>
      </c>
      <c r="AB3332">
        <v>8</v>
      </c>
      <c r="AC3332">
        <v>7.1627999999999998</v>
      </c>
      <c r="AD3332">
        <v>-1.1108079481819999</v>
      </c>
      <c r="AE3332">
        <v>-11.041699999999899</v>
      </c>
      <c r="AF3332">
        <v>-3.9537319945577201</v>
      </c>
      <c r="AG3332">
        <v>-1.1108079481819999</v>
      </c>
      <c r="AH3332">
        <v>12.455969517419099</v>
      </c>
      <c r="AI3332">
        <v>94.858435235193795</v>
      </c>
      <c r="AJ3332">
        <v>107.61030440750299</v>
      </c>
      <c r="AK3332">
        <v>13.1155277286661</v>
      </c>
      <c r="AL3332">
        <v>88.395598479743995</v>
      </c>
      <c r="AM3332">
        <v>93.776757127985306</v>
      </c>
      <c r="AN3332">
        <v>1.00000001034688</v>
      </c>
    </row>
    <row r="3333" spans="1:40" x14ac:dyDescent="0.25">
      <c r="A3333" t="str">
        <f>"20190312154317746"</f>
        <v>20190312154317746</v>
      </c>
      <c r="B3333" t="str">
        <f>"1552376597741033"</f>
        <v>1552376597741033</v>
      </c>
      <c r="C3333" t="s">
        <v>40</v>
      </c>
      <c r="D3333">
        <v>5.1321539999999999</v>
      </c>
      <c r="E3333">
        <v>0.4090355</v>
      </c>
      <c r="F3333" t="s">
        <v>49</v>
      </c>
      <c r="G3333">
        <v>-483.99610000000001</v>
      </c>
      <c r="H3333" s="1">
        <v>4.1038630000000003E-6</v>
      </c>
      <c r="I3333">
        <v>226.16239999999999</v>
      </c>
      <c r="J3333">
        <v>-491.03890000000001</v>
      </c>
      <c r="K3333">
        <v>1.11084</v>
      </c>
      <c r="L3333">
        <v>236.99090000000001</v>
      </c>
      <c r="M3333">
        <v>0.26588339999999999</v>
      </c>
      <c r="N3333">
        <v>0</v>
      </c>
      <c r="O3333">
        <v>-0.96392999999999995</v>
      </c>
      <c r="P3333">
        <v>0.32756099999999999</v>
      </c>
      <c r="Q3333">
        <v>1.6697960000000001E-2</v>
      </c>
      <c r="R3333">
        <v>-0.94468249999999998</v>
      </c>
      <c r="S3333">
        <v>1.68231199999999</v>
      </c>
      <c r="T3333">
        <v>-0.26450610000000002</v>
      </c>
      <c r="U3333">
        <v>-2.5965880000000001</v>
      </c>
      <c r="V3333">
        <v>-6.4586840000000006E-2</v>
      </c>
      <c r="W3333">
        <v>2.8681459999999999E-2</v>
      </c>
      <c r="X3333">
        <v>0.99749980000000005</v>
      </c>
      <c r="Y3333">
        <v>-0.29896319999999998</v>
      </c>
      <c r="Z3333">
        <v>8.5597880000000001E-2</v>
      </c>
      <c r="AA3333">
        <v>0.95041779999999998</v>
      </c>
      <c r="AB3333">
        <v>8</v>
      </c>
      <c r="AC3333">
        <v>7.0427999999999997</v>
      </c>
      <c r="AD3333">
        <v>-1.110835896137</v>
      </c>
      <c r="AE3333">
        <v>-10.8285</v>
      </c>
      <c r="AF3333">
        <v>-3.8812284889132602</v>
      </c>
      <c r="AG3333">
        <v>-1.110835896137</v>
      </c>
      <c r="AH3333">
        <v>12.2209944602406</v>
      </c>
      <c r="AI3333">
        <v>94.951271051842895</v>
      </c>
      <c r="AJ3333">
        <v>107.61916940385299</v>
      </c>
      <c r="AK3333">
        <v>12.8705321012198</v>
      </c>
      <c r="AL3333">
        <v>88.356447949295799</v>
      </c>
      <c r="AM3333">
        <v>93.704657301085007</v>
      </c>
      <c r="AN3333">
        <v>0.99999996852447803</v>
      </c>
    </row>
    <row r="3334" spans="1:40" x14ac:dyDescent="0.25">
      <c r="A3334" t="str">
        <f>"20190312154317769"</f>
        <v>20190312154317769</v>
      </c>
      <c r="B3334" t="str">
        <f>"1552376597760553"</f>
        <v>1552376597760553</v>
      </c>
      <c r="C3334" t="s">
        <v>40</v>
      </c>
      <c r="D3334">
        <v>5.0752199999999998</v>
      </c>
      <c r="E3334">
        <v>0.40908040000000001</v>
      </c>
      <c r="F3334" t="s">
        <v>49</v>
      </c>
      <c r="G3334">
        <v>-484.09109999999998</v>
      </c>
      <c r="H3334" s="1">
        <v>4.1467060000000002E-6</v>
      </c>
      <c r="I3334">
        <v>226.26089999999999</v>
      </c>
      <c r="J3334">
        <v>-491.01620000000003</v>
      </c>
      <c r="K3334">
        <v>1.1108559999999901</v>
      </c>
      <c r="L3334">
        <v>236.91309999999999</v>
      </c>
      <c r="M3334">
        <v>0.26690809999999998</v>
      </c>
      <c r="N3334">
        <v>0</v>
      </c>
      <c r="O3334">
        <v>-0.96364700000000003</v>
      </c>
      <c r="P3334">
        <v>0.32566519999999999</v>
      </c>
      <c r="Q3334">
        <v>1.780435E-2</v>
      </c>
      <c r="R3334">
        <v>-0.94531770000000004</v>
      </c>
      <c r="S3334">
        <v>1.6817930000000001</v>
      </c>
      <c r="T3334">
        <v>-0.26888840000000003</v>
      </c>
      <c r="U3334">
        <v>-2.597305</v>
      </c>
      <c r="V3334">
        <v>-6.1530910000000001E-2</v>
      </c>
      <c r="W3334">
        <v>2.9786300000000002E-2</v>
      </c>
      <c r="X3334">
        <v>0.99766060000000001</v>
      </c>
      <c r="Y3334">
        <v>-0.29762860000000002</v>
      </c>
      <c r="Z3334">
        <v>8.6969759999999993E-2</v>
      </c>
      <c r="AA3334">
        <v>0.95071209999999995</v>
      </c>
      <c r="AB3334">
        <v>8</v>
      </c>
      <c r="AC3334">
        <v>6.9251000000000396</v>
      </c>
      <c r="AD3334">
        <v>-1.1108518532939999</v>
      </c>
      <c r="AE3334">
        <v>-10.652199999999899</v>
      </c>
      <c r="AF3334">
        <v>-3.8014110559698699</v>
      </c>
      <c r="AG3334">
        <v>-1.1108518532939999</v>
      </c>
      <c r="AH3334">
        <v>12.0222992171147</v>
      </c>
      <c r="AI3334">
        <v>95.0347618678923</v>
      </c>
      <c r="AJ3334">
        <v>107.546781235803</v>
      </c>
      <c r="AK3334">
        <v>12.6578195721955</v>
      </c>
      <c r="AL3334">
        <v>88.293118218323301</v>
      </c>
      <c r="AM3334">
        <v>93.529257888259394</v>
      </c>
      <c r="AN3334">
        <v>0.99999997467273805</v>
      </c>
    </row>
    <row r="3335" spans="1:40" x14ac:dyDescent="0.25">
      <c r="A3335" t="str">
        <f>"20190312154317791"</f>
        <v>20190312154317791</v>
      </c>
      <c r="B3335" t="str">
        <f>"1552376597781054"</f>
        <v>1552376597781054</v>
      </c>
      <c r="C3335" t="s">
        <v>40</v>
      </c>
      <c r="D3335">
        <v>5.0766479999999996</v>
      </c>
      <c r="E3335">
        <v>0.40993839999999998</v>
      </c>
      <c r="F3335" t="s">
        <v>49</v>
      </c>
      <c r="G3335">
        <v>-484.14240000000001</v>
      </c>
      <c r="H3335" s="1">
        <v>4.1568069999999997E-6</v>
      </c>
      <c r="I3335">
        <v>226.2551</v>
      </c>
      <c r="J3335">
        <v>-490.99290000000002</v>
      </c>
      <c r="K3335">
        <v>1.110867</v>
      </c>
      <c r="L3335">
        <v>236.8338</v>
      </c>
      <c r="M3335">
        <v>0.26795469999999999</v>
      </c>
      <c r="N3335">
        <v>0</v>
      </c>
      <c r="O3335">
        <v>-0.96335660000000001</v>
      </c>
      <c r="P3335">
        <v>0.32337559999999999</v>
      </c>
      <c r="Q3335">
        <v>1.8174579999999999E-2</v>
      </c>
      <c r="R3335">
        <v>-0.94609650000000001</v>
      </c>
      <c r="S3335">
        <v>1.677368</v>
      </c>
      <c r="T3335">
        <v>-0.27107520000000002</v>
      </c>
      <c r="U3335">
        <v>-2.6008</v>
      </c>
      <c r="V3335">
        <v>-5.8033340000000003E-2</v>
      </c>
      <c r="W3335">
        <v>3.0157590000000001E-2</v>
      </c>
      <c r="X3335">
        <v>0.9978591</v>
      </c>
      <c r="Y3335">
        <v>-0.29483429999999999</v>
      </c>
      <c r="Z3335">
        <v>8.7610640000000004E-2</v>
      </c>
      <c r="AA3335">
        <v>0.95152349999999997</v>
      </c>
      <c r="AB3335">
        <v>8</v>
      </c>
      <c r="AC3335">
        <v>6.85050000000001</v>
      </c>
      <c r="AD3335">
        <v>-1.1108628431929899</v>
      </c>
      <c r="AE3335">
        <v>-10.5786999999999</v>
      </c>
      <c r="AF3335">
        <v>-3.7361078751932402</v>
      </c>
      <c r="AG3335">
        <v>-1.1108628431929899</v>
      </c>
      <c r="AH3335">
        <v>11.934830353715499</v>
      </c>
      <c r="AI3335">
        <v>95.076076962947695</v>
      </c>
      <c r="AJ3335">
        <v>107.38233234275501</v>
      </c>
      <c r="AK3335">
        <v>12.555185935836899</v>
      </c>
      <c r="AL3335">
        <v>88.271835464215002</v>
      </c>
      <c r="AM3335">
        <v>93.328450092386404</v>
      </c>
      <c r="AN3335">
        <v>1.0000000661194799</v>
      </c>
    </row>
    <row r="3336" spans="1:40" x14ac:dyDescent="0.25">
      <c r="A3336" t="str">
        <f>"20190312154317814"</f>
        <v>20190312154317814</v>
      </c>
      <c r="B3336" t="str">
        <f>"1552376597810330"</f>
        <v>1552376597810330</v>
      </c>
      <c r="C3336" t="s">
        <v>40</v>
      </c>
      <c r="D3336">
        <v>5.0663080000000003</v>
      </c>
      <c r="E3336">
        <v>0.41006310000000001</v>
      </c>
      <c r="F3336" t="s">
        <v>49</v>
      </c>
      <c r="G3336">
        <v>-485.8415</v>
      </c>
      <c r="H3336" s="1">
        <v>5.2790069999999998E-6</v>
      </c>
      <c r="I3336">
        <v>228.78149999999999</v>
      </c>
      <c r="J3336">
        <v>-490.97030000000001</v>
      </c>
      <c r="K3336">
        <v>1.110868</v>
      </c>
      <c r="L3336">
        <v>236.75749999999999</v>
      </c>
      <c r="M3336">
        <v>0.26896910000000002</v>
      </c>
      <c r="N3336">
        <v>0</v>
      </c>
      <c r="O3336">
        <v>-0.96307379999999998</v>
      </c>
      <c r="P3336">
        <v>0.3217004</v>
      </c>
      <c r="Q3336">
        <v>1.7370469999999999E-2</v>
      </c>
      <c r="R3336">
        <v>-0.94668249999999998</v>
      </c>
      <c r="S3336">
        <v>1.6682429999999999</v>
      </c>
      <c r="T3336">
        <v>-0.35974339999999999</v>
      </c>
      <c r="U3336">
        <v>-2.607666</v>
      </c>
      <c r="V3336">
        <v>-5.521094E-2</v>
      </c>
      <c r="W3336">
        <v>2.9357330000000001E-2</v>
      </c>
      <c r="X3336">
        <v>0.99804309999999996</v>
      </c>
      <c r="Y3336">
        <v>-0.28872680000000001</v>
      </c>
      <c r="Z3336">
        <v>0.1158044</v>
      </c>
      <c r="AA3336">
        <v>0.95038210000000001</v>
      </c>
      <c r="AB3336">
        <v>8</v>
      </c>
      <c r="AC3336">
        <v>5.1288000000000098</v>
      </c>
      <c r="AD3336">
        <v>-1.110862720993</v>
      </c>
      <c r="AE3336">
        <v>-7.9759999999999902</v>
      </c>
      <c r="AF3336">
        <v>-2.7564890784235998</v>
      </c>
      <c r="AG3336">
        <v>-1.110862720993</v>
      </c>
      <c r="AH3336">
        <v>8.9389480289163004</v>
      </c>
      <c r="AI3336">
        <v>96.772395463897695</v>
      </c>
      <c r="AJ3336">
        <v>107.13810909512701</v>
      </c>
      <c r="AK3336">
        <v>9.4200339642714201</v>
      </c>
      <c r="AL3336">
        <v>88.317707295587198</v>
      </c>
      <c r="AM3336">
        <v>93.166329100575993</v>
      </c>
      <c r="AN3336">
        <v>1.000000065089</v>
      </c>
    </row>
    <row r="3337" spans="1:40" x14ac:dyDescent="0.25">
      <c r="A3337" t="str">
        <f>"20190312154317835"</f>
        <v>20190312154317835</v>
      </c>
      <c r="B3337" t="str">
        <f>"1552376597830826"</f>
        <v>1552376597830826</v>
      </c>
      <c r="C3337" t="s">
        <v>40</v>
      </c>
      <c r="D3337">
        <v>5.0404019999999896</v>
      </c>
      <c r="E3337">
        <v>0.40934730000000003</v>
      </c>
      <c r="F3337" t="s">
        <v>49</v>
      </c>
      <c r="G3337">
        <v>-485.9572</v>
      </c>
      <c r="H3337" s="1">
        <v>5.34113E-6</v>
      </c>
      <c r="I3337">
        <v>228.8827</v>
      </c>
      <c r="J3337">
        <v>-490.94889999999998</v>
      </c>
      <c r="K3337">
        <v>1.1108640000000001</v>
      </c>
      <c r="L3337">
        <v>236.68530000000001</v>
      </c>
      <c r="M3337">
        <v>0.2699338</v>
      </c>
      <c r="N3337">
        <v>0</v>
      </c>
      <c r="O3337">
        <v>-0.96280379999999999</v>
      </c>
      <c r="P3337">
        <v>0.321133</v>
      </c>
      <c r="Q3337">
        <v>1.6251080000000001E-2</v>
      </c>
      <c r="R3337">
        <v>-0.94689509999999999</v>
      </c>
      <c r="S3337">
        <v>1.66214</v>
      </c>
      <c r="T3337">
        <v>-0.368311</v>
      </c>
      <c r="U3337">
        <v>-2.6109010000000001</v>
      </c>
      <c r="V3337">
        <v>-5.3605939999999998E-2</v>
      </c>
      <c r="W3337">
        <v>2.8242469999999999E-2</v>
      </c>
      <c r="X3337">
        <v>0.99816269999999996</v>
      </c>
      <c r="Y3337">
        <v>-0.2854775</v>
      </c>
      <c r="Z3337">
        <v>0.118477399999999</v>
      </c>
      <c r="AA3337">
        <v>0.95103400000000005</v>
      </c>
      <c r="AB3337">
        <v>8</v>
      </c>
      <c r="AC3337">
        <v>4.9916999999999803</v>
      </c>
      <c r="AD3337">
        <v>-1.11085865886999</v>
      </c>
      <c r="AE3337">
        <v>-7.8026000000000098</v>
      </c>
      <c r="AF3337">
        <v>-2.6617540867738998</v>
      </c>
      <c r="AG3337">
        <v>-1.11085865886999</v>
      </c>
      <c r="AH3337">
        <v>8.7348113406346801</v>
      </c>
      <c r="AI3337">
        <v>96.936123410401194</v>
      </c>
      <c r="AJ3337">
        <v>106.947521717524</v>
      </c>
      <c r="AK3337">
        <v>9.1986885442939208</v>
      </c>
      <c r="AL3337">
        <v>88.381610477166404</v>
      </c>
      <c r="AM3337">
        <v>93.074094428665006</v>
      </c>
      <c r="AN3337">
        <v>1.0000000047931299</v>
      </c>
    </row>
    <row r="3338" spans="1:40" x14ac:dyDescent="0.25">
      <c r="A3338" t="str">
        <f>"20190312154317860"</f>
        <v>20190312154317860</v>
      </c>
      <c r="B3338" t="str">
        <f>"1552376597850345"</f>
        <v>1552376597850345</v>
      </c>
      <c r="C3338" t="s">
        <v>40</v>
      </c>
      <c r="D3338">
        <v>5.0540719999999997</v>
      </c>
      <c r="E3338">
        <v>0.40919260000000002</v>
      </c>
      <c r="F3338" t="s">
        <v>49</v>
      </c>
      <c r="G3338">
        <v>-485.97430000000003</v>
      </c>
      <c r="H3338" s="1">
        <v>5.3483019999999997E-6</v>
      </c>
      <c r="I3338">
        <v>228.89109999999999</v>
      </c>
      <c r="J3338">
        <v>-490.92430000000002</v>
      </c>
      <c r="K3338">
        <v>1.1108469999999999</v>
      </c>
      <c r="L3338">
        <v>236.6026</v>
      </c>
      <c r="M3338">
        <v>0.2710439</v>
      </c>
      <c r="N3338">
        <v>0</v>
      </c>
      <c r="O3338">
        <v>-0.96249189999999996</v>
      </c>
      <c r="P3338">
        <v>0.3224689</v>
      </c>
      <c r="Q3338">
        <v>1.503873E-2</v>
      </c>
      <c r="R3338">
        <v>-0.946461</v>
      </c>
      <c r="S3338">
        <v>1.6656799999999901</v>
      </c>
      <c r="T3338">
        <v>-0.37195610000000001</v>
      </c>
      <c r="U3338">
        <v>-2.609772</v>
      </c>
      <c r="V3338">
        <v>-5.3857139999999998E-2</v>
      </c>
      <c r="W3338">
        <v>2.7036540000000001E-2</v>
      </c>
      <c r="X3338">
        <v>0.99818260000000003</v>
      </c>
      <c r="Y3338">
        <v>-0.28540300000000002</v>
      </c>
      <c r="Z3338">
        <v>0.1195792</v>
      </c>
      <c r="AA3338">
        <v>0.9509185</v>
      </c>
      <c r="AB3338">
        <v>8</v>
      </c>
      <c r="AC3338">
        <v>4.9499999999999797</v>
      </c>
      <c r="AD3338">
        <v>-1.110841651698</v>
      </c>
      <c r="AE3338">
        <v>-7.7115</v>
      </c>
      <c r="AF3338">
        <v>-2.6356413475227298</v>
      </c>
      <c r="AG3338">
        <v>-1.110841651698</v>
      </c>
      <c r="AH3338">
        <v>8.6376236853186192</v>
      </c>
      <c r="AI3338">
        <v>97.012501451811502</v>
      </c>
      <c r="AJ3338">
        <v>106.968782515775</v>
      </c>
      <c r="AK3338">
        <v>9.0988525329898504</v>
      </c>
      <c r="AL3338">
        <v>88.450731633744596</v>
      </c>
      <c r="AM3338">
        <v>93.088410505483495</v>
      </c>
      <c r="AN3338">
        <v>1.0000000344834501</v>
      </c>
    </row>
    <row r="3339" spans="1:40" x14ac:dyDescent="0.25">
      <c r="A3339" t="str">
        <f>"20190312154317882"</f>
        <v>20190312154317882</v>
      </c>
      <c r="B3339" t="str">
        <f>"1552376597870842"</f>
        <v>1552376597870842</v>
      </c>
      <c r="C3339" t="s">
        <v>40</v>
      </c>
      <c r="D3339">
        <v>5.0378210000000001</v>
      </c>
      <c r="E3339">
        <v>0.40903970000000001</v>
      </c>
      <c r="F3339" t="s">
        <v>49</v>
      </c>
      <c r="G3339">
        <v>-485.9744</v>
      </c>
      <c r="H3339" s="1">
        <v>5.3426780000000003E-6</v>
      </c>
      <c r="I3339">
        <v>228.87289999999999</v>
      </c>
      <c r="J3339">
        <v>-490.90109999999999</v>
      </c>
      <c r="K3339">
        <v>1.110825</v>
      </c>
      <c r="L3339">
        <v>236.52510000000001</v>
      </c>
      <c r="M3339">
        <v>0.27208599999999999</v>
      </c>
      <c r="N3339">
        <v>0</v>
      </c>
      <c r="O3339">
        <v>-0.96219770000000004</v>
      </c>
      <c r="P3339">
        <v>0.32500000000000001</v>
      </c>
      <c r="Q3339">
        <v>1.4033759999999999E-2</v>
      </c>
      <c r="R3339">
        <v>-0.94560999999999995</v>
      </c>
      <c r="S3339">
        <v>1.669403</v>
      </c>
      <c r="T3339">
        <v>-0.37464259999999999</v>
      </c>
      <c r="U3339">
        <v>-2.606903</v>
      </c>
      <c r="V3339">
        <v>-5.544114E-2</v>
      </c>
      <c r="W3339">
        <v>2.6037910000000001E-2</v>
      </c>
      <c r="X3339">
        <v>0.99812239999999997</v>
      </c>
      <c r="Y3339">
        <v>-0.28574620000000001</v>
      </c>
      <c r="Z3339">
        <v>0.12043619999999999</v>
      </c>
      <c r="AA3339">
        <v>0.95070730000000003</v>
      </c>
      <c r="AB3339">
        <v>8</v>
      </c>
      <c r="AC3339">
        <v>4.9266999999999799</v>
      </c>
      <c r="AD3339">
        <v>-1.1108196573219999</v>
      </c>
      <c r="AE3339">
        <v>-7.6522000000000201</v>
      </c>
      <c r="AF3339">
        <v>-2.6195709079345502</v>
      </c>
      <c r="AG3339">
        <v>-1.1108196573219999</v>
      </c>
      <c r="AH3339">
        <v>8.5762821910591196</v>
      </c>
      <c r="AI3339">
        <v>97.061412445624399</v>
      </c>
      <c r="AJ3339">
        <v>106.98495872903899</v>
      </c>
      <c r="AK3339">
        <v>9.0359663718645997</v>
      </c>
      <c r="AL3339">
        <v>88.507969038074506</v>
      </c>
      <c r="AM3339">
        <v>93.179251873163693</v>
      </c>
      <c r="AN3339">
        <v>1.00000000907171</v>
      </c>
    </row>
    <row r="3340" spans="1:40" x14ac:dyDescent="0.25">
      <c r="A3340" t="str">
        <f>"20190312154317903"</f>
        <v>20190312154317903</v>
      </c>
      <c r="B3340" t="str">
        <f>"1552376597890362"</f>
        <v>1552376597890362</v>
      </c>
      <c r="C3340" t="s">
        <v>40</v>
      </c>
      <c r="D3340">
        <v>5.0150750000000004</v>
      </c>
      <c r="E3340">
        <v>0.40873730000000003</v>
      </c>
      <c r="F3340" t="s">
        <v>49</v>
      </c>
      <c r="G3340">
        <v>-485.92329999999998</v>
      </c>
      <c r="H3340" s="1">
        <v>5.30614699999999E-6</v>
      </c>
      <c r="I3340">
        <v>228.7989</v>
      </c>
      <c r="J3340">
        <v>-490.87939999999998</v>
      </c>
      <c r="K3340">
        <v>1.110797</v>
      </c>
      <c r="L3340">
        <v>236.453</v>
      </c>
      <c r="M3340">
        <v>0.27305679999999999</v>
      </c>
      <c r="N3340">
        <v>0</v>
      </c>
      <c r="O3340">
        <v>-0.96192219999999995</v>
      </c>
      <c r="P3340">
        <v>0.32831979999999999</v>
      </c>
      <c r="Q3340">
        <v>1.3558789999999999E-2</v>
      </c>
      <c r="R3340">
        <v>-0.94446920000000001</v>
      </c>
      <c r="S3340">
        <v>1.676331</v>
      </c>
      <c r="T3340">
        <v>-0.37408239999999998</v>
      </c>
      <c r="U3340">
        <v>-2.6019130000000001</v>
      </c>
      <c r="V3340">
        <v>-5.7937500000000003E-2</v>
      </c>
      <c r="W3340">
        <v>2.557077E-2</v>
      </c>
      <c r="X3340">
        <v>0.99799269999999995</v>
      </c>
      <c r="Y3340">
        <v>-0.28740759999999899</v>
      </c>
      <c r="Z3340">
        <v>0.1202894</v>
      </c>
      <c r="AA3340">
        <v>0.95022490000000004</v>
      </c>
      <c r="AB3340">
        <v>8</v>
      </c>
      <c r="AC3340">
        <v>4.9560999999999904</v>
      </c>
      <c r="AD3340">
        <v>-1.110791693853</v>
      </c>
      <c r="AE3340">
        <v>-7.6540999999999997</v>
      </c>
      <c r="AF3340">
        <v>-2.63842133811651</v>
      </c>
      <c r="AG3340">
        <v>-1.110791693853</v>
      </c>
      <c r="AH3340">
        <v>8.5891240622382004</v>
      </c>
      <c r="AI3340">
        <v>97.047389017774904</v>
      </c>
      <c r="AJ3340">
        <v>107.075997294198</v>
      </c>
      <c r="AK3340">
        <v>9.0536278640708705</v>
      </c>
      <c r="AL3340">
        <v>88.534743125411097</v>
      </c>
      <c r="AM3340">
        <v>93.322521758761994</v>
      </c>
      <c r="AN3340">
        <v>1.0000000237189599</v>
      </c>
    </row>
    <row r="3341" spans="1:40" x14ac:dyDescent="0.25">
      <c r="A3341" t="str">
        <f>"20190312154317924"</f>
        <v>20190312154317924</v>
      </c>
      <c r="B3341" t="str">
        <f>"1552376597920617"</f>
        <v>1552376597920617</v>
      </c>
      <c r="C3341" t="s">
        <v>40</v>
      </c>
      <c r="D3341">
        <v>4.9868819999999996</v>
      </c>
      <c r="E3341">
        <v>0.37382510000000002</v>
      </c>
      <c r="F3341" t="s">
        <v>49</v>
      </c>
      <c r="G3341">
        <v>-485.85239999999999</v>
      </c>
      <c r="H3341" s="1">
        <v>5.2635560000000004E-6</v>
      </c>
      <c r="I3341">
        <v>228.72229999999999</v>
      </c>
      <c r="J3341">
        <v>-490.85680000000002</v>
      </c>
      <c r="K3341">
        <v>1.110765</v>
      </c>
      <c r="L3341">
        <v>236.37819999999999</v>
      </c>
      <c r="M3341">
        <v>0.27406399999999997</v>
      </c>
      <c r="N3341">
        <v>0</v>
      </c>
      <c r="O3341">
        <v>-0.96163609999999999</v>
      </c>
      <c r="P3341">
        <v>0.33227659999999998</v>
      </c>
      <c r="Q3341">
        <v>1.296403E-2</v>
      </c>
      <c r="R3341">
        <v>-0.94309319999999996</v>
      </c>
      <c r="S3341">
        <v>1.6875</v>
      </c>
      <c r="T3341">
        <v>-0.37288060000000001</v>
      </c>
      <c r="U3341">
        <v>-2.5951230000000001</v>
      </c>
      <c r="V3341">
        <v>-6.107274E-2</v>
      </c>
      <c r="W3341">
        <v>2.4984920000000001E-2</v>
      </c>
      <c r="X3341">
        <v>0.99782059999999995</v>
      </c>
      <c r="Y3341">
        <v>-0.29043989999999997</v>
      </c>
      <c r="Z3341">
        <v>0.1199311</v>
      </c>
      <c r="AA3341">
        <v>0.94934770000000002</v>
      </c>
      <c r="AB3341">
        <v>8</v>
      </c>
      <c r="AC3341">
        <v>5.0044000000000297</v>
      </c>
      <c r="AD3341">
        <v>-1.1107597364440001</v>
      </c>
      <c r="AE3341">
        <v>-7.6558999999999999</v>
      </c>
      <c r="AF3341">
        <v>-2.6749511323211901</v>
      </c>
      <c r="AG3341">
        <v>-1.1107597364440001</v>
      </c>
      <c r="AH3341">
        <v>8.6074049883585104</v>
      </c>
      <c r="AI3341">
        <v>97.025322033597007</v>
      </c>
      <c r="AJ3341">
        <v>107.263846435375</v>
      </c>
      <c r="AK3341">
        <v>9.0816612679636197</v>
      </c>
      <c r="AL3341">
        <v>88.568320606875005</v>
      </c>
      <c r="AM3341">
        <v>93.502483784203804</v>
      </c>
      <c r="AN3341">
        <v>1.00000003779143</v>
      </c>
    </row>
    <row r="3342" spans="1:40" x14ac:dyDescent="0.25">
      <c r="A3342" t="str">
        <f>"20190312154317948"</f>
        <v>20190312154317948</v>
      </c>
      <c r="B3342" t="str">
        <f>"1552376597940138"</f>
        <v>1552376597940138</v>
      </c>
      <c r="C3342" t="s">
        <v>40</v>
      </c>
      <c r="D3342">
        <v>4.9990420000000002</v>
      </c>
      <c r="E3342">
        <v>0.37310189999999999</v>
      </c>
      <c r="F3342" t="s">
        <v>49</v>
      </c>
      <c r="G3342">
        <v>-485.26900000000001</v>
      </c>
      <c r="H3342" s="1">
        <v>5.2781569999999996E-6</v>
      </c>
      <c r="I3342">
        <v>229.2705</v>
      </c>
      <c r="J3342">
        <v>-490.83260000000001</v>
      </c>
      <c r="K3342">
        <v>1.11073</v>
      </c>
      <c r="L3342">
        <v>236.29830000000001</v>
      </c>
      <c r="M3342">
        <v>0.27513660000000001</v>
      </c>
      <c r="N3342">
        <v>0</v>
      </c>
      <c r="O3342">
        <v>-0.96132949999999995</v>
      </c>
      <c r="P3342">
        <v>0.33592749999999999</v>
      </c>
      <c r="Q3342">
        <v>1.259034E-2</v>
      </c>
      <c r="R3342">
        <v>-0.94180399999999997</v>
      </c>
      <c r="S3342">
        <v>1.9617</v>
      </c>
      <c r="T3342">
        <v>-0.38995269999999999</v>
      </c>
      <c r="U3342">
        <v>-2.4952700000000001</v>
      </c>
      <c r="V3342">
        <v>-6.3822229999999994E-2</v>
      </c>
      <c r="W3342">
        <v>2.4622640000000001E-2</v>
      </c>
      <c r="X3342">
        <v>0.99765749999999997</v>
      </c>
      <c r="Y3342">
        <v>-0.37300260000000002</v>
      </c>
      <c r="Z3342">
        <v>0.1237902</v>
      </c>
      <c r="AA3342">
        <v>0.91953530000000006</v>
      </c>
      <c r="AB3342">
        <v>8</v>
      </c>
      <c r="AC3342">
        <v>5.5636000000000001</v>
      </c>
      <c r="AD3342">
        <v>-1.1107247218430001</v>
      </c>
      <c r="AE3342">
        <v>-7.0278000000000098</v>
      </c>
      <c r="AF3342">
        <v>-3.3634490222101099</v>
      </c>
      <c r="AG3342">
        <v>-1.1107247218430001</v>
      </c>
      <c r="AH3342">
        <v>8.1620524601127098</v>
      </c>
      <c r="AI3342">
        <v>97.171257574817105</v>
      </c>
      <c r="AJ3342">
        <v>112.395762155943</v>
      </c>
      <c r="AK3342">
        <v>8.8975052174388392</v>
      </c>
      <c r="AL3342">
        <v>88.589084083337397</v>
      </c>
      <c r="AM3342">
        <v>93.660342663109603</v>
      </c>
      <c r="AN3342">
        <v>1.00000001937449</v>
      </c>
    </row>
    <row r="3343" spans="1:40" x14ac:dyDescent="0.25">
      <c r="A3343" t="str">
        <f>"20190312154317970"</f>
        <v>20190312154317970</v>
      </c>
      <c r="B3343" t="str">
        <f>"1552376597960633"</f>
        <v>1552376597960633</v>
      </c>
      <c r="C3343" t="s">
        <v>40</v>
      </c>
      <c r="D3343">
        <v>4.96706</v>
      </c>
      <c r="E3343">
        <v>0.37271850000000001</v>
      </c>
      <c r="F3343" t="s">
        <v>49</v>
      </c>
      <c r="G3343">
        <v>-485.32889999999998</v>
      </c>
      <c r="H3343" s="1">
        <v>5.3270809999999897E-6</v>
      </c>
      <c r="I3343">
        <v>229.37700000000001</v>
      </c>
      <c r="J3343">
        <v>-490.80959999999999</v>
      </c>
      <c r="K3343">
        <v>1.110703</v>
      </c>
      <c r="L3343">
        <v>236.2226</v>
      </c>
      <c r="M3343">
        <v>0.27615269999999997</v>
      </c>
      <c r="N3343">
        <v>0</v>
      </c>
      <c r="O3343">
        <v>-0.9610379</v>
      </c>
      <c r="P3343">
        <v>0.33752290000000001</v>
      </c>
      <c r="Q3343">
        <v>1.2323199999999999E-2</v>
      </c>
      <c r="R3343">
        <v>-0.94123679999999998</v>
      </c>
      <c r="S3343">
        <v>1.9765630000000001</v>
      </c>
      <c r="T3343">
        <v>-0.39890120000000001</v>
      </c>
      <c r="U3343">
        <v>-2.4857179999999999</v>
      </c>
      <c r="V3343">
        <v>-6.445534E-2</v>
      </c>
      <c r="W3343">
        <v>2.4368560000000001E-2</v>
      </c>
      <c r="X3343">
        <v>0.99762300000000004</v>
      </c>
      <c r="Y3343">
        <v>-0.37688769999999999</v>
      </c>
      <c r="Z3343">
        <v>0.12658659999999999</v>
      </c>
      <c r="AA3343">
        <v>0.9175683</v>
      </c>
      <c r="AB3343">
        <v>8</v>
      </c>
      <c r="AC3343">
        <v>5.4807000000000103</v>
      </c>
      <c r="AD3343">
        <v>-1.1106976729189999</v>
      </c>
      <c r="AE3343">
        <v>-6.8455999999999904</v>
      </c>
      <c r="AF3343">
        <v>-3.3236570218140802</v>
      </c>
      <c r="AG3343">
        <v>-1.1106976729189999</v>
      </c>
      <c r="AH3343">
        <v>7.9652020421770402</v>
      </c>
      <c r="AI3343">
        <v>97.333068882005705</v>
      </c>
      <c r="AJ3343">
        <v>112.649418580778</v>
      </c>
      <c r="AK3343">
        <v>8.7019991319226797</v>
      </c>
      <c r="AL3343">
        <v>88.603646114669004</v>
      </c>
      <c r="AM3343">
        <v>93.696680185339304</v>
      </c>
      <c r="AN3343">
        <v>0.999999983849994</v>
      </c>
    </row>
    <row r="3344" spans="1:40" x14ac:dyDescent="0.25">
      <c r="A3344" t="str">
        <f>"20190312154317993"</f>
        <v>20190312154317993</v>
      </c>
      <c r="B3344" t="str">
        <f>"1552376597990890"</f>
        <v>1552376597990890</v>
      </c>
      <c r="C3344" t="s">
        <v>40</v>
      </c>
      <c r="D3344">
        <v>4.9231009999999999</v>
      </c>
      <c r="E3344">
        <v>0.37278990000000001</v>
      </c>
      <c r="F3344" t="s">
        <v>49</v>
      </c>
      <c r="G3344">
        <v>-485.34679999999997</v>
      </c>
      <c r="H3344" s="1">
        <v>5.3351199999999997E-6</v>
      </c>
      <c r="I3344">
        <v>229.38759999999999</v>
      </c>
      <c r="J3344">
        <v>-490.7851</v>
      </c>
      <c r="K3344">
        <v>1.1106720000000001</v>
      </c>
      <c r="L3344">
        <v>236.14250000000001</v>
      </c>
      <c r="M3344">
        <v>0.2772251</v>
      </c>
      <c r="N3344">
        <v>0</v>
      </c>
      <c r="O3344">
        <v>-0.9607291</v>
      </c>
      <c r="P3344">
        <v>0.3385782</v>
      </c>
      <c r="Q3344">
        <v>1.1317829999999999E-2</v>
      </c>
      <c r="R3344">
        <v>-0.94087080000000001</v>
      </c>
      <c r="S3344">
        <v>1.983215</v>
      </c>
      <c r="T3344">
        <v>-0.40323160000000002</v>
      </c>
      <c r="U3344">
        <v>-2.4814150000000001</v>
      </c>
      <c r="V3344">
        <v>-6.4455429999999994E-2</v>
      </c>
      <c r="W3344">
        <v>2.3378929999999999E-2</v>
      </c>
      <c r="X3344">
        <v>0.9976467</v>
      </c>
      <c r="Y3344">
        <v>-0.37802350000000001</v>
      </c>
      <c r="Z3344">
        <v>0.12792000000000001</v>
      </c>
      <c r="AA3344">
        <v>0.91691579999999995</v>
      </c>
      <c r="AB3344">
        <v>8</v>
      </c>
      <c r="AC3344">
        <v>5.4383000000000203</v>
      </c>
      <c r="AD3344">
        <v>-1.1106666648800001</v>
      </c>
      <c r="AE3344">
        <v>-6.7549000000000197</v>
      </c>
      <c r="AF3344">
        <v>-3.2982479754702401</v>
      </c>
      <c r="AG3344">
        <v>-1.1106666648800001</v>
      </c>
      <c r="AH3344">
        <v>7.8687726647906002</v>
      </c>
      <c r="AI3344">
        <v>97.416811285505602</v>
      </c>
      <c r="AJ3344">
        <v>112.74131599965401</v>
      </c>
      <c r="AK3344">
        <v>8.6040457575680698</v>
      </c>
      <c r="AL3344">
        <v>88.660363937386407</v>
      </c>
      <c r="AM3344">
        <v>93.696597758152294</v>
      </c>
      <c r="AN3344">
        <v>1.0000000074226501</v>
      </c>
    </row>
    <row r="3345" spans="1:40" x14ac:dyDescent="0.25">
      <c r="A3345" t="str">
        <f>"20190312154318014"</f>
        <v>20190312154318014</v>
      </c>
      <c r="B3345" t="str">
        <f>"1552376598010409"</f>
        <v>1552376598010409</v>
      </c>
      <c r="C3345" t="s">
        <v>40</v>
      </c>
      <c r="D3345">
        <v>4.9762849999999998</v>
      </c>
      <c r="E3345">
        <v>0.37315680000000001</v>
      </c>
      <c r="F3345" t="s">
        <v>49</v>
      </c>
      <c r="G3345">
        <v>-485.4162</v>
      </c>
      <c r="H3345" s="1">
        <v>5.368686E-6</v>
      </c>
      <c r="I3345">
        <v>229.43629999999999</v>
      </c>
      <c r="J3345">
        <v>-490.76339999999999</v>
      </c>
      <c r="K3345">
        <v>1.110662</v>
      </c>
      <c r="L3345">
        <v>236.0718</v>
      </c>
      <c r="M3345">
        <v>0.27816990000000003</v>
      </c>
      <c r="N3345">
        <v>0</v>
      </c>
      <c r="O3345">
        <v>-0.96045579999999997</v>
      </c>
      <c r="P3345">
        <v>0.33789970000000003</v>
      </c>
      <c r="Q3345">
        <v>9.845309E-3</v>
      </c>
      <c r="R3345">
        <v>-0.94113080000000005</v>
      </c>
      <c r="S3345">
        <v>1.984863</v>
      </c>
      <c r="T3345">
        <v>-0.41061039999999999</v>
      </c>
      <c r="U3345">
        <v>-2.4792329999999998</v>
      </c>
      <c r="V3345">
        <v>-6.2749600000000003E-2</v>
      </c>
      <c r="W3345">
        <v>2.1918279999999998E-2</v>
      </c>
      <c r="X3345">
        <v>0.99778860000000003</v>
      </c>
      <c r="Y3345">
        <v>-0.37768580000000002</v>
      </c>
      <c r="Z3345">
        <v>0.13023499999999999</v>
      </c>
      <c r="AA3345">
        <v>0.91672909999999996</v>
      </c>
      <c r="AB3345">
        <v>8</v>
      </c>
      <c r="AC3345">
        <v>5.3471999999999804</v>
      </c>
      <c r="AD3345">
        <v>-1.1106566313140001</v>
      </c>
      <c r="AE3345">
        <v>-6.6355000000000004</v>
      </c>
      <c r="AF3345">
        <v>-3.23523983003806</v>
      </c>
      <c r="AG3345">
        <v>-1.1106566313140001</v>
      </c>
      <c r="AH3345">
        <v>7.7298111468018798</v>
      </c>
      <c r="AI3345">
        <v>97.550192227941906</v>
      </c>
      <c r="AJ3345">
        <v>112.711289825874</v>
      </c>
      <c r="AK3345">
        <v>8.4528288327499599</v>
      </c>
      <c r="AL3345">
        <v>88.744074496585498</v>
      </c>
      <c r="AM3345">
        <v>93.598516452045899</v>
      </c>
      <c r="AN3345">
        <v>1.0000000067941299</v>
      </c>
    </row>
    <row r="3346" spans="1:40" x14ac:dyDescent="0.25">
      <c r="A3346" t="str">
        <f>"20190312154318036"</f>
        <v>20190312154318036</v>
      </c>
      <c r="B3346" t="str">
        <f>"1552376598030906"</f>
        <v>1552376598030906</v>
      </c>
      <c r="C3346" t="s">
        <v>40</v>
      </c>
      <c r="D3346">
        <v>4.967047</v>
      </c>
      <c r="E3346">
        <v>0.37352229999999997</v>
      </c>
      <c r="F3346" t="s">
        <v>49</v>
      </c>
      <c r="G3346">
        <v>-485.47019999999998</v>
      </c>
      <c r="H3346" s="1">
        <v>5.3829709999999998E-6</v>
      </c>
      <c r="I3346">
        <v>229.43600000000001</v>
      </c>
      <c r="J3346">
        <v>-490.73950000000002</v>
      </c>
      <c r="K3346">
        <v>1.1106480000000001</v>
      </c>
      <c r="L3346">
        <v>235.99369999999999</v>
      </c>
      <c r="M3346">
        <v>0.2792152</v>
      </c>
      <c r="N3346">
        <v>0</v>
      </c>
      <c r="O3346">
        <v>-0.9601539</v>
      </c>
      <c r="P3346">
        <v>0.33755819999999997</v>
      </c>
      <c r="Q3346">
        <v>8.5108409999999999E-3</v>
      </c>
      <c r="R3346">
        <v>-0.94126650000000001</v>
      </c>
      <c r="S3346">
        <v>1.9793400000000001</v>
      </c>
      <c r="T3346">
        <v>-0.4153193</v>
      </c>
      <c r="U3346">
        <v>-2.4813839999999998</v>
      </c>
      <c r="V3346">
        <v>-6.129838E-2</v>
      </c>
      <c r="W3346">
        <v>2.0466149999999999E-2</v>
      </c>
      <c r="X3346">
        <v>0.99790970000000001</v>
      </c>
      <c r="Y3346">
        <v>-0.37491829999999998</v>
      </c>
      <c r="Z3346">
        <v>0.13170879999999999</v>
      </c>
      <c r="AA3346">
        <v>0.91765410000000003</v>
      </c>
      <c r="AB3346">
        <v>8</v>
      </c>
      <c r="AC3346">
        <v>5.2693000000000403</v>
      </c>
      <c r="AD3346">
        <v>-1.11064261702899</v>
      </c>
      <c r="AE3346">
        <v>-6.5577000000000103</v>
      </c>
      <c r="AF3346">
        <v>-3.1732500276231499</v>
      </c>
      <c r="AG3346">
        <v>-1.11064261702899</v>
      </c>
      <c r="AH3346">
        <v>7.6351435688361002</v>
      </c>
      <c r="AI3346">
        <v>97.650475676867799</v>
      </c>
      <c r="AJ3346">
        <v>112.568310307697</v>
      </c>
      <c r="AK3346">
        <v>8.3425691532830903</v>
      </c>
      <c r="AL3346">
        <v>88.827294177899304</v>
      </c>
      <c r="AM3346">
        <v>93.515078616303697</v>
      </c>
      <c r="AN3346">
        <v>1.00000006202026</v>
      </c>
    </row>
    <row r="3347" spans="1:40" x14ac:dyDescent="0.25">
      <c r="A3347" t="str">
        <f>"20190312154318061"</f>
        <v>20190312154318061</v>
      </c>
      <c r="B3347" t="str">
        <f>"1552376598050426"</f>
        <v>1552376598050426</v>
      </c>
      <c r="C3347" t="s">
        <v>40</v>
      </c>
      <c r="D3347">
        <v>4.9510719999999999</v>
      </c>
      <c r="E3347">
        <v>0.37376959999999998</v>
      </c>
      <c r="F3347" t="s">
        <v>49</v>
      </c>
      <c r="G3347">
        <v>-485.52120000000002</v>
      </c>
      <c r="H3347" s="1">
        <v>5.3961139999999998E-6</v>
      </c>
      <c r="I3347">
        <v>229.43469999999999</v>
      </c>
      <c r="J3347">
        <v>-490.71379999999999</v>
      </c>
      <c r="K3347">
        <v>1.110582</v>
      </c>
      <c r="L3347">
        <v>235.91030000000001</v>
      </c>
      <c r="M3347">
        <v>0.28034930000000002</v>
      </c>
      <c r="N3347">
        <v>0</v>
      </c>
      <c r="O3347">
        <v>-0.95982880000000004</v>
      </c>
      <c r="P3347">
        <v>0.33808929999999998</v>
      </c>
      <c r="Q3347">
        <v>7.5027710000000001E-3</v>
      </c>
      <c r="R3347">
        <v>-0.94108440000000004</v>
      </c>
      <c r="S3347">
        <v>1.975128</v>
      </c>
      <c r="T3347">
        <v>-0.4203808</v>
      </c>
      <c r="U3347">
        <v>-2.4826199999999998</v>
      </c>
      <c r="V3347">
        <v>-6.068341E-2</v>
      </c>
      <c r="W3347">
        <v>1.9018279999999999E-2</v>
      </c>
      <c r="X3347">
        <v>0.99797590000000003</v>
      </c>
      <c r="Y3347">
        <v>-0.37251279999999998</v>
      </c>
      <c r="Z3347">
        <v>0.1332931</v>
      </c>
      <c r="AA3347">
        <v>0.91840460000000002</v>
      </c>
      <c r="AB3347">
        <v>8</v>
      </c>
      <c r="AC3347">
        <v>5.1925999999999597</v>
      </c>
      <c r="AD3347">
        <v>-1.1105766038860001</v>
      </c>
      <c r="AE3347">
        <v>-6.4756000000000098</v>
      </c>
      <c r="AF3347">
        <v>-3.1130579861007401</v>
      </c>
      <c r="AG3347">
        <v>-1.1105766038860001</v>
      </c>
      <c r="AH3347">
        <v>7.5367959064724399</v>
      </c>
      <c r="AI3347">
        <v>97.755587367391101</v>
      </c>
      <c r="AJ3347">
        <v>112.442971504735</v>
      </c>
      <c r="AK3347">
        <v>8.22969033158261</v>
      </c>
      <c r="AL3347">
        <v>88.910267161017799</v>
      </c>
      <c r="AM3347">
        <v>93.479670761507705</v>
      </c>
      <c r="AN3347">
        <v>1.00000003410209</v>
      </c>
    </row>
    <row r="3348" spans="1:40" x14ac:dyDescent="0.25">
      <c r="A3348" t="str">
        <f>"20190312154318083"</f>
        <v>20190312154318083</v>
      </c>
      <c r="B3348" t="str">
        <f>"1552376598080681"</f>
        <v>1552376598080681</v>
      </c>
      <c r="C3348" t="s">
        <v>40</v>
      </c>
      <c r="D3348">
        <v>4.9279789999999997</v>
      </c>
      <c r="E3348">
        <v>0.37397079999999999</v>
      </c>
      <c r="F3348" t="s">
        <v>49</v>
      </c>
      <c r="G3348">
        <v>-485.54840000000002</v>
      </c>
      <c r="H3348" s="1">
        <v>5.3969120000000003E-6</v>
      </c>
      <c r="I3348">
        <v>229.41390000000001</v>
      </c>
      <c r="J3348">
        <v>-490.68979999999999</v>
      </c>
      <c r="K3348">
        <v>1.1105130000000001</v>
      </c>
      <c r="L3348">
        <v>235.83250000000001</v>
      </c>
      <c r="M3348">
        <v>0.28142080000000003</v>
      </c>
      <c r="N3348">
        <v>0</v>
      </c>
      <c r="O3348">
        <v>-0.95952090000000001</v>
      </c>
      <c r="P3348">
        <v>0.33952490000000002</v>
      </c>
      <c r="Q3348">
        <v>7.0776700000000003E-3</v>
      </c>
      <c r="R3348">
        <v>-0.94057069999999998</v>
      </c>
      <c r="S3348">
        <v>1.973633</v>
      </c>
      <c r="T3348">
        <v>-0.4243364</v>
      </c>
      <c r="U3348">
        <v>-2.4821930000000001</v>
      </c>
      <c r="V3348">
        <v>-6.1094179999999998E-2</v>
      </c>
      <c r="W3348">
        <v>1.8089560000000001E-2</v>
      </c>
      <c r="X3348">
        <v>0.99796810000000002</v>
      </c>
      <c r="Y3348">
        <v>-0.37110910000000003</v>
      </c>
      <c r="Z3348">
        <v>0.13453660000000001</v>
      </c>
      <c r="AA3348">
        <v>0.91879160000000004</v>
      </c>
      <c r="AB3348">
        <v>8</v>
      </c>
      <c r="AC3348">
        <v>5.1413999999999698</v>
      </c>
      <c r="AD3348">
        <v>-1.1105076030879999</v>
      </c>
      <c r="AE3348">
        <v>-6.4185999999999899</v>
      </c>
      <c r="AF3348">
        <v>-3.0711438955047301</v>
      </c>
      <c r="AG3348">
        <v>-1.1105076030879999</v>
      </c>
      <c r="AH3348">
        <v>7.4699329462496697</v>
      </c>
      <c r="AI3348">
        <v>97.828882099630604</v>
      </c>
      <c r="AJ3348">
        <v>112.34923334481699</v>
      </c>
      <c r="AK3348">
        <v>8.15261002286252</v>
      </c>
      <c r="AL3348">
        <v>88.963488054402902</v>
      </c>
      <c r="AM3348">
        <v>93.503193732693802</v>
      </c>
      <c r="AN3348">
        <v>1.00000002981423</v>
      </c>
    </row>
    <row r="3349" spans="1:40" x14ac:dyDescent="0.25">
      <c r="A3349" t="str">
        <f>"20190312154318105"</f>
        <v>20190312154318105</v>
      </c>
      <c r="B3349" t="str">
        <f>"1552376598100202"</f>
        <v>1552376598100202</v>
      </c>
      <c r="C3349" t="s">
        <v>40</v>
      </c>
      <c r="D3349">
        <v>4.9196249999999999</v>
      </c>
      <c r="E3349">
        <v>0.37400810000000001</v>
      </c>
      <c r="F3349" t="s">
        <v>49</v>
      </c>
      <c r="G3349">
        <v>-485.53640000000001</v>
      </c>
      <c r="H3349" s="1">
        <v>5.379065E-6</v>
      </c>
      <c r="I3349">
        <v>229.36660000000001</v>
      </c>
      <c r="J3349">
        <v>-490.666</v>
      </c>
      <c r="K3349">
        <v>1.1104879999999999</v>
      </c>
      <c r="L3349">
        <v>235.75569999999999</v>
      </c>
      <c r="M3349">
        <v>0.28248210000000001</v>
      </c>
      <c r="N3349">
        <v>0</v>
      </c>
      <c r="O3349">
        <v>-0.9592136</v>
      </c>
      <c r="P3349">
        <v>0.3417905</v>
      </c>
      <c r="Q3349">
        <v>6.8569299999999998E-3</v>
      </c>
      <c r="R3349">
        <v>-0.93975160000000002</v>
      </c>
      <c r="S3349">
        <v>1.976135</v>
      </c>
      <c r="T3349">
        <v>-0.42583490000000002</v>
      </c>
      <c r="U3349">
        <v>-2.4794010000000002</v>
      </c>
      <c r="V3349">
        <v>-6.2397759999999997E-2</v>
      </c>
      <c r="W3349">
        <v>1.745785E-2</v>
      </c>
      <c r="X3349">
        <v>0.99789859999999997</v>
      </c>
      <c r="Y3349">
        <v>-0.37111359999999999</v>
      </c>
      <c r="Z3349">
        <v>0.13501640000000001</v>
      </c>
      <c r="AA3349">
        <v>0.91871939999999996</v>
      </c>
      <c r="AB3349">
        <v>8</v>
      </c>
      <c r="AC3349">
        <v>5.1295999999999804</v>
      </c>
      <c r="AD3349">
        <v>-1.1104826209349901</v>
      </c>
      <c r="AE3349">
        <v>-6.3890999999999796</v>
      </c>
      <c r="AF3349">
        <v>-3.0595511311094801</v>
      </c>
      <c r="AG3349">
        <v>-1.1104826209349901</v>
      </c>
      <c r="AH3349">
        <v>7.4412719241462097</v>
      </c>
      <c r="AI3349">
        <v>97.858415450404095</v>
      </c>
      <c r="AJ3349">
        <v>112.35048974638499</v>
      </c>
      <c r="AK3349">
        <v>8.12197960009496</v>
      </c>
      <c r="AL3349">
        <v>88.999687995710403</v>
      </c>
      <c r="AM3349">
        <v>93.577998545996294</v>
      </c>
      <c r="AN3349">
        <v>0.99999993643079799</v>
      </c>
    </row>
    <row r="3350" spans="1:40" x14ac:dyDescent="0.25">
      <c r="A3350" t="str">
        <f>"20190312154318126"</f>
        <v>20190312154318126</v>
      </c>
      <c r="B3350" t="str">
        <f>"1552376598120699"</f>
        <v>1552376598120699</v>
      </c>
      <c r="C3350" t="s">
        <v>40</v>
      </c>
      <c r="D3350">
        <v>4.9621079999999997</v>
      </c>
      <c r="E3350">
        <v>0.37416129999999997</v>
      </c>
      <c r="F3350" t="s">
        <v>49</v>
      </c>
      <c r="G3350">
        <v>-485.50880000000001</v>
      </c>
      <c r="H3350" s="1">
        <v>5.355653E-6</v>
      </c>
      <c r="I3350">
        <v>229.31469999999999</v>
      </c>
      <c r="J3350">
        <v>-490.64240000000001</v>
      </c>
      <c r="K3350">
        <v>1.110493</v>
      </c>
      <c r="L3350">
        <v>235.6799</v>
      </c>
      <c r="M3350">
        <v>0.28353499999999998</v>
      </c>
      <c r="N3350">
        <v>0</v>
      </c>
      <c r="O3350">
        <v>-0.95890589999999998</v>
      </c>
      <c r="P3350">
        <v>0.3445588</v>
      </c>
      <c r="Q3350">
        <v>7.7704999999999996E-3</v>
      </c>
      <c r="R3350">
        <v>-0.93873289999999998</v>
      </c>
      <c r="S3350">
        <v>1.981506</v>
      </c>
      <c r="T3350">
        <v>-0.4266702</v>
      </c>
      <c r="U3350">
        <v>-2.4747620000000001</v>
      </c>
      <c r="V3350">
        <v>-6.4247940000000003E-2</v>
      </c>
      <c r="W3350">
        <v>1.8087180000000001E-2</v>
      </c>
      <c r="X3350">
        <v>0.99777009999999999</v>
      </c>
      <c r="Y3350">
        <v>-0.37212679999999998</v>
      </c>
      <c r="Z3350">
        <v>0.135296</v>
      </c>
      <c r="AA3350">
        <v>0.91826830000000004</v>
      </c>
      <c r="AB3350">
        <v>8</v>
      </c>
      <c r="AC3350">
        <v>5.1336000000000004</v>
      </c>
      <c r="AD3350">
        <v>-1.110487644347</v>
      </c>
      <c r="AE3350">
        <v>-6.3652000000000104</v>
      </c>
      <c r="AF3350">
        <v>-3.0615891532013402</v>
      </c>
      <c r="AG3350">
        <v>-1.110487644347</v>
      </c>
      <c r="AH3350">
        <v>7.4227024783761202</v>
      </c>
      <c r="AI3350">
        <v>97.874295038530704</v>
      </c>
      <c r="AJ3350">
        <v>112.41432932075</v>
      </c>
      <c r="AK3350">
        <v>8.1057401286827897</v>
      </c>
      <c r="AL3350">
        <v>88.963624470052494</v>
      </c>
      <c r="AM3350">
        <v>93.684276332324004</v>
      </c>
      <c r="AN3350">
        <v>1.0000000581643</v>
      </c>
    </row>
    <row r="3351" spans="1:40" x14ac:dyDescent="0.25">
      <c r="A3351" t="str">
        <f>"20190312154318149"</f>
        <v>20190312154318149</v>
      </c>
      <c r="B3351" t="str">
        <f>"1552376598140218"</f>
        <v>1552376598140218</v>
      </c>
      <c r="C3351" t="s">
        <v>40</v>
      </c>
      <c r="D3351">
        <v>4.9219540000000004</v>
      </c>
      <c r="E3351">
        <v>0.37427650000000001</v>
      </c>
      <c r="F3351" t="s">
        <v>49</v>
      </c>
      <c r="G3351">
        <v>-485.41590000000002</v>
      </c>
      <c r="H3351" s="1">
        <v>5.2925429999999999E-6</v>
      </c>
      <c r="I3351">
        <v>229.1908</v>
      </c>
      <c r="J3351">
        <v>-490.61660000000001</v>
      </c>
      <c r="K3351">
        <v>1.1105400000000001</v>
      </c>
      <c r="L3351">
        <v>235.5977</v>
      </c>
      <c r="M3351">
        <v>0.28469680000000003</v>
      </c>
      <c r="N3351">
        <v>0</v>
      </c>
      <c r="O3351">
        <v>-0.95856410000000003</v>
      </c>
      <c r="P3351">
        <v>0.34636499999999998</v>
      </c>
      <c r="Q3351">
        <v>8.9409550000000004E-3</v>
      </c>
      <c r="R3351">
        <v>-0.93805799999999995</v>
      </c>
      <c r="S3351">
        <v>1.988831</v>
      </c>
      <c r="T3351">
        <v>-0.42257129999999998</v>
      </c>
      <c r="U3351">
        <v>-2.4692989999999999</v>
      </c>
      <c r="V3351">
        <v>-6.4965179999999997E-2</v>
      </c>
      <c r="W3351">
        <v>1.9048320000000001E-2</v>
      </c>
      <c r="X3351">
        <v>0.99770570000000003</v>
      </c>
      <c r="Y3351">
        <v>-0.37376029999999999</v>
      </c>
      <c r="Z3351">
        <v>0.13402310000000001</v>
      </c>
      <c r="AA3351">
        <v>0.91779140000000003</v>
      </c>
      <c r="AB3351">
        <v>8</v>
      </c>
      <c r="AC3351">
        <v>5.2006999999999799</v>
      </c>
      <c r="AD3351">
        <v>-1.11053470745699</v>
      </c>
      <c r="AE3351">
        <v>-6.4069000000000003</v>
      </c>
      <c r="AF3351">
        <v>-3.1051056747156598</v>
      </c>
      <c r="AG3351">
        <v>-1.11053470745699</v>
      </c>
      <c r="AH3351">
        <v>7.4868430249681603</v>
      </c>
      <c r="AI3351">
        <v>97.801793315366993</v>
      </c>
      <c r="AJ3351">
        <v>112.525821601714</v>
      </c>
      <c r="AK3351">
        <v>8.18094047577247</v>
      </c>
      <c r="AL3351">
        <v>88.908545634192393</v>
      </c>
      <c r="AM3351">
        <v>93.725530819144097</v>
      </c>
      <c r="AN3351">
        <v>0.99999998845987204</v>
      </c>
    </row>
    <row r="3352" spans="1:40" x14ac:dyDescent="0.25">
      <c r="A3352" t="str">
        <f>"20190312154318162"</f>
        <v>20190312154318162</v>
      </c>
      <c r="B3352" t="str">
        <f>"1552376598150954"</f>
        <v>1552376598150954</v>
      </c>
      <c r="C3352" t="s">
        <v>40</v>
      </c>
      <c r="D3352">
        <v>4.9199099999999998</v>
      </c>
      <c r="E3352">
        <v>0.37433559999999999</v>
      </c>
      <c r="F3352" t="s">
        <v>49</v>
      </c>
      <c r="G3352">
        <v>-485.33460000000002</v>
      </c>
      <c r="H3352" s="1">
        <v>5.2306380000000001E-6</v>
      </c>
      <c r="I3352">
        <v>229.0608</v>
      </c>
      <c r="J3352">
        <v>-490.60109999999997</v>
      </c>
      <c r="K3352">
        <v>1.1105750000000001</v>
      </c>
      <c r="L3352">
        <v>235.54830000000001</v>
      </c>
      <c r="M3352">
        <v>0.28541299999999997</v>
      </c>
      <c r="N3352">
        <v>0</v>
      </c>
      <c r="O3352">
        <v>-0.95835170000000003</v>
      </c>
      <c r="P3352">
        <v>0.34687119999999999</v>
      </c>
      <c r="Q3352">
        <v>9.6447470000000004E-3</v>
      </c>
      <c r="R3352">
        <v>-0.93786349999999996</v>
      </c>
      <c r="S3352">
        <v>1.9927980000000001</v>
      </c>
      <c r="T3352">
        <v>-0.41898000000000002</v>
      </c>
      <c r="U3352">
        <v>-2.4662480000000002</v>
      </c>
      <c r="V3352">
        <v>-6.4761739999999998E-2</v>
      </c>
      <c r="W3352">
        <v>1.9669039999999999E-2</v>
      </c>
      <c r="X3352">
        <v>0.99770689999999995</v>
      </c>
      <c r="Y3352">
        <v>-0.37461410000000001</v>
      </c>
      <c r="Z3352">
        <v>0.1329061</v>
      </c>
      <c r="AA3352">
        <v>0.91760569999999997</v>
      </c>
      <c r="AB3352">
        <v>8</v>
      </c>
      <c r="AC3352">
        <v>5.26649999999995</v>
      </c>
      <c r="AD3352">
        <v>-1.110569769362</v>
      </c>
      <c r="AE3352">
        <v>-6.4875000000000096</v>
      </c>
      <c r="AF3352">
        <v>-3.1402353718393701</v>
      </c>
      <c r="AG3352">
        <v>-1.110569769362</v>
      </c>
      <c r="AH3352">
        <v>7.5868123952301403</v>
      </c>
      <c r="AI3352">
        <v>97.702718506760505</v>
      </c>
      <c r="AJ3352">
        <v>112.485009897463</v>
      </c>
      <c r="AK3352">
        <v>8.2857809362539605</v>
      </c>
      <c r="AL3352">
        <v>88.872974351003904</v>
      </c>
      <c r="AM3352">
        <v>93.713892479194698</v>
      </c>
      <c r="AN3352">
        <v>1.0000000062049701</v>
      </c>
    </row>
    <row r="3353" spans="1:40" x14ac:dyDescent="0.25">
      <c r="A3353" t="str">
        <f>"20190312154318183"</f>
        <v>20190312154318183</v>
      </c>
      <c r="B3353" t="str">
        <f>"1552376598180235"</f>
        <v>1552376598180235</v>
      </c>
      <c r="C3353" t="s">
        <v>40</v>
      </c>
      <c r="D3353">
        <v>4.946123</v>
      </c>
      <c r="E3353">
        <v>0.37453769999999997</v>
      </c>
      <c r="F3353" t="s">
        <v>49</v>
      </c>
      <c r="G3353">
        <v>-485.29020000000003</v>
      </c>
      <c r="H3353" s="1">
        <v>5.1940580000000001E-6</v>
      </c>
      <c r="I3353">
        <v>228.98089999999999</v>
      </c>
      <c r="J3353">
        <v>-490.57830000000001</v>
      </c>
      <c r="K3353">
        <v>1.110636</v>
      </c>
      <c r="L3353">
        <v>235.4761</v>
      </c>
      <c r="M3353">
        <v>0.28647529999999999</v>
      </c>
      <c r="N3353">
        <v>0</v>
      </c>
      <c r="O3353">
        <v>-0.95803550000000004</v>
      </c>
      <c r="P3353">
        <v>0.34690539999999997</v>
      </c>
      <c r="Q3353">
        <v>1.0626719999999999E-2</v>
      </c>
      <c r="R3353">
        <v>-0.93784009999999995</v>
      </c>
      <c r="S3353">
        <v>1.9938659999999999</v>
      </c>
      <c r="T3353">
        <v>-0.41693350000000001</v>
      </c>
      <c r="U3353">
        <v>-2.465576</v>
      </c>
      <c r="V3353">
        <v>-6.3697260000000006E-2</v>
      </c>
      <c r="W3353">
        <v>2.0567220000000001E-2</v>
      </c>
      <c r="X3353">
        <v>0.99775729999999996</v>
      </c>
      <c r="Y3353">
        <v>-0.3740076</v>
      </c>
      <c r="Z3353">
        <v>0.132234299999999</v>
      </c>
      <c r="AA3353">
        <v>0.91795009999999999</v>
      </c>
      <c r="AB3353">
        <v>8</v>
      </c>
      <c r="AC3353">
        <v>5.2880999999999796</v>
      </c>
      <c r="AD3353">
        <v>-1.110630805942</v>
      </c>
      <c r="AE3353">
        <v>-6.4952000000000103</v>
      </c>
      <c r="AF3353">
        <v>-3.1502414497131199</v>
      </c>
      <c r="AG3353">
        <v>-1.110630805942</v>
      </c>
      <c r="AH3353">
        <v>7.6042209655087696</v>
      </c>
      <c r="AI3353">
        <v>97.684724242845903</v>
      </c>
      <c r="AJ3353">
        <v>112.503022608487</v>
      </c>
      <c r="AK3353">
        <v>8.3055221672620405</v>
      </c>
      <c r="AL3353">
        <v>88.821501990448596</v>
      </c>
      <c r="AM3353">
        <v>93.652830373223296</v>
      </c>
      <c r="AN3353">
        <v>0.999999990586662</v>
      </c>
    </row>
    <row r="3354" spans="1:40" x14ac:dyDescent="0.25">
      <c r="A3354" t="str">
        <f>"20190312154318204"</f>
        <v>20190312154318204</v>
      </c>
      <c r="B3354" t="str">
        <f>"1552376598200729"</f>
        <v>1552376598200729</v>
      </c>
      <c r="C3354" t="s">
        <v>40</v>
      </c>
      <c r="D3354">
        <v>4.9758690000000003</v>
      </c>
      <c r="E3354">
        <v>0.37454660000000001</v>
      </c>
      <c r="F3354" t="s">
        <v>49</v>
      </c>
      <c r="G3354">
        <v>-485.24970000000002</v>
      </c>
      <c r="H3354" s="1">
        <v>5.1518109999999996E-6</v>
      </c>
      <c r="I3354">
        <v>228.8793</v>
      </c>
      <c r="J3354">
        <v>-490.55340000000001</v>
      </c>
      <c r="K3354">
        <v>1.1107070000000001</v>
      </c>
      <c r="L3354">
        <v>235.39789999999999</v>
      </c>
      <c r="M3354">
        <v>0.28766520000000001</v>
      </c>
      <c r="N3354">
        <v>0</v>
      </c>
      <c r="O3354">
        <v>-0.95767899999999995</v>
      </c>
      <c r="P3354">
        <v>0.34676099999999999</v>
      </c>
      <c r="Q3354">
        <v>1.0509900000000001E-2</v>
      </c>
      <c r="R3354">
        <v>-0.93789489999999998</v>
      </c>
      <c r="S3354">
        <v>1.9923709999999999</v>
      </c>
      <c r="T3354">
        <v>-0.4152653</v>
      </c>
      <c r="U3354">
        <v>-2.4665530000000002</v>
      </c>
      <c r="V3354">
        <v>-6.2305279999999998E-2</v>
      </c>
      <c r="W3354">
        <v>2.0428970000000001E-2</v>
      </c>
      <c r="X3354">
        <v>0.99784799999999996</v>
      </c>
      <c r="Y3354">
        <v>-0.37238929999999998</v>
      </c>
      <c r="Z3354">
        <v>0.13167110000000001</v>
      </c>
      <c r="AA3354">
        <v>0.91868870000000002</v>
      </c>
      <c r="AB3354">
        <v>8</v>
      </c>
      <c r="AC3354">
        <v>5.3036999999999903</v>
      </c>
      <c r="AD3354">
        <v>-1.1107018481890001</v>
      </c>
      <c r="AE3354">
        <v>-6.5185999999999904</v>
      </c>
      <c r="AF3354">
        <v>-3.1492149553854301</v>
      </c>
      <c r="AG3354">
        <v>-1.1107018481890001</v>
      </c>
      <c r="AH3354">
        <v>7.6354230386469997</v>
      </c>
      <c r="AI3354">
        <v>97.659058402468403</v>
      </c>
      <c r="AJ3354">
        <v>112.41360125475801</v>
      </c>
      <c r="AK3354">
        <v>8.3337205622636006</v>
      </c>
      <c r="AL3354">
        <v>88.829424761957597</v>
      </c>
      <c r="AM3354">
        <v>93.572890023495006</v>
      </c>
      <c r="AN3354">
        <v>0.99999996091756804</v>
      </c>
    </row>
    <row r="3355" spans="1:40" x14ac:dyDescent="0.25">
      <c r="A3355" t="str">
        <f>"20190312154318227"</f>
        <v>20190312154318227</v>
      </c>
      <c r="B3355" t="str">
        <f>"1552376598221227"</f>
        <v>1552376598221227</v>
      </c>
      <c r="C3355" t="s">
        <v>40</v>
      </c>
      <c r="D3355">
        <v>4.890142</v>
      </c>
      <c r="E3355">
        <v>0.35967250000000001</v>
      </c>
      <c r="F3355" t="s">
        <v>49</v>
      </c>
      <c r="G3355">
        <v>-485.27269999999999</v>
      </c>
      <c r="H3355" s="1">
        <v>5.1505460000000001E-6</v>
      </c>
      <c r="I3355">
        <v>228.8554</v>
      </c>
      <c r="J3355">
        <v>-490.5274</v>
      </c>
      <c r="K3355">
        <v>1.1107880000000001</v>
      </c>
      <c r="L3355">
        <v>235.31700000000001</v>
      </c>
      <c r="M3355">
        <v>0.28895539999999997</v>
      </c>
      <c r="N3355">
        <v>0</v>
      </c>
      <c r="O3355">
        <v>-0.95728979999999997</v>
      </c>
      <c r="P3355">
        <v>0.34735169999999999</v>
      </c>
      <c r="Q3355">
        <v>1.076744E-2</v>
      </c>
      <c r="R3355">
        <v>-0.93767339999999999</v>
      </c>
      <c r="S3355">
        <v>1.991333</v>
      </c>
      <c r="T3355">
        <v>-0.4188404</v>
      </c>
      <c r="U3355">
        <v>-2.467133</v>
      </c>
      <c r="V3355">
        <v>-6.1592090000000002E-2</v>
      </c>
      <c r="W3355">
        <v>2.0753629999999999E-2</v>
      </c>
      <c r="X3355">
        <v>0.99788560000000004</v>
      </c>
      <c r="Y3355">
        <v>-0.3707068</v>
      </c>
      <c r="Z3355">
        <v>0.13274149999999901</v>
      </c>
      <c r="AA3355">
        <v>0.919215</v>
      </c>
      <c r="AB3355">
        <v>9</v>
      </c>
      <c r="AC3355">
        <v>5.2547000000000104</v>
      </c>
      <c r="AD3355">
        <v>-1.110782849454</v>
      </c>
      <c r="AE3355">
        <v>-6.4615999999999998</v>
      </c>
      <c r="AF3355">
        <v>-3.10803110680494</v>
      </c>
      <c r="AG3355">
        <v>-1.110782849454</v>
      </c>
      <c r="AH3355">
        <v>7.5697375517863001</v>
      </c>
      <c r="AI3355">
        <v>97.7302780750137</v>
      </c>
      <c r="AJ3355">
        <v>112.32238520780101</v>
      </c>
      <c r="AK3355">
        <v>8.2580035421663496</v>
      </c>
      <c r="AL3355">
        <v>88.810819196835894</v>
      </c>
      <c r="AM3355">
        <v>93.531963597952497</v>
      </c>
      <c r="AN3355">
        <v>0.99999998469805196</v>
      </c>
    </row>
    <row r="3356" spans="1:40" x14ac:dyDescent="0.25">
      <c r="A3356" t="str">
        <f>"20190312154318249"</f>
        <v>20190312154318249</v>
      </c>
      <c r="B3356" t="str">
        <f>"1552376598240746"</f>
        <v>1552376598240746</v>
      </c>
      <c r="C3356" t="s">
        <v>40</v>
      </c>
      <c r="D3356">
        <v>4.8651339999999896</v>
      </c>
      <c r="E3356">
        <v>0.35904789999999998</v>
      </c>
      <c r="F3356" t="s">
        <v>49</v>
      </c>
      <c r="G3356">
        <v>-485.46530000000001</v>
      </c>
      <c r="H3356" s="1">
        <v>5.3969739999999999E-6</v>
      </c>
      <c r="I3356">
        <v>229.4854</v>
      </c>
      <c r="J3356">
        <v>-490.50099999999998</v>
      </c>
      <c r="K3356">
        <v>1.1108960000000001</v>
      </c>
      <c r="L3356">
        <v>235.2353</v>
      </c>
      <c r="M3356">
        <v>0.29032960000000002</v>
      </c>
      <c r="N3356">
        <v>0</v>
      </c>
      <c r="O3356">
        <v>-0.9568721</v>
      </c>
      <c r="P3356">
        <v>0.34847830000000002</v>
      </c>
      <c r="Q3356">
        <v>1.136794E-2</v>
      </c>
      <c r="R3356">
        <v>-0.93724779999999996</v>
      </c>
      <c r="S3356">
        <v>2.1049799999999999</v>
      </c>
      <c r="T3356">
        <v>-0.4618968</v>
      </c>
      <c r="U3356">
        <v>-2.4249420000000002</v>
      </c>
      <c r="V3356">
        <v>-6.1363180000000003E-2</v>
      </c>
      <c r="W3356">
        <v>2.150877E-2</v>
      </c>
      <c r="X3356">
        <v>0.99788370000000004</v>
      </c>
      <c r="Y3356">
        <v>-0.40091470000000001</v>
      </c>
      <c r="Z3356">
        <v>0.14501439999999999</v>
      </c>
      <c r="AA3356">
        <v>0.90456519999999996</v>
      </c>
      <c r="AB3356">
        <v>9</v>
      </c>
      <c r="AC3356">
        <v>5.0356999999999603</v>
      </c>
      <c r="AD3356">
        <v>-1.110890603026</v>
      </c>
      <c r="AE3356">
        <v>-5.7498999999999896</v>
      </c>
      <c r="AF3356">
        <v>-3.0841681177679598</v>
      </c>
      <c r="AG3356">
        <v>-1.110890603026</v>
      </c>
      <c r="AH3356">
        <v>6.8202226485411401</v>
      </c>
      <c r="AI3356">
        <v>98.441790829080901</v>
      </c>
      <c r="AJ3356">
        <v>114.332925295092</v>
      </c>
      <c r="AK3356">
        <v>7.5671400070450199</v>
      </c>
      <c r="AL3356">
        <v>88.767543182598999</v>
      </c>
      <c r="AM3356">
        <v>93.518876611439794</v>
      </c>
      <c r="AN3356">
        <v>0.99999997288615705</v>
      </c>
    </row>
    <row r="3357" spans="1:40" x14ac:dyDescent="0.25">
      <c r="A3357" t="str">
        <f>"20190312154318274"</f>
        <v>20190312154318274</v>
      </c>
      <c r="B3357" t="str">
        <f>"1552376598271003"</f>
        <v>1552376598271003</v>
      </c>
      <c r="C3357" t="s">
        <v>40</v>
      </c>
      <c r="D3357">
        <v>4.9275609999999999</v>
      </c>
      <c r="E3357">
        <v>0.35910540000000002</v>
      </c>
      <c r="F3357" t="s">
        <v>49</v>
      </c>
      <c r="G3357">
        <v>-485.48579999999998</v>
      </c>
      <c r="H3357" s="1">
        <v>5.4033810000000003E-6</v>
      </c>
      <c r="I3357">
        <v>229.48849999999999</v>
      </c>
      <c r="J3357">
        <v>-490.47230000000002</v>
      </c>
      <c r="K3357">
        <v>1.1109990000000001</v>
      </c>
      <c r="L3357">
        <v>235.1474</v>
      </c>
      <c r="M3357">
        <v>0.29188429999999999</v>
      </c>
      <c r="N3357">
        <v>0</v>
      </c>
      <c r="O3357">
        <v>-0.95639669999999999</v>
      </c>
      <c r="P3357">
        <v>0.35035709999999998</v>
      </c>
      <c r="Q3357">
        <v>1.219984E-2</v>
      </c>
      <c r="R3357">
        <v>-0.93653699999999995</v>
      </c>
      <c r="S3357">
        <v>2.1127319999999998</v>
      </c>
      <c r="T3357">
        <v>-0.46798319999999999</v>
      </c>
      <c r="U3357">
        <v>-2.4209589999999999</v>
      </c>
      <c r="V3357">
        <v>-6.1747160000000002E-2</v>
      </c>
      <c r="W3357">
        <v>2.255851E-2</v>
      </c>
      <c r="X3357">
        <v>0.99783690000000003</v>
      </c>
      <c r="Y3357">
        <v>-0.40163359999999998</v>
      </c>
      <c r="Z3357">
        <v>0.1467926</v>
      </c>
      <c r="AA3357">
        <v>0.90395930000000002</v>
      </c>
      <c r="AB3357">
        <v>9</v>
      </c>
      <c r="AC3357">
        <v>4.9865000000000297</v>
      </c>
      <c r="AD3357">
        <v>-1.1109935966189901</v>
      </c>
      <c r="AE3357">
        <v>-5.6589000000000098</v>
      </c>
      <c r="AF3357">
        <v>-3.0512938855929801</v>
      </c>
      <c r="AG3357">
        <v>-1.1109935966189901</v>
      </c>
      <c r="AH3357">
        <v>6.7221576171408399</v>
      </c>
      <c r="AI3357">
        <v>98.558501098837993</v>
      </c>
      <c r="AJ3357">
        <v>114.414050986512</v>
      </c>
      <c r="AK3357">
        <v>7.4653937724456396</v>
      </c>
      <c r="AL3357">
        <v>88.707382986416604</v>
      </c>
      <c r="AM3357">
        <v>93.541005776872097</v>
      </c>
      <c r="AN3357">
        <v>1.00000003857154</v>
      </c>
    </row>
    <row r="3358" spans="1:40" x14ac:dyDescent="0.25">
      <c r="A3358" t="str">
        <f>"20190312154318297"</f>
        <v>20190312154318297</v>
      </c>
      <c r="B3358" t="str">
        <f>"1552376598290522"</f>
        <v>1552376598290522</v>
      </c>
      <c r="C3358" t="s">
        <v>40</v>
      </c>
      <c r="D3358">
        <v>4.8659589999999904</v>
      </c>
      <c r="E3358">
        <v>0.35873509999999997</v>
      </c>
      <c r="F3358" t="s">
        <v>49</v>
      </c>
      <c r="G3358">
        <v>-485.4735</v>
      </c>
      <c r="H3358" s="1">
        <v>5.3853760000000003E-6</v>
      </c>
      <c r="I3358">
        <v>229.4409</v>
      </c>
      <c r="J3358">
        <v>-490.44600000000003</v>
      </c>
      <c r="K3358">
        <v>1.1110719999999901</v>
      </c>
      <c r="L3358">
        <v>235.06780000000001</v>
      </c>
      <c r="M3358">
        <v>0.29335129999999998</v>
      </c>
      <c r="N3358">
        <v>0</v>
      </c>
      <c r="O3358">
        <v>-0.95594539999999995</v>
      </c>
      <c r="P3358">
        <v>0.35291800000000001</v>
      </c>
      <c r="Q3358">
        <v>1.3139319999999999E-2</v>
      </c>
      <c r="R3358">
        <v>-0.93556189999999995</v>
      </c>
      <c r="S3358">
        <v>2.1174620000000002</v>
      </c>
      <c r="T3358">
        <v>-0.47061439999999999</v>
      </c>
      <c r="U3358">
        <v>-2.4172359999999999</v>
      </c>
      <c r="V3358">
        <v>-6.2952090000000002E-2</v>
      </c>
      <c r="W3358">
        <v>2.3704039999999999E-2</v>
      </c>
      <c r="X3358">
        <v>0.99773500000000004</v>
      </c>
      <c r="Y3358">
        <v>-0.4018429</v>
      </c>
      <c r="Z3358">
        <v>0.14757379999999901</v>
      </c>
      <c r="AA3358">
        <v>0.90373899999999996</v>
      </c>
      <c r="AB3358">
        <v>8</v>
      </c>
      <c r="AC3358">
        <v>4.9724999999999602</v>
      </c>
      <c r="AD3358">
        <v>-1.11106661462399</v>
      </c>
      <c r="AE3358">
        <v>-5.6269</v>
      </c>
      <c r="AF3358">
        <v>-3.0364798895849798</v>
      </c>
      <c r="AG3358">
        <v>-1.11106661462399</v>
      </c>
      <c r="AH3358">
        <v>6.6915906185934997</v>
      </c>
      <c r="AI3358">
        <v>98.5980171439152</v>
      </c>
      <c r="AJ3358">
        <v>114.40738307209701</v>
      </c>
      <c r="AK3358">
        <v>7.4318277798153201</v>
      </c>
      <c r="AL3358">
        <v>88.641731317289597</v>
      </c>
      <c r="AM3358">
        <v>93.610291462214093</v>
      </c>
      <c r="AN3358">
        <v>0.99999998868634399</v>
      </c>
    </row>
    <row r="3359" spans="1:40" x14ac:dyDescent="0.25">
      <c r="A3359" t="str">
        <f>"20190312154318317"</f>
        <v>20190312154318317</v>
      </c>
      <c r="B3359" t="str">
        <f>"1552376598311018"</f>
        <v>1552376598311018</v>
      </c>
      <c r="C3359" t="s">
        <v>40</v>
      </c>
      <c r="D3359">
        <v>4.9665629999999998</v>
      </c>
      <c r="E3359">
        <v>0.3590275</v>
      </c>
      <c r="F3359" t="s">
        <v>49</v>
      </c>
      <c r="G3359">
        <v>-485.42500000000001</v>
      </c>
      <c r="H3359" s="1">
        <v>5.351902E-6</v>
      </c>
      <c r="I3359">
        <v>229.37450000000001</v>
      </c>
      <c r="J3359">
        <v>-490.42169999999999</v>
      </c>
      <c r="K3359">
        <v>1.1111310000000001</v>
      </c>
      <c r="L3359">
        <v>234.99440000000001</v>
      </c>
      <c r="M3359">
        <v>0.29475010000000001</v>
      </c>
      <c r="N3359">
        <v>0</v>
      </c>
      <c r="O3359">
        <v>-0.95551280000000005</v>
      </c>
      <c r="P3359">
        <v>0.35611930000000003</v>
      </c>
      <c r="Q3359">
        <v>1.3879310000000001E-2</v>
      </c>
      <c r="R3359">
        <v>-0.93433759999999999</v>
      </c>
      <c r="S3359">
        <v>2.126404</v>
      </c>
      <c r="T3359">
        <v>-0.47053899999999999</v>
      </c>
      <c r="U3359">
        <v>-2.4110870000000002</v>
      </c>
      <c r="V3359">
        <v>-6.4912520000000001E-2</v>
      </c>
      <c r="W3359">
        <v>2.463837E-2</v>
      </c>
      <c r="X3359">
        <v>0.99758670000000005</v>
      </c>
      <c r="Y3359">
        <v>-0.40354050000000002</v>
      </c>
      <c r="Z3359">
        <v>0.1475156</v>
      </c>
      <c r="AA3359">
        <v>0.90299180000000001</v>
      </c>
      <c r="AB3359">
        <v>8</v>
      </c>
      <c r="AC3359">
        <v>4.9966999999999704</v>
      </c>
      <c r="AD3359">
        <v>-1.1111256480980001</v>
      </c>
      <c r="AE3359">
        <v>-5.6199000000000003</v>
      </c>
      <c r="AF3359">
        <v>-3.0515079609680602</v>
      </c>
      <c r="AG3359">
        <v>-1.1111256480980001</v>
      </c>
      <c r="AH3359">
        <v>6.6968616121033602</v>
      </c>
      <c r="AI3359">
        <v>98.585784978963204</v>
      </c>
      <c r="AJ3359">
        <v>114.49696993280401</v>
      </c>
      <c r="AK3359">
        <v>7.4427317896976701</v>
      </c>
      <c r="AL3359">
        <v>88.588182455307802</v>
      </c>
      <c r="AM3359">
        <v>93.722962245410798</v>
      </c>
      <c r="AN3359">
        <v>0.99999995427294697</v>
      </c>
    </row>
    <row r="3360" spans="1:40" x14ac:dyDescent="0.25">
      <c r="A3360" t="str">
        <f>"20190312154318340"</f>
        <v>20190312154318340</v>
      </c>
      <c r="B3360" t="str">
        <f>"1552376598330538"</f>
        <v>1552376598330538</v>
      </c>
      <c r="C3360" t="s">
        <v>40</v>
      </c>
      <c r="D3360">
        <v>4.9308870000000002</v>
      </c>
      <c r="E3360">
        <v>0.35923319999999997</v>
      </c>
      <c r="F3360" t="s">
        <v>49</v>
      </c>
      <c r="G3360">
        <v>-485.42529999999999</v>
      </c>
      <c r="H3360" s="1">
        <v>5.346792E-6</v>
      </c>
      <c r="I3360">
        <v>229.3578</v>
      </c>
      <c r="J3360">
        <v>-490.39440000000002</v>
      </c>
      <c r="K3360">
        <v>1.1111799999999901</v>
      </c>
      <c r="L3360">
        <v>234.91290000000001</v>
      </c>
      <c r="M3360">
        <v>0.29635129999999998</v>
      </c>
      <c r="N3360">
        <v>0</v>
      </c>
      <c r="O3360">
        <v>-0.95501480000000005</v>
      </c>
      <c r="P3360">
        <v>0.35886170000000001</v>
      </c>
      <c r="Q3360">
        <v>1.414267E-2</v>
      </c>
      <c r="R3360">
        <v>-0.93328390000000006</v>
      </c>
      <c r="S3360">
        <v>2.1320800000000002</v>
      </c>
      <c r="T3360">
        <v>-0.47414479999999998</v>
      </c>
      <c r="U3360">
        <v>-2.4052579999999999</v>
      </c>
      <c r="V3360">
        <v>-6.6171759999999996E-2</v>
      </c>
      <c r="W3360">
        <v>2.512841E-2</v>
      </c>
      <c r="X3360">
        <v>0.99749180000000004</v>
      </c>
      <c r="Y3360">
        <v>-0.4041727</v>
      </c>
      <c r="Z3360">
        <v>0.14864539999999901</v>
      </c>
      <c r="AA3360">
        <v>0.90252359999999998</v>
      </c>
      <c r="AB3360">
        <v>8</v>
      </c>
      <c r="AC3360">
        <v>4.9691000000000196</v>
      </c>
      <c r="AD3360">
        <v>-1.11117465320799</v>
      </c>
      <c r="AE3360">
        <v>-5.5551000000000004</v>
      </c>
      <c r="AF3360">
        <v>-3.0320998806101001</v>
      </c>
      <c r="AG3360">
        <v>-1.11117465320799</v>
      </c>
      <c r="AH3360">
        <v>6.63083697808728</v>
      </c>
      <c r="AI3360">
        <v>98.665167040935003</v>
      </c>
      <c r="AJ3360">
        <v>114.57331845418599</v>
      </c>
      <c r="AK3360">
        <v>7.3753873000607504</v>
      </c>
      <c r="AL3360">
        <v>88.56009662081</v>
      </c>
      <c r="AM3360">
        <v>93.7953350564799</v>
      </c>
      <c r="AN3360">
        <v>1.0000000149389301</v>
      </c>
    </row>
    <row r="3361" spans="1:40" x14ac:dyDescent="0.25">
      <c r="A3361" t="str">
        <f>"20190312154318361"</f>
        <v>20190312154318361</v>
      </c>
      <c r="B3361" t="str">
        <f>"1552376598351038"</f>
        <v>1552376598351038</v>
      </c>
      <c r="C3361" t="s">
        <v>40</v>
      </c>
      <c r="D3361">
        <v>4.9009710000000002</v>
      </c>
      <c r="E3361">
        <v>0.3592843</v>
      </c>
      <c r="F3361" t="s">
        <v>49</v>
      </c>
      <c r="G3361">
        <v>-485.39109999999999</v>
      </c>
      <c r="H3361" s="1">
        <v>5.3178099999999898E-6</v>
      </c>
      <c r="I3361">
        <v>229.2937</v>
      </c>
      <c r="J3361">
        <v>-490.36810000000003</v>
      </c>
      <c r="K3361">
        <v>1.111226</v>
      </c>
      <c r="L3361">
        <v>234.8347</v>
      </c>
      <c r="M3361">
        <v>0.29792819999999998</v>
      </c>
      <c r="N3361">
        <v>0</v>
      </c>
      <c r="O3361">
        <v>-0.95452159999999997</v>
      </c>
      <c r="P3361">
        <v>0.3617378</v>
      </c>
      <c r="Q3361">
        <v>1.482283E-2</v>
      </c>
      <c r="R3361">
        <v>-0.93216239999999995</v>
      </c>
      <c r="S3361">
        <v>2.1369319999999998</v>
      </c>
      <c r="T3361">
        <v>-0.47458420000000001</v>
      </c>
      <c r="U3361">
        <v>-2.3999790000000001</v>
      </c>
      <c r="V3361">
        <v>-6.7603699999999906E-2</v>
      </c>
      <c r="W3361">
        <v>2.6031240000000001E-2</v>
      </c>
      <c r="X3361">
        <v>0.99737260000000005</v>
      </c>
      <c r="Y3361">
        <v>-0.4046515</v>
      </c>
      <c r="Z3361">
        <v>0.148803399999999</v>
      </c>
      <c r="AA3361">
        <v>0.9022831</v>
      </c>
      <c r="AB3361">
        <v>8</v>
      </c>
      <c r="AC3361">
        <v>4.9770000000000296</v>
      </c>
      <c r="AD3361">
        <v>-1.1112206821899999</v>
      </c>
      <c r="AE3361">
        <v>-5.5409999999999897</v>
      </c>
      <c r="AF3361">
        <v>-3.0325283107089098</v>
      </c>
      <c r="AG3361">
        <v>-1.1112206821899999</v>
      </c>
      <c r="AH3361">
        <v>6.6247594245518702</v>
      </c>
      <c r="AI3361">
        <v>98.671785007660901</v>
      </c>
      <c r="AJ3361">
        <v>114.596257848498</v>
      </c>
      <c r="AK3361">
        <v>7.37010697296631</v>
      </c>
      <c r="AL3361">
        <v>88.508351308715802</v>
      </c>
      <c r="AM3361">
        <v>93.877679246775102</v>
      </c>
      <c r="AN3361">
        <v>0.99999999447019305</v>
      </c>
    </row>
    <row r="3362" spans="1:40" x14ac:dyDescent="0.25">
      <c r="A3362" t="str">
        <f>"20190312154318384"</f>
        <v>20190312154318384</v>
      </c>
      <c r="B3362" t="str">
        <f>"1552376598380314"</f>
        <v>1552376598380314</v>
      </c>
      <c r="C3362" t="s">
        <v>40</v>
      </c>
      <c r="D3362">
        <v>4.9367999999999999</v>
      </c>
      <c r="E3362">
        <v>0.35930040000000002</v>
      </c>
      <c r="F3362" t="s">
        <v>49</v>
      </c>
      <c r="G3362">
        <v>-485.3535</v>
      </c>
      <c r="H3362" s="1">
        <v>5.289564E-6</v>
      </c>
      <c r="I3362">
        <v>229.23480000000001</v>
      </c>
      <c r="J3362">
        <v>-490.34179999999998</v>
      </c>
      <c r="K3362">
        <v>1.1112610000000001</v>
      </c>
      <c r="L3362">
        <v>234.75720000000001</v>
      </c>
      <c r="M3362">
        <v>0.29953099999999999</v>
      </c>
      <c r="N3362">
        <v>0</v>
      </c>
      <c r="O3362">
        <v>-0.954017</v>
      </c>
      <c r="P3362">
        <v>0.36454989999999998</v>
      </c>
      <c r="Q3362">
        <v>1.532535E-2</v>
      </c>
      <c r="R3362">
        <v>-0.93105780000000005</v>
      </c>
      <c r="S3362">
        <v>2.1437680000000001</v>
      </c>
      <c r="T3362">
        <v>-0.4750453</v>
      </c>
      <c r="U3362">
        <v>-2.3939509999999999</v>
      </c>
      <c r="V3362">
        <v>-6.8941589999999997E-2</v>
      </c>
      <c r="W3362">
        <v>2.6746249999999999E-2</v>
      </c>
      <c r="X3362">
        <v>0.99726210000000004</v>
      </c>
      <c r="Y3362">
        <v>-0.40566200000000002</v>
      </c>
      <c r="Z3362">
        <v>0.14894540000000001</v>
      </c>
      <c r="AA3362">
        <v>0.90180579999999999</v>
      </c>
      <c r="AB3362">
        <v>8</v>
      </c>
      <c r="AC3362">
        <v>4.9882999999999802</v>
      </c>
      <c r="AD3362">
        <v>-1.1112557104359999</v>
      </c>
      <c r="AE3362">
        <v>-5.5224000000000002</v>
      </c>
      <c r="AF3362">
        <v>-3.0372726139561199</v>
      </c>
      <c r="AG3362">
        <v>-1.1112557104359999</v>
      </c>
      <c r="AH3362">
        <v>6.6155464018835604</v>
      </c>
      <c r="AI3362">
        <v>98.679559945514001</v>
      </c>
      <c r="AJ3362">
        <v>114.66039361662401</v>
      </c>
      <c r="AK3362">
        <v>7.3637876382293204</v>
      </c>
      <c r="AL3362">
        <v>88.467369989923995</v>
      </c>
      <c r="AM3362">
        <v>93.954614912852705</v>
      </c>
      <c r="AN3362">
        <v>1.0000000004086</v>
      </c>
    </row>
    <row r="3363" spans="1:40" x14ac:dyDescent="0.25">
      <c r="A3363" t="str">
        <f>"20190312154318405"</f>
        <v>20190312154318405</v>
      </c>
      <c r="B3363" t="str">
        <f>"1552376598400810"</f>
        <v>1552376598400810</v>
      </c>
      <c r="C3363" t="s">
        <v>40</v>
      </c>
      <c r="D3363">
        <v>4.9767809999999999</v>
      </c>
      <c r="E3363">
        <v>0.35944340000000002</v>
      </c>
      <c r="F3363" t="s">
        <v>49</v>
      </c>
      <c r="G3363">
        <v>-485.351</v>
      </c>
      <c r="H3363" s="1">
        <v>5.2826640000000001E-6</v>
      </c>
      <c r="I3363">
        <v>229.21459999999999</v>
      </c>
      <c r="J3363">
        <v>-490.31599999999997</v>
      </c>
      <c r="K3363">
        <v>1.1112839999999999</v>
      </c>
      <c r="L3363">
        <v>234.6815</v>
      </c>
      <c r="M3363">
        <v>0.30112610000000001</v>
      </c>
      <c r="N3363">
        <v>0</v>
      </c>
      <c r="O3363">
        <v>-0.95351229999999998</v>
      </c>
      <c r="P3363">
        <v>0.36740450000000002</v>
      </c>
      <c r="Q3363">
        <v>1.5846409999999998E-2</v>
      </c>
      <c r="R3363">
        <v>-0.92992640000000004</v>
      </c>
      <c r="S3363">
        <v>2.1503299999999999</v>
      </c>
      <c r="T3363">
        <v>-0.47879729999999998</v>
      </c>
      <c r="U3363">
        <v>-2.388077</v>
      </c>
      <c r="V3363">
        <v>-7.0336330000000002E-2</v>
      </c>
      <c r="W3363">
        <v>2.7455520000000001E-2</v>
      </c>
      <c r="X3363">
        <v>0.99714539999999996</v>
      </c>
      <c r="Y3363">
        <v>-0.4064873</v>
      </c>
      <c r="Z3363">
        <v>0.15009610000000001</v>
      </c>
      <c r="AA3363">
        <v>0.90124320000000002</v>
      </c>
      <c r="AB3363">
        <v>8</v>
      </c>
      <c r="AC3363">
        <v>4.9649999999999697</v>
      </c>
      <c r="AD3363">
        <v>-1.1112787173359999</v>
      </c>
      <c r="AE3363">
        <v>-5.4669000000000096</v>
      </c>
      <c r="AF3363">
        <v>-3.0197954353345402</v>
      </c>
      <c r="AG3363">
        <v>-1.1112787173359999</v>
      </c>
      <c r="AH3363">
        <v>6.5597715497857498</v>
      </c>
      <c r="AI3363">
        <v>98.748346839387395</v>
      </c>
      <c r="AJ3363">
        <v>114.719012471395</v>
      </c>
      <c r="AK3363">
        <v>7.3064839453905499</v>
      </c>
      <c r="AL3363">
        <v>88.426716842685707</v>
      </c>
      <c r="AM3363">
        <v>94.0348287594109</v>
      </c>
      <c r="AN3363">
        <v>0.99999997681874897</v>
      </c>
    </row>
    <row r="3364" spans="1:40" x14ac:dyDescent="0.25">
      <c r="A3364" t="str">
        <f>"20190312154318429"</f>
        <v>20190312154318429</v>
      </c>
      <c r="B3364" t="str">
        <f>"1552376598420331"</f>
        <v>1552376598420331</v>
      </c>
      <c r="C3364" t="s">
        <v>40</v>
      </c>
      <c r="D3364">
        <v>5.0039540000000002</v>
      </c>
      <c r="E3364">
        <v>0.3596529</v>
      </c>
      <c r="F3364" t="s">
        <v>49</v>
      </c>
      <c r="G3364">
        <v>-485.33010000000002</v>
      </c>
      <c r="H3364" s="1">
        <v>5.2646000000000004E-6</v>
      </c>
      <c r="I3364">
        <v>229.17429999999999</v>
      </c>
      <c r="J3364">
        <v>-490.28789999999998</v>
      </c>
      <c r="K3364">
        <v>1.1113</v>
      </c>
      <c r="L3364">
        <v>234.59989999999999</v>
      </c>
      <c r="M3364">
        <v>0.30287920000000002</v>
      </c>
      <c r="N3364">
        <v>0</v>
      </c>
      <c r="O3364">
        <v>-0.95295479999999999</v>
      </c>
      <c r="P3364">
        <v>0.36976330000000002</v>
      </c>
      <c r="Q3364">
        <v>1.579084E-2</v>
      </c>
      <c r="R3364">
        <v>-0.92899219999999905</v>
      </c>
      <c r="S3364">
        <v>2.156647</v>
      </c>
      <c r="T3364">
        <v>-0.48068149999999998</v>
      </c>
      <c r="U3364">
        <v>-2.3821560000000002</v>
      </c>
      <c r="V3364">
        <v>-7.1032170000000006E-2</v>
      </c>
      <c r="W3364">
        <v>2.7580879999999999E-2</v>
      </c>
      <c r="X3364">
        <v>0.99709270000000005</v>
      </c>
      <c r="Y3364">
        <v>-0.4071766</v>
      </c>
      <c r="Z3364">
        <v>0.15067449999999999</v>
      </c>
      <c r="AA3364">
        <v>0.90083539999999995</v>
      </c>
      <c r="AB3364">
        <v>8</v>
      </c>
      <c r="AC3364">
        <v>4.9577999999999598</v>
      </c>
      <c r="AD3364">
        <v>-1.1112947354</v>
      </c>
      <c r="AE3364">
        <v>-5.4256000000000002</v>
      </c>
      <c r="AF3364">
        <v>-3.0125993476247199</v>
      </c>
      <c r="AG3364">
        <v>-1.1112947354</v>
      </c>
      <c r="AH3364">
        <v>6.52329701831012</v>
      </c>
      <c r="AI3364">
        <v>98.791782742057904</v>
      </c>
      <c r="AJ3364">
        <v>114.788512054272</v>
      </c>
      <c r="AK3364">
        <v>7.2707726417025604</v>
      </c>
      <c r="AL3364">
        <v>88.419531659176997</v>
      </c>
      <c r="AM3364">
        <v>94.074826315127794</v>
      </c>
      <c r="AN3364">
        <v>1.00000006325488</v>
      </c>
    </row>
    <row r="3365" spans="1:40" x14ac:dyDescent="0.25">
      <c r="A3365" t="str">
        <f>"20190312154318450"</f>
        <v>20190312154318450</v>
      </c>
      <c r="B3365" t="str">
        <f>"1552376598440826"</f>
        <v>1552376598440826</v>
      </c>
      <c r="C3365" t="s">
        <v>40</v>
      </c>
      <c r="D3365">
        <v>5.0009810000000003</v>
      </c>
      <c r="E3365">
        <v>0.35986950000000001</v>
      </c>
      <c r="F3365" t="s">
        <v>49</v>
      </c>
      <c r="G3365">
        <v>-485.31880000000001</v>
      </c>
      <c r="H3365" s="1">
        <v>5.2486220000000002E-6</v>
      </c>
      <c r="I3365">
        <v>229.13239999999999</v>
      </c>
      <c r="J3365">
        <v>-490.26150000000001</v>
      </c>
      <c r="K3365">
        <v>1.1113029999999999</v>
      </c>
      <c r="L3365">
        <v>234.52369999999999</v>
      </c>
      <c r="M3365">
        <v>0.30453609999999998</v>
      </c>
      <c r="N3365">
        <v>0</v>
      </c>
      <c r="O3365">
        <v>-0.95242450000000001</v>
      </c>
      <c r="P3365">
        <v>0.37183100000000002</v>
      </c>
      <c r="Q3365">
        <v>1.5368740000000001E-2</v>
      </c>
      <c r="R3365">
        <v>-0.92817309999999997</v>
      </c>
      <c r="S3365">
        <v>2.1607669999999999</v>
      </c>
      <c r="T3365">
        <v>-0.48323680000000002</v>
      </c>
      <c r="U3365">
        <v>-2.3774869999999999</v>
      </c>
      <c r="V3365">
        <v>-7.1515750000000003E-2</v>
      </c>
      <c r="W3365">
        <v>2.7309659999999999E-2</v>
      </c>
      <c r="X3365">
        <v>0.99706550000000005</v>
      </c>
      <c r="Y3365">
        <v>-0.40724139999999998</v>
      </c>
      <c r="Z3365">
        <v>0.15146799999999999</v>
      </c>
      <c r="AA3365">
        <v>0.90067299999999995</v>
      </c>
      <c r="AB3365">
        <v>8</v>
      </c>
      <c r="AC3365">
        <v>4.9427000000000003</v>
      </c>
      <c r="AD3365">
        <v>-1.111297751378</v>
      </c>
      <c r="AE3365">
        <v>-5.3913000000000002</v>
      </c>
      <c r="AF3365">
        <v>-2.9967450173324002</v>
      </c>
      <c r="AG3365">
        <v>-1.111297751378</v>
      </c>
      <c r="AH3365">
        <v>6.4906797918147499</v>
      </c>
      <c r="AI3365">
        <v>98.835695151231207</v>
      </c>
      <c r="AJ3365">
        <v>114.782756813746</v>
      </c>
      <c r="AK3365">
        <v>7.2349421249237897</v>
      </c>
      <c r="AL3365">
        <v>88.435077122707398</v>
      </c>
      <c r="AM3365">
        <v>94.102584464518799</v>
      </c>
      <c r="AN3365">
        <v>0.99999996565881299</v>
      </c>
    </row>
    <row r="3366" spans="1:40" x14ac:dyDescent="0.25">
      <c r="A3366" t="str">
        <f>"20190312154318474"</f>
        <v>20190312154318474</v>
      </c>
      <c r="B3366" t="str">
        <f>"1552376598471082"</f>
        <v>1552376598471082</v>
      </c>
      <c r="C3366" t="s">
        <v>40</v>
      </c>
      <c r="D3366">
        <v>5.0290869999999996</v>
      </c>
      <c r="E3366">
        <v>0.36020150000000001</v>
      </c>
      <c r="F3366" t="s">
        <v>49</v>
      </c>
      <c r="G3366">
        <v>-485.31330000000003</v>
      </c>
      <c r="H3366" s="1">
        <v>5.2366639999999899E-6</v>
      </c>
      <c r="I3366">
        <v>229.0985</v>
      </c>
      <c r="J3366">
        <v>-490.23250000000002</v>
      </c>
      <c r="K3366">
        <v>1.111302</v>
      </c>
      <c r="L3366">
        <v>234.44059999999999</v>
      </c>
      <c r="M3366">
        <v>0.30636049999999998</v>
      </c>
      <c r="N3366">
        <v>0</v>
      </c>
      <c r="O3366">
        <v>-0.95183739999999994</v>
      </c>
      <c r="P3366">
        <v>0.37458160000000001</v>
      </c>
      <c r="Q3366">
        <v>1.5751319999999999E-2</v>
      </c>
      <c r="R3366">
        <v>-0.9270602</v>
      </c>
      <c r="S3366">
        <v>2.1644589999999999</v>
      </c>
      <c r="T3366">
        <v>-0.48610399999999998</v>
      </c>
      <c r="U3366">
        <v>-2.3730929999999999</v>
      </c>
      <c r="V3366">
        <v>-7.256348E-2</v>
      </c>
      <c r="W3366">
        <v>2.7837799999999999E-2</v>
      </c>
      <c r="X3366">
        <v>0.99697519999999995</v>
      </c>
      <c r="Y3366">
        <v>-0.40699479999999999</v>
      </c>
      <c r="Z3366">
        <v>0.1523494</v>
      </c>
      <c r="AA3366">
        <v>0.90063579999999999</v>
      </c>
      <c r="AB3366">
        <v>8</v>
      </c>
      <c r="AC3366">
        <v>4.9191999999999796</v>
      </c>
      <c r="AD3366">
        <v>-1.111296763336</v>
      </c>
      <c r="AE3366">
        <v>-5.3420999999999799</v>
      </c>
      <c r="AF3366">
        <v>-2.9762003291892301</v>
      </c>
      <c r="AG3366">
        <v>-1.111296763336</v>
      </c>
      <c r="AH3366">
        <v>6.4415030668164404</v>
      </c>
      <c r="AI3366">
        <v>98.900947699888604</v>
      </c>
      <c r="AJ3366">
        <v>114.798593045285</v>
      </c>
      <c r="AK3366">
        <v>7.1823193089330699</v>
      </c>
      <c r="AL3366">
        <v>88.404805434010896</v>
      </c>
      <c r="AM3366">
        <v>94.162854663816304</v>
      </c>
      <c r="AN3366">
        <v>0.99999997557679399</v>
      </c>
    </row>
    <row r="3367" spans="1:40" x14ac:dyDescent="0.25">
      <c r="A3367" t="str">
        <f>"20190312154318507"</f>
        <v>20190312154318507</v>
      </c>
      <c r="B3367" t="str">
        <f>"1552376598500362"</f>
        <v>1552376598500362</v>
      </c>
      <c r="C3367" t="s">
        <v>40</v>
      </c>
      <c r="D3367">
        <v>5.0332610000000004</v>
      </c>
      <c r="E3367">
        <v>0.36043550000000002</v>
      </c>
      <c r="F3367" t="s">
        <v>49</v>
      </c>
      <c r="G3367">
        <v>-485.30220000000003</v>
      </c>
      <c r="H3367" s="1">
        <v>5.2208409999999997E-6</v>
      </c>
      <c r="I3367">
        <v>229.05699999999999</v>
      </c>
      <c r="J3367">
        <v>-490.19400000000002</v>
      </c>
      <c r="K3367">
        <v>1.1112799999999901</v>
      </c>
      <c r="L3367">
        <v>234.3312</v>
      </c>
      <c r="M3367">
        <v>0.30878100000000003</v>
      </c>
      <c r="N3367">
        <v>0</v>
      </c>
      <c r="O3367">
        <v>-0.95105269999999997</v>
      </c>
      <c r="P3367">
        <v>0.37812380000000001</v>
      </c>
      <c r="Q3367">
        <v>1.5887559999999998E-2</v>
      </c>
      <c r="R3367">
        <v>-0.92561879999999996</v>
      </c>
      <c r="S3367">
        <v>2.1686709999999998</v>
      </c>
      <c r="T3367">
        <v>-0.48882209999999998</v>
      </c>
      <c r="U3367">
        <v>-2.3680729999999999</v>
      </c>
      <c r="V3367">
        <v>-7.383874E-2</v>
      </c>
      <c r="W3367">
        <v>2.8141900000000001E-2</v>
      </c>
      <c r="X3367">
        <v>0.99687300000000001</v>
      </c>
      <c r="Y3367">
        <v>-0.40640710000000002</v>
      </c>
      <c r="Z3367">
        <v>0.1531699</v>
      </c>
      <c r="AA3367">
        <v>0.90076199999999995</v>
      </c>
      <c r="AB3367">
        <v>8</v>
      </c>
      <c r="AC3367">
        <v>4.8917999999999804</v>
      </c>
      <c r="AD3367">
        <v>-1.1112747791590001</v>
      </c>
      <c r="AE3367">
        <v>-5.2741999999999702</v>
      </c>
      <c r="AF3367">
        <v>-2.9535326756190701</v>
      </c>
      <c r="AG3367">
        <v>-1.1112747791590001</v>
      </c>
      <c r="AH3367">
        <v>6.37490054543035</v>
      </c>
      <c r="AI3367">
        <v>98.987969703419196</v>
      </c>
      <c r="AJ3367">
        <v>114.85859467990799</v>
      </c>
      <c r="AK3367">
        <v>7.1132020823868496</v>
      </c>
      <c r="AL3367">
        <v>88.387374919958305</v>
      </c>
      <c r="AM3367">
        <v>94.236183046065804</v>
      </c>
      <c r="AN3367">
        <v>0.99999995209469705</v>
      </c>
    </row>
    <row r="3368" spans="1:40" x14ac:dyDescent="0.25">
      <c r="A3368" t="str">
        <f>"20190312154318529"</f>
        <v>20190312154318529</v>
      </c>
      <c r="B3368" t="str">
        <f>"1552376598520859"</f>
        <v>1552376598520859</v>
      </c>
      <c r="C3368" t="s">
        <v>40</v>
      </c>
      <c r="D3368">
        <v>5.0914239999999999</v>
      </c>
      <c r="E3368">
        <v>0.36471949999999997</v>
      </c>
      <c r="F3368" t="s">
        <v>49</v>
      </c>
      <c r="G3368">
        <v>-485.29809999999998</v>
      </c>
      <c r="H3368" s="1">
        <v>5.2071279999999996E-6</v>
      </c>
      <c r="I3368">
        <v>229.0163</v>
      </c>
      <c r="J3368">
        <v>-490.16640000000001</v>
      </c>
      <c r="K3368">
        <v>1.111253</v>
      </c>
      <c r="L3368">
        <v>234.2533</v>
      </c>
      <c r="M3368">
        <v>0.3105118</v>
      </c>
      <c r="N3368">
        <v>0</v>
      </c>
      <c r="O3368">
        <v>-0.95048790000000005</v>
      </c>
      <c r="P3368">
        <v>0.37949110000000003</v>
      </c>
      <c r="Q3368">
        <v>1.4847630000000001E-2</v>
      </c>
      <c r="R3368">
        <v>-0.92507649999999997</v>
      </c>
      <c r="S3368">
        <v>2.174957</v>
      </c>
      <c r="T3368">
        <v>-0.49366860000000001</v>
      </c>
      <c r="U3368">
        <v>-2.361084</v>
      </c>
      <c r="V3368">
        <v>-7.3488410000000004E-2</v>
      </c>
      <c r="W3368">
        <v>2.7205279999999998E-2</v>
      </c>
      <c r="X3368">
        <v>0.9969249</v>
      </c>
      <c r="Y3368">
        <v>-0.40720630000000002</v>
      </c>
      <c r="Z3368">
        <v>0.15469240000000001</v>
      </c>
      <c r="AA3368">
        <v>0.90014069999999902</v>
      </c>
      <c r="AB3368">
        <v>8</v>
      </c>
      <c r="AC3368">
        <v>4.8683000000000298</v>
      </c>
      <c r="AD3368">
        <v>-1.1112477928719999</v>
      </c>
      <c r="AE3368">
        <v>-5.2369999999999903</v>
      </c>
      <c r="AF3368">
        <v>-2.9305602560708102</v>
      </c>
      <c r="AG3368">
        <v>-1.1112477928719999</v>
      </c>
      <c r="AH3368">
        <v>6.3368184933476197</v>
      </c>
      <c r="AI3368">
        <v>99.043729481493699</v>
      </c>
      <c r="AJ3368">
        <v>114.81891533793301</v>
      </c>
      <c r="AK3368">
        <v>7.0695348990762596</v>
      </c>
      <c r="AL3368">
        <v>88.441059878195503</v>
      </c>
      <c r="AM3368">
        <v>94.215938300947798</v>
      </c>
      <c r="AN3368">
        <v>0.99999996495210697</v>
      </c>
    </row>
    <row r="3369" spans="1:40" x14ac:dyDescent="0.25">
      <c r="A3369" t="str">
        <f>"20190312154318551"</f>
        <v>20190312154318551</v>
      </c>
      <c r="B3369" t="str">
        <f>"1552376598540378"</f>
        <v>1552376598540378</v>
      </c>
      <c r="C3369" t="s">
        <v>40</v>
      </c>
      <c r="D3369">
        <v>5.0883719999999997</v>
      </c>
      <c r="E3369">
        <v>0.36507849999999997</v>
      </c>
      <c r="F3369" t="s">
        <v>49</v>
      </c>
      <c r="G3369">
        <v>-485.78140000000002</v>
      </c>
      <c r="H3369" s="1">
        <v>5.45753299999999E-6</v>
      </c>
      <c r="I3369">
        <v>229.40950000000001</v>
      </c>
      <c r="J3369">
        <v>-490.13929999999999</v>
      </c>
      <c r="K3369">
        <v>1.1112219999999999</v>
      </c>
      <c r="L3369">
        <v>234.1773</v>
      </c>
      <c r="M3369">
        <v>0.31220510000000001</v>
      </c>
      <c r="N3369">
        <v>0</v>
      </c>
      <c r="O3369">
        <v>-0.94993190000000005</v>
      </c>
      <c r="P3369">
        <v>0.38108579999999997</v>
      </c>
      <c r="Q3369">
        <v>1.2242340000000001E-2</v>
      </c>
      <c r="R3369">
        <v>-0.92445860000000002</v>
      </c>
      <c r="S3369">
        <v>2.146576</v>
      </c>
      <c r="T3369">
        <v>-0.54397819999999997</v>
      </c>
      <c r="U3369">
        <v>-2.3711700000000002</v>
      </c>
      <c r="V3369">
        <v>-7.3415729999999998E-2</v>
      </c>
      <c r="W3369">
        <v>2.4686989999999999E-2</v>
      </c>
      <c r="X3369">
        <v>0.99699579999999999</v>
      </c>
      <c r="Y3369">
        <v>-0.39596799999999999</v>
      </c>
      <c r="Z3369">
        <v>0.17031019999999999</v>
      </c>
      <c r="AA3369">
        <v>0.90233240000000003</v>
      </c>
      <c r="AB3369">
        <v>8</v>
      </c>
      <c r="AC3369">
        <v>4.3578999999999697</v>
      </c>
      <c r="AD3369">
        <v>-1.111216542467</v>
      </c>
      <c r="AE3369">
        <v>-4.7677999999999896</v>
      </c>
      <c r="AF3369">
        <v>-2.5751728936657901</v>
      </c>
      <c r="AG3369">
        <v>-1.111216542467</v>
      </c>
      <c r="AH3369">
        <v>5.7207997785225002</v>
      </c>
      <c r="AI3369">
        <v>100.044257818872</v>
      </c>
      <c r="AJ3369">
        <v>114.234516191211</v>
      </c>
      <c r="AK3369">
        <v>6.3713317087141599</v>
      </c>
      <c r="AL3369">
        <v>88.585395910529897</v>
      </c>
      <c r="AM3369">
        <v>94.211485314262404</v>
      </c>
      <c r="AN3369">
        <v>0.99999997105216598</v>
      </c>
    </row>
    <row r="3370" spans="1:40" x14ac:dyDescent="0.25">
      <c r="A3370" t="str">
        <f>"20190312154318573"</f>
        <v>20190312154318573</v>
      </c>
      <c r="B3370" t="str">
        <f>"1552376598570634"</f>
        <v>1552376598570634</v>
      </c>
      <c r="C3370" t="s">
        <v>40</v>
      </c>
      <c r="D3370">
        <v>5.0755679999999996</v>
      </c>
      <c r="E3370">
        <v>0.36552479999999998</v>
      </c>
      <c r="F3370" t="s">
        <v>49</v>
      </c>
      <c r="G3370">
        <v>-485.81810000000002</v>
      </c>
      <c r="H3370" s="1">
        <v>5.4683489999999997E-6</v>
      </c>
      <c r="I3370">
        <v>229.41290000000001</v>
      </c>
      <c r="J3370">
        <v>-490.11239999999998</v>
      </c>
      <c r="K3370">
        <v>1.111194</v>
      </c>
      <c r="L3370">
        <v>234.10210000000001</v>
      </c>
      <c r="M3370">
        <v>0.31387749999999998</v>
      </c>
      <c r="N3370">
        <v>0</v>
      </c>
      <c r="O3370">
        <v>-0.94937959999999999</v>
      </c>
      <c r="P3370">
        <v>0.38299139999999998</v>
      </c>
      <c r="Q3370">
        <v>9.3333610000000001E-3</v>
      </c>
      <c r="R3370">
        <v>-0.92370509999999995</v>
      </c>
      <c r="S3370">
        <v>2.147125</v>
      </c>
      <c r="T3370">
        <v>-0.55213459999999903</v>
      </c>
      <c r="U3370">
        <v>-2.3673250000000001</v>
      </c>
      <c r="V3370">
        <v>-7.3701059999999999E-2</v>
      </c>
      <c r="W3370">
        <v>2.1853439999999998E-2</v>
      </c>
      <c r="X3370">
        <v>0.99704090000000001</v>
      </c>
      <c r="Y3370">
        <v>-0.3948875</v>
      </c>
      <c r="Z3370">
        <v>0.1728613</v>
      </c>
      <c r="AA3370">
        <v>0.90232080000000003</v>
      </c>
      <c r="AB3370">
        <v>8</v>
      </c>
      <c r="AC3370">
        <v>4.2942999999999598</v>
      </c>
      <c r="AD3370">
        <v>-1.111188531651</v>
      </c>
      <c r="AE3370">
        <v>-4.6891999999999996</v>
      </c>
      <c r="AF3370">
        <v>-2.5280850030844899</v>
      </c>
      <c r="AG3370">
        <v>-1.111188531651</v>
      </c>
      <c r="AH3370">
        <v>5.6282863365354796</v>
      </c>
      <c r="AI3370">
        <v>100.20927772081301</v>
      </c>
      <c r="AJ3370">
        <v>114.188419891504</v>
      </c>
      <c r="AK3370">
        <v>6.2692552047053702</v>
      </c>
      <c r="AL3370">
        <v>88.747790421023694</v>
      </c>
      <c r="AM3370">
        <v>94.227603457883902</v>
      </c>
      <c r="AN3370">
        <v>0.99999998767888298</v>
      </c>
    </row>
    <row r="3371" spans="1:40" x14ac:dyDescent="0.25">
      <c r="A3371" t="str">
        <f>"20190312154318596"</f>
        <v>20190312154318596</v>
      </c>
      <c r="B3371" t="str">
        <f>"1552376598591131"</f>
        <v>1552376598591131</v>
      </c>
      <c r="C3371" t="s">
        <v>40</v>
      </c>
      <c r="D3371">
        <v>5.0573090000000001</v>
      </c>
      <c r="E3371">
        <v>0.36569990000000002</v>
      </c>
      <c r="F3371" t="s">
        <v>49</v>
      </c>
      <c r="G3371">
        <v>-485.86540000000002</v>
      </c>
      <c r="H3371" s="1">
        <v>5.4863250000000004E-6</v>
      </c>
      <c r="I3371">
        <v>229.43020000000001</v>
      </c>
      <c r="J3371">
        <v>-490.0856</v>
      </c>
      <c r="K3371">
        <v>1.1111679999999999</v>
      </c>
      <c r="L3371">
        <v>234.0275</v>
      </c>
      <c r="M3371">
        <v>0.3155289</v>
      </c>
      <c r="N3371">
        <v>0</v>
      </c>
      <c r="O3371">
        <v>-0.94883130000000004</v>
      </c>
      <c r="P3371">
        <v>0.3847372</v>
      </c>
      <c r="Q3371">
        <v>8.0153919999999997E-3</v>
      </c>
      <c r="R3371">
        <v>-0.92299160000000002</v>
      </c>
      <c r="S3371">
        <v>2.1480100000000002</v>
      </c>
      <c r="T3371">
        <v>-0.56200559999999999</v>
      </c>
      <c r="U3371">
        <v>-2.3628689999999999</v>
      </c>
      <c r="V3371">
        <v>-7.3845659999999994E-2</v>
      </c>
      <c r="W3371">
        <v>2.0599639999999999E-2</v>
      </c>
      <c r="X3371">
        <v>0.99705690000000002</v>
      </c>
      <c r="Y3371">
        <v>-0.39394129999999999</v>
      </c>
      <c r="Z3371">
        <v>0.1759492</v>
      </c>
      <c r="AA3371">
        <v>0.90213759999999998</v>
      </c>
      <c r="AB3371">
        <v>8</v>
      </c>
      <c r="AC3371">
        <v>4.22019999999997</v>
      </c>
      <c r="AD3371">
        <v>-1.1111625136750001</v>
      </c>
      <c r="AE3371">
        <v>-4.59729999999999</v>
      </c>
      <c r="AF3371">
        <v>-2.4754042388908002</v>
      </c>
      <c r="AG3371">
        <v>-1.1111625136750001</v>
      </c>
      <c r="AH3371">
        <v>5.5191412411695904</v>
      </c>
      <c r="AI3371">
        <v>100.409084461649</v>
      </c>
      <c r="AJ3371">
        <v>114.156834125345</v>
      </c>
      <c r="AK3371">
        <v>6.1500592125356102</v>
      </c>
      <c r="AL3371">
        <v>88.819644071965897</v>
      </c>
      <c r="AM3371">
        <v>94.235800043895907</v>
      </c>
      <c r="AN3371">
        <v>0.99999999425328701</v>
      </c>
    </row>
    <row r="3372" spans="1:40" x14ac:dyDescent="0.25">
      <c r="A3372" t="str">
        <f>"20190312154318618"</f>
        <v>20190312154318618</v>
      </c>
      <c r="B3372" t="str">
        <f>"1552376598610650"</f>
        <v>1552376598610650</v>
      </c>
      <c r="C3372" t="s">
        <v>40</v>
      </c>
      <c r="D3372">
        <v>5.1113759999999999</v>
      </c>
      <c r="E3372">
        <v>0.36563119999999999</v>
      </c>
      <c r="F3372" t="s">
        <v>49</v>
      </c>
      <c r="G3372">
        <v>-485.82440000000003</v>
      </c>
      <c r="H3372" s="1">
        <v>5.4515170000000001E-6</v>
      </c>
      <c r="I3372">
        <v>229.35310000000001</v>
      </c>
      <c r="J3372">
        <v>-490.0575</v>
      </c>
      <c r="K3372">
        <v>1.111156</v>
      </c>
      <c r="L3372">
        <v>233.94990000000001</v>
      </c>
      <c r="M3372">
        <v>0.31724409999999997</v>
      </c>
      <c r="N3372">
        <v>0</v>
      </c>
      <c r="O3372">
        <v>-0.9482583</v>
      </c>
      <c r="P3372">
        <v>0.38742009999999899</v>
      </c>
      <c r="Q3372">
        <v>7.8486679999999996E-3</v>
      </c>
      <c r="R3372">
        <v>-0.92186999999999997</v>
      </c>
      <c r="S3372">
        <v>2.150299</v>
      </c>
      <c r="T3372">
        <v>-0.56072569999999999</v>
      </c>
      <c r="U3372">
        <v>-2.3588559999999998</v>
      </c>
      <c r="V3372">
        <v>-7.4941659999999993E-2</v>
      </c>
      <c r="W3372">
        <v>2.048904E-2</v>
      </c>
      <c r="X3372">
        <v>0.99697740000000001</v>
      </c>
      <c r="Y3372">
        <v>-0.39356849999999999</v>
      </c>
      <c r="Z3372">
        <v>0.17558789999999999</v>
      </c>
      <c r="AA3372">
        <v>0.90237060000000002</v>
      </c>
      <c r="AB3372">
        <v>8</v>
      </c>
      <c r="AC3372">
        <v>4.2330999999999701</v>
      </c>
      <c r="AD3372">
        <v>-1.111150548483</v>
      </c>
      <c r="AE3372">
        <v>-4.5968</v>
      </c>
      <c r="AF3372">
        <v>-2.4776353274229601</v>
      </c>
      <c r="AG3372">
        <v>-1.111150548483</v>
      </c>
      <c r="AH3372">
        <v>5.5275744453749898</v>
      </c>
      <c r="AI3372">
        <v>100.39450586838301</v>
      </c>
      <c r="AJ3372">
        <v>114.14344568842201</v>
      </c>
      <c r="AK3372">
        <v>6.1585234923844396</v>
      </c>
      <c r="AL3372">
        <v>88.825982323404205</v>
      </c>
      <c r="AM3372">
        <v>94.298774364003094</v>
      </c>
      <c r="AN3372">
        <v>0.999999994637218</v>
      </c>
    </row>
    <row r="3373" spans="1:40" x14ac:dyDescent="0.25">
      <c r="A3373" t="str">
        <f>"20190312154318640"</f>
        <v>20190312154318640</v>
      </c>
      <c r="B3373" t="str">
        <f>"1552376598631150"</f>
        <v>1552376598631150</v>
      </c>
      <c r="C3373" t="s">
        <v>40</v>
      </c>
      <c r="D3373">
        <v>5.212351</v>
      </c>
      <c r="E3373">
        <v>0.36563069999999998</v>
      </c>
      <c r="F3373" t="s">
        <v>49</v>
      </c>
      <c r="G3373">
        <v>-485.75220000000002</v>
      </c>
      <c r="H3373" s="1">
        <v>5.4021959999999996E-6</v>
      </c>
      <c r="I3373">
        <v>229.2559</v>
      </c>
      <c r="J3373">
        <v>-490.02940000000001</v>
      </c>
      <c r="K3373">
        <v>1.1111489999999999</v>
      </c>
      <c r="L3373">
        <v>233.87260000000001</v>
      </c>
      <c r="M3373">
        <v>0.31895010000000001</v>
      </c>
      <c r="N3373">
        <v>0</v>
      </c>
      <c r="O3373">
        <v>-0.94768520000000001</v>
      </c>
      <c r="P3373">
        <v>0.38993660000000002</v>
      </c>
      <c r="Q3373">
        <v>8.1779569999999996E-3</v>
      </c>
      <c r="R3373">
        <v>-0.9208054</v>
      </c>
      <c r="S3373">
        <v>2.1575319999999998</v>
      </c>
      <c r="T3373">
        <v>-0.55683090000000002</v>
      </c>
      <c r="U3373">
        <v>-2.3522949999999998</v>
      </c>
      <c r="V3373">
        <v>-7.5871389999999997E-2</v>
      </c>
      <c r="W3373">
        <v>2.0863280000000001E-2</v>
      </c>
      <c r="X3373">
        <v>0.99689930000000004</v>
      </c>
      <c r="Y3373">
        <v>-0.39482640000000002</v>
      </c>
      <c r="Z3373">
        <v>0.17440240000000001</v>
      </c>
      <c r="AA3373">
        <v>0.90205100000000005</v>
      </c>
      <c r="AB3373">
        <v>8</v>
      </c>
      <c r="AC3373">
        <v>4.2771999999999899</v>
      </c>
      <c r="AD3373">
        <v>-1.1111435978039901</v>
      </c>
      <c r="AE3373">
        <v>-4.6166999999999998</v>
      </c>
      <c r="AF3373">
        <v>-2.5031278514713899</v>
      </c>
      <c r="AG3373">
        <v>-1.1111435978039901</v>
      </c>
      <c r="AH3373">
        <v>5.5663513041892196</v>
      </c>
      <c r="AI3373">
        <v>100.318094996681</v>
      </c>
      <c r="AJ3373">
        <v>114.21293301304701</v>
      </c>
      <c r="AK3373">
        <v>6.2035921833564798</v>
      </c>
      <c r="AL3373">
        <v>88.804535347493299</v>
      </c>
      <c r="AM3373">
        <v>94.352241173626695</v>
      </c>
      <c r="AN3373">
        <v>0.99999997930669005</v>
      </c>
    </row>
    <row r="3374" spans="1:40" x14ac:dyDescent="0.25">
      <c r="A3374" t="str">
        <f>"20190312154318663"</f>
        <v>20190312154318663</v>
      </c>
      <c r="B3374" t="str">
        <f>"1552376598650666"</f>
        <v>1552376598650666</v>
      </c>
      <c r="C3374" t="s">
        <v>40</v>
      </c>
      <c r="D3374">
        <v>5.2317939999999998</v>
      </c>
      <c r="E3374">
        <v>0.39612639999999999</v>
      </c>
      <c r="F3374" t="s">
        <v>49</v>
      </c>
      <c r="G3374">
        <v>-485.69299999999998</v>
      </c>
      <c r="H3374" s="1">
        <v>5.3594930000000001E-6</v>
      </c>
      <c r="I3374">
        <v>229.16890000000001</v>
      </c>
      <c r="J3374">
        <v>-490.00290000000001</v>
      </c>
      <c r="K3374">
        <v>1.1111169999999999</v>
      </c>
      <c r="L3374">
        <v>233.80009999999999</v>
      </c>
      <c r="M3374">
        <v>0.3205654</v>
      </c>
      <c r="N3374">
        <v>0</v>
      </c>
      <c r="O3374">
        <v>-0.94714189999999998</v>
      </c>
      <c r="P3374">
        <v>0.39200550000000001</v>
      </c>
      <c r="Q3374">
        <v>8.2157020000000001E-3</v>
      </c>
      <c r="R3374">
        <v>-0.91992660000000004</v>
      </c>
      <c r="S3374">
        <v>2.1634829999999998</v>
      </c>
      <c r="T3374">
        <v>-0.55436980000000002</v>
      </c>
      <c r="U3374">
        <v>-2.3467709999999999</v>
      </c>
      <c r="V3374">
        <v>-7.6413919999999996E-2</v>
      </c>
      <c r="W3374">
        <v>2.07665E-2</v>
      </c>
      <c r="X3374">
        <v>0.99685990000000002</v>
      </c>
      <c r="Y3374">
        <v>-0.39565270000000002</v>
      </c>
      <c r="Z3374">
        <v>0.17364569999999999</v>
      </c>
      <c r="AA3374">
        <v>0.90183480000000005</v>
      </c>
      <c r="AB3374">
        <v>8</v>
      </c>
      <c r="AC3374">
        <v>4.3098999999999696</v>
      </c>
      <c r="AD3374">
        <v>-1.1111116405069901</v>
      </c>
      <c r="AE3374">
        <v>-4.6311999999999696</v>
      </c>
      <c r="AF3374">
        <v>-2.5199608188709499</v>
      </c>
      <c r="AG3374">
        <v>-1.1111116405069901</v>
      </c>
      <c r="AH3374">
        <v>5.5958585022464398</v>
      </c>
      <c r="AI3374">
        <v>100.262163869161</v>
      </c>
      <c r="AJ3374">
        <v>114.24327848435099</v>
      </c>
      <c r="AK3374">
        <v>6.2368585027623302</v>
      </c>
      <c r="AL3374">
        <v>88.810081656377093</v>
      </c>
      <c r="AM3374">
        <v>94.383414253143997</v>
      </c>
      <c r="AN3374">
        <v>0.999999997460013</v>
      </c>
    </row>
    <row r="3375" spans="1:40" x14ac:dyDescent="0.25">
      <c r="A3375" t="str">
        <f>"20190312154318687"</f>
        <v>20190312154318687</v>
      </c>
      <c r="B3375" t="str">
        <f>"1552376598680923"</f>
        <v>1552376598680923</v>
      </c>
      <c r="C3375" t="s">
        <v>40</v>
      </c>
      <c r="D3375">
        <v>5.1361169999999996</v>
      </c>
      <c r="E3375">
        <v>0.39959080000000002</v>
      </c>
      <c r="F3375" t="s">
        <v>49</v>
      </c>
      <c r="G3375">
        <v>-484.87090000000001</v>
      </c>
      <c r="H3375" s="1">
        <v>4.5827119999999997E-6</v>
      </c>
      <c r="I3375">
        <v>227.36760000000001</v>
      </c>
      <c r="J3375">
        <v>-489.97190000000001</v>
      </c>
      <c r="K3375">
        <v>1.1110549999999999</v>
      </c>
      <c r="L3375">
        <v>233.7159</v>
      </c>
      <c r="M3375">
        <v>0.32245559999999901</v>
      </c>
      <c r="N3375">
        <v>0</v>
      </c>
      <c r="O3375">
        <v>-0.94650420000000002</v>
      </c>
      <c r="P3375">
        <v>0.39420440000000001</v>
      </c>
      <c r="Q3375">
        <v>7.9526559999999902E-3</v>
      </c>
      <c r="R3375">
        <v>-0.91898869999999999</v>
      </c>
      <c r="S3375">
        <v>1.9439090000000001</v>
      </c>
      <c r="T3375">
        <v>-0.4208691</v>
      </c>
      <c r="U3375">
        <v>-2.4365389999999998</v>
      </c>
      <c r="V3375">
        <v>-7.6809340000000004E-2</v>
      </c>
      <c r="W3375">
        <v>2.0201569999999999E-2</v>
      </c>
      <c r="X3375">
        <v>0.99684110000000004</v>
      </c>
      <c r="Y3375">
        <v>-0.33238220000000002</v>
      </c>
      <c r="Z3375">
        <v>0.13414679999999901</v>
      </c>
      <c r="AA3375">
        <v>0.93355600000000005</v>
      </c>
      <c r="AB3375">
        <v>8</v>
      </c>
      <c r="AC3375">
        <v>5.1009999999999902</v>
      </c>
      <c r="AD3375">
        <v>-1.11105041728799</v>
      </c>
      <c r="AE3375">
        <v>-6.3482999999999903</v>
      </c>
      <c r="AF3375">
        <v>-2.7304626575081898</v>
      </c>
      <c r="AG3375">
        <v>-1.11105041728799</v>
      </c>
      <c r="AH3375">
        <v>7.5142583930211</v>
      </c>
      <c r="AI3375">
        <v>97.911650187150201</v>
      </c>
      <c r="AJ3375">
        <v>109.96967057858301</v>
      </c>
      <c r="AK3375">
        <v>8.0717989662088705</v>
      </c>
      <c r="AL3375">
        <v>88.842456532436202</v>
      </c>
      <c r="AM3375">
        <v>94.406090836511297</v>
      </c>
      <c r="AN3375">
        <v>0.99999997839545496</v>
      </c>
    </row>
    <row r="3376" spans="1:40" x14ac:dyDescent="0.25">
      <c r="A3376" t="str">
        <f>"20190312154318710"</f>
        <v>20190312154318710</v>
      </c>
      <c r="B3376" t="str">
        <f>"1552376598700444"</f>
        <v>1552376598700444</v>
      </c>
      <c r="C3376" t="s">
        <v>40</v>
      </c>
      <c r="D3376">
        <v>5.1680539999999997</v>
      </c>
      <c r="E3376">
        <v>0.40044469999999999</v>
      </c>
      <c r="F3376" t="s">
        <v>49</v>
      </c>
      <c r="G3376">
        <v>-484.14109999999999</v>
      </c>
      <c r="H3376" s="1">
        <v>4.1695959999999997E-6</v>
      </c>
      <c r="I3376">
        <v>226.3143</v>
      </c>
      <c r="J3376">
        <v>-489.94439999999997</v>
      </c>
      <c r="K3376">
        <v>1.1110310000000001</v>
      </c>
      <c r="L3376">
        <v>233.64160000000001</v>
      </c>
      <c r="M3376">
        <v>0.32411430000000002</v>
      </c>
      <c r="N3376">
        <v>0</v>
      </c>
      <c r="O3376">
        <v>-0.94593870000000002</v>
      </c>
      <c r="P3376">
        <v>0.39590720000000001</v>
      </c>
      <c r="Q3376">
        <v>6.858744E-3</v>
      </c>
      <c r="R3376">
        <v>-0.918265</v>
      </c>
      <c r="S3376">
        <v>1.9240109999999999</v>
      </c>
      <c r="T3376">
        <v>-0.36661280000000002</v>
      </c>
      <c r="U3376">
        <v>-2.442307</v>
      </c>
      <c r="V3376">
        <v>-7.6906210000000003E-2</v>
      </c>
      <c r="W3376">
        <v>1.8991589999999999E-2</v>
      </c>
      <c r="X3376">
        <v>0.99685749999999995</v>
      </c>
      <c r="Y3376">
        <v>-0.32634940000000001</v>
      </c>
      <c r="Z3376">
        <v>0.11721819999999999</v>
      </c>
      <c r="AA3376">
        <v>0.93795309999999998</v>
      </c>
      <c r="AB3376">
        <v>8</v>
      </c>
      <c r="AC3376">
        <v>5.8032999999999699</v>
      </c>
      <c r="AD3376">
        <v>-1.1110268304040001</v>
      </c>
      <c r="AE3376">
        <v>-7.3273000000000001</v>
      </c>
      <c r="AF3376">
        <v>-3.0715205799519398</v>
      </c>
      <c r="AG3376">
        <v>-1.1110268304040001</v>
      </c>
      <c r="AH3376">
        <v>8.6899924005635594</v>
      </c>
      <c r="AI3376">
        <v>96.873446597165994</v>
      </c>
      <c r="AJ3376">
        <v>109.46620547886999</v>
      </c>
      <c r="AK3376">
        <v>9.2835654364472706</v>
      </c>
      <c r="AL3376">
        <v>88.911796690257702</v>
      </c>
      <c r="AM3376">
        <v>94.411553471646798</v>
      </c>
      <c r="AN3376">
        <v>1.00000006046676</v>
      </c>
    </row>
    <row r="3377" spans="1:40" x14ac:dyDescent="0.25">
      <c r="A3377" t="str">
        <f>"20190312154318730"</f>
        <v>20190312154318730</v>
      </c>
      <c r="B3377" t="str">
        <f>"1552376598720941"</f>
        <v>1552376598720941</v>
      </c>
      <c r="C3377" t="s">
        <v>40</v>
      </c>
      <c r="D3377">
        <v>5.1668010000000004</v>
      </c>
      <c r="E3377">
        <v>0.40102450000000001</v>
      </c>
      <c r="F3377" t="s">
        <v>49</v>
      </c>
      <c r="G3377">
        <v>-483.94310000000002</v>
      </c>
      <c r="H3377" s="1">
        <v>4.0607839999999997E-6</v>
      </c>
      <c r="I3377">
        <v>226.02070000000001</v>
      </c>
      <c r="J3377">
        <v>-489.91759999999999</v>
      </c>
      <c r="K3377">
        <v>1.1110260000000001</v>
      </c>
      <c r="L3377">
        <v>233.56950000000001</v>
      </c>
      <c r="M3377">
        <v>0.32571339999999999</v>
      </c>
      <c r="N3377">
        <v>0</v>
      </c>
      <c r="O3377">
        <v>-0.94538920000000004</v>
      </c>
      <c r="P3377">
        <v>0.39743630000000002</v>
      </c>
      <c r="Q3377">
        <v>6.1569229999999999E-3</v>
      </c>
      <c r="R3377">
        <v>-0.91760940000000002</v>
      </c>
      <c r="S3377">
        <v>1.9222109999999999</v>
      </c>
      <c r="T3377">
        <v>-0.35585709999999998</v>
      </c>
      <c r="U3377">
        <v>-2.4409329999999998</v>
      </c>
      <c r="V3377">
        <v>-7.6878199999999994E-2</v>
      </c>
      <c r="W3377">
        <v>1.831555E-2</v>
      </c>
      <c r="X3377">
        <v>0.99687219999999999</v>
      </c>
      <c r="Y3377">
        <v>-0.32483339999999999</v>
      </c>
      <c r="Z3377">
        <v>0.1138377</v>
      </c>
      <c r="AA3377">
        <v>0.93889520000000004</v>
      </c>
      <c r="AB3377">
        <v>8</v>
      </c>
      <c r="AC3377">
        <v>5.9744999999999697</v>
      </c>
      <c r="AD3377">
        <v>-1.1110219392159999</v>
      </c>
      <c r="AE3377">
        <v>-7.5488</v>
      </c>
      <c r="AF3377">
        <v>-3.14779701399388</v>
      </c>
      <c r="AG3377">
        <v>-1.1110219392159999</v>
      </c>
      <c r="AH3377">
        <v>8.9638231501902297</v>
      </c>
      <c r="AI3377">
        <v>96.670101646918198</v>
      </c>
      <c r="AJ3377">
        <v>109.349581082369</v>
      </c>
      <c r="AK3377">
        <v>9.5652036705244399</v>
      </c>
      <c r="AL3377">
        <v>88.950537552222997</v>
      </c>
      <c r="AM3377">
        <v>94.409888306443605</v>
      </c>
      <c r="AN3377">
        <v>0.99999995006994002</v>
      </c>
    </row>
    <row r="3378" spans="1:40" x14ac:dyDescent="0.25">
      <c r="A3378" t="str">
        <f>"20190312154318752"</f>
        <v>20190312154318752</v>
      </c>
      <c r="B3378" t="str">
        <f>"1552376598740458"</f>
        <v>1552376598740458</v>
      </c>
      <c r="C3378" t="s">
        <v>40</v>
      </c>
      <c r="D3378">
        <v>5.167224</v>
      </c>
      <c r="E3378">
        <v>0.40146769999999998</v>
      </c>
      <c r="F3378" t="s">
        <v>49</v>
      </c>
      <c r="G3378">
        <v>-483.8408</v>
      </c>
      <c r="H3378" s="1">
        <v>4.0019760000000002E-6</v>
      </c>
      <c r="I3378">
        <v>225.85730000000001</v>
      </c>
      <c r="J3378">
        <v>-489.89010000000002</v>
      </c>
      <c r="K3378">
        <v>1.1110150000000001</v>
      </c>
      <c r="L3378">
        <v>233.49600000000001</v>
      </c>
      <c r="M3378">
        <v>0.32735370000000003</v>
      </c>
      <c r="N3378">
        <v>0</v>
      </c>
      <c r="O3378">
        <v>-0.9448221</v>
      </c>
      <c r="P3378">
        <v>0.39855380000000001</v>
      </c>
      <c r="Q3378">
        <v>6.4243349999999998E-3</v>
      </c>
      <c r="R3378">
        <v>-0.91712269999999896</v>
      </c>
      <c r="S3378">
        <v>1.9220280000000001</v>
      </c>
      <c r="T3378">
        <v>-0.35140189999999999</v>
      </c>
      <c r="U3378">
        <v>-2.4392550000000002</v>
      </c>
      <c r="V3378">
        <v>-7.6362040000000006E-2</v>
      </c>
      <c r="W3378">
        <v>1.860589E-2</v>
      </c>
      <c r="X3378">
        <v>0.99690650000000003</v>
      </c>
      <c r="Y3378">
        <v>-0.32356590000000002</v>
      </c>
      <c r="Z3378">
        <v>0.11242240000000001</v>
      </c>
      <c r="AA3378">
        <v>0.93950319999999998</v>
      </c>
      <c r="AB3378">
        <v>8</v>
      </c>
      <c r="AC3378">
        <v>6.0493000000000103</v>
      </c>
      <c r="AD3378">
        <v>-1.1110109980239999</v>
      </c>
      <c r="AE3378">
        <v>-7.6386999999999698</v>
      </c>
      <c r="AF3378">
        <v>-3.17393428176899</v>
      </c>
      <c r="AG3378">
        <v>-1.1110109980239999</v>
      </c>
      <c r="AH3378">
        <v>9.0801178277549095</v>
      </c>
      <c r="AI3378">
        <v>96.5886632282444</v>
      </c>
      <c r="AJ3378">
        <v>109.266956094213</v>
      </c>
      <c r="AK3378">
        <v>9.68280661939664</v>
      </c>
      <c r="AL3378">
        <v>88.933899464629107</v>
      </c>
      <c r="AM3378">
        <v>94.380245826408995</v>
      </c>
      <c r="AN3378">
        <v>0.99999995501895</v>
      </c>
    </row>
    <row r="3379" spans="1:40" x14ac:dyDescent="0.25">
      <c r="A3379" t="str">
        <f>"20190312154318774"</f>
        <v>20190312154318774</v>
      </c>
      <c r="B3379" t="str">
        <f>"1552376598770714"</f>
        <v>1552376598770714</v>
      </c>
      <c r="C3379" t="s">
        <v>40</v>
      </c>
      <c r="D3379">
        <v>5.1150679999999999</v>
      </c>
      <c r="E3379">
        <v>0.40206720000000001</v>
      </c>
      <c r="F3379" t="s">
        <v>49</v>
      </c>
      <c r="G3379">
        <v>-483.71530000000001</v>
      </c>
      <c r="H3379" s="1">
        <v>3.9315340000000001E-6</v>
      </c>
      <c r="I3379">
        <v>225.66460000000001</v>
      </c>
      <c r="J3379">
        <v>-489.86239999999998</v>
      </c>
      <c r="K3379">
        <v>1.1109770000000001</v>
      </c>
      <c r="L3379">
        <v>233.42250000000001</v>
      </c>
      <c r="M3379">
        <v>0.32901530000000001</v>
      </c>
      <c r="N3379">
        <v>0</v>
      </c>
      <c r="O3379">
        <v>-0.94424509999999995</v>
      </c>
      <c r="P3379">
        <v>0.39963670000000001</v>
      </c>
      <c r="Q3379">
        <v>6.9074130000000003E-3</v>
      </c>
      <c r="R3379">
        <v>-0.91664749999999995</v>
      </c>
      <c r="S3379">
        <v>1.922363</v>
      </c>
      <c r="T3379">
        <v>-0.34588229999999998</v>
      </c>
      <c r="U3379">
        <v>-2.43811</v>
      </c>
      <c r="V3379">
        <v>-7.5785710000000006E-2</v>
      </c>
      <c r="W3379">
        <v>1.9054040000000001E-2</v>
      </c>
      <c r="X3379">
        <v>0.99694199999999999</v>
      </c>
      <c r="Y3379">
        <v>-0.32232420000000001</v>
      </c>
      <c r="Z3379">
        <v>0.1106433</v>
      </c>
      <c r="AA3379">
        <v>0.940141</v>
      </c>
      <c r="AB3379">
        <v>8</v>
      </c>
      <c r="AC3379">
        <v>6.14709999999996</v>
      </c>
      <c r="AD3379">
        <v>-1.110973068466</v>
      </c>
      <c r="AE3379">
        <v>-7.7579000000000002</v>
      </c>
      <c r="AF3379">
        <v>-3.21168419547655</v>
      </c>
      <c r="AG3379">
        <v>-1.110973068466</v>
      </c>
      <c r="AH3379">
        <v>9.23224186352153</v>
      </c>
      <c r="AI3379">
        <v>96.4841492599774</v>
      </c>
      <c r="AJ3379">
        <v>109.181608001852</v>
      </c>
      <c r="AK3379">
        <v>9.8378588298923102</v>
      </c>
      <c r="AL3379">
        <v>88.908217790822704</v>
      </c>
      <c r="AM3379">
        <v>94.347159642483803</v>
      </c>
      <c r="AN3379">
        <v>0.99999994082226096</v>
      </c>
    </row>
    <row r="3380" spans="1:40" x14ac:dyDescent="0.25">
      <c r="A3380" t="str">
        <f>"20190312154318797"</f>
        <v>20190312154318797</v>
      </c>
      <c r="B3380" t="str">
        <f>"1552376598791210"</f>
        <v>1552376598791210</v>
      </c>
      <c r="C3380" t="s">
        <v>40</v>
      </c>
      <c r="D3380">
        <v>5.1293150000000001</v>
      </c>
      <c r="E3380">
        <v>0.4023119</v>
      </c>
      <c r="F3380" t="s">
        <v>49</v>
      </c>
      <c r="G3380">
        <v>-483.46519999999998</v>
      </c>
      <c r="H3380" s="1">
        <v>3.7969220000000002E-6</v>
      </c>
      <c r="I3380">
        <v>225.3065</v>
      </c>
      <c r="J3380">
        <v>-489.83319999999998</v>
      </c>
      <c r="K3380">
        <v>1.1109249999999999</v>
      </c>
      <c r="L3380">
        <v>233.34540000000001</v>
      </c>
      <c r="M3380">
        <v>0.33075729999999998</v>
      </c>
      <c r="N3380">
        <v>0</v>
      </c>
      <c r="O3380">
        <v>-0.94363699999999995</v>
      </c>
      <c r="P3380">
        <v>0.40112049999999999</v>
      </c>
      <c r="Q3380">
        <v>6.1406150000000003E-3</v>
      </c>
      <c r="R3380">
        <v>-0.91600470000000001</v>
      </c>
      <c r="S3380">
        <v>1.921387</v>
      </c>
      <c r="T3380">
        <v>-0.33368049999999999</v>
      </c>
      <c r="U3380">
        <v>-2.4376220000000002</v>
      </c>
      <c r="V3380">
        <v>-7.5556289999999998E-2</v>
      </c>
      <c r="W3380">
        <v>1.8242600000000001E-2</v>
      </c>
      <c r="X3380">
        <v>0.99697460000000004</v>
      </c>
      <c r="Y3380">
        <v>-0.32071129999999998</v>
      </c>
      <c r="Z3380">
        <v>0.10675030000000001</v>
      </c>
      <c r="AA3380">
        <v>0.94114219999999904</v>
      </c>
      <c r="AB3380">
        <v>8</v>
      </c>
      <c r="AC3380">
        <v>6.3679999999999897</v>
      </c>
      <c r="AD3380">
        <v>-1.110921203078</v>
      </c>
      <c r="AE3380">
        <v>-8.0389000000000106</v>
      </c>
      <c r="AF3380">
        <v>-3.3115466004540801</v>
      </c>
      <c r="AG3380">
        <v>-1.110921203078</v>
      </c>
      <c r="AH3380">
        <v>9.5803694944076891</v>
      </c>
      <c r="AI3380">
        <v>96.254398383564606</v>
      </c>
      <c r="AJ3380">
        <v>109.06819954229999</v>
      </c>
      <c r="AK3380">
        <v>10.197252887704799</v>
      </c>
      <c r="AL3380">
        <v>88.954717977119202</v>
      </c>
      <c r="AM3380">
        <v>94.333908873933197</v>
      </c>
      <c r="AN3380">
        <v>0.99999994922923996</v>
      </c>
    </row>
    <row r="3381" spans="1:40" x14ac:dyDescent="0.25">
      <c r="A3381" t="str">
        <f>"20190312154318819"</f>
        <v>20190312154318819</v>
      </c>
      <c r="B3381" t="str">
        <f>"1552376598810730"</f>
        <v>1552376598810730</v>
      </c>
      <c r="C3381" t="s">
        <v>40</v>
      </c>
      <c r="D3381">
        <v>5.1226699999999896</v>
      </c>
      <c r="E3381">
        <v>0.40251819999999999</v>
      </c>
      <c r="F3381" t="s">
        <v>49</v>
      </c>
      <c r="G3381">
        <v>-483.40940000000001</v>
      </c>
      <c r="H3381" s="1">
        <v>3.7641300000000001E-6</v>
      </c>
      <c r="I3381">
        <v>225.21420000000001</v>
      </c>
      <c r="J3381">
        <v>-489.80489999999998</v>
      </c>
      <c r="K3381">
        <v>1.110914</v>
      </c>
      <c r="L3381">
        <v>233.27109999999999</v>
      </c>
      <c r="M3381">
        <v>0.3324338</v>
      </c>
      <c r="N3381">
        <v>0</v>
      </c>
      <c r="O3381">
        <v>-0.94304809999999994</v>
      </c>
      <c r="P3381">
        <v>0.40235729999999997</v>
      </c>
      <c r="Q3381">
        <v>5.3515610000000003E-3</v>
      </c>
      <c r="R3381">
        <v>-0.91546729999999998</v>
      </c>
      <c r="S3381">
        <v>1.923645</v>
      </c>
      <c r="T3381">
        <v>-0.33267140000000001</v>
      </c>
      <c r="U3381">
        <v>-2.4349370000000001</v>
      </c>
      <c r="V3381">
        <v>-7.512808E-2</v>
      </c>
      <c r="W3381">
        <v>1.7442119999999998E-2</v>
      </c>
      <c r="X3381">
        <v>0.9970213</v>
      </c>
      <c r="Y3381">
        <v>-0.32009379999999998</v>
      </c>
      <c r="Z3381">
        <v>0.10641</v>
      </c>
      <c r="AA3381">
        <v>0.94139090000000003</v>
      </c>
      <c r="AB3381">
        <v>8</v>
      </c>
      <c r="AC3381">
        <v>6.39549999999997</v>
      </c>
      <c r="AD3381">
        <v>-1.11091023587</v>
      </c>
      <c r="AE3381">
        <v>-8.0568999999999793</v>
      </c>
      <c r="AF3381">
        <v>-3.3144701475223202</v>
      </c>
      <c r="AG3381">
        <v>-1.11091023587</v>
      </c>
      <c r="AH3381">
        <v>9.6127322268021498</v>
      </c>
      <c r="AI3381">
        <v>96.235086991094803</v>
      </c>
      <c r="AJ3381">
        <v>109.024193823102</v>
      </c>
      <c r="AK3381">
        <v>10.228609620822199</v>
      </c>
      <c r="AL3381">
        <v>89.000589423488705</v>
      </c>
      <c r="AM3381">
        <v>94.309238447629198</v>
      </c>
      <c r="AN3381">
        <v>0.99999996430413396</v>
      </c>
    </row>
    <row r="3382" spans="1:40" x14ac:dyDescent="0.25">
      <c r="A3382" t="str">
        <f>"20190312154318842"</f>
        <v>20190312154318842</v>
      </c>
      <c r="B3382" t="str">
        <f>"1552376598831227"</f>
        <v>1552376598831227</v>
      </c>
      <c r="C3382" t="s">
        <v>40</v>
      </c>
      <c r="D3382">
        <v>5.1042680000000002</v>
      </c>
      <c r="E3382">
        <v>0.4027193</v>
      </c>
      <c r="F3382" t="s">
        <v>49</v>
      </c>
      <c r="G3382">
        <v>-483.35879999999997</v>
      </c>
      <c r="H3382" s="1">
        <v>3.7337060000000001E-6</v>
      </c>
      <c r="I3382">
        <v>225.12729999999999</v>
      </c>
      <c r="J3382">
        <v>-489.7747</v>
      </c>
      <c r="K3382">
        <v>1.1108899999999999</v>
      </c>
      <c r="L3382">
        <v>233.19239999999999</v>
      </c>
      <c r="M3382">
        <v>0.33424579999999998</v>
      </c>
      <c r="N3382">
        <v>0</v>
      </c>
      <c r="O3382">
        <v>-0.94241059999999999</v>
      </c>
      <c r="P3382">
        <v>0.4033408</v>
      </c>
      <c r="Q3382">
        <v>5.5924809999999998E-3</v>
      </c>
      <c r="R3382">
        <v>-0.91503310000000004</v>
      </c>
      <c r="S3382">
        <v>1.9255370000000001</v>
      </c>
      <c r="T3382">
        <v>-0.331845</v>
      </c>
      <c r="U3382">
        <v>-2.4326780000000001</v>
      </c>
      <c r="V3382">
        <v>-7.4285619999999997E-2</v>
      </c>
      <c r="W3382">
        <v>1.7436879999999998E-2</v>
      </c>
      <c r="X3382">
        <v>0.99708459999999999</v>
      </c>
      <c r="Y3382">
        <v>-0.31916949999999999</v>
      </c>
      <c r="Z3382">
        <v>0.10611470000000001</v>
      </c>
      <c r="AA3382">
        <v>0.94173799999999996</v>
      </c>
      <c r="AB3382">
        <v>8</v>
      </c>
      <c r="AC3382">
        <v>6.4159000000000201</v>
      </c>
      <c r="AD3382">
        <v>-1.110886266294</v>
      </c>
      <c r="AE3382">
        <v>-8.0650999999999993</v>
      </c>
      <c r="AF3382">
        <v>-3.3124365143250598</v>
      </c>
      <c r="AG3382">
        <v>-1.110886266294</v>
      </c>
      <c r="AH3382">
        <v>9.6338776338101599</v>
      </c>
      <c r="AI3382">
        <v>96.2232151712453</v>
      </c>
      <c r="AJ3382">
        <v>108.974615308794</v>
      </c>
      <c r="AK3382">
        <v>10.2478242676824</v>
      </c>
      <c r="AL3382">
        <v>89.000889783519099</v>
      </c>
      <c r="AM3382">
        <v>94.2608256198383</v>
      </c>
      <c r="AN3382">
        <v>1.00000004884003</v>
      </c>
    </row>
    <row r="3383" spans="1:40" x14ac:dyDescent="0.25">
      <c r="A3383" t="str">
        <f>"20190312154318865"</f>
        <v>20190312154318865</v>
      </c>
      <c r="B3383" t="str">
        <f>"1552376598860506"</f>
        <v>1552376598860506</v>
      </c>
      <c r="C3383" t="s">
        <v>40</v>
      </c>
      <c r="D3383">
        <v>5.0378980000000002</v>
      </c>
      <c r="E3383">
        <v>0.40260119999999999</v>
      </c>
      <c r="F3383" t="s">
        <v>49</v>
      </c>
      <c r="G3383">
        <v>-483.26089999999999</v>
      </c>
      <c r="H3383" s="1">
        <v>3.678477E-6</v>
      </c>
      <c r="I3383">
        <v>224.97569999999999</v>
      </c>
      <c r="J3383">
        <v>-489.745</v>
      </c>
      <c r="K3383">
        <v>1.110806</v>
      </c>
      <c r="L3383">
        <v>233.11519999999999</v>
      </c>
      <c r="M3383">
        <v>0.33609040000000001</v>
      </c>
      <c r="N3383">
        <v>0</v>
      </c>
      <c r="O3383">
        <v>-0.94176170000000003</v>
      </c>
      <c r="P3383">
        <v>0.4045125</v>
      </c>
      <c r="Q3383">
        <v>6.9361539999999999E-3</v>
      </c>
      <c r="R3383">
        <v>-0.91450629999999999</v>
      </c>
      <c r="S3383">
        <v>1.927216</v>
      </c>
      <c r="T3383">
        <v>-0.32867239999999998</v>
      </c>
      <c r="U3383">
        <v>-2.4310459999999998</v>
      </c>
      <c r="V3383">
        <v>-7.3619509999999999E-2</v>
      </c>
      <c r="W3383">
        <v>1.8158690000000002E-2</v>
      </c>
      <c r="X3383">
        <v>0.99712109999999998</v>
      </c>
      <c r="Y3383">
        <v>-0.31809569999999998</v>
      </c>
      <c r="Z3383">
        <v>0.105061</v>
      </c>
      <c r="AA3383">
        <v>0.94221929999999998</v>
      </c>
      <c r="AB3383">
        <v>8</v>
      </c>
      <c r="AC3383">
        <v>6.4841000000000104</v>
      </c>
      <c r="AD3383">
        <v>-1.1108023215230001</v>
      </c>
      <c r="AE3383">
        <v>-8.1394999999999893</v>
      </c>
      <c r="AF3383">
        <v>-3.3331087571520501</v>
      </c>
      <c r="AG3383">
        <v>-1.1108023215230001</v>
      </c>
      <c r="AH3383">
        <v>9.7344326611672507</v>
      </c>
      <c r="AI3383">
        <v>96.161645133354597</v>
      </c>
      <c r="AJ3383">
        <v>108.901409384795</v>
      </c>
      <c r="AK3383">
        <v>10.3490422271485</v>
      </c>
      <c r="AL3383">
        <v>88.959526545913107</v>
      </c>
      <c r="AM3383">
        <v>94.222604130104799</v>
      </c>
      <c r="AN3383">
        <v>1.00000002917018</v>
      </c>
    </row>
    <row r="3384" spans="1:40" x14ac:dyDescent="0.25">
      <c r="A3384" t="str">
        <f>"20190312154318887"</f>
        <v>20190312154318887</v>
      </c>
      <c r="B3384" t="str">
        <f>"1552376598881003"</f>
        <v>1552376598881003</v>
      </c>
      <c r="C3384" t="s">
        <v>40</v>
      </c>
      <c r="D3384">
        <v>5.0087630000000001</v>
      </c>
      <c r="E3384">
        <v>0.4025495</v>
      </c>
      <c r="F3384" t="s">
        <v>49</v>
      </c>
      <c r="G3384">
        <v>-483.05399999999997</v>
      </c>
      <c r="H3384" s="1">
        <v>3.57216E-6</v>
      </c>
      <c r="I3384">
        <v>224.70230000000001</v>
      </c>
      <c r="J3384">
        <v>-489.71339999999998</v>
      </c>
      <c r="K3384">
        <v>1.1107089999999999</v>
      </c>
      <c r="L3384">
        <v>233.03360000000001</v>
      </c>
      <c r="M3384">
        <v>0.33809499999999998</v>
      </c>
      <c r="N3384">
        <v>0</v>
      </c>
      <c r="O3384">
        <v>-0.94105320000000003</v>
      </c>
      <c r="P3384">
        <v>0.40555980000000003</v>
      </c>
      <c r="Q3384">
        <v>9.1916250000000001E-3</v>
      </c>
      <c r="R3384">
        <v>-0.91402240000000001</v>
      </c>
      <c r="S3384">
        <v>1.9314579999999999</v>
      </c>
      <c r="T3384">
        <v>-0.32064949999999998</v>
      </c>
      <c r="U3384">
        <v>-2.4284970000000001</v>
      </c>
      <c r="V3384">
        <v>-7.2652300000000003E-2</v>
      </c>
      <c r="W3384">
        <v>1.9598959999999999E-2</v>
      </c>
      <c r="X3384">
        <v>0.99716470000000001</v>
      </c>
      <c r="Y3384">
        <v>-0.31774750000000002</v>
      </c>
      <c r="Z3384">
        <v>0.1024542</v>
      </c>
      <c r="AA3384">
        <v>0.94262389999999996</v>
      </c>
      <c r="AB3384">
        <v>8</v>
      </c>
      <c r="AC3384">
        <v>6.6593999999999403</v>
      </c>
      <c r="AD3384">
        <v>-1.1107054278399999</v>
      </c>
      <c r="AE3384">
        <v>-8.3312999999999899</v>
      </c>
      <c r="AF3384">
        <v>-3.4132541729192898</v>
      </c>
      <c r="AG3384">
        <v>-1.1107054278399999</v>
      </c>
      <c r="AH3384">
        <v>9.9839919039832097</v>
      </c>
      <c r="AI3384">
        <v>96.009220473427405</v>
      </c>
      <c r="AJ3384">
        <v>108.874157237063</v>
      </c>
      <c r="AK3384">
        <v>10.6096213379736</v>
      </c>
      <c r="AL3384">
        <v>88.876990358581693</v>
      </c>
      <c r="AM3384">
        <v>94.167142905626704</v>
      </c>
      <c r="AN3384">
        <v>0.99999995742722902</v>
      </c>
    </row>
    <row r="3385" spans="1:40" x14ac:dyDescent="0.25">
      <c r="A3385" t="str">
        <f>"20190312154318911"</f>
        <v>20190312154318911</v>
      </c>
      <c r="B3385" t="str">
        <f>"1552376598900523"</f>
        <v>1552376598900523</v>
      </c>
      <c r="C3385" t="s">
        <v>40</v>
      </c>
      <c r="D3385">
        <v>5.0432009999999998</v>
      </c>
      <c r="E3385">
        <v>0.40238930000000001</v>
      </c>
      <c r="F3385" t="s">
        <v>49</v>
      </c>
      <c r="G3385">
        <v>-482.77760000000001</v>
      </c>
      <c r="H3385" s="1">
        <v>3.4047039999999999E-6</v>
      </c>
      <c r="I3385">
        <v>224.3349</v>
      </c>
      <c r="J3385">
        <v>-489.68130000000002</v>
      </c>
      <c r="K3385">
        <v>1.1106320000000001</v>
      </c>
      <c r="L3385">
        <v>232.95150000000001</v>
      </c>
      <c r="M3385">
        <v>0.34014369999999999</v>
      </c>
      <c r="N3385">
        <v>0</v>
      </c>
      <c r="O3385">
        <v>-0.94032340000000003</v>
      </c>
      <c r="P3385">
        <v>0.40678779999999998</v>
      </c>
      <c r="Q3385">
        <v>1.135457E-2</v>
      </c>
      <c r="R3385">
        <v>-0.91345240000000005</v>
      </c>
      <c r="S3385">
        <v>1.9349670000000001</v>
      </c>
      <c r="T3385">
        <v>-0.30987109999999901</v>
      </c>
      <c r="U3385">
        <v>-2.4268040000000002</v>
      </c>
      <c r="V3385">
        <v>-7.1836250000000004E-2</v>
      </c>
      <c r="W3385">
        <v>2.097388E-2</v>
      </c>
      <c r="X3385">
        <v>0.99719590000000002</v>
      </c>
      <c r="Y3385">
        <v>-0.31707049999999998</v>
      </c>
      <c r="Z3385">
        <v>9.8962419999999995E-2</v>
      </c>
      <c r="AA3385">
        <v>0.94322459999999997</v>
      </c>
      <c r="AB3385">
        <v>8</v>
      </c>
      <c r="AC3385">
        <v>6.9037000000000104</v>
      </c>
      <c r="AD3385">
        <v>-1.110628595296</v>
      </c>
      <c r="AE3385">
        <v>-8.6166</v>
      </c>
      <c r="AF3385">
        <v>-3.5253256542909401</v>
      </c>
      <c r="AG3385">
        <v>-1.110628595296</v>
      </c>
      <c r="AH3385">
        <v>10.3464438580812</v>
      </c>
      <c r="AI3385">
        <v>95.801786255393097</v>
      </c>
      <c r="AJ3385">
        <v>108.815426626101</v>
      </c>
      <c r="AK3385">
        <v>10.986824716628499</v>
      </c>
      <c r="AL3385">
        <v>88.798197080160193</v>
      </c>
      <c r="AM3385">
        <v>94.120370099539898</v>
      </c>
      <c r="AN3385">
        <v>1.00000000671656</v>
      </c>
    </row>
    <row r="3386" spans="1:40" x14ac:dyDescent="0.25">
      <c r="A3386" t="str">
        <f>"20190312154318931"</f>
        <v>20190312154318931</v>
      </c>
      <c r="B3386" t="str">
        <f>"1552376598921019"</f>
        <v>1552376598921019</v>
      </c>
      <c r="C3386" t="s">
        <v>40</v>
      </c>
      <c r="D3386">
        <v>5.0965129999999998</v>
      </c>
      <c r="E3386">
        <v>0.40218759999999998</v>
      </c>
      <c r="F3386" t="s">
        <v>49</v>
      </c>
      <c r="G3386">
        <v>-482.47820000000002</v>
      </c>
      <c r="H3386" s="1">
        <v>3.2182329999999998E-6</v>
      </c>
      <c r="I3386">
        <v>223.94739999999999</v>
      </c>
      <c r="J3386">
        <v>-489.65100000000001</v>
      </c>
      <c r="K3386">
        <v>1.110576</v>
      </c>
      <c r="L3386">
        <v>232.87450000000001</v>
      </c>
      <c r="M3386">
        <v>0.34207659999999901</v>
      </c>
      <c r="N3386">
        <v>0</v>
      </c>
      <c r="O3386">
        <v>-0.93962880000000004</v>
      </c>
      <c r="P3386">
        <v>0.4086226</v>
      </c>
      <c r="Q3386">
        <v>1.209377E-2</v>
      </c>
      <c r="R3386">
        <v>-0.91262350000000003</v>
      </c>
      <c r="S3386">
        <v>1.939392</v>
      </c>
      <c r="T3386">
        <v>-0.29903089999999999</v>
      </c>
      <c r="U3386">
        <v>-2.4243160000000001</v>
      </c>
      <c r="V3386">
        <v>-7.1797180000000002E-2</v>
      </c>
      <c r="W3386">
        <v>2.101917E-2</v>
      </c>
      <c r="X3386">
        <v>0.99719769999999996</v>
      </c>
      <c r="Y3386">
        <v>-0.31686890000000001</v>
      </c>
      <c r="Z3386">
        <v>9.5464640000000003E-2</v>
      </c>
      <c r="AA3386">
        <v>0.94365279999999996</v>
      </c>
      <c r="AB3386">
        <v>9</v>
      </c>
      <c r="AC3386">
        <v>7.1727999999999899</v>
      </c>
      <c r="AD3386">
        <v>-1.1105727817669999</v>
      </c>
      <c r="AE3386">
        <v>-8.9271000000000207</v>
      </c>
      <c r="AF3386">
        <v>-3.6518224928083098</v>
      </c>
      <c r="AG3386">
        <v>-1.1105727817669999</v>
      </c>
      <c r="AH3386">
        <v>10.741228544310299</v>
      </c>
      <c r="AI3386">
        <v>95.590908175295198</v>
      </c>
      <c r="AJ3386">
        <v>108.777099818444</v>
      </c>
      <c r="AK3386">
        <v>11.3992618209992</v>
      </c>
      <c r="AL3386">
        <v>88.795601509877201</v>
      </c>
      <c r="AM3386">
        <v>94.118129433983796</v>
      </c>
      <c r="AN3386">
        <v>0.99999994672436399</v>
      </c>
    </row>
    <row r="3387" spans="1:40" x14ac:dyDescent="0.25">
      <c r="A3387" t="str">
        <f>"20190312154318953"</f>
        <v>20190312154318953</v>
      </c>
      <c r="B3387" t="str">
        <f>"1552376598950298"</f>
        <v>1552376598950298</v>
      </c>
      <c r="C3387" t="s">
        <v>40</v>
      </c>
      <c r="D3387">
        <v>5.0358359999999998</v>
      </c>
      <c r="E3387">
        <v>0.40237650000000003</v>
      </c>
      <c r="F3387" t="s">
        <v>49</v>
      </c>
      <c r="G3387">
        <v>-482.34899999999999</v>
      </c>
      <c r="H3387" s="1">
        <v>3.142778E-6</v>
      </c>
      <c r="I3387">
        <v>223.7962</v>
      </c>
      <c r="J3387">
        <v>-489.6189</v>
      </c>
      <c r="K3387">
        <v>1.1105130000000001</v>
      </c>
      <c r="L3387">
        <v>232.79349999999999</v>
      </c>
      <c r="M3387">
        <v>0.34411079999999999</v>
      </c>
      <c r="N3387">
        <v>0</v>
      </c>
      <c r="O3387">
        <v>-0.93889219999999896</v>
      </c>
      <c r="P3387">
        <v>0.41095419999999999</v>
      </c>
      <c r="Q3387">
        <v>1.203482E-2</v>
      </c>
      <c r="R3387">
        <v>-0.91157670000000002</v>
      </c>
      <c r="S3387">
        <v>1.946259</v>
      </c>
      <c r="T3387">
        <v>-0.29601</v>
      </c>
      <c r="U3387">
        <v>-2.4196930000000001</v>
      </c>
      <c r="V3387">
        <v>-7.2189199999999995E-2</v>
      </c>
      <c r="W3387">
        <v>2.0254009999999999E-2</v>
      </c>
      <c r="X3387">
        <v>0.99718530000000005</v>
      </c>
      <c r="Y3387">
        <v>-0.31738729999999998</v>
      </c>
      <c r="Z3387">
        <v>9.4457810000000003E-2</v>
      </c>
      <c r="AA3387">
        <v>0.94357990000000003</v>
      </c>
      <c r="AB3387">
        <v>9</v>
      </c>
      <c r="AC3387">
        <v>7.2698999999999998</v>
      </c>
      <c r="AD3387">
        <v>-1.11050985722199</v>
      </c>
      <c r="AE3387">
        <v>-8.9972999999999903</v>
      </c>
      <c r="AF3387">
        <v>-3.69565131928701</v>
      </c>
      <c r="AG3387">
        <v>-1.11050985722199</v>
      </c>
      <c r="AH3387">
        <v>10.8495269654575</v>
      </c>
      <c r="AI3387">
        <v>95.534053451530795</v>
      </c>
      <c r="AJ3387">
        <v>108.810273921389</v>
      </c>
      <c r="AK3387">
        <v>11.5153508930872</v>
      </c>
      <c r="AL3387">
        <v>88.839451368177805</v>
      </c>
      <c r="AM3387">
        <v>94.140588161545494</v>
      </c>
      <c r="AN3387">
        <v>1.0000000140269001</v>
      </c>
    </row>
    <row r="3388" spans="1:40" x14ac:dyDescent="0.25">
      <c r="A3388" t="str">
        <f>"20190312154318975"</f>
        <v>20190312154318975</v>
      </c>
      <c r="B3388" t="str">
        <f>"1552376598970795"</f>
        <v>1552376598970795</v>
      </c>
      <c r="C3388" t="s">
        <v>40</v>
      </c>
      <c r="D3388">
        <v>5.1440729999999997</v>
      </c>
      <c r="E3388">
        <v>0.4448318</v>
      </c>
      <c r="F3388" t="s">
        <v>49</v>
      </c>
      <c r="G3388">
        <v>-482.28480000000002</v>
      </c>
      <c r="H3388" s="1">
        <v>3.104061E-6</v>
      </c>
      <c r="I3388">
        <v>223.71719999999999</v>
      </c>
      <c r="J3388">
        <v>-489.58510000000001</v>
      </c>
      <c r="K3388">
        <v>1.1104499999999999</v>
      </c>
      <c r="L3388">
        <v>232.709</v>
      </c>
      <c r="M3388">
        <v>0.34624490000000002</v>
      </c>
      <c r="N3388">
        <v>0</v>
      </c>
      <c r="O3388">
        <v>-0.93811330000000004</v>
      </c>
      <c r="P3388">
        <v>0.41403489999999998</v>
      </c>
      <c r="Q3388">
        <v>1.232432E-2</v>
      </c>
      <c r="R3388">
        <v>-0.91017789999999998</v>
      </c>
      <c r="S3388">
        <v>1.951508</v>
      </c>
      <c r="T3388">
        <v>-0.29549429999999999</v>
      </c>
      <c r="U3388">
        <v>-2.4151150000000001</v>
      </c>
      <c r="V3388">
        <v>-7.3299100000000006E-2</v>
      </c>
      <c r="W3388">
        <v>1.982399E-2</v>
      </c>
      <c r="X3388">
        <v>0.99711289999999997</v>
      </c>
      <c r="Y3388">
        <v>-0.31736019999999998</v>
      </c>
      <c r="Z3388">
        <v>9.4261209999999998E-2</v>
      </c>
      <c r="AA3388">
        <v>0.94360869999999997</v>
      </c>
      <c r="AB3388">
        <v>9</v>
      </c>
      <c r="AC3388">
        <v>7.3002999999999902</v>
      </c>
      <c r="AD3388">
        <v>-1.1104468959389999</v>
      </c>
      <c r="AE3388">
        <v>-8.9918000000000102</v>
      </c>
      <c r="AF3388">
        <v>-3.7012296767823698</v>
      </c>
      <c r="AG3388">
        <v>-1.1104468959389999</v>
      </c>
      <c r="AH3388">
        <v>10.8634779753956</v>
      </c>
      <c r="AI3388">
        <v>95.526551658057897</v>
      </c>
      <c r="AJ3388">
        <v>108.814178576911</v>
      </c>
      <c r="AK3388">
        <v>11.5302795781759</v>
      </c>
      <c r="AL3388">
        <v>88.864094565687694</v>
      </c>
      <c r="AM3388">
        <v>94.204326823345198</v>
      </c>
      <c r="AN3388">
        <v>0.99999994199336795</v>
      </c>
    </row>
    <row r="3389" spans="1:40" x14ac:dyDescent="0.25">
      <c r="A3389" t="str">
        <f>"20190312154318998"</f>
        <v>20190312154318998</v>
      </c>
      <c r="B3389" t="str">
        <f>"1552376598990886"</f>
        <v>1552376598990886</v>
      </c>
      <c r="C3389" t="s">
        <v>40</v>
      </c>
      <c r="D3389">
        <v>5.0011939999999999</v>
      </c>
      <c r="E3389">
        <v>0.45522479999999999</v>
      </c>
      <c r="F3389" t="s">
        <v>49</v>
      </c>
      <c r="G3389">
        <v>-484.4239</v>
      </c>
      <c r="H3389" s="1">
        <v>3.8872959999999999E-6</v>
      </c>
      <c r="I3389">
        <v>224.75380000000001</v>
      </c>
      <c r="J3389">
        <v>-489.54899999999998</v>
      </c>
      <c r="K3389">
        <v>1.1104050000000001</v>
      </c>
      <c r="L3389">
        <v>232.6191</v>
      </c>
      <c r="M3389">
        <v>0.34853030000000002</v>
      </c>
      <c r="N3389">
        <v>0</v>
      </c>
      <c r="O3389">
        <v>-0.93727240000000001</v>
      </c>
      <c r="P3389">
        <v>0.41692820000000003</v>
      </c>
      <c r="Q3389">
        <v>1.290501E-2</v>
      </c>
      <c r="R3389">
        <v>-0.90884799999999999</v>
      </c>
      <c r="S3389">
        <v>1.653564</v>
      </c>
      <c r="T3389">
        <v>-0.35576570000000002</v>
      </c>
      <c r="U3389">
        <v>-2.5486759999999999</v>
      </c>
      <c r="V3389">
        <v>-7.4046719999999996E-2</v>
      </c>
      <c r="W3389">
        <v>1.967905E-2</v>
      </c>
      <c r="X3389">
        <v>0.99706059999999996</v>
      </c>
      <c r="Y3389">
        <v>-0.2140348</v>
      </c>
      <c r="Z3389">
        <v>0.1134656</v>
      </c>
      <c r="AA3389">
        <v>0.97021369999999896</v>
      </c>
      <c r="AB3389">
        <v>9</v>
      </c>
      <c r="AC3389">
        <v>5.12510000000003</v>
      </c>
      <c r="AD3389">
        <v>-1.1104011127040001</v>
      </c>
      <c r="AE3389">
        <v>-7.8652999999999897</v>
      </c>
      <c r="AF3389">
        <v>-2.03391219433504</v>
      </c>
      <c r="AG3389">
        <v>-1.1104011127040001</v>
      </c>
      <c r="AH3389">
        <v>9.0320327882377391</v>
      </c>
      <c r="AI3389">
        <v>96.839211463821698</v>
      </c>
      <c r="AJ3389">
        <v>102.690676672568</v>
      </c>
      <c r="AK3389">
        <v>9.3245592782265394</v>
      </c>
      <c r="AL3389">
        <v>88.872400714532901</v>
      </c>
      <c r="AM3389">
        <v>94.247275030900497</v>
      </c>
      <c r="AN3389">
        <v>1.00000001091201</v>
      </c>
    </row>
    <row r="3390" spans="1:40" x14ac:dyDescent="0.25">
      <c r="A3390" t="str">
        <f>"20190312154319022"</f>
        <v>20190312154319022</v>
      </c>
      <c r="B3390" t="str">
        <f>"1552376599010406"</f>
        <v>1552376599010406</v>
      </c>
      <c r="C3390" t="s">
        <v>40</v>
      </c>
      <c r="D3390">
        <v>5.0448440000000003</v>
      </c>
      <c r="E3390">
        <v>0.51062359999999996</v>
      </c>
      <c r="F3390" t="s">
        <v>49</v>
      </c>
      <c r="G3390">
        <v>-484.89830000000001</v>
      </c>
      <c r="H3390" s="1">
        <v>4.0612449999999999E-6</v>
      </c>
      <c r="I3390">
        <v>225.06479999999999</v>
      </c>
      <c r="J3390">
        <v>-489.51249999999999</v>
      </c>
      <c r="K3390">
        <v>1.110376</v>
      </c>
      <c r="L3390">
        <v>232.529</v>
      </c>
      <c r="M3390">
        <v>0.350850299999999</v>
      </c>
      <c r="N3390">
        <v>0</v>
      </c>
      <c r="O3390">
        <v>-0.93641090000000005</v>
      </c>
      <c r="P3390">
        <v>0.41901280000000002</v>
      </c>
      <c r="Q3390">
        <v>1.410498E-2</v>
      </c>
      <c r="R3390">
        <v>-0.90787099999999998</v>
      </c>
      <c r="S3390">
        <v>1.587189</v>
      </c>
      <c r="T3390">
        <v>-0.37895980000000001</v>
      </c>
      <c r="U3390">
        <v>-2.5781559999999999</v>
      </c>
      <c r="V3390">
        <v>-7.3876689999999995E-2</v>
      </c>
      <c r="W3390">
        <v>2.0206809999999999E-2</v>
      </c>
      <c r="X3390">
        <v>0.99706260000000002</v>
      </c>
      <c r="Y3390">
        <v>-0.18808849999999999</v>
      </c>
      <c r="Z3390">
        <v>0.120515</v>
      </c>
      <c r="AA3390">
        <v>0.97473010000000004</v>
      </c>
      <c r="AB3390">
        <v>9</v>
      </c>
      <c r="AC3390">
        <v>4.6141999999999799</v>
      </c>
      <c r="AD3390">
        <v>-1.110371938755</v>
      </c>
      <c r="AE3390">
        <v>-7.4642000000000301</v>
      </c>
      <c r="AF3390">
        <v>-1.6751820238785</v>
      </c>
      <c r="AG3390">
        <v>-1.110371938755</v>
      </c>
      <c r="AH3390">
        <v>8.47295806286062</v>
      </c>
      <c r="AI3390">
        <v>97.325782454562102</v>
      </c>
      <c r="AJ3390">
        <v>101.183673798651</v>
      </c>
      <c r="AK3390">
        <v>8.7080525371919393</v>
      </c>
      <c r="AL3390">
        <v>88.842156213469593</v>
      </c>
      <c r="AM3390">
        <v>94.237549310840095</v>
      </c>
      <c r="AN3390">
        <v>0.99999995440724498</v>
      </c>
    </row>
    <row r="3391" spans="1:40" x14ac:dyDescent="0.25">
      <c r="A3391" t="str">
        <f>"20190312154319043"</f>
        <v>20190312154319043</v>
      </c>
      <c r="B3391" t="str">
        <f>"1552376599040661"</f>
        <v>1552376599040661</v>
      </c>
      <c r="C3391" t="s">
        <v>40</v>
      </c>
      <c r="D3391">
        <v>5.0789470000000003</v>
      </c>
      <c r="E3391">
        <v>0.57613219999999898</v>
      </c>
      <c r="F3391" t="s">
        <v>41</v>
      </c>
      <c r="G3391">
        <v>-489.226</v>
      </c>
      <c r="H3391">
        <v>0.9571153</v>
      </c>
      <c r="I3391">
        <v>231.87029999999999</v>
      </c>
      <c r="J3391">
        <v>-489.47629999999998</v>
      </c>
      <c r="K3391">
        <v>1.110374</v>
      </c>
      <c r="L3391">
        <v>232.44030000000001</v>
      </c>
      <c r="M3391">
        <v>0.35317389999999999</v>
      </c>
      <c r="N3391">
        <v>0</v>
      </c>
      <c r="O3391">
        <v>-0.93554090000000001</v>
      </c>
      <c r="P3391">
        <v>0.4203577</v>
      </c>
      <c r="Q3391">
        <v>1.547016E-2</v>
      </c>
      <c r="R3391">
        <v>-0.9072268</v>
      </c>
      <c r="S3391">
        <v>1.200806</v>
      </c>
      <c r="T3391">
        <v>-0.64249469999999997</v>
      </c>
      <c r="U3391">
        <v>-2.7602389999999999</v>
      </c>
      <c r="V3391">
        <v>-7.2891839999999999E-2</v>
      </c>
      <c r="W3391">
        <v>2.0961480000000001E-2</v>
      </c>
      <c r="X3391">
        <v>0.99711950000000005</v>
      </c>
      <c r="Y3391">
        <v>-4.0983169999999999E-2</v>
      </c>
      <c r="Z3391">
        <v>0.1970903</v>
      </c>
      <c r="AA3391">
        <v>0.97952839999999997</v>
      </c>
      <c r="AB3391">
        <v>10</v>
      </c>
      <c r="AC3391">
        <v>0.25029999999998098</v>
      </c>
      <c r="AD3391">
        <v>-0.153258699999999</v>
      </c>
      <c r="AE3391">
        <v>-0.57000000000002105</v>
      </c>
      <c r="AF3391">
        <v>-3.0979695596890199E-2</v>
      </c>
      <c r="AG3391">
        <v>-0.153258699999999</v>
      </c>
      <c r="AH3391">
        <v>0.58614315754508495</v>
      </c>
      <c r="AI3391">
        <v>104.633519201014</v>
      </c>
      <c r="AJ3391">
        <v>93.025465248173802</v>
      </c>
      <c r="AK3391">
        <v>0.60663973806690896</v>
      </c>
      <c r="AL3391">
        <v>88.798907636675807</v>
      </c>
      <c r="AM3391">
        <v>94.181022492253106</v>
      </c>
      <c r="AN3391">
        <v>0.99999995063131097</v>
      </c>
    </row>
    <row r="3392" spans="1:40" x14ac:dyDescent="0.25">
      <c r="A3392" t="str">
        <f>"20190312154319065"</f>
        <v>20190312154319065</v>
      </c>
      <c r="B3392" t="str">
        <f>"1552376599061156"</f>
        <v>1552376599061156</v>
      </c>
      <c r="C3392" t="s">
        <v>40</v>
      </c>
      <c r="D3392">
        <v>4.9054129999999896</v>
      </c>
      <c r="E3392">
        <v>0.57946409999999904</v>
      </c>
      <c r="F3392" t="s">
        <v>41</v>
      </c>
      <c r="G3392">
        <v>-489.31470000000002</v>
      </c>
      <c r="H3392">
        <v>0.85286919999999899</v>
      </c>
      <c r="I3392">
        <v>231.79509999999999</v>
      </c>
      <c r="J3392">
        <v>-489.43950000000001</v>
      </c>
      <c r="K3392">
        <v>1.1103809999999901</v>
      </c>
      <c r="L3392">
        <v>232.35079999999999</v>
      </c>
      <c r="M3392">
        <v>0.3555664</v>
      </c>
      <c r="N3392">
        <v>0</v>
      </c>
      <c r="O3392">
        <v>-0.93463739999999995</v>
      </c>
      <c r="P3392">
        <v>0.42117979999999999</v>
      </c>
      <c r="Q3392">
        <v>1.6212730000000002E-2</v>
      </c>
      <c r="R3392">
        <v>-0.90683259999999999</v>
      </c>
      <c r="S3392">
        <v>0.74829100000000004</v>
      </c>
      <c r="T3392">
        <v>-1.1905870000000001</v>
      </c>
      <c r="U3392">
        <v>-2.9803310000000001</v>
      </c>
      <c r="V3392">
        <v>-7.1253049999999998E-2</v>
      </c>
      <c r="W3392">
        <v>2.1125950000000001E-2</v>
      </c>
      <c r="X3392">
        <v>0.99723450000000002</v>
      </c>
      <c r="Y3392">
        <v>0.1318648</v>
      </c>
      <c r="Z3392">
        <v>0.33038190000000001</v>
      </c>
      <c r="AA3392">
        <v>0.93459060000000005</v>
      </c>
      <c r="AB3392">
        <v>10</v>
      </c>
      <c r="AC3392">
        <v>0.124799999999993</v>
      </c>
      <c r="AD3392">
        <v>-0.25751180000000001</v>
      </c>
      <c r="AE3392">
        <v>-0.55570000000000097</v>
      </c>
      <c r="AF3392">
        <v>6.7207365427966001E-2</v>
      </c>
      <c r="AG3392">
        <v>-0.25751180000000001</v>
      </c>
      <c r="AH3392">
        <v>0.468072129911552</v>
      </c>
      <c r="AI3392">
        <v>118.57135304094599</v>
      </c>
      <c r="AJ3392">
        <v>81.829125248979906</v>
      </c>
      <c r="AK3392">
        <v>0.53844282510490005</v>
      </c>
      <c r="AL3392">
        <v>88.789482142162797</v>
      </c>
      <c r="AM3392">
        <v>94.086875181106294</v>
      </c>
      <c r="AN3392">
        <v>0.99999997544397701</v>
      </c>
    </row>
    <row r="3393" spans="1:40" x14ac:dyDescent="0.25">
      <c r="A3393" t="str">
        <f>"20190312154319089"</f>
        <v>20190312154319089</v>
      </c>
      <c r="B3393" t="str">
        <f>"1552376599080677"</f>
        <v>1552376599080677</v>
      </c>
      <c r="C3393" t="s">
        <v>40</v>
      </c>
      <c r="D3393">
        <v>4.8960359999999996</v>
      </c>
      <c r="E3393">
        <v>0.58107500000000001</v>
      </c>
      <c r="F3393" t="s">
        <v>41</v>
      </c>
      <c r="G3393">
        <v>-489.28379999999999</v>
      </c>
      <c r="H3393">
        <v>0.8565412</v>
      </c>
      <c r="I3393">
        <v>231.70949999999999</v>
      </c>
      <c r="J3393">
        <v>-489.399</v>
      </c>
      <c r="K3393">
        <v>1.110393</v>
      </c>
      <c r="L3393">
        <v>232.25309999999999</v>
      </c>
      <c r="M3393">
        <v>0.35824139999999999</v>
      </c>
      <c r="N3393">
        <v>0</v>
      </c>
      <c r="O3393">
        <v>-0.93361819999999895</v>
      </c>
      <c r="P3393">
        <v>0.4214601</v>
      </c>
      <c r="Q3393">
        <v>1.641542E-2</v>
      </c>
      <c r="R3393">
        <v>-0.90669849999999996</v>
      </c>
      <c r="S3393">
        <v>0.72766109999999995</v>
      </c>
      <c r="T3393">
        <v>-1.1846209999999999</v>
      </c>
      <c r="U3393">
        <v>-2.991425</v>
      </c>
      <c r="V3393">
        <v>-6.8710309999999997E-2</v>
      </c>
      <c r="W3393">
        <v>2.0731220000000002E-2</v>
      </c>
      <c r="X3393">
        <v>0.99742120000000001</v>
      </c>
      <c r="Y3393">
        <v>0.1413247</v>
      </c>
      <c r="Z3393">
        <v>0.32733679999999998</v>
      </c>
      <c r="AA3393">
        <v>0.93427939999999998</v>
      </c>
      <c r="AB3393">
        <v>10</v>
      </c>
      <c r="AC3393">
        <v>0.115200000000015</v>
      </c>
      <c r="AD3393">
        <v>-0.25385180000000002</v>
      </c>
      <c r="AE3393">
        <v>-0.54359999999999697</v>
      </c>
      <c r="AF3393">
        <v>7.2133765549988904E-2</v>
      </c>
      <c r="AG3393">
        <v>-0.25385180000000002</v>
      </c>
      <c r="AH3393">
        <v>0.45403306375784702</v>
      </c>
      <c r="AI3393">
        <v>118.906555027796</v>
      </c>
      <c r="AJ3393">
        <v>80.972673678848295</v>
      </c>
      <c r="AK3393">
        <v>0.52515715693590004</v>
      </c>
      <c r="AL3393">
        <v>88.812103454353505</v>
      </c>
      <c r="AM3393">
        <v>93.940763439341893</v>
      </c>
      <c r="AN3393">
        <v>0.99999997019621101</v>
      </c>
    </row>
    <row r="3394" spans="1:40" x14ac:dyDescent="0.25">
      <c r="A3394" t="str">
        <f>"20190312154319112"</f>
        <v>20190312154319112</v>
      </c>
      <c r="B3394" t="str">
        <f>"1552376599100196"</f>
        <v>1552376599100196</v>
      </c>
      <c r="C3394" t="s">
        <v>40</v>
      </c>
      <c r="D3394">
        <v>4.9097770000000001</v>
      </c>
      <c r="E3394">
        <v>0.58167489999999999</v>
      </c>
      <c r="F3394" t="s">
        <v>41</v>
      </c>
      <c r="G3394">
        <v>-489.22930000000002</v>
      </c>
      <c r="H3394">
        <v>0.83012389999999903</v>
      </c>
      <c r="I3394">
        <v>231.5438</v>
      </c>
      <c r="J3394">
        <v>-489.3562</v>
      </c>
      <c r="K3394">
        <v>1.1104069999999999</v>
      </c>
      <c r="L3394">
        <v>232.15119999999999</v>
      </c>
      <c r="M3394">
        <v>0.36110530000000002</v>
      </c>
      <c r="N3394">
        <v>0</v>
      </c>
      <c r="O3394">
        <v>-0.93251709999999999</v>
      </c>
      <c r="P3394">
        <v>0.42189490000000002</v>
      </c>
      <c r="Q3394">
        <v>1.6989319999999999E-2</v>
      </c>
      <c r="R3394">
        <v>-0.90648569999999995</v>
      </c>
      <c r="S3394">
        <v>0.71694950000000002</v>
      </c>
      <c r="T3394">
        <v>-1.184267</v>
      </c>
      <c r="U3394">
        <v>-2.9968409999999999</v>
      </c>
      <c r="V3394">
        <v>-6.6135630000000001E-2</v>
      </c>
      <c r="W3394">
        <v>2.0722640000000001E-2</v>
      </c>
      <c r="X3394">
        <v>0.99759540000000002</v>
      </c>
      <c r="Y3394">
        <v>0.147806299999999</v>
      </c>
      <c r="Z3394">
        <v>0.3261057</v>
      </c>
      <c r="AA3394">
        <v>0.93370679999999995</v>
      </c>
      <c r="AB3394">
        <v>10</v>
      </c>
      <c r="AC3394">
        <v>0.126899999999977</v>
      </c>
      <c r="AD3394">
        <v>-0.28028309999999901</v>
      </c>
      <c r="AE3394">
        <v>-0.60739999999998395</v>
      </c>
      <c r="AF3394">
        <v>8.3884831592678996E-2</v>
      </c>
      <c r="AG3394">
        <v>-0.28028309999999901</v>
      </c>
      <c r="AH3394">
        <v>0.50849288883369503</v>
      </c>
      <c r="AI3394">
        <v>118.539689655763</v>
      </c>
      <c r="AJ3394">
        <v>80.632424277986104</v>
      </c>
      <c r="AK3394">
        <v>0.58665176988685397</v>
      </c>
      <c r="AL3394">
        <v>88.812595152486097</v>
      </c>
      <c r="AM3394">
        <v>93.792876062629006</v>
      </c>
      <c r="AN3394">
        <v>0.99999996573261196</v>
      </c>
    </row>
    <row r="3395" spans="1:40" x14ac:dyDescent="0.25">
      <c r="A3395" t="str">
        <f>"20190312154319134"</f>
        <v>20190312154319134</v>
      </c>
      <c r="B3395" t="str">
        <f>"1552376599130453"</f>
        <v>1552376599130453</v>
      </c>
      <c r="C3395" t="s">
        <v>40</v>
      </c>
      <c r="D3395">
        <v>4.9321020000000004</v>
      </c>
      <c r="E3395">
        <v>0.58228279999999999</v>
      </c>
      <c r="F3395" t="s">
        <v>41</v>
      </c>
      <c r="G3395">
        <v>-489.19080000000002</v>
      </c>
      <c r="H3395">
        <v>0.83689080000000005</v>
      </c>
      <c r="I3395">
        <v>231.45410000000001</v>
      </c>
      <c r="J3395">
        <v>-489.31560000000002</v>
      </c>
      <c r="K3395">
        <v>1.110414</v>
      </c>
      <c r="L3395">
        <v>232.05539999999999</v>
      </c>
      <c r="M3395">
        <v>0.36383850000000001</v>
      </c>
      <c r="N3395">
        <v>0</v>
      </c>
      <c r="O3395">
        <v>-0.9314559</v>
      </c>
      <c r="P3395">
        <v>0.42248609999999998</v>
      </c>
      <c r="Q3395">
        <v>1.7373929999999999E-2</v>
      </c>
      <c r="R3395">
        <v>-0.90620290000000003</v>
      </c>
      <c r="S3395">
        <v>0.7141113</v>
      </c>
      <c r="T3395">
        <v>-1.1784190000000001</v>
      </c>
      <c r="U3395">
        <v>-2.9991910000000002</v>
      </c>
      <c r="V3395">
        <v>-6.3866119999999998E-2</v>
      </c>
      <c r="W3395">
        <v>2.059774E-2</v>
      </c>
      <c r="X3395">
        <v>0.99774589999999996</v>
      </c>
      <c r="Y3395">
        <v>0.15152760000000001</v>
      </c>
      <c r="Z3395">
        <v>0.32385360000000002</v>
      </c>
      <c r="AA3395">
        <v>0.93389409999999895</v>
      </c>
      <c r="AB3395">
        <v>11</v>
      </c>
      <c r="AC3395">
        <v>0.124799999999993</v>
      </c>
      <c r="AD3395">
        <v>-0.27352319999999902</v>
      </c>
      <c r="AE3395">
        <v>-0.60129999999997996</v>
      </c>
      <c r="AF3395">
        <v>8.55582605916409E-2</v>
      </c>
      <c r="AG3395">
        <v>-0.27352319999999902</v>
      </c>
      <c r="AH3395">
        <v>0.50526283700631802</v>
      </c>
      <c r="AI3395">
        <v>118.091071816021</v>
      </c>
      <c r="AJ3395">
        <v>80.389036741922595</v>
      </c>
      <c r="AK3395">
        <v>0.58088354371025197</v>
      </c>
      <c r="AL3395">
        <v>88.819752981034696</v>
      </c>
      <c r="AM3395">
        <v>93.662529354626898</v>
      </c>
      <c r="AN3395">
        <v>1.0000000145718799</v>
      </c>
    </row>
    <row r="3396" spans="1:40" x14ac:dyDescent="0.25">
      <c r="A3396" t="str">
        <f>"20190312154319154"</f>
        <v>20190312154319154</v>
      </c>
      <c r="B3396" t="str">
        <f>"1552376599150949"</f>
        <v>1552376599150949</v>
      </c>
      <c r="C3396" t="s">
        <v>40</v>
      </c>
      <c r="D3396">
        <v>4.8775599999999999</v>
      </c>
      <c r="E3396">
        <v>0.58234830000000004</v>
      </c>
      <c r="F3396" t="s">
        <v>41</v>
      </c>
      <c r="G3396">
        <v>-489.15179999999998</v>
      </c>
      <c r="H3396">
        <v>0.84017609999999998</v>
      </c>
      <c r="I3396">
        <v>231.364</v>
      </c>
      <c r="J3396">
        <v>-489.27679999999998</v>
      </c>
      <c r="K3396">
        <v>1.1104240000000001</v>
      </c>
      <c r="L3396">
        <v>231.96469999999999</v>
      </c>
      <c r="M3396">
        <v>0.36646000000000001</v>
      </c>
      <c r="N3396">
        <v>0</v>
      </c>
      <c r="O3396">
        <v>-0.93042930000000001</v>
      </c>
      <c r="P3396">
        <v>0.42358200000000001</v>
      </c>
      <c r="Q3396">
        <v>1.775877E-2</v>
      </c>
      <c r="R3396">
        <v>-0.90568360000000003</v>
      </c>
      <c r="S3396">
        <v>0.71148679999999997</v>
      </c>
      <c r="T3396">
        <v>-1.173338</v>
      </c>
      <c r="U3396">
        <v>-3.0012819999999998</v>
      </c>
      <c r="V3396">
        <v>-6.2269459999999999E-2</v>
      </c>
      <c r="W3396">
        <v>2.0533849999999999E-2</v>
      </c>
      <c r="X3396">
        <v>0.99784810000000002</v>
      </c>
      <c r="Y3396">
        <v>0.15507099999999999</v>
      </c>
      <c r="Z3396">
        <v>0.32183289999999998</v>
      </c>
      <c r="AA3396">
        <v>0.93401100000000004</v>
      </c>
      <c r="AB3396">
        <v>11</v>
      </c>
      <c r="AC3396">
        <v>0.125</v>
      </c>
      <c r="AD3396">
        <v>-0.27024789999999999</v>
      </c>
      <c r="AE3396">
        <v>-0.60069999999998902</v>
      </c>
      <c r="AF3396">
        <v>8.69592814782605E-2</v>
      </c>
      <c r="AG3396">
        <v>-0.27024789999999999</v>
      </c>
      <c r="AH3396">
        <v>0.50646517933951796</v>
      </c>
      <c r="AI3396">
        <v>117.739911087656</v>
      </c>
      <c r="AJ3396">
        <v>80.257401194523993</v>
      </c>
      <c r="AK3396">
        <v>0.58060556488293802</v>
      </c>
      <c r="AL3396">
        <v>88.823414339278202</v>
      </c>
      <c r="AM3396">
        <v>93.570840888594702</v>
      </c>
      <c r="AN3396">
        <v>0.99999997765906101</v>
      </c>
    </row>
    <row r="3397" spans="1:40" x14ac:dyDescent="0.25">
      <c r="A3397" t="str">
        <f>"20190312154319177"</f>
        <v>20190312154319177</v>
      </c>
      <c r="B3397" t="str">
        <f>"1552376599170469"</f>
        <v>1552376599170469</v>
      </c>
      <c r="C3397" t="s">
        <v>40</v>
      </c>
      <c r="D3397">
        <v>4.8989219999999998</v>
      </c>
      <c r="E3397">
        <v>0.58240570000000003</v>
      </c>
      <c r="F3397" t="s">
        <v>41</v>
      </c>
      <c r="G3397">
        <v>-489.11270000000002</v>
      </c>
      <c r="H3397">
        <v>0.84101199999999998</v>
      </c>
      <c r="I3397">
        <v>231.27289999999999</v>
      </c>
      <c r="J3397">
        <v>-489.23200000000003</v>
      </c>
      <c r="K3397">
        <v>1.1104339999999999</v>
      </c>
      <c r="L3397">
        <v>231.86099999999999</v>
      </c>
      <c r="M3397">
        <v>0.36949120000000002</v>
      </c>
      <c r="N3397">
        <v>0</v>
      </c>
      <c r="O3397">
        <v>-0.92923100000000003</v>
      </c>
      <c r="P3397">
        <v>0.42596479999999998</v>
      </c>
      <c r="Q3397">
        <v>1.809206E-2</v>
      </c>
      <c r="R3397">
        <v>-0.90455920000000001</v>
      </c>
      <c r="S3397">
        <v>0.7136536</v>
      </c>
      <c r="T3397">
        <v>-1.1705369999999999</v>
      </c>
      <c r="U3397">
        <v>-3.0015869999999998</v>
      </c>
      <c r="V3397">
        <v>-6.1648679999999997E-2</v>
      </c>
      <c r="W3397">
        <v>2.0393209999999998E-2</v>
      </c>
      <c r="X3397">
        <v>0.99788960000000004</v>
      </c>
      <c r="Y3397">
        <v>0.15757260000000001</v>
      </c>
      <c r="Z3397">
        <v>0.32042219999999999</v>
      </c>
      <c r="AA3397">
        <v>0.9340773</v>
      </c>
      <c r="AB3397">
        <v>11</v>
      </c>
      <c r="AC3397">
        <v>0.119299999999952</v>
      </c>
      <c r="AD3397">
        <v>-0.269421999999999</v>
      </c>
      <c r="AE3397">
        <v>-0.58809999999999696</v>
      </c>
      <c r="AF3397">
        <v>8.8583969661519199E-2</v>
      </c>
      <c r="AG3397">
        <v>-0.269421999999999</v>
      </c>
      <c r="AH3397">
        <v>0.491488053681014</v>
      </c>
      <c r="AI3397">
        <v>118.34613059621201</v>
      </c>
      <c r="AJ3397">
        <v>79.782914826048199</v>
      </c>
      <c r="AK3397">
        <v>0.56744677343002303</v>
      </c>
      <c r="AL3397">
        <v>88.831474188137193</v>
      </c>
      <c r="AM3397">
        <v>93.535186358668597</v>
      </c>
      <c r="AN3397">
        <v>1.0000000482739999</v>
      </c>
    </row>
    <row r="3398" spans="1:40" x14ac:dyDescent="0.25">
      <c r="A3398" t="str">
        <f>"20190312154319200"</f>
        <v>20190312154319200</v>
      </c>
      <c r="B3398" t="str">
        <f>"1552376599190683"</f>
        <v>1552376599190683</v>
      </c>
      <c r="C3398" t="s">
        <v>40</v>
      </c>
      <c r="D3398">
        <v>4.8022210000000003</v>
      </c>
      <c r="E3398">
        <v>0.58288409999999902</v>
      </c>
      <c r="F3398" t="s">
        <v>41</v>
      </c>
      <c r="G3398">
        <v>-489.06869999999998</v>
      </c>
      <c r="H3398">
        <v>0.84582219999999997</v>
      </c>
      <c r="I3398">
        <v>231.18020000000001</v>
      </c>
      <c r="J3398">
        <v>-489.18439999999998</v>
      </c>
      <c r="K3398">
        <v>1.110436</v>
      </c>
      <c r="L3398">
        <v>231.75200000000001</v>
      </c>
      <c r="M3398">
        <v>0.37270950000000003</v>
      </c>
      <c r="N3398">
        <v>0</v>
      </c>
      <c r="O3398">
        <v>-0.92794600000000005</v>
      </c>
      <c r="P3398">
        <v>0.42900460000000001</v>
      </c>
      <c r="Q3398">
        <v>1.8012710000000001E-2</v>
      </c>
      <c r="R3398">
        <v>-0.9031228</v>
      </c>
      <c r="S3398">
        <v>0.72012330000000002</v>
      </c>
      <c r="T3398">
        <v>-1.166841</v>
      </c>
      <c r="U3398">
        <v>-3.0007779999999999</v>
      </c>
      <c r="V3398">
        <v>-6.1547520000000001E-2</v>
      </c>
      <c r="W3398">
        <v>1.9856410000000001E-2</v>
      </c>
      <c r="X3398">
        <v>0.99790659999999998</v>
      </c>
      <c r="Y3398">
        <v>0.15892129999999999</v>
      </c>
      <c r="Z3398">
        <v>0.31884829999999997</v>
      </c>
      <c r="AA3398">
        <v>0.93438739999999998</v>
      </c>
      <c r="AB3398">
        <v>11</v>
      </c>
      <c r="AC3398">
        <v>0.11570000000000299</v>
      </c>
      <c r="AD3398">
        <v>-0.26461380000000001</v>
      </c>
      <c r="AE3398">
        <v>-0.57179999999999598</v>
      </c>
      <c r="AF3398">
        <v>8.7707561895512501E-2</v>
      </c>
      <c r="AG3398">
        <v>-0.26461380000000001</v>
      </c>
      <c r="AH3398">
        <v>0.47582823465467999</v>
      </c>
      <c r="AI3398">
        <v>118.67419941075001</v>
      </c>
      <c r="AJ3398">
        <v>79.556120326660604</v>
      </c>
      <c r="AK3398">
        <v>0.55147582762863201</v>
      </c>
      <c r="AL3398">
        <v>88.862236711997994</v>
      </c>
      <c r="AM3398">
        <v>93.529340133978096</v>
      </c>
      <c r="AN3398">
        <v>0.99999997827989895</v>
      </c>
    </row>
    <row r="3399" spans="1:40" x14ac:dyDescent="0.25">
      <c r="A3399" t="str">
        <f>"20190312154319221"</f>
        <v>20190312154319221</v>
      </c>
      <c r="B3399" t="str">
        <f>"1552376599211171"</f>
        <v>1552376599211171</v>
      </c>
      <c r="C3399" t="s">
        <v>40</v>
      </c>
      <c r="D3399">
        <v>4.8195499999999996</v>
      </c>
      <c r="E3399">
        <v>0.59686219999999901</v>
      </c>
      <c r="F3399" t="s">
        <v>41</v>
      </c>
      <c r="G3399">
        <v>-489.02350000000001</v>
      </c>
      <c r="H3399">
        <v>0.85287309999999905</v>
      </c>
      <c r="I3399">
        <v>231.08500000000001</v>
      </c>
      <c r="J3399">
        <v>-489.1397</v>
      </c>
      <c r="K3399">
        <v>1.1104369999999999</v>
      </c>
      <c r="L3399">
        <v>231.65039999999999</v>
      </c>
      <c r="M3399">
        <v>0.37573079999999998</v>
      </c>
      <c r="N3399">
        <v>0</v>
      </c>
      <c r="O3399">
        <v>-0.92672750000000004</v>
      </c>
      <c r="P3399">
        <v>0.4326777</v>
      </c>
      <c r="Q3399">
        <v>1.6993049999999999E-2</v>
      </c>
      <c r="R3399">
        <v>-0.90138859999999998</v>
      </c>
      <c r="S3399">
        <v>0.72518919999999998</v>
      </c>
      <c r="T3399">
        <v>-1.1596879999999901</v>
      </c>
      <c r="U3399">
        <v>-3.0004430000000002</v>
      </c>
      <c r="V3399">
        <v>-6.2349549999999997E-2</v>
      </c>
      <c r="W3399">
        <v>1.8444269999999999E-2</v>
      </c>
      <c r="X3399">
        <v>0.99788390000000005</v>
      </c>
      <c r="Y3399">
        <v>0.1604391</v>
      </c>
      <c r="Z3399">
        <v>0.3164457</v>
      </c>
      <c r="AA3399">
        <v>0.93494460000000001</v>
      </c>
      <c r="AB3399">
        <v>11</v>
      </c>
      <c r="AC3399">
        <v>0.116199999999992</v>
      </c>
      <c r="AD3399">
        <v>-0.25756390000000001</v>
      </c>
      <c r="AE3399">
        <v>-0.56539999999998203</v>
      </c>
      <c r="AF3399">
        <v>8.7358665826589896E-2</v>
      </c>
      <c r="AG3399">
        <v>-0.25756390000000001</v>
      </c>
      <c r="AH3399">
        <v>0.473378324114195</v>
      </c>
      <c r="AI3399">
        <v>118.149568227042</v>
      </c>
      <c r="AJ3399">
        <v>79.544100455532998</v>
      </c>
      <c r="AK3399">
        <v>0.54594664283185701</v>
      </c>
      <c r="AL3399">
        <v>88.943161211673797</v>
      </c>
      <c r="AM3399">
        <v>93.575293802904397</v>
      </c>
      <c r="AN3399">
        <v>0.999999967680122</v>
      </c>
    </row>
    <row r="3400" spans="1:40" x14ac:dyDescent="0.25">
      <c r="A3400" t="str">
        <f>"20190312154319245"</f>
        <v>20190312154319245</v>
      </c>
      <c r="B3400" t="str">
        <f>"1552376599240446"</f>
        <v>1552376599240446</v>
      </c>
      <c r="C3400" t="s">
        <v>40</v>
      </c>
      <c r="D3400">
        <v>4.7855970000000001</v>
      </c>
      <c r="E3400">
        <v>0.59693769999999902</v>
      </c>
      <c r="F3400" t="s">
        <v>41</v>
      </c>
      <c r="G3400">
        <v>-488.99799999999999</v>
      </c>
      <c r="H3400">
        <v>0.89128259999999904</v>
      </c>
      <c r="I3400">
        <v>230.96530000000001</v>
      </c>
      <c r="J3400">
        <v>-489.0915</v>
      </c>
      <c r="K3400">
        <v>1.1104400000000001</v>
      </c>
      <c r="L3400">
        <v>231.54179999999999</v>
      </c>
      <c r="M3400">
        <v>0.37898490000000001</v>
      </c>
      <c r="N3400">
        <v>0</v>
      </c>
      <c r="O3400">
        <v>-0.92540199999999995</v>
      </c>
      <c r="P3400">
        <v>0.4365655</v>
      </c>
      <c r="Q3400">
        <v>1.6473479999999999E-2</v>
      </c>
      <c r="R3400">
        <v>-0.89952169999999898</v>
      </c>
      <c r="S3400">
        <v>0.62966919999999904</v>
      </c>
      <c r="T3400">
        <v>-0.97377919999999996</v>
      </c>
      <c r="U3400">
        <v>-3.0442809999999998</v>
      </c>
      <c r="V3400">
        <v>-6.3147110000000006E-2</v>
      </c>
      <c r="W3400">
        <v>1.7538430000000001E-2</v>
      </c>
      <c r="X3400">
        <v>0.99785009999999996</v>
      </c>
      <c r="Y3400">
        <v>0.19146079999999999</v>
      </c>
      <c r="Z3400">
        <v>0.26637440000000001</v>
      </c>
      <c r="AA3400">
        <v>0.94466260000000002</v>
      </c>
      <c r="AB3400">
        <v>12</v>
      </c>
      <c r="AC3400">
        <v>9.3499999999948999E-2</v>
      </c>
      <c r="AD3400">
        <v>-0.219157399999999</v>
      </c>
      <c r="AE3400">
        <v>-0.57649999999998103</v>
      </c>
      <c r="AF3400">
        <v>0.11567189974632699</v>
      </c>
      <c r="AG3400">
        <v>-0.219157399999999</v>
      </c>
      <c r="AH3400">
        <v>0.49870630046429398</v>
      </c>
      <c r="AI3400">
        <v>113.175164465157</v>
      </c>
      <c r="AJ3400">
        <v>76.941497391999405</v>
      </c>
      <c r="AK3400">
        <v>0.556882329122111</v>
      </c>
      <c r="AL3400">
        <v>88.995070446406501</v>
      </c>
      <c r="AM3400">
        <v>93.621029492134198</v>
      </c>
      <c r="AN3400">
        <v>0.99999998804911305</v>
      </c>
    </row>
    <row r="3401" spans="1:40" x14ac:dyDescent="0.25">
      <c r="A3401" t="str">
        <f>"20190312154319267"</f>
        <v>20190312154319267</v>
      </c>
      <c r="B3401" t="str">
        <f>"1552376599260942"</f>
        <v>1552376599260942</v>
      </c>
      <c r="C3401" t="s">
        <v>40</v>
      </c>
      <c r="D3401">
        <v>4.7445079999999997</v>
      </c>
      <c r="E3401">
        <v>0.59706930000000003</v>
      </c>
      <c r="F3401" t="s">
        <v>41</v>
      </c>
      <c r="G3401">
        <v>-488.94959999999998</v>
      </c>
      <c r="H3401">
        <v>0.89545439999999998</v>
      </c>
      <c r="I3401">
        <v>230.8682</v>
      </c>
      <c r="J3401">
        <v>-489.04129999999998</v>
      </c>
      <c r="K3401">
        <v>1.110441</v>
      </c>
      <c r="L3401">
        <v>231.43020000000001</v>
      </c>
      <c r="M3401">
        <v>0.38235039999999998</v>
      </c>
      <c r="N3401">
        <v>0</v>
      </c>
      <c r="O3401">
        <v>-0.92401699999999998</v>
      </c>
      <c r="P3401">
        <v>0.4411948</v>
      </c>
      <c r="Q3401">
        <v>1.643501E-2</v>
      </c>
      <c r="R3401">
        <v>-0.89726079999999997</v>
      </c>
      <c r="S3401">
        <v>0.64202879999999996</v>
      </c>
      <c r="T3401">
        <v>-0.97176359999999995</v>
      </c>
      <c r="U3401">
        <v>-3.04129</v>
      </c>
      <c r="V3401">
        <v>-6.4658179999999996E-2</v>
      </c>
      <c r="W3401">
        <v>1.7132229999999998E-2</v>
      </c>
      <c r="X3401">
        <v>0.99776039999999999</v>
      </c>
      <c r="Y3401">
        <v>0.1911291</v>
      </c>
      <c r="Z3401">
        <v>0.26542339999999998</v>
      </c>
      <c r="AA3401">
        <v>0.94499739999999999</v>
      </c>
      <c r="AB3401">
        <v>12</v>
      </c>
      <c r="AC3401">
        <v>9.1700000000003001E-2</v>
      </c>
      <c r="AD3401">
        <v>-0.2149866</v>
      </c>
      <c r="AE3401">
        <v>-0.56200000000001105</v>
      </c>
      <c r="AF3401">
        <v>0.113911577552908</v>
      </c>
      <c r="AG3401">
        <v>-0.2149866</v>
      </c>
      <c r="AH3401">
        <v>0.48519872304330303</v>
      </c>
      <c r="AI3401">
        <v>113.333496378162</v>
      </c>
      <c r="AJ3401">
        <v>76.787772912386004</v>
      </c>
      <c r="AK3401">
        <v>0.54278254073155696</v>
      </c>
      <c r="AL3401">
        <v>89.018347506605195</v>
      </c>
      <c r="AM3401">
        <v>93.707771936652193</v>
      </c>
      <c r="AN3401">
        <v>1.00000000467692</v>
      </c>
    </row>
    <row r="3402" spans="1:40" x14ac:dyDescent="0.25">
      <c r="A3402" t="str">
        <f>"20190312154319290"</f>
        <v>20190312154319290</v>
      </c>
      <c r="B3402" t="str">
        <f>"1552376599280462"</f>
        <v>1552376599280462</v>
      </c>
      <c r="C3402" t="s">
        <v>40</v>
      </c>
      <c r="D3402">
        <v>4.6007259999999999</v>
      </c>
      <c r="E3402">
        <v>0.59679169999999904</v>
      </c>
      <c r="F3402" t="s">
        <v>41</v>
      </c>
      <c r="G3402">
        <v>-488.89890000000003</v>
      </c>
      <c r="H3402">
        <v>0.90036579999999999</v>
      </c>
      <c r="I3402">
        <v>230.7696</v>
      </c>
      <c r="J3402">
        <v>-488.98950000000002</v>
      </c>
      <c r="K3402">
        <v>1.1104430000000001</v>
      </c>
      <c r="L3402">
        <v>231.316</v>
      </c>
      <c r="M3402">
        <v>0.38581359999999998</v>
      </c>
      <c r="N3402">
        <v>0</v>
      </c>
      <c r="O3402">
        <v>-0.92257659999999997</v>
      </c>
      <c r="P3402">
        <v>0.44579770000000002</v>
      </c>
      <c r="Q3402">
        <v>1.6320629999999999E-2</v>
      </c>
      <c r="R3402">
        <v>-0.89498519999999904</v>
      </c>
      <c r="S3402">
        <v>0.65609740000000005</v>
      </c>
      <c r="T3402">
        <v>-0.96726179999999995</v>
      </c>
      <c r="U3402">
        <v>-3.0386510000000002</v>
      </c>
      <c r="V3402">
        <v>-6.6040260000000003E-2</v>
      </c>
      <c r="W3402">
        <v>1.6672619999999999E-2</v>
      </c>
      <c r="X3402">
        <v>0.9976777</v>
      </c>
      <c r="Y3402">
        <v>0.1903782</v>
      </c>
      <c r="Z3402">
        <v>0.26379999999999998</v>
      </c>
      <c r="AA3402">
        <v>0.94560339999999998</v>
      </c>
      <c r="AB3402">
        <v>12</v>
      </c>
      <c r="AC3402">
        <v>9.0599999999994907E-2</v>
      </c>
      <c r="AD3402">
        <v>-0.21007719999999999</v>
      </c>
      <c r="AE3402">
        <v>-0.54639999999997702</v>
      </c>
      <c r="AF3402">
        <v>0.111222086514424</v>
      </c>
      <c r="AG3402">
        <v>-0.21007719999999999</v>
      </c>
      <c r="AH3402">
        <v>0.4712534399044</v>
      </c>
      <c r="AI3402">
        <v>113.45428798386401</v>
      </c>
      <c r="AJ3402">
        <v>76.720441059804998</v>
      </c>
      <c r="AK3402">
        <v>0.52780923363483501</v>
      </c>
      <c r="AL3402">
        <v>89.044685018675494</v>
      </c>
      <c r="AM3402">
        <v>93.787111005727894</v>
      </c>
      <c r="AN3402">
        <v>1.0000000426379101</v>
      </c>
    </row>
    <row r="3403" spans="1:40" x14ac:dyDescent="0.25">
      <c r="A3403" t="str">
        <f>"20190312154319313"</f>
        <v>20190312154319313</v>
      </c>
      <c r="B3403" t="str">
        <f>"1552376599300490"</f>
        <v>1552376599300490</v>
      </c>
      <c r="C3403" t="s">
        <v>40</v>
      </c>
      <c r="D3403">
        <v>4.6191420000000001</v>
      </c>
      <c r="E3403">
        <v>0.59629989999999999</v>
      </c>
      <c r="F3403" t="s">
        <v>41</v>
      </c>
      <c r="G3403">
        <v>-488.82429999999999</v>
      </c>
      <c r="H3403">
        <v>0.87263069999999898</v>
      </c>
      <c r="I3403">
        <v>230.57040000000001</v>
      </c>
      <c r="J3403">
        <v>-488.93549999999999</v>
      </c>
      <c r="K3403">
        <v>1.1104369999999999</v>
      </c>
      <c r="L3403">
        <v>231.19829999999999</v>
      </c>
      <c r="M3403">
        <v>0.389403</v>
      </c>
      <c r="N3403">
        <v>0</v>
      </c>
      <c r="O3403">
        <v>-0.92106739999999998</v>
      </c>
      <c r="P3403">
        <v>0.4499997</v>
      </c>
      <c r="Q3403">
        <v>1.5914709999999999E-2</v>
      </c>
      <c r="R3403">
        <v>-0.89288679999999998</v>
      </c>
      <c r="S3403">
        <v>0.67312620000000001</v>
      </c>
      <c r="T3403">
        <v>-0.96840800000000005</v>
      </c>
      <c r="U3403">
        <v>-3.0343779999999998</v>
      </c>
      <c r="V3403">
        <v>-6.6841699999999907E-2</v>
      </c>
      <c r="W3403">
        <v>1.5940289999999999E-2</v>
      </c>
      <c r="X3403">
        <v>0.99763630000000003</v>
      </c>
      <c r="Y3403">
        <v>0.1888755</v>
      </c>
      <c r="Z3403">
        <v>0.26368190000000002</v>
      </c>
      <c r="AA3403">
        <v>0.94593760000000005</v>
      </c>
      <c r="AB3403">
        <v>12</v>
      </c>
      <c r="AC3403">
        <v>0.111199999999996</v>
      </c>
      <c r="AD3403">
        <v>-0.2378063</v>
      </c>
      <c r="AE3403">
        <v>-0.62789999999998203</v>
      </c>
      <c r="AF3403">
        <v>0.12473565640290001</v>
      </c>
      <c r="AG3403">
        <v>-0.2378063</v>
      </c>
      <c r="AH3403">
        <v>0.54574022091691399</v>
      </c>
      <c r="AI3403">
        <v>113.01556356211999</v>
      </c>
      <c r="AJ3403">
        <v>77.125493874059202</v>
      </c>
      <c r="AK3403">
        <v>0.60822956934400496</v>
      </c>
      <c r="AL3403">
        <v>89.086650019090797</v>
      </c>
      <c r="AM3403">
        <v>93.833092381231495</v>
      </c>
      <c r="AN3403">
        <v>1.00000004639093</v>
      </c>
    </row>
    <row r="3404" spans="1:40" x14ac:dyDescent="0.25">
      <c r="A3404" t="str">
        <f>"20190312154319336"</f>
        <v>20190312154319336</v>
      </c>
      <c r="B3404" t="str">
        <f>"1552376599330747"</f>
        <v>1552376599330747</v>
      </c>
      <c r="C3404" t="s">
        <v>40</v>
      </c>
      <c r="D3404">
        <v>4.5441849999999997</v>
      </c>
      <c r="E3404">
        <v>0.59573399999999999</v>
      </c>
      <c r="F3404" t="s">
        <v>41</v>
      </c>
      <c r="G3404">
        <v>-488.76940000000002</v>
      </c>
      <c r="H3404">
        <v>0.87867580000000001</v>
      </c>
      <c r="I3404">
        <v>230.4665</v>
      </c>
      <c r="J3404">
        <v>-488.87920000000003</v>
      </c>
      <c r="K3404">
        <v>1.110436</v>
      </c>
      <c r="L3404">
        <v>231.07669999999999</v>
      </c>
      <c r="M3404">
        <v>0.39311790000000002</v>
      </c>
      <c r="N3404">
        <v>0</v>
      </c>
      <c r="O3404">
        <v>-0.91948819999999998</v>
      </c>
      <c r="P3404">
        <v>0.45336219999999999</v>
      </c>
      <c r="Q3404">
        <v>1.505894E-2</v>
      </c>
      <c r="R3404">
        <v>-0.89119959999999898</v>
      </c>
      <c r="S3404">
        <v>0.68951419999999997</v>
      </c>
      <c r="T3404">
        <v>-0.96064959999999999</v>
      </c>
      <c r="U3404">
        <v>-3.0294949999999998</v>
      </c>
      <c r="V3404">
        <v>-6.6567459999999995E-2</v>
      </c>
      <c r="W3404">
        <v>1.4776950000000001E-2</v>
      </c>
      <c r="X3404">
        <v>0.99767249999999996</v>
      </c>
      <c r="Y3404">
        <v>0.1875175</v>
      </c>
      <c r="Z3404">
        <v>0.26135969999999997</v>
      </c>
      <c r="AA3404">
        <v>0.94685180000000002</v>
      </c>
      <c r="AB3404">
        <v>13</v>
      </c>
      <c r="AC3404">
        <v>0.109800000000006</v>
      </c>
      <c r="AD3404">
        <v>-0.2317602</v>
      </c>
      <c r="AE3404">
        <v>-0.61019999999999097</v>
      </c>
      <c r="AF3404">
        <v>0.121888993173684</v>
      </c>
      <c r="AG3404">
        <v>-0.2317602</v>
      </c>
      <c r="AH3404">
        <v>0.53015643391544898</v>
      </c>
      <c r="AI3404">
        <v>113.07591049705201</v>
      </c>
      <c r="AJ3404">
        <v>77.0520584520212</v>
      </c>
      <c r="AK3404">
        <v>0.59129989124206705</v>
      </c>
      <c r="AL3404">
        <v>89.153312316424802</v>
      </c>
      <c r="AM3404">
        <v>93.817274354063798</v>
      </c>
      <c r="AN3404">
        <v>1.0000000011192001</v>
      </c>
    </row>
    <row r="3405" spans="1:40" x14ac:dyDescent="0.25">
      <c r="A3405" t="str">
        <f>"20190312154319356"</f>
        <v>20190312154319356</v>
      </c>
      <c r="B3405" t="str">
        <f>"1552376599350266"</f>
        <v>1552376599350266</v>
      </c>
      <c r="C3405" t="s">
        <v>40</v>
      </c>
      <c r="D3405">
        <v>4.5204089999999999</v>
      </c>
      <c r="E3405">
        <v>0.59585919999999903</v>
      </c>
      <c r="F3405" t="s">
        <v>41</v>
      </c>
      <c r="G3405">
        <v>-488.71269999999998</v>
      </c>
      <c r="H3405">
        <v>0.88479099999999999</v>
      </c>
      <c r="I3405">
        <v>230.36109999999999</v>
      </c>
      <c r="J3405">
        <v>-488.83</v>
      </c>
      <c r="K3405">
        <v>1.110433</v>
      </c>
      <c r="L3405">
        <v>230.9717</v>
      </c>
      <c r="M3405">
        <v>0.39633160000000001</v>
      </c>
      <c r="N3405">
        <v>0</v>
      </c>
      <c r="O3405">
        <v>-0.91810749999999997</v>
      </c>
      <c r="P3405">
        <v>0.45551449999999999</v>
      </c>
      <c r="Q3405">
        <v>1.3953719999999999E-2</v>
      </c>
      <c r="R3405">
        <v>-0.89011940000000001</v>
      </c>
      <c r="S3405">
        <v>0.70410159999999999</v>
      </c>
      <c r="T3405">
        <v>-0.95423820000000004</v>
      </c>
      <c r="U3405">
        <v>-3.0242</v>
      </c>
      <c r="V3405">
        <v>-6.5478289999999995E-2</v>
      </c>
      <c r="W3405">
        <v>1.342906E-2</v>
      </c>
      <c r="X3405">
        <v>0.99776359999999997</v>
      </c>
      <c r="Y3405">
        <v>0.1861544</v>
      </c>
      <c r="Z3405">
        <v>0.25950250000000002</v>
      </c>
      <c r="AA3405">
        <v>0.94763120000000001</v>
      </c>
      <c r="AB3405">
        <v>13</v>
      </c>
      <c r="AC3405">
        <v>0.1173</v>
      </c>
      <c r="AD3405">
        <v>-0.22564200000000001</v>
      </c>
      <c r="AE3405">
        <v>-0.61060000000000503</v>
      </c>
      <c r="AF3405">
        <v>0.118676326182608</v>
      </c>
      <c r="AG3405">
        <v>-0.22564200000000001</v>
      </c>
      <c r="AH3405">
        <v>0.53643707159155496</v>
      </c>
      <c r="AI3405">
        <v>112.327979615557</v>
      </c>
      <c r="AJ3405">
        <v>77.525342577711299</v>
      </c>
      <c r="AK3405">
        <v>0.59393864526390605</v>
      </c>
      <c r="AL3405">
        <v>89.230548390723499</v>
      </c>
      <c r="AM3405">
        <v>93.754654801434697</v>
      </c>
      <c r="AN3405">
        <v>0.99999997379938299</v>
      </c>
    </row>
    <row r="3406" spans="1:40" x14ac:dyDescent="0.25">
      <c r="A3406" t="str">
        <f>"20190312154319379"</f>
        <v>20190312154319379</v>
      </c>
      <c r="B3406" t="str">
        <f>"1552376599370762"</f>
        <v>1552376599370762</v>
      </c>
      <c r="C3406" t="s">
        <v>40</v>
      </c>
      <c r="D3406">
        <v>4.471069</v>
      </c>
      <c r="E3406">
        <v>0.59600249999999999</v>
      </c>
      <c r="F3406" t="s">
        <v>41</v>
      </c>
      <c r="G3406">
        <v>-488.6617</v>
      </c>
      <c r="H3406">
        <v>0.88436309999999996</v>
      </c>
      <c r="I3406">
        <v>230.2535</v>
      </c>
      <c r="J3406">
        <v>-488.77109999999999</v>
      </c>
      <c r="K3406">
        <v>1.110439</v>
      </c>
      <c r="L3406">
        <v>230.8467</v>
      </c>
      <c r="M3406">
        <v>0.4001519</v>
      </c>
      <c r="N3406">
        <v>0</v>
      </c>
      <c r="O3406">
        <v>-0.91644879999999995</v>
      </c>
      <c r="P3406">
        <v>0.45776729999999999</v>
      </c>
      <c r="Q3406">
        <v>1.280651E-2</v>
      </c>
      <c r="R3406">
        <v>-0.8889802</v>
      </c>
      <c r="S3406">
        <v>0.70935059999999905</v>
      </c>
      <c r="T3406">
        <v>-0.95217940000000001</v>
      </c>
      <c r="U3406">
        <v>-3.0222319999999998</v>
      </c>
      <c r="V3406">
        <v>-6.3838409999999998E-2</v>
      </c>
      <c r="W3406">
        <v>1.201869E-2</v>
      </c>
      <c r="X3406">
        <v>0.99788779999999999</v>
      </c>
      <c r="Y3406">
        <v>0.18848719999999999</v>
      </c>
      <c r="Z3406">
        <v>0.25832329999999998</v>
      </c>
      <c r="AA3406">
        <v>0.94749229999999995</v>
      </c>
      <c r="AB3406">
        <v>13</v>
      </c>
      <c r="AC3406">
        <v>0.109399999999993</v>
      </c>
      <c r="AD3406">
        <v>-0.2260759</v>
      </c>
      <c r="AE3406">
        <v>-0.59319999999999595</v>
      </c>
      <c r="AF3406">
        <v>0.120223000535952</v>
      </c>
      <c r="AG3406">
        <v>-0.2260759</v>
      </c>
      <c r="AH3406">
        <v>0.51506356812350096</v>
      </c>
      <c r="AI3406">
        <v>113.14373823455701</v>
      </c>
      <c r="AJ3406">
        <v>76.861599528565506</v>
      </c>
      <c r="AK3406">
        <v>0.57519941031505795</v>
      </c>
      <c r="AL3406">
        <v>89.311363157584395</v>
      </c>
      <c r="AM3406">
        <v>93.660425420048497</v>
      </c>
      <c r="AN3406">
        <v>0.99999992644473901</v>
      </c>
    </row>
    <row r="3407" spans="1:40" x14ac:dyDescent="0.25">
      <c r="A3407" t="str">
        <f>"20190312154319401"</f>
        <v>20190312154319401</v>
      </c>
      <c r="B3407" t="str">
        <f>"1552376599390282"</f>
        <v>1552376599390282</v>
      </c>
      <c r="C3407" t="s">
        <v>40</v>
      </c>
      <c r="D3407">
        <v>4.4500080000000004</v>
      </c>
      <c r="E3407">
        <v>0.59608039999999995</v>
      </c>
      <c r="F3407" t="s">
        <v>41</v>
      </c>
      <c r="G3407">
        <v>-488.6046</v>
      </c>
      <c r="H3407">
        <v>0.88901770000000002</v>
      </c>
      <c r="I3407">
        <v>230.14420000000001</v>
      </c>
      <c r="J3407">
        <v>-488.71300000000002</v>
      </c>
      <c r="K3407">
        <v>1.1104430000000001</v>
      </c>
      <c r="L3407">
        <v>230.7252</v>
      </c>
      <c r="M3407">
        <v>0.40386129999999998</v>
      </c>
      <c r="N3407">
        <v>0</v>
      </c>
      <c r="O3407">
        <v>-0.91481999999999997</v>
      </c>
      <c r="P3407">
        <v>0.46007039999999999</v>
      </c>
      <c r="Q3407">
        <v>1.005261E-2</v>
      </c>
      <c r="R3407">
        <v>-0.887826</v>
      </c>
      <c r="S3407">
        <v>0.71572880000000005</v>
      </c>
      <c r="T3407">
        <v>-0.95207520000000001</v>
      </c>
      <c r="U3407">
        <v>-3.0197910000000001</v>
      </c>
      <c r="V3407">
        <v>-6.2358089999999998E-2</v>
      </c>
      <c r="W3407">
        <v>9.0314760000000001E-3</v>
      </c>
      <c r="X3407">
        <v>0.99801300000000004</v>
      </c>
      <c r="Y3407">
        <v>0.19037309999999999</v>
      </c>
      <c r="Z3407">
        <v>0.25768350000000001</v>
      </c>
      <c r="AA3407">
        <v>0.94728950000000001</v>
      </c>
      <c r="AB3407">
        <v>13</v>
      </c>
      <c r="AC3407">
        <v>0.108400000000017</v>
      </c>
      <c r="AD3407">
        <v>-0.22142529999999999</v>
      </c>
      <c r="AE3407">
        <v>-0.58099999999998797</v>
      </c>
      <c r="AF3407">
        <v>0.11880198011259301</v>
      </c>
      <c r="AG3407">
        <v>-0.22142529999999999</v>
      </c>
      <c r="AH3407">
        <v>0.50448051862090004</v>
      </c>
      <c r="AI3407">
        <v>113.13366381456601</v>
      </c>
      <c r="AJ3407">
        <v>76.748645629711007</v>
      </c>
      <c r="AK3407">
        <v>0.56359885346474503</v>
      </c>
      <c r="AL3407">
        <v>89.4825275196267</v>
      </c>
      <c r="AM3407">
        <v>93.575320886693405</v>
      </c>
      <c r="AN3407">
        <v>1.0000000235580899</v>
      </c>
    </row>
    <row r="3408" spans="1:40" x14ac:dyDescent="0.25">
      <c r="A3408" t="str">
        <f>"20190312154319423"</f>
        <v>20190312154319423</v>
      </c>
      <c r="B3408" t="str">
        <f>"1552376599420537"</f>
        <v>1552376599420537</v>
      </c>
      <c r="C3408" t="s">
        <v>40</v>
      </c>
      <c r="D3408">
        <v>4.3976559999999996</v>
      </c>
      <c r="E3408">
        <v>0.59649929999999995</v>
      </c>
      <c r="F3408" t="s">
        <v>41</v>
      </c>
      <c r="G3408">
        <v>-488.54770000000002</v>
      </c>
      <c r="H3408">
        <v>0.89132479999999903</v>
      </c>
      <c r="I3408">
        <v>230.03360000000001</v>
      </c>
      <c r="J3408">
        <v>-488.65300000000002</v>
      </c>
      <c r="K3408">
        <v>1.1104579999999999</v>
      </c>
      <c r="L3408">
        <v>230.60040000000001</v>
      </c>
      <c r="M3408">
        <v>0.40765810000000002</v>
      </c>
      <c r="N3408">
        <v>0</v>
      </c>
      <c r="O3408">
        <v>-0.91313409999999995</v>
      </c>
      <c r="P3408">
        <v>0.46330660000000001</v>
      </c>
      <c r="Q3408">
        <v>8.7718840000000006E-3</v>
      </c>
      <c r="R3408">
        <v>-0.88615499999999903</v>
      </c>
      <c r="S3408">
        <v>0.72164919999999899</v>
      </c>
      <c r="T3408">
        <v>-0.95594880000000004</v>
      </c>
      <c r="U3408">
        <v>-3.0158999999999998</v>
      </c>
      <c r="V3408">
        <v>-6.184299E-2</v>
      </c>
      <c r="W3408">
        <v>7.5304430000000004E-3</v>
      </c>
      <c r="X3408">
        <v>0.99805750000000004</v>
      </c>
      <c r="Y3408">
        <v>0.19246269999999999</v>
      </c>
      <c r="Z3408">
        <v>0.2581118</v>
      </c>
      <c r="AA3408">
        <v>0.94675050000000005</v>
      </c>
      <c r="AB3408">
        <v>14</v>
      </c>
      <c r="AC3408">
        <v>0.10529999999999901</v>
      </c>
      <c r="AD3408">
        <v>-0.2191332</v>
      </c>
      <c r="AE3408">
        <v>-0.56679999999999997</v>
      </c>
      <c r="AF3408">
        <v>0.117876386049083</v>
      </c>
      <c r="AG3408">
        <v>-0.2191332</v>
      </c>
      <c r="AH3408">
        <v>0.48973249341430503</v>
      </c>
      <c r="AI3408">
        <v>113.510519549688</v>
      </c>
      <c r="AJ3408">
        <v>76.466596118721796</v>
      </c>
      <c r="AK3408">
        <v>0.54931968546195797</v>
      </c>
      <c r="AL3408">
        <v>89.5685333280951</v>
      </c>
      <c r="AM3408">
        <v>93.545705433418107</v>
      </c>
      <c r="AN3408">
        <v>1.0000000181450801</v>
      </c>
    </row>
    <row r="3409" spans="1:40" x14ac:dyDescent="0.25">
      <c r="A3409" t="str">
        <f>"20190312154319445"</f>
        <v>20190312154319445</v>
      </c>
      <c r="B3409" t="str">
        <f>"1552376599441033"</f>
        <v>1552376599441033</v>
      </c>
      <c r="C3409" t="s">
        <v>40</v>
      </c>
      <c r="D3409">
        <v>4.3328499999999996</v>
      </c>
      <c r="E3409">
        <v>0.59664819999999996</v>
      </c>
      <c r="F3409" t="s">
        <v>41</v>
      </c>
      <c r="G3409">
        <v>-488.48849999999999</v>
      </c>
      <c r="H3409">
        <v>0.89500930000000001</v>
      </c>
      <c r="I3409">
        <v>229.92099999999999</v>
      </c>
      <c r="J3409">
        <v>-488.5917</v>
      </c>
      <c r="K3409">
        <v>1.1104750000000001</v>
      </c>
      <c r="L3409">
        <v>230.47460000000001</v>
      </c>
      <c r="M3409">
        <v>0.41147139999999999</v>
      </c>
      <c r="N3409">
        <v>0</v>
      </c>
      <c r="O3409">
        <v>-0.91142210000000001</v>
      </c>
      <c r="P3409">
        <v>0.46647369999999999</v>
      </c>
      <c r="Q3409">
        <v>9.3642789999999997E-3</v>
      </c>
      <c r="R3409">
        <v>-0.88448599999999999</v>
      </c>
      <c r="S3409">
        <v>0.72903439999999997</v>
      </c>
      <c r="T3409">
        <v>-0.95505949999999995</v>
      </c>
      <c r="U3409">
        <v>-3.0137019999999999</v>
      </c>
      <c r="V3409">
        <v>-6.1246469999999997E-2</v>
      </c>
      <c r="W3409">
        <v>7.9276380000000007E-3</v>
      </c>
      <c r="X3409">
        <v>0.99809119999999996</v>
      </c>
      <c r="Y3409">
        <v>0.19417200000000001</v>
      </c>
      <c r="Z3409">
        <v>0.257216</v>
      </c>
      <c r="AA3409">
        <v>0.94664519999999996</v>
      </c>
      <c r="AB3409">
        <v>14</v>
      </c>
      <c r="AC3409">
        <v>0.103200000000015</v>
      </c>
      <c r="AD3409">
        <v>-0.21546570000000001</v>
      </c>
      <c r="AE3409">
        <v>-0.55360000000001697</v>
      </c>
      <c r="AF3409">
        <v>0.11665420401084101</v>
      </c>
      <c r="AG3409">
        <v>-0.21546570000000001</v>
      </c>
      <c r="AH3409">
        <v>0.47717155227741997</v>
      </c>
      <c r="AI3409">
        <v>113.68371474580999</v>
      </c>
      <c r="AJ3409">
        <v>76.2623415806504</v>
      </c>
      <c r="AK3409">
        <v>0.53640130638612005</v>
      </c>
      <c r="AL3409">
        <v>89.545775047975397</v>
      </c>
      <c r="AM3409">
        <v>93.5114722878766</v>
      </c>
      <c r="AN3409">
        <v>1.0000000105245701</v>
      </c>
    </row>
    <row r="3410" spans="1:40" x14ac:dyDescent="0.25">
      <c r="A3410" t="str">
        <f>"20190312154319467"</f>
        <v>20190312154319467</v>
      </c>
      <c r="B3410" t="str">
        <f>"1552376599460553"</f>
        <v>1552376599460553</v>
      </c>
      <c r="C3410" t="s">
        <v>40</v>
      </c>
      <c r="D3410">
        <v>4.2623430000000004</v>
      </c>
      <c r="E3410">
        <v>0.59741160000000004</v>
      </c>
      <c r="F3410" t="s">
        <v>41</v>
      </c>
      <c r="G3410">
        <v>-488.42829999999998</v>
      </c>
      <c r="H3410">
        <v>0.89950239999999904</v>
      </c>
      <c r="I3410">
        <v>229.80619999999999</v>
      </c>
      <c r="J3410">
        <v>-488.5292</v>
      </c>
      <c r="K3410">
        <v>1.1105020000000001</v>
      </c>
      <c r="L3410">
        <v>230.34780000000001</v>
      </c>
      <c r="M3410">
        <v>0.41529329999999998</v>
      </c>
      <c r="N3410">
        <v>0</v>
      </c>
      <c r="O3410">
        <v>-0.90968649999999995</v>
      </c>
      <c r="P3410">
        <v>0.46937879999999899</v>
      </c>
      <c r="Q3410">
        <v>1.03996E-2</v>
      </c>
      <c r="R3410">
        <v>-0.882936099999999</v>
      </c>
      <c r="S3410">
        <v>0.73800659999999996</v>
      </c>
      <c r="T3410">
        <v>-0.95213460000000005</v>
      </c>
      <c r="U3410">
        <v>-3.0126189999999999</v>
      </c>
      <c r="V3410">
        <v>-6.0347459999999999E-2</v>
      </c>
      <c r="W3410">
        <v>8.7987889999999996E-3</v>
      </c>
      <c r="X3410">
        <v>0.99813870000000005</v>
      </c>
      <c r="Y3410">
        <v>0.1954671</v>
      </c>
      <c r="Z3410">
        <v>0.2557236</v>
      </c>
      <c r="AA3410">
        <v>0.94678300000000004</v>
      </c>
      <c r="AB3410">
        <v>14</v>
      </c>
      <c r="AC3410">
        <v>0.100900000000024</v>
      </c>
      <c r="AD3410">
        <v>-0.21099960000000001</v>
      </c>
      <c r="AE3410">
        <v>-0.54160000000001596</v>
      </c>
      <c r="AF3410">
        <v>0.116104694230225</v>
      </c>
      <c r="AG3410">
        <v>-0.21099960000000001</v>
      </c>
      <c r="AH3410">
        <v>0.46620424466376398</v>
      </c>
      <c r="AI3410">
        <v>113.709929097252</v>
      </c>
      <c r="AJ3410">
        <v>76.015399027493899</v>
      </c>
      <c r="AK3410">
        <v>0.52473567533088905</v>
      </c>
      <c r="AL3410">
        <v>89.495860045324306</v>
      </c>
      <c r="AM3410">
        <v>93.459890823690998</v>
      </c>
      <c r="AN3410">
        <v>1.0000000495270001</v>
      </c>
    </row>
    <row r="3411" spans="1:40" x14ac:dyDescent="0.25">
      <c r="A3411" t="str">
        <f>"20190312154319591"</f>
        <v>20190312154319591</v>
      </c>
      <c r="B3411" t="str">
        <f>"1552376599580602"</f>
        <v>1552376599580602</v>
      </c>
      <c r="C3411" t="s">
        <v>40</v>
      </c>
      <c r="D3411">
        <v>3.9385080000000001</v>
      </c>
      <c r="E3411">
        <v>0.42716870000000001</v>
      </c>
      <c r="F3411" t="s">
        <v>49</v>
      </c>
      <c r="G3411">
        <v>-486.49439999999998</v>
      </c>
      <c r="H3411" s="1">
        <v>5.1102699999999996E-6</v>
      </c>
      <c r="I3411">
        <v>227.67609999999999</v>
      </c>
      <c r="J3411">
        <v>-488.14769999999999</v>
      </c>
      <c r="K3411">
        <v>1.1107800000000001</v>
      </c>
      <c r="L3411">
        <v>229.59989999999999</v>
      </c>
      <c r="M3411">
        <v>0.43697259999999999</v>
      </c>
      <c r="N3411">
        <v>0</v>
      </c>
      <c r="O3411">
        <v>-0.89947440000000001</v>
      </c>
      <c r="P3411">
        <v>0.49122830000000001</v>
      </c>
      <c r="Q3411">
        <v>1.7233120000000001E-3</v>
      </c>
      <c r="R3411">
        <v>-0.87102930000000001</v>
      </c>
      <c r="S3411">
        <v>1.9645079999999999</v>
      </c>
      <c r="T3411">
        <v>-1.2625660000000001</v>
      </c>
      <c r="U3411">
        <v>-2.3497159999999999</v>
      </c>
      <c r="V3411">
        <v>-6.1233639999999999E-2</v>
      </c>
      <c r="W3411">
        <v>3.8034119999999998E-4</v>
      </c>
      <c r="X3411">
        <v>0.99812339999999999</v>
      </c>
      <c r="Y3411">
        <v>-0.19336320000000001</v>
      </c>
      <c r="Z3411">
        <v>0.36242350000000001</v>
      </c>
      <c r="AA3411">
        <v>0.9117345</v>
      </c>
      <c r="AB3411">
        <v>15</v>
      </c>
      <c r="AC3411">
        <v>1.6533</v>
      </c>
      <c r="AD3411">
        <v>-1.1107748897299901</v>
      </c>
      <c r="AE3411">
        <v>-1.9238</v>
      </c>
      <c r="AF3411">
        <v>-0.54243878346999896</v>
      </c>
      <c r="AG3411">
        <v>-1.1107748897299901</v>
      </c>
      <c r="AH3411">
        <v>2.05819100798794</v>
      </c>
      <c r="AI3411">
        <v>117.558484574996</v>
      </c>
      <c r="AJ3411">
        <v>104.764637936797</v>
      </c>
      <c r="AK3411">
        <v>2.40087711364608</v>
      </c>
      <c r="AL3411">
        <v>89.978208054211507</v>
      </c>
      <c r="AM3411">
        <v>93.510625564455594</v>
      </c>
      <c r="AN3411">
        <v>1.0000000124773101</v>
      </c>
    </row>
    <row r="3412" spans="1:40" x14ac:dyDescent="0.25">
      <c r="A3412" t="str">
        <f>"20190312154319612"</f>
        <v>20190312154319612</v>
      </c>
      <c r="B3412" t="str">
        <f>"1552376599610858"</f>
        <v>1552376599610858</v>
      </c>
      <c r="C3412" t="s">
        <v>40</v>
      </c>
      <c r="D3412">
        <v>4.3913690000000001</v>
      </c>
      <c r="E3412">
        <v>0.42170020000000003</v>
      </c>
      <c r="F3412" t="s">
        <v>49</v>
      </c>
      <c r="G3412">
        <v>-486.13929999999999</v>
      </c>
      <c r="H3412" s="1">
        <v>4.889495E-6</v>
      </c>
      <c r="I3412">
        <v>227.26840000000001</v>
      </c>
      <c r="J3412">
        <v>-488.07389999999998</v>
      </c>
      <c r="K3412">
        <v>1.1108610000000001</v>
      </c>
      <c r="L3412">
        <v>229.46010000000001</v>
      </c>
      <c r="M3412">
        <v>0.44088889999999997</v>
      </c>
      <c r="N3412">
        <v>0</v>
      </c>
      <c r="O3412">
        <v>-0.89756150000000001</v>
      </c>
      <c r="P3412">
        <v>0.49784220000000001</v>
      </c>
      <c r="Q3412">
        <v>-2.6001050000000001E-3</v>
      </c>
      <c r="R3412">
        <v>-0.86726380000000003</v>
      </c>
      <c r="S3412">
        <v>1.998108</v>
      </c>
      <c r="T3412">
        <v>-1.105073</v>
      </c>
      <c r="U3412">
        <v>-2.3195190000000001</v>
      </c>
      <c r="V3412">
        <v>-6.4460760000000006E-2</v>
      </c>
      <c r="W3412">
        <v>-3.5398500000000002E-3</v>
      </c>
      <c r="X3412">
        <v>0.99791399999999997</v>
      </c>
      <c r="Y3412">
        <v>-0.2129316</v>
      </c>
      <c r="Z3412">
        <v>0.32329659999999999</v>
      </c>
      <c r="AA3412">
        <v>0.92203009999999996</v>
      </c>
      <c r="AB3412">
        <v>16</v>
      </c>
      <c r="AC3412">
        <v>1.9345999999999799</v>
      </c>
      <c r="AD3412">
        <v>-1.1108561105050001</v>
      </c>
      <c r="AE3412">
        <v>-2.1916999999999902</v>
      </c>
      <c r="AF3412">
        <v>-0.67295719174800706</v>
      </c>
      <c r="AG3412">
        <v>-1.1108561105050001</v>
      </c>
      <c r="AH3412">
        <v>2.4643052577261901</v>
      </c>
      <c r="AI3412">
        <v>113.50208895731799</v>
      </c>
      <c r="AJ3412">
        <v>105.274029615106</v>
      </c>
      <c r="AK3412">
        <v>2.7856189767138999</v>
      </c>
      <c r="AL3412">
        <v>90.202818881430304</v>
      </c>
      <c r="AM3412">
        <v>93.695915089811095</v>
      </c>
      <c r="AN3412">
        <v>1.0000000357568899</v>
      </c>
    </row>
    <row r="3413" spans="1:40" x14ac:dyDescent="0.25">
      <c r="A3413" t="str">
        <f>"20190312154319635"</f>
        <v>20190312154319635</v>
      </c>
      <c r="B3413" t="str">
        <f>"1552376599630378"</f>
        <v>1552376599630378</v>
      </c>
      <c r="C3413" t="s">
        <v>40</v>
      </c>
      <c r="D3413">
        <v>4.2992369999999998</v>
      </c>
      <c r="E3413">
        <v>0.42168559999999999</v>
      </c>
      <c r="F3413" t="s">
        <v>49</v>
      </c>
      <c r="G3413">
        <v>-484.13830000000002</v>
      </c>
      <c r="H3413" s="1">
        <v>3.8914999999999999E-6</v>
      </c>
      <c r="I3413">
        <v>225.05930000000001</v>
      </c>
      <c r="J3413">
        <v>-488.00060000000002</v>
      </c>
      <c r="K3413">
        <v>1.110938</v>
      </c>
      <c r="L3413">
        <v>229.32259999999999</v>
      </c>
      <c r="M3413">
        <v>0.44477420000000001</v>
      </c>
      <c r="N3413">
        <v>0</v>
      </c>
      <c r="O3413">
        <v>-0.89564270000000001</v>
      </c>
      <c r="P3413">
        <v>0.50434420000000002</v>
      </c>
      <c r="Q3413">
        <v>-4.7497909999999997E-3</v>
      </c>
      <c r="R3413">
        <v>-0.86348969999999903</v>
      </c>
      <c r="S3413">
        <v>2.043091</v>
      </c>
      <c r="T3413">
        <v>-0.5766753</v>
      </c>
      <c r="U3413">
        <v>-2.284592</v>
      </c>
      <c r="V3413">
        <v>-6.7630469999999998E-2</v>
      </c>
      <c r="W3413">
        <v>-5.208954E-3</v>
      </c>
      <c r="X3413">
        <v>0.99769680000000005</v>
      </c>
      <c r="Y3413">
        <v>-0.25393470000000001</v>
      </c>
      <c r="Z3413">
        <v>0.17663280000000001</v>
      </c>
      <c r="AA3413">
        <v>0.95095629999999998</v>
      </c>
      <c r="AB3413">
        <v>16</v>
      </c>
      <c r="AC3413">
        <v>3.8622999999999998</v>
      </c>
      <c r="AD3413">
        <v>-1.1109341085</v>
      </c>
      <c r="AE3413">
        <v>-4.2632999999999797</v>
      </c>
      <c r="AF3413">
        <v>-1.5068389099608299</v>
      </c>
      <c r="AG3413">
        <v>-1.1109341085</v>
      </c>
      <c r="AH3413">
        <v>5.33719942473072</v>
      </c>
      <c r="AI3413">
        <v>101.327490202109</v>
      </c>
      <c r="AJ3413">
        <v>105.765839842486</v>
      </c>
      <c r="AK3413">
        <v>5.6560088218943401</v>
      </c>
      <c r="AL3413">
        <v>90.298452441726099</v>
      </c>
      <c r="AM3413">
        <v>93.877953363036895</v>
      </c>
      <c r="AN3413">
        <v>0.99999995920221596</v>
      </c>
    </row>
    <row r="3414" spans="1:40" x14ac:dyDescent="0.25">
      <c r="A3414" t="str">
        <f>"20190312154319657"</f>
        <v>20190312154319657</v>
      </c>
      <c r="B3414" t="str">
        <f>"1552376599650874"</f>
        <v>1552376599650874</v>
      </c>
      <c r="C3414" t="s">
        <v>40</v>
      </c>
      <c r="D3414">
        <v>4.3082599999999998</v>
      </c>
      <c r="E3414">
        <v>0.42369059999999997</v>
      </c>
      <c r="F3414" t="s">
        <v>49</v>
      </c>
      <c r="G3414">
        <v>-483.3032</v>
      </c>
      <c r="H3414" s="1">
        <v>3.462037E-6</v>
      </c>
      <c r="I3414">
        <v>224.1439</v>
      </c>
      <c r="J3414">
        <v>-487.92399999999998</v>
      </c>
      <c r="K3414">
        <v>1.1110249999999999</v>
      </c>
      <c r="L3414">
        <v>229.18039999999999</v>
      </c>
      <c r="M3414">
        <v>0.44885550000000002</v>
      </c>
      <c r="N3414">
        <v>0</v>
      </c>
      <c r="O3414">
        <v>-0.89360450000000002</v>
      </c>
      <c r="P3414">
        <v>0.50962379999999996</v>
      </c>
      <c r="Q3414">
        <v>-5.7520569999999997E-3</v>
      </c>
      <c r="R3414">
        <v>-0.86037849999999905</v>
      </c>
      <c r="S3414">
        <v>2.058411</v>
      </c>
      <c r="T3414">
        <v>-0.48681029999999997</v>
      </c>
      <c r="U3414">
        <v>-2.269333</v>
      </c>
      <c r="V3414">
        <v>-6.9190639999999998E-2</v>
      </c>
      <c r="W3414">
        <v>-5.6706959999999898E-3</v>
      </c>
      <c r="X3414">
        <v>0.99758729999999995</v>
      </c>
      <c r="Y3414">
        <v>-0.25952229999999998</v>
      </c>
      <c r="Z3414">
        <v>0.14977579999999999</v>
      </c>
      <c r="AA3414">
        <v>0.95405209999999996</v>
      </c>
      <c r="AB3414">
        <v>16</v>
      </c>
      <c r="AC3414">
        <v>4.6208000000000302</v>
      </c>
      <c r="AD3414">
        <v>-1.111021537963</v>
      </c>
      <c r="AE3414">
        <v>-5.0364999999999798</v>
      </c>
      <c r="AF3414">
        <v>-1.8204085476357099</v>
      </c>
      <c r="AG3414">
        <v>-1.111021537963</v>
      </c>
      <c r="AH3414">
        <v>6.4054668423731602</v>
      </c>
      <c r="AI3414">
        <v>99.472100205250001</v>
      </c>
      <c r="AJ3414">
        <v>105.864941787326</v>
      </c>
      <c r="AK3414">
        <v>6.7511674254801903</v>
      </c>
      <c r="AL3414">
        <v>90.324908701632097</v>
      </c>
      <c r="AM3414">
        <v>93.967565639847606</v>
      </c>
      <c r="AN3414">
        <v>0.99999996128901103</v>
      </c>
    </row>
    <row r="3415" spans="1:40" x14ac:dyDescent="0.25">
      <c r="A3415" t="str">
        <f>"20190312154319680"</f>
        <v>20190312154319680</v>
      </c>
      <c r="B3415" t="str">
        <f>"1552376599670393"</f>
        <v>1552376599670393</v>
      </c>
      <c r="C3415" t="s">
        <v>40</v>
      </c>
      <c r="D3415">
        <v>4.3437700000000001</v>
      </c>
      <c r="E3415">
        <v>0.42441790000000001</v>
      </c>
      <c r="F3415" t="s">
        <v>49</v>
      </c>
      <c r="G3415">
        <v>-482.81290000000001</v>
      </c>
      <c r="H3415" s="1">
        <v>3.1705450000000002E-6</v>
      </c>
      <c r="I3415">
        <v>223.5538</v>
      </c>
      <c r="J3415">
        <v>-487.84460000000001</v>
      </c>
      <c r="K3415">
        <v>1.1111180000000001</v>
      </c>
      <c r="L3415">
        <v>229.0343</v>
      </c>
      <c r="M3415">
        <v>0.45309719999999998</v>
      </c>
      <c r="N3415">
        <v>0</v>
      </c>
      <c r="O3415">
        <v>-0.89146069999999999</v>
      </c>
      <c r="P3415">
        <v>0.51383809999999996</v>
      </c>
      <c r="Q3415">
        <v>-5.9382460000000003E-3</v>
      </c>
      <c r="R3415">
        <v>-0.85786700000000005</v>
      </c>
      <c r="S3415">
        <v>2.0575559999999999</v>
      </c>
      <c r="T3415">
        <v>-0.44726060000000001</v>
      </c>
      <c r="U3415">
        <v>-2.2650600000000001</v>
      </c>
      <c r="V3415">
        <v>-6.9345379999999998E-2</v>
      </c>
      <c r="W3415">
        <v>-5.2944530000000002E-3</v>
      </c>
      <c r="X3415">
        <v>0.99757870000000004</v>
      </c>
      <c r="Y3415">
        <v>-0.25692739999999997</v>
      </c>
      <c r="Z3415">
        <v>0.1376858</v>
      </c>
      <c r="AA3415">
        <v>0.95657250000000005</v>
      </c>
      <c r="AB3415">
        <v>16</v>
      </c>
      <c r="AC3415">
        <v>5.0316999999999998</v>
      </c>
      <c r="AD3415">
        <v>-1.111114829455</v>
      </c>
      <c r="AE3415">
        <v>-5.4805000000000001</v>
      </c>
      <c r="AF3415">
        <v>-1.95867927105817</v>
      </c>
      <c r="AG3415">
        <v>-1.111114829455</v>
      </c>
      <c r="AH3415">
        <v>7.0091742745997996</v>
      </c>
      <c r="AI3415">
        <v>98.680535869292299</v>
      </c>
      <c r="AJ3415">
        <v>105.612759151337</v>
      </c>
      <c r="AK3415">
        <v>7.3620326447808804</v>
      </c>
      <c r="AL3415">
        <v>90.303351217484803</v>
      </c>
      <c r="AM3415">
        <v>93.976444558392501</v>
      </c>
      <c r="AN3415">
        <v>1.0000000378267999</v>
      </c>
    </row>
    <row r="3416" spans="1:40" x14ac:dyDescent="0.25">
      <c r="A3416" t="str">
        <f>"20190312154319703"</f>
        <v>20190312154319703</v>
      </c>
      <c r="B3416" t="str">
        <f>"1552376599690890"</f>
        <v>1552376599690890</v>
      </c>
      <c r="C3416" t="s">
        <v>40</v>
      </c>
      <c r="D3416">
        <v>4.4200679999999997</v>
      </c>
      <c r="E3416">
        <v>0.42517389999999999</v>
      </c>
      <c r="F3416" t="s">
        <v>49</v>
      </c>
      <c r="G3416">
        <v>-482.51409999999998</v>
      </c>
      <c r="H3416" s="1">
        <v>3.0070939999999998E-6</v>
      </c>
      <c r="I3416">
        <v>223.20079999999999</v>
      </c>
      <c r="J3416">
        <v>-487.76589999999999</v>
      </c>
      <c r="K3416">
        <v>1.1112139999999999</v>
      </c>
      <c r="L3416">
        <v>228.89109999999999</v>
      </c>
      <c r="M3416">
        <v>0.4572753</v>
      </c>
      <c r="N3416">
        <v>0</v>
      </c>
      <c r="O3416">
        <v>-0.8893238</v>
      </c>
      <c r="P3416">
        <v>0.51625770000000004</v>
      </c>
      <c r="Q3416">
        <v>-6.3100750000000001E-3</v>
      </c>
      <c r="R3416">
        <v>-0.8564098</v>
      </c>
      <c r="S3416">
        <v>2.0634459999999999</v>
      </c>
      <c r="T3416">
        <v>-0.4301082</v>
      </c>
      <c r="U3416">
        <v>-2.2581329999999999</v>
      </c>
      <c r="V3416">
        <v>-6.7481120000000006E-2</v>
      </c>
      <c r="W3416">
        <v>-5.1159639999999998E-3</v>
      </c>
      <c r="X3416">
        <v>0.99770740000000002</v>
      </c>
      <c r="Y3416">
        <v>-0.25575550000000002</v>
      </c>
      <c r="Z3416">
        <v>0.1322864</v>
      </c>
      <c r="AA3416">
        <v>0.9576479</v>
      </c>
      <c r="AB3416">
        <v>16</v>
      </c>
      <c r="AC3416">
        <v>5.2518000000000002</v>
      </c>
      <c r="AD3416">
        <v>-1.1112109929059999</v>
      </c>
      <c r="AE3416">
        <v>-5.6902999999999997</v>
      </c>
      <c r="AF3416">
        <v>-2.0267816456176599</v>
      </c>
      <c r="AG3416">
        <v>-1.1112109929059999</v>
      </c>
      <c r="AH3416">
        <v>7.3114797921487398</v>
      </c>
      <c r="AI3416">
        <v>98.332224833832598</v>
      </c>
      <c r="AJ3416">
        <v>105.49366062108101</v>
      </c>
      <c r="AK3416">
        <v>7.6681399609531899</v>
      </c>
      <c r="AL3416">
        <v>90.293124434175098</v>
      </c>
      <c r="AM3416">
        <v>93.869374643437496</v>
      </c>
      <c r="AN3416">
        <v>0.99999996532943103</v>
      </c>
    </row>
    <row r="3417" spans="1:40" x14ac:dyDescent="0.25">
      <c r="A3417" t="str">
        <f>"20190312154319726"</f>
        <v>20190312154319726</v>
      </c>
      <c r="B3417" t="str">
        <f>"1552376599721146"</f>
        <v>1552376599721146</v>
      </c>
      <c r="C3417" t="s">
        <v>40</v>
      </c>
      <c r="D3417">
        <v>4.4746040000000002</v>
      </c>
      <c r="E3417">
        <v>0.42673460000000002</v>
      </c>
      <c r="F3417" t="s">
        <v>49</v>
      </c>
      <c r="G3417">
        <v>-482.30829999999997</v>
      </c>
      <c r="H3417" s="1">
        <v>2.910773E-6</v>
      </c>
      <c r="I3417">
        <v>222.93020000000001</v>
      </c>
      <c r="J3417">
        <v>-487.6848</v>
      </c>
      <c r="K3417">
        <v>1.1113170000000001</v>
      </c>
      <c r="L3417">
        <v>228.74510000000001</v>
      </c>
      <c r="M3417">
        <v>0.46152080000000001</v>
      </c>
      <c r="N3417">
        <v>0</v>
      </c>
      <c r="O3417">
        <v>-0.88712719999999901</v>
      </c>
      <c r="P3417">
        <v>0.5187716</v>
      </c>
      <c r="Q3417">
        <v>-6.6456459999999998E-3</v>
      </c>
      <c r="R3417">
        <v>-0.85488739999999996</v>
      </c>
      <c r="S3417">
        <v>2.064819</v>
      </c>
      <c r="T3417">
        <v>-0.4204078</v>
      </c>
      <c r="U3417">
        <v>-2.2551730000000001</v>
      </c>
      <c r="V3417">
        <v>-6.5645190000000006E-2</v>
      </c>
      <c r="W3417">
        <v>-4.9022010000000001E-3</v>
      </c>
      <c r="X3417">
        <v>0.99783100000000002</v>
      </c>
      <c r="Y3417">
        <v>-0.25238539999999998</v>
      </c>
      <c r="Z3417">
        <v>0.12906969999999901</v>
      </c>
      <c r="AA3417">
        <v>0.95898000000000005</v>
      </c>
      <c r="AB3417">
        <v>16</v>
      </c>
      <c r="AC3417">
        <v>5.3765000000000196</v>
      </c>
      <c r="AD3417">
        <v>-1.1113140892269999</v>
      </c>
      <c r="AE3417">
        <v>-5.81489999999999</v>
      </c>
      <c r="AF3417">
        <v>-2.04566485083352</v>
      </c>
      <c r="AG3417">
        <v>-1.1113140892269999</v>
      </c>
      <c r="AH3417">
        <v>7.4924040625569504</v>
      </c>
      <c r="AI3417">
        <v>98.143061436732907</v>
      </c>
      <c r="AJ3417">
        <v>105.271359643686</v>
      </c>
      <c r="AK3417">
        <v>7.8457556884897999</v>
      </c>
      <c r="AL3417">
        <v>90.280876548809999</v>
      </c>
      <c r="AM3417">
        <v>93.763944170676993</v>
      </c>
      <c r="AN3417">
        <v>1.0000000135528899</v>
      </c>
    </row>
    <row r="3418" spans="1:40" x14ac:dyDescent="0.25">
      <c r="A3418" t="str">
        <f>"20190312154319749"</f>
        <v>20190312154319749</v>
      </c>
      <c r="B3418" t="str">
        <f>"1552376599740666"</f>
        <v>1552376599740666</v>
      </c>
      <c r="C3418" t="s">
        <v>40</v>
      </c>
      <c r="D3418">
        <v>4.5295719999999999</v>
      </c>
      <c r="E3418">
        <v>0.42776799999999998</v>
      </c>
      <c r="F3418" t="s">
        <v>49</v>
      </c>
      <c r="G3418">
        <v>-482.02460000000002</v>
      </c>
      <c r="H3418" s="1">
        <v>2.7770190000000002E-6</v>
      </c>
      <c r="I3418">
        <v>222.55279999999999</v>
      </c>
      <c r="J3418">
        <v>-487.60199999999998</v>
      </c>
      <c r="K3418">
        <v>1.1114219999999999</v>
      </c>
      <c r="L3418">
        <v>228.5977</v>
      </c>
      <c r="M3418">
        <v>0.46578609999999998</v>
      </c>
      <c r="N3418">
        <v>0</v>
      </c>
      <c r="O3418">
        <v>-0.88489359999999995</v>
      </c>
      <c r="P3418">
        <v>0.52126410000000001</v>
      </c>
      <c r="Q3418">
        <v>-7.7103609999999998E-3</v>
      </c>
      <c r="R3418">
        <v>-0.85336069999999997</v>
      </c>
      <c r="S3418">
        <v>2.0613709999999998</v>
      </c>
      <c r="T3418">
        <v>-0.40472730000000001</v>
      </c>
      <c r="U3418">
        <v>-2.2551570000000001</v>
      </c>
      <c r="V3418">
        <v>-6.3753569999999996E-2</v>
      </c>
      <c r="W3418">
        <v>-5.4214600000000003E-3</v>
      </c>
      <c r="X3418">
        <v>0.99795100000000003</v>
      </c>
      <c r="Y3418">
        <v>-0.24740129999999999</v>
      </c>
      <c r="Z3418">
        <v>0.124041899999999</v>
      </c>
      <c r="AA3418">
        <v>0.96094029999999997</v>
      </c>
      <c r="AB3418">
        <v>16</v>
      </c>
      <c r="AC3418">
        <v>5.5773999999999502</v>
      </c>
      <c r="AD3418">
        <v>-1.1114192229809901</v>
      </c>
      <c r="AE3418">
        <v>-6.0449000000000099</v>
      </c>
      <c r="AF3418">
        <v>-2.0817691955493798</v>
      </c>
      <c r="AG3418">
        <v>-1.1114192229809901</v>
      </c>
      <c r="AH3418">
        <v>7.8044855494477501</v>
      </c>
      <c r="AI3418">
        <v>97.834521309440902</v>
      </c>
      <c r="AJ3418">
        <v>104.935344781916</v>
      </c>
      <c r="AK3418">
        <v>8.1534661564446793</v>
      </c>
      <c r="AL3418">
        <v>90.310628281664606</v>
      </c>
      <c r="AM3418">
        <v>93.655343106756007</v>
      </c>
      <c r="AN3418">
        <v>1.00000005415863</v>
      </c>
    </row>
    <row r="3419" spans="1:40" x14ac:dyDescent="0.25">
      <c r="A3419" t="str">
        <f>"20190312154319769"</f>
        <v>20190312154319769</v>
      </c>
      <c r="B3419" t="str">
        <f>"1552376599761163"</f>
        <v>1552376599761163</v>
      </c>
      <c r="C3419" t="s">
        <v>40</v>
      </c>
      <c r="D3419">
        <v>4.5442720000000003</v>
      </c>
      <c r="E3419">
        <v>0.42824079999999898</v>
      </c>
      <c r="F3419" t="s">
        <v>49</v>
      </c>
      <c r="G3419">
        <v>-481.90100000000001</v>
      </c>
      <c r="H3419" s="1">
        <v>2.7133209999999999E-6</v>
      </c>
      <c r="I3419">
        <v>222.3639</v>
      </c>
      <c r="J3419">
        <v>-487.52440000000001</v>
      </c>
      <c r="K3419">
        <v>1.1115079999999999</v>
      </c>
      <c r="L3419">
        <v>228.46119999999999</v>
      </c>
      <c r="M3419">
        <v>0.46971210000000002</v>
      </c>
      <c r="N3419">
        <v>0</v>
      </c>
      <c r="O3419">
        <v>-0.88281430000000005</v>
      </c>
      <c r="P3419">
        <v>0.52414300000000003</v>
      </c>
      <c r="Q3419">
        <v>-9.3314220000000007E-3</v>
      </c>
      <c r="R3419">
        <v>-0.85157919999999998</v>
      </c>
      <c r="S3419">
        <v>2.060638</v>
      </c>
      <c r="T3419">
        <v>-0.40172239999999998</v>
      </c>
      <c r="U3419">
        <v>-2.253174</v>
      </c>
      <c r="V3419">
        <v>-6.2691469999999999E-2</v>
      </c>
      <c r="W3419">
        <v>-6.5537199999999999E-3</v>
      </c>
      <c r="X3419">
        <v>0.99801139999999999</v>
      </c>
      <c r="Y3419">
        <v>-0.24344650000000001</v>
      </c>
      <c r="Z3419">
        <v>0.12287969999999999</v>
      </c>
      <c r="AA3419">
        <v>0.96209900000000004</v>
      </c>
      <c r="AB3419">
        <v>17</v>
      </c>
      <c r="AC3419">
        <v>5.6234000000000002</v>
      </c>
      <c r="AD3419">
        <v>-1.1115052866789901</v>
      </c>
      <c r="AE3419">
        <v>-6.09729999999999</v>
      </c>
      <c r="AF3419">
        <v>-2.0633995744742202</v>
      </c>
      <c r="AG3419">
        <v>-1.1115052866789901</v>
      </c>
      <c r="AH3419">
        <v>7.8826509226644799</v>
      </c>
      <c r="AI3419">
        <v>97.767801329170297</v>
      </c>
      <c r="AJ3419">
        <v>104.668881832417</v>
      </c>
      <c r="AK3419">
        <v>8.2237003456375302</v>
      </c>
      <c r="AL3419">
        <v>90.375503198056904</v>
      </c>
      <c r="AM3419">
        <v>93.594391103929098</v>
      </c>
      <c r="AN3419">
        <v>0.99999996309327899</v>
      </c>
    </row>
    <row r="3420" spans="1:40" x14ac:dyDescent="0.25">
      <c r="A3420" t="str">
        <f>"20190312154319792"</f>
        <v>20190312154319792</v>
      </c>
      <c r="B3420" t="str">
        <f>"1552376599780682"</f>
        <v>1552376599780682</v>
      </c>
      <c r="C3420" t="s">
        <v>40</v>
      </c>
      <c r="D3420">
        <v>4.5620890000000003</v>
      </c>
      <c r="E3420">
        <v>0.42873919999999999</v>
      </c>
      <c r="F3420" t="s">
        <v>49</v>
      </c>
      <c r="G3420">
        <v>-481.84120000000001</v>
      </c>
      <c r="H3420" s="1">
        <v>2.6829939999999998E-6</v>
      </c>
      <c r="I3420">
        <v>222.2747</v>
      </c>
      <c r="J3420">
        <v>-487.44260000000003</v>
      </c>
      <c r="K3420">
        <v>1.111585</v>
      </c>
      <c r="L3420">
        <v>228.31890000000001</v>
      </c>
      <c r="M3420">
        <v>0.47379329999999997</v>
      </c>
      <c r="N3420">
        <v>0</v>
      </c>
      <c r="O3420">
        <v>-0.88062890000000005</v>
      </c>
      <c r="P3420">
        <v>0.52794269999999999</v>
      </c>
      <c r="Q3420">
        <v>-1.125989E-2</v>
      </c>
      <c r="R3420">
        <v>-0.84920549999999995</v>
      </c>
      <c r="S3420">
        <v>2.0647280000000001</v>
      </c>
      <c r="T3420">
        <v>-0.40381709999999998</v>
      </c>
      <c r="U3420">
        <v>-2.2476039999999999</v>
      </c>
      <c r="V3420">
        <v>-6.2532799999999999E-2</v>
      </c>
      <c r="W3420">
        <v>-8.0003350000000008E-3</v>
      </c>
      <c r="X3420">
        <v>0.99801079999999998</v>
      </c>
      <c r="Y3420">
        <v>-0.24104700000000001</v>
      </c>
      <c r="Z3420">
        <v>0.12326769999999999</v>
      </c>
      <c r="AA3420">
        <v>0.96265330000000005</v>
      </c>
      <c r="AB3420">
        <v>17</v>
      </c>
      <c r="AC3420">
        <v>5.6014000000000097</v>
      </c>
      <c r="AD3420">
        <v>-1.111582317006</v>
      </c>
      <c r="AE3420">
        <v>-6.0442000000000098</v>
      </c>
      <c r="AF3420">
        <v>-2.0320915824530799</v>
      </c>
      <c r="AG3420">
        <v>-1.111582317006</v>
      </c>
      <c r="AH3420">
        <v>7.8341085405993498</v>
      </c>
      <c r="AI3420">
        <v>97.820348375868605</v>
      </c>
      <c r="AJ3420">
        <v>104.54148881589499</v>
      </c>
      <c r="AK3420">
        <v>8.1693493053516093</v>
      </c>
      <c r="AL3420">
        <v>90.458390340045298</v>
      </c>
      <c r="AM3420">
        <v>93.585319730483803</v>
      </c>
      <c r="AN3420">
        <v>0.99999995667629504</v>
      </c>
    </row>
    <row r="3421" spans="1:40" x14ac:dyDescent="0.25">
      <c r="A3421" t="str">
        <f>"20190312154319813"</f>
        <v>20190312154319813</v>
      </c>
      <c r="B3421" t="str">
        <f>"1552376599801179"</f>
        <v>1552376599801179</v>
      </c>
      <c r="C3421" t="s">
        <v>40</v>
      </c>
      <c r="D3421">
        <v>4.6102309999999997</v>
      </c>
      <c r="E3421">
        <v>0.42931429999999998</v>
      </c>
      <c r="F3421" t="s">
        <v>49</v>
      </c>
      <c r="G3421">
        <v>-481.76960000000003</v>
      </c>
      <c r="H3421" s="1">
        <v>2.6501459999999998E-6</v>
      </c>
      <c r="I3421">
        <v>222.18360000000001</v>
      </c>
      <c r="J3421">
        <v>-487.3614</v>
      </c>
      <c r="K3421">
        <v>1.1116509999999999</v>
      </c>
      <c r="L3421">
        <v>228.17930000000001</v>
      </c>
      <c r="M3421">
        <v>0.4777941</v>
      </c>
      <c r="N3421">
        <v>0</v>
      </c>
      <c r="O3421">
        <v>-0.87846250000000003</v>
      </c>
      <c r="P3421">
        <v>0.53143739999999995</v>
      </c>
      <c r="Q3421">
        <v>-1.217011E-2</v>
      </c>
      <c r="R3421">
        <v>-0.84701039999999905</v>
      </c>
      <c r="S3421">
        <v>2.0710449999999998</v>
      </c>
      <c r="T3421">
        <v>-0.40580630000000001</v>
      </c>
      <c r="U3421">
        <v>-2.2398220000000002</v>
      </c>
      <c r="V3421">
        <v>-6.2108080000000003E-2</v>
      </c>
      <c r="W3421">
        <v>-8.4616090000000001E-3</v>
      </c>
      <c r="X3421">
        <v>0.99803359999999997</v>
      </c>
      <c r="Y3421">
        <v>-0.2397157</v>
      </c>
      <c r="Z3421">
        <v>0.1236606</v>
      </c>
      <c r="AA3421">
        <v>0.96293530000000005</v>
      </c>
      <c r="AB3421">
        <v>17</v>
      </c>
      <c r="AC3421">
        <v>5.5917999999999699</v>
      </c>
      <c r="AD3421">
        <v>-1.111648349854</v>
      </c>
      <c r="AE3421">
        <v>-5.9956999999999896</v>
      </c>
      <c r="AF3421">
        <v>-2.0105302262648101</v>
      </c>
      <c r="AG3421">
        <v>-1.111648349854</v>
      </c>
      <c r="AH3421">
        <v>7.7954739576872596</v>
      </c>
      <c r="AI3421">
        <v>97.861869850369004</v>
      </c>
      <c r="AJ3421">
        <v>104.461990263065</v>
      </c>
      <c r="AK3421">
        <v>8.1269556458392191</v>
      </c>
      <c r="AL3421">
        <v>90.4848202499454</v>
      </c>
      <c r="AM3421">
        <v>93.560950131051698</v>
      </c>
      <c r="AN3421">
        <v>1.00000003957855</v>
      </c>
    </row>
    <row r="3422" spans="1:40" x14ac:dyDescent="0.25">
      <c r="A3422" t="str">
        <f>"20190312154319837"</f>
        <v>20190312154319837</v>
      </c>
      <c r="B3422" t="str">
        <f>"1552376599830458"</f>
        <v>1552376599830458</v>
      </c>
      <c r="C3422" t="s">
        <v>40</v>
      </c>
      <c r="D3422">
        <v>4.6252979999999999</v>
      </c>
      <c r="E3422">
        <v>0.42989909999999998</v>
      </c>
      <c r="F3422" t="s">
        <v>49</v>
      </c>
      <c r="G3422">
        <v>-481.65469999999999</v>
      </c>
      <c r="H3422" s="1">
        <v>2.5983819999999999E-6</v>
      </c>
      <c r="I3422">
        <v>222.04169999999999</v>
      </c>
      <c r="J3422">
        <v>-487.27569999999997</v>
      </c>
      <c r="K3422">
        <v>1.1117090000000001</v>
      </c>
      <c r="L3422">
        <v>228.0334</v>
      </c>
      <c r="M3422">
        <v>0.4819696</v>
      </c>
      <c r="N3422">
        <v>0</v>
      </c>
      <c r="O3422">
        <v>-0.87617659999999997</v>
      </c>
      <c r="P3422">
        <v>0.5353521</v>
      </c>
      <c r="Q3422">
        <v>-1.164342E-2</v>
      </c>
      <c r="R3422">
        <v>-0.84454879999999999</v>
      </c>
      <c r="S3422">
        <v>2.076416</v>
      </c>
      <c r="T3422">
        <v>-0.40448210000000001</v>
      </c>
      <c r="U3422">
        <v>-2.233215</v>
      </c>
      <c r="V3422">
        <v>-6.1977690000000002E-2</v>
      </c>
      <c r="W3422">
        <v>-7.4924630000000004E-3</v>
      </c>
      <c r="X3422">
        <v>0.99804939999999998</v>
      </c>
      <c r="Y3422">
        <v>-0.23780850000000001</v>
      </c>
      <c r="Z3422">
        <v>0.1230155</v>
      </c>
      <c r="AA3422">
        <v>0.96349070000000003</v>
      </c>
      <c r="AB3422">
        <v>17</v>
      </c>
      <c r="AC3422">
        <v>5.62099999999998</v>
      </c>
      <c r="AD3422">
        <v>-1.1117064016180001</v>
      </c>
      <c r="AE3422">
        <v>-5.9916999999999998</v>
      </c>
      <c r="AF3422">
        <v>-2.0005602901806601</v>
      </c>
      <c r="AG3422">
        <v>-1.1117064016180001</v>
      </c>
      <c r="AH3422">
        <v>7.8159040027081303</v>
      </c>
      <c r="AI3422">
        <v>97.845620239149994</v>
      </c>
      <c r="AJ3422">
        <v>104.35719598313899</v>
      </c>
      <c r="AK3422">
        <v>8.1441075617648302</v>
      </c>
      <c r="AL3422">
        <v>90.429290529808696</v>
      </c>
      <c r="AM3422">
        <v>93.553437320505594</v>
      </c>
      <c r="AN3422">
        <v>0.99999998794995104</v>
      </c>
    </row>
    <row r="3423" spans="1:40" x14ac:dyDescent="0.25">
      <c r="A3423" t="str">
        <f>"20190312154319859"</f>
        <v>20190312154319859</v>
      </c>
      <c r="B3423" t="str">
        <f>"1552376599850954"</f>
        <v>1552376599850954</v>
      </c>
      <c r="C3423" t="s">
        <v>40</v>
      </c>
      <c r="D3423">
        <v>4.7009919999999896</v>
      </c>
      <c r="E3423">
        <v>0.41594979999999998</v>
      </c>
      <c r="F3423" t="s">
        <v>49</v>
      </c>
      <c r="G3423">
        <v>-481.4384</v>
      </c>
      <c r="H3423" s="1">
        <v>2.5053789999999998E-6</v>
      </c>
      <c r="I3423">
        <v>221.7945</v>
      </c>
      <c r="J3423">
        <v>-487.18700000000001</v>
      </c>
      <c r="K3423">
        <v>1.111761</v>
      </c>
      <c r="L3423">
        <v>227.88399999999999</v>
      </c>
      <c r="M3423">
        <v>0.48624580000000001</v>
      </c>
      <c r="N3423">
        <v>0</v>
      </c>
      <c r="O3423">
        <v>-0.87380820000000003</v>
      </c>
      <c r="P3423">
        <v>0.53961040000000005</v>
      </c>
      <c r="Q3423">
        <v>-1.1131469999999999E-2</v>
      </c>
      <c r="R3423">
        <v>-0.84184139999999996</v>
      </c>
      <c r="S3423">
        <v>2.083008</v>
      </c>
      <c r="T3423">
        <v>-0.39670739999999999</v>
      </c>
      <c r="U3423">
        <v>-2.226318</v>
      </c>
      <c r="V3423">
        <v>-6.2140859999999999E-2</v>
      </c>
      <c r="W3423">
        <v>-6.543086E-3</v>
      </c>
      <c r="X3423">
        <v>0.99804590000000004</v>
      </c>
      <c r="Y3423">
        <v>-0.2363073</v>
      </c>
      <c r="Z3423">
        <v>0.12042</v>
      </c>
      <c r="AA3423">
        <v>0.96418769999999998</v>
      </c>
      <c r="AB3423">
        <v>17</v>
      </c>
      <c r="AC3423">
        <v>5.74859999999995</v>
      </c>
      <c r="AD3423">
        <v>-1.111758494621</v>
      </c>
      <c r="AE3423">
        <v>-6.0895000000000099</v>
      </c>
      <c r="AF3423">
        <v>-2.0264883507490699</v>
      </c>
      <c r="AG3423">
        <v>-1.111758494621</v>
      </c>
      <c r="AH3423">
        <v>7.9758130708536203</v>
      </c>
      <c r="AI3423">
        <v>97.694001794186704</v>
      </c>
      <c r="AJ3423">
        <v>104.25600510097399</v>
      </c>
      <c r="AK3423">
        <v>8.3039903737470109</v>
      </c>
      <c r="AL3423">
        <v>90.374893903380098</v>
      </c>
      <c r="AM3423">
        <v>93.562780928304804</v>
      </c>
      <c r="AN3423">
        <v>0.99999995848137502</v>
      </c>
    </row>
    <row r="3424" spans="1:40" x14ac:dyDescent="0.25">
      <c r="A3424" t="str">
        <f>"20190312154319881"</f>
        <v>20190312154319881</v>
      </c>
      <c r="B3424" t="str">
        <f>"1552376599870476"</f>
        <v>1552376599870476</v>
      </c>
      <c r="C3424" t="s">
        <v>40</v>
      </c>
      <c r="D3424">
        <v>4.8257209999999997</v>
      </c>
      <c r="E3424">
        <v>0.4124101</v>
      </c>
      <c r="F3424" t="s">
        <v>49</v>
      </c>
      <c r="G3424">
        <v>-478.60289999999998</v>
      </c>
      <c r="H3424" s="1">
        <v>2.3529450000000001E-6</v>
      </c>
      <c r="I3424">
        <v>219.41</v>
      </c>
      <c r="J3424">
        <v>-487.10120000000001</v>
      </c>
      <c r="K3424">
        <v>1.111812</v>
      </c>
      <c r="L3424">
        <v>227.7413</v>
      </c>
      <c r="M3424">
        <v>0.49032680000000001</v>
      </c>
      <c r="N3424">
        <v>0</v>
      </c>
      <c r="O3424">
        <v>-0.87152240000000003</v>
      </c>
      <c r="P3424">
        <v>0.54328909999999997</v>
      </c>
      <c r="Q3424">
        <v>-1.0856340000000001E-2</v>
      </c>
      <c r="R3424">
        <v>-0.83947559999999999</v>
      </c>
      <c r="S3424">
        <v>2.1864620000000001</v>
      </c>
      <c r="T3424">
        <v>-0.28317920000000002</v>
      </c>
      <c r="U3424">
        <v>-2.1584319999999999</v>
      </c>
      <c r="V3424">
        <v>-6.1841779999999999E-2</v>
      </c>
      <c r="W3424">
        <v>-5.8460919999999998E-3</v>
      </c>
      <c r="X3424">
        <v>0.99806890000000004</v>
      </c>
      <c r="Y3424">
        <v>-0.27275349999999998</v>
      </c>
      <c r="Z3424">
        <v>8.630401E-2</v>
      </c>
      <c r="AA3424">
        <v>0.95820519999999998</v>
      </c>
      <c r="AB3424">
        <v>17</v>
      </c>
      <c r="AC3424">
        <v>8.4983000000000199</v>
      </c>
      <c r="AD3424">
        <v>-1.1118096470550001</v>
      </c>
      <c r="AE3424">
        <v>-8.3312999999999899</v>
      </c>
      <c r="AF3424">
        <v>-3.2927083826919299</v>
      </c>
      <c r="AG3424">
        <v>-1.1118096470550001</v>
      </c>
      <c r="AH3424">
        <v>11.329143200573</v>
      </c>
      <c r="AI3424">
        <v>95.383517769936205</v>
      </c>
      <c r="AJ3424">
        <v>106.20600679495701</v>
      </c>
      <c r="AK3424">
        <v>11.850212438763499</v>
      </c>
      <c r="AL3424">
        <v>90.334958287524003</v>
      </c>
      <c r="AM3424">
        <v>93.545595841119905</v>
      </c>
      <c r="AN3424">
        <v>1.0000000558462201</v>
      </c>
    </row>
    <row r="3425" spans="1:40" x14ac:dyDescent="0.25">
      <c r="A3425" t="str">
        <f>"20190312154319903"</f>
        <v>20190312154319903</v>
      </c>
      <c r="B3425" t="str">
        <f>"1552376599890974"</f>
        <v>1552376599890974</v>
      </c>
      <c r="C3425" t="s">
        <v>40</v>
      </c>
      <c r="D3425">
        <v>4.78024</v>
      </c>
      <c r="E3425">
        <v>0.41192820000000002</v>
      </c>
      <c r="F3425" t="s">
        <v>49</v>
      </c>
      <c r="G3425">
        <v>-479.07190000000003</v>
      </c>
      <c r="H3425" s="1">
        <v>2.2084770000000001E-6</v>
      </c>
      <c r="I3425">
        <v>220.02789999999999</v>
      </c>
      <c r="J3425">
        <v>-487.0154</v>
      </c>
      <c r="K3425">
        <v>1.1118669999999999</v>
      </c>
      <c r="L3425">
        <v>227.59989999999999</v>
      </c>
      <c r="M3425">
        <v>0.49436859999999999</v>
      </c>
      <c r="N3425">
        <v>0</v>
      </c>
      <c r="O3425">
        <v>-0.86923309999999998</v>
      </c>
      <c r="P3425">
        <v>0.54684100000000002</v>
      </c>
      <c r="Q3425">
        <v>-1.139622E-2</v>
      </c>
      <c r="R3425">
        <v>-0.83715869999999903</v>
      </c>
      <c r="S3425">
        <v>2.2201840000000002</v>
      </c>
      <c r="T3425">
        <v>-0.30742740000000002</v>
      </c>
      <c r="U3425">
        <v>-2.1328580000000001</v>
      </c>
      <c r="V3425">
        <v>-6.1437199999999997E-2</v>
      </c>
      <c r="W3425">
        <v>-5.9492709999999999E-3</v>
      </c>
      <c r="X3425">
        <v>0.99809320000000001</v>
      </c>
      <c r="Y3425">
        <v>-0.28078120000000001</v>
      </c>
      <c r="Z3425">
        <v>9.3484070000000002E-2</v>
      </c>
      <c r="AA3425">
        <v>0.95520819999999995</v>
      </c>
      <c r="AB3425">
        <v>17</v>
      </c>
      <c r="AC3425">
        <v>7.94349999999997</v>
      </c>
      <c r="AD3425">
        <v>-1.111864791523</v>
      </c>
      <c r="AE3425">
        <v>-7.5720000000000001</v>
      </c>
      <c r="AF3425">
        <v>-3.1293249373102299</v>
      </c>
      <c r="AG3425">
        <v>-1.111864791523</v>
      </c>
      <c r="AH3425">
        <v>10.402248326951</v>
      </c>
      <c r="AI3425">
        <v>95.844196557973405</v>
      </c>
      <c r="AJ3425">
        <v>106.742946866959</v>
      </c>
      <c r="AK3425">
        <v>10.919509518904899</v>
      </c>
      <c r="AL3425">
        <v>90.3408701372271</v>
      </c>
      <c r="AM3425">
        <v>93.522372969784897</v>
      </c>
      <c r="AN3425">
        <v>0.999999979627755</v>
      </c>
    </row>
    <row r="3426" spans="1:40" x14ac:dyDescent="0.25">
      <c r="A3426" t="str">
        <f>"20190312154319929"</f>
        <v>20190312154319929</v>
      </c>
      <c r="B3426" t="str">
        <f>"1552376599921227"</f>
        <v>1552376599921227</v>
      </c>
      <c r="C3426" t="s">
        <v>40</v>
      </c>
      <c r="D3426">
        <v>4.7028280000000002</v>
      </c>
      <c r="E3426">
        <v>0.40883920000000001</v>
      </c>
      <c r="F3426" t="s">
        <v>49</v>
      </c>
      <c r="G3426">
        <v>-479.43610000000001</v>
      </c>
      <c r="H3426" s="1">
        <v>2.1200940000000001E-6</v>
      </c>
      <c r="I3426">
        <v>220.40280000000001</v>
      </c>
      <c r="J3426">
        <v>-486.91680000000002</v>
      </c>
      <c r="K3426">
        <v>1.1119250000000001</v>
      </c>
      <c r="L3426">
        <v>227.4392</v>
      </c>
      <c r="M3426">
        <v>0.49895129999999999</v>
      </c>
      <c r="N3426">
        <v>0</v>
      </c>
      <c r="O3426">
        <v>-0.86660700000000002</v>
      </c>
      <c r="P3426">
        <v>0.55093380000000003</v>
      </c>
      <c r="Q3426">
        <v>-1.2467819999999999E-2</v>
      </c>
      <c r="R3426">
        <v>-0.83445569999999902</v>
      </c>
      <c r="S3426">
        <v>2.233063</v>
      </c>
      <c r="T3426">
        <v>-0.32758749999999998</v>
      </c>
      <c r="U3426">
        <v>-2.1204679999999998</v>
      </c>
      <c r="V3426">
        <v>-6.1057199999999999E-2</v>
      </c>
      <c r="W3426">
        <v>-6.4953719999999897E-3</v>
      </c>
      <c r="X3426">
        <v>0.99811320000000003</v>
      </c>
      <c r="Y3426">
        <v>-0.28077970000000002</v>
      </c>
      <c r="Z3426">
        <v>9.9327739999999998E-2</v>
      </c>
      <c r="AA3426">
        <v>0.95461859999999998</v>
      </c>
      <c r="AB3426">
        <v>17</v>
      </c>
      <c r="AC3426">
        <v>7.4807000000000103</v>
      </c>
      <c r="AD3426">
        <v>-1.1119228799059999</v>
      </c>
      <c r="AE3426">
        <v>-7.03639999999998</v>
      </c>
      <c r="AF3426">
        <v>-2.93762957502453</v>
      </c>
      <c r="AG3426">
        <v>-1.1119228799059999</v>
      </c>
      <c r="AH3426">
        <v>9.7165937755581009</v>
      </c>
      <c r="AI3426">
        <v>96.251185982249197</v>
      </c>
      <c r="AJ3426">
        <v>106.821705494771</v>
      </c>
      <c r="AK3426">
        <v>10.211671489532501</v>
      </c>
      <c r="AL3426">
        <v>90.372159994417103</v>
      </c>
      <c r="AM3426">
        <v>93.500570842048703</v>
      </c>
      <c r="AN3426">
        <v>1.0000000657717401</v>
      </c>
    </row>
    <row r="3427" spans="1:40" x14ac:dyDescent="0.25">
      <c r="A3427" t="str">
        <f>"20190312154319949"</f>
        <v>20190312154319949</v>
      </c>
      <c r="B3427" t="str">
        <f>"1552376599940746"</f>
        <v>1552376599940746</v>
      </c>
      <c r="C3427" t="s">
        <v>40</v>
      </c>
      <c r="D3427">
        <v>4.6903110000000003</v>
      </c>
      <c r="E3427">
        <v>0.40780430000000001</v>
      </c>
      <c r="F3427" t="s">
        <v>49</v>
      </c>
      <c r="G3427">
        <v>-478.95249999999999</v>
      </c>
      <c r="H3427" s="1">
        <v>2.2663510000000001E-6</v>
      </c>
      <c r="I3427">
        <v>220.0651</v>
      </c>
      <c r="J3427">
        <v>-486.83210000000003</v>
      </c>
      <c r="K3427">
        <v>1.111985</v>
      </c>
      <c r="L3427">
        <v>227.30269999999999</v>
      </c>
      <c r="M3427">
        <v>0.50284249999999997</v>
      </c>
      <c r="N3427">
        <v>0</v>
      </c>
      <c r="O3427">
        <v>-0.86435149999999905</v>
      </c>
      <c r="P3427">
        <v>0.55444209999999905</v>
      </c>
      <c r="Q3427">
        <v>-1.294696E-2</v>
      </c>
      <c r="R3427">
        <v>-0.83212140000000001</v>
      </c>
      <c r="S3427">
        <v>2.263611</v>
      </c>
      <c r="T3427">
        <v>-0.31602999999999998</v>
      </c>
      <c r="U3427">
        <v>-2.0958860000000001</v>
      </c>
      <c r="V3427">
        <v>-6.0774019999999998E-2</v>
      </c>
      <c r="W3427">
        <v>-6.5103100000000001E-3</v>
      </c>
      <c r="X3427">
        <v>0.99813030000000003</v>
      </c>
      <c r="Y3427">
        <v>-0.2887729</v>
      </c>
      <c r="Z3427">
        <v>9.573334E-2</v>
      </c>
      <c r="AA3427">
        <v>0.95259919999999998</v>
      </c>
      <c r="AB3427">
        <v>17</v>
      </c>
      <c r="AC3427">
        <v>7.8796000000000301</v>
      </c>
      <c r="AD3427">
        <v>-1.111982733649</v>
      </c>
      <c r="AE3427">
        <v>-7.23759999999998</v>
      </c>
      <c r="AF3427">
        <v>-3.1375524161936399</v>
      </c>
      <c r="AG3427">
        <v>-1.111982733649</v>
      </c>
      <c r="AH3427">
        <v>10.109065437958799</v>
      </c>
      <c r="AI3427">
        <v>95.997206131521807</v>
      </c>
      <c r="AJ3427">
        <v>107.242784137952</v>
      </c>
      <c r="AK3427">
        <v>10.6430232919612</v>
      </c>
      <c r="AL3427">
        <v>90.373015928541705</v>
      </c>
      <c r="AM3427">
        <v>93.484315928468007</v>
      </c>
      <c r="AN3427">
        <v>0.99999998071067298</v>
      </c>
    </row>
    <row r="3428" spans="1:40" x14ac:dyDescent="0.25">
      <c r="A3428" t="str">
        <f>"20190312154319971"</f>
        <v>20190312154319971</v>
      </c>
      <c r="B3428" t="str">
        <f>"1552376599961243"</f>
        <v>1552376599961243</v>
      </c>
      <c r="C3428" t="s">
        <v>40</v>
      </c>
      <c r="D3428">
        <v>4.6824009999999996</v>
      </c>
      <c r="E3428">
        <v>0.4078965</v>
      </c>
      <c r="F3428" t="s">
        <v>49</v>
      </c>
      <c r="G3428">
        <v>-478.6859</v>
      </c>
      <c r="H3428" s="1">
        <v>2.3576730000000002E-6</v>
      </c>
      <c r="I3428">
        <v>219.86199999999999</v>
      </c>
      <c r="J3428">
        <v>-486.74200000000002</v>
      </c>
      <c r="K3428">
        <v>1.112047</v>
      </c>
      <c r="L3428">
        <v>227.1592</v>
      </c>
      <c r="M3428">
        <v>0.50693509999999997</v>
      </c>
      <c r="N3428">
        <v>0</v>
      </c>
      <c r="O3428">
        <v>-0.86195390000000005</v>
      </c>
      <c r="P3428">
        <v>0.55866340000000003</v>
      </c>
      <c r="Q3428">
        <v>-1.283494E-2</v>
      </c>
      <c r="R3428">
        <v>-0.82929529999999996</v>
      </c>
      <c r="S3428">
        <v>2.279175</v>
      </c>
      <c r="T3428">
        <v>-0.31111719999999998</v>
      </c>
      <c r="U3428">
        <v>-2.0818020000000002</v>
      </c>
      <c r="V3428">
        <v>-6.111407E-2</v>
      </c>
      <c r="W3428">
        <v>-5.9191290000000004E-3</v>
      </c>
      <c r="X3428">
        <v>0.99811320000000003</v>
      </c>
      <c r="Y3428">
        <v>-0.2908133</v>
      </c>
      <c r="Z3428">
        <v>9.4076450000000006E-2</v>
      </c>
      <c r="AA3428">
        <v>0.95214350000000003</v>
      </c>
      <c r="AB3428">
        <v>17</v>
      </c>
      <c r="AC3428">
        <v>8.0560999999999492</v>
      </c>
      <c r="AD3428">
        <v>-1.1120446423270001</v>
      </c>
      <c r="AE3428">
        <v>-7.2972000000000001</v>
      </c>
      <c r="AF3428">
        <v>-3.21125348648019</v>
      </c>
      <c r="AG3428">
        <v>-1.1120446423270001</v>
      </c>
      <c r="AH3428">
        <v>10.2665834367212</v>
      </c>
      <c r="AI3428">
        <v>95.902150235738304</v>
      </c>
      <c r="AJ3428">
        <v>107.36900255758999</v>
      </c>
      <c r="AK3428">
        <v>10.8144129616044</v>
      </c>
      <c r="AL3428">
        <v>90.339143103094699</v>
      </c>
      <c r="AM3428">
        <v>93.503823230552896</v>
      </c>
      <c r="AN3428">
        <v>0.99999996282716097</v>
      </c>
    </row>
    <row r="3429" spans="1:40" x14ac:dyDescent="0.25">
      <c r="A3429" t="str">
        <f>"20190312154319994"</f>
        <v>20190312154319994</v>
      </c>
      <c r="B3429" t="str">
        <f>"1552376599990523"</f>
        <v>1552376599990523</v>
      </c>
      <c r="C3429" t="s">
        <v>40</v>
      </c>
      <c r="D3429">
        <v>4.6279379999999897</v>
      </c>
      <c r="E3429">
        <v>0.40763929999999998</v>
      </c>
      <c r="F3429" t="s">
        <v>49</v>
      </c>
      <c r="G3429">
        <v>-478.80579999999998</v>
      </c>
      <c r="H3429" s="1">
        <v>2.320284E-6</v>
      </c>
      <c r="I3429">
        <v>219.9812</v>
      </c>
      <c r="J3429">
        <v>-486.64839999999998</v>
      </c>
      <c r="K3429">
        <v>1.112107</v>
      </c>
      <c r="L3429">
        <v>227.01140000000001</v>
      </c>
      <c r="M3429">
        <v>0.51114850000000001</v>
      </c>
      <c r="N3429">
        <v>0</v>
      </c>
      <c r="O3429">
        <v>-0.85945769999999899</v>
      </c>
      <c r="P3429">
        <v>0.56306309999999904</v>
      </c>
      <c r="Q3429">
        <v>-1.28208E-2</v>
      </c>
      <c r="R3429">
        <v>-0.82631460000000001</v>
      </c>
      <c r="S3429">
        <v>2.2891849999999998</v>
      </c>
      <c r="T3429">
        <v>-0.32076969999999999</v>
      </c>
      <c r="U3429">
        <v>-2.0704799999999999</v>
      </c>
      <c r="V3429">
        <v>-6.1533049999999999E-2</v>
      </c>
      <c r="W3429">
        <v>-5.4359259999999998E-3</v>
      </c>
      <c r="X3429">
        <v>0.99809029999999999</v>
      </c>
      <c r="Y3429">
        <v>-0.2905644</v>
      </c>
      <c r="Z3429">
        <v>9.6777349999999998E-2</v>
      </c>
      <c r="AA3429">
        <v>0.95194880000000004</v>
      </c>
      <c r="AB3429">
        <v>17</v>
      </c>
      <c r="AC3429">
        <v>7.8426</v>
      </c>
      <c r="AD3429">
        <v>-1.1121046797159999</v>
      </c>
      <c r="AE3429">
        <v>-7.0301999999999998</v>
      </c>
      <c r="AF3429">
        <v>-3.1123011397360898</v>
      </c>
      <c r="AG3429">
        <v>-1.1121046797159999</v>
      </c>
      <c r="AH3429">
        <v>9.9403659562356506</v>
      </c>
      <c r="AI3429">
        <v>96.094200618034293</v>
      </c>
      <c r="AJ3429">
        <v>107.38519420999999</v>
      </c>
      <c r="AK3429">
        <v>10.4754031209752</v>
      </c>
      <c r="AL3429">
        <v>90.311457133930205</v>
      </c>
      <c r="AM3429">
        <v>93.527864684889707</v>
      </c>
      <c r="AN3429">
        <v>1.00000005624393</v>
      </c>
    </row>
    <row r="3430" spans="1:40" x14ac:dyDescent="0.25">
      <c r="A3430" t="str">
        <f>"20190312154320016"</f>
        <v>20190312154320016</v>
      </c>
      <c r="B3430" t="str">
        <f>"1552376600011019"</f>
        <v>1552376600011019</v>
      </c>
      <c r="C3430" t="s">
        <v>40</v>
      </c>
      <c r="D3430">
        <v>4.5857599999999996</v>
      </c>
      <c r="E3430">
        <v>0.40732839999999998</v>
      </c>
      <c r="F3430" t="s">
        <v>49</v>
      </c>
      <c r="G3430">
        <v>-478.81529999999998</v>
      </c>
      <c r="H3430" s="1">
        <v>2.319946E-6</v>
      </c>
      <c r="I3430">
        <v>220.0104</v>
      </c>
      <c r="J3430">
        <v>-486.56020000000001</v>
      </c>
      <c r="K3430">
        <v>1.1121570000000001</v>
      </c>
      <c r="L3430">
        <v>226.87389999999999</v>
      </c>
      <c r="M3430">
        <v>0.51506850000000004</v>
      </c>
      <c r="N3430">
        <v>0</v>
      </c>
      <c r="O3430">
        <v>-0.85711039999999905</v>
      </c>
      <c r="P3430">
        <v>0.56765969999999999</v>
      </c>
      <c r="Q3430">
        <v>-1.400706E-2</v>
      </c>
      <c r="R3430">
        <v>-0.8231444</v>
      </c>
      <c r="S3430">
        <v>2.3016359999999998</v>
      </c>
      <c r="T3430">
        <v>-0.32677689999999998</v>
      </c>
      <c r="U3430">
        <v>-2.057159</v>
      </c>
      <c r="V3430">
        <v>-6.2540750000000006E-2</v>
      </c>
      <c r="W3430">
        <v>-6.2042520000000004E-3</v>
      </c>
      <c r="X3430">
        <v>0.9980232</v>
      </c>
      <c r="Y3430">
        <v>-0.29167330000000002</v>
      </c>
      <c r="Z3430">
        <v>9.8410029999999996E-2</v>
      </c>
      <c r="AA3430">
        <v>0.95144209999999996</v>
      </c>
      <c r="AB3430">
        <v>17</v>
      </c>
      <c r="AC3430">
        <v>7.7449000000000296</v>
      </c>
      <c r="AD3430">
        <v>-1.1121546800540001</v>
      </c>
      <c r="AE3430">
        <v>-6.8634999999999797</v>
      </c>
      <c r="AF3430">
        <v>-3.0677325058411902</v>
      </c>
      <c r="AG3430">
        <v>-1.1121546800540001</v>
      </c>
      <c r="AH3430">
        <v>9.7595366970751591</v>
      </c>
      <c r="AI3430">
        <v>96.204349510770498</v>
      </c>
      <c r="AJ3430">
        <v>107.449590300759</v>
      </c>
      <c r="AK3430">
        <v>10.2905989768</v>
      </c>
      <c r="AL3430">
        <v>90.355479709294301</v>
      </c>
      <c r="AM3430">
        <v>93.585729919324706</v>
      </c>
      <c r="AN3430">
        <v>1.00000007294583</v>
      </c>
    </row>
    <row r="3431" spans="1:40" x14ac:dyDescent="0.25">
      <c r="A3431" t="str">
        <f>"20190312154320037"</f>
        <v>20190312154320037</v>
      </c>
      <c r="B3431" t="str">
        <f>"1552376600030538"</f>
        <v>1552376600030538</v>
      </c>
      <c r="C3431" t="s">
        <v>40</v>
      </c>
      <c r="D3431">
        <v>4.5463969999999998</v>
      </c>
      <c r="E3431">
        <v>0.40684989999999999</v>
      </c>
      <c r="F3431" t="s">
        <v>49</v>
      </c>
      <c r="G3431">
        <v>-478.84210000000002</v>
      </c>
      <c r="H3431" s="1">
        <v>2.315091E-6</v>
      </c>
      <c r="I3431">
        <v>220.0634</v>
      </c>
      <c r="J3431">
        <v>-486.47289999999998</v>
      </c>
      <c r="K3431">
        <v>1.1121939999999999</v>
      </c>
      <c r="L3431">
        <v>226.7389</v>
      </c>
      <c r="M3431">
        <v>0.51889940000000001</v>
      </c>
      <c r="N3431">
        <v>0</v>
      </c>
      <c r="O3431">
        <v>-0.85479249999999996</v>
      </c>
      <c r="P3431">
        <v>0.57183499999999998</v>
      </c>
      <c r="Q3431">
        <v>-1.508368E-2</v>
      </c>
      <c r="R3431">
        <v>-0.82022999999999902</v>
      </c>
      <c r="S3431">
        <v>2.3147579999999999</v>
      </c>
      <c r="T3431">
        <v>-0.33354899999999998</v>
      </c>
      <c r="U3431">
        <v>-2.0425420000000001</v>
      </c>
      <c r="V3431">
        <v>-6.31496E-2</v>
      </c>
      <c r="W3431">
        <v>-6.8642479999999999E-3</v>
      </c>
      <c r="X3431">
        <v>0.99798050000000005</v>
      </c>
      <c r="Y3431">
        <v>-0.29327829999999999</v>
      </c>
      <c r="Z3431">
        <v>0.1002889</v>
      </c>
      <c r="AA3431">
        <v>0.95075229999999999</v>
      </c>
      <c r="AB3431">
        <v>17</v>
      </c>
      <c r="AC3431">
        <v>7.6307999999999598</v>
      </c>
      <c r="AD3431">
        <v>-1.1121916849089999</v>
      </c>
      <c r="AE3431">
        <v>-6.6755000000000004</v>
      </c>
      <c r="AF3431">
        <v>-3.0225765606917698</v>
      </c>
      <c r="AG3431">
        <v>-1.1121916849089999</v>
      </c>
      <c r="AH3431">
        <v>9.5512014729184003</v>
      </c>
      <c r="AI3431">
        <v>96.334963095166003</v>
      </c>
      <c r="AJ3431">
        <v>107.560514420486</v>
      </c>
      <c r="AK3431">
        <v>10.0796026204162</v>
      </c>
      <c r="AL3431">
        <v>90.393295515092007</v>
      </c>
      <c r="AM3431">
        <v>93.6206999980718</v>
      </c>
      <c r="AN3431">
        <v>1.0000000341305</v>
      </c>
    </row>
    <row r="3432" spans="1:40" x14ac:dyDescent="0.25">
      <c r="A3432" t="str">
        <f>"20190312154320060"</f>
        <v>20190312154320060</v>
      </c>
      <c r="B3432" t="str">
        <f>"1552376600051035"</f>
        <v>1552376600051035</v>
      </c>
      <c r="C3432" t="s">
        <v>40</v>
      </c>
      <c r="D3432">
        <v>4.4816050000000001</v>
      </c>
      <c r="E3432">
        <v>0.40651979999999999</v>
      </c>
      <c r="F3432" t="s">
        <v>49</v>
      </c>
      <c r="G3432">
        <v>-478.77870000000001</v>
      </c>
      <c r="H3432" s="1">
        <v>2.3393280000000001E-6</v>
      </c>
      <c r="I3432">
        <v>220.03399999999999</v>
      </c>
      <c r="J3432">
        <v>-486.37630000000001</v>
      </c>
      <c r="K3432">
        <v>1.112223</v>
      </c>
      <c r="L3432">
        <v>226.59119999999999</v>
      </c>
      <c r="M3432">
        <v>0.52306969999999997</v>
      </c>
      <c r="N3432">
        <v>0</v>
      </c>
      <c r="O3432">
        <v>-0.8522421</v>
      </c>
      <c r="P3432">
        <v>0.57633760000000001</v>
      </c>
      <c r="Q3432">
        <v>-1.701016E-2</v>
      </c>
      <c r="R3432">
        <v>-0.81703490000000001</v>
      </c>
      <c r="S3432">
        <v>2.3277890000000001</v>
      </c>
      <c r="T3432">
        <v>-0.33648</v>
      </c>
      <c r="U3432">
        <v>-2.0285030000000002</v>
      </c>
      <c r="V3432">
        <v>-6.3772300000000004E-2</v>
      </c>
      <c r="W3432">
        <v>-8.3238989999999992E-3</v>
      </c>
      <c r="X3432">
        <v>0.99792979999999998</v>
      </c>
      <c r="Y3432">
        <v>-0.29443570000000002</v>
      </c>
      <c r="Z3432">
        <v>0.10097250000000001</v>
      </c>
      <c r="AA3432">
        <v>0.95032220000000001</v>
      </c>
      <c r="AB3432">
        <v>17</v>
      </c>
      <c r="AC3432">
        <v>7.5975999999999999</v>
      </c>
      <c r="AD3432">
        <v>-1.112220660672</v>
      </c>
      <c r="AE3432">
        <v>-6.5571999999999599</v>
      </c>
      <c r="AF3432">
        <v>-3.00829849603101</v>
      </c>
      <c r="AG3432">
        <v>-1.112220660672</v>
      </c>
      <c r="AH3432">
        <v>9.4467620038319797</v>
      </c>
      <c r="AI3432">
        <v>96.400947554682901</v>
      </c>
      <c r="AJ3432">
        <v>107.663950314087</v>
      </c>
      <c r="AK3432">
        <v>9.9763824604057696</v>
      </c>
      <c r="AL3432">
        <v>90.476929770526894</v>
      </c>
      <c r="AM3432">
        <v>93.656491553961203</v>
      </c>
      <c r="AN3432">
        <v>1.00000003963494</v>
      </c>
    </row>
    <row r="3433" spans="1:40" x14ac:dyDescent="0.25">
      <c r="A3433" t="str">
        <f>"20190312154320083"</f>
        <v>20190312154320083</v>
      </c>
      <c r="B3433" t="str">
        <f>"1552376600070554"</f>
        <v>1552376600070554</v>
      </c>
      <c r="C3433" t="s">
        <v>40</v>
      </c>
      <c r="D3433">
        <v>5.0448430000000002</v>
      </c>
      <c r="E3433">
        <v>0.40641310000000003</v>
      </c>
      <c r="F3433" t="s">
        <v>49</v>
      </c>
      <c r="G3433">
        <v>-478.74009999999998</v>
      </c>
      <c r="H3433" s="1">
        <v>2.354864E-6</v>
      </c>
      <c r="I3433">
        <v>220.0222</v>
      </c>
      <c r="J3433">
        <v>-486.28269999999998</v>
      </c>
      <c r="K3433">
        <v>1.1122320000000001</v>
      </c>
      <c r="L3433">
        <v>226.44929999999999</v>
      </c>
      <c r="M3433">
        <v>0.52704519999999899</v>
      </c>
      <c r="N3433">
        <v>0</v>
      </c>
      <c r="O3433">
        <v>-0.84978430000000005</v>
      </c>
      <c r="P3433">
        <v>0.58047959999999998</v>
      </c>
      <c r="Q3433">
        <v>-1.8764969999999999E-2</v>
      </c>
      <c r="R3433">
        <v>-0.81405869999999902</v>
      </c>
      <c r="S3433">
        <v>2.3406980000000002</v>
      </c>
      <c r="T3433">
        <v>-0.34092329999999998</v>
      </c>
      <c r="U3433">
        <v>-2.0135800000000001</v>
      </c>
      <c r="V3433">
        <v>-6.4189800000000005E-2</v>
      </c>
      <c r="W3433">
        <v>-9.6357869999999998E-3</v>
      </c>
      <c r="X3433">
        <v>0.99789119999999998</v>
      </c>
      <c r="Y3433">
        <v>-0.29593249999999999</v>
      </c>
      <c r="Z3433">
        <v>0.1021373</v>
      </c>
      <c r="AA3433">
        <v>0.94973249999999998</v>
      </c>
      <c r="AB3433">
        <v>17</v>
      </c>
      <c r="AC3433">
        <v>7.5425999999999904</v>
      </c>
      <c r="AD3433">
        <v>-1.1122296451360001</v>
      </c>
      <c r="AE3433">
        <v>-6.4270999999999896</v>
      </c>
      <c r="AF3433">
        <v>-2.9847465194137199</v>
      </c>
      <c r="AG3433">
        <v>-1.1122296451360001</v>
      </c>
      <c r="AH3433">
        <v>9.3199563371871292</v>
      </c>
      <c r="AI3433">
        <v>96.483987249635305</v>
      </c>
      <c r="AJ3433">
        <v>107.757834175792</v>
      </c>
      <c r="AK3433">
        <v>9.8492310712941595</v>
      </c>
      <c r="AL3433">
        <v>90.552098464050701</v>
      </c>
      <c r="AM3433">
        <v>93.680506006829503</v>
      </c>
      <c r="AN3433">
        <v>1.00000001292629</v>
      </c>
    </row>
    <row r="3434" spans="1:40" x14ac:dyDescent="0.25">
      <c r="A3434" t="str">
        <f>"20190312154320105"</f>
        <v>20190312154320105</v>
      </c>
      <c r="B3434" t="str">
        <f>"1552376600100810"</f>
        <v>1552376600100810</v>
      </c>
      <c r="C3434" t="s">
        <v>40</v>
      </c>
      <c r="D3434">
        <v>4.3879449999999904</v>
      </c>
      <c r="E3434">
        <v>0.40629779999999999</v>
      </c>
      <c r="F3434" t="s">
        <v>49</v>
      </c>
      <c r="G3434">
        <v>-478.66750000000002</v>
      </c>
      <c r="H3434" s="1">
        <v>2.3798110000000002E-6</v>
      </c>
      <c r="I3434">
        <v>219.9676</v>
      </c>
      <c r="J3434">
        <v>-486.18849999999998</v>
      </c>
      <c r="K3434">
        <v>1.1122369999999999</v>
      </c>
      <c r="L3434">
        <v>226.3081</v>
      </c>
      <c r="M3434">
        <v>0.53096529999999997</v>
      </c>
      <c r="N3434">
        <v>0</v>
      </c>
      <c r="O3434">
        <v>-0.84733599999999998</v>
      </c>
      <c r="P3434">
        <v>0.58448719999999998</v>
      </c>
      <c r="Q3434">
        <v>-2.0723169999999999E-2</v>
      </c>
      <c r="R3434">
        <v>-0.81113849999999998</v>
      </c>
      <c r="S3434">
        <v>2.3508909999999998</v>
      </c>
      <c r="T3434">
        <v>-0.34335850000000001</v>
      </c>
      <c r="U3434">
        <v>-2.0009920000000001</v>
      </c>
      <c r="V3434">
        <v>-6.4517569999999996E-2</v>
      </c>
      <c r="W3434">
        <v>-1.1173499999999999E-2</v>
      </c>
      <c r="X3434">
        <v>0.99785400000000002</v>
      </c>
      <c r="Y3434">
        <v>-0.29644310000000001</v>
      </c>
      <c r="Z3434">
        <v>0.1026869</v>
      </c>
      <c r="AA3434">
        <v>0.94951399999999997</v>
      </c>
      <c r="AB3434">
        <v>17</v>
      </c>
      <c r="AC3434">
        <v>7.5209999999999502</v>
      </c>
      <c r="AD3434">
        <v>-1.1122346201890001</v>
      </c>
      <c r="AE3434">
        <v>-6.3404999999999898</v>
      </c>
      <c r="AF3434">
        <v>-2.9684270999832698</v>
      </c>
      <c r="AG3434">
        <v>-1.1122346201890001</v>
      </c>
      <c r="AH3434">
        <v>9.2481532086667499</v>
      </c>
      <c r="AI3434">
        <v>96.532565332634903</v>
      </c>
      <c r="AJ3434">
        <v>107.795337919655</v>
      </c>
      <c r="AK3434">
        <v>9.7763471229920604</v>
      </c>
      <c r="AL3434">
        <v>90.640207724048295</v>
      </c>
      <c r="AM3434">
        <v>93.699385111229205</v>
      </c>
      <c r="AN3434">
        <v>0.99999998462847695</v>
      </c>
    </row>
    <row r="3435" spans="1:40" x14ac:dyDescent="0.25">
      <c r="A3435" t="str">
        <f>"20190312154320128"</f>
        <v>20190312154320128</v>
      </c>
      <c r="B3435" t="str">
        <f>"1552376600120331"</f>
        <v>1552376600120331</v>
      </c>
      <c r="C3435" t="s">
        <v>40</v>
      </c>
      <c r="D3435">
        <v>4.3766809999999996</v>
      </c>
      <c r="E3435">
        <v>0.4063177</v>
      </c>
      <c r="F3435" t="s">
        <v>49</v>
      </c>
      <c r="G3435">
        <v>-478.57279999999997</v>
      </c>
      <c r="H3435" s="1">
        <v>2.412216E-6</v>
      </c>
      <c r="I3435">
        <v>219.89490000000001</v>
      </c>
      <c r="J3435">
        <v>-486.09199999999998</v>
      </c>
      <c r="K3435">
        <v>1.1122320000000001</v>
      </c>
      <c r="L3435">
        <v>226.1644</v>
      </c>
      <c r="M3435">
        <v>0.53490079999999995</v>
      </c>
      <c r="N3435">
        <v>0</v>
      </c>
      <c r="O3435">
        <v>-0.84485239999999995</v>
      </c>
      <c r="P3435">
        <v>0.58846709999999902</v>
      </c>
      <c r="Q3435">
        <v>-2.1756810000000001E-2</v>
      </c>
      <c r="R3435">
        <v>-0.80822890000000003</v>
      </c>
      <c r="S3435">
        <v>2.3611149999999999</v>
      </c>
      <c r="T3435">
        <v>-0.34482570000000001</v>
      </c>
      <c r="U3435">
        <v>-1.988281</v>
      </c>
      <c r="V3435">
        <v>-6.4790689999999998E-2</v>
      </c>
      <c r="W3435">
        <v>-1.180315E-2</v>
      </c>
      <c r="X3435">
        <v>0.99782910000000002</v>
      </c>
      <c r="Y3435">
        <v>-0.2969849</v>
      </c>
      <c r="Z3435">
        <v>0.10294440000000001</v>
      </c>
      <c r="AA3435">
        <v>0.94931679999999996</v>
      </c>
      <c r="AB3435">
        <v>17</v>
      </c>
      <c r="AC3435">
        <v>7.5192000000000103</v>
      </c>
      <c r="AD3435">
        <v>-1.1122295877839901</v>
      </c>
      <c r="AE3435">
        <v>-6.2694999999999901</v>
      </c>
      <c r="AF3435">
        <v>-2.9609948543428599</v>
      </c>
      <c r="AG3435">
        <v>-1.1122295877839901</v>
      </c>
      <c r="AH3435">
        <v>9.2005699381629693</v>
      </c>
      <c r="AI3435">
        <v>96.564410935298</v>
      </c>
      <c r="AJ3435">
        <v>107.83959422544</v>
      </c>
      <c r="AK3435">
        <v>9.7290817845475601</v>
      </c>
      <c r="AL3435">
        <v>90.676286362797399</v>
      </c>
      <c r="AM3435">
        <v>93.715094272376902</v>
      </c>
      <c r="AN3435">
        <v>1.0000000303337</v>
      </c>
    </row>
    <row r="3436" spans="1:40" x14ac:dyDescent="0.25">
      <c r="A3436" t="str">
        <f>"20190312154320151"</f>
        <v>20190312154320151</v>
      </c>
      <c r="B3436" t="str">
        <f>"1552376600140826"</f>
        <v>1552376600140826</v>
      </c>
      <c r="C3436" t="s">
        <v>40</v>
      </c>
      <c r="D3436">
        <v>4.3851180000000003</v>
      </c>
      <c r="E3436">
        <v>0.40638259999999998</v>
      </c>
      <c r="F3436" t="s">
        <v>49</v>
      </c>
      <c r="G3436">
        <v>-478.4504</v>
      </c>
      <c r="H3436" s="1">
        <v>2.4528820000000002E-6</v>
      </c>
      <c r="I3436">
        <v>219.79220000000001</v>
      </c>
      <c r="J3436">
        <v>-485.99560000000002</v>
      </c>
      <c r="K3436">
        <v>1.1122270000000001</v>
      </c>
      <c r="L3436">
        <v>226.02250000000001</v>
      </c>
      <c r="M3436">
        <v>0.53872629999999999</v>
      </c>
      <c r="N3436">
        <v>0</v>
      </c>
      <c r="O3436">
        <v>-0.84241350000000004</v>
      </c>
      <c r="P3436">
        <v>0.59236460000000002</v>
      </c>
      <c r="Q3436">
        <v>-2.2194439999999999E-2</v>
      </c>
      <c r="R3436">
        <v>-0.80536439999999998</v>
      </c>
      <c r="S3436">
        <v>2.370422</v>
      </c>
      <c r="T3436">
        <v>-0.34501479999999901</v>
      </c>
      <c r="U3436">
        <v>-1.976669</v>
      </c>
      <c r="V3436">
        <v>-6.5090869999999995E-2</v>
      </c>
      <c r="W3436">
        <v>-1.1855600000000001E-2</v>
      </c>
      <c r="X3436">
        <v>0.9978089</v>
      </c>
      <c r="Y3436">
        <v>-0.29723470000000002</v>
      </c>
      <c r="Z3436">
        <v>0.1028143</v>
      </c>
      <c r="AA3436">
        <v>0.94925269999999995</v>
      </c>
      <c r="AB3436">
        <v>17</v>
      </c>
      <c r="AC3436">
        <v>7.5452000000000199</v>
      </c>
      <c r="AD3436">
        <v>-1.1122245471179999</v>
      </c>
      <c r="AE3436">
        <v>-6.2302999999999997</v>
      </c>
      <c r="AF3436">
        <v>-2.9616575746494398</v>
      </c>
      <c r="AG3436">
        <v>-1.1122245471179999</v>
      </c>
      <c r="AH3436">
        <v>9.1950156865141892</v>
      </c>
      <c r="AI3436">
        <v>96.567805908422898</v>
      </c>
      <c r="AJ3436">
        <v>107.853428051325</v>
      </c>
      <c r="AK3436">
        <v>9.7240306718938498</v>
      </c>
      <c r="AL3436">
        <v>90.679291764865894</v>
      </c>
      <c r="AM3436">
        <v>93.732333381450402</v>
      </c>
      <c r="AN3436">
        <v>0.99999998876396301</v>
      </c>
    </row>
    <row r="3437" spans="1:40" x14ac:dyDescent="0.25">
      <c r="A3437" t="str">
        <f>"20190312154320173"</f>
        <v>20190312154320173</v>
      </c>
      <c r="B3437" t="str">
        <f>"1552376600160346"</f>
        <v>1552376600160346</v>
      </c>
      <c r="C3437" t="s">
        <v>40</v>
      </c>
      <c r="D3437">
        <v>4.2995409999999996</v>
      </c>
      <c r="E3437">
        <v>0.40632400000000002</v>
      </c>
      <c r="F3437" t="s">
        <v>49</v>
      </c>
      <c r="G3437">
        <v>-478.28050000000002</v>
      </c>
      <c r="H3437" s="1">
        <v>2.5093190000000002E-6</v>
      </c>
      <c r="I3437">
        <v>219.64930000000001</v>
      </c>
      <c r="J3437">
        <v>-485.89920000000001</v>
      </c>
      <c r="K3437">
        <v>1.112233</v>
      </c>
      <c r="L3437">
        <v>225.8817</v>
      </c>
      <c r="M3437">
        <v>0.54246689999999997</v>
      </c>
      <c r="N3437">
        <v>0</v>
      </c>
      <c r="O3437">
        <v>-0.84000469999999905</v>
      </c>
      <c r="P3437">
        <v>0.59576260000000003</v>
      </c>
      <c r="Q3437">
        <v>-2.240617E-2</v>
      </c>
      <c r="R3437">
        <v>-0.80284829999999996</v>
      </c>
      <c r="S3437">
        <v>2.3793329999999999</v>
      </c>
      <c r="T3437">
        <v>-0.34300789999999998</v>
      </c>
      <c r="U3437">
        <v>-1.9655</v>
      </c>
      <c r="V3437">
        <v>-6.487308E-2</v>
      </c>
      <c r="W3437">
        <v>-1.1687609999999999E-2</v>
      </c>
      <c r="X3437">
        <v>0.99782510000000002</v>
      </c>
      <c r="Y3437">
        <v>-0.29744690000000001</v>
      </c>
      <c r="Z3437">
        <v>0.1020365</v>
      </c>
      <c r="AA3437">
        <v>0.94927019999999995</v>
      </c>
      <c r="AB3437">
        <v>17</v>
      </c>
      <c r="AC3437">
        <v>7.6186999999999898</v>
      </c>
      <c r="AD3437">
        <v>-1.1122304906810001</v>
      </c>
      <c r="AE3437">
        <v>-6.2323999999999797</v>
      </c>
      <c r="AF3437">
        <v>-2.9809956145596601</v>
      </c>
      <c r="AG3437">
        <v>-1.1122304906810001</v>
      </c>
      <c r="AH3437">
        <v>9.2505968151045206</v>
      </c>
      <c r="AI3437">
        <v>96.528427124045194</v>
      </c>
      <c r="AJ3437">
        <v>107.86148423272699</v>
      </c>
      <c r="AK3437">
        <v>9.7824809201984397</v>
      </c>
      <c r="AL3437">
        <v>90.6696659565592</v>
      </c>
      <c r="AM3437">
        <v>93.719820124351301</v>
      </c>
      <c r="AN3437">
        <v>1.0000000234630999</v>
      </c>
    </row>
    <row r="3438" spans="1:40" x14ac:dyDescent="0.25">
      <c r="A3438" t="str">
        <f>"20190312154320194"</f>
        <v>20190312154320194</v>
      </c>
      <c r="B3438" t="str">
        <f>"1552376600190602"</f>
        <v>1552376600190602</v>
      </c>
      <c r="C3438" t="s">
        <v>40</v>
      </c>
      <c r="D3438">
        <v>4.2645999999999997</v>
      </c>
      <c r="E3438">
        <v>0.40626469999999998</v>
      </c>
      <c r="F3438" t="s">
        <v>49</v>
      </c>
      <c r="G3438">
        <v>-478.10950000000003</v>
      </c>
      <c r="H3438" s="1">
        <v>2.5759199999999999E-6</v>
      </c>
      <c r="I3438">
        <v>219.50559999999999</v>
      </c>
      <c r="J3438">
        <v>-485.8073</v>
      </c>
      <c r="K3438">
        <v>1.112236</v>
      </c>
      <c r="L3438">
        <v>225.74860000000001</v>
      </c>
      <c r="M3438">
        <v>0.545965699999999</v>
      </c>
      <c r="N3438">
        <v>0</v>
      </c>
      <c r="O3438">
        <v>-0.83773019999999998</v>
      </c>
      <c r="P3438">
        <v>0.59908779999999995</v>
      </c>
      <c r="Q3438">
        <v>-2.256706E-2</v>
      </c>
      <c r="R3438">
        <v>-0.80036529999999995</v>
      </c>
      <c r="S3438">
        <v>2.388306</v>
      </c>
      <c r="T3438">
        <v>-0.34100760000000002</v>
      </c>
      <c r="U3438">
        <v>-1.954895</v>
      </c>
      <c r="V3438">
        <v>-6.4852300000000002E-2</v>
      </c>
      <c r="W3438">
        <v>-1.1505369999999999E-2</v>
      </c>
      <c r="X3438">
        <v>0.99782850000000001</v>
      </c>
      <c r="Y3438">
        <v>-0.29780079999999998</v>
      </c>
      <c r="Z3438">
        <v>0.10126250000000001</v>
      </c>
      <c r="AA3438">
        <v>0.94924209999999998</v>
      </c>
      <c r="AB3438">
        <v>17</v>
      </c>
      <c r="AC3438">
        <v>7.6977999999999698</v>
      </c>
      <c r="AD3438">
        <v>-1.11223342408</v>
      </c>
      <c r="AE3438">
        <v>-6.2430000000000199</v>
      </c>
      <c r="AF3438">
        <v>-3.00259974193097</v>
      </c>
      <c r="AG3438">
        <v>-1.11223342408</v>
      </c>
      <c r="AH3438">
        <v>9.3159758536780899</v>
      </c>
      <c r="AI3438">
        <v>96.482911391581197</v>
      </c>
      <c r="AJ3438">
        <v>107.864469475262</v>
      </c>
      <c r="AK3438">
        <v>9.85089206651854</v>
      </c>
      <c r="AL3438">
        <v>90.659223716987398</v>
      </c>
      <c r="AM3438">
        <v>93.718619308339996</v>
      </c>
      <c r="AN3438">
        <v>0.99999995488318705</v>
      </c>
    </row>
    <row r="3439" spans="1:40" x14ac:dyDescent="0.25">
      <c r="A3439" t="str">
        <f>"20190312154320216"</f>
        <v>20190312154320216</v>
      </c>
      <c r="B3439" t="str">
        <f>"1552376600211099"</f>
        <v>1552376600211099</v>
      </c>
      <c r="C3439" t="s">
        <v>40</v>
      </c>
      <c r="D3439">
        <v>4.2686909999999996</v>
      </c>
      <c r="E3439">
        <v>0.40627099999999999</v>
      </c>
      <c r="F3439" t="s">
        <v>49</v>
      </c>
      <c r="G3439">
        <v>-477.93290000000002</v>
      </c>
      <c r="H3439" s="1">
        <v>2.6478540000000001E-6</v>
      </c>
      <c r="I3439">
        <v>219.35910000000001</v>
      </c>
      <c r="J3439">
        <v>-485.71480000000003</v>
      </c>
      <c r="K3439">
        <v>1.112244</v>
      </c>
      <c r="L3439">
        <v>225.61580000000001</v>
      </c>
      <c r="M3439">
        <v>0.54943199999999903</v>
      </c>
      <c r="N3439">
        <v>0</v>
      </c>
      <c r="O3439">
        <v>-0.83545659999999899</v>
      </c>
      <c r="P3439">
        <v>0.60245150000000003</v>
      </c>
      <c r="Q3439">
        <v>-2.2918859999999999E-2</v>
      </c>
      <c r="R3439">
        <v>-0.79782659999999905</v>
      </c>
      <c r="S3439">
        <v>2.3967290000000001</v>
      </c>
      <c r="T3439">
        <v>-0.33852890000000002</v>
      </c>
      <c r="U3439">
        <v>-1.944763</v>
      </c>
      <c r="V3439">
        <v>-6.4922209999999994E-2</v>
      </c>
      <c r="W3439">
        <v>-1.153904E-2</v>
      </c>
      <c r="X3439">
        <v>0.99782360000000003</v>
      </c>
      <c r="Y3439">
        <v>-0.29797459999999998</v>
      </c>
      <c r="Z3439">
        <v>0.10034609999999999</v>
      </c>
      <c r="AA3439">
        <v>0.94928489999999999</v>
      </c>
      <c r="AB3439">
        <v>17</v>
      </c>
      <c r="AC3439">
        <v>7.7819000000000003</v>
      </c>
      <c r="AD3439">
        <v>-1.112241352146</v>
      </c>
      <c r="AE3439">
        <v>-6.2566999999999897</v>
      </c>
      <c r="AF3439">
        <v>-3.0264671291488701</v>
      </c>
      <c r="AG3439">
        <v>-1.112241352146</v>
      </c>
      <c r="AH3439">
        <v>9.3870066943378401</v>
      </c>
      <c r="AI3439">
        <v>96.434120805363406</v>
      </c>
      <c r="AJ3439">
        <v>107.86985314059</v>
      </c>
      <c r="AK3439">
        <v>9.9253452730263092</v>
      </c>
      <c r="AL3439">
        <v>90.661152970984105</v>
      </c>
      <c r="AM3439">
        <v>93.722634898818896</v>
      </c>
      <c r="AN3439">
        <v>0.99999998975618198</v>
      </c>
    </row>
    <row r="3440" spans="1:40" x14ac:dyDescent="0.25">
      <c r="A3440" t="str">
        <f>"20190312154320239"</f>
        <v>20190312154320239</v>
      </c>
      <c r="B3440" t="str">
        <f>"1552376600230619"</f>
        <v>1552376600230619</v>
      </c>
      <c r="C3440" t="s">
        <v>40</v>
      </c>
      <c r="D3440">
        <v>4.2391509999999997</v>
      </c>
      <c r="E3440">
        <v>0.40628959999999997</v>
      </c>
      <c r="F3440" t="s">
        <v>49</v>
      </c>
      <c r="G3440">
        <v>-477.7835</v>
      </c>
      <c r="H3440" s="1">
        <v>2.7087E-6</v>
      </c>
      <c r="I3440">
        <v>219.23570000000001</v>
      </c>
      <c r="J3440">
        <v>-485.61720000000003</v>
      </c>
      <c r="K3440">
        <v>1.1122559999999999</v>
      </c>
      <c r="L3440">
        <v>225.4768</v>
      </c>
      <c r="M3440">
        <v>0.55303440000000004</v>
      </c>
      <c r="N3440">
        <v>0</v>
      </c>
      <c r="O3440">
        <v>-0.83307189999999998</v>
      </c>
      <c r="P3440">
        <v>0.60541669999999903</v>
      </c>
      <c r="Q3440">
        <v>-2.3444699999999999E-2</v>
      </c>
      <c r="R3440">
        <v>-0.79556329999999997</v>
      </c>
      <c r="S3440">
        <v>2.4048769999999999</v>
      </c>
      <c r="T3440">
        <v>-0.33724739999999997</v>
      </c>
      <c r="U3440">
        <v>-1.9345399999999999</v>
      </c>
      <c r="V3440">
        <v>-6.4332520000000004E-2</v>
      </c>
      <c r="W3440">
        <v>-1.175874E-2</v>
      </c>
      <c r="X3440">
        <v>0.99785919999999895</v>
      </c>
      <c r="Y3440">
        <v>-0.29791810000000002</v>
      </c>
      <c r="Z3440">
        <v>9.9772849999999996E-2</v>
      </c>
      <c r="AA3440">
        <v>0.94936310000000002</v>
      </c>
      <c r="AB3440">
        <v>17</v>
      </c>
      <c r="AC3440">
        <v>7.8337000000000199</v>
      </c>
      <c r="AD3440">
        <v>-1.1122532912999901</v>
      </c>
      <c r="AE3440">
        <v>-6.2410999999999799</v>
      </c>
      <c r="AF3440">
        <v>-3.03725900605503</v>
      </c>
      <c r="AG3440">
        <v>-1.1122532912999901</v>
      </c>
      <c r="AH3440">
        <v>9.4161592053243304</v>
      </c>
      <c r="AI3440">
        <v>96.414160435131905</v>
      </c>
      <c r="AJ3440">
        <v>107.877529809037</v>
      </c>
      <c r="AK3440">
        <v>9.9562093104697293</v>
      </c>
      <c r="AL3440">
        <v>90.673741726711796</v>
      </c>
      <c r="AM3440">
        <v>93.6887846629417</v>
      </c>
      <c r="AN3440">
        <v>0.99999996206028796</v>
      </c>
    </row>
    <row r="3441" spans="1:40" x14ac:dyDescent="0.25">
      <c r="A3441" t="str">
        <f>"20190312154320262"</f>
        <v>20190312154320262</v>
      </c>
      <c r="B3441" t="str">
        <f>"1552376600251118"</f>
        <v>1552376600251118</v>
      </c>
      <c r="C3441" t="s">
        <v>40</v>
      </c>
      <c r="D3441">
        <v>4.1557870000000001</v>
      </c>
      <c r="E3441">
        <v>0.40888629999999998</v>
      </c>
      <c r="F3441" t="s">
        <v>49</v>
      </c>
      <c r="G3441">
        <v>-477.64569999999998</v>
      </c>
      <c r="H3441" s="1">
        <v>2.7644479999999998E-6</v>
      </c>
      <c r="I3441">
        <v>219.11320000000001</v>
      </c>
      <c r="J3441">
        <v>-485.51510000000002</v>
      </c>
      <c r="K3441">
        <v>1.1122719999999999</v>
      </c>
      <c r="L3441">
        <v>225.33279999999999</v>
      </c>
      <c r="M3441">
        <v>0.55675419999999998</v>
      </c>
      <c r="N3441">
        <v>0</v>
      </c>
      <c r="O3441">
        <v>-0.83058659999999995</v>
      </c>
      <c r="P3441">
        <v>0.60824869999999898</v>
      </c>
      <c r="Q3441">
        <v>-2.4076810000000001E-2</v>
      </c>
      <c r="R3441">
        <v>-0.79338160000000002</v>
      </c>
      <c r="S3441">
        <v>2.412048</v>
      </c>
      <c r="T3441">
        <v>-0.3365514</v>
      </c>
      <c r="U3441">
        <v>-1.9255370000000001</v>
      </c>
      <c r="V3441">
        <v>-6.3434359999999995E-2</v>
      </c>
      <c r="W3441">
        <v>-1.2104230000000001E-2</v>
      </c>
      <c r="X3441">
        <v>0.99791260000000004</v>
      </c>
      <c r="Y3441">
        <v>-0.29722110000000002</v>
      </c>
      <c r="Z3441">
        <v>9.9340800000000007E-2</v>
      </c>
      <c r="AA3441">
        <v>0.94962679999999999</v>
      </c>
      <c r="AB3441">
        <v>17</v>
      </c>
      <c r="AC3441">
        <v>7.8694000000000397</v>
      </c>
      <c r="AD3441">
        <v>-1.1122692355520001</v>
      </c>
      <c r="AE3441">
        <v>-6.2195999999999803</v>
      </c>
      <c r="AF3441">
        <v>-3.0363257059243298</v>
      </c>
      <c r="AG3441">
        <v>-1.1122692355520001</v>
      </c>
      <c r="AH3441">
        <v>9.4319786376813806</v>
      </c>
      <c r="AI3441">
        <v>96.404769462362196</v>
      </c>
      <c r="AJ3441">
        <v>107.844312610796</v>
      </c>
      <c r="AK3441">
        <v>9.9708895122998005</v>
      </c>
      <c r="AL3441">
        <v>90.693538233564198</v>
      </c>
      <c r="AM3441">
        <v>93.637229871287403</v>
      </c>
      <c r="AN3441">
        <v>0.99999999382563098</v>
      </c>
    </row>
    <row r="3442" spans="1:40" x14ac:dyDescent="0.25">
      <c r="A3442" t="str">
        <f>"20190312154320285"</f>
        <v>20190312154320285</v>
      </c>
      <c r="B3442" t="str">
        <f>"1552376600280394"</f>
        <v>1552376600280394</v>
      </c>
      <c r="C3442" t="s">
        <v>40</v>
      </c>
      <c r="D3442">
        <v>4.197997</v>
      </c>
      <c r="E3442">
        <v>0.40947539999999999</v>
      </c>
      <c r="F3442" t="s">
        <v>49</v>
      </c>
      <c r="G3442">
        <v>-471.52699999999999</v>
      </c>
      <c r="H3442" s="1">
        <v>5.2573100000000003E-6</v>
      </c>
      <c r="I3442">
        <v>214.0677</v>
      </c>
      <c r="J3442">
        <v>-485.41919999999999</v>
      </c>
      <c r="K3442">
        <v>1.112293</v>
      </c>
      <c r="L3442">
        <v>225.1987</v>
      </c>
      <c r="M3442">
        <v>0.5602144</v>
      </c>
      <c r="N3442">
        <v>0</v>
      </c>
      <c r="O3442">
        <v>-0.82825300000000002</v>
      </c>
      <c r="P3442">
        <v>0.61104729999999996</v>
      </c>
      <c r="Q3442">
        <v>-2.5024709999999999E-2</v>
      </c>
      <c r="R3442">
        <v>-0.79119859999999997</v>
      </c>
      <c r="S3442">
        <v>2.4017330000000001</v>
      </c>
      <c r="T3442">
        <v>-0.19097359999999999</v>
      </c>
      <c r="U3442">
        <v>-1.9341889999999999</v>
      </c>
      <c r="V3442">
        <v>-6.2808069999999994E-2</v>
      </c>
      <c r="W3442">
        <v>-1.281524E-2</v>
      </c>
      <c r="X3442">
        <v>0.99794329999999998</v>
      </c>
      <c r="Y3442">
        <v>-0.29225089999999998</v>
      </c>
      <c r="Z3442">
        <v>5.6394510000000002E-2</v>
      </c>
      <c r="AA3442">
        <v>0.95467749999999996</v>
      </c>
      <c r="AB3442">
        <v>17</v>
      </c>
      <c r="AC3442">
        <v>13.892200000000001</v>
      </c>
      <c r="AD3442">
        <v>-1.11228774269</v>
      </c>
      <c r="AE3442">
        <v>-11.130999999999901</v>
      </c>
      <c r="AF3442">
        <v>-5.2504248233281201</v>
      </c>
      <c r="AG3442">
        <v>-1.11228774269</v>
      </c>
      <c r="AH3442">
        <v>16.937103301023999</v>
      </c>
      <c r="AI3442">
        <v>93.589281224705999</v>
      </c>
      <c r="AJ3442">
        <v>107.223197931141</v>
      </c>
      <c r="AK3442">
        <v>17.767093546146398</v>
      </c>
      <c r="AL3442">
        <v>90.734279296433897</v>
      </c>
      <c r="AM3442">
        <v>93.601303835528896</v>
      </c>
      <c r="AN3442">
        <v>0.99999995702413502</v>
      </c>
    </row>
    <row r="3443" spans="1:40" x14ac:dyDescent="0.25">
      <c r="A3443" t="str">
        <f>"20190312154320306"</f>
        <v>20190312154320306</v>
      </c>
      <c r="B3443" t="str">
        <f>"1552376600300890"</f>
        <v>1552376600300890</v>
      </c>
      <c r="C3443" t="s">
        <v>40</v>
      </c>
      <c r="D3443">
        <v>4.2280389999999999</v>
      </c>
      <c r="E3443">
        <v>0.41004059999999998</v>
      </c>
      <c r="F3443" t="s">
        <v>49</v>
      </c>
      <c r="G3443">
        <v>-470.0385</v>
      </c>
      <c r="H3443" s="1">
        <v>5.864725E-6</v>
      </c>
      <c r="I3443">
        <v>212.8623</v>
      </c>
      <c r="J3443">
        <v>-485.32229999999998</v>
      </c>
      <c r="K3443">
        <v>1.1123099999999999</v>
      </c>
      <c r="L3443">
        <v>225.06440000000001</v>
      </c>
      <c r="M3443">
        <v>0.56368419999999997</v>
      </c>
      <c r="N3443">
        <v>0</v>
      </c>
      <c r="O3443">
        <v>-0.82589239999999997</v>
      </c>
      <c r="P3443">
        <v>0.61385719999999899</v>
      </c>
      <c r="Q3443">
        <v>-2.5199880000000001E-2</v>
      </c>
      <c r="R3443">
        <v>-0.78901509999999997</v>
      </c>
      <c r="S3443">
        <v>2.4049070000000001</v>
      </c>
      <c r="T3443">
        <v>-0.1739156</v>
      </c>
      <c r="U3443">
        <v>-1.9288940000000001</v>
      </c>
      <c r="V3443">
        <v>-6.2172329999999998E-2</v>
      </c>
      <c r="W3443">
        <v>-1.2779449999999999E-2</v>
      </c>
      <c r="X3443">
        <v>0.99798359999999997</v>
      </c>
      <c r="Y3443">
        <v>-0.29038459999999899</v>
      </c>
      <c r="Z3443">
        <v>5.1249400000000001E-2</v>
      </c>
      <c r="AA3443">
        <v>0.95553670000000002</v>
      </c>
      <c r="AB3443">
        <v>17</v>
      </c>
      <c r="AC3443">
        <v>15.2837999999999</v>
      </c>
      <c r="AD3443">
        <v>-1.112304135275</v>
      </c>
      <c r="AE3443">
        <v>-12.2021</v>
      </c>
      <c r="AF3443">
        <v>-5.7265845857509596</v>
      </c>
      <c r="AG3443">
        <v>-1.112304135275</v>
      </c>
      <c r="AH3443">
        <v>18.634095881781398</v>
      </c>
      <c r="AI3443">
        <v>93.265655982438005</v>
      </c>
      <c r="AJ3443">
        <v>107.08311160918799</v>
      </c>
      <c r="AK3443">
        <v>19.525893598976001</v>
      </c>
      <c r="AL3443">
        <v>90.732228488741001</v>
      </c>
      <c r="AM3443">
        <v>93.564802524995102</v>
      </c>
      <c r="AN3443">
        <v>0.99999998941444501</v>
      </c>
    </row>
    <row r="3444" spans="1:40" x14ac:dyDescent="0.25">
      <c r="A3444" t="str">
        <f>"20190312154320332"</f>
        <v>20190312154320332</v>
      </c>
      <c r="B3444" t="str">
        <f>"1552376600320411"</f>
        <v>1552376600320411</v>
      </c>
      <c r="C3444" t="s">
        <v>40</v>
      </c>
      <c r="D3444">
        <v>4.1491920000000002</v>
      </c>
      <c r="E3444">
        <v>0.40988619999999998</v>
      </c>
      <c r="F3444" t="s">
        <v>50</v>
      </c>
      <c r="G3444">
        <v>-469.44639999999998</v>
      </c>
      <c r="H3444" s="1">
        <v>3.5875730000000001E-6</v>
      </c>
      <c r="I3444">
        <v>212.38650000000001</v>
      </c>
      <c r="J3444">
        <v>-485.21789999999999</v>
      </c>
      <c r="K3444">
        <v>1.1123240000000001</v>
      </c>
      <c r="L3444">
        <v>224.9212</v>
      </c>
      <c r="M3444">
        <v>0.56739519999999899</v>
      </c>
      <c r="N3444">
        <v>0</v>
      </c>
      <c r="O3444">
        <v>-0.82334419999999897</v>
      </c>
      <c r="P3444">
        <v>0.61716490000000002</v>
      </c>
      <c r="Q3444">
        <v>-2.5401690000000001E-2</v>
      </c>
      <c r="R3444">
        <v>-0.78642380000000001</v>
      </c>
      <c r="S3444">
        <v>2.408264</v>
      </c>
      <c r="T3444">
        <v>-0.1687293</v>
      </c>
      <c r="U3444">
        <v>-1.923141</v>
      </c>
      <c r="V3444">
        <v>-6.187347E-2</v>
      </c>
      <c r="W3444">
        <v>-1.278751E-2</v>
      </c>
      <c r="X3444">
        <v>0.9980021</v>
      </c>
      <c r="Y3444">
        <v>-0.28819409999999901</v>
      </c>
      <c r="Z3444">
        <v>4.9595199999999999E-2</v>
      </c>
      <c r="AA3444">
        <v>0.95628679999999999</v>
      </c>
      <c r="AB3444">
        <v>17</v>
      </c>
      <c r="AC3444">
        <v>15.7715</v>
      </c>
      <c r="AD3444">
        <v>-1.1123204124270001</v>
      </c>
      <c r="AE3444">
        <v>-12.5346999999999</v>
      </c>
      <c r="AF3444">
        <v>-5.8558833595447002</v>
      </c>
      <c r="AG3444">
        <v>-1.1123204124270001</v>
      </c>
      <c r="AH3444">
        <v>19.212087405957899</v>
      </c>
      <c r="AI3444">
        <v>93.169884967167604</v>
      </c>
      <c r="AJ3444">
        <v>106.95132815407899</v>
      </c>
      <c r="AK3444">
        <v>20.1154897806307</v>
      </c>
      <c r="AL3444">
        <v>90.732690308676396</v>
      </c>
      <c r="AM3444">
        <v>93.547644931104699</v>
      </c>
      <c r="AN3444">
        <v>1.00000001915312</v>
      </c>
    </row>
    <row r="3445" spans="1:40" x14ac:dyDescent="0.25">
      <c r="A3445" t="str">
        <f>"20190312154320353"</f>
        <v>20190312154320353</v>
      </c>
      <c r="B3445" t="str">
        <f>"1552376600340906"</f>
        <v>1552376600340906</v>
      </c>
      <c r="C3445" t="s">
        <v>40</v>
      </c>
      <c r="D3445">
        <v>4.1957389999999997</v>
      </c>
      <c r="E3445">
        <v>0.40959129999999999</v>
      </c>
      <c r="F3445" t="s">
        <v>50</v>
      </c>
      <c r="G3445">
        <v>-469.1259</v>
      </c>
      <c r="H3445" s="1">
        <v>3.425558E-6</v>
      </c>
      <c r="I3445">
        <v>212.1917</v>
      </c>
      <c r="J3445">
        <v>-485.12040000000002</v>
      </c>
      <c r="K3445">
        <v>1.112333</v>
      </c>
      <c r="L3445">
        <v>224.7886</v>
      </c>
      <c r="M3445">
        <v>0.57084299999999999</v>
      </c>
      <c r="N3445">
        <v>0</v>
      </c>
      <c r="O3445">
        <v>-0.82095529999999906</v>
      </c>
      <c r="P3445">
        <v>0.62056049999999996</v>
      </c>
      <c r="Q3445">
        <v>-2.5752549999999999E-2</v>
      </c>
      <c r="R3445">
        <v>-0.78373590000000004</v>
      </c>
      <c r="S3445">
        <v>2.4173279999999999</v>
      </c>
      <c r="T3445">
        <v>-0.1670922</v>
      </c>
      <c r="U3445">
        <v>-1.9122159999999999</v>
      </c>
      <c r="V3445">
        <v>-6.200895E-2</v>
      </c>
      <c r="W3445">
        <v>-1.298421E-2</v>
      </c>
      <c r="X3445">
        <v>0.99799110000000002</v>
      </c>
      <c r="Y3445">
        <v>-0.28860590000000003</v>
      </c>
      <c r="Z3445">
        <v>4.9015549999999998E-2</v>
      </c>
      <c r="AA3445">
        <v>0.9561925</v>
      </c>
      <c r="AB3445">
        <v>17</v>
      </c>
      <c r="AC3445">
        <v>15.9945</v>
      </c>
      <c r="AD3445">
        <v>-1.1123295744419901</v>
      </c>
      <c r="AE3445">
        <v>-12.5969</v>
      </c>
      <c r="AF3445">
        <v>-5.92274522670583</v>
      </c>
      <c r="AG3445">
        <v>-1.1123295744419901</v>
      </c>
      <c r="AH3445">
        <v>19.415547644931699</v>
      </c>
      <c r="AI3445">
        <v>93.136541427459903</v>
      </c>
      <c r="AJ3445">
        <v>106.964414343811</v>
      </c>
      <c r="AK3445">
        <v>20.329281306904502</v>
      </c>
      <c r="AL3445">
        <v>90.743961362427896</v>
      </c>
      <c r="AM3445">
        <v>93.555432143958399</v>
      </c>
      <c r="AN3445">
        <v>0.99999996763431698</v>
      </c>
    </row>
    <row r="3446" spans="1:40" x14ac:dyDescent="0.25">
      <c r="A3446" t="str">
        <f>"20190312154320375"</f>
        <v>20190312154320375</v>
      </c>
      <c r="B3446" t="str">
        <f>"1552376600371163"</f>
        <v>1552376600371163</v>
      </c>
      <c r="C3446" t="s">
        <v>40</v>
      </c>
      <c r="D3446">
        <v>4.1672529999999997</v>
      </c>
      <c r="E3446">
        <v>0.40938049999999998</v>
      </c>
      <c r="F3446" t="s">
        <v>50</v>
      </c>
      <c r="G3446">
        <v>-468.88369999999998</v>
      </c>
      <c r="H3446" s="1">
        <v>3.3017110000000002E-6</v>
      </c>
      <c r="I3446">
        <v>212.07640000000001</v>
      </c>
      <c r="J3446">
        <v>-485.0274</v>
      </c>
      <c r="K3446">
        <v>1.1123449999999999</v>
      </c>
      <c r="L3446">
        <v>224.66319999999999</v>
      </c>
      <c r="M3446">
        <v>0.57411409999999996</v>
      </c>
      <c r="N3446">
        <v>0</v>
      </c>
      <c r="O3446">
        <v>-0.81866890000000003</v>
      </c>
      <c r="P3446">
        <v>0.62539480000000003</v>
      </c>
      <c r="Q3446">
        <v>-2.6494400000000001E-2</v>
      </c>
      <c r="R3446">
        <v>-0.77985839999999995</v>
      </c>
      <c r="S3446">
        <v>2.4273069999999999</v>
      </c>
      <c r="T3446">
        <v>-0.16628780000000001</v>
      </c>
      <c r="U3446">
        <v>-1.9004209999999999</v>
      </c>
      <c r="V3446">
        <v>-6.4207769999999997E-2</v>
      </c>
      <c r="W3446">
        <v>-1.360914E-2</v>
      </c>
      <c r="X3446">
        <v>0.9978437</v>
      </c>
      <c r="Y3446">
        <v>-0.2895876</v>
      </c>
      <c r="Z3446">
        <v>4.869072E-2</v>
      </c>
      <c r="AA3446">
        <v>0.95591219999999999</v>
      </c>
      <c r="AB3446">
        <v>17</v>
      </c>
      <c r="AC3446">
        <v>16.143699999999999</v>
      </c>
      <c r="AD3446">
        <v>-1.112341698289</v>
      </c>
      <c r="AE3446">
        <v>-12.586799999999901</v>
      </c>
      <c r="AF3446">
        <v>-5.9729714865918302</v>
      </c>
      <c r="AG3446">
        <v>-1.112341698289</v>
      </c>
      <c r="AH3446">
        <v>19.516826188833399</v>
      </c>
      <c r="AI3446">
        <v>93.119469308058797</v>
      </c>
      <c r="AJ3446">
        <v>107.016319031406</v>
      </c>
      <c r="AK3446">
        <v>20.440650599198801</v>
      </c>
      <c r="AL3446">
        <v>90.779770396638298</v>
      </c>
      <c r="AM3446">
        <v>93.681708303677695</v>
      </c>
      <c r="AN3446">
        <v>0.99999994802479897</v>
      </c>
    </row>
    <row r="3447" spans="1:40" x14ac:dyDescent="0.25">
      <c r="A3447" t="str">
        <f>"20190312154320396"</f>
        <v>20190312154320396</v>
      </c>
      <c r="B3447" t="str">
        <f>"1552376600390683"</f>
        <v>1552376600390683</v>
      </c>
      <c r="C3447" t="s">
        <v>40</v>
      </c>
      <c r="D3447">
        <v>4.1429640000000001</v>
      </c>
      <c r="E3447">
        <v>0.40935579999999999</v>
      </c>
      <c r="F3447" t="s">
        <v>50</v>
      </c>
      <c r="G3447">
        <v>-468.80489999999998</v>
      </c>
      <c r="H3447" s="1">
        <v>3.256926E-6</v>
      </c>
      <c r="I3447">
        <v>212.14109999999999</v>
      </c>
      <c r="J3447">
        <v>-484.92880000000002</v>
      </c>
      <c r="K3447">
        <v>1.11236</v>
      </c>
      <c r="L3447">
        <v>224.53139999999999</v>
      </c>
      <c r="M3447">
        <v>0.57755630000000002</v>
      </c>
      <c r="N3447">
        <v>0</v>
      </c>
      <c r="O3447">
        <v>-0.81624229999999998</v>
      </c>
      <c r="P3447">
        <v>0.63081599999999904</v>
      </c>
      <c r="Q3447">
        <v>-2.636192E-2</v>
      </c>
      <c r="R3447">
        <v>-0.77548459999999997</v>
      </c>
      <c r="S3447">
        <v>2.440674</v>
      </c>
      <c r="T3447">
        <v>-0.16735149999999999</v>
      </c>
      <c r="U3447">
        <v>-1.883942</v>
      </c>
      <c r="V3447">
        <v>-6.6958870000000004E-2</v>
      </c>
      <c r="W3447">
        <v>-1.3372999999999999E-2</v>
      </c>
      <c r="X3447">
        <v>0.9976661</v>
      </c>
      <c r="Y3447">
        <v>-0.2921203</v>
      </c>
      <c r="Z3447">
        <v>4.8933190000000001E-2</v>
      </c>
      <c r="AA3447">
        <v>0.95512889999999995</v>
      </c>
      <c r="AB3447">
        <v>17</v>
      </c>
      <c r="AC3447">
        <v>16.123899999999999</v>
      </c>
      <c r="AD3447">
        <v>-1.112356743074</v>
      </c>
      <c r="AE3447">
        <v>-12.3902999999999</v>
      </c>
      <c r="AF3447">
        <v>-5.9875287803299502</v>
      </c>
      <c r="AG3447">
        <v>-1.112356743074</v>
      </c>
      <c r="AH3447">
        <v>19.369707609079299</v>
      </c>
      <c r="AI3447">
        <v>93.140447505995695</v>
      </c>
      <c r="AJ3447">
        <v>107.177329899131</v>
      </c>
      <c r="AK3447">
        <v>20.304517016673</v>
      </c>
      <c r="AL3447">
        <v>90.7662393090325</v>
      </c>
      <c r="AM3447">
        <v>93.8396771580815</v>
      </c>
      <c r="AN3447">
        <v>0.99999998724494299</v>
      </c>
    </row>
    <row r="3448" spans="1:40" x14ac:dyDescent="0.25">
      <c r="A3448" t="str">
        <f>"20190312154320418"</f>
        <v>20190312154320418</v>
      </c>
      <c r="B3448" t="str">
        <f>"1552376600411180"</f>
        <v>1552376600411180</v>
      </c>
      <c r="C3448" t="s">
        <v>40</v>
      </c>
      <c r="D3448">
        <v>4.147672</v>
      </c>
      <c r="E3448">
        <v>0.40953990000000001</v>
      </c>
      <c r="F3448" t="s">
        <v>50</v>
      </c>
      <c r="G3448">
        <v>-468.44310000000002</v>
      </c>
      <c r="H3448" s="1">
        <v>3.0709990000000001E-6</v>
      </c>
      <c r="I3448">
        <v>211.99019999999999</v>
      </c>
      <c r="J3448">
        <v>-484.83390000000003</v>
      </c>
      <c r="K3448">
        <v>1.1123700000000001</v>
      </c>
      <c r="L3448">
        <v>224.4057</v>
      </c>
      <c r="M3448">
        <v>0.58084340000000001</v>
      </c>
      <c r="N3448">
        <v>0</v>
      </c>
      <c r="O3448">
        <v>-0.81390479999999998</v>
      </c>
      <c r="P3448">
        <v>0.63591999999999904</v>
      </c>
      <c r="Q3448">
        <v>-2.58274E-2</v>
      </c>
      <c r="R3448">
        <v>-0.77132279999999998</v>
      </c>
      <c r="S3448">
        <v>2.4539179999999998</v>
      </c>
      <c r="T3448">
        <v>-0.165576</v>
      </c>
      <c r="U3448">
        <v>-1.866776</v>
      </c>
      <c r="V3448">
        <v>-6.9509570000000007E-2</v>
      </c>
      <c r="W3448">
        <v>-1.275344E-2</v>
      </c>
      <c r="X3448">
        <v>0.99749980000000005</v>
      </c>
      <c r="Y3448">
        <v>-0.29500300000000002</v>
      </c>
      <c r="Z3448">
        <v>4.8363330000000003E-2</v>
      </c>
      <c r="AA3448">
        <v>0.9542716</v>
      </c>
      <c r="AB3448">
        <v>17</v>
      </c>
      <c r="AC3448">
        <v>16.390799999999999</v>
      </c>
      <c r="AD3448">
        <v>-1.1123669290009901</v>
      </c>
      <c r="AE3448">
        <v>-12.4155</v>
      </c>
      <c r="AF3448">
        <v>-6.1117545696760702</v>
      </c>
      <c r="AG3448">
        <v>-1.1123669290009901</v>
      </c>
      <c r="AH3448">
        <v>19.5700158918619</v>
      </c>
      <c r="AI3448">
        <v>93.105597863699103</v>
      </c>
      <c r="AJ3448">
        <v>107.34368736944</v>
      </c>
      <c r="AK3448">
        <v>20.532326368739099</v>
      </c>
      <c r="AL3448">
        <v>90.730738066507698</v>
      </c>
      <c r="AM3448">
        <v>93.986143583616496</v>
      </c>
      <c r="AN3448">
        <v>1.00000004077672</v>
      </c>
    </row>
    <row r="3449" spans="1:40" x14ac:dyDescent="0.25">
      <c r="A3449" t="str">
        <f>"20190312154320439"</f>
        <v>20190312154320439</v>
      </c>
      <c r="B3449" t="str">
        <f>"1552376600430699"</f>
        <v>1552376600430699</v>
      </c>
      <c r="C3449" t="s">
        <v>40</v>
      </c>
      <c r="D3449">
        <v>4.191789</v>
      </c>
      <c r="E3449">
        <v>0.40987839999999998</v>
      </c>
      <c r="F3449" t="s">
        <v>50</v>
      </c>
      <c r="G3449">
        <v>-468.15320000000003</v>
      </c>
      <c r="H3449" s="1">
        <v>2.9218839999999999E-6</v>
      </c>
      <c r="I3449">
        <v>211.87280000000001</v>
      </c>
      <c r="J3449">
        <v>-484.73689999999999</v>
      </c>
      <c r="K3449">
        <v>1.1123780000000001</v>
      </c>
      <c r="L3449">
        <v>224.2782</v>
      </c>
      <c r="M3449">
        <v>0.58417889999999995</v>
      </c>
      <c r="N3449">
        <v>0</v>
      </c>
      <c r="O3449">
        <v>-0.81151249999999997</v>
      </c>
      <c r="P3449">
        <v>0.640845199999999</v>
      </c>
      <c r="Q3449">
        <v>-2.4799249999999998E-2</v>
      </c>
      <c r="R3449">
        <v>-0.76726930000000004</v>
      </c>
      <c r="S3449">
        <v>2.4646910000000002</v>
      </c>
      <c r="T3449">
        <v>-0.16436029999999999</v>
      </c>
      <c r="U3449">
        <v>-1.8518220000000001</v>
      </c>
      <c r="V3449">
        <v>-7.1785840000000004E-2</v>
      </c>
      <c r="W3449">
        <v>-1.165012E-2</v>
      </c>
      <c r="X3449">
        <v>0.99735200000000002</v>
      </c>
      <c r="Y3449">
        <v>-0.29680119999999999</v>
      </c>
      <c r="Z3449">
        <v>4.7945210000000002E-2</v>
      </c>
      <c r="AA3449">
        <v>0.95373490000000005</v>
      </c>
      <c r="AB3449">
        <v>17</v>
      </c>
      <c r="AC3449">
        <v>16.583699999999901</v>
      </c>
      <c r="AD3449">
        <v>-1.112375078116</v>
      </c>
      <c r="AE3449">
        <v>-12.405399999999901</v>
      </c>
      <c r="AF3449">
        <v>-6.1936056312237104</v>
      </c>
      <c r="AG3449">
        <v>-1.112375078116</v>
      </c>
      <c r="AH3449">
        <v>19.699954712120601</v>
      </c>
      <c r="AI3449">
        <v>93.083335827014693</v>
      </c>
      <c r="AJ3449">
        <v>107.45298851807399</v>
      </c>
      <c r="AK3449">
        <v>20.680578925386602</v>
      </c>
      <c r="AL3449">
        <v>90.667517825926794</v>
      </c>
      <c r="AM3449">
        <v>94.116846409868202</v>
      </c>
      <c r="AN3449">
        <v>0.99999997201225899</v>
      </c>
    </row>
    <row r="3450" spans="1:40" x14ac:dyDescent="0.25">
      <c r="A3450" t="str">
        <f>"20190312154320462"</f>
        <v>20190312154320462</v>
      </c>
      <c r="B3450" t="str">
        <f>"1552376600451196"</f>
        <v>1552376600451196</v>
      </c>
      <c r="C3450" t="s">
        <v>40</v>
      </c>
      <c r="D3450">
        <v>4.1982980000000003</v>
      </c>
      <c r="E3450">
        <v>0.4099776</v>
      </c>
      <c r="F3450" t="s">
        <v>50</v>
      </c>
      <c r="G3450">
        <v>-467.74299999999999</v>
      </c>
      <c r="H3450" s="1">
        <v>2.7128929999999999E-6</v>
      </c>
      <c r="I3450">
        <v>211.65899999999999</v>
      </c>
      <c r="J3450">
        <v>-484.63400000000001</v>
      </c>
      <c r="K3450">
        <v>1.1123879999999999</v>
      </c>
      <c r="L3450">
        <v>224.14410000000001</v>
      </c>
      <c r="M3450">
        <v>0.58769110000000002</v>
      </c>
      <c r="N3450">
        <v>0</v>
      </c>
      <c r="O3450">
        <v>-0.80897149999999995</v>
      </c>
      <c r="P3450">
        <v>0.64543030000000001</v>
      </c>
      <c r="Q3450">
        <v>-2.3990069999999999E-2</v>
      </c>
      <c r="R3450">
        <v>-0.76344290000000004</v>
      </c>
      <c r="S3450">
        <v>2.4747620000000001</v>
      </c>
      <c r="T3450">
        <v>-0.16199050000000001</v>
      </c>
      <c r="U3450">
        <v>-1.8376920000000001</v>
      </c>
      <c r="V3450">
        <v>-7.3424820000000002E-2</v>
      </c>
      <c r="W3450">
        <v>-1.077003E-2</v>
      </c>
      <c r="X3450">
        <v>0.99724259999999998</v>
      </c>
      <c r="Y3450">
        <v>-0.29806189999999999</v>
      </c>
      <c r="Z3450">
        <v>4.7176999999999997E-2</v>
      </c>
      <c r="AA3450">
        <v>0.95338000000000001</v>
      </c>
      <c r="AB3450">
        <v>17</v>
      </c>
      <c r="AC3450">
        <v>16.890999999999899</v>
      </c>
      <c r="AD3450">
        <v>-1.1123852871069999</v>
      </c>
      <c r="AE3450">
        <v>-12.4850999999999</v>
      </c>
      <c r="AF3450">
        <v>-6.3098411075226899</v>
      </c>
      <c r="AG3450">
        <v>-1.1123852871069999</v>
      </c>
      <c r="AH3450">
        <v>19.9726082193168</v>
      </c>
      <c r="AI3450">
        <v>93.040022177681095</v>
      </c>
      <c r="AJ3450">
        <v>107.532615628108</v>
      </c>
      <c r="AK3450">
        <v>20.975141832928799</v>
      </c>
      <c r="AL3450">
        <v>90.617089194042293</v>
      </c>
      <c r="AM3450">
        <v>94.210966237591506</v>
      </c>
      <c r="AN3450">
        <v>1.00000000049649</v>
      </c>
    </row>
    <row r="3451" spans="1:40" x14ac:dyDescent="0.25">
      <c r="A3451" t="str">
        <f>"20190312154320485"</f>
        <v>20190312154320485</v>
      </c>
      <c r="B3451" t="str">
        <f>"1552376600480475"</f>
        <v>1552376600480475</v>
      </c>
      <c r="C3451" t="s">
        <v>40</v>
      </c>
      <c r="D3451">
        <v>4.2736419999999997</v>
      </c>
      <c r="E3451">
        <v>0.41745359999999998</v>
      </c>
      <c r="F3451" t="s">
        <v>50</v>
      </c>
      <c r="G3451">
        <v>-467.37459999999999</v>
      </c>
      <c r="H3451" s="1">
        <v>2.5246400000000002E-6</v>
      </c>
      <c r="I3451">
        <v>211.4819</v>
      </c>
      <c r="J3451">
        <v>-484.53489999999999</v>
      </c>
      <c r="K3451">
        <v>1.112392</v>
      </c>
      <c r="L3451">
        <v>224.0162</v>
      </c>
      <c r="M3451">
        <v>0.59104159999999994</v>
      </c>
      <c r="N3451">
        <v>0</v>
      </c>
      <c r="O3451">
        <v>-0.80652550000000001</v>
      </c>
      <c r="P3451">
        <v>0.64896109999999996</v>
      </c>
      <c r="Q3451">
        <v>-2.356084E-2</v>
      </c>
      <c r="R3451">
        <v>-0.76045659999999904</v>
      </c>
      <c r="S3451">
        <v>2.4853519999999998</v>
      </c>
      <c r="T3451">
        <v>-0.16018370000000001</v>
      </c>
      <c r="U3451">
        <v>-1.823364</v>
      </c>
      <c r="V3451">
        <v>-7.3903570000000002E-2</v>
      </c>
      <c r="W3451">
        <v>-1.02776E-2</v>
      </c>
      <c r="X3451">
        <v>0.9972124</v>
      </c>
      <c r="Y3451">
        <v>-0.29963800000000002</v>
      </c>
      <c r="Z3451">
        <v>4.657741E-2</v>
      </c>
      <c r="AA3451">
        <v>0.95291530000000002</v>
      </c>
      <c r="AB3451">
        <v>17</v>
      </c>
      <c r="AC3451">
        <v>17.160299999999999</v>
      </c>
      <c r="AD3451">
        <v>-1.1123894753599901</v>
      </c>
      <c r="AE3451">
        <v>-12.5343</v>
      </c>
      <c r="AF3451">
        <v>-6.4149485608882904</v>
      </c>
      <c r="AG3451">
        <v>-1.1123894753599901</v>
      </c>
      <c r="AH3451">
        <v>20.198225711465099</v>
      </c>
      <c r="AI3451">
        <v>93.004692144313694</v>
      </c>
      <c r="AJ3451">
        <v>107.61982762116401</v>
      </c>
      <c r="AK3451">
        <v>21.221623342125</v>
      </c>
      <c r="AL3451">
        <v>90.588873489281596</v>
      </c>
      <c r="AM3451">
        <v>94.238451052458103</v>
      </c>
      <c r="AN3451">
        <v>0.99999996871713204</v>
      </c>
    </row>
    <row r="3452" spans="1:40" x14ac:dyDescent="0.25">
      <c r="A3452" t="str">
        <f>"20190312154320506"</f>
        <v>20190312154320506</v>
      </c>
      <c r="B3452" t="str">
        <f>"1552376600500971"</f>
        <v>1552376600500971</v>
      </c>
      <c r="C3452" t="s">
        <v>40</v>
      </c>
      <c r="D3452">
        <v>4.2993519999999998</v>
      </c>
      <c r="E3452">
        <v>0.41836590000000001</v>
      </c>
      <c r="F3452" t="s">
        <v>50</v>
      </c>
      <c r="G3452">
        <v>-468.65359999999998</v>
      </c>
      <c r="H3452" s="1">
        <v>3.1820490000000001E-6</v>
      </c>
      <c r="I3452">
        <v>212.01249999999999</v>
      </c>
      <c r="J3452">
        <v>-484.4384</v>
      </c>
      <c r="K3452">
        <v>1.112393</v>
      </c>
      <c r="L3452">
        <v>223.89269999999999</v>
      </c>
      <c r="M3452">
        <v>0.59427629999999998</v>
      </c>
      <c r="N3452">
        <v>0</v>
      </c>
      <c r="O3452">
        <v>-0.80414410000000003</v>
      </c>
      <c r="P3452">
        <v>0.65174889999999996</v>
      </c>
      <c r="Q3452">
        <v>-2.4474059999999999E-2</v>
      </c>
      <c r="R3452">
        <v>-0.75803980000000004</v>
      </c>
      <c r="S3452">
        <v>2.4482119999999998</v>
      </c>
      <c r="T3452">
        <v>-0.17148239999999901</v>
      </c>
      <c r="U3452">
        <v>-1.850449</v>
      </c>
      <c r="V3452">
        <v>-7.3572869999999999E-2</v>
      </c>
      <c r="W3452">
        <v>-1.1134399999999999E-2</v>
      </c>
      <c r="X3452">
        <v>0.99722770000000005</v>
      </c>
      <c r="Y3452">
        <v>-0.2820047</v>
      </c>
      <c r="Z3452">
        <v>4.9658040000000001E-2</v>
      </c>
      <c r="AA3452">
        <v>0.95812699999999995</v>
      </c>
      <c r="AB3452">
        <v>17</v>
      </c>
      <c r="AC3452">
        <v>15.784800000000001</v>
      </c>
      <c r="AD3452">
        <v>-1.1123898179509999</v>
      </c>
      <c r="AE3452">
        <v>-11.8802</v>
      </c>
      <c r="AF3452">
        <v>-5.6158573124144997</v>
      </c>
      <c r="AG3452">
        <v>-1.1123898179509999</v>
      </c>
      <c r="AH3452">
        <v>18.8758604383471</v>
      </c>
      <c r="AI3452">
        <v>93.232915529745995</v>
      </c>
      <c r="AJ3452">
        <v>106.568547074173</v>
      </c>
      <c r="AK3452">
        <v>19.724942883274402</v>
      </c>
      <c r="AL3452">
        <v>90.637967301018904</v>
      </c>
      <c r="AM3452">
        <v>94.219489193537001</v>
      </c>
      <c r="AN3452">
        <v>1.00000001385534</v>
      </c>
    </row>
    <row r="3453" spans="1:40" x14ac:dyDescent="0.25">
      <c r="A3453" t="str">
        <f>"20190312154320531"</f>
        <v>20190312154320531</v>
      </c>
      <c r="B3453" t="str">
        <f>"1552376600520490"</f>
        <v>1552376600520490</v>
      </c>
      <c r="C3453" t="s">
        <v>40</v>
      </c>
      <c r="D3453">
        <v>4.3433099999999998</v>
      </c>
      <c r="E3453">
        <v>0.41965819999999998</v>
      </c>
      <c r="F3453" t="s">
        <v>50</v>
      </c>
      <c r="G3453">
        <v>-468.87299999999999</v>
      </c>
      <c r="H3453" s="1">
        <v>3.2921950000000001E-6</v>
      </c>
      <c r="I3453">
        <v>212.16380000000001</v>
      </c>
      <c r="J3453">
        <v>-484.33190000000002</v>
      </c>
      <c r="K3453">
        <v>1.11239</v>
      </c>
      <c r="L3453">
        <v>223.75739999999999</v>
      </c>
      <c r="M3453">
        <v>0.59781850000000003</v>
      </c>
      <c r="N3453">
        <v>0</v>
      </c>
      <c r="O3453">
        <v>-0.80151359999999905</v>
      </c>
      <c r="P3453">
        <v>0.65411709999999901</v>
      </c>
      <c r="Q3453">
        <v>-2.6597039999999999E-2</v>
      </c>
      <c r="R3453">
        <v>-0.75592550000000003</v>
      </c>
      <c r="S3453">
        <v>2.449554</v>
      </c>
      <c r="T3453">
        <v>-0.175058399999999</v>
      </c>
      <c r="U3453">
        <v>-1.8457950000000001</v>
      </c>
      <c r="V3453">
        <v>-7.2326580000000001E-2</v>
      </c>
      <c r="W3453">
        <v>-1.3199809999999999E-2</v>
      </c>
      <c r="X3453">
        <v>0.99729369999999995</v>
      </c>
      <c r="Y3453">
        <v>-0.27913660000000001</v>
      </c>
      <c r="Z3453">
        <v>5.0546819999999999E-2</v>
      </c>
      <c r="AA3453">
        <v>0.95892010000000005</v>
      </c>
      <c r="AB3453">
        <v>16</v>
      </c>
      <c r="AC3453">
        <v>15.4588999999999</v>
      </c>
      <c r="AD3453">
        <v>-1.112386707805</v>
      </c>
      <c r="AE3453">
        <v>-11.593599999999901</v>
      </c>
      <c r="AF3453">
        <v>-5.4421308992762398</v>
      </c>
      <c r="AG3453">
        <v>-1.112386707805</v>
      </c>
      <c r="AH3453">
        <v>18.474571744247498</v>
      </c>
      <c r="AI3453">
        <v>93.305614490795094</v>
      </c>
      <c r="AJ3453">
        <v>106.41360953771201</v>
      </c>
      <c r="AK3453">
        <v>19.291552401139398</v>
      </c>
      <c r="AL3453">
        <v>90.756315331971606</v>
      </c>
      <c r="AM3453">
        <v>94.147991106193601</v>
      </c>
      <c r="AN3453">
        <v>1.0000000466091099</v>
      </c>
    </row>
    <row r="3454" spans="1:40" x14ac:dyDescent="0.25">
      <c r="A3454" t="str">
        <f>"20190312154320553"</f>
        <v>20190312154320553</v>
      </c>
      <c r="B3454" t="str">
        <f>"1552376600540988"</f>
        <v>1552376600540988</v>
      </c>
      <c r="C3454" t="s">
        <v>40</v>
      </c>
      <c r="D3454">
        <v>4.3216320000000001</v>
      </c>
      <c r="E3454">
        <v>0.42065209999999997</v>
      </c>
      <c r="F3454" t="s">
        <v>50</v>
      </c>
      <c r="G3454">
        <v>-469.80399999999997</v>
      </c>
      <c r="H3454" s="1">
        <v>3.7594590000000001E-6</v>
      </c>
      <c r="I3454">
        <v>212.8082</v>
      </c>
      <c r="J3454">
        <v>-484.22919999999999</v>
      </c>
      <c r="K3454">
        <v>1.1123890000000001</v>
      </c>
      <c r="L3454">
        <v>223.62819999999999</v>
      </c>
      <c r="M3454">
        <v>0.60120419999999997</v>
      </c>
      <c r="N3454">
        <v>0</v>
      </c>
      <c r="O3454">
        <v>-0.79897649999999998</v>
      </c>
      <c r="P3454">
        <v>0.65634930000000002</v>
      </c>
      <c r="Q3454">
        <v>-2.7874320000000001E-2</v>
      </c>
      <c r="R3454">
        <v>-0.75394229999999995</v>
      </c>
      <c r="S3454">
        <v>2.447235</v>
      </c>
      <c r="T3454">
        <v>-0.18738199999999999</v>
      </c>
      <c r="U3454">
        <v>-1.844406</v>
      </c>
      <c r="V3454">
        <v>-7.1077970000000004E-2</v>
      </c>
      <c r="W3454">
        <v>-1.4429040000000001E-2</v>
      </c>
      <c r="X3454">
        <v>0.99736639999999999</v>
      </c>
      <c r="Y3454">
        <v>-0.27480459999999901</v>
      </c>
      <c r="Z3454">
        <v>5.3932840000000003E-2</v>
      </c>
      <c r="AA3454">
        <v>0.95998629999999996</v>
      </c>
      <c r="AB3454">
        <v>16</v>
      </c>
      <c r="AC3454">
        <v>14.425199999999901</v>
      </c>
      <c r="AD3454">
        <v>-1.11238524054099</v>
      </c>
      <c r="AE3454">
        <v>-10.819999999999901</v>
      </c>
      <c r="AF3454">
        <v>-5.0018089985632601</v>
      </c>
      <c r="AG3454">
        <v>-1.11238524054099</v>
      </c>
      <c r="AH3454">
        <v>17.253404170947</v>
      </c>
      <c r="AI3454">
        <v>93.543443344212506</v>
      </c>
      <c r="AJ3454">
        <v>106.167018148911</v>
      </c>
      <c r="AK3454">
        <v>17.9982068458926</v>
      </c>
      <c r="AL3454">
        <v>90.8267517795272</v>
      </c>
      <c r="AM3454">
        <v>94.076329644711905</v>
      </c>
      <c r="AN3454">
        <v>1.0000000054317999</v>
      </c>
    </row>
    <row r="3455" spans="1:40" x14ac:dyDescent="0.25">
      <c r="A3455" t="str">
        <f>"20190312154320584"</f>
        <v>20190312154320584</v>
      </c>
      <c r="B3455" t="str">
        <f>"1552376600571246"</f>
        <v>1552376600571246</v>
      </c>
      <c r="C3455" t="s">
        <v>40</v>
      </c>
      <c r="D3455">
        <v>4.3671139999999999</v>
      </c>
      <c r="E3455">
        <v>0.4217804</v>
      </c>
      <c r="F3455" t="s">
        <v>49</v>
      </c>
      <c r="G3455">
        <v>-470.25099999999998</v>
      </c>
      <c r="H3455" s="1">
        <v>5.7808919999999998E-6</v>
      </c>
      <c r="I3455">
        <v>213.10059999999999</v>
      </c>
      <c r="J3455">
        <v>-484.0838</v>
      </c>
      <c r="K3455">
        <v>1.112387</v>
      </c>
      <c r="L3455">
        <v>223.44720000000001</v>
      </c>
      <c r="M3455">
        <v>0.60594630000000005</v>
      </c>
      <c r="N3455">
        <v>0</v>
      </c>
      <c r="O3455">
        <v>-0.79538529999999996</v>
      </c>
      <c r="P3455">
        <v>0.66020409999999996</v>
      </c>
      <c r="Q3455">
        <v>-2.760574E-2</v>
      </c>
      <c r="R3455">
        <v>-0.750579199999999</v>
      </c>
      <c r="S3455">
        <v>2.4462280000000001</v>
      </c>
      <c r="T3455">
        <v>-0.1946707</v>
      </c>
      <c r="U3455">
        <v>-1.8423609999999999</v>
      </c>
      <c r="V3455">
        <v>-7.0251209999999994E-2</v>
      </c>
      <c r="W3455">
        <v>-1.4107440000000001E-2</v>
      </c>
      <c r="X3455">
        <v>0.99742949999999997</v>
      </c>
      <c r="Y3455">
        <v>-0.26929819999999999</v>
      </c>
      <c r="Z3455">
        <v>5.5763710000000001E-2</v>
      </c>
      <c r="AA3455">
        <v>0.96144099999999999</v>
      </c>
      <c r="AB3455">
        <v>16</v>
      </c>
      <c r="AC3455">
        <v>13.832800000000001</v>
      </c>
      <c r="AD3455">
        <v>-1.112381219108</v>
      </c>
      <c r="AE3455">
        <v>-10.3466</v>
      </c>
      <c r="AF3455">
        <v>-4.71382738268679</v>
      </c>
      <c r="AG3455">
        <v>-1.112381219108</v>
      </c>
      <c r="AH3455">
        <v>16.544450542283499</v>
      </c>
      <c r="AI3455">
        <v>93.699737978208503</v>
      </c>
      <c r="AJ3455">
        <v>105.903256572766</v>
      </c>
      <c r="AK3455">
        <v>17.2388051881926</v>
      </c>
      <c r="AL3455">
        <v>90.808323641971995</v>
      </c>
      <c r="AM3455">
        <v>94.028817884274105</v>
      </c>
      <c r="AN3455">
        <v>0.99999992992003095</v>
      </c>
    </row>
    <row r="3456" spans="1:40" x14ac:dyDescent="0.25">
      <c r="A3456" t="str">
        <f>"20190312154320608"</f>
        <v>20190312154320608</v>
      </c>
      <c r="B3456" t="str">
        <f>"1552376600600523"</f>
        <v>1552376600600523</v>
      </c>
      <c r="C3456" t="s">
        <v>40</v>
      </c>
      <c r="D3456">
        <v>4.7628879999999896</v>
      </c>
      <c r="E3456">
        <v>0.4227146</v>
      </c>
      <c r="F3456" t="s">
        <v>49</v>
      </c>
      <c r="G3456">
        <v>-470.29480000000001</v>
      </c>
      <c r="H3456" s="1">
        <v>5.7618020000000001E-6</v>
      </c>
      <c r="I3456">
        <v>213.1086</v>
      </c>
      <c r="J3456">
        <v>-483.98180000000002</v>
      </c>
      <c r="K3456">
        <v>1.1123829999999999</v>
      </c>
      <c r="L3456">
        <v>223.32149999999999</v>
      </c>
      <c r="M3456">
        <v>0.60924269999999903</v>
      </c>
      <c r="N3456">
        <v>0</v>
      </c>
      <c r="O3456">
        <v>-0.79286269999999903</v>
      </c>
      <c r="P3456">
        <v>0.66436229999999996</v>
      </c>
      <c r="Q3456">
        <v>-2.874405E-2</v>
      </c>
      <c r="R3456">
        <v>-0.74685800000000002</v>
      </c>
      <c r="S3456">
        <v>2.4486080000000001</v>
      </c>
      <c r="T3456">
        <v>-0.1975334</v>
      </c>
      <c r="U3456">
        <v>-1.8358920000000001</v>
      </c>
      <c r="V3456">
        <v>-7.1671109999999996E-2</v>
      </c>
      <c r="W3456">
        <v>-1.5225870000000001E-2</v>
      </c>
      <c r="X3456">
        <v>0.99731210000000003</v>
      </c>
      <c r="Y3456">
        <v>-0.26733210000000002</v>
      </c>
      <c r="Z3456">
        <v>5.6443670000000001E-2</v>
      </c>
      <c r="AA3456">
        <v>0.96194990000000002</v>
      </c>
      <c r="AB3456">
        <v>16</v>
      </c>
      <c r="AC3456">
        <v>13.686999999999999</v>
      </c>
      <c r="AD3456">
        <v>-1.1123772381979999</v>
      </c>
      <c r="AE3456">
        <v>-10.2128999999999</v>
      </c>
      <c r="AF3456">
        <v>-4.6106592014482501</v>
      </c>
      <c r="AG3456">
        <v>-1.1123772381979999</v>
      </c>
      <c r="AH3456">
        <v>16.368262353844301</v>
      </c>
      <c r="AI3456">
        <v>93.742602126186995</v>
      </c>
      <c r="AJ3456">
        <v>105.73161909623801</v>
      </c>
      <c r="AK3456">
        <v>17.041583666908402</v>
      </c>
      <c r="AL3456">
        <v>90.872411800777499</v>
      </c>
      <c r="AM3456">
        <v>94.110453206436702</v>
      </c>
      <c r="AN3456">
        <v>0.99999999996614897</v>
      </c>
    </row>
    <row r="3457" spans="1:40" x14ac:dyDescent="0.25">
      <c r="A3457" t="str">
        <f>"20190312154320630"</f>
        <v>20190312154320630</v>
      </c>
      <c r="B3457" t="str">
        <f>"1552376600621019"</f>
        <v>1552376600621019</v>
      </c>
      <c r="C3457" t="s">
        <v>40</v>
      </c>
      <c r="D3457">
        <v>4.3825250000000002</v>
      </c>
      <c r="E3457">
        <v>0.4231279</v>
      </c>
      <c r="F3457" t="s">
        <v>49</v>
      </c>
      <c r="G3457">
        <v>-470.38630000000001</v>
      </c>
      <c r="H3457" s="1">
        <v>5.7250759999999998E-6</v>
      </c>
      <c r="I3457">
        <v>213.1969</v>
      </c>
      <c r="J3457">
        <v>-483.87889999999999</v>
      </c>
      <c r="K3457">
        <v>1.1123860000000001</v>
      </c>
      <c r="L3457">
        <v>223.19589999999999</v>
      </c>
      <c r="M3457">
        <v>0.61254750000000002</v>
      </c>
      <c r="N3457">
        <v>0</v>
      </c>
      <c r="O3457">
        <v>-0.79031180000000001</v>
      </c>
      <c r="P3457">
        <v>0.6690547</v>
      </c>
      <c r="Q3457">
        <v>-2.9890280000000002E-2</v>
      </c>
      <c r="R3457">
        <v>-0.74261180000000004</v>
      </c>
      <c r="S3457">
        <v>2.453217</v>
      </c>
      <c r="T3457">
        <v>-0.20072129999999999</v>
      </c>
      <c r="U3457">
        <v>-1.8269040000000001</v>
      </c>
      <c r="V3457">
        <v>-7.3812939999999994E-2</v>
      </c>
      <c r="W3457">
        <v>-1.6361170000000001E-2</v>
      </c>
      <c r="X3457">
        <v>0.99713790000000002</v>
      </c>
      <c r="Y3457">
        <v>-0.26639210000000002</v>
      </c>
      <c r="Z3457">
        <v>5.7225829999999998E-2</v>
      </c>
      <c r="AA3457">
        <v>0.96216449999999998</v>
      </c>
      <c r="AB3457">
        <v>16</v>
      </c>
      <c r="AC3457">
        <v>13.4925999999999</v>
      </c>
      <c r="AD3457">
        <v>-1.1123802749239999</v>
      </c>
      <c r="AE3457">
        <v>-9.9989999999999899</v>
      </c>
      <c r="AF3457">
        <v>-4.5191088541572704</v>
      </c>
      <c r="AG3457">
        <v>-1.1123802749239999</v>
      </c>
      <c r="AH3457">
        <v>16.098115520891302</v>
      </c>
      <c r="AI3457">
        <v>93.8061844112313</v>
      </c>
      <c r="AJ3457">
        <v>105.68064447719399</v>
      </c>
      <c r="AK3457">
        <v>16.757358325097801</v>
      </c>
      <c r="AL3457">
        <v>90.937467802983406</v>
      </c>
      <c r="AM3457">
        <v>94.233587363244197</v>
      </c>
      <c r="AN3457">
        <v>1.0000000148058099</v>
      </c>
    </row>
    <row r="3458" spans="1:40" x14ac:dyDescent="0.25">
      <c r="A3458" t="str">
        <f>"20190312154320652"</f>
        <v>20190312154320652</v>
      </c>
      <c r="B3458" t="str">
        <f>"1552376600640539"</f>
        <v>1552376600640539</v>
      </c>
      <c r="C3458" t="s">
        <v>40</v>
      </c>
      <c r="D3458">
        <v>4.3345549999999999</v>
      </c>
      <c r="E3458">
        <v>0.42314289999999999</v>
      </c>
      <c r="F3458" t="s">
        <v>49</v>
      </c>
      <c r="G3458">
        <v>-470.4966</v>
      </c>
      <c r="H3458" s="1">
        <v>5.68244299999999E-6</v>
      </c>
      <c r="I3458">
        <v>213.34049999999999</v>
      </c>
      <c r="J3458">
        <v>-483.77780000000001</v>
      </c>
      <c r="K3458">
        <v>1.1123970000000001</v>
      </c>
      <c r="L3458">
        <v>223.0735</v>
      </c>
      <c r="M3458">
        <v>0.61579159999999999</v>
      </c>
      <c r="N3458">
        <v>0</v>
      </c>
      <c r="O3458">
        <v>-0.7877864</v>
      </c>
      <c r="P3458">
        <v>0.67433639999999995</v>
      </c>
      <c r="Q3458">
        <v>-2.953911E-2</v>
      </c>
      <c r="R3458">
        <v>-0.73783369999999904</v>
      </c>
      <c r="S3458">
        <v>2.4622190000000002</v>
      </c>
      <c r="T3458">
        <v>-0.20466790000000001</v>
      </c>
      <c r="U3458">
        <v>-1.813293</v>
      </c>
      <c r="V3458">
        <v>-7.6818990000000004E-2</v>
      </c>
      <c r="W3458">
        <v>-1.600861E-2</v>
      </c>
      <c r="X3458">
        <v>0.99691649999999998</v>
      </c>
      <c r="Y3458">
        <v>-0.2674935</v>
      </c>
      <c r="Z3458">
        <v>5.8248620000000001E-2</v>
      </c>
      <c r="AA3458">
        <v>0.96179749999999997</v>
      </c>
      <c r="AB3458">
        <v>16</v>
      </c>
      <c r="AC3458">
        <v>13.2812</v>
      </c>
      <c r="AD3458">
        <v>-1.1123913175569999</v>
      </c>
      <c r="AE3458">
        <v>-9.7330000000000005</v>
      </c>
      <c r="AF3458">
        <v>-4.4493738945624104</v>
      </c>
      <c r="AG3458">
        <v>-1.1123913175569999</v>
      </c>
      <c r="AH3458">
        <v>15.775507784942899</v>
      </c>
      <c r="AI3458">
        <v>93.882490450088895</v>
      </c>
      <c r="AJ3458">
        <v>105.75074201821199</v>
      </c>
      <c r="AK3458">
        <v>16.428663620933499</v>
      </c>
      <c r="AL3458">
        <v>90.917264997644494</v>
      </c>
      <c r="AM3458">
        <v>94.406310242944599</v>
      </c>
      <c r="AN3458">
        <v>0.99999997039550004</v>
      </c>
    </row>
    <row r="3459" spans="1:40" x14ac:dyDescent="0.25">
      <c r="A3459" t="str">
        <f>"20190312154320674"</f>
        <v>20190312154320674</v>
      </c>
      <c r="B3459" t="str">
        <f>"1552376600661039"</f>
        <v>1552376600661039</v>
      </c>
      <c r="C3459" t="s">
        <v>40</v>
      </c>
      <c r="D3459">
        <v>4.3928799999999999</v>
      </c>
      <c r="E3459">
        <v>0.42135299999999998</v>
      </c>
      <c r="F3459" t="s">
        <v>49</v>
      </c>
      <c r="G3459">
        <v>-470.16269999999997</v>
      </c>
      <c r="H3459" s="1">
        <v>5.8240509999999898E-6</v>
      </c>
      <c r="I3459">
        <v>213.19239999999999</v>
      </c>
      <c r="J3459">
        <v>-483.67829999999998</v>
      </c>
      <c r="K3459">
        <v>1.11242</v>
      </c>
      <c r="L3459">
        <v>222.95400000000001</v>
      </c>
      <c r="M3459">
        <v>0.61898619999999904</v>
      </c>
      <c r="N3459">
        <v>0</v>
      </c>
      <c r="O3459">
        <v>-0.78527829999999998</v>
      </c>
      <c r="P3459">
        <v>0.6793053</v>
      </c>
      <c r="Q3459">
        <v>-2.865498E-2</v>
      </c>
      <c r="R3459">
        <v>-0.73329599999999995</v>
      </c>
      <c r="S3459">
        <v>2.4747919999999999</v>
      </c>
      <c r="T3459">
        <v>-0.20219680000000001</v>
      </c>
      <c r="U3459">
        <v>-1.7960659999999999</v>
      </c>
      <c r="V3459">
        <v>-7.9484719999999995E-2</v>
      </c>
      <c r="W3459">
        <v>-1.5125380000000001E-2</v>
      </c>
      <c r="X3459">
        <v>0.99672130000000003</v>
      </c>
      <c r="Y3459">
        <v>-0.2703294</v>
      </c>
      <c r="Z3459">
        <v>5.7472830000000003E-2</v>
      </c>
      <c r="AA3459">
        <v>0.96105090000000004</v>
      </c>
      <c r="AB3459">
        <v>16</v>
      </c>
      <c r="AC3459">
        <v>13.515599999999999</v>
      </c>
      <c r="AD3459">
        <v>-1.1124141759490001</v>
      </c>
      <c r="AE3459">
        <v>-9.7616000000000103</v>
      </c>
      <c r="AF3459">
        <v>-4.5513927731219699</v>
      </c>
      <c r="AG3459">
        <v>-1.1124141759490001</v>
      </c>
      <c r="AH3459">
        <v>15.962036241845899</v>
      </c>
      <c r="AI3459">
        <v>93.834228313146895</v>
      </c>
      <c r="AJ3459">
        <v>105.914896641616</v>
      </c>
      <c r="AK3459">
        <v>16.635481431569101</v>
      </c>
      <c r="AL3459">
        <v>90.8666535074167</v>
      </c>
      <c r="AM3459">
        <v>94.559470853098105</v>
      </c>
      <c r="AN3459">
        <v>0.99999997385365602</v>
      </c>
    </row>
    <row r="3460" spans="1:40" x14ac:dyDescent="0.25">
      <c r="A3460" t="str">
        <f>"20190312154320697"</f>
        <v>20190312154320697</v>
      </c>
      <c r="B3460" t="str">
        <f>"1552376600691291"</f>
        <v>1552376600691291</v>
      </c>
      <c r="C3460" t="s">
        <v>40</v>
      </c>
      <c r="D3460">
        <v>4.3087489999999997</v>
      </c>
      <c r="E3460">
        <v>0.42005340000000002</v>
      </c>
      <c r="F3460" t="s">
        <v>50</v>
      </c>
      <c r="G3460">
        <v>-469.40109999999999</v>
      </c>
      <c r="H3460" s="1">
        <v>3.5436650000000001E-6</v>
      </c>
      <c r="I3460">
        <v>212.83930000000001</v>
      </c>
      <c r="J3460">
        <v>-483.5752</v>
      </c>
      <c r="K3460">
        <v>1.1124540000000001</v>
      </c>
      <c r="L3460">
        <v>222.8314</v>
      </c>
      <c r="M3460">
        <v>0.62230319999999995</v>
      </c>
      <c r="N3460">
        <v>0</v>
      </c>
      <c r="O3460">
        <v>-0.78265220000000002</v>
      </c>
      <c r="P3460">
        <v>0.683446</v>
      </c>
      <c r="Q3460">
        <v>-2.7730100000000001E-2</v>
      </c>
      <c r="R3460">
        <v>-0.72947430000000002</v>
      </c>
      <c r="S3460">
        <v>2.497833</v>
      </c>
      <c r="T3460">
        <v>-0.19461990000000001</v>
      </c>
      <c r="U3460">
        <v>-1.7695919999999901</v>
      </c>
      <c r="V3460">
        <v>-8.0891099999999994E-2</v>
      </c>
      <c r="W3460">
        <v>-1.419775E-2</v>
      </c>
      <c r="X3460">
        <v>0.9966218</v>
      </c>
      <c r="Y3460">
        <v>-0.27734979999999998</v>
      </c>
      <c r="Z3460">
        <v>5.5276220000000001E-2</v>
      </c>
      <c r="AA3460">
        <v>0.95917759999999996</v>
      </c>
      <c r="AB3460">
        <v>16</v>
      </c>
      <c r="AC3460">
        <v>14.174099999999999</v>
      </c>
      <c r="AD3460">
        <v>-1.1124504563349999</v>
      </c>
      <c r="AE3460">
        <v>-9.99209999999999</v>
      </c>
      <c r="AF3460">
        <v>-4.8557673296378896</v>
      </c>
      <c r="AG3460">
        <v>-1.1124504563349999</v>
      </c>
      <c r="AH3460">
        <v>16.574341573277</v>
      </c>
      <c r="AI3460">
        <v>93.685415165637906</v>
      </c>
      <c r="AJ3460">
        <v>106.32894573255101</v>
      </c>
      <c r="AK3460">
        <v>17.306785402409002</v>
      </c>
      <c r="AL3460">
        <v>90.813498502374401</v>
      </c>
      <c r="AM3460">
        <v>94.6402568456773</v>
      </c>
      <c r="AN3460">
        <v>0.99999997919975603</v>
      </c>
    </row>
    <row r="3461" spans="1:40" x14ac:dyDescent="0.25">
      <c r="A3461" t="str">
        <f>"20190312154320719"</f>
        <v>20190312154320719</v>
      </c>
      <c r="B3461" t="str">
        <f>"1552376600710812"</f>
        <v>1552376600710812</v>
      </c>
      <c r="C3461" t="s">
        <v>40</v>
      </c>
      <c r="D3461">
        <v>4.3573219999999999</v>
      </c>
      <c r="E3461">
        <v>0.4190584</v>
      </c>
      <c r="F3461" t="s">
        <v>50</v>
      </c>
      <c r="G3461">
        <v>-469.08600000000001</v>
      </c>
      <c r="H3461" s="1">
        <v>3.3795239999999998E-6</v>
      </c>
      <c r="I3461">
        <v>212.75839999999999</v>
      </c>
      <c r="J3461">
        <v>-483.46929999999998</v>
      </c>
      <c r="K3461">
        <v>1.1125069999999999</v>
      </c>
      <c r="L3461">
        <v>222.70670000000001</v>
      </c>
      <c r="M3461">
        <v>0.62574209999999997</v>
      </c>
      <c r="N3461">
        <v>0</v>
      </c>
      <c r="O3461">
        <v>-0.77990539999999997</v>
      </c>
      <c r="P3461">
        <v>0.68661759999999905</v>
      </c>
      <c r="Q3461">
        <v>-2.653107E-2</v>
      </c>
      <c r="R3461">
        <v>-0.72653469999999998</v>
      </c>
      <c r="S3461">
        <v>2.5152589999999999</v>
      </c>
      <c r="T3461">
        <v>-0.19311629999999999</v>
      </c>
      <c r="U3461">
        <v>-1.7486269999999999</v>
      </c>
      <c r="V3461">
        <v>-8.0822560000000002E-2</v>
      </c>
      <c r="W3461">
        <v>-1.299122E-2</v>
      </c>
      <c r="X3461">
        <v>0.99664379999999997</v>
      </c>
      <c r="Y3461">
        <v>-0.28165600000000002</v>
      </c>
      <c r="Z3461">
        <v>5.4759040000000002E-2</v>
      </c>
      <c r="AA3461">
        <v>0.95795169999999996</v>
      </c>
      <c r="AB3461">
        <v>16</v>
      </c>
      <c r="AC3461">
        <v>14.383299999999901</v>
      </c>
      <c r="AD3461">
        <v>-1.1125036204759999</v>
      </c>
      <c r="AE3461">
        <v>-9.9483000000000104</v>
      </c>
      <c r="AF3461">
        <v>-4.9729048516591403</v>
      </c>
      <c r="AG3461">
        <v>-1.1125036204759999</v>
      </c>
      <c r="AH3461">
        <v>16.693047207792901</v>
      </c>
      <c r="AI3461">
        <v>93.6545644268475</v>
      </c>
      <c r="AJ3461">
        <v>106.58893946417</v>
      </c>
      <c r="AK3461">
        <v>17.4535174692905</v>
      </c>
      <c r="AL3461">
        <v>90.744363044642995</v>
      </c>
      <c r="AM3461">
        <v>94.636240351515198</v>
      </c>
      <c r="AN3461">
        <v>0.99999996104024003</v>
      </c>
    </row>
    <row r="3462" spans="1:40" x14ac:dyDescent="0.25">
      <c r="A3462" t="str">
        <f>"20190312154320743"</f>
        <v>20190312154320743</v>
      </c>
      <c r="B3462" t="str">
        <f>"1552376600731307"</f>
        <v>1552376600731307</v>
      </c>
      <c r="C3462" t="s">
        <v>40</v>
      </c>
      <c r="D3462">
        <v>4.370444</v>
      </c>
      <c r="E3462">
        <v>0.41826449999999998</v>
      </c>
      <c r="F3462" t="s">
        <v>50</v>
      </c>
      <c r="G3462">
        <v>-468.39249999999998</v>
      </c>
      <c r="H3462" s="1">
        <v>3.0271580000000001E-6</v>
      </c>
      <c r="I3462">
        <v>212.37729999999999</v>
      </c>
      <c r="J3462">
        <v>-483.358</v>
      </c>
      <c r="K3462">
        <v>1.1125719999999999</v>
      </c>
      <c r="L3462">
        <v>222.57689999999999</v>
      </c>
      <c r="M3462">
        <v>0.62940949999999996</v>
      </c>
      <c r="N3462">
        <v>0</v>
      </c>
      <c r="O3462">
        <v>-0.77694819999999998</v>
      </c>
      <c r="P3462">
        <v>0.68881709999999996</v>
      </c>
      <c r="Q3462">
        <v>-2.6173499999999999E-2</v>
      </c>
      <c r="R3462">
        <v>-0.72446269999999902</v>
      </c>
      <c r="S3462">
        <v>2.5288390000000001</v>
      </c>
      <c r="T3462">
        <v>-0.18660080000000001</v>
      </c>
      <c r="U3462">
        <v>-1.732559</v>
      </c>
      <c r="V3462">
        <v>-7.9140500000000003E-2</v>
      </c>
      <c r="W3462">
        <v>-1.262013E-2</v>
      </c>
      <c r="X3462">
        <v>0.99678359999999999</v>
      </c>
      <c r="Y3462">
        <v>-0.28378799999999998</v>
      </c>
      <c r="Z3462">
        <v>5.277747E-2</v>
      </c>
      <c r="AA3462">
        <v>0.95743350000000005</v>
      </c>
      <c r="AB3462">
        <v>16</v>
      </c>
      <c r="AC3462">
        <v>14.9655</v>
      </c>
      <c r="AD3462">
        <v>-1.1125689728419901</v>
      </c>
      <c r="AE3462">
        <v>-10.1996</v>
      </c>
      <c r="AF3462">
        <v>-5.1886204472788497</v>
      </c>
      <c r="AG3462">
        <v>-1.1125689728419901</v>
      </c>
      <c r="AH3462">
        <v>17.2804679480221</v>
      </c>
      <c r="AI3462">
        <v>93.528582566336397</v>
      </c>
      <c r="AJ3462">
        <v>106.712871029806</v>
      </c>
      <c r="AK3462">
        <v>18.076895872020501</v>
      </c>
      <c r="AL3462">
        <v>90.723099369722405</v>
      </c>
      <c r="AM3462">
        <v>94.539525570242105</v>
      </c>
      <c r="AN3462">
        <v>1.00000001582521</v>
      </c>
    </row>
    <row r="3463" spans="1:40" x14ac:dyDescent="0.25">
      <c r="A3463" t="str">
        <f>"20190312154320766"</f>
        <v>20190312154320766</v>
      </c>
      <c r="B3463" t="str">
        <f>"1552376600760587"</f>
        <v>1552376600760587</v>
      </c>
      <c r="C3463" t="s">
        <v>40</v>
      </c>
      <c r="D3463">
        <v>4.3945759999999998</v>
      </c>
      <c r="E3463">
        <v>0.4175451</v>
      </c>
      <c r="F3463" t="s">
        <v>50</v>
      </c>
      <c r="G3463">
        <v>-468.07139999999998</v>
      </c>
      <c r="H3463" s="1">
        <v>2.863223E-6</v>
      </c>
      <c r="I3463">
        <v>212.21860000000001</v>
      </c>
      <c r="J3463">
        <v>-483.25619999999998</v>
      </c>
      <c r="K3463">
        <v>1.112641</v>
      </c>
      <c r="L3463">
        <v>222.45949999999999</v>
      </c>
      <c r="M3463">
        <v>0.6328279</v>
      </c>
      <c r="N3463">
        <v>0</v>
      </c>
      <c r="O3463">
        <v>-0.77416619999999903</v>
      </c>
      <c r="P3463">
        <v>0.69019010000000003</v>
      </c>
      <c r="Q3463">
        <v>-2.5728839999999999E-2</v>
      </c>
      <c r="R3463">
        <v>-0.72317089999999995</v>
      </c>
      <c r="S3463">
        <v>2.5388790000000001</v>
      </c>
      <c r="T3463">
        <v>-0.1847819</v>
      </c>
      <c r="U3463">
        <v>-1.72036699999999</v>
      </c>
      <c r="V3463">
        <v>-7.6628230000000006E-2</v>
      </c>
      <c r="W3463">
        <v>-1.215947E-2</v>
      </c>
      <c r="X3463">
        <v>0.99698560000000003</v>
      </c>
      <c r="Y3463">
        <v>-0.28450629999999999</v>
      </c>
      <c r="Z3463">
        <v>5.2117289999999997E-2</v>
      </c>
      <c r="AA3463">
        <v>0.95725649999999995</v>
      </c>
      <c r="AB3463">
        <v>16</v>
      </c>
      <c r="AC3463">
        <v>15.1847999999999</v>
      </c>
      <c r="AD3463">
        <v>-1.112638136777</v>
      </c>
      <c r="AE3463">
        <v>-10.2408999999999</v>
      </c>
      <c r="AF3463">
        <v>-5.2559508625513596</v>
      </c>
      <c r="AG3463">
        <v>-1.112638136777</v>
      </c>
      <c r="AH3463">
        <v>17.474749663015501</v>
      </c>
      <c r="AI3463">
        <v>93.489172295972807</v>
      </c>
      <c r="AJ3463">
        <v>106.73992234753</v>
      </c>
      <c r="AK3463">
        <v>18.281954460013999</v>
      </c>
      <c r="AL3463">
        <v>90.696703472392699</v>
      </c>
      <c r="AM3463">
        <v>94.395107801004798</v>
      </c>
      <c r="AN3463">
        <v>1.00000001247548</v>
      </c>
    </row>
    <row r="3464" spans="1:40" x14ac:dyDescent="0.25">
      <c r="A3464" t="str">
        <f>"20190312154320786"</f>
        <v>20190312154320786</v>
      </c>
      <c r="B3464" t="str">
        <f>"1552376600781083"</f>
        <v>1552376600781083</v>
      </c>
      <c r="C3464" t="s">
        <v>40</v>
      </c>
      <c r="D3464">
        <v>4.393224</v>
      </c>
      <c r="E3464">
        <v>0.41721930000000002</v>
      </c>
      <c r="F3464" t="s">
        <v>50</v>
      </c>
      <c r="G3464">
        <v>-467.7765</v>
      </c>
      <c r="H3464" s="1">
        <v>2.713548E-6</v>
      </c>
      <c r="I3464">
        <v>212.0523</v>
      </c>
      <c r="J3464">
        <v>-483.15769999999998</v>
      </c>
      <c r="K3464">
        <v>1.1127279999999999</v>
      </c>
      <c r="L3464">
        <v>222.34710000000001</v>
      </c>
      <c r="M3464">
        <v>0.63621049999999901</v>
      </c>
      <c r="N3464">
        <v>0</v>
      </c>
      <c r="O3464">
        <v>-0.77138859999999998</v>
      </c>
      <c r="P3464">
        <v>0.69172019999999901</v>
      </c>
      <c r="Q3464">
        <v>-2.547702E-2</v>
      </c>
      <c r="R3464">
        <v>-0.72171640000000004</v>
      </c>
      <c r="S3464">
        <v>2.546173</v>
      </c>
      <c r="T3464">
        <v>-0.18301139999999999</v>
      </c>
      <c r="U3464">
        <v>-1.7118230000000001</v>
      </c>
      <c r="V3464">
        <v>-7.4370119999999998E-2</v>
      </c>
      <c r="W3464">
        <v>-1.189398E-2</v>
      </c>
      <c r="X3464">
        <v>0.99715980000000004</v>
      </c>
      <c r="Y3464">
        <v>-0.28382689999999999</v>
      </c>
      <c r="Z3464">
        <v>5.1448319999999999E-2</v>
      </c>
      <c r="AA3464">
        <v>0.95749430000000002</v>
      </c>
      <c r="AB3464">
        <v>16</v>
      </c>
      <c r="AC3464">
        <v>15.3811999999999</v>
      </c>
      <c r="AD3464">
        <v>-1.1127252864520001</v>
      </c>
      <c r="AE3464">
        <v>-10.2948</v>
      </c>
      <c r="AF3464">
        <v>-5.2965990623860302</v>
      </c>
      <c r="AG3464">
        <v>-1.1127252864520001</v>
      </c>
      <c r="AH3464">
        <v>17.6648607363955</v>
      </c>
      <c r="AI3464">
        <v>93.452870340873702</v>
      </c>
      <c r="AJ3464">
        <v>106.690735920233</v>
      </c>
      <c r="AK3464">
        <v>18.475373447566</v>
      </c>
      <c r="AL3464">
        <v>90.681490907869204</v>
      </c>
      <c r="AM3464">
        <v>94.265333932072195</v>
      </c>
      <c r="AN3464">
        <v>1.00000002412254</v>
      </c>
    </row>
    <row r="3465" spans="1:40" x14ac:dyDescent="0.25">
      <c r="A3465" t="str">
        <f>"20190312154320810"</f>
        <v>20190312154320810</v>
      </c>
      <c r="B3465" t="str">
        <f>"1552376600801373"</f>
        <v>1552376600801373</v>
      </c>
      <c r="C3465" t="s">
        <v>40</v>
      </c>
      <c r="D3465">
        <v>4.4354310000000003</v>
      </c>
      <c r="E3465">
        <v>0.41686079999999998</v>
      </c>
      <c r="F3465" t="s">
        <v>50</v>
      </c>
      <c r="G3465">
        <v>-467.59179999999998</v>
      </c>
      <c r="H3465" s="1">
        <v>2.6198400000000001E-6</v>
      </c>
      <c r="I3465">
        <v>211.9479</v>
      </c>
      <c r="J3465">
        <v>-483.05099999999999</v>
      </c>
      <c r="K3465">
        <v>1.112822</v>
      </c>
      <c r="L3465">
        <v>222.2268</v>
      </c>
      <c r="M3465">
        <v>0.63996239999999904</v>
      </c>
      <c r="N3465">
        <v>0</v>
      </c>
      <c r="O3465">
        <v>-0.76827840000000003</v>
      </c>
      <c r="P3465">
        <v>0.69395039999999997</v>
      </c>
      <c r="Q3465">
        <v>-2.489717E-2</v>
      </c>
      <c r="R3465">
        <v>-0.71959229999999996</v>
      </c>
      <c r="S3465">
        <v>2.5516359999999998</v>
      </c>
      <c r="T3465">
        <v>-0.18240400000000001</v>
      </c>
      <c r="U3465">
        <v>-1.7046969999999999</v>
      </c>
      <c r="V3465">
        <v>-7.2583629999999996E-2</v>
      </c>
      <c r="W3465">
        <v>-1.130302E-2</v>
      </c>
      <c r="X3465">
        <v>0.99729829999999997</v>
      </c>
      <c r="Y3465">
        <v>-0.28196559999999998</v>
      </c>
      <c r="Z3465">
        <v>5.1078730000000003E-2</v>
      </c>
      <c r="AA3465">
        <v>0.95806380000000002</v>
      </c>
      <c r="AB3465">
        <v>16</v>
      </c>
      <c r="AC3465">
        <v>15.459199999999999</v>
      </c>
      <c r="AD3465">
        <v>-1.1128193801599999</v>
      </c>
      <c r="AE3465">
        <v>-10.278899999999901</v>
      </c>
      <c r="AF3465">
        <v>-5.2804069111302603</v>
      </c>
      <c r="AG3465">
        <v>-1.1128193801599999</v>
      </c>
      <c r="AH3465">
        <v>17.728409521363201</v>
      </c>
      <c r="AI3465">
        <v>93.442686020103096</v>
      </c>
      <c r="AJ3465">
        <v>106.58616325595899</v>
      </c>
      <c r="AK3465">
        <v>18.531529032358101</v>
      </c>
      <c r="AL3465">
        <v>90.6476291190381</v>
      </c>
      <c r="AM3465">
        <v>94.162662280298704</v>
      </c>
      <c r="AN3465">
        <v>1.0000000203939901</v>
      </c>
    </row>
    <row r="3466" spans="1:40" x14ac:dyDescent="0.25">
      <c r="A3466" t="str">
        <f>"20190312154320832"</f>
        <v>20190312154320832</v>
      </c>
      <c r="B3466" t="str">
        <f>"1552376600820897"</f>
        <v>1552376600820897</v>
      </c>
      <c r="C3466" t="s">
        <v>40</v>
      </c>
      <c r="D3466">
        <v>4.4167540000000001</v>
      </c>
      <c r="E3466">
        <v>0.41655110000000001</v>
      </c>
      <c r="F3466" t="s">
        <v>50</v>
      </c>
      <c r="G3466">
        <v>-467.43029999999999</v>
      </c>
      <c r="H3466" s="1">
        <v>2.5368669999999999E-6</v>
      </c>
      <c r="I3466">
        <v>211.8792</v>
      </c>
      <c r="J3466">
        <v>-482.94589999999999</v>
      </c>
      <c r="K3466">
        <v>1.112916</v>
      </c>
      <c r="L3466">
        <v>222.10990000000001</v>
      </c>
      <c r="M3466">
        <v>0.64374600000000004</v>
      </c>
      <c r="N3466">
        <v>0</v>
      </c>
      <c r="O3466">
        <v>-0.76511079999999998</v>
      </c>
      <c r="P3466">
        <v>0.6970518</v>
      </c>
      <c r="Q3466">
        <v>-2.5339960000000002E-2</v>
      </c>
      <c r="R3466">
        <v>-0.71657340000000003</v>
      </c>
      <c r="S3466">
        <v>2.5588679999999999</v>
      </c>
      <c r="T3466">
        <v>-0.18229390000000001</v>
      </c>
      <c r="U3466">
        <v>-1.695068</v>
      </c>
      <c r="V3466">
        <v>-7.1974549999999998E-2</v>
      </c>
      <c r="W3466">
        <v>-1.174132E-2</v>
      </c>
      <c r="X3466">
        <v>0.99733729999999998</v>
      </c>
      <c r="Y3466">
        <v>-0.28099210000000002</v>
      </c>
      <c r="Z3466">
        <v>5.0861370000000003E-2</v>
      </c>
      <c r="AA3466">
        <v>0.95836140000000003</v>
      </c>
      <c r="AB3466">
        <v>16</v>
      </c>
      <c r="AC3466">
        <v>15.515599999999999</v>
      </c>
      <c r="AD3466">
        <v>-1.112913463133</v>
      </c>
      <c r="AE3466">
        <v>-10.230700000000001</v>
      </c>
      <c r="AF3466">
        <v>-5.2668140974485897</v>
      </c>
      <c r="AG3466">
        <v>-1.112913463133</v>
      </c>
      <c r="AH3466">
        <v>17.753812075167701</v>
      </c>
      <c r="AI3466">
        <v>93.439178520998496</v>
      </c>
      <c r="AJ3466">
        <v>106.523422056303</v>
      </c>
      <c r="AK3466">
        <v>18.551974296928002</v>
      </c>
      <c r="AL3466">
        <v>90.6727435786444</v>
      </c>
      <c r="AM3466">
        <v>94.127692011548703</v>
      </c>
      <c r="AN3466">
        <v>0.99999994220716504</v>
      </c>
    </row>
    <row r="3467" spans="1:40" x14ac:dyDescent="0.25">
      <c r="A3467" t="str">
        <f>"20190312154320853"</f>
        <v>20190312154320853</v>
      </c>
      <c r="B3467" t="str">
        <f>"1552376600840414"</f>
        <v>1552376600840414</v>
      </c>
      <c r="C3467" t="s">
        <v>40</v>
      </c>
      <c r="D3467">
        <v>4.3865499999999997</v>
      </c>
      <c r="E3467">
        <v>0.41631580000000001</v>
      </c>
      <c r="F3467" t="s">
        <v>50</v>
      </c>
      <c r="G3467">
        <v>-467.5564</v>
      </c>
      <c r="H3467" s="1">
        <v>2.597526E-6</v>
      </c>
      <c r="I3467">
        <v>212.02760000000001</v>
      </c>
      <c r="J3467">
        <v>-482.84750000000003</v>
      </c>
      <c r="K3467">
        <v>1.112978</v>
      </c>
      <c r="L3467">
        <v>222.0017</v>
      </c>
      <c r="M3467">
        <v>0.64734599999999998</v>
      </c>
      <c r="N3467">
        <v>0</v>
      </c>
      <c r="O3467">
        <v>-0.76206700000000005</v>
      </c>
      <c r="P3467">
        <v>0.70056649999999998</v>
      </c>
      <c r="Q3467">
        <v>-2.5509569999999999E-2</v>
      </c>
      <c r="R3467">
        <v>-0.71313110000000002</v>
      </c>
      <c r="S3467">
        <v>2.56778</v>
      </c>
      <c r="T3467">
        <v>-0.18569279999999999</v>
      </c>
      <c r="U3467">
        <v>-1.682266</v>
      </c>
      <c r="V3467">
        <v>-7.2177480000000002E-2</v>
      </c>
      <c r="W3467">
        <v>-1.1909640000000001E-2</v>
      </c>
      <c r="X3467">
        <v>0.99732069999999995</v>
      </c>
      <c r="Y3467">
        <v>-0.2812887</v>
      </c>
      <c r="Z3467">
        <v>5.1654150000000003E-2</v>
      </c>
      <c r="AA3467">
        <v>0.95823199999999997</v>
      </c>
      <c r="AB3467">
        <v>16</v>
      </c>
      <c r="AC3467">
        <v>15.2911</v>
      </c>
      <c r="AD3467">
        <v>-1.112975402474</v>
      </c>
      <c r="AE3467">
        <v>-9.9740999999999893</v>
      </c>
      <c r="AF3467">
        <v>-5.1774190464999803</v>
      </c>
      <c r="AG3467">
        <v>-1.112975402474</v>
      </c>
      <c r="AH3467">
        <v>17.436486357713601</v>
      </c>
      <c r="AI3467">
        <v>93.501548881255502</v>
      </c>
      <c r="AJ3467">
        <v>106.537743360184</v>
      </c>
      <c r="AK3467">
        <v>18.222937159862699</v>
      </c>
      <c r="AL3467">
        <v>90.682388237454802</v>
      </c>
      <c r="AM3467">
        <v>94.139358172712505</v>
      </c>
      <c r="AN3467">
        <v>1.0000000033962799</v>
      </c>
    </row>
    <row r="3468" spans="1:40" x14ac:dyDescent="0.25">
      <c r="A3468" t="str">
        <f>"20190312154320875"</f>
        <v>20190312154320875</v>
      </c>
      <c r="B3468" t="str">
        <f>"1552376600870669"</f>
        <v>1552376600870669</v>
      </c>
      <c r="C3468" t="s">
        <v>40</v>
      </c>
      <c r="D3468">
        <v>4.3888129999999999</v>
      </c>
      <c r="E3468">
        <v>0.41606989999999999</v>
      </c>
      <c r="F3468" t="s">
        <v>50</v>
      </c>
      <c r="G3468">
        <v>-467.62270000000001</v>
      </c>
      <c r="H3468" s="1">
        <v>2.6276130000000002E-6</v>
      </c>
      <c r="I3468">
        <v>212.14619999999999</v>
      </c>
      <c r="J3468">
        <v>-482.74220000000003</v>
      </c>
      <c r="K3468">
        <v>1.1130329999999999</v>
      </c>
      <c r="L3468">
        <v>221.88720000000001</v>
      </c>
      <c r="M3468">
        <v>0.65126219999999901</v>
      </c>
      <c r="N3468">
        <v>0</v>
      </c>
      <c r="O3468">
        <v>-0.75872269999999997</v>
      </c>
      <c r="P3468">
        <v>0.70453440000000001</v>
      </c>
      <c r="Q3468">
        <v>-2.625452E-2</v>
      </c>
      <c r="R3468">
        <v>-0.70918409999999998</v>
      </c>
      <c r="S3468">
        <v>2.577118</v>
      </c>
      <c r="T3468">
        <v>-0.18839449999999999</v>
      </c>
      <c r="U3468">
        <v>-1.6682589999999999</v>
      </c>
      <c r="V3468">
        <v>-7.2617169999999995E-2</v>
      </c>
      <c r="W3468">
        <v>-1.265374E-2</v>
      </c>
      <c r="X3468">
        <v>0.99727960000000004</v>
      </c>
      <c r="Y3468">
        <v>-0.28156429999999999</v>
      </c>
      <c r="Z3468">
        <v>5.2236169999999998E-2</v>
      </c>
      <c r="AA3468">
        <v>0.95811950000000001</v>
      </c>
      <c r="AB3468">
        <v>16</v>
      </c>
      <c r="AC3468">
        <v>15.1195</v>
      </c>
      <c r="AD3468">
        <v>-1.1130303723870001</v>
      </c>
      <c r="AE3468">
        <v>-9.7410000000000103</v>
      </c>
      <c r="AF3468">
        <v>-5.10850522624356</v>
      </c>
      <c r="AG3468">
        <v>-1.1130303723870001</v>
      </c>
      <c r="AH3468">
        <v>17.173410347171998</v>
      </c>
      <c r="AI3468">
        <v>93.554708200950898</v>
      </c>
      <c r="AJ3468">
        <v>106.565950568018</v>
      </c>
      <c r="AK3468">
        <v>17.951648537356299</v>
      </c>
      <c r="AL3468">
        <v>90.725025256575094</v>
      </c>
      <c r="AM3468">
        <v>94.164656844324099</v>
      </c>
      <c r="AN3468">
        <v>0.99999998554547798</v>
      </c>
    </row>
    <row r="3469" spans="1:40" x14ac:dyDescent="0.25">
      <c r="A3469" t="str">
        <f>"20190312154320897"</f>
        <v>20190312154320897</v>
      </c>
      <c r="B3469" t="str">
        <f>"1552376600891166"</f>
        <v>1552376600891166</v>
      </c>
      <c r="C3469" t="s">
        <v>40</v>
      </c>
      <c r="D3469">
        <v>4.4285269999999999</v>
      </c>
      <c r="E3469">
        <v>0.41593970000000002</v>
      </c>
      <c r="F3469" t="s">
        <v>50</v>
      </c>
      <c r="G3469">
        <v>-467.846</v>
      </c>
      <c r="H3469" s="1">
        <v>2.7364900000000001E-6</v>
      </c>
      <c r="I3469">
        <v>212.37370000000001</v>
      </c>
      <c r="J3469">
        <v>-482.6345</v>
      </c>
      <c r="K3469">
        <v>1.113083</v>
      </c>
      <c r="L3469">
        <v>221.7715</v>
      </c>
      <c r="M3469">
        <v>0.65532950000000001</v>
      </c>
      <c r="N3469">
        <v>0</v>
      </c>
      <c r="O3469">
        <v>-0.75521210000000005</v>
      </c>
      <c r="P3469">
        <v>0.70965959999999995</v>
      </c>
      <c r="Q3469">
        <v>-2.6261969999999999E-2</v>
      </c>
      <c r="R3469">
        <v>-0.70405509999999905</v>
      </c>
      <c r="S3469">
        <v>2.5874630000000001</v>
      </c>
      <c r="T3469">
        <v>-0.193333</v>
      </c>
      <c r="U3469">
        <v>-1.652496</v>
      </c>
      <c r="V3469">
        <v>-7.4489710000000001E-2</v>
      </c>
      <c r="W3469">
        <v>-1.26696E-2</v>
      </c>
      <c r="X3469">
        <v>0.99714130000000001</v>
      </c>
      <c r="Y3469">
        <v>-0.28221929999999901</v>
      </c>
      <c r="Z3469">
        <v>5.342914E-2</v>
      </c>
      <c r="AA3469">
        <v>0.95786090000000002</v>
      </c>
      <c r="AB3469">
        <v>16</v>
      </c>
      <c r="AC3469">
        <v>14.788500000000001</v>
      </c>
      <c r="AD3469">
        <v>-1.1130802635099999</v>
      </c>
      <c r="AE3469">
        <v>-9.3977999999999895</v>
      </c>
      <c r="AF3469">
        <v>-4.9901570625026599</v>
      </c>
      <c r="AG3469">
        <v>-1.1130802635099999</v>
      </c>
      <c r="AH3469">
        <v>16.722850622877001</v>
      </c>
      <c r="AI3469">
        <v>93.649455619275798</v>
      </c>
      <c r="AJ3469">
        <v>106.615287190237</v>
      </c>
      <c r="AK3469">
        <v>17.486976529306599</v>
      </c>
      <c r="AL3469">
        <v>90.725934027167199</v>
      </c>
      <c r="AM3469">
        <v>94.272246347074201</v>
      </c>
      <c r="AN3469">
        <v>1.00000000391286</v>
      </c>
    </row>
    <row r="3470" spans="1:40" x14ac:dyDescent="0.25">
      <c r="A3470" t="str">
        <f>"20190312154320921"</f>
        <v>20190312154320921</v>
      </c>
      <c r="B3470" t="str">
        <f>"1552376600911338"</f>
        <v>1552376600911338</v>
      </c>
      <c r="C3470" t="s">
        <v>40</v>
      </c>
      <c r="D3470">
        <v>4.3370499999999996</v>
      </c>
      <c r="E3470">
        <v>0.41580420000000001</v>
      </c>
      <c r="F3470" t="s">
        <v>50</v>
      </c>
      <c r="G3470">
        <v>-467.73630000000003</v>
      </c>
      <c r="H3470" s="1">
        <v>2.676335E-6</v>
      </c>
      <c r="I3470">
        <v>212.41399999999999</v>
      </c>
      <c r="J3470">
        <v>-482.52359999999999</v>
      </c>
      <c r="K3470">
        <v>1.1131279999999999</v>
      </c>
      <c r="L3470">
        <v>221.65389999999999</v>
      </c>
      <c r="M3470">
        <v>0.65957840000000001</v>
      </c>
      <c r="N3470">
        <v>0</v>
      </c>
      <c r="O3470">
        <v>-0.75150380000000006</v>
      </c>
      <c r="P3470">
        <v>0.71485030000000005</v>
      </c>
      <c r="Q3470">
        <v>-2.5859779999999999E-2</v>
      </c>
      <c r="R3470">
        <v>-0.69879939999999996</v>
      </c>
      <c r="S3470">
        <v>2.6000369999999999</v>
      </c>
      <c r="T3470">
        <v>-0.19425510000000001</v>
      </c>
      <c r="U3470">
        <v>-1.6330720000000001</v>
      </c>
      <c r="V3470">
        <v>-7.6235440000000002E-2</v>
      </c>
      <c r="W3470">
        <v>-1.2275329999999999E-2</v>
      </c>
      <c r="X3470">
        <v>0.99701430000000002</v>
      </c>
      <c r="Y3470">
        <v>-0.28401659999999901</v>
      </c>
      <c r="Z3470">
        <v>5.3523849999999998E-2</v>
      </c>
      <c r="AA3470">
        <v>0.95732430000000002</v>
      </c>
      <c r="AB3470">
        <v>16</v>
      </c>
      <c r="AC3470">
        <v>14.787299999999901</v>
      </c>
      <c r="AD3470">
        <v>-1.1131253236650001</v>
      </c>
      <c r="AE3470">
        <v>-9.2398999999999702</v>
      </c>
      <c r="AF3470">
        <v>-4.9984016180344497</v>
      </c>
      <c r="AG3470">
        <v>-1.1131253236650001</v>
      </c>
      <c r="AH3470">
        <v>16.631083701874498</v>
      </c>
      <c r="AI3470">
        <v>93.667531849693702</v>
      </c>
      <c r="AJ3470">
        <v>106.72792753224699</v>
      </c>
      <c r="AK3470">
        <v>17.401609460624901</v>
      </c>
      <c r="AL3470">
        <v>90.703342251366706</v>
      </c>
      <c r="AM3470">
        <v>94.372541056520603</v>
      </c>
      <c r="AN3470">
        <v>1.00000002022154</v>
      </c>
    </row>
    <row r="3471" spans="1:40" x14ac:dyDescent="0.25">
      <c r="A3471" t="str">
        <f>"20190312154320944"</f>
        <v>20190312154320944</v>
      </c>
      <c r="B3471" t="str">
        <f>"1552376600930862"</f>
        <v>1552376600930862</v>
      </c>
      <c r="C3471" t="s">
        <v>40</v>
      </c>
      <c r="D3471">
        <v>4.4164849999999998</v>
      </c>
      <c r="E3471">
        <v>0.41573690000000002</v>
      </c>
      <c r="F3471" t="s">
        <v>50</v>
      </c>
      <c r="G3471">
        <v>-467.63189999999997</v>
      </c>
      <c r="H3471" s="1">
        <v>2.6187870000000001E-6</v>
      </c>
      <c r="I3471">
        <v>212.4598</v>
      </c>
      <c r="J3471">
        <v>-482.41680000000002</v>
      </c>
      <c r="K3471">
        <v>1.1131770000000001</v>
      </c>
      <c r="L3471">
        <v>221.5421</v>
      </c>
      <c r="M3471">
        <v>0.66372600000000004</v>
      </c>
      <c r="N3471">
        <v>0</v>
      </c>
      <c r="O3471">
        <v>-0.74784300000000004</v>
      </c>
      <c r="P3471">
        <v>0.71978549999999997</v>
      </c>
      <c r="Q3471">
        <v>-2.5774020000000002E-2</v>
      </c>
      <c r="R3471">
        <v>-0.69371780000000005</v>
      </c>
      <c r="S3471">
        <v>2.6127319999999998</v>
      </c>
      <c r="T3471">
        <v>-0.19529659999999999</v>
      </c>
      <c r="U3471">
        <v>-1.6130979999999999</v>
      </c>
      <c r="V3471">
        <v>-7.7783350000000001E-2</v>
      </c>
      <c r="W3471">
        <v>-1.219783E-2</v>
      </c>
      <c r="X3471">
        <v>0.99689570000000005</v>
      </c>
      <c r="Y3471">
        <v>-0.28607779999999999</v>
      </c>
      <c r="Z3471">
        <v>5.3658539999999998E-2</v>
      </c>
      <c r="AA3471">
        <v>0.95670279999999996</v>
      </c>
      <c r="AB3471">
        <v>16</v>
      </c>
      <c r="AC3471">
        <v>14.7849</v>
      </c>
      <c r="AD3471">
        <v>-1.1131743812129999</v>
      </c>
      <c r="AE3471">
        <v>-9.0823</v>
      </c>
      <c r="AF3471">
        <v>-5.0085113801505896</v>
      </c>
      <c r="AG3471">
        <v>-1.1131743812129999</v>
      </c>
      <c r="AH3471">
        <v>16.5388378392006</v>
      </c>
      <c r="AI3471">
        <v>93.685767622029005</v>
      </c>
      <c r="AJ3471">
        <v>106.848061793532</v>
      </c>
      <c r="AK3471">
        <v>17.316393981411402</v>
      </c>
      <c r="AL3471">
        <v>90.698901484592099</v>
      </c>
      <c r="AM3471">
        <v>94.461496360255097</v>
      </c>
      <c r="AN3471">
        <v>1.0000000366362101</v>
      </c>
    </row>
    <row r="3472" spans="1:40" x14ac:dyDescent="0.25">
      <c r="A3472" t="str">
        <f>"20190312154320967"</f>
        <v>20190312154320967</v>
      </c>
      <c r="B3472" t="str">
        <f>"1552376600961115"</f>
        <v>1552376600961115</v>
      </c>
      <c r="C3472" t="s">
        <v>40</v>
      </c>
      <c r="D3472">
        <v>4.6958929999999999</v>
      </c>
      <c r="E3472">
        <v>0.40107110000000001</v>
      </c>
      <c r="F3472" t="s">
        <v>50</v>
      </c>
      <c r="G3472">
        <v>-467.52260000000001</v>
      </c>
      <c r="H3472" s="1">
        <v>2.5591760000000002E-6</v>
      </c>
      <c r="I3472">
        <v>212.49359999999999</v>
      </c>
      <c r="J3472">
        <v>-482.3048</v>
      </c>
      <c r="K3472">
        <v>1.113235</v>
      </c>
      <c r="L3472">
        <v>221.4264</v>
      </c>
      <c r="M3472">
        <v>0.66812899999999997</v>
      </c>
      <c r="N3472">
        <v>0</v>
      </c>
      <c r="O3472">
        <v>-0.74391189999999996</v>
      </c>
      <c r="P3472">
        <v>0.72441949999999999</v>
      </c>
      <c r="Q3472">
        <v>-2.6700419999999999E-2</v>
      </c>
      <c r="R3472">
        <v>-0.68884250000000002</v>
      </c>
      <c r="S3472">
        <v>2.624298</v>
      </c>
      <c r="T3472">
        <v>-0.19613729999999999</v>
      </c>
      <c r="U3472">
        <v>-1.5943149999999999</v>
      </c>
      <c r="V3472">
        <v>-7.859621E-2</v>
      </c>
      <c r="W3472">
        <v>-1.3129129999999999E-2</v>
      </c>
      <c r="X3472">
        <v>0.99682009999999999</v>
      </c>
      <c r="Y3472">
        <v>-0.28728629999999999</v>
      </c>
      <c r="Z3472">
        <v>5.3706030000000002E-2</v>
      </c>
      <c r="AA3472">
        <v>0.95633789999999996</v>
      </c>
      <c r="AB3472">
        <v>16</v>
      </c>
      <c r="AC3472">
        <v>14.7821999999999</v>
      </c>
      <c r="AD3472">
        <v>-1.113232440824</v>
      </c>
      <c r="AE3472">
        <v>-8.9328000000000092</v>
      </c>
      <c r="AF3472">
        <v>-5.0080859677597296</v>
      </c>
      <c r="AG3472">
        <v>-1.113232440824</v>
      </c>
      <c r="AH3472">
        <v>16.454914614655902</v>
      </c>
      <c r="AI3472">
        <v>93.703146971769002</v>
      </c>
      <c r="AJ3472">
        <v>106.927731284315</v>
      </c>
      <c r="AK3472">
        <v>17.236137226867001</v>
      </c>
      <c r="AL3472">
        <v>90.752265331747594</v>
      </c>
      <c r="AM3472">
        <v>94.508269666154504</v>
      </c>
      <c r="AN3472">
        <v>1.0000000250224601</v>
      </c>
    </row>
    <row r="3473" spans="1:40" x14ac:dyDescent="0.25">
      <c r="A3473" t="str">
        <f>"20190312154320990"</f>
        <v>20190312154320990</v>
      </c>
      <c r="B3473" t="str">
        <f>"1552376600980634"</f>
        <v>1552376600980634</v>
      </c>
      <c r="C3473" t="s">
        <v>40</v>
      </c>
      <c r="D3473">
        <v>4.4438800000000001</v>
      </c>
      <c r="E3473">
        <v>0.37100109999999997</v>
      </c>
      <c r="F3473" t="s">
        <v>49</v>
      </c>
      <c r="G3473">
        <v>-470.6413</v>
      </c>
      <c r="H3473" s="1">
        <v>5.6918969999999998E-6</v>
      </c>
      <c r="I3473">
        <v>215.0248</v>
      </c>
      <c r="J3473">
        <v>-482.19560000000001</v>
      </c>
      <c r="K3473">
        <v>1.1132949999999999</v>
      </c>
      <c r="L3473">
        <v>221.3152</v>
      </c>
      <c r="M3473">
        <v>0.67248920000000001</v>
      </c>
      <c r="N3473">
        <v>0</v>
      </c>
      <c r="O3473">
        <v>-0.73997250000000003</v>
      </c>
      <c r="P3473">
        <v>0.729124199999999</v>
      </c>
      <c r="Q3473">
        <v>-2.777876E-2</v>
      </c>
      <c r="R3473">
        <v>-0.68381769999999997</v>
      </c>
      <c r="S3473">
        <v>2.7148439999999998</v>
      </c>
      <c r="T3473">
        <v>-0.25912010000000002</v>
      </c>
      <c r="U3473">
        <v>-1.490067</v>
      </c>
      <c r="V3473">
        <v>-7.9590800000000003E-2</v>
      </c>
      <c r="W3473">
        <v>-1.42154E-2</v>
      </c>
      <c r="X3473">
        <v>0.99672629999999995</v>
      </c>
      <c r="Y3473">
        <v>-0.32223800000000002</v>
      </c>
      <c r="Z3473">
        <v>7.1059700000000003E-2</v>
      </c>
      <c r="AA3473">
        <v>0.94398789999999999</v>
      </c>
      <c r="AB3473">
        <v>16</v>
      </c>
      <c r="AC3473">
        <v>11.5543</v>
      </c>
      <c r="AD3473">
        <v>-1.113289308103</v>
      </c>
      <c r="AE3473">
        <v>-6.2904</v>
      </c>
      <c r="AF3473">
        <v>-4.2893506836678199</v>
      </c>
      <c r="AG3473">
        <v>-1.113289308103</v>
      </c>
      <c r="AH3473">
        <v>12.337746983411201</v>
      </c>
      <c r="AI3473">
        <v>94.871573536934903</v>
      </c>
      <c r="AJ3473">
        <v>109.17055817685799</v>
      </c>
      <c r="AK3473">
        <v>13.109460057442901</v>
      </c>
      <c r="AL3473">
        <v>90.814509821308903</v>
      </c>
      <c r="AM3473">
        <v>94.565507391297103</v>
      </c>
      <c r="AN3473">
        <v>1.0000000450767399</v>
      </c>
    </row>
    <row r="3474" spans="1:40" x14ac:dyDescent="0.25">
      <c r="A3474" t="str">
        <f>"20190312154321010"</f>
        <v>20190312154321010</v>
      </c>
      <c r="B3474" t="str">
        <f>"1552376601001131"</f>
        <v>1552376601001131</v>
      </c>
      <c r="C3474" t="s">
        <v>40</v>
      </c>
      <c r="D3474">
        <v>4.4816019999999996</v>
      </c>
      <c r="E3474">
        <v>0.3639657</v>
      </c>
      <c r="F3474" t="s">
        <v>50</v>
      </c>
      <c r="G3474">
        <v>-461.48509999999999</v>
      </c>
      <c r="H3474" s="1">
        <v>-6.3237059999999899E-7</v>
      </c>
      <c r="I3474">
        <v>212.00579999999999</v>
      </c>
      <c r="J3474">
        <v>-482.09160000000003</v>
      </c>
      <c r="K3474">
        <v>1.1133599999999999</v>
      </c>
      <c r="L3474">
        <v>221.21080000000001</v>
      </c>
      <c r="M3474">
        <v>0.6767029</v>
      </c>
      <c r="N3474">
        <v>0</v>
      </c>
      <c r="O3474">
        <v>-0.73612049999999996</v>
      </c>
      <c r="P3474">
        <v>0.73371070000000005</v>
      </c>
      <c r="Q3474">
        <v>-2.7750879999999999E-2</v>
      </c>
      <c r="R3474">
        <v>-0.67889519999999903</v>
      </c>
      <c r="S3474">
        <v>2.8901979999999998</v>
      </c>
      <c r="T3474">
        <v>-0.15536340000000001</v>
      </c>
      <c r="U3474">
        <v>-1.2991490000000001</v>
      </c>
      <c r="V3474">
        <v>-8.0605949999999996E-2</v>
      </c>
      <c r="W3474">
        <v>-1.41957E-2</v>
      </c>
      <c r="X3474">
        <v>0.996645</v>
      </c>
      <c r="Y3474">
        <v>-0.39291379999999998</v>
      </c>
      <c r="Z3474">
        <v>4.2852210000000002E-2</v>
      </c>
      <c r="AA3474">
        <v>0.91857630000000001</v>
      </c>
      <c r="AB3474">
        <v>16</v>
      </c>
      <c r="AC3474">
        <v>20.6065</v>
      </c>
      <c r="AD3474">
        <v>-1.1133606323706</v>
      </c>
      <c r="AE3474">
        <v>-9.2050000000000107</v>
      </c>
      <c r="AF3474">
        <v>-8.9190049057566192</v>
      </c>
      <c r="AG3474">
        <v>-1.1133606323706</v>
      </c>
      <c r="AH3474">
        <v>20.672230056061199</v>
      </c>
      <c r="AI3474">
        <v>92.831053660321302</v>
      </c>
      <c r="AJ3474">
        <v>113.33771539283499</v>
      </c>
      <c r="AK3474">
        <v>22.541723889209099</v>
      </c>
      <c r="AL3474">
        <v>90.813380979401003</v>
      </c>
      <c r="AM3474">
        <v>94.623863317474203</v>
      </c>
      <c r="AN3474">
        <v>1.0000000465494401</v>
      </c>
    </row>
    <row r="3475" spans="1:40" x14ac:dyDescent="0.25">
      <c r="A3475" t="str">
        <f>"20190312154321033"</f>
        <v>20190312154321033</v>
      </c>
      <c r="B3475" t="str">
        <f>"1552376601020650"</f>
        <v>1552376601020650</v>
      </c>
      <c r="C3475" t="s">
        <v>40</v>
      </c>
      <c r="D3475">
        <v>4.4903279999999999</v>
      </c>
      <c r="E3475">
        <v>0.3621897</v>
      </c>
      <c r="F3475" t="s">
        <v>50</v>
      </c>
      <c r="G3475">
        <v>-463.00200000000001</v>
      </c>
      <c r="H3475" s="1">
        <v>1.242465E-7</v>
      </c>
      <c r="I3475">
        <v>213.1634</v>
      </c>
      <c r="J3475">
        <v>-481.9873</v>
      </c>
      <c r="K3475">
        <v>1.1134250000000001</v>
      </c>
      <c r="L3475">
        <v>221.10759999999999</v>
      </c>
      <c r="M3475">
        <v>0.68097109999999905</v>
      </c>
      <c r="N3475">
        <v>0</v>
      </c>
      <c r="O3475">
        <v>-0.73217390000000004</v>
      </c>
      <c r="P3475">
        <v>0.73749519999999902</v>
      </c>
      <c r="Q3475">
        <v>-2.7213810000000001E-2</v>
      </c>
      <c r="R3475">
        <v>-0.67480419999999997</v>
      </c>
      <c r="S3475">
        <v>2.936798</v>
      </c>
      <c r="T3475">
        <v>-0.17128309999999999</v>
      </c>
      <c r="U3475">
        <v>-1.2380370000000001</v>
      </c>
      <c r="V3475">
        <v>-8.0370839999999999E-2</v>
      </c>
      <c r="W3475">
        <v>-1.365536E-2</v>
      </c>
      <c r="X3475">
        <v>0.99667150000000004</v>
      </c>
      <c r="Y3475">
        <v>-0.40884690000000001</v>
      </c>
      <c r="Z3475">
        <v>4.7131289999999999E-2</v>
      </c>
      <c r="AA3475">
        <v>0.91138509999999995</v>
      </c>
      <c r="AB3475">
        <v>16</v>
      </c>
      <c r="AC3475">
        <v>18.985299999999999</v>
      </c>
      <c r="AD3475">
        <v>-1.1134248757534999</v>
      </c>
      <c r="AE3475">
        <v>-7.9441999999999897</v>
      </c>
      <c r="AF3475">
        <v>-8.4668366359664606</v>
      </c>
      <c r="AG3475">
        <v>-1.1134248757534999</v>
      </c>
      <c r="AH3475">
        <v>18.692137936094301</v>
      </c>
      <c r="AI3475">
        <v>93.105802681468802</v>
      </c>
      <c r="AJ3475">
        <v>114.36874132781701</v>
      </c>
      <c r="AK3475">
        <v>20.550500193330201</v>
      </c>
      <c r="AL3475">
        <v>90.782418805436194</v>
      </c>
      <c r="AM3475">
        <v>94.610312686138002</v>
      </c>
      <c r="AN3475">
        <v>1.0000000098456401</v>
      </c>
    </row>
    <row r="3476" spans="1:40" x14ac:dyDescent="0.25">
      <c r="A3476" t="str">
        <f>"20190312154321055"</f>
        <v>20190312154321055</v>
      </c>
      <c r="B3476" t="str">
        <f>"1552376601050907"</f>
        <v>1552376601050907</v>
      </c>
      <c r="C3476" t="s">
        <v>40</v>
      </c>
      <c r="D3476">
        <v>4.4837230000000003</v>
      </c>
      <c r="E3476">
        <v>0.36213719999999999</v>
      </c>
      <c r="F3476" t="s">
        <v>50</v>
      </c>
      <c r="G3476">
        <v>-462.53460000000001</v>
      </c>
      <c r="H3476" s="1">
        <v>-1.2311860000000001E-7</v>
      </c>
      <c r="I3476">
        <v>213.13159999999999</v>
      </c>
      <c r="J3476">
        <v>-481.87720000000002</v>
      </c>
      <c r="K3476">
        <v>1.113483</v>
      </c>
      <c r="L3476">
        <v>221.00020000000001</v>
      </c>
      <c r="M3476">
        <v>0.6855308</v>
      </c>
      <c r="N3476">
        <v>0</v>
      </c>
      <c r="O3476">
        <v>-0.72790619999999995</v>
      </c>
      <c r="P3476">
        <v>0.74119230000000003</v>
      </c>
      <c r="Q3476">
        <v>-2.5893320000000001E-2</v>
      </c>
      <c r="R3476">
        <v>-0.67079350000000004</v>
      </c>
      <c r="S3476">
        <v>2.9534910000000001</v>
      </c>
      <c r="T3476">
        <v>-0.1690506</v>
      </c>
      <c r="U3476">
        <v>-1.2109989999999999</v>
      </c>
      <c r="V3476">
        <v>-7.9594689999999996E-2</v>
      </c>
      <c r="W3476">
        <v>-1.232542E-2</v>
      </c>
      <c r="X3476">
        <v>0.9967511</v>
      </c>
      <c r="Y3476">
        <v>-0.41215230000000003</v>
      </c>
      <c r="Z3476">
        <v>4.6339779999999997E-2</v>
      </c>
      <c r="AA3476">
        <v>0.90993579999999996</v>
      </c>
      <c r="AB3476">
        <v>16</v>
      </c>
      <c r="AC3476">
        <v>19.342600000000001</v>
      </c>
      <c r="AD3476">
        <v>-1.1134831231186</v>
      </c>
      <c r="AE3476">
        <v>-7.8686000000000096</v>
      </c>
      <c r="AF3476">
        <v>-8.6616717161133803</v>
      </c>
      <c r="AG3476">
        <v>-1.1134831231186</v>
      </c>
      <c r="AH3476">
        <v>18.935610115509299</v>
      </c>
      <c r="AI3476">
        <v>93.060957198040995</v>
      </c>
      <c r="AJ3476">
        <v>114.58066692678101</v>
      </c>
      <c r="AK3476">
        <v>20.852379529199201</v>
      </c>
      <c r="AL3476">
        <v>90.706212433262905</v>
      </c>
      <c r="AM3476">
        <v>94.5656164681576</v>
      </c>
      <c r="AN3476">
        <v>0.99999999300279097</v>
      </c>
    </row>
    <row r="3477" spans="1:40" x14ac:dyDescent="0.25">
      <c r="A3477" t="str">
        <f>"20190312154321076"</f>
        <v>20190312154321076</v>
      </c>
      <c r="B3477" t="str">
        <f>"1552376601070427"</f>
        <v>1552376601070427</v>
      </c>
      <c r="C3477" t="s">
        <v>40</v>
      </c>
      <c r="D3477">
        <v>4.5149910000000002</v>
      </c>
      <c r="E3477">
        <v>0.36265809999999998</v>
      </c>
      <c r="F3477" t="s">
        <v>50</v>
      </c>
      <c r="G3477">
        <v>-462.00080000000003</v>
      </c>
      <c r="H3477" s="1">
        <v>-4.003575E-7</v>
      </c>
      <c r="I3477">
        <v>212.97630000000001</v>
      </c>
      <c r="J3477">
        <v>-481.774</v>
      </c>
      <c r="K3477">
        <v>1.1135330000000001</v>
      </c>
      <c r="L3477">
        <v>220.90090000000001</v>
      </c>
      <c r="M3477">
        <v>0.68985469999999904</v>
      </c>
      <c r="N3477">
        <v>0</v>
      </c>
      <c r="O3477">
        <v>-0.72380919999999904</v>
      </c>
      <c r="P3477">
        <v>0.7449479</v>
      </c>
      <c r="Q3477">
        <v>-2.489717E-2</v>
      </c>
      <c r="R3477">
        <v>-0.66665799999999997</v>
      </c>
      <c r="S3477">
        <v>2.9602360000000001</v>
      </c>
      <c r="T3477">
        <v>-0.1658338</v>
      </c>
      <c r="U3477">
        <v>-1.1950069999999999</v>
      </c>
      <c r="V3477">
        <v>-7.9234410000000005E-2</v>
      </c>
      <c r="W3477">
        <v>-1.1322870000000001E-2</v>
      </c>
      <c r="X3477">
        <v>0.99679169999999995</v>
      </c>
      <c r="Y3477">
        <v>-0.41172750000000002</v>
      </c>
      <c r="Z3477">
        <v>4.5283690000000001E-2</v>
      </c>
      <c r="AA3477">
        <v>0.91018120000000002</v>
      </c>
      <c r="AB3477">
        <v>15</v>
      </c>
      <c r="AC3477">
        <v>19.7731999999999</v>
      </c>
      <c r="AD3477">
        <v>-1.1135334003574999</v>
      </c>
      <c r="AE3477">
        <v>-7.9245999999999901</v>
      </c>
      <c r="AF3477">
        <v>-8.8219832306312291</v>
      </c>
      <c r="AG3477">
        <v>-1.1135334003574999</v>
      </c>
      <c r="AH3477">
        <v>19.3256707438535</v>
      </c>
      <c r="AI3477">
        <v>93.000486309009503</v>
      </c>
      <c r="AJ3477">
        <v>114.53624269547301</v>
      </c>
      <c r="AK3477">
        <v>21.273196620514899</v>
      </c>
      <c r="AL3477">
        <v>90.648766528752702</v>
      </c>
      <c r="AM3477">
        <v>94.5448529474981</v>
      </c>
      <c r="AN3477">
        <v>0.999999996150987</v>
      </c>
    </row>
    <row r="3478" spans="1:40" x14ac:dyDescent="0.25">
      <c r="A3478" t="str">
        <f>"20190312154321099"</f>
        <v>20190312154321099</v>
      </c>
      <c r="B3478" t="str">
        <f>"1552376601090923"</f>
        <v>1552376601090923</v>
      </c>
      <c r="C3478" t="s">
        <v>40</v>
      </c>
      <c r="D3478">
        <v>4.6231559999999998</v>
      </c>
      <c r="E3478">
        <v>0.36307299999999998</v>
      </c>
      <c r="F3478" t="s">
        <v>50</v>
      </c>
      <c r="G3478">
        <v>-460.99889999999999</v>
      </c>
      <c r="H3478" s="1">
        <v>-9.1797860000000002E-7</v>
      </c>
      <c r="I3478">
        <v>212.62</v>
      </c>
      <c r="J3478">
        <v>-481.66050000000001</v>
      </c>
      <c r="K3478">
        <v>1.1135919999999999</v>
      </c>
      <c r="L3478">
        <v>220.79339999999999</v>
      </c>
      <c r="M3478">
        <v>0.69467869999999998</v>
      </c>
      <c r="N3478">
        <v>0</v>
      </c>
      <c r="O3478">
        <v>-0.7191805</v>
      </c>
      <c r="P3478">
        <v>0.74923879999999998</v>
      </c>
      <c r="Q3478">
        <v>-2.463313E-2</v>
      </c>
      <c r="R3478">
        <v>-0.66184180000000004</v>
      </c>
      <c r="S3478">
        <v>2.9643549999999999</v>
      </c>
      <c r="T3478">
        <v>-0.15888759999999999</v>
      </c>
      <c r="U3478">
        <v>-1.181595</v>
      </c>
      <c r="V3478">
        <v>-7.9002219999999998E-2</v>
      </c>
      <c r="W3478">
        <v>-1.105361E-2</v>
      </c>
      <c r="X3478">
        <v>0.99681319999999995</v>
      </c>
      <c r="Y3478">
        <v>-0.40973159999999997</v>
      </c>
      <c r="Z3478">
        <v>4.3187990000000002E-2</v>
      </c>
      <c r="AA3478">
        <v>0.91118319999999997</v>
      </c>
      <c r="AB3478">
        <v>15</v>
      </c>
      <c r="AC3478">
        <v>20.6616</v>
      </c>
      <c r="AD3478">
        <v>-1.1135929179785999</v>
      </c>
      <c r="AE3478">
        <v>-8.1733999999999796</v>
      </c>
      <c r="AF3478">
        <v>-9.1594487459203808</v>
      </c>
      <c r="AG3478">
        <v>-1.1135929179785999</v>
      </c>
      <c r="AH3478">
        <v>20.182661265858201</v>
      </c>
      <c r="AI3478">
        <v>92.876333582576905</v>
      </c>
      <c r="AJ3478">
        <v>114.40985839434801</v>
      </c>
      <c r="AK3478">
        <v>22.191786910667901</v>
      </c>
      <c r="AL3478">
        <v>90.633338070840495</v>
      </c>
      <c r="AM3478">
        <v>94.531492844257301</v>
      </c>
      <c r="AN3478">
        <v>1.00000004437659</v>
      </c>
    </row>
    <row r="3479" spans="1:40" x14ac:dyDescent="0.25">
      <c r="A3479" t="str">
        <f>"20190312154321122"</f>
        <v>20190312154321122</v>
      </c>
      <c r="B3479" t="str">
        <f>"1552376601110443"</f>
        <v>1552376601110443</v>
      </c>
      <c r="C3479" t="s">
        <v>40</v>
      </c>
      <c r="D3479">
        <v>4.4813919999999996</v>
      </c>
      <c r="E3479">
        <v>0.36363220000000002</v>
      </c>
      <c r="F3479" t="s">
        <v>50</v>
      </c>
      <c r="G3479">
        <v>-460.29140000000001</v>
      </c>
      <c r="H3479" s="1">
        <v>-1.285306E-6</v>
      </c>
      <c r="I3479">
        <v>212.41050000000001</v>
      </c>
      <c r="J3479">
        <v>-481.54829999999998</v>
      </c>
      <c r="K3479">
        <v>1.113661</v>
      </c>
      <c r="L3479">
        <v>220.68870000000001</v>
      </c>
      <c r="M3479">
        <v>0.6995188</v>
      </c>
      <c r="N3479">
        <v>0</v>
      </c>
      <c r="O3479">
        <v>-0.71447309999999997</v>
      </c>
      <c r="P3479">
        <v>0.75318999999999903</v>
      </c>
      <c r="Q3479">
        <v>-2.4630860000000001E-2</v>
      </c>
      <c r="R3479">
        <v>-0.65734179999999998</v>
      </c>
      <c r="S3479">
        <v>2.969849</v>
      </c>
      <c r="T3479">
        <v>-0.1547655</v>
      </c>
      <c r="U3479">
        <v>-1.1650389999999999</v>
      </c>
      <c r="V3479">
        <v>-7.824122E-2</v>
      </c>
      <c r="W3479">
        <v>-1.104218E-2</v>
      </c>
      <c r="X3479">
        <v>0.99687329999999996</v>
      </c>
      <c r="Y3479">
        <v>-0.4086111</v>
      </c>
      <c r="Z3479">
        <v>4.1882660000000002E-2</v>
      </c>
      <c r="AA3479">
        <v>0.91174719999999998</v>
      </c>
      <c r="AB3479">
        <v>15</v>
      </c>
      <c r="AC3479">
        <v>21.256899999999899</v>
      </c>
      <c r="AD3479">
        <v>-1.1136622853059901</v>
      </c>
      <c r="AE3479">
        <v>-8.2781999999999893</v>
      </c>
      <c r="AF3479">
        <v>-9.3753297884892</v>
      </c>
      <c r="AG3479">
        <v>-1.1136622853059901</v>
      </c>
      <c r="AH3479">
        <v>20.736825611479102</v>
      </c>
      <c r="AI3479">
        <v>92.801570378601795</v>
      </c>
      <c r="AJ3479">
        <v>114.328209693829</v>
      </c>
      <c r="AK3479">
        <v>22.784928983201599</v>
      </c>
      <c r="AL3479">
        <v>90.632683169957104</v>
      </c>
      <c r="AM3479">
        <v>94.487752323685399</v>
      </c>
      <c r="AN3479">
        <v>0.99999999724956501</v>
      </c>
    </row>
    <row r="3480" spans="1:40" x14ac:dyDescent="0.25">
      <c r="A3480" t="str">
        <f>"20190312154321146"</f>
        <v>20190312154321146</v>
      </c>
      <c r="B3480" t="str">
        <f>"1552376601140699"</f>
        <v>1552376601140699</v>
      </c>
      <c r="C3480" t="s">
        <v>40</v>
      </c>
      <c r="D3480">
        <v>4.5119490000000004</v>
      </c>
      <c r="E3480">
        <v>0.36427199999999998</v>
      </c>
      <c r="F3480" t="s">
        <v>50</v>
      </c>
      <c r="G3480">
        <v>-460.2414</v>
      </c>
      <c r="H3480" s="1">
        <v>-1.313485E-6</v>
      </c>
      <c r="I3480">
        <v>212.447</v>
      </c>
      <c r="J3480">
        <v>-481.43079999999998</v>
      </c>
      <c r="K3480">
        <v>1.1137539999999999</v>
      </c>
      <c r="L3480">
        <v>220.58090000000001</v>
      </c>
      <c r="M3480">
        <v>0.70465659999999997</v>
      </c>
      <c r="N3480">
        <v>0</v>
      </c>
      <c r="O3480">
        <v>-0.70940609999999904</v>
      </c>
      <c r="P3480">
        <v>0.75731150000000003</v>
      </c>
      <c r="Q3480">
        <v>-2.3341810000000001E-2</v>
      </c>
      <c r="R3480">
        <v>-0.65263660000000001</v>
      </c>
      <c r="S3480">
        <v>2.9739689999999999</v>
      </c>
      <c r="T3480">
        <v>-0.15544240000000001</v>
      </c>
      <c r="U3480">
        <v>-1.15036</v>
      </c>
      <c r="V3480">
        <v>-7.7293909999999993E-2</v>
      </c>
      <c r="W3480">
        <v>-9.7419259999999997E-3</v>
      </c>
      <c r="X3480">
        <v>0.99696079999999998</v>
      </c>
      <c r="Y3480">
        <v>-0.40635860000000001</v>
      </c>
      <c r="Z3480">
        <v>4.1847710000000003E-2</v>
      </c>
      <c r="AA3480">
        <v>0.91275490000000004</v>
      </c>
      <c r="AB3480">
        <v>15</v>
      </c>
      <c r="AC3480">
        <v>21.1893999999999</v>
      </c>
      <c r="AD3480">
        <v>-1.113755313485</v>
      </c>
      <c r="AE3480">
        <v>-8.1339000000000095</v>
      </c>
      <c r="AF3480">
        <v>-9.2788800989162503</v>
      </c>
      <c r="AG3480">
        <v>-1.113755313485</v>
      </c>
      <c r="AH3480">
        <v>20.653847486153701</v>
      </c>
      <c r="AI3480">
        <v>92.816046002158799</v>
      </c>
      <c r="AJ3480">
        <v>114.19232098788299</v>
      </c>
      <c r="AK3480">
        <v>22.669792296571099</v>
      </c>
      <c r="AL3480">
        <v>90.558180048165298</v>
      </c>
      <c r="AM3480">
        <v>94.433246998006197</v>
      </c>
      <c r="AN3480">
        <v>1.0000000451909501</v>
      </c>
    </row>
    <row r="3481" spans="1:40" x14ac:dyDescent="0.25">
      <c r="A3481" t="str">
        <f>"20190312154321169"</f>
        <v>20190312154321169</v>
      </c>
      <c r="B3481" t="str">
        <f>"1552376601161194"</f>
        <v>1552376601161194</v>
      </c>
      <c r="C3481" t="s">
        <v>40</v>
      </c>
      <c r="D3481">
        <v>4.5298309999999997</v>
      </c>
      <c r="E3481">
        <v>0.36478939999999999</v>
      </c>
      <c r="F3481" t="s">
        <v>50</v>
      </c>
      <c r="G3481">
        <v>-460.33049999999997</v>
      </c>
      <c r="H3481" s="1">
        <v>-1.2699169999999999E-6</v>
      </c>
      <c r="I3481">
        <v>212.5341</v>
      </c>
      <c r="J3481">
        <v>-481.3175</v>
      </c>
      <c r="K3481">
        <v>1.11385</v>
      </c>
      <c r="L3481">
        <v>220.47880000000001</v>
      </c>
      <c r="M3481">
        <v>0.70968790000000004</v>
      </c>
      <c r="N3481">
        <v>0</v>
      </c>
      <c r="O3481">
        <v>-0.70437229999999995</v>
      </c>
      <c r="P3481">
        <v>0.76129440000000004</v>
      </c>
      <c r="Q3481">
        <v>-2.199307E-2</v>
      </c>
      <c r="R3481">
        <v>-0.64803369999999905</v>
      </c>
      <c r="S3481">
        <v>2.977814</v>
      </c>
      <c r="T3481">
        <v>-0.15717979999999901</v>
      </c>
      <c r="U3481">
        <v>-1.1356200000000001</v>
      </c>
      <c r="V3481">
        <v>-7.6279390000000002E-2</v>
      </c>
      <c r="W3481">
        <v>-8.3809439999999995E-3</v>
      </c>
      <c r="X3481">
        <v>0.99705120000000003</v>
      </c>
      <c r="Y3481">
        <v>-0.404171</v>
      </c>
      <c r="Z3481">
        <v>4.2098219999999999E-2</v>
      </c>
      <c r="AA3481">
        <v>0.91371420000000003</v>
      </c>
      <c r="AB3481">
        <v>15</v>
      </c>
      <c r="AC3481">
        <v>20.986999999999998</v>
      </c>
      <c r="AD3481">
        <v>-1.113851269917</v>
      </c>
      <c r="AE3481">
        <v>-7.9447000000000099</v>
      </c>
      <c r="AF3481">
        <v>-9.1228549269169292</v>
      </c>
      <c r="AG3481">
        <v>-1.113851269917</v>
      </c>
      <c r="AH3481">
        <v>20.441960662162199</v>
      </c>
      <c r="AI3481">
        <v>92.848587051278898</v>
      </c>
      <c r="AJ3481">
        <v>114.05029023111101</v>
      </c>
      <c r="AK3481">
        <v>22.412962820262202</v>
      </c>
      <c r="AL3481">
        <v>90.480198369763698</v>
      </c>
      <c r="AM3481">
        <v>94.374890769185299</v>
      </c>
      <c r="AN3481">
        <v>0.99999994049126995</v>
      </c>
    </row>
    <row r="3482" spans="1:40" x14ac:dyDescent="0.25">
      <c r="A3482" t="str">
        <f>"20190312154321190"</f>
        <v>20190312154321190</v>
      </c>
      <c r="B3482" t="str">
        <f>"1552376601180716"</f>
        <v>1552376601180716</v>
      </c>
      <c r="C3482" t="s">
        <v>40</v>
      </c>
      <c r="D3482">
        <v>4.7100960000000001</v>
      </c>
      <c r="E3482">
        <v>0.36535260000000003</v>
      </c>
      <c r="F3482" t="s">
        <v>50</v>
      </c>
      <c r="G3482">
        <v>-460.10950000000003</v>
      </c>
      <c r="H3482" s="1">
        <v>-1.386408E-6</v>
      </c>
      <c r="I3482">
        <v>212.50890000000001</v>
      </c>
      <c r="J3482">
        <v>-481.21010000000001</v>
      </c>
      <c r="K3482">
        <v>1.1139349999999999</v>
      </c>
      <c r="L3482">
        <v>220.3837</v>
      </c>
      <c r="M3482">
        <v>0.71452930000000003</v>
      </c>
      <c r="N3482">
        <v>0</v>
      </c>
      <c r="O3482">
        <v>-0.69946049999999904</v>
      </c>
      <c r="P3482">
        <v>0.76493319999999998</v>
      </c>
      <c r="Q3482">
        <v>-2.1818420000000002E-2</v>
      </c>
      <c r="R3482">
        <v>-0.64374039999999999</v>
      </c>
      <c r="S3482">
        <v>2.9821780000000002</v>
      </c>
      <c r="T3482">
        <v>-0.15662470000000001</v>
      </c>
      <c r="U3482">
        <v>-1.120682</v>
      </c>
      <c r="V3482">
        <v>-7.5015280000000004E-2</v>
      </c>
      <c r="W3482">
        <v>-8.1907360000000005E-3</v>
      </c>
      <c r="X3482">
        <v>0.99714879999999995</v>
      </c>
      <c r="Y3482">
        <v>-0.40232590000000001</v>
      </c>
      <c r="Z3482">
        <v>4.1737730000000001E-2</v>
      </c>
      <c r="AA3482">
        <v>0.91454460000000004</v>
      </c>
      <c r="AB3482">
        <v>15</v>
      </c>
      <c r="AC3482">
        <v>21.100599999999901</v>
      </c>
      <c r="AD3482">
        <v>-1.1139363864080001</v>
      </c>
      <c r="AE3482">
        <v>-7.8747999999999898</v>
      </c>
      <c r="AF3482">
        <v>-9.1108999231436893</v>
      </c>
      <c r="AG3482">
        <v>-1.1139363864080001</v>
      </c>
      <c r="AH3482">
        <v>20.536958541806801</v>
      </c>
      <c r="AI3482">
        <v>92.838432341760907</v>
      </c>
      <c r="AJ3482">
        <v>113.92371764208301</v>
      </c>
      <c r="AK3482">
        <v>22.494799795294799</v>
      </c>
      <c r="AL3482">
        <v>90.469299825666894</v>
      </c>
      <c r="AM3482">
        <v>94.302244609994204</v>
      </c>
      <c r="AN3482">
        <v>1.0000000548655601</v>
      </c>
    </row>
    <row r="3483" spans="1:40" x14ac:dyDescent="0.25">
      <c r="A3483" t="str">
        <f>"20190312154321212"</f>
        <v>20190312154321212</v>
      </c>
      <c r="B3483" t="str">
        <f>"1552376601201211"</f>
        <v>1552376601201211</v>
      </c>
      <c r="C3483" t="s">
        <v>40</v>
      </c>
      <c r="D3483">
        <v>4.5277390000000004</v>
      </c>
      <c r="E3483">
        <v>0.3658226</v>
      </c>
      <c r="F3483" t="s">
        <v>50</v>
      </c>
      <c r="G3483">
        <v>-460.1454</v>
      </c>
      <c r="H3483" s="1">
        <v>-1.3699940000000001E-6</v>
      </c>
      <c r="I3483">
        <v>212.57069999999999</v>
      </c>
      <c r="J3483">
        <v>-481.09399999999999</v>
      </c>
      <c r="K3483">
        <v>1.114009</v>
      </c>
      <c r="L3483">
        <v>220.28270000000001</v>
      </c>
      <c r="M3483">
        <v>0.71981269999999997</v>
      </c>
      <c r="N3483">
        <v>0</v>
      </c>
      <c r="O3483">
        <v>-0.69402159999999902</v>
      </c>
      <c r="P3483">
        <v>0.76882109999999904</v>
      </c>
      <c r="Q3483">
        <v>-2.2181860000000001E-2</v>
      </c>
      <c r="R3483">
        <v>-0.63907939999999996</v>
      </c>
      <c r="S3483">
        <v>2.985535</v>
      </c>
      <c r="T3483">
        <v>-0.15787970000000001</v>
      </c>
      <c r="U3483">
        <v>-1.1073459999999999</v>
      </c>
      <c r="V3483">
        <v>-7.3502490000000004E-2</v>
      </c>
      <c r="W3483">
        <v>-8.5325999999999996E-3</v>
      </c>
      <c r="X3483">
        <v>0.99725850000000005</v>
      </c>
      <c r="Y3483">
        <v>-0.39929680000000001</v>
      </c>
      <c r="Z3483">
        <v>4.1815829999999998E-2</v>
      </c>
      <c r="AA3483">
        <v>0.9158676</v>
      </c>
      <c r="AB3483">
        <v>15</v>
      </c>
      <c r="AC3483">
        <v>20.948599999999999</v>
      </c>
      <c r="AD3483">
        <v>-1.114010369994</v>
      </c>
      <c r="AE3483">
        <v>-7.7120000000000104</v>
      </c>
      <c r="AF3483">
        <v>-8.9661713920650392</v>
      </c>
      <c r="AG3483">
        <v>-1.114010369994</v>
      </c>
      <c r="AH3483">
        <v>20.382682835524001</v>
      </c>
      <c r="AI3483">
        <v>92.864023216066499</v>
      </c>
      <c r="AJ3483">
        <v>113.74429182064</v>
      </c>
      <c r="AK3483">
        <v>22.295448147770099</v>
      </c>
      <c r="AL3483">
        <v>90.488887916035097</v>
      </c>
      <c r="AM3483">
        <v>94.215337652482305</v>
      </c>
      <c r="AN3483">
        <v>0.99999996856060402</v>
      </c>
    </row>
    <row r="3484" spans="1:40" x14ac:dyDescent="0.25">
      <c r="A3484" t="str">
        <f>"20190312154321233"</f>
        <v>20190312154321233</v>
      </c>
      <c r="B3484" t="str">
        <f>"1552376601230491"</f>
        <v>1552376601230491</v>
      </c>
      <c r="C3484" t="s">
        <v>40</v>
      </c>
      <c r="D3484">
        <v>4.5588449999999998</v>
      </c>
      <c r="E3484">
        <v>0.33666960000000001</v>
      </c>
      <c r="F3484" t="s">
        <v>50</v>
      </c>
      <c r="G3484">
        <v>-460.49799999999999</v>
      </c>
      <c r="H3484" s="1">
        <v>-1.190614E-6</v>
      </c>
      <c r="I3484">
        <v>212.75899999999999</v>
      </c>
      <c r="J3484">
        <v>-480.99079999999998</v>
      </c>
      <c r="K3484">
        <v>1.1140479999999999</v>
      </c>
      <c r="L3484">
        <v>220.19450000000001</v>
      </c>
      <c r="M3484">
        <v>0.72452859999999997</v>
      </c>
      <c r="N3484">
        <v>0</v>
      </c>
      <c r="O3484">
        <v>-0.6890965</v>
      </c>
      <c r="P3484">
        <v>0.77256780000000003</v>
      </c>
      <c r="Q3484">
        <v>-2.2117580000000001E-2</v>
      </c>
      <c r="R3484">
        <v>-0.63454709999999903</v>
      </c>
      <c r="S3484">
        <v>2.9896240000000001</v>
      </c>
      <c r="T3484">
        <v>-0.16170479999999901</v>
      </c>
      <c r="U3484">
        <v>-1.0921019999999999</v>
      </c>
      <c r="V3484">
        <v>-7.2567610000000005E-2</v>
      </c>
      <c r="W3484">
        <v>-8.4505309999999903E-3</v>
      </c>
      <c r="X3484">
        <v>0.99732770000000004</v>
      </c>
      <c r="Y3484">
        <v>-0.39751769999999997</v>
      </c>
      <c r="Z3484">
        <v>4.2609260000000003E-2</v>
      </c>
      <c r="AA3484">
        <v>0.91660459999999999</v>
      </c>
      <c r="AB3484">
        <v>15</v>
      </c>
      <c r="AC3484">
        <v>20.4927999999999</v>
      </c>
      <c r="AD3484">
        <v>-1.114049190614</v>
      </c>
      <c r="AE3484">
        <v>-7.4354999999999896</v>
      </c>
      <c r="AF3484">
        <v>-8.7124240649762594</v>
      </c>
      <c r="AG3484">
        <v>-1.114049190614</v>
      </c>
      <c r="AH3484">
        <v>19.9214120381857</v>
      </c>
      <c r="AI3484">
        <v>92.933073226586799</v>
      </c>
      <c r="AJ3484">
        <v>113.62166758542401</v>
      </c>
      <c r="AK3484">
        <v>21.771772924643901</v>
      </c>
      <c r="AL3484">
        <v>90.484185521208502</v>
      </c>
      <c r="AM3484">
        <v>94.161624511594596</v>
      </c>
      <c r="AN3484">
        <v>1.0000000053412901</v>
      </c>
    </row>
    <row r="3485" spans="1:40" x14ac:dyDescent="0.25">
      <c r="A3485" t="str">
        <f>"20190312154321257"</f>
        <v>20190312154321257</v>
      </c>
      <c r="B3485" t="str">
        <f>"1552376601250987"</f>
        <v>1552376601250987</v>
      </c>
      <c r="C3485" t="s">
        <v>40</v>
      </c>
      <c r="D3485">
        <v>4.5811529999999996</v>
      </c>
      <c r="E3485">
        <v>0.32789380000000001</v>
      </c>
      <c r="F3485" t="s">
        <v>41</v>
      </c>
      <c r="G3485">
        <v>-480.09379999999999</v>
      </c>
      <c r="H3485">
        <v>1.045804</v>
      </c>
      <c r="I3485">
        <v>219.9393</v>
      </c>
      <c r="J3485">
        <v>-480.86849999999998</v>
      </c>
      <c r="K3485">
        <v>1.1140749999999999</v>
      </c>
      <c r="L3485">
        <v>220.09180000000001</v>
      </c>
      <c r="M3485">
        <v>0.73014999999999997</v>
      </c>
      <c r="N3485">
        <v>0</v>
      </c>
      <c r="O3485">
        <v>-0.68313690000000005</v>
      </c>
      <c r="P3485">
        <v>0.77760969999999996</v>
      </c>
      <c r="Q3485">
        <v>-2.2465510000000001E-2</v>
      </c>
      <c r="R3485">
        <v>-0.62834599999999996</v>
      </c>
      <c r="S3485">
        <v>3.142639</v>
      </c>
      <c r="T3485">
        <v>-0.23902380000000001</v>
      </c>
      <c r="U3485">
        <v>-0.89326479999999997</v>
      </c>
      <c r="V3485">
        <v>-7.2364810000000002E-2</v>
      </c>
      <c r="W3485">
        <v>-8.7847499999999992E-3</v>
      </c>
      <c r="X3485">
        <v>0.99733950000000005</v>
      </c>
      <c r="Y3485">
        <v>-0.454897</v>
      </c>
      <c r="Z3485">
        <v>6.2735719999999995E-2</v>
      </c>
      <c r="AA3485">
        <v>0.888331599999999</v>
      </c>
      <c r="AB3485">
        <v>15</v>
      </c>
      <c r="AC3485">
        <v>0.77469999999999495</v>
      </c>
      <c r="AD3485">
        <v>-6.8270999999999707E-2</v>
      </c>
      <c r="AE3485">
        <v>-0.15250000000000299</v>
      </c>
      <c r="AF3485">
        <v>-0.41481973950545797</v>
      </c>
      <c r="AG3485">
        <v>-6.8270999999999707E-2</v>
      </c>
      <c r="AH3485">
        <v>0.66492298329599797</v>
      </c>
      <c r="AI3485">
        <v>94.978628586255795</v>
      </c>
      <c r="AJ3485">
        <v>121.958444504857</v>
      </c>
      <c r="AK3485">
        <v>0.78667586682167001</v>
      </c>
      <c r="AL3485">
        <v>90.503335594293304</v>
      </c>
      <c r="AM3485">
        <v>94.149986051125893</v>
      </c>
      <c r="AN3485">
        <v>0.99999995790957297</v>
      </c>
    </row>
    <row r="3486" spans="1:40" x14ac:dyDescent="0.25">
      <c r="A3486" t="str">
        <f>"20190312154321280"</f>
        <v>20190312154321280</v>
      </c>
      <c r="B3486" t="str">
        <f>"1552376601270507"</f>
        <v>1552376601270507</v>
      </c>
      <c r="C3486" t="s">
        <v>40</v>
      </c>
      <c r="D3486">
        <v>4.5748579999999999</v>
      </c>
      <c r="E3486">
        <v>0.32398389999999999</v>
      </c>
      <c r="F3486" t="s">
        <v>41</v>
      </c>
      <c r="G3486">
        <v>-479.98770000000002</v>
      </c>
      <c r="H3486">
        <v>1.039779</v>
      </c>
      <c r="I3486">
        <v>219.8674</v>
      </c>
      <c r="J3486">
        <v>-480.75459999999998</v>
      </c>
      <c r="K3486">
        <v>1.1140829999999999</v>
      </c>
      <c r="L3486">
        <v>219.99770000000001</v>
      </c>
      <c r="M3486">
        <v>0.73540740000000004</v>
      </c>
      <c r="N3486">
        <v>0</v>
      </c>
      <c r="O3486">
        <v>-0.67747380000000001</v>
      </c>
      <c r="P3486">
        <v>0.782269199999999</v>
      </c>
      <c r="Q3486">
        <v>-2.4302919999999999E-2</v>
      </c>
      <c r="R3486">
        <v>-0.62246630000000003</v>
      </c>
      <c r="S3486">
        <v>3.1932369999999999</v>
      </c>
      <c r="T3486">
        <v>-0.26932990000000001</v>
      </c>
      <c r="U3486">
        <v>-0.81306460000000003</v>
      </c>
      <c r="V3486">
        <v>-7.2123850000000003E-2</v>
      </c>
      <c r="W3486">
        <v>-1.0609560000000001E-2</v>
      </c>
      <c r="X3486">
        <v>0.99733919999999998</v>
      </c>
      <c r="Y3486">
        <v>-0.47177370000000002</v>
      </c>
      <c r="Z3486">
        <v>7.0311250000000006E-2</v>
      </c>
      <c r="AA3486">
        <v>0.87891180000000002</v>
      </c>
      <c r="AB3486">
        <v>15</v>
      </c>
      <c r="AC3486">
        <v>0.76689999999996405</v>
      </c>
      <c r="AD3486">
        <v>-7.4303999999999898E-2</v>
      </c>
      <c r="AE3486">
        <v>-0.130300000000005</v>
      </c>
      <c r="AF3486">
        <v>-0.41994297736818498</v>
      </c>
      <c r="AG3486">
        <v>-7.4303999999999898E-2</v>
      </c>
      <c r="AH3486">
        <v>0.64642767039237403</v>
      </c>
      <c r="AI3486">
        <v>95.505809983982502</v>
      </c>
      <c r="AJ3486">
        <v>123.009221997814</v>
      </c>
      <c r="AK3486">
        <v>0.77443006250129998</v>
      </c>
      <c r="AL3486">
        <v>90.607894447952205</v>
      </c>
      <c r="AM3486">
        <v>94.136216727079102</v>
      </c>
      <c r="AN3486">
        <v>0.999999946179426</v>
      </c>
    </row>
    <row r="3487" spans="1:40" x14ac:dyDescent="0.25">
      <c r="A3487" t="str">
        <f>"20190312154321302"</f>
        <v>20190312154321302</v>
      </c>
      <c r="B3487" t="str">
        <f>"1552376601291004"</f>
        <v>1552376601291004</v>
      </c>
      <c r="C3487" t="s">
        <v>40</v>
      </c>
      <c r="D3487">
        <v>4.6103610000000002</v>
      </c>
      <c r="E3487">
        <v>0.3227122</v>
      </c>
      <c r="F3487" t="s">
        <v>41</v>
      </c>
      <c r="G3487">
        <v>-479.88380000000001</v>
      </c>
      <c r="H3487">
        <v>1.0389809999999999</v>
      </c>
      <c r="I3487">
        <v>219.79050000000001</v>
      </c>
      <c r="J3487">
        <v>-480.6395</v>
      </c>
      <c r="K3487">
        <v>1.1140909999999999</v>
      </c>
      <c r="L3487">
        <v>219.90440000000001</v>
      </c>
      <c r="M3487">
        <v>0.74071279999999995</v>
      </c>
      <c r="N3487">
        <v>0</v>
      </c>
      <c r="O3487">
        <v>-0.67166910000000002</v>
      </c>
      <c r="P3487">
        <v>0.78721430000000003</v>
      </c>
      <c r="Q3487">
        <v>-2.6124519999999998E-2</v>
      </c>
      <c r="R3487">
        <v>-0.61612609999999901</v>
      </c>
      <c r="S3487">
        <v>3.21814</v>
      </c>
      <c r="T3487">
        <v>-0.27744760000000002</v>
      </c>
      <c r="U3487">
        <v>-0.76445010000000002</v>
      </c>
      <c r="V3487">
        <v>-7.2282600000000002E-2</v>
      </c>
      <c r="W3487">
        <v>-1.242292E-2</v>
      </c>
      <c r="X3487">
        <v>0.99730680000000005</v>
      </c>
      <c r="Y3487">
        <v>-0.4788019</v>
      </c>
      <c r="Z3487">
        <v>7.2038749999999999E-2</v>
      </c>
      <c r="AA3487">
        <v>0.87496240000000003</v>
      </c>
      <c r="AB3487">
        <v>15</v>
      </c>
      <c r="AC3487">
        <v>0.75569999999999005</v>
      </c>
      <c r="AD3487">
        <v>-7.5109999999999996E-2</v>
      </c>
      <c r="AE3487">
        <v>-0.1139</v>
      </c>
      <c r="AF3487">
        <v>-0.41920736384463297</v>
      </c>
      <c r="AG3487">
        <v>-7.5109999999999996E-2</v>
      </c>
      <c r="AH3487">
        <v>0.63023746249291701</v>
      </c>
      <c r="AI3487">
        <v>95.666940572509404</v>
      </c>
      <c r="AJ3487">
        <v>123.63017465547</v>
      </c>
      <c r="AK3487">
        <v>0.76064156153281404</v>
      </c>
      <c r="AL3487">
        <v>90.711799210036901</v>
      </c>
      <c r="AM3487">
        <v>94.145423349055207</v>
      </c>
      <c r="AN3487">
        <v>0.99999997826516296</v>
      </c>
    </row>
    <row r="3488" spans="1:40" x14ac:dyDescent="0.25">
      <c r="A3488" t="str">
        <f>"20190312154321324"</f>
        <v>20190312154321324</v>
      </c>
      <c r="B3488" t="str">
        <f>"1552376601321259"</f>
        <v>1552376601321259</v>
      </c>
      <c r="C3488" t="s">
        <v>40</v>
      </c>
      <c r="D3488">
        <v>4.5646360000000001</v>
      </c>
      <c r="E3488">
        <v>0.32224059999999999</v>
      </c>
      <c r="F3488" t="s">
        <v>41</v>
      </c>
      <c r="G3488">
        <v>-479.78199999999998</v>
      </c>
      <c r="H3488">
        <v>1.0345439999999999</v>
      </c>
      <c r="I3488">
        <v>219.7105</v>
      </c>
      <c r="J3488">
        <v>-480.52879999999999</v>
      </c>
      <c r="K3488">
        <v>1.114096</v>
      </c>
      <c r="L3488">
        <v>219.81620000000001</v>
      </c>
      <c r="M3488">
        <v>0.74580539999999995</v>
      </c>
      <c r="N3488">
        <v>0</v>
      </c>
      <c r="O3488">
        <v>-0.66600939999999997</v>
      </c>
      <c r="P3488">
        <v>0.79215000000000002</v>
      </c>
      <c r="Q3488">
        <v>-2.7296190000000001E-2</v>
      </c>
      <c r="R3488">
        <v>-0.60971600000000004</v>
      </c>
      <c r="S3488">
        <v>3.2299190000000002</v>
      </c>
      <c r="T3488">
        <v>-0.29959360000000002</v>
      </c>
      <c r="U3488">
        <v>-0.72965999999999998</v>
      </c>
      <c r="V3488">
        <v>-7.2747039999999999E-2</v>
      </c>
      <c r="W3488">
        <v>-1.359079E-2</v>
      </c>
      <c r="X3488">
        <v>0.99725779999999997</v>
      </c>
      <c r="Y3488">
        <v>-0.48121720000000001</v>
      </c>
      <c r="Z3488">
        <v>7.7384640000000005E-2</v>
      </c>
      <c r="AA3488">
        <v>0.87317900000000004</v>
      </c>
      <c r="AB3488">
        <v>15</v>
      </c>
      <c r="AC3488">
        <v>0.74680000000000701</v>
      </c>
      <c r="AD3488">
        <v>-7.9551999999999803E-2</v>
      </c>
      <c r="AE3488">
        <v>-0.10570000000001301</v>
      </c>
      <c r="AF3488">
        <v>-0.41398192983064902</v>
      </c>
      <c r="AG3488">
        <v>-7.9551999999999803E-2</v>
      </c>
      <c r="AH3488">
        <v>0.62052620010349802</v>
      </c>
      <c r="AI3488">
        <v>96.087354285758295</v>
      </c>
      <c r="AJ3488">
        <v>123.709099548849</v>
      </c>
      <c r="AK3488">
        <v>0.75017486224559404</v>
      </c>
      <c r="AL3488">
        <v>90.778718896470295</v>
      </c>
      <c r="AM3488">
        <v>94.172169602612399</v>
      </c>
      <c r="AN3488">
        <v>0.99999998053121197</v>
      </c>
    </row>
    <row r="3489" spans="1:40" x14ac:dyDescent="0.25">
      <c r="A3489" t="str">
        <f>"20190312154321346"</f>
        <v>20190312154321346</v>
      </c>
      <c r="B3489" t="str">
        <f>"1552376601340780"</f>
        <v>1552376601340780</v>
      </c>
      <c r="C3489" t="s">
        <v>40</v>
      </c>
      <c r="D3489">
        <v>4.5788640000000003</v>
      </c>
      <c r="E3489">
        <v>0.3226987</v>
      </c>
      <c r="F3489" t="s">
        <v>41</v>
      </c>
      <c r="G3489">
        <v>-479.67840000000001</v>
      </c>
      <c r="H3489">
        <v>1.0324</v>
      </c>
      <c r="I3489">
        <v>219.63200000000001</v>
      </c>
      <c r="J3489">
        <v>-480.41059999999999</v>
      </c>
      <c r="K3489">
        <v>1.1141080000000001</v>
      </c>
      <c r="L3489">
        <v>219.7236</v>
      </c>
      <c r="M3489">
        <v>0.75123109999999904</v>
      </c>
      <c r="N3489">
        <v>0</v>
      </c>
      <c r="O3489">
        <v>-0.659883</v>
      </c>
      <c r="P3489">
        <v>0.7974755</v>
      </c>
      <c r="Q3489">
        <v>-2.7883499999999999E-2</v>
      </c>
      <c r="R3489">
        <v>-0.60270659999999998</v>
      </c>
      <c r="S3489">
        <v>3.237244</v>
      </c>
      <c r="T3489">
        <v>-0.31090830000000003</v>
      </c>
      <c r="U3489">
        <v>-0.70045469999999999</v>
      </c>
      <c r="V3489">
        <v>-7.3360819999999993E-2</v>
      </c>
      <c r="W3489">
        <v>-1.417643E-2</v>
      </c>
      <c r="X3489">
        <v>0.99720469999999894</v>
      </c>
      <c r="Y3489">
        <v>-0.48169420000000002</v>
      </c>
      <c r="Z3489">
        <v>7.9851019999999995E-2</v>
      </c>
      <c r="AA3489">
        <v>0.87269379999999996</v>
      </c>
      <c r="AB3489">
        <v>15</v>
      </c>
      <c r="AC3489">
        <v>0.73219999999997698</v>
      </c>
      <c r="AD3489">
        <v>-8.17080000000001E-2</v>
      </c>
      <c r="AE3489">
        <v>-9.1599999999999598E-2</v>
      </c>
      <c r="AF3489">
        <v>-0.40937693823096399</v>
      </c>
      <c r="AG3489">
        <v>-8.17080000000001E-2</v>
      </c>
      <c r="AH3489">
        <v>0.60316427633386205</v>
      </c>
      <c r="AI3489">
        <v>96.395417372520896</v>
      </c>
      <c r="AJ3489">
        <v>124.16534594760699</v>
      </c>
      <c r="AK3489">
        <v>0.73353447026347096</v>
      </c>
      <c r="AL3489">
        <v>90.812276818601902</v>
      </c>
      <c r="AM3489">
        <v>94.207468307256306</v>
      </c>
      <c r="AN3489">
        <v>0.99999999739035295</v>
      </c>
    </row>
    <row r="3490" spans="1:40" x14ac:dyDescent="0.25">
      <c r="A3490" t="str">
        <f>"20190312154321370"</f>
        <v>20190312154321370</v>
      </c>
      <c r="B3490" t="str">
        <f>"1552376601361274"</f>
        <v>1552376601361274</v>
      </c>
      <c r="C3490" t="s">
        <v>40</v>
      </c>
      <c r="D3490">
        <v>4.5709019999999896</v>
      </c>
      <c r="E3490">
        <v>0.32345420000000003</v>
      </c>
      <c r="F3490" t="s">
        <v>41</v>
      </c>
      <c r="G3490">
        <v>-479.56790000000001</v>
      </c>
      <c r="H3490">
        <v>1.0301100000000001</v>
      </c>
      <c r="I3490">
        <v>219.54810000000001</v>
      </c>
      <c r="J3490">
        <v>-480.2944</v>
      </c>
      <c r="K3490">
        <v>1.1141270000000001</v>
      </c>
      <c r="L3490">
        <v>219.6344</v>
      </c>
      <c r="M3490">
        <v>0.75654569999999999</v>
      </c>
      <c r="N3490">
        <v>0</v>
      </c>
      <c r="O3490">
        <v>-0.653783</v>
      </c>
      <c r="P3490">
        <v>0.8022743</v>
      </c>
      <c r="Q3490">
        <v>-2.7933489999999998E-2</v>
      </c>
      <c r="R3490">
        <v>-0.596302</v>
      </c>
      <c r="S3490">
        <v>3.2404169999999999</v>
      </c>
      <c r="T3490">
        <v>-0.322964799999999</v>
      </c>
      <c r="U3490">
        <v>-0.67503359999999901</v>
      </c>
      <c r="V3490">
        <v>-7.3274720000000002E-2</v>
      </c>
      <c r="W3490">
        <v>-1.421938E-2</v>
      </c>
      <c r="X3490">
        <v>0.99721040000000005</v>
      </c>
      <c r="Y3490">
        <v>-0.48101270000000002</v>
      </c>
      <c r="Z3490">
        <v>8.2495509999999994E-2</v>
      </c>
      <c r="AA3490">
        <v>0.87282369999999898</v>
      </c>
      <c r="AB3490">
        <v>15</v>
      </c>
      <c r="AC3490">
        <v>0.72649999999998705</v>
      </c>
      <c r="AD3490">
        <v>-8.4016999999999994E-2</v>
      </c>
      <c r="AE3490">
        <v>-8.6299999999994201E-2</v>
      </c>
      <c r="AF3490">
        <v>-0.40439262508749801</v>
      </c>
      <c r="AG3490">
        <v>-8.4016999999999994E-2</v>
      </c>
      <c r="AH3490">
        <v>0.59822510555744501</v>
      </c>
      <c r="AI3490">
        <v>96.636713536718105</v>
      </c>
      <c r="AJ3490">
        <v>124.058197306972</v>
      </c>
      <c r="AK3490">
        <v>0.72695634561737899</v>
      </c>
      <c r="AL3490">
        <v>90.814737935705494</v>
      </c>
      <c r="AM3490">
        <v>94.202523974900203</v>
      </c>
      <c r="AN3490">
        <v>0.99999997861341094</v>
      </c>
    </row>
    <row r="3491" spans="1:40" x14ac:dyDescent="0.25">
      <c r="A3491" t="str">
        <f>"20190312154321391"</f>
        <v>20190312154321391</v>
      </c>
      <c r="B3491" t="str">
        <f>"1552376601380798"</f>
        <v>1552376601380798</v>
      </c>
      <c r="C3491" t="s">
        <v>40</v>
      </c>
      <c r="D3491">
        <v>4.6806349999999997</v>
      </c>
      <c r="E3491">
        <v>0.32421119999999998</v>
      </c>
      <c r="F3491" t="s">
        <v>41</v>
      </c>
      <c r="G3491">
        <v>-479.34789999999998</v>
      </c>
      <c r="H3491">
        <v>1.0197799999999999</v>
      </c>
      <c r="I3491">
        <v>219.4435</v>
      </c>
      <c r="J3491">
        <v>-480.1789</v>
      </c>
      <c r="K3491">
        <v>1.1141509999999999</v>
      </c>
      <c r="L3491">
        <v>219.54740000000001</v>
      </c>
      <c r="M3491">
        <v>0.7618009</v>
      </c>
      <c r="N3491">
        <v>0</v>
      </c>
      <c r="O3491">
        <v>-0.64765200000000001</v>
      </c>
      <c r="P3491">
        <v>0.80697180000000002</v>
      </c>
      <c r="Q3491">
        <v>-2.8211969999999999E-2</v>
      </c>
      <c r="R3491">
        <v>-0.58991629999999995</v>
      </c>
      <c r="S3491">
        <v>3.2421259999999998</v>
      </c>
      <c r="T3491">
        <v>-0.32316909999999999</v>
      </c>
      <c r="U3491">
        <v>-0.65386959999999905</v>
      </c>
      <c r="V3491">
        <v>-7.3126540000000004E-2</v>
      </c>
      <c r="W3491">
        <v>-1.449056E-2</v>
      </c>
      <c r="X3491">
        <v>0.99721740000000003</v>
      </c>
      <c r="Y3491">
        <v>-0.4795219</v>
      </c>
      <c r="Z3491">
        <v>8.2079399999999997E-2</v>
      </c>
      <c r="AA3491">
        <v>0.87368289999999904</v>
      </c>
      <c r="AB3491">
        <v>15</v>
      </c>
      <c r="AC3491">
        <v>0.83100000000001695</v>
      </c>
      <c r="AD3491">
        <v>-9.4371000000000205E-2</v>
      </c>
      <c r="AE3491">
        <v>-0.10390000000001</v>
      </c>
      <c r="AF3491">
        <v>-0.453338516829214</v>
      </c>
      <c r="AG3491">
        <v>-9.4371000000000205E-2</v>
      </c>
      <c r="AH3491">
        <v>0.69163735942306404</v>
      </c>
      <c r="AI3491">
        <v>96.510242929212595</v>
      </c>
      <c r="AJ3491">
        <v>123.243116219057</v>
      </c>
      <c r="AK3491">
        <v>0.83233643043640804</v>
      </c>
      <c r="AL3491">
        <v>90.830276984758896</v>
      </c>
      <c r="AM3491">
        <v>94.194026430543303</v>
      </c>
      <c r="AN3491">
        <v>1.0000000050221201</v>
      </c>
    </row>
    <row r="3492" spans="1:40" x14ac:dyDescent="0.25">
      <c r="A3492" t="str">
        <f>"20190312154321413"</f>
        <v>20190312154321413</v>
      </c>
      <c r="B3492" t="str">
        <f>"1552376601401292"</f>
        <v>1552376601401292</v>
      </c>
      <c r="C3492" t="s">
        <v>40</v>
      </c>
      <c r="D3492">
        <v>4.6154609999999998</v>
      </c>
      <c r="E3492">
        <v>0.3250711</v>
      </c>
      <c r="F3492" t="s">
        <v>41</v>
      </c>
      <c r="G3492">
        <v>-479.24639999999999</v>
      </c>
      <c r="H3492">
        <v>1.0223990000000001</v>
      </c>
      <c r="I3492">
        <v>219.36510000000001</v>
      </c>
      <c r="J3492">
        <v>-480.06729999999999</v>
      </c>
      <c r="K3492">
        <v>1.1141570000000001</v>
      </c>
      <c r="L3492">
        <v>219.4648</v>
      </c>
      <c r="M3492">
        <v>0.76684549999999996</v>
      </c>
      <c r="N3492">
        <v>0</v>
      </c>
      <c r="O3492">
        <v>-0.64167050000000003</v>
      </c>
      <c r="P3492">
        <v>0.81172109999999997</v>
      </c>
      <c r="Q3492">
        <v>-2.837984E-2</v>
      </c>
      <c r="R3492">
        <v>-0.58335530000000002</v>
      </c>
      <c r="S3492">
        <v>3.2438959999999999</v>
      </c>
      <c r="T3492">
        <v>-0.31903520000000002</v>
      </c>
      <c r="U3492">
        <v>-0.63276669999999902</v>
      </c>
      <c r="V3492">
        <v>-7.3401209999999995E-2</v>
      </c>
      <c r="W3492">
        <v>-1.4655059999999999E-2</v>
      </c>
      <c r="X3492">
        <v>0.99719480000000005</v>
      </c>
      <c r="Y3492">
        <v>-0.47837109999999999</v>
      </c>
      <c r="Z3492">
        <v>8.0590830000000002E-2</v>
      </c>
      <c r="AA3492">
        <v>0.87445189999999995</v>
      </c>
      <c r="AB3492">
        <v>15</v>
      </c>
      <c r="AC3492">
        <v>0.82089999999999397</v>
      </c>
      <c r="AD3492">
        <v>-9.1758000000000006E-2</v>
      </c>
      <c r="AE3492">
        <v>-9.9699999999984301E-2</v>
      </c>
      <c r="AF3492">
        <v>-0.44486203153648601</v>
      </c>
      <c r="AG3492">
        <v>-9.1758000000000006E-2</v>
      </c>
      <c r="AH3492">
        <v>0.68511428341439395</v>
      </c>
      <c r="AI3492">
        <v>96.409063898001804</v>
      </c>
      <c r="AJ3492">
        <v>122.99668309907</v>
      </c>
      <c r="AK3492">
        <v>0.82201176330098102</v>
      </c>
      <c r="AL3492">
        <v>90.839703155046095</v>
      </c>
      <c r="AM3492">
        <v>94.209818115790497</v>
      </c>
      <c r="AN3492">
        <v>0.99999998878005303</v>
      </c>
    </row>
    <row r="3493" spans="1:40" x14ac:dyDescent="0.25">
      <c r="A3493" t="str">
        <f>"20190312154321435"</f>
        <v>20190312154321435</v>
      </c>
      <c r="B3493" t="str">
        <f>"1552376601430572"</f>
        <v>1552376601430572</v>
      </c>
      <c r="C3493" t="s">
        <v>40</v>
      </c>
      <c r="D3493">
        <v>4.569096</v>
      </c>
      <c r="E3493">
        <v>0.32448719999999998</v>
      </c>
      <c r="F3493" t="s">
        <v>41</v>
      </c>
      <c r="G3493">
        <v>-479.14299999999997</v>
      </c>
      <c r="H3493">
        <v>1.0234909999999999</v>
      </c>
      <c r="I3493">
        <v>219.29060000000001</v>
      </c>
      <c r="J3493">
        <v>-479.94920000000002</v>
      </c>
      <c r="K3493">
        <v>1.114155</v>
      </c>
      <c r="L3493">
        <v>219.37889999999999</v>
      </c>
      <c r="M3493">
        <v>0.77214839999999996</v>
      </c>
      <c r="N3493">
        <v>0</v>
      </c>
      <c r="O3493">
        <v>-0.63527919999999904</v>
      </c>
      <c r="P3493">
        <v>0.81643569999999999</v>
      </c>
      <c r="Q3493">
        <v>-2.671929E-2</v>
      </c>
      <c r="R3493">
        <v>-0.57681780000000005</v>
      </c>
      <c r="S3493">
        <v>3.2448730000000001</v>
      </c>
      <c r="T3493">
        <v>-0.318357</v>
      </c>
      <c r="U3493">
        <v>-0.61206050000000001</v>
      </c>
      <c r="V3493">
        <v>-7.3177049999999993E-2</v>
      </c>
      <c r="W3493">
        <v>-1.298566E-2</v>
      </c>
      <c r="X3493">
        <v>0.99723439999999997</v>
      </c>
      <c r="Y3493">
        <v>-0.47656500000000002</v>
      </c>
      <c r="Z3493">
        <v>7.9927059999999994E-2</v>
      </c>
      <c r="AA3493">
        <v>0.87549840000000001</v>
      </c>
      <c r="AB3493">
        <v>15</v>
      </c>
      <c r="AC3493">
        <v>0.80619999999998904</v>
      </c>
      <c r="AD3493">
        <v>-9.0663999999999995E-2</v>
      </c>
      <c r="AE3493">
        <v>-8.8299999999975398E-2</v>
      </c>
      <c r="AF3493">
        <v>-0.438546872634833</v>
      </c>
      <c r="AG3493">
        <v>-9.0663999999999995E-2</v>
      </c>
      <c r="AH3493">
        <v>0.67029483588433603</v>
      </c>
      <c r="AI3493">
        <v>96.4576522198672</v>
      </c>
      <c r="AJ3493">
        <v>123.19510537442601</v>
      </c>
      <c r="AK3493">
        <v>0.80612560274872902</v>
      </c>
      <c r="AL3493">
        <v>90.744044440395996</v>
      </c>
      <c r="AM3493">
        <v>94.196841693162099</v>
      </c>
      <c r="AN3493">
        <v>0.99999997827784803</v>
      </c>
    </row>
    <row r="3494" spans="1:40" x14ac:dyDescent="0.25">
      <c r="A3494" t="str">
        <f>"20190312154321456"</f>
        <v>20190312154321456</v>
      </c>
      <c r="B3494" t="str">
        <f>"1552376601451068"</f>
        <v>1552376601451068</v>
      </c>
      <c r="C3494" t="s">
        <v>40</v>
      </c>
      <c r="D3494">
        <v>4.636717</v>
      </c>
      <c r="E3494">
        <v>0.3249571</v>
      </c>
      <c r="F3494" t="s">
        <v>41</v>
      </c>
      <c r="G3494">
        <v>-479.03989999999999</v>
      </c>
      <c r="H3494">
        <v>1.031541</v>
      </c>
      <c r="I3494">
        <v>219.2158</v>
      </c>
      <c r="J3494">
        <v>-479.83690000000001</v>
      </c>
      <c r="K3494">
        <v>1.114152</v>
      </c>
      <c r="L3494">
        <v>219.2988</v>
      </c>
      <c r="M3494">
        <v>0.77714320000000003</v>
      </c>
      <c r="N3494">
        <v>0</v>
      </c>
      <c r="O3494">
        <v>-0.62915919999999903</v>
      </c>
      <c r="P3494">
        <v>0.82090680000000005</v>
      </c>
      <c r="Q3494">
        <v>-2.5660229999999999E-2</v>
      </c>
      <c r="R3494">
        <v>-0.57048520000000003</v>
      </c>
      <c r="S3494">
        <v>3.253082</v>
      </c>
      <c r="T3494">
        <v>-0.29547240000000002</v>
      </c>
      <c r="U3494">
        <v>-0.58270259999999996</v>
      </c>
      <c r="V3494">
        <v>-7.3042960000000004E-2</v>
      </c>
      <c r="W3494">
        <v>-1.191975E-2</v>
      </c>
      <c r="X3494">
        <v>0.99725759999999997</v>
      </c>
      <c r="Y3494">
        <v>-0.47834149999999998</v>
      </c>
      <c r="Z3494">
        <v>7.3789679999999996E-2</v>
      </c>
      <c r="AA3494">
        <v>0.87506830000000002</v>
      </c>
      <c r="AB3494">
        <v>15</v>
      </c>
      <c r="AC3494">
        <v>0.79700000000002502</v>
      </c>
      <c r="AD3494">
        <v>-8.2610999999999907E-2</v>
      </c>
      <c r="AE3494">
        <v>-8.2999999999998395E-2</v>
      </c>
      <c r="AF3494">
        <v>-0.43238661190587602</v>
      </c>
      <c r="AG3494">
        <v>-8.2610999999999907E-2</v>
      </c>
      <c r="AH3494">
        <v>0.66460907770127697</v>
      </c>
      <c r="AI3494">
        <v>95.948222994880695</v>
      </c>
      <c r="AJ3494">
        <v>123.04754002166</v>
      </c>
      <c r="AK3494">
        <v>0.79717500314509704</v>
      </c>
      <c r="AL3494">
        <v>90.682967515541606</v>
      </c>
      <c r="AM3494">
        <v>94.189081672685504</v>
      </c>
      <c r="AN3494">
        <v>1.00000003760169</v>
      </c>
    </row>
    <row r="3495" spans="1:40" x14ac:dyDescent="0.25">
      <c r="A3495" t="str">
        <f>"20190312154321480"</f>
        <v>20190312154321480</v>
      </c>
      <c r="B3495" t="str">
        <f>"1552376601470587"</f>
        <v>1552376601470587</v>
      </c>
      <c r="C3495" t="s">
        <v>40</v>
      </c>
      <c r="D3495">
        <v>4.4439590000000004</v>
      </c>
      <c r="E3495">
        <v>0.37570249999999999</v>
      </c>
      <c r="F3495" t="s">
        <v>41</v>
      </c>
      <c r="G3495">
        <v>-478.93549999999999</v>
      </c>
      <c r="H3495">
        <v>1.0367280000000001</v>
      </c>
      <c r="I3495">
        <v>219.1437</v>
      </c>
      <c r="J3495">
        <v>-479.71449999999999</v>
      </c>
      <c r="K3495">
        <v>1.1141369999999999</v>
      </c>
      <c r="L3495">
        <v>219.21299999999999</v>
      </c>
      <c r="M3495">
        <v>0.78254259999999998</v>
      </c>
      <c r="N3495">
        <v>0</v>
      </c>
      <c r="O3495">
        <v>-0.62243059999999995</v>
      </c>
      <c r="P3495">
        <v>0.82491650000000005</v>
      </c>
      <c r="Q3495">
        <v>-2.5755980000000001E-2</v>
      </c>
      <c r="R3495">
        <v>-0.5646679</v>
      </c>
      <c r="S3495">
        <v>3.2559809999999998</v>
      </c>
      <c r="T3495">
        <v>-0.27972780000000003</v>
      </c>
      <c r="U3495">
        <v>-0.56083680000000002</v>
      </c>
      <c r="V3495">
        <v>-7.1486399999999894E-2</v>
      </c>
      <c r="W3495">
        <v>-1.199624E-2</v>
      </c>
      <c r="X3495">
        <v>0.99736939999999996</v>
      </c>
      <c r="Y3495">
        <v>-0.47704819999999998</v>
      </c>
      <c r="Z3495">
        <v>6.9390060000000003E-2</v>
      </c>
      <c r="AA3495">
        <v>0.87613359999999996</v>
      </c>
      <c r="AB3495">
        <v>15</v>
      </c>
      <c r="AC3495">
        <v>0.77899999999999603</v>
      </c>
      <c r="AD3495">
        <v>-7.7409000000000006E-2</v>
      </c>
      <c r="AE3495">
        <v>-6.9299999999998294E-2</v>
      </c>
      <c r="AF3495">
        <v>-0.42650943205934599</v>
      </c>
      <c r="AG3495">
        <v>-7.7409000000000006E-2</v>
      </c>
      <c r="AH3495">
        <v>0.64646943246348898</v>
      </c>
      <c r="AI3495">
        <v>95.707671483437196</v>
      </c>
      <c r="AJ3495">
        <v>123.414907946639</v>
      </c>
      <c r="AK3495">
        <v>0.77834772179678902</v>
      </c>
      <c r="AL3495">
        <v>90.6873504310378</v>
      </c>
      <c r="AM3495">
        <v>94.099661221722798</v>
      </c>
      <c r="AN3495">
        <v>0.99999996760772802</v>
      </c>
    </row>
    <row r="3496" spans="1:40" x14ac:dyDescent="0.25">
      <c r="A3496" t="str">
        <f>"20190312154321501"</f>
        <v>20190312154321501</v>
      </c>
      <c r="B3496" t="str">
        <f>"1552376601491086"</f>
        <v>1552376601491086</v>
      </c>
      <c r="C3496" t="s">
        <v>40</v>
      </c>
      <c r="D3496">
        <v>4.669041</v>
      </c>
      <c r="E3496">
        <v>0.40134700000000001</v>
      </c>
      <c r="F3496" t="s">
        <v>50</v>
      </c>
      <c r="G3496">
        <v>-450.99380000000002</v>
      </c>
      <c r="H3496" s="1">
        <v>-8.4673550000000001E-7</v>
      </c>
      <c r="I3496">
        <v>210.929</v>
      </c>
      <c r="J3496">
        <v>-479.59679999999997</v>
      </c>
      <c r="K3496">
        <v>1.1141289999999999</v>
      </c>
      <c r="L3496">
        <v>219.1319</v>
      </c>
      <c r="M3496">
        <v>0.78768509999999903</v>
      </c>
      <c r="N3496">
        <v>0</v>
      </c>
      <c r="O3496">
        <v>-0.61591010000000002</v>
      </c>
      <c r="P3496">
        <v>0.82875599999999905</v>
      </c>
      <c r="Q3496">
        <v>-2.559697E-2</v>
      </c>
      <c r="R3496">
        <v>-0.55902479999999999</v>
      </c>
      <c r="S3496">
        <v>3.034027</v>
      </c>
      <c r="T3496">
        <v>-0.1176965</v>
      </c>
      <c r="U3496">
        <v>-0.87510679999999996</v>
      </c>
      <c r="V3496">
        <v>-7.0015019999999997E-2</v>
      </c>
      <c r="W3496">
        <v>-1.182017E-2</v>
      </c>
      <c r="X3496">
        <v>0.99747589999999997</v>
      </c>
      <c r="Y3496">
        <v>-0.37292209999999998</v>
      </c>
      <c r="Z3496">
        <v>2.8626869999999999E-2</v>
      </c>
      <c r="AA3496">
        <v>0.92742100000000005</v>
      </c>
      <c r="AB3496">
        <v>15</v>
      </c>
      <c r="AC3496">
        <v>28.602999999999899</v>
      </c>
      <c r="AD3496">
        <v>-1.1141298467354901</v>
      </c>
      <c r="AE3496">
        <v>-8.2028999999999996</v>
      </c>
      <c r="AF3496">
        <v>-11.141109959574401</v>
      </c>
      <c r="AG3496">
        <v>-1.1141298467354901</v>
      </c>
      <c r="AH3496">
        <v>27.546642017644501</v>
      </c>
      <c r="AI3496">
        <v>92.1472816071946</v>
      </c>
      <c r="AJ3496">
        <v>112.020638800291</v>
      </c>
      <c r="AK3496">
        <v>29.735216543603201</v>
      </c>
      <c r="AL3496">
        <v>90.677261628721496</v>
      </c>
      <c r="AM3496">
        <v>94.015130896051303</v>
      </c>
      <c r="AN3496">
        <v>0.99999999526261896</v>
      </c>
    </row>
    <row r="3497" spans="1:40" x14ac:dyDescent="0.25">
      <c r="A3497" t="str">
        <f>"20190312154321525"</f>
        <v>20190312154321525</v>
      </c>
      <c r="B3497" t="str">
        <f>"1552376601520363"</f>
        <v>1552376601520363</v>
      </c>
      <c r="C3497" t="s">
        <v>40</v>
      </c>
      <c r="D3497">
        <v>4.7130539999999996</v>
      </c>
      <c r="E3497">
        <v>0.41343160000000001</v>
      </c>
      <c r="F3497" t="s">
        <v>50</v>
      </c>
      <c r="G3497">
        <v>-450.38060000000002</v>
      </c>
      <c r="H3497">
        <v>8.0001600000000006E-2</v>
      </c>
      <c r="I3497">
        <v>208.90530000000001</v>
      </c>
      <c r="J3497">
        <v>-479.47660000000002</v>
      </c>
      <c r="K3497">
        <v>1.1141259999999999</v>
      </c>
      <c r="L3497">
        <v>219.05070000000001</v>
      </c>
      <c r="M3497">
        <v>0.79287659999999904</v>
      </c>
      <c r="N3497">
        <v>0</v>
      </c>
      <c r="O3497">
        <v>-0.60921230000000004</v>
      </c>
      <c r="P3497">
        <v>0.83277099999999904</v>
      </c>
      <c r="Q3497">
        <v>-2.4517089999999998E-2</v>
      </c>
      <c r="R3497">
        <v>-0.55307459999999997</v>
      </c>
      <c r="S3497">
        <v>2.9258730000000002</v>
      </c>
      <c r="T3497">
        <v>-0.1035633</v>
      </c>
      <c r="U3497">
        <v>-1.0241549999999999</v>
      </c>
      <c r="V3497">
        <v>-6.8734909999999996E-2</v>
      </c>
      <c r="W3497">
        <v>-1.0725770000000001E-2</v>
      </c>
      <c r="X3497">
        <v>0.9975773</v>
      </c>
      <c r="Y3497">
        <v>-0.31263580000000002</v>
      </c>
      <c r="Z3497">
        <v>2.4593810000000001E-2</v>
      </c>
      <c r="AA3497">
        <v>0.94955460000000003</v>
      </c>
      <c r="AB3497">
        <v>15</v>
      </c>
      <c r="AC3497">
        <v>29.096</v>
      </c>
      <c r="AD3497">
        <v>-1.0341244000000001</v>
      </c>
      <c r="AE3497">
        <v>-10.145399999999899</v>
      </c>
      <c r="AF3497">
        <v>-9.6717002900051501</v>
      </c>
      <c r="AG3497">
        <v>-1.0341244000000001</v>
      </c>
      <c r="AH3497">
        <v>29.2203585207244</v>
      </c>
      <c r="AI3497">
        <v>91.924296584346394</v>
      </c>
      <c r="AJ3497">
        <v>108.314122312405</v>
      </c>
      <c r="AK3497">
        <v>30.796762035221001</v>
      </c>
      <c r="AL3497">
        <v>90.614553136826501</v>
      </c>
      <c r="AM3497">
        <v>93.941554960253399</v>
      </c>
      <c r="AN3497">
        <v>0.99999999973504505</v>
      </c>
    </row>
    <row r="3498" spans="1:40" x14ac:dyDescent="0.25">
      <c r="A3498" t="str">
        <f>"20190312154321546"</f>
        <v>20190312154321546</v>
      </c>
      <c r="B3498" t="str">
        <f>"1552376601540859"</f>
        <v>1552376601540859</v>
      </c>
      <c r="C3498" t="s">
        <v>40</v>
      </c>
      <c r="D3498">
        <v>4.7081</v>
      </c>
      <c r="E3498">
        <v>0.4174678</v>
      </c>
      <c r="F3498" t="s">
        <v>50</v>
      </c>
      <c r="G3498">
        <v>-444.03050000000002</v>
      </c>
      <c r="H3498">
        <v>8.0000669999999996E-2</v>
      </c>
      <c r="I3498">
        <v>205.71440000000001</v>
      </c>
      <c r="J3498">
        <v>-479.35849999999999</v>
      </c>
      <c r="K3498">
        <v>1.1141160000000001</v>
      </c>
      <c r="L3498">
        <v>218.9725</v>
      </c>
      <c r="M3498">
        <v>0.79791610000000002</v>
      </c>
      <c r="N3498">
        <v>0</v>
      </c>
      <c r="O3498">
        <v>-0.60259649999999998</v>
      </c>
      <c r="P3498">
        <v>0.83661339999999995</v>
      </c>
      <c r="Q3498">
        <v>-2.3631429999999998E-2</v>
      </c>
      <c r="R3498">
        <v>-0.54728359999999998</v>
      </c>
      <c r="S3498">
        <v>2.8802189999999999</v>
      </c>
      <c r="T3498">
        <v>-8.4029439999999997E-2</v>
      </c>
      <c r="U3498">
        <v>-1.083664</v>
      </c>
      <c r="V3498">
        <v>-6.738218E-2</v>
      </c>
      <c r="W3498">
        <v>-9.8261019999999998E-3</v>
      </c>
      <c r="X3498">
        <v>0.99767890000000004</v>
      </c>
      <c r="Y3498">
        <v>-0.282757599999999</v>
      </c>
      <c r="Z3498">
        <v>1.959642E-2</v>
      </c>
      <c r="AA3498">
        <v>0.95899120000000004</v>
      </c>
      <c r="AB3498">
        <v>15</v>
      </c>
      <c r="AC3498">
        <v>35.327999999999903</v>
      </c>
      <c r="AD3498">
        <v>-1.0341153300000001</v>
      </c>
      <c r="AE3498">
        <v>-13.258099999999899</v>
      </c>
      <c r="AF3498">
        <v>-10.7027498152385</v>
      </c>
      <c r="AG3498">
        <v>-1.0341153300000001</v>
      </c>
      <c r="AH3498">
        <v>36.154661720202398</v>
      </c>
      <c r="AI3498">
        <v>91.571004706515694</v>
      </c>
      <c r="AJ3498">
        <v>106.490166982443</v>
      </c>
      <c r="AK3498">
        <v>37.719727096382798</v>
      </c>
      <c r="AL3498">
        <v>90.563003206208407</v>
      </c>
      <c r="AM3498">
        <v>93.863828647081405</v>
      </c>
      <c r="AN3498">
        <v>1.00000004898363</v>
      </c>
    </row>
    <row r="3499" spans="1:40" x14ac:dyDescent="0.25">
      <c r="A3499" t="str">
        <f>"20190312154321571"</f>
        <v>20190312154321571</v>
      </c>
      <c r="B3499" t="str">
        <f>"1552376601560379"</f>
        <v>1552376601560379</v>
      </c>
      <c r="C3499" t="s">
        <v>40</v>
      </c>
      <c r="D3499">
        <v>4.7106309999999896</v>
      </c>
      <c r="E3499">
        <v>0.4203325</v>
      </c>
      <c r="F3499" t="s">
        <v>50</v>
      </c>
      <c r="G3499">
        <v>-443.18860000000001</v>
      </c>
      <c r="H3499">
        <v>8.0000929999999998E-2</v>
      </c>
      <c r="I3499">
        <v>205.22559999999999</v>
      </c>
      <c r="J3499">
        <v>-479.23419999999999</v>
      </c>
      <c r="K3499">
        <v>1.1141099999999999</v>
      </c>
      <c r="L3499">
        <v>218.89169999999999</v>
      </c>
      <c r="M3499">
        <v>0.80315950000000003</v>
      </c>
      <c r="N3499">
        <v>0</v>
      </c>
      <c r="O3499">
        <v>-0.59559030000000002</v>
      </c>
      <c r="P3499">
        <v>0.84048140000000005</v>
      </c>
      <c r="Q3499">
        <v>-2.4078200000000001E-2</v>
      </c>
      <c r="R3499">
        <v>-0.54130549999999999</v>
      </c>
      <c r="S3499">
        <v>2.8700260000000002</v>
      </c>
      <c r="T3499">
        <v>-8.2055329999999996E-2</v>
      </c>
      <c r="U3499">
        <v>-1.0907899999999999</v>
      </c>
      <c r="V3499">
        <v>-6.5751950000000003E-2</v>
      </c>
      <c r="W3499">
        <v>-1.02573E-2</v>
      </c>
      <c r="X3499">
        <v>0.99778330000000004</v>
      </c>
      <c r="Y3499">
        <v>-0.27115590000000001</v>
      </c>
      <c r="Z3499">
        <v>1.8880790000000001E-2</v>
      </c>
      <c r="AA3499">
        <v>0.96235020000000004</v>
      </c>
      <c r="AB3499">
        <v>15</v>
      </c>
      <c r="AC3499">
        <v>36.045599999999901</v>
      </c>
      <c r="AD3499">
        <v>-1.03410907</v>
      </c>
      <c r="AE3499">
        <v>-13.6661</v>
      </c>
      <c r="AF3499">
        <v>-10.485892063960801</v>
      </c>
      <c r="AG3499">
        <v>-1.03410907</v>
      </c>
      <c r="AH3499">
        <v>37.066928379222396</v>
      </c>
      <c r="AI3499">
        <v>91.537732325162494</v>
      </c>
      <c r="AJ3499">
        <v>105.79571876638001</v>
      </c>
      <c r="AK3499">
        <v>38.5354446375813</v>
      </c>
      <c r="AL3499">
        <v>90.587710292030806</v>
      </c>
      <c r="AM3499">
        <v>93.770227615261206</v>
      </c>
      <c r="AN3499">
        <v>1.0000000224454899</v>
      </c>
    </row>
    <row r="3500" spans="1:40" x14ac:dyDescent="0.25">
      <c r="A3500" t="str">
        <f>"20190312154321593"</f>
        <v>20190312154321593</v>
      </c>
      <c r="B3500" t="str">
        <f>"1552376601580875"</f>
        <v>1552376601580875</v>
      </c>
      <c r="C3500" t="s">
        <v>40</v>
      </c>
      <c r="D3500">
        <v>4.7002240000000004</v>
      </c>
      <c r="E3500">
        <v>0.42280329999999999</v>
      </c>
      <c r="F3500" t="s">
        <v>50</v>
      </c>
      <c r="G3500">
        <v>-444.12939999999998</v>
      </c>
      <c r="H3500">
        <v>8.0000650000000006E-2</v>
      </c>
      <c r="I3500">
        <v>205.54490000000001</v>
      </c>
      <c r="J3500">
        <v>-479.11009999999999</v>
      </c>
      <c r="K3500">
        <v>1.1141030000000001</v>
      </c>
      <c r="L3500">
        <v>218.81270000000001</v>
      </c>
      <c r="M3500">
        <v>0.80833290000000002</v>
      </c>
      <c r="N3500">
        <v>0</v>
      </c>
      <c r="O3500">
        <v>-0.58854960000000001</v>
      </c>
      <c r="P3500">
        <v>0.84346520000000003</v>
      </c>
      <c r="Q3500">
        <v>-2.4099289999999999E-2</v>
      </c>
      <c r="R3500">
        <v>-0.53664299999999998</v>
      </c>
      <c r="S3500">
        <v>2.8653870000000001</v>
      </c>
      <c r="T3500">
        <v>-8.440781E-2</v>
      </c>
      <c r="U3500">
        <v>-1.0894170000000001</v>
      </c>
      <c r="V3500">
        <v>-6.2559130000000004E-2</v>
      </c>
      <c r="W3500">
        <v>-1.024914E-2</v>
      </c>
      <c r="X3500">
        <v>0.9979886</v>
      </c>
      <c r="Y3500">
        <v>-0.26260889999999998</v>
      </c>
      <c r="Z3500">
        <v>1.9177739999999999E-2</v>
      </c>
      <c r="AA3500">
        <v>0.96471169999999995</v>
      </c>
      <c r="AB3500">
        <v>15</v>
      </c>
      <c r="AC3500">
        <v>34.980699999999999</v>
      </c>
      <c r="AD3500">
        <v>-1.0341023499999999</v>
      </c>
      <c r="AE3500">
        <v>-13.2677999999999</v>
      </c>
      <c r="AF3500">
        <v>-9.85656968138656</v>
      </c>
      <c r="AG3500">
        <v>-1.0341023499999999</v>
      </c>
      <c r="AH3500">
        <v>36.060998830076102</v>
      </c>
      <c r="AI3500">
        <v>91.584499545986205</v>
      </c>
      <c r="AJ3500">
        <v>105.287281657311</v>
      </c>
      <c r="AK3500">
        <v>37.398087787707198</v>
      </c>
      <c r="AL3500">
        <v>90.587242766068599</v>
      </c>
      <c r="AM3500">
        <v>93.586905001185698</v>
      </c>
      <c r="AN3500">
        <v>0.99999996767352695</v>
      </c>
    </row>
    <row r="3501" spans="1:40" x14ac:dyDescent="0.25">
      <c r="A3501" t="str">
        <f>"20190312154321625"</f>
        <v>20190312154321625</v>
      </c>
      <c r="B3501" t="str">
        <f>"1552376601620891"</f>
        <v>1552376601620891</v>
      </c>
      <c r="C3501" t="s">
        <v>40</v>
      </c>
      <c r="D3501">
        <v>5.0025629999999897</v>
      </c>
      <c r="E3501">
        <v>0.42627219999999999</v>
      </c>
      <c r="F3501" t="s">
        <v>50</v>
      </c>
      <c r="G3501">
        <v>-445.40730000000002</v>
      </c>
      <c r="H3501">
        <v>8.0001719999999998E-2</v>
      </c>
      <c r="I3501">
        <v>205.97200000000001</v>
      </c>
      <c r="J3501">
        <v>-478.93759999999997</v>
      </c>
      <c r="K3501">
        <v>1.1141030000000001</v>
      </c>
      <c r="L3501">
        <v>218.7054</v>
      </c>
      <c r="M3501">
        <v>0.81541109999999895</v>
      </c>
      <c r="N3501">
        <v>0</v>
      </c>
      <c r="O3501">
        <v>-0.57870339999999998</v>
      </c>
      <c r="P3501">
        <v>0.84796959999999999</v>
      </c>
      <c r="Q3501">
        <v>-2.181876E-2</v>
      </c>
      <c r="R3501">
        <v>-0.52959560000000006</v>
      </c>
      <c r="S3501">
        <v>2.8608090000000002</v>
      </c>
      <c r="T3501">
        <v>-8.7778090000000003E-2</v>
      </c>
      <c r="U3501">
        <v>-1.089966</v>
      </c>
      <c r="V3501">
        <v>-5.8828110000000003E-2</v>
      </c>
      <c r="W3501">
        <v>-7.9341589999999997E-3</v>
      </c>
      <c r="X3501">
        <v>0.99823660000000003</v>
      </c>
      <c r="Y3501">
        <v>-0.25019520000000001</v>
      </c>
      <c r="Z3501">
        <v>1.956188E-2</v>
      </c>
      <c r="AA3501">
        <v>0.96799780000000002</v>
      </c>
      <c r="AB3501">
        <v>15</v>
      </c>
      <c r="AC3501">
        <v>33.530299999999897</v>
      </c>
      <c r="AD3501">
        <v>-1.03410128</v>
      </c>
      <c r="AE3501">
        <v>-12.7333999999999</v>
      </c>
      <c r="AF3501">
        <v>-9.0145836827629306</v>
      </c>
      <c r="AG3501">
        <v>-1.03410128</v>
      </c>
      <c r="AH3501">
        <v>34.684603322081301</v>
      </c>
      <c r="AI3501">
        <v>91.652854423156199</v>
      </c>
      <c r="AJ3501">
        <v>104.568934822386</v>
      </c>
      <c r="AK3501">
        <v>35.851831083516103</v>
      </c>
      <c r="AL3501">
        <v>90.454598592746606</v>
      </c>
      <c r="AM3501">
        <v>93.372655855566194</v>
      </c>
      <c r="AN3501">
        <v>1.0000000034923799</v>
      </c>
    </row>
    <row r="3502" spans="1:40" x14ac:dyDescent="0.25">
      <c r="A3502" t="str">
        <f>"20190312154321646"</f>
        <v>20190312154321646</v>
      </c>
      <c r="B3502" t="str">
        <f>"1552376601640411"</f>
        <v>1552376601640411</v>
      </c>
      <c r="C3502" t="s">
        <v>40</v>
      </c>
      <c r="D3502">
        <v>4.7379749999999996</v>
      </c>
      <c r="E3502">
        <v>0.42725780000000002</v>
      </c>
      <c r="F3502" t="s">
        <v>50</v>
      </c>
      <c r="G3502">
        <v>-445.00409999999999</v>
      </c>
      <c r="H3502">
        <v>8.0001849999999999E-2</v>
      </c>
      <c r="I3502">
        <v>205.7586</v>
      </c>
      <c r="J3502">
        <v>-478.8245</v>
      </c>
      <c r="K3502">
        <v>1.114096</v>
      </c>
      <c r="L3502">
        <v>218.63669999999999</v>
      </c>
      <c r="M3502">
        <v>0.81997919999999902</v>
      </c>
      <c r="N3502">
        <v>0</v>
      </c>
      <c r="O3502">
        <v>-0.57221239999999995</v>
      </c>
      <c r="P3502">
        <v>0.85098580000000001</v>
      </c>
      <c r="Q3502">
        <v>-2.1158179999999999E-2</v>
      </c>
      <c r="R3502">
        <v>-0.52476199999999995</v>
      </c>
      <c r="S3502">
        <v>2.8553160000000002</v>
      </c>
      <c r="T3502">
        <v>-8.7013839999999995E-2</v>
      </c>
      <c r="U3502">
        <v>-1.0894010000000001</v>
      </c>
      <c r="V3502">
        <v>-5.659869E-2</v>
      </c>
      <c r="W3502">
        <v>-7.2538259999999997E-3</v>
      </c>
      <c r="X3502">
        <v>0.9983706</v>
      </c>
      <c r="Y3502">
        <v>-0.24205779999999999</v>
      </c>
      <c r="Z3502">
        <v>1.9157710000000001E-2</v>
      </c>
      <c r="AA3502">
        <v>0.97007270000000001</v>
      </c>
      <c r="AB3502">
        <v>15</v>
      </c>
      <c r="AC3502">
        <v>33.820399999999999</v>
      </c>
      <c r="AD3502">
        <v>-1.03409415</v>
      </c>
      <c r="AE3502">
        <v>-12.8780999999999</v>
      </c>
      <c r="AF3502">
        <v>-8.7864144866334897</v>
      </c>
      <c r="AG3502">
        <v>-1.03409415</v>
      </c>
      <c r="AH3502">
        <v>35.076028158352599</v>
      </c>
      <c r="AI3502">
        <v>91.638093639854802</v>
      </c>
      <c r="AJ3502">
        <v>104.06300232899</v>
      </c>
      <c r="AK3502">
        <v>36.1745515743807</v>
      </c>
      <c r="AL3502">
        <v>90.415617283972907</v>
      </c>
      <c r="AM3502">
        <v>93.2446855803544</v>
      </c>
      <c r="AN3502">
        <v>0.99999994232285505</v>
      </c>
    </row>
    <row r="3503" spans="1:40" x14ac:dyDescent="0.25">
      <c r="A3503" t="str">
        <f>"20190312154321669"</f>
        <v>20190312154321669</v>
      </c>
      <c r="B3503" t="str">
        <f>"1552376601660907"</f>
        <v>1552376601660907</v>
      </c>
      <c r="C3503" t="s">
        <v>40</v>
      </c>
      <c r="D3503">
        <v>4.7734959999999997</v>
      </c>
      <c r="E3503">
        <v>0.428176</v>
      </c>
      <c r="F3503" t="s">
        <v>50</v>
      </c>
      <c r="G3503">
        <v>-442.0736</v>
      </c>
      <c r="H3503">
        <v>8.0001279999999994E-2</v>
      </c>
      <c r="I3503">
        <v>204.7458</v>
      </c>
      <c r="J3503">
        <v>-478.70030000000003</v>
      </c>
      <c r="K3503">
        <v>1.1140840000000001</v>
      </c>
      <c r="L3503">
        <v>218.5626</v>
      </c>
      <c r="M3503">
        <v>0.82493340000000004</v>
      </c>
      <c r="N3503">
        <v>0</v>
      </c>
      <c r="O3503">
        <v>-0.56504699999999997</v>
      </c>
      <c r="P3503">
        <v>0.85452289999999997</v>
      </c>
      <c r="Q3503">
        <v>-2.117026E-2</v>
      </c>
      <c r="R3503">
        <v>-0.51898230000000001</v>
      </c>
      <c r="S3503">
        <v>2.8573</v>
      </c>
      <c r="T3503">
        <v>-8.0398559999999994E-2</v>
      </c>
      <c r="U3503">
        <v>-1.079987</v>
      </c>
      <c r="V3503">
        <v>-5.4668639999999998E-2</v>
      </c>
      <c r="W3503">
        <v>-7.2496819999999899E-3</v>
      </c>
      <c r="X3503">
        <v>0.99847819999999998</v>
      </c>
      <c r="Y3503">
        <v>-0.23666519999999999</v>
      </c>
      <c r="Z3503">
        <v>1.7476769999999999E-2</v>
      </c>
      <c r="AA3503">
        <v>0.97143409999999997</v>
      </c>
      <c r="AB3503">
        <v>14</v>
      </c>
      <c r="AC3503">
        <v>36.6267</v>
      </c>
      <c r="AD3503">
        <v>-1.03408272</v>
      </c>
      <c r="AE3503">
        <v>-13.816800000000001</v>
      </c>
      <c r="AF3503">
        <v>-9.2923443501880598</v>
      </c>
      <c r="AG3503">
        <v>-1.03408272</v>
      </c>
      <c r="AH3503">
        <v>37.999145173579599</v>
      </c>
      <c r="AI3503">
        <v>91.514226881031703</v>
      </c>
      <c r="AJ3503">
        <v>103.74148192791201</v>
      </c>
      <c r="AK3503">
        <v>39.132493205992503</v>
      </c>
      <c r="AL3503">
        <v>90.415379833762501</v>
      </c>
      <c r="AM3503">
        <v>93.133927210251201</v>
      </c>
      <c r="AN3503">
        <v>0.99999996698189397</v>
      </c>
    </row>
    <row r="3504" spans="1:40" x14ac:dyDescent="0.25">
      <c r="A3504" t="str">
        <f>"20190312154321693"</f>
        <v>20190312154321693</v>
      </c>
      <c r="B3504" t="str">
        <f>"1552376601680427"</f>
        <v>1552376601680427</v>
      </c>
      <c r="C3504" t="s">
        <v>40</v>
      </c>
      <c r="D3504">
        <v>4.7846609999999998</v>
      </c>
      <c r="E3504">
        <v>0.4295408</v>
      </c>
      <c r="F3504" t="s">
        <v>50</v>
      </c>
      <c r="G3504">
        <v>-442.3134</v>
      </c>
      <c r="H3504">
        <v>8.0001199999999995E-2</v>
      </c>
      <c r="I3504">
        <v>204.9932</v>
      </c>
      <c r="J3504">
        <v>-478.5718</v>
      </c>
      <c r="K3504">
        <v>1.11408</v>
      </c>
      <c r="L3504">
        <v>218.48769999999999</v>
      </c>
      <c r="M3504">
        <v>0.82998539999999998</v>
      </c>
      <c r="N3504">
        <v>0</v>
      </c>
      <c r="O3504">
        <v>-0.55759969999999903</v>
      </c>
      <c r="P3504">
        <v>0.85844480000000001</v>
      </c>
      <c r="Q3504">
        <v>-2.072355E-2</v>
      </c>
      <c r="R3504">
        <v>-0.51248729999999998</v>
      </c>
      <c r="S3504">
        <v>2.8607480000000001</v>
      </c>
      <c r="T3504">
        <v>-8.1300020000000001E-2</v>
      </c>
      <c r="U3504">
        <v>-1.0668329999999999</v>
      </c>
      <c r="V3504">
        <v>-5.3264220000000001E-2</v>
      </c>
      <c r="W3504">
        <v>-6.7917759999999898E-3</v>
      </c>
      <c r="X3504">
        <v>0.99855729999999998</v>
      </c>
      <c r="Y3504">
        <v>-0.23221900000000001</v>
      </c>
      <c r="Z3504">
        <v>1.744735E-2</v>
      </c>
      <c r="AA3504">
        <v>0.97250709999999996</v>
      </c>
      <c r="AB3504">
        <v>14</v>
      </c>
      <c r="AC3504">
        <v>36.258400000000002</v>
      </c>
      <c r="AD3504">
        <v>-1.0340788000000001</v>
      </c>
      <c r="AE3504">
        <v>-13.494499999999899</v>
      </c>
      <c r="AF3504">
        <v>-9.0119293078897105</v>
      </c>
      <c r="AG3504">
        <v>-1.0340788000000001</v>
      </c>
      <c r="AH3504">
        <v>37.595503489987301</v>
      </c>
      <c r="AI3504">
        <v>91.532162752832406</v>
      </c>
      <c r="AJ3504">
        <v>103.479893388425</v>
      </c>
      <c r="AK3504">
        <v>38.6743593544955</v>
      </c>
      <c r="AL3504">
        <v>90.389143114021905</v>
      </c>
      <c r="AM3504">
        <v>93.053330552560197</v>
      </c>
      <c r="AN3504">
        <v>0.99999994336836395</v>
      </c>
    </row>
    <row r="3505" spans="1:40" x14ac:dyDescent="0.25">
      <c r="A3505" t="str">
        <f>"20190312154321714"</f>
        <v>20190312154321714</v>
      </c>
      <c r="B3505" t="str">
        <f>"1552376601710683"</f>
        <v>1552376601710683</v>
      </c>
      <c r="C3505" t="s">
        <v>40</v>
      </c>
      <c r="D3505">
        <v>4.8254510000000002</v>
      </c>
      <c r="E3505">
        <v>0.4306256</v>
      </c>
      <c r="F3505" t="s">
        <v>50</v>
      </c>
      <c r="G3505">
        <v>-444.5985</v>
      </c>
      <c r="H3505">
        <v>8.0000489999999994E-2</v>
      </c>
      <c r="I3505">
        <v>205.97919999999999</v>
      </c>
      <c r="J3505">
        <v>-478.45569999999998</v>
      </c>
      <c r="K3505">
        <v>1.114074</v>
      </c>
      <c r="L3505">
        <v>218.42140000000001</v>
      </c>
      <c r="M3505">
        <v>0.83448809999999995</v>
      </c>
      <c r="N3505">
        <v>0</v>
      </c>
      <c r="O3505">
        <v>-0.55083839999999995</v>
      </c>
      <c r="P3505">
        <v>0.86201849999999902</v>
      </c>
      <c r="Q3505">
        <v>-2.029717E-2</v>
      </c>
      <c r="R3505">
        <v>-0.50647070000000005</v>
      </c>
      <c r="S3505">
        <v>2.863251</v>
      </c>
      <c r="T3505">
        <v>-8.7151770000000003E-2</v>
      </c>
      <c r="U3505">
        <v>-1.054214</v>
      </c>
      <c r="V3505">
        <v>-5.2144429999999999E-2</v>
      </c>
      <c r="W3505">
        <v>-6.3565649999999998E-3</v>
      </c>
      <c r="X3505">
        <v>0.99861929999999999</v>
      </c>
      <c r="Y3505">
        <v>-0.2283287</v>
      </c>
      <c r="Z3505">
        <v>1.8488810000000001E-2</v>
      </c>
      <c r="AA3505">
        <v>0.97340850000000001</v>
      </c>
      <c r="AB3505">
        <v>14</v>
      </c>
      <c r="AC3505">
        <v>33.857199999999899</v>
      </c>
      <c r="AD3505">
        <v>-1.03407351</v>
      </c>
      <c r="AE3505">
        <v>-12.4422</v>
      </c>
      <c r="AF3505">
        <v>-8.2610431949139205</v>
      </c>
      <c r="AG3505">
        <v>-1.03407351</v>
      </c>
      <c r="AH3505">
        <v>35.081868756815197</v>
      </c>
      <c r="AI3505">
        <v>91.643437883700997</v>
      </c>
      <c r="AJ3505">
        <v>103.25055650711499</v>
      </c>
      <c r="AK3505">
        <v>36.056229117348401</v>
      </c>
      <c r="AL3505">
        <v>90.364206807821304</v>
      </c>
      <c r="AM3505">
        <v>92.989071862747494</v>
      </c>
      <c r="AN3505">
        <v>0.99999997691555598</v>
      </c>
    </row>
    <row r="3506" spans="1:40" x14ac:dyDescent="0.25">
      <c r="A3506" t="str">
        <f>"20190312154321737"</f>
        <v>20190312154321737</v>
      </c>
      <c r="B3506" t="str">
        <f>"1552376601731180"</f>
        <v>1552376601731180</v>
      </c>
      <c r="C3506" t="s">
        <v>40</v>
      </c>
      <c r="D3506">
        <v>4.8595249999999997</v>
      </c>
      <c r="E3506">
        <v>0.44585950000000002</v>
      </c>
      <c r="F3506" t="s">
        <v>50</v>
      </c>
      <c r="G3506">
        <v>-445.83300000000003</v>
      </c>
      <c r="H3506">
        <v>8.0001559999999999E-2</v>
      </c>
      <c r="I3506">
        <v>206.56880000000001</v>
      </c>
      <c r="J3506">
        <v>-478.3338</v>
      </c>
      <c r="K3506">
        <v>1.114066</v>
      </c>
      <c r="L3506">
        <v>218.35310000000001</v>
      </c>
      <c r="M3506">
        <v>0.83914699999999998</v>
      </c>
      <c r="N3506">
        <v>0</v>
      </c>
      <c r="O3506">
        <v>-0.5437147</v>
      </c>
      <c r="P3506">
        <v>0.86492469999999999</v>
      </c>
      <c r="Q3506">
        <v>-2.088251E-2</v>
      </c>
      <c r="R3506">
        <v>-0.50146749999999995</v>
      </c>
      <c r="S3506">
        <v>2.8662109999999998</v>
      </c>
      <c r="T3506">
        <v>-9.085298E-2</v>
      </c>
      <c r="U3506">
        <v>-1.0413669999999999</v>
      </c>
      <c r="V3506">
        <v>-4.9418410000000003E-2</v>
      </c>
      <c r="W3506">
        <v>-6.9195419999999999E-3</v>
      </c>
      <c r="X3506">
        <v>0.99875420000000004</v>
      </c>
      <c r="Y3506">
        <v>-0.22419339999999999</v>
      </c>
      <c r="Z3506">
        <v>1.9034039999999999E-2</v>
      </c>
      <c r="AA3506">
        <v>0.97435879999999997</v>
      </c>
      <c r="AB3506">
        <v>14</v>
      </c>
      <c r="AC3506">
        <v>32.500799999999899</v>
      </c>
      <c r="AD3506">
        <v>-1.0340644400000001</v>
      </c>
      <c r="AE3506">
        <v>-11.7843</v>
      </c>
      <c r="AF3506">
        <v>-7.7762497122952503</v>
      </c>
      <c r="AG3506">
        <v>-1.0340644400000001</v>
      </c>
      <c r="AH3506">
        <v>33.653617273430299</v>
      </c>
      <c r="AI3506">
        <v>91.714801126134006</v>
      </c>
      <c r="AJ3506">
        <v>103.01082910313001</v>
      </c>
      <c r="AK3506">
        <v>34.555828805580298</v>
      </c>
      <c r="AL3506">
        <v>90.3964637143457</v>
      </c>
      <c r="AM3506">
        <v>92.832687937737802</v>
      </c>
      <c r="AN3506">
        <v>1.0000000056630201</v>
      </c>
    </row>
    <row r="3507" spans="1:40" x14ac:dyDescent="0.25">
      <c r="A3507" t="str">
        <f>"20190312154321760"</f>
        <v>20190312154321760</v>
      </c>
      <c r="B3507" t="str">
        <f>"1552376601750699"</f>
        <v>1552376601750699</v>
      </c>
      <c r="C3507" t="s">
        <v>40</v>
      </c>
      <c r="D3507">
        <v>4.8176290000000002</v>
      </c>
      <c r="E3507">
        <v>0.44686290000000001</v>
      </c>
      <c r="F3507" t="s">
        <v>50</v>
      </c>
      <c r="G3507">
        <v>-456.5394</v>
      </c>
      <c r="H3507">
        <v>6.1825999999999999E-2</v>
      </c>
      <c r="I3507">
        <v>209.6045</v>
      </c>
      <c r="J3507">
        <v>-478.2072</v>
      </c>
      <c r="K3507">
        <v>1.1140509999999999</v>
      </c>
      <c r="L3507">
        <v>218.28370000000001</v>
      </c>
      <c r="M3507">
        <v>0.84392019999999901</v>
      </c>
      <c r="N3507">
        <v>0</v>
      </c>
      <c r="O3507">
        <v>-0.53627609999999903</v>
      </c>
      <c r="P3507">
        <v>0.86789289999999997</v>
      </c>
      <c r="Q3507">
        <v>-2.1751900000000001E-2</v>
      </c>
      <c r="R3507">
        <v>-0.49627529999999997</v>
      </c>
      <c r="S3507">
        <v>2.8110050000000002</v>
      </c>
      <c r="T3507">
        <v>-0.13571610000000001</v>
      </c>
      <c r="U3507">
        <v>-1.128387</v>
      </c>
      <c r="V3507">
        <v>-4.6557130000000002E-2</v>
      </c>
      <c r="W3507">
        <v>-7.7660840000000004E-3</v>
      </c>
      <c r="X3507">
        <v>0.99888549999999998</v>
      </c>
      <c r="Y3507">
        <v>-0.18267269999999999</v>
      </c>
      <c r="Z3507">
        <v>2.7496779999999998E-2</v>
      </c>
      <c r="AA3507">
        <v>0.98278920000000003</v>
      </c>
      <c r="AB3507">
        <v>14</v>
      </c>
      <c r="AC3507">
        <v>21.6678</v>
      </c>
      <c r="AD3507">
        <v>-1.052225</v>
      </c>
      <c r="AE3507">
        <v>-8.6791999999999998</v>
      </c>
      <c r="AF3507">
        <v>-4.2871027756667699</v>
      </c>
      <c r="AG3507">
        <v>-1.052225</v>
      </c>
      <c r="AH3507">
        <v>22.8961830024958</v>
      </c>
      <c r="AI3507">
        <v>92.586368772261395</v>
      </c>
      <c r="AJ3507">
        <v>100.605315536305</v>
      </c>
      <c r="AK3507">
        <v>23.317839173978602</v>
      </c>
      <c r="AL3507">
        <v>90.444968282630995</v>
      </c>
      <c r="AM3507">
        <v>92.668572042132595</v>
      </c>
      <c r="AN3507">
        <v>1.00000006026238</v>
      </c>
    </row>
    <row r="3508" spans="1:40" x14ac:dyDescent="0.25">
      <c r="A3508" t="str">
        <f>"20190312154321782"</f>
        <v>20190312154321782</v>
      </c>
      <c r="B3508" t="str">
        <f>"1552376601771197"</f>
        <v>1552376601771197</v>
      </c>
      <c r="C3508" t="s">
        <v>40</v>
      </c>
      <c r="D3508">
        <v>4.8570489999999999</v>
      </c>
      <c r="E3508">
        <v>0.44785180000000002</v>
      </c>
      <c r="F3508" t="s">
        <v>50</v>
      </c>
      <c r="G3508">
        <v>-454.37720000000002</v>
      </c>
      <c r="H3508">
        <v>8.0000429999999997E-2</v>
      </c>
      <c r="I3508">
        <v>208.8073</v>
      </c>
      <c r="J3508">
        <v>-478.08069999999998</v>
      </c>
      <c r="K3508">
        <v>1.1140410000000001</v>
      </c>
      <c r="L3508">
        <v>218.2158</v>
      </c>
      <c r="M3508">
        <v>0.84861369999999903</v>
      </c>
      <c r="N3508">
        <v>0</v>
      </c>
      <c r="O3508">
        <v>-0.52881789999999995</v>
      </c>
      <c r="P3508">
        <v>0.87089219999999901</v>
      </c>
      <c r="Q3508">
        <v>-2.115332E-2</v>
      </c>
      <c r="R3508">
        <v>-0.49101919999999999</v>
      </c>
      <c r="S3508">
        <v>2.813812</v>
      </c>
      <c r="T3508">
        <v>-0.1220995</v>
      </c>
      <c r="U3508">
        <v>-1.1189579999999999</v>
      </c>
      <c r="V3508">
        <v>-4.3806020000000001E-2</v>
      </c>
      <c r="W3508">
        <v>-7.1455059999999898E-3</v>
      </c>
      <c r="X3508">
        <v>0.99901450000000003</v>
      </c>
      <c r="Y3508">
        <v>-0.17731620000000001</v>
      </c>
      <c r="Z3508">
        <v>2.4371150000000001E-2</v>
      </c>
      <c r="AA3508">
        <v>0.98385210000000001</v>
      </c>
      <c r="AB3508">
        <v>14</v>
      </c>
      <c r="AC3508">
        <v>23.703499999999899</v>
      </c>
      <c r="AD3508">
        <v>-1.0340405699999999</v>
      </c>
      <c r="AE3508">
        <v>-9.4085000000000001</v>
      </c>
      <c r="AF3508">
        <v>-4.5436529147133404</v>
      </c>
      <c r="AG3508">
        <v>-1.0340405699999999</v>
      </c>
      <c r="AH3508">
        <v>25.051901823090802</v>
      </c>
      <c r="AI3508">
        <v>92.325695363373001</v>
      </c>
      <c r="AJ3508">
        <v>100.279964016935</v>
      </c>
      <c r="AK3508">
        <v>25.481597411927901</v>
      </c>
      <c r="AL3508">
        <v>90.409410820946803</v>
      </c>
      <c r="AM3508">
        <v>92.5107676368483</v>
      </c>
      <c r="AN3508">
        <v>0.99999999842724296</v>
      </c>
    </row>
    <row r="3509" spans="1:40" x14ac:dyDescent="0.25">
      <c r="A3509" t="str">
        <f>"20190312154321806"</f>
        <v>20190312154321806</v>
      </c>
      <c r="B3509" t="str">
        <f>"1552376601790715"</f>
        <v>1552376601790715</v>
      </c>
      <c r="C3509" t="s">
        <v>40</v>
      </c>
      <c r="D3509">
        <v>4.8095429999999997</v>
      </c>
      <c r="E3509">
        <v>0.4491484</v>
      </c>
      <c r="F3509" t="s">
        <v>50</v>
      </c>
      <c r="G3509">
        <v>-455.51749999999998</v>
      </c>
      <c r="H3509">
        <v>8.0001539999999996E-2</v>
      </c>
      <c r="I3509">
        <v>209.33670000000001</v>
      </c>
      <c r="J3509">
        <v>-477.95909999999998</v>
      </c>
      <c r="K3509">
        <v>1.1140319999999999</v>
      </c>
      <c r="L3509">
        <v>218.15180000000001</v>
      </c>
      <c r="M3509">
        <v>0.85306360000000003</v>
      </c>
      <c r="N3509">
        <v>0</v>
      </c>
      <c r="O3509">
        <v>-0.52160890000000004</v>
      </c>
      <c r="P3509">
        <v>0.87407000000000001</v>
      </c>
      <c r="Q3509">
        <v>-1.9889819999999999E-2</v>
      </c>
      <c r="R3509">
        <v>-0.48539270000000001</v>
      </c>
      <c r="S3509">
        <v>2.816681</v>
      </c>
      <c r="T3509">
        <v>-0.12908430000000001</v>
      </c>
      <c r="U3509">
        <v>-1.108414</v>
      </c>
      <c r="V3509">
        <v>-4.1810300000000002E-2</v>
      </c>
      <c r="W3509">
        <v>-5.8664529999999998E-3</v>
      </c>
      <c r="X3509">
        <v>0.99910829999999995</v>
      </c>
      <c r="Y3509">
        <v>-0.17245379999999999</v>
      </c>
      <c r="Z3509">
        <v>2.5393349999999999E-2</v>
      </c>
      <c r="AA3509">
        <v>0.98469019999999996</v>
      </c>
      <c r="AB3509">
        <v>14</v>
      </c>
      <c r="AC3509">
        <v>22.441599999999902</v>
      </c>
      <c r="AD3509">
        <v>-1.0340304600000001</v>
      </c>
      <c r="AE3509">
        <v>-8.8150999999999993</v>
      </c>
      <c r="AF3509">
        <v>-4.1786443152813</v>
      </c>
      <c r="AG3509">
        <v>-1.0340304600000001</v>
      </c>
      <c r="AH3509">
        <v>23.7010079437329</v>
      </c>
      <c r="AI3509">
        <v>92.460226509973793</v>
      </c>
      <c r="AJ3509">
        <v>99.998867919925999</v>
      </c>
      <c r="AK3509">
        <v>24.0887539083019</v>
      </c>
      <c r="AL3509">
        <v>90.336124940461602</v>
      </c>
      <c r="AM3509">
        <v>92.396293589792606</v>
      </c>
      <c r="AN3509">
        <v>0.99999995579288903</v>
      </c>
    </row>
    <row r="3510" spans="1:40" x14ac:dyDescent="0.25">
      <c r="A3510" t="str">
        <f>"20190312154321826"</f>
        <v>20190312154321826</v>
      </c>
      <c r="B3510" t="str">
        <f>"1552376601820971"</f>
        <v>1552376601820971</v>
      </c>
      <c r="C3510" t="s">
        <v>40</v>
      </c>
      <c r="D3510">
        <v>4.7868620000000002</v>
      </c>
      <c r="E3510">
        <v>0.45075310000000002</v>
      </c>
      <c r="F3510" t="s">
        <v>50</v>
      </c>
      <c r="G3510">
        <v>-455.04309999999998</v>
      </c>
      <c r="H3510">
        <v>8.0001680000000006E-2</v>
      </c>
      <c r="I3510">
        <v>209.21459999999999</v>
      </c>
      <c r="J3510">
        <v>-477.83960000000002</v>
      </c>
      <c r="K3510">
        <v>1.114026</v>
      </c>
      <c r="L3510">
        <v>218.09030000000001</v>
      </c>
      <c r="M3510">
        <v>0.85737140000000001</v>
      </c>
      <c r="N3510">
        <v>0</v>
      </c>
      <c r="O3510">
        <v>-0.51449789999999995</v>
      </c>
      <c r="P3510">
        <v>0.87745019999999996</v>
      </c>
      <c r="Q3510">
        <v>-1.9841569999999999E-2</v>
      </c>
      <c r="R3510">
        <v>-0.4792574</v>
      </c>
      <c r="S3510">
        <v>2.8188170000000001</v>
      </c>
      <c r="T3510">
        <v>-0.12719249999999999</v>
      </c>
      <c r="U3510">
        <v>-1.099335</v>
      </c>
      <c r="V3510">
        <v>-4.0503480000000001E-2</v>
      </c>
      <c r="W3510">
        <v>-5.8087479999999999E-3</v>
      </c>
      <c r="X3510">
        <v>0.99916249999999995</v>
      </c>
      <c r="Y3510">
        <v>-0.16729069999999999</v>
      </c>
      <c r="Z3510">
        <v>2.4654410000000002E-2</v>
      </c>
      <c r="AA3510">
        <v>0.98559929999999996</v>
      </c>
      <c r="AB3510">
        <v>14</v>
      </c>
      <c r="AC3510">
        <v>22.796500000000002</v>
      </c>
      <c r="AD3510">
        <v>-1.0340243200000001</v>
      </c>
      <c r="AE3510">
        <v>-8.8757000000000197</v>
      </c>
      <c r="AF3510">
        <v>-4.1120581553323801</v>
      </c>
      <c r="AG3510">
        <v>-1.0340243200000001</v>
      </c>
      <c r="AH3510">
        <v>24.071076938757201</v>
      </c>
      <c r="AI3510">
        <v>92.424667758105699</v>
      </c>
      <c r="AJ3510">
        <v>99.694249653102602</v>
      </c>
      <c r="AK3510">
        <v>24.441664705145602</v>
      </c>
      <c r="AL3510">
        <v>90.332818620494095</v>
      </c>
      <c r="AM3510">
        <v>92.321352666986002</v>
      </c>
      <c r="AN3510">
        <v>0.99999998742584295</v>
      </c>
    </row>
    <row r="3511" spans="1:40" x14ac:dyDescent="0.25">
      <c r="A3511" t="str">
        <f>"20190312154321849"</f>
        <v>20190312154321849</v>
      </c>
      <c r="B3511" t="str">
        <f>"1552376601840492"</f>
        <v>1552376601840492</v>
      </c>
      <c r="C3511" t="s">
        <v>40</v>
      </c>
      <c r="D3511">
        <v>4.7479199999999997</v>
      </c>
      <c r="E3511">
        <v>0.45175989999999999</v>
      </c>
      <c r="F3511" t="s">
        <v>50</v>
      </c>
      <c r="G3511">
        <v>-455.41559999999998</v>
      </c>
      <c r="H3511">
        <v>8.0001559999999999E-2</v>
      </c>
      <c r="I3511">
        <v>209.4196</v>
      </c>
      <c r="J3511">
        <v>-477.72199999999998</v>
      </c>
      <c r="K3511">
        <v>1.114017</v>
      </c>
      <c r="L3511">
        <v>218.03100000000001</v>
      </c>
      <c r="M3511">
        <v>0.86154619999999904</v>
      </c>
      <c r="N3511">
        <v>0</v>
      </c>
      <c r="O3511">
        <v>-0.50747589999999998</v>
      </c>
      <c r="P3511">
        <v>0.88062229999999997</v>
      </c>
      <c r="Q3511">
        <v>-1.9883330000000001E-2</v>
      </c>
      <c r="R3511">
        <v>-0.47340159999999998</v>
      </c>
      <c r="S3511">
        <v>2.8204349999999998</v>
      </c>
      <c r="T3511">
        <v>-0.1300569</v>
      </c>
      <c r="U3511">
        <v>-1.090576</v>
      </c>
      <c r="V3511">
        <v>-3.899598E-2</v>
      </c>
      <c r="W3511">
        <v>-5.8395039999999997E-3</v>
      </c>
      <c r="X3511">
        <v>0.99922230000000001</v>
      </c>
      <c r="Y3511">
        <v>-0.1620693</v>
      </c>
      <c r="Z3511">
        <v>2.4837459999999999E-2</v>
      </c>
      <c r="AA3511">
        <v>0.98646679999999998</v>
      </c>
      <c r="AB3511">
        <v>14</v>
      </c>
      <c r="AC3511">
        <v>22.3064</v>
      </c>
      <c r="AD3511">
        <v>-1.0340154399999999</v>
      </c>
      <c r="AE3511">
        <v>-8.6113999999999695</v>
      </c>
      <c r="AF3511">
        <v>-3.8939619656066</v>
      </c>
      <c r="AG3511">
        <v>-1.0340154399999999</v>
      </c>
      <c r="AH3511">
        <v>23.5464723211599</v>
      </c>
      <c r="AI3511">
        <v>92.480809507930502</v>
      </c>
      <c r="AJ3511">
        <v>99.390215285024794</v>
      </c>
      <c r="AK3511">
        <v>23.888668579284602</v>
      </c>
      <c r="AL3511">
        <v>90.334580836683898</v>
      </c>
      <c r="AM3511">
        <v>92.234909874046906</v>
      </c>
      <c r="AN3511">
        <v>0.99999999554020802</v>
      </c>
    </row>
    <row r="3512" spans="1:40" x14ac:dyDescent="0.25">
      <c r="A3512" t="str">
        <f>"20190312154321870"</f>
        <v>20190312154321870</v>
      </c>
      <c r="B3512" t="str">
        <f>"1552376601860988"</f>
        <v>1552376601860988</v>
      </c>
      <c r="C3512" t="s">
        <v>40</v>
      </c>
      <c r="D3512">
        <v>4.6982480000000004</v>
      </c>
      <c r="E3512">
        <v>0.45280409999999999</v>
      </c>
      <c r="F3512" t="s">
        <v>50</v>
      </c>
      <c r="G3512">
        <v>-455.61610000000002</v>
      </c>
      <c r="H3512">
        <v>7.6145329999999997E-2</v>
      </c>
      <c r="I3512">
        <v>209.59020000000001</v>
      </c>
      <c r="J3512">
        <v>-477.59910000000002</v>
      </c>
      <c r="K3512">
        <v>1.1140060000000001</v>
      </c>
      <c r="L3512">
        <v>217.97049999999999</v>
      </c>
      <c r="M3512">
        <v>0.86583899999999903</v>
      </c>
      <c r="N3512">
        <v>0</v>
      </c>
      <c r="O3512">
        <v>-0.50011689999999998</v>
      </c>
      <c r="P3512">
        <v>0.88455149999999905</v>
      </c>
      <c r="Q3512">
        <v>-1.91395E-2</v>
      </c>
      <c r="R3512">
        <v>-0.46605020000000003</v>
      </c>
      <c r="S3512">
        <v>2.8240050000000001</v>
      </c>
      <c r="T3512">
        <v>-0.1325867</v>
      </c>
      <c r="U3512">
        <v>-1.078308</v>
      </c>
      <c r="V3512">
        <v>-3.8819359999999997E-2</v>
      </c>
      <c r="W3512">
        <v>-5.0963750000000002E-3</v>
      </c>
      <c r="X3512">
        <v>0.99923320000000004</v>
      </c>
      <c r="Y3512">
        <v>-0.157802</v>
      </c>
      <c r="Z3512">
        <v>2.493919E-2</v>
      </c>
      <c r="AA3512">
        <v>0.98715580000000003</v>
      </c>
      <c r="AB3512">
        <v>14</v>
      </c>
      <c r="AC3512">
        <v>21.983000000000001</v>
      </c>
      <c r="AD3512">
        <v>-1.0378606699999999</v>
      </c>
      <c r="AE3512">
        <v>-8.3802999999999699</v>
      </c>
      <c r="AF3512">
        <v>-3.7312027035265598</v>
      </c>
      <c r="AG3512">
        <v>-1.0378606699999999</v>
      </c>
      <c r="AH3512">
        <v>23.182144131813502</v>
      </c>
      <c r="AI3512">
        <v>92.530881629739298</v>
      </c>
      <c r="AJ3512">
        <v>99.1434295676045</v>
      </c>
      <c r="AK3512">
        <v>23.503421770740299</v>
      </c>
      <c r="AL3512">
        <v>90.292002056410794</v>
      </c>
      <c r="AM3512">
        <v>92.224773504495502</v>
      </c>
      <c r="AN3512">
        <v>0.99999995186559398</v>
      </c>
    </row>
    <row r="3513" spans="1:40" x14ac:dyDescent="0.25">
      <c r="A3513" t="str">
        <f>"20190312154321894"</f>
        <v>20190312154321894</v>
      </c>
      <c r="B3513" t="str">
        <f>"1552376601880507"</f>
        <v>1552376601880507</v>
      </c>
      <c r="C3513" t="s">
        <v>40</v>
      </c>
      <c r="D3513">
        <v>4.671011</v>
      </c>
      <c r="E3513">
        <v>0.4532119</v>
      </c>
      <c r="F3513" t="s">
        <v>50</v>
      </c>
      <c r="G3513">
        <v>-455.27280000000002</v>
      </c>
      <c r="H3513">
        <v>7.9120159999999995E-2</v>
      </c>
      <c r="I3513">
        <v>209.5872</v>
      </c>
      <c r="J3513">
        <v>-477.46969999999999</v>
      </c>
      <c r="K3513">
        <v>1.113991</v>
      </c>
      <c r="L3513">
        <v>217.90819999999999</v>
      </c>
      <c r="M3513">
        <v>0.87027929999999998</v>
      </c>
      <c r="N3513">
        <v>0</v>
      </c>
      <c r="O3513">
        <v>-0.4923496</v>
      </c>
      <c r="P3513">
        <v>0.88837819999999901</v>
      </c>
      <c r="Q3513">
        <v>-1.84502E-2</v>
      </c>
      <c r="R3513">
        <v>-0.45874130000000002</v>
      </c>
      <c r="S3513">
        <v>2.8290709999999999</v>
      </c>
      <c r="T3513">
        <v>-0.13113549999999999</v>
      </c>
      <c r="U3513">
        <v>-1.0622860000000001</v>
      </c>
      <c r="V3513">
        <v>-3.8129549999999998E-2</v>
      </c>
      <c r="W3513">
        <v>-4.4042120000000002E-3</v>
      </c>
      <c r="X3513">
        <v>0.99926309999999996</v>
      </c>
      <c r="Y3513">
        <v>-0.15446679999999999</v>
      </c>
      <c r="Z3513">
        <v>2.4288480000000001E-2</v>
      </c>
      <c r="AA3513">
        <v>0.98769940000000001</v>
      </c>
      <c r="AB3513">
        <v>14</v>
      </c>
      <c r="AC3513">
        <v>22.1968999999999</v>
      </c>
      <c r="AD3513">
        <v>-1.03487084</v>
      </c>
      <c r="AE3513">
        <v>-8.3209999999999908</v>
      </c>
      <c r="AF3513">
        <v>-3.6804060754486199</v>
      </c>
      <c r="AG3513">
        <v>-1.03487084</v>
      </c>
      <c r="AH3513">
        <v>23.372210294390001</v>
      </c>
      <c r="AI3513">
        <v>92.504456213810997</v>
      </c>
      <c r="AJ3513">
        <v>98.948843395690204</v>
      </c>
      <c r="AK3513">
        <v>23.682832613115998</v>
      </c>
      <c r="AL3513">
        <v>90.252343575134404</v>
      </c>
      <c r="AM3513">
        <v>92.185213203652097</v>
      </c>
      <c r="AN3513">
        <v>1.00000000134407</v>
      </c>
    </row>
    <row r="3514" spans="1:40" x14ac:dyDescent="0.25">
      <c r="A3514" t="str">
        <f>"20190312154321915"</f>
        <v>20190312154321915</v>
      </c>
      <c r="B3514" t="str">
        <f>"1552376601910764"</f>
        <v>1552376601910764</v>
      </c>
      <c r="C3514" t="s">
        <v>40</v>
      </c>
      <c r="D3514">
        <v>4.6074869999999999</v>
      </c>
      <c r="E3514">
        <v>0.46312799999999998</v>
      </c>
      <c r="F3514" t="s">
        <v>50</v>
      </c>
      <c r="G3514">
        <v>-454.52249999999998</v>
      </c>
      <c r="H3514">
        <v>8.0000360000000006E-2</v>
      </c>
      <c r="I3514">
        <v>209.4794</v>
      </c>
      <c r="J3514">
        <v>-477.34780000000001</v>
      </c>
      <c r="K3514">
        <v>1.113977</v>
      </c>
      <c r="L3514">
        <v>217.85079999999999</v>
      </c>
      <c r="M3514">
        <v>0.87438660000000001</v>
      </c>
      <c r="N3514">
        <v>0</v>
      </c>
      <c r="O3514">
        <v>-0.4850178</v>
      </c>
      <c r="P3514">
        <v>0.89152989999999999</v>
      </c>
      <c r="Q3514">
        <v>-1.9468929999999999E-2</v>
      </c>
      <c r="R3514">
        <v>-0.4525438</v>
      </c>
      <c r="S3514">
        <v>2.8363339999999999</v>
      </c>
      <c r="T3514">
        <v>-0.12780359999999999</v>
      </c>
      <c r="U3514">
        <v>-1.041809</v>
      </c>
      <c r="V3514">
        <v>-3.667223E-2</v>
      </c>
      <c r="W3514">
        <v>-5.4141689999999999E-3</v>
      </c>
      <c r="X3514">
        <v>0.99931270000000005</v>
      </c>
      <c r="Y3514">
        <v>-0.15329860000000001</v>
      </c>
      <c r="Z3514">
        <v>2.3356140000000001E-2</v>
      </c>
      <c r="AA3514">
        <v>0.9879038</v>
      </c>
      <c r="AB3514">
        <v>14</v>
      </c>
      <c r="AC3514">
        <v>22.825299999999999</v>
      </c>
      <c r="AD3514">
        <v>-1.0339766399999999</v>
      </c>
      <c r="AE3514">
        <v>-8.3713999999999906</v>
      </c>
      <c r="AF3514">
        <v>-3.7444500587772902</v>
      </c>
      <c r="AG3514">
        <v>-1.0339766399999999</v>
      </c>
      <c r="AH3514">
        <v>23.977517046543401</v>
      </c>
      <c r="AI3514">
        <v>92.439688763751803</v>
      </c>
      <c r="AJ3514">
        <v>98.875907601331505</v>
      </c>
      <c r="AK3514">
        <v>24.2901489837346</v>
      </c>
      <c r="AL3514">
        <v>90.310210542925006</v>
      </c>
      <c r="AM3514">
        <v>92.101666026179203</v>
      </c>
      <c r="AN3514">
        <v>1.0000000190302101</v>
      </c>
    </row>
    <row r="3515" spans="1:40" x14ac:dyDescent="0.25">
      <c r="A3515" t="str">
        <f>"20190312154321937"</f>
        <v>20190312154321937</v>
      </c>
      <c r="B3515" t="str">
        <f>"1552376601931259"</f>
        <v>1552376601931259</v>
      </c>
      <c r="C3515" t="s">
        <v>40</v>
      </c>
      <c r="D3515">
        <v>4.5583879999999999</v>
      </c>
      <c r="E3515">
        <v>0.46461249999999998</v>
      </c>
      <c r="F3515" t="s">
        <v>50</v>
      </c>
      <c r="G3515">
        <v>-450.79739999999998</v>
      </c>
      <c r="H3515">
        <v>8.0001530000000001E-2</v>
      </c>
      <c r="I3515">
        <v>207.5121</v>
      </c>
      <c r="J3515">
        <v>-477.23110000000003</v>
      </c>
      <c r="K3515">
        <v>1.1139559999999999</v>
      </c>
      <c r="L3515">
        <v>217.797</v>
      </c>
      <c r="M3515">
        <v>0.87825030000000004</v>
      </c>
      <c r="N3515">
        <v>0</v>
      </c>
      <c r="O3515">
        <v>-0.47798600000000002</v>
      </c>
      <c r="P3515">
        <v>0.894482</v>
      </c>
      <c r="Q3515">
        <v>-2.049368E-2</v>
      </c>
      <c r="R3515">
        <v>-0.44663409999999898</v>
      </c>
      <c r="S3515">
        <v>2.8076479999999999</v>
      </c>
      <c r="T3515">
        <v>-0.10934049999999999</v>
      </c>
      <c r="U3515">
        <v>-1.0932919999999999</v>
      </c>
      <c r="V3515">
        <v>-3.52477E-2</v>
      </c>
      <c r="W3515">
        <v>-6.430743E-3</v>
      </c>
      <c r="X3515">
        <v>0.99935790000000002</v>
      </c>
      <c r="Y3515">
        <v>-0.12638050000000001</v>
      </c>
      <c r="Z3515">
        <v>1.9362379999999998E-2</v>
      </c>
      <c r="AA3515">
        <v>0.99179289999999998</v>
      </c>
      <c r="AB3515">
        <v>14</v>
      </c>
      <c r="AC3515">
        <v>26.433700000000002</v>
      </c>
      <c r="AD3515">
        <v>-1.0339544699999901</v>
      </c>
      <c r="AE3515">
        <v>-10.284899999999899</v>
      </c>
      <c r="AF3515">
        <v>-3.5978118889130002</v>
      </c>
      <c r="AG3515">
        <v>-1.0339544699999901</v>
      </c>
      <c r="AH3515">
        <v>28.097002399793599</v>
      </c>
      <c r="AI3515">
        <v>92.0904494261774</v>
      </c>
      <c r="AJ3515">
        <v>97.296996304376293</v>
      </c>
      <c r="AK3515">
        <v>28.345279255778099</v>
      </c>
      <c r="AL3515">
        <v>90.368456978679902</v>
      </c>
      <c r="AM3515">
        <v>92.020004681051901</v>
      </c>
      <c r="AN3515">
        <v>0.99999998355161501</v>
      </c>
    </row>
    <row r="3516" spans="1:40" x14ac:dyDescent="0.25">
      <c r="A3516" t="str">
        <f>"20190312154321961"</f>
        <v>20190312154321961</v>
      </c>
      <c r="B3516" t="str">
        <f>"1552376601950780"</f>
        <v>1552376601950780</v>
      </c>
      <c r="C3516" t="s">
        <v>40</v>
      </c>
      <c r="D3516">
        <v>4.5405749999999996</v>
      </c>
      <c r="E3516">
        <v>0.46568559999999998</v>
      </c>
      <c r="F3516" t="s">
        <v>50</v>
      </c>
      <c r="G3516">
        <v>-450.9006</v>
      </c>
      <c r="H3516">
        <v>8.0001500000000003E-2</v>
      </c>
      <c r="I3516">
        <v>207.6268</v>
      </c>
      <c r="J3516">
        <v>-477.09679999999997</v>
      </c>
      <c r="K3516">
        <v>1.1139380000000001</v>
      </c>
      <c r="L3516">
        <v>217.7364</v>
      </c>
      <c r="M3516">
        <v>0.88261769999999995</v>
      </c>
      <c r="N3516">
        <v>0</v>
      </c>
      <c r="O3516">
        <v>-0.46987319999999999</v>
      </c>
      <c r="P3516">
        <v>0.89792919999999998</v>
      </c>
      <c r="Q3516">
        <v>-2.0770489999999999E-2</v>
      </c>
      <c r="R3516">
        <v>-0.43965019999999999</v>
      </c>
      <c r="S3516">
        <v>2.8095089999999998</v>
      </c>
      <c r="T3516">
        <v>-0.1103244</v>
      </c>
      <c r="U3516">
        <v>-1.085175</v>
      </c>
      <c r="V3516">
        <v>-3.3821829999999997E-2</v>
      </c>
      <c r="W3516">
        <v>-6.700208E-3</v>
      </c>
      <c r="X3516">
        <v>0.9994054</v>
      </c>
      <c r="Y3516">
        <v>-0.1199524</v>
      </c>
      <c r="Z3516">
        <v>1.9152240000000001E-2</v>
      </c>
      <c r="AA3516">
        <v>0.99259489999999995</v>
      </c>
      <c r="AB3516">
        <v>14</v>
      </c>
      <c r="AC3516">
        <v>26.196199999999902</v>
      </c>
      <c r="AD3516">
        <v>-1.03393649999999</v>
      </c>
      <c r="AE3516">
        <v>-10.1096</v>
      </c>
      <c r="AF3516">
        <v>-3.3817426430650399</v>
      </c>
      <c r="AG3516">
        <v>-1.03393649999999</v>
      </c>
      <c r="AH3516">
        <v>27.836576916622601</v>
      </c>
      <c r="AI3516">
        <v>92.111653083611799</v>
      </c>
      <c r="AJ3516">
        <v>96.926667682090397</v>
      </c>
      <c r="AK3516">
        <v>28.060296192752599</v>
      </c>
      <c r="AL3516">
        <v>90.383896519854503</v>
      </c>
      <c r="AM3516">
        <v>91.938261321096107</v>
      </c>
      <c r="AN3516">
        <v>0.99999998126047496</v>
      </c>
    </row>
    <row r="3517" spans="1:40" x14ac:dyDescent="0.25">
      <c r="A3517" t="str">
        <f>"20190312154321985"</f>
        <v>20190312154321985</v>
      </c>
      <c r="B3517" t="str">
        <f>"1552376601981036"</f>
        <v>1552376601981036</v>
      </c>
      <c r="C3517" t="s">
        <v>40</v>
      </c>
      <c r="D3517">
        <v>4.4785440000000003</v>
      </c>
      <c r="E3517">
        <v>0.47137519999999999</v>
      </c>
      <c r="F3517" t="s">
        <v>50</v>
      </c>
      <c r="G3517">
        <v>-451.01080000000002</v>
      </c>
      <c r="H3517">
        <v>8.0001459999999996E-2</v>
      </c>
      <c r="I3517">
        <v>207.80959999999999</v>
      </c>
      <c r="J3517">
        <v>-476.9658</v>
      </c>
      <c r="K3517">
        <v>1.113918</v>
      </c>
      <c r="L3517">
        <v>217.6788</v>
      </c>
      <c r="M3517">
        <v>0.88679149999999995</v>
      </c>
      <c r="N3517">
        <v>0</v>
      </c>
      <c r="O3517">
        <v>-0.46194740000000001</v>
      </c>
      <c r="P3517">
        <v>0.90115449999999997</v>
      </c>
      <c r="Q3517">
        <v>-2.0365290000000001E-2</v>
      </c>
      <c r="R3517">
        <v>-0.4330193</v>
      </c>
      <c r="S3517">
        <v>2.814117</v>
      </c>
      <c r="T3517">
        <v>-0.1115394</v>
      </c>
      <c r="U3517">
        <v>-1.070892</v>
      </c>
      <c r="V3517">
        <v>-3.2243529999999999E-2</v>
      </c>
      <c r="W3517">
        <v>-6.2866700000000003E-3</v>
      </c>
      <c r="X3517">
        <v>0.99946029999999997</v>
      </c>
      <c r="Y3517">
        <v>-0.11599619999999999</v>
      </c>
      <c r="Z3517">
        <v>1.901837E-2</v>
      </c>
      <c r="AA3517">
        <v>0.99306760000000005</v>
      </c>
      <c r="AB3517">
        <v>14</v>
      </c>
      <c r="AC3517">
        <v>25.954999999999899</v>
      </c>
      <c r="AD3517">
        <v>-1.0339165400000001</v>
      </c>
      <c r="AE3517">
        <v>-9.8691999999999993</v>
      </c>
      <c r="AF3517">
        <v>-3.2337715148063899</v>
      </c>
      <c r="AG3517">
        <v>-1.0339165400000001</v>
      </c>
      <c r="AH3517">
        <v>27.540376294472701</v>
      </c>
      <c r="AI3517">
        <v>92.135323551587504</v>
      </c>
      <c r="AJ3517">
        <v>96.696964607410195</v>
      </c>
      <c r="AK3517">
        <v>27.748848409669399</v>
      </c>
      <c r="AL3517">
        <v>90.360202020305906</v>
      </c>
      <c r="AM3517">
        <v>91.847774918207705</v>
      </c>
      <c r="AN3517">
        <v>1.00000002936131</v>
      </c>
    </row>
    <row r="3518" spans="1:40" x14ac:dyDescent="0.25">
      <c r="A3518" t="str">
        <f>"20190312154322008"</f>
        <v>20190312154322008</v>
      </c>
      <c r="B3518" t="str">
        <f>"1552376602000555"</f>
        <v>1552376602000555</v>
      </c>
      <c r="C3518" t="s">
        <v>40</v>
      </c>
      <c r="D3518">
        <v>4.4660169999999999</v>
      </c>
      <c r="E3518">
        <v>0.47329710000000003</v>
      </c>
      <c r="F3518" t="s">
        <v>50</v>
      </c>
      <c r="G3518">
        <v>-456.1859</v>
      </c>
      <c r="H3518">
        <v>6.937364E-2</v>
      </c>
      <c r="I3518">
        <v>209.59690000000001</v>
      </c>
      <c r="J3518">
        <v>-476.8417</v>
      </c>
      <c r="K3518">
        <v>1.1139079999999999</v>
      </c>
      <c r="L3518">
        <v>217.62549999999999</v>
      </c>
      <c r="M3518">
        <v>0.89066800000000002</v>
      </c>
      <c r="N3518">
        <v>0</v>
      </c>
      <c r="O3518">
        <v>-0.4544281</v>
      </c>
      <c r="P3518">
        <v>0.90421280000000004</v>
      </c>
      <c r="Q3518">
        <v>-1.9570779999999999E-2</v>
      </c>
      <c r="R3518">
        <v>-0.42663289999999998</v>
      </c>
      <c r="S3518">
        <v>2.8021850000000001</v>
      </c>
      <c r="T3518">
        <v>-0.1408577</v>
      </c>
      <c r="U3518">
        <v>-1.089844</v>
      </c>
      <c r="V3518">
        <v>-3.0873479999999998E-2</v>
      </c>
      <c r="W3518">
        <v>-5.4856499999999999E-3</v>
      </c>
      <c r="X3518">
        <v>0.99950830000000002</v>
      </c>
      <c r="Y3518">
        <v>-0.10013279999999999</v>
      </c>
      <c r="Z3518">
        <v>2.3370950000000001E-2</v>
      </c>
      <c r="AA3518">
        <v>0.99469949999999996</v>
      </c>
      <c r="AB3518">
        <v>14</v>
      </c>
      <c r="AC3518">
        <v>20.655799999999999</v>
      </c>
      <c r="AD3518">
        <v>-1.0445343600000001</v>
      </c>
      <c r="AE3518">
        <v>-8.0285999999999795</v>
      </c>
      <c r="AF3518">
        <v>-2.2310323672476202</v>
      </c>
      <c r="AG3518">
        <v>-1.0445343600000001</v>
      </c>
      <c r="AH3518">
        <v>21.999275718547501</v>
      </c>
      <c r="AI3518">
        <v>92.704533426348604</v>
      </c>
      <c r="AJ3518">
        <v>95.790790326934399</v>
      </c>
      <c r="AK3518">
        <v>22.136772339110301</v>
      </c>
      <c r="AL3518">
        <v>90.314306152626799</v>
      </c>
      <c r="AM3518">
        <v>91.769227772676601</v>
      </c>
      <c r="AN3518">
        <v>1.00000005294606</v>
      </c>
    </row>
    <row r="3519" spans="1:40" x14ac:dyDescent="0.25">
      <c r="A3519" t="str">
        <f>"20190312154322028"</f>
        <v>20190312154322028</v>
      </c>
      <c r="B3519" t="str">
        <f>"1552376602021051"</f>
        <v>1552376602021051</v>
      </c>
      <c r="C3519" t="s">
        <v>40</v>
      </c>
      <c r="D3519">
        <v>4.4624600000000001</v>
      </c>
      <c r="E3519">
        <v>0.47473559999999998</v>
      </c>
      <c r="F3519" t="s">
        <v>50</v>
      </c>
      <c r="G3519">
        <v>-454.1601</v>
      </c>
      <c r="H3519">
        <v>8.0000489999999994E-2</v>
      </c>
      <c r="I3519">
        <v>208.85429999999999</v>
      </c>
      <c r="J3519">
        <v>-476.7208</v>
      </c>
      <c r="K3519">
        <v>1.1139019999999999</v>
      </c>
      <c r="L3519">
        <v>217.57480000000001</v>
      </c>
      <c r="M3519">
        <v>0.89437250000000001</v>
      </c>
      <c r="N3519">
        <v>0</v>
      </c>
      <c r="O3519">
        <v>-0.44709399999999999</v>
      </c>
      <c r="P3519">
        <v>0.9077132</v>
      </c>
      <c r="Q3519">
        <v>-1.8380270000000001E-2</v>
      </c>
      <c r="R3519">
        <v>-0.41918889999999998</v>
      </c>
      <c r="S3519">
        <v>2.8034970000000001</v>
      </c>
      <c r="T3519">
        <v>-0.12779309999999999</v>
      </c>
      <c r="U3519">
        <v>-1.0841369999999999</v>
      </c>
      <c r="V3519">
        <v>-3.0892719999999999E-2</v>
      </c>
      <c r="W3519">
        <v>-4.2997829999999997E-3</v>
      </c>
      <c r="X3519">
        <v>0.9995134</v>
      </c>
      <c r="Y3519">
        <v>-9.3981049999999997E-2</v>
      </c>
      <c r="Z3519">
        <v>2.0790139999999999E-2</v>
      </c>
      <c r="AA3519">
        <v>0.99535689999999999</v>
      </c>
      <c r="AB3519">
        <v>14</v>
      </c>
      <c r="AC3519">
        <v>22.560700000000001</v>
      </c>
      <c r="AD3519">
        <v>-1.03390151</v>
      </c>
      <c r="AE3519">
        <v>-8.7205000000000101</v>
      </c>
      <c r="AF3519">
        <v>-2.2834402384771799</v>
      </c>
      <c r="AG3519">
        <v>-1.03390151</v>
      </c>
      <c r="AH3519">
        <v>24.0351023708394</v>
      </c>
      <c r="AI3519">
        <v>92.452106996840797</v>
      </c>
      <c r="AJ3519">
        <v>95.427061775188506</v>
      </c>
      <c r="AK3519">
        <v>24.165454633252899</v>
      </c>
      <c r="AL3519">
        <v>90.246360192007501</v>
      </c>
      <c r="AM3519">
        <v>91.770320606496398</v>
      </c>
      <c r="AN3519">
        <v>0.99999994253120095</v>
      </c>
    </row>
    <row r="3520" spans="1:40" x14ac:dyDescent="0.25">
      <c r="A3520" t="str">
        <f>"20190312154322049"</f>
        <v>20190312154322049</v>
      </c>
      <c r="B3520" t="str">
        <f>"1552376602040572"</f>
        <v>1552376602040572</v>
      </c>
      <c r="C3520" t="s">
        <v>40</v>
      </c>
      <c r="D3520">
        <v>4.4767780000000004</v>
      </c>
      <c r="E3520">
        <v>0.4758502</v>
      </c>
      <c r="F3520" t="s">
        <v>50</v>
      </c>
      <c r="G3520">
        <v>-452.21780000000001</v>
      </c>
      <c r="H3520">
        <v>8.0001089999999997E-2</v>
      </c>
      <c r="I3520">
        <v>208.22139999999999</v>
      </c>
      <c r="J3520">
        <v>-476.60640000000001</v>
      </c>
      <c r="K3520">
        <v>1.1138870000000001</v>
      </c>
      <c r="L3520">
        <v>217.52799999999999</v>
      </c>
      <c r="M3520">
        <v>0.89781390000000005</v>
      </c>
      <c r="N3520">
        <v>0</v>
      </c>
      <c r="O3520">
        <v>-0.44014229999999999</v>
      </c>
      <c r="P3520">
        <v>0.91109119999999999</v>
      </c>
      <c r="Q3520">
        <v>-1.723272E-2</v>
      </c>
      <c r="R3520">
        <v>-0.41184460000000001</v>
      </c>
      <c r="S3520">
        <v>2.8076780000000001</v>
      </c>
      <c r="T3520">
        <v>-0.1184694</v>
      </c>
      <c r="U3520">
        <v>-1.0717620000000001</v>
      </c>
      <c r="V3520">
        <v>-3.122981E-2</v>
      </c>
      <c r="W3520">
        <v>-3.1594129999999998E-3</v>
      </c>
      <c r="X3520">
        <v>0.99950720000000004</v>
      </c>
      <c r="Y3520">
        <v>-9.0649380000000002E-2</v>
      </c>
      <c r="Z3520">
        <v>1.8951340000000001E-2</v>
      </c>
      <c r="AA3520">
        <v>0.99570250000000005</v>
      </c>
      <c r="AB3520">
        <v>14</v>
      </c>
      <c r="AC3520">
        <v>24.3886</v>
      </c>
      <c r="AD3520">
        <v>-1.03388591</v>
      </c>
      <c r="AE3520">
        <v>-9.3065999999999995</v>
      </c>
      <c r="AF3520">
        <v>-2.3753772841356602</v>
      </c>
      <c r="AG3520">
        <v>-1.03388591</v>
      </c>
      <c r="AH3520">
        <v>25.9546022120694</v>
      </c>
      <c r="AI3520">
        <v>92.271652913072003</v>
      </c>
      <c r="AJ3520">
        <v>95.229169064886506</v>
      </c>
      <c r="AK3520">
        <v>26.083571712931601</v>
      </c>
      <c r="AL3520">
        <v>90.181021338513602</v>
      </c>
      <c r="AM3520">
        <v>91.789636293992004</v>
      </c>
      <c r="AN3520">
        <v>0.99999996288748905</v>
      </c>
    </row>
    <row r="3521" spans="1:40" x14ac:dyDescent="0.25">
      <c r="A3521" t="str">
        <f>"20190312154322072"</f>
        <v>20190312154322072</v>
      </c>
      <c r="B3521" t="str">
        <f>"1552376602061067"</f>
        <v>1552376602061067</v>
      </c>
      <c r="C3521" t="s">
        <v>40</v>
      </c>
      <c r="D3521">
        <v>4.3973129999999996</v>
      </c>
      <c r="E3521">
        <v>0.4768732</v>
      </c>
      <c r="F3521" t="s">
        <v>50</v>
      </c>
      <c r="G3521">
        <v>-452.13069999999999</v>
      </c>
      <c r="H3521">
        <v>8.000111E-2</v>
      </c>
      <c r="I3521">
        <v>208.32910000000001</v>
      </c>
      <c r="J3521">
        <v>-476.4776</v>
      </c>
      <c r="K3521">
        <v>1.1138760000000001</v>
      </c>
      <c r="L3521">
        <v>217.47649999999999</v>
      </c>
      <c r="M3521">
        <v>0.90161619999999998</v>
      </c>
      <c r="N3521">
        <v>0</v>
      </c>
      <c r="O3521">
        <v>-0.43229990000000001</v>
      </c>
      <c r="P3521">
        <v>0.91496529999999998</v>
      </c>
      <c r="Q3521">
        <v>-1.7288709999999999E-2</v>
      </c>
      <c r="R3521">
        <v>-0.40316239999999998</v>
      </c>
      <c r="S3521">
        <v>2.8126530000000001</v>
      </c>
      <c r="T3521">
        <v>-0.11880979999999999</v>
      </c>
      <c r="U3521">
        <v>-1.0570980000000001</v>
      </c>
      <c r="V3521">
        <v>-3.2021429999999997E-2</v>
      </c>
      <c r="W3521">
        <v>-3.2268990000000001E-3</v>
      </c>
      <c r="X3521">
        <v>0.99948199999999998</v>
      </c>
      <c r="Y3521">
        <v>-8.7101590000000007E-2</v>
      </c>
      <c r="Z3521">
        <v>1.8642470000000001E-2</v>
      </c>
      <c r="AA3521">
        <v>0.99602500000000005</v>
      </c>
      <c r="AB3521">
        <v>14</v>
      </c>
      <c r="AC3521">
        <v>24.346900000000002</v>
      </c>
      <c r="AD3521">
        <v>-1.0338748900000001</v>
      </c>
      <c r="AE3521">
        <v>-9.1473999999999691</v>
      </c>
      <c r="AF3521">
        <v>-2.27435807532235</v>
      </c>
      <c r="AG3521">
        <v>-1.0338748900000001</v>
      </c>
      <c r="AH3521">
        <v>25.867760312550701</v>
      </c>
      <c r="AI3521">
        <v>92.279976133523405</v>
      </c>
      <c r="AJ3521">
        <v>95.024667073950397</v>
      </c>
      <c r="AK3521">
        <v>25.988124702073598</v>
      </c>
      <c r="AL3521">
        <v>90.184888009568994</v>
      </c>
      <c r="AM3521">
        <v>91.8350159865454</v>
      </c>
      <c r="AN3521">
        <v>1.0000000265902</v>
      </c>
    </row>
    <row r="3522" spans="1:40" x14ac:dyDescent="0.25">
      <c r="A3522" t="str">
        <f>"20190312154322094"</f>
        <v>20190312154322094</v>
      </c>
      <c r="B3522" t="str">
        <f>"1552376602091324"</f>
        <v>1552376602091324</v>
      </c>
      <c r="C3522" t="s">
        <v>40</v>
      </c>
      <c r="D3522">
        <v>4.4081549999999998</v>
      </c>
      <c r="E3522">
        <v>0.4863962</v>
      </c>
      <c r="F3522" t="s">
        <v>50</v>
      </c>
      <c r="G3522">
        <v>-452.9051</v>
      </c>
      <c r="H3522">
        <v>8.0000859999999993E-2</v>
      </c>
      <c r="I3522">
        <v>208.80109999999999</v>
      </c>
      <c r="J3522">
        <v>-476.3546</v>
      </c>
      <c r="K3522">
        <v>1.113856</v>
      </c>
      <c r="L3522">
        <v>217.42859999999999</v>
      </c>
      <c r="M3522">
        <v>0.90517190000000003</v>
      </c>
      <c r="N3522">
        <v>0</v>
      </c>
      <c r="O3522">
        <v>-0.42480509999999999</v>
      </c>
      <c r="P3522">
        <v>0.9186531</v>
      </c>
      <c r="Q3522">
        <v>-1.740831E-2</v>
      </c>
      <c r="R3522">
        <v>-0.39468140000000002</v>
      </c>
      <c r="S3522">
        <v>2.8192750000000002</v>
      </c>
      <c r="T3522">
        <v>-0.1236516</v>
      </c>
      <c r="U3522">
        <v>-1.037582</v>
      </c>
      <c r="V3522">
        <v>-3.2972670000000003E-2</v>
      </c>
      <c r="W3522">
        <v>-3.3590809999999999E-3</v>
      </c>
      <c r="X3522">
        <v>0.99945059999999997</v>
      </c>
      <c r="Y3522">
        <v>-8.564186E-2</v>
      </c>
      <c r="Z3522">
        <v>1.9076030000000001E-2</v>
      </c>
      <c r="AA3522">
        <v>0.99614329999999995</v>
      </c>
      <c r="AB3522">
        <v>14</v>
      </c>
      <c r="AC3522">
        <v>23.4495</v>
      </c>
      <c r="AD3522">
        <v>-1.03385514</v>
      </c>
      <c r="AE3522">
        <v>-8.6274999999999906</v>
      </c>
      <c r="AF3522">
        <v>-2.1486380844100599</v>
      </c>
      <c r="AG3522">
        <v>-1.03385514</v>
      </c>
      <c r="AH3522">
        <v>24.850833492903401</v>
      </c>
      <c r="AI3522">
        <v>92.373425432124193</v>
      </c>
      <c r="AJ3522">
        <v>94.941584562256395</v>
      </c>
      <c r="AK3522">
        <v>24.964963996775399</v>
      </c>
      <c r="AL3522">
        <v>90.192461527991</v>
      </c>
      <c r="AM3522">
        <v>91.889547999986704</v>
      </c>
      <c r="AN3522">
        <v>0.99999999111622595</v>
      </c>
    </row>
    <row r="3523" spans="1:40" x14ac:dyDescent="0.25">
      <c r="A3523" t="str">
        <f>"20190312154322117"</f>
        <v>20190312154322117</v>
      </c>
      <c r="B3523" t="str">
        <f>"1552376602110844"</f>
        <v>1552376602110844</v>
      </c>
      <c r="C3523" t="s">
        <v>40</v>
      </c>
      <c r="D3523">
        <v>4.4328709999999996</v>
      </c>
      <c r="E3523">
        <v>0.48740129999999998</v>
      </c>
      <c r="F3523" t="s">
        <v>50</v>
      </c>
      <c r="G3523">
        <v>-456.11520000000002</v>
      </c>
      <c r="H3523">
        <v>2.475983E-2</v>
      </c>
      <c r="I3523">
        <v>209.6163</v>
      </c>
      <c r="J3523">
        <v>-476.22649999999999</v>
      </c>
      <c r="K3523">
        <v>1.113839</v>
      </c>
      <c r="L3523">
        <v>217.37989999999999</v>
      </c>
      <c r="M3523">
        <v>0.90879960000000004</v>
      </c>
      <c r="N3523">
        <v>0</v>
      </c>
      <c r="O3523">
        <v>-0.41698800000000003</v>
      </c>
      <c r="P3523">
        <v>0.92212780000000005</v>
      </c>
      <c r="Q3523">
        <v>-1.8081699999999999E-2</v>
      </c>
      <c r="R3523">
        <v>-0.3864631</v>
      </c>
      <c r="S3523">
        <v>2.7987060000000001</v>
      </c>
      <c r="T3523">
        <v>-0.15060009999999999</v>
      </c>
      <c r="U3523">
        <v>-1.080276</v>
      </c>
      <c r="V3523">
        <v>-3.3272349999999999E-2</v>
      </c>
      <c r="W3523">
        <v>-4.0401539999999998E-3</v>
      </c>
      <c r="X3523">
        <v>0.99943820000000005</v>
      </c>
      <c r="Y3523">
        <v>-6.1209649999999997E-2</v>
      </c>
      <c r="Z3523">
        <v>2.2316659999999999E-2</v>
      </c>
      <c r="AA3523">
        <v>0.99787539999999997</v>
      </c>
      <c r="AB3523">
        <v>14</v>
      </c>
      <c r="AC3523">
        <v>20.1112999999999</v>
      </c>
      <c r="AD3523">
        <v>-1.08907917</v>
      </c>
      <c r="AE3523">
        <v>-7.7635999999999896</v>
      </c>
      <c r="AF3523">
        <v>-1.32736246519029</v>
      </c>
      <c r="AG3523">
        <v>-1.08907917</v>
      </c>
      <c r="AH3523">
        <v>21.461892861917001</v>
      </c>
      <c r="AI3523">
        <v>92.899439786959704</v>
      </c>
      <c r="AJ3523">
        <v>93.539087644595398</v>
      </c>
      <c r="AK3523">
        <v>21.530462832204201</v>
      </c>
      <c r="AL3523">
        <v>90.231484392377993</v>
      </c>
      <c r="AM3523">
        <v>91.906732628648001</v>
      </c>
      <c r="AN3523">
        <v>1.0000000438690499</v>
      </c>
    </row>
    <row r="3524" spans="1:40" x14ac:dyDescent="0.25">
      <c r="A3524" t="str">
        <f>"20190312154322140"</f>
        <v>20190312154322140</v>
      </c>
      <c r="B3524" t="str">
        <f>"1552376602131340"</f>
        <v>1552376602131340</v>
      </c>
      <c r="C3524" t="s">
        <v>40</v>
      </c>
      <c r="D3524">
        <v>4.4223350000000003</v>
      </c>
      <c r="E3524">
        <v>0.48882100000000001</v>
      </c>
      <c r="F3524" t="s">
        <v>50</v>
      </c>
      <c r="G3524">
        <v>-455.72859999999997</v>
      </c>
      <c r="H3524">
        <v>5.3511179999999998E-2</v>
      </c>
      <c r="I3524">
        <v>209.61279999999999</v>
      </c>
      <c r="J3524">
        <v>-476.10140000000001</v>
      </c>
      <c r="K3524">
        <v>1.113818</v>
      </c>
      <c r="L3524">
        <v>217.33349999999999</v>
      </c>
      <c r="M3524">
        <v>0.91226859999999999</v>
      </c>
      <c r="N3524">
        <v>0</v>
      </c>
      <c r="O3524">
        <v>-0.40934330000000002</v>
      </c>
      <c r="P3524">
        <v>0.9250429</v>
      </c>
      <c r="Q3524">
        <v>-1.9028179999999999E-2</v>
      </c>
      <c r="R3524">
        <v>-0.3793861</v>
      </c>
      <c r="S3524">
        <v>2.8049930000000001</v>
      </c>
      <c r="T3524">
        <v>-0.14509820000000001</v>
      </c>
      <c r="U3524">
        <v>-1.0628660000000001</v>
      </c>
      <c r="V3524">
        <v>-3.2524940000000002E-2</v>
      </c>
      <c r="W3524">
        <v>-4.9861089999999999E-3</v>
      </c>
      <c r="X3524">
        <v>0.99945850000000003</v>
      </c>
      <c r="Y3524">
        <v>-5.9036119999999997E-2</v>
      </c>
      <c r="Z3524">
        <v>2.109254E-2</v>
      </c>
      <c r="AA3524">
        <v>0.99803299999999995</v>
      </c>
      <c r="AB3524">
        <v>14</v>
      </c>
      <c r="AC3524">
        <v>20.372800000000002</v>
      </c>
      <c r="AD3524">
        <v>-1.0603068200000001</v>
      </c>
      <c r="AE3524">
        <v>-7.7206999999999901</v>
      </c>
      <c r="AF3524">
        <v>-1.2931863074751699</v>
      </c>
      <c r="AG3524">
        <v>-1.0603068200000001</v>
      </c>
      <c r="AH3524">
        <v>21.6967121872181</v>
      </c>
      <c r="AI3524">
        <v>92.792840012152794</v>
      </c>
      <c r="AJ3524">
        <v>93.410957550293602</v>
      </c>
      <c r="AK3524">
        <v>21.7610638782518</v>
      </c>
      <c r="AL3524">
        <v>90.285684181899995</v>
      </c>
      <c r="AM3524">
        <v>91.863893665382506</v>
      </c>
      <c r="AN3524">
        <v>1.0000000131136</v>
      </c>
    </row>
    <row r="3525" spans="1:40" x14ac:dyDescent="0.25">
      <c r="A3525" t="str">
        <f>"20190312154322162"</f>
        <v>20190312154322162</v>
      </c>
      <c r="B3525" t="str">
        <f>"1552376602150860"</f>
        <v>1552376602150860</v>
      </c>
      <c r="C3525" t="s">
        <v>40</v>
      </c>
      <c r="D3525">
        <v>4.4095339999999998</v>
      </c>
      <c r="E3525">
        <v>0.49593340000000002</v>
      </c>
      <c r="F3525" t="s">
        <v>50</v>
      </c>
      <c r="G3525">
        <v>-455.50049999999999</v>
      </c>
      <c r="H3525">
        <v>4.7662139999999999E-2</v>
      </c>
      <c r="I3525">
        <v>209.6163</v>
      </c>
      <c r="J3525">
        <v>-475.97489999999999</v>
      </c>
      <c r="K3525">
        <v>1.1137999999999999</v>
      </c>
      <c r="L3525">
        <v>217.2878</v>
      </c>
      <c r="M3525">
        <v>0.91569920000000005</v>
      </c>
      <c r="N3525">
        <v>0</v>
      </c>
      <c r="O3525">
        <v>-0.40161039999999998</v>
      </c>
      <c r="P3525">
        <v>0.92774829999999997</v>
      </c>
      <c r="Q3525">
        <v>-1.9489590000000001E-2</v>
      </c>
      <c r="R3525">
        <v>-0.37269750000000001</v>
      </c>
      <c r="S3525">
        <v>2.8085939999999998</v>
      </c>
      <c r="T3525">
        <v>-0.14535279999999901</v>
      </c>
      <c r="U3525">
        <v>-1.052109</v>
      </c>
      <c r="V3525">
        <v>-3.127812E-2</v>
      </c>
      <c r="W3525">
        <v>-5.4432880000000001E-3</v>
      </c>
      <c r="X3525">
        <v>0.99949589999999999</v>
      </c>
      <c r="Y3525">
        <v>-5.4373060000000001E-2</v>
      </c>
      <c r="Z3525">
        <v>2.0659239999999999E-2</v>
      </c>
      <c r="AA3525">
        <v>0.9983069</v>
      </c>
      <c r="AB3525">
        <v>14</v>
      </c>
      <c r="AC3525">
        <v>20.474399999999999</v>
      </c>
      <c r="AD3525">
        <v>-1.06613786</v>
      </c>
      <c r="AE3525">
        <v>-7.6715</v>
      </c>
      <c r="AF3525">
        <v>-1.19522595984209</v>
      </c>
      <c r="AG3525">
        <v>-1.06613786</v>
      </c>
      <c r="AH3525">
        <v>21.7797884455751</v>
      </c>
      <c r="AI3525">
        <v>92.798233083020904</v>
      </c>
      <c r="AJ3525">
        <v>93.1411132257806</v>
      </c>
      <c r="AK3525">
        <v>21.838598850787399</v>
      </c>
      <c r="AL3525">
        <v>90.3118789685481</v>
      </c>
      <c r="AM3525">
        <v>91.792423163844802</v>
      </c>
      <c r="AN3525">
        <v>1.0000000021458899</v>
      </c>
    </row>
    <row r="3526" spans="1:40" x14ac:dyDescent="0.25">
      <c r="A3526" t="str">
        <f>"20190312154322185"</f>
        <v>20190312154322185</v>
      </c>
      <c r="B3526" t="str">
        <f>"1552376602181116"</f>
        <v>1552376602181116</v>
      </c>
      <c r="C3526" t="s">
        <v>40</v>
      </c>
      <c r="D3526">
        <v>4.3697509999999999</v>
      </c>
      <c r="E3526">
        <v>0.49797140000000001</v>
      </c>
      <c r="F3526" t="s">
        <v>50</v>
      </c>
      <c r="G3526">
        <v>-455.2337</v>
      </c>
      <c r="H3526">
        <v>8.0001630000000004E-2</v>
      </c>
      <c r="I3526">
        <v>209.2389</v>
      </c>
      <c r="J3526">
        <v>-475.84379999999999</v>
      </c>
      <c r="K3526">
        <v>1.1137760000000001</v>
      </c>
      <c r="L3526">
        <v>217.24170000000001</v>
      </c>
      <c r="M3526">
        <v>0.91917349999999998</v>
      </c>
      <c r="N3526">
        <v>0</v>
      </c>
      <c r="O3526">
        <v>-0.39359369999999999</v>
      </c>
      <c r="P3526">
        <v>0.93092059999999999</v>
      </c>
      <c r="Q3526">
        <v>-1.968116E-2</v>
      </c>
      <c r="R3526">
        <v>-0.36469099999999999</v>
      </c>
      <c r="S3526">
        <v>2.7949830000000002</v>
      </c>
      <c r="T3526">
        <v>-0.1393102</v>
      </c>
      <c r="U3526">
        <v>-1.084641</v>
      </c>
      <c r="V3526">
        <v>-3.1152260000000001E-2</v>
      </c>
      <c r="W3526">
        <v>-5.6399110000000001E-3</v>
      </c>
      <c r="X3526">
        <v>0.99949869999999996</v>
      </c>
      <c r="Y3526">
        <v>-3.3970100000000003E-2</v>
      </c>
      <c r="Z3526">
        <v>1.9004859999999998E-2</v>
      </c>
      <c r="AA3526">
        <v>0.99924210000000002</v>
      </c>
      <c r="AB3526">
        <v>14</v>
      </c>
      <c r="AC3526">
        <v>20.6100999999999</v>
      </c>
      <c r="AD3526">
        <v>-1.0337743699999999</v>
      </c>
      <c r="AE3526">
        <v>-8.0028000000000006</v>
      </c>
      <c r="AF3526">
        <v>-0.75447151740588603</v>
      </c>
      <c r="AG3526">
        <v>-1.0337743699999999</v>
      </c>
      <c r="AH3526">
        <v>22.0481612068453</v>
      </c>
      <c r="AI3526">
        <v>92.682898973888697</v>
      </c>
      <c r="AJ3526">
        <v>91.959853813946495</v>
      </c>
      <c r="AK3526">
        <v>22.0852740377312</v>
      </c>
      <c r="AL3526">
        <v>90.323144822684</v>
      </c>
      <c r="AM3526">
        <v>91.7852103124808</v>
      </c>
      <c r="AN3526">
        <v>0.99999996160044102</v>
      </c>
    </row>
    <row r="3527" spans="1:40" x14ac:dyDescent="0.25">
      <c r="A3527" t="str">
        <f>"20190312154322209"</f>
        <v>20190312154322209</v>
      </c>
      <c r="B3527" t="str">
        <f>"1552376602200636"</f>
        <v>1552376602200636</v>
      </c>
      <c r="C3527" t="s">
        <v>40</v>
      </c>
      <c r="D3527">
        <v>4.2707660000000001</v>
      </c>
      <c r="E3527">
        <v>0.49846570000000001</v>
      </c>
      <c r="F3527" t="s">
        <v>50</v>
      </c>
      <c r="G3527">
        <v>-455.17469999999997</v>
      </c>
      <c r="H3527">
        <v>8.0001639999999999E-2</v>
      </c>
      <c r="I3527">
        <v>209.2962</v>
      </c>
      <c r="J3527">
        <v>-475.71719999999999</v>
      </c>
      <c r="K3527">
        <v>1.113758</v>
      </c>
      <c r="L3527">
        <v>217.19839999999999</v>
      </c>
      <c r="M3527">
        <v>0.92245350000000004</v>
      </c>
      <c r="N3527">
        <v>0</v>
      </c>
      <c r="O3527">
        <v>-0.38584479999999999</v>
      </c>
      <c r="P3527">
        <v>0.9341121</v>
      </c>
      <c r="Q3527">
        <v>-1.999221E-2</v>
      </c>
      <c r="R3527">
        <v>-0.3564194</v>
      </c>
      <c r="S3527">
        <v>2.7982179999999999</v>
      </c>
      <c r="T3527">
        <v>-0.1399542</v>
      </c>
      <c r="U3527">
        <v>-1.0756840000000001</v>
      </c>
      <c r="V3527">
        <v>-3.1602110000000003E-2</v>
      </c>
      <c r="W3527">
        <v>-5.960585E-3</v>
      </c>
      <c r="X3527">
        <v>0.9994828</v>
      </c>
      <c r="Y3527">
        <v>-2.8741280000000001E-2</v>
      </c>
      <c r="Z3527">
        <v>1.8622389999999999E-2</v>
      </c>
      <c r="AA3527">
        <v>0.99941340000000001</v>
      </c>
      <c r="AB3527">
        <v>14</v>
      </c>
      <c r="AC3527">
        <v>20.5425</v>
      </c>
      <c r="AD3527">
        <v>-1.0337563599999999</v>
      </c>
      <c r="AE3527">
        <v>-7.9021999999999899</v>
      </c>
      <c r="AF3527">
        <v>-0.63546769214075804</v>
      </c>
      <c r="AG3527">
        <v>-1.0337563599999999</v>
      </c>
      <c r="AH3527">
        <v>21.952334703623801</v>
      </c>
      <c r="AI3527">
        <v>92.6949938453904</v>
      </c>
      <c r="AJ3527">
        <v>91.658113015849494</v>
      </c>
      <c r="AK3527">
        <v>21.985847046214101</v>
      </c>
      <c r="AL3527">
        <v>90.341518370955697</v>
      </c>
      <c r="AM3527">
        <v>91.811001146982704</v>
      </c>
      <c r="AN3527">
        <v>1.00000004471291</v>
      </c>
    </row>
    <row r="3528" spans="1:40" x14ac:dyDescent="0.25">
      <c r="A3528" t="str">
        <f>"20190312154322229"</f>
        <v>20190312154322229</v>
      </c>
      <c r="B3528" t="str">
        <f>"1552376602221131"</f>
        <v>1552376602221131</v>
      </c>
      <c r="C3528" t="s">
        <v>40</v>
      </c>
      <c r="D3528">
        <v>4.3068780000000002</v>
      </c>
      <c r="E3528">
        <v>0.50008850000000005</v>
      </c>
      <c r="F3528" t="s">
        <v>50</v>
      </c>
      <c r="G3528">
        <v>-455.51060000000001</v>
      </c>
      <c r="H3528">
        <v>6.0904590000000002E-2</v>
      </c>
      <c r="I3528">
        <v>209.6054</v>
      </c>
      <c r="J3528">
        <v>-475.59699999999998</v>
      </c>
      <c r="K3528">
        <v>1.1137379999999999</v>
      </c>
      <c r="L3528">
        <v>217.1584</v>
      </c>
      <c r="M3528">
        <v>0.92549619999999999</v>
      </c>
      <c r="N3528">
        <v>0</v>
      </c>
      <c r="O3528">
        <v>-0.37848809999999999</v>
      </c>
      <c r="P3528">
        <v>0.93700499999999998</v>
      </c>
      <c r="Q3528">
        <v>-2.0182789999999999E-2</v>
      </c>
      <c r="R3528">
        <v>-0.34873219999999999</v>
      </c>
      <c r="S3528">
        <v>2.806152</v>
      </c>
      <c r="T3528">
        <v>-0.14621289999999901</v>
      </c>
      <c r="U3528">
        <v>-1.054459</v>
      </c>
      <c r="V3528">
        <v>-3.1854180000000003E-2</v>
      </c>
      <c r="W3528">
        <v>-6.1588729999999996E-3</v>
      </c>
      <c r="X3528">
        <v>0.99947359999999996</v>
      </c>
      <c r="Y3528">
        <v>-2.830703E-2</v>
      </c>
      <c r="Z3528">
        <v>1.908866E-2</v>
      </c>
      <c r="AA3528">
        <v>0.999417</v>
      </c>
      <c r="AB3528">
        <v>14</v>
      </c>
      <c r="AC3528">
        <v>20.086399999999902</v>
      </c>
      <c r="AD3528">
        <v>-1.0528334100000001</v>
      </c>
      <c r="AE3528">
        <v>-7.5529999999999902</v>
      </c>
      <c r="AF3528">
        <v>-0.61078272195314998</v>
      </c>
      <c r="AG3528">
        <v>-1.0528334100000001</v>
      </c>
      <c r="AH3528">
        <v>21.399282246559299</v>
      </c>
      <c r="AI3528">
        <v>92.815506216884899</v>
      </c>
      <c r="AJ3528">
        <v>91.634904075414894</v>
      </c>
      <c r="AK3528">
        <v>21.433870261587298</v>
      </c>
      <c r="AL3528">
        <v>90.352879643149294</v>
      </c>
      <c r="AM3528">
        <v>91.825453412216007</v>
      </c>
      <c r="AN3528">
        <v>1.0000000487985301</v>
      </c>
    </row>
    <row r="3529" spans="1:40" x14ac:dyDescent="0.25">
      <c r="A3529" t="str">
        <f>"20190312154322250"</f>
        <v>20190312154322250</v>
      </c>
      <c r="B3529" t="str">
        <f>"1552376602240652"</f>
        <v>1552376602240652</v>
      </c>
      <c r="C3529" t="s">
        <v>40</v>
      </c>
      <c r="D3529">
        <v>4.407464</v>
      </c>
      <c r="E3529">
        <v>0.50053689999999995</v>
      </c>
      <c r="F3529" t="s">
        <v>50</v>
      </c>
      <c r="G3529">
        <v>-455.28719999999998</v>
      </c>
      <c r="H3529">
        <v>4.6312810000000003E-2</v>
      </c>
      <c r="I3529">
        <v>209.6163</v>
      </c>
      <c r="J3529">
        <v>-475.48160000000001</v>
      </c>
      <c r="K3529">
        <v>1.1137280000000001</v>
      </c>
      <c r="L3529">
        <v>217.12110000000001</v>
      </c>
      <c r="M3529">
        <v>0.92835540000000005</v>
      </c>
      <c r="N3529">
        <v>0</v>
      </c>
      <c r="O3529">
        <v>-0.37142029999999998</v>
      </c>
      <c r="P3529">
        <v>0.93989529999999999</v>
      </c>
      <c r="Q3529">
        <v>-1.9915720000000001E-2</v>
      </c>
      <c r="R3529">
        <v>-0.34088170000000001</v>
      </c>
      <c r="S3529">
        <v>2.8101500000000001</v>
      </c>
      <c r="T3529">
        <v>-0.14769379999999999</v>
      </c>
      <c r="U3529">
        <v>-1.0435639999999999</v>
      </c>
      <c r="V3529">
        <v>-3.2598179999999997E-2</v>
      </c>
      <c r="W3529">
        <v>-5.902961E-3</v>
      </c>
      <c r="X3529">
        <v>0.99945110000000004</v>
      </c>
      <c r="Y3529">
        <v>-2.4556740000000001E-2</v>
      </c>
      <c r="Z3529">
        <v>1.8850410000000001E-2</v>
      </c>
      <c r="AA3529">
        <v>0.99952070000000004</v>
      </c>
      <c r="AB3529">
        <v>14</v>
      </c>
      <c r="AC3529">
        <v>20.194400000000002</v>
      </c>
      <c r="AD3529">
        <v>-1.06741519</v>
      </c>
      <c r="AE3529">
        <v>-7.5048000000000101</v>
      </c>
      <c r="AF3529">
        <v>-0.53223616423828801</v>
      </c>
      <c r="AG3529">
        <v>-1.06741519</v>
      </c>
      <c r="AH3529">
        <v>21.484463042661901</v>
      </c>
      <c r="AI3529">
        <v>92.843423476564297</v>
      </c>
      <c r="AJ3529">
        <v>91.419102253629305</v>
      </c>
      <c r="AK3529">
        <v>21.5175463925112</v>
      </c>
      <c r="AL3529">
        <v>90.338216718240901</v>
      </c>
      <c r="AM3529">
        <v>91.868101651759901</v>
      </c>
      <c r="AN3529">
        <v>0.99999999378954496</v>
      </c>
    </row>
    <row r="3530" spans="1:40" x14ac:dyDescent="0.25">
      <c r="A3530" t="str">
        <f>"20190312154322274"</f>
        <v>20190312154322274</v>
      </c>
      <c r="B3530" t="str">
        <f>"1552376602270908"</f>
        <v>1552376602270908</v>
      </c>
      <c r="C3530" t="s">
        <v>40</v>
      </c>
      <c r="D3530">
        <v>4.2524129999999998</v>
      </c>
      <c r="E3530">
        <v>0.4556808</v>
      </c>
      <c r="F3530" t="s">
        <v>50</v>
      </c>
      <c r="G3530">
        <v>-454.8109</v>
      </c>
      <c r="H3530">
        <v>2.5674860000000001E-2</v>
      </c>
      <c r="I3530">
        <v>209.6163</v>
      </c>
      <c r="J3530">
        <v>-475.35</v>
      </c>
      <c r="K3530">
        <v>1.113715</v>
      </c>
      <c r="L3530">
        <v>217.0797</v>
      </c>
      <c r="M3530">
        <v>0.93153790000000003</v>
      </c>
      <c r="N3530">
        <v>0</v>
      </c>
      <c r="O3530">
        <v>-0.3633651</v>
      </c>
      <c r="P3530">
        <v>0.94322229999999996</v>
      </c>
      <c r="Q3530">
        <v>-1.9353039999999998E-2</v>
      </c>
      <c r="R3530">
        <v>-0.33159820000000001</v>
      </c>
      <c r="S3530">
        <v>2.817688</v>
      </c>
      <c r="T3530">
        <v>-0.1483159</v>
      </c>
      <c r="U3530">
        <v>-1.0229950000000001</v>
      </c>
      <c r="V3530">
        <v>-3.3803519999999997E-2</v>
      </c>
      <c r="W3530">
        <v>-5.3555699999999996E-3</v>
      </c>
      <c r="X3530">
        <v>0.99941409999999997</v>
      </c>
      <c r="Y3530">
        <v>-2.3208579999999999E-2</v>
      </c>
      <c r="Z3530">
        <v>1.850241E-2</v>
      </c>
      <c r="AA3530">
        <v>0.99955939999999999</v>
      </c>
      <c r="AB3530">
        <v>13</v>
      </c>
      <c r="AC3530">
        <v>20.539100000000001</v>
      </c>
      <c r="AD3530">
        <v>-1.0880401399999999</v>
      </c>
      <c r="AE3530">
        <v>-7.4634</v>
      </c>
      <c r="AF3530">
        <v>-0.509540880434173</v>
      </c>
      <c r="AG3530">
        <v>-1.0880401399999999</v>
      </c>
      <c r="AH3530">
        <v>21.793082587656698</v>
      </c>
      <c r="AI3530">
        <v>92.857392867493004</v>
      </c>
      <c r="AJ3530">
        <v>91.339380222761605</v>
      </c>
      <c r="AK3530">
        <v>21.826174926622102</v>
      </c>
      <c r="AL3530">
        <v>90.306853039590393</v>
      </c>
      <c r="AM3530">
        <v>91.937195960617501</v>
      </c>
      <c r="AN3530">
        <v>0.99999995168661104</v>
      </c>
    </row>
    <row r="3531" spans="1:40" x14ac:dyDescent="0.25">
      <c r="A3531" t="str">
        <f>"20190312154322297"</f>
        <v>20190312154322297</v>
      </c>
      <c r="B3531" t="str">
        <f>"1552376602290428"</f>
        <v>1552376602290428</v>
      </c>
      <c r="C3531" t="s">
        <v>40</v>
      </c>
      <c r="D3531">
        <v>4.244129</v>
      </c>
      <c r="E3531">
        <v>0.43988430000000001</v>
      </c>
      <c r="F3531" t="s">
        <v>58</v>
      </c>
      <c r="G3531">
        <v>-377.125</v>
      </c>
      <c r="H3531">
        <v>0.63936230000000005</v>
      </c>
      <c r="I3531">
        <v>194.98159999999999</v>
      </c>
      <c r="J3531">
        <v>-475.21769999999998</v>
      </c>
      <c r="K3531">
        <v>1.1136950000000001</v>
      </c>
      <c r="L3531">
        <v>217.0393</v>
      </c>
      <c r="M3531">
        <v>0.93466450000000001</v>
      </c>
      <c r="N3531">
        <v>0</v>
      </c>
      <c r="O3531">
        <v>-0.35524600000000001</v>
      </c>
      <c r="P3531">
        <v>0.94638160000000005</v>
      </c>
      <c r="Q3531">
        <v>-1.872265E-2</v>
      </c>
      <c r="R3531">
        <v>-0.32250869999999998</v>
      </c>
      <c r="S3531">
        <v>2.947174</v>
      </c>
      <c r="T3531">
        <v>-1.423264E-2</v>
      </c>
      <c r="U3531">
        <v>-0.66304019999999997</v>
      </c>
      <c r="V3531">
        <v>-3.473147E-2</v>
      </c>
      <c r="W3531">
        <v>-4.7383E-3</v>
      </c>
      <c r="X3531">
        <v>0.99938550000000004</v>
      </c>
      <c r="Y3531">
        <v>-0.14144389999999901</v>
      </c>
      <c r="Z3531">
        <v>1.986935E-3</v>
      </c>
      <c r="AA3531">
        <v>0.9899443</v>
      </c>
      <c r="AB3531">
        <v>13</v>
      </c>
      <c r="AC3531">
        <v>98.092699999999894</v>
      </c>
      <c r="AD3531">
        <v>-0.4743327</v>
      </c>
      <c r="AE3531">
        <v>-22.057700000000001</v>
      </c>
      <c r="AF3531">
        <v>-14.231614832617099</v>
      </c>
      <c r="AG3531">
        <v>-0.4743327</v>
      </c>
      <c r="AH3531">
        <v>99.527539373974307</v>
      </c>
      <c r="AI3531">
        <v>90.270311212024893</v>
      </c>
      <c r="AJ3531">
        <v>98.137659145768893</v>
      </c>
      <c r="AK3531">
        <v>100.541011264519</v>
      </c>
      <c r="AL3531">
        <v>90.271485593817502</v>
      </c>
      <c r="AM3531">
        <v>91.990389188184807</v>
      </c>
      <c r="AN3531">
        <v>1.0000000520527399</v>
      </c>
    </row>
    <row r="3532" spans="1:40" x14ac:dyDescent="0.25">
      <c r="A3532" t="str">
        <f>"20190312154322319"</f>
        <v>20190312154322319</v>
      </c>
      <c r="B3532" t="str">
        <f>"1552376602310924"</f>
        <v>1552376602310924</v>
      </c>
      <c r="C3532" t="s">
        <v>40</v>
      </c>
      <c r="D3532">
        <v>4.291849</v>
      </c>
      <c r="E3532">
        <v>0.43380239999999998</v>
      </c>
      <c r="F3532" t="s">
        <v>59</v>
      </c>
      <c r="G3532">
        <v>-347.6524</v>
      </c>
      <c r="H3532">
        <v>1.0351980000000001</v>
      </c>
      <c r="I3532">
        <v>195.0711</v>
      </c>
      <c r="J3532">
        <v>-475.09379999999999</v>
      </c>
      <c r="K3532">
        <v>1.11368</v>
      </c>
      <c r="L3532">
        <v>217.0026</v>
      </c>
      <c r="M3532">
        <v>0.9375175</v>
      </c>
      <c r="N3532">
        <v>0</v>
      </c>
      <c r="O3532">
        <v>-0.34764719999999999</v>
      </c>
      <c r="P3532">
        <v>0.94907359999999996</v>
      </c>
      <c r="Q3532">
        <v>-1.8957640000000001E-2</v>
      </c>
      <c r="R3532">
        <v>-0.31448399999999999</v>
      </c>
      <c r="S3532">
        <v>2.9942319999999998</v>
      </c>
      <c r="T3532">
        <v>-1.8428559999999999E-3</v>
      </c>
      <c r="U3532">
        <v>-0.51564030000000005</v>
      </c>
      <c r="V3532">
        <v>-3.5077400000000002E-2</v>
      </c>
      <c r="W3532">
        <v>-4.9815500000000004E-3</v>
      </c>
      <c r="X3532">
        <v>0.99937220000000004</v>
      </c>
      <c r="Y3532">
        <v>-0.1835137</v>
      </c>
      <c r="Z3532">
        <v>2.6351249999999999E-4</v>
      </c>
      <c r="AA3532">
        <v>0.98301709999999998</v>
      </c>
      <c r="AB3532">
        <v>13</v>
      </c>
      <c r="AC3532">
        <v>127.4414</v>
      </c>
      <c r="AD3532">
        <v>-7.8481999999999899E-2</v>
      </c>
      <c r="AE3532">
        <v>-21.9315</v>
      </c>
      <c r="AF3532">
        <v>-23.745874824549901</v>
      </c>
      <c r="AG3532">
        <v>-7.8481999999999899E-2</v>
      </c>
      <c r="AH3532">
        <v>127.115782797357</v>
      </c>
      <c r="AI3532">
        <v>90.0347732098205</v>
      </c>
      <c r="AJ3532">
        <v>100.581187067774</v>
      </c>
      <c r="AK3532">
        <v>129.314712878281</v>
      </c>
      <c r="AL3532">
        <v>90.285422966096405</v>
      </c>
      <c r="AM3532">
        <v>92.010224271958606</v>
      </c>
      <c r="AN3532">
        <v>1.000000016982</v>
      </c>
    </row>
    <row r="3533" spans="1:40" x14ac:dyDescent="0.25">
      <c r="A3533" t="str">
        <f>"20190312154322341"</f>
        <v>20190312154322341</v>
      </c>
      <c r="B3533" t="str">
        <f>"1552376602330445"</f>
        <v>1552376602330445</v>
      </c>
      <c r="C3533" t="s">
        <v>40</v>
      </c>
      <c r="D3533">
        <v>4.2204920000000001</v>
      </c>
      <c r="E3533">
        <v>0.43134299999999998</v>
      </c>
      <c r="F3533" t="s">
        <v>60</v>
      </c>
      <c r="G3533">
        <v>-233.512</v>
      </c>
      <c r="H3533">
        <v>0.99483390000000005</v>
      </c>
      <c r="I3533">
        <v>181.38939999999999</v>
      </c>
      <c r="J3533">
        <v>-474.9717</v>
      </c>
      <c r="K3533">
        <v>1.1136649999999999</v>
      </c>
      <c r="L3533">
        <v>216.9675</v>
      </c>
      <c r="M3533">
        <v>0.94026569999999998</v>
      </c>
      <c r="N3533">
        <v>0</v>
      </c>
      <c r="O3533">
        <v>-0.34014420000000001</v>
      </c>
      <c r="P3533">
        <v>0.95145800000000003</v>
      </c>
      <c r="Q3533">
        <v>-1.8818600000000001E-2</v>
      </c>
      <c r="R3533">
        <v>-0.3072029</v>
      </c>
      <c r="S3533">
        <v>3.0137330000000002</v>
      </c>
      <c r="T3533">
        <v>-1.482129E-3</v>
      </c>
      <c r="U3533">
        <v>-0.44427489999999997</v>
      </c>
      <c r="V3533">
        <v>-3.4750509999999998E-2</v>
      </c>
      <c r="W3533">
        <v>-4.8453439999999997E-3</v>
      </c>
      <c r="X3533">
        <v>0.9993843</v>
      </c>
      <c r="Y3533">
        <v>-0.19939850000000001</v>
      </c>
      <c r="Z3533">
        <v>2.1158510000000001E-4</v>
      </c>
      <c r="AA3533">
        <v>0.97991850000000003</v>
      </c>
      <c r="AB3533">
        <v>13</v>
      </c>
      <c r="AC3533">
        <v>241.4597</v>
      </c>
      <c r="AD3533">
        <v>-0.118831099999999</v>
      </c>
      <c r="AE3533">
        <v>-35.578099999999999</v>
      </c>
      <c r="AF3533">
        <v>-48.683163290585703</v>
      </c>
      <c r="AG3533">
        <v>-0.118831099999999</v>
      </c>
      <c r="AH3533">
        <v>239.162098364418</v>
      </c>
      <c r="AI3533">
        <v>90.027896143328704</v>
      </c>
      <c r="AJ3533">
        <v>101.505770470938</v>
      </c>
      <c r="AK3533">
        <v>244.06674046842099</v>
      </c>
      <c r="AL3533">
        <v>90.2776188402391</v>
      </c>
      <c r="AM3533">
        <v>91.991481842427206</v>
      </c>
      <c r="AN3533">
        <v>1.0000000271951099</v>
      </c>
    </row>
    <row r="3534" spans="1:40" x14ac:dyDescent="0.25">
      <c r="A3534" t="str">
        <f>"20190312154322363"</f>
        <v>20190312154322363</v>
      </c>
      <c r="B3534" t="str">
        <f>"1552376602350941"</f>
        <v>1552376602350941</v>
      </c>
      <c r="C3534" t="s">
        <v>40</v>
      </c>
      <c r="D3534">
        <v>4.209206</v>
      </c>
      <c r="E3534">
        <v>0.43069489999999999</v>
      </c>
      <c r="F3534" t="s">
        <v>58</v>
      </c>
      <c r="G3534">
        <v>-276.46719999999999</v>
      </c>
      <c r="H3534">
        <v>0.82330890000000001</v>
      </c>
      <c r="I3534">
        <v>190.5556</v>
      </c>
      <c r="J3534">
        <v>-474.84690000000001</v>
      </c>
      <c r="K3534">
        <v>1.113648</v>
      </c>
      <c r="L3534">
        <v>216.93260000000001</v>
      </c>
      <c r="M3534">
        <v>0.9430037</v>
      </c>
      <c r="N3534">
        <v>0</v>
      </c>
      <c r="O3534">
        <v>-0.33247840000000001</v>
      </c>
      <c r="P3534">
        <v>0.95399630000000002</v>
      </c>
      <c r="Q3534">
        <v>-1.833239E-2</v>
      </c>
      <c r="R3534">
        <v>-0.2992572</v>
      </c>
      <c r="S3534">
        <v>3.0231020000000002</v>
      </c>
      <c r="T3534">
        <v>-4.4219489999999997E-3</v>
      </c>
      <c r="U3534">
        <v>-0.40223690000000001</v>
      </c>
      <c r="V3534">
        <v>-3.4955979999999998E-2</v>
      </c>
      <c r="W3534">
        <v>-4.3662909999999996E-3</v>
      </c>
      <c r="X3534">
        <v>0.99937929999999997</v>
      </c>
      <c r="Y3534">
        <v>-0.2052195</v>
      </c>
      <c r="Z3534">
        <v>6.2394429999999997E-4</v>
      </c>
      <c r="AA3534">
        <v>0.97871580000000002</v>
      </c>
      <c r="AB3534">
        <v>13</v>
      </c>
      <c r="AC3534">
        <v>198.37970000000001</v>
      </c>
      <c r="AD3534">
        <v>-0.29033910000000002</v>
      </c>
      <c r="AE3534">
        <v>-26.376999999999999</v>
      </c>
      <c r="AF3534">
        <v>-41.087423002076001</v>
      </c>
      <c r="AG3534">
        <v>-0.29033910000000002</v>
      </c>
      <c r="AH3534">
        <v>195.86195796806601</v>
      </c>
      <c r="AI3534">
        <v>90.083123944600203</v>
      </c>
      <c r="AJ3534">
        <v>101.847566228676</v>
      </c>
      <c r="AK3534">
        <v>200.12537871251899</v>
      </c>
      <c r="AL3534">
        <v>90.250170845041694</v>
      </c>
      <c r="AM3534">
        <v>92.003257363577802</v>
      </c>
      <c r="AN3534">
        <v>0.99999998515167299</v>
      </c>
    </row>
    <row r="3535" spans="1:40" x14ac:dyDescent="0.25">
      <c r="A3535" t="str">
        <f>"20190312154322387"</f>
        <v>20190312154322387</v>
      </c>
      <c r="B3535" t="str">
        <f>"1552376602381195"</f>
        <v>1552376602381195</v>
      </c>
      <c r="C3535" t="s">
        <v>40</v>
      </c>
      <c r="D3535">
        <v>4.264729</v>
      </c>
      <c r="E3535">
        <v>0.4308592</v>
      </c>
      <c r="F3535" t="s">
        <v>58</v>
      </c>
      <c r="G3535">
        <v>-276.46719999999999</v>
      </c>
      <c r="H3535">
        <v>0.74854129999999997</v>
      </c>
      <c r="I3535">
        <v>192.5521</v>
      </c>
      <c r="J3535">
        <v>-474.71629999999999</v>
      </c>
      <c r="K3535">
        <v>1.1136269999999999</v>
      </c>
      <c r="L3535">
        <v>216.8973</v>
      </c>
      <c r="M3535">
        <v>0.94579769999999996</v>
      </c>
      <c r="N3535">
        <v>0</v>
      </c>
      <c r="O3535">
        <v>-0.32444509999999899</v>
      </c>
      <c r="P3535">
        <v>0.95641319999999996</v>
      </c>
      <c r="Q3535">
        <v>-1.8713259999999999E-2</v>
      </c>
      <c r="R3535">
        <v>-0.29141669999999997</v>
      </c>
      <c r="S3535">
        <v>3.0278320000000001</v>
      </c>
      <c r="T3535">
        <v>-5.5725569999999997E-3</v>
      </c>
      <c r="U3535">
        <v>-0.37211610000000001</v>
      </c>
      <c r="V3535">
        <v>-3.465331E-2</v>
      </c>
      <c r="W3535">
        <v>-4.750654E-3</v>
      </c>
      <c r="X3535">
        <v>0.9993881</v>
      </c>
      <c r="Y3535">
        <v>-0.2066733</v>
      </c>
      <c r="Z3535">
        <v>7.7322380000000002E-4</v>
      </c>
      <c r="AA3535">
        <v>0.97840970000000005</v>
      </c>
      <c r="AB3535">
        <v>13</v>
      </c>
      <c r="AC3535">
        <v>198.2491</v>
      </c>
      <c r="AD3535">
        <v>-0.36508570000000001</v>
      </c>
      <c r="AE3535">
        <v>-24.345199999999998</v>
      </c>
      <c r="AF3535">
        <v>-41.299350201683502</v>
      </c>
      <c r="AG3535">
        <v>-0.36508570000000001</v>
      </c>
      <c r="AH3535">
        <v>195.421317959346</v>
      </c>
      <c r="AI3535">
        <v>90.104726608800704</v>
      </c>
      <c r="AJ3535">
        <v>101.93301461589699</v>
      </c>
      <c r="AK3535">
        <v>199.73798118439399</v>
      </c>
      <c r="AL3535">
        <v>90.272193448652601</v>
      </c>
      <c r="AM3535">
        <v>91.985908427377296</v>
      </c>
      <c r="AN3535">
        <v>0.99999999751449697</v>
      </c>
    </row>
    <row r="3536" spans="1:40" x14ac:dyDescent="0.25">
      <c r="A3536" t="str">
        <f>"20190312154322412"</f>
        <v>20190312154322412</v>
      </c>
      <c r="B3536" t="str">
        <f>"1552376602400716"</f>
        <v>1552376602400716</v>
      </c>
      <c r="C3536" t="s">
        <v>40</v>
      </c>
      <c r="D3536">
        <v>4.2615850000000002</v>
      </c>
      <c r="E3536">
        <v>0.43135760000000001</v>
      </c>
      <c r="F3536" t="s">
        <v>58</v>
      </c>
      <c r="G3536">
        <v>-323.90620000000001</v>
      </c>
      <c r="H3536">
        <v>0.3268682</v>
      </c>
      <c r="I3536">
        <v>199.57599999999999</v>
      </c>
      <c r="J3536">
        <v>-474.58159999999998</v>
      </c>
      <c r="K3536">
        <v>1.113602</v>
      </c>
      <c r="L3536">
        <v>216.8623</v>
      </c>
      <c r="M3536">
        <v>0.94860109999999997</v>
      </c>
      <c r="N3536">
        <v>0</v>
      </c>
      <c r="O3536">
        <v>-0.31615529999999997</v>
      </c>
      <c r="P3536">
        <v>0.9586692</v>
      </c>
      <c r="Q3536">
        <v>-1.942251E-2</v>
      </c>
      <c r="R3536">
        <v>-0.28385939999999998</v>
      </c>
      <c r="S3536">
        <v>3.0303650000000002</v>
      </c>
      <c r="T3536">
        <v>-1.580906E-2</v>
      </c>
      <c r="U3536">
        <v>-0.348053</v>
      </c>
      <c r="V3536">
        <v>-3.3785389999999998E-2</v>
      </c>
      <c r="W3536">
        <v>-5.4595049999999999E-3</v>
      </c>
      <c r="X3536">
        <v>0.99941420000000003</v>
      </c>
      <c r="Y3536">
        <v>-0.2058643</v>
      </c>
      <c r="Z3536">
        <v>2.1503109999999998E-3</v>
      </c>
      <c r="AA3536">
        <v>0.97857819999999995</v>
      </c>
      <c r="AB3536">
        <v>13</v>
      </c>
      <c r="AC3536">
        <v>150.675399999999</v>
      </c>
      <c r="AD3536">
        <v>-0.78673379999999904</v>
      </c>
      <c r="AE3536">
        <v>-17.286300000000001</v>
      </c>
      <c r="AF3536">
        <v>-31.241334604372199</v>
      </c>
      <c r="AG3536">
        <v>-0.78673379999999904</v>
      </c>
      <c r="AH3536">
        <v>148.40698600405199</v>
      </c>
      <c r="AI3536">
        <v>90.297218917923601</v>
      </c>
      <c r="AJ3536">
        <v>101.88782942204</v>
      </c>
      <c r="AK3536">
        <v>151.661707206339</v>
      </c>
      <c r="AL3536">
        <v>90.312808148377997</v>
      </c>
      <c r="AM3536">
        <v>91.936157572655901</v>
      </c>
      <c r="AN3536">
        <v>1.0000000009669601</v>
      </c>
    </row>
    <row r="3537" spans="1:40" x14ac:dyDescent="0.25">
      <c r="A3537" t="str">
        <f>"20190312154322432"</f>
        <v>20190312154322432</v>
      </c>
      <c r="B3537" t="str">
        <f>"1552376602420744"</f>
        <v>1552376602420744</v>
      </c>
      <c r="C3537" t="s">
        <v>40</v>
      </c>
      <c r="D3537">
        <v>4.2969839999999904</v>
      </c>
      <c r="E3537">
        <v>0.43205660000000001</v>
      </c>
      <c r="F3537" t="s">
        <v>43</v>
      </c>
      <c r="G3537">
        <v>-309.90190000000001</v>
      </c>
      <c r="H3537" s="1">
        <v>-5.8635010000000001E-6</v>
      </c>
      <c r="I3537">
        <v>199.0556</v>
      </c>
      <c r="J3537">
        <v>-474.46370000000002</v>
      </c>
      <c r="K3537">
        <v>1.113594</v>
      </c>
      <c r="L3537">
        <v>216.83260000000001</v>
      </c>
      <c r="M3537">
        <v>0.95099109999999998</v>
      </c>
      <c r="N3537">
        <v>0</v>
      </c>
      <c r="O3537">
        <v>-0.308892</v>
      </c>
      <c r="P3537">
        <v>0.96050009999999997</v>
      </c>
      <c r="Q3537">
        <v>-2.0687669999999998E-2</v>
      </c>
      <c r="R3537">
        <v>-0.27751039999999999</v>
      </c>
      <c r="S3537">
        <v>3.0318909999999999</v>
      </c>
      <c r="T3537">
        <v>-2.0502449999999998E-2</v>
      </c>
      <c r="U3537">
        <v>-0.32783509999999999</v>
      </c>
      <c r="V3537">
        <v>-3.27386E-2</v>
      </c>
      <c r="W3537">
        <v>-6.7221240000000003E-3</v>
      </c>
      <c r="X3537">
        <v>0.99944129999999998</v>
      </c>
      <c r="Y3537">
        <v>-0.20487759999999999</v>
      </c>
      <c r="Z3537">
        <v>2.7389210000000001E-3</v>
      </c>
      <c r="AA3537">
        <v>0.97878379999999998</v>
      </c>
      <c r="AB3537">
        <v>13</v>
      </c>
      <c r="AC3537">
        <v>164.56180000000001</v>
      </c>
      <c r="AD3537">
        <v>-1.113599863501</v>
      </c>
      <c r="AE3537">
        <v>-17.777000000000001</v>
      </c>
      <c r="AF3537">
        <v>-33.927940278666597</v>
      </c>
      <c r="AG3537">
        <v>-1.113599863501</v>
      </c>
      <c r="AH3537">
        <v>161.99698323044299</v>
      </c>
      <c r="AI3537">
        <v>90.385493012334507</v>
      </c>
      <c r="AJ3537">
        <v>101.828805388992</v>
      </c>
      <c r="AK3537">
        <v>165.51546094541499</v>
      </c>
      <c r="AL3537">
        <v>90.385152251607295</v>
      </c>
      <c r="AM3537">
        <v>91.876161335727602</v>
      </c>
      <c r="AN3537">
        <v>0.99999995751335902</v>
      </c>
    </row>
    <row r="3538" spans="1:40" x14ac:dyDescent="0.25">
      <c r="A3538" t="str">
        <f>"20190312154322452"</f>
        <v>20190312154322452</v>
      </c>
      <c r="B3538" t="str">
        <f>"1552376602441240"</f>
        <v>1552376602441240</v>
      </c>
      <c r="C3538" t="s">
        <v>40</v>
      </c>
      <c r="D3538">
        <v>4.3247</v>
      </c>
      <c r="E3538">
        <v>0.43256600000000001</v>
      </c>
      <c r="F3538" t="s">
        <v>42</v>
      </c>
      <c r="G3538">
        <v>-338.92540000000002</v>
      </c>
      <c r="H3538">
        <v>-0.05</v>
      </c>
      <c r="I3538">
        <v>202.84440000000001</v>
      </c>
      <c r="J3538">
        <v>-474.34859999999998</v>
      </c>
      <c r="K3538">
        <v>1.113578</v>
      </c>
      <c r="L3538">
        <v>216.80449999999999</v>
      </c>
      <c r="M3538">
        <v>0.95326820000000001</v>
      </c>
      <c r="N3538">
        <v>0</v>
      </c>
      <c r="O3538">
        <v>-0.30179210000000001</v>
      </c>
      <c r="P3538">
        <v>0.96246160000000003</v>
      </c>
      <c r="Q3538">
        <v>-2.004038E-2</v>
      </c>
      <c r="R3538">
        <v>-0.27067809999999998</v>
      </c>
      <c r="S3538">
        <v>3.03241</v>
      </c>
      <c r="T3538">
        <v>-2.603316E-2</v>
      </c>
      <c r="U3538">
        <v>-0.31295780000000001</v>
      </c>
      <c r="V3538">
        <v>-3.2396550000000003E-2</v>
      </c>
      <c r="W3538">
        <v>-6.0772719999999999E-3</v>
      </c>
      <c r="X3538">
        <v>0.99945660000000003</v>
      </c>
      <c r="Y3538">
        <v>-0.2023384</v>
      </c>
      <c r="Z3538">
        <v>3.4096479999999999E-3</v>
      </c>
      <c r="AA3538">
        <v>0.97930969999999995</v>
      </c>
      <c r="AB3538">
        <v>13</v>
      </c>
      <c r="AC3538">
        <v>135.42319999999901</v>
      </c>
      <c r="AD3538">
        <v>-1.163578</v>
      </c>
      <c r="AE3538">
        <v>-13.960099999999899</v>
      </c>
      <c r="AF3538">
        <v>-27.562693167098701</v>
      </c>
      <c r="AG3538">
        <v>-1.163578</v>
      </c>
      <c r="AH3538">
        <v>133.31135699849099</v>
      </c>
      <c r="AI3538">
        <v>90.489723410156202</v>
      </c>
      <c r="AJ3538">
        <v>101.68155180787601</v>
      </c>
      <c r="AK3538">
        <v>136.13586549166601</v>
      </c>
      <c r="AL3538">
        <v>90.348204186058695</v>
      </c>
      <c r="AM3538">
        <v>91.856544757251498</v>
      </c>
      <c r="AN3538">
        <v>0.99999998248521205</v>
      </c>
    </row>
    <row r="3539" spans="1:40" x14ac:dyDescent="0.25">
      <c r="A3539" t="str">
        <f>"20190312154322475"</f>
        <v>20190312154322475</v>
      </c>
      <c r="B3539" t="str">
        <f>"1552376602470520"</f>
        <v>1552376602470520</v>
      </c>
      <c r="C3539" t="s">
        <v>40</v>
      </c>
      <c r="D3539">
        <v>4.361497</v>
      </c>
      <c r="E3539">
        <v>0.43391429999999998</v>
      </c>
      <c r="F3539" t="s">
        <v>42</v>
      </c>
      <c r="G3539">
        <v>-313.97620000000001</v>
      </c>
      <c r="H3539">
        <v>-0.05</v>
      </c>
      <c r="I3539">
        <v>201.17670000000001</v>
      </c>
      <c r="J3539">
        <v>-474.22660000000002</v>
      </c>
      <c r="K3539">
        <v>1.1135679999999999</v>
      </c>
      <c r="L3539">
        <v>216.7758</v>
      </c>
      <c r="M3539">
        <v>0.95561609999999997</v>
      </c>
      <c r="N3539">
        <v>0</v>
      </c>
      <c r="O3539">
        <v>-0.29427350000000002</v>
      </c>
      <c r="P3539">
        <v>0.96451030000000004</v>
      </c>
      <c r="Q3539">
        <v>-1.897008E-2</v>
      </c>
      <c r="R3539">
        <v>-0.26336300000000001</v>
      </c>
      <c r="S3539">
        <v>3.0333860000000001</v>
      </c>
      <c r="T3539">
        <v>-2.2008659999999999E-2</v>
      </c>
      <c r="U3539">
        <v>-0.2955933</v>
      </c>
      <c r="V3539">
        <v>-3.2125569999999999E-2</v>
      </c>
      <c r="W3539">
        <v>-5.0101159999999898E-3</v>
      </c>
      <c r="X3539">
        <v>0.99947129999999995</v>
      </c>
      <c r="Y3539">
        <v>-0.2002111</v>
      </c>
      <c r="Z3539">
        <v>2.8231440000000001E-3</v>
      </c>
      <c r="AA3539">
        <v>0.97974870000000003</v>
      </c>
      <c r="AB3539">
        <v>13</v>
      </c>
      <c r="AC3539">
        <v>160.25040000000001</v>
      </c>
      <c r="AD3539">
        <v>-1.1635679999999999</v>
      </c>
      <c r="AE3539">
        <v>-15.5990999999999</v>
      </c>
      <c r="AF3539">
        <v>-32.252251868476101</v>
      </c>
      <c r="AG3539">
        <v>-1.1635679999999999</v>
      </c>
      <c r="AH3539">
        <v>157.73587829505499</v>
      </c>
      <c r="AI3539">
        <v>90.414078339918703</v>
      </c>
      <c r="AJ3539">
        <v>101.55598001667499</v>
      </c>
      <c r="AK3539">
        <v>161.00363021556601</v>
      </c>
      <c r="AL3539">
        <v>90.287059697864905</v>
      </c>
      <c r="AM3539">
        <v>91.840999415444699</v>
      </c>
      <c r="AN3539">
        <v>1.0000000165169201</v>
      </c>
    </row>
    <row r="3540" spans="1:40" x14ac:dyDescent="0.25">
      <c r="A3540" t="str">
        <f>"20190312154322496"</f>
        <v>20190312154322496</v>
      </c>
      <c r="B3540" t="str">
        <f>"1552376602491016"</f>
        <v>1552376602491016</v>
      </c>
      <c r="C3540" t="s">
        <v>40</v>
      </c>
      <c r="D3540">
        <v>4.3860199999999896</v>
      </c>
      <c r="E3540">
        <v>0.43461569999999999</v>
      </c>
      <c r="F3540" t="s">
        <v>42</v>
      </c>
      <c r="G3540">
        <v>-310.9821</v>
      </c>
      <c r="H3540">
        <v>-0.05</v>
      </c>
      <c r="I3540">
        <v>201.5522</v>
      </c>
      <c r="J3540">
        <v>-474.10210000000001</v>
      </c>
      <c r="K3540">
        <v>1.113556</v>
      </c>
      <c r="L3540">
        <v>216.7475</v>
      </c>
      <c r="M3540">
        <v>0.95795050000000004</v>
      </c>
      <c r="N3540">
        <v>0</v>
      </c>
      <c r="O3540">
        <v>-0.28658289999999997</v>
      </c>
      <c r="P3540">
        <v>0.96646399999999999</v>
      </c>
      <c r="Q3540">
        <v>-1.8850470000000001E-2</v>
      </c>
      <c r="R3540">
        <v>-0.25610929999999998</v>
      </c>
      <c r="S3540">
        <v>3.0327449999999998</v>
      </c>
      <c r="T3540">
        <v>-2.1616699999999999E-2</v>
      </c>
      <c r="U3540">
        <v>-0.28282170000000001</v>
      </c>
      <c r="V3540">
        <v>-3.16023E-2</v>
      </c>
      <c r="W3540">
        <v>-4.8920980000000001E-3</v>
      </c>
      <c r="X3540">
        <v>0.9994885</v>
      </c>
      <c r="Y3540">
        <v>-0.196404</v>
      </c>
      <c r="Z3540">
        <v>2.7083049999999998E-3</v>
      </c>
      <c r="AA3540">
        <v>0.98051940000000004</v>
      </c>
      <c r="AB3540">
        <v>13</v>
      </c>
      <c r="AC3540">
        <v>163.12</v>
      </c>
      <c r="AD3540">
        <v>-1.163556</v>
      </c>
      <c r="AE3540">
        <v>-15.1953</v>
      </c>
      <c r="AF3540">
        <v>-32.192670487752103</v>
      </c>
      <c r="AG3540">
        <v>-1.163556</v>
      </c>
      <c r="AH3540">
        <v>160.62364704082199</v>
      </c>
      <c r="AI3540">
        <v>90.406950049723804</v>
      </c>
      <c r="AJ3540">
        <v>101.33323359983299</v>
      </c>
      <c r="AK3540">
        <v>163.82209217438501</v>
      </c>
      <c r="AL3540">
        <v>90.280297700483302</v>
      </c>
      <c r="AM3540">
        <v>91.811001706762198</v>
      </c>
      <c r="AN3540">
        <v>0.99999994981018903</v>
      </c>
    </row>
    <row r="3541" spans="1:40" x14ac:dyDescent="0.25">
      <c r="A3541" t="str">
        <f>"20190312154322518"</f>
        <v>20190312154322518</v>
      </c>
      <c r="B3541" t="str">
        <f>"1552376602510536"</f>
        <v>1552376602510536</v>
      </c>
      <c r="C3541" t="s">
        <v>40</v>
      </c>
      <c r="D3541">
        <v>4.3726529999999997</v>
      </c>
      <c r="E3541">
        <v>0.4355078</v>
      </c>
      <c r="F3541" t="s">
        <v>51</v>
      </c>
      <c r="G3541">
        <v>-305.8972</v>
      </c>
      <c r="H3541" s="1">
        <v>3.1326100000000001E-6</v>
      </c>
      <c r="I3541">
        <v>202.03190000000001</v>
      </c>
      <c r="J3541">
        <v>-473.98169999999999</v>
      </c>
      <c r="K3541">
        <v>1.11355</v>
      </c>
      <c r="L3541">
        <v>216.72110000000001</v>
      </c>
      <c r="M3541">
        <v>0.96014310000000003</v>
      </c>
      <c r="N3541">
        <v>0</v>
      </c>
      <c r="O3541">
        <v>-0.27914939999999999</v>
      </c>
      <c r="P3541">
        <v>0.96842050000000002</v>
      </c>
      <c r="Q3541">
        <v>-1.8249910000000001E-2</v>
      </c>
      <c r="R3541">
        <v>-0.2486544</v>
      </c>
      <c r="S3541">
        <v>3.033417</v>
      </c>
      <c r="T3541">
        <v>-2.008188E-2</v>
      </c>
      <c r="U3541">
        <v>-0.26538089999999998</v>
      </c>
      <c r="V3541">
        <v>-3.1564719999999998E-2</v>
      </c>
      <c r="W3541">
        <v>-4.2963100000000002E-3</v>
      </c>
      <c r="X3541">
        <v>0.99949250000000001</v>
      </c>
      <c r="Y3541">
        <v>-0.19441739999999999</v>
      </c>
      <c r="Z3541">
        <v>2.4626890000000001E-3</v>
      </c>
      <c r="AA3541">
        <v>0.9809158</v>
      </c>
      <c r="AB3541">
        <v>13</v>
      </c>
      <c r="AC3541">
        <v>168.08449999999999</v>
      </c>
      <c r="AD3541">
        <v>-1.11354686739</v>
      </c>
      <c r="AE3541">
        <v>-14.6892</v>
      </c>
      <c r="AF3541">
        <v>-32.818819787175499</v>
      </c>
      <c r="AG3541">
        <v>-1.11354686739</v>
      </c>
      <c r="AH3541">
        <v>165.49506637188799</v>
      </c>
      <c r="AI3541">
        <v>90.378149869242193</v>
      </c>
      <c r="AJ3541">
        <v>101.216627817457</v>
      </c>
      <c r="AK3541">
        <v>168.721462512286</v>
      </c>
      <c r="AL3541">
        <v>90.246161181936998</v>
      </c>
      <c r="AM3541">
        <v>91.808842344177293</v>
      </c>
      <c r="AN3541">
        <v>1.0000000236922699</v>
      </c>
    </row>
    <row r="3542" spans="1:40" x14ac:dyDescent="0.25">
      <c r="A3542" t="str">
        <f>"20190312154322542"</f>
        <v>20190312154322542</v>
      </c>
      <c r="B3542" t="str">
        <f>"1552376602531032"</f>
        <v>1552376602531032</v>
      </c>
      <c r="C3542" t="s">
        <v>40</v>
      </c>
      <c r="D3542">
        <v>4.4339930000000001</v>
      </c>
      <c r="E3542">
        <v>0.43667289999999997</v>
      </c>
      <c r="F3542" t="s">
        <v>61</v>
      </c>
      <c r="G3542">
        <v>-356.69529999999997</v>
      </c>
      <c r="H3542">
        <v>0.48172540000000003</v>
      </c>
      <c r="I3542">
        <v>207.09450000000001</v>
      </c>
      <c r="J3542">
        <v>-473.85199999999998</v>
      </c>
      <c r="K3542">
        <v>1.1135409999999999</v>
      </c>
      <c r="L3542">
        <v>216.69380000000001</v>
      </c>
      <c r="M3542">
        <v>0.96243710000000005</v>
      </c>
      <c r="N3542">
        <v>0</v>
      </c>
      <c r="O3542">
        <v>-0.27113470000000001</v>
      </c>
      <c r="P3542">
        <v>0.97044750000000002</v>
      </c>
      <c r="Q3542">
        <v>-1.6708279999999999E-2</v>
      </c>
      <c r="R3542">
        <v>-0.24073339999999999</v>
      </c>
      <c r="S3542">
        <v>3.03363</v>
      </c>
      <c r="T3542">
        <v>-1.634097E-2</v>
      </c>
      <c r="U3542">
        <v>-0.24899289999999999</v>
      </c>
      <c r="V3542">
        <v>-3.1416199999999998E-2</v>
      </c>
      <c r="W3542">
        <v>-2.7589590000000001E-3</v>
      </c>
      <c r="X3542">
        <v>0.99950260000000002</v>
      </c>
      <c r="Y3542">
        <v>-0.19150900000000001</v>
      </c>
      <c r="Z3542">
        <v>1.9551579999999998E-3</v>
      </c>
      <c r="AA3542">
        <v>0.9814889</v>
      </c>
      <c r="AB3542">
        <v>13</v>
      </c>
      <c r="AC3542">
        <v>117.1567</v>
      </c>
      <c r="AD3542">
        <v>-0.63181559999999903</v>
      </c>
      <c r="AE3542">
        <v>-9.5992999999999995</v>
      </c>
      <c r="AF3542">
        <v>-22.528135463576199</v>
      </c>
      <c r="AG3542">
        <v>-0.63181559999999903</v>
      </c>
      <c r="AH3542">
        <v>115.36690894968901</v>
      </c>
      <c r="AI3542">
        <v>90.307964940702107</v>
      </c>
      <c r="AJ3542">
        <v>101.04932150437899</v>
      </c>
      <c r="AK3542">
        <v>117.54760635173901</v>
      </c>
      <c r="AL3542">
        <v>90.158076904177804</v>
      </c>
      <c r="AM3542">
        <v>91.800318716727006</v>
      </c>
      <c r="AN3542">
        <v>1.0000000184419799</v>
      </c>
    </row>
    <row r="3543" spans="1:40" x14ac:dyDescent="0.25">
      <c r="A3543" t="str">
        <f>"20190312154322564"</f>
        <v>20190312154322564</v>
      </c>
      <c r="B3543" t="str">
        <f>"1552376602550552"</f>
        <v>1552376602550552</v>
      </c>
      <c r="C3543" t="s">
        <v>40</v>
      </c>
      <c r="D3543">
        <v>4.4663680000000001</v>
      </c>
      <c r="E3543">
        <v>0.45489079999999898</v>
      </c>
      <c r="F3543" t="s">
        <v>42</v>
      </c>
      <c r="G3543">
        <v>-222.30199999999999</v>
      </c>
      <c r="H3543">
        <v>-0.05</v>
      </c>
      <c r="I3543">
        <v>197.35579999999999</v>
      </c>
      <c r="J3543">
        <v>-473.7294</v>
      </c>
      <c r="K3543">
        <v>1.113532</v>
      </c>
      <c r="L3543">
        <v>216.66900000000001</v>
      </c>
      <c r="M3543">
        <v>0.96454070000000003</v>
      </c>
      <c r="N3543">
        <v>0</v>
      </c>
      <c r="O3543">
        <v>-0.26355430000000002</v>
      </c>
      <c r="P3543">
        <v>0.97225059999999996</v>
      </c>
      <c r="Q3543">
        <v>-1.5703040000000001E-2</v>
      </c>
      <c r="R3543">
        <v>-0.23341519999999999</v>
      </c>
      <c r="S3543">
        <v>3.0332949999999999</v>
      </c>
      <c r="T3543">
        <v>-1.403046E-2</v>
      </c>
      <c r="U3543">
        <v>-0.2331848</v>
      </c>
      <c r="V3543">
        <v>-3.1094090000000001E-2</v>
      </c>
      <c r="W3543">
        <v>-1.7566379999999901E-3</v>
      </c>
      <c r="X3543">
        <v>0.99951489999999998</v>
      </c>
      <c r="Y3543">
        <v>-0.18886220000000001</v>
      </c>
      <c r="Z3543">
        <v>1.639511E-3</v>
      </c>
      <c r="AA3543">
        <v>0.98200229999999999</v>
      </c>
      <c r="AB3543">
        <v>13</v>
      </c>
      <c r="AC3543">
        <v>251.42740000000001</v>
      </c>
      <c r="AD3543">
        <v>-1.163532</v>
      </c>
      <c r="AE3543">
        <v>-19.313199999999998</v>
      </c>
      <c r="AF3543">
        <v>-47.640163846217199</v>
      </c>
      <c r="AG3543">
        <v>-1.163532</v>
      </c>
      <c r="AH3543">
        <v>247.62157504292799</v>
      </c>
      <c r="AI3543">
        <v>90.264372956706595</v>
      </c>
      <c r="AJ3543">
        <v>100.890130248056</v>
      </c>
      <c r="AK3543">
        <v>252.16538906985201</v>
      </c>
      <c r="AL3543">
        <v>90.100647997130395</v>
      </c>
      <c r="AM3543">
        <v>91.7818501136815</v>
      </c>
      <c r="AN3543">
        <v>0.99999998176600002</v>
      </c>
    </row>
    <row r="3544" spans="1:40" x14ac:dyDescent="0.25">
      <c r="A3544" t="str">
        <f>"20190312154322587"</f>
        <v>20190312154322587</v>
      </c>
      <c r="B3544" t="str">
        <f>"1552376602580808"</f>
        <v>1552376602580808</v>
      </c>
      <c r="C3544" t="s">
        <v>40</v>
      </c>
      <c r="D3544">
        <v>4.4510820000000004</v>
      </c>
      <c r="E3544">
        <v>0.45651170000000002</v>
      </c>
      <c r="F3544" t="s">
        <v>50</v>
      </c>
      <c r="G3544">
        <v>-393.6336</v>
      </c>
      <c r="H3544">
        <v>8.0000390000000005E-2</v>
      </c>
      <c r="I3544">
        <v>207.30879999999999</v>
      </c>
      <c r="J3544">
        <v>-473.5985</v>
      </c>
      <c r="K3544">
        <v>1.113529</v>
      </c>
      <c r="L3544">
        <v>216.64349999999999</v>
      </c>
      <c r="M3544">
        <v>0.96671759999999995</v>
      </c>
      <c r="N3544">
        <v>0</v>
      </c>
      <c r="O3544">
        <v>-0.25545390000000001</v>
      </c>
      <c r="P3544">
        <v>0.97415909999999994</v>
      </c>
      <c r="Q3544">
        <v>-1.4010709999999999E-2</v>
      </c>
      <c r="R3544">
        <v>-0.2254284</v>
      </c>
      <c r="S3544">
        <v>3.0007929999999998</v>
      </c>
      <c r="T3544">
        <v>-3.8721319999999997E-2</v>
      </c>
      <c r="U3544">
        <v>-0.35067749999999998</v>
      </c>
      <c r="V3544">
        <v>-3.0931139999999999E-2</v>
      </c>
      <c r="W3544" s="1">
        <v>-6.8537539999999995E-5</v>
      </c>
      <c r="X3544">
        <v>0.99952149999999995</v>
      </c>
      <c r="Y3544">
        <v>-0.14150090000000001</v>
      </c>
      <c r="Z3544">
        <v>4.1552849999999999E-3</v>
      </c>
      <c r="AA3544">
        <v>0.98992939999999996</v>
      </c>
      <c r="AB3544">
        <v>13</v>
      </c>
      <c r="AC3544">
        <v>79.9649</v>
      </c>
      <c r="AD3544">
        <v>-1.0335286100000001</v>
      </c>
      <c r="AE3544">
        <v>-9.3346999999999891</v>
      </c>
      <c r="AF3544">
        <v>-11.4025903037027</v>
      </c>
      <c r="AG3544">
        <v>-1.0335286100000001</v>
      </c>
      <c r="AH3544">
        <v>79.682915080313904</v>
      </c>
      <c r="AI3544">
        <v>90.735621382191695</v>
      </c>
      <c r="AJ3544">
        <v>98.143713733873795</v>
      </c>
      <c r="AK3544">
        <v>80.501268329873596</v>
      </c>
      <c r="AL3544">
        <v>90.003926911844005</v>
      </c>
      <c r="AM3544">
        <v>91.772506522380695</v>
      </c>
      <c r="AN3544">
        <v>0.99999998454067096</v>
      </c>
    </row>
    <row r="3545" spans="1:40" x14ac:dyDescent="0.25">
      <c r="A3545" t="str">
        <f>"20190312154322611"</f>
        <v>20190312154322611</v>
      </c>
      <c r="B3545" t="str">
        <f>"1552376602601304"</f>
        <v>1552376602601304</v>
      </c>
      <c r="C3545" t="s">
        <v>40</v>
      </c>
      <c r="D3545">
        <v>4.3633759999999997</v>
      </c>
      <c r="E3545">
        <v>0.43314819999999998</v>
      </c>
      <c r="F3545" t="s">
        <v>50</v>
      </c>
      <c r="G3545">
        <v>-389.2201</v>
      </c>
      <c r="H3545">
        <v>8.0000550000000004E-2</v>
      </c>
      <c r="I3545">
        <v>207.12870000000001</v>
      </c>
      <c r="J3545">
        <v>-473.47050000000002</v>
      </c>
      <c r="K3545">
        <v>1.113524</v>
      </c>
      <c r="L3545">
        <v>216.6199</v>
      </c>
      <c r="M3545">
        <v>0.96877679999999999</v>
      </c>
      <c r="N3545">
        <v>0</v>
      </c>
      <c r="O3545">
        <v>-0.2475311</v>
      </c>
      <c r="P3545">
        <v>0.9758502</v>
      </c>
      <c r="Q3545">
        <v>-1.134422E-2</v>
      </c>
      <c r="R3545">
        <v>-0.2181468</v>
      </c>
      <c r="S3545">
        <v>3.0007630000000001</v>
      </c>
      <c r="T3545">
        <v>-3.675556E-2</v>
      </c>
      <c r="U3545">
        <v>-0.33837889999999998</v>
      </c>
      <c r="V3545">
        <v>-3.023851E-2</v>
      </c>
      <c r="W3545">
        <v>2.597631E-3</v>
      </c>
      <c r="X3545">
        <v>0.99953930000000002</v>
      </c>
      <c r="Y3545">
        <v>-0.13740250000000001</v>
      </c>
      <c r="Z3545">
        <v>3.8270410000000002E-3</v>
      </c>
      <c r="AA3545">
        <v>0.9905079</v>
      </c>
      <c r="AB3545">
        <v>13</v>
      </c>
      <c r="AC3545">
        <v>84.250399999999999</v>
      </c>
      <c r="AD3545">
        <v>-1.0335234499999999</v>
      </c>
      <c r="AE3545">
        <v>-9.4911999999999903</v>
      </c>
      <c r="AF3545">
        <v>-11.659172635795899</v>
      </c>
      <c r="AG3545">
        <v>-1.0335234499999999</v>
      </c>
      <c r="AH3545">
        <v>83.965115409332398</v>
      </c>
      <c r="AI3545">
        <v>90.698514651039503</v>
      </c>
      <c r="AJ3545">
        <v>97.905389324766105</v>
      </c>
      <c r="AK3545">
        <v>84.777031576810302</v>
      </c>
      <c r="AL3545">
        <v>89.851166534185694</v>
      </c>
      <c r="AM3545">
        <v>91.732809050941597</v>
      </c>
      <c r="AN3545">
        <v>0.99999996370916</v>
      </c>
    </row>
    <row r="3546" spans="1:40" x14ac:dyDescent="0.25">
      <c r="A3546" t="str">
        <f>"20190312154322632"</f>
        <v>20190312154322632</v>
      </c>
      <c r="B3546" t="str">
        <f>"1552376602620354"</f>
        <v>1552376602620354</v>
      </c>
      <c r="C3546" t="s">
        <v>40</v>
      </c>
      <c r="D3546">
        <v>4.4260679999999999</v>
      </c>
      <c r="E3546">
        <v>0.42538609999999999</v>
      </c>
      <c r="F3546" t="s">
        <v>62</v>
      </c>
      <c r="G3546">
        <v>-168.41210000000001</v>
      </c>
      <c r="H3546">
        <v>1.4901139999999999</v>
      </c>
      <c r="I3546">
        <v>203.0625</v>
      </c>
      <c r="J3546">
        <v>-473.34930000000003</v>
      </c>
      <c r="K3546">
        <v>1.1135250000000001</v>
      </c>
      <c r="L3546">
        <v>216.5985</v>
      </c>
      <c r="M3546">
        <v>0.97066490000000005</v>
      </c>
      <c r="N3546">
        <v>0</v>
      </c>
      <c r="O3546">
        <v>-0.2400205</v>
      </c>
      <c r="P3546">
        <v>0.97721170000000002</v>
      </c>
      <c r="Q3546">
        <v>-9.271339E-3</v>
      </c>
      <c r="R3546">
        <v>-0.21206549999999999</v>
      </c>
      <c r="S3546">
        <v>3.0440670000000001</v>
      </c>
      <c r="T3546">
        <v>3.758192E-3</v>
      </c>
      <c r="U3546">
        <v>-0.1352844</v>
      </c>
      <c r="V3546">
        <v>-2.8740729999999999E-2</v>
      </c>
      <c r="W3546">
        <v>4.6761509999999999E-3</v>
      </c>
      <c r="X3546">
        <v>0.99957600000000002</v>
      </c>
      <c r="Y3546">
        <v>-0.1967074</v>
      </c>
      <c r="Z3546">
        <v>-4.1498780000000002E-4</v>
      </c>
      <c r="AA3546">
        <v>0.9804621</v>
      </c>
      <c r="AB3546">
        <v>13</v>
      </c>
      <c r="AC3546">
        <v>304.93720000000002</v>
      </c>
      <c r="AD3546">
        <v>0.37658899999999901</v>
      </c>
      <c r="AE3546">
        <v>-13.536</v>
      </c>
      <c r="AF3546">
        <v>-60.058168173074897</v>
      </c>
      <c r="AG3546">
        <v>0.37658899999999901</v>
      </c>
      <c r="AH3546">
        <v>299.270199047002</v>
      </c>
      <c r="AI3546">
        <v>89.929310836265202</v>
      </c>
      <c r="AJ3546">
        <v>101.347505151937</v>
      </c>
      <c r="AK3546">
        <v>305.23724776182303</v>
      </c>
      <c r="AL3546">
        <v>89.732075317048199</v>
      </c>
      <c r="AM3546">
        <v>91.646967269647106</v>
      </c>
      <c r="AN3546">
        <v>1.00000003786255</v>
      </c>
    </row>
    <row r="3547" spans="1:40" x14ac:dyDescent="0.25">
      <c r="A3547" t="str">
        <f>"20190312154322654"</f>
        <v>20190312154322654</v>
      </c>
      <c r="B3547" t="str">
        <f>"1552376602640851"</f>
        <v>1552376602640851</v>
      </c>
      <c r="C3547" t="s">
        <v>40</v>
      </c>
      <c r="D3547">
        <v>4.4242730000000003</v>
      </c>
      <c r="E3547">
        <v>0.42431410000000003</v>
      </c>
      <c r="F3547" t="s">
        <v>62</v>
      </c>
      <c r="G3547">
        <v>-121.253</v>
      </c>
      <c r="H3547">
        <v>1.1963859999999999</v>
      </c>
      <c r="I3547">
        <v>210.21029999999999</v>
      </c>
      <c r="J3547">
        <v>-473.22949999999997</v>
      </c>
      <c r="K3547">
        <v>1.113518</v>
      </c>
      <c r="L3547">
        <v>216.57820000000001</v>
      </c>
      <c r="M3547">
        <v>0.9724718</v>
      </c>
      <c r="N3547">
        <v>0</v>
      </c>
      <c r="O3547">
        <v>-0.23259189999999999</v>
      </c>
      <c r="P3547">
        <v>0.9783328</v>
      </c>
      <c r="Q3547">
        <v>-8.2695819999999993E-3</v>
      </c>
      <c r="R3547">
        <v>-0.20687449999999999</v>
      </c>
      <c r="S3547">
        <v>3.057922</v>
      </c>
      <c r="T3547">
        <v>7.1990490000000003E-4</v>
      </c>
      <c r="U3547">
        <v>-5.5480960000000003E-2</v>
      </c>
      <c r="V3547">
        <v>-2.6413590000000001E-2</v>
      </c>
      <c r="W3547">
        <v>5.6889389999999996E-3</v>
      </c>
      <c r="X3547">
        <v>0.99963489999999999</v>
      </c>
      <c r="Y3547">
        <v>-0.21493409999999999</v>
      </c>
      <c r="Z3547" s="1">
        <v>-7.9646940000000001E-5</v>
      </c>
      <c r="AA3547">
        <v>0.97662850000000001</v>
      </c>
      <c r="AB3547">
        <v>13</v>
      </c>
      <c r="AC3547">
        <v>351.97649999999999</v>
      </c>
      <c r="AD3547">
        <v>8.28679999999999E-2</v>
      </c>
      <c r="AE3547">
        <v>-6.3679000000000103</v>
      </c>
      <c r="AF3547">
        <v>-75.681829182225499</v>
      </c>
      <c r="AG3547">
        <v>8.28679999999999E-2</v>
      </c>
      <c r="AH3547">
        <v>343.80263771542297</v>
      </c>
      <c r="AI3547">
        <v>89.986512707579806</v>
      </c>
      <c r="AJ3547">
        <v>102.41461106763001</v>
      </c>
      <c r="AK3547">
        <v>352.03408902484898</v>
      </c>
      <c r="AL3547">
        <v>89.674046043114998</v>
      </c>
      <c r="AM3547">
        <v>91.5135877778295</v>
      </c>
      <c r="AN3547">
        <v>0.99999998753082098</v>
      </c>
    </row>
    <row r="3548" spans="1:40" x14ac:dyDescent="0.25">
      <c r="A3548" t="str">
        <f>"20190312154322677"</f>
        <v>20190312154322677</v>
      </c>
      <c r="B3548" t="str">
        <f>"1552376602671106"</f>
        <v>1552376602671106</v>
      </c>
      <c r="C3548" t="s">
        <v>40</v>
      </c>
      <c r="D3548">
        <v>4.4195010000000003</v>
      </c>
      <c r="E3548">
        <v>0.42459950000000002</v>
      </c>
      <c r="F3548" t="s">
        <v>42</v>
      </c>
      <c r="G3548">
        <v>-91.016720000000007</v>
      </c>
      <c r="H3548">
        <v>-0.05</v>
      </c>
      <c r="I3548">
        <v>212.82169999999999</v>
      </c>
      <c r="J3548">
        <v>-473.0994</v>
      </c>
      <c r="K3548">
        <v>1.1135109999999999</v>
      </c>
      <c r="L3548">
        <v>216.5573</v>
      </c>
      <c r="M3548">
        <v>0.97436750000000005</v>
      </c>
      <c r="N3548">
        <v>0</v>
      </c>
      <c r="O3548">
        <v>-0.2245182</v>
      </c>
      <c r="P3548">
        <v>0.97952760000000005</v>
      </c>
      <c r="Q3548">
        <v>-7.4998979999999996E-3</v>
      </c>
      <c r="R3548">
        <v>-0.20117070000000001</v>
      </c>
      <c r="S3548">
        <v>3.0599980000000002</v>
      </c>
      <c r="T3548">
        <v>-9.3151329999999997E-3</v>
      </c>
      <c r="U3548">
        <v>-3.0075069999999999E-2</v>
      </c>
      <c r="V3548">
        <v>-2.3952859999999999E-2</v>
      </c>
      <c r="W3548">
        <v>6.4699850000000001E-3</v>
      </c>
      <c r="X3548">
        <v>0.99969209999999997</v>
      </c>
      <c r="Y3548">
        <v>-0.21495069999999999</v>
      </c>
      <c r="Z3548">
        <v>1.0060760000000001E-3</v>
      </c>
      <c r="AA3548">
        <v>0.97662439999999995</v>
      </c>
      <c r="AB3548">
        <v>13</v>
      </c>
      <c r="AC3548">
        <v>382.08267999999998</v>
      </c>
      <c r="AD3548">
        <v>-1.163511</v>
      </c>
      <c r="AE3548">
        <v>-3.7355999999999998</v>
      </c>
      <c r="AF3548">
        <v>-82.152103924230801</v>
      </c>
      <c r="AG3548">
        <v>-1.163511</v>
      </c>
      <c r="AH3548">
        <v>373.16143075903</v>
      </c>
      <c r="AI3548">
        <v>90.174468771613505</v>
      </c>
      <c r="AJ3548">
        <v>102.41570592687999</v>
      </c>
      <c r="AK3548">
        <v>382.09916951382098</v>
      </c>
      <c r="AL3548">
        <v>89.629294560164197</v>
      </c>
      <c r="AM3548">
        <v>91.3725578582835</v>
      </c>
      <c r="AN3548">
        <v>0.99999994750524301</v>
      </c>
    </row>
    <row r="3549" spans="1:40" x14ac:dyDescent="0.25">
      <c r="A3549" t="str">
        <f>"20190312154322697"</f>
        <v>20190312154322697</v>
      </c>
      <c r="B3549" t="str">
        <f>"1552376602690626"</f>
        <v>1552376602690626</v>
      </c>
      <c r="C3549" t="s">
        <v>40</v>
      </c>
      <c r="D3549">
        <v>4.4709289999999999</v>
      </c>
      <c r="E3549">
        <v>0.42512070000000002</v>
      </c>
      <c r="F3549" t="s">
        <v>50</v>
      </c>
      <c r="G3549">
        <v>-279.33330000000001</v>
      </c>
      <c r="H3549" s="1">
        <v>3.38349E-6</v>
      </c>
      <c r="I3549">
        <v>215.679</v>
      </c>
      <c r="J3549">
        <v>-472.98649999999998</v>
      </c>
      <c r="K3549">
        <v>1.1135010000000001</v>
      </c>
      <c r="L3549">
        <v>216.5401</v>
      </c>
      <c r="M3549">
        <v>0.97595529999999997</v>
      </c>
      <c r="N3549">
        <v>0</v>
      </c>
      <c r="O3549">
        <v>-0.2175125</v>
      </c>
      <c r="P3549">
        <v>0.98044279999999995</v>
      </c>
      <c r="Q3549">
        <v>-6.4265779999999996E-3</v>
      </c>
      <c r="R3549">
        <v>-0.19669900000000001</v>
      </c>
      <c r="S3549">
        <v>3.0597530000000002</v>
      </c>
      <c r="T3549">
        <v>-1.7583370000000001E-2</v>
      </c>
      <c r="U3549">
        <v>-1.3870240000000001E-2</v>
      </c>
      <c r="V3549">
        <v>-2.1341309999999999E-2</v>
      </c>
      <c r="W3549">
        <v>7.5561919999999998E-3</v>
      </c>
      <c r="X3549">
        <v>0.99974370000000001</v>
      </c>
      <c r="Y3549">
        <v>-0.2131004</v>
      </c>
      <c r="Z3549">
        <v>1.8546509999999999E-3</v>
      </c>
      <c r="AA3549">
        <v>0.97702849999999997</v>
      </c>
      <c r="AB3549">
        <v>13</v>
      </c>
      <c r="AC3549">
        <v>193.6532</v>
      </c>
      <c r="AD3549">
        <v>-1.1134976165099999</v>
      </c>
      <c r="AE3549">
        <v>-0.86109999999999298</v>
      </c>
      <c r="AF3549">
        <v>-41.284351431889299</v>
      </c>
      <c r="AG3549">
        <v>-1.1134976165099999</v>
      </c>
      <c r="AH3549">
        <v>189.19679188449501</v>
      </c>
      <c r="AI3549">
        <v>90.329452285426996</v>
      </c>
      <c r="AJ3549">
        <v>102.30947604318401</v>
      </c>
      <c r="AK3549">
        <v>193.651913518763</v>
      </c>
      <c r="AL3549">
        <v>89.567057972129803</v>
      </c>
      <c r="AM3549">
        <v>91.222894738747101</v>
      </c>
      <c r="AN3549">
        <v>1.00000000661987</v>
      </c>
    </row>
    <row r="3550" spans="1:40" x14ac:dyDescent="0.25">
      <c r="A3550" t="str">
        <f>"20190312154322720"</f>
        <v>20190312154322720</v>
      </c>
      <c r="B3550" t="str">
        <f>"1552376602711122"</f>
        <v>1552376602711122</v>
      </c>
      <c r="C3550" t="s">
        <v>40</v>
      </c>
      <c r="D3550">
        <v>4.4467499999999998</v>
      </c>
      <c r="E3550">
        <v>0.42562030000000001</v>
      </c>
      <c r="F3550" t="s">
        <v>51</v>
      </c>
      <c r="G3550">
        <v>-305.79660000000001</v>
      </c>
      <c r="H3550" s="1">
        <v>1.6250450000000001E-6</v>
      </c>
      <c r="I3550">
        <v>216.3391</v>
      </c>
      <c r="J3550">
        <v>-472.86250000000001</v>
      </c>
      <c r="K3550">
        <v>1.1134869999999999</v>
      </c>
      <c r="L3550">
        <v>216.52209999999999</v>
      </c>
      <c r="M3550">
        <v>0.97763739999999999</v>
      </c>
      <c r="N3550">
        <v>0</v>
      </c>
      <c r="O3550">
        <v>-0.20982339999999999</v>
      </c>
      <c r="P3550">
        <v>0.98158109999999998</v>
      </c>
      <c r="Q3550">
        <v>-5.3596719999999898E-3</v>
      </c>
      <c r="R3550">
        <v>-0.1909711</v>
      </c>
      <c r="S3550">
        <v>3.058929</v>
      </c>
      <c r="T3550">
        <v>-2.0372749999999998E-2</v>
      </c>
      <c r="U3550">
        <v>-3.6773679999999999E-3</v>
      </c>
      <c r="V3550">
        <v>-1.9316489999999999E-2</v>
      </c>
      <c r="W3550">
        <v>8.6314229999999992E-3</v>
      </c>
      <c r="X3550">
        <v>0.9997762</v>
      </c>
      <c r="Y3550">
        <v>-0.2086595</v>
      </c>
      <c r="Z3550">
        <v>2.0844930000000002E-3</v>
      </c>
      <c r="AA3550">
        <v>0.97798609999999997</v>
      </c>
      <c r="AB3550">
        <v>13</v>
      </c>
      <c r="AC3550">
        <v>167.0659</v>
      </c>
      <c r="AD3550">
        <v>-1.113485374955</v>
      </c>
      <c r="AE3550">
        <v>-0.182999999999992</v>
      </c>
      <c r="AF3550">
        <v>-34.877353284533498</v>
      </c>
      <c r="AG3550">
        <v>-1.113485374955</v>
      </c>
      <c r="AH3550">
        <v>163.37729072773001</v>
      </c>
      <c r="AI3550">
        <v>90.381884415029106</v>
      </c>
      <c r="AJ3550">
        <v>102.050468009338</v>
      </c>
      <c r="AK3550">
        <v>167.06229002185901</v>
      </c>
      <c r="AL3550">
        <v>89.505449769362897</v>
      </c>
      <c r="AM3550">
        <v>91.106863384127394</v>
      </c>
      <c r="AN3550">
        <v>1.00000003916768</v>
      </c>
    </row>
    <row r="3551" spans="1:40" x14ac:dyDescent="0.25">
      <c r="A3551" t="str">
        <f>"20190312154322742"</f>
        <v>20190312154322742</v>
      </c>
      <c r="B3551" t="str">
        <f>"1552376602730642"</f>
        <v>1552376602730642</v>
      </c>
      <c r="C3551" t="s">
        <v>40</v>
      </c>
      <c r="D3551">
        <v>4.5133660000000004</v>
      </c>
      <c r="E3551">
        <v>0.42611379999999999</v>
      </c>
      <c r="F3551" t="s">
        <v>51</v>
      </c>
      <c r="G3551">
        <v>-299.92340000000002</v>
      </c>
      <c r="H3551" s="1">
        <v>2.6546500000000001E-6</v>
      </c>
      <c r="I3551">
        <v>217.1063</v>
      </c>
      <c r="J3551">
        <v>-472.74209999999999</v>
      </c>
      <c r="K3551">
        <v>1.113467</v>
      </c>
      <c r="L3551">
        <v>216.50559999999999</v>
      </c>
      <c r="M3551">
        <v>0.979209</v>
      </c>
      <c r="N3551">
        <v>0</v>
      </c>
      <c r="O3551">
        <v>-0.2023626</v>
      </c>
      <c r="P3551">
        <v>0.98265690000000006</v>
      </c>
      <c r="Q3551">
        <v>-4.7792959999999997E-3</v>
      </c>
      <c r="R3551">
        <v>-0.18537210000000001</v>
      </c>
      <c r="S3551">
        <v>3.0582579999999999</v>
      </c>
      <c r="T3551">
        <v>-1.9690869999999999E-2</v>
      </c>
      <c r="U3551">
        <v>1.0330199999999999E-2</v>
      </c>
      <c r="V3551">
        <v>-1.7397039999999999E-2</v>
      </c>
      <c r="W3551">
        <v>9.2183879999999992E-3</v>
      </c>
      <c r="X3551">
        <v>0.99980619999999998</v>
      </c>
      <c r="Y3551">
        <v>-0.205681</v>
      </c>
      <c r="Z3551">
        <v>1.9584820000000001E-3</v>
      </c>
      <c r="AA3551">
        <v>0.97861710000000002</v>
      </c>
      <c r="AB3551">
        <v>13</v>
      </c>
      <c r="AC3551">
        <v>172.81869999999901</v>
      </c>
      <c r="AD3551">
        <v>-1.1134643453499999</v>
      </c>
      <c r="AE3551">
        <v>0.600700000000017</v>
      </c>
      <c r="AF3551">
        <v>-35.562316843416198</v>
      </c>
      <c r="AG3551">
        <v>-1.1134643453499999</v>
      </c>
      <c r="AH3551">
        <v>169.11388494029799</v>
      </c>
      <c r="AI3551">
        <v>90.369162525025303</v>
      </c>
      <c r="AJ3551">
        <v>101.875483857239</v>
      </c>
      <c r="AK3551">
        <v>172.81615740931201</v>
      </c>
      <c r="AL3551">
        <v>89.4718178121432</v>
      </c>
      <c r="AM3551">
        <v>90.996869580118499</v>
      </c>
      <c r="AN3551">
        <v>1.00000003661825</v>
      </c>
    </row>
    <row r="3552" spans="1:40" x14ac:dyDescent="0.25">
      <c r="A3552" t="str">
        <f>"20190312154322764"</f>
        <v>20190312154322764</v>
      </c>
      <c r="B3552" t="str">
        <f>"1552376602760898"</f>
        <v>1552376602760898</v>
      </c>
      <c r="C3552" t="s">
        <v>40</v>
      </c>
      <c r="D3552">
        <v>4.566497</v>
      </c>
      <c r="E3552">
        <v>0.42765890000000001</v>
      </c>
      <c r="F3552" t="s">
        <v>51</v>
      </c>
      <c r="G3552">
        <v>-313.82319999999999</v>
      </c>
      <c r="H3552" s="1">
        <v>2.6010799999999998E-6</v>
      </c>
      <c r="I3552">
        <v>217.75790000000001</v>
      </c>
      <c r="J3552">
        <v>-472.62020000000001</v>
      </c>
      <c r="K3552">
        <v>1.113429</v>
      </c>
      <c r="L3552">
        <v>216.4897</v>
      </c>
      <c r="M3552">
        <v>0.98073540000000003</v>
      </c>
      <c r="N3552">
        <v>0</v>
      </c>
      <c r="O3552">
        <v>-0.19483149999999999</v>
      </c>
      <c r="P3552">
        <v>0.9837555</v>
      </c>
      <c r="Q3552">
        <v>-4.1958389999999998E-3</v>
      </c>
      <c r="R3552">
        <v>-0.179465299999999</v>
      </c>
      <c r="S3552">
        <v>3.057404</v>
      </c>
      <c r="T3552">
        <v>-2.142167E-2</v>
      </c>
      <c r="U3552">
        <v>2.4093630000000001E-2</v>
      </c>
      <c r="V3552">
        <v>-1.572308E-2</v>
      </c>
      <c r="W3552">
        <v>9.8043939999999993E-3</v>
      </c>
      <c r="X3552">
        <v>0.9998283</v>
      </c>
      <c r="Y3552">
        <v>-0.2025642</v>
      </c>
      <c r="Z3552">
        <v>2.0684520000000001E-3</v>
      </c>
      <c r="AA3552">
        <v>0.97926679999999999</v>
      </c>
      <c r="AB3552">
        <v>13</v>
      </c>
      <c r="AC3552">
        <v>158.797</v>
      </c>
      <c r="AD3552">
        <v>-1.1134263989199999</v>
      </c>
      <c r="AE3552">
        <v>1.2682</v>
      </c>
      <c r="AF3552">
        <v>-32.184042971614303</v>
      </c>
      <c r="AG3552">
        <v>-1.1134263989199999</v>
      </c>
      <c r="AH3552">
        <v>155.49856483058201</v>
      </c>
      <c r="AI3552">
        <v>90.401737373378495</v>
      </c>
      <c r="AJ3552">
        <v>101.693583081554</v>
      </c>
      <c r="AK3552">
        <v>158.798161213269</v>
      </c>
      <c r="AL3552">
        <v>89.438240594727802</v>
      </c>
      <c r="AM3552">
        <v>90.900946567043405</v>
      </c>
      <c r="AN3552">
        <v>0.99999998543364099</v>
      </c>
    </row>
    <row r="3553" spans="1:40" x14ac:dyDescent="0.25">
      <c r="A3553" t="str">
        <f>"20190312154322789"</f>
        <v>20190312154322789</v>
      </c>
      <c r="B3553" t="str">
        <f>"1552376602780417"</f>
        <v>1552376602780417</v>
      </c>
      <c r="C3553" t="s">
        <v>40</v>
      </c>
      <c r="D3553">
        <v>4.815823</v>
      </c>
      <c r="E3553">
        <v>0.43888769999999999</v>
      </c>
      <c r="F3553" t="s">
        <v>50</v>
      </c>
      <c r="G3553">
        <v>-366.67450000000002</v>
      </c>
      <c r="H3553" s="1">
        <v>2.0150490000000001E-6</v>
      </c>
      <c r="I3553">
        <v>217.5592</v>
      </c>
      <c r="J3553">
        <v>-472.48750000000001</v>
      </c>
      <c r="K3553">
        <v>1.1133820000000001</v>
      </c>
      <c r="L3553">
        <v>216.4735</v>
      </c>
      <c r="M3553">
        <v>0.98231780000000002</v>
      </c>
      <c r="N3553">
        <v>0</v>
      </c>
      <c r="O3553">
        <v>-0.18668979999999999</v>
      </c>
      <c r="P3553">
        <v>0.9849424</v>
      </c>
      <c r="Q3553">
        <v>-3.037648E-3</v>
      </c>
      <c r="R3553">
        <v>-0.1728556</v>
      </c>
      <c r="S3553">
        <v>3.0550229999999998</v>
      </c>
      <c r="T3553">
        <v>-3.210652E-2</v>
      </c>
      <c r="U3553">
        <v>3.0838009999999999E-2</v>
      </c>
      <c r="V3553">
        <v>-1.41496E-2</v>
      </c>
      <c r="W3553">
        <v>1.096257E-2</v>
      </c>
      <c r="X3553">
        <v>0.99983979999999995</v>
      </c>
      <c r="Y3553">
        <v>-0.19659399999999999</v>
      </c>
      <c r="Z3553">
        <v>2.986842E-3</v>
      </c>
      <c r="AA3553">
        <v>0.98048040000000003</v>
      </c>
      <c r="AB3553">
        <v>13</v>
      </c>
      <c r="AC3553">
        <v>105.813</v>
      </c>
      <c r="AD3553">
        <v>-1.11337998495099</v>
      </c>
      <c r="AE3553">
        <v>1.0857000000000001</v>
      </c>
      <c r="AF3553">
        <v>-20.820473747019999</v>
      </c>
      <c r="AG3553">
        <v>-1.11337998495099</v>
      </c>
      <c r="AH3553">
        <v>103.73812591370501</v>
      </c>
      <c r="AI3553">
        <v>90.602887391551207</v>
      </c>
      <c r="AJ3553">
        <v>101.348614853464</v>
      </c>
      <c r="AK3553">
        <v>105.812714312265</v>
      </c>
      <c r="AL3553">
        <v>89.371878429538896</v>
      </c>
      <c r="AM3553">
        <v>90.810788134661195</v>
      </c>
      <c r="AN3553">
        <v>1.0000000073926001</v>
      </c>
    </row>
    <row r="3554" spans="1:40" x14ac:dyDescent="0.25">
      <c r="A3554" t="str">
        <f>"20190312154322810"</f>
        <v>20190312154322810</v>
      </c>
      <c r="B3554" t="str">
        <f>"1552376602800914"</f>
        <v>1552376602800914</v>
      </c>
      <c r="C3554" t="s">
        <v>40</v>
      </c>
      <c r="D3554">
        <v>4.6238089999999996</v>
      </c>
      <c r="E3554">
        <v>0.43913099999999999</v>
      </c>
      <c r="F3554" t="s">
        <v>51</v>
      </c>
      <c r="G3554">
        <v>-427.25869999999998</v>
      </c>
      <c r="H3554" s="1">
        <v>2.5594640000000001E-6</v>
      </c>
      <c r="I3554">
        <v>215.96109999999999</v>
      </c>
      <c r="J3554">
        <v>-472.36590000000001</v>
      </c>
      <c r="K3554">
        <v>1.1133230000000001</v>
      </c>
      <c r="L3554">
        <v>216.45959999999999</v>
      </c>
      <c r="M3554">
        <v>0.98369249999999997</v>
      </c>
      <c r="N3554">
        <v>0</v>
      </c>
      <c r="O3554">
        <v>-0.17930689999999999</v>
      </c>
      <c r="P3554">
        <v>0.98609230000000003</v>
      </c>
      <c r="Q3554">
        <v>-1.6419309999999999E-3</v>
      </c>
      <c r="R3554">
        <v>-0.16619100000000001</v>
      </c>
      <c r="S3554">
        <v>3.0395810000000001</v>
      </c>
      <c r="T3554">
        <v>-7.4824210000000002E-2</v>
      </c>
      <c r="U3554">
        <v>-3.4439089999999999E-2</v>
      </c>
      <c r="V3554">
        <v>-1.340945E-2</v>
      </c>
      <c r="W3554">
        <v>1.235055E-2</v>
      </c>
      <c r="X3554">
        <v>0.99983379999999999</v>
      </c>
      <c r="Y3554">
        <v>-0.16806260000000001</v>
      </c>
      <c r="Z3554">
        <v>6.4625899999999998E-3</v>
      </c>
      <c r="AA3554">
        <v>0.9857551</v>
      </c>
      <c r="AB3554">
        <v>13</v>
      </c>
      <c r="AC3554">
        <v>45.107199999999999</v>
      </c>
      <c r="AD3554">
        <v>-1.113320440536</v>
      </c>
      <c r="AE3554">
        <v>-0.49850000000000699</v>
      </c>
      <c r="AF3554">
        <v>-7.5937887015173002</v>
      </c>
      <c r="AG3554">
        <v>-1.113320440536</v>
      </c>
      <c r="AH3554">
        <v>44.438335539763997</v>
      </c>
      <c r="AI3554">
        <v>91.414642224766297</v>
      </c>
      <c r="AJ3554">
        <v>99.697250110579006</v>
      </c>
      <c r="AK3554">
        <v>45.096239031556301</v>
      </c>
      <c r="AL3554">
        <v>89.292347611018201</v>
      </c>
      <c r="AM3554">
        <v>90.768386535601906</v>
      </c>
      <c r="AN3554">
        <v>0.99999998852852201</v>
      </c>
    </row>
    <row r="3555" spans="1:40" x14ac:dyDescent="0.25">
      <c r="A3555" t="str">
        <f>"20190312154322834"</f>
        <v>20190312154322834</v>
      </c>
      <c r="B3555" t="str">
        <f>"1552376602820434"</f>
        <v>1552376602820434</v>
      </c>
      <c r="C3555" t="s">
        <v>40</v>
      </c>
      <c r="D3555">
        <v>4.6365239999999996</v>
      </c>
      <c r="E3555">
        <v>0.44013829999999998</v>
      </c>
      <c r="F3555" t="s">
        <v>51</v>
      </c>
      <c r="G3555">
        <v>-422.22930000000002</v>
      </c>
      <c r="H3555" s="1">
        <v>3.4313609999999999E-6</v>
      </c>
      <c r="I3555">
        <v>216.1926</v>
      </c>
      <c r="J3555">
        <v>-472.23939999999999</v>
      </c>
      <c r="K3555">
        <v>1.113262</v>
      </c>
      <c r="L3555">
        <v>216.446</v>
      </c>
      <c r="M3555">
        <v>0.98504849999999999</v>
      </c>
      <c r="N3555">
        <v>0</v>
      </c>
      <c r="O3555">
        <v>-0.17170260000000001</v>
      </c>
      <c r="P3555">
        <v>0.98726700000000001</v>
      </c>
      <c r="Q3555" s="1">
        <v>6.2881039999999999E-5</v>
      </c>
      <c r="R3555">
        <v>-0.15907249999999901</v>
      </c>
      <c r="S3555">
        <v>3.0394589999999999</v>
      </c>
      <c r="T3555">
        <v>-6.7493440000000002E-2</v>
      </c>
      <c r="U3555">
        <v>-1.6189579999999999E-2</v>
      </c>
      <c r="V3555">
        <v>-1.2907129999999999E-2</v>
      </c>
      <c r="W3555">
        <v>1.4042219999999999E-2</v>
      </c>
      <c r="X3555">
        <v>0.99981810000000004</v>
      </c>
      <c r="Y3555">
        <v>-0.1663869</v>
      </c>
      <c r="Z3555">
        <v>5.6450939999999998E-3</v>
      </c>
      <c r="AA3555">
        <v>0.98604440000000004</v>
      </c>
      <c r="AB3555">
        <v>13</v>
      </c>
      <c r="AC3555">
        <v>50.010099999999902</v>
      </c>
      <c r="AD3555">
        <v>-1.113258568639</v>
      </c>
      <c r="AE3555">
        <v>-0.25339999999999901</v>
      </c>
      <c r="AF3555">
        <v>-8.3339473615318802</v>
      </c>
      <c r="AG3555">
        <v>-1.113258568639</v>
      </c>
      <c r="AH3555">
        <v>49.286334686461103</v>
      </c>
      <c r="AI3555">
        <v>91.275847424123697</v>
      </c>
      <c r="AJ3555">
        <v>99.597499834071201</v>
      </c>
      <c r="AK3555">
        <v>49.998368074281103</v>
      </c>
      <c r="AL3555">
        <v>89.195413620048697</v>
      </c>
      <c r="AM3555">
        <v>90.739617533460105</v>
      </c>
      <c r="AN3555">
        <v>1.00000000551748</v>
      </c>
    </row>
    <row r="3556" spans="1:40" x14ac:dyDescent="0.25">
      <c r="A3556" t="str">
        <f>"20190312154322854"</f>
        <v>20190312154322854</v>
      </c>
      <c r="B3556" t="str">
        <f>"1552376602840930"</f>
        <v>1552376602840930</v>
      </c>
      <c r="C3556" t="s">
        <v>40</v>
      </c>
      <c r="D3556">
        <v>4.6518759999999997</v>
      </c>
      <c r="E3556">
        <v>0.44124600000000003</v>
      </c>
      <c r="F3556" t="s">
        <v>51</v>
      </c>
      <c r="G3556">
        <v>-421.44690000000003</v>
      </c>
      <c r="H3556" s="1">
        <v>3.5512369999999999E-6</v>
      </c>
      <c r="I3556">
        <v>216.40880000000001</v>
      </c>
      <c r="J3556">
        <v>-472.12490000000003</v>
      </c>
      <c r="K3556">
        <v>1.1132040000000001</v>
      </c>
      <c r="L3556">
        <v>216.43440000000001</v>
      </c>
      <c r="M3556">
        <v>0.98621179999999997</v>
      </c>
      <c r="N3556">
        <v>0</v>
      </c>
      <c r="O3556">
        <v>-0.1648916</v>
      </c>
      <c r="P3556">
        <v>0.98835269999999997</v>
      </c>
      <c r="Q3556">
        <v>1.7938779999999901E-3</v>
      </c>
      <c r="R3556">
        <v>-0.15217079999999999</v>
      </c>
      <c r="S3556">
        <v>3.0383300000000002</v>
      </c>
      <c r="T3556">
        <v>-6.6593410000000006E-2</v>
      </c>
      <c r="U3556">
        <v>-2.2277830000000001E-3</v>
      </c>
      <c r="V3556">
        <v>-1.299118E-2</v>
      </c>
      <c r="W3556">
        <v>1.5757690000000001E-2</v>
      </c>
      <c r="X3556">
        <v>0.9997914</v>
      </c>
      <c r="Y3556">
        <v>-0.1641059</v>
      </c>
      <c r="Z3556">
        <v>5.3996679999999998E-3</v>
      </c>
      <c r="AA3556">
        <v>0.98642799999999997</v>
      </c>
      <c r="AB3556">
        <v>13</v>
      </c>
      <c r="AC3556">
        <v>50.677999999999997</v>
      </c>
      <c r="AD3556">
        <v>-1.1132004487630001</v>
      </c>
      <c r="AE3556">
        <v>-2.5599999999997101E-2</v>
      </c>
      <c r="AF3556">
        <v>-8.3279320877417806</v>
      </c>
      <c r="AG3556">
        <v>-1.1132004487630001</v>
      </c>
      <c r="AH3556">
        <v>49.964279727394199</v>
      </c>
      <c r="AI3556">
        <v>91.258972026884507</v>
      </c>
      <c r="AJ3556">
        <v>99.462938245090697</v>
      </c>
      <c r="AK3556">
        <v>50.6657963203428</v>
      </c>
      <c r="AL3556">
        <v>89.097113463780801</v>
      </c>
      <c r="AM3556">
        <v>90.744453190334895</v>
      </c>
      <c r="AN3556">
        <v>0.99999995953294296</v>
      </c>
    </row>
    <row r="3557" spans="1:40" x14ac:dyDescent="0.25">
      <c r="A3557" t="str">
        <f>"20190312154322878"</f>
        <v>20190312154322878</v>
      </c>
      <c r="B3557" t="str">
        <f>"1552376602871186"</f>
        <v>1552376602871186</v>
      </c>
      <c r="C3557" t="s">
        <v>40</v>
      </c>
      <c r="D3557">
        <v>4.6817989999999998</v>
      </c>
      <c r="E3557">
        <v>0.44322929999999999</v>
      </c>
      <c r="F3557" t="s">
        <v>51</v>
      </c>
      <c r="G3557">
        <v>-418.29070000000002</v>
      </c>
      <c r="H3557" s="1">
        <v>3.5015120000000002E-6</v>
      </c>
      <c r="I3557">
        <v>216.61670000000001</v>
      </c>
      <c r="J3557">
        <v>-471.9984</v>
      </c>
      <c r="K3557">
        <v>1.113137</v>
      </c>
      <c r="L3557">
        <v>216.42240000000001</v>
      </c>
      <c r="M3557">
        <v>0.98742099999999999</v>
      </c>
      <c r="N3557">
        <v>0</v>
      </c>
      <c r="O3557">
        <v>-0.15749089999999999</v>
      </c>
      <c r="P3557">
        <v>0.98941460000000003</v>
      </c>
      <c r="Q3557">
        <v>4.342495E-3</v>
      </c>
      <c r="R3557">
        <v>-0.1450524</v>
      </c>
      <c r="S3557">
        <v>3.037048</v>
      </c>
      <c r="T3557">
        <v>-6.2801120000000002E-2</v>
      </c>
      <c r="U3557">
        <v>1.0284420000000001E-2</v>
      </c>
      <c r="V3557">
        <v>-1.2699820000000001E-2</v>
      </c>
      <c r="W3557">
        <v>1.8288849999999999E-2</v>
      </c>
      <c r="X3557">
        <v>0.99975210000000003</v>
      </c>
      <c r="Y3557">
        <v>-0.1607816</v>
      </c>
      <c r="Z3557">
        <v>4.9087690000000003E-3</v>
      </c>
      <c r="AA3557">
        <v>0.98697780000000002</v>
      </c>
      <c r="AB3557">
        <v>13</v>
      </c>
      <c r="AC3557">
        <v>53.707699999999903</v>
      </c>
      <c r="AD3557">
        <v>-1.1131334984879999</v>
      </c>
      <c r="AE3557">
        <v>0.194299999999998</v>
      </c>
      <c r="AF3557">
        <v>-8.6474648980804396</v>
      </c>
      <c r="AG3557">
        <v>-1.1131334984879999</v>
      </c>
      <c r="AH3557">
        <v>52.983956119390399</v>
      </c>
      <c r="AI3557">
        <v>91.187831326614798</v>
      </c>
      <c r="AJ3557">
        <v>99.269466152038206</v>
      </c>
      <c r="AK3557">
        <v>53.696529882390699</v>
      </c>
      <c r="AL3557">
        <v>88.952067673377599</v>
      </c>
      <c r="AM3557">
        <v>90.7277873698809</v>
      </c>
      <c r="AN3557">
        <v>1.00000001445838</v>
      </c>
    </row>
    <row r="3558" spans="1:40" x14ac:dyDescent="0.25">
      <c r="A3558" t="str">
        <f>"20190312154322898"</f>
        <v>20190312154322898</v>
      </c>
      <c r="B3558" t="str">
        <f>"1552376602890706"</f>
        <v>1552376602890706</v>
      </c>
      <c r="C3558" t="s">
        <v>40</v>
      </c>
      <c r="D3558">
        <v>4.6157370000000002</v>
      </c>
      <c r="E3558">
        <v>0.44303799999999999</v>
      </c>
      <c r="F3558" t="s">
        <v>51</v>
      </c>
      <c r="G3558">
        <v>-417.19839999999999</v>
      </c>
      <c r="H3558" s="1">
        <v>3.298552E-6</v>
      </c>
      <c r="I3558">
        <v>216.72190000000001</v>
      </c>
      <c r="J3558">
        <v>-471.88619999999997</v>
      </c>
      <c r="K3558">
        <v>1.113078</v>
      </c>
      <c r="L3558">
        <v>216.41239999999999</v>
      </c>
      <c r="M3558">
        <v>0.98842620000000003</v>
      </c>
      <c r="N3558">
        <v>0</v>
      </c>
      <c r="O3558">
        <v>-0.151055299999999</v>
      </c>
      <c r="P3558">
        <v>0.99037280000000005</v>
      </c>
      <c r="Q3558">
        <v>7.705539E-3</v>
      </c>
      <c r="R3558">
        <v>-0.13821069999999999</v>
      </c>
      <c r="S3558">
        <v>3.034821</v>
      </c>
      <c r="T3558">
        <v>-6.1645270000000002E-2</v>
      </c>
      <c r="U3558">
        <v>1.6586299999999998E-2</v>
      </c>
      <c r="V3558">
        <v>-1.3108450000000001E-2</v>
      </c>
      <c r="W3558">
        <v>2.1630340000000001E-2</v>
      </c>
      <c r="X3558">
        <v>0.99968009999999996</v>
      </c>
      <c r="Y3558">
        <v>-0.15640709999999999</v>
      </c>
      <c r="Z3558">
        <v>4.6481040000000001E-3</v>
      </c>
      <c r="AA3558">
        <v>0.9876817</v>
      </c>
      <c r="AB3558">
        <v>13</v>
      </c>
      <c r="AC3558">
        <v>54.687799999999903</v>
      </c>
      <c r="AD3558">
        <v>-1.113074701448</v>
      </c>
      <c r="AE3558">
        <v>0.30950000000001399</v>
      </c>
      <c r="AF3558">
        <v>-8.5640917680868203</v>
      </c>
      <c r="AG3558">
        <v>-1.113074701448</v>
      </c>
      <c r="AH3558">
        <v>53.991029435469997</v>
      </c>
      <c r="AI3558">
        <v>91.166458778496605</v>
      </c>
      <c r="AJ3558">
        <v>99.013201709597794</v>
      </c>
      <c r="AK3558">
        <v>54.677361518319501</v>
      </c>
      <c r="AL3558">
        <v>88.760576150563793</v>
      </c>
      <c r="AM3558">
        <v>90.751256146189306</v>
      </c>
      <c r="AN3558">
        <v>1.0000000027029601</v>
      </c>
    </row>
    <row r="3559" spans="1:40" x14ac:dyDescent="0.25">
      <c r="A3559" t="str">
        <f>"20190312154322920"</f>
        <v>20190312154322920</v>
      </c>
      <c r="B3559" t="str">
        <f>"1552376602911203"</f>
        <v>1552376602911203</v>
      </c>
      <c r="C3559" t="s">
        <v>40</v>
      </c>
      <c r="D3559">
        <v>4.652317</v>
      </c>
      <c r="E3559">
        <v>0.44217529999999999</v>
      </c>
      <c r="F3559" t="s">
        <v>51</v>
      </c>
      <c r="G3559">
        <v>-404.67059999999998</v>
      </c>
      <c r="H3559" s="1">
        <v>5.7821199999999998E-6</v>
      </c>
      <c r="I3559">
        <v>217.27279999999999</v>
      </c>
      <c r="J3559">
        <v>-471.76209999999998</v>
      </c>
      <c r="K3559">
        <v>1.112995</v>
      </c>
      <c r="L3559">
        <v>216.40209999999999</v>
      </c>
      <c r="M3559">
        <v>0.98946590000000001</v>
      </c>
      <c r="N3559">
        <v>0</v>
      </c>
      <c r="O3559">
        <v>-0.1440912</v>
      </c>
      <c r="P3559">
        <v>0.99139759999999999</v>
      </c>
      <c r="Q3559">
        <v>1.079131E-2</v>
      </c>
      <c r="R3559">
        <v>-0.13044040000000001</v>
      </c>
      <c r="S3559">
        <v>3.0349729999999999</v>
      </c>
      <c r="T3559">
        <v>-5.0258280000000002E-2</v>
      </c>
      <c r="U3559">
        <v>3.8848880000000002E-2</v>
      </c>
      <c r="V3559">
        <v>-1.391449E-2</v>
      </c>
      <c r="W3559">
        <v>2.468795E-2</v>
      </c>
      <c r="X3559">
        <v>0.9995984</v>
      </c>
      <c r="Y3559">
        <v>-0.1567181</v>
      </c>
      <c r="Z3559">
        <v>3.6778330000000001E-3</v>
      </c>
      <c r="AA3559">
        <v>0.98763650000000003</v>
      </c>
      <c r="AB3559">
        <v>13</v>
      </c>
      <c r="AC3559">
        <v>67.091499999999996</v>
      </c>
      <c r="AD3559">
        <v>-1.11298921788</v>
      </c>
      <c r="AE3559">
        <v>0.87069999999999903</v>
      </c>
      <c r="AF3559">
        <v>-10.5269526780449</v>
      </c>
      <c r="AG3559">
        <v>-1.11298921788</v>
      </c>
      <c r="AH3559">
        <v>66.247522898694299</v>
      </c>
      <c r="AI3559">
        <v>90.950581043804306</v>
      </c>
      <c r="AJ3559">
        <v>99.029000889434897</v>
      </c>
      <c r="AK3559">
        <v>67.087925649090806</v>
      </c>
      <c r="AL3559">
        <v>88.5853409797202</v>
      </c>
      <c r="AM3559">
        <v>90.797510343747604</v>
      </c>
      <c r="AN3559">
        <v>1.0000000345948601</v>
      </c>
    </row>
    <row r="3560" spans="1:40" x14ac:dyDescent="0.25">
      <c r="A3560" t="str">
        <f>"20190312154322943"</f>
        <v>20190312154322943</v>
      </c>
      <c r="B3560" t="str">
        <f>"1552376602930722"</f>
        <v>1552376602930722</v>
      </c>
      <c r="C3560" t="s">
        <v>40</v>
      </c>
      <c r="D3560">
        <v>4.6756099999999998</v>
      </c>
      <c r="E3560">
        <v>0.44172440000000002</v>
      </c>
      <c r="F3560" t="s">
        <v>50</v>
      </c>
      <c r="G3560">
        <v>-374.88909999999998</v>
      </c>
      <c r="H3560" s="1">
        <v>1.064949E-6</v>
      </c>
      <c r="I3560">
        <v>218.6026</v>
      </c>
      <c r="J3560">
        <v>-471.64139999999998</v>
      </c>
      <c r="K3560">
        <v>1.112892</v>
      </c>
      <c r="L3560">
        <v>216.39259999999999</v>
      </c>
      <c r="M3560">
        <v>0.99040280000000003</v>
      </c>
      <c r="N3560">
        <v>0</v>
      </c>
      <c r="O3560">
        <v>-0.1375065</v>
      </c>
      <c r="P3560">
        <v>0.99243910000000002</v>
      </c>
      <c r="Q3560">
        <v>1.434705E-2</v>
      </c>
      <c r="R3560">
        <v>-0.1218968</v>
      </c>
      <c r="S3560">
        <v>3.0355219999999998</v>
      </c>
      <c r="T3560">
        <v>-3.4875749999999997E-2</v>
      </c>
      <c r="U3560">
        <v>6.8954470000000004E-2</v>
      </c>
      <c r="V3560">
        <v>-1.5880100000000001E-2</v>
      </c>
      <c r="W3560">
        <v>2.8207200000000002E-2</v>
      </c>
      <c r="X3560">
        <v>0.99947600000000003</v>
      </c>
      <c r="Y3560">
        <v>-0.15995899999999999</v>
      </c>
      <c r="Z3560">
        <v>2.4953380000000002E-3</v>
      </c>
      <c r="AA3560">
        <v>0.98712049999999996</v>
      </c>
      <c r="AB3560">
        <v>13</v>
      </c>
      <c r="AC3560">
        <v>96.752300000000005</v>
      </c>
      <c r="AD3560">
        <v>-1.1128909350509999</v>
      </c>
      <c r="AE3560">
        <v>2.21</v>
      </c>
      <c r="AF3560">
        <v>-15.4923166673199</v>
      </c>
      <c r="AG3560">
        <v>-1.1128909350509999</v>
      </c>
      <c r="AH3560">
        <v>95.516507569931093</v>
      </c>
      <c r="AI3560">
        <v>90.658929500653997</v>
      </c>
      <c r="AJ3560">
        <v>99.212869565967907</v>
      </c>
      <c r="AK3560">
        <v>96.771140430970107</v>
      </c>
      <c r="AL3560">
        <v>88.383632176419695</v>
      </c>
      <c r="AM3560">
        <v>90.910263135182404</v>
      </c>
      <c r="AN3560">
        <v>1.0000000491419201</v>
      </c>
    </row>
    <row r="3561" spans="1:40" x14ac:dyDescent="0.25">
      <c r="A3561" t="str">
        <f>"20190312154322965"</f>
        <v>20190312154322965</v>
      </c>
      <c r="B3561" t="str">
        <f>"1552376602960978"</f>
        <v>1552376602960978</v>
      </c>
      <c r="C3561" t="s">
        <v>40</v>
      </c>
      <c r="D3561">
        <v>4.712167</v>
      </c>
      <c r="E3561">
        <v>0.44153510000000001</v>
      </c>
      <c r="F3561" t="s">
        <v>50</v>
      </c>
      <c r="G3561">
        <v>-262.10930000000002</v>
      </c>
      <c r="H3561">
        <v>8.0000269999999998E-2</v>
      </c>
      <c r="I3561">
        <v>223.18270000000001</v>
      </c>
      <c r="J3561">
        <v>-471.5179</v>
      </c>
      <c r="K3561">
        <v>1.1127769999999999</v>
      </c>
      <c r="L3561">
        <v>216.38339999999999</v>
      </c>
      <c r="M3561">
        <v>0.99128959999999999</v>
      </c>
      <c r="N3561">
        <v>0</v>
      </c>
      <c r="O3561">
        <v>-0.130963</v>
      </c>
      <c r="P3561">
        <v>0.99328930000000004</v>
      </c>
      <c r="Q3561">
        <v>1.726225E-2</v>
      </c>
      <c r="R3561">
        <v>-0.11436</v>
      </c>
      <c r="S3561">
        <v>3.0351560000000002</v>
      </c>
      <c r="T3561">
        <v>-1.4961840000000001E-2</v>
      </c>
      <c r="U3561">
        <v>9.8358150000000005E-2</v>
      </c>
      <c r="V3561">
        <v>-1.686518E-2</v>
      </c>
      <c r="W3561">
        <v>3.1088890000000001E-2</v>
      </c>
      <c r="X3561">
        <v>0.99937430000000005</v>
      </c>
      <c r="Y3561">
        <v>-0.16301370000000001</v>
      </c>
      <c r="Z3561">
        <v>1.046101E-3</v>
      </c>
      <c r="AA3561">
        <v>0.98662320000000003</v>
      </c>
      <c r="AB3561">
        <v>12</v>
      </c>
      <c r="AC3561">
        <v>209.40860000000001</v>
      </c>
      <c r="AD3561">
        <v>-1.0327767299999999</v>
      </c>
      <c r="AE3561">
        <v>6.7993000000000103</v>
      </c>
      <c r="AF3561">
        <v>-34.167331676011102</v>
      </c>
      <c r="AG3561">
        <v>-1.0327767299999999</v>
      </c>
      <c r="AH3561">
        <v>206.70910116100501</v>
      </c>
      <c r="AI3561">
        <v>90.282431279253998</v>
      </c>
      <c r="AJ3561">
        <v>99.385663443250394</v>
      </c>
      <c r="AK3561">
        <v>209.51640910540499</v>
      </c>
      <c r="AL3561">
        <v>88.218450701950701</v>
      </c>
      <c r="AM3561">
        <v>90.966816856318502</v>
      </c>
      <c r="AN3561">
        <v>0.99999997243917604</v>
      </c>
    </row>
    <row r="3562" spans="1:40" x14ac:dyDescent="0.25">
      <c r="A3562" t="str">
        <f>"20190312154322990"</f>
        <v>20190312154322990</v>
      </c>
      <c r="B3562" t="str">
        <f>"1552376602981474"</f>
        <v>1552376602981474</v>
      </c>
      <c r="C3562" t="s">
        <v>40</v>
      </c>
      <c r="D3562">
        <v>4.7140269999999997</v>
      </c>
      <c r="E3562">
        <v>0.4418704</v>
      </c>
      <c r="F3562" t="s">
        <v>63</v>
      </c>
      <c r="G3562">
        <v>-157.25</v>
      </c>
      <c r="H3562">
        <v>1.438658</v>
      </c>
      <c r="I3562">
        <v>229.04689999999999</v>
      </c>
      <c r="J3562">
        <v>-471.39240000000001</v>
      </c>
      <c r="K3562">
        <v>1.112654</v>
      </c>
      <c r="L3562">
        <v>216.37469999999999</v>
      </c>
      <c r="M3562">
        <v>0.99211450000000001</v>
      </c>
      <c r="N3562">
        <v>0</v>
      </c>
      <c r="O3562">
        <v>-0.12456399999999999</v>
      </c>
      <c r="P3562">
        <v>0.99414919999999996</v>
      </c>
      <c r="Q3562">
        <v>1.9324049999999999E-2</v>
      </c>
      <c r="R3562">
        <v>-0.1062729</v>
      </c>
      <c r="S3562">
        <v>3.034332</v>
      </c>
      <c r="T3562">
        <v>3.1470059999999999E-3</v>
      </c>
      <c r="U3562">
        <v>0.12226869999999999</v>
      </c>
      <c r="V3562">
        <v>-1.8544229999999998E-2</v>
      </c>
      <c r="W3562">
        <v>3.3113450000000003E-2</v>
      </c>
      <c r="X3562">
        <v>0.99927960000000005</v>
      </c>
      <c r="Y3562">
        <v>-0.1644236</v>
      </c>
      <c r="Z3562">
        <v>-2.1420799999999999E-4</v>
      </c>
      <c r="AA3562">
        <v>0.98638979999999998</v>
      </c>
      <c r="AB3562">
        <v>12</v>
      </c>
      <c r="AC3562">
        <v>314.14240000000001</v>
      </c>
      <c r="AD3562">
        <v>0.32600400000000002</v>
      </c>
      <c r="AE3562">
        <v>12.6722</v>
      </c>
      <c r="AF3562">
        <v>-51.708032157504299</v>
      </c>
      <c r="AG3562">
        <v>0.32600400000000002</v>
      </c>
      <c r="AH3562">
        <v>310.11626688086699</v>
      </c>
      <c r="AI3562">
        <v>89.940589083477505</v>
      </c>
      <c r="AJ3562">
        <v>99.466274720264593</v>
      </c>
      <c r="AK3562">
        <v>314.39771922253902</v>
      </c>
      <c r="AL3562">
        <v>88.102392276593505</v>
      </c>
      <c r="AM3562">
        <v>91.063150061616895</v>
      </c>
      <c r="AN3562">
        <v>1.00000005400667</v>
      </c>
    </row>
    <row r="3563" spans="1:40" x14ac:dyDescent="0.25">
      <c r="A3563" t="str">
        <f>"20190312154323011"</f>
        <v>20190312154323011</v>
      </c>
      <c r="B3563" t="str">
        <f>"1552376603000996"</f>
        <v>1552376603000996</v>
      </c>
      <c r="C3563" t="s">
        <v>40</v>
      </c>
      <c r="D3563">
        <v>4.7716609999999999</v>
      </c>
      <c r="E3563">
        <v>0.44238670000000002</v>
      </c>
      <c r="F3563" t="s">
        <v>63</v>
      </c>
      <c r="G3563">
        <v>-157.25</v>
      </c>
      <c r="H3563">
        <v>2.0209190000000001</v>
      </c>
      <c r="I3563">
        <v>231.32900000000001</v>
      </c>
      <c r="J3563">
        <v>-471.27210000000002</v>
      </c>
      <c r="K3563">
        <v>1.11253</v>
      </c>
      <c r="L3563">
        <v>216.36680000000001</v>
      </c>
      <c r="M3563">
        <v>0.99283549999999998</v>
      </c>
      <c r="N3563">
        <v>0</v>
      </c>
      <c r="O3563">
        <v>-0.11868620000000001</v>
      </c>
      <c r="P3563">
        <v>0.9946796</v>
      </c>
      <c r="Q3563">
        <v>2.2122240000000001E-2</v>
      </c>
      <c r="R3563">
        <v>-0.1006165</v>
      </c>
      <c r="S3563">
        <v>3.0329280000000001</v>
      </c>
      <c r="T3563">
        <v>8.7695120000000001E-3</v>
      </c>
      <c r="U3563">
        <v>0.1443787</v>
      </c>
      <c r="V3563">
        <v>-1.8303280000000002E-2</v>
      </c>
      <c r="W3563">
        <v>3.5883180000000001E-2</v>
      </c>
      <c r="X3563">
        <v>0.99918839999999998</v>
      </c>
      <c r="Y3563">
        <v>-0.1657759</v>
      </c>
      <c r="Z3563">
        <v>-5.8217429999999997E-4</v>
      </c>
      <c r="AA3563">
        <v>0.98616329999999996</v>
      </c>
      <c r="AB3563">
        <v>12</v>
      </c>
      <c r="AC3563">
        <v>314.02210000000002</v>
      </c>
      <c r="AD3563">
        <v>0.908388999999999</v>
      </c>
      <c r="AE3563">
        <v>14.9621999999999</v>
      </c>
      <c r="AF3563">
        <v>-52.129643178819698</v>
      </c>
      <c r="AG3563">
        <v>0.908388999999999</v>
      </c>
      <c r="AH3563">
        <v>310.02354216868099</v>
      </c>
      <c r="AI3563">
        <v>89.834444243346795</v>
      </c>
      <c r="AJ3563">
        <v>99.544847453396798</v>
      </c>
      <c r="AK3563">
        <v>314.37703727744201</v>
      </c>
      <c r="AL3563">
        <v>87.943603839267098</v>
      </c>
      <c r="AM3563">
        <v>91.049435141668297</v>
      </c>
      <c r="AN3563">
        <v>1.00000003568011</v>
      </c>
    </row>
    <row r="3564" spans="1:40" x14ac:dyDescent="0.25">
      <c r="A3564" t="str">
        <f>"20190312154323036"</f>
        <v>20190312154323036</v>
      </c>
      <c r="B3564" t="str">
        <f>"1552376603021490"</f>
        <v>1552376603021490</v>
      </c>
      <c r="C3564" t="s">
        <v>40</v>
      </c>
      <c r="D3564">
        <v>4.7980600000000004</v>
      </c>
      <c r="E3564">
        <v>0.44300420000000001</v>
      </c>
      <c r="F3564" t="s">
        <v>63</v>
      </c>
      <c r="G3564">
        <v>-157.25</v>
      </c>
      <c r="H3564">
        <v>2.5084460000000002</v>
      </c>
      <c r="I3564">
        <v>232.6918</v>
      </c>
      <c r="J3564">
        <v>-471.14280000000002</v>
      </c>
      <c r="K3564">
        <v>1.112419</v>
      </c>
      <c r="L3564">
        <v>216.3587</v>
      </c>
      <c r="M3564">
        <v>0.99354350000000002</v>
      </c>
      <c r="N3564">
        <v>0</v>
      </c>
      <c r="O3564">
        <v>-0.1126089</v>
      </c>
      <c r="P3564">
        <v>0.99503149999999996</v>
      </c>
      <c r="Q3564">
        <v>2.3853800000000001E-2</v>
      </c>
      <c r="R3564">
        <v>-9.6662239999999996E-2</v>
      </c>
      <c r="S3564">
        <v>3.0316770000000002</v>
      </c>
      <c r="T3564">
        <v>1.347721E-2</v>
      </c>
      <c r="U3564">
        <v>0.157608</v>
      </c>
      <c r="V3564">
        <v>-1.6151530000000001E-2</v>
      </c>
      <c r="W3564">
        <v>3.7591960000000001E-2</v>
      </c>
      <c r="X3564">
        <v>0.99916260000000001</v>
      </c>
      <c r="Y3564">
        <v>-0.16405169999999999</v>
      </c>
      <c r="Z3564">
        <v>-8.6426910000000001E-4</v>
      </c>
      <c r="AA3564">
        <v>0.98645139999999998</v>
      </c>
      <c r="AB3564">
        <v>12</v>
      </c>
      <c r="AC3564">
        <v>313.89280000000002</v>
      </c>
      <c r="AD3564">
        <v>1.3960269999999899</v>
      </c>
      <c r="AE3564">
        <v>16.333100000000002</v>
      </c>
      <c r="AF3564">
        <v>-51.5786652668138</v>
      </c>
      <c r="AG3564">
        <v>1.3960269999999899</v>
      </c>
      <c r="AH3564">
        <v>310.050324414128</v>
      </c>
      <c r="AI3564">
        <v>89.745519993266797</v>
      </c>
      <c r="AJ3564">
        <v>99.444990567054603</v>
      </c>
      <c r="AK3564">
        <v>314.31435104270503</v>
      </c>
      <c r="AL3564">
        <v>87.845631658589994</v>
      </c>
      <c r="AM3564">
        <v>90.926109431856403</v>
      </c>
      <c r="AN3564">
        <v>0.99999996430837002</v>
      </c>
    </row>
    <row r="3565" spans="1:40" x14ac:dyDescent="0.25">
      <c r="A3565" t="str">
        <f>"20190312154323057"</f>
        <v>20190312154323057</v>
      </c>
      <c r="B3565" t="str">
        <f>"1552376603050770"</f>
        <v>1552376603050770</v>
      </c>
      <c r="C3565" t="s">
        <v>40</v>
      </c>
      <c r="D3565">
        <v>4.8150629999999897</v>
      </c>
      <c r="E3565">
        <v>0.45484609999999898</v>
      </c>
      <c r="F3565" t="s">
        <v>63</v>
      </c>
      <c r="G3565">
        <v>-157.25</v>
      </c>
      <c r="H3565">
        <v>2.7971379999999999</v>
      </c>
      <c r="I3565">
        <v>233.41200000000001</v>
      </c>
      <c r="J3565">
        <v>-471.02679999999998</v>
      </c>
      <c r="K3565">
        <v>1.1123240000000001</v>
      </c>
      <c r="L3565">
        <v>216.3519</v>
      </c>
      <c r="M3565">
        <v>0.9941238</v>
      </c>
      <c r="N3565">
        <v>0</v>
      </c>
      <c r="O3565">
        <v>-0.1073692</v>
      </c>
      <c r="P3565">
        <v>0.99517009999999995</v>
      </c>
      <c r="Q3565">
        <v>2.534879E-2</v>
      </c>
      <c r="R3565">
        <v>-9.4836660000000003E-2</v>
      </c>
      <c r="S3565">
        <v>3.0305179999999998</v>
      </c>
      <c r="T3565">
        <v>1.6265870000000002E-2</v>
      </c>
      <c r="U3565">
        <v>0.16464229999999899</v>
      </c>
      <c r="V3565">
        <v>-1.27075E-2</v>
      </c>
      <c r="W3565">
        <v>3.9071929999999998E-2</v>
      </c>
      <c r="X3565">
        <v>0.99915560000000003</v>
      </c>
      <c r="Y3565">
        <v>-0.16115189999999999</v>
      </c>
      <c r="Z3565">
        <v>-1.007658E-3</v>
      </c>
      <c r="AA3565">
        <v>0.9869291</v>
      </c>
      <c r="AB3565">
        <v>12</v>
      </c>
      <c r="AC3565">
        <v>313.77679999999998</v>
      </c>
      <c r="AD3565">
        <v>1.684814</v>
      </c>
      <c r="AE3565">
        <v>17.060099999999998</v>
      </c>
      <c r="AF3565">
        <v>-50.653164805386503</v>
      </c>
      <c r="AG3565">
        <v>1.684814</v>
      </c>
      <c r="AH3565">
        <v>310.12176185138298</v>
      </c>
      <c r="AI3565">
        <v>89.692800062921805</v>
      </c>
      <c r="AJ3565">
        <v>99.276388080286097</v>
      </c>
      <c r="AK3565">
        <v>314.23572183445702</v>
      </c>
      <c r="AL3565">
        <v>87.760773337565993</v>
      </c>
      <c r="AM3565">
        <v>90.728662147436495</v>
      </c>
      <c r="AN3565">
        <v>1.00000000464076</v>
      </c>
    </row>
    <row r="3566" spans="1:40" x14ac:dyDescent="0.25">
      <c r="A3566" t="str">
        <f>"20190312154323078"</f>
        <v>20190312154323078</v>
      </c>
      <c r="B3566" t="str">
        <f>"1552376603071266"</f>
        <v>1552376603071266</v>
      </c>
      <c r="C3566" t="s">
        <v>40</v>
      </c>
      <c r="D3566">
        <v>4.8254650000000003</v>
      </c>
      <c r="E3566">
        <v>0.4557525</v>
      </c>
      <c r="F3566" t="s">
        <v>63</v>
      </c>
      <c r="G3566">
        <v>-168.35059999999999</v>
      </c>
      <c r="H3566">
        <v>1.2706820000000001</v>
      </c>
      <c r="I3566">
        <v>224.03819999999999</v>
      </c>
      <c r="J3566">
        <v>-470.911</v>
      </c>
      <c r="K3566">
        <v>1.112236</v>
      </c>
      <c r="L3566">
        <v>216.34549999999999</v>
      </c>
      <c r="M3566">
        <v>0.99465159999999997</v>
      </c>
      <c r="N3566">
        <v>0</v>
      </c>
      <c r="O3566">
        <v>-0.1023698</v>
      </c>
      <c r="P3566">
        <v>0.99528740000000004</v>
      </c>
      <c r="Q3566">
        <v>2.7750819999999999E-2</v>
      </c>
      <c r="R3566">
        <v>-9.2915769999999995E-2</v>
      </c>
      <c r="S3566">
        <v>3.0217900000000002</v>
      </c>
      <c r="T3566">
        <v>1.5815499999999999E-3</v>
      </c>
      <c r="U3566">
        <v>7.6736449999999998E-2</v>
      </c>
      <c r="V3566">
        <v>-9.6034989999999997E-3</v>
      </c>
      <c r="W3566">
        <v>4.1456100000000003E-2</v>
      </c>
      <c r="X3566">
        <v>0.99909420000000004</v>
      </c>
      <c r="Y3566">
        <v>-0.1275993</v>
      </c>
      <c r="Z3566" s="1">
        <v>-8.6907969999999905E-5</v>
      </c>
      <c r="AA3566">
        <v>0.99182579999999998</v>
      </c>
      <c r="AB3566">
        <v>12</v>
      </c>
      <c r="AC3566">
        <v>302.56040000000002</v>
      </c>
      <c r="AD3566">
        <v>0.158445999999999</v>
      </c>
      <c r="AE3566">
        <v>7.6927000000000003</v>
      </c>
      <c r="AF3566">
        <v>-38.628236588506397</v>
      </c>
      <c r="AG3566">
        <v>0.158445999999999</v>
      </c>
      <c r="AH3566">
        <v>300.18291491899203</v>
      </c>
      <c r="AI3566">
        <v>89.970004812785405</v>
      </c>
      <c r="AJ3566">
        <v>97.332657363972103</v>
      </c>
      <c r="AK3566">
        <v>302.65813746921702</v>
      </c>
      <c r="AL3566">
        <v>87.624059617885393</v>
      </c>
      <c r="AM3566">
        <v>90.550721859676102</v>
      </c>
      <c r="AN3566">
        <v>1.0000000279469401</v>
      </c>
    </row>
    <row r="3567" spans="1:40" x14ac:dyDescent="0.25">
      <c r="A3567" t="str">
        <f>"20190312154323100"</f>
        <v>20190312154323100</v>
      </c>
      <c r="B3567" t="str">
        <f>"1552376603090786"</f>
        <v>1552376603090786</v>
      </c>
      <c r="C3567" t="s">
        <v>40</v>
      </c>
      <c r="D3567">
        <v>4.8348829999999996</v>
      </c>
      <c r="E3567">
        <v>0.456567</v>
      </c>
      <c r="F3567" t="s">
        <v>63</v>
      </c>
      <c r="G3567">
        <v>-168.35059999999999</v>
      </c>
      <c r="H3567">
        <v>1.6275500000000001</v>
      </c>
      <c r="I3567">
        <v>223.8946</v>
      </c>
      <c r="J3567">
        <v>-470.78870000000001</v>
      </c>
      <c r="K3567">
        <v>1.112133</v>
      </c>
      <c r="L3567">
        <v>216.339</v>
      </c>
      <c r="M3567">
        <v>0.99515439999999999</v>
      </c>
      <c r="N3567">
        <v>0</v>
      </c>
      <c r="O3567">
        <v>-9.7363549999999993E-2</v>
      </c>
      <c r="P3567">
        <v>0.99540640000000002</v>
      </c>
      <c r="Q3567">
        <v>3.0794869999999998E-2</v>
      </c>
      <c r="R3567">
        <v>-9.065165E-2</v>
      </c>
      <c r="S3567">
        <v>3.0210880000000002</v>
      </c>
      <c r="T3567">
        <v>5.1460270000000001E-3</v>
      </c>
      <c r="U3567">
        <v>7.5378420000000002E-2</v>
      </c>
      <c r="V3567">
        <v>-6.8365669999999896E-3</v>
      </c>
      <c r="W3567">
        <v>4.4477870000000003E-2</v>
      </c>
      <c r="X3567">
        <v>0.99898699999999996</v>
      </c>
      <c r="Y3567">
        <v>-0.1221666</v>
      </c>
      <c r="Z3567">
        <v>-2.6971969999999999E-4</v>
      </c>
      <c r="AA3567">
        <v>0.99250959999999999</v>
      </c>
      <c r="AB3567">
        <v>12</v>
      </c>
      <c r="AC3567">
        <v>302.43810000000002</v>
      </c>
      <c r="AD3567">
        <v>0.51541700000000001</v>
      </c>
      <c r="AE3567">
        <v>7.5555999999999699</v>
      </c>
      <c r="AF3567">
        <v>-36.9688046907781</v>
      </c>
      <c r="AG3567">
        <v>0.51541700000000001</v>
      </c>
      <c r="AH3567">
        <v>300.264329542572</v>
      </c>
      <c r="AI3567">
        <v>89.9023864229368</v>
      </c>
      <c r="AJ3567">
        <v>97.018981982833594</v>
      </c>
      <c r="AK3567">
        <v>302.53202437196501</v>
      </c>
      <c r="AL3567">
        <v>87.450764836770603</v>
      </c>
      <c r="AM3567">
        <v>90.392097515420801</v>
      </c>
      <c r="AN3567">
        <v>1.00000002286854</v>
      </c>
    </row>
    <row r="3568" spans="1:40" x14ac:dyDescent="0.25">
      <c r="A3568" t="str">
        <f>"20190312154323122"</f>
        <v>20190312154323122</v>
      </c>
      <c r="B3568" t="str">
        <f>"1552376603111286"</f>
        <v>1552376603111286</v>
      </c>
      <c r="C3568" t="s">
        <v>40</v>
      </c>
      <c r="D3568">
        <v>4.8310459999999997</v>
      </c>
      <c r="E3568">
        <v>0.45735920000000002</v>
      </c>
      <c r="F3568" t="s">
        <v>63</v>
      </c>
      <c r="G3568">
        <v>-168.35059999999999</v>
      </c>
      <c r="H3568">
        <v>2.0095450000000001</v>
      </c>
      <c r="I3568">
        <v>223.88810000000001</v>
      </c>
      <c r="J3568">
        <v>-470.67239999999998</v>
      </c>
      <c r="K3568">
        <v>1.1120159999999999</v>
      </c>
      <c r="L3568">
        <v>216.3331</v>
      </c>
      <c r="M3568">
        <v>0.99558270000000004</v>
      </c>
      <c r="N3568">
        <v>0</v>
      </c>
      <c r="O3568">
        <v>-9.2886430000000006E-2</v>
      </c>
      <c r="P3568">
        <v>0.99546650000000003</v>
      </c>
      <c r="Q3568">
        <v>3.2945530000000001E-2</v>
      </c>
      <c r="R3568">
        <v>-8.9226730000000004E-2</v>
      </c>
      <c r="S3568">
        <v>3.0204770000000001</v>
      </c>
      <c r="T3568">
        <v>8.9631079999999991E-3</v>
      </c>
      <c r="U3568">
        <v>7.5393680000000005E-2</v>
      </c>
      <c r="V3568">
        <v>-3.756545E-3</v>
      </c>
      <c r="W3568">
        <v>4.6607120000000002E-2</v>
      </c>
      <c r="X3568">
        <v>0.99890630000000002</v>
      </c>
      <c r="Y3568">
        <v>-0.1177105</v>
      </c>
      <c r="Z3568">
        <v>-4.500215E-4</v>
      </c>
      <c r="AA3568">
        <v>0.99304780000000004</v>
      </c>
      <c r="AB3568">
        <v>12</v>
      </c>
      <c r="AC3568">
        <v>302.3218</v>
      </c>
      <c r="AD3568">
        <v>0.89752900000000002</v>
      </c>
      <c r="AE3568">
        <v>7.5549999999999997</v>
      </c>
      <c r="AF3568">
        <v>-35.606239289079703</v>
      </c>
      <c r="AG3568">
        <v>0.89752900000000002</v>
      </c>
      <c r="AH3568">
        <v>300.31006211681103</v>
      </c>
      <c r="AI3568">
        <v>89.829953129964906</v>
      </c>
      <c r="AJ3568">
        <v>96.761703044906596</v>
      </c>
      <c r="AK3568">
        <v>302.41485288130298</v>
      </c>
      <c r="AL3568">
        <v>87.328641177010397</v>
      </c>
      <c r="AM3568">
        <v>90.215468817652194</v>
      </c>
      <c r="AN3568">
        <v>1.00000006572235</v>
      </c>
    </row>
    <row r="3569" spans="1:40" x14ac:dyDescent="0.25">
      <c r="A3569" t="str">
        <f>"20190312154323143"</f>
        <v>20190312154323143</v>
      </c>
      <c r="B3569" t="str">
        <f>"1552376603130806"</f>
        <v>1552376603130806</v>
      </c>
      <c r="C3569" t="s">
        <v>40</v>
      </c>
      <c r="D3569">
        <v>4.9387259999999999</v>
      </c>
      <c r="E3569">
        <v>0.47532980000000002</v>
      </c>
      <c r="F3569" t="s">
        <v>63</v>
      </c>
      <c r="G3569">
        <v>-168.35059999999999</v>
      </c>
      <c r="H3569">
        <v>2.4354209999999998</v>
      </c>
      <c r="I3569">
        <v>223.68219999999999</v>
      </c>
      <c r="J3569">
        <v>-470.55849999999998</v>
      </c>
      <c r="K3569">
        <v>1.111874</v>
      </c>
      <c r="L3569">
        <v>216.32749999999999</v>
      </c>
      <c r="M3569">
        <v>0.99595690000000003</v>
      </c>
      <c r="N3569">
        <v>0</v>
      </c>
      <c r="O3569">
        <v>-8.8789499999999993E-2</v>
      </c>
      <c r="P3569">
        <v>0.9954267</v>
      </c>
      <c r="Q3569">
        <v>3.6389890000000001E-2</v>
      </c>
      <c r="R3569">
        <v>-8.8326769999999999E-2</v>
      </c>
      <c r="S3569">
        <v>3.0198670000000001</v>
      </c>
      <c r="T3569">
        <v>1.3219949999999999E-2</v>
      </c>
      <c r="U3569">
        <v>7.3410030000000001E-2</v>
      </c>
      <c r="V3569">
        <v>-5.2892809999999897E-4</v>
      </c>
      <c r="W3569">
        <v>5.0027759999999998E-2</v>
      </c>
      <c r="X3569">
        <v>0.99874770000000002</v>
      </c>
      <c r="Y3569">
        <v>-0.11297550000000001</v>
      </c>
      <c r="Z3569">
        <v>-6.3563390000000001E-4</v>
      </c>
      <c r="AA3569">
        <v>0.99359759999999997</v>
      </c>
      <c r="AB3569">
        <v>12</v>
      </c>
      <c r="AC3569">
        <v>302.2079</v>
      </c>
      <c r="AD3569">
        <v>1.32354699999999</v>
      </c>
      <c r="AE3569">
        <v>7.3547000000000002</v>
      </c>
      <c r="AF3569">
        <v>-34.160379586635997</v>
      </c>
      <c r="AG3569">
        <v>1.32354699999999</v>
      </c>
      <c r="AH3569">
        <v>300.35524208579</v>
      </c>
      <c r="AI3569">
        <v>89.749138990245498</v>
      </c>
      <c r="AJ3569">
        <v>96.488554372791199</v>
      </c>
      <c r="AK3569">
        <v>302.29448350669202</v>
      </c>
      <c r="AL3569">
        <v>87.132423529128999</v>
      </c>
      <c r="AM3569">
        <v>90.030343343932202</v>
      </c>
      <c r="AN3569">
        <v>1.00000001239542</v>
      </c>
    </row>
    <row r="3570" spans="1:40" x14ac:dyDescent="0.25">
      <c r="A3570" t="str">
        <f>"20190312154323168"</f>
        <v>20190312154323168</v>
      </c>
      <c r="B3570" t="str">
        <f>"1552376603161058"</f>
        <v>1552376603161058</v>
      </c>
      <c r="C3570" t="s">
        <v>40</v>
      </c>
      <c r="D3570">
        <v>4.9292530000000001</v>
      </c>
      <c r="E3570">
        <v>0.48274260000000002</v>
      </c>
      <c r="F3570" t="s">
        <v>50</v>
      </c>
      <c r="G3570">
        <v>-376.80259999999998</v>
      </c>
      <c r="H3570" s="1">
        <v>2.0832159999999998E-6</v>
      </c>
      <c r="I3570">
        <v>214.28659999999999</v>
      </c>
      <c r="J3570">
        <v>-470.42739999999998</v>
      </c>
      <c r="K3570">
        <v>1.111696</v>
      </c>
      <c r="L3570">
        <v>216.321</v>
      </c>
      <c r="M3570">
        <v>0.99633729999999998</v>
      </c>
      <c r="N3570">
        <v>0</v>
      </c>
      <c r="O3570">
        <v>-8.4420140000000005E-2</v>
      </c>
      <c r="P3570">
        <v>0.9954404</v>
      </c>
      <c r="Q3570">
        <v>4.0051530000000002E-2</v>
      </c>
      <c r="R3570">
        <v>-8.6571629999999997E-2</v>
      </c>
      <c r="S3570">
        <v>3.009277</v>
      </c>
      <c r="T3570">
        <v>-3.5687690000000001E-2</v>
      </c>
      <c r="U3570">
        <v>-6.5505980000000005E-2</v>
      </c>
      <c r="V3570">
        <v>2.1202619999999999E-3</v>
      </c>
      <c r="W3570">
        <v>5.3657799999999999E-2</v>
      </c>
      <c r="X3570">
        <v>0.99855720000000003</v>
      </c>
      <c r="Y3570">
        <v>-6.2712509999999999E-2</v>
      </c>
      <c r="Z3570">
        <v>1.371775E-3</v>
      </c>
      <c r="AA3570">
        <v>0.99803070000000005</v>
      </c>
      <c r="AB3570">
        <v>12</v>
      </c>
      <c r="AC3570">
        <v>93.624799999999993</v>
      </c>
      <c r="AD3570">
        <v>-1.1116939167839901</v>
      </c>
      <c r="AE3570">
        <v>-2.0344000000000002</v>
      </c>
      <c r="AF3570">
        <v>-5.8765863168688401</v>
      </c>
      <c r="AG3570">
        <v>-1.1116939167839901</v>
      </c>
      <c r="AH3570">
        <v>93.449111752438995</v>
      </c>
      <c r="AI3570">
        <v>90.680229162559399</v>
      </c>
      <c r="AJ3570">
        <v>93.598330661557696</v>
      </c>
      <c r="AK3570">
        <v>93.640304449654906</v>
      </c>
      <c r="AL3570">
        <v>86.924157553023903</v>
      </c>
      <c r="AM3570">
        <v>89.878342591195803</v>
      </c>
      <c r="AN3570">
        <v>1.00000006834181</v>
      </c>
    </row>
    <row r="3571" spans="1:40" x14ac:dyDescent="0.25">
      <c r="A3571" t="str">
        <f>"20190312154323188"</f>
        <v>20190312154323188</v>
      </c>
      <c r="B3571" t="str">
        <f>"1552376603180578"</f>
        <v>1552376603180578</v>
      </c>
      <c r="C3571" t="s">
        <v>40</v>
      </c>
      <c r="D3571">
        <v>4.9042240000000001</v>
      </c>
      <c r="E3571">
        <v>0.48458560000000001</v>
      </c>
      <c r="F3571" t="s">
        <v>50</v>
      </c>
      <c r="G3571">
        <v>-391.40120000000002</v>
      </c>
      <c r="H3571" s="1">
        <v>-7.9115409999999998E-7</v>
      </c>
      <c r="I3571">
        <v>213.19120000000001</v>
      </c>
      <c r="J3571">
        <v>-470.31709999999998</v>
      </c>
      <c r="K3571">
        <v>1.111545</v>
      </c>
      <c r="L3571">
        <v>216.31569999999999</v>
      </c>
      <c r="M3571">
        <v>0.99661370000000005</v>
      </c>
      <c r="N3571">
        <v>0</v>
      </c>
      <c r="O3571">
        <v>-8.1095810000000004E-2</v>
      </c>
      <c r="P3571">
        <v>0.99559379999999997</v>
      </c>
      <c r="Q3571">
        <v>4.0970590000000001E-2</v>
      </c>
      <c r="R3571">
        <v>-8.4348660000000006E-2</v>
      </c>
      <c r="S3571">
        <v>3.0051269999999999</v>
      </c>
      <c r="T3571">
        <v>-4.2274480000000003E-2</v>
      </c>
      <c r="U3571">
        <v>-0.1190186</v>
      </c>
      <c r="V3571">
        <v>3.2441990000000001E-3</v>
      </c>
      <c r="W3571">
        <v>5.4549140000000003E-2</v>
      </c>
      <c r="X3571">
        <v>0.9985058</v>
      </c>
      <c r="Y3571">
        <v>-4.15839E-2</v>
      </c>
      <c r="Z3571">
        <v>1.431376E-3</v>
      </c>
      <c r="AA3571">
        <v>0.99913399999999997</v>
      </c>
      <c r="AB3571">
        <v>12</v>
      </c>
      <c r="AC3571">
        <v>78.915899999999894</v>
      </c>
      <c r="AD3571">
        <v>-1.1115457911541</v>
      </c>
      <c r="AE3571">
        <v>-3.1244999999999798</v>
      </c>
      <c r="AF3571">
        <v>-3.2854818595598001</v>
      </c>
      <c r="AG3571">
        <v>-1.1115457911541</v>
      </c>
      <c r="AH3571">
        <v>78.893707277176603</v>
      </c>
      <c r="AI3571">
        <v>90.806496857388893</v>
      </c>
      <c r="AJ3571">
        <v>92.384671002504206</v>
      </c>
      <c r="AK3571">
        <v>78.969911821099004</v>
      </c>
      <c r="AL3571">
        <v>86.873012357581899</v>
      </c>
      <c r="AM3571">
        <v>89.813843588552899</v>
      </c>
      <c r="AN3571">
        <v>0.99999998306776505</v>
      </c>
    </row>
    <row r="3572" spans="1:40" x14ac:dyDescent="0.25">
      <c r="A3572" t="str">
        <f>"20190312154323213"</f>
        <v>20190312154323213</v>
      </c>
      <c r="B3572" t="str">
        <f>"1552376603201074"</f>
        <v>1552376603201074</v>
      </c>
      <c r="C3572" t="s">
        <v>40</v>
      </c>
      <c r="D3572">
        <v>4.9286479999999999</v>
      </c>
      <c r="E3572">
        <v>0.48573319999999998</v>
      </c>
      <c r="F3572" t="s">
        <v>51</v>
      </c>
      <c r="G3572">
        <v>-408.0514</v>
      </c>
      <c r="H3572" s="1">
        <v>5.0250339999999998E-6</v>
      </c>
      <c r="I3572">
        <v>213.68109999999999</v>
      </c>
      <c r="J3572">
        <v>-470.18099999999998</v>
      </c>
      <c r="K3572">
        <v>1.1114010000000001</v>
      </c>
      <c r="L3572">
        <v>216.3092</v>
      </c>
      <c r="M3572">
        <v>0.99691129999999994</v>
      </c>
      <c r="N3572">
        <v>0</v>
      </c>
      <c r="O3572">
        <v>-7.7356679999999997E-2</v>
      </c>
      <c r="P3572">
        <v>0.9958475</v>
      </c>
      <c r="Q3572">
        <v>4.0819330000000001E-2</v>
      </c>
      <c r="R3572">
        <v>-8.1375260000000005E-2</v>
      </c>
      <c r="S3572">
        <v>3.0047000000000001</v>
      </c>
      <c r="T3572">
        <v>-5.3638579999999998E-2</v>
      </c>
      <c r="U3572">
        <v>-0.1271362</v>
      </c>
      <c r="V3572">
        <v>4.0276899999999996E-3</v>
      </c>
      <c r="W3572">
        <v>5.4366780000000003E-2</v>
      </c>
      <c r="X3572">
        <v>0.99851290000000004</v>
      </c>
      <c r="Y3572">
        <v>-3.5128850000000003E-2</v>
      </c>
      <c r="Z3572">
        <v>1.6921239999999999E-3</v>
      </c>
      <c r="AA3572">
        <v>0.99938139999999998</v>
      </c>
      <c r="AB3572">
        <v>12</v>
      </c>
      <c r="AC3572">
        <v>62.129599999999897</v>
      </c>
      <c r="AD3572">
        <v>-1.1113959749660001</v>
      </c>
      <c r="AE3572">
        <v>-2.6281000000000101</v>
      </c>
      <c r="AF3572">
        <v>-2.1856597913860698</v>
      </c>
      <c r="AG3572">
        <v>-1.1113959749660001</v>
      </c>
      <c r="AH3572">
        <v>62.126868407841798</v>
      </c>
      <c r="AI3572">
        <v>91.024229154223093</v>
      </c>
      <c r="AJ3572">
        <v>92.014868265321397</v>
      </c>
      <c r="AK3572">
        <v>62.175236934829201</v>
      </c>
      <c r="AL3572">
        <v>86.883476366447397</v>
      </c>
      <c r="AM3572">
        <v>89.768887926626505</v>
      </c>
      <c r="AN3572">
        <v>0.99999999026035702</v>
      </c>
    </row>
    <row r="3573" spans="1:40" x14ac:dyDescent="0.25">
      <c r="A3573" t="str">
        <f>"20190312154323238"</f>
        <v>20190312154323238</v>
      </c>
      <c r="B3573" t="str">
        <f>"1552376603231331"</f>
        <v>1552376603231331</v>
      </c>
      <c r="C3573" t="s">
        <v>40</v>
      </c>
      <c r="D3573">
        <v>4.9428269999999896</v>
      </c>
      <c r="E3573">
        <v>0.48719970000000001</v>
      </c>
      <c r="F3573" t="s">
        <v>51</v>
      </c>
      <c r="G3573">
        <v>-418.05040000000002</v>
      </c>
      <c r="H3573" s="1">
        <v>3.6790580000000002E-6</v>
      </c>
      <c r="I3573">
        <v>214.09809999999999</v>
      </c>
      <c r="J3573">
        <v>-470.06040000000002</v>
      </c>
      <c r="K3573">
        <v>1.1113120000000001</v>
      </c>
      <c r="L3573">
        <v>216.30340000000001</v>
      </c>
      <c r="M3573">
        <v>0.99714100000000006</v>
      </c>
      <c r="N3573">
        <v>0</v>
      </c>
      <c r="O3573">
        <v>-7.4342199999999997E-2</v>
      </c>
      <c r="P3573">
        <v>0.99610549999999998</v>
      </c>
      <c r="Q3573">
        <v>4.0191259999999999E-2</v>
      </c>
      <c r="R3573">
        <v>-7.847519E-2</v>
      </c>
      <c r="S3573">
        <v>3.0047000000000001</v>
      </c>
      <c r="T3573">
        <v>-6.4058539999999997E-2</v>
      </c>
      <c r="U3573">
        <v>-0.12744140000000001</v>
      </c>
      <c r="V3573">
        <v>4.1503859999999998E-3</v>
      </c>
      <c r="W3573">
        <v>5.3713990000000003E-2</v>
      </c>
      <c r="X3573">
        <v>0.99854770000000004</v>
      </c>
      <c r="Y3573">
        <v>-3.19995E-2</v>
      </c>
      <c r="Z3573">
        <v>1.9233799999999999E-3</v>
      </c>
      <c r="AA3573">
        <v>0.99948599999999999</v>
      </c>
      <c r="AB3573">
        <v>12</v>
      </c>
      <c r="AC3573">
        <v>52.009999999999899</v>
      </c>
      <c r="AD3573">
        <v>-1.111308320942</v>
      </c>
      <c r="AE3573">
        <v>-2.2053000000000198</v>
      </c>
      <c r="AF3573">
        <v>-1.6669357426109099</v>
      </c>
      <c r="AG3573">
        <v>-1.111308320942</v>
      </c>
      <c r="AH3573">
        <v>52.006311621227198</v>
      </c>
      <c r="AI3573">
        <v>91.223523026976494</v>
      </c>
      <c r="AJ3573">
        <v>91.835848237545306</v>
      </c>
      <c r="AK3573">
        <v>52.044885717987498</v>
      </c>
      <c r="AL3573">
        <v>86.920933131631202</v>
      </c>
      <c r="AM3573">
        <v>89.761855911572496</v>
      </c>
      <c r="AN3573">
        <v>0.99999996380047895</v>
      </c>
    </row>
    <row r="3574" spans="1:40" x14ac:dyDescent="0.25">
      <c r="A3574" t="str">
        <f>"20190312154323258"</f>
        <v>20190312154323258</v>
      </c>
      <c r="B3574" t="str">
        <f>"1552376603250851"</f>
        <v>1552376603250851</v>
      </c>
      <c r="C3574" t="s">
        <v>40</v>
      </c>
      <c r="D3574">
        <v>4.9496650000000004</v>
      </c>
      <c r="E3574">
        <v>0.48800250000000001</v>
      </c>
      <c r="F3574" t="s">
        <v>51</v>
      </c>
      <c r="G3574">
        <v>-428.52550000000002</v>
      </c>
      <c r="H3574" s="1">
        <v>2.462082E-6</v>
      </c>
      <c r="I3574">
        <v>214.50460000000001</v>
      </c>
      <c r="J3574">
        <v>-469.94380000000001</v>
      </c>
      <c r="K3574">
        <v>1.111243</v>
      </c>
      <c r="L3574">
        <v>216.2979</v>
      </c>
      <c r="M3574">
        <v>0.9973339</v>
      </c>
      <c r="N3574">
        <v>0</v>
      </c>
      <c r="O3574">
        <v>-7.1712699999999893E-2</v>
      </c>
      <c r="P3574">
        <v>0.99621300000000002</v>
      </c>
      <c r="Q3574">
        <v>4.1897799999999999E-2</v>
      </c>
      <c r="R3574">
        <v>-7.6188930000000002E-2</v>
      </c>
      <c r="S3574">
        <v>3.0047299999999999</v>
      </c>
      <c r="T3574">
        <v>-8.0394629999999995E-2</v>
      </c>
      <c r="U3574">
        <v>-0.13012699999999999</v>
      </c>
      <c r="V3574">
        <v>4.5048359999999999E-3</v>
      </c>
      <c r="W3574">
        <v>5.5398530000000001E-2</v>
      </c>
      <c r="X3574">
        <v>0.99845419999999996</v>
      </c>
      <c r="Y3574">
        <v>-2.846096E-2</v>
      </c>
      <c r="Z3574">
        <v>2.2962049999999999E-3</v>
      </c>
      <c r="AA3574">
        <v>0.99959219999999904</v>
      </c>
      <c r="AB3574">
        <v>12</v>
      </c>
      <c r="AC3574">
        <v>41.418299999999903</v>
      </c>
      <c r="AD3574">
        <v>-1.1112405379179999</v>
      </c>
      <c r="AE3574">
        <v>-1.7932999999999799</v>
      </c>
      <c r="AF3574">
        <v>-1.1809585117852901</v>
      </c>
      <c r="AG3574">
        <v>-1.1112405379179999</v>
      </c>
      <c r="AH3574">
        <v>41.410503315443599</v>
      </c>
      <c r="AI3574">
        <v>91.5365246707632</v>
      </c>
      <c r="AJ3574">
        <v>91.633537350376102</v>
      </c>
      <c r="AK3574">
        <v>41.442240568990002</v>
      </c>
      <c r="AL3574">
        <v>86.824272369261706</v>
      </c>
      <c r="AM3574">
        <v>89.741494062688702</v>
      </c>
      <c r="AN3574">
        <v>1.00000004008559</v>
      </c>
    </row>
    <row r="3575" spans="1:40" x14ac:dyDescent="0.25">
      <c r="A3575" t="str">
        <f>"20190312154323280"</f>
        <v>20190312154323280</v>
      </c>
      <c r="B3575" t="str">
        <f>"1552376603271347"</f>
        <v>1552376603271347</v>
      </c>
      <c r="C3575" t="s">
        <v>40</v>
      </c>
      <c r="D3575">
        <v>4.9433939999999996</v>
      </c>
      <c r="E3575">
        <v>0.48867319999999997</v>
      </c>
      <c r="F3575" t="s">
        <v>51</v>
      </c>
      <c r="G3575">
        <v>-430.8476</v>
      </c>
      <c r="H3575" s="1">
        <v>2.593186E-6</v>
      </c>
      <c r="I3575">
        <v>214.61279999999999</v>
      </c>
      <c r="J3575">
        <v>-469.82839999999999</v>
      </c>
      <c r="K3575">
        <v>1.1111819999999999</v>
      </c>
      <c r="L3575">
        <v>216.29239999999999</v>
      </c>
      <c r="M3575">
        <v>0.9974982</v>
      </c>
      <c r="N3575">
        <v>0</v>
      </c>
      <c r="O3575">
        <v>-6.9391739999999993E-2</v>
      </c>
      <c r="P3575">
        <v>0.99624100000000004</v>
      </c>
      <c r="Q3575">
        <v>4.4772109999999997E-2</v>
      </c>
      <c r="R3575">
        <v>-7.4158080000000001E-2</v>
      </c>
      <c r="S3575">
        <v>3.0050349999999999</v>
      </c>
      <c r="T3575">
        <v>-8.5412979999999999E-2</v>
      </c>
      <c r="U3575">
        <v>-0.12951660000000001</v>
      </c>
      <c r="V3575">
        <v>4.8100729999999998E-3</v>
      </c>
      <c r="W3575">
        <v>5.8252539999999998E-2</v>
      </c>
      <c r="X3575">
        <v>0.99829029999999996</v>
      </c>
      <c r="Y3575">
        <v>-2.6339100000000001E-2</v>
      </c>
      <c r="Z3575">
        <v>2.343356E-3</v>
      </c>
      <c r="AA3575">
        <v>0.99965029999999999</v>
      </c>
      <c r="AB3575">
        <v>12</v>
      </c>
      <c r="AC3575">
        <v>38.980799999999903</v>
      </c>
      <c r="AD3575">
        <v>-1.111179406814</v>
      </c>
      <c r="AE3575">
        <v>-1.67959999999999</v>
      </c>
      <c r="AF3575">
        <v>-1.0288068889584301</v>
      </c>
      <c r="AG3575">
        <v>-1.111179406814</v>
      </c>
      <c r="AH3575">
        <v>38.971771103507301</v>
      </c>
      <c r="AI3575">
        <v>91.632630227087205</v>
      </c>
      <c r="AJ3575">
        <v>91.512186990657298</v>
      </c>
      <c r="AK3575">
        <v>39.001180831265401</v>
      </c>
      <c r="AL3575">
        <v>86.660484828262497</v>
      </c>
      <c r="AM3575">
        <v>89.723933259377404</v>
      </c>
      <c r="AN3575">
        <v>1.0000000091464001</v>
      </c>
    </row>
    <row r="3576" spans="1:40" x14ac:dyDescent="0.25">
      <c r="A3576" t="str">
        <f>"20190312154323302"</f>
        <v>20190312154323302</v>
      </c>
      <c r="B3576" t="str">
        <f>"1552376603290867"</f>
        <v>1552376603290867</v>
      </c>
      <c r="C3576" t="s">
        <v>40</v>
      </c>
      <c r="D3576">
        <v>4.9649150000000004</v>
      </c>
      <c r="E3576">
        <v>0.48937360000000002</v>
      </c>
      <c r="F3576" t="s">
        <v>51</v>
      </c>
      <c r="G3576">
        <v>-429.52409999999998</v>
      </c>
      <c r="H3576" s="1">
        <v>2.2792740000000001E-6</v>
      </c>
      <c r="I3576">
        <v>214.5694</v>
      </c>
      <c r="J3576">
        <v>-469.71100000000001</v>
      </c>
      <c r="K3576">
        <v>1.111113</v>
      </c>
      <c r="L3576">
        <v>216.2867</v>
      </c>
      <c r="M3576">
        <v>0.99764200000000003</v>
      </c>
      <c r="N3576">
        <v>0</v>
      </c>
      <c r="O3576">
        <v>-6.7296270000000005E-2</v>
      </c>
      <c r="P3576">
        <v>0.99623870000000003</v>
      </c>
      <c r="Q3576">
        <v>4.767511E-2</v>
      </c>
      <c r="R3576">
        <v>-7.2357809999999995E-2</v>
      </c>
      <c r="S3576">
        <v>3.0055239999999999</v>
      </c>
      <c r="T3576">
        <v>-8.2861539999999997E-2</v>
      </c>
      <c r="U3576">
        <v>-0.12847900000000001</v>
      </c>
      <c r="V3576">
        <v>5.1231480000000001E-3</v>
      </c>
      <c r="W3576">
        <v>6.1137030000000002E-2</v>
      </c>
      <c r="X3576">
        <v>0.99811629999999996</v>
      </c>
      <c r="Y3576">
        <v>-2.4594399999999999E-2</v>
      </c>
      <c r="Z3576">
        <v>2.1914040000000001E-3</v>
      </c>
      <c r="AA3576">
        <v>0.99969509999999995</v>
      </c>
      <c r="AB3576">
        <v>12</v>
      </c>
      <c r="AC3576">
        <v>40.186900000000001</v>
      </c>
      <c r="AD3576">
        <v>-1.111110720726</v>
      </c>
      <c r="AE3576">
        <v>-1.7172999999999901</v>
      </c>
      <c r="AF3576">
        <v>-0.99051209236969995</v>
      </c>
      <c r="AG3576">
        <v>-1.111110720726</v>
      </c>
      <c r="AH3576">
        <v>40.180699668698502</v>
      </c>
      <c r="AI3576">
        <v>91.5835069058584</v>
      </c>
      <c r="AJ3576">
        <v>91.412137447434702</v>
      </c>
      <c r="AK3576">
        <v>40.208261677234901</v>
      </c>
      <c r="AL3576">
        <v>86.494920612140902</v>
      </c>
      <c r="AM3576">
        <v>89.705913849459904</v>
      </c>
      <c r="AN3576">
        <v>1.0000000657041599</v>
      </c>
    </row>
    <row r="3577" spans="1:40" x14ac:dyDescent="0.25">
      <c r="A3577" t="str">
        <f>"20190312154323325"</f>
        <v>20190312154323325</v>
      </c>
      <c r="B3577" t="str">
        <f>"1552376603311361"</f>
        <v>1552376603311361</v>
      </c>
      <c r="C3577" t="s">
        <v>40</v>
      </c>
      <c r="D3577">
        <v>4.9405469999999996</v>
      </c>
      <c r="E3577">
        <v>0.48996000000000001</v>
      </c>
      <c r="F3577" t="s">
        <v>51</v>
      </c>
      <c r="G3577">
        <v>-427.28989999999999</v>
      </c>
      <c r="H3577" s="1">
        <v>2.682977E-6</v>
      </c>
      <c r="I3577">
        <v>214.48490000000001</v>
      </c>
      <c r="J3577">
        <v>-469.58940000000001</v>
      </c>
      <c r="K3577">
        <v>1.111038</v>
      </c>
      <c r="L3577">
        <v>216.2809</v>
      </c>
      <c r="M3577">
        <v>0.99777000000000005</v>
      </c>
      <c r="N3577">
        <v>0</v>
      </c>
      <c r="O3577">
        <v>-6.5375340000000004E-2</v>
      </c>
      <c r="P3577">
        <v>0.99621990000000005</v>
      </c>
      <c r="Q3577">
        <v>5.0109550000000003E-2</v>
      </c>
      <c r="R3577">
        <v>-7.0960739999999994E-2</v>
      </c>
      <c r="S3577">
        <v>3.0058289999999999</v>
      </c>
      <c r="T3577">
        <v>-7.8729869999999993E-2</v>
      </c>
      <c r="U3577">
        <v>-0.12767029999999999</v>
      </c>
      <c r="V3577">
        <v>5.6664929999999999E-3</v>
      </c>
      <c r="W3577">
        <v>6.3554169999999993E-2</v>
      </c>
      <c r="X3577">
        <v>0.99796229999999997</v>
      </c>
      <c r="Y3577">
        <v>-2.2946999999999999E-2</v>
      </c>
      <c r="Z3577">
        <v>2.010249E-3</v>
      </c>
      <c r="AA3577">
        <v>0.99973460000000003</v>
      </c>
      <c r="AB3577">
        <v>12</v>
      </c>
      <c r="AC3577">
        <v>42.299500000000002</v>
      </c>
      <c r="AD3577">
        <v>-1.1110353170230001</v>
      </c>
      <c r="AE3577">
        <v>-1.79599999999999</v>
      </c>
      <c r="AF3577">
        <v>-0.97276751593857502</v>
      </c>
      <c r="AG3577">
        <v>-1.1110353170230001</v>
      </c>
      <c r="AH3577">
        <v>42.297290558058698</v>
      </c>
      <c r="AI3577">
        <v>91.504261440864198</v>
      </c>
      <c r="AJ3577">
        <v>91.317475632332801</v>
      </c>
      <c r="AK3577">
        <v>42.3230606722692</v>
      </c>
      <c r="AL3577">
        <v>86.356158471162402</v>
      </c>
      <c r="AM3577">
        <v>89.674674439619807</v>
      </c>
      <c r="AN3577">
        <v>0.99999999694429897</v>
      </c>
    </row>
    <row r="3578" spans="1:40" x14ac:dyDescent="0.25">
      <c r="A3578" t="str">
        <f>"20190312154323347"</f>
        <v>20190312154323347</v>
      </c>
      <c r="B3578" t="str">
        <f>"1552376603340642"</f>
        <v>1552376603340642</v>
      </c>
      <c r="C3578" t="s">
        <v>40</v>
      </c>
      <c r="D3578">
        <v>4.9301110000000001</v>
      </c>
      <c r="E3578">
        <v>0.49664710000000001</v>
      </c>
      <c r="F3578" t="s">
        <v>51</v>
      </c>
      <c r="G3578">
        <v>-425.46289999999999</v>
      </c>
      <c r="H3578" s="1">
        <v>3.0135879999999999E-6</v>
      </c>
      <c r="I3578">
        <v>214.4102</v>
      </c>
      <c r="J3578">
        <v>-469.47129999999999</v>
      </c>
      <c r="K3578">
        <v>1.1109709999999999</v>
      </c>
      <c r="L3578">
        <v>216.27510000000001</v>
      </c>
      <c r="M3578">
        <v>0.99787650000000006</v>
      </c>
      <c r="N3578">
        <v>0</v>
      </c>
      <c r="O3578">
        <v>-6.3729019999999997E-2</v>
      </c>
      <c r="P3578">
        <v>0.99618019999999996</v>
      </c>
      <c r="Q3578">
        <v>5.2309050000000003E-2</v>
      </c>
      <c r="R3578">
        <v>-6.9919899999999993E-2</v>
      </c>
      <c r="S3578">
        <v>3.0061339999999999</v>
      </c>
      <c r="T3578">
        <v>-7.5689670000000001E-2</v>
      </c>
      <c r="U3578">
        <v>-0.12744140000000001</v>
      </c>
      <c r="V3578">
        <v>6.2903949999999998E-3</v>
      </c>
      <c r="W3578">
        <v>6.5739710000000007E-2</v>
      </c>
      <c r="X3578">
        <v>0.99781699999999995</v>
      </c>
      <c r="Y3578">
        <v>-2.138108E-2</v>
      </c>
      <c r="Z3578">
        <v>1.871417E-3</v>
      </c>
      <c r="AA3578">
        <v>0.99976960000000004</v>
      </c>
      <c r="AB3578">
        <v>12</v>
      </c>
      <c r="AC3578">
        <v>44.008400000000002</v>
      </c>
      <c r="AD3578">
        <v>-1.1109679864119999</v>
      </c>
      <c r="AE3578">
        <v>-1.8649</v>
      </c>
      <c r="AF3578">
        <v>-0.94315780088123102</v>
      </c>
      <c r="AG3578">
        <v>-1.1109679864119999</v>
      </c>
      <c r="AH3578">
        <v>44.009787884856799</v>
      </c>
      <c r="AI3578">
        <v>91.445716082576894</v>
      </c>
      <c r="AJ3578">
        <v>91.227697142307505</v>
      </c>
      <c r="AK3578">
        <v>44.033909957830097</v>
      </c>
      <c r="AL3578">
        <v>86.230673832993901</v>
      </c>
      <c r="AM3578">
        <v>89.638803196854397</v>
      </c>
      <c r="AN3578">
        <v>1.00000002201456</v>
      </c>
    </row>
    <row r="3579" spans="1:40" x14ac:dyDescent="0.25">
      <c r="A3579" t="str">
        <f>"20190312154323368"</f>
        <v>20190312154323368</v>
      </c>
      <c r="B3579" t="str">
        <f>"1552376603361139"</f>
        <v>1552376603361139</v>
      </c>
      <c r="C3579" t="s">
        <v>40</v>
      </c>
      <c r="D3579">
        <v>4.9255589999999998</v>
      </c>
      <c r="E3579">
        <v>0.49723260000000002</v>
      </c>
      <c r="F3579" t="s">
        <v>50</v>
      </c>
      <c r="G3579">
        <v>-442.83920000000001</v>
      </c>
      <c r="H3579" s="1">
        <v>-3.0440110000000002E-8</v>
      </c>
      <c r="I3579">
        <v>214.72</v>
      </c>
      <c r="J3579">
        <v>-469.35700000000003</v>
      </c>
      <c r="K3579">
        <v>1.1109260000000001</v>
      </c>
      <c r="L3579">
        <v>216.26939999999999</v>
      </c>
      <c r="M3579">
        <v>0.99796499999999999</v>
      </c>
      <c r="N3579">
        <v>0</v>
      </c>
      <c r="O3579">
        <v>-6.2330139999999999E-2</v>
      </c>
      <c r="P3579">
        <v>0.99607889999999999</v>
      </c>
      <c r="Q3579">
        <v>5.4345619999999997E-2</v>
      </c>
      <c r="R3579">
        <v>-6.9811520000000002E-2</v>
      </c>
      <c r="S3579">
        <v>3.005798</v>
      </c>
      <c r="T3579">
        <v>-0.1253881</v>
      </c>
      <c r="U3579">
        <v>-0.17550660000000001</v>
      </c>
      <c r="V3579">
        <v>7.596846E-3</v>
      </c>
      <c r="W3579">
        <v>6.776459E-2</v>
      </c>
      <c r="X3579">
        <v>0.99767240000000001</v>
      </c>
      <c r="Y3579">
        <v>-3.995691E-3</v>
      </c>
      <c r="Z3579">
        <v>2.6778150000000001E-3</v>
      </c>
      <c r="AA3579">
        <v>0.9999884</v>
      </c>
      <c r="AB3579">
        <v>12</v>
      </c>
      <c r="AC3579">
        <v>26.517799999999902</v>
      </c>
      <c r="AD3579">
        <v>-1.1109260304401101</v>
      </c>
      <c r="AE3579">
        <v>-1.5493999999999899</v>
      </c>
      <c r="AF3579">
        <v>-0.10643468996455301</v>
      </c>
      <c r="AG3579">
        <v>-1.1109260304401101</v>
      </c>
      <c r="AH3579">
        <v>26.516432197694201</v>
      </c>
      <c r="AI3579">
        <v>92.399027828623304</v>
      </c>
      <c r="AJ3579">
        <v>90.229979121357204</v>
      </c>
      <c r="AK3579">
        <v>26.539906960711999</v>
      </c>
      <c r="AL3579">
        <v>86.114397247862499</v>
      </c>
      <c r="AM3579">
        <v>89.563725726805004</v>
      </c>
      <c r="AN3579">
        <v>0.999999984724387</v>
      </c>
    </row>
    <row r="3580" spans="1:40" x14ac:dyDescent="0.25">
      <c r="A3580" t="str">
        <f>"20190312154323390"</f>
        <v>20190312154323390</v>
      </c>
      <c r="B3580" t="str">
        <f>"1552376603380660"</f>
        <v>1552376603380660</v>
      </c>
      <c r="C3580" t="s">
        <v>40</v>
      </c>
      <c r="D3580">
        <v>4.9523590000000004</v>
      </c>
      <c r="E3580">
        <v>0.51902709999999996</v>
      </c>
      <c r="F3580" t="s">
        <v>50</v>
      </c>
      <c r="G3580">
        <v>-442.5292</v>
      </c>
      <c r="H3580" s="1">
        <v>-1.9350859999999999E-7</v>
      </c>
      <c r="I3580">
        <v>214.67689999999999</v>
      </c>
      <c r="J3580">
        <v>-469.24349999999998</v>
      </c>
      <c r="K3580">
        <v>1.1108990000000001</v>
      </c>
      <c r="L3580">
        <v>216.2637</v>
      </c>
      <c r="M3580">
        <v>0.99804059999999994</v>
      </c>
      <c r="N3580">
        <v>0</v>
      </c>
      <c r="O3580">
        <v>-6.110935E-2</v>
      </c>
      <c r="P3580">
        <v>0.99599819999999994</v>
      </c>
      <c r="Q3580">
        <v>5.5243500000000001E-2</v>
      </c>
      <c r="R3580">
        <v>-7.0254960000000005E-2</v>
      </c>
      <c r="S3580">
        <v>3.0061040000000001</v>
      </c>
      <c r="T3580">
        <v>-0.12448139999999901</v>
      </c>
      <c r="U3580">
        <v>-0.17843629999999999</v>
      </c>
      <c r="V3580">
        <v>9.2699710000000001E-3</v>
      </c>
      <c r="W3580">
        <v>6.8653249999999999E-2</v>
      </c>
      <c r="X3580">
        <v>0.99759750000000003</v>
      </c>
      <c r="Y3580">
        <v>-1.810908E-3</v>
      </c>
      <c r="Z3580">
        <v>2.5625539999999999E-3</v>
      </c>
      <c r="AA3580">
        <v>0.99999510000000003</v>
      </c>
      <c r="AB3580">
        <v>12</v>
      </c>
      <c r="AC3580">
        <v>26.714299999999898</v>
      </c>
      <c r="AD3580">
        <v>-1.1108991935085999</v>
      </c>
      <c r="AE3580">
        <v>-1.58680000000001</v>
      </c>
      <c r="AF3580">
        <v>-4.8723133289665099E-2</v>
      </c>
      <c r="AG3580">
        <v>-1.1108991935085999</v>
      </c>
      <c r="AH3580">
        <v>26.715305647867702</v>
      </c>
      <c r="AI3580">
        <v>92.381147423018206</v>
      </c>
      <c r="AJ3580">
        <v>90.104495409626495</v>
      </c>
      <c r="AK3580">
        <v>26.738437254649899</v>
      </c>
      <c r="AL3580">
        <v>86.063361926922695</v>
      </c>
      <c r="AM3580">
        <v>89.467605995227302</v>
      </c>
      <c r="AN3580">
        <v>0.999999986552076</v>
      </c>
    </row>
    <row r="3581" spans="1:40" x14ac:dyDescent="0.25">
      <c r="A3581" t="str">
        <f>"20190312154323414"</f>
        <v>20190312154323414</v>
      </c>
      <c r="B3581" t="str">
        <f>"1552376603401154"</f>
        <v>1552376603401154</v>
      </c>
      <c r="C3581" t="s">
        <v>40</v>
      </c>
      <c r="D3581">
        <v>4.9331550000000002</v>
      </c>
      <c r="E3581">
        <v>0.52456250000000004</v>
      </c>
      <c r="F3581" t="s">
        <v>50</v>
      </c>
      <c r="G3581">
        <v>-446.95049999999998</v>
      </c>
      <c r="H3581" s="1">
        <v>2.204131E-6</v>
      </c>
      <c r="I3581">
        <v>213.65029999999999</v>
      </c>
      <c r="J3581">
        <v>-469.11619999999999</v>
      </c>
      <c r="K3581">
        <v>1.11091299999999</v>
      </c>
      <c r="L3581">
        <v>216.25729999999999</v>
      </c>
      <c r="M3581">
        <v>0.99811550000000004</v>
      </c>
      <c r="N3581">
        <v>0</v>
      </c>
      <c r="O3581">
        <v>-5.9876890000000002E-2</v>
      </c>
      <c r="P3581">
        <v>0.99588290000000002</v>
      </c>
      <c r="Q3581">
        <v>5.6135869999999997E-2</v>
      </c>
      <c r="R3581">
        <v>-7.1179179999999995E-2</v>
      </c>
      <c r="S3581">
        <v>2.9955440000000002</v>
      </c>
      <c r="T3581">
        <v>-0.1492724</v>
      </c>
      <c r="U3581">
        <v>-0.35116579999999997</v>
      </c>
      <c r="V3581">
        <v>1.143019E-2</v>
      </c>
      <c r="W3581">
        <v>6.9538530000000001E-2</v>
      </c>
      <c r="X3581">
        <v>0.99751380000000001</v>
      </c>
      <c r="Y3581">
        <v>5.6751860000000001E-2</v>
      </c>
      <c r="Z3581">
        <v>1.5597639999999999E-3</v>
      </c>
      <c r="AA3581">
        <v>0.99838709999999997</v>
      </c>
      <c r="AB3581">
        <v>12</v>
      </c>
      <c r="AC3581">
        <v>22.165700000000001</v>
      </c>
      <c r="AD3581">
        <v>-1.1109107958690001</v>
      </c>
      <c r="AE3581">
        <v>-2.60699999999999</v>
      </c>
      <c r="AF3581">
        <v>1.27183772444785</v>
      </c>
      <c r="AG3581">
        <v>-1.1109107958690001</v>
      </c>
      <c r="AH3581">
        <v>22.226966311959401</v>
      </c>
      <c r="AI3581">
        <v>92.856615255741602</v>
      </c>
      <c r="AJ3581">
        <v>86.725078998550401</v>
      </c>
      <c r="AK3581">
        <v>22.291023427081299</v>
      </c>
      <c r="AL3581">
        <v>86.012517728862804</v>
      </c>
      <c r="AM3581">
        <v>89.343494811659198</v>
      </c>
      <c r="AN3581">
        <v>1.00000001879421</v>
      </c>
    </row>
    <row r="3582" spans="1:40" x14ac:dyDescent="0.25">
      <c r="A3582" t="str">
        <f>"20190312154323437"</f>
        <v>20190312154323437</v>
      </c>
      <c r="B3582" t="str">
        <f>"1552376603431410"</f>
        <v>1552376603431410</v>
      </c>
      <c r="C3582" t="s">
        <v>40</v>
      </c>
      <c r="D3582">
        <v>4.9479670000000002</v>
      </c>
      <c r="E3582">
        <v>0.52829169999999903</v>
      </c>
      <c r="F3582" t="s">
        <v>50</v>
      </c>
      <c r="G3582">
        <v>-447.1542</v>
      </c>
      <c r="H3582" s="1">
        <v>2.3258959999999999E-6</v>
      </c>
      <c r="I3582">
        <v>213.34530000000001</v>
      </c>
      <c r="J3582">
        <v>-468.99799999999999</v>
      </c>
      <c r="K3582">
        <v>1.1109420000000001</v>
      </c>
      <c r="L3582">
        <v>216.25139999999999</v>
      </c>
      <c r="M3582">
        <v>0.99817840000000002</v>
      </c>
      <c r="N3582">
        <v>0</v>
      </c>
      <c r="O3582">
        <v>-5.8819900000000001E-2</v>
      </c>
      <c r="P3582">
        <v>0.99572939999999999</v>
      </c>
      <c r="Q3582">
        <v>5.6653130000000003E-2</v>
      </c>
      <c r="R3582">
        <v>-7.2893979999999997E-2</v>
      </c>
      <c r="S3582">
        <v>2.9925839999999999</v>
      </c>
      <c r="T3582">
        <v>-0.15137509999999901</v>
      </c>
      <c r="U3582">
        <v>-0.39678960000000002</v>
      </c>
      <c r="V3582">
        <v>1.4202650000000001E-2</v>
      </c>
      <c r="W3582">
        <v>7.0051299999999997E-2</v>
      </c>
      <c r="X3582">
        <v>0.9974423</v>
      </c>
      <c r="Y3582">
        <v>7.2880449999999999E-2</v>
      </c>
      <c r="Z3582">
        <v>1.1225129999999999E-3</v>
      </c>
      <c r="AA3582">
        <v>0.99734</v>
      </c>
      <c r="AB3582">
        <v>12</v>
      </c>
      <c r="AC3582">
        <v>21.843800000000002</v>
      </c>
      <c r="AD3582">
        <v>-1.1109396741040001</v>
      </c>
      <c r="AE3582">
        <v>-2.9060999999999799</v>
      </c>
      <c r="AF3582">
        <v>1.61200460444058</v>
      </c>
      <c r="AG3582">
        <v>-1.1109396741040001</v>
      </c>
      <c r="AH3582">
        <v>21.921210310504101</v>
      </c>
      <c r="AI3582">
        <v>92.893397521163195</v>
      </c>
      <c r="AJ3582">
        <v>85.794250696588307</v>
      </c>
      <c r="AK3582">
        <v>22.008457630683498</v>
      </c>
      <c r="AL3582">
        <v>85.983066359290703</v>
      </c>
      <c r="AM3582">
        <v>89.1842165574609</v>
      </c>
      <c r="AN3582">
        <v>1.0000000208640001</v>
      </c>
    </row>
    <row r="3583" spans="1:40" x14ac:dyDescent="0.25">
      <c r="A3583" t="str">
        <f>"20190312154323459"</f>
        <v>20190312154323459</v>
      </c>
      <c r="B3583" t="str">
        <f>"1552376603450930"</f>
        <v>1552376603450930</v>
      </c>
      <c r="C3583" t="s">
        <v>40</v>
      </c>
      <c r="D3583">
        <v>4.9221649999999997</v>
      </c>
      <c r="E3583">
        <v>0.52975369999999899</v>
      </c>
      <c r="F3583" t="s">
        <v>50</v>
      </c>
      <c r="G3583">
        <v>-447.41019999999997</v>
      </c>
      <c r="H3583" s="1">
        <v>2.471072E-6</v>
      </c>
      <c r="I3583">
        <v>213.1396</v>
      </c>
      <c r="J3583">
        <v>-468.87950000000001</v>
      </c>
      <c r="K3583">
        <v>1.1109849999999999</v>
      </c>
      <c r="L3583">
        <v>216.24549999999999</v>
      </c>
      <c r="M3583">
        <v>0.99823709999999999</v>
      </c>
      <c r="N3583">
        <v>0</v>
      </c>
      <c r="O3583">
        <v>-5.7815819999999997E-2</v>
      </c>
      <c r="P3583">
        <v>0.99559260000000005</v>
      </c>
      <c r="Q3583">
        <v>5.6438710000000003E-2</v>
      </c>
      <c r="R3583">
        <v>-7.4901190000000006E-2</v>
      </c>
      <c r="S3583">
        <v>2.9900509999999998</v>
      </c>
      <c r="T3583">
        <v>-0.153871799999999</v>
      </c>
      <c r="U3583">
        <v>-0.43099979999999899</v>
      </c>
      <c r="V3583">
        <v>1.721102E-2</v>
      </c>
      <c r="W3583">
        <v>6.9835350000000004E-2</v>
      </c>
      <c r="X3583">
        <v>0.99741009999999997</v>
      </c>
      <c r="Y3583">
        <v>8.516638E-2</v>
      </c>
      <c r="Z3583">
        <v>7.7532209999999998E-4</v>
      </c>
      <c r="AA3583">
        <v>0.99636639999999999</v>
      </c>
      <c r="AB3583">
        <v>12</v>
      </c>
      <c r="AC3583">
        <v>21.4693</v>
      </c>
      <c r="AD3583">
        <v>-1.110982528928</v>
      </c>
      <c r="AE3583">
        <v>-3.1058999999999899</v>
      </c>
      <c r="AF3583">
        <v>1.85446270479639</v>
      </c>
      <c r="AG3583">
        <v>-1.110982528928</v>
      </c>
      <c r="AH3583">
        <v>21.556426869839601</v>
      </c>
      <c r="AI3583">
        <v>92.939481032621799</v>
      </c>
      <c r="AJ3583">
        <v>85.083047690068994</v>
      </c>
      <c r="AK3583">
        <v>21.664552926331201</v>
      </c>
      <c r="AL3583">
        <v>85.995469881664206</v>
      </c>
      <c r="AM3583">
        <v>89.011418724186001</v>
      </c>
      <c r="AN3583">
        <v>1.0000000514505301</v>
      </c>
    </row>
    <row r="3584" spans="1:40" x14ac:dyDescent="0.25">
      <c r="A3584" t="str">
        <f>"20190312154323481"</f>
        <v>20190312154323481</v>
      </c>
      <c r="B3584" t="str">
        <f>"1552376603471426"</f>
        <v>1552376603471426</v>
      </c>
      <c r="C3584" t="s">
        <v>40</v>
      </c>
      <c r="D3584">
        <v>4.9499930000000001</v>
      </c>
      <c r="E3584">
        <v>0.53055929999999996</v>
      </c>
      <c r="F3584" t="s">
        <v>50</v>
      </c>
      <c r="G3584">
        <v>-447.92329999999998</v>
      </c>
      <c r="H3584" s="1">
        <v>2.7456890000000001E-6</v>
      </c>
      <c r="I3584">
        <v>213.10489999999999</v>
      </c>
      <c r="J3584">
        <v>-468.76690000000002</v>
      </c>
      <c r="K3584">
        <v>1.111016</v>
      </c>
      <c r="L3584">
        <v>216.24010000000001</v>
      </c>
      <c r="M3584">
        <v>0.99829009999999996</v>
      </c>
      <c r="N3584">
        <v>0</v>
      </c>
      <c r="O3584">
        <v>-5.6894069999999998E-2</v>
      </c>
      <c r="P3584">
        <v>0.99546559999999995</v>
      </c>
      <c r="Q3584">
        <v>5.471297E-2</v>
      </c>
      <c r="R3584">
        <v>-7.7814099999999997E-2</v>
      </c>
      <c r="S3584">
        <v>2.9885250000000001</v>
      </c>
      <c r="T3584">
        <v>-0.15843579999999999</v>
      </c>
      <c r="U3584">
        <v>-0.447876</v>
      </c>
      <c r="V3584">
        <v>2.1041529999999999E-2</v>
      </c>
      <c r="W3584">
        <v>6.8110450000000003E-2</v>
      </c>
      <c r="X3584">
        <v>0.99745589999999995</v>
      </c>
      <c r="Y3584">
        <v>9.1651490000000002E-2</v>
      </c>
      <c r="Z3584">
        <v>5.7900879999999897E-4</v>
      </c>
      <c r="AA3584">
        <v>0.99579099999999998</v>
      </c>
      <c r="AB3584">
        <v>12</v>
      </c>
      <c r="AC3584">
        <v>20.843599999999999</v>
      </c>
      <c r="AD3584">
        <v>-1.1110132543110001</v>
      </c>
      <c r="AE3584">
        <v>-3.1352000000000202</v>
      </c>
      <c r="AF3584">
        <v>1.9387504070238399</v>
      </c>
      <c r="AG3584">
        <v>-1.1110132543110001</v>
      </c>
      <c r="AH3584">
        <v>20.930072529906798</v>
      </c>
      <c r="AI3584">
        <v>93.025603070061393</v>
      </c>
      <c r="AJ3584">
        <v>84.707799736623599</v>
      </c>
      <c r="AK3584">
        <v>21.049015171716398</v>
      </c>
      <c r="AL3584">
        <v>86.094535200180204</v>
      </c>
      <c r="AM3584">
        <v>88.791513410316995</v>
      </c>
      <c r="AN3584">
        <v>1.00000002591437</v>
      </c>
    </row>
    <row r="3585" spans="1:40" x14ac:dyDescent="0.25">
      <c r="A3585" t="str">
        <f>"20190312154323502"</f>
        <v>20190312154323502</v>
      </c>
      <c r="B3585" t="str">
        <f>"1552376603490950"</f>
        <v>1552376603490950</v>
      </c>
      <c r="C3585" t="s">
        <v>40</v>
      </c>
      <c r="D3585">
        <v>4.9577140000000002</v>
      </c>
      <c r="E3585">
        <v>0.53117650000000005</v>
      </c>
      <c r="F3585" t="s">
        <v>50</v>
      </c>
      <c r="G3585">
        <v>-448.89550000000003</v>
      </c>
      <c r="H3585" s="1">
        <v>3.2601849999999999E-6</v>
      </c>
      <c r="I3585">
        <v>213.16990000000001</v>
      </c>
      <c r="J3585">
        <v>-468.65530000000001</v>
      </c>
      <c r="K3585">
        <v>1.111046</v>
      </c>
      <c r="L3585">
        <v>216.2347</v>
      </c>
      <c r="M3585">
        <v>0.99834109999999998</v>
      </c>
      <c r="N3585">
        <v>0</v>
      </c>
      <c r="O3585">
        <v>-5.5991949999999999E-2</v>
      </c>
      <c r="P3585">
        <v>0.99532500000000002</v>
      </c>
      <c r="Q3585">
        <v>5.2544050000000002E-2</v>
      </c>
      <c r="R3585">
        <v>-8.1041130000000003E-2</v>
      </c>
      <c r="S3585">
        <v>2.986755</v>
      </c>
      <c r="T3585">
        <v>-0.16699020000000001</v>
      </c>
      <c r="U3585">
        <v>-0.46145629999999999</v>
      </c>
      <c r="V3585">
        <v>2.5167889999999998E-2</v>
      </c>
      <c r="W3585">
        <v>6.5943349999999998E-2</v>
      </c>
      <c r="X3585">
        <v>0.99750589999999995</v>
      </c>
      <c r="Y3585">
        <v>9.7046729999999998E-2</v>
      </c>
      <c r="Z3585">
        <v>4.1051400000000001E-4</v>
      </c>
      <c r="AA3585">
        <v>0.99527969999999999</v>
      </c>
      <c r="AB3585">
        <v>12</v>
      </c>
      <c r="AC3585">
        <v>19.759799999999899</v>
      </c>
      <c r="AD3585">
        <v>-1.111042739815</v>
      </c>
      <c r="AE3585">
        <v>-3.0647999999999902</v>
      </c>
      <c r="AF3585">
        <v>1.94748944886256</v>
      </c>
      <c r="AG3585">
        <v>-1.111042739815</v>
      </c>
      <c r="AH3585">
        <v>19.839166665300699</v>
      </c>
      <c r="AI3585">
        <v>93.190056989638407</v>
      </c>
      <c r="AJ3585">
        <v>84.393586373498707</v>
      </c>
      <c r="AK3585">
        <v>19.965461805245202</v>
      </c>
      <c r="AL3585">
        <v>86.218980605026601</v>
      </c>
      <c r="AM3585">
        <v>88.554687244935295</v>
      </c>
      <c r="AN3585">
        <v>0.99999998431554205</v>
      </c>
    </row>
    <row r="3586" spans="1:40" x14ac:dyDescent="0.25">
      <c r="A3586" t="str">
        <f>"20190312154323525"</f>
        <v>20190312154323525</v>
      </c>
      <c r="B3586" t="str">
        <f>"1552376603521203"</f>
        <v>1552376603521203</v>
      </c>
      <c r="C3586" t="s">
        <v>40</v>
      </c>
      <c r="D3586">
        <v>4.9576929999999999</v>
      </c>
      <c r="E3586">
        <v>0.53153989999999995</v>
      </c>
      <c r="F3586" t="s">
        <v>50</v>
      </c>
      <c r="G3586">
        <v>-449.88299999999998</v>
      </c>
      <c r="H3586" s="1">
        <v>3.7822809999999999E-6</v>
      </c>
      <c r="I3586">
        <v>213.2475</v>
      </c>
      <c r="J3586">
        <v>-468.53579999999999</v>
      </c>
      <c r="K3586">
        <v>1.111067</v>
      </c>
      <c r="L3586">
        <v>216.22909999999999</v>
      </c>
      <c r="M3586">
        <v>0.99839500000000003</v>
      </c>
      <c r="N3586">
        <v>0</v>
      </c>
      <c r="O3586">
        <v>-5.5023910000000002E-2</v>
      </c>
      <c r="P3586">
        <v>0.99515739999999997</v>
      </c>
      <c r="Q3586">
        <v>4.9767159999999998E-2</v>
      </c>
      <c r="R3586">
        <v>-8.4766750000000002E-2</v>
      </c>
      <c r="S3586">
        <v>2.9847410000000001</v>
      </c>
      <c r="T3586">
        <v>-0.1766527</v>
      </c>
      <c r="U3586">
        <v>-0.4749603</v>
      </c>
      <c r="V3586">
        <v>2.985995E-2</v>
      </c>
      <c r="W3586">
        <v>6.3169180000000005E-2</v>
      </c>
      <c r="X3586">
        <v>0.997556</v>
      </c>
      <c r="Y3586">
        <v>0.1024881</v>
      </c>
      <c r="Z3586">
        <v>2.1768039999999999E-4</v>
      </c>
      <c r="AA3586">
        <v>0.99473420000000001</v>
      </c>
      <c r="AB3586">
        <v>12</v>
      </c>
      <c r="AC3586">
        <v>18.6527999999999</v>
      </c>
      <c r="AD3586">
        <v>-1.1110632177190001</v>
      </c>
      <c r="AE3586">
        <v>-2.9815999999999798</v>
      </c>
      <c r="AF3586">
        <v>1.94391464350099</v>
      </c>
      <c r="AG3586">
        <v>-1.1110632177190001</v>
      </c>
      <c r="AH3586">
        <v>18.723832750722799</v>
      </c>
      <c r="AI3586">
        <v>93.377808851787506</v>
      </c>
      <c r="AJ3586">
        <v>84.072767819846206</v>
      </c>
      <c r="AK3586">
        <v>18.857231464136699</v>
      </c>
      <c r="AL3586">
        <v>86.378261079361394</v>
      </c>
      <c r="AM3586">
        <v>88.285471274196297</v>
      </c>
      <c r="AN3586">
        <v>0.99999996752593601</v>
      </c>
    </row>
    <row r="3587" spans="1:40" x14ac:dyDescent="0.25">
      <c r="A3587" t="str">
        <f>"20190312154323547"</f>
        <v>20190312154323547</v>
      </c>
      <c r="B3587" t="str">
        <f>"1552376603540723"</f>
        <v>1552376603540723</v>
      </c>
      <c r="C3587" t="s">
        <v>40</v>
      </c>
      <c r="D3587">
        <v>4.9646569999999999</v>
      </c>
      <c r="E3587">
        <v>0.53179600000000005</v>
      </c>
      <c r="F3587" t="s">
        <v>50</v>
      </c>
      <c r="G3587">
        <v>-450.983</v>
      </c>
      <c r="H3587" s="1">
        <v>-9.5891959999999999E-7</v>
      </c>
      <c r="I3587">
        <v>213.3631</v>
      </c>
      <c r="J3587">
        <v>-468.42</v>
      </c>
      <c r="K3587">
        <v>1.111081</v>
      </c>
      <c r="L3587">
        <v>216.22380000000001</v>
      </c>
      <c r="M3587">
        <v>0.99844670000000002</v>
      </c>
      <c r="N3587">
        <v>0</v>
      </c>
      <c r="O3587">
        <v>-5.4076270000000003E-2</v>
      </c>
      <c r="P3587">
        <v>0.99497150000000001</v>
      </c>
      <c r="Q3587">
        <v>4.63994E-2</v>
      </c>
      <c r="R3587">
        <v>-8.8765810000000001E-2</v>
      </c>
      <c r="S3587">
        <v>2.9825740000000001</v>
      </c>
      <c r="T3587">
        <v>-0.1887923</v>
      </c>
      <c r="U3587">
        <v>-0.48698429999999998</v>
      </c>
      <c r="V3587">
        <v>3.4806459999999997E-2</v>
      </c>
      <c r="W3587">
        <v>5.9805270000000001E-2</v>
      </c>
      <c r="X3587">
        <v>0.99760309999999996</v>
      </c>
      <c r="Y3587">
        <v>0.1074286</v>
      </c>
      <c r="Z3587" s="1">
        <v>1.8086519999999998E-5</v>
      </c>
      <c r="AA3587">
        <v>0.99421280000000001</v>
      </c>
      <c r="AB3587">
        <v>12</v>
      </c>
      <c r="AC3587">
        <v>17.437000000000001</v>
      </c>
      <c r="AD3587">
        <v>-1.1110819589195999</v>
      </c>
      <c r="AE3587">
        <v>-2.8607</v>
      </c>
      <c r="AF3587">
        <v>1.9059649324421299</v>
      </c>
      <c r="AG3587">
        <v>-1.1110819589195999</v>
      </c>
      <c r="AH3587">
        <v>17.497012059919399</v>
      </c>
      <c r="AI3587">
        <v>93.612163813619603</v>
      </c>
      <c r="AJ3587">
        <v>83.783232211245803</v>
      </c>
      <c r="AK3587">
        <v>17.6355503590928</v>
      </c>
      <c r="AL3587">
        <v>86.571364691930597</v>
      </c>
      <c r="AM3587">
        <v>88.001755777783501</v>
      </c>
      <c r="AN3587">
        <v>1.00000005255355</v>
      </c>
    </row>
    <row r="3588" spans="1:40" x14ac:dyDescent="0.25">
      <c r="A3588" t="str">
        <f>"20190312154323569"</f>
        <v>20190312154323569</v>
      </c>
      <c r="B3588" t="str">
        <f>"1552376603561219"</f>
        <v>1552376603561219</v>
      </c>
      <c r="C3588" t="s">
        <v>40</v>
      </c>
      <c r="D3588">
        <v>4.9516689999999999</v>
      </c>
      <c r="E3588">
        <v>0.5318676</v>
      </c>
      <c r="F3588" t="s">
        <v>50</v>
      </c>
      <c r="G3588">
        <v>-451.90190000000001</v>
      </c>
      <c r="H3588" s="1">
        <v>-4.7394449999999999E-7</v>
      </c>
      <c r="I3588">
        <v>213.45480000000001</v>
      </c>
      <c r="J3588">
        <v>-468.31</v>
      </c>
      <c r="K3588">
        <v>1.1111040000000001</v>
      </c>
      <c r="L3588">
        <v>216.21889999999999</v>
      </c>
      <c r="M3588">
        <v>0.99849549999999998</v>
      </c>
      <c r="N3588">
        <v>0</v>
      </c>
      <c r="O3588">
        <v>-5.3165730000000001E-2</v>
      </c>
      <c r="P3588">
        <v>0.99478129999999998</v>
      </c>
      <c r="Q3588">
        <v>4.3174789999999998E-2</v>
      </c>
      <c r="R3588">
        <v>-9.244571E-2</v>
      </c>
      <c r="S3588">
        <v>2.9799500000000001</v>
      </c>
      <c r="T3588">
        <v>-0.20044390000000001</v>
      </c>
      <c r="U3588">
        <v>-0.499527</v>
      </c>
      <c r="V3588">
        <v>3.9398099999999998E-2</v>
      </c>
      <c r="W3588">
        <v>5.658494E-2</v>
      </c>
      <c r="X3588">
        <v>0.99762010000000001</v>
      </c>
      <c r="Y3588">
        <v>0.1125197</v>
      </c>
      <c r="Z3588">
        <v>-2.1130310000000001E-4</v>
      </c>
      <c r="AA3588">
        <v>0.99364949999999996</v>
      </c>
      <c r="AB3588">
        <v>12</v>
      </c>
      <c r="AC3588">
        <v>16.408099999999902</v>
      </c>
      <c r="AD3588">
        <v>-1.1111044739445</v>
      </c>
      <c r="AE3588">
        <v>-2.76409999999998</v>
      </c>
      <c r="AF3588">
        <v>1.8793826178903901</v>
      </c>
      <c r="AG3588">
        <v>-1.1111044739445</v>
      </c>
      <c r="AH3588">
        <v>16.458469739621801</v>
      </c>
      <c r="AI3588">
        <v>93.837292745712304</v>
      </c>
      <c r="AJ3588">
        <v>83.485646134273296</v>
      </c>
      <c r="AK3588">
        <v>16.602646124834902</v>
      </c>
      <c r="AL3588">
        <v>86.756189031222505</v>
      </c>
      <c r="AM3588">
        <v>87.7384453153457</v>
      </c>
      <c r="AN3588">
        <v>0.99999996482121101</v>
      </c>
    </row>
    <row r="3589" spans="1:40" x14ac:dyDescent="0.25">
      <c r="A3589" t="str">
        <f>"20190312154323591"</f>
        <v>20190312154323591</v>
      </c>
      <c r="B3589" t="str">
        <f>"1552376603580739"</f>
        <v>1552376603580739</v>
      </c>
      <c r="C3589" t="s">
        <v>40</v>
      </c>
      <c r="D3589">
        <v>4.9660260000000003</v>
      </c>
      <c r="E3589">
        <v>0.53184799999999999</v>
      </c>
      <c r="F3589" t="s">
        <v>50</v>
      </c>
      <c r="G3589">
        <v>-452.58890000000002</v>
      </c>
      <c r="H3589" s="1">
        <v>-1.112371E-7</v>
      </c>
      <c r="I3589">
        <v>213.52080000000001</v>
      </c>
      <c r="J3589">
        <v>-468.1902</v>
      </c>
      <c r="K3589">
        <v>1.11113</v>
      </c>
      <c r="L3589">
        <v>216.21360000000001</v>
      </c>
      <c r="M3589">
        <v>0.99854860000000001</v>
      </c>
      <c r="N3589">
        <v>0</v>
      </c>
      <c r="O3589">
        <v>-5.2162899999999998E-2</v>
      </c>
      <c r="P3589">
        <v>0.99452560000000001</v>
      </c>
      <c r="Q3589">
        <v>4.1868280000000001E-2</v>
      </c>
      <c r="R3589">
        <v>-9.5739950000000004E-2</v>
      </c>
      <c r="S3589">
        <v>2.9773860000000001</v>
      </c>
      <c r="T3589">
        <v>-0.210429</v>
      </c>
      <c r="U3589">
        <v>-0.51097109999999901</v>
      </c>
      <c r="V3589">
        <v>4.3699639999999998E-2</v>
      </c>
      <c r="W3589">
        <v>5.5281400000000001E-2</v>
      </c>
      <c r="X3589">
        <v>0.99751409999999996</v>
      </c>
      <c r="Y3589">
        <v>0.11734070000000001</v>
      </c>
      <c r="Z3589">
        <v>-4.6098930000000002E-4</v>
      </c>
      <c r="AA3589">
        <v>0.99309159999999996</v>
      </c>
      <c r="AB3589">
        <v>12</v>
      </c>
      <c r="AC3589">
        <v>15.601299999999901</v>
      </c>
      <c r="AD3589">
        <v>-1.1111301112370999</v>
      </c>
      <c r="AE3589">
        <v>-2.6928000000000001</v>
      </c>
      <c r="AF3589">
        <v>1.8660596777782099</v>
      </c>
      <c r="AG3589">
        <v>-1.1111301112370999</v>
      </c>
      <c r="AH3589">
        <v>15.643479762062899</v>
      </c>
      <c r="AI3589">
        <v>94.034294098534801</v>
      </c>
      <c r="AJ3589">
        <v>83.197516731386898</v>
      </c>
      <c r="AK3589">
        <v>15.7935191743701</v>
      </c>
      <c r="AL3589">
        <v>86.830993709776493</v>
      </c>
      <c r="AM3589">
        <v>87.491559244844296</v>
      </c>
      <c r="AN3589">
        <v>1.0000000357104399</v>
      </c>
    </row>
    <row r="3590" spans="1:40" x14ac:dyDescent="0.25">
      <c r="A3590" t="str">
        <f>"20190312154323615"</f>
        <v>20190312154323615</v>
      </c>
      <c r="B3590" t="str">
        <f>"1552376603610995"</f>
        <v>1552376603610995</v>
      </c>
      <c r="C3590" t="s">
        <v>40</v>
      </c>
      <c r="D3590">
        <v>4.9719049999999996</v>
      </c>
      <c r="E3590">
        <v>0.4957377</v>
      </c>
      <c r="F3590" t="s">
        <v>50</v>
      </c>
      <c r="G3590">
        <v>-452.64710000000002</v>
      </c>
      <c r="H3590" s="1">
        <v>-7.8934950000000002E-8</v>
      </c>
      <c r="I3590">
        <v>213.4906</v>
      </c>
      <c r="J3590">
        <v>-468.06479999999999</v>
      </c>
      <c r="K3590">
        <v>1.1111610000000001</v>
      </c>
      <c r="L3590">
        <v>216.20830000000001</v>
      </c>
      <c r="M3590">
        <v>0.99860360000000004</v>
      </c>
      <c r="N3590">
        <v>0</v>
      </c>
      <c r="O3590">
        <v>-5.1100180000000002E-2</v>
      </c>
      <c r="P3590">
        <v>0.99437379999999997</v>
      </c>
      <c r="Q3590">
        <v>4.0468629999999998E-2</v>
      </c>
      <c r="R3590">
        <v>-9.7894090000000003E-2</v>
      </c>
      <c r="S3590">
        <v>2.975311</v>
      </c>
      <c r="T3590">
        <v>-0.21269540000000001</v>
      </c>
      <c r="U3590">
        <v>-0.52124020000000004</v>
      </c>
      <c r="V3590">
        <v>4.6917479999999998E-2</v>
      </c>
      <c r="W3590">
        <v>5.3884929999999998E-2</v>
      </c>
      <c r="X3590">
        <v>0.99744429999999995</v>
      </c>
      <c r="Y3590">
        <v>0.121822</v>
      </c>
      <c r="Z3590">
        <v>-7.0004609999999999E-4</v>
      </c>
      <c r="AA3590">
        <v>0.99255170000000004</v>
      </c>
      <c r="AB3590">
        <v>12</v>
      </c>
      <c r="AC3590">
        <v>15.4176999999999</v>
      </c>
      <c r="AD3590">
        <v>-1.11116107893495</v>
      </c>
      <c r="AE3590">
        <v>-2.7176999999999998</v>
      </c>
      <c r="AF3590">
        <v>1.9165757684085301</v>
      </c>
      <c r="AG3590">
        <v>-1.11116107893495</v>
      </c>
      <c r="AH3590">
        <v>15.4585665902559</v>
      </c>
      <c r="AI3590">
        <v>94.080214077312704</v>
      </c>
      <c r="AJ3590">
        <v>82.932450650454001</v>
      </c>
      <c r="AK3590">
        <v>15.6165048152513</v>
      </c>
      <c r="AL3590">
        <v>86.911124847116298</v>
      </c>
      <c r="AM3590">
        <v>87.306923655694504</v>
      </c>
      <c r="AN3590">
        <v>0.99999998360657205</v>
      </c>
    </row>
    <row r="3591" spans="1:40" x14ac:dyDescent="0.25">
      <c r="A3591" t="str">
        <f>"20190312154323637"</f>
        <v>20190312154323637</v>
      </c>
      <c r="B3591" t="str">
        <f>"1552376603630776"</f>
        <v>1552376603630776</v>
      </c>
      <c r="C3591" t="s">
        <v>40</v>
      </c>
      <c r="D3591">
        <v>4.9979959999999997</v>
      </c>
      <c r="E3591">
        <v>0.48803669999999999</v>
      </c>
      <c r="F3591" t="s">
        <v>50</v>
      </c>
      <c r="G3591">
        <v>-447.94600000000003</v>
      </c>
      <c r="H3591" s="1">
        <v>2.693517E-6</v>
      </c>
      <c r="I3591">
        <v>214.5746</v>
      </c>
      <c r="J3591">
        <v>-467.9547</v>
      </c>
      <c r="K3591">
        <v>1.1111740000000001</v>
      </c>
      <c r="L3591">
        <v>216.2038</v>
      </c>
      <c r="M3591">
        <v>0.99865130000000002</v>
      </c>
      <c r="N3591">
        <v>0</v>
      </c>
      <c r="O3591">
        <v>-5.015754E-2</v>
      </c>
      <c r="P3591">
        <v>0.99431320000000001</v>
      </c>
      <c r="Q3591">
        <v>3.9558429999999999E-2</v>
      </c>
      <c r="R3591">
        <v>-9.8877969999999996E-2</v>
      </c>
      <c r="S3591">
        <v>2.9997250000000002</v>
      </c>
      <c r="T3591">
        <v>-0.16567470000000001</v>
      </c>
      <c r="U3591">
        <v>-0.24357599999999999</v>
      </c>
      <c r="V3591">
        <v>4.8843200000000003E-2</v>
      </c>
      <c r="W3591">
        <v>5.29769E-2</v>
      </c>
      <c r="X3591">
        <v>0.99740050000000002</v>
      </c>
      <c r="Y3591">
        <v>3.0862839999999999E-2</v>
      </c>
      <c r="Z3591">
        <v>1.9112949999999999E-3</v>
      </c>
      <c r="AA3591">
        <v>0.99952180000000002</v>
      </c>
      <c r="AB3591">
        <v>12</v>
      </c>
      <c r="AC3591">
        <v>20.008700000000001</v>
      </c>
      <c r="AD3591">
        <v>-1.11117130648299</v>
      </c>
      <c r="AE3591">
        <v>-1.62919999999999</v>
      </c>
      <c r="AF3591">
        <v>0.62156724911624905</v>
      </c>
      <c r="AG3591">
        <v>-1.11117130648299</v>
      </c>
      <c r="AH3591">
        <v>20.003947646382201</v>
      </c>
      <c r="AI3591">
        <v>93.177845208885003</v>
      </c>
      <c r="AJ3591">
        <v>88.220265019170697</v>
      </c>
      <c r="AK3591">
        <v>20.044424884658699</v>
      </c>
      <c r="AL3591">
        <v>86.963225560262401</v>
      </c>
      <c r="AM3591">
        <v>87.196436750199695</v>
      </c>
      <c r="AN3591">
        <v>0.99999998376004995</v>
      </c>
    </row>
    <row r="3592" spans="1:40" x14ac:dyDescent="0.25">
      <c r="A3592" t="str">
        <f>"20190312154323661"</f>
        <v>20190312154323661</v>
      </c>
      <c r="B3592" t="str">
        <f>"1552376603651273"</f>
        <v>1552376603651273</v>
      </c>
      <c r="C3592" t="s">
        <v>40</v>
      </c>
      <c r="D3592">
        <v>4.9576840000000004</v>
      </c>
      <c r="E3592">
        <v>0.48590850000000002</v>
      </c>
      <c r="F3592" t="s">
        <v>50</v>
      </c>
      <c r="G3592">
        <v>-447.16559999999998</v>
      </c>
      <c r="H3592" s="1">
        <v>2.2634490000000001E-6</v>
      </c>
      <c r="I3592">
        <v>214.9118</v>
      </c>
      <c r="J3592">
        <v>-467.83510000000001</v>
      </c>
      <c r="K3592">
        <v>1.11117</v>
      </c>
      <c r="L3592">
        <v>216.19900000000001</v>
      </c>
      <c r="M3592">
        <v>0.99870289999999995</v>
      </c>
      <c r="N3592">
        <v>0</v>
      </c>
      <c r="O3592">
        <v>-4.9121819999999997E-2</v>
      </c>
      <c r="P3592">
        <v>0.99443020000000004</v>
      </c>
      <c r="Q3592">
        <v>3.739348E-2</v>
      </c>
      <c r="R3592">
        <v>-9.8542110000000002E-2</v>
      </c>
      <c r="S3592">
        <v>3.0049440000000001</v>
      </c>
      <c r="T3592">
        <v>-0.1606129</v>
      </c>
      <c r="U3592">
        <v>-0.18675230000000001</v>
      </c>
      <c r="V3592">
        <v>4.9536400000000001E-2</v>
      </c>
      <c r="W3592">
        <v>5.0800209999999998E-2</v>
      </c>
      <c r="X3592">
        <v>0.99747960000000002</v>
      </c>
      <c r="Y3592">
        <v>1.2973480000000001E-2</v>
      </c>
      <c r="Z3592">
        <v>2.2734560000000001E-3</v>
      </c>
      <c r="AA3592">
        <v>0.9999133</v>
      </c>
      <c r="AB3592">
        <v>12</v>
      </c>
      <c r="AC3592">
        <v>20.669499999999999</v>
      </c>
      <c r="AD3592">
        <v>-1.111167736551</v>
      </c>
      <c r="AE3592">
        <v>-1.2872000000000099</v>
      </c>
      <c r="AF3592">
        <v>0.26945545694196299</v>
      </c>
      <c r="AG3592">
        <v>-1.111167736551</v>
      </c>
      <c r="AH3592">
        <v>20.6483351159394</v>
      </c>
      <c r="AI3592">
        <v>93.080077226303104</v>
      </c>
      <c r="AJ3592">
        <v>89.252347268057093</v>
      </c>
      <c r="AK3592">
        <v>20.679967191515601</v>
      </c>
      <c r="AL3592">
        <v>87.088109117638496</v>
      </c>
      <c r="AM3592">
        <v>87.1569375253586</v>
      </c>
      <c r="AN3592">
        <v>1.00000003433858</v>
      </c>
    </row>
    <row r="3593" spans="1:40" x14ac:dyDescent="0.25">
      <c r="A3593" t="str">
        <f>"20190312154323682"</f>
        <v>20190312154323682</v>
      </c>
      <c r="B3593" t="str">
        <f>"1552376603670793"</f>
        <v>1552376603670793</v>
      </c>
      <c r="C3593" t="s">
        <v>40</v>
      </c>
      <c r="D3593">
        <v>4.9505319999999999</v>
      </c>
      <c r="E3593">
        <v>0.48503970000000002</v>
      </c>
      <c r="F3593" t="s">
        <v>50</v>
      </c>
      <c r="G3593">
        <v>-446.83690000000001</v>
      </c>
      <c r="H3593" s="1">
        <v>2.0839359999999998E-6</v>
      </c>
      <c r="I3593">
        <v>215.01689999999999</v>
      </c>
      <c r="J3593">
        <v>-467.72289999999998</v>
      </c>
      <c r="K3593">
        <v>1.1111530000000001</v>
      </c>
      <c r="L3593">
        <v>216.19460000000001</v>
      </c>
      <c r="M3593">
        <v>0.99875159999999996</v>
      </c>
      <c r="N3593">
        <v>0</v>
      </c>
      <c r="O3593">
        <v>-4.8138069999999998E-2</v>
      </c>
      <c r="P3593">
        <v>0.99467899999999998</v>
      </c>
      <c r="Q3593">
        <v>3.5122109999999998E-2</v>
      </c>
      <c r="R3593">
        <v>-9.6850909999999998E-2</v>
      </c>
      <c r="S3593">
        <v>3.0060120000000001</v>
      </c>
      <c r="T3593">
        <v>-0.15906989999999999</v>
      </c>
      <c r="U3593">
        <v>-0.16922000000000001</v>
      </c>
      <c r="V3593">
        <v>4.8818489999999999E-2</v>
      </c>
      <c r="W3593">
        <v>4.8470399999999997E-2</v>
      </c>
      <c r="X3593">
        <v>0.99763089999999999</v>
      </c>
      <c r="Y3593">
        <v>8.1291599999999999E-3</v>
      </c>
      <c r="Z3593">
        <v>2.3274070000000001E-3</v>
      </c>
      <c r="AA3593">
        <v>0.99996419999999997</v>
      </c>
      <c r="AB3593">
        <v>12</v>
      </c>
      <c r="AC3593">
        <v>20.8859999999999</v>
      </c>
      <c r="AD3593">
        <v>-1.1111509160640001</v>
      </c>
      <c r="AE3593">
        <v>-1.17770000000001</v>
      </c>
      <c r="AF3593">
        <v>0.170352607119233</v>
      </c>
      <c r="AG3593">
        <v>-1.1111509160640001</v>
      </c>
      <c r="AH3593">
        <v>20.859627311650499</v>
      </c>
      <c r="AI3593">
        <v>93.049049102481206</v>
      </c>
      <c r="AJ3593">
        <v>89.532097659637898</v>
      </c>
      <c r="AK3593">
        <v>20.889895355170601</v>
      </c>
      <c r="AL3593">
        <v>87.221762119540699</v>
      </c>
      <c r="AM3593">
        <v>87.198498941426493</v>
      </c>
      <c r="AN3593">
        <v>1.0000000186384199</v>
      </c>
    </row>
    <row r="3594" spans="1:40" x14ac:dyDescent="0.25">
      <c r="A3594" t="str">
        <f>"20190312154323703"</f>
        <v>20190312154323703</v>
      </c>
      <c r="B3594" t="str">
        <f>"1552376603691289"</f>
        <v>1552376603691289</v>
      </c>
      <c r="C3594" t="s">
        <v>40</v>
      </c>
      <c r="D3594">
        <v>4.9667059999999896</v>
      </c>
      <c r="E3594">
        <v>0.48445179999999999</v>
      </c>
      <c r="F3594" t="s">
        <v>50</v>
      </c>
      <c r="G3594">
        <v>-446.70119999999997</v>
      </c>
      <c r="H3594" s="1">
        <v>2.0084819999999998E-6</v>
      </c>
      <c r="I3594">
        <v>215.09190000000001</v>
      </c>
      <c r="J3594">
        <v>-467.61239999999998</v>
      </c>
      <c r="K3594">
        <v>1.1111219999999999</v>
      </c>
      <c r="L3594">
        <v>216.19049999999999</v>
      </c>
      <c r="M3594">
        <v>0.99879969999999996</v>
      </c>
      <c r="N3594">
        <v>0</v>
      </c>
      <c r="O3594">
        <v>-4.7170549999999999E-2</v>
      </c>
      <c r="P3594">
        <v>0.99499879999999996</v>
      </c>
      <c r="Q3594">
        <v>3.4021940000000001E-2</v>
      </c>
      <c r="R3594">
        <v>-9.3915540000000006E-2</v>
      </c>
      <c r="S3594">
        <v>3.006348</v>
      </c>
      <c r="T3594">
        <v>-0.15890789999999999</v>
      </c>
      <c r="U3594">
        <v>-0.1576996</v>
      </c>
      <c r="V3594">
        <v>4.6838079999999997E-2</v>
      </c>
      <c r="W3594">
        <v>4.7230130000000002E-2</v>
      </c>
      <c r="X3594">
        <v>0.99778529999999999</v>
      </c>
      <c r="Y3594">
        <v>5.2735710000000003E-3</v>
      </c>
      <c r="Z3594">
        <v>2.3494409999999999E-3</v>
      </c>
      <c r="AA3594">
        <v>0.99998330000000002</v>
      </c>
      <c r="AB3594">
        <v>12</v>
      </c>
      <c r="AC3594">
        <v>20.911200000000001</v>
      </c>
      <c r="AD3594">
        <v>-1.1111199915179999</v>
      </c>
      <c r="AE3594">
        <v>-1.09859999999997</v>
      </c>
      <c r="AF3594">
        <v>0.110586833848976</v>
      </c>
      <c r="AG3594">
        <v>-1.1111199915179999</v>
      </c>
      <c r="AH3594">
        <v>20.8809528491661</v>
      </c>
      <c r="AI3594">
        <v>93.045915130432803</v>
      </c>
      <c r="AJ3594">
        <v>89.696560800813202</v>
      </c>
      <c r="AK3594">
        <v>20.9107869046688</v>
      </c>
      <c r="AL3594">
        <v>87.292905796826005</v>
      </c>
      <c r="AM3594">
        <v>87.312392019624994</v>
      </c>
      <c r="AN3594">
        <v>0.99999999790699601</v>
      </c>
    </row>
    <row r="3595" spans="1:40" x14ac:dyDescent="0.25">
      <c r="A3595" t="str">
        <f>"20190312154323725"</f>
        <v>20190312154323725</v>
      </c>
      <c r="B3595" t="str">
        <f>"1552376603710812"</f>
        <v>1552376603710812</v>
      </c>
      <c r="C3595" t="s">
        <v>40</v>
      </c>
      <c r="D3595">
        <v>4.9722589999999904</v>
      </c>
      <c r="E3595">
        <v>0.48407749999999999</v>
      </c>
      <c r="F3595" t="s">
        <v>50</v>
      </c>
      <c r="G3595">
        <v>-446.61200000000002</v>
      </c>
      <c r="H3595" s="1">
        <v>1.9569799999999999E-6</v>
      </c>
      <c r="I3595">
        <v>215.184</v>
      </c>
      <c r="J3595">
        <v>-467.50009999999997</v>
      </c>
      <c r="K3595">
        <v>1.1110770000000001</v>
      </c>
      <c r="L3595">
        <v>216.18639999999999</v>
      </c>
      <c r="M3595">
        <v>0.99884890000000004</v>
      </c>
      <c r="N3595">
        <v>0</v>
      </c>
      <c r="O3595">
        <v>-4.618481E-2</v>
      </c>
      <c r="P3595">
        <v>0.99532569999999998</v>
      </c>
      <c r="Q3595">
        <v>3.3798500000000002E-2</v>
      </c>
      <c r="R3595">
        <v>-9.0468389999999996E-2</v>
      </c>
      <c r="S3595">
        <v>3.006958</v>
      </c>
      <c r="T3595">
        <v>-0.15909679999999901</v>
      </c>
      <c r="U3595">
        <v>-0.14411930000000001</v>
      </c>
      <c r="V3595">
        <v>4.43647E-2</v>
      </c>
      <c r="W3595">
        <v>4.6767160000000002E-2</v>
      </c>
      <c r="X3595">
        <v>0.99792020000000003</v>
      </c>
      <c r="Y3595">
        <v>1.748767E-3</v>
      </c>
      <c r="Z3595">
        <v>2.3931870000000002E-3</v>
      </c>
      <c r="AA3595">
        <v>0.99999559999999998</v>
      </c>
      <c r="AB3595">
        <v>12</v>
      </c>
      <c r="AC3595">
        <v>20.888100000000001</v>
      </c>
      <c r="AD3595">
        <v>-1.11107504302</v>
      </c>
      <c r="AE3595">
        <v>-1.00239999999996</v>
      </c>
      <c r="AF3595">
        <v>3.6433427223234498E-2</v>
      </c>
      <c r="AG3595">
        <v>-1.11107504302</v>
      </c>
      <c r="AH3595">
        <v>20.853240506807399</v>
      </c>
      <c r="AI3595">
        <v>93.049870174928898</v>
      </c>
      <c r="AJ3595">
        <v>89.899896637723401</v>
      </c>
      <c r="AK3595">
        <v>20.882850734049502</v>
      </c>
      <c r="AL3595">
        <v>87.319461535112197</v>
      </c>
      <c r="AM3595">
        <v>87.454468394516695</v>
      </c>
      <c r="AN3595">
        <v>1.00000005971429</v>
      </c>
    </row>
    <row r="3596" spans="1:40" x14ac:dyDescent="0.25">
      <c r="A3596" t="str">
        <f>"20190312154323747"</f>
        <v>20190312154323747</v>
      </c>
      <c r="B3596" t="str">
        <f>"1552376603741065"</f>
        <v>1552376603741065</v>
      </c>
      <c r="C3596" t="s">
        <v>40</v>
      </c>
      <c r="D3596">
        <v>4.9655180000000003</v>
      </c>
      <c r="E3596">
        <v>0.48402430000000002</v>
      </c>
      <c r="F3596" t="s">
        <v>50</v>
      </c>
      <c r="G3596">
        <v>-446.17829999999998</v>
      </c>
      <c r="H3596" s="1">
        <v>1.722906E-6</v>
      </c>
      <c r="I3596">
        <v>215.25960000000001</v>
      </c>
      <c r="J3596">
        <v>-467.38400000000001</v>
      </c>
      <c r="K3596">
        <v>1.1110059999999999</v>
      </c>
      <c r="L3596">
        <v>216.18219999999999</v>
      </c>
      <c r="M3596">
        <v>0.99890009999999996</v>
      </c>
      <c r="N3596">
        <v>0</v>
      </c>
      <c r="O3596">
        <v>-4.5160949999999998E-2</v>
      </c>
      <c r="P3596">
        <v>0.99561319999999998</v>
      </c>
      <c r="Q3596">
        <v>3.4913329999999999E-2</v>
      </c>
      <c r="R3596">
        <v>-8.6808440000000001E-2</v>
      </c>
      <c r="S3596">
        <v>3.0075069999999999</v>
      </c>
      <c r="T3596">
        <v>-0.15672139999999901</v>
      </c>
      <c r="U3596">
        <v>-0.130722</v>
      </c>
      <c r="V3596">
        <v>4.1718480000000002E-2</v>
      </c>
      <c r="W3596">
        <v>4.7544969999999999E-2</v>
      </c>
      <c r="X3596">
        <v>0.99799749999999998</v>
      </c>
      <c r="Y3596">
        <v>-1.6786279999999999E-3</v>
      </c>
      <c r="Z3596">
        <v>2.3933330000000001E-3</v>
      </c>
      <c r="AA3596">
        <v>0.99999570000000004</v>
      </c>
      <c r="AB3596">
        <v>12</v>
      </c>
      <c r="AC3596">
        <v>21.2057</v>
      </c>
      <c r="AD3596">
        <v>-1.1110042770939901</v>
      </c>
      <c r="AE3596">
        <v>-0.92259999999998799</v>
      </c>
      <c r="AF3596">
        <v>-3.5988597223487698E-2</v>
      </c>
      <c r="AG3596">
        <v>-1.1110042770939901</v>
      </c>
      <c r="AH3596">
        <v>21.167736186503099</v>
      </c>
      <c r="AI3596">
        <v>93.004450176643005</v>
      </c>
      <c r="AJ3596">
        <v>90.097412057981501</v>
      </c>
      <c r="AK3596">
        <v>21.196902626191498</v>
      </c>
      <c r="AL3596">
        <v>87.274846464311395</v>
      </c>
      <c r="AM3596">
        <v>87.606304619593601</v>
      </c>
      <c r="AN3596">
        <v>0.99999998287602998</v>
      </c>
    </row>
    <row r="3597" spans="1:40" x14ac:dyDescent="0.25">
      <c r="A3597" t="str">
        <f>"20190312154323770"</f>
        <v>20190312154323770</v>
      </c>
      <c r="B3597" t="str">
        <f>"1552376603760585"</f>
        <v>1552376603760585</v>
      </c>
      <c r="C3597" t="s">
        <v>40</v>
      </c>
      <c r="D3597">
        <v>4.9562920000000004</v>
      </c>
      <c r="E3597">
        <v>0.48409600000000003</v>
      </c>
      <c r="F3597" t="s">
        <v>50</v>
      </c>
      <c r="G3597">
        <v>-444.68599999999998</v>
      </c>
      <c r="H3597" s="1">
        <v>9.2772980000000003E-7</v>
      </c>
      <c r="I3597">
        <v>215.2825</v>
      </c>
      <c r="J3597">
        <v>-467.2704</v>
      </c>
      <c r="K3597">
        <v>1.11093</v>
      </c>
      <c r="L3597">
        <v>216.17830000000001</v>
      </c>
      <c r="M3597">
        <v>0.99895009999999995</v>
      </c>
      <c r="N3597">
        <v>0</v>
      </c>
      <c r="O3597">
        <v>-4.4154989999999998E-2</v>
      </c>
      <c r="P3597">
        <v>0.99584669999999997</v>
      </c>
      <c r="Q3597">
        <v>3.6041799999999999E-2</v>
      </c>
      <c r="R3597">
        <v>-8.3608500000000002E-2</v>
      </c>
      <c r="S3597">
        <v>3.0080260000000001</v>
      </c>
      <c r="T3597">
        <v>-0.1472347</v>
      </c>
      <c r="U3597">
        <v>-0.119232199999999</v>
      </c>
      <c r="V3597">
        <v>3.9516780000000001E-2</v>
      </c>
      <c r="W3597">
        <v>4.8264170000000002E-2</v>
      </c>
      <c r="X3597">
        <v>0.99805259999999996</v>
      </c>
      <c r="Y3597">
        <v>-4.4972440000000001E-3</v>
      </c>
      <c r="Z3597">
        <v>2.268244E-3</v>
      </c>
      <c r="AA3597">
        <v>0.99998730000000002</v>
      </c>
      <c r="AB3597">
        <v>12</v>
      </c>
      <c r="AC3597">
        <v>22.584399999999999</v>
      </c>
      <c r="AD3597">
        <v>-1.1109290722702001</v>
      </c>
      <c r="AE3597">
        <v>-0.89580000000000803</v>
      </c>
      <c r="AF3597">
        <v>-0.102115387523378</v>
      </c>
      <c r="AG3597">
        <v>-1.1109290722702001</v>
      </c>
      <c r="AH3597">
        <v>22.547455347214498</v>
      </c>
      <c r="AI3597">
        <v>92.820693644485999</v>
      </c>
      <c r="AJ3597">
        <v>90.259485633167699</v>
      </c>
      <c r="AK3597">
        <v>22.575037842506902</v>
      </c>
      <c r="AL3597">
        <v>87.233592019663305</v>
      </c>
      <c r="AM3597">
        <v>87.732621830420996</v>
      </c>
      <c r="AN3597">
        <v>0.99999999918705795</v>
      </c>
    </row>
    <row r="3598" spans="1:40" x14ac:dyDescent="0.25">
      <c r="A3598" t="str">
        <f>"20190312154323792"</f>
        <v>20190312154323792</v>
      </c>
      <c r="B3598" t="str">
        <f>"1552376603781084"</f>
        <v>1552376603781084</v>
      </c>
      <c r="C3598" t="s">
        <v>40</v>
      </c>
      <c r="D3598">
        <v>4.9609690000000004</v>
      </c>
      <c r="E3598">
        <v>0.4842301</v>
      </c>
      <c r="F3598" t="s">
        <v>50</v>
      </c>
      <c r="G3598">
        <v>-443.29059999999998</v>
      </c>
      <c r="H3598" s="1">
        <v>1.845093E-7</v>
      </c>
      <c r="I3598">
        <v>215.2978</v>
      </c>
      <c r="J3598">
        <v>-467.15010000000001</v>
      </c>
      <c r="K3598">
        <v>1.110846</v>
      </c>
      <c r="L3598">
        <v>216.17420000000001</v>
      </c>
      <c r="M3598">
        <v>0.99900250000000002</v>
      </c>
      <c r="N3598">
        <v>0</v>
      </c>
      <c r="O3598">
        <v>-4.3090749999999997E-2</v>
      </c>
      <c r="P3598">
        <v>0.99602020000000002</v>
      </c>
      <c r="Q3598">
        <v>3.6979909999999998E-2</v>
      </c>
      <c r="R3598">
        <v>-8.1095760000000003E-2</v>
      </c>
      <c r="S3598">
        <v>3.0083009999999999</v>
      </c>
      <c r="T3598">
        <v>-0.13936779999999999</v>
      </c>
      <c r="U3598">
        <v>-0.110458399999999</v>
      </c>
      <c r="V3598">
        <v>3.8062220000000001E-2</v>
      </c>
      <c r="W3598">
        <v>4.8702820000000001E-2</v>
      </c>
      <c r="X3598">
        <v>0.99808779999999997</v>
      </c>
      <c r="Y3598">
        <v>-6.3527159999999996E-3</v>
      </c>
      <c r="Z3598">
        <v>2.140861E-3</v>
      </c>
      <c r="AA3598">
        <v>0.99997749999999996</v>
      </c>
      <c r="AB3598">
        <v>12</v>
      </c>
      <c r="AC3598">
        <v>23.859500000000001</v>
      </c>
      <c r="AD3598">
        <v>-1.1108458154906999</v>
      </c>
      <c r="AE3598">
        <v>-0.87640000000001705</v>
      </c>
      <c r="AF3598">
        <v>-0.15227878821652299</v>
      </c>
      <c r="AG3598">
        <v>-1.1108458154906999</v>
      </c>
      <c r="AH3598">
        <v>23.823531687619301</v>
      </c>
      <c r="AI3598">
        <v>92.669604741603607</v>
      </c>
      <c r="AJ3598">
        <v>90.366226685724996</v>
      </c>
      <c r="AK3598">
        <v>23.849902082107899</v>
      </c>
      <c r="AL3598">
        <v>87.208429572086004</v>
      </c>
      <c r="AM3598">
        <v>87.816075586738805</v>
      </c>
      <c r="AN3598">
        <v>0.99999997688805997</v>
      </c>
    </row>
    <row r="3599" spans="1:40" x14ac:dyDescent="0.25">
      <c r="A3599" t="str">
        <f>"20190312154323816"</f>
        <v>20190312154323816</v>
      </c>
      <c r="B3599" t="str">
        <f>"1552376603811337"</f>
        <v>1552376603811337</v>
      </c>
      <c r="C3599" t="s">
        <v>40</v>
      </c>
      <c r="D3599">
        <v>4.9596280000000004</v>
      </c>
      <c r="E3599">
        <v>0.4845834</v>
      </c>
      <c r="F3599" t="s">
        <v>50</v>
      </c>
      <c r="G3599">
        <v>-442.03890000000001</v>
      </c>
      <c r="H3599" s="1">
        <v>-4.8181399999999995E-7</v>
      </c>
      <c r="I3599">
        <v>215.303</v>
      </c>
      <c r="J3599">
        <v>-467.02679999999998</v>
      </c>
      <c r="K3599">
        <v>1.1107610000000001</v>
      </c>
      <c r="L3599">
        <v>216.17019999999999</v>
      </c>
      <c r="M3599">
        <v>0.99905509999999997</v>
      </c>
      <c r="N3599">
        <v>0</v>
      </c>
      <c r="O3599">
        <v>-4.2004619999999999E-2</v>
      </c>
      <c r="P3599">
        <v>0.99618519999999999</v>
      </c>
      <c r="Q3599">
        <v>3.8027789999999999E-2</v>
      </c>
      <c r="R3599">
        <v>-7.8542870000000001E-2</v>
      </c>
      <c r="S3599">
        <v>3.0084529999999998</v>
      </c>
      <c r="T3599">
        <v>-0.13308539999999999</v>
      </c>
      <c r="U3599">
        <v>-0.10437009999999999</v>
      </c>
      <c r="V3599">
        <v>3.6589419999999998E-2</v>
      </c>
      <c r="W3599">
        <v>4.9197659999999997E-2</v>
      </c>
      <c r="X3599">
        <v>0.99811859999999997</v>
      </c>
      <c r="Y3599">
        <v>-7.293038E-3</v>
      </c>
      <c r="Z3599">
        <v>2.0172509999999999E-3</v>
      </c>
      <c r="AA3599">
        <v>0.99997139999999995</v>
      </c>
      <c r="AB3599">
        <v>12</v>
      </c>
      <c r="AC3599">
        <v>24.9878999999999</v>
      </c>
      <c r="AD3599">
        <v>-1.1107614818139999</v>
      </c>
      <c r="AE3599">
        <v>-0.86719999999999597</v>
      </c>
      <c r="AF3599">
        <v>-0.18287714354625201</v>
      </c>
      <c r="AG3599">
        <v>-1.1107614818139999</v>
      </c>
      <c r="AH3599">
        <v>24.9530247048211</v>
      </c>
      <c r="AI3599">
        <v>92.548719214263997</v>
      </c>
      <c r="AJ3599">
        <v>90.419905042551406</v>
      </c>
      <c r="AK3599">
        <v>24.9784042132103</v>
      </c>
      <c r="AL3599">
        <v>87.180043272267795</v>
      </c>
      <c r="AM3599">
        <v>87.900569115746706</v>
      </c>
      <c r="AN3599">
        <v>0.99999996753568499</v>
      </c>
    </row>
    <row r="3600" spans="1:40" x14ac:dyDescent="0.25">
      <c r="A3600" t="str">
        <f>"20190312154323838"</f>
        <v>20190312154323838</v>
      </c>
      <c r="B3600" t="str">
        <f>"1552376603830856"</f>
        <v>1552376603830856</v>
      </c>
      <c r="C3600" t="s">
        <v>40</v>
      </c>
      <c r="D3600">
        <v>4.9561510000000002</v>
      </c>
      <c r="E3600">
        <v>0.4846008</v>
      </c>
      <c r="F3600" t="s">
        <v>50</v>
      </c>
      <c r="G3600">
        <v>-440.55709999999999</v>
      </c>
      <c r="H3600" s="1">
        <v>-1.269781E-6</v>
      </c>
      <c r="I3600">
        <v>215.28970000000001</v>
      </c>
      <c r="J3600">
        <v>-466.90870000000001</v>
      </c>
      <c r="K3600">
        <v>1.1106849999999999</v>
      </c>
      <c r="L3600">
        <v>216.16640000000001</v>
      </c>
      <c r="M3600">
        <v>0.99910429999999995</v>
      </c>
      <c r="N3600">
        <v>0</v>
      </c>
      <c r="O3600">
        <v>-4.0968409999999997E-2</v>
      </c>
      <c r="P3600">
        <v>0.996278</v>
      </c>
      <c r="Q3600">
        <v>3.993116E-2</v>
      </c>
      <c r="R3600">
        <v>-7.6392109999999999E-2</v>
      </c>
      <c r="S3600">
        <v>3.0084230000000001</v>
      </c>
      <c r="T3600">
        <v>-0.12624389999999999</v>
      </c>
      <c r="U3600">
        <v>-0.10006710000000001</v>
      </c>
      <c r="V3600">
        <v>3.5470790000000002E-2</v>
      </c>
      <c r="W3600">
        <v>5.0540670000000003E-2</v>
      </c>
      <c r="X3600">
        <v>0.99809190000000003</v>
      </c>
      <c r="Y3600">
        <v>-7.6892899999999997E-3</v>
      </c>
      <c r="Z3600">
        <v>1.87861E-3</v>
      </c>
      <c r="AA3600">
        <v>0.99996859999999999</v>
      </c>
      <c r="AB3600">
        <v>12</v>
      </c>
      <c r="AC3600">
        <v>26.351600000000001</v>
      </c>
      <c r="AD3600">
        <v>-1.110686269781</v>
      </c>
      <c r="AE3600">
        <v>-0.87669999999999904</v>
      </c>
      <c r="AF3600">
        <v>-0.20331903866367901</v>
      </c>
      <c r="AG3600">
        <v>-1.110686269781</v>
      </c>
      <c r="AH3600">
        <v>26.3186890007645</v>
      </c>
      <c r="AI3600">
        <v>92.416457816362296</v>
      </c>
      <c r="AJ3600">
        <v>90.442616692451395</v>
      </c>
      <c r="AK3600">
        <v>26.3428994862055</v>
      </c>
      <c r="AL3600">
        <v>87.102998657893593</v>
      </c>
      <c r="AM3600">
        <v>87.964644732012204</v>
      </c>
      <c r="AN3600">
        <v>0.99999998855644101</v>
      </c>
    </row>
    <row r="3601" spans="1:40" x14ac:dyDescent="0.25">
      <c r="A3601" t="str">
        <f>"20190312154323861"</f>
        <v>20190312154323861</v>
      </c>
      <c r="B3601" t="str">
        <f>"1552376603851353"</f>
        <v>1552376603851353</v>
      </c>
      <c r="C3601" t="s">
        <v>40</v>
      </c>
      <c r="D3601">
        <v>4.9759349999999998</v>
      </c>
      <c r="E3601">
        <v>0.48471069999999999</v>
      </c>
      <c r="F3601" t="s">
        <v>51</v>
      </c>
      <c r="G3601">
        <v>-439.63260000000002</v>
      </c>
      <c r="H3601" s="1">
        <v>6.427773E-6</v>
      </c>
      <c r="I3601">
        <v>215.31280000000001</v>
      </c>
      <c r="J3601">
        <v>-466.7869</v>
      </c>
      <c r="K3601">
        <v>1.1106100000000001</v>
      </c>
      <c r="L3601">
        <v>216.1626</v>
      </c>
      <c r="M3601">
        <v>0.99915379999999998</v>
      </c>
      <c r="N3601">
        <v>0</v>
      </c>
      <c r="O3601">
        <v>-3.9899919999999998E-2</v>
      </c>
      <c r="P3601">
        <v>0.99637679999999995</v>
      </c>
      <c r="Q3601">
        <v>4.1119080000000002E-2</v>
      </c>
      <c r="R3601">
        <v>-7.4447009999999994E-2</v>
      </c>
      <c r="S3601">
        <v>3.0089109999999999</v>
      </c>
      <c r="T3601">
        <v>-0.1225226</v>
      </c>
      <c r="U3601">
        <v>-9.4161990000000001E-2</v>
      </c>
      <c r="V3601">
        <v>3.4589700000000001E-2</v>
      </c>
      <c r="W3601">
        <v>5.1117379999999997E-2</v>
      </c>
      <c r="X3601">
        <v>0.99809349999999997</v>
      </c>
      <c r="Y3601">
        <v>-8.5881069999999993E-3</v>
      </c>
      <c r="Z3601">
        <v>1.797894E-3</v>
      </c>
      <c r="AA3601">
        <v>0.99996149999999995</v>
      </c>
      <c r="AB3601">
        <v>12</v>
      </c>
      <c r="AC3601">
        <v>27.1542999999999</v>
      </c>
      <c r="AD3601">
        <v>-1.110603572227</v>
      </c>
      <c r="AE3601">
        <v>-0.84979999999998701</v>
      </c>
      <c r="AF3601">
        <v>-0.233994140889209</v>
      </c>
      <c r="AG3601">
        <v>-1.110603572227</v>
      </c>
      <c r="AH3601">
        <v>27.121259276235602</v>
      </c>
      <c r="AI3601">
        <v>92.344839533832001</v>
      </c>
      <c r="AJ3601">
        <v>90.494318642253305</v>
      </c>
      <c r="AK3601">
        <v>27.144997665894302</v>
      </c>
      <c r="AL3601">
        <v>87.069912974505598</v>
      </c>
      <c r="AM3601">
        <v>88.015164929054095</v>
      </c>
      <c r="AN3601">
        <v>1.0000000343132001</v>
      </c>
    </row>
    <row r="3602" spans="1:40" x14ac:dyDescent="0.25">
      <c r="A3602" t="str">
        <f>"20190312154323882"</f>
        <v>20190312154323882</v>
      </c>
      <c r="B3602" t="str">
        <f>"1552376603870879"</f>
        <v>1552376603870879</v>
      </c>
      <c r="C3602" t="s">
        <v>40</v>
      </c>
      <c r="D3602">
        <v>4.9311339999999904</v>
      </c>
      <c r="E3602">
        <v>0.48503350000000001</v>
      </c>
      <c r="F3602" t="s">
        <v>51</v>
      </c>
      <c r="G3602">
        <v>-438.834</v>
      </c>
      <c r="H3602" s="1">
        <v>6.0722829999999996E-6</v>
      </c>
      <c r="I3602">
        <v>215.3279</v>
      </c>
      <c r="J3602">
        <v>-466.66890000000001</v>
      </c>
      <c r="K3602">
        <v>1.110533</v>
      </c>
      <c r="L3602">
        <v>216.1591</v>
      </c>
      <c r="M3602">
        <v>0.99920070000000005</v>
      </c>
      <c r="N3602">
        <v>0</v>
      </c>
      <c r="O3602">
        <v>-3.8863509999999997E-2</v>
      </c>
      <c r="P3602">
        <v>0.99652830000000003</v>
      </c>
      <c r="Q3602">
        <v>4.0375670000000002E-2</v>
      </c>
      <c r="R3602">
        <v>-7.281145E-2</v>
      </c>
      <c r="S3602">
        <v>3.0091549999999998</v>
      </c>
      <c r="T3602">
        <v>-0.1195576</v>
      </c>
      <c r="U3602">
        <v>-8.9859010000000003E-2</v>
      </c>
      <c r="V3602">
        <v>3.3984920000000002E-2</v>
      </c>
      <c r="W3602">
        <v>4.9752970000000001E-2</v>
      </c>
      <c r="X3602">
        <v>0.99818320000000005</v>
      </c>
      <c r="Y3602">
        <v>-8.9841829999999998E-3</v>
      </c>
      <c r="Z3602">
        <v>1.721064E-3</v>
      </c>
      <c r="AA3602">
        <v>0.99995820000000002</v>
      </c>
      <c r="AB3602">
        <v>12</v>
      </c>
      <c r="AC3602">
        <v>27.834900000000001</v>
      </c>
      <c r="AD3602">
        <v>-1.110526927717</v>
      </c>
      <c r="AE3602">
        <v>-0.83119999999999505</v>
      </c>
      <c r="AF3602">
        <v>-0.25083837574260898</v>
      </c>
      <c r="AG3602">
        <v>-1.110526927717</v>
      </c>
      <c r="AH3602">
        <v>27.80195969663</v>
      </c>
      <c r="AI3602">
        <v>92.287324814184601</v>
      </c>
      <c r="AJ3602">
        <v>90.516927240909098</v>
      </c>
      <c r="AK3602">
        <v>27.825261057552801</v>
      </c>
      <c r="AL3602">
        <v>87.148187479595705</v>
      </c>
      <c r="AM3602">
        <v>88.050016648420296</v>
      </c>
      <c r="AN3602">
        <v>1.00000001678673</v>
      </c>
    </row>
    <row r="3603" spans="1:40" x14ac:dyDescent="0.25">
      <c r="A3603" t="str">
        <f>"20190312154323994"</f>
        <v>20190312154323994</v>
      </c>
      <c r="B3603" t="str">
        <f>"1552376603990921"</f>
        <v>1552376603990921</v>
      </c>
      <c r="C3603" t="s">
        <v>40</v>
      </c>
      <c r="D3603">
        <v>3.1832829999999999</v>
      </c>
      <c r="E3603">
        <v>0.48503350000000001</v>
      </c>
      <c r="F3603" t="s">
        <v>51</v>
      </c>
      <c r="G3603">
        <v>-439.10379999999998</v>
      </c>
      <c r="H3603" s="1">
        <v>6.1894509999999999E-6</v>
      </c>
      <c r="I3603">
        <v>215.35650000000001</v>
      </c>
      <c r="J3603">
        <v>-466.02550000000002</v>
      </c>
      <c r="K3603">
        <v>1.1101319999999999</v>
      </c>
      <c r="L3603">
        <v>216.142</v>
      </c>
      <c r="M3603">
        <v>0.9994326</v>
      </c>
      <c r="N3603">
        <v>0</v>
      </c>
      <c r="O3603">
        <v>-3.3176379999999998E-2</v>
      </c>
      <c r="P3603">
        <v>0.99659920000000002</v>
      </c>
      <c r="Q3603">
        <v>4.263902E-2</v>
      </c>
      <c r="R3603">
        <v>-7.0516560000000006E-2</v>
      </c>
      <c r="S3603">
        <v>3.0090029999999999</v>
      </c>
      <c r="T3603">
        <v>-0.1212251</v>
      </c>
      <c r="U3603">
        <v>-8.7615970000000001E-2</v>
      </c>
      <c r="V3603">
        <v>3.7365849999999999E-2</v>
      </c>
      <c r="W3603">
        <v>4.8526130000000001E-2</v>
      </c>
      <c r="X3603">
        <v>0.99812279999999998</v>
      </c>
      <c r="Y3603">
        <v>-4.0431470000000004E-3</v>
      </c>
      <c r="Z3603">
        <v>1.416839E-3</v>
      </c>
      <c r="AA3603">
        <v>0.99999079999999996</v>
      </c>
      <c r="AB3603">
        <v>13</v>
      </c>
      <c r="AC3603">
        <v>26.921700000000001</v>
      </c>
      <c r="AD3603">
        <v>-1.1101258105489999</v>
      </c>
      <c r="AE3603">
        <v>-0.78549999999998399</v>
      </c>
      <c r="AF3603">
        <v>-0.10792870861916801</v>
      </c>
      <c r="AG3603">
        <v>-1.1101258105489999</v>
      </c>
      <c r="AH3603">
        <v>26.8872609390205</v>
      </c>
      <c r="AI3603">
        <v>92.364276008658194</v>
      </c>
      <c r="AJ3603">
        <v>90.229990934839805</v>
      </c>
      <c r="AK3603">
        <v>26.9103851463402</v>
      </c>
      <c r="AL3603">
        <v>87.218565373416396</v>
      </c>
      <c r="AM3603">
        <v>87.856069203653405</v>
      </c>
      <c r="AN3603">
        <v>1.0000000579594099</v>
      </c>
    </row>
    <row r="3604" spans="1:40" x14ac:dyDescent="0.25">
      <c r="A3604" t="str">
        <f>"20190312154324017"</f>
        <v>20190312154324017</v>
      </c>
      <c r="B3604" t="str">
        <f>"1552376604011416"</f>
        <v>1552376604011416</v>
      </c>
      <c r="C3604" t="s">
        <v>40</v>
      </c>
      <c r="D3604">
        <v>4.5812330000000001</v>
      </c>
      <c r="E3604">
        <v>0.49988149999999998</v>
      </c>
      <c r="F3604" t="s">
        <v>51</v>
      </c>
      <c r="G3604">
        <v>-436.90899999999999</v>
      </c>
      <c r="H3604" s="1">
        <v>5.2163359999999997E-6</v>
      </c>
      <c r="I3604">
        <v>215.35409999999999</v>
      </c>
      <c r="J3604">
        <v>-465.88889999999998</v>
      </c>
      <c r="K3604">
        <v>1.1100680000000001</v>
      </c>
      <c r="L3604">
        <v>216.13890000000001</v>
      </c>
      <c r="M3604">
        <v>0.99947560000000002</v>
      </c>
      <c r="N3604">
        <v>0</v>
      </c>
      <c r="O3604">
        <v>-3.1967450000000001E-2</v>
      </c>
      <c r="P3604">
        <v>0.99663520000000005</v>
      </c>
      <c r="Q3604">
        <v>4.2970040000000001E-2</v>
      </c>
      <c r="R3604">
        <v>-6.9800650000000006E-2</v>
      </c>
      <c r="S3604">
        <v>3.00943</v>
      </c>
      <c r="T3604">
        <v>-0.1147406</v>
      </c>
      <c r="U3604">
        <v>-8.1436159999999994E-2</v>
      </c>
      <c r="V3604">
        <v>3.7855659999999999E-2</v>
      </c>
      <c r="W3604">
        <v>4.816558E-2</v>
      </c>
      <c r="X3604">
        <v>0.9981217</v>
      </c>
      <c r="Y3604">
        <v>-4.8928330000000001E-3</v>
      </c>
      <c r="Z3604">
        <v>1.311111E-3</v>
      </c>
      <c r="AA3604">
        <v>0.99998719999999996</v>
      </c>
      <c r="AB3604">
        <v>13</v>
      </c>
      <c r="AC3604">
        <v>28.979899999999901</v>
      </c>
      <c r="AD3604">
        <v>-1.110062783664</v>
      </c>
      <c r="AE3604">
        <v>-0.78480000000001804</v>
      </c>
      <c r="AF3604">
        <v>-0.141819012737572</v>
      </c>
      <c r="AG3604">
        <v>-1.110062783664</v>
      </c>
      <c r="AH3604">
        <v>28.9477345067633</v>
      </c>
      <c r="AI3604">
        <v>92.196026850419003</v>
      </c>
      <c r="AJ3604">
        <v>90.280697816759996</v>
      </c>
      <c r="AK3604">
        <v>28.969357692052899</v>
      </c>
      <c r="AL3604">
        <v>87.239247254846205</v>
      </c>
      <c r="AM3604">
        <v>87.827989852458799</v>
      </c>
      <c r="AN3604">
        <v>0.99999995105082895</v>
      </c>
    </row>
    <row r="3605" spans="1:40" x14ac:dyDescent="0.25">
      <c r="A3605" t="str">
        <f>"20190312154324040"</f>
        <v>20190312154324040</v>
      </c>
      <c r="B3605" t="str">
        <f>"1552376604030937"</f>
        <v>1552376604030937</v>
      </c>
      <c r="C3605" t="s">
        <v>40</v>
      </c>
      <c r="D3605">
        <v>4.8388070000000001</v>
      </c>
      <c r="E3605">
        <v>0.49238900000000002</v>
      </c>
      <c r="F3605" t="s">
        <v>41</v>
      </c>
      <c r="G3605">
        <v>-465.17</v>
      </c>
      <c r="H3605">
        <v>0.87389539999999999</v>
      </c>
      <c r="I3605">
        <v>216.1018</v>
      </c>
      <c r="J3605">
        <v>-465.74599999999998</v>
      </c>
      <c r="K3605">
        <v>1.1100110000000001</v>
      </c>
      <c r="L3605">
        <v>216.13570000000001</v>
      </c>
      <c r="M3605">
        <v>0.99951849999999998</v>
      </c>
      <c r="N3605">
        <v>0</v>
      </c>
      <c r="O3605">
        <v>-3.070728E-2</v>
      </c>
      <c r="P3605">
        <v>0.99667559999999999</v>
      </c>
      <c r="Q3605">
        <v>4.3926720000000002E-2</v>
      </c>
      <c r="R3605">
        <v>-6.8619089999999994E-2</v>
      </c>
      <c r="S3605">
        <v>3.0422669999999998</v>
      </c>
      <c r="T3605">
        <v>-0.99940899999999999</v>
      </c>
      <c r="U3605">
        <v>-0.15690609999999999</v>
      </c>
      <c r="V3605">
        <v>3.7930079999999998E-2</v>
      </c>
      <c r="W3605">
        <v>4.8435159999999998E-2</v>
      </c>
      <c r="X3605">
        <v>0.99810589999999999</v>
      </c>
      <c r="Y3605">
        <v>2.1308150000000001E-2</v>
      </c>
      <c r="Z3605">
        <v>6.411969E-3</v>
      </c>
      <c r="AA3605">
        <v>0.99975239999999999</v>
      </c>
      <c r="AB3605">
        <v>13</v>
      </c>
      <c r="AC3605">
        <v>0.57599999999996498</v>
      </c>
      <c r="AD3605">
        <v>-0.23611560000000001</v>
      </c>
      <c r="AE3605">
        <v>-3.3900000000016903E-2</v>
      </c>
      <c r="AF3605">
        <v>1.38732714051915E-2</v>
      </c>
      <c r="AG3605">
        <v>-0.23611560000000001</v>
      </c>
      <c r="AH3605">
        <v>0.494039156054769</v>
      </c>
      <c r="AI3605">
        <v>115.535699782164</v>
      </c>
      <c r="AJ3605">
        <v>88.391481623162207</v>
      </c>
      <c r="AK3605">
        <v>0.54773874423683999</v>
      </c>
      <c r="AL3605">
        <v>87.223783605428693</v>
      </c>
      <c r="AM3605">
        <v>87.823689607457297</v>
      </c>
      <c r="AN3605">
        <v>1.00000002165392</v>
      </c>
    </row>
    <row r="3606" spans="1:40" x14ac:dyDescent="0.25">
      <c r="A3606" t="str">
        <f>"20190312154324063"</f>
        <v>20190312154324063</v>
      </c>
      <c r="B3606" t="str">
        <f>"1552376604050457"</f>
        <v>1552376604050457</v>
      </c>
      <c r="C3606" t="s">
        <v>40</v>
      </c>
      <c r="D3606">
        <v>5.0289910000000004</v>
      </c>
      <c r="E3606">
        <v>0.4895505</v>
      </c>
      <c r="F3606" t="s">
        <v>41</v>
      </c>
      <c r="G3606">
        <v>-465.02949999999998</v>
      </c>
      <c r="H3606">
        <v>0.91228540000000002</v>
      </c>
      <c r="I3606">
        <v>216.11160000000001</v>
      </c>
      <c r="J3606">
        <v>-465.60770000000002</v>
      </c>
      <c r="K3606">
        <v>1.1099589999999999</v>
      </c>
      <c r="L3606">
        <v>216.1328</v>
      </c>
      <c r="M3606">
        <v>0.99955769999999999</v>
      </c>
      <c r="N3606">
        <v>0</v>
      </c>
      <c r="O3606">
        <v>-2.9489640000000001E-2</v>
      </c>
      <c r="P3606">
        <v>0.99679910000000005</v>
      </c>
      <c r="Q3606">
        <v>4.4686589999999998E-2</v>
      </c>
      <c r="R3606">
        <v>-6.6292290000000004E-2</v>
      </c>
      <c r="S3606">
        <v>3.040009</v>
      </c>
      <c r="T3606">
        <v>-0.83906329999999996</v>
      </c>
      <c r="U3606">
        <v>-0.1007996</v>
      </c>
      <c r="V3606">
        <v>3.6815109999999998E-2</v>
      </c>
      <c r="W3606">
        <v>4.8562319999999999E-2</v>
      </c>
      <c r="X3606">
        <v>0.99814150000000001</v>
      </c>
      <c r="Y3606">
        <v>4.5812470000000001E-3</v>
      </c>
      <c r="Z3606">
        <v>7.3656440000000002E-3</v>
      </c>
      <c r="AA3606">
        <v>0.99996240000000003</v>
      </c>
      <c r="AB3606">
        <v>14</v>
      </c>
      <c r="AC3606">
        <v>0.57820000000003802</v>
      </c>
      <c r="AD3606">
        <v>-0.1976736</v>
      </c>
      <c r="AE3606">
        <v>-2.11999999999932E-2</v>
      </c>
      <c r="AF3606">
        <v>3.70704524583309E-3</v>
      </c>
      <c r="AG3606">
        <v>-0.1976736</v>
      </c>
      <c r="AH3606">
        <v>0.51809941852076302</v>
      </c>
      <c r="AI3606">
        <v>110.883166979058</v>
      </c>
      <c r="AJ3606">
        <v>89.590050837774498</v>
      </c>
      <c r="AK3606">
        <v>0.55454089280500096</v>
      </c>
      <c r="AL3606">
        <v>87.216489376932799</v>
      </c>
      <c r="AM3606">
        <v>87.887679570267494</v>
      </c>
      <c r="AN3606">
        <v>1.00000005263517</v>
      </c>
    </row>
    <row r="3607" spans="1:40" x14ac:dyDescent="0.25">
      <c r="A3607" t="str">
        <f>"20190312154324085"</f>
        <v>20190312154324085</v>
      </c>
      <c r="B3607" t="str">
        <f>"1552376604080712"</f>
        <v>1552376604080712</v>
      </c>
      <c r="C3607" t="s">
        <v>40</v>
      </c>
      <c r="D3607">
        <v>5.037121</v>
      </c>
      <c r="E3607">
        <v>0.48822529999999997</v>
      </c>
      <c r="F3607" t="s">
        <v>41</v>
      </c>
      <c r="G3607">
        <v>-464.88940000000002</v>
      </c>
      <c r="H3607">
        <v>0.94467590000000001</v>
      </c>
      <c r="I3607">
        <v>216.11410000000001</v>
      </c>
      <c r="J3607">
        <v>-465.46359999999999</v>
      </c>
      <c r="K3607">
        <v>1.1099030000000001</v>
      </c>
      <c r="L3607">
        <v>216.13</v>
      </c>
      <c r="M3607">
        <v>0.99959659999999995</v>
      </c>
      <c r="N3607">
        <v>0</v>
      </c>
      <c r="O3607">
        <v>-2.822502E-2</v>
      </c>
      <c r="P3607">
        <v>0.99693759999999998</v>
      </c>
      <c r="Q3607">
        <v>4.5230279999999998E-2</v>
      </c>
      <c r="R3607">
        <v>-6.3797720000000002E-2</v>
      </c>
      <c r="S3607">
        <v>3.0357669999999999</v>
      </c>
      <c r="T3607">
        <v>-0.69886919999999897</v>
      </c>
      <c r="U3607">
        <v>-7.8094479999999994E-2</v>
      </c>
      <c r="V3607">
        <v>3.5578529999999997E-2</v>
      </c>
      <c r="W3607">
        <v>4.8481349999999999E-2</v>
      </c>
      <c r="X3607">
        <v>0.99819020000000003</v>
      </c>
      <c r="Y3607">
        <v>-1.7271299999999999E-3</v>
      </c>
      <c r="Z3607">
        <v>6.6078439999999999E-3</v>
      </c>
      <c r="AA3607">
        <v>0.99997670000000005</v>
      </c>
      <c r="AB3607">
        <v>14</v>
      </c>
      <c r="AC3607">
        <v>0.57419999999996196</v>
      </c>
      <c r="AD3607">
        <v>-0.16522709999999999</v>
      </c>
      <c r="AE3607">
        <v>-1.5899999999987799E-2</v>
      </c>
      <c r="AF3607">
        <v>-2.89287161111977E-4</v>
      </c>
      <c r="AG3607">
        <v>-0.16522709999999999</v>
      </c>
      <c r="AH3607">
        <v>0.53052556259154304</v>
      </c>
      <c r="AI3607">
        <v>107.298696884319</v>
      </c>
      <c r="AJ3607">
        <v>90.031242475245307</v>
      </c>
      <c r="AK3607">
        <v>0.55565947380076697</v>
      </c>
      <c r="AL3607">
        <v>87.221133868824495</v>
      </c>
      <c r="AM3607">
        <v>87.9586685850512</v>
      </c>
      <c r="AN3607">
        <v>0.99999997423541098</v>
      </c>
    </row>
    <row r="3608" spans="1:40" x14ac:dyDescent="0.25">
      <c r="A3608" t="str">
        <f>"20190312154324106"</f>
        <v>20190312154324106</v>
      </c>
      <c r="B3608" t="str">
        <f>"1552376604101210"</f>
        <v>1552376604101210</v>
      </c>
      <c r="C3608" t="s">
        <v>40</v>
      </c>
      <c r="D3608">
        <v>4.8621089999999896</v>
      </c>
      <c r="E3608">
        <v>0.4881703</v>
      </c>
      <c r="F3608" t="s">
        <v>41</v>
      </c>
      <c r="G3608">
        <v>-464.74259999999998</v>
      </c>
      <c r="H3608">
        <v>0.98602469999999998</v>
      </c>
      <c r="I3608">
        <v>216.11359999999999</v>
      </c>
      <c r="J3608">
        <v>-465.32819999999998</v>
      </c>
      <c r="K3608">
        <v>1.1098589999999999</v>
      </c>
      <c r="L3608">
        <v>216.1275</v>
      </c>
      <c r="M3608">
        <v>0.99963080000000004</v>
      </c>
      <c r="N3608">
        <v>0</v>
      </c>
      <c r="O3608">
        <v>-2.7039810000000001E-2</v>
      </c>
      <c r="P3608">
        <v>0.99706349999999999</v>
      </c>
      <c r="Q3608">
        <v>4.6096560000000002E-2</v>
      </c>
      <c r="R3608">
        <v>-6.1152199999999997E-2</v>
      </c>
      <c r="S3608">
        <v>3.028473</v>
      </c>
      <c r="T3608">
        <v>-0.52059290000000003</v>
      </c>
      <c r="U3608">
        <v>-6.8145750000000005E-2</v>
      </c>
      <c r="V3608">
        <v>3.4112280000000002E-2</v>
      </c>
      <c r="W3608">
        <v>4.8792839999999997E-2</v>
      </c>
      <c r="X3608">
        <v>0.99822619999999895</v>
      </c>
      <c r="Y3608">
        <v>-4.0890910000000004E-3</v>
      </c>
      <c r="Z3608">
        <v>4.9618170000000003E-3</v>
      </c>
      <c r="AA3608">
        <v>0.99997930000000002</v>
      </c>
      <c r="AB3608">
        <v>14</v>
      </c>
      <c r="AC3608">
        <v>0.58559999999999901</v>
      </c>
      <c r="AD3608">
        <v>-0.123834299999999</v>
      </c>
      <c r="AE3608">
        <v>-1.39000000000066E-2</v>
      </c>
      <c r="AF3608">
        <v>-1.8566720997252801E-3</v>
      </c>
      <c r="AG3608">
        <v>-0.123834299999999</v>
      </c>
      <c r="AH3608">
        <v>0.56070250706415103</v>
      </c>
      <c r="AI3608">
        <v>102.454104210892</v>
      </c>
      <c r="AJ3608">
        <v>90.189724649171595</v>
      </c>
      <c r="AK3608">
        <v>0.57421745229120302</v>
      </c>
      <c r="AL3608">
        <v>87.203265640688798</v>
      </c>
      <c r="AM3608">
        <v>88.042798919610604</v>
      </c>
      <c r="AN3608">
        <v>0.99999996762425103</v>
      </c>
    </row>
    <row r="3609" spans="1:40" x14ac:dyDescent="0.25">
      <c r="A3609" t="str">
        <f>"20190312154324129"</f>
        <v>20190312154324129</v>
      </c>
      <c r="B3609" t="str">
        <f>"1552376604120534"</f>
        <v>1552376604120534</v>
      </c>
      <c r="C3609" t="s">
        <v>40</v>
      </c>
      <c r="D3609">
        <v>4.8376549999999998</v>
      </c>
      <c r="E3609">
        <v>0.4881819</v>
      </c>
      <c r="F3609" t="s">
        <v>41</v>
      </c>
      <c r="G3609">
        <v>-464.60509999999999</v>
      </c>
      <c r="H3609">
        <v>1.002672</v>
      </c>
      <c r="I3609">
        <v>216.11259999999999</v>
      </c>
      <c r="J3609">
        <v>-465.17790000000002</v>
      </c>
      <c r="K3609">
        <v>1.1098079999999999</v>
      </c>
      <c r="L3609">
        <v>216.1249</v>
      </c>
      <c r="M3609">
        <v>0.99966679999999997</v>
      </c>
      <c r="N3609">
        <v>0</v>
      </c>
      <c r="O3609">
        <v>-2.573054E-2</v>
      </c>
      <c r="P3609">
        <v>0.99713799999999997</v>
      </c>
      <c r="Q3609">
        <v>4.6731490000000001E-2</v>
      </c>
      <c r="R3609">
        <v>-5.9431299999999999E-2</v>
      </c>
      <c r="S3609">
        <v>3.0256959999999999</v>
      </c>
      <c r="T3609">
        <v>-0.44848569999999999</v>
      </c>
      <c r="U3609">
        <v>-6.2896729999999998E-2</v>
      </c>
      <c r="V3609">
        <v>3.3695879999999998E-2</v>
      </c>
      <c r="W3609">
        <v>4.8848559999999999E-2</v>
      </c>
      <c r="X3609">
        <v>0.99823770000000001</v>
      </c>
      <c r="Y3609">
        <v>-4.6175440000000003E-3</v>
      </c>
      <c r="Z3609">
        <v>4.1325659999999998E-3</v>
      </c>
      <c r="AA3609">
        <v>0.9999808</v>
      </c>
      <c r="AB3609">
        <v>14</v>
      </c>
      <c r="AC3609">
        <v>0.57280000000002895</v>
      </c>
      <c r="AD3609">
        <v>-0.107135999999999</v>
      </c>
      <c r="AE3609">
        <v>-1.23000000000104E-2</v>
      </c>
      <c r="AF3609">
        <v>-2.3600323951716001E-3</v>
      </c>
      <c r="AG3609">
        <v>-0.107135999999999</v>
      </c>
      <c r="AH3609">
        <v>0.55356988317542999</v>
      </c>
      <c r="AI3609">
        <v>100.95331124545299</v>
      </c>
      <c r="AJ3609">
        <v>90.244267400806194</v>
      </c>
      <c r="AK3609">
        <v>0.56384688330056898</v>
      </c>
      <c r="AL3609">
        <v>87.200069538923501</v>
      </c>
      <c r="AM3609">
        <v>88.066693992836505</v>
      </c>
      <c r="AN3609">
        <v>1.00000004992216</v>
      </c>
    </row>
    <row r="3610" spans="1:40" x14ac:dyDescent="0.25">
      <c r="A3610" t="str">
        <f>"20190312154324152"</f>
        <v>20190312154324152</v>
      </c>
      <c r="B3610" t="str">
        <f>"1552376604141013"</f>
        <v>1552376604141013</v>
      </c>
      <c r="C3610" t="s">
        <v>40</v>
      </c>
      <c r="D3610">
        <v>4.870781</v>
      </c>
      <c r="E3610">
        <v>0.48821530000000002</v>
      </c>
      <c r="F3610" t="s">
        <v>41</v>
      </c>
      <c r="G3610">
        <v>-464.34039999999999</v>
      </c>
      <c r="H3610">
        <v>1.0004679999999999</v>
      </c>
      <c r="I3610">
        <v>216.10839999999999</v>
      </c>
      <c r="J3610">
        <v>-465.02030000000002</v>
      </c>
      <c r="K3610">
        <v>1.109764</v>
      </c>
      <c r="L3610">
        <v>216.1224</v>
      </c>
      <c r="M3610">
        <v>0.99970190000000003</v>
      </c>
      <c r="N3610">
        <v>0</v>
      </c>
      <c r="O3610">
        <v>-2.4369849999999998E-2</v>
      </c>
      <c r="P3610">
        <v>0.99721939999999998</v>
      </c>
      <c r="Q3610">
        <v>4.6966399999999998E-2</v>
      </c>
      <c r="R3610">
        <v>-5.7858710000000001E-2</v>
      </c>
      <c r="S3610">
        <v>3.0235289999999999</v>
      </c>
      <c r="T3610">
        <v>-0.39472030000000002</v>
      </c>
      <c r="U3610">
        <v>-6.0165410000000002E-2</v>
      </c>
      <c r="V3610">
        <v>3.3479500000000002E-2</v>
      </c>
      <c r="W3610">
        <v>4.8522790000000003E-2</v>
      </c>
      <c r="X3610">
        <v>0.99826079999999995</v>
      </c>
      <c r="Y3610">
        <v>-4.2332759999999898E-3</v>
      </c>
      <c r="Z3610">
        <v>3.4424299999999998E-3</v>
      </c>
      <c r="AA3610">
        <v>0.99998509999999996</v>
      </c>
      <c r="AB3610">
        <v>15</v>
      </c>
      <c r="AC3610">
        <v>0.67990000000003104</v>
      </c>
      <c r="AD3610">
        <v>-0.10929599999999901</v>
      </c>
      <c r="AE3610">
        <v>-1.4000000000009999E-2</v>
      </c>
      <c r="AF3610">
        <v>-2.5084427141576901E-3</v>
      </c>
      <c r="AG3610">
        <v>-0.10929599999999901</v>
      </c>
      <c r="AH3610">
        <v>0.66291574914696205</v>
      </c>
      <c r="AI3610">
        <v>99.362158976217998</v>
      </c>
      <c r="AJ3610">
        <v>90.216803560489794</v>
      </c>
      <c r="AK3610">
        <v>0.67186992667325696</v>
      </c>
      <c r="AL3610">
        <v>87.2187567540294</v>
      </c>
      <c r="AM3610">
        <v>88.079143912824094</v>
      </c>
      <c r="AN3610">
        <v>0.99999998144313595</v>
      </c>
    </row>
    <row r="3611" spans="1:40" x14ac:dyDescent="0.25">
      <c r="A3611" t="str">
        <f>"20190312154324173"</f>
        <v>20190312154324173</v>
      </c>
      <c r="B3611" t="str">
        <f>"1552376604160533"</f>
        <v>1552376604160533</v>
      </c>
      <c r="C3611" t="s">
        <v>40</v>
      </c>
      <c r="D3611">
        <v>4.8404299999999996</v>
      </c>
      <c r="E3611">
        <v>0.4878634</v>
      </c>
      <c r="F3611" t="s">
        <v>41</v>
      </c>
      <c r="G3611">
        <v>-464.19839999999999</v>
      </c>
      <c r="H3611">
        <v>1.0128029999999999</v>
      </c>
      <c r="I3611">
        <v>216.10650000000001</v>
      </c>
      <c r="J3611">
        <v>-464.87490000000003</v>
      </c>
      <c r="K3611">
        <v>1.109723</v>
      </c>
      <c r="L3611">
        <v>216.12029999999999</v>
      </c>
      <c r="M3611">
        <v>0.99973199999999995</v>
      </c>
      <c r="N3611">
        <v>0</v>
      </c>
      <c r="O3611">
        <v>-2.3127450000000001E-2</v>
      </c>
      <c r="P3611">
        <v>0.99730799999999997</v>
      </c>
      <c r="Q3611">
        <v>4.6997289999999997E-2</v>
      </c>
      <c r="R3611">
        <v>-5.6288339999999999E-2</v>
      </c>
      <c r="S3611">
        <v>3.0219119999999999</v>
      </c>
      <c r="T3611">
        <v>-0.3569505</v>
      </c>
      <c r="U3611">
        <v>-5.6884770000000001E-2</v>
      </c>
      <c r="V3611">
        <v>3.3147389999999999E-2</v>
      </c>
      <c r="W3611">
        <v>4.8072690000000001E-2</v>
      </c>
      <c r="X3611">
        <v>0.99829369999999995</v>
      </c>
      <c r="Y3611">
        <v>-4.1183340000000004E-3</v>
      </c>
      <c r="Z3611">
        <v>2.964169E-3</v>
      </c>
      <c r="AA3611">
        <v>0.99998710000000002</v>
      </c>
      <c r="AB3611">
        <v>15</v>
      </c>
      <c r="AC3611">
        <v>0.67650000000003196</v>
      </c>
      <c r="AD3611">
        <v>-9.6919999999999895E-2</v>
      </c>
      <c r="AE3611">
        <v>-1.37999999999749E-2</v>
      </c>
      <c r="AF3611">
        <v>-1.8122378956280201E-3</v>
      </c>
      <c r="AG3611">
        <v>-9.6919999999999895E-2</v>
      </c>
      <c r="AH3611">
        <v>0.66303483053816703</v>
      </c>
      <c r="AI3611">
        <v>98.316356563337195</v>
      </c>
      <c r="AJ3611">
        <v>90.1566031218033</v>
      </c>
      <c r="AK3611">
        <v>0.67008354487553801</v>
      </c>
      <c r="AL3611">
        <v>87.244575828704896</v>
      </c>
      <c r="AM3611">
        <v>88.098246992156405</v>
      </c>
      <c r="AN3611">
        <v>1.00000002222366</v>
      </c>
    </row>
    <row r="3612" spans="1:40" x14ac:dyDescent="0.25">
      <c r="A3612" t="str">
        <f>"20190312154324197"</f>
        <v>20190312154324197</v>
      </c>
      <c r="B3612" t="str">
        <f>"1552376604190788"</f>
        <v>1552376604190788</v>
      </c>
      <c r="C3612" t="s">
        <v>40</v>
      </c>
      <c r="D3612">
        <v>4.9264749999999999</v>
      </c>
      <c r="E3612">
        <v>0.48750919999999998</v>
      </c>
      <c r="F3612" t="s">
        <v>41</v>
      </c>
      <c r="G3612">
        <v>-464.05689999999998</v>
      </c>
      <c r="H3612">
        <v>1.0195529999999999</v>
      </c>
      <c r="I3612">
        <v>216.10640000000001</v>
      </c>
      <c r="J3612">
        <v>-464.71300000000002</v>
      </c>
      <c r="K3612">
        <v>1.1096779999999999</v>
      </c>
      <c r="L3612">
        <v>216.1181</v>
      </c>
      <c r="M3612">
        <v>0.99976299999999996</v>
      </c>
      <c r="N3612">
        <v>0</v>
      </c>
      <c r="O3612">
        <v>-2.1765969999999999E-2</v>
      </c>
      <c r="P3612">
        <v>0.99731360000000002</v>
      </c>
      <c r="Q3612">
        <v>4.773637E-2</v>
      </c>
      <c r="R3612">
        <v>-5.5558099999999999E-2</v>
      </c>
      <c r="S3612">
        <v>3.020966</v>
      </c>
      <c r="T3612">
        <v>-0.33313209999999999</v>
      </c>
      <c r="U3612">
        <v>-5.0933840000000001E-2</v>
      </c>
      <c r="V3612">
        <v>3.3775729999999997E-2</v>
      </c>
      <c r="W3612">
        <v>4.8319420000000002E-2</v>
      </c>
      <c r="X3612">
        <v>0.9982607</v>
      </c>
      <c r="Y3612">
        <v>-4.7485060000000004E-3</v>
      </c>
      <c r="Z3612">
        <v>2.653543E-3</v>
      </c>
      <c r="AA3612">
        <v>0.99998520000000002</v>
      </c>
      <c r="AB3612">
        <v>15</v>
      </c>
      <c r="AC3612">
        <v>0.65610000000003699</v>
      </c>
      <c r="AD3612">
        <v>-9.0124999999999997E-2</v>
      </c>
      <c r="AE3612">
        <v>-1.16999999999904E-2</v>
      </c>
      <c r="AF3612">
        <v>-2.5355969136588502E-3</v>
      </c>
      <c r="AG3612">
        <v>-9.0124999999999997E-2</v>
      </c>
      <c r="AH3612">
        <v>0.64405045791425797</v>
      </c>
      <c r="AI3612">
        <v>97.965879263516896</v>
      </c>
      <c r="AJ3612">
        <v>90.225569672890899</v>
      </c>
      <c r="AK3612">
        <v>0.65033063684273296</v>
      </c>
      <c r="AL3612">
        <v>87.230422720544098</v>
      </c>
      <c r="AM3612">
        <v>88.062160691474503</v>
      </c>
      <c r="AN3612">
        <v>0.99999999572532905</v>
      </c>
    </row>
    <row r="3613" spans="1:40" x14ac:dyDescent="0.25">
      <c r="A3613" t="str">
        <f>"20190312154324218"</f>
        <v>20190312154324218</v>
      </c>
      <c r="B3613" t="str">
        <f>"1552376604211285"</f>
        <v>1552376604211285</v>
      </c>
      <c r="C3613" t="s">
        <v>40</v>
      </c>
      <c r="D3613">
        <v>5.0031109999999996</v>
      </c>
      <c r="E3613">
        <v>0.48761159999999998</v>
      </c>
      <c r="F3613" t="s">
        <v>41</v>
      </c>
      <c r="G3613">
        <v>-463.91160000000002</v>
      </c>
      <c r="H3613">
        <v>1.0293479999999999</v>
      </c>
      <c r="I3613">
        <v>216.1053</v>
      </c>
      <c r="J3613">
        <v>-464.56099999999998</v>
      </c>
      <c r="K3613">
        <v>1.1096379999999999</v>
      </c>
      <c r="L3613">
        <v>216.11619999999999</v>
      </c>
      <c r="M3613">
        <v>0.99978959999999995</v>
      </c>
      <c r="N3613">
        <v>0</v>
      </c>
      <c r="O3613">
        <v>-2.0515200000000001E-2</v>
      </c>
      <c r="P3613">
        <v>0.99731420000000004</v>
      </c>
      <c r="Q3613">
        <v>4.9091830000000003E-2</v>
      </c>
      <c r="R3613">
        <v>-5.43586E-2</v>
      </c>
      <c r="S3613">
        <v>3.0198969999999998</v>
      </c>
      <c r="T3613">
        <v>-0.30275540000000001</v>
      </c>
      <c r="U3613">
        <v>-4.7439580000000002E-2</v>
      </c>
      <c r="V3613">
        <v>3.3823470000000001E-2</v>
      </c>
      <c r="W3613">
        <v>4.9249569999999999E-2</v>
      </c>
      <c r="X3613">
        <v>0.99821360000000003</v>
      </c>
      <c r="Y3613">
        <v>-4.6826480000000002E-3</v>
      </c>
      <c r="Z3613">
        <v>2.2853869999999998E-3</v>
      </c>
      <c r="AA3613">
        <v>0.99998640000000005</v>
      </c>
      <c r="AB3613">
        <v>16</v>
      </c>
      <c r="AC3613">
        <v>0.64939999999995701</v>
      </c>
      <c r="AD3613">
        <v>-8.0289999999999903E-2</v>
      </c>
      <c r="AE3613">
        <v>-1.08999999999923E-2</v>
      </c>
      <c r="AF3613">
        <v>-2.3883654481008701E-3</v>
      </c>
      <c r="AG3613">
        <v>-8.0289999999999903E-2</v>
      </c>
      <c r="AH3613">
        <v>0.639710974749091</v>
      </c>
      <c r="AI3613">
        <v>97.153725522562794</v>
      </c>
      <c r="AJ3613">
        <v>90.213913204079702</v>
      </c>
      <c r="AK3613">
        <v>0.644734301556808</v>
      </c>
      <c r="AL3613">
        <v>87.177065443309203</v>
      </c>
      <c r="AM3613">
        <v>88.059332268073405</v>
      </c>
      <c r="AN3613">
        <v>0.99999996924649204</v>
      </c>
    </row>
    <row r="3614" spans="1:40" x14ac:dyDescent="0.25">
      <c r="A3614" t="str">
        <f>"20190312154324241"</f>
        <v>20190312154324241</v>
      </c>
      <c r="B3614" t="str">
        <f>"1552376604230805"</f>
        <v>1552376604230805</v>
      </c>
      <c r="C3614" t="s">
        <v>40</v>
      </c>
      <c r="D3614">
        <v>4.9044109999999996</v>
      </c>
      <c r="E3614">
        <v>0.48763469999999998</v>
      </c>
      <c r="F3614" t="s">
        <v>41</v>
      </c>
      <c r="G3614">
        <v>-463.76569999999998</v>
      </c>
      <c r="H3614">
        <v>1.0355719999999999</v>
      </c>
      <c r="I3614">
        <v>216.10409999999999</v>
      </c>
      <c r="J3614">
        <v>-464.39839999999998</v>
      </c>
      <c r="K3614">
        <v>1.1095870000000001</v>
      </c>
      <c r="L3614">
        <v>216.11429999999999</v>
      </c>
      <c r="M3614">
        <v>0.99981520000000002</v>
      </c>
      <c r="N3614">
        <v>0</v>
      </c>
      <c r="O3614">
        <v>-1.921896E-2</v>
      </c>
      <c r="P3614">
        <v>0.99733499999999997</v>
      </c>
      <c r="Q3614">
        <v>4.9395849999999998E-2</v>
      </c>
      <c r="R3614">
        <v>-5.3693810000000002E-2</v>
      </c>
      <c r="S3614">
        <v>3.0194399999999999</v>
      </c>
      <c r="T3614">
        <v>-0.2812887</v>
      </c>
      <c r="U3614">
        <v>-4.5501710000000001E-2</v>
      </c>
      <c r="V3614">
        <v>3.4452940000000001E-2</v>
      </c>
      <c r="W3614">
        <v>4.9141459999999998E-2</v>
      </c>
      <c r="X3614">
        <v>0.99819740000000001</v>
      </c>
      <c r="Y3614">
        <v>-4.0509700000000001E-3</v>
      </c>
      <c r="Z3614">
        <v>1.9745829999999998E-3</v>
      </c>
      <c r="AA3614">
        <v>0.99998989999999999</v>
      </c>
      <c r="AB3614">
        <v>16</v>
      </c>
      <c r="AC3614">
        <v>0.63269999999999904</v>
      </c>
      <c r="AD3614">
        <v>-7.4015000000000095E-2</v>
      </c>
      <c r="AE3614">
        <v>-1.0199999999997499E-2</v>
      </c>
      <c r="AF3614">
        <v>-1.9352442691291101E-3</v>
      </c>
      <c r="AG3614">
        <v>-7.4015000000000095E-2</v>
      </c>
      <c r="AH3614">
        <v>0.62423870522366398</v>
      </c>
      <c r="AI3614">
        <v>96.761868729670596</v>
      </c>
      <c r="AJ3614">
        <v>90.177625919049902</v>
      </c>
      <c r="AK3614">
        <v>0.62861429071784403</v>
      </c>
      <c r="AL3614">
        <v>87.183267198159697</v>
      </c>
      <c r="AM3614">
        <v>88.023211904148596</v>
      </c>
      <c r="AN3614">
        <v>0.99999996876616704</v>
      </c>
    </row>
    <row r="3615" spans="1:40" x14ac:dyDescent="0.25">
      <c r="A3615" t="str">
        <f>"20190312154324263"</f>
        <v>20190312154324263</v>
      </c>
      <c r="B3615" t="str">
        <f>"1552376604251301"</f>
        <v>1552376604251301</v>
      </c>
      <c r="C3615" t="s">
        <v>40</v>
      </c>
      <c r="D3615">
        <v>4.9325460000000003</v>
      </c>
      <c r="E3615">
        <v>0.48761330000000003</v>
      </c>
      <c r="F3615" t="s">
        <v>41</v>
      </c>
      <c r="G3615">
        <v>-463.61669999999998</v>
      </c>
      <c r="H3615">
        <v>1.0413250000000001</v>
      </c>
      <c r="I3615">
        <v>216.10230000000001</v>
      </c>
      <c r="J3615">
        <v>-464.22820000000002</v>
      </c>
      <c r="K3615">
        <v>1.1095250000000001</v>
      </c>
      <c r="L3615">
        <v>216.11250000000001</v>
      </c>
      <c r="M3615">
        <v>0.99983920000000004</v>
      </c>
      <c r="N3615">
        <v>0</v>
      </c>
      <c r="O3615">
        <v>-1.791883E-2</v>
      </c>
      <c r="P3615">
        <v>0.99744390000000005</v>
      </c>
      <c r="Q3615">
        <v>4.8895309999999997E-2</v>
      </c>
      <c r="R3615">
        <v>-5.2105180000000001E-2</v>
      </c>
      <c r="S3615">
        <v>3.0186769999999998</v>
      </c>
      <c r="T3615">
        <v>-0.26400410000000002</v>
      </c>
      <c r="U3615">
        <v>-4.457092E-2</v>
      </c>
      <c r="V3615">
        <v>3.4162949999999997E-2</v>
      </c>
      <c r="W3615">
        <v>4.8251790000000003E-2</v>
      </c>
      <c r="X3615">
        <v>0.99825079999999999</v>
      </c>
      <c r="Y3615">
        <v>-3.0756939999999999E-3</v>
      </c>
      <c r="Z3615">
        <v>1.6981730000000001E-3</v>
      </c>
      <c r="AA3615">
        <v>0.99999380000000004</v>
      </c>
      <c r="AB3615">
        <v>16</v>
      </c>
      <c r="AC3615">
        <v>0.61150000000003502</v>
      </c>
      <c r="AD3615">
        <v>-6.8199999999999997E-2</v>
      </c>
      <c r="AE3615">
        <v>-1.0199999999997499E-2</v>
      </c>
      <c r="AF3615">
        <v>-7.4968239239382999E-4</v>
      </c>
      <c r="AG3615">
        <v>-6.8199999999999997E-2</v>
      </c>
      <c r="AH3615">
        <v>0.604072788029416</v>
      </c>
      <c r="AI3615">
        <v>96.441429748627002</v>
      </c>
      <c r="AJ3615">
        <v>90.071106687568602</v>
      </c>
      <c r="AK3615">
        <v>0.60791095997795697</v>
      </c>
      <c r="AL3615">
        <v>87.234302173950198</v>
      </c>
      <c r="AM3615">
        <v>88.039942246469295</v>
      </c>
      <c r="AN3615">
        <v>1.0000000010457699</v>
      </c>
    </row>
    <row r="3616" spans="1:40" x14ac:dyDescent="0.25">
      <c r="A3616" t="str">
        <f>"20190312154324285"</f>
        <v>20190312154324285</v>
      </c>
      <c r="B3616" t="str">
        <f>"1552376604280581"</f>
        <v>1552376604280581</v>
      </c>
      <c r="C3616" t="s">
        <v>40</v>
      </c>
      <c r="D3616">
        <v>4.97668</v>
      </c>
      <c r="E3616">
        <v>0.48736679999999999</v>
      </c>
      <c r="F3616" t="s">
        <v>41</v>
      </c>
      <c r="G3616">
        <v>-463.46539999999999</v>
      </c>
      <c r="H3616">
        <v>1.045803</v>
      </c>
      <c r="I3616">
        <v>216.10230000000001</v>
      </c>
      <c r="J3616">
        <v>-464.06950000000001</v>
      </c>
      <c r="K3616">
        <v>1.1094649999999999</v>
      </c>
      <c r="L3616">
        <v>216.11099999999999</v>
      </c>
      <c r="M3616">
        <v>0.99985900000000005</v>
      </c>
      <c r="N3616">
        <v>0</v>
      </c>
      <c r="O3616">
        <v>-1.677149E-2</v>
      </c>
      <c r="P3616">
        <v>0.99754149999999997</v>
      </c>
      <c r="Q3616">
        <v>4.8564549999999998E-2</v>
      </c>
      <c r="R3616">
        <v>-5.0527710000000003E-2</v>
      </c>
      <c r="S3616">
        <v>3.0179140000000002</v>
      </c>
      <c r="T3616">
        <v>-0.25199709999999997</v>
      </c>
      <c r="U3616">
        <v>-4.0832519999999997E-2</v>
      </c>
      <c r="V3616">
        <v>3.3732209999999999E-2</v>
      </c>
      <c r="W3616">
        <v>4.7596409999999999E-2</v>
      </c>
      <c r="X3616">
        <v>0.99829690000000004</v>
      </c>
      <c r="Y3616">
        <v>-3.1736630000000002E-3</v>
      </c>
      <c r="Z3616">
        <v>1.530107E-3</v>
      </c>
      <c r="AA3616">
        <v>0.99999380000000004</v>
      </c>
      <c r="AB3616">
        <v>16</v>
      </c>
      <c r="AC3616">
        <v>0.60410000000001596</v>
      </c>
      <c r="AD3616">
        <v>-6.3661999999999802E-2</v>
      </c>
      <c r="AE3616">
        <v>-8.6999999999761695E-3</v>
      </c>
      <c r="AF3616">
        <v>-1.4171492483152301E-3</v>
      </c>
      <c r="AG3616">
        <v>-6.3661999999999802E-2</v>
      </c>
      <c r="AH3616">
        <v>0.59752641802734696</v>
      </c>
      <c r="AI3616">
        <v>96.081480838763696</v>
      </c>
      <c r="AJ3616">
        <v>90.135887746847004</v>
      </c>
      <c r="AK3616">
        <v>0.60090987576889099</v>
      </c>
      <c r="AL3616">
        <v>87.271895849393403</v>
      </c>
      <c r="AM3616">
        <v>88.064725821391804</v>
      </c>
      <c r="AN3616">
        <v>0.99999999039299103</v>
      </c>
    </row>
    <row r="3617" spans="1:40" x14ac:dyDescent="0.25">
      <c r="A3617" t="str">
        <f>"20190312154324307"</f>
        <v>20190312154324307</v>
      </c>
      <c r="B3617" t="str">
        <f>"1552376604301078"</f>
        <v>1552376604301078</v>
      </c>
      <c r="C3617" t="s">
        <v>40</v>
      </c>
      <c r="D3617">
        <v>4.9983440000000003</v>
      </c>
      <c r="E3617">
        <v>0.48729499999999998</v>
      </c>
      <c r="F3617" t="s">
        <v>41</v>
      </c>
      <c r="G3617">
        <v>-463.30590000000001</v>
      </c>
      <c r="H3617">
        <v>1.049121</v>
      </c>
      <c r="I3617">
        <v>216.10159999999999</v>
      </c>
      <c r="J3617">
        <v>-463.89789999999999</v>
      </c>
      <c r="K3617">
        <v>1.1093999999999999</v>
      </c>
      <c r="L3617">
        <v>216.1095</v>
      </c>
      <c r="M3617">
        <v>0.99987740000000003</v>
      </c>
      <c r="N3617">
        <v>0</v>
      </c>
      <c r="O3617">
        <v>-1.5606979999999999E-2</v>
      </c>
      <c r="P3617">
        <v>0.9976138</v>
      </c>
      <c r="Q3617">
        <v>4.8948440000000003E-2</v>
      </c>
      <c r="R3617">
        <v>-4.8695080000000002E-2</v>
      </c>
      <c r="S3617">
        <v>3.0172729999999999</v>
      </c>
      <c r="T3617">
        <v>-0.23888000000000001</v>
      </c>
      <c r="U3617">
        <v>-3.4774779999999998E-2</v>
      </c>
      <c r="V3617">
        <v>3.3064059999999999E-2</v>
      </c>
      <c r="W3617">
        <v>4.7667380000000002E-2</v>
      </c>
      <c r="X3617">
        <v>0.99831590000000003</v>
      </c>
      <c r="Y3617">
        <v>-4.02149E-3</v>
      </c>
      <c r="Z3617">
        <v>1.3925210000000001E-3</v>
      </c>
      <c r="AA3617">
        <v>0.99999090000000002</v>
      </c>
      <c r="AB3617">
        <v>17</v>
      </c>
      <c r="AC3617">
        <v>0.59199999999998398</v>
      </c>
      <c r="AD3617">
        <v>-6.0278999999999902E-2</v>
      </c>
      <c r="AE3617">
        <v>-7.9000000000064505E-3</v>
      </c>
      <c r="AF3617">
        <v>-1.32655074790224E-3</v>
      </c>
      <c r="AG3617">
        <v>-6.0278999999999902E-2</v>
      </c>
      <c r="AH3617">
        <v>0.58597695280829498</v>
      </c>
      <c r="AI3617">
        <v>95.873298827512599</v>
      </c>
      <c r="AJ3617">
        <v>90.129707540475493</v>
      </c>
      <c r="AK3617">
        <v>0.58907071460087201</v>
      </c>
      <c r="AL3617">
        <v>87.267825038265002</v>
      </c>
      <c r="AM3617">
        <v>88.103066509270604</v>
      </c>
      <c r="AN3617">
        <v>1.0000000236862701</v>
      </c>
    </row>
    <row r="3618" spans="1:40" x14ac:dyDescent="0.25">
      <c r="A3618" t="str">
        <f>"20190312154324329"</f>
        <v>20190312154324329</v>
      </c>
      <c r="B3618" t="str">
        <f>"1552376604320597"</f>
        <v>1552376604320597</v>
      </c>
      <c r="C3618" t="s">
        <v>40</v>
      </c>
      <c r="D3618">
        <v>5.0284529999999998</v>
      </c>
      <c r="E3618">
        <v>0.4873904</v>
      </c>
      <c r="F3618" t="s">
        <v>50</v>
      </c>
      <c r="G3618">
        <v>-449.34129999999999</v>
      </c>
      <c r="H3618" s="1">
        <v>3.3750969999999998E-6</v>
      </c>
      <c r="I3618">
        <v>215.9684</v>
      </c>
      <c r="J3618">
        <v>-463.73410000000001</v>
      </c>
      <c r="K3618">
        <v>1.1093280000000001</v>
      </c>
      <c r="L3618">
        <v>216.10810000000001</v>
      </c>
      <c r="M3618">
        <v>0.99989240000000001</v>
      </c>
      <c r="N3618">
        <v>0</v>
      </c>
      <c r="O3618">
        <v>-1.4580950000000001E-2</v>
      </c>
      <c r="P3618">
        <v>0.99767930000000005</v>
      </c>
      <c r="Q3618">
        <v>4.9213399999999997E-2</v>
      </c>
      <c r="R3618">
        <v>-4.7052669999999998E-2</v>
      </c>
      <c r="S3618">
        <v>3.0170590000000002</v>
      </c>
      <c r="T3618">
        <v>-0.22993759999999999</v>
      </c>
      <c r="U3618">
        <v>-2.9251099999999901E-2</v>
      </c>
      <c r="V3618">
        <v>3.2448900000000003E-2</v>
      </c>
      <c r="W3618">
        <v>4.7670709999999998E-2</v>
      </c>
      <c r="X3618">
        <v>0.99833590000000005</v>
      </c>
      <c r="Y3618">
        <v>-4.830249E-3</v>
      </c>
      <c r="Z3618">
        <v>1.293359E-3</v>
      </c>
      <c r="AA3618">
        <v>0.99998750000000003</v>
      </c>
      <c r="AB3618">
        <v>17</v>
      </c>
      <c r="AC3618">
        <v>14.392799999999999</v>
      </c>
      <c r="AD3618">
        <v>-1.109324624903</v>
      </c>
      <c r="AE3618">
        <v>-0.13970000000000399</v>
      </c>
      <c r="AF3618">
        <v>-6.9761437224621595E-2</v>
      </c>
      <c r="AG3618">
        <v>-1.109324624903</v>
      </c>
      <c r="AH3618">
        <v>14.308315620852399</v>
      </c>
      <c r="AI3618">
        <v>94.433224483414904</v>
      </c>
      <c r="AJ3618">
        <v>90.279348342632204</v>
      </c>
      <c r="AK3618">
        <v>14.351423751233501</v>
      </c>
      <c r="AL3618">
        <v>87.267633957214898</v>
      </c>
      <c r="AM3618">
        <v>88.138371337653197</v>
      </c>
      <c r="AN3618">
        <v>0.99999999846596199</v>
      </c>
    </row>
    <row r="3619" spans="1:40" x14ac:dyDescent="0.25">
      <c r="A3619" t="str">
        <f>"20190312154324351"</f>
        <v>20190312154324351</v>
      </c>
      <c r="B3619" t="str">
        <f>"1552376604341094"</f>
        <v>1552376604341094</v>
      </c>
      <c r="C3619" t="s">
        <v>40</v>
      </c>
      <c r="D3619">
        <v>5.019698</v>
      </c>
      <c r="E3619">
        <v>0.48746689999999998</v>
      </c>
      <c r="F3619" t="s">
        <v>41</v>
      </c>
      <c r="G3619">
        <v>-462.85309999999998</v>
      </c>
      <c r="H3619">
        <v>1.0447059999999999</v>
      </c>
      <c r="I3619">
        <v>216.10059999999999</v>
      </c>
      <c r="J3619">
        <v>-463.55560000000003</v>
      </c>
      <c r="K3619">
        <v>1.109259</v>
      </c>
      <c r="L3619">
        <v>216.10679999999999</v>
      </c>
      <c r="M3619">
        <v>0.99990639999999997</v>
      </c>
      <c r="N3619">
        <v>0</v>
      </c>
      <c r="O3619">
        <v>-1.3560600000000001E-2</v>
      </c>
      <c r="P3619">
        <v>0.99773529999999999</v>
      </c>
      <c r="Q3619">
        <v>4.963795E-2</v>
      </c>
      <c r="R3619">
        <v>-4.5388770000000002E-2</v>
      </c>
      <c r="S3619">
        <v>3.0166930000000001</v>
      </c>
      <c r="T3619">
        <v>-0.22131990000000001</v>
      </c>
      <c r="U3619">
        <v>-2.5344849999999999E-2</v>
      </c>
      <c r="V3619">
        <v>3.1807330000000002E-2</v>
      </c>
      <c r="W3619">
        <v>4.7847889999999997E-2</v>
      </c>
      <c r="X3619">
        <v>0.99834809999999996</v>
      </c>
      <c r="Y3619">
        <v>-5.1095089999999999E-3</v>
      </c>
      <c r="Z3619">
        <v>1.180661E-3</v>
      </c>
      <c r="AA3619">
        <v>0.99998620000000005</v>
      </c>
      <c r="AB3619">
        <v>17</v>
      </c>
      <c r="AC3619">
        <v>0.70250000000004298</v>
      </c>
      <c r="AD3619">
        <v>-6.4552999999999999E-2</v>
      </c>
      <c r="AE3619">
        <v>-6.2000000000068597E-3</v>
      </c>
      <c r="AF3619">
        <v>-3.2990527940214599E-3</v>
      </c>
      <c r="AG3619">
        <v>-6.4552999999999999E-2</v>
      </c>
      <c r="AH3619">
        <v>0.69663763991873695</v>
      </c>
      <c r="AI3619">
        <v>95.294059939713406</v>
      </c>
      <c r="AJ3619">
        <v>90.271332436884293</v>
      </c>
      <c r="AK3619">
        <v>0.69962988423157402</v>
      </c>
      <c r="AL3619">
        <v>87.257470773903606</v>
      </c>
      <c r="AM3619">
        <v>88.175176053491995</v>
      </c>
      <c r="AN3619">
        <v>1.0000000277963901</v>
      </c>
    </row>
    <row r="3620" spans="1:40" x14ac:dyDescent="0.25">
      <c r="A3620" t="str">
        <f>"20190312154324374"</f>
        <v>20190312154324374</v>
      </c>
      <c r="B3620" t="str">
        <f>"1552376604371349"</f>
        <v>1552376604371349</v>
      </c>
      <c r="C3620" t="s">
        <v>40</v>
      </c>
      <c r="D3620">
        <v>5.0880839999999896</v>
      </c>
      <c r="E3620">
        <v>0.4876935</v>
      </c>
      <c r="F3620" t="s">
        <v>41</v>
      </c>
      <c r="G3620">
        <v>-462.69099999999997</v>
      </c>
      <c r="H3620">
        <v>1.048216</v>
      </c>
      <c r="I3620">
        <v>216.10059999999999</v>
      </c>
      <c r="J3620">
        <v>-463.37849999999997</v>
      </c>
      <c r="K3620">
        <v>1.109197</v>
      </c>
      <c r="L3620">
        <v>216.10550000000001</v>
      </c>
      <c r="M3620">
        <v>0.99991819999999998</v>
      </c>
      <c r="N3620">
        <v>0</v>
      </c>
      <c r="O3620">
        <v>-1.2631299999999899E-2</v>
      </c>
      <c r="P3620">
        <v>0.99780429999999998</v>
      </c>
      <c r="Q3620">
        <v>4.9533840000000003E-2</v>
      </c>
      <c r="R3620">
        <v>-4.3967989999999998E-2</v>
      </c>
      <c r="S3620">
        <v>3.0164179999999998</v>
      </c>
      <c r="T3620">
        <v>-0.21303920000000001</v>
      </c>
      <c r="U3620">
        <v>-2.0980829999999999E-2</v>
      </c>
      <c r="V3620">
        <v>3.1317879999999999E-2</v>
      </c>
      <c r="W3620">
        <v>4.7530200000000002E-2</v>
      </c>
      <c r="X3620">
        <v>0.99837869999999995</v>
      </c>
      <c r="Y3620">
        <v>-5.6307149999999997E-3</v>
      </c>
      <c r="Z3620">
        <v>1.0895480000000001E-3</v>
      </c>
      <c r="AA3620">
        <v>0.99998350000000003</v>
      </c>
      <c r="AB3620">
        <v>18</v>
      </c>
      <c r="AC3620">
        <v>0.6875</v>
      </c>
      <c r="AD3620">
        <v>-6.0980999999999903E-2</v>
      </c>
      <c r="AE3620">
        <v>-4.9000000000205502E-3</v>
      </c>
      <c r="AF3620">
        <v>-3.7548866797271299E-3</v>
      </c>
      <c r="AG3620">
        <v>-6.0980999999999903E-2</v>
      </c>
      <c r="AH3620">
        <v>0.68214049254516196</v>
      </c>
      <c r="AI3620">
        <v>95.108387847733496</v>
      </c>
      <c r="AJ3620">
        <v>90.315385157114207</v>
      </c>
      <c r="AK3620">
        <v>0.68487110692796405</v>
      </c>
      <c r="AL3620">
        <v>87.275693670424403</v>
      </c>
      <c r="AM3620">
        <v>88.203292860231898</v>
      </c>
      <c r="AN3620">
        <v>0.99999997906671201</v>
      </c>
    </row>
    <row r="3621" spans="1:40" x14ac:dyDescent="0.25">
      <c r="A3621" t="str">
        <f>"20190312154324395"</f>
        <v>20190312154324395</v>
      </c>
      <c r="B3621" t="str">
        <f>"1552376604390869"</f>
        <v>1552376604390869</v>
      </c>
      <c r="C3621" t="s">
        <v>40</v>
      </c>
      <c r="D3621">
        <v>5.0362450000000001</v>
      </c>
      <c r="E3621">
        <v>0.52095130000000001</v>
      </c>
      <c r="F3621" t="s">
        <v>50</v>
      </c>
      <c r="G3621">
        <v>-447.2937</v>
      </c>
      <c r="H3621" s="1">
        <v>2.283759E-6</v>
      </c>
      <c r="I3621">
        <v>216.00749999999999</v>
      </c>
      <c r="J3621">
        <v>-463.20299999999997</v>
      </c>
      <c r="K3621">
        <v>1.1091409999999999</v>
      </c>
      <c r="L3621">
        <v>216.10429999999999</v>
      </c>
      <c r="M3621">
        <v>0.99992809999999999</v>
      </c>
      <c r="N3621">
        <v>0</v>
      </c>
      <c r="O3621">
        <v>-1.178543E-2</v>
      </c>
      <c r="P3621">
        <v>0.99783129999999998</v>
      </c>
      <c r="Q3621">
        <v>4.9774869999999999E-2</v>
      </c>
      <c r="R3621">
        <v>-4.307271E-2</v>
      </c>
      <c r="S3621">
        <v>3.0160830000000001</v>
      </c>
      <c r="T3621">
        <v>-0.2079868</v>
      </c>
      <c r="U3621">
        <v>-1.8386840000000002E-2</v>
      </c>
      <c r="V3621">
        <v>3.1270329999999999E-2</v>
      </c>
      <c r="W3621">
        <v>4.758975E-2</v>
      </c>
      <c r="X3621">
        <v>0.99837739999999997</v>
      </c>
      <c r="Y3621">
        <v>-5.6481069999999899E-3</v>
      </c>
      <c r="Z3621">
        <v>1.0062350000000001E-3</v>
      </c>
      <c r="AA3621">
        <v>0.99998350000000003</v>
      </c>
      <c r="AB3621">
        <v>18</v>
      </c>
      <c r="AC3621">
        <v>15.9093</v>
      </c>
      <c r="AD3621">
        <v>-1.109138716241</v>
      </c>
      <c r="AE3621">
        <v>-9.6800000000001704E-2</v>
      </c>
      <c r="AF3621">
        <v>-9.0266411402126101E-2</v>
      </c>
      <c r="AG3621">
        <v>-1.109138716241</v>
      </c>
      <c r="AH3621">
        <v>15.8323874589715</v>
      </c>
      <c r="AI3621">
        <v>94.0072468412597</v>
      </c>
      <c r="AJ3621">
        <v>90.326661306202396</v>
      </c>
      <c r="AK3621">
        <v>15.871446984062</v>
      </c>
      <c r="AL3621">
        <v>87.272277967583904</v>
      </c>
      <c r="AM3621">
        <v>88.206016685910001</v>
      </c>
      <c r="AN3621">
        <v>1.00000002533706</v>
      </c>
    </row>
    <row r="3622" spans="1:40" x14ac:dyDescent="0.25">
      <c r="A3622" t="str">
        <f>"20190312154324419"</f>
        <v>20190312154324419</v>
      </c>
      <c r="B3622" t="str">
        <f>"1552376604411366"</f>
        <v>1552376604411366</v>
      </c>
      <c r="C3622" t="s">
        <v>40</v>
      </c>
      <c r="D3622">
        <v>4.981128</v>
      </c>
      <c r="E3622">
        <v>0.53021890000000005</v>
      </c>
      <c r="F3622" t="s">
        <v>41</v>
      </c>
      <c r="G3622">
        <v>-462.36660000000001</v>
      </c>
      <c r="H3622">
        <v>1.055852</v>
      </c>
      <c r="I3622">
        <v>216.0257</v>
      </c>
      <c r="J3622">
        <v>-463.01319999999998</v>
      </c>
      <c r="K3622">
        <v>1.109086</v>
      </c>
      <c r="L3622">
        <v>216.10310000000001</v>
      </c>
      <c r="M3622">
        <v>0.99993719999999997</v>
      </c>
      <c r="N3622">
        <v>0</v>
      </c>
      <c r="O3622">
        <v>-1.095133E-2</v>
      </c>
      <c r="P3622">
        <v>0.99783469999999996</v>
      </c>
      <c r="Q3622">
        <v>5.0250870000000003E-2</v>
      </c>
      <c r="R3622">
        <v>-4.2436000000000001E-2</v>
      </c>
      <c r="S3622">
        <v>3.003876</v>
      </c>
      <c r="T3622">
        <v>-0.19149659999999999</v>
      </c>
      <c r="U3622">
        <v>-0.28163149999999998</v>
      </c>
      <c r="V3622">
        <v>3.1469980000000002E-2</v>
      </c>
      <c r="W3622">
        <v>4.7899339999999999E-2</v>
      </c>
      <c r="X3622">
        <v>0.99835629999999997</v>
      </c>
      <c r="Y3622">
        <v>8.2293989999999997E-2</v>
      </c>
      <c r="Z3622">
        <v>-1.91892E-3</v>
      </c>
      <c r="AA3622">
        <v>0.9966062</v>
      </c>
      <c r="AB3622">
        <v>18</v>
      </c>
      <c r="AC3622">
        <v>0.64659999999997797</v>
      </c>
      <c r="AD3622">
        <v>-5.3233999999999997E-2</v>
      </c>
      <c r="AE3622">
        <v>-7.7400000000011404E-2</v>
      </c>
      <c r="AF3622">
        <v>6.9847464516628294E-2</v>
      </c>
      <c r="AG3622">
        <v>-5.3233999999999997E-2</v>
      </c>
      <c r="AH3622">
        <v>0.64311137648817196</v>
      </c>
      <c r="AI3622">
        <v>94.704371628346394</v>
      </c>
      <c r="AJ3622">
        <v>83.801478256015898</v>
      </c>
      <c r="AK3622">
        <v>0.64907994085776</v>
      </c>
      <c r="AL3622">
        <v>87.254519457069506</v>
      </c>
      <c r="AM3622">
        <v>88.194532161168397</v>
      </c>
      <c r="AN3622">
        <v>1.0000000040816599</v>
      </c>
    </row>
    <row r="3623" spans="1:40" x14ac:dyDescent="0.25">
      <c r="A3623" t="str">
        <f>"20190312154324442"</f>
        <v>20190312154324442</v>
      </c>
      <c r="B3623" t="str">
        <f>"1552376604430885"</f>
        <v>1552376604430885</v>
      </c>
      <c r="C3623" t="s">
        <v>40</v>
      </c>
      <c r="D3623">
        <v>5.0519499999999997</v>
      </c>
      <c r="E3623">
        <v>0.53621289999999999</v>
      </c>
      <c r="F3623" t="s">
        <v>41</v>
      </c>
      <c r="G3623">
        <v>-462.20249999999999</v>
      </c>
      <c r="H3623">
        <v>1.053742</v>
      </c>
      <c r="I3623">
        <v>216.00749999999999</v>
      </c>
      <c r="J3623">
        <v>-462.81740000000002</v>
      </c>
      <c r="K3623">
        <v>1.109035</v>
      </c>
      <c r="L3623">
        <v>216.1019</v>
      </c>
      <c r="M3623">
        <v>0.99994530000000004</v>
      </c>
      <c r="N3623">
        <v>0</v>
      </c>
      <c r="O3623">
        <v>-1.0170719999999999E-2</v>
      </c>
      <c r="P3623">
        <v>0.99780990000000003</v>
      </c>
      <c r="Q3623">
        <v>5.0663479999999997E-2</v>
      </c>
      <c r="R3623">
        <v>-4.2532029999999998E-2</v>
      </c>
      <c r="S3623">
        <v>3.001862</v>
      </c>
      <c r="T3623">
        <v>-0.20507010000000001</v>
      </c>
      <c r="U3623">
        <v>-0.35337829999999998</v>
      </c>
      <c r="V3623">
        <v>3.2348969999999998E-2</v>
      </c>
      <c r="W3623">
        <v>4.8170820000000003E-2</v>
      </c>
      <c r="X3623">
        <v>0.99831519999999996</v>
      </c>
      <c r="Y3623">
        <v>0.10658380000000001</v>
      </c>
      <c r="Z3623">
        <v>-2.9323869999999998E-3</v>
      </c>
      <c r="AA3623">
        <v>0.99429940000000006</v>
      </c>
      <c r="AB3623">
        <v>18</v>
      </c>
      <c r="AC3623">
        <v>0.61490000000003397</v>
      </c>
      <c r="AD3623">
        <v>-5.5293000000000002E-2</v>
      </c>
      <c r="AE3623">
        <v>-9.4400000000007298E-2</v>
      </c>
      <c r="AF3623">
        <v>8.7450285991013593E-2</v>
      </c>
      <c r="AG3623">
        <v>-5.5293000000000002E-2</v>
      </c>
      <c r="AH3623">
        <v>0.61100154363314996</v>
      </c>
      <c r="AI3623">
        <v>95.119050559799703</v>
      </c>
      <c r="AJ3623">
        <v>81.854794657774093</v>
      </c>
      <c r="AK3623">
        <v>0.61969972945855101</v>
      </c>
      <c r="AL3623">
        <v>87.2389469802863</v>
      </c>
      <c r="AM3623">
        <v>88.144061959824299</v>
      </c>
      <c r="AN3623">
        <v>1.00000006115528</v>
      </c>
    </row>
    <row r="3624" spans="1:40" x14ac:dyDescent="0.25">
      <c r="A3624" t="str">
        <f>"20190312154324464"</f>
        <v>20190312154324464</v>
      </c>
      <c r="B3624" t="str">
        <f>"1552376604451381"</f>
        <v>1552376604451381</v>
      </c>
      <c r="C3624" t="s">
        <v>40</v>
      </c>
      <c r="D3624">
        <v>5.0791789999999999</v>
      </c>
      <c r="E3624">
        <v>0.53950039999999999</v>
      </c>
      <c r="F3624" t="s">
        <v>41</v>
      </c>
      <c r="G3624">
        <v>-462.03320000000002</v>
      </c>
      <c r="H3624">
        <v>1.0540579999999999</v>
      </c>
      <c r="I3624">
        <v>215.9967</v>
      </c>
      <c r="J3624">
        <v>-462.62909999999999</v>
      </c>
      <c r="K3624">
        <v>1.1089929999999999</v>
      </c>
      <c r="L3624">
        <v>216.1009</v>
      </c>
      <c r="M3624">
        <v>0.99995160000000005</v>
      </c>
      <c r="N3624">
        <v>0</v>
      </c>
      <c r="O3624">
        <v>-9.4885449999999993E-3</v>
      </c>
      <c r="P3624">
        <v>0.99781120000000001</v>
      </c>
      <c r="Q3624">
        <v>5.0974079999999998E-2</v>
      </c>
      <c r="R3624">
        <v>-4.2126719999999999E-2</v>
      </c>
      <c r="S3624">
        <v>3.0002140000000002</v>
      </c>
      <c r="T3624">
        <v>-0.21066370000000001</v>
      </c>
      <c r="U3624">
        <v>-0.4003601</v>
      </c>
      <c r="V3624">
        <v>3.2627940000000001E-2</v>
      </c>
      <c r="W3624">
        <v>4.8372289999999998E-2</v>
      </c>
      <c r="X3624">
        <v>0.99829630000000003</v>
      </c>
      <c r="Y3624">
        <v>0.12258670000000001</v>
      </c>
      <c r="Z3624">
        <v>-3.6172019999999999E-3</v>
      </c>
      <c r="AA3624">
        <v>0.99245119999999998</v>
      </c>
      <c r="AB3624">
        <v>19</v>
      </c>
      <c r="AC3624">
        <v>0.59589999999997101</v>
      </c>
      <c r="AD3624">
        <v>-5.4935000000000102E-2</v>
      </c>
      <c r="AE3624">
        <v>-0.10419999999999099</v>
      </c>
      <c r="AF3624">
        <v>9.7735090754223194E-2</v>
      </c>
      <c r="AG3624">
        <v>-5.4935000000000102E-2</v>
      </c>
      <c r="AH3624">
        <v>0.59198010229890197</v>
      </c>
      <c r="AI3624">
        <v>95.231374230086104</v>
      </c>
      <c r="AJ3624">
        <v>80.625114917493505</v>
      </c>
      <c r="AK3624">
        <v>0.60250348024518097</v>
      </c>
      <c r="AL3624">
        <v>87.227389907534501</v>
      </c>
      <c r="AM3624">
        <v>88.128032705202102</v>
      </c>
      <c r="AN3624">
        <v>0.99999998175108795</v>
      </c>
    </row>
    <row r="3625" spans="1:40" x14ac:dyDescent="0.25">
      <c r="A3625" t="str">
        <f>"20190312154324485"</f>
        <v>20190312154324485</v>
      </c>
      <c r="B3625" t="str">
        <f>"1552376604480662"</f>
        <v>1552376604480662</v>
      </c>
      <c r="C3625" t="s">
        <v>40</v>
      </c>
      <c r="D3625">
        <v>5.0849489999999999</v>
      </c>
      <c r="E3625">
        <v>0.5429351</v>
      </c>
      <c r="F3625" t="s">
        <v>41</v>
      </c>
      <c r="G3625">
        <v>-461.86219999999997</v>
      </c>
      <c r="H3625">
        <v>1.054011</v>
      </c>
      <c r="I3625">
        <v>215.99199999999999</v>
      </c>
      <c r="J3625">
        <v>-462.44540000000001</v>
      </c>
      <c r="K3625">
        <v>1.108967</v>
      </c>
      <c r="L3625">
        <v>216.09979999999999</v>
      </c>
      <c r="M3625">
        <v>0.99995699999999998</v>
      </c>
      <c r="N3625">
        <v>0</v>
      </c>
      <c r="O3625">
        <v>-8.8814440000000005E-3</v>
      </c>
      <c r="P3625">
        <v>0.99780100000000005</v>
      </c>
      <c r="Q3625">
        <v>5.1362089999999999E-2</v>
      </c>
      <c r="R3625">
        <v>-4.1896059999999999E-2</v>
      </c>
      <c r="S3625">
        <v>2.999695</v>
      </c>
      <c r="T3625">
        <v>-0.21517410000000001</v>
      </c>
      <c r="U3625">
        <v>-0.42498780000000003</v>
      </c>
      <c r="V3625">
        <v>3.3006300000000002E-2</v>
      </c>
      <c r="W3625">
        <v>4.8678529999999998E-2</v>
      </c>
      <c r="X3625">
        <v>0.99826899999999996</v>
      </c>
      <c r="Y3625">
        <v>0.13116910000000001</v>
      </c>
      <c r="Z3625">
        <v>-4.0422039999999998E-3</v>
      </c>
      <c r="AA3625">
        <v>0.99135180000000001</v>
      </c>
      <c r="AB3625">
        <v>19</v>
      </c>
      <c r="AC3625">
        <v>0.58320000000003303</v>
      </c>
      <c r="AD3625">
        <v>-5.4955999999999998E-2</v>
      </c>
      <c r="AE3625">
        <v>-0.107799999999969</v>
      </c>
      <c r="AF3625">
        <v>0.101742482991607</v>
      </c>
      <c r="AG3625">
        <v>-5.4955999999999998E-2</v>
      </c>
      <c r="AH3625">
        <v>0.57916158186626199</v>
      </c>
      <c r="AI3625">
        <v>95.339226589311494</v>
      </c>
      <c r="AJ3625">
        <v>80.036399186402704</v>
      </c>
      <c r="AK3625">
        <v>0.59059278076448596</v>
      </c>
      <c r="AL3625">
        <v>87.209823019838396</v>
      </c>
      <c r="AM3625">
        <v>88.106288970194896</v>
      </c>
      <c r="AN3625">
        <v>1.0000000057418199</v>
      </c>
    </row>
    <row r="3626" spans="1:40" x14ac:dyDescent="0.25">
      <c r="A3626" t="str">
        <f>"20190312154324508"</f>
        <v>20190312154324508</v>
      </c>
      <c r="B3626" t="str">
        <f>"1552376604501157"</f>
        <v>1552376604501157</v>
      </c>
      <c r="C3626" t="s">
        <v>40</v>
      </c>
      <c r="D3626">
        <v>5.086265</v>
      </c>
      <c r="E3626">
        <v>0.54452659999999997</v>
      </c>
      <c r="F3626" t="s">
        <v>41</v>
      </c>
      <c r="G3626">
        <v>-461.68920000000003</v>
      </c>
      <c r="H3626">
        <v>1.053504</v>
      </c>
      <c r="I3626">
        <v>215.98560000000001</v>
      </c>
      <c r="J3626">
        <v>-462.25110000000001</v>
      </c>
      <c r="K3626">
        <v>1.1089450000000001</v>
      </c>
      <c r="L3626">
        <v>216.09880000000001</v>
      </c>
      <c r="M3626">
        <v>0.99996189999999996</v>
      </c>
      <c r="N3626">
        <v>0</v>
      </c>
      <c r="O3626">
        <v>-8.2914919999999993E-3</v>
      </c>
      <c r="P3626">
        <v>0.99771849999999995</v>
      </c>
      <c r="Q3626">
        <v>5.2772600000000003E-2</v>
      </c>
      <c r="R3626">
        <v>-4.2110120000000001E-2</v>
      </c>
      <c r="S3626">
        <v>2.998993</v>
      </c>
      <c r="T3626">
        <v>-0.22021270000000001</v>
      </c>
      <c r="U3626">
        <v>-0.45146180000000002</v>
      </c>
      <c r="V3626">
        <v>3.381174E-2</v>
      </c>
      <c r="W3626">
        <v>5.0024899999999997E-2</v>
      </c>
      <c r="X3626">
        <v>0.99817549999999999</v>
      </c>
      <c r="Y3626">
        <v>0.14030879999999901</v>
      </c>
      <c r="Z3626">
        <v>-4.5112030000000001E-3</v>
      </c>
      <c r="AA3626">
        <v>0.99009749999999996</v>
      </c>
      <c r="AB3626">
        <v>19</v>
      </c>
      <c r="AC3626">
        <v>0.56189999999997997</v>
      </c>
      <c r="AD3626">
        <v>-5.5440999999999997E-2</v>
      </c>
      <c r="AE3626">
        <v>-0.113200000000006</v>
      </c>
      <c r="AF3626">
        <v>0.107531096869434</v>
      </c>
      <c r="AG3626">
        <v>-5.5440999999999997E-2</v>
      </c>
      <c r="AH3626">
        <v>0.55760264394696202</v>
      </c>
      <c r="AI3626">
        <v>95.576037707368002</v>
      </c>
      <c r="AJ3626">
        <v>79.084767055494098</v>
      </c>
      <c r="AK3626">
        <v>0.57057633127530505</v>
      </c>
      <c r="AL3626">
        <v>87.132587641228994</v>
      </c>
      <c r="AM3626">
        <v>88.059930786125705</v>
      </c>
      <c r="AN3626">
        <v>1.00000002659104</v>
      </c>
    </row>
    <row r="3627" spans="1:40" x14ac:dyDescent="0.25">
      <c r="A3627" t="str">
        <f>"20190312154324529"</f>
        <v>20190312154324529</v>
      </c>
      <c r="B3627" t="str">
        <f>"1552376604520677"</f>
        <v>1552376604520677</v>
      </c>
      <c r="C3627" t="s">
        <v>40</v>
      </c>
      <c r="D3627">
        <v>5.1034629999999996</v>
      </c>
      <c r="E3627">
        <v>0.54573570000000005</v>
      </c>
      <c r="F3627" t="s">
        <v>41</v>
      </c>
      <c r="G3627">
        <v>-461.51249999999999</v>
      </c>
      <c r="H3627">
        <v>1.0551539999999999</v>
      </c>
      <c r="I3627">
        <v>215.98439999999999</v>
      </c>
      <c r="J3627">
        <v>-462.05579999999998</v>
      </c>
      <c r="K3627">
        <v>1.10891299999999</v>
      </c>
      <c r="L3627">
        <v>216.09780000000001</v>
      </c>
      <c r="M3627">
        <v>0.99996609999999997</v>
      </c>
      <c r="N3627">
        <v>0</v>
      </c>
      <c r="O3627">
        <v>-7.7479009999999997E-3</v>
      </c>
      <c r="P3627">
        <v>0.99760040000000005</v>
      </c>
      <c r="Q3627">
        <v>5.4281450000000002E-2</v>
      </c>
      <c r="R3627">
        <v>-4.2980789999999998E-2</v>
      </c>
      <c r="S3627">
        <v>2.99884</v>
      </c>
      <c r="T3627">
        <v>-0.2184458</v>
      </c>
      <c r="U3627">
        <v>-0.46453860000000002</v>
      </c>
      <c r="V3627">
        <v>3.5227340000000003E-2</v>
      </c>
      <c r="W3627">
        <v>5.1489769999999997E-2</v>
      </c>
      <c r="X3627">
        <v>0.99805200000000005</v>
      </c>
      <c r="Y3627">
        <v>0.1450639</v>
      </c>
      <c r="Z3627">
        <v>-4.6851050000000002E-3</v>
      </c>
      <c r="AA3627">
        <v>0.98941120000000005</v>
      </c>
      <c r="AB3627">
        <v>19</v>
      </c>
      <c r="AC3627">
        <v>0.54329999999998702</v>
      </c>
      <c r="AD3627">
        <v>-5.3758999999999599E-2</v>
      </c>
      <c r="AE3627">
        <v>-0.11340000000001201</v>
      </c>
      <c r="AF3627">
        <v>0.108172255294951</v>
      </c>
      <c r="AG3627">
        <v>-5.3758999999999599E-2</v>
      </c>
      <c r="AH3627">
        <v>0.53910434190610501</v>
      </c>
      <c r="AI3627">
        <v>95.584080645130101</v>
      </c>
      <c r="AJ3627">
        <v>78.654163135646598</v>
      </c>
      <c r="AK3627">
        <v>0.552471500041958</v>
      </c>
      <c r="AL3627">
        <v>87.048548299491998</v>
      </c>
      <c r="AM3627">
        <v>87.978521803818396</v>
      </c>
      <c r="AN3627">
        <v>0.99999997830106402</v>
      </c>
    </row>
    <row r="3628" spans="1:40" x14ac:dyDescent="0.25">
      <c r="A3628" t="str">
        <f>"20190312154324551"</f>
        <v>20190312154324551</v>
      </c>
      <c r="B3628" t="str">
        <f>"1552376604541174"</f>
        <v>1552376604541174</v>
      </c>
      <c r="C3628" t="s">
        <v>40</v>
      </c>
      <c r="D3628">
        <v>5.1114649999999999</v>
      </c>
      <c r="E3628">
        <v>0.54678450000000001</v>
      </c>
      <c r="F3628" t="s">
        <v>41</v>
      </c>
      <c r="G3628">
        <v>-461.16160000000002</v>
      </c>
      <c r="H3628">
        <v>1.0441590000000001</v>
      </c>
      <c r="I3628">
        <v>215.95590000000001</v>
      </c>
      <c r="J3628">
        <v>-461.8553</v>
      </c>
      <c r="K3628">
        <v>1.1088659999999999</v>
      </c>
      <c r="L3628">
        <v>216.0968</v>
      </c>
      <c r="M3628">
        <v>0.99996980000000002</v>
      </c>
      <c r="N3628">
        <v>0</v>
      </c>
      <c r="O3628">
        <v>-7.2339850000000001E-3</v>
      </c>
      <c r="P3628">
        <v>0.99755479999999996</v>
      </c>
      <c r="Q3628">
        <v>5.3952689999999998E-2</v>
      </c>
      <c r="R3628">
        <v>-4.4422169999999997E-2</v>
      </c>
      <c r="S3628">
        <v>2.998535</v>
      </c>
      <c r="T3628">
        <v>-0.21716360000000001</v>
      </c>
      <c r="U3628">
        <v>-0.47563169999999999</v>
      </c>
      <c r="V3628">
        <v>3.718366E-2</v>
      </c>
      <c r="W3628">
        <v>5.1134520000000003E-2</v>
      </c>
      <c r="X3628">
        <v>0.99799930000000003</v>
      </c>
      <c r="Y3628">
        <v>0.14915149999999999</v>
      </c>
      <c r="Z3628">
        <v>-4.8406619999999999E-3</v>
      </c>
      <c r="AA3628">
        <v>0.98880250000000003</v>
      </c>
      <c r="AB3628">
        <v>20</v>
      </c>
      <c r="AC3628">
        <v>0.693699999999978</v>
      </c>
      <c r="AD3628">
        <v>-6.4706999999999806E-2</v>
      </c>
      <c r="AE3628">
        <v>-0.14089999999998701</v>
      </c>
      <c r="AF3628">
        <v>0.134752080061048</v>
      </c>
      <c r="AG3628">
        <v>-6.4706999999999806E-2</v>
      </c>
      <c r="AH3628">
        <v>0.68894425635944601</v>
      </c>
      <c r="AI3628">
        <v>95.266378501012895</v>
      </c>
      <c r="AJ3628">
        <v>78.933110443941601</v>
      </c>
      <c r="AK3628">
        <v>0.70497468557420495</v>
      </c>
      <c r="AL3628">
        <v>87.068929489095297</v>
      </c>
      <c r="AM3628">
        <v>87.866249218969301</v>
      </c>
      <c r="AN3628">
        <v>0.99999998325355699</v>
      </c>
    </row>
    <row r="3629" spans="1:40" x14ac:dyDescent="0.25">
      <c r="A3629" t="str">
        <f>"20190312154324574"</f>
        <v>20190312154324574</v>
      </c>
      <c r="B3629" t="str">
        <f>"1552376604560693"</f>
        <v>1552376604560693</v>
      </c>
      <c r="C3629" t="s">
        <v>40</v>
      </c>
      <c r="D3629">
        <v>5.1083550000000004</v>
      </c>
      <c r="E3629">
        <v>0.54755469999999995</v>
      </c>
      <c r="F3629" t="s">
        <v>41</v>
      </c>
      <c r="G3629">
        <v>-460.97930000000002</v>
      </c>
      <c r="H3629">
        <v>1.0444439999999999</v>
      </c>
      <c r="I3629">
        <v>215.9539</v>
      </c>
      <c r="J3629">
        <v>-461.65030000000002</v>
      </c>
      <c r="K3629">
        <v>1.1088249999999999</v>
      </c>
      <c r="L3629">
        <v>216.0959</v>
      </c>
      <c r="M3629">
        <v>0.99997320000000001</v>
      </c>
      <c r="N3629">
        <v>0</v>
      </c>
      <c r="O3629">
        <v>-6.742601E-3</v>
      </c>
      <c r="P3629">
        <v>0.99766920000000003</v>
      </c>
      <c r="Q3629">
        <v>5.0603839999999997E-2</v>
      </c>
      <c r="R3629">
        <v>-4.5777129999999999E-2</v>
      </c>
      <c r="S3629">
        <v>2.9975589999999999</v>
      </c>
      <c r="T3629">
        <v>-0.22063769999999999</v>
      </c>
      <c r="U3629">
        <v>-0.48783870000000001</v>
      </c>
      <c r="V3629">
        <v>3.9030229999999999E-2</v>
      </c>
      <c r="W3629">
        <v>4.7772160000000001E-2</v>
      </c>
      <c r="X3629">
        <v>0.99809539999999997</v>
      </c>
      <c r="Y3629">
        <v>0.15358640000000001</v>
      </c>
      <c r="Z3629">
        <v>-5.1157160000000002E-3</v>
      </c>
      <c r="AA3629">
        <v>0.98812199999999994</v>
      </c>
      <c r="AB3629">
        <v>20</v>
      </c>
      <c r="AC3629">
        <v>0.67099999999999205</v>
      </c>
      <c r="AD3629">
        <v>-6.4380999999999799E-2</v>
      </c>
      <c r="AE3629">
        <v>-0.14199999999999499</v>
      </c>
      <c r="AF3629">
        <v>0.13627172760773401</v>
      </c>
      <c r="AG3629">
        <v>-6.4380999999999799E-2</v>
      </c>
      <c r="AH3629">
        <v>0.666073182031509</v>
      </c>
      <c r="AI3629">
        <v>95.409550966471599</v>
      </c>
      <c r="AJ3629">
        <v>78.437434706222206</v>
      </c>
      <c r="AK3629">
        <v>0.68291169321353395</v>
      </c>
      <c r="AL3629">
        <v>87.261814627467899</v>
      </c>
      <c r="AM3629">
        <v>87.7606062373561</v>
      </c>
      <c r="AN3629">
        <v>0.99999998281303903</v>
      </c>
    </row>
    <row r="3630" spans="1:40" x14ac:dyDescent="0.25">
      <c r="A3630" t="str">
        <f>"20190312154324596"</f>
        <v>20190312154324596</v>
      </c>
      <c r="B3630" t="str">
        <f>"1552376604590949"</f>
        <v>1552376604590949</v>
      </c>
      <c r="C3630" t="s">
        <v>40</v>
      </c>
      <c r="D3630">
        <v>5.1123139999999996</v>
      </c>
      <c r="E3630">
        <v>0.54849459999999906</v>
      </c>
      <c r="F3630" t="s">
        <v>41</v>
      </c>
      <c r="G3630">
        <v>-460.79689999999999</v>
      </c>
      <c r="H3630">
        <v>1.0426299999999999</v>
      </c>
      <c r="I3630">
        <v>215.95400000000001</v>
      </c>
      <c r="J3630">
        <v>-461.44389999999999</v>
      </c>
      <c r="K3630">
        <v>1.1087929999999999</v>
      </c>
      <c r="L3630">
        <v>216.095</v>
      </c>
      <c r="M3630">
        <v>0.99997619999999998</v>
      </c>
      <c r="N3630">
        <v>0</v>
      </c>
      <c r="O3630">
        <v>-6.2795840000000004E-3</v>
      </c>
      <c r="P3630">
        <v>0.99786629999999998</v>
      </c>
      <c r="Q3630">
        <v>4.6325980000000003E-2</v>
      </c>
      <c r="R3630">
        <v>-4.6011959999999998E-2</v>
      </c>
      <c r="S3630">
        <v>2.995911</v>
      </c>
      <c r="T3630">
        <v>-0.2323991</v>
      </c>
      <c r="U3630">
        <v>-0.49862669999999998</v>
      </c>
      <c r="V3630">
        <v>3.9727690000000003E-2</v>
      </c>
      <c r="W3630">
        <v>4.3492250000000003E-2</v>
      </c>
      <c r="X3630">
        <v>0.99826349999999997</v>
      </c>
      <c r="Y3630">
        <v>0.1575377</v>
      </c>
      <c r="Z3630">
        <v>-5.5765900000000002E-3</v>
      </c>
      <c r="AA3630">
        <v>0.98749719999999996</v>
      </c>
      <c r="AB3630">
        <v>20</v>
      </c>
      <c r="AC3630">
        <v>0.64699999999999103</v>
      </c>
      <c r="AD3630">
        <v>-6.6163000000000194E-2</v>
      </c>
      <c r="AE3630">
        <v>-0.14099999999999099</v>
      </c>
      <c r="AF3630">
        <v>0.135580779589874</v>
      </c>
      <c r="AG3630">
        <v>-6.6163000000000194E-2</v>
      </c>
      <c r="AH3630">
        <v>0.64146874387316999</v>
      </c>
      <c r="AI3630">
        <v>95.762412973613095</v>
      </c>
      <c r="AJ3630">
        <v>78.065614925202695</v>
      </c>
      <c r="AK3630">
        <v>0.65897028744050401</v>
      </c>
      <c r="AL3630">
        <v>87.5072912050734</v>
      </c>
      <c r="AM3630">
        <v>87.721014119389295</v>
      </c>
      <c r="AN3630">
        <v>0.99999994029752204</v>
      </c>
    </row>
    <row r="3631" spans="1:40" x14ac:dyDescent="0.25">
      <c r="A3631" t="str">
        <f>"20190312154324619"</f>
        <v>20190312154324619</v>
      </c>
      <c r="B3631" t="str">
        <f>"1552376604611446"</f>
        <v>1552376604611446</v>
      </c>
      <c r="C3631" t="s">
        <v>40</v>
      </c>
      <c r="D3631">
        <v>5.1540650000000001</v>
      </c>
      <c r="E3631">
        <v>0.54879419999999901</v>
      </c>
      <c r="F3631" t="s">
        <v>41</v>
      </c>
      <c r="G3631">
        <v>-460.61219999999997</v>
      </c>
      <c r="H3631">
        <v>1.0405580000000001</v>
      </c>
      <c r="I3631">
        <v>215.9538</v>
      </c>
      <c r="J3631">
        <v>-461.23489999999998</v>
      </c>
      <c r="K3631">
        <v>1.108781</v>
      </c>
      <c r="L3631">
        <v>216.0942</v>
      </c>
      <c r="M3631">
        <v>0.99997899999999995</v>
      </c>
      <c r="N3631">
        <v>0</v>
      </c>
      <c r="O3631">
        <v>-5.8446820000000003E-3</v>
      </c>
      <c r="P3631">
        <v>0.99791799999999997</v>
      </c>
      <c r="Q3631">
        <v>4.461565E-2</v>
      </c>
      <c r="R3631">
        <v>-4.6578479999999998E-2</v>
      </c>
      <c r="S3631">
        <v>2.9944760000000001</v>
      </c>
      <c r="T3631">
        <v>-0.2459192</v>
      </c>
      <c r="U3631">
        <v>-0.50724789999999997</v>
      </c>
      <c r="V3631">
        <v>4.0728970000000003E-2</v>
      </c>
      <c r="W3631">
        <v>4.1790050000000002E-2</v>
      </c>
      <c r="X3631">
        <v>0.99829590000000001</v>
      </c>
      <c r="Y3631">
        <v>0.160743</v>
      </c>
      <c r="Z3631">
        <v>-6.0672340000000003E-3</v>
      </c>
      <c r="AA3631">
        <v>0.98697760000000001</v>
      </c>
      <c r="AB3631">
        <v>21</v>
      </c>
      <c r="AC3631">
        <v>0.62270000000000802</v>
      </c>
      <c r="AD3631">
        <v>-6.8222999999999895E-2</v>
      </c>
      <c r="AE3631">
        <v>-0.140399999999999</v>
      </c>
      <c r="AF3631">
        <v>0.13521360000772301</v>
      </c>
      <c r="AG3631">
        <v>-6.8222999999999895E-2</v>
      </c>
      <c r="AH3631">
        <v>0.61646823000968498</v>
      </c>
      <c r="AI3631">
        <v>96.169594022593898</v>
      </c>
      <c r="AJ3631">
        <v>77.628881292241303</v>
      </c>
      <c r="AK3631">
        <v>0.634799317869295</v>
      </c>
      <c r="AL3631">
        <v>87.604908983194093</v>
      </c>
      <c r="AM3631">
        <v>87.663714130128994</v>
      </c>
      <c r="AN3631">
        <v>0.99999998061653605</v>
      </c>
    </row>
    <row r="3632" spans="1:40" x14ac:dyDescent="0.25">
      <c r="A3632" t="str">
        <f>"20190312154324642"</f>
        <v>20190312154324642</v>
      </c>
      <c r="B3632" t="str">
        <f>"1552376604630965"</f>
        <v>1552376604630965</v>
      </c>
      <c r="C3632" t="s">
        <v>40</v>
      </c>
      <c r="D3632">
        <v>5.0891039999999998</v>
      </c>
      <c r="E3632">
        <v>0.54918659999999997</v>
      </c>
      <c r="F3632" t="s">
        <v>41</v>
      </c>
      <c r="G3632">
        <v>-460.42410000000001</v>
      </c>
      <c r="H3632">
        <v>1.0401339999999999</v>
      </c>
      <c r="I3632">
        <v>215.9555</v>
      </c>
      <c r="J3632">
        <v>-461.00959999999998</v>
      </c>
      <c r="K3632">
        <v>1.1087720000000001</v>
      </c>
      <c r="L3632">
        <v>216.0934</v>
      </c>
      <c r="M3632">
        <v>0.99998129999999996</v>
      </c>
      <c r="N3632">
        <v>0</v>
      </c>
      <c r="O3632">
        <v>-5.4165480000000002E-3</v>
      </c>
      <c r="P3632">
        <v>0.99795500000000004</v>
      </c>
      <c r="Q3632">
        <v>4.3999320000000001E-2</v>
      </c>
      <c r="R3632">
        <v>-4.6368630000000001E-2</v>
      </c>
      <c r="S3632">
        <v>2.993744</v>
      </c>
      <c r="T3632">
        <v>-0.253527</v>
      </c>
      <c r="U3632">
        <v>-0.51184079999999998</v>
      </c>
      <c r="V3632">
        <v>4.0947329999999997E-2</v>
      </c>
      <c r="W3632">
        <v>4.1190709999999998E-2</v>
      </c>
      <c r="X3632">
        <v>0.99831190000000003</v>
      </c>
      <c r="Y3632">
        <v>0.16263659999999999</v>
      </c>
      <c r="Z3632">
        <v>-6.370382E-3</v>
      </c>
      <c r="AA3632">
        <v>0.98666549999999997</v>
      </c>
      <c r="AB3632">
        <v>21</v>
      </c>
      <c r="AC3632">
        <v>0.58549999999996705</v>
      </c>
      <c r="AD3632">
        <v>-6.8637999999999699E-2</v>
      </c>
      <c r="AE3632">
        <v>-0.13790000000000099</v>
      </c>
      <c r="AF3632">
        <v>0.132994911119652</v>
      </c>
      <c r="AG3632">
        <v>-6.8637999999999699E-2</v>
      </c>
      <c r="AH3632">
        <v>0.57870333150821995</v>
      </c>
      <c r="AI3632">
        <v>96.593742876056695</v>
      </c>
      <c r="AJ3632">
        <v>77.057283782234506</v>
      </c>
      <c r="AK3632">
        <v>0.59774272670308304</v>
      </c>
      <c r="AL3632">
        <v>87.639278287472095</v>
      </c>
      <c r="AM3632">
        <v>87.651240206790902</v>
      </c>
      <c r="AN3632">
        <v>1.0000000040530199</v>
      </c>
    </row>
    <row r="3633" spans="1:40" x14ac:dyDescent="0.25">
      <c r="A3633" t="str">
        <f>"20190312154324666"</f>
        <v>20190312154324666</v>
      </c>
      <c r="B3633" t="str">
        <f>"1552376604651461"</f>
        <v>1552376604651461</v>
      </c>
      <c r="C3633" t="s">
        <v>40</v>
      </c>
      <c r="D3633">
        <v>5.0849460000000004</v>
      </c>
      <c r="E3633">
        <v>0.54951470000000002</v>
      </c>
      <c r="F3633" t="s">
        <v>41</v>
      </c>
      <c r="G3633">
        <v>-460.23270000000002</v>
      </c>
      <c r="H3633">
        <v>1.04237</v>
      </c>
      <c r="I3633">
        <v>215.95959999999999</v>
      </c>
      <c r="J3633">
        <v>-460.7876</v>
      </c>
      <c r="K3633">
        <v>1.1087659999999999</v>
      </c>
      <c r="L3633">
        <v>216.0926</v>
      </c>
      <c r="M3633">
        <v>0.99998339999999997</v>
      </c>
      <c r="N3633">
        <v>0</v>
      </c>
      <c r="O3633">
        <v>-5.0392889999999997E-3</v>
      </c>
      <c r="P3633">
        <v>0.99798489999999995</v>
      </c>
      <c r="Q3633">
        <v>4.4174270000000002E-2</v>
      </c>
      <c r="R3633">
        <v>-4.5554879999999999E-2</v>
      </c>
      <c r="S3633">
        <v>2.9935</v>
      </c>
      <c r="T3633">
        <v>-0.25594339999999999</v>
      </c>
      <c r="U3633">
        <v>-0.51428220000000002</v>
      </c>
      <c r="V3633">
        <v>4.0510909999999997E-2</v>
      </c>
      <c r="W3633">
        <v>4.1389860000000001E-2</v>
      </c>
      <c r="X3633">
        <v>0.99832149999999997</v>
      </c>
      <c r="Y3633">
        <v>0.16378789999999999</v>
      </c>
      <c r="Z3633">
        <v>-6.5116940000000002E-3</v>
      </c>
      <c r="AA3633">
        <v>0.98647410000000002</v>
      </c>
      <c r="AB3633">
        <v>21</v>
      </c>
      <c r="AC3633">
        <v>0.55489999999997497</v>
      </c>
      <c r="AD3633">
        <v>-6.63959999999999E-2</v>
      </c>
      <c r="AE3633">
        <v>-0.133000000000009</v>
      </c>
      <c r="AF3633">
        <v>0.12846270690269099</v>
      </c>
      <c r="AG3633">
        <v>-6.63959999999999E-2</v>
      </c>
      <c r="AH3633">
        <v>0.54814174029970997</v>
      </c>
      <c r="AI3633">
        <v>96.726041054604096</v>
      </c>
      <c r="AJ3633">
        <v>76.810183301519899</v>
      </c>
      <c r="AK3633">
        <v>0.56689546067997598</v>
      </c>
      <c r="AL3633">
        <v>87.627858169255603</v>
      </c>
      <c r="AM3633">
        <v>87.676268212535504</v>
      </c>
      <c r="AN3633">
        <v>1.0000000358510399</v>
      </c>
    </row>
    <row r="3634" spans="1:40" x14ac:dyDescent="0.25">
      <c r="A3634" t="str">
        <f>"20190312154324688"</f>
        <v>20190312154324688</v>
      </c>
      <c r="B3634" t="str">
        <f>"1552376604680741"</f>
        <v>1552376604680741</v>
      </c>
      <c r="C3634" t="s">
        <v>40</v>
      </c>
      <c r="D3634">
        <v>5.0899839999999896</v>
      </c>
      <c r="E3634">
        <v>0.5500159</v>
      </c>
      <c r="F3634" t="s">
        <v>41</v>
      </c>
      <c r="G3634">
        <v>-460.03890000000001</v>
      </c>
      <c r="H3634">
        <v>1.044929</v>
      </c>
      <c r="I3634">
        <v>215.964</v>
      </c>
      <c r="J3634">
        <v>-460.56810000000002</v>
      </c>
      <c r="K3634">
        <v>1.1087419999999999</v>
      </c>
      <c r="L3634">
        <v>216.09180000000001</v>
      </c>
      <c r="M3634">
        <v>0.99998509999999996</v>
      </c>
      <c r="N3634">
        <v>0</v>
      </c>
      <c r="O3634">
        <v>-4.7139820000000002E-3</v>
      </c>
      <c r="P3634">
        <v>0.99802239999999998</v>
      </c>
      <c r="Q3634">
        <v>4.4666810000000001E-2</v>
      </c>
      <c r="R3634">
        <v>-4.4228789999999997E-2</v>
      </c>
      <c r="S3634">
        <v>2.9938660000000001</v>
      </c>
      <c r="T3634">
        <v>-0.25523960000000001</v>
      </c>
      <c r="U3634">
        <v>-0.51464840000000001</v>
      </c>
      <c r="V3634">
        <v>3.9510879999999998E-2</v>
      </c>
      <c r="W3634">
        <v>4.1910589999999998E-2</v>
      </c>
      <c r="X3634">
        <v>0.9983398</v>
      </c>
      <c r="Y3634">
        <v>0.16420650000000001</v>
      </c>
      <c r="Z3634">
        <v>-6.5381609999999998E-3</v>
      </c>
      <c r="AA3634">
        <v>0.98640430000000001</v>
      </c>
      <c r="AB3634">
        <v>21</v>
      </c>
      <c r="AC3634">
        <v>0.529200000000003</v>
      </c>
      <c r="AD3634">
        <v>-6.3813000000000106E-2</v>
      </c>
      <c r="AE3634">
        <v>-0.12779999999997901</v>
      </c>
      <c r="AF3634">
        <v>0.123605688195569</v>
      </c>
      <c r="AG3634">
        <v>-6.3813000000000106E-2</v>
      </c>
      <c r="AH3634">
        <v>0.52261624094197501</v>
      </c>
      <c r="AI3634">
        <v>96.776383714005803</v>
      </c>
      <c r="AJ3634">
        <v>76.693308941879494</v>
      </c>
      <c r="AK3634">
        <v>0.54081253722488698</v>
      </c>
      <c r="AL3634">
        <v>87.597996496375004</v>
      </c>
      <c r="AM3634">
        <v>87.733611501494806</v>
      </c>
      <c r="AN3634">
        <v>0.99999998172828097</v>
      </c>
    </row>
    <row r="3635" spans="1:40" x14ac:dyDescent="0.25">
      <c r="A3635" t="str">
        <f>"20190312154324709"</f>
        <v>20190312154324709</v>
      </c>
      <c r="B3635" t="str">
        <f>"1552376604701238"</f>
        <v>1552376604701238</v>
      </c>
      <c r="C3635" t="s">
        <v>40</v>
      </c>
      <c r="D3635">
        <v>5.0958649999999999</v>
      </c>
      <c r="E3635">
        <v>0.55032939999999997</v>
      </c>
      <c r="F3635" t="s">
        <v>41</v>
      </c>
      <c r="G3635">
        <v>-459.65300000000002</v>
      </c>
      <c r="H3635">
        <v>1.031342</v>
      </c>
      <c r="I3635">
        <v>215.93440000000001</v>
      </c>
      <c r="J3635">
        <v>-460.3639</v>
      </c>
      <c r="K3635">
        <v>1.1087129999999901</v>
      </c>
      <c r="L3635">
        <v>216.09119999999999</v>
      </c>
      <c r="M3635">
        <v>0.99998640000000005</v>
      </c>
      <c r="N3635">
        <v>0</v>
      </c>
      <c r="O3635">
        <v>-4.4555439999999997E-3</v>
      </c>
      <c r="P3635">
        <v>0.99811209999999995</v>
      </c>
      <c r="Q3635">
        <v>4.4482969999999997E-2</v>
      </c>
      <c r="R3635">
        <v>-4.2352710000000002E-2</v>
      </c>
      <c r="S3635">
        <v>2.9944760000000001</v>
      </c>
      <c r="T3635">
        <v>-0.25329849999999998</v>
      </c>
      <c r="U3635">
        <v>-0.51455689999999998</v>
      </c>
      <c r="V3635">
        <v>3.7894280000000002E-2</v>
      </c>
      <c r="W3635">
        <v>4.1758139999999999E-2</v>
      </c>
      <c r="X3635">
        <v>0.99840890000000004</v>
      </c>
      <c r="Y3635">
        <v>0.16440560000000001</v>
      </c>
      <c r="Z3635">
        <v>-6.5173369999999998E-3</v>
      </c>
      <c r="AA3635">
        <v>0.98637129999999995</v>
      </c>
      <c r="AB3635">
        <v>22</v>
      </c>
      <c r="AC3635">
        <v>0.71089999999997999</v>
      </c>
      <c r="AD3635">
        <v>-7.7370999999999801E-2</v>
      </c>
      <c r="AE3635">
        <v>-0.15679999999997499</v>
      </c>
      <c r="AF3635">
        <v>0.15191501493680401</v>
      </c>
      <c r="AG3635">
        <v>-7.7370999999999801E-2</v>
      </c>
      <c r="AH3635">
        <v>0.70364350198487002</v>
      </c>
      <c r="AI3635">
        <v>96.134671356446802</v>
      </c>
      <c r="AJ3635">
        <v>77.816966900808794</v>
      </c>
      <c r="AK3635">
        <v>0.72400181028073496</v>
      </c>
      <c r="AL3635">
        <v>87.606738995569302</v>
      </c>
      <c r="AM3635">
        <v>87.826400945243407</v>
      </c>
      <c r="AN3635">
        <v>1.0000000251560901</v>
      </c>
    </row>
    <row r="3636" spans="1:40" x14ac:dyDescent="0.25">
      <c r="A3636" t="str">
        <f>"20190312154324730"</f>
        <v>20190312154324730</v>
      </c>
      <c r="B3636" t="str">
        <f>"1552376604720758"</f>
        <v>1552376604720758</v>
      </c>
      <c r="C3636" t="s">
        <v>40</v>
      </c>
      <c r="D3636">
        <v>5.102074</v>
      </c>
      <c r="E3636">
        <v>0.52260450000000003</v>
      </c>
      <c r="F3636" t="s">
        <v>41</v>
      </c>
      <c r="G3636">
        <v>-459.45389999999998</v>
      </c>
      <c r="H3636">
        <v>1.031644</v>
      </c>
      <c r="I3636">
        <v>215.93520000000001</v>
      </c>
      <c r="J3636">
        <v>-460.15069999999997</v>
      </c>
      <c r="K3636">
        <v>1.1086879999999999</v>
      </c>
      <c r="L3636">
        <v>216.09049999999999</v>
      </c>
      <c r="M3636">
        <v>0.99998750000000003</v>
      </c>
      <c r="N3636">
        <v>0</v>
      </c>
      <c r="O3636">
        <v>-4.2220180000000001E-3</v>
      </c>
      <c r="P3636">
        <v>0.9982318</v>
      </c>
      <c r="Q3636">
        <v>4.3664500000000002E-2</v>
      </c>
      <c r="R3636">
        <v>-4.0333140000000003E-2</v>
      </c>
      <c r="S3636">
        <v>2.9952700000000001</v>
      </c>
      <c r="T3636">
        <v>-0.25385590000000002</v>
      </c>
      <c r="U3636">
        <v>-0.51156619999999997</v>
      </c>
      <c r="V3636">
        <v>3.6109059999999998E-2</v>
      </c>
      <c r="W3636">
        <v>4.0975839999999999E-2</v>
      </c>
      <c r="X3636">
        <v>0.99850740000000004</v>
      </c>
      <c r="Y3636">
        <v>0.16363510000000001</v>
      </c>
      <c r="Z3636">
        <v>-6.5177250000000003E-3</v>
      </c>
      <c r="AA3636">
        <v>0.98649940000000003</v>
      </c>
      <c r="AB3636">
        <v>22</v>
      </c>
      <c r="AC3636">
        <v>0.69679999999999598</v>
      </c>
      <c r="AD3636">
        <v>-7.7043999999999793E-2</v>
      </c>
      <c r="AE3636">
        <v>-0.15529999999998201</v>
      </c>
      <c r="AF3636">
        <v>0.15060266235132799</v>
      </c>
      <c r="AG3636">
        <v>-7.7043999999999793E-2</v>
      </c>
      <c r="AH3636">
        <v>0.689419927481846</v>
      </c>
      <c r="AI3636">
        <v>96.230721877311595</v>
      </c>
      <c r="AJ3636">
        <v>77.677406440279697</v>
      </c>
      <c r="AK3636">
        <v>0.709870957465075</v>
      </c>
      <c r="AL3636">
        <v>87.651599720893202</v>
      </c>
      <c r="AM3636">
        <v>87.928913125622501</v>
      </c>
      <c r="AN3636">
        <v>0.99999995576627299</v>
      </c>
    </row>
    <row r="3637" spans="1:40" x14ac:dyDescent="0.25">
      <c r="A3637" t="str">
        <f>"20190312154324752"</f>
        <v>20190312154324752</v>
      </c>
      <c r="B3637" t="str">
        <f>"1552376604741254"</f>
        <v>1552376604741254</v>
      </c>
      <c r="C3637" t="s">
        <v>40</v>
      </c>
      <c r="D3637">
        <v>5.0441859999999998</v>
      </c>
      <c r="E3637">
        <v>0.50898390000000004</v>
      </c>
      <c r="F3637" t="s">
        <v>41</v>
      </c>
      <c r="G3637">
        <v>-459.2448</v>
      </c>
      <c r="H3637">
        <v>1.0500700000000001</v>
      </c>
      <c r="I3637">
        <v>216.00370000000001</v>
      </c>
      <c r="J3637">
        <v>-459.92349999999999</v>
      </c>
      <c r="K3637">
        <v>1.1086739999999999</v>
      </c>
      <c r="L3637">
        <v>216.0898</v>
      </c>
      <c r="M3637">
        <v>0.99998849999999995</v>
      </c>
      <c r="N3637">
        <v>0</v>
      </c>
      <c r="O3637">
        <v>-4.0083979999999998E-3</v>
      </c>
      <c r="P3637">
        <v>0.99832290000000001</v>
      </c>
      <c r="Q3637">
        <v>4.283986E-2</v>
      </c>
      <c r="R3637">
        <v>-3.893812E-2</v>
      </c>
      <c r="S3637">
        <v>3.0022579999999999</v>
      </c>
      <c r="T3637">
        <v>-0.1943773</v>
      </c>
      <c r="U3637">
        <v>-0.28686519999999999</v>
      </c>
      <c r="V3637">
        <v>3.492874E-2</v>
      </c>
      <c r="W3637">
        <v>4.0193520000000003E-2</v>
      </c>
      <c r="X3637">
        <v>0.99858119999999995</v>
      </c>
      <c r="Y3637">
        <v>9.0945239999999997E-2</v>
      </c>
      <c r="Z3637">
        <v>-2.6756779999999999E-3</v>
      </c>
      <c r="AA3637">
        <v>0.99585230000000002</v>
      </c>
      <c r="AB3637">
        <v>22</v>
      </c>
      <c r="AC3637">
        <v>0.67869999999999198</v>
      </c>
      <c r="AD3637">
        <v>-5.8603999999999802E-2</v>
      </c>
      <c r="AE3637">
        <v>-8.6099999999987603E-2</v>
      </c>
      <c r="AF3637">
        <v>8.27714398855348E-2</v>
      </c>
      <c r="AG3637">
        <v>-5.8603999999999802E-2</v>
      </c>
      <c r="AH3637">
        <v>0.67409331808008199</v>
      </c>
      <c r="AI3637">
        <v>94.931804963914303</v>
      </c>
      <c r="AJ3637">
        <v>82.9997330700958</v>
      </c>
      <c r="AK3637">
        <v>0.68167979400664303</v>
      </c>
      <c r="AL3637">
        <v>87.696460361880796</v>
      </c>
      <c r="AM3637">
        <v>87.996703914324499</v>
      </c>
      <c r="AN3637">
        <v>0.99999997446070799</v>
      </c>
    </row>
    <row r="3638" spans="1:40" x14ac:dyDescent="0.25">
      <c r="A3638" t="str">
        <f>"20190312154324775"</f>
        <v>20190312154324775</v>
      </c>
      <c r="B3638" t="str">
        <f>"1552376604770535"</f>
        <v>1552376604770535</v>
      </c>
      <c r="C3638" t="s">
        <v>40</v>
      </c>
      <c r="D3638">
        <v>4.9850899999999996</v>
      </c>
      <c r="E3638">
        <v>0.50237710000000002</v>
      </c>
      <c r="F3638" t="s">
        <v>41</v>
      </c>
      <c r="G3638">
        <v>-459.03590000000003</v>
      </c>
      <c r="H3638">
        <v>1.0576479999999999</v>
      </c>
      <c r="I3638">
        <v>216.0377</v>
      </c>
      <c r="J3638">
        <v>-459.6979</v>
      </c>
      <c r="K3638">
        <v>1.1086549999999999</v>
      </c>
      <c r="L3638">
        <v>216.08920000000001</v>
      </c>
      <c r="M3638">
        <v>0.99998940000000003</v>
      </c>
      <c r="N3638">
        <v>0</v>
      </c>
      <c r="O3638">
        <v>-3.8239939999999998E-3</v>
      </c>
      <c r="P3638">
        <v>0.99840359999999995</v>
      </c>
      <c r="Q3638">
        <v>4.2173660000000002E-2</v>
      </c>
      <c r="R3638">
        <v>-3.7573950000000002E-2</v>
      </c>
      <c r="S3638">
        <v>3.005646</v>
      </c>
      <c r="T3638">
        <v>-0.17288519999999999</v>
      </c>
      <c r="U3638">
        <v>-0.1751404</v>
      </c>
      <c r="V3638">
        <v>3.3749420000000002E-2</v>
      </c>
      <c r="W3638">
        <v>3.9573169999999998E-2</v>
      </c>
      <c r="X3638">
        <v>0.99864660000000005</v>
      </c>
      <c r="Y3638">
        <v>5.4270739999999998E-2</v>
      </c>
      <c r="Z3638">
        <v>-1.3386400000000001E-3</v>
      </c>
      <c r="AA3638">
        <v>0.99852540000000001</v>
      </c>
      <c r="AB3638">
        <v>23</v>
      </c>
      <c r="AC3638">
        <v>0.66199999999997705</v>
      </c>
      <c r="AD3638">
        <v>-5.1006999999999997E-2</v>
      </c>
      <c r="AE3638">
        <v>-5.1500000000004299E-2</v>
      </c>
      <c r="AF3638">
        <v>4.86808669326926E-2</v>
      </c>
      <c r="AG3638">
        <v>-5.1006999999999997E-2</v>
      </c>
      <c r="AH3638">
        <v>0.65830744584324896</v>
      </c>
      <c r="AI3638">
        <v>94.418524838728601</v>
      </c>
      <c r="AJ3638">
        <v>85.770759243913304</v>
      </c>
      <c r="AK3638">
        <v>0.66207268038107503</v>
      </c>
      <c r="AL3638">
        <v>87.732032264095693</v>
      </c>
      <c r="AM3638">
        <v>88.064416718049699</v>
      </c>
      <c r="AN3638">
        <v>1.0000000454128699</v>
      </c>
    </row>
    <row r="3639" spans="1:40" x14ac:dyDescent="0.25">
      <c r="A3639" t="str">
        <f>"20190312154324797"</f>
        <v>20190312154324797</v>
      </c>
      <c r="B3639" t="str">
        <f>"1552376604791029"</f>
        <v>1552376604791029</v>
      </c>
      <c r="C3639" t="s">
        <v>40</v>
      </c>
      <c r="D3639">
        <v>4.997941</v>
      </c>
      <c r="E3639">
        <v>0.50054620000000005</v>
      </c>
      <c r="F3639" t="s">
        <v>51</v>
      </c>
      <c r="G3639">
        <v>-438.61450000000002</v>
      </c>
      <c r="H3639" s="1">
        <v>5.9813849999999998E-6</v>
      </c>
      <c r="I3639">
        <v>215.2543</v>
      </c>
      <c r="J3639">
        <v>-459.464</v>
      </c>
      <c r="K3639">
        <v>1.108644</v>
      </c>
      <c r="L3639">
        <v>216.08850000000001</v>
      </c>
      <c r="M3639">
        <v>0.99999000000000005</v>
      </c>
      <c r="N3639">
        <v>0</v>
      </c>
      <c r="O3639">
        <v>-3.6543790000000001E-3</v>
      </c>
      <c r="P3639">
        <v>0.99847140000000001</v>
      </c>
      <c r="Q3639">
        <v>4.1343379999999999E-2</v>
      </c>
      <c r="R3639">
        <v>-3.6681850000000002E-2</v>
      </c>
      <c r="S3639">
        <v>3.0069889999999999</v>
      </c>
      <c r="T3639">
        <v>-0.15811919999999999</v>
      </c>
      <c r="U3639">
        <v>-0.1190643</v>
      </c>
      <c r="V3639">
        <v>3.3027510000000003E-2</v>
      </c>
      <c r="W3639">
        <v>3.8794149999999999E-2</v>
      </c>
      <c r="X3639">
        <v>0.99870130000000001</v>
      </c>
      <c r="Y3639">
        <v>3.586864E-2</v>
      </c>
      <c r="Z3639">
        <v>-7.5008659999999995E-4</v>
      </c>
      <c r="AA3639">
        <v>0.99935620000000003</v>
      </c>
      <c r="AB3639">
        <v>23</v>
      </c>
      <c r="AC3639">
        <v>20.8494999999999</v>
      </c>
      <c r="AD3639">
        <v>-1.108638018615</v>
      </c>
      <c r="AE3639">
        <v>-0.83420000000000905</v>
      </c>
      <c r="AF3639">
        <v>0.75586847003601598</v>
      </c>
      <c r="AG3639">
        <v>-1.108638018615</v>
      </c>
      <c r="AH3639">
        <v>20.793710968543898</v>
      </c>
      <c r="AI3639">
        <v>93.0498830866878</v>
      </c>
      <c r="AJ3639">
        <v>87.918168004297698</v>
      </c>
      <c r="AK3639">
        <v>20.836958301145</v>
      </c>
      <c r="AL3639">
        <v>87.776701123998905</v>
      </c>
      <c r="AM3639">
        <v>88.105892594289998</v>
      </c>
      <c r="AN3639">
        <v>1.0000000445563499</v>
      </c>
    </row>
    <row r="3640" spans="1:40" x14ac:dyDescent="0.25">
      <c r="A3640" t="str">
        <f>"20190312154324820"</f>
        <v>20190312154324820</v>
      </c>
      <c r="B3640" t="str">
        <f>"1552376604810551"</f>
        <v>1552376604810551</v>
      </c>
      <c r="C3640" t="s">
        <v>40</v>
      </c>
      <c r="D3640">
        <v>4.9514670000000001</v>
      </c>
      <c r="E3640">
        <v>0.49972949999999999</v>
      </c>
      <c r="F3640" t="s">
        <v>51</v>
      </c>
      <c r="G3640">
        <v>-438.06380000000001</v>
      </c>
      <c r="H3640" s="1">
        <v>5.7278170000000003E-6</v>
      </c>
      <c r="I3640">
        <v>215.3612</v>
      </c>
      <c r="J3640">
        <v>-459.23270000000002</v>
      </c>
      <c r="K3640">
        <v>1.108633</v>
      </c>
      <c r="L3640">
        <v>216.08779999999999</v>
      </c>
      <c r="M3640">
        <v>0.99999079999999996</v>
      </c>
      <c r="N3640">
        <v>0</v>
      </c>
      <c r="O3640">
        <v>-3.4999160000000001E-3</v>
      </c>
      <c r="P3640">
        <v>0.99850859999999997</v>
      </c>
      <c r="Q3640">
        <v>4.037081E-2</v>
      </c>
      <c r="R3640">
        <v>-3.6756659999999997E-2</v>
      </c>
      <c r="S3640">
        <v>3.0073240000000001</v>
      </c>
      <c r="T3640">
        <v>-0.1557944</v>
      </c>
      <c r="U3640">
        <v>-0.1022034</v>
      </c>
      <c r="V3640">
        <v>3.3257059999999998E-2</v>
      </c>
      <c r="W3640">
        <v>3.7874999999999999E-2</v>
      </c>
      <c r="X3640">
        <v>0.99872890000000003</v>
      </c>
      <c r="Y3640">
        <v>3.0431030000000001E-2</v>
      </c>
      <c r="Z3640">
        <v>-6.0634730000000002E-4</v>
      </c>
      <c r="AA3640">
        <v>0.99953669999999994</v>
      </c>
      <c r="AB3640">
        <v>23</v>
      </c>
      <c r="AC3640">
        <v>21.168900000000001</v>
      </c>
      <c r="AD3640">
        <v>-1.1086272721829999</v>
      </c>
      <c r="AE3640">
        <v>-0.72659999999999003</v>
      </c>
      <c r="AF3640">
        <v>0.65072332689461498</v>
      </c>
      <c r="AG3640">
        <v>-1.1086272721829999</v>
      </c>
      <c r="AH3640">
        <v>21.1134741123095</v>
      </c>
      <c r="AI3640">
        <v>93.004305174400599</v>
      </c>
      <c r="AJ3640">
        <v>88.234686454340306</v>
      </c>
      <c r="AK3640">
        <v>21.152571578130999</v>
      </c>
      <c r="AL3640">
        <v>87.829403140897597</v>
      </c>
      <c r="AM3640">
        <v>88.092790400685601</v>
      </c>
      <c r="AN3640">
        <v>0.99999998168002602</v>
      </c>
    </row>
    <row r="3641" spans="1:40" x14ac:dyDescent="0.25">
      <c r="A3641" t="str">
        <f>"20190312154324843"</f>
        <v>20190312154324843</v>
      </c>
      <c r="B3641" t="str">
        <f>"1552376604831049"</f>
        <v>1552376604831049</v>
      </c>
      <c r="C3641" t="s">
        <v>40</v>
      </c>
      <c r="D3641">
        <v>4.9256849999999996</v>
      </c>
      <c r="E3641">
        <v>0.49904500000000002</v>
      </c>
      <c r="F3641" t="s">
        <v>51</v>
      </c>
      <c r="G3641">
        <v>-437.69400000000002</v>
      </c>
      <c r="H3641" s="1">
        <v>5.5602800000000002E-6</v>
      </c>
      <c r="I3641">
        <v>215.40209999999999</v>
      </c>
      <c r="J3641">
        <v>-458.99130000000002</v>
      </c>
      <c r="K3641">
        <v>1.1086290000000001</v>
      </c>
      <c r="L3641">
        <v>216.08709999999999</v>
      </c>
      <c r="M3641">
        <v>0.99999150000000003</v>
      </c>
      <c r="N3641">
        <v>0</v>
      </c>
      <c r="O3641">
        <v>-3.3458199999999998E-3</v>
      </c>
      <c r="P3641">
        <v>0.99855300000000002</v>
      </c>
      <c r="Q3641">
        <v>3.8731889999999998E-2</v>
      </c>
      <c r="R3641">
        <v>-3.7314359999999998E-2</v>
      </c>
      <c r="S3641">
        <v>3.0071409999999998</v>
      </c>
      <c r="T3641">
        <v>-0.1547819</v>
      </c>
      <c r="U3641">
        <v>-9.5733639999999995E-2</v>
      </c>
      <c r="V3641">
        <v>3.3968579999999998E-2</v>
      </c>
      <c r="W3641">
        <v>3.6293939999999997E-2</v>
      </c>
      <c r="X3641">
        <v>0.99876370000000003</v>
      </c>
      <c r="Y3641">
        <v>2.844182E-2</v>
      </c>
      <c r="Z3641">
        <v>-5.5924709999999995E-4</v>
      </c>
      <c r="AA3641">
        <v>0.99959529999999996</v>
      </c>
      <c r="AB3641">
        <v>23</v>
      </c>
      <c r="AC3641">
        <v>21.2973</v>
      </c>
      <c r="AD3641">
        <v>-1.1086234397200001</v>
      </c>
      <c r="AE3641">
        <v>-0.68500000000000205</v>
      </c>
      <c r="AF3641">
        <v>0.61208218999813702</v>
      </c>
      <c r="AG3641">
        <v>-1.1086234397200001</v>
      </c>
      <c r="AH3641">
        <v>21.241973085890901</v>
      </c>
      <c r="AI3641">
        <v>92.986332028722401</v>
      </c>
      <c r="AJ3641">
        <v>88.349493011829793</v>
      </c>
      <c r="AK3641">
        <v>21.279687758990299</v>
      </c>
      <c r="AL3641">
        <v>87.920053655314803</v>
      </c>
      <c r="AM3641">
        <v>88.052085429088095</v>
      </c>
      <c r="AN3641">
        <v>1.00000002147281</v>
      </c>
    </row>
    <row r="3642" spans="1:40" x14ac:dyDescent="0.25">
      <c r="A3642" t="str">
        <f>"20190312154324868"</f>
        <v>20190312154324868</v>
      </c>
      <c r="B3642" t="str">
        <f>"1552376604861302"</f>
        <v>1552376604861302</v>
      </c>
      <c r="C3642" t="s">
        <v>40</v>
      </c>
      <c r="D3642">
        <v>4.8879029999999997</v>
      </c>
      <c r="E3642">
        <v>0.49872339999999998</v>
      </c>
      <c r="F3642" t="s">
        <v>51</v>
      </c>
      <c r="G3642">
        <v>-438.27710000000002</v>
      </c>
      <c r="H3642" s="1">
        <v>5.8143700000000002E-6</v>
      </c>
      <c r="I3642">
        <v>215.45310000000001</v>
      </c>
      <c r="J3642">
        <v>-458.73009999999999</v>
      </c>
      <c r="K3642">
        <v>1.1086180000000001</v>
      </c>
      <c r="L3642">
        <v>216.0864</v>
      </c>
      <c r="M3642">
        <v>0.9999922</v>
      </c>
      <c r="N3642">
        <v>0</v>
      </c>
      <c r="O3642">
        <v>-3.181952E-3</v>
      </c>
      <c r="P3642">
        <v>0.99856210000000001</v>
      </c>
      <c r="Q3642">
        <v>3.7551170000000002E-2</v>
      </c>
      <c r="R3642">
        <v>-3.8261660000000003E-2</v>
      </c>
      <c r="S3642">
        <v>3.0071720000000002</v>
      </c>
      <c r="T3642">
        <v>-0.16094349999999999</v>
      </c>
      <c r="U3642">
        <v>-9.2041020000000001E-2</v>
      </c>
      <c r="V3642">
        <v>3.5079560000000003E-2</v>
      </c>
      <c r="W3642">
        <v>3.5179340000000003E-2</v>
      </c>
      <c r="X3642">
        <v>0.99876520000000002</v>
      </c>
      <c r="Y3642">
        <v>2.7377619999999998E-2</v>
      </c>
      <c r="Z3642">
        <v>-5.6179449999999996E-4</v>
      </c>
      <c r="AA3642">
        <v>0.99962499999999999</v>
      </c>
      <c r="AB3642">
        <v>23</v>
      </c>
      <c r="AC3642">
        <v>20.4529999999999</v>
      </c>
      <c r="AD3642">
        <v>-1.10861218563</v>
      </c>
      <c r="AE3642">
        <v>-0.63329999999999098</v>
      </c>
      <c r="AF3642">
        <v>0.56655323747381103</v>
      </c>
      <c r="AG3642">
        <v>-1.10861218563</v>
      </c>
      <c r="AH3642">
        <v>20.395049233029201</v>
      </c>
      <c r="AI3642">
        <v>93.110163092317407</v>
      </c>
      <c r="AJ3642">
        <v>88.408792099059298</v>
      </c>
      <c r="AK3642">
        <v>20.433013403967198</v>
      </c>
      <c r="AL3642">
        <v>87.983956395093699</v>
      </c>
      <c r="AM3642">
        <v>87.988431257361</v>
      </c>
      <c r="AN3642">
        <v>1.0000000431118301</v>
      </c>
    </row>
    <row r="3643" spans="1:40" x14ac:dyDescent="0.25">
      <c r="A3643" t="str">
        <f>"20190312154324889"</f>
        <v>20190312154324889</v>
      </c>
      <c r="B3643" t="str">
        <f>"1552376604880822"</f>
        <v>1552376604880822</v>
      </c>
      <c r="C3643" t="s">
        <v>40</v>
      </c>
      <c r="D3643">
        <v>4.857831</v>
      </c>
      <c r="E3643">
        <v>0.49857970000000001</v>
      </c>
      <c r="F3643" t="s">
        <v>51</v>
      </c>
      <c r="G3643">
        <v>-437.596</v>
      </c>
      <c r="H3643" s="1">
        <v>5.5140869999999997E-6</v>
      </c>
      <c r="I3643">
        <v>215.4332</v>
      </c>
      <c r="J3643">
        <v>-458.49799999999999</v>
      </c>
      <c r="K3643">
        <v>1.1086259999999999</v>
      </c>
      <c r="L3643">
        <v>216.08580000000001</v>
      </c>
      <c r="M3643">
        <v>0.99999269999999996</v>
      </c>
      <c r="N3643">
        <v>0</v>
      </c>
      <c r="O3643">
        <v>-3.0360999999999999E-3</v>
      </c>
      <c r="P3643">
        <v>0.99853179999999997</v>
      </c>
      <c r="Q3643">
        <v>3.7155559999999997E-2</v>
      </c>
      <c r="R3643">
        <v>-3.9414690000000002E-2</v>
      </c>
      <c r="S3643">
        <v>3.0067140000000001</v>
      </c>
      <c r="T3643">
        <v>-0.15772059999999999</v>
      </c>
      <c r="U3643">
        <v>-9.2926030000000007E-2</v>
      </c>
      <c r="V3643">
        <v>3.6378090000000002E-2</v>
      </c>
      <c r="W3643">
        <v>3.4845279999999999E-2</v>
      </c>
      <c r="X3643">
        <v>0.99873040000000002</v>
      </c>
      <c r="Y3643">
        <v>2.782258E-2</v>
      </c>
      <c r="Z3643">
        <v>-5.6994439999999999E-4</v>
      </c>
      <c r="AA3643">
        <v>0.99961270000000002</v>
      </c>
      <c r="AB3643">
        <v>24</v>
      </c>
      <c r="AC3643">
        <v>20.902000000000001</v>
      </c>
      <c r="AD3643">
        <v>-1.108620485913</v>
      </c>
      <c r="AE3643">
        <v>-0.65260000000000595</v>
      </c>
      <c r="AF3643">
        <v>0.587485195261223</v>
      </c>
      <c r="AG3643">
        <v>-1.108620485913</v>
      </c>
      <c r="AH3643">
        <v>20.845301549684901</v>
      </c>
      <c r="AI3643">
        <v>93.043100569709793</v>
      </c>
      <c r="AJ3643">
        <v>88.3856547065608</v>
      </c>
      <c r="AK3643">
        <v>20.8830260004084</v>
      </c>
      <c r="AL3643">
        <v>88.003108249658894</v>
      </c>
      <c r="AM3643">
        <v>87.913961582940701</v>
      </c>
      <c r="AN3643">
        <v>0.999999985427243</v>
      </c>
    </row>
    <row r="3644" spans="1:40" x14ac:dyDescent="0.25">
      <c r="A3644" t="str">
        <f>"20190312154324908"</f>
        <v>20190312154324908</v>
      </c>
      <c r="B3644" t="str">
        <f>"1552376604901318"</f>
        <v>1552376604901318</v>
      </c>
      <c r="C3644" t="s">
        <v>40</v>
      </c>
      <c r="D3644">
        <v>4.8487519999999904</v>
      </c>
      <c r="E3644">
        <v>0.49854660000000001</v>
      </c>
      <c r="F3644" t="s">
        <v>41</v>
      </c>
      <c r="G3644">
        <v>-457.54820000000001</v>
      </c>
      <c r="H3644">
        <v>1.0597160000000001</v>
      </c>
      <c r="I3644">
        <v>216.05529999999999</v>
      </c>
      <c r="J3644">
        <v>-458.28930000000003</v>
      </c>
      <c r="K3644">
        <v>1.108638</v>
      </c>
      <c r="L3644">
        <v>216.08529999999999</v>
      </c>
      <c r="M3644">
        <v>0.99999340000000003</v>
      </c>
      <c r="N3644">
        <v>0</v>
      </c>
      <c r="O3644">
        <v>-2.903845E-3</v>
      </c>
      <c r="P3644">
        <v>0.99844659999999996</v>
      </c>
      <c r="Q3644">
        <v>3.7875449999999998E-2</v>
      </c>
      <c r="R3644">
        <v>-4.087176E-2</v>
      </c>
      <c r="S3644">
        <v>3.0064090000000001</v>
      </c>
      <c r="T3644">
        <v>-0.15485929999999901</v>
      </c>
      <c r="U3644">
        <v>-9.5642089999999999E-2</v>
      </c>
      <c r="V3644">
        <v>3.796658E-2</v>
      </c>
      <c r="W3644">
        <v>3.5622040000000001E-2</v>
      </c>
      <c r="X3644">
        <v>0.99864390000000003</v>
      </c>
      <c r="Y3644">
        <v>2.8859760000000002E-2</v>
      </c>
      <c r="Z3644">
        <v>-5.9316149999999999E-4</v>
      </c>
      <c r="AA3644">
        <v>0.99958329999999995</v>
      </c>
      <c r="AB3644">
        <v>24</v>
      </c>
      <c r="AC3644">
        <v>0.74110000000001697</v>
      </c>
      <c r="AD3644">
        <v>-4.8922000000000097E-2</v>
      </c>
      <c r="AE3644">
        <v>-3.0000000000001099E-2</v>
      </c>
      <c r="AF3644">
        <v>2.7727200411601701E-2</v>
      </c>
      <c r="AG3644">
        <v>-4.8922000000000097E-2</v>
      </c>
      <c r="AH3644">
        <v>0.73797340416954504</v>
      </c>
      <c r="AI3644">
        <v>93.790056723926796</v>
      </c>
      <c r="AJ3644">
        <v>87.8482901434014</v>
      </c>
      <c r="AK3644">
        <v>0.74011276504884904</v>
      </c>
      <c r="AL3644">
        <v>87.958575588238403</v>
      </c>
      <c r="AM3644">
        <v>87.822769809666099</v>
      </c>
      <c r="AN3644">
        <v>1.0000000149689301</v>
      </c>
    </row>
    <row r="3645" spans="1:40" x14ac:dyDescent="0.25">
      <c r="A3645" t="str">
        <f>"20190312154324931"</f>
        <v>20190312154324931</v>
      </c>
      <c r="B3645" t="str">
        <f>"1552376604920840"</f>
        <v>1552376604920840</v>
      </c>
      <c r="C3645" t="s">
        <v>40</v>
      </c>
      <c r="D3645">
        <v>4.8246279999999997</v>
      </c>
      <c r="E3645">
        <v>0.49818580000000001</v>
      </c>
      <c r="F3645" t="s">
        <v>51</v>
      </c>
      <c r="G3645">
        <v>-435.84010000000001</v>
      </c>
      <c r="H3645" s="1">
        <v>4.7436319999999998E-6</v>
      </c>
      <c r="I3645">
        <v>215.3389</v>
      </c>
      <c r="J3645">
        <v>-458.0308</v>
      </c>
      <c r="K3645">
        <v>1.1086510000000001</v>
      </c>
      <c r="L3645">
        <v>216.0847</v>
      </c>
      <c r="M3645">
        <v>0.99999389999999999</v>
      </c>
      <c r="N3645">
        <v>0</v>
      </c>
      <c r="O3645">
        <v>-2.7380820000000002E-3</v>
      </c>
      <c r="P3645">
        <v>0.99841519999999995</v>
      </c>
      <c r="Q3645">
        <v>3.84853E-2</v>
      </c>
      <c r="R3645">
        <v>-4.1062399999999999E-2</v>
      </c>
      <c r="S3645">
        <v>3.006195</v>
      </c>
      <c r="T3645">
        <v>-0.14845799999999901</v>
      </c>
      <c r="U3645">
        <v>-9.9945069999999997E-2</v>
      </c>
      <c r="V3645">
        <v>3.8322269999999999E-2</v>
      </c>
      <c r="W3645">
        <v>3.6303000000000002E-2</v>
      </c>
      <c r="X3645">
        <v>0.99860579999999999</v>
      </c>
      <c r="Y3645">
        <v>3.045757E-2</v>
      </c>
      <c r="Z3645">
        <v>-6.1629679999999996E-4</v>
      </c>
      <c r="AA3645">
        <v>0.99953590000000003</v>
      </c>
      <c r="AB3645">
        <v>24</v>
      </c>
      <c r="AC3645">
        <v>22.1907</v>
      </c>
      <c r="AD3645">
        <v>-1.108646256368</v>
      </c>
      <c r="AE3645">
        <v>-0.74580000000000202</v>
      </c>
      <c r="AF3645">
        <v>0.68333343167099303</v>
      </c>
      <c r="AG3645">
        <v>-1.108646256368</v>
      </c>
      <c r="AH3645">
        <v>22.137466185648901</v>
      </c>
      <c r="AI3645">
        <v>92.865619869352599</v>
      </c>
      <c r="AJ3645">
        <v>88.231970475998907</v>
      </c>
      <c r="AK3645">
        <v>22.1757401279269</v>
      </c>
      <c r="AL3645">
        <v>87.919534218487698</v>
      </c>
      <c r="AM3645">
        <v>87.802308566064994</v>
      </c>
      <c r="AN3645">
        <v>1.00000002399029</v>
      </c>
    </row>
    <row r="3646" spans="1:40" x14ac:dyDescent="0.25">
      <c r="A3646" t="str">
        <f>"20190312154324953"</f>
        <v>20190312154324953</v>
      </c>
      <c r="B3646" t="str">
        <f>"1552376604941333"</f>
        <v>1552376604941333</v>
      </c>
      <c r="C3646" t="s">
        <v>40</v>
      </c>
      <c r="D3646">
        <v>4.8031860000000002</v>
      </c>
      <c r="E3646">
        <v>0.49786619999999998</v>
      </c>
      <c r="F3646" t="s">
        <v>51</v>
      </c>
      <c r="G3646">
        <v>-435.09269999999998</v>
      </c>
      <c r="H3646" s="1">
        <v>4.4118839999999996E-6</v>
      </c>
      <c r="I3646">
        <v>215.34280000000001</v>
      </c>
      <c r="J3646">
        <v>-457.78840000000002</v>
      </c>
      <c r="K3646">
        <v>1.1086659999999999</v>
      </c>
      <c r="L3646">
        <v>216.08420000000001</v>
      </c>
      <c r="M3646">
        <v>0.99999450000000001</v>
      </c>
      <c r="N3646">
        <v>0</v>
      </c>
      <c r="O3646">
        <v>-2.5816200000000002E-3</v>
      </c>
      <c r="P3646">
        <v>0.99840899999999999</v>
      </c>
      <c r="Q3646">
        <v>3.9294299999999997E-2</v>
      </c>
      <c r="R3646">
        <v>-4.0443100000000003E-2</v>
      </c>
      <c r="S3646">
        <v>3.0063780000000002</v>
      </c>
      <c r="T3646">
        <v>-0.14530489999999999</v>
      </c>
      <c r="U3646">
        <v>-9.7228999999999996E-2</v>
      </c>
      <c r="V3646">
        <v>3.7858410000000002E-2</v>
      </c>
      <c r="W3646">
        <v>3.718026E-2</v>
      </c>
      <c r="X3646">
        <v>0.99859120000000001</v>
      </c>
      <c r="Y3646">
        <v>2.9711990000000001E-2</v>
      </c>
      <c r="Z3646">
        <v>-5.9274830000000003E-4</v>
      </c>
      <c r="AA3646">
        <v>0.99955830000000001</v>
      </c>
      <c r="AB3646">
        <v>25</v>
      </c>
      <c r="AC3646">
        <v>22.695699999999999</v>
      </c>
      <c r="AD3646">
        <v>-1.108661588116</v>
      </c>
      <c r="AE3646">
        <v>-0.74139999999999795</v>
      </c>
      <c r="AF3646">
        <v>0.68118201057281702</v>
      </c>
      <c r="AG3646">
        <v>-1.108661588116</v>
      </c>
      <c r="AH3646">
        <v>22.643563416284799</v>
      </c>
      <c r="AI3646">
        <v>92.801780290240202</v>
      </c>
      <c r="AJ3646">
        <v>88.276901626634299</v>
      </c>
      <c r="AK3646">
        <v>22.680919373689498</v>
      </c>
      <c r="AL3646">
        <v>87.869236927298104</v>
      </c>
      <c r="AM3646">
        <v>87.828852513262404</v>
      </c>
      <c r="AN3646">
        <v>1.00000000782941</v>
      </c>
    </row>
    <row r="3647" spans="1:40" x14ac:dyDescent="0.25">
      <c r="A3647" t="str">
        <f>"20190312154324976"</f>
        <v>20190312154324976</v>
      </c>
      <c r="B3647" t="str">
        <f>"1552376604970615"</f>
        <v>1552376604970615</v>
      </c>
      <c r="C3647" t="s">
        <v>40</v>
      </c>
      <c r="D3647">
        <v>4.8152540000000004</v>
      </c>
      <c r="E3647">
        <v>0.49741869999999999</v>
      </c>
      <c r="F3647" t="s">
        <v>51</v>
      </c>
      <c r="G3647">
        <v>-434.23309999999998</v>
      </c>
      <c r="H3647" s="1">
        <v>4.0295610000000003E-6</v>
      </c>
      <c r="I3647">
        <v>215.35579999999999</v>
      </c>
      <c r="J3647">
        <v>-457.53960000000001</v>
      </c>
      <c r="K3647">
        <v>1.1086750000000001</v>
      </c>
      <c r="L3647">
        <v>216.08369999999999</v>
      </c>
      <c r="M3647">
        <v>0.99999510000000003</v>
      </c>
      <c r="N3647">
        <v>0</v>
      </c>
      <c r="O3647">
        <v>-2.4202659999999999E-3</v>
      </c>
      <c r="P3647">
        <v>0.99838789999999999</v>
      </c>
      <c r="Q3647">
        <v>4.0505600000000003E-2</v>
      </c>
      <c r="R3647">
        <v>-3.9763819999999998E-2</v>
      </c>
      <c r="S3647">
        <v>3.006561</v>
      </c>
      <c r="T3647">
        <v>-0.141508299999999</v>
      </c>
      <c r="U3647">
        <v>-9.2971799999999993E-2</v>
      </c>
      <c r="V3647">
        <v>3.733943E-2</v>
      </c>
      <c r="W3647">
        <v>3.8462990000000002E-2</v>
      </c>
      <c r="X3647">
        <v>0.99856219999999996</v>
      </c>
      <c r="Y3647">
        <v>2.8460200000000001E-2</v>
      </c>
      <c r="Z3647">
        <v>-5.5540839999999999E-4</v>
      </c>
      <c r="AA3647">
        <v>0.99959469999999995</v>
      </c>
      <c r="AB3647">
        <v>25</v>
      </c>
      <c r="AC3647">
        <v>23.3065</v>
      </c>
      <c r="AD3647">
        <v>-1.1086709704389901</v>
      </c>
      <c r="AE3647">
        <v>-0.72790000000000499</v>
      </c>
      <c r="AF3647">
        <v>0.66997526698018794</v>
      </c>
      <c r="AG3647">
        <v>-1.1086709704389901</v>
      </c>
      <c r="AH3647">
        <v>23.2556212998558</v>
      </c>
      <c r="AI3647">
        <v>92.728279089680797</v>
      </c>
      <c r="AJ3647">
        <v>88.349812286963697</v>
      </c>
      <c r="AK3647">
        <v>23.2916710482817</v>
      </c>
      <c r="AL3647">
        <v>87.795689379782004</v>
      </c>
      <c r="AM3647">
        <v>87.858525539400304</v>
      </c>
      <c r="AN3647">
        <v>1.0000000509506499</v>
      </c>
    </row>
    <row r="3648" spans="1:40" x14ac:dyDescent="0.25">
      <c r="A3648" t="str">
        <f>"20190312154324997"</f>
        <v>20190312154324997</v>
      </c>
      <c r="B3648" t="str">
        <f>"1552376604991110"</f>
        <v>1552376604991110</v>
      </c>
      <c r="C3648" t="s">
        <v>40</v>
      </c>
      <c r="D3648">
        <v>4.7708870000000001</v>
      </c>
      <c r="E3648">
        <v>0.49724699999999999</v>
      </c>
      <c r="F3648" t="s">
        <v>51</v>
      </c>
      <c r="G3648">
        <v>-433.32400000000001</v>
      </c>
      <c r="H3648" s="1">
        <v>3.6240860000000002E-6</v>
      </c>
      <c r="I3648">
        <v>215.38220000000001</v>
      </c>
      <c r="J3648">
        <v>-457.2867</v>
      </c>
      <c r="K3648">
        <v>1.1086830000000001</v>
      </c>
      <c r="L3648">
        <v>216.08330000000001</v>
      </c>
      <c r="M3648">
        <v>0.99999550000000004</v>
      </c>
      <c r="N3648">
        <v>0</v>
      </c>
      <c r="O3648">
        <v>-2.2561679999999998E-3</v>
      </c>
      <c r="P3648">
        <v>0.9983805</v>
      </c>
      <c r="Q3648">
        <v>4.1756439999999999E-2</v>
      </c>
      <c r="R3648">
        <v>-3.8631980000000003E-2</v>
      </c>
      <c r="S3648">
        <v>3.006958</v>
      </c>
      <c r="T3648">
        <v>-0.1376684</v>
      </c>
      <c r="U3648">
        <v>-8.7112430000000005E-2</v>
      </c>
      <c r="V3648">
        <v>3.6370859999999998E-2</v>
      </c>
      <c r="W3648">
        <v>3.9787110000000001E-2</v>
      </c>
      <c r="X3648">
        <v>0.99854600000000004</v>
      </c>
      <c r="Y3648">
        <v>2.6677280000000001E-2</v>
      </c>
      <c r="Z3648">
        <v>-5.0702059999999897E-4</v>
      </c>
      <c r="AA3648">
        <v>0.99964399999999998</v>
      </c>
      <c r="AB3648">
        <v>25</v>
      </c>
      <c r="AC3648">
        <v>23.962699999999899</v>
      </c>
      <c r="AD3648">
        <v>-1.1086793759139999</v>
      </c>
      <c r="AE3648">
        <v>-0.70109999999999595</v>
      </c>
      <c r="AF3648">
        <v>0.64565331394928704</v>
      </c>
      <c r="AG3648">
        <v>-1.1086793759139999</v>
      </c>
      <c r="AH3648">
        <v>23.913075686151</v>
      </c>
      <c r="AI3648">
        <v>92.653531582662794</v>
      </c>
      <c r="AJ3648">
        <v>88.453389058952794</v>
      </c>
      <c r="AK3648">
        <v>23.947468069338299</v>
      </c>
      <c r="AL3648">
        <v>87.719764603610798</v>
      </c>
      <c r="AM3648">
        <v>87.913990999687698</v>
      </c>
      <c r="AN3648">
        <v>0.99999998384764499</v>
      </c>
    </row>
    <row r="3649" spans="1:40" x14ac:dyDescent="0.25">
      <c r="A3649" t="str">
        <f>"20190312154325020"</f>
        <v>20190312154325020</v>
      </c>
      <c r="B3649" t="str">
        <f>"1552376605010629"</f>
        <v>1552376605010629</v>
      </c>
      <c r="C3649" t="s">
        <v>40</v>
      </c>
      <c r="D3649">
        <v>4.7646790000000001</v>
      </c>
      <c r="E3649">
        <v>0.4972818</v>
      </c>
      <c r="F3649" t="s">
        <v>51</v>
      </c>
      <c r="G3649">
        <v>-432.11470000000003</v>
      </c>
      <c r="H3649" s="1">
        <v>3.0867099999999999E-6</v>
      </c>
      <c r="I3649">
        <v>215.39500000000001</v>
      </c>
      <c r="J3649">
        <v>-457.0258</v>
      </c>
      <c r="K3649">
        <v>1.1087009999999999</v>
      </c>
      <c r="L3649">
        <v>216.0829</v>
      </c>
      <c r="M3649">
        <v>0.99999610000000005</v>
      </c>
      <c r="N3649">
        <v>0</v>
      </c>
      <c r="O3649">
        <v>-2.0874159999999999E-3</v>
      </c>
      <c r="P3649">
        <v>0.99839199999999995</v>
      </c>
      <c r="Q3649">
        <v>4.2889070000000001E-2</v>
      </c>
      <c r="R3649">
        <v>-3.7068799999999999E-2</v>
      </c>
      <c r="S3649">
        <v>3.007263</v>
      </c>
      <c r="T3649">
        <v>-0.1324524</v>
      </c>
      <c r="U3649">
        <v>-8.2229609999999995E-2</v>
      </c>
      <c r="V3649">
        <v>3.4975039999999999E-2</v>
      </c>
      <c r="W3649">
        <v>4.09968E-2</v>
      </c>
      <c r="X3649">
        <v>0.99854699999999996</v>
      </c>
      <c r="Y3649">
        <v>2.5224340000000001E-2</v>
      </c>
      <c r="Z3649">
        <v>-4.632436E-4</v>
      </c>
      <c r="AA3649">
        <v>0.99968170000000001</v>
      </c>
      <c r="AB3649">
        <v>25</v>
      </c>
      <c r="AC3649">
        <v>24.911099999999902</v>
      </c>
      <c r="AD3649">
        <v>-1.1086979132899999</v>
      </c>
      <c r="AE3649">
        <v>-0.68789999999998397</v>
      </c>
      <c r="AF3649">
        <v>0.63464244112095103</v>
      </c>
      <c r="AG3649">
        <v>-1.1086979132899999</v>
      </c>
      <c r="AH3649">
        <v>24.8632700212559</v>
      </c>
      <c r="AI3649">
        <v>92.552400153556306</v>
      </c>
      <c r="AJ3649">
        <v>88.537825505355002</v>
      </c>
      <c r="AK3649">
        <v>24.8960675256332</v>
      </c>
      <c r="AL3649">
        <v>87.650398015500897</v>
      </c>
      <c r="AM3649">
        <v>87.993981954032293</v>
      </c>
      <c r="AN3649">
        <v>1.00000005112111</v>
      </c>
    </row>
    <row r="3650" spans="1:40" x14ac:dyDescent="0.25">
      <c r="A3650" t="str">
        <f>"20190312154325044"</f>
        <v>20190312154325044</v>
      </c>
      <c r="B3650" t="str">
        <f>"1552376605031126"</f>
        <v>1552376605031126</v>
      </c>
      <c r="C3650" t="s">
        <v>40</v>
      </c>
      <c r="D3650">
        <v>4.7593819999999996</v>
      </c>
      <c r="E3650">
        <v>0.497201</v>
      </c>
      <c r="F3650" t="s">
        <v>51</v>
      </c>
      <c r="G3650">
        <v>-430.19459999999998</v>
      </c>
      <c r="H3650" s="1">
        <v>2.2356459999999998E-6</v>
      </c>
      <c r="I3650">
        <v>215.3903</v>
      </c>
      <c r="J3650">
        <v>-456.75319999999999</v>
      </c>
      <c r="K3650">
        <v>1.108716</v>
      </c>
      <c r="L3650">
        <v>216.08250000000001</v>
      </c>
      <c r="M3650">
        <v>0.99999649999999995</v>
      </c>
      <c r="N3650">
        <v>0</v>
      </c>
      <c r="O3650">
        <v>-1.912698E-3</v>
      </c>
      <c r="P3650">
        <v>0.99840019999999996</v>
      </c>
      <c r="Q3650">
        <v>4.3730930000000001E-2</v>
      </c>
      <c r="R3650">
        <v>-3.5844340000000002E-2</v>
      </c>
      <c r="S3650">
        <v>3.0072939999999999</v>
      </c>
      <c r="T3650">
        <v>-0.1242656</v>
      </c>
      <c r="U3650">
        <v>-7.7621460000000003E-2</v>
      </c>
      <c r="V3650">
        <v>3.3924719999999998E-2</v>
      </c>
      <c r="W3650">
        <v>4.1920119999999998E-2</v>
      </c>
      <c r="X3650">
        <v>0.99854489999999996</v>
      </c>
      <c r="Y3650">
        <v>2.387164E-2</v>
      </c>
      <c r="Z3650">
        <v>-4.1392410000000001E-4</v>
      </c>
      <c r="AA3650">
        <v>0.99971500000000002</v>
      </c>
      <c r="AB3650">
        <v>25</v>
      </c>
      <c r="AC3650">
        <v>26.558599999999998</v>
      </c>
      <c r="AD3650">
        <v>-1.1087137643539999</v>
      </c>
      <c r="AE3650">
        <v>-0.69220000000001303</v>
      </c>
      <c r="AF3650">
        <v>0.64028498552094504</v>
      </c>
      <c r="AG3650">
        <v>-1.1087137643539999</v>
      </c>
      <c r="AH3650">
        <v>26.5137007032368</v>
      </c>
      <c r="AI3650">
        <v>92.393824573131397</v>
      </c>
      <c r="AJ3650">
        <v>88.616620940056507</v>
      </c>
      <c r="AK3650">
        <v>26.544595232453101</v>
      </c>
      <c r="AL3650">
        <v>87.597450151903004</v>
      </c>
      <c r="AM3650">
        <v>88.054172682873499</v>
      </c>
      <c r="AN3650">
        <v>1.0000000502019499</v>
      </c>
    </row>
    <row r="3651" spans="1:40" x14ac:dyDescent="0.25">
      <c r="A3651" t="str">
        <f>"20190312154325067"</f>
        <v>20190312154325067</v>
      </c>
      <c r="B3651" t="str">
        <f>"1552376605061382"</f>
        <v>1552376605061382</v>
      </c>
      <c r="C3651" t="s">
        <v>40</v>
      </c>
      <c r="D3651">
        <v>4.7064529999999998</v>
      </c>
      <c r="E3651">
        <v>0.49712859999999998</v>
      </c>
      <c r="F3651" t="s">
        <v>51</v>
      </c>
      <c r="G3651">
        <v>-428.3544</v>
      </c>
      <c r="H3651" s="1">
        <v>2.415187E-6</v>
      </c>
      <c r="I3651">
        <v>215.38820000000001</v>
      </c>
      <c r="J3651">
        <v>-456.49549999999999</v>
      </c>
      <c r="K3651">
        <v>1.1087309999999999</v>
      </c>
      <c r="L3651">
        <v>216.0822</v>
      </c>
      <c r="M3651">
        <v>0.99999709999999997</v>
      </c>
      <c r="N3651">
        <v>0</v>
      </c>
      <c r="O3651">
        <v>-1.7509750000000001E-3</v>
      </c>
      <c r="P3651">
        <v>0.99837549999999997</v>
      </c>
      <c r="Q3651">
        <v>4.5100469999999997E-2</v>
      </c>
      <c r="R3651">
        <v>-3.4821249999999998E-2</v>
      </c>
      <c r="S3651">
        <v>3.0073240000000001</v>
      </c>
      <c r="T3651">
        <v>-0.117408399999999</v>
      </c>
      <c r="U3651">
        <v>-7.3516849999999995E-2</v>
      </c>
      <c r="V3651">
        <v>3.3062590000000003E-2</v>
      </c>
      <c r="W3651">
        <v>4.3367910000000003E-2</v>
      </c>
      <c r="X3651">
        <v>0.99851190000000001</v>
      </c>
      <c r="Y3651">
        <v>2.2672210000000002E-2</v>
      </c>
      <c r="Z3651">
        <v>-3.7401349999999998E-4</v>
      </c>
      <c r="AA3651">
        <v>0.99974289999999999</v>
      </c>
      <c r="AB3651">
        <v>26</v>
      </c>
      <c r="AC3651">
        <v>28.141099999999899</v>
      </c>
      <c r="AD3651">
        <v>-1.108728584813</v>
      </c>
      <c r="AE3651">
        <v>-0.69399999999998796</v>
      </c>
      <c r="AF3651">
        <v>0.64372587468393305</v>
      </c>
      <c r="AG3651">
        <v>-1.108728584813</v>
      </c>
      <c r="AH3651">
        <v>28.0986817004264</v>
      </c>
      <c r="AI3651">
        <v>92.2590345341751</v>
      </c>
      <c r="AJ3651">
        <v>88.687613687996802</v>
      </c>
      <c r="AK3651">
        <v>28.127914522381399</v>
      </c>
      <c r="AL3651">
        <v>87.514422146058394</v>
      </c>
      <c r="AM3651">
        <v>88.103522848310206</v>
      </c>
      <c r="AN3651">
        <v>0.99999996245844203</v>
      </c>
    </row>
    <row r="3652" spans="1:40" x14ac:dyDescent="0.25">
      <c r="A3652" t="str">
        <f>"20190312154325089"</f>
        <v>20190312154325089</v>
      </c>
      <c r="B3652" t="str">
        <f>"1552376605080902"</f>
        <v>1552376605080902</v>
      </c>
      <c r="C3652" t="s">
        <v>40</v>
      </c>
      <c r="D3652">
        <v>4.6989960000000002</v>
      </c>
      <c r="E3652">
        <v>0.49714659999999999</v>
      </c>
      <c r="F3652" t="s">
        <v>51</v>
      </c>
      <c r="G3652">
        <v>-425.64510000000001</v>
      </c>
      <c r="H3652" s="1">
        <v>2.8979260000000001E-6</v>
      </c>
      <c r="I3652">
        <v>215.36369999999999</v>
      </c>
      <c r="J3652">
        <v>-456.2346</v>
      </c>
      <c r="K3652">
        <v>1.1087450000000001</v>
      </c>
      <c r="L3652">
        <v>216.08189999999999</v>
      </c>
      <c r="M3652">
        <v>0.99999740000000004</v>
      </c>
      <c r="N3652">
        <v>0</v>
      </c>
      <c r="O3652">
        <v>-1.5940150000000001E-3</v>
      </c>
      <c r="P3652">
        <v>0.99832339999999997</v>
      </c>
      <c r="Q3652">
        <v>4.6567499999999998E-2</v>
      </c>
      <c r="R3652">
        <v>-3.4382450000000002E-2</v>
      </c>
      <c r="S3652">
        <v>3.0073240000000001</v>
      </c>
      <c r="T3652">
        <v>-0.10807940000000001</v>
      </c>
      <c r="U3652">
        <v>-7.0037840000000004E-2</v>
      </c>
      <c r="V3652">
        <v>3.278027E-2</v>
      </c>
      <c r="W3652">
        <v>4.4914700000000002E-2</v>
      </c>
      <c r="X3652">
        <v>0.99845280000000003</v>
      </c>
      <c r="Y3652">
        <v>2.16762E-2</v>
      </c>
      <c r="Z3652">
        <v>-3.3206879999999998E-4</v>
      </c>
      <c r="AA3652">
        <v>0.99976500000000001</v>
      </c>
      <c r="AB3652">
        <v>26</v>
      </c>
      <c r="AC3652">
        <v>30.589499999999902</v>
      </c>
      <c r="AD3652">
        <v>-1.108742102074</v>
      </c>
      <c r="AE3652">
        <v>-0.71819999999999595</v>
      </c>
      <c r="AF3652">
        <v>0.66856105545034605</v>
      </c>
      <c r="AG3652">
        <v>-1.108742102074</v>
      </c>
      <c r="AH3652">
        <v>30.550492032512</v>
      </c>
      <c r="AI3652">
        <v>92.077975978925394</v>
      </c>
      <c r="AJ3652">
        <v>88.746350348257394</v>
      </c>
      <c r="AK3652">
        <v>30.577914355991599</v>
      </c>
      <c r="AL3652">
        <v>87.425711057713997</v>
      </c>
      <c r="AM3652">
        <v>88.119593890964396</v>
      </c>
      <c r="AN3652">
        <v>0.99999993510259899</v>
      </c>
    </row>
    <row r="3653" spans="1:40" x14ac:dyDescent="0.25">
      <c r="A3653" t="str">
        <f>"20190312154325110"</f>
        <v>20190312154325110</v>
      </c>
      <c r="B3653" t="str">
        <f>"1552376605101398"</f>
        <v>1552376605101398</v>
      </c>
      <c r="C3653" t="s">
        <v>40</v>
      </c>
      <c r="D3653">
        <v>4.6845350000000003</v>
      </c>
      <c r="E3653">
        <v>0.49717050000000002</v>
      </c>
      <c r="F3653" t="s">
        <v>51</v>
      </c>
      <c r="G3653">
        <v>-422.93520000000001</v>
      </c>
      <c r="H3653" s="1">
        <v>3.3829170000000001E-6</v>
      </c>
      <c r="I3653">
        <v>215.31450000000001</v>
      </c>
      <c r="J3653">
        <v>-455.97800000000001</v>
      </c>
      <c r="K3653">
        <v>1.108751</v>
      </c>
      <c r="L3653">
        <v>216.08160000000001</v>
      </c>
      <c r="M3653">
        <v>0.99999769999999999</v>
      </c>
      <c r="N3653">
        <v>0</v>
      </c>
      <c r="O3653">
        <v>-1.4521899999999999E-3</v>
      </c>
      <c r="P3653">
        <v>0.99827010000000005</v>
      </c>
      <c r="Q3653">
        <v>4.7879900000000003E-2</v>
      </c>
      <c r="R3653">
        <v>-3.4121899999999997E-2</v>
      </c>
      <c r="S3653">
        <v>3.0072939999999999</v>
      </c>
      <c r="T3653">
        <v>-0.10013130000000001</v>
      </c>
      <c r="U3653">
        <v>-6.9305420000000006E-2</v>
      </c>
      <c r="V3653">
        <v>3.2661809999999999E-2</v>
      </c>
      <c r="W3653">
        <v>4.6305600000000002E-2</v>
      </c>
      <c r="X3653">
        <v>0.99839319999999998</v>
      </c>
      <c r="Y3653">
        <v>2.1576680000000001E-2</v>
      </c>
      <c r="Z3653">
        <v>-3.1073070000000002E-4</v>
      </c>
      <c r="AA3653">
        <v>0.99976710000000002</v>
      </c>
      <c r="AB3653">
        <v>26</v>
      </c>
      <c r="AC3653">
        <v>33.0428</v>
      </c>
      <c r="AD3653">
        <v>-1.108747617083</v>
      </c>
      <c r="AE3653">
        <v>-0.767099999999999</v>
      </c>
      <c r="AF3653">
        <v>0.71830637998898095</v>
      </c>
      <c r="AG3653">
        <v>-1.108747617083</v>
      </c>
      <c r="AH3653">
        <v>33.006735851563697</v>
      </c>
      <c r="AI3653">
        <v>91.923475870527199</v>
      </c>
      <c r="AJ3653">
        <v>88.753302089186803</v>
      </c>
      <c r="AK3653">
        <v>33.033163592196502</v>
      </c>
      <c r="AL3653">
        <v>87.345935476391304</v>
      </c>
      <c r="AM3653">
        <v>88.126272606141995</v>
      </c>
      <c r="AN3653">
        <v>0.99999999211503798</v>
      </c>
    </row>
    <row r="3654" spans="1:40" x14ac:dyDescent="0.25">
      <c r="A3654" t="str">
        <f>"20190312154325132"</f>
        <v>20190312154325132</v>
      </c>
      <c r="B3654" t="str">
        <f>"1552376605120918"</f>
        <v>1552376605120918</v>
      </c>
      <c r="C3654" t="s">
        <v>40</v>
      </c>
      <c r="D3654">
        <v>4.6909219999999996</v>
      </c>
      <c r="E3654">
        <v>0.4972086</v>
      </c>
      <c r="F3654" t="s">
        <v>51</v>
      </c>
      <c r="G3654">
        <v>-420.21300000000002</v>
      </c>
      <c r="H3654" s="1">
        <v>3.8704469999999996E-6</v>
      </c>
      <c r="I3654">
        <v>215.261</v>
      </c>
      <c r="J3654">
        <v>-455.70780000000002</v>
      </c>
      <c r="K3654">
        <v>1.1087499999999999</v>
      </c>
      <c r="L3654">
        <v>216.0814</v>
      </c>
      <c r="M3654">
        <v>0.99999800000000005</v>
      </c>
      <c r="N3654">
        <v>0</v>
      </c>
      <c r="O3654">
        <v>-1.3165589999999999E-3</v>
      </c>
      <c r="P3654">
        <v>0.99825459999999999</v>
      </c>
      <c r="Q3654">
        <v>4.810619E-2</v>
      </c>
      <c r="R3654">
        <v>-3.4255470000000003E-2</v>
      </c>
      <c r="S3654">
        <v>3.007263</v>
      </c>
      <c r="T3654">
        <v>-9.3227980000000002E-2</v>
      </c>
      <c r="U3654">
        <v>-6.9000240000000004E-2</v>
      </c>
      <c r="V3654">
        <v>3.293161E-2</v>
      </c>
      <c r="W3654">
        <v>4.6615700000000003E-2</v>
      </c>
      <c r="X3654">
        <v>0.99836990000000003</v>
      </c>
      <c r="Y3654">
        <v>2.161252E-2</v>
      </c>
      <c r="Z3654">
        <v>-2.9408039999999998E-4</v>
      </c>
      <c r="AA3654">
        <v>0.9997663</v>
      </c>
      <c r="AB3654">
        <v>27</v>
      </c>
      <c r="AC3654">
        <v>35.494799999999998</v>
      </c>
      <c r="AD3654">
        <v>-1.1087461295529999</v>
      </c>
      <c r="AE3654">
        <v>-0.82040000000000601</v>
      </c>
      <c r="AF3654">
        <v>0.77291447559581095</v>
      </c>
      <c r="AG3654">
        <v>-1.1087461295529999</v>
      </c>
      <c r="AH3654">
        <v>35.461266789994603</v>
      </c>
      <c r="AI3654">
        <v>91.790424347712502</v>
      </c>
      <c r="AJ3654">
        <v>88.751377752374495</v>
      </c>
      <c r="AK3654">
        <v>35.487013922244202</v>
      </c>
      <c r="AL3654">
        <v>87.328148830725198</v>
      </c>
      <c r="AM3654">
        <v>88.110761958078101</v>
      </c>
      <c r="AN3654">
        <v>0.99999998582484595</v>
      </c>
    </row>
    <row r="3655" spans="1:40" x14ac:dyDescent="0.25">
      <c r="A3655" t="str">
        <f>"20190312154325164"</f>
        <v>20190312154325164</v>
      </c>
      <c r="B3655" t="str">
        <f>"1552376605151178"</f>
        <v>1552376605151178</v>
      </c>
      <c r="C3655" t="s">
        <v>40</v>
      </c>
      <c r="D3655">
        <v>4.6125970000000001</v>
      </c>
      <c r="E3655">
        <v>0.49724620000000003</v>
      </c>
      <c r="F3655" t="s">
        <v>51</v>
      </c>
      <c r="G3655">
        <v>-418.4255</v>
      </c>
      <c r="H3655" s="1">
        <v>3.648127E-6</v>
      </c>
      <c r="I3655">
        <v>215.2131</v>
      </c>
      <c r="J3655">
        <v>-455.32339999999999</v>
      </c>
      <c r="K3655">
        <v>1.108738</v>
      </c>
      <c r="L3655">
        <v>216.08109999999999</v>
      </c>
      <c r="M3655">
        <v>0.99999850000000001</v>
      </c>
      <c r="N3655">
        <v>0</v>
      </c>
      <c r="O3655">
        <v>-1.1595450000000001E-3</v>
      </c>
      <c r="P3655">
        <v>0.99828779999999995</v>
      </c>
      <c r="Q3655">
        <v>4.8067650000000003E-2</v>
      </c>
      <c r="R3655">
        <v>-3.3339359999999998E-2</v>
      </c>
      <c r="S3655">
        <v>3.0071409999999998</v>
      </c>
      <c r="T3655">
        <v>-8.9430090000000004E-2</v>
      </c>
      <c r="U3655">
        <v>-7.0037840000000004E-2</v>
      </c>
      <c r="V3655">
        <v>3.217416E-2</v>
      </c>
      <c r="W3655">
        <v>4.6696670000000003E-2</v>
      </c>
      <c r="X3655">
        <v>0.99839089999999997</v>
      </c>
      <c r="Y3655">
        <v>2.211569E-2</v>
      </c>
      <c r="Z3655">
        <v>-2.9426309999999999E-4</v>
      </c>
      <c r="AA3655">
        <v>0.99975539999999996</v>
      </c>
      <c r="AB3655">
        <v>27</v>
      </c>
      <c r="AC3655">
        <v>36.8978999999999</v>
      </c>
      <c r="AD3655">
        <v>-1.108734351873</v>
      </c>
      <c r="AE3655">
        <v>-0.867999999999994</v>
      </c>
      <c r="AF3655">
        <v>0.82447058218458402</v>
      </c>
      <c r="AG3655">
        <v>-1.108734351873</v>
      </c>
      <c r="AH3655">
        <v>36.865613204946797</v>
      </c>
      <c r="AI3655">
        <v>91.722222539589197</v>
      </c>
      <c r="AJ3655">
        <v>88.718838306404393</v>
      </c>
      <c r="AK3655">
        <v>36.891496046930101</v>
      </c>
      <c r="AL3655">
        <v>87.323504765623099</v>
      </c>
      <c r="AM3655">
        <v>88.154224135908294</v>
      </c>
      <c r="AN3655">
        <v>1.0000000723817899</v>
      </c>
    </row>
    <row r="3656" spans="1:40" x14ac:dyDescent="0.25">
      <c r="A3656" t="str">
        <f>"20190312154325187"</f>
        <v>20190312154325187</v>
      </c>
      <c r="B3656" t="str">
        <f>"1552376605181430"</f>
        <v>1552376605181430</v>
      </c>
      <c r="C3656" t="s">
        <v>40</v>
      </c>
      <c r="D3656">
        <v>4.6227019999999897</v>
      </c>
      <c r="E3656">
        <v>0.49724699999999999</v>
      </c>
      <c r="F3656" t="s">
        <v>51</v>
      </c>
      <c r="G3656">
        <v>-416.39060000000001</v>
      </c>
      <c r="H3656" s="1">
        <v>3.288587E-6</v>
      </c>
      <c r="I3656">
        <v>215.1968</v>
      </c>
      <c r="J3656">
        <v>-455.05329999999998</v>
      </c>
      <c r="K3656">
        <v>1.1087279999999999</v>
      </c>
      <c r="L3656">
        <v>216.08090000000001</v>
      </c>
      <c r="M3656">
        <v>0.99999870000000002</v>
      </c>
      <c r="N3656">
        <v>0</v>
      </c>
      <c r="O3656">
        <v>-1.083393E-3</v>
      </c>
      <c r="P3656">
        <v>0.99830450000000004</v>
      </c>
      <c r="Q3656">
        <v>4.8678020000000002E-2</v>
      </c>
      <c r="R3656">
        <v>-3.1923800000000002E-2</v>
      </c>
      <c r="S3656">
        <v>3.006958</v>
      </c>
      <c r="T3656">
        <v>-8.5632559999999996E-2</v>
      </c>
      <c r="U3656">
        <v>-6.8298339999999999E-2</v>
      </c>
      <c r="V3656">
        <v>3.083663E-2</v>
      </c>
      <c r="W3656">
        <v>4.7390649999999999E-2</v>
      </c>
      <c r="X3656">
        <v>0.99840030000000002</v>
      </c>
      <c r="Y3656">
        <v>2.1616130000000001E-2</v>
      </c>
      <c r="Z3656">
        <v>-2.768488E-4</v>
      </c>
      <c r="AA3656">
        <v>0.9997663</v>
      </c>
      <c r="AB3656">
        <v>27</v>
      </c>
      <c r="AC3656">
        <v>38.662699999999901</v>
      </c>
      <c r="AD3656">
        <v>-1.1087247114129899</v>
      </c>
      <c r="AE3656">
        <v>-0.88410000000001698</v>
      </c>
      <c r="AF3656">
        <v>0.84152087951994003</v>
      </c>
      <c r="AG3656">
        <v>-1.1087247114129899</v>
      </c>
      <c r="AH3656">
        <v>38.6318823454274</v>
      </c>
      <c r="AI3656">
        <v>91.643532655307695</v>
      </c>
      <c r="AJ3656">
        <v>88.752119547893898</v>
      </c>
      <c r="AK3656">
        <v>38.656949717060101</v>
      </c>
      <c r="AL3656">
        <v>87.283698279350801</v>
      </c>
      <c r="AM3656">
        <v>88.230922746551897</v>
      </c>
      <c r="AN3656">
        <v>0.99999996524863399</v>
      </c>
    </row>
    <row r="3657" spans="1:40" x14ac:dyDescent="0.25">
      <c r="A3657" t="str">
        <f>"20190312154325210"</f>
        <v>20190312154325210</v>
      </c>
      <c r="B3657" t="str">
        <f>"1552376605200950"</f>
        <v>1552376605200950</v>
      </c>
      <c r="C3657" t="s">
        <v>40</v>
      </c>
      <c r="D3657">
        <v>4.6331749999999996</v>
      </c>
      <c r="E3657">
        <v>0.49731419999999998</v>
      </c>
      <c r="F3657" t="s">
        <v>51</v>
      </c>
      <c r="G3657">
        <v>-414.6413</v>
      </c>
      <c r="H3657" s="1">
        <v>2.976667E-6</v>
      </c>
      <c r="I3657">
        <v>215.21530000000001</v>
      </c>
      <c r="J3657">
        <v>-454.76389999999998</v>
      </c>
      <c r="K3657">
        <v>1.108716</v>
      </c>
      <c r="L3657">
        <v>216.08070000000001</v>
      </c>
      <c r="M3657">
        <v>0.99999870000000002</v>
      </c>
      <c r="N3657">
        <v>0</v>
      </c>
      <c r="O3657">
        <v>-1.038232E-3</v>
      </c>
      <c r="P3657">
        <v>0.99829259999999997</v>
      </c>
      <c r="Q3657">
        <v>4.9433329999999998E-2</v>
      </c>
      <c r="R3657">
        <v>-3.1121570000000001E-2</v>
      </c>
      <c r="S3657">
        <v>3.0070190000000001</v>
      </c>
      <c r="T3657">
        <v>-8.2499149999999993E-2</v>
      </c>
      <c r="U3657">
        <v>-6.4407350000000002E-2</v>
      </c>
      <c r="V3657">
        <v>3.0082129999999999E-2</v>
      </c>
      <c r="W3657">
        <v>4.8236550000000003E-2</v>
      </c>
      <c r="X3657">
        <v>0.99838289999999996</v>
      </c>
      <c r="Y3657">
        <v>2.0368819999999999E-2</v>
      </c>
      <c r="Z3657">
        <v>-2.508543E-4</v>
      </c>
      <c r="AA3657">
        <v>0.99979249999999997</v>
      </c>
      <c r="AB3657">
        <v>27</v>
      </c>
      <c r="AC3657">
        <v>40.122599999999899</v>
      </c>
      <c r="AD3657">
        <v>-1.108713023333</v>
      </c>
      <c r="AE3657">
        <v>-0.86539999999999395</v>
      </c>
      <c r="AF3657">
        <v>0.82311470484330795</v>
      </c>
      <c r="AG3657">
        <v>-1.108713023333</v>
      </c>
      <c r="AH3657">
        <v>40.092876583149099</v>
      </c>
      <c r="AI3657">
        <v>91.583698249484897</v>
      </c>
      <c r="AJ3657">
        <v>88.8238715106406</v>
      </c>
      <c r="AK3657">
        <v>40.116648851780504</v>
      </c>
      <c r="AL3657">
        <v>87.235176534836199</v>
      </c>
      <c r="AM3657">
        <v>88.274151352778503</v>
      </c>
      <c r="AN3657">
        <v>1.0000000571568199</v>
      </c>
    </row>
    <row r="3658" spans="1:40" x14ac:dyDescent="0.25">
      <c r="A3658" t="str">
        <f>"20190312154325233"</f>
        <v>20190312154325233</v>
      </c>
      <c r="B3658" t="str">
        <f>"1552376605221449"</f>
        <v>1552376605221449</v>
      </c>
      <c r="C3658" t="s">
        <v>40</v>
      </c>
      <c r="D3658">
        <v>4.6302659999999998</v>
      </c>
      <c r="E3658">
        <v>0.49737700000000001</v>
      </c>
      <c r="F3658" t="s">
        <v>51</v>
      </c>
      <c r="G3658">
        <v>-411.80689999999998</v>
      </c>
      <c r="H3658" s="1">
        <v>2.4767759999999999E-6</v>
      </c>
      <c r="I3658">
        <v>215.1824</v>
      </c>
      <c r="J3658">
        <v>-454.47989999999999</v>
      </c>
      <c r="K3658">
        <v>1.108697</v>
      </c>
      <c r="L3658">
        <v>216.0804</v>
      </c>
      <c r="M3658">
        <v>0.99999890000000002</v>
      </c>
      <c r="N3658">
        <v>0</v>
      </c>
      <c r="O3658">
        <v>-1.0412360000000001E-3</v>
      </c>
      <c r="P3658">
        <v>0.9983088</v>
      </c>
      <c r="Q3658">
        <v>4.9575399999999999E-2</v>
      </c>
      <c r="R3658">
        <v>-3.036589E-2</v>
      </c>
      <c r="S3658">
        <v>3.0070190000000001</v>
      </c>
      <c r="T3658">
        <v>-7.7610609999999997E-2</v>
      </c>
      <c r="U3658">
        <v>-6.2881469999999995E-2</v>
      </c>
      <c r="V3658">
        <v>2.9326930000000001E-2</v>
      </c>
      <c r="W3658">
        <v>4.8468020000000001E-2</v>
      </c>
      <c r="X3658">
        <v>0.99839409999999895</v>
      </c>
      <c r="Y3658">
        <v>1.9859709999999999E-2</v>
      </c>
      <c r="Z3658">
        <v>-2.293505E-4</v>
      </c>
      <c r="AA3658">
        <v>0.99980279999999999</v>
      </c>
      <c r="AB3658">
        <v>28</v>
      </c>
      <c r="AC3658">
        <v>42.673000000000002</v>
      </c>
      <c r="AD3658">
        <v>-1.108694523224</v>
      </c>
      <c r="AE3658">
        <v>-0.89799999999999602</v>
      </c>
      <c r="AF3658">
        <v>0.85299129219778902</v>
      </c>
      <c r="AG3658">
        <v>-1.108694523224</v>
      </c>
      <c r="AH3658">
        <v>42.645138265000803</v>
      </c>
      <c r="AI3658">
        <v>91.488950873651504</v>
      </c>
      <c r="AJ3658">
        <v>88.854118269272604</v>
      </c>
      <c r="AK3658">
        <v>42.668074896008903</v>
      </c>
      <c r="AL3658">
        <v>87.221898587547201</v>
      </c>
      <c r="AM3658">
        <v>88.317471740917696</v>
      </c>
      <c r="AN3658">
        <v>0.99999999835037701</v>
      </c>
    </row>
    <row r="3659" spans="1:40" x14ac:dyDescent="0.25">
      <c r="A3659" t="str">
        <f>"20190312154325256"</f>
        <v>20190312154325256</v>
      </c>
      <c r="B3659" t="str">
        <f>"1552376605240969"</f>
        <v>1552376605240969</v>
      </c>
      <c r="C3659" t="s">
        <v>40</v>
      </c>
      <c r="D3659">
        <v>4.6499670000000002</v>
      </c>
      <c r="E3659">
        <v>0.497141</v>
      </c>
      <c r="F3659" t="s">
        <v>51</v>
      </c>
      <c r="G3659">
        <v>-410.44099999999997</v>
      </c>
      <c r="H3659" s="1">
        <v>2.234302E-6</v>
      </c>
      <c r="I3659">
        <v>215.18450000000001</v>
      </c>
      <c r="J3659">
        <v>-454.19630000000001</v>
      </c>
      <c r="K3659">
        <v>1.1086640000000001</v>
      </c>
      <c r="L3659">
        <v>216.08009999999999</v>
      </c>
      <c r="M3659">
        <v>0.99999890000000002</v>
      </c>
      <c r="N3659">
        <v>0</v>
      </c>
      <c r="O3659">
        <v>-1.090621E-3</v>
      </c>
      <c r="P3659">
        <v>0.99829449999999997</v>
      </c>
      <c r="Q3659">
        <v>4.9960289999999997E-2</v>
      </c>
      <c r="R3659">
        <v>-3.0202699999999999E-2</v>
      </c>
      <c r="S3659">
        <v>3.006958</v>
      </c>
      <c r="T3659">
        <v>-7.5701240000000003E-2</v>
      </c>
      <c r="U3659">
        <v>-6.1172490000000003E-2</v>
      </c>
      <c r="V3659">
        <v>2.9118450000000001E-2</v>
      </c>
      <c r="W3659">
        <v>4.8942380000000001E-2</v>
      </c>
      <c r="X3659">
        <v>0.99837710000000002</v>
      </c>
      <c r="Y3659">
        <v>1.9243280000000001E-2</v>
      </c>
      <c r="Z3659">
        <v>-2.147153E-4</v>
      </c>
      <c r="AA3659">
        <v>0.9998148</v>
      </c>
      <c r="AB3659">
        <v>28</v>
      </c>
      <c r="AC3659">
        <v>43.755299999999998</v>
      </c>
      <c r="AD3659">
        <v>-1.10866176569799</v>
      </c>
      <c r="AE3659">
        <v>-0.89559999999997297</v>
      </c>
      <c r="AF3659">
        <v>0.84733523057204796</v>
      </c>
      <c r="AG3659">
        <v>-1.10866176569799</v>
      </c>
      <c r="AH3659">
        <v>43.728188882423801</v>
      </c>
      <c r="AI3659">
        <v>91.452063802443703</v>
      </c>
      <c r="AJ3659">
        <v>88.889900112855798</v>
      </c>
      <c r="AK3659">
        <v>43.7504469787524</v>
      </c>
      <c r="AL3659">
        <v>87.194687576254907</v>
      </c>
      <c r="AM3659">
        <v>88.329397307380503</v>
      </c>
      <c r="AN3659">
        <v>1.00000003724743</v>
      </c>
    </row>
    <row r="3660" spans="1:40" x14ac:dyDescent="0.25">
      <c r="A3660" t="str">
        <f>"20190312154325279"</f>
        <v>20190312154325279</v>
      </c>
      <c r="B3660" t="str">
        <f>"1552376605271222"</f>
        <v>1552376605271222</v>
      </c>
      <c r="C3660" t="s">
        <v>40</v>
      </c>
      <c r="D3660">
        <v>4.6927880000000002</v>
      </c>
      <c r="E3660">
        <v>0.49673800000000001</v>
      </c>
      <c r="F3660" t="s">
        <v>51</v>
      </c>
      <c r="G3660">
        <v>-409.9966</v>
      </c>
      <c r="H3660" s="1">
        <v>2.1528960000000001E-6</v>
      </c>
      <c r="I3660">
        <v>215.2139</v>
      </c>
      <c r="J3660">
        <v>-453.90730000000002</v>
      </c>
      <c r="K3660">
        <v>1.1086240000000001</v>
      </c>
      <c r="L3660">
        <v>216.0797</v>
      </c>
      <c r="M3660">
        <v>0.99999890000000002</v>
      </c>
      <c r="N3660">
        <v>0</v>
      </c>
      <c r="O3660">
        <v>-1.2020010000000001E-3</v>
      </c>
      <c r="P3660">
        <v>0.99832359999999998</v>
      </c>
      <c r="Q3660">
        <v>4.972973E-2</v>
      </c>
      <c r="R3660">
        <v>-2.961712E-2</v>
      </c>
      <c r="S3660">
        <v>3.0071110000000001</v>
      </c>
      <c r="T3660">
        <v>-7.542741E-2</v>
      </c>
      <c r="U3660">
        <v>-5.892944E-2</v>
      </c>
      <c r="V3660">
        <v>2.84266E-2</v>
      </c>
      <c r="W3660">
        <v>4.8803310000000003E-2</v>
      </c>
      <c r="X3660">
        <v>0.99840379999999995</v>
      </c>
      <c r="Y3660">
        <v>1.8385749999999999E-2</v>
      </c>
      <c r="Z3660">
        <v>-2.003846E-4</v>
      </c>
      <c r="AA3660">
        <v>0.99983100000000003</v>
      </c>
      <c r="AB3660">
        <v>28</v>
      </c>
      <c r="AC3660">
        <v>43.910699999999999</v>
      </c>
      <c r="AD3660">
        <v>-1.1086218471039999</v>
      </c>
      <c r="AE3660">
        <v>-0.86580000000000701</v>
      </c>
      <c r="AF3660">
        <v>0.81250094567074205</v>
      </c>
      <c r="AG3660">
        <v>-1.1086218471039999</v>
      </c>
      <c r="AH3660">
        <v>43.883747434408498</v>
      </c>
      <c r="AI3660">
        <v>91.446890285515494</v>
      </c>
      <c r="AJ3660">
        <v>88.939298500778307</v>
      </c>
      <c r="AK3660">
        <v>43.9052672133258</v>
      </c>
      <c r="AL3660">
        <v>87.202665104492993</v>
      </c>
      <c r="AM3660">
        <v>88.369112469952199</v>
      </c>
      <c r="AN3660">
        <v>0.99999999125447803</v>
      </c>
    </row>
    <row r="3661" spans="1:40" x14ac:dyDescent="0.25">
      <c r="A3661" t="str">
        <f>"20190312154325302"</f>
        <v>20190312154325302</v>
      </c>
      <c r="B3661" t="str">
        <f>"1552376605290744"</f>
        <v>1552376605290744</v>
      </c>
      <c r="C3661" t="s">
        <v>40</v>
      </c>
      <c r="D3661">
        <v>4.6303280000000004</v>
      </c>
      <c r="E3661">
        <v>0.49646479999999998</v>
      </c>
      <c r="F3661" t="s">
        <v>51</v>
      </c>
      <c r="G3661">
        <v>-410.98059999999998</v>
      </c>
      <c r="H3661" s="1">
        <v>2.3196429999999999E-6</v>
      </c>
      <c r="I3661">
        <v>215.30330000000001</v>
      </c>
      <c r="J3661">
        <v>-453.61130000000003</v>
      </c>
      <c r="K3661">
        <v>1.108576</v>
      </c>
      <c r="L3661">
        <v>216.07929999999999</v>
      </c>
      <c r="M3661">
        <v>0.99999870000000002</v>
      </c>
      <c r="N3661">
        <v>0</v>
      </c>
      <c r="O3661">
        <v>-1.3950499999999999E-3</v>
      </c>
      <c r="P3661">
        <v>0.99834979999999995</v>
      </c>
      <c r="Q3661">
        <v>4.9783239999999999E-2</v>
      </c>
      <c r="R3661">
        <v>-2.8625370000000001E-2</v>
      </c>
      <c r="S3661">
        <v>3.0072939999999999</v>
      </c>
      <c r="T3661">
        <v>-7.7666280000000004E-2</v>
      </c>
      <c r="U3661">
        <v>-5.4397580000000001E-2</v>
      </c>
      <c r="V3661">
        <v>2.724828E-2</v>
      </c>
      <c r="W3661">
        <v>4.8950010000000002E-2</v>
      </c>
      <c r="X3661">
        <v>0.99842949999999997</v>
      </c>
      <c r="Y3661">
        <v>1.6685660000000001E-2</v>
      </c>
      <c r="Z3661">
        <v>-1.7938860000000001E-4</v>
      </c>
      <c r="AA3661">
        <v>0.99986079999999999</v>
      </c>
      <c r="AB3661">
        <v>28</v>
      </c>
      <c r="AC3661">
        <v>42.630699999999997</v>
      </c>
      <c r="AD3661">
        <v>-1.1085736803569901</v>
      </c>
      <c r="AE3661">
        <v>-0.77599999999998204</v>
      </c>
      <c r="AF3661">
        <v>0.71604322929067798</v>
      </c>
      <c r="AG3661">
        <v>-1.1085736803569901</v>
      </c>
      <c r="AH3661">
        <v>42.602941909856902</v>
      </c>
      <c r="AI3661">
        <v>91.490350130373102</v>
      </c>
      <c r="AJ3661">
        <v>89.037099536615202</v>
      </c>
      <c r="AK3661">
        <v>42.623377539627697</v>
      </c>
      <c r="AL3661">
        <v>87.194249834625197</v>
      </c>
      <c r="AM3661">
        <v>88.4367208540625</v>
      </c>
      <c r="AN3661">
        <v>1.0000000193561001</v>
      </c>
    </row>
    <row r="3662" spans="1:40" x14ac:dyDescent="0.25">
      <c r="A3662" t="str">
        <f>"20190312154325322"</f>
        <v>20190312154325322</v>
      </c>
      <c r="B3662" t="str">
        <f>"1552376605311239"</f>
        <v>1552376605311239</v>
      </c>
      <c r="C3662" t="s">
        <v>40</v>
      </c>
      <c r="D3662">
        <v>4.6984159999999999</v>
      </c>
      <c r="E3662">
        <v>0.496222</v>
      </c>
      <c r="F3662" t="s">
        <v>51</v>
      </c>
      <c r="G3662">
        <v>-411.39010000000002</v>
      </c>
      <c r="H3662" s="1">
        <v>2.3848769999999998E-6</v>
      </c>
      <c r="I3662">
        <v>215.38800000000001</v>
      </c>
      <c r="J3662">
        <v>-453.33789999999999</v>
      </c>
      <c r="K3662">
        <v>1.108517</v>
      </c>
      <c r="L3662">
        <v>216.0787</v>
      </c>
      <c r="M3662">
        <v>0.99999850000000001</v>
      </c>
      <c r="N3662">
        <v>0</v>
      </c>
      <c r="O3662">
        <v>-1.6569079999999999E-3</v>
      </c>
      <c r="P3662">
        <v>0.99834389999999995</v>
      </c>
      <c r="Q3662">
        <v>5.0243290000000003E-2</v>
      </c>
      <c r="R3662">
        <v>-2.801915E-2</v>
      </c>
      <c r="S3662">
        <v>3.0075379999999998</v>
      </c>
      <c r="T3662">
        <v>-7.8966980000000006E-2</v>
      </c>
      <c r="U3662">
        <v>-4.9240109999999997E-2</v>
      </c>
      <c r="V3662">
        <v>2.6388140000000001E-2</v>
      </c>
      <c r="W3662">
        <v>4.9497220000000001E-2</v>
      </c>
      <c r="X3662">
        <v>0.99842560000000002</v>
      </c>
      <c r="Y3662">
        <v>1.4708840000000001E-2</v>
      </c>
      <c r="Z3662">
        <v>-1.4956020000000001E-4</v>
      </c>
      <c r="AA3662">
        <v>0.9998918</v>
      </c>
      <c r="AB3662">
        <v>28</v>
      </c>
      <c r="AC3662">
        <v>41.947799999999901</v>
      </c>
      <c r="AD3662">
        <v>-1.1085146151230001</v>
      </c>
      <c r="AE3662">
        <v>-0.69069999999999199</v>
      </c>
      <c r="AF3662">
        <v>0.62076201464031999</v>
      </c>
      <c r="AG3662">
        <v>-1.1085146151230001</v>
      </c>
      <c r="AH3662">
        <v>41.919620797565599</v>
      </c>
      <c r="AI3662">
        <v>91.514599887279303</v>
      </c>
      <c r="AJ3662">
        <v>89.151603870134693</v>
      </c>
      <c r="AK3662">
        <v>41.938869297376797</v>
      </c>
      <c r="AL3662">
        <v>87.162858886011506</v>
      </c>
      <c r="AM3662">
        <v>88.486039265019798</v>
      </c>
      <c r="AN3662">
        <v>0.99999999372787296</v>
      </c>
    </row>
    <row r="3663" spans="1:40" x14ac:dyDescent="0.25">
      <c r="A3663" t="str">
        <f>"20190312154325346"</f>
        <v>20190312154325346</v>
      </c>
      <c r="B3663" t="str">
        <f>"1552376605341494"</f>
        <v>1552376605341494</v>
      </c>
      <c r="C3663" t="s">
        <v>40</v>
      </c>
      <c r="D3663">
        <v>4.719563</v>
      </c>
      <c r="E3663">
        <v>0.49593290000000001</v>
      </c>
      <c r="F3663" t="s">
        <v>51</v>
      </c>
      <c r="G3663">
        <v>-411.02449999999999</v>
      </c>
      <c r="H3663" s="1">
        <v>2.3154330000000002E-6</v>
      </c>
      <c r="I3663">
        <v>215.44049999999999</v>
      </c>
      <c r="J3663">
        <v>-453.04199999999997</v>
      </c>
      <c r="K3663">
        <v>1.1084540000000001</v>
      </c>
      <c r="L3663">
        <v>216.0779</v>
      </c>
      <c r="M3663">
        <v>0.9999979</v>
      </c>
      <c r="N3663">
        <v>0</v>
      </c>
      <c r="O3663">
        <v>-2.0346639999999998E-3</v>
      </c>
      <c r="P3663">
        <v>0.99833669999999997</v>
      </c>
      <c r="Q3663">
        <v>5.080076E-2</v>
      </c>
      <c r="R3663">
        <v>-2.7267949999999999E-2</v>
      </c>
      <c r="S3663">
        <v>3.00766</v>
      </c>
      <c r="T3663">
        <v>-7.8793879999999997E-2</v>
      </c>
      <c r="U3663">
        <v>-4.5364380000000003E-2</v>
      </c>
      <c r="V3663">
        <v>2.5269070000000001E-2</v>
      </c>
      <c r="W3663">
        <v>5.0148730000000002E-2</v>
      </c>
      <c r="X3663">
        <v>0.99842200000000003</v>
      </c>
      <c r="Y3663">
        <v>1.3042990000000001E-2</v>
      </c>
      <c r="Z3663">
        <v>-1.175183E-4</v>
      </c>
      <c r="AA3663">
        <v>0.99991490000000005</v>
      </c>
      <c r="AB3663">
        <v>29</v>
      </c>
      <c r="AC3663">
        <v>42.017499999999899</v>
      </c>
      <c r="AD3663">
        <v>-1.1084516845670001</v>
      </c>
      <c r="AE3663">
        <v>-0.63740000000001296</v>
      </c>
      <c r="AF3663">
        <v>0.55152344335242498</v>
      </c>
      <c r="AG3663">
        <v>-1.1084516845670001</v>
      </c>
      <c r="AH3663">
        <v>41.989494387280402</v>
      </c>
      <c r="AI3663">
        <v>91.512030183819903</v>
      </c>
      <c r="AJ3663">
        <v>89.247474897783107</v>
      </c>
      <c r="AK3663">
        <v>42.007743121299001</v>
      </c>
      <c r="AL3663">
        <v>87.125483584386998</v>
      </c>
      <c r="AM3663">
        <v>88.550210179487095</v>
      </c>
      <c r="AN3663">
        <v>0.99999995555163801</v>
      </c>
    </row>
    <row r="3664" spans="1:40" x14ac:dyDescent="0.25">
      <c r="A3664" t="str">
        <f>"20190312154325367"</f>
        <v>20190312154325367</v>
      </c>
      <c r="B3664" t="str">
        <f>"1552376605361014"</f>
        <v>1552376605361014</v>
      </c>
      <c r="C3664" t="s">
        <v>40</v>
      </c>
      <c r="D3664">
        <v>4.6540720000000002</v>
      </c>
      <c r="E3664">
        <v>0.49584109999999998</v>
      </c>
      <c r="F3664" t="s">
        <v>51</v>
      </c>
      <c r="G3664">
        <v>-410.69779999999997</v>
      </c>
      <c r="H3664" s="1">
        <v>2.2521309999999998E-6</v>
      </c>
      <c r="I3664">
        <v>215.5016</v>
      </c>
      <c r="J3664">
        <v>-452.75490000000002</v>
      </c>
      <c r="K3664">
        <v>1.108384</v>
      </c>
      <c r="L3664">
        <v>216.07689999999999</v>
      </c>
      <c r="M3664">
        <v>0.99999680000000002</v>
      </c>
      <c r="N3664">
        <v>0</v>
      </c>
      <c r="O3664">
        <v>-2.4994819999999999E-3</v>
      </c>
      <c r="P3664">
        <v>0.99832980000000004</v>
      </c>
      <c r="Q3664">
        <v>5.1060469999999997E-2</v>
      </c>
      <c r="R3664">
        <v>-2.7022569999999999E-2</v>
      </c>
      <c r="S3664">
        <v>3.0079039999999999</v>
      </c>
      <c r="T3664">
        <v>-7.8738329999999995E-2</v>
      </c>
      <c r="U3664">
        <v>-4.0939330000000003E-2</v>
      </c>
      <c r="V3664">
        <v>2.4569259999999999E-2</v>
      </c>
      <c r="W3664">
        <v>5.0499710000000003E-2</v>
      </c>
      <c r="X3664">
        <v>0.99842180000000003</v>
      </c>
      <c r="Y3664">
        <v>1.110708E-2</v>
      </c>
      <c r="Z3664" s="1">
        <v>-7.9929480000000006E-5</v>
      </c>
      <c r="AA3664">
        <v>0.99993829999999995</v>
      </c>
      <c r="AB3664">
        <v>29</v>
      </c>
      <c r="AC3664">
        <v>42.057099999999998</v>
      </c>
      <c r="AD3664">
        <v>-1.1083817478689999</v>
      </c>
      <c r="AE3664">
        <v>-0.57529999999999804</v>
      </c>
      <c r="AF3664">
        <v>0.46985095913231001</v>
      </c>
      <c r="AG3664">
        <v>-1.1083817478689999</v>
      </c>
      <c r="AH3664">
        <v>42.029220874251202</v>
      </c>
      <c r="AI3664">
        <v>91.510542283126796</v>
      </c>
      <c r="AJ3664">
        <v>89.359508574396202</v>
      </c>
      <c r="AK3664">
        <v>42.0464585585921</v>
      </c>
      <c r="AL3664">
        <v>87.105348468852497</v>
      </c>
      <c r="AM3664">
        <v>88.590344425816895</v>
      </c>
      <c r="AN3664">
        <v>0.99999997998113499</v>
      </c>
    </row>
    <row r="3665" spans="1:40" x14ac:dyDescent="0.25">
      <c r="A3665" t="str">
        <f>"20190312154325389"</f>
        <v>20190312154325389</v>
      </c>
      <c r="B3665" t="str">
        <f>"1552376605381510"</f>
        <v>1552376605381510</v>
      </c>
      <c r="C3665" t="s">
        <v>40</v>
      </c>
      <c r="D3665">
        <v>4.7129760000000003</v>
      </c>
      <c r="E3665">
        <v>0.49567050000000001</v>
      </c>
      <c r="F3665" t="s">
        <v>51</v>
      </c>
      <c r="G3665">
        <v>-410.29450000000003</v>
      </c>
      <c r="H3665" s="1">
        <v>2.1787290000000002E-6</v>
      </c>
      <c r="I3665">
        <v>215.52289999999999</v>
      </c>
      <c r="J3665">
        <v>-452.47899999999998</v>
      </c>
      <c r="K3665">
        <v>1.1083240000000001</v>
      </c>
      <c r="L3665">
        <v>216.07579999999999</v>
      </c>
      <c r="M3665">
        <v>0.99999530000000003</v>
      </c>
      <c r="N3665">
        <v>0</v>
      </c>
      <c r="O3665">
        <v>-3.0396780000000001E-3</v>
      </c>
      <c r="P3665">
        <v>0.99835070000000004</v>
      </c>
      <c r="Q3665">
        <v>5.0684760000000002E-2</v>
      </c>
      <c r="R3665">
        <v>-2.6962880000000002E-2</v>
      </c>
      <c r="S3665">
        <v>3.007965</v>
      </c>
      <c r="T3665">
        <v>-7.8519580000000005E-2</v>
      </c>
      <c r="U3665">
        <v>-3.924561E-2</v>
      </c>
      <c r="V3665">
        <v>2.3978800000000002E-2</v>
      </c>
      <c r="W3665">
        <v>5.0213019999999997E-2</v>
      </c>
      <c r="X3665">
        <v>0.99845059999999997</v>
      </c>
      <c r="Y3665">
        <v>1.0004259999999999E-2</v>
      </c>
      <c r="Z3665" s="1">
        <v>-5.1217259999999999E-5</v>
      </c>
      <c r="AA3665">
        <v>0.99994989999999995</v>
      </c>
      <c r="AB3665">
        <v>29</v>
      </c>
      <c r="AC3665">
        <v>42.1845</v>
      </c>
      <c r="AD3665">
        <v>-1.108321821271</v>
      </c>
      <c r="AE3665">
        <v>-0.55289999999999395</v>
      </c>
      <c r="AF3665">
        <v>0.42437724956126499</v>
      </c>
      <c r="AG3665">
        <v>-1.108321821271</v>
      </c>
      <c r="AH3665">
        <v>42.156890647821598</v>
      </c>
      <c r="AI3665">
        <v>91.505906202120499</v>
      </c>
      <c r="AJ3665">
        <v>89.423244844148101</v>
      </c>
      <c r="AK3665">
        <v>42.173592476831303</v>
      </c>
      <c r="AL3665">
        <v>87.121795420440804</v>
      </c>
      <c r="AM3665">
        <v>88.6242484191378</v>
      </c>
      <c r="AN3665">
        <v>0.99999996543365899</v>
      </c>
    </row>
    <row r="3666" spans="1:40" x14ac:dyDescent="0.25">
      <c r="A3666" t="str">
        <f>"20190312154325411"</f>
        <v>20190312154325411</v>
      </c>
      <c r="B3666" t="str">
        <f>"1552376605401030"</f>
        <v>1552376605401030</v>
      </c>
      <c r="C3666" t="s">
        <v>40</v>
      </c>
      <c r="D3666">
        <v>4.6248690000000003</v>
      </c>
      <c r="E3666">
        <v>0.45538869999999998</v>
      </c>
      <c r="F3666" t="s">
        <v>51</v>
      </c>
      <c r="G3666">
        <v>-410.93020000000001</v>
      </c>
      <c r="H3666" s="1">
        <v>2.2888099999999999E-6</v>
      </c>
      <c r="I3666">
        <v>215.55369999999999</v>
      </c>
      <c r="J3666">
        <v>-452.17689999999999</v>
      </c>
      <c r="K3666">
        <v>1.1082540000000001</v>
      </c>
      <c r="L3666">
        <v>216.07429999999999</v>
      </c>
      <c r="M3666">
        <v>0.99999309999999997</v>
      </c>
      <c r="N3666">
        <v>0</v>
      </c>
      <c r="O3666">
        <v>-3.7273810000000001E-3</v>
      </c>
      <c r="P3666">
        <v>0.99835739999999995</v>
      </c>
      <c r="Q3666">
        <v>5.0540979999999999E-2</v>
      </c>
      <c r="R3666">
        <v>-2.6986130000000001E-2</v>
      </c>
      <c r="S3666">
        <v>3.007965</v>
      </c>
      <c r="T3666">
        <v>-8.0238100000000007E-2</v>
      </c>
      <c r="U3666">
        <v>-3.779602E-2</v>
      </c>
      <c r="V3666">
        <v>2.3324879999999999E-2</v>
      </c>
      <c r="W3666">
        <v>5.0166349999999998E-2</v>
      </c>
      <c r="X3666">
        <v>0.99846849999999998</v>
      </c>
      <c r="Y3666">
        <v>8.8353300000000006E-3</v>
      </c>
      <c r="Z3666" s="1">
        <v>-1.8410240000000001E-5</v>
      </c>
      <c r="AA3666">
        <v>0.99996099999999999</v>
      </c>
      <c r="AB3666">
        <v>29</v>
      </c>
      <c r="AC3666">
        <v>41.246699999999898</v>
      </c>
      <c r="AD3666">
        <v>-1.1082517111900001</v>
      </c>
      <c r="AE3666">
        <v>-0.52060000000000095</v>
      </c>
      <c r="AF3666">
        <v>0.36658961292633102</v>
      </c>
      <c r="AG3666">
        <v>-1.1082517111900001</v>
      </c>
      <c r="AH3666">
        <v>41.218601513209698</v>
      </c>
      <c r="AI3666">
        <v>91.540089650224402</v>
      </c>
      <c r="AJ3666">
        <v>89.490436766746697</v>
      </c>
      <c r="AK3666">
        <v>41.2351272643172</v>
      </c>
      <c r="AL3666">
        <v>87.124472972057504</v>
      </c>
      <c r="AM3666">
        <v>88.6617763525892</v>
      </c>
      <c r="AN3666">
        <v>1.00000002909579</v>
      </c>
    </row>
    <row r="3667" spans="1:40" x14ac:dyDescent="0.25">
      <c r="A3667" t="str">
        <f>"20190312154325433"</f>
        <v>20190312154325433</v>
      </c>
      <c r="B3667" t="str">
        <f>"1552376605421527"</f>
        <v>1552376605421527</v>
      </c>
      <c r="C3667" t="s">
        <v>40</v>
      </c>
      <c r="D3667">
        <v>4.7145590000000004</v>
      </c>
      <c r="E3667">
        <v>0.4382008</v>
      </c>
      <c r="F3667" t="s">
        <v>51</v>
      </c>
      <c r="G3667">
        <v>-408.45949999999999</v>
      </c>
      <c r="H3667">
        <v>6.24291999999999E-2</v>
      </c>
      <c r="I3667">
        <v>220.1771</v>
      </c>
      <c r="J3667">
        <v>-451.88619999999997</v>
      </c>
      <c r="K3667">
        <v>1.108196</v>
      </c>
      <c r="L3667">
        <v>216.07249999999999</v>
      </c>
      <c r="M3667">
        <v>0.99999000000000005</v>
      </c>
      <c r="N3667">
        <v>0</v>
      </c>
      <c r="O3667">
        <v>-4.4608850000000004E-3</v>
      </c>
      <c r="P3667">
        <v>0.99832829999999995</v>
      </c>
      <c r="Q3667">
        <v>5.1089099999999998E-2</v>
      </c>
      <c r="R3667">
        <v>-2.7030459999999999E-2</v>
      </c>
      <c r="S3667">
        <v>3.0162049999999998</v>
      </c>
      <c r="T3667">
        <v>-7.2154759999999998E-2</v>
      </c>
      <c r="U3667">
        <v>0.28306579999999998</v>
      </c>
      <c r="V3667">
        <v>2.2646030000000001E-2</v>
      </c>
      <c r="W3667">
        <v>5.0808779999999998E-2</v>
      </c>
      <c r="X3667">
        <v>0.99845159999999999</v>
      </c>
      <c r="Y3667">
        <v>-9.7849199999999997E-2</v>
      </c>
      <c r="Z3667">
        <v>1.2741320000000001E-3</v>
      </c>
      <c r="AA3667">
        <v>0.99520050000000004</v>
      </c>
      <c r="AB3667">
        <v>30</v>
      </c>
      <c r="AC3667">
        <v>43.426699999999897</v>
      </c>
      <c r="AD3667">
        <v>-1.0457668</v>
      </c>
      <c r="AE3667">
        <v>4.1045999999999996</v>
      </c>
      <c r="AF3667">
        <v>-4.29581158447216</v>
      </c>
      <c r="AG3667">
        <v>-1.0457668</v>
      </c>
      <c r="AH3667">
        <v>43.383022540941603</v>
      </c>
      <c r="AI3667">
        <v>91.374154678144606</v>
      </c>
      <c r="AJ3667">
        <v>95.655026130082007</v>
      </c>
      <c r="AK3667">
        <v>43.607731770376603</v>
      </c>
      <c r="AL3667">
        <v>87.087617317501596</v>
      </c>
      <c r="AM3667">
        <v>88.700688632603303</v>
      </c>
      <c r="AN3667">
        <v>0.999999986171204</v>
      </c>
    </row>
    <row r="3668" spans="1:40" x14ac:dyDescent="0.25">
      <c r="A3668" t="str">
        <f>"20190312154325456"</f>
        <v>20190312154325456</v>
      </c>
      <c r="B3668" t="str">
        <f>"1552376605450806"</f>
        <v>1552376605450806</v>
      </c>
      <c r="C3668" t="s">
        <v>40</v>
      </c>
      <c r="D3668">
        <v>4.7517990000000001</v>
      </c>
      <c r="E3668">
        <v>0.4294693</v>
      </c>
      <c r="F3668" t="s">
        <v>51</v>
      </c>
      <c r="G3668">
        <v>-403.5258</v>
      </c>
      <c r="H3668">
        <v>7.9999550000000003E-2</v>
      </c>
      <c r="I3668">
        <v>222.79589999999999</v>
      </c>
      <c r="J3668">
        <v>-451.57530000000003</v>
      </c>
      <c r="K3668">
        <v>1.1081479999999999</v>
      </c>
      <c r="L3668">
        <v>216.07040000000001</v>
      </c>
      <c r="M3668">
        <v>0.99998589999999998</v>
      </c>
      <c r="N3668">
        <v>0</v>
      </c>
      <c r="O3668">
        <v>-5.316851E-3</v>
      </c>
      <c r="P3668">
        <v>0.99831270000000005</v>
      </c>
      <c r="Q3668">
        <v>5.1117790000000003E-2</v>
      </c>
      <c r="R3668">
        <v>-2.75503E-2</v>
      </c>
      <c r="S3668">
        <v>3.0196839999999998</v>
      </c>
      <c r="T3668">
        <v>-6.4201830000000001E-2</v>
      </c>
      <c r="U3668">
        <v>0.4198151</v>
      </c>
      <c r="V3668">
        <v>2.2319289999999999E-2</v>
      </c>
      <c r="W3668">
        <v>5.0938789999999998E-2</v>
      </c>
      <c r="X3668">
        <v>0.99845240000000002</v>
      </c>
      <c r="Y3668">
        <v>-0.14293320000000001</v>
      </c>
      <c r="Z3668">
        <v>1.624517E-3</v>
      </c>
      <c r="AA3668">
        <v>0.98973100000000003</v>
      </c>
      <c r="AB3668">
        <v>30</v>
      </c>
      <c r="AC3668">
        <v>48.049500000000002</v>
      </c>
      <c r="AD3668">
        <v>-1.02814845</v>
      </c>
      <c r="AE3668">
        <v>6.7254999999999798</v>
      </c>
      <c r="AF3668">
        <v>-6.9777435123873897</v>
      </c>
      <c r="AG3668">
        <v>-1.02814845</v>
      </c>
      <c r="AH3668">
        <v>47.991511132207599</v>
      </c>
      <c r="AI3668">
        <v>91.214524761496506</v>
      </c>
      <c r="AJ3668">
        <v>98.272572535580395</v>
      </c>
      <c r="AK3668">
        <v>48.507021497023601</v>
      </c>
      <c r="AL3668">
        <v>87.0801588302227</v>
      </c>
      <c r="AM3668">
        <v>88.719430011323993</v>
      </c>
      <c r="AN3668">
        <v>1.0000000530492601</v>
      </c>
    </row>
    <row r="3669" spans="1:40" x14ac:dyDescent="0.25">
      <c r="A3669" t="str">
        <f>"20190312154325480"</f>
        <v>20190312154325480</v>
      </c>
      <c r="B3669" t="str">
        <f>"1552376605471304"</f>
        <v>1552376605471304</v>
      </c>
      <c r="C3669" t="s">
        <v>40</v>
      </c>
      <c r="D3669">
        <v>4.6886789999999996</v>
      </c>
      <c r="E3669">
        <v>0.42781049999999998</v>
      </c>
      <c r="F3669" t="s">
        <v>51</v>
      </c>
      <c r="G3669">
        <v>-405.71820000000002</v>
      </c>
      <c r="H3669">
        <v>7.9999760000000003E-2</v>
      </c>
      <c r="I3669">
        <v>223.47239999999999</v>
      </c>
      <c r="J3669">
        <v>-451.25970000000001</v>
      </c>
      <c r="K3669">
        <v>1.1080939999999999</v>
      </c>
      <c r="L3669">
        <v>216.06790000000001</v>
      </c>
      <c r="M3669">
        <v>0.99998050000000005</v>
      </c>
      <c r="N3669">
        <v>0</v>
      </c>
      <c r="O3669">
        <v>-6.2572499999999998E-3</v>
      </c>
      <c r="P3669">
        <v>0.99829080000000003</v>
      </c>
      <c r="Q3669">
        <v>5.0904930000000001E-2</v>
      </c>
      <c r="R3669">
        <v>-2.871574E-2</v>
      </c>
      <c r="S3669">
        <v>3.0220030000000002</v>
      </c>
      <c r="T3669">
        <v>-6.7755460000000003E-2</v>
      </c>
      <c r="U3669">
        <v>0.48779299999999998</v>
      </c>
      <c r="V3669">
        <v>2.255368E-2</v>
      </c>
      <c r="W3669">
        <v>5.082735E-2</v>
      </c>
      <c r="X3669">
        <v>0.99845280000000003</v>
      </c>
      <c r="Y3669">
        <v>-0.165483399999999</v>
      </c>
      <c r="Z3669">
        <v>1.9823620000000001E-3</v>
      </c>
      <c r="AA3669">
        <v>0.98621060000000005</v>
      </c>
      <c r="AB3669">
        <v>30</v>
      </c>
      <c r="AC3669">
        <v>45.5414999999999</v>
      </c>
      <c r="AD3669">
        <v>-1.0280942399999999</v>
      </c>
      <c r="AE3669">
        <v>7.4044999999999801</v>
      </c>
      <c r="AF3669">
        <v>-7.6855037153259396</v>
      </c>
      <c r="AG3669">
        <v>-1.0280942399999999</v>
      </c>
      <c r="AH3669">
        <v>45.471699912559302</v>
      </c>
      <c r="AI3669">
        <v>91.277103737109499</v>
      </c>
      <c r="AJ3669">
        <v>99.593313098050103</v>
      </c>
      <c r="AK3669">
        <v>46.128076461765197</v>
      </c>
      <c r="AL3669">
        <v>87.086552117952294</v>
      </c>
      <c r="AM3669">
        <v>88.705986944499003</v>
      </c>
      <c r="AN3669">
        <v>1.0000000409087</v>
      </c>
    </row>
    <row r="3670" spans="1:40" x14ac:dyDescent="0.25">
      <c r="A3670" t="str">
        <f>"20190312154325502"</f>
        <v>20190312154325502</v>
      </c>
      <c r="B3670" t="str">
        <f>"1552376605490822"</f>
        <v>1552376605490822</v>
      </c>
      <c r="C3670" t="s">
        <v>40</v>
      </c>
      <c r="D3670">
        <v>4.6777699999999998</v>
      </c>
      <c r="E3670">
        <v>0.42674659999999898</v>
      </c>
      <c r="F3670" t="s">
        <v>51</v>
      </c>
      <c r="G3670">
        <v>-408.73970000000003</v>
      </c>
      <c r="H3670">
        <v>7.9999890000000004E-2</v>
      </c>
      <c r="I3670">
        <v>223.06440000000001</v>
      </c>
      <c r="J3670">
        <v>-450.95650000000001</v>
      </c>
      <c r="K3670">
        <v>1.1080369999999999</v>
      </c>
      <c r="L3670">
        <v>216.0651</v>
      </c>
      <c r="M3670">
        <v>0.99997389999999997</v>
      </c>
      <c r="N3670">
        <v>0</v>
      </c>
      <c r="O3670">
        <v>-7.2298619999999897E-3</v>
      </c>
      <c r="P3670">
        <v>0.99824449999999998</v>
      </c>
      <c r="Q3670">
        <v>5.1224159999999998E-2</v>
      </c>
      <c r="R3670">
        <v>-2.97358E-2</v>
      </c>
      <c r="S3670">
        <v>3.0231629999999998</v>
      </c>
      <c r="T3670">
        <v>-7.3097229999999999E-2</v>
      </c>
      <c r="U3670">
        <v>0.4974518</v>
      </c>
      <c r="V3670">
        <v>2.2610999999999999E-2</v>
      </c>
      <c r="W3670">
        <v>5.1244999999999999E-2</v>
      </c>
      <c r="X3670">
        <v>0.99843009999999999</v>
      </c>
      <c r="Y3670">
        <v>-0.16944279999999901</v>
      </c>
      <c r="Z3670">
        <v>2.2081549999999998E-3</v>
      </c>
      <c r="AA3670">
        <v>0.98553749999999996</v>
      </c>
      <c r="AB3670">
        <v>30</v>
      </c>
      <c r="AC3670">
        <v>42.2167999999999</v>
      </c>
      <c r="AD3670">
        <v>-1.0280371100000001</v>
      </c>
      <c r="AE3670">
        <v>6.9992999999999999</v>
      </c>
      <c r="AF3670">
        <v>-7.3001256056721697</v>
      </c>
      <c r="AG3670">
        <v>-1.0280371100000001</v>
      </c>
      <c r="AH3670">
        <v>42.140772141580896</v>
      </c>
      <c r="AI3670">
        <v>91.376970836324404</v>
      </c>
      <c r="AJ3670">
        <v>99.827921128097202</v>
      </c>
      <c r="AK3670">
        <v>42.780759353321102</v>
      </c>
      <c r="AL3670">
        <v>87.062591149316006</v>
      </c>
      <c r="AM3670">
        <v>88.7026698580421</v>
      </c>
      <c r="AN3670">
        <v>0.99999998596600503</v>
      </c>
    </row>
    <row r="3671" spans="1:40" x14ac:dyDescent="0.25">
      <c r="A3671" t="str">
        <f>"20190312154325524"</f>
        <v>20190312154325524</v>
      </c>
      <c r="B3671" t="str">
        <f>"1552376605511318"</f>
        <v>1552376605511318</v>
      </c>
      <c r="C3671" t="s">
        <v>40</v>
      </c>
      <c r="D3671">
        <v>4.6951169999999998</v>
      </c>
      <c r="E3671">
        <v>0.4258305</v>
      </c>
      <c r="F3671" t="s">
        <v>51</v>
      </c>
      <c r="G3671">
        <v>-409.88929999999999</v>
      </c>
      <c r="H3671">
        <v>7.9863699999999996E-2</v>
      </c>
      <c r="I3671">
        <v>222.89349999999999</v>
      </c>
      <c r="J3671">
        <v>-450.66399999999999</v>
      </c>
      <c r="K3671">
        <v>1.107996</v>
      </c>
      <c r="L3671">
        <v>216.06209999999999</v>
      </c>
      <c r="M3671">
        <v>0.99996609999999997</v>
      </c>
      <c r="N3671">
        <v>0</v>
      </c>
      <c r="O3671">
        <v>-8.2361220000000002E-3</v>
      </c>
      <c r="P3671">
        <v>0.99815010000000004</v>
      </c>
      <c r="Q3671">
        <v>5.167853E-2</v>
      </c>
      <c r="R3671">
        <v>-3.2029519999999999E-2</v>
      </c>
      <c r="S3671">
        <v>3.0241389999999999</v>
      </c>
      <c r="T3671">
        <v>-7.5713399999999903E-2</v>
      </c>
      <c r="U3671">
        <v>0.50283809999999995</v>
      </c>
      <c r="V3671">
        <v>2.390975E-2</v>
      </c>
      <c r="W3671">
        <v>5.1791209999999997E-2</v>
      </c>
      <c r="X3671">
        <v>0.99837169999999997</v>
      </c>
      <c r="Y3671">
        <v>-0.17208689999999999</v>
      </c>
      <c r="Z3671">
        <v>2.3439960000000001E-3</v>
      </c>
      <c r="AA3671">
        <v>0.98507900000000004</v>
      </c>
      <c r="AB3671">
        <v>30</v>
      </c>
      <c r="AC3671">
        <v>40.774700000000003</v>
      </c>
      <c r="AD3671">
        <v>-1.0281323</v>
      </c>
      <c r="AE3671">
        <v>6.8314000000000004</v>
      </c>
      <c r="AF3671">
        <v>-7.1625641156965498</v>
      </c>
      <c r="AG3671">
        <v>-1.0281323</v>
      </c>
      <c r="AH3671">
        <v>40.691887506364502</v>
      </c>
      <c r="AI3671">
        <v>91.425438437200398</v>
      </c>
      <c r="AJ3671">
        <v>99.982910829101698</v>
      </c>
      <c r="AK3671">
        <v>41.3302442476257</v>
      </c>
      <c r="AL3671">
        <v>87.031254133227606</v>
      </c>
      <c r="AM3671">
        <v>88.628100185123799</v>
      </c>
      <c r="AN3671">
        <v>1.0000000284696</v>
      </c>
    </row>
    <row r="3672" spans="1:40" x14ac:dyDescent="0.25">
      <c r="A3672" t="str">
        <f>"20190312154325546"</f>
        <v>20190312154325546</v>
      </c>
      <c r="B3672" t="str">
        <f>"1552376605541575"</f>
        <v>1552376605541575</v>
      </c>
      <c r="C3672" t="s">
        <v>40</v>
      </c>
      <c r="D3672">
        <v>4.7029690000000004</v>
      </c>
      <c r="E3672">
        <v>0.42471059999999999</v>
      </c>
      <c r="F3672" t="s">
        <v>51</v>
      </c>
      <c r="G3672">
        <v>-409.90429999999998</v>
      </c>
      <c r="H3672">
        <v>6.0513850000000001E-2</v>
      </c>
      <c r="I3672">
        <v>222.83519999999999</v>
      </c>
      <c r="J3672">
        <v>-450.35050000000001</v>
      </c>
      <c r="K3672">
        <v>1.107939</v>
      </c>
      <c r="L3672">
        <v>216.05840000000001</v>
      </c>
      <c r="M3672">
        <v>0.99995610000000001</v>
      </c>
      <c r="N3672">
        <v>0</v>
      </c>
      <c r="O3672">
        <v>-9.3891960000000007E-3</v>
      </c>
      <c r="P3672">
        <v>0.99802259999999998</v>
      </c>
      <c r="Q3672">
        <v>5.1754210000000002E-2</v>
      </c>
      <c r="R3672">
        <v>-3.5675449999999997E-2</v>
      </c>
      <c r="S3672">
        <v>3.0257260000000001</v>
      </c>
      <c r="T3672">
        <v>-7.7757950000000006E-2</v>
      </c>
      <c r="U3672">
        <v>0.50279240000000003</v>
      </c>
      <c r="V3672">
        <v>2.6414759999999999E-2</v>
      </c>
      <c r="W3672">
        <v>5.1962630000000003E-2</v>
      </c>
      <c r="X3672">
        <v>0.99829959999999995</v>
      </c>
      <c r="Y3672">
        <v>-0.17312089999999999</v>
      </c>
      <c r="Z3672">
        <v>2.448661E-3</v>
      </c>
      <c r="AA3672">
        <v>0.98489760000000004</v>
      </c>
      <c r="AB3672">
        <v>31</v>
      </c>
      <c r="AC3672">
        <v>40.446199999999997</v>
      </c>
      <c r="AD3672">
        <v>-1.04742515</v>
      </c>
      <c r="AE3672">
        <v>6.7767999999999802</v>
      </c>
      <c r="AF3672">
        <v>-7.1515933242182204</v>
      </c>
      <c r="AG3672">
        <v>-1.04742515</v>
      </c>
      <c r="AH3672">
        <v>40.354464088345999</v>
      </c>
      <c r="AI3672">
        <v>91.464011670550605</v>
      </c>
      <c r="AJ3672">
        <v>100.04958165487901</v>
      </c>
      <c r="AK3672">
        <v>40.996648135883802</v>
      </c>
      <c r="AL3672">
        <v>87.021419082527402</v>
      </c>
      <c r="AM3672">
        <v>88.4843215262798</v>
      </c>
      <c r="AN3672">
        <v>0.99999997291126597</v>
      </c>
    </row>
    <row r="3673" spans="1:40" x14ac:dyDescent="0.25">
      <c r="A3673" t="str">
        <f>"20190312154325566"</f>
        <v>20190312154325566</v>
      </c>
      <c r="B3673" t="str">
        <f>"1552376605561095"</f>
        <v>1552376605561095</v>
      </c>
      <c r="C3673" t="s">
        <v>40</v>
      </c>
      <c r="D3673">
        <v>4.6935440000000002</v>
      </c>
      <c r="E3673">
        <v>0.42388900000000002</v>
      </c>
      <c r="F3673" t="s">
        <v>51</v>
      </c>
      <c r="G3673">
        <v>-409.90699999999998</v>
      </c>
      <c r="H3673">
        <v>2.1258570000000001E-3</v>
      </c>
      <c r="I3673">
        <v>222.73140000000001</v>
      </c>
      <c r="J3673">
        <v>-450.06079999999997</v>
      </c>
      <c r="K3673">
        <v>1.1078870000000001</v>
      </c>
      <c r="L3673">
        <v>216.0547</v>
      </c>
      <c r="M3673">
        <v>0.99994470000000002</v>
      </c>
      <c r="N3673">
        <v>0</v>
      </c>
      <c r="O3673">
        <v>-1.052727E-2</v>
      </c>
      <c r="P3673">
        <v>0.99777950000000004</v>
      </c>
      <c r="Q3673">
        <v>5.1730030000000003E-2</v>
      </c>
      <c r="R3673">
        <v>-4.1957899999999999E-2</v>
      </c>
      <c r="S3673">
        <v>3.028076</v>
      </c>
      <c r="T3673">
        <v>-8.2794069999999997E-2</v>
      </c>
      <c r="U3673">
        <v>0.49961850000000002</v>
      </c>
      <c r="V3673">
        <v>3.1571889999999998E-2</v>
      </c>
      <c r="W3673">
        <v>5.201882E-2</v>
      </c>
      <c r="X3673">
        <v>0.99814689999999995</v>
      </c>
      <c r="Y3673">
        <v>-0.17310529999999999</v>
      </c>
      <c r="Z3673">
        <v>2.6361230000000002E-3</v>
      </c>
      <c r="AA3673">
        <v>0.98489979999999999</v>
      </c>
      <c r="AB3673">
        <v>31</v>
      </c>
      <c r="AC3673">
        <v>40.153799999999897</v>
      </c>
      <c r="AD3673">
        <v>-1.1057611430000001</v>
      </c>
      <c r="AE3673">
        <v>6.6767000000000101</v>
      </c>
      <c r="AF3673">
        <v>-7.0938050212822299</v>
      </c>
      <c r="AG3673">
        <v>-1.1057611430000001</v>
      </c>
      <c r="AH3673">
        <v>40.051731503848899</v>
      </c>
      <c r="AI3673">
        <v>91.557214504654198</v>
      </c>
      <c r="AJ3673">
        <v>100.043841908454</v>
      </c>
      <c r="AK3673">
        <v>40.690121329897003</v>
      </c>
      <c r="AL3673">
        <v>87.018195317415504</v>
      </c>
      <c r="AM3673">
        <v>88.188309619850102</v>
      </c>
      <c r="AN3673">
        <v>0.99999998792598699</v>
      </c>
    </row>
    <row r="3674" spans="1:40" x14ac:dyDescent="0.25">
      <c r="A3674" t="str">
        <f>"20190312154325589"</f>
        <v>20190312154325589</v>
      </c>
      <c r="B3674" t="str">
        <f>"1552376605581590"</f>
        <v>1552376605581590</v>
      </c>
      <c r="C3674" t="s">
        <v>40</v>
      </c>
      <c r="D3674">
        <v>4.6847269999999996</v>
      </c>
      <c r="E3674">
        <v>0.42309269999999999</v>
      </c>
      <c r="F3674" t="s">
        <v>51</v>
      </c>
      <c r="G3674">
        <v>-411.52420000000001</v>
      </c>
      <c r="H3674" s="1">
        <v>1.5777449999999999E-6</v>
      </c>
      <c r="I3674">
        <v>222.2354</v>
      </c>
      <c r="J3674">
        <v>-449.74770000000001</v>
      </c>
      <c r="K3674">
        <v>1.1078399999999999</v>
      </c>
      <c r="L3674">
        <v>216.05019999999999</v>
      </c>
      <c r="M3674">
        <v>0.99992999999999999</v>
      </c>
      <c r="N3674">
        <v>0</v>
      </c>
      <c r="O3674">
        <v>-1.183588E-2</v>
      </c>
      <c r="P3674">
        <v>0.99736210000000003</v>
      </c>
      <c r="Q3674">
        <v>5.3054240000000003E-2</v>
      </c>
      <c r="R3674">
        <v>-4.9542999999999997E-2</v>
      </c>
      <c r="S3674">
        <v>3.031647</v>
      </c>
      <c r="T3674">
        <v>-8.7156529999999996E-2</v>
      </c>
      <c r="U3674">
        <v>0.48623660000000002</v>
      </c>
      <c r="V3674">
        <v>3.786809E-2</v>
      </c>
      <c r="W3674">
        <v>5.3426389999999997E-2</v>
      </c>
      <c r="X3674">
        <v>0.99785349999999995</v>
      </c>
      <c r="Y3674">
        <v>-0.16996520000000001</v>
      </c>
      <c r="Z3674">
        <v>2.7652649999999998E-3</v>
      </c>
      <c r="AA3674">
        <v>0.98544620000000005</v>
      </c>
      <c r="AB3674">
        <v>31</v>
      </c>
      <c r="AC3674">
        <v>38.223500000000001</v>
      </c>
      <c r="AD3674">
        <v>-1.107838422255</v>
      </c>
      <c r="AE3674">
        <v>6.1852</v>
      </c>
      <c r="AF3674">
        <v>-6.6317468050893202</v>
      </c>
      <c r="AG3674">
        <v>-1.107838422255</v>
      </c>
      <c r="AH3674">
        <v>38.116413582057497</v>
      </c>
      <c r="AI3674">
        <v>91.640183951943698</v>
      </c>
      <c r="AJ3674">
        <v>99.869899979710993</v>
      </c>
      <c r="AK3674">
        <v>38.704888011917703</v>
      </c>
      <c r="AL3674">
        <v>86.937435172419001</v>
      </c>
      <c r="AM3674">
        <v>87.826693933123707</v>
      </c>
      <c r="AN3674">
        <v>0.99999998942546497</v>
      </c>
    </row>
    <row r="3675" spans="1:40" x14ac:dyDescent="0.25">
      <c r="A3675" t="str">
        <f>"20190312154325612"</f>
        <v>20190312154325612</v>
      </c>
      <c r="B3675" t="str">
        <f>"1552376605601114"</f>
        <v>1552376605601114</v>
      </c>
      <c r="C3675" t="s">
        <v>40</v>
      </c>
      <c r="D3675">
        <v>4.7196930000000004</v>
      </c>
      <c r="E3675">
        <v>0.42217349999999998</v>
      </c>
      <c r="F3675" t="s">
        <v>51</v>
      </c>
      <c r="G3675">
        <v>-410.93799999999999</v>
      </c>
      <c r="H3675" s="1">
        <v>1.5077439999999999E-6</v>
      </c>
      <c r="I3675">
        <v>222.04239999999999</v>
      </c>
      <c r="J3675">
        <v>-449.42009999999999</v>
      </c>
      <c r="K3675">
        <v>1.107793</v>
      </c>
      <c r="L3675">
        <v>216.04490000000001</v>
      </c>
      <c r="M3675">
        <v>0.99991169999999996</v>
      </c>
      <c r="N3675">
        <v>0</v>
      </c>
      <c r="O3675">
        <v>-1.3289860000000001E-2</v>
      </c>
      <c r="P3675">
        <v>0.99675409999999998</v>
      </c>
      <c r="Q3675">
        <v>5.6834900000000001E-2</v>
      </c>
      <c r="R3675">
        <v>-5.70219E-2</v>
      </c>
      <c r="S3675">
        <v>3.035828</v>
      </c>
      <c r="T3675">
        <v>-8.6658719999999995E-2</v>
      </c>
      <c r="U3675">
        <v>0.4687347</v>
      </c>
      <c r="V3675">
        <v>4.392393E-2</v>
      </c>
      <c r="W3675">
        <v>5.7293320000000002E-2</v>
      </c>
      <c r="X3675">
        <v>0.99739069999999996</v>
      </c>
      <c r="Y3675">
        <v>-0.16564229999999899</v>
      </c>
      <c r="Z3675">
        <v>2.726905E-3</v>
      </c>
      <c r="AA3675">
        <v>0.98618220000000001</v>
      </c>
      <c r="AB3675">
        <v>31</v>
      </c>
      <c r="AC3675">
        <v>38.482099999999903</v>
      </c>
      <c r="AD3675">
        <v>-1.1077914922559999</v>
      </c>
      <c r="AE3675">
        <v>5.9974999999999703</v>
      </c>
      <c r="AF3675">
        <v>-6.5031306886159497</v>
      </c>
      <c r="AG3675">
        <v>-1.1077914922559999</v>
      </c>
      <c r="AH3675">
        <v>38.367953937132</v>
      </c>
      <c r="AI3675">
        <v>91.630588725216995</v>
      </c>
      <c r="AJ3675">
        <v>99.619855032076401</v>
      </c>
      <c r="AK3675">
        <v>38.930936285496799</v>
      </c>
      <c r="AL3675">
        <v>86.715536080064595</v>
      </c>
      <c r="AM3675">
        <v>87.478389613235294</v>
      </c>
      <c r="AN3675">
        <v>1.00000002229487</v>
      </c>
    </row>
    <row r="3676" spans="1:40" x14ac:dyDescent="0.25">
      <c r="A3676" t="str">
        <f>"20190312154325634"</f>
        <v>20190312154325634</v>
      </c>
      <c r="B3676" t="str">
        <f>"1552376605631092"</f>
        <v>1552376605631092</v>
      </c>
      <c r="C3676" t="s">
        <v>40</v>
      </c>
      <c r="D3676">
        <v>4.8656360000000003</v>
      </c>
      <c r="E3676">
        <v>0.46812900000000002</v>
      </c>
      <c r="F3676" t="s">
        <v>51</v>
      </c>
      <c r="G3676">
        <v>-409.59719999999999</v>
      </c>
      <c r="H3676">
        <v>8.0000089999999996E-2</v>
      </c>
      <c r="I3676">
        <v>221.9796</v>
      </c>
      <c r="J3676">
        <v>-449.11320000000001</v>
      </c>
      <c r="K3676">
        <v>1.1077330000000001</v>
      </c>
      <c r="L3676">
        <v>216.03960000000001</v>
      </c>
      <c r="M3676">
        <v>0.99989170000000005</v>
      </c>
      <c r="N3676">
        <v>0</v>
      </c>
      <c r="O3676">
        <v>-1.471105E-2</v>
      </c>
      <c r="P3676">
        <v>0.99653639999999999</v>
      </c>
      <c r="Q3676">
        <v>5.7849860000000003E-2</v>
      </c>
      <c r="R3676">
        <v>-5.9740620000000001E-2</v>
      </c>
      <c r="S3676">
        <v>3.0401609999999999</v>
      </c>
      <c r="T3676">
        <v>-7.8463669999999999E-2</v>
      </c>
      <c r="U3676">
        <v>0.45306400000000002</v>
      </c>
      <c r="V3676">
        <v>4.5240019999999999E-2</v>
      </c>
      <c r="W3676">
        <v>5.8399159999999999E-2</v>
      </c>
      <c r="X3676">
        <v>0.99726769999999998</v>
      </c>
      <c r="Y3676">
        <v>-0.1618754</v>
      </c>
      <c r="Z3676">
        <v>2.4547380000000001E-3</v>
      </c>
      <c r="AA3676">
        <v>0.98680820000000002</v>
      </c>
      <c r="AB3676">
        <v>31</v>
      </c>
      <c r="AC3676">
        <v>39.515999999999998</v>
      </c>
      <c r="AD3676">
        <v>-1.0277329100000001</v>
      </c>
      <c r="AE3676">
        <v>5.9399999999999897</v>
      </c>
      <c r="AF3676">
        <v>-6.5163687280144797</v>
      </c>
      <c r="AG3676">
        <v>-1.0277329100000001</v>
      </c>
      <c r="AH3676">
        <v>39.398279389970199</v>
      </c>
      <c r="AI3676">
        <v>91.474243585733504</v>
      </c>
      <c r="AJ3676">
        <v>99.391543544716498</v>
      </c>
      <c r="AK3676">
        <v>39.9467610104236</v>
      </c>
      <c r="AL3676">
        <v>86.652069742533101</v>
      </c>
      <c r="AM3676">
        <v>87.402616825938395</v>
      </c>
      <c r="AN3676">
        <v>0.99999999338079704</v>
      </c>
    </row>
    <row r="3677" spans="1:40" x14ac:dyDescent="0.25">
      <c r="A3677" t="str">
        <f>"20190312154325656"</f>
        <v>20190312154325656</v>
      </c>
      <c r="B3677" t="str">
        <f>"1552376605651587"</f>
        <v>1552376605651587</v>
      </c>
      <c r="C3677" t="s">
        <v>40</v>
      </c>
      <c r="D3677">
        <v>4.8696289999999998</v>
      </c>
      <c r="E3677">
        <v>0.48041349999999999</v>
      </c>
      <c r="F3677" t="s">
        <v>51</v>
      </c>
      <c r="G3677">
        <v>-413.71980000000002</v>
      </c>
      <c r="H3677" s="1">
        <v>2.6601460000000002E-6</v>
      </c>
      <c r="I3677">
        <v>216.96619999999999</v>
      </c>
      <c r="J3677">
        <v>-448.8039</v>
      </c>
      <c r="K3677">
        <v>1.107674</v>
      </c>
      <c r="L3677">
        <v>216.03360000000001</v>
      </c>
      <c r="M3677">
        <v>0.9998686</v>
      </c>
      <c r="N3677">
        <v>0</v>
      </c>
      <c r="O3677">
        <v>-1.6197329999999999E-2</v>
      </c>
      <c r="P3677">
        <v>0.99634829999999996</v>
      </c>
      <c r="Q3677">
        <v>5.7931570000000002E-2</v>
      </c>
      <c r="R3677">
        <v>-6.2720780000000004E-2</v>
      </c>
      <c r="S3677">
        <v>3.0206909999999998</v>
      </c>
      <c r="T3677">
        <v>-9.4540479999999996E-2</v>
      </c>
      <c r="U3677">
        <v>7.9086299999999998E-2</v>
      </c>
      <c r="V3677">
        <v>4.6749640000000002E-2</v>
      </c>
      <c r="W3677">
        <v>5.8571949999999998E-2</v>
      </c>
      <c r="X3677">
        <v>0.99718799999999996</v>
      </c>
      <c r="Y3677">
        <v>-4.2332269999999998E-2</v>
      </c>
      <c r="Z3677">
        <v>1.168912E-3</v>
      </c>
      <c r="AA3677">
        <v>0.99910290000000002</v>
      </c>
      <c r="AB3677">
        <v>32</v>
      </c>
      <c r="AC3677">
        <v>35.0840999999999</v>
      </c>
      <c r="AD3677">
        <v>-1.1076713398539999</v>
      </c>
      <c r="AE3677">
        <v>0.932599999999979</v>
      </c>
      <c r="AF3677">
        <v>-1.4992531472211501</v>
      </c>
      <c r="AG3677">
        <v>-1.1076713398539999</v>
      </c>
      <c r="AH3677">
        <v>35.029499646627698</v>
      </c>
      <c r="AI3677">
        <v>91.809496655568907</v>
      </c>
      <c r="AJ3677">
        <v>92.4507482161101</v>
      </c>
      <c r="AK3677">
        <v>35.079061294306001</v>
      </c>
      <c r="AL3677">
        <v>86.642152835465495</v>
      </c>
      <c r="AM3677">
        <v>87.315854909930806</v>
      </c>
      <c r="AN3677">
        <v>1.0000000547554599</v>
      </c>
    </row>
    <row r="3678" spans="1:40" x14ac:dyDescent="0.25">
      <c r="A3678" t="str">
        <f>"20190312154325680"</f>
        <v>20190312154325680</v>
      </c>
      <c r="B3678" t="str">
        <f>"1552376605671108"</f>
        <v>1552376605671108</v>
      </c>
      <c r="C3678" t="s">
        <v>40</v>
      </c>
      <c r="D3678">
        <v>5.0080559999999998</v>
      </c>
      <c r="E3678">
        <v>0.48376269999999999</v>
      </c>
      <c r="F3678" t="s">
        <v>51</v>
      </c>
      <c r="G3678">
        <v>-416.85419999999999</v>
      </c>
      <c r="H3678" s="1">
        <v>3.3232319999999998E-6</v>
      </c>
      <c r="I3678">
        <v>215.74109999999999</v>
      </c>
      <c r="J3678">
        <v>-448.44729999999998</v>
      </c>
      <c r="K3678">
        <v>1.107604</v>
      </c>
      <c r="L3678">
        <v>216.02619999999999</v>
      </c>
      <c r="M3678">
        <v>0.99983809999999995</v>
      </c>
      <c r="N3678">
        <v>0</v>
      </c>
      <c r="O3678">
        <v>-1.79715999999999E-2</v>
      </c>
      <c r="P3678">
        <v>0.99636429999999998</v>
      </c>
      <c r="Q3678">
        <v>5.5709479999999999E-2</v>
      </c>
      <c r="R3678">
        <v>-6.4457269999999997E-2</v>
      </c>
      <c r="S3678">
        <v>3.0153500000000002</v>
      </c>
      <c r="T3678">
        <v>-0.1045398</v>
      </c>
      <c r="U3678">
        <v>-2.760315E-2</v>
      </c>
      <c r="V3678">
        <v>4.6718429999999998E-2</v>
      </c>
      <c r="W3678">
        <v>5.6460690000000001E-2</v>
      </c>
      <c r="X3678">
        <v>0.99731119999999995</v>
      </c>
      <c r="Y3678">
        <v>-8.80242E-3</v>
      </c>
      <c r="Z3678">
        <v>7.7536019999999996E-4</v>
      </c>
      <c r="AA3678">
        <v>0.99996099999999999</v>
      </c>
      <c r="AB3678">
        <v>32</v>
      </c>
      <c r="AC3678">
        <v>31.5931</v>
      </c>
      <c r="AD3678">
        <v>-1.107600676768</v>
      </c>
      <c r="AE3678">
        <v>-0.28509999999999902</v>
      </c>
      <c r="AF3678">
        <v>-0.28237778802682201</v>
      </c>
      <c r="AG3678">
        <v>-1.107600676768</v>
      </c>
      <c r="AH3678">
        <v>31.5543415327584</v>
      </c>
      <c r="AI3678">
        <v>92.010254660040999</v>
      </c>
      <c r="AJ3678">
        <v>90.512722586670293</v>
      </c>
      <c r="AK3678">
        <v>31.5750373877896</v>
      </c>
      <c r="AL3678">
        <v>86.763319627782195</v>
      </c>
      <c r="AM3678">
        <v>87.317975097075205</v>
      </c>
      <c r="AN3678">
        <v>1.00000002543119</v>
      </c>
    </row>
    <row r="3679" spans="1:40" x14ac:dyDescent="0.25">
      <c r="A3679" t="str">
        <f>"20190312154325703"</f>
        <v>20190312154325703</v>
      </c>
      <c r="B3679" t="str">
        <f>"1552376605691604"</f>
        <v>1552376605691604</v>
      </c>
      <c r="C3679" t="s">
        <v>40</v>
      </c>
      <c r="D3679">
        <v>4.808446</v>
      </c>
      <c r="E3679">
        <v>0.48524289999999998</v>
      </c>
      <c r="F3679" t="s">
        <v>51</v>
      </c>
      <c r="G3679">
        <v>-419.23399999999998</v>
      </c>
      <c r="H3679" s="1">
        <v>3.7705510000000001E-6</v>
      </c>
      <c r="I3679">
        <v>215.45320000000001</v>
      </c>
      <c r="J3679">
        <v>-448.12599999999998</v>
      </c>
      <c r="K3679">
        <v>1.1075489999999999</v>
      </c>
      <c r="L3679">
        <v>216.0189</v>
      </c>
      <c r="M3679">
        <v>0.99980709999999995</v>
      </c>
      <c r="N3679">
        <v>0</v>
      </c>
      <c r="O3679">
        <v>-1.961384E-2</v>
      </c>
      <c r="P3679">
        <v>0.99649980000000005</v>
      </c>
      <c r="Q3679">
        <v>5.3059889999999998E-2</v>
      </c>
      <c r="R3679">
        <v>-6.4596070000000005E-2</v>
      </c>
      <c r="S3679">
        <v>3.0135190000000001</v>
      </c>
      <c r="T3679">
        <v>-0.11425539999999899</v>
      </c>
      <c r="U3679">
        <v>-5.911255E-2</v>
      </c>
      <c r="V3679">
        <v>4.5215270000000002E-2</v>
      </c>
      <c r="W3679">
        <v>5.3915869999999998E-2</v>
      </c>
      <c r="X3679">
        <v>0.99752130000000006</v>
      </c>
      <c r="Y3679" s="1">
        <v>1.22338E-5</v>
      </c>
      <c r="Z3679">
        <v>7.4300349999999995E-4</v>
      </c>
      <c r="AA3679">
        <v>0.99999970000000005</v>
      </c>
      <c r="AB3679">
        <v>32</v>
      </c>
      <c r="AC3679">
        <v>28.8919999999999</v>
      </c>
      <c r="AD3679">
        <v>-1.10754522944899</v>
      </c>
      <c r="AE3679">
        <v>-0.56569999999999199</v>
      </c>
      <c r="AF3679">
        <v>-1.09058739175749E-3</v>
      </c>
      <c r="AG3679">
        <v>-1.10754522944899</v>
      </c>
      <c r="AH3679">
        <v>28.855151385524501</v>
      </c>
      <c r="AI3679">
        <v>92.198100814143899</v>
      </c>
      <c r="AJ3679">
        <v>90.002165507776098</v>
      </c>
      <c r="AK3679">
        <v>28.876398998250998</v>
      </c>
      <c r="AL3679">
        <v>86.909349718101893</v>
      </c>
      <c r="AM3679">
        <v>87.4046949329542</v>
      </c>
      <c r="AN3679">
        <v>1.00000004281635</v>
      </c>
    </row>
    <row r="3680" spans="1:40" x14ac:dyDescent="0.25">
      <c r="A3680" t="str">
        <f>"20190312154325724"</f>
        <v>20190312154325724</v>
      </c>
      <c r="B3680" t="str">
        <f>"1552376605711127"</f>
        <v>1552376605711127</v>
      </c>
      <c r="C3680" t="s">
        <v>40</v>
      </c>
      <c r="D3680">
        <v>4.8174640000000002</v>
      </c>
      <c r="E3680">
        <v>0.486043</v>
      </c>
      <c r="F3680" t="s">
        <v>51</v>
      </c>
      <c r="G3680">
        <v>-418.87220000000002</v>
      </c>
      <c r="H3680" s="1">
        <v>3.7165669999999999E-6</v>
      </c>
      <c r="I3680">
        <v>215.3366</v>
      </c>
      <c r="J3680">
        <v>-447.81380000000001</v>
      </c>
      <c r="K3680">
        <v>1.107515</v>
      </c>
      <c r="L3680">
        <v>216.01130000000001</v>
      </c>
      <c r="M3680">
        <v>0.99977400000000005</v>
      </c>
      <c r="N3680">
        <v>0</v>
      </c>
      <c r="O3680">
        <v>-2.1234940000000001E-2</v>
      </c>
      <c r="P3680">
        <v>0.99655959999999999</v>
      </c>
      <c r="Q3680">
        <v>5.24057E-2</v>
      </c>
      <c r="R3680">
        <v>-6.4213489999999998E-2</v>
      </c>
      <c r="S3680">
        <v>3.0120239999999998</v>
      </c>
      <c r="T3680">
        <v>-0.11403480000000001</v>
      </c>
      <c r="U3680">
        <v>-7.0251460000000002E-2</v>
      </c>
      <c r="V3680">
        <v>4.3218439999999997E-2</v>
      </c>
      <c r="W3680">
        <v>5.3400690000000001E-2</v>
      </c>
      <c r="X3680">
        <v>0.99763749999999995</v>
      </c>
      <c r="Y3680">
        <v>2.0965990000000002E-3</v>
      </c>
      <c r="Z3680">
        <v>7.6379119999999995E-4</v>
      </c>
      <c r="AA3680">
        <v>0.99999749999999998</v>
      </c>
      <c r="AB3680">
        <v>32</v>
      </c>
      <c r="AC3680">
        <v>28.941599999999902</v>
      </c>
      <c r="AD3680">
        <v>-1.1075112834330001</v>
      </c>
      <c r="AE3680">
        <v>-0.67470000000000097</v>
      </c>
      <c r="AF3680">
        <v>5.9886760244514399E-2</v>
      </c>
      <c r="AG3680">
        <v>-1.1075112834330001</v>
      </c>
      <c r="AH3680">
        <v>28.907093538339598</v>
      </c>
      <c r="AI3680">
        <v>92.194083100092698</v>
      </c>
      <c r="AJ3680">
        <v>89.881300633103194</v>
      </c>
      <c r="AK3680">
        <v>28.928363667883101</v>
      </c>
      <c r="AL3680">
        <v>86.9389098859412</v>
      </c>
      <c r="AM3680">
        <v>87.519452797879595</v>
      </c>
      <c r="AN3680">
        <v>1.0000000243273699</v>
      </c>
    </row>
    <row r="3681" spans="1:40" x14ac:dyDescent="0.25">
      <c r="A3681" t="str">
        <f>"20190312154325744"</f>
        <v>20190312154325744</v>
      </c>
      <c r="B3681" t="str">
        <f>"1552376605731233"</f>
        <v>1552376605731233</v>
      </c>
      <c r="C3681" t="s">
        <v>40</v>
      </c>
      <c r="D3681">
        <v>4.8407080000000002</v>
      </c>
      <c r="E3681">
        <v>0.4864832</v>
      </c>
      <c r="F3681" t="s">
        <v>51</v>
      </c>
      <c r="G3681">
        <v>-418.41930000000002</v>
      </c>
      <c r="H3681" s="1">
        <v>3.6409920000000002E-6</v>
      </c>
      <c r="I3681">
        <v>215.28200000000001</v>
      </c>
      <c r="J3681">
        <v>-447.5181</v>
      </c>
      <c r="K3681">
        <v>1.107513</v>
      </c>
      <c r="L3681">
        <v>216.00360000000001</v>
      </c>
      <c r="M3681">
        <v>0.99973970000000001</v>
      </c>
      <c r="N3681">
        <v>0</v>
      </c>
      <c r="O3681">
        <v>-2.2778659999999999E-2</v>
      </c>
      <c r="P3681">
        <v>0.9965659</v>
      </c>
      <c r="Q3681">
        <v>5.2597699999999997E-2</v>
      </c>
      <c r="R3681">
        <v>-6.3954330000000004E-2</v>
      </c>
      <c r="S3681">
        <v>3.0115050000000001</v>
      </c>
      <c r="T3681">
        <v>-0.1134657</v>
      </c>
      <c r="U3681">
        <v>-7.4722289999999997E-2</v>
      </c>
      <c r="V3681">
        <v>4.142593E-2</v>
      </c>
      <c r="W3681">
        <v>5.3821590000000002E-2</v>
      </c>
      <c r="X3681">
        <v>0.99769090000000005</v>
      </c>
      <c r="Y3681">
        <v>2.0412329999999999E-3</v>
      </c>
      <c r="Z3681">
        <v>8.1925409999999998E-4</v>
      </c>
      <c r="AA3681">
        <v>0.99999760000000004</v>
      </c>
      <c r="AB3681">
        <v>32</v>
      </c>
      <c r="AC3681">
        <v>29.098799999999901</v>
      </c>
      <c r="AD3681">
        <v>-1.1075093590080001</v>
      </c>
      <c r="AE3681">
        <v>-0.72159999999999502</v>
      </c>
      <c r="AF3681">
        <v>5.84958603980823E-2</v>
      </c>
      <c r="AG3681">
        <v>-1.1075093590080001</v>
      </c>
      <c r="AH3681">
        <v>29.065608700744999</v>
      </c>
      <c r="AI3681">
        <v>92.182125299707096</v>
      </c>
      <c r="AJ3681">
        <v>89.884689791659895</v>
      </c>
      <c r="AK3681">
        <v>29.086760010197001</v>
      </c>
      <c r="AL3681">
        <v>86.914759291377095</v>
      </c>
      <c r="AM3681">
        <v>87.622341424923803</v>
      </c>
      <c r="AN3681">
        <v>1.00000000158465</v>
      </c>
    </row>
    <row r="3682" spans="1:40" x14ac:dyDescent="0.25">
      <c r="A3682" t="str">
        <f>"20190312154325769"</f>
        <v>20190312154325769</v>
      </c>
      <c r="B3682" t="str">
        <f>"1552376605761489"</f>
        <v>1552376605761489</v>
      </c>
      <c r="C3682" t="s">
        <v>40</v>
      </c>
      <c r="D3682">
        <v>4.8605619999999998</v>
      </c>
      <c r="E3682">
        <v>0.4869194</v>
      </c>
      <c r="F3682" t="s">
        <v>51</v>
      </c>
      <c r="G3682">
        <v>-417.74639999999999</v>
      </c>
      <c r="H3682" s="1">
        <v>3.524681E-6</v>
      </c>
      <c r="I3682">
        <v>215.24719999999999</v>
      </c>
      <c r="J3682">
        <v>-447.1748</v>
      </c>
      <c r="K3682">
        <v>1.107558</v>
      </c>
      <c r="L3682">
        <v>215.9941</v>
      </c>
      <c r="M3682">
        <v>0.99969660000000005</v>
      </c>
      <c r="N3682">
        <v>0</v>
      </c>
      <c r="O3682">
        <v>-2.4569710000000002E-2</v>
      </c>
      <c r="P3682">
        <v>0.99653499999999995</v>
      </c>
      <c r="Q3682">
        <v>5.251256E-2</v>
      </c>
      <c r="R3682">
        <v>-6.4505259999999995E-2</v>
      </c>
      <c r="S3682">
        <v>3.0113219999999998</v>
      </c>
      <c r="T3682">
        <v>-0.11202139999999999</v>
      </c>
      <c r="U3682">
        <v>-7.6507569999999997E-2</v>
      </c>
      <c r="V3682">
        <v>4.0197579999999997E-2</v>
      </c>
      <c r="W3682">
        <v>5.4185369999999997E-2</v>
      </c>
      <c r="X3682">
        <v>0.99772139999999998</v>
      </c>
      <c r="Y3682">
        <v>8.4534649999999905E-4</v>
      </c>
      <c r="Z3682">
        <v>8.9767779999999999E-4</v>
      </c>
      <c r="AA3682">
        <v>0.99999919999999998</v>
      </c>
      <c r="AB3682">
        <v>32</v>
      </c>
      <c r="AC3682">
        <v>29.4284</v>
      </c>
      <c r="AD3682">
        <v>-1.1075544753190001</v>
      </c>
      <c r="AE3682">
        <v>-0.74690000000001</v>
      </c>
      <c r="AF3682">
        <v>2.35927765152379E-2</v>
      </c>
      <c r="AG3682">
        <v>-1.1075544753190001</v>
      </c>
      <c r="AH3682">
        <v>29.396256140481299</v>
      </c>
      <c r="AI3682">
        <v>92.157695687734901</v>
      </c>
      <c r="AJ3682">
        <v>89.954015701025995</v>
      </c>
      <c r="AK3682">
        <v>29.417122711300099</v>
      </c>
      <c r="AL3682">
        <v>86.8938855997188</v>
      </c>
      <c r="AM3682">
        <v>87.692836188617903</v>
      </c>
      <c r="AN3682">
        <v>0.99999994588892505</v>
      </c>
    </row>
    <row r="3683" spans="1:40" x14ac:dyDescent="0.25">
      <c r="A3683" t="str">
        <f>"20190312154325790"</f>
        <v>20190312154325790</v>
      </c>
      <c r="B3683" t="str">
        <f>"1552376605781008"</f>
        <v>1552376605781008</v>
      </c>
      <c r="C3683" t="s">
        <v>40</v>
      </c>
      <c r="D3683">
        <v>4.8450810000000004</v>
      </c>
      <c r="E3683">
        <v>0.487064</v>
      </c>
      <c r="F3683" t="s">
        <v>51</v>
      </c>
      <c r="G3683">
        <v>-417.66750000000002</v>
      </c>
      <c r="H3683" s="1">
        <v>3.5150199999999902E-6</v>
      </c>
      <c r="I3683">
        <v>215.1977</v>
      </c>
      <c r="J3683">
        <v>-446.85129999999998</v>
      </c>
      <c r="K3683">
        <v>1.107672</v>
      </c>
      <c r="L3683">
        <v>215.98439999999999</v>
      </c>
      <c r="M3683">
        <v>0.99965210000000004</v>
      </c>
      <c r="N3683">
        <v>0</v>
      </c>
      <c r="O3683">
        <v>-2.6257760000000002E-2</v>
      </c>
      <c r="P3683">
        <v>0.99645320000000004</v>
      </c>
      <c r="Q3683">
        <v>5.241175E-2</v>
      </c>
      <c r="R3683">
        <v>-6.5838820000000006E-2</v>
      </c>
      <c r="S3683">
        <v>3.011139</v>
      </c>
      <c r="T3683">
        <v>-0.1130232</v>
      </c>
      <c r="U3683">
        <v>-8.1268309999999996E-2</v>
      </c>
      <c r="V3683">
        <v>3.985557E-2</v>
      </c>
      <c r="W3683">
        <v>5.4773870000000002E-2</v>
      </c>
      <c r="X3683">
        <v>0.99770300000000001</v>
      </c>
      <c r="Y3683">
        <v>7.3976330000000005E-4</v>
      </c>
      <c r="Z3683">
        <v>9.7101459999999996E-4</v>
      </c>
      <c r="AA3683">
        <v>0.99999919999999998</v>
      </c>
      <c r="AB3683">
        <v>33</v>
      </c>
      <c r="AC3683">
        <v>29.183799999999898</v>
      </c>
      <c r="AD3683">
        <v>-1.10766848498</v>
      </c>
      <c r="AE3683">
        <v>-0.78669999999999596</v>
      </c>
      <c r="AF3683">
        <v>2.00962241613802E-2</v>
      </c>
      <c r="AG3683">
        <v>-1.10766848498</v>
      </c>
      <c r="AH3683">
        <v>29.152428800647499</v>
      </c>
      <c r="AI3683">
        <v>92.175949051474404</v>
      </c>
      <c r="AJ3683">
        <v>89.960503165822502</v>
      </c>
      <c r="AK3683">
        <v>29.1734714819417</v>
      </c>
      <c r="AL3683">
        <v>86.860116924216399</v>
      </c>
      <c r="AM3683">
        <v>87.7124029680473</v>
      </c>
      <c r="AN3683">
        <v>0.99999995975190004</v>
      </c>
    </row>
    <row r="3684" spans="1:40" x14ac:dyDescent="0.25">
      <c r="A3684" t="str">
        <f>"20190312154325813"</f>
        <v>20190312154325813</v>
      </c>
      <c r="B3684" t="str">
        <f>"1552376605801504"</f>
        <v>1552376605801504</v>
      </c>
      <c r="C3684" t="s">
        <v>40</v>
      </c>
      <c r="D3684">
        <v>4.8457720000000002</v>
      </c>
      <c r="E3684">
        <v>0.48728959999999999</v>
      </c>
      <c r="F3684" t="s">
        <v>51</v>
      </c>
      <c r="G3684">
        <v>-416.98039999999997</v>
      </c>
      <c r="H3684" s="1">
        <v>3.398901E-6</v>
      </c>
      <c r="I3684">
        <v>215.1317</v>
      </c>
      <c r="J3684">
        <v>-446.51580000000001</v>
      </c>
      <c r="K3684">
        <v>1.10782</v>
      </c>
      <c r="L3684">
        <v>215.97380000000001</v>
      </c>
      <c r="M3684">
        <v>0.99960170000000004</v>
      </c>
      <c r="N3684">
        <v>0</v>
      </c>
      <c r="O3684">
        <v>-2.8019390000000002E-2</v>
      </c>
      <c r="P3684">
        <v>0.99626440000000005</v>
      </c>
      <c r="Q3684">
        <v>5.321828E-2</v>
      </c>
      <c r="R3684">
        <v>-6.8010080000000001E-2</v>
      </c>
      <c r="S3684">
        <v>3.0108640000000002</v>
      </c>
      <c r="T3684">
        <v>-0.11164839999999999</v>
      </c>
      <c r="U3684">
        <v>-8.5952760000000003E-2</v>
      </c>
      <c r="V3684">
        <v>4.0283230000000003E-2</v>
      </c>
      <c r="W3684">
        <v>5.6449729999999997E-2</v>
      </c>
      <c r="X3684">
        <v>0.99759240000000005</v>
      </c>
      <c r="Y3684">
        <v>5.3543480000000005E-4</v>
      </c>
      <c r="Z3684">
        <v>1.028321E-3</v>
      </c>
      <c r="AA3684">
        <v>0.99999930000000004</v>
      </c>
      <c r="AB3684">
        <v>33</v>
      </c>
      <c r="AC3684">
        <v>29.535399999999999</v>
      </c>
      <c r="AD3684">
        <v>-1.107816601099</v>
      </c>
      <c r="AE3684">
        <v>-0.84210000000001595</v>
      </c>
      <c r="AF3684">
        <v>1.41808465684795E-2</v>
      </c>
      <c r="AG3684">
        <v>-1.107816601099</v>
      </c>
      <c r="AH3684">
        <v>29.5059220338625</v>
      </c>
      <c r="AI3684">
        <v>92.150192361481899</v>
      </c>
      <c r="AJ3684">
        <v>89.972463067081705</v>
      </c>
      <c r="AK3684">
        <v>29.526714916943501</v>
      </c>
      <c r="AL3684">
        <v>86.7639483598862</v>
      </c>
      <c r="AM3684">
        <v>87.687626932764502</v>
      </c>
      <c r="AN3684">
        <v>0.99999995358703198</v>
      </c>
    </row>
    <row r="3685" spans="1:40" x14ac:dyDescent="0.25">
      <c r="A3685" t="str">
        <f>"20190312154325835"</f>
        <v>20190312154325835</v>
      </c>
      <c r="B3685" t="str">
        <f>"1552376605821028"</f>
        <v>1552376605821028</v>
      </c>
      <c r="C3685" t="s">
        <v>40</v>
      </c>
      <c r="D3685">
        <v>4.834498</v>
      </c>
      <c r="E3685">
        <v>0.48751899999999998</v>
      </c>
      <c r="F3685" t="s">
        <v>51</v>
      </c>
      <c r="G3685">
        <v>-415.8365</v>
      </c>
      <c r="H3685" s="1">
        <v>3.206119E-6</v>
      </c>
      <c r="I3685">
        <v>215.01589999999999</v>
      </c>
      <c r="J3685">
        <v>-446.19499999999999</v>
      </c>
      <c r="K3685">
        <v>1.107907</v>
      </c>
      <c r="L3685">
        <v>215.96299999999999</v>
      </c>
      <c r="M3685">
        <v>0.99954929999999997</v>
      </c>
      <c r="N3685">
        <v>0</v>
      </c>
      <c r="O3685">
        <v>-2.9748739999999999E-2</v>
      </c>
      <c r="P3685">
        <v>0.99606209999999995</v>
      </c>
      <c r="Q3685">
        <v>5.3509910000000001E-2</v>
      </c>
      <c r="R3685">
        <v>-7.0692080000000004E-2</v>
      </c>
      <c r="S3685">
        <v>3.0106510000000002</v>
      </c>
      <c r="T3685">
        <v>-0.1087133</v>
      </c>
      <c r="U3685">
        <v>-9.3994140000000004E-2</v>
      </c>
      <c r="V3685">
        <v>4.1250330000000002E-2</v>
      </c>
      <c r="W3685">
        <v>5.7413289999999999E-2</v>
      </c>
      <c r="X3685">
        <v>0.99749790000000005</v>
      </c>
      <c r="Y3685">
        <v>1.475432E-3</v>
      </c>
      <c r="Z3685">
        <v>1.046745E-3</v>
      </c>
      <c r="AA3685">
        <v>0.99999839999999995</v>
      </c>
      <c r="AB3685">
        <v>33</v>
      </c>
      <c r="AC3685">
        <v>30.3584999999999</v>
      </c>
      <c r="AD3685">
        <v>-1.1079037938809999</v>
      </c>
      <c r="AE3685">
        <v>-0.94710000000000505</v>
      </c>
      <c r="AF3685">
        <v>4.3488509392795797E-2</v>
      </c>
      <c r="AG3685">
        <v>-1.1079037938809999</v>
      </c>
      <c r="AH3685">
        <v>30.332880155670601</v>
      </c>
      <c r="AI3685">
        <v>92.091787544818203</v>
      </c>
      <c r="AJ3685">
        <v>89.917854607756198</v>
      </c>
      <c r="AK3685">
        <v>30.353137574313799</v>
      </c>
      <c r="AL3685">
        <v>86.708650793537601</v>
      </c>
      <c r="AM3685">
        <v>87.631950996963297</v>
      </c>
      <c r="AN3685">
        <v>0.99999996804907099</v>
      </c>
    </row>
    <row r="3686" spans="1:40" x14ac:dyDescent="0.25">
      <c r="A3686" t="str">
        <f>"20190312154325857"</f>
        <v>20190312154325857</v>
      </c>
      <c r="B3686" t="str">
        <f>"1552376605851112"</f>
        <v>1552376605851112</v>
      </c>
      <c r="C3686" t="s">
        <v>40</v>
      </c>
      <c r="D3686">
        <v>4.7962540000000002</v>
      </c>
      <c r="E3686">
        <v>0.48774319999999999</v>
      </c>
      <c r="F3686" t="s">
        <v>51</v>
      </c>
      <c r="G3686">
        <v>-415.01499999999999</v>
      </c>
      <c r="H3686" s="1">
        <v>3.071342E-6</v>
      </c>
      <c r="I3686">
        <v>214.89080000000001</v>
      </c>
      <c r="J3686">
        <v>-445.86919999999998</v>
      </c>
      <c r="K3686">
        <v>1.10799</v>
      </c>
      <c r="L3686">
        <v>215.95150000000001</v>
      </c>
      <c r="M3686">
        <v>0.99949160000000004</v>
      </c>
      <c r="N3686">
        <v>0</v>
      </c>
      <c r="O3686">
        <v>-3.1521260000000002E-2</v>
      </c>
      <c r="P3686">
        <v>0.9958688</v>
      </c>
      <c r="Q3686">
        <v>5.3698610000000001E-2</v>
      </c>
      <c r="R3686">
        <v>-7.3226559999999996E-2</v>
      </c>
      <c r="S3686">
        <v>3.0102540000000002</v>
      </c>
      <c r="T3686">
        <v>-0.106962</v>
      </c>
      <c r="U3686">
        <v>-0.1035156</v>
      </c>
      <c r="V3686">
        <v>4.2025560000000003E-2</v>
      </c>
      <c r="W3686">
        <v>5.8319669999999997E-2</v>
      </c>
      <c r="X3686">
        <v>0.99741299999999999</v>
      </c>
      <c r="Y3686">
        <v>2.8653319999999999E-3</v>
      </c>
      <c r="Z3686">
        <v>1.068194E-3</v>
      </c>
      <c r="AA3686">
        <v>0.99999539999999998</v>
      </c>
      <c r="AB3686">
        <v>33</v>
      </c>
      <c r="AC3686">
        <v>30.854199999999899</v>
      </c>
      <c r="AD3686">
        <v>-1.107986928658</v>
      </c>
      <c r="AE3686">
        <v>-1.06069999999999</v>
      </c>
      <c r="AF3686">
        <v>8.7485800310350401E-2</v>
      </c>
      <c r="AG3686">
        <v>-1.107986928658</v>
      </c>
      <c r="AH3686">
        <v>30.832589152945602</v>
      </c>
      <c r="AI3686">
        <v>92.058063103394105</v>
      </c>
      <c r="AJ3686">
        <v>89.8374267678889</v>
      </c>
      <c r="AK3686">
        <v>30.852614843375498</v>
      </c>
      <c r="AL3686">
        <v>86.656632022360796</v>
      </c>
      <c r="AM3686">
        <v>87.587294519861004</v>
      </c>
      <c r="AN3686">
        <v>1.0000000120856101</v>
      </c>
    </row>
    <row r="3687" spans="1:40" x14ac:dyDescent="0.25">
      <c r="A3687" t="str">
        <f>"20190312154325882"</f>
        <v>20190312154325882</v>
      </c>
      <c r="B3687" t="str">
        <f>"1552376605871608"</f>
        <v>1552376605871608</v>
      </c>
      <c r="C3687" t="s">
        <v>40</v>
      </c>
      <c r="D3687">
        <v>4.7882629999999997</v>
      </c>
      <c r="E3687">
        <v>0.48781770000000002</v>
      </c>
      <c r="F3687" t="s">
        <v>51</v>
      </c>
      <c r="G3687">
        <v>-416.3168</v>
      </c>
      <c r="H3687" s="1">
        <v>3.3058499999999999E-6</v>
      </c>
      <c r="I3687">
        <v>214.84960000000001</v>
      </c>
      <c r="J3687">
        <v>-445.51960000000003</v>
      </c>
      <c r="K3687">
        <v>1.108104</v>
      </c>
      <c r="L3687">
        <v>215.9385</v>
      </c>
      <c r="M3687">
        <v>0.9994248</v>
      </c>
      <c r="N3687">
        <v>0</v>
      </c>
      <c r="O3687">
        <v>-3.3444660000000001E-2</v>
      </c>
      <c r="P3687">
        <v>0.99565579999999998</v>
      </c>
      <c r="Q3687">
        <v>5.3653180000000002E-2</v>
      </c>
      <c r="R3687">
        <v>-7.6099719999999996E-2</v>
      </c>
      <c r="S3687">
        <v>3.010284</v>
      </c>
      <c r="T3687">
        <v>-0.1128623</v>
      </c>
      <c r="U3687">
        <v>-0.1122437</v>
      </c>
      <c r="V3687">
        <v>4.2987909999999997E-2</v>
      </c>
      <c r="W3687">
        <v>5.910033E-2</v>
      </c>
      <c r="X3687">
        <v>0.99732600000000005</v>
      </c>
      <c r="Y3687">
        <v>3.8387819999999998E-3</v>
      </c>
      <c r="Z3687">
        <v>1.1807779999999999E-3</v>
      </c>
      <c r="AA3687">
        <v>0.99999199999999999</v>
      </c>
      <c r="AB3687">
        <v>33</v>
      </c>
      <c r="AC3687">
        <v>29.2028</v>
      </c>
      <c r="AD3687">
        <v>-1.10810069415</v>
      </c>
      <c r="AE3687">
        <v>-1.08889999999999</v>
      </c>
      <c r="AF3687">
        <v>0.111437479077148</v>
      </c>
      <c r="AG3687">
        <v>-1.10810069415</v>
      </c>
      <c r="AH3687">
        <v>29.180923987542801</v>
      </c>
      <c r="AI3687">
        <v>92.174658356696696</v>
      </c>
      <c r="AJ3687">
        <v>89.781197257651797</v>
      </c>
      <c r="AK3687">
        <v>29.202168245300999</v>
      </c>
      <c r="AL3687">
        <v>86.611826102723896</v>
      </c>
      <c r="AM3687">
        <v>87.531898122399397</v>
      </c>
      <c r="AN3687">
        <v>0.99999997984413802</v>
      </c>
    </row>
    <row r="3688" spans="1:40" x14ac:dyDescent="0.25">
      <c r="A3688" t="str">
        <f>"20190312154325903"</f>
        <v>20190312154325903</v>
      </c>
      <c r="B3688" t="str">
        <f>"1552376605900888"</f>
        <v>1552376605900888</v>
      </c>
      <c r="C3688" t="s">
        <v>40</v>
      </c>
      <c r="D3688">
        <v>4.9832749999999999</v>
      </c>
      <c r="E3688">
        <v>0.48784559999999999</v>
      </c>
      <c r="F3688" t="s">
        <v>51</v>
      </c>
      <c r="G3688">
        <v>-416.8913</v>
      </c>
      <c r="H3688" s="1">
        <v>3.4129969999999999E-6</v>
      </c>
      <c r="I3688">
        <v>214.78970000000001</v>
      </c>
      <c r="J3688">
        <v>-445.19560000000001</v>
      </c>
      <c r="K3688">
        <v>1.108198</v>
      </c>
      <c r="L3688">
        <v>215.92580000000001</v>
      </c>
      <c r="M3688">
        <v>0.99935839999999998</v>
      </c>
      <c r="N3688">
        <v>0</v>
      </c>
      <c r="O3688">
        <v>-3.5243339999999998E-2</v>
      </c>
      <c r="P3688">
        <v>0.99546699999999999</v>
      </c>
      <c r="Q3688">
        <v>5.3564599999999997E-2</v>
      </c>
      <c r="R3688">
        <v>-7.8589660000000006E-2</v>
      </c>
      <c r="S3688">
        <v>3.010132</v>
      </c>
      <c r="T3688">
        <v>-0.1165115</v>
      </c>
      <c r="U3688">
        <v>-0.1207886</v>
      </c>
      <c r="V3688">
        <v>4.3690180000000002E-2</v>
      </c>
      <c r="W3688">
        <v>5.9749579999999997E-2</v>
      </c>
      <c r="X3688">
        <v>0.99725680000000005</v>
      </c>
      <c r="Y3688">
        <v>4.8771250000000004E-3</v>
      </c>
      <c r="Z3688">
        <v>1.2683460000000001E-3</v>
      </c>
      <c r="AA3688">
        <v>0.99998730000000002</v>
      </c>
      <c r="AB3688">
        <v>33</v>
      </c>
      <c r="AC3688">
        <v>28.304300000000001</v>
      </c>
      <c r="AD3688">
        <v>-1.1081945870029899</v>
      </c>
      <c r="AE3688">
        <v>-1.1360999999999899</v>
      </c>
      <c r="AF3688">
        <v>0.13762518175452701</v>
      </c>
      <c r="AG3688">
        <v>-1.1081945870029899</v>
      </c>
      <c r="AH3688">
        <v>28.283468984026101</v>
      </c>
      <c r="AI3688">
        <v>92.243772132383398</v>
      </c>
      <c r="AJ3688">
        <v>89.7212053500119</v>
      </c>
      <c r="AK3688">
        <v>28.305505713618398</v>
      </c>
      <c r="AL3688">
        <v>86.574560977055697</v>
      </c>
      <c r="AM3688">
        <v>87.491455342272204</v>
      </c>
      <c r="AN3688">
        <v>0.99999998464242401</v>
      </c>
    </row>
    <row r="3689" spans="1:40" x14ac:dyDescent="0.25">
      <c r="A3689" t="str">
        <f>"20190312154325925"</f>
        <v>20190312154325925</v>
      </c>
      <c r="B3689" t="str">
        <f>"1552376605921384"</f>
        <v>1552376605921384</v>
      </c>
      <c r="C3689" t="s">
        <v>40</v>
      </c>
      <c r="D3689">
        <v>4.8155250000000001</v>
      </c>
      <c r="E3689">
        <v>0.48778159999999998</v>
      </c>
      <c r="F3689" t="s">
        <v>51</v>
      </c>
      <c r="G3689">
        <v>-417.40539999999999</v>
      </c>
      <c r="H3689" s="1">
        <v>3.5078859999999999E-6</v>
      </c>
      <c r="I3689">
        <v>214.7473</v>
      </c>
      <c r="J3689">
        <v>-444.88389999999998</v>
      </c>
      <c r="K3689">
        <v>1.1082730000000001</v>
      </c>
      <c r="L3689">
        <v>215.91300000000001</v>
      </c>
      <c r="M3689">
        <v>0.99929159999999995</v>
      </c>
      <c r="N3689">
        <v>0</v>
      </c>
      <c r="O3689">
        <v>-3.6973159999999998E-2</v>
      </c>
      <c r="P3689">
        <v>0.99517330000000004</v>
      </c>
      <c r="Q3689">
        <v>5.5048800000000002E-2</v>
      </c>
      <c r="R3689">
        <v>-8.1239919999999993E-2</v>
      </c>
      <c r="S3689">
        <v>3.0100099999999999</v>
      </c>
      <c r="T3689">
        <v>-0.120030399999999</v>
      </c>
      <c r="U3689">
        <v>-0.1276398</v>
      </c>
      <c r="V3689">
        <v>4.463131E-2</v>
      </c>
      <c r="W3689">
        <v>6.1881869999999999E-2</v>
      </c>
      <c r="X3689">
        <v>0.99708509999999995</v>
      </c>
      <c r="Y3689">
        <v>5.4221989999999999E-3</v>
      </c>
      <c r="Z3689">
        <v>1.3646120000000001E-3</v>
      </c>
      <c r="AA3689">
        <v>0.9999844</v>
      </c>
      <c r="AB3689">
        <v>33</v>
      </c>
      <c r="AC3689">
        <v>27.4785</v>
      </c>
      <c r="AD3689">
        <v>-1.1082694921139999</v>
      </c>
      <c r="AE3689">
        <v>-1.16569999999998</v>
      </c>
      <c r="AF3689">
        <v>0.14866950583032901</v>
      </c>
      <c r="AG3689">
        <v>-1.1082694921139999</v>
      </c>
      <c r="AH3689">
        <v>27.458225796439098</v>
      </c>
      <c r="AI3689">
        <v>92.311285054016594</v>
      </c>
      <c r="AJ3689">
        <v>89.689781413668399</v>
      </c>
      <c r="AK3689">
        <v>27.480984840018898</v>
      </c>
      <c r="AL3689">
        <v>86.452163260492597</v>
      </c>
      <c r="AM3689">
        <v>87.437049381883696</v>
      </c>
      <c r="AN3689">
        <v>1.00000000815451</v>
      </c>
    </row>
    <row r="3690" spans="1:40" x14ac:dyDescent="0.25">
      <c r="A3690" t="str">
        <f>"20190312154325947"</f>
        <v>20190312154325947</v>
      </c>
      <c r="B3690" t="str">
        <f>"1552376605941413"</f>
        <v>1552376605941413</v>
      </c>
      <c r="C3690" t="s">
        <v>40</v>
      </c>
      <c r="D3690">
        <v>4.8052039999999998</v>
      </c>
      <c r="E3690">
        <v>0.48772749999999998</v>
      </c>
      <c r="F3690" t="s">
        <v>51</v>
      </c>
      <c r="G3690">
        <v>-416.17829999999998</v>
      </c>
      <c r="H3690" s="1">
        <v>3.300371E-6</v>
      </c>
      <c r="I3690">
        <v>214.63130000000001</v>
      </c>
      <c r="J3690">
        <v>-444.5641</v>
      </c>
      <c r="K3690">
        <v>1.1083240000000001</v>
      </c>
      <c r="L3690">
        <v>215.89940000000001</v>
      </c>
      <c r="M3690">
        <v>0.99922029999999995</v>
      </c>
      <c r="N3690">
        <v>0</v>
      </c>
      <c r="O3690">
        <v>-3.873704E-2</v>
      </c>
      <c r="P3690">
        <v>0.99488549999999998</v>
      </c>
      <c r="Q3690">
        <v>5.6418080000000002E-2</v>
      </c>
      <c r="R3690">
        <v>-8.3784780000000003E-2</v>
      </c>
      <c r="S3690">
        <v>3.01004</v>
      </c>
      <c r="T3690">
        <v>-0.11621239999999999</v>
      </c>
      <c r="U3690">
        <v>-0.1343994</v>
      </c>
      <c r="V3690">
        <v>4.5433050000000003E-2</v>
      </c>
      <c r="W3690">
        <v>6.3853980000000005E-2</v>
      </c>
      <c r="X3690">
        <v>0.99692449999999999</v>
      </c>
      <c r="Y3690">
        <v>5.8972440000000003E-3</v>
      </c>
      <c r="Z3690">
        <v>1.379967E-3</v>
      </c>
      <c r="AA3690">
        <v>0.99998160000000003</v>
      </c>
      <c r="AB3690">
        <v>33</v>
      </c>
      <c r="AC3690">
        <v>28.3858</v>
      </c>
      <c r="AD3690">
        <v>-1.108320699629</v>
      </c>
      <c r="AE3690">
        <v>-1.2681</v>
      </c>
      <c r="AF3690">
        <v>0.16727975979722601</v>
      </c>
      <c r="AG3690">
        <v>-1.108320699629</v>
      </c>
      <c r="AH3690">
        <v>28.370452633516798</v>
      </c>
      <c r="AI3690">
        <v>92.237141648707606</v>
      </c>
      <c r="AJ3690">
        <v>89.662172708701902</v>
      </c>
      <c r="AK3690">
        <v>28.392586002720599</v>
      </c>
      <c r="AL3690">
        <v>86.338945583580596</v>
      </c>
      <c r="AM3690">
        <v>87.390652851568206</v>
      </c>
      <c r="AN3690">
        <v>0.99999997574719601</v>
      </c>
    </row>
    <row r="3691" spans="1:40" x14ac:dyDescent="0.25">
      <c r="A3691" t="str">
        <f>"20190312154325969"</f>
        <v>20190312154325969</v>
      </c>
      <c r="B3691" t="str">
        <f>"1552376605960931"</f>
        <v>1552376605960931</v>
      </c>
      <c r="C3691" t="s">
        <v>40</v>
      </c>
      <c r="D3691">
        <v>4.8120229999999999</v>
      </c>
      <c r="E3691">
        <v>0.48761579999999899</v>
      </c>
      <c r="F3691" t="s">
        <v>51</v>
      </c>
      <c r="G3691">
        <v>-414.82580000000002</v>
      </c>
      <c r="H3691" s="1">
        <v>3.0720189999999999E-6</v>
      </c>
      <c r="I3691">
        <v>214.499</v>
      </c>
      <c r="J3691">
        <v>-444.23559999999998</v>
      </c>
      <c r="K3691">
        <v>1.108366</v>
      </c>
      <c r="L3691">
        <v>215.88480000000001</v>
      </c>
      <c r="M3691">
        <v>0.99914420000000004</v>
      </c>
      <c r="N3691">
        <v>0</v>
      </c>
      <c r="O3691">
        <v>-4.054249E-2</v>
      </c>
      <c r="P3691">
        <v>0.99472870000000002</v>
      </c>
      <c r="Q3691">
        <v>5.6241060000000002E-2</v>
      </c>
      <c r="R3691">
        <v>-8.5742570000000004E-2</v>
      </c>
      <c r="S3691">
        <v>3.0098569999999998</v>
      </c>
      <c r="T3691">
        <v>-0.1121746</v>
      </c>
      <c r="U3691">
        <v>-0.1417389</v>
      </c>
      <c r="V3691">
        <v>4.5594959999999997E-2</v>
      </c>
      <c r="W3691">
        <v>6.4236559999999998E-2</v>
      </c>
      <c r="X3691">
        <v>0.99689260000000002</v>
      </c>
      <c r="Y3691">
        <v>6.5253289999999999E-3</v>
      </c>
      <c r="Z3691">
        <v>1.387515E-3</v>
      </c>
      <c r="AA3691">
        <v>0.99997780000000003</v>
      </c>
      <c r="AB3691">
        <v>33</v>
      </c>
      <c r="AC3691">
        <v>29.409799999999901</v>
      </c>
      <c r="AD3691">
        <v>-1.1083629279809999</v>
      </c>
      <c r="AE3691">
        <v>-1.3857999999999799</v>
      </c>
      <c r="AF3691">
        <v>0.192001872021033</v>
      </c>
      <c r="AG3691">
        <v>-1.1083629279809999</v>
      </c>
      <c r="AH3691">
        <v>29.4001392706117</v>
      </c>
      <c r="AI3691">
        <v>92.158938970965494</v>
      </c>
      <c r="AJ3691">
        <v>89.625826924336707</v>
      </c>
      <c r="AK3691">
        <v>29.421650569442001</v>
      </c>
      <c r="AL3691">
        <v>86.316980527680002</v>
      </c>
      <c r="AM3691">
        <v>87.381283150196296</v>
      </c>
      <c r="AN3691">
        <v>1.00000004597639</v>
      </c>
    </row>
    <row r="3692" spans="1:40" x14ac:dyDescent="0.25">
      <c r="A3692" t="str">
        <f>"20190312154325994"</f>
        <v>20190312154325994</v>
      </c>
      <c r="B3692" t="str">
        <f>"1552376605981430"</f>
        <v>1552376605981430</v>
      </c>
      <c r="C3692" t="s">
        <v>40</v>
      </c>
      <c r="D3692">
        <v>4.7788870000000001</v>
      </c>
      <c r="E3692">
        <v>0.4874714</v>
      </c>
      <c r="F3692" t="s">
        <v>51</v>
      </c>
      <c r="G3692">
        <v>-414.48750000000001</v>
      </c>
      <c r="H3692" s="1">
        <v>3.0175290000000001E-6</v>
      </c>
      <c r="I3692">
        <v>214.43600000000001</v>
      </c>
      <c r="J3692">
        <v>-443.88339999999999</v>
      </c>
      <c r="K3692">
        <v>1.108406</v>
      </c>
      <c r="L3692">
        <v>215.86840000000001</v>
      </c>
      <c r="M3692">
        <v>0.99905940000000004</v>
      </c>
      <c r="N3692">
        <v>0</v>
      </c>
      <c r="O3692">
        <v>-4.247455E-2</v>
      </c>
      <c r="P3692">
        <v>0.99463559999999995</v>
      </c>
      <c r="Q3692">
        <v>5.4830690000000001E-2</v>
      </c>
      <c r="R3692">
        <v>-8.7714109999999998E-2</v>
      </c>
      <c r="S3692">
        <v>3.0096440000000002</v>
      </c>
      <c r="T3692">
        <v>-0.1121345</v>
      </c>
      <c r="U3692">
        <v>-0.14657590000000001</v>
      </c>
      <c r="V3692">
        <v>4.5635639999999998E-2</v>
      </c>
      <c r="W3692">
        <v>6.3357159999999996E-2</v>
      </c>
      <c r="X3692">
        <v>0.99694700000000003</v>
      </c>
      <c r="Y3692">
        <v>6.1997290000000002E-3</v>
      </c>
      <c r="Z3692">
        <v>1.4649559999999999E-3</v>
      </c>
      <c r="AA3692">
        <v>0.99997970000000003</v>
      </c>
      <c r="AB3692">
        <v>33</v>
      </c>
      <c r="AC3692">
        <v>29.395899999999902</v>
      </c>
      <c r="AD3692">
        <v>-1.108402982471</v>
      </c>
      <c r="AE3692">
        <v>-1.4324000000000201</v>
      </c>
      <c r="AF3692">
        <v>0.182223553639771</v>
      </c>
      <c r="AG3692">
        <v>-1.108402982471</v>
      </c>
      <c r="AH3692">
        <v>29.388528452588002</v>
      </c>
      <c r="AI3692">
        <v>92.1598736289844</v>
      </c>
      <c r="AJ3692">
        <v>89.644742105056196</v>
      </c>
      <c r="AK3692">
        <v>29.409987541711502</v>
      </c>
      <c r="AL3692">
        <v>86.367469231716896</v>
      </c>
      <c r="AM3692">
        <v>87.379092800012998</v>
      </c>
      <c r="AN3692">
        <v>1.0000000310852299</v>
      </c>
    </row>
    <row r="3693" spans="1:40" x14ac:dyDescent="0.25">
      <c r="A3693" t="str">
        <f>"20190312154326014"</f>
        <v>20190312154326014</v>
      </c>
      <c r="B3693" t="str">
        <f>"1552376606010707"</f>
        <v>1552376606010707</v>
      </c>
      <c r="C3693" t="s">
        <v>40</v>
      </c>
      <c r="D3693">
        <v>4.810943</v>
      </c>
      <c r="E3693">
        <v>0.4872901</v>
      </c>
      <c r="F3693" t="s">
        <v>51</v>
      </c>
      <c r="G3693">
        <v>-415.33940000000001</v>
      </c>
      <c r="H3693" s="1">
        <v>3.1693229999999999E-6</v>
      </c>
      <c r="I3693">
        <v>214.4281</v>
      </c>
      <c r="J3693">
        <v>-443.5806</v>
      </c>
      <c r="K3693">
        <v>1.1084259999999999</v>
      </c>
      <c r="L3693">
        <v>215.85380000000001</v>
      </c>
      <c r="M3693">
        <v>0.99898379999999998</v>
      </c>
      <c r="N3693">
        <v>0</v>
      </c>
      <c r="O3693">
        <v>-4.413504E-2</v>
      </c>
      <c r="P3693">
        <v>0.99456040000000001</v>
      </c>
      <c r="Q3693">
        <v>5.3455170000000003E-2</v>
      </c>
      <c r="R3693">
        <v>-8.9398699999999998E-2</v>
      </c>
      <c r="S3693">
        <v>3.0091860000000001</v>
      </c>
      <c r="T3693">
        <v>-0.1168507</v>
      </c>
      <c r="U3693">
        <v>-0.15184020000000001</v>
      </c>
      <c r="V3693">
        <v>4.5659169999999999E-2</v>
      </c>
      <c r="W3693">
        <v>6.2388230000000003E-2</v>
      </c>
      <c r="X3693">
        <v>0.99700699999999998</v>
      </c>
      <c r="Y3693">
        <v>6.29329E-3</v>
      </c>
      <c r="Z3693">
        <v>1.589203E-3</v>
      </c>
      <c r="AA3693">
        <v>0.99997899999999995</v>
      </c>
      <c r="AB3693">
        <v>33</v>
      </c>
      <c r="AC3693">
        <v>28.2411999999999</v>
      </c>
      <c r="AD3693">
        <v>-1.1084228306770001</v>
      </c>
      <c r="AE3693">
        <v>-1.4257</v>
      </c>
      <c r="AF3693">
        <v>0.17755930953367099</v>
      </c>
      <c r="AG3693">
        <v>-1.1084228306770001</v>
      </c>
      <c r="AH3693">
        <v>28.233223691641101</v>
      </c>
      <c r="AI3693">
        <v>92.248205819968007</v>
      </c>
      <c r="AJ3693">
        <v>89.639670445057703</v>
      </c>
      <c r="AK3693">
        <v>28.255531290390099</v>
      </c>
      <c r="AL3693">
        <v>86.423094789085098</v>
      </c>
      <c r="AM3693">
        <v>87.377900918338199</v>
      </c>
      <c r="AN3693">
        <v>1.00000000454831</v>
      </c>
    </row>
    <row r="3694" spans="1:40" x14ac:dyDescent="0.25">
      <c r="A3694" t="str">
        <f>"20190312154326037"</f>
        <v>20190312154326037</v>
      </c>
      <c r="B3694" t="str">
        <f>"1552376606031203"</f>
        <v>1552376606031203</v>
      </c>
      <c r="C3694" t="s">
        <v>40</v>
      </c>
      <c r="D3694">
        <v>4.79718</v>
      </c>
      <c r="E3694">
        <v>0.48712060000000001</v>
      </c>
      <c r="F3694" t="s">
        <v>51</v>
      </c>
      <c r="G3694">
        <v>-416.10860000000002</v>
      </c>
      <c r="H3694" s="1">
        <v>3.3055910000000001E-6</v>
      </c>
      <c r="I3694">
        <v>214.43010000000001</v>
      </c>
      <c r="J3694">
        <v>-443.24709999999999</v>
      </c>
      <c r="K3694">
        <v>1.1084529999999999</v>
      </c>
      <c r="L3694">
        <v>215.83709999999999</v>
      </c>
      <c r="M3694">
        <v>0.99889790000000001</v>
      </c>
      <c r="N3694">
        <v>0</v>
      </c>
      <c r="O3694">
        <v>-4.5957690000000002E-2</v>
      </c>
      <c r="P3694">
        <v>0.99447490000000005</v>
      </c>
      <c r="Q3694">
        <v>5.220325E-2</v>
      </c>
      <c r="R3694">
        <v>-9.1074000000000002E-2</v>
      </c>
      <c r="S3694">
        <v>3.0089109999999999</v>
      </c>
      <c r="T3694">
        <v>-0.12140140000000001</v>
      </c>
      <c r="U3694">
        <v>-0.1559296</v>
      </c>
      <c r="V3694">
        <v>4.5511370000000002E-2</v>
      </c>
      <c r="W3694">
        <v>6.1532530000000002E-2</v>
      </c>
      <c r="X3694">
        <v>0.99706689999999998</v>
      </c>
      <c r="Y3694">
        <v>5.8327860000000004E-3</v>
      </c>
      <c r="Z3694">
        <v>1.7337749999999999E-3</v>
      </c>
      <c r="AA3694">
        <v>0.99998149999999997</v>
      </c>
      <c r="AB3694">
        <v>33</v>
      </c>
      <c r="AC3694">
        <v>27.138499999999901</v>
      </c>
      <c r="AD3694">
        <v>-1.1084496944089901</v>
      </c>
      <c r="AE3694">
        <v>-1.40699999999998</v>
      </c>
      <c r="AF3694">
        <v>0.15797093718540101</v>
      </c>
      <c r="AG3694">
        <v>-1.1084496944089901</v>
      </c>
      <c r="AH3694">
        <v>27.1293507856448</v>
      </c>
      <c r="AI3694">
        <v>92.339647195096205</v>
      </c>
      <c r="AJ3694">
        <v>89.666377357677902</v>
      </c>
      <c r="AK3694">
        <v>27.152445370400802</v>
      </c>
      <c r="AL3694">
        <v>86.472217050359902</v>
      </c>
      <c r="AM3694">
        <v>87.386533735932801</v>
      </c>
      <c r="AN3694">
        <v>0.99999997006154295</v>
      </c>
    </row>
    <row r="3695" spans="1:40" x14ac:dyDescent="0.25">
      <c r="A3695" t="str">
        <f>"20190312154326059"</f>
        <v>20190312154326059</v>
      </c>
      <c r="B3695" t="str">
        <f>"1552376606050723"</f>
        <v>1552376606050723</v>
      </c>
      <c r="C3695" t="s">
        <v>40</v>
      </c>
      <c r="D3695">
        <v>4.798387</v>
      </c>
      <c r="E3695">
        <v>0.4868693</v>
      </c>
      <c r="F3695" t="s">
        <v>51</v>
      </c>
      <c r="G3695">
        <v>-416.75310000000002</v>
      </c>
      <c r="H3695" s="1">
        <v>3.420027E-6</v>
      </c>
      <c r="I3695">
        <v>214.4288</v>
      </c>
      <c r="J3695">
        <v>-442.92790000000002</v>
      </c>
      <c r="K3695">
        <v>1.1084860000000001</v>
      </c>
      <c r="L3695">
        <v>215.82060000000001</v>
      </c>
      <c r="M3695">
        <v>0.99881370000000003</v>
      </c>
      <c r="N3695">
        <v>0</v>
      </c>
      <c r="O3695">
        <v>-4.768464E-2</v>
      </c>
      <c r="P3695">
        <v>0.99434480000000003</v>
      </c>
      <c r="Q3695">
        <v>5.3341369999999999E-2</v>
      </c>
      <c r="R3695">
        <v>-9.1832319999999995E-2</v>
      </c>
      <c r="S3695">
        <v>3.008667</v>
      </c>
      <c r="T3695">
        <v>-0.12587580000000001</v>
      </c>
      <c r="U3695">
        <v>-0.1599274</v>
      </c>
      <c r="V3695">
        <v>4.4553379999999997E-2</v>
      </c>
      <c r="W3695">
        <v>6.3006909999999999E-2</v>
      </c>
      <c r="X3695">
        <v>0.99701810000000002</v>
      </c>
      <c r="Y3695">
        <v>5.4373049999999999E-3</v>
      </c>
      <c r="Z3695">
        <v>1.8780279999999999E-3</v>
      </c>
      <c r="AA3695">
        <v>0.99998339999999997</v>
      </c>
      <c r="AB3695">
        <v>33</v>
      </c>
      <c r="AC3695">
        <v>26.174800000000001</v>
      </c>
      <c r="AD3695">
        <v>-1.108482579973</v>
      </c>
      <c r="AE3695">
        <v>-1.3918000000000099</v>
      </c>
      <c r="AF3695">
        <v>0.141766371772894</v>
      </c>
      <c r="AG3695">
        <v>-1.108482579973</v>
      </c>
      <c r="AH3695">
        <v>26.164599634521799</v>
      </c>
      <c r="AI3695">
        <v>92.425891729942194</v>
      </c>
      <c r="AJ3695">
        <v>89.689560115273196</v>
      </c>
      <c r="AK3695">
        <v>26.1884536650999</v>
      </c>
      <c r="AL3695">
        <v>86.387577079664098</v>
      </c>
      <c r="AM3695">
        <v>87.441346853888604</v>
      </c>
      <c r="AN3695">
        <v>0.99999998305239102</v>
      </c>
    </row>
    <row r="3696" spans="1:40" x14ac:dyDescent="0.25">
      <c r="A3696" t="str">
        <f>"20190312154326082"</f>
        <v>20190312154326082</v>
      </c>
      <c r="B3696" t="str">
        <f>"1552376606071218"</f>
        <v>1552376606071218</v>
      </c>
      <c r="C3696" t="s">
        <v>40</v>
      </c>
      <c r="D3696">
        <v>4.79087</v>
      </c>
      <c r="E3696">
        <v>0.48682979999999998</v>
      </c>
      <c r="F3696" t="s">
        <v>51</v>
      </c>
      <c r="G3696">
        <v>-415.76029999999997</v>
      </c>
      <c r="H3696" s="1">
        <v>3.2493559999999998E-6</v>
      </c>
      <c r="I3696">
        <v>214.36680000000001</v>
      </c>
      <c r="J3696">
        <v>-442.58850000000001</v>
      </c>
      <c r="K3696">
        <v>1.108535</v>
      </c>
      <c r="L3696">
        <v>215.80250000000001</v>
      </c>
      <c r="M3696">
        <v>0.99872320000000003</v>
      </c>
      <c r="N3696">
        <v>0</v>
      </c>
      <c r="O3696">
        <v>-4.948458E-2</v>
      </c>
      <c r="P3696">
        <v>0.99417540000000004</v>
      </c>
      <c r="Q3696">
        <v>5.4032339999999998E-2</v>
      </c>
      <c r="R3696">
        <v>-9.3253219999999998E-2</v>
      </c>
      <c r="S3696">
        <v>3.0087890000000002</v>
      </c>
      <c r="T3696">
        <v>-0.122764</v>
      </c>
      <c r="U3696">
        <v>-0.16101070000000001</v>
      </c>
      <c r="V3696">
        <v>4.418209E-2</v>
      </c>
      <c r="W3696">
        <v>6.4009099999999999E-2</v>
      </c>
      <c r="X3696">
        <v>0.99697080000000005</v>
      </c>
      <c r="Y3696">
        <v>3.9928020000000002E-3</v>
      </c>
      <c r="Z3696">
        <v>1.934233E-3</v>
      </c>
      <c r="AA3696">
        <v>0.99999020000000005</v>
      </c>
      <c r="AB3696">
        <v>33</v>
      </c>
      <c r="AC3696">
        <v>26.828199999999999</v>
      </c>
      <c r="AD3696">
        <v>-1.108531750644</v>
      </c>
      <c r="AE3696">
        <v>-1.43569999999999</v>
      </c>
      <c r="AF3696">
        <v>0.10610953137715699</v>
      </c>
      <c r="AG3696">
        <v>-1.108531750644</v>
      </c>
      <c r="AH3696">
        <v>26.820717124666601</v>
      </c>
      <c r="AI3696">
        <v>92.366736314788398</v>
      </c>
      <c r="AJ3696">
        <v>89.773324606991395</v>
      </c>
      <c r="AK3696">
        <v>26.843825527599801</v>
      </c>
      <c r="AL3696">
        <v>86.330039728511593</v>
      </c>
      <c r="AM3696">
        <v>87.462521434124795</v>
      </c>
      <c r="AN3696">
        <v>0.99999999900610903</v>
      </c>
    </row>
    <row r="3697" spans="1:40" x14ac:dyDescent="0.25">
      <c r="A3697" t="str">
        <f>"20190312154326104"</f>
        <v>20190312154326104</v>
      </c>
      <c r="B3697" t="str">
        <f>"1552376606101474"</f>
        <v>1552376606101474</v>
      </c>
      <c r="C3697" t="s">
        <v>40</v>
      </c>
      <c r="D3697">
        <v>4.8101149999999997</v>
      </c>
      <c r="E3697">
        <v>0.48669620000000002</v>
      </c>
      <c r="F3697" t="s">
        <v>51</v>
      </c>
      <c r="G3697">
        <v>-414.94409999999999</v>
      </c>
      <c r="H3697" s="1">
        <v>3.1121190000000001E-6</v>
      </c>
      <c r="I3697">
        <v>214.28030000000001</v>
      </c>
      <c r="J3697">
        <v>-442.26519999999999</v>
      </c>
      <c r="K3697">
        <v>1.1085910000000001</v>
      </c>
      <c r="L3697">
        <v>215.78479999999999</v>
      </c>
      <c r="M3697">
        <v>0.99863670000000004</v>
      </c>
      <c r="N3697">
        <v>0</v>
      </c>
      <c r="O3697">
        <v>-5.1145549999999998E-2</v>
      </c>
      <c r="P3697">
        <v>0.99403529999999996</v>
      </c>
      <c r="Q3697">
        <v>5.3334659999999999E-2</v>
      </c>
      <c r="R3697">
        <v>-9.5128389999999993E-2</v>
      </c>
      <c r="S3697">
        <v>3.0086059999999999</v>
      </c>
      <c r="T3697">
        <v>-0.120643899999999</v>
      </c>
      <c r="U3697">
        <v>-0.1656647</v>
      </c>
      <c r="V3697">
        <v>4.4395280000000002E-2</v>
      </c>
      <c r="W3697">
        <v>6.3583680000000004E-2</v>
      </c>
      <c r="X3697">
        <v>0.99698850000000006</v>
      </c>
      <c r="Y3697">
        <v>3.8752029999999998E-3</v>
      </c>
      <c r="Z3697">
        <v>1.9696560000000002E-3</v>
      </c>
      <c r="AA3697">
        <v>0.9999905</v>
      </c>
      <c r="AB3697">
        <v>33</v>
      </c>
      <c r="AC3697">
        <v>27.321100000000001</v>
      </c>
      <c r="AD3697">
        <v>-1.1085878878809901</v>
      </c>
      <c r="AE3697">
        <v>-1.50449999999997</v>
      </c>
      <c r="AF3697">
        <v>0.10492971326002901</v>
      </c>
      <c r="AG3697">
        <v>-1.1085878878809901</v>
      </c>
      <c r="AH3697">
        <v>27.317450826692902</v>
      </c>
      <c r="AI3697">
        <v>92.323866376088901</v>
      </c>
      <c r="AJ3697">
        <v>89.779920894299593</v>
      </c>
      <c r="AK3697">
        <v>27.3401371068008</v>
      </c>
      <c r="AL3697">
        <v>86.354464064425002</v>
      </c>
      <c r="AM3697">
        <v>87.450338770350896</v>
      </c>
      <c r="AN3697">
        <v>0.99999994719043395</v>
      </c>
    </row>
    <row r="3698" spans="1:40" x14ac:dyDescent="0.25">
      <c r="A3698" t="str">
        <f>"20190312154326127"</f>
        <v>20190312154326127</v>
      </c>
      <c r="B3698" t="str">
        <f>"1552376606120995"</f>
        <v>1552376606120995</v>
      </c>
      <c r="C3698" t="s">
        <v>40</v>
      </c>
      <c r="D3698">
        <v>4.8211959999999996</v>
      </c>
      <c r="E3698">
        <v>0.486734</v>
      </c>
      <c r="F3698" t="s">
        <v>51</v>
      </c>
      <c r="G3698">
        <v>-415.18169999999998</v>
      </c>
      <c r="H3698" s="1">
        <v>3.156338E-6</v>
      </c>
      <c r="I3698">
        <v>214.25659999999999</v>
      </c>
      <c r="J3698">
        <v>-441.92809999999997</v>
      </c>
      <c r="K3698">
        <v>1.1084419999999999</v>
      </c>
      <c r="L3698">
        <v>215.76580000000001</v>
      </c>
      <c r="M3698">
        <v>0.99855720000000003</v>
      </c>
      <c r="N3698">
        <v>0</v>
      </c>
      <c r="O3698">
        <v>-5.2803610000000001E-2</v>
      </c>
      <c r="P3698">
        <v>0.9938304</v>
      </c>
      <c r="Q3698">
        <v>5.344227E-2</v>
      </c>
      <c r="R3698">
        <v>-9.7186560000000005E-2</v>
      </c>
      <c r="S3698">
        <v>3.0083310000000001</v>
      </c>
      <c r="T3698">
        <v>-0.1231377</v>
      </c>
      <c r="U3698">
        <v>-0.1697388</v>
      </c>
      <c r="V3698">
        <v>4.478973E-2</v>
      </c>
      <c r="W3698">
        <v>6.3041169999999994E-2</v>
      </c>
      <c r="X3698">
        <v>0.99700529999999998</v>
      </c>
      <c r="Y3698">
        <v>3.5734690000000001E-3</v>
      </c>
      <c r="Z3698">
        <v>2.0842500000000002E-3</v>
      </c>
      <c r="AA3698">
        <v>0.99999139999999997</v>
      </c>
      <c r="AB3698">
        <v>33</v>
      </c>
      <c r="AC3698">
        <v>26.746399999999898</v>
      </c>
      <c r="AD3698">
        <v>-1.1084388436620001</v>
      </c>
      <c r="AE3698">
        <v>-1.5092000000000201</v>
      </c>
      <c r="AF3698">
        <v>9.4558677525118304E-2</v>
      </c>
      <c r="AG3698">
        <v>-1.1084388436620001</v>
      </c>
      <c r="AH3698">
        <v>26.742993081240598</v>
      </c>
      <c r="AI3698">
        <v>92.373412009804795</v>
      </c>
      <c r="AJ3698">
        <v>89.797412707536594</v>
      </c>
      <c r="AK3698">
        <v>26.766121440300498</v>
      </c>
      <c r="AL3698">
        <v>86.385610055338205</v>
      </c>
      <c r="AM3698">
        <v>87.427758728409401</v>
      </c>
      <c r="AN3698">
        <v>0.99999993862826397</v>
      </c>
    </row>
    <row r="3699" spans="1:40" x14ac:dyDescent="0.25">
      <c r="A3699" t="str">
        <f>"20190312154326150"</f>
        <v>20190312154326150</v>
      </c>
      <c r="B3699" t="str">
        <f>"1552376606141491"</f>
        <v>1552376606141491</v>
      </c>
      <c r="C3699" t="s">
        <v>40</v>
      </c>
      <c r="D3699">
        <v>4.8005630000000004</v>
      </c>
      <c r="E3699">
        <v>0.50473500000000004</v>
      </c>
      <c r="F3699" t="s">
        <v>51</v>
      </c>
      <c r="G3699">
        <v>-414.35359999999997</v>
      </c>
      <c r="H3699" s="1">
        <v>3.018523E-6</v>
      </c>
      <c r="I3699">
        <v>214.15280000000001</v>
      </c>
      <c r="J3699">
        <v>-441.60410000000002</v>
      </c>
      <c r="K3699">
        <v>1.10825</v>
      </c>
      <c r="L3699">
        <v>215.74719999999999</v>
      </c>
      <c r="M3699">
        <v>0.99848809999999999</v>
      </c>
      <c r="N3699">
        <v>0</v>
      </c>
      <c r="O3699">
        <v>-5.4281719999999999E-2</v>
      </c>
      <c r="P3699">
        <v>0.99350810000000001</v>
      </c>
      <c r="Q3699">
        <v>5.6274890000000001E-2</v>
      </c>
      <c r="R3699">
        <v>-9.8870440000000004E-2</v>
      </c>
      <c r="S3699">
        <v>3.0079349999999998</v>
      </c>
      <c r="T3699">
        <v>-0.1209128</v>
      </c>
      <c r="U3699">
        <v>-0.1759491</v>
      </c>
      <c r="V3699">
        <v>4.5001960000000001E-2</v>
      </c>
      <c r="W3699">
        <v>6.4779020000000007E-2</v>
      </c>
      <c r="X3699">
        <v>0.9968844</v>
      </c>
      <c r="Y3699">
        <v>4.1582269999999996E-3</v>
      </c>
      <c r="Z3699">
        <v>2.0942159999999999E-3</v>
      </c>
      <c r="AA3699">
        <v>0.99998920000000002</v>
      </c>
      <c r="AB3699">
        <v>33</v>
      </c>
      <c r="AC3699">
        <v>27.250499999999999</v>
      </c>
      <c r="AD3699">
        <v>-1.108246981477</v>
      </c>
      <c r="AE3699">
        <v>-1.5943999999999701</v>
      </c>
      <c r="AF3699">
        <v>0.112604039152212</v>
      </c>
      <c r="AG3699">
        <v>-1.108246981477</v>
      </c>
      <c r="AH3699">
        <v>27.251950743212099</v>
      </c>
      <c r="AI3699">
        <v>92.328727399445697</v>
      </c>
      <c r="AJ3699">
        <v>89.763257333625702</v>
      </c>
      <c r="AK3699">
        <v>27.274708254205901</v>
      </c>
      <c r="AL3699">
        <v>86.285834828278297</v>
      </c>
      <c r="AM3699">
        <v>87.4152739949552</v>
      </c>
      <c r="AN3699">
        <v>1.00000000239968</v>
      </c>
    </row>
    <row r="3700" spans="1:40" x14ac:dyDescent="0.25">
      <c r="A3700" t="str">
        <f>"20190312154326182"</f>
        <v>20190312154326182</v>
      </c>
      <c r="B3700" t="str">
        <f>"1552376606170771"</f>
        <v>1552376606170771</v>
      </c>
      <c r="C3700" t="s">
        <v>40</v>
      </c>
      <c r="D3700">
        <v>4.8158649999999996</v>
      </c>
      <c r="E3700">
        <v>0.51024190000000003</v>
      </c>
      <c r="F3700" t="s">
        <v>50</v>
      </c>
      <c r="G3700">
        <v>-385.23070000000001</v>
      </c>
      <c r="H3700">
        <v>5.9073470000000003E-2</v>
      </c>
      <c r="I3700">
        <v>209.60720000000001</v>
      </c>
      <c r="J3700">
        <v>-441.10939999999999</v>
      </c>
      <c r="K3700">
        <v>1.108077</v>
      </c>
      <c r="L3700">
        <v>215.7184</v>
      </c>
      <c r="M3700">
        <v>0.99838530000000003</v>
      </c>
      <c r="N3700">
        <v>0</v>
      </c>
      <c r="O3700">
        <v>-5.6380369999999999E-2</v>
      </c>
      <c r="P3700">
        <v>0.99265579999999998</v>
      </c>
      <c r="Q3700">
        <v>6.3234269999999995E-2</v>
      </c>
      <c r="R3700">
        <v>-0.10313029999999999</v>
      </c>
      <c r="S3700">
        <v>2.9903559999999998</v>
      </c>
      <c r="T3700">
        <v>-5.5654170000000003E-2</v>
      </c>
      <c r="U3700">
        <v>-0.32569890000000001</v>
      </c>
      <c r="V3700">
        <v>4.719624E-2</v>
      </c>
      <c r="W3700">
        <v>7.0013249999999999E-2</v>
      </c>
      <c r="X3700">
        <v>0.99642900000000001</v>
      </c>
      <c r="Y3700">
        <v>5.2054320000000001E-2</v>
      </c>
      <c r="Z3700">
        <v>5.6200569999999999E-4</v>
      </c>
      <c r="AA3700">
        <v>0.99864410000000003</v>
      </c>
      <c r="AB3700">
        <v>33</v>
      </c>
      <c r="AC3700">
        <v>55.878699999999903</v>
      </c>
      <c r="AD3700">
        <v>-1.04900353</v>
      </c>
      <c r="AE3700">
        <v>-6.1111999999999904</v>
      </c>
      <c r="AF3700">
        <v>2.9499140335500602</v>
      </c>
      <c r="AG3700">
        <v>-1.04900353</v>
      </c>
      <c r="AH3700">
        <v>56.114830647949198</v>
      </c>
      <c r="AI3700">
        <v>91.0694788950494</v>
      </c>
      <c r="AJ3700">
        <v>86.990774365041105</v>
      </c>
      <c r="AK3700">
        <v>56.202105119464299</v>
      </c>
      <c r="AL3700">
        <v>85.985251931240498</v>
      </c>
      <c r="AM3700">
        <v>87.288190280320705</v>
      </c>
      <c r="AN3700">
        <v>1.00000004614334</v>
      </c>
    </row>
    <row r="3701" spans="1:40" x14ac:dyDescent="0.25">
      <c r="A3701" t="str">
        <f>"20190312154326202"</f>
        <v>20190312154326202</v>
      </c>
      <c r="B3701" t="str">
        <f>"1552376606201027"</f>
        <v>1552376606201027</v>
      </c>
      <c r="C3701" t="s">
        <v>40</v>
      </c>
      <c r="D3701">
        <v>4.8109900000000003</v>
      </c>
      <c r="E3701">
        <v>0.51247359999999997</v>
      </c>
      <c r="F3701" t="s">
        <v>62</v>
      </c>
      <c r="G3701">
        <v>-168.41990000000001</v>
      </c>
      <c r="H3701">
        <v>2.569242</v>
      </c>
      <c r="I3701">
        <v>180.62620000000001</v>
      </c>
      <c r="J3701">
        <v>-440.78699999999998</v>
      </c>
      <c r="K3701">
        <v>1.1079870000000001</v>
      </c>
      <c r="L3701">
        <v>215.69919999999999</v>
      </c>
      <c r="M3701">
        <v>0.99832120000000002</v>
      </c>
      <c r="N3701">
        <v>0</v>
      </c>
      <c r="O3701">
        <v>-5.7626730000000001E-2</v>
      </c>
      <c r="P3701">
        <v>0.99187950000000003</v>
      </c>
      <c r="Q3701">
        <v>7.0142410000000002E-2</v>
      </c>
      <c r="R3701">
        <v>-0.10609159999999999</v>
      </c>
      <c r="S3701">
        <v>2.9813540000000001</v>
      </c>
      <c r="T3701">
        <v>1.597548E-2</v>
      </c>
      <c r="U3701">
        <v>-0.38366699999999998</v>
      </c>
      <c r="V3701">
        <v>4.8955529999999997E-2</v>
      </c>
      <c r="W3701">
        <v>7.5821819999999998E-2</v>
      </c>
      <c r="X3701">
        <v>0.99591890000000005</v>
      </c>
      <c r="Y3701">
        <v>7.0267650000000001E-2</v>
      </c>
      <c r="Z3701">
        <v>-1.196257E-4</v>
      </c>
      <c r="AA3701">
        <v>0.99752819999999998</v>
      </c>
      <c r="AB3701">
        <v>34</v>
      </c>
      <c r="AC3701">
        <v>272.36709999999903</v>
      </c>
      <c r="AD3701">
        <v>1.461255</v>
      </c>
      <c r="AE3701">
        <v>-35.072999999999901</v>
      </c>
      <c r="AF3701">
        <v>19.318274997364998</v>
      </c>
      <c r="AG3701">
        <v>1.461255</v>
      </c>
      <c r="AH3701">
        <v>273.92788538510001</v>
      </c>
      <c r="AI3701">
        <v>89.695118558971103</v>
      </c>
      <c r="AJ3701">
        <v>85.965996346840399</v>
      </c>
      <c r="AK3701">
        <v>274.61212174010302</v>
      </c>
      <c r="AL3701">
        <v>85.651556519779902</v>
      </c>
      <c r="AM3701">
        <v>87.185825771876395</v>
      </c>
      <c r="AN3701">
        <v>1.0000000238414499</v>
      </c>
    </row>
    <row r="3702" spans="1:40" x14ac:dyDescent="0.25">
      <c r="A3702" t="str">
        <f>"20190312154326227"</f>
        <v>20190312154326227</v>
      </c>
      <c r="B3702" t="str">
        <f>"1552376606221522"</f>
        <v>1552376606221522</v>
      </c>
      <c r="C3702" t="s">
        <v>40</v>
      </c>
      <c r="D3702">
        <v>4.7714629999999998</v>
      </c>
      <c r="E3702">
        <v>0.51280320000000001</v>
      </c>
      <c r="F3702" t="s">
        <v>64</v>
      </c>
      <c r="G3702">
        <v>-254.74709999999999</v>
      </c>
      <c r="H3702">
        <v>5.2892229999999998</v>
      </c>
      <c r="I3702">
        <v>189.9598</v>
      </c>
      <c r="J3702">
        <v>-440.42939999999999</v>
      </c>
      <c r="K3702">
        <v>1.1079190000000001</v>
      </c>
      <c r="L3702">
        <v>215.67760000000001</v>
      </c>
      <c r="M3702">
        <v>0.99825540000000001</v>
      </c>
      <c r="N3702">
        <v>0</v>
      </c>
      <c r="O3702">
        <v>-5.8859549999999997E-2</v>
      </c>
      <c r="P3702">
        <v>0.99069580000000002</v>
      </c>
      <c r="Q3702">
        <v>8.0392959999999999E-2</v>
      </c>
      <c r="R3702">
        <v>-0.10981299999999999</v>
      </c>
      <c r="S3702">
        <v>2.9758</v>
      </c>
      <c r="T3702">
        <v>6.6882129999999998E-2</v>
      </c>
      <c r="U3702">
        <v>-0.41171259999999998</v>
      </c>
      <c r="V3702">
        <v>5.152238E-2</v>
      </c>
      <c r="W3702">
        <v>8.4908490000000003E-2</v>
      </c>
      <c r="X3702">
        <v>0.99505580000000005</v>
      </c>
      <c r="Y3702">
        <v>7.8500879999999995E-2</v>
      </c>
      <c r="Z3702">
        <v>-4.3668999999999999E-4</v>
      </c>
      <c r="AA3702">
        <v>0.99691399999999997</v>
      </c>
      <c r="AB3702">
        <v>34</v>
      </c>
      <c r="AC3702">
        <v>185.6823</v>
      </c>
      <c r="AD3702">
        <v>4.1813039999999999</v>
      </c>
      <c r="AE3702">
        <v>-25.7178</v>
      </c>
      <c r="AF3702">
        <v>14.7365840736694</v>
      </c>
      <c r="AG3702">
        <v>4.1813039999999999</v>
      </c>
      <c r="AH3702">
        <v>186.781193733316</v>
      </c>
      <c r="AI3702">
        <v>88.721556226584298</v>
      </c>
      <c r="AJ3702">
        <v>85.488846580730893</v>
      </c>
      <c r="AK3702">
        <v>187.40828302330499</v>
      </c>
      <c r="AL3702">
        <v>85.129237418644493</v>
      </c>
      <c r="AM3702">
        <v>87.035964172258304</v>
      </c>
      <c r="AN3702">
        <v>1.0000000262142901</v>
      </c>
    </row>
    <row r="3703" spans="1:40" x14ac:dyDescent="0.25">
      <c r="A3703" t="str">
        <f>"20190312154326247"</f>
        <v>20190312154326247</v>
      </c>
      <c r="B3703" t="str">
        <f>"1552376606241042"</f>
        <v>1552376606241042</v>
      </c>
      <c r="C3703" t="s">
        <v>40</v>
      </c>
      <c r="D3703">
        <v>4.7588650000000001</v>
      </c>
      <c r="E3703">
        <v>0.52232999999999996</v>
      </c>
      <c r="F3703" t="s">
        <v>62</v>
      </c>
      <c r="G3703">
        <v>-168.4239</v>
      </c>
      <c r="H3703">
        <v>10.80071</v>
      </c>
      <c r="I3703">
        <v>176.73249999999999</v>
      </c>
      <c r="J3703">
        <v>-440.10930000000002</v>
      </c>
      <c r="K3703">
        <v>1.1078859999999999</v>
      </c>
      <c r="L3703">
        <v>215.65799999999999</v>
      </c>
      <c r="M3703">
        <v>0.9982029</v>
      </c>
      <c r="N3703">
        <v>0</v>
      </c>
      <c r="O3703">
        <v>-5.9809510000000003E-2</v>
      </c>
      <c r="P3703">
        <v>0.98939589999999999</v>
      </c>
      <c r="Q3703">
        <v>9.1118920000000006E-2</v>
      </c>
      <c r="R3703">
        <v>-0.11310779999999999</v>
      </c>
      <c r="S3703">
        <v>2.9724119999999998</v>
      </c>
      <c r="T3703">
        <v>0.105920899999999</v>
      </c>
      <c r="U3703">
        <v>-0.42558289999999999</v>
      </c>
      <c r="V3703">
        <v>5.3957489999999997E-2</v>
      </c>
      <c r="W3703">
        <v>9.4683530000000002E-2</v>
      </c>
      <c r="X3703">
        <v>0.99404409999999999</v>
      </c>
      <c r="Y3703">
        <v>8.2258410000000004E-2</v>
      </c>
      <c r="Z3703">
        <v>-6.5889509999999998E-4</v>
      </c>
      <c r="AA3703">
        <v>0.99661080000000002</v>
      </c>
      <c r="AB3703">
        <v>34</v>
      </c>
      <c r="AC3703">
        <v>271.68540000000002</v>
      </c>
      <c r="AD3703">
        <v>9.6928239999999999</v>
      </c>
      <c r="AE3703">
        <v>-38.9255</v>
      </c>
      <c r="AF3703">
        <v>22.5781722741411</v>
      </c>
      <c r="AG3703">
        <v>9.6928239999999999</v>
      </c>
      <c r="AH3703">
        <v>273.18643182746098</v>
      </c>
      <c r="AI3703">
        <v>87.974861535202507</v>
      </c>
      <c r="AJ3703">
        <v>85.275385569230494</v>
      </c>
      <c r="AK3703">
        <v>274.28917447641902</v>
      </c>
      <c r="AL3703">
        <v>84.566894835424904</v>
      </c>
      <c r="AM3703">
        <v>86.892989453603505</v>
      </c>
      <c r="AN3703">
        <v>1.00000002716258</v>
      </c>
    </row>
    <row r="3704" spans="1:40" x14ac:dyDescent="0.25">
      <c r="A3704" t="str">
        <f>"20190312154326272"</f>
        <v>20190312154326272</v>
      </c>
      <c r="B3704" t="str">
        <f>"1552376606261539"</f>
        <v>1552376606261539</v>
      </c>
      <c r="C3704" t="s">
        <v>40</v>
      </c>
      <c r="D3704">
        <v>4.9366899999999996</v>
      </c>
      <c r="E3704">
        <v>0.5219454</v>
      </c>
      <c r="F3704" t="s">
        <v>62</v>
      </c>
      <c r="G3704">
        <v>-160.8775</v>
      </c>
      <c r="H3704">
        <v>49.774329999999999</v>
      </c>
      <c r="I3704">
        <v>165.38890000000001</v>
      </c>
      <c r="J3704">
        <v>-439.72919999999999</v>
      </c>
      <c r="K3704">
        <v>1.1078669999999999</v>
      </c>
      <c r="L3704">
        <v>215.6344</v>
      </c>
      <c r="M3704">
        <v>0.99814959999999997</v>
      </c>
      <c r="N3704">
        <v>0</v>
      </c>
      <c r="O3704">
        <v>-6.074591E-2</v>
      </c>
      <c r="P3704">
        <v>0.98871010000000004</v>
      </c>
      <c r="Q3704">
        <v>9.5057199999999994E-2</v>
      </c>
      <c r="R3704">
        <v>-0.11583160000000001</v>
      </c>
      <c r="S3704">
        <v>2.9250180000000001</v>
      </c>
      <c r="T3704">
        <v>0.50979289999999999</v>
      </c>
      <c r="U3704">
        <v>-0.52658079999999996</v>
      </c>
      <c r="V3704">
        <v>5.5780150000000001E-2</v>
      </c>
      <c r="W3704">
        <v>9.7656590000000001E-2</v>
      </c>
      <c r="X3704">
        <v>0.99365570000000003</v>
      </c>
      <c r="Y3704">
        <v>0.1162567</v>
      </c>
      <c r="Z3704">
        <v>-4.30448E-4</v>
      </c>
      <c r="AA3704">
        <v>0.99321910000000002</v>
      </c>
      <c r="AB3704">
        <v>34</v>
      </c>
      <c r="AC3704">
        <v>278.85169999999999</v>
      </c>
      <c r="AD3704">
        <v>48.666463</v>
      </c>
      <c r="AE3704">
        <v>-50.2454999999999</v>
      </c>
      <c r="AF3704">
        <v>32.261791992847101</v>
      </c>
      <c r="AG3704">
        <v>48.666463</v>
      </c>
      <c r="AH3704">
        <v>273.32557440885898</v>
      </c>
      <c r="AI3704">
        <v>79.972296430283393</v>
      </c>
      <c r="AJ3704">
        <v>83.268279966364105</v>
      </c>
      <c r="AK3704">
        <v>279.492607182109</v>
      </c>
      <c r="AL3704">
        <v>84.395757273881799</v>
      </c>
      <c r="AM3704">
        <v>86.786999384332404</v>
      </c>
      <c r="AN3704">
        <v>0.99999994242346801</v>
      </c>
    </row>
    <row r="3705" spans="1:40" x14ac:dyDescent="0.25">
      <c r="A3705" t="str">
        <f>"20190312154326295"</f>
        <v>20190312154326295</v>
      </c>
      <c r="B3705" t="str">
        <f>"1552376606290819"</f>
        <v>1552376606290819</v>
      </c>
      <c r="C3705" t="s">
        <v>40</v>
      </c>
      <c r="D3705">
        <v>4.7707639999999998</v>
      </c>
      <c r="E3705">
        <v>0.52276769999999995</v>
      </c>
      <c r="F3705" t="s">
        <v>62</v>
      </c>
      <c r="G3705">
        <v>-162.0573</v>
      </c>
      <c r="H3705">
        <v>57.006929999999997</v>
      </c>
      <c r="I3705">
        <v>164.7208</v>
      </c>
      <c r="J3705">
        <v>-439.3614</v>
      </c>
      <c r="K3705">
        <v>1.107898</v>
      </c>
      <c r="L3705">
        <v>215.6113</v>
      </c>
      <c r="M3705">
        <v>0.99810620000000005</v>
      </c>
      <c r="N3705">
        <v>0</v>
      </c>
      <c r="O3705">
        <v>-6.1483419999999997E-2</v>
      </c>
      <c r="P3705">
        <v>0.98840280000000003</v>
      </c>
      <c r="Q3705">
        <v>9.5647380000000004E-2</v>
      </c>
      <c r="R3705">
        <v>-0.117948499999999</v>
      </c>
      <c r="S3705">
        <v>2.915222</v>
      </c>
      <c r="T3705">
        <v>0.5868738</v>
      </c>
      <c r="U3705">
        <v>-0.53453059999999997</v>
      </c>
      <c r="V3705">
        <v>5.7161610000000002E-2</v>
      </c>
      <c r="W3705">
        <v>9.7491910000000001E-2</v>
      </c>
      <c r="X3705">
        <v>0.99359339999999996</v>
      </c>
      <c r="Y3705">
        <v>0.1184315</v>
      </c>
      <c r="Z3705">
        <v>-4.257811E-4</v>
      </c>
      <c r="AA3705">
        <v>0.99296209999999996</v>
      </c>
      <c r="AB3705">
        <v>35</v>
      </c>
      <c r="AC3705">
        <v>277.30410000000001</v>
      </c>
      <c r="AD3705">
        <v>55.899031999999998</v>
      </c>
      <c r="AE3705">
        <v>-50.890500000000003</v>
      </c>
      <c r="AF3705">
        <v>32.468235768706002</v>
      </c>
      <c r="AG3705">
        <v>55.899031999999998</v>
      </c>
      <c r="AH3705">
        <v>269.321203596533</v>
      </c>
      <c r="AI3705">
        <v>78.356424334168807</v>
      </c>
      <c r="AJ3705">
        <v>83.125835170705201</v>
      </c>
      <c r="AK3705">
        <v>276.97075444738698</v>
      </c>
      <c r="AL3705">
        <v>84.405238212699501</v>
      </c>
      <c r="AM3705">
        <v>86.707392664699796</v>
      </c>
      <c r="AN3705">
        <v>0.99999998334839901</v>
      </c>
    </row>
    <row r="3706" spans="1:40" x14ac:dyDescent="0.25">
      <c r="A3706" t="str">
        <f>"20190312154326319"</f>
        <v>20190312154326319</v>
      </c>
      <c r="B3706" t="str">
        <f>"1552376606311315"</f>
        <v>1552376606311315</v>
      </c>
      <c r="C3706" t="s">
        <v>40</v>
      </c>
      <c r="D3706">
        <v>4.9369399999999999</v>
      </c>
      <c r="E3706">
        <v>0.52249129999999999</v>
      </c>
      <c r="F3706" t="s">
        <v>56</v>
      </c>
      <c r="G3706">
        <v>0</v>
      </c>
      <c r="H3706">
        <v>0</v>
      </c>
      <c r="I3706">
        <v>0</v>
      </c>
      <c r="J3706">
        <v>-438.99149999999997</v>
      </c>
      <c r="K3706">
        <v>1.107974</v>
      </c>
      <c r="L3706">
        <v>215.58789999999999</v>
      </c>
      <c r="M3706">
        <v>0.99807009999999996</v>
      </c>
      <c r="N3706">
        <v>0</v>
      </c>
      <c r="O3706">
        <v>-6.208458E-2</v>
      </c>
      <c r="P3706">
        <v>0.98834560000000005</v>
      </c>
      <c r="Q3706">
        <v>9.538613E-2</v>
      </c>
      <c r="R3706">
        <v>-0.1186376</v>
      </c>
      <c r="S3706">
        <v>2.909332</v>
      </c>
      <c r="T3706">
        <v>0.62425109999999995</v>
      </c>
      <c r="U3706">
        <v>-0.54873660000000002</v>
      </c>
      <c r="V3706">
        <v>5.7233890000000003E-2</v>
      </c>
      <c r="W3706">
        <v>9.6652370000000001E-2</v>
      </c>
      <c r="X3706">
        <v>0.99367130000000004</v>
      </c>
      <c r="Y3706">
        <v>0.12264899999999999</v>
      </c>
      <c r="Z3706">
        <v>-1.348369E-4</v>
      </c>
      <c r="AA3706">
        <v>0.9924501</v>
      </c>
      <c r="AB3706">
        <v>35</v>
      </c>
      <c r="AC3706">
        <v>2.909332</v>
      </c>
      <c r="AD3706">
        <v>0.62425109999999995</v>
      </c>
      <c r="AE3706">
        <v>-0.54873660000000002</v>
      </c>
      <c r="AF3706">
        <v>0.35142935611556902</v>
      </c>
      <c r="AG3706">
        <v>0.62425109999999995</v>
      </c>
      <c r="AH3706">
        <v>2.8127387395696202</v>
      </c>
      <c r="AI3706">
        <v>77.580293734930393</v>
      </c>
      <c r="AJ3706">
        <v>82.878252645179799</v>
      </c>
      <c r="AK3706">
        <v>2.9025318680880501</v>
      </c>
      <c r="AL3706">
        <v>84.453568796296494</v>
      </c>
      <c r="AM3706">
        <v>86.703496273061504</v>
      </c>
      <c r="AN3706">
        <v>1.00000002561741</v>
      </c>
    </row>
    <row r="3707" spans="1:40" x14ac:dyDescent="0.25">
      <c r="A3707" t="str">
        <f>"20190312154326340"</f>
        <v>20190312154326340</v>
      </c>
      <c r="B3707" t="str">
        <f>"1552376606330835"</f>
        <v>1552376606330835</v>
      </c>
      <c r="C3707" t="s">
        <v>40</v>
      </c>
      <c r="D3707">
        <v>4.862317</v>
      </c>
      <c r="E3707">
        <v>0.52346349999999997</v>
      </c>
      <c r="F3707" t="s">
        <v>56</v>
      </c>
      <c r="G3707">
        <v>0</v>
      </c>
      <c r="H3707">
        <v>0</v>
      </c>
      <c r="I3707">
        <v>0</v>
      </c>
      <c r="J3707">
        <v>-438.65089999999998</v>
      </c>
      <c r="K3707">
        <v>1.1080909999999999</v>
      </c>
      <c r="L3707">
        <v>215.56620000000001</v>
      </c>
      <c r="M3707">
        <v>0.99804320000000002</v>
      </c>
      <c r="N3707">
        <v>0</v>
      </c>
      <c r="O3707">
        <v>-6.2522599999999998E-2</v>
      </c>
      <c r="P3707">
        <v>0.98804029999999998</v>
      </c>
      <c r="Q3707">
        <v>9.7977239999999993E-2</v>
      </c>
      <c r="R3707">
        <v>-0.1190686</v>
      </c>
      <c r="S3707">
        <v>2.9098510000000002</v>
      </c>
      <c r="T3707">
        <v>0.61950179999999999</v>
      </c>
      <c r="U3707">
        <v>-0.54760739999999997</v>
      </c>
      <c r="V3707">
        <v>5.7229700000000001E-2</v>
      </c>
      <c r="W3707">
        <v>9.8865690000000006E-2</v>
      </c>
      <c r="X3707">
        <v>0.9934537</v>
      </c>
      <c r="Y3707">
        <v>0.121856199999999</v>
      </c>
      <c r="Z3707">
        <v>-3.076512E-4</v>
      </c>
      <c r="AA3707">
        <v>0.99254770000000003</v>
      </c>
      <c r="AB3707">
        <v>35</v>
      </c>
      <c r="AC3707">
        <v>2.9098510000000002</v>
      </c>
      <c r="AD3707">
        <v>0.61950179999999999</v>
      </c>
      <c r="AE3707">
        <v>-0.54760739999999997</v>
      </c>
      <c r="AF3707">
        <v>0.34931323656198598</v>
      </c>
      <c r="AG3707">
        <v>0.61950179999999999</v>
      </c>
      <c r="AH3707">
        <v>2.8151614075382398</v>
      </c>
      <c r="AI3707">
        <v>77.680909993986205</v>
      </c>
      <c r="AJ3707">
        <v>82.926730141401094</v>
      </c>
      <c r="AK3707">
        <v>2.9036074059578598</v>
      </c>
      <c r="AL3707">
        <v>84.326144149022696</v>
      </c>
      <c r="AM3707">
        <v>86.703016671928793</v>
      </c>
      <c r="AN3707">
        <v>0.99999995863247704</v>
      </c>
    </row>
    <row r="3708" spans="1:40" x14ac:dyDescent="0.25">
      <c r="A3708" t="str">
        <f>"20190312154326362"</f>
        <v>20190312154326362</v>
      </c>
      <c r="B3708" t="str">
        <f>"1552376606351331"</f>
        <v>1552376606351331</v>
      </c>
      <c r="C3708" t="s">
        <v>40</v>
      </c>
      <c r="D3708">
        <v>4.8947079999999996</v>
      </c>
      <c r="E3708">
        <v>0.52416320000000005</v>
      </c>
      <c r="F3708" t="s">
        <v>56</v>
      </c>
      <c r="G3708">
        <v>0</v>
      </c>
      <c r="H3708">
        <v>0</v>
      </c>
      <c r="I3708">
        <v>0</v>
      </c>
      <c r="J3708">
        <v>-438.30009999999999</v>
      </c>
      <c r="K3708">
        <v>1.108233</v>
      </c>
      <c r="L3708">
        <v>215.5437</v>
      </c>
      <c r="M3708">
        <v>0.99802170000000001</v>
      </c>
      <c r="N3708">
        <v>0</v>
      </c>
      <c r="O3708">
        <v>-6.2866829999999999E-2</v>
      </c>
      <c r="P3708">
        <v>0.98778469999999996</v>
      </c>
      <c r="Q3708">
        <v>0.1011919</v>
      </c>
      <c r="R3708">
        <v>-0.1184982</v>
      </c>
      <c r="S3708">
        <v>2.9056700000000002</v>
      </c>
      <c r="T3708">
        <v>0.6409087</v>
      </c>
      <c r="U3708">
        <v>-0.55665589999999998</v>
      </c>
      <c r="V3708">
        <v>5.6313349999999998E-2</v>
      </c>
      <c r="W3708">
        <v>0.1018318</v>
      </c>
      <c r="X3708">
        <v>0.99320640000000004</v>
      </c>
      <c r="Y3708">
        <v>0.1246086</v>
      </c>
      <c r="Z3708" s="1">
        <v>-9.4766730000000004E-5</v>
      </c>
      <c r="AA3708">
        <v>0.99220600000000003</v>
      </c>
      <c r="AB3708">
        <v>36</v>
      </c>
      <c r="AC3708">
        <v>2.9056700000000002</v>
      </c>
      <c r="AD3708">
        <v>0.6409087</v>
      </c>
      <c r="AE3708">
        <v>-0.55665589999999998</v>
      </c>
      <c r="AF3708">
        <v>0.356169619437328</v>
      </c>
      <c r="AG3708">
        <v>0.6409087</v>
      </c>
      <c r="AH3708">
        <v>2.8033573436973001</v>
      </c>
      <c r="AI3708">
        <v>77.221563836699502</v>
      </c>
      <c r="AJ3708">
        <v>82.759301925584097</v>
      </c>
      <c r="AK3708">
        <v>2.8976599448533298</v>
      </c>
      <c r="AL3708">
        <v>84.1553361476535</v>
      </c>
      <c r="AM3708">
        <v>86.754887519338297</v>
      </c>
      <c r="AN3708">
        <v>0.999999930940209</v>
      </c>
    </row>
    <row r="3709" spans="1:40" x14ac:dyDescent="0.25">
      <c r="A3709" t="str">
        <f>"20190312154326383"</f>
        <v>20190312154326383</v>
      </c>
      <c r="B3709" t="str">
        <f>"1552376606370854"</f>
        <v>1552376606370854</v>
      </c>
      <c r="C3709" t="s">
        <v>40</v>
      </c>
      <c r="D3709">
        <v>4.8836870000000001</v>
      </c>
      <c r="E3709">
        <v>0.52447809999999995</v>
      </c>
      <c r="F3709" t="s">
        <v>56</v>
      </c>
      <c r="G3709">
        <v>0</v>
      </c>
      <c r="H3709">
        <v>0</v>
      </c>
      <c r="I3709">
        <v>0</v>
      </c>
      <c r="J3709">
        <v>-437.95429999999999</v>
      </c>
      <c r="K3709">
        <v>1.1083909999999999</v>
      </c>
      <c r="L3709">
        <v>215.52160000000001</v>
      </c>
      <c r="M3709">
        <v>0.99800650000000002</v>
      </c>
      <c r="N3709">
        <v>0</v>
      </c>
      <c r="O3709">
        <v>-6.3109600000000002E-2</v>
      </c>
      <c r="P3709">
        <v>0.98780469999999998</v>
      </c>
      <c r="Q3709">
        <v>0.1028616</v>
      </c>
      <c r="R3709">
        <v>-0.1168821</v>
      </c>
      <c r="S3709">
        <v>2.9023439999999998</v>
      </c>
      <c r="T3709">
        <v>0.65889529999999996</v>
      </c>
      <c r="U3709">
        <v>-0.56016540000000004</v>
      </c>
      <c r="V3709">
        <v>5.4432309999999998E-2</v>
      </c>
      <c r="W3709">
        <v>0.1033681</v>
      </c>
      <c r="X3709">
        <v>0.99315260000000005</v>
      </c>
      <c r="Y3709">
        <v>0.12563199999999999</v>
      </c>
      <c r="Z3709" s="1">
        <v>-3.7320890000000003E-5</v>
      </c>
      <c r="AA3709">
        <v>0.99207690000000004</v>
      </c>
      <c r="AB3709">
        <v>36</v>
      </c>
      <c r="AC3709">
        <v>2.9023439999999998</v>
      </c>
      <c r="AD3709">
        <v>0.65889529999999996</v>
      </c>
      <c r="AE3709">
        <v>-0.56016540000000004</v>
      </c>
      <c r="AF3709">
        <v>0.35809020270772202</v>
      </c>
      <c r="AG3709">
        <v>0.65889529999999996</v>
      </c>
      <c r="AH3709">
        <v>2.7931255389397802</v>
      </c>
      <c r="AI3709">
        <v>76.830635726452201</v>
      </c>
      <c r="AJ3709">
        <v>82.694297279537693</v>
      </c>
      <c r="AK3709">
        <v>2.8920445857411998</v>
      </c>
      <c r="AL3709">
        <v>84.0668458303889</v>
      </c>
      <c r="AM3709">
        <v>86.862894503379394</v>
      </c>
      <c r="AN3709">
        <v>0.99999996367815203</v>
      </c>
    </row>
    <row r="3710" spans="1:40" x14ac:dyDescent="0.25">
      <c r="A3710" t="str">
        <f>"20190312154326405"</f>
        <v>20190312154326405</v>
      </c>
      <c r="B3710" t="str">
        <f>"1552376606401107"</f>
        <v>1552376606401107</v>
      </c>
      <c r="C3710" t="s">
        <v>40</v>
      </c>
      <c r="D3710">
        <v>4.9080510000000004</v>
      </c>
      <c r="E3710">
        <v>0.52490209999999904</v>
      </c>
      <c r="F3710" t="s">
        <v>56</v>
      </c>
      <c r="G3710">
        <v>0</v>
      </c>
      <c r="H3710">
        <v>0</v>
      </c>
      <c r="I3710">
        <v>0</v>
      </c>
      <c r="J3710">
        <v>-437.60480000000001</v>
      </c>
      <c r="K3710">
        <v>1.108533</v>
      </c>
      <c r="L3710">
        <v>215.4992</v>
      </c>
      <c r="M3710">
        <v>0.99799590000000005</v>
      </c>
      <c r="N3710">
        <v>0</v>
      </c>
      <c r="O3710">
        <v>-6.3275860000000003E-2</v>
      </c>
      <c r="P3710">
        <v>0.98814869999999999</v>
      </c>
      <c r="Q3710">
        <v>0.1019153</v>
      </c>
      <c r="R3710">
        <v>-0.1147832</v>
      </c>
      <c r="S3710">
        <v>2.9014890000000002</v>
      </c>
      <c r="T3710">
        <v>0.66774009999999995</v>
      </c>
      <c r="U3710">
        <v>-0.558029199999999</v>
      </c>
      <c r="V3710">
        <v>5.2122500000000002E-2</v>
      </c>
      <c r="W3710">
        <v>0.1023683</v>
      </c>
      <c r="X3710">
        <v>0.99338009999999999</v>
      </c>
      <c r="Y3710">
        <v>0.1247998</v>
      </c>
      <c r="Z3710">
        <v>-1.6887019999999999E-4</v>
      </c>
      <c r="AA3710">
        <v>0.99218189999999995</v>
      </c>
      <c r="AB3710">
        <v>36</v>
      </c>
      <c r="AC3710">
        <v>2.9014890000000002</v>
      </c>
      <c r="AD3710">
        <v>0.66774009999999995</v>
      </c>
      <c r="AE3710">
        <v>-0.558029199999999</v>
      </c>
      <c r="AF3710">
        <v>0.35517646371390399</v>
      </c>
      <c r="AG3710">
        <v>0.66774009999999995</v>
      </c>
      <c r="AH3710">
        <v>2.7885617224441499</v>
      </c>
      <c r="AI3710">
        <v>76.637731939643203</v>
      </c>
      <c r="AJ3710">
        <v>82.741374412326905</v>
      </c>
      <c r="AK3710">
        <v>2.8893085057509902</v>
      </c>
      <c r="AL3710">
        <v>84.124436022222895</v>
      </c>
      <c r="AM3710">
        <v>86.996453640927797</v>
      </c>
      <c r="AN3710">
        <v>1.00000002346357</v>
      </c>
    </row>
    <row r="3711" spans="1:40" x14ac:dyDescent="0.25">
      <c r="A3711" t="str">
        <f>"20190312154326428"</f>
        <v>20190312154326428</v>
      </c>
      <c r="B3711" t="str">
        <f>"1552376606421603"</f>
        <v>1552376606421603</v>
      </c>
      <c r="C3711" t="s">
        <v>40</v>
      </c>
      <c r="D3711">
        <v>4.8908719999999999</v>
      </c>
      <c r="E3711">
        <v>0.5249627</v>
      </c>
      <c r="F3711" t="s">
        <v>56</v>
      </c>
      <c r="G3711">
        <v>0</v>
      </c>
      <c r="H3711">
        <v>0</v>
      </c>
      <c r="I3711">
        <v>0</v>
      </c>
      <c r="J3711">
        <v>-437.22969999999998</v>
      </c>
      <c r="K3711">
        <v>1.1086640000000001</v>
      </c>
      <c r="L3711">
        <v>215.4752</v>
      </c>
      <c r="M3711">
        <v>0.99798869999999895</v>
      </c>
      <c r="N3711">
        <v>0</v>
      </c>
      <c r="O3711">
        <v>-6.3391080000000002E-2</v>
      </c>
      <c r="P3711">
        <v>0.98884070000000002</v>
      </c>
      <c r="Q3711">
        <v>9.7688849999999994E-2</v>
      </c>
      <c r="R3711">
        <v>-0.1124776</v>
      </c>
      <c r="S3711">
        <v>2.902679</v>
      </c>
      <c r="T3711">
        <v>0.66682980000000003</v>
      </c>
      <c r="U3711">
        <v>-0.55534359999999905</v>
      </c>
      <c r="V3711">
        <v>4.9634829999999998E-2</v>
      </c>
      <c r="W3711">
        <v>9.8142999999999994E-2</v>
      </c>
      <c r="X3711">
        <v>0.99393379999999998</v>
      </c>
      <c r="Y3711">
        <v>0.12375839999999901</v>
      </c>
      <c r="Z3711">
        <v>-3.1155069999999998E-4</v>
      </c>
      <c r="AA3711">
        <v>0.99231230000000004</v>
      </c>
      <c r="AB3711">
        <v>36</v>
      </c>
      <c r="AC3711">
        <v>2.902679</v>
      </c>
      <c r="AD3711">
        <v>0.66682980000000003</v>
      </c>
      <c r="AE3711">
        <v>-0.55534359999999905</v>
      </c>
      <c r="AF3711">
        <v>0.352287102403401</v>
      </c>
      <c r="AG3711">
        <v>0.66682980000000003</v>
      </c>
      <c r="AH3711">
        <v>2.7900006550940502</v>
      </c>
      <c r="AI3711">
        <v>76.660164514639703</v>
      </c>
      <c r="AJ3711">
        <v>82.803475666156402</v>
      </c>
      <c r="AK3711">
        <v>2.8901335332667699</v>
      </c>
      <c r="AL3711">
        <v>84.367754014505294</v>
      </c>
      <c r="AM3711">
        <v>87.141151840963602</v>
      </c>
      <c r="AN3711">
        <v>1.00000003179028</v>
      </c>
    </row>
    <row r="3712" spans="1:40" x14ac:dyDescent="0.25">
      <c r="A3712" t="str">
        <f>"20190312154326450"</f>
        <v>20190312154326450</v>
      </c>
      <c r="B3712" t="str">
        <f>"1552376606441123"</f>
        <v>1552376606441123</v>
      </c>
      <c r="C3712" t="s">
        <v>40</v>
      </c>
      <c r="D3712">
        <v>4.8928500000000001</v>
      </c>
      <c r="E3712">
        <v>0.52508330000000003</v>
      </c>
      <c r="F3712" t="s">
        <v>56</v>
      </c>
      <c r="G3712">
        <v>0</v>
      </c>
      <c r="H3712">
        <v>0</v>
      </c>
      <c r="I3712">
        <v>0</v>
      </c>
      <c r="J3712">
        <v>-436.863</v>
      </c>
      <c r="K3712">
        <v>1.10876</v>
      </c>
      <c r="L3712">
        <v>215.45179999999999</v>
      </c>
      <c r="M3712">
        <v>0.99798520000000002</v>
      </c>
      <c r="N3712">
        <v>0</v>
      </c>
      <c r="O3712">
        <v>-6.3444159999999999E-2</v>
      </c>
      <c r="P3712">
        <v>0.98918249999999996</v>
      </c>
      <c r="Q3712">
        <v>9.4996280000000002E-2</v>
      </c>
      <c r="R3712">
        <v>-0.1117751</v>
      </c>
      <c r="S3712">
        <v>2.90686</v>
      </c>
      <c r="T3712">
        <v>0.65350459999999999</v>
      </c>
      <c r="U3712">
        <v>-0.54925539999999995</v>
      </c>
      <c r="V3712">
        <v>4.8839029999999999E-2</v>
      </c>
      <c r="W3712">
        <v>9.5492850000000004E-2</v>
      </c>
      <c r="X3712">
        <v>0.99423130000000004</v>
      </c>
      <c r="Y3712">
        <v>0.1215527</v>
      </c>
      <c r="Z3712">
        <v>-5.5979559999999996E-4</v>
      </c>
      <c r="AA3712">
        <v>0.99258480000000004</v>
      </c>
      <c r="AB3712">
        <v>36</v>
      </c>
      <c r="AC3712">
        <v>2.90686</v>
      </c>
      <c r="AD3712">
        <v>0.65350459999999999</v>
      </c>
      <c r="AE3712">
        <v>-0.54925539999999995</v>
      </c>
      <c r="AF3712">
        <v>0.34680183630774603</v>
      </c>
      <c r="AG3712">
        <v>0.65350459999999999</v>
      </c>
      <c r="AH3712">
        <v>2.7992493328465402</v>
      </c>
      <c r="AI3712">
        <v>76.9555335529123</v>
      </c>
      <c r="AJ3712">
        <v>82.937554882002004</v>
      </c>
      <c r="AK3712">
        <v>2.8953646753611899</v>
      </c>
      <c r="AL3712">
        <v>84.520313033448602</v>
      </c>
      <c r="AM3712">
        <v>87.187754201895999</v>
      </c>
      <c r="AN3712">
        <v>1.0000000065760699</v>
      </c>
    </row>
    <row r="3713" spans="1:40" x14ac:dyDescent="0.25">
      <c r="A3713" t="str">
        <f>"20190312154326472"</f>
        <v>20190312154326472</v>
      </c>
      <c r="B3713" t="str">
        <f>"1552376606461619"</f>
        <v>1552376606461619</v>
      </c>
      <c r="C3713" t="s">
        <v>40</v>
      </c>
      <c r="D3713">
        <v>4.895302</v>
      </c>
      <c r="E3713">
        <v>0.52515349999999905</v>
      </c>
      <c r="F3713" t="s">
        <v>56</v>
      </c>
      <c r="G3713">
        <v>0</v>
      </c>
      <c r="H3713">
        <v>0</v>
      </c>
      <c r="I3713">
        <v>0</v>
      </c>
      <c r="J3713">
        <v>-436.49770000000001</v>
      </c>
      <c r="K3713">
        <v>1.1088420000000001</v>
      </c>
      <c r="L3713">
        <v>215.42850000000001</v>
      </c>
      <c r="M3713">
        <v>0.99798489999999995</v>
      </c>
      <c r="N3713">
        <v>0</v>
      </c>
      <c r="O3713">
        <v>-6.3449829999999999E-2</v>
      </c>
      <c r="P3713">
        <v>0.9891953</v>
      </c>
      <c r="Q3713">
        <v>9.4340220000000002E-2</v>
      </c>
      <c r="R3713">
        <v>-0.1122191</v>
      </c>
      <c r="S3713">
        <v>2.9088750000000001</v>
      </c>
      <c r="T3713">
        <v>0.64531340000000004</v>
      </c>
      <c r="U3713">
        <v>-0.54820249999999904</v>
      </c>
      <c r="V3713">
        <v>4.9260390000000001E-2</v>
      </c>
      <c r="W3713">
        <v>9.4900940000000003E-2</v>
      </c>
      <c r="X3713">
        <v>0.99426720000000002</v>
      </c>
      <c r="Y3713">
        <v>0.1211211</v>
      </c>
      <c r="Z3713">
        <v>-6.0076550000000002E-4</v>
      </c>
      <c r="AA3713">
        <v>0.99263760000000001</v>
      </c>
      <c r="AB3713">
        <v>37</v>
      </c>
      <c r="AC3713">
        <v>2.9088750000000001</v>
      </c>
      <c r="AD3713">
        <v>0.64531340000000004</v>
      </c>
      <c r="AE3713">
        <v>-0.54820249999999904</v>
      </c>
      <c r="AF3713">
        <v>0.34608222598601801</v>
      </c>
      <c r="AG3713">
        <v>0.64531340000000004</v>
      </c>
      <c r="AH3713">
        <v>2.8045090723716699</v>
      </c>
      <c r="AI3713">
        <v>77.136168109190095</v>
      </c>
      <c r="AJ3713">
        <v>82.965147398430005</v>
      </c>
      <c r="AK3713">
        <v>2.8985295286365398</v>
      </c>
      <c r="AL3713">
        <v>84.554381774487297</v>
      </c>
      <c r="AM3713">
        <v>87.1636331812241</v>
      </c>
      <c r="AN3713">
        <v>1.0000000197158301</v>
      </c>
    </row>
    <row r="3714" spans="1:40" x14ac:dyDescent="0.25">
      <c r="A3714" t="str">
        <f>"20190312154326497"</f>
        <v>20190312154326497</v>
      </c>
      <c r="B3714" t="str">
        <f>"1552376606490899"</f>
        <v>1552376606490899</v>
      </c>
      <c r="C3714" t="s">
        <v>40</v>
      </c>
      <c r="D3714">
        <v>4.8669359999999999</v>
      </c>
      <c r="E3714">
        <v>0.52529019999999904</v>
      </c>
      <c r="F3714" t="s">
        <v>56</v>
      </c>
      <c r="G3714">
        <v>0</v>
      </c>
      <c r="H3714">
        <v>0</v>
      </c>
      <c r="I3714">
        <v>0</v>
      </c>
      <c r="J3714">
        <v>-436.09199999999998</v>
      </c>
      <c r="K3714">
        <v>1.1089209999999901</v>
      </c>
      <c r="L3714">
        <v>215.40260000000001</v>
      </c>
      <c r="M3714">
        <v>0.99798730000000002</v>
      </c>
      <c r="N3714">
        <v>0</v>
      </c>
      <c r="O3714">
        <v>-6.3411889999999999E-2</v>
      </c>
      <c r="P3714">
        <v>0.98899870000000001</v>
      </c>
      <c r="Q3714">
        <v>9.5305340000000002E-2</v>
      </c>
      <c r="R3714">
        <v>-0.1131342</v>
      </c>
      <c r="S3714">
        <v>2.9090880000000001</v>
      </c>
      <c r="T3714">
        <v>0.64330569999999998</v>
      </c>
      <c r="U3714">
        <v>-0.54946899999999999</v>
      </c>
      <c r="V3714">
        <v>5.0211180000000001E-2</v>
      </c>
      <c r="W3714">
        <v>9.5952309999999999E-2</v>
      </c>
      <c r="X3714">
        <v>0.99411870000000002</v>
      </c>
      <c r="Y3714">
        <v>0.1215604</v>
      </c>
      <c r="Z3714">
        <v>-5.4306259999999996E-4</v>
      </c>
      <c r="AA3714">
        <v>0.99258389999999996</v>
      </c>
      <c r="AB3714">
        <v>37</v>
      </c>
      <c r="AC3714">
        <v>2.9090880000000001</v>
      </c>
      <c r="AD3714">
        <v>0.64330569999999998</v>
      </c>
      <c r="AE3714">
        <v>-0.54946899999999999</v>
      </c>
      <c r="AF3714">
        <v>0.34748519959420898</v>
      </c>
      <c r="AG3714">
        <v>0.64330569999999998</v>
      </c>
      <c r="AH3714">
        <v>2.8056042782395001</v>
      </c>
      <c r="AI3714">
        <v>77.180387704658003</v>
      </c>
      <c r="AJ3714">
        <v>82.939645804768105</v>
      </c>
      <c r="AK3714">
        <v>2.8993108756504999</v>
      </c>
      <c r="AL3714">
        <v>84.4938664316483</v>
      </c>
      <c r="AM3714">
        <v>87.108548462655904</v>
      </c>
      <c r="AN3714">
        <v>0.99999999904050896</v>
      </c>
    </row>
    <row r="3715" spans="1:40" x14ac:dyDescent="0.25">
      <c r="A3715" t="str">
        <f>"20190312154326519"</f>
        <v>20190312154326519</v>
      </c>
      <c r="B3715" t="str">
        <f>"1552376606511395"</f>
        <v>1552376606511395</v>
      </c>
      <c r="C3715" t="s">
        <v>40</v>
      </c>
      <c r="D3715">
        <v>4.8792160000000004</v>
      </c>
      <c r="E3715">
        <v>0.52542440000000001</v>
      </c>
      <c r="F3715" t="s">
        <v>56</v>
      </c>
      <c r="G3715">
        <v>0</v>
      </c>
      <c r="H3715">
        <v>0</v>
      </c>
      <c r="I3715">
        <v>0</v>
      </c>
      <c r="J3715">
        <v>-435.72890000000001</v>
      </c>
      <c r="K3715">
        <v>1.108976</v>
      </c>
      <c r="L3715">
        <v>215.37960000000001</v>
      </c>
      <c r="M3715">
        <v>0.99799139999999997</v>
      </c>
      <c r="N3715">
        <v>0</v>
      </c>
      <c r="O3715">
        <v>-6.3346550000000001E-2</v>
      </c>
      <c r="P3715">
        <v>0.98864870000000005</v>
      </c>
      <c r="Q3715">
        <v>9.6980449999999996E-2</v>
      </c>
      <c r="R3715">
        <v>-0.1147548</v>
      </c>
      <c r="S3715">
        <v>2.907715</v>
      </c>
      <c r="T3715">
        <v>0.64693619999999996</v>
      </c>
      <c r="U3715">
        <v>-0.55314640000000004</v>
      </c>
      <c r="V3715">
        <v>5.1906399999999998E-2</v>
      </c>
      <c r="W3715">
        <v>9.7711160000000005E-2</v>
      </c>
      <c r="X3715">
        <v>0.99386030000000003</v>
      </c>
      <c r="Y3715">
        <v>0.1228741</v>
      </c>
      <c r="Z3715">
        <v>-3.887909E-4</v>
      </c>
      <c r="AA3715">
        <v>0.99242220000000003</v>
      </c>
      <c r="AB3715">
        <v>37</v>
      </c>
      <c r="AC3715">
        <v>2.907715</v>
      </c>
      <c r="AD3715">
        <v>0.64693619999999996</v>
      </c>
      <c r="AE3715">
        <v>-0.55314640000000004</v>
      </c>
      <c r="AF3715">
        <v>0.351070120695122</v>
      </c>
      <c r="AG3715">
        <v>0.64693619999999996</v>
      </c>
      <c r="AH3715">
        <v>2.8030076493271801</v>
      </c>
      <c r="AI3715">
        <v>77.1010401967158</v>
      </c>
      <c r="AJ3715">
        <v>82.861013080663795</v>
      </c>
      <c r="AK3715">
        <v>2.89803874347843</v>
      </c>
      <c r="AL3715">
        <v>84.392616057416703</v>
      </c>
      <c r="AM3715">
        <v>87.010326275602296</v>
      </c>
      <c r="AN3715">
        <v>1.0000000205327899</v>
      </c>
    </row>
    <row r="3716" spans="1:40" x14ac:dyDescent="0.25">
      <c r="A3716" t="str">
        <f>"20190312154326540"</f>
        <v>20190312154326540</v>
      </c>
      <c r="B3716" t="str">
        <f>"1552376606530917"</f>
        <v>1552376606530917</v>
      </c>
      <c r="C3716" t="s">
        <v>40</v>
      </c>
      <c r="D3716">
        <v>4.8026799999999996</v>
      </c>
      <c r="E3716">
        <v>0.525528199999999</v>
      </c>
      <c r="F3716" t="s">
        <v>56</v>
      </c>
      <c r="G3716">
        <v>0</v>
      </c>
      <c r="H3716">
        <v>0</v>
      </c>
      <c r="I3716">
        <v>0</v>
      </c>
      <c r="J3716">
        <v>-435.37369999999999</v>
      </c>
      <c r="K3716">
        <v>1.109013</v>
      </c>
      <c r="L3716">
        <v>215.3571</v>
      </c>
      <c r="M3716">
        <v>0.99799689999999996</v>
      </c>
      <c r="N3716">
        <v>0</v>
      </c>
      <c r="O3716">
        <v>-6.3257499999999994E-2</v>
      </c>
      <c r="P3716">
        <v>0.98853150000000001</v>
      </c>
      <c r="Q3716">
        <v>9.7173969999999998E-2</v>
      </c>
      <c r="R3716">
        <v>-0.1155983</v>
      </c>
      <c r="S3716">
        <v>2.9056090000000001</v>
      </c>
      <c r="T3716">
        <v>0.65225409999999995</v>
      </c>
      <c r="U3716">
        <v>-0.55880739999999995</v>
      </c>
      <c r="V3716">
        <v>5.2835939999999998E-2</v>
      </c>
      <c r="W3716">
        <v>9.7989729999999997E-2</v>
      </c>
      <c r="X3716">
        <v>0.99378390000000005</v>
      </c>
      <c r="Y3716">
        <v>0.1248852</v>
      </c>
      <c r="Z3716">
        <v>-1.5141070000000001E-4</v>
      </c>
      <c r="AA3716">
        <v>0.99217120000000003</v>
      </c>
      <c r="AB3716">
        <v>37</v>
      </c>
      <c r="AC3716">
        <v>2.9056090000000001</v>
      </c>
      <c r="AD3716">
        <v>0.65225409999999995</v>
      </c>
      <c r="AE3716">
        <v>-0.55880739999999995</v>
      </c>
      <c r="AF3716">
        <v>0.35655981853367003</v>
      </c>
      <c r="AG3716">
        <v>0.65225409999999995</v>
      </c>
      <c r="AH3716">
        <v>2.7991171918844602</v>
      </c>
      <c r="AI3716">
        <v>76.984480540076703</v>
      </c>
      <c r="AJ3716">
        <v>82.740590576150495</v>
      </c>
      <c r="AK3716">
        <v>2.8961400810497202</v>
      </c>
      <c r="AL3716">
        <v>84.376578272533195</v>
      </c>
      <c r="AM3716">
        <v>86.956653426351096</v>
      </c>
      <c r="AN3716">
        <v>1.00000003182018</v>
      </c>
    </row>
    <row r="3717" spans="1:40" x14ac:dyDescent="0.25">
      <c r="A3717" t="str">
        <f>"20190312154326562"</f>
        <v>20190312154326562</v>
      </c>
      <c r="B3717" t="str">
        <f>"1552376606551415"</f>
        <v>1552376606551415</v>
      </c>
      <c r="C3717" t="s">
        <v>40</v>
      </c>
      <c r="D3717">
        <v>4.7731810000000001</v>
      </c>
      <c r="E3717">
        <v>0.52559789999999995</v>
      </c>
      <c r="F3717" t="s">
        <v>56</v>
      </c>
      <c r="G3717">
        <v>0</v>
      </c>
      <c r="H3717">
        <v>0</v>
      </c>
      <c r="I3717">
        <v>0</v>
      </c>
      <c r="J3717">
        <v>-435.00630000000001</v>
      </c>
      <c r="K3717">
        <v>1.1090409999999999</v>
      </c>
      <c r="L3717">
        <v>215.3338</v>
      </c>
      <c r="M3717">
        <v>0.998004</v>
      </c>
      <c r="N3717">
        <v>0</v>
      </c>
      <c r="O3717">
        <v>-6.3144249999999999E-2</v>
      </c>
      <c r="P3717">
        <v>0.98846809999999996</v>
      </c>
      <c r="Q3717">
        <v>9.6929689999999999E-2</v>
      </c>
      <c r="R3717">
        <v>-0.1163428</v>
      </c>
      <c r="S3717">
        <v>2.904785</v>
      </c>
      <c r="T3717">
        <v>0.65375589999999995</v>
      </c>
      <c r="U3717">
        <v>-0.56240840000000003</v>
      </c>
      <c r="V3717">
        <v>5.3688420000000001E-2</v>
      </c>
      <c r="W3717">
        <v>9.7833600000000007E-2</v>
      </c>
      <c r="X3717">
        <v>0.99375360000000001</v>
      </c>
      <c r="Y3717">
        <v>0.12619439999999901</v>
      </c>
      <c r="Z3717" s="1">
        <v>1.7410140000000001E-5</v>
      </c>
      <c r="AA3717">
        <v>0.99200549999999998</v>
      </c>
      <c r="AB3717">
        <v>37</v>
      </c>
      <c r="AC3717">
        <v>2.904785</v>
      </c>
      <c r="AD3717">
        <v>0.65375589999999995</v>
      </c>
      <c r="AE3717">
        <v>-0.56240840000000003</v>
      </c>
      <c r="AF3717">
        <v>0.36027591571211698</v>
      </c>
      <c r="AG3717">
        <v>0.65375589999999995</v>
      </c>
      <c r="AH3717">
        <v>2.7979003776231002</v>
      </c>
      <c r="AI3717">
        <v>76.952254522669804</v>
      </c>
      <c r="AJ3717">
        <v>82.662597050210394</v>
      </c>
      <c r="AK3717">
        <v>2.8957627726266701</v>
      </c>
      <c r="AL3717">
        <v>84.385567090725303</v>
      </c>
      <c r="AM3717">
        <v>86.907551077880598</v>
      </c>
      <c r="AN3717">
        <v>1.000000038622</v>
      </c>
    </row>
    <row r="3718" spans="1:40" x14ac:dyDescent="0.25">
      <c r="A3718" t="str">
        <f>"20190312154326583"</f>
        <v>20190312154326583</v>
      </c>
      <c r="B3718" t="str">
        <f>"1552376606570930"</f>
        <v>1552376606570930</v>
      </c>
      <c r="C3718" t="s">
        <v>40</v>
      </c>
      <c r="D3718">
        <v>4.7989790000000001</v>
      </c>
      <c r="E3718">
        <v>0.52570469999999903</v>
      </c>
      <c r="F3718" t="s">
        <v>56</v>
      </c>
      <c r="G3718">
        <v>0</v>
      </c>
      <c r="H3718">
        <v>0</v>
      </c>
      <c r="I3718">
        <v>0</v>
      </c>
      <c r="J3718">
        <v>-434.6345</v>
      </c>
      <c r="K3718">
        <v>1.109067</v>
      </c>
      <c r="L3718">
        <v>215.31039999999999</v>
      </c>
      <c r="M3718">
        <v>0.99801249999999997</v>
      </c>
      <c r="N3718">
        <v>0</v>
      </c>
      <c r="O3718">
        <v>-6.3010389999999999E-2</v>
      </c>
      <c r="P3718">
        <v>0.98839739999999998</v>
      </c>
      <c r="Q3718">
        <v>9.6927869999999999E-2</v>
      </c>
      <c r="R3718">
        <v>-0.1169441</v>
      </c>
      <c r="S3718">
        <v>2.9043269999999999</v>
      </c>
      <c r="T3718">
        <v>0.65378800000000004</v>
      </c>
      <c r="U3718">
        <v>-0.56562809999999997</v>
      </c>
      <c r="V3718">
        <v>5.4419759999999998E-2</v>
      </c>
      <c r="W3718">
        <v>9.7919500000000007E-2</v>
      </c>
      <c r="X3718">
        <v>0.99370530000000001</v>
      </c>
      <c r="Y3718">
        <v>0.12738430000000001</v>
      </c>
      <c r="Z3718">
        <v>1.7797670000000001E-4</v>
      </c>
      <c r="AA3718">
        <v>0.9918534</v>
      </c>
      <c r="AB3718">
        <v>38</v>
      </c>
      <c r="AC3718">
        <v>2.9043269999999999</v>
      </c>
      <c r="AD3718">
        <v>0.65378800000000004</v>
      </c>
      <c r="AE3718">
        <v>-0.56562809999999997</v>
      </c>
      <c r="AF3718">
        <v>0.36374264839091502</v>
      </c>
      <c r="AG3718">
        <v>0.65378800000000004</v>
      </c>
      <c r="AH3718">
        <v>2.7976113083833298</v>
      </c>
      <c r="AI3718">
        <v>76.952342375815903</v>
      </c>
      <c r="AJ3718">
        <v>82.592016869180199</v>
      </c>
      <c r="AK3718">
        <v>2.8959241177898098</v>
      </c>
      <c r="AL3718">
        <v>84.380621313356599</v>
      </c>
      <c r="AM3718">
        <v>86.865357335452501</v>
      </c>
      <c r="AN3718">
        <v>0.99999998100339804</v>
      </c>
    </row>
    <row r="3719" spans="1:40" x14ac:dyDescent="0.25">
      <c r="A3719" t="str">
        <f>"20190312154326606"</f>
        <v>20190312154326606</v>
      </c>
      <c r="B3719" t="str">
        <f>"1552376606601187"</f>
        <v>1552376606601187</v>
      </c>
      <c r="C3719" t="s">
        <v>40</v>
      </c>
      <c r="D3719">
        <v>4.7238449999999998</v>
      </c>
      <c r="E3719">
        <v>0.52588069999999998</v>
      </c>
      <c r="F3719" t="s">
        <v>56</v>
      </c>
      <c r="G3719">
        <v>0</v>
      </c>
      <c r="H3719">
        <v>0</v>
      </c>
      <c r="I3719">
        <v>0</v>
      </c>
      <c r="J3719">
        <v>-434.26010000000002</v>
      </c>
      <c r="K3719">
        <v>1.109083</v>
      </c>
      <c r="L3719">
        <v>215.2869</v>
      </c>
      <c r="M3719">
        <v>0.99802210000000002</v>
      </c>
      <c r="N3719">
        <v>0</v>
      </c>
      <c r="O3719">
        <v>-6.285781E-2</v>
      </c>
      <c r="P3719">
        <v>0.98835019999999996</v>
      </c>
      <c r="Q3719">
        <v>9.5934640000000002E-2</v>
      </c>
      <c r="R3719">
        <v>-0.11815589999999999</v>
      </c>
      <c r="S3719">
        <v>2.9037169999999999</v>
      </c>
      <c r="T3719">
        <v>0.65476140000000005</v>
      </c>
      <c r="U3719">
        <v>-0.56852720000000001</v>
      </c>
      <c r="V3719">
        <v>5.577816E-2</v>
      </c>
      <c r="W3719">
        <v>9.7012119999999993E-2</v>
      </c>
      <c r="X3719">
        <v>0.99371900000000002</v>
      </c>
      <c r="Y3719">
        <v>0.12849360000000001</v>
      </c>
      <c r="Z3719">
        <v>3.3427769999999998E-4</v>
      </c>
      <c r="AA3719">
        <v>0.99171030000000004</v>
      </c>
      <c r="AB3719">
        <v>38</v>
      </c>
      <c r="AC3719">
        <v>2.9037169999999999</v>
      </c>
      <c r="AD3719">
        <v>0.65476140000000005</v>
      </c>
      <c r="AE3719">
        <v>-0.56852720000000001</v>
      </c>
      <c r="AF3719">
        <v>0.366914194074346</v>
      </c>
      <c r="AG3719">
        <v>0.65476140000000005</v>
      </c>
      <c r="AH3719">
        <v>2.7967572082448702</v>
      </c>
      <c r="AI3719">
        <v>76.931631176880998</v>
      </c>
      <c r="AJ3719">
        <v>82.525895864837906</v>
      </c>
      <c r="AK3719">
        <v>2.8957191505069799</v>
      </c>
      <c r="AL3719">
        <v>84.432859192686294</v>
      </c>
      <c r="AM3719">
        <v>86.787318002923996</v>
      </c>
      <c r="AN3719">
        <v>1.0000000027604301</v>
      </c>
    </row>
    <row r="3720" spans="1:40" x14ac:dyDescent="0.25">
      <c r="A3720" t="str">
        <f>"20190312154326629"</f>
        <v>20190312154326629</v>
      </c>
      <c r="B3720" t="str">
        <f>"1552376606620708"</f>
        <v>1552376606620708</v>
      </c>
      <c r="C3720" t="s">
        <v>40</v>
      </c>
      <c r="D3720">
        <v>4.6606180000000004</v>
      </c>
      <c r="E3720">
        <v>0.52593900000000005</v>
      </c>
      <c r="F3720" t="s">
        <v>56</v>
      </c>
      <c r="G3720">
        <v>0</v>
      </c>
      <c r="H3720">
        <v>0</v>
      </c>
      <c r="I3720">
        <v>0</v>
      </c>
      <c r="J3720">
        <v>-433.87119999999999</v>
      </c>
      <c r="K3720">
        <v>1.109089</v>
      </c>
      <c r="L3720">
        <v>215.26249999999999</v>
      </c>
      <c r="M3720">
        <v>0.99803299999999995</v>
      </c>
      <c r="N3720">
        <v>0</v>
      </c>
      <c r="O3720">
        <v>-6.2679949999999998E-2</v>
      </c>
      <c r="P3720">
        <v>0.98846509999999999</v>
      </c>
      <c r="Q3720">
        <v>9.3108270000000007E-2</v>
      </c>
      <c r="R3720">
        <v>-0.1194479</v>
      </c>
      <c r="S3720">
        <v>2.9036559999999998</v>
      </c>
      <c r="T3720">
        <v>0.65076279999999997</v>
      </c>
      <c r="U3720">
        <v>-0.57386780000000004</v>
      </c>
      <c r="V3720">
        <v>5.723222E-2</v>
      </c>
      <c r="W3720">
        <v>9.4272430000000004E-2</v>
      </c>
      <c r="X3720">
        <v>0.99390000000000001</v>
      </c>
      <c r="Y3720">
        <v>0.13040019999999999</v>
      </c>
      <c r="Z3720">
        <v>5.8034160000000005E-4</v>
      </c>
      <c r="AA3720">
        <v>0.99146129999999999</v>
      </c>
      <c r="AB3720">
        <v>38</v>
      </c>
      <c r="AC3720">
        <v>2.9036559999999998</v>
      </c>
      <c r="AD3720">
        <v>0.65076279999999997</v>
      </c>
      <c r="AE3720">
        <v>-0.57386780000000004</v>
      </c>
      <c r="AF3720">
        <v>0.37272061584906102</v>
      </c>
      <c r="AG3720">
        <v>0.65076279999999997</v>
      </c>
      <c r="AH3720">
        <v>2.79862837699911</v>
      </c>
      <c r="AI3720">
        <v>77.020353092624603</v>
      </c>
      <c r="AJ3720">
        <v>82.414003012176593</v>
      </c>
      <c r="AK3720">
        <v>2.8973666788805699</v>
      </c>
      <c r="AL3720">
        <v>84.590554891564494</v>
      </c>
      <c r="AM3720">
        <v>86.704349091286602</v>
      </c>
      <c r="AN3720">
        <v>1.0000000140321099</v>
      </c>
    </row>
    <row r="3721" spans="1:40" x14ac:dyDescent="0.25">
      <c r="A3721" t="str">
        <f>"20190312154326650"</f>
        <v>20190312154326650</v>
      </c>
      <c r="B3721" t="str">
        <f>"1552376606641203"</f>
        <v>1552376606641203</v>
      </c>
      <c r="C3721" t="s">
        <v>40</v>
      </c>
      <c r="D3721">
        <v>4.7395259999999997</v>
      </c>
      <c r="E3721">
        <v>0.50010519999999903</v>
      </c>
      <c r="F3721" t="s">
        <v>56</v>
      </c>
      <c r="G3721">
        <v>0</v>
      </c>
      <c r="H3721">
        <v>0</v>
      </c>
      <c r="I3721">
        <v>0</v>
      </c>
      <c r="J3721">
        <v>-433.49160000000001</v>
      </c>
      <c r="K3721">
        <v>1.109084</v>
      </c>
      <c r="L3721">
        <v>215.2388</v>
      </c>
      <c r="M3721">
        <v>0.99804519999999997</v>
      </c>
      <c r="N3721">
        <v>0</v>
      </c>
      <c r="O3721">
        <v>-6.2485289999999999E-2</v>
      </c>
      <c r="P3721">
        <v>0.98875159999999995</v>
      </c>
      <c r="Q3721">
        <v>8.8502620000000004E-2</v>
      </c>
      <c r="R3721">
        <v>-0.1205729</v>
      </c>
      <c r="S3721">
        <v>2.90448</v>
      </c>
      <c r="T3721">
        <v>0.64383669999999904</v>
      </c>
      <c r="U3721">
        <v>-0.57798769999999999</v>
      </c>
      <c r="V3721">
        <v>5.8526990000000001E-2</v>
      </c>
      <c r="W3721">
        <v>8.9747930000000004E-2</v>
      </c>
      <c r="X3721">
        <v>0.9942434</v>
      </c>
      <c r="Y3721">
        <v>0.13188900000000001</v>
      </c>
      <c r="Z3721">
        <v>7.7777079999999995E-4</v>
      </c>
      <c r="AA3721">
        <v>0.99126420000000004</v>
      </c>
      <c r="AB3721">
        <v>38</v>
      </c>
      <c r="AC3721">
        <v>2.90448</v>
      </c>
      <c r="AD3721">
        <v>0.64383669999999904</v>
      </c>
      <c r="AE3721">
        <v>-0.57798769999999999</v>
      </c>
      <c r="AF3721">
        <v>0.377526694542692</v>
      </c>
      <c r="AG3721">
        <v>0.64383669999999904</v>
      </c>
      <c r="AH3721">
        <v>2.8024592169757598</v>
      </c>
      <c r="AI3721">
        <v>77.173370063786905</v>
      </c>
      <c r="AJ3721">
        <v>82.327722366144599</v>
      </c>
      <c r="AK3721">
        <v>2.9001430592595998</v>
      </c>
      <c r="AL3721">
        <v>84.850894238637395</v>
      </c>
      <c r="AM3721">
        <v>86.631122502087507</v>
      </c>
      <c r="AN3721">
        <v>1.0000000189706499</v>
      </c>
    </row>
    <row r="3722" spans="1:40" x14ac:dyDescent="0.25">
      <c r="A3722" t="str">
        <f>"20190312154326674"</f>
        <v>20190312154326674</v>
      </c>
      <c r="B3722" t="str">
        <f>"1552376606660723"</f>
        <v>1552376606660723</v>
      </c>
      <c r="C3722" t="s">
        <v>40</v>
      </c>
      <c r="D3722">
        <v>4.7237790000000004</v>
      </c>
      <c r="E3722">
        <v>0.49274620000000002</v>
      </c>
      <c r="F3722" t="s">
        <v>62</v>
      </c>
      <c r="G3722">
        <v>-168.42509999999999</v>
      </c>
      <c r="H3722">
        <v>20.60737</v>
      </c>
      <c r="I3722">
        <v>183.04660000000001</v>
      </c>
      <c r="J3722">
        <v>-433.09690000000001</v>
      </c>
      <c r="K3722">
        <v>1.1090739999999999</v>
      </c>
      <c r="L3722">
        <v>215.21420000000001</v>
      </c>
      <c r="M3722">
        <v>0.99805900000000003</v>
      </c>
      <c r="N3722">
        <v>0</v>
      </c>
      <c r="O3722">
        <v>-6.2263449999999998E-2</v>
      </c>
      <c r="P3722">
        <v>0.98926499999999995</v>
      </c>
      <c r="Q3722">
        <v>8.1933649999999997E-2</v>
      </c>
      <c r="R3722">
        <v>-0.12100279999999999</v>
      </c>
      <c r="S3722">
        <v>2.970612</v>
      </c>
      <c r="T3722">
        <v>0.2185185</v>
      </c>
      <c r="U3722">
        <v>-0.36077880000000001</v>
      </c>
      <c r="V3722">
        <v>5.9142430000000003E-2</v>
      </c>
      <c r="W3722">
        <v>8.3260669999999995E-2</v>
      </c>
      <c r="X3722">
        <v>0.99477119999999997</v>
      </c>
      <c r="Y3722">
        <v>5.8529970000000001E-2</v>
      </c>
      <c r="Z3722">
        <v>-2.4087679999999999E-3</v>
      </c>
      <c r="AA3722">
        <v>0.99828269999999997</v>
      </c>
      <c r="AB3722">
        <v>38</v>
      </c>
      <c r="AC3722">
        <v>264.67180000000002</v>
      </c>
      <c r="AD3722">
        <v>19.498296</v>
      </c>
      <c r="AE3722">
        <v>-32.167599999999901</v>
      </c>
      <c r="AF3722">
        <v>15.5426692771302</v>
      </c>
      <c r="AG3722">
        <v>19.498296</v>
      </c>
      <c r="AH3722">
        <v>264.74521951518199</v>
      </c>
      <c r="AI3722">
        <v>85.795026017727693</v>
      </c>
      <c r="AJ3722">
        <v>86.640134408989397</v>
      </c>
      <c r="AK3722">
        <v>265.91688432911502</v>
      </c>
      <c r="AL3722">
        <v>85.223985750342393</v>
      </c>
      <c r="AM3722">
        <v>86.597581930375199</v>
      </c>
      <c r="AN3722">
        <v>0.99999995327229496</v>
      </c>
    </row>
    <row r="3723" spans="1:40" x14ac:dyDescent="0.25">
      <c r="A3723" t="str">
        <f>"20190312154326697"</f>
        <v>20190312154326697</v>
      </c>
      <c r="B3723" t="str">
        <f>"1552376606690979"</f>
        <v>1552376606690979</v>
      </c>
      <c r="C3723" t="s">
        <v>40</v>
      </c>
      <c r="D3723">
        <v>4.5626860000000002</v>
      </c>
      <c r="E3723">
        <v>0.48661490000000002</v>
      </c>
      <c r="F3723" t="s">
        <v>65</v>
      </c>
      <c r="G3723">
        <v>-281.25940000000003</v>
      </c>
      <c r="H3723">
        <v>5.8311900000000003</v>
      </c>
      <c r="I3723">
        <v>200.0018</v>
      </c>
      <c r="J3723">
        <v>-432.68849999999998</v>
      </c>
      <c r="K3723">
        <v>1.109067</v>
      </c>
      <c r="L3723">
        <v>215.18889999999999</v>
      </c>
      <c r="M3723">
        <v>0.99807480000000004</v>
      </c>
      <c r="N3723">
        <v>0</v>
      </c>
      <c r="O3723">
        <v>-6.2008349999999997E-2</v>
      </c>
      <c r="P3723">
        <v>0.98970769999999997</v>
      </c>
      <c r="Q3723">
        <v>7.7131379999999999E-2</v>
      </c>
      <c r="R3723">
        <v>-0.1205406</v>
      </c>
      <c r="S3723">
        <v>2.9882810000000002</v>
      </c>
      <c r="T3723">
        <v>9.2934849999999999E-2</v>
      </c>
      <c r="U3723">
        <v>-0.29939270000000001</v>
      </c>
      <c r="V3723">
        <v>5.8904379999999999E-2</v>
      </c>
      <c r="W3723">
        <v>7.8539289999999998E-2</v>
      </c>
      <c r="X3723">
        <v>0.99516930000000003</v>
      </c>
      <c r="Y3723">
        <v>3.7810030000000001E-2</v>
      </c>
      <c r="Z3723">
        <v>-1.3344240000000001E-3</v>
      </c>
      <c r="AA3723">
        <v>0.99928399999999995</v>
      </c>
      <c r="AB3723">
        <v>39</v>
      </c>
      <c r="AC3723">
        <v>151.42909999999901</v>
      </c>
      <c r="AD3723">
        <v>4.7221229999999998</v>
      </c>
      <c r="AE3723">
        <v>-15.1870999999999</v>
      </c>
      <c r="AF3723">
        <v>5.7624501979237399</v>
      </c>
      <c r="AG3723">
        <v>4.7221229999999998</v>
      </c>
      <c r="AH3723">
        <v>151.93314954276499</v>
      </c>
      <c r="AI3723">
        <v>88.221083086661395</v>
      </c>
      <c r="AJ3723">
        <v>87.827953280606707</v>
      </c>
      <c r="AK3723">
        <v>152.11570007035701</v>
      </c>
      <c r="AL3723">
        <v>85.495391168493697</v>
      </c>
      <c r="AM3723">
        <v>86.612597237336104</v>
      </c>
      <c r="AN3723">
        <v>1.0000000408596801</v>
      </c>
    </row>
    <row r="3724" spans="1:40" x14ac:dyDescent="0.25">
      <c r="A3724" t="str">
        <f>"20190312154326718"</f>
        <v>20190312154326718</v>
      </c>
      <c r="B3724" t="str">
        <f>"1552376606711476"</f>
        <v>1552376606711476</v>
      </c>
      <c r="C3724" t="s">
        <v>40</v>
      </c>
      <c r="D3724">
        <v>4.6790180000000001</v>
      </c>
      <c r="E3724">
        <v>0.484431</v>
      </c>
      <c r="F3724" t="s">
        <v>51</v>
      </c>
      <c r="G3724">
        <v>-287.08440000000002</v>
      </c>
      <c r="H3724">
        <v>7.9999020000000004E-2</v>
      </c>
      <c r="I3724">
        <v>203.29060000000001</v>
      </c>
      <c r="J3724">
        <v>-432.31849999999997</v>
      </c>
      <c r="K3724">
        <v>1.109062</v>
      </c>
      <c r="L3724">
        <v>215.1661</v>
      </c>
      <c r="M3724">
        <v>0.9980907</v>
      </c>
      <c r="N3724">
        <v>0</v>
      </c>
      <c r="O3724">
        <v>-6.174835E-2</v>
      </c>
      <c r="P3724">
        <v>0.99009879999999995</v>
      </c>
      <c r="Q3724">
        <v>7.3132230000000006E-2</v>
      </c>
      <c r="R3724">
        <v>-0.1198164</v>
      </c>
      <c r="S3724">
        <v>3.0029599999999999</v>
      </c>
      <c r="T3724">
        <v>-2.1223659999999998E-2</v>
      </c>
      <c r="U3724">
        <v>-0.24539179999999999</v>
      </c>
      <c r="V3724">
        <v>5.8413779999999998E-2</v>
      </c>
      <c r="W3724">
        <v>7.4610280000000001E-2</v>
      </c>
      <c r="X3724">
        <v>0.99550039999999995</v>
      </c>
      <c r="Y3724">
        <v>1.9747529999999999E-2</v>
      </c>
      <c r="Z3724">
        <v>3.6553170000000002E-4</v>
      </c>
      <c r="AA3724">
        <v>0.9998049</v>
      </c>
      <c r="AB3724">
        <v>39</v>
      </c>
      <c r="AC3724">
        <v>145.23409999999899</v>
      </c>
      <c r="AD3724">
        <v>-1.02906298</v>
      </c>
      <c r="AE3724">
        <v>-11.875499999999899</v>
      </c>
      <c r="AF3724">
        <v>2.8847192268719102</v>
      </c>
      <c r="AG3724">
        <v>-1.02906298</v>
      </c>
      <c r="AH3724">
        <v>145.68298430233801</v>
      </c>
      <c r="AI3724">
        <v>90.404634969231907</v>
      </c>
      <c r="AJ3724">
        <v>88.865614672627203</v>
      </c>
      <c r="AK3724">
        <v>145.71517591132999</v>
      </c>
      <c r="AL3724">
        <v>85.721169552416598</v>
      </c>
      <c r="AM3724">
        <v>86.641859915625403</v>
      </c>
      <c r="AN3724">
        <v>0.99999995498786198</v>
      </c>
    </row>
    <row r="3725" spans="1:40" x14ac:dyDescent="0.25">
      <c r="A3725" t="str">
        <f>"20190312154326740"</f>
        <v>20190312154326740</v>
      </c>
      <c r="B3725" t="str">
        <f>"1552376606730996"</f>
        <v>1552376606730996</v>
      </c>
      <c r="C3725" t="s">
        <v>40</v>
      </c>
      <c r="D3725">
        <v>4.6469230000000001</v>
      </c>
      <c r="E3725">
        <v>0.48324460000000002</v>
      </c>
      <c r="F3725" t="s">
        <v>50</v>
      </c>
      <c r="G3725">
        <v>-379.50920000000002</v>
      </c>
      <c r="H3725" s="1">
        <v>3.5235409999999999E-6</v>
      </c>
      <c r="I3725">
        <v>211.21430000000001</v>
      </c>
      <c r="J3725">
        <v>-431.92020000000002</v>
      </c>
      <c r="K3725">
        <v>1.1090719999999901</v>
      </c>
      <c r="L3725">
        <v>215.14169999999999</v>
      </c>
      <c r="M3725">
        <v>0.9981101</v>
      </c>
      <c r="N3725">
        <v>0</v>
      </c>
      <c r="O3725">
        <v>-6.1431960000000001E-2</v>
      </c>
      <c r="P3725">
        <v>0.99048340000000001</v>
      </c>
      <c r="Q3725">
        <v>6.9607970000000005E-2</v>
      </c>
      <c r="R3725">
        <v>-0.1187327</v>
      </c>
      <c r="S3725">
        <v>3.0074160000000001</v>
      </c>
      <c r="T3725">
        <v>-6.3159350000000003E-2</v>
      </c>
      <c r="U3725">
        <v>-0.2250519</v>
      </c>
      <c r="V3725">
        <v>5.7619620000000003E-2</v>
      </c>
      <c r="W3725">
        <v>7.1160029999999999E-2</v>
      </c>
      <c r="X3725">
        <v>0.99579930000000005</v>
      </c>
      <c r="Y3725">
        <v>1.3232519999999999E-2</v>
      </c>
      <c r="Z3725">
        <v>1.1481169999999999E-3</v>
      </c>
      <c r="AA3725">
        <v>0.99991180000000002</v>
      </c>
      <c r="AB3725">
        <v>39</v>
      </c>
      <c r="AC3725">
        <v>52.411000000000001</v>
      </c>
      <c r="AD3725">
        <v>-1.10906847645899</v>
      </c>
      <c r="AE3725">
        <v>-3.9273999999999698</v>
      </c>
      <c r="AF3725">
        <v>0.69995628996815296</v>
      </c>
      <c r="AG3725">
        <v>-1.10906847645899</v>
      </c>
      <c r="AH3725">
        <v>52.529887010720401</v>
      </c>
      <c r="AI3725">
        <v>91.209404188680907</v>
      </c>
      <c r="AJ3725">
        <v>89.236583776811898</v>
      </c>
      <c r="AK3725">
        <v>52.546255823344801</v>
      </c>
      <c r="AL3725">
        <v>85.919381818826196</v>
      </c>
      <c r="AM3725">
        <v>86.688404973978805</v>
      </c>
      <c r="AN3725">
        <v>1.00000000817951</v>
      </c>
    </row>
    <row r="3726" spans="1:40" x14ac:dyDescent="0.25">
      <c r="A3726" t="str">
        <f>"20190312154326763"</f>
        <v>20190312154326763</v>
      </c>
      <c r="B3726" t="str">
        <f>"1552376606751496"</f>
        <v>1552376606751496</v>
      </c>
      <c r="C3726" t="s">
        <v>40</v>
      </c>
      <c r="D3726">
        <v>4.6303130000000001</v>
      </c>
      <c r="E3726">
        <v>0.48213699999999998</v>
      </c>
      <c r="F3726" t="s">
        <v>50</v>
      </c>
      <c r="G3726">
        <v>-393.25619999999998</v>
      </c>
      <c r="H3726" s="1">
        <v>1.9601010000000001E-7</v>
      </c>
      <c r="I3726">
        <v>212.42</v>
      </c>
      <c r="J3726">
        <v>-431.53379999999999</v>
      </c>
      <c r="K3726">
        <v>1.109097</v>
      </c>
      <c r="L3726">
        <v>215.1182</v>
      </c>
      <c r="M3726">
        <v>0.99813149999999995</v>
      </c>
      <c r="N3726">
        <v>0</v>
      </c>
      <c r="O3726">
        <v>-6.1083610000000003E-2</v>
      </c>
      <c r="P3726">
        <v>0.99074070000000003</v>
      </c>
      <c r="Q3726">
        <v>6.8510360000000006E-2</v>
      </c>
      <c r="R3726">
        <v>-0.1172135</v>
      </c>
      <c r="S3726">
        <v>3.0094599999999998</v>
      </c>
      <c r="T3726">
        <v>-8.6326120000000006E-2</v>
      </c>
      <c r="U3726">
        <v>-0.21185300000000001</v>
      </c>
      <c r="V3726">
        <v>5.6429340000000001E-2</v>
      </c>
      <c r="W3726">
        <v>7.0131689999999997E-2</v>
      </c>
      <c r="X3726">
        <v>0.99594039999999995</v>
      </c>
      <c r="Y3726">
        <v>9.1790710000000005E-3</v>
      </c>
      <c r="Z3726">
        <v>1.61644E-3</v>
      </c>
      <c r="AA3726">
        <v>0.99995650000000003</v>
      </c>
      <c r="AB3726">
        <v>39</v>
      </c>
      <c r="AC3726">
        <v>38.2776</v>
      </c>
      <c r="AD3726">
        <v>-1.1090968039898901</v>
      </c>
      <c r="AE3726">
        <v>-2.6982000000000101</v>
      </c>
      <c r="AF3726">
        <v>0.35472848984011102</v>
      </c>
      <c r="AG3726">
        <v>-1.1090968039898901</v>
      </c>
      <c r="AH3726">
        <v>38.3389097485828</v>
      </c>
      <c r="AI3726">
        <v>91.656962361992598</v>
      </c>
      <c r="AJ3726">
        <v>89.469889323199496</v>
      </c>
      <c r="AK3726">
        <v>38.356589117544097</v>
      </c>
      <c r="AL3726">
        <v>85.978448921010198</v>
      </c>
      <c r="AM3726">
        <v>86.757125343254799</v>
      </c>
      <c r="AN3726">
        <v>1.00000000235362</v>
      </c>
    </row>
    <row r="3727" spans="1:40" x14ac:dyDescent="0.25">
      <c r="A3727" t="str">
        <f>"20190312154326798"</f>
        <v>20190312154326798</v>
      </c>
      <c r="B3727" t="str">
        <f>"1552376606791507"</f>
        <v>1552376606791507</v>
      </c>
      <c r="C3727" t="s">
        <v>40</v>
      </c>
      <c r="D3727">
        <v>4.5808920000000004</v>
      </c>
      <c r="E3727">
        <v>0.4813076</v>
      </c>
      <c r="F3727" t="s">
        <v>50</v>
      </c>
      <c r="G3727">
        <v>-397.69130000000001</v>
      </c>
      <c r="H3727" s="1">
        <v>2.556141E-6</v>
      </c>
      <c r="I3727">
        <v>212.89070000000001</v>
      </c>
      <c r="J3727">
        <v>-430.91910000000001</v>
      </c>
      <c r="K3727">
        <v>1.1091580000000001</v>
      </c>
      <c r="L3727">
        <v>215.08109999999999</v>
      </c>
      <c r="M3727">
        <v>0.99817060000000002</v>
      </c>
      <c r="N3727">
        <v>0</v>
      </c>
      <c r="O3727">
        <v>-6.043664E-2</v>
      </c>
      <c r="P3727">
        <v>0.99099510000000002</v>
      </c>
      <c r="Q3727">
        <v>6.8868760000000001E-2</v>
      </c>
      <c r="R3727">
        <v>-0.1148293</v>
      </c>
      <c r="S3727">
        <v>3.011444</v>
      </c>
      <c r="T3727">
        <v>-9.8691699999999993E-2</v>
      </c>
      <c r="U3727">
        <v>-0.19821169999999999</v>
      </c>
      <c r="V3727">
        <v>5.4667590000000002E-2</v>
      </c>
      <c r="W3727">
        <v>7.0596399999999906E-2</v>
      </c>
      <c r="X3727">
        <v>0.99600580000000005</v>
      </c>
      <c r="Y3727">
        <v>5.2805049999999996E-3</v>
      </c>
      <c r="Z3727">
        <v>1.889679E-3</v>
      </c>
      <c r="AA3727">
        <v>0.99998430000000005</v>
      </c>
      <c r="AB3727">
        <v>39</v>
      </c>
      <c r="AC3727">
        <v>33.227800000000002</v>
      </c>
      <c r="AD3727">
        <v>-1.1091554438589999</v>
      </c>
      <c r="AE3727">
        <v>-2.1903999999999799</v>
      </c>
      <c r="AF3727">
        <v>0.178019051980773</v>
      </c>
      <c r="AG3727">
        <v>-1.1091554438589999</v>
      </c>
      <c r="AH3727">
        <v>33.262538855391398</v>
      </c>
      <c r="AI3727">
        <v>91.909820487724204</v>
      </c>
      <c r="AJ3727">
        <v>89.693359457229306</v>
      </c>
      <c r="AK3727">
        <v>33.281502485433798</v>
      </c>
      <c r="AL3727">
        <v>85.951756730119598</v>
      </c>
      <c r="AM3727">
        <v>86.858369180689905</v>
      </c>
      <c r="AN3727">
        <v>0.99999997536150298</v>
      </c>
    </row>
    <row r="3728" spans="1:40" x14ac:dyDescent="0.25">
      <c r="A3728" t="str">
        <f>"20190312154326813"</f>
        <v>20190312154326813</v>
      </c>
      <c r="B3728" t="str">
        <f>"1552376606811027"</f>
        <v>1552376606811027</v>
      </c>
      <c r="C3728" t="s">
        <v>40</v>
      </c>
      <c r="D3728">
        <v>4.569896</v>
      </c>
      <c r="E3728">
        <v>0.48105110000000001</v>
      </c>
      <c r="F3728" t="s">
        <v>50</v>
      </c>
      <c r="G3728">
        <v>-399.04849999999999</v>
      </c>
      <c r="H3728" s="1">
        <v>3.2783780000000001E-6</v>
      </c>
      <c r="I3728">
        <v>213.12559999999999</v>
      </c>
      <c r="J3728">
        <v>-430.62549999999999</v>
      </c>
      <c r="K3728">
        <v>1.1091979999999999</v>
      </c>
      <c r="L3728">
        <v>215.06360000000001</v>
      </c>
      <c r="M3728">
        <v>0.99819150000000001</v>
      </c>
      <c r="N3728">
        <v>0</v>
      </c>
      <c r="O3728">
        <v>-6.009163E-2</v>
      </c>
      <c r="P3728">
        <v>0.99105500000000002</v>
      </c>
      <c r="Q3728">
        <v>7.1266239999999995E-2</v>
      </c>
      <c r="R3728">
        <v>-0.1128333</v>
      </c>
      <c r="S3728">
        <v>3.0131230000000002</v>
      </c>
      <c r="T3728">
        <v>-0.1048622</v>
      </c>
      <c r="U3728">
        <v>-0.1848755</v>
      </c>
      <c r="V3728">
        <v>5.3008140000000002E-2</v>
      </c>
      <c r="W3728">
        <v>7.3041969999999998E-2</v>
      </c>
      <c r="X3728">
        <v>0.9959192</v>
      </c>
      <c r="Y3728">
        <v>1.187479E-3</v>
      </c>
      <c r="Z3728">
        <v>2.0661640000000001E-3</v>
      </c>
      <c r="AA3728">
        <v>0.99999709999999997</v>
      </c>
      <c r="AB3728">
        <v>40</v>
      </c>
      <c r="AC3728">
        <v>31.577000000000002</v>
      </c>
      <c r="AD3728">
        <v>-1.1091947216219999</v>
      </c>
      <c r="AE3728">
        <v>-1.9380000000000099</v>
      </c>
      <c r="AF3728">
        <v>3.6936372760295301E-2</v>
      </c>
      <c r="AG3728">
        <v>-1.1091947216219999</v>
      </c>
      <c r="AH3728">
        <v>31.5975523183956</v>
      </c>
      <c r="AI3728">
        <v>92.010473685843294</v>
      </c>
      <c r="AJ3728">
        <v>89.933023378380497</v>
      </c>
      <c r="AK3728">
        <v>31.617036384516801</v>
      </c>
      <c r="AL3728">
        <v>85.811273274337793</v>
      </c>
      <c r="AM3728">
        <v>86.953287419709497</v>
      </c>
      <c r="AN3728">
        <v>1.00000002260819</v>
      </c>
    </row>
    <row r="3729" spans="1:40" x14ac:dyDescent="0.25">
      <c r="A3729" t="str">
        <f>"20190312154326829"</f>
        <v>20190312154326829</v>
      </c>
      <c r="B3729" t="str">
        <f>"1552376606820788"</f>
        <v>1552376606820788</v>
      </c>
      <c r="C3729" t="s">
        <v>40</v>
      </c>
      <c r="D3729">
        <v>4.5223009999999997</v>
      </c>
      <c r="E3729">
        <v>0.4809368</v>
      </c>
      <c r="F3729" t="s">
        <v>50</v>
      </c>
      <c r="G3729">
        <v>-397.16739999999999</v>
      </c>
      <c r="H3729" s="1">
        <v>2.2773389999999998E-6</v>
      </c>
      <c r="I3729">
        <v>213.09209999999999</v>
      </c>
      <c r="J3729">
        <v>-430.35820000000001</v>
      </c>
      <c r="K3729">
        <v>1.109246</v>
      </c>
      <c r="L3729">
        <v>215.04769999999999</v>
      </c>
      <c r="M3729">
        <v>0.99821119999999997</v>
      </c>
      <c r="N3729">
        <v>0</v>
      </c>
      <c r="O3729">
        <v>-5.9761410000000001E-2</v>
      </c>
      <c r="P3729">
        <v>0.99089930000000004</v>
      </c>
      <c r="Q3729">
        <v>7.6517169999999995E-2</v>
      </c>
      <c r="R3729">
        <v>-0.1107442</v>
      </c>
      <c r="S3729">
        <v>3.014008</v>
      </c>
      <c r="T3729">
        <v>-9.9919560000000004E-2</v>
      </c>
      <c r="U3729">
        <v>-0.177597</v>
      </c>
      <c r="V3729">
        <v>5.1251129999999999E-2</v>
      </c>
      <c r="W3729">
        <v>7.8334409999999993E-2</v>
      </c>
      <c r="X3729">
        <v>0.99560890000000002</v>
      </c>
      <c r="Y3729">
        <v>-9.0813639999999995E-4</v>
      </c>
      <c r="Z3729">
        <v>1.9922199999999998E-3</v>
      </c>
      <c r="AA3729">
        <v>0.99999760000000004</v>
      </c>
      <c r="AB3729">
        <v>40</v>
      </c>
      <c r="AC3729">
        <v>33.190800000000003</v>
      </c>
      <c r="AD3729">
        <v>-1.1092437226609999</v>
      </c>
      <c r="AE3729">
        <v>-1.9556</v>
      </c>
      <c r="AF3729">
        <v>-3.1392289951524599E-2</v>
      </c>
      <c r="AG3729">
        <v>-1.1092437226609999</v>
      </c>
      <c r="AH3729">
        <v>33.211381327996001</v>
      </c>
      <c r="AI3729">
        <v>91.912938764701195</v>
      </c>
      <c r="AJ3729">
        <v>90.054157494084293</v>
      </c>
      <c r="AK3729">
        <v>33.2299150890533</v>
      </c>
      <c r="AL3729">
        <v>85.507166111043006</v>
      </c>
      <c r="AM3729">
        <v>87.053176428753403</v>
      </c>
      <c r="AN3729">
        <v>1.0000000199377601</v>
      </c>
    </row>
    <row r="3730" spans="1:40" x14ac:dyDescent="0.25">
      <c r="A3730" t="str">
        <f>"20190312154326852"</f>
        <v>20190312154326852</v>
      </c>
      <c r="B3730" t="str">
        <f>"1552376606840803"</f>
        <v>1552376606840803</v>
      </c>
      <c r="C3730" t="s">
        <v>40</v>
      </c>
      <c r="D3730">
        <v>4.5663739999999997</v>
      </c>
      <c r="E3730">
        <v>0.4807613</v>
      </c>
      <c r="F3730" t="s">
        <v>50</v>
      </c>
      <c r="G3730">
        <v>-391.34010000000001</v>
      </c>
      <c r="H3730" s="1">
        <v>-8.2364729999999999E-7</v>
      </c>
      <c r="I3730">
        <v>212.84039999999999</v>
      </c>
      <c r="J3730">
        <v>-429.9427</v>
      </c>
      <c r="K3730">
        <v>1.109302</v>
      </c>
      <c r="L3730">
        <v>215.0232</v>
      </c>
      <c r="M3730">
        <v>0.99824380000000001</v>
      </c>
      <c r="N3730">
        <v>0</v>
      </c>
      <c r="O3730">
        <v>-5.9211600000000003E-2</v>
      </c>
      <c r="P3730">
        <v>0.99083840000000001</v>
      </c>
      <c r="Q3730">
        <v>8.0218579999999998E-2</v>
      </c>
      <c r="R3730">
        <v>-0.1086473</v>
      </c>
      <c r="S3730">
        <v>3.0150760000000001</v>
      </c>
      <c r="T3730">
        <v>-8.5715769999999997E-2</v>
      </c>
      <c r="U3730">
        <v>-0.17056270000000001</v>
      </c>
      <c r="V3730">
        <v>4.9697999999999999E-2</v>
      </c>
      <c r="W3730">
        <v>8.2100210000000007E-2</v>
      </c>
      <c r="X3730">
        <v>0.99538419999999905</v>
      </c>
      <c r="Y3730">
        <v>-2.7117109999999999E-3</v>
      </c>
      <c r="Z3730">
        <v>1.7187159999999999E-3</v>
      </c>
      <c r="AA3730">
        <v>0.99999490000000002</v>
      </c>
      <c r="AB3730">
        <v>40</v>
      </c>
      <c r="AC3730">
        <v>38.602600000000002</v>
      </c>
      <c r="AD3730">
        <v>-1.1093028236472999</v>
      </c>
      <c r="AE3730">
        <v>-2.1828000000000101</v>
      </c>
      <c r="AF3730">
        <v>-0.10666751606347299</v>
      </c>
      <c r="AG3730">
        <v>-1.1093028236472999</v>
      </c>
      <c r="AH3730">
        <v>38.6323167128362</v>
      </c>
      <c r="AI3730">
        <v>91.6447542804693</v>
      </c>
      <c r="AJ3730">
        <v>90.158198717311905</v>
      </c>
      <c r="AK3730">
        <v>38.648387098485998</v>
      </c>
      <c r="AL3730">
        <v>85.2907039703028</v>
      </c>
      <c r="AM3730">
        <v>87.141683519047504</v>
      </c>
      <c r="AN3730">
        <v>1.0000000206478401</v>
      </c>
    </row>
    <row r="3731" spans="1:40" x14ac:dyDescent="0.25">
      <c r="A3731" t="str">
        <f>"20190312154326873"</f>
        <v>20190312154326873</v>
      </c>
      <c r="B3731" t="str">
        <f>"1552376606861302"</f>
        <v>1552376606861302</v>
      </c>
      <c r="C3731" t="s">
        <v>40</v>
      </c>
      <c r="D3731">
        <v>4.6261900000000002</v>
      </c>
      <c r="E3731">
        <v>0.48055599999999998</v>
      </c>
      <c r="F3731" t="s">
        <v>50</v>
      </c>
      <c r="G3731">
        <v>-387.3886</v>
      </c>
      <c r="H3731" s="1">
        <v>2.4778510000000002E-6</v>
      </c>
      <c r="I3731">
        <v>212.72200000000001</v>
      </c>
      <c r="J3731">
        <v>-429.55849999999998</v>
      </c>
      <c r="K3731">
        <v>1.10934</v>
      </c>
      <c r="L3731">
        <v>215.0008</v>
      </c>
      <c r="M3731">
        <v>0.99827509999999997</v>
      </c>
      <c r="N3731">
        <v>0</v>
      </c>
      <c r="O3731">
        <v>-5.8678010000000003E-2</v>
      </c>
      <c r="P3731">
        <v>0.9911316</v>
      </c>
      <c r="Q3731">
        <v>8.0323290000000006E-2</v>
      </c>
      <c r="R3731">
        <v>-0.10585940000000001</v>
      </c>
      <c r="S3731">
        <v>3.0162049999999998</v>
      </c>
      <c r="T3731">
        <v>-7.8626390000000004E-2</v>
      </c>
      <c r="U3731">
        <v>-0.1631012</v>
      </c>
      <c r="V3731">
        <v>4.7422810000000003E-2</v>
      </c>
      <c r="W3731">
        <v>8.2261299999999996E-2</v>
      </c>
      <c r="X3731">
        <v>0.99548179999999997</v>
      </c>
      <c r="Y3731">
        <v>-4.6680410000000004E-3</v>
      </c>
      <c r="Z3731">
        <v>1.5877689999999999E-3</v>
      </c>
      <c r="AA3731">
        <v>0.99998779999999998</v>
      </c>
      <c r="AB3731">
        <v>40</v>
      </c>
      <c r="AC3731">
        <v>42.169899999999899</v>
      </c>
      <c r="AD3731">
        <v>-1.1093375221490001</v>
      </c>
      <c r="AE3731">
        <v>-2.27879999999998</v>
      </c>
      <c r="AF3731">
        <v>-0.19943927156441599</v>
      </c>
      <c r="AG3731">
        <v>-1.1093375221490001</v>
      </c>
      <c r="AH3731">
        <v>42.201835328012599</v>
      </c>
      <c r="AI3731">
        <v>91.505740562305405</v>
      </c>
      <c r="AJ3731">
        <v>90.270768874700394</v>
      </c>
      <c r="AK3731">
        <v>42.216884191207001</v>
      </c>
      <c r="AL3731">
        <v>85.281442434930995</v>
      </c>
      <c r="AM3731">
        <v>87.272602815306598</v>
      </c>
      <c r="AN3731">
        <v>0.99999992925861003</v>
      </c>
    </row>
    <row r="3732" spans="1:40" x14ac:dyDescent="0.25">
      <c r="A3732" t="str">
        <f>"20190312154326897"</f>
        <v>20190312154326897</v>
      </c>
      <c r="B3732" t="str">
        <f>"1552376606891555"</f>
        <v>1552376606891555</v>
      </c>
      <c r="C3732" t="s">
        <v>40</v>
      </c>
      <c r="D3732">
        <v>4.5078430000000003</v>
      </c>
      <c r="E3732">
        <v>0.48027180000000003</v>
      </c>
      <c r="F3732" t="s">
        <v>50</v>
      </c>
      <c r="G3732">
        <v>-389.1103</v>
      </c>
      <c r="H3732" s="1">
        <v>3.3843540000000002E-6</v>
      </c>
      <c r="I3732">
        <v>212.94409999999999</v>
      </c>
      <c r="J3732">
        <v>-429.13630000000001</v>
      </c>
      <c r="K3732">
        <v>1.109364</v>
      </c>
      <c r="L3732">
        <v>214.97640000000001</v>
      </c>
      <c r="M3732">
        <v>0.99831060000000005</v>
      </c>
      <c r="N3732">
        <v>0</v>
      </c>
      <c r="O3732">
        <v>-5.8070749999999997E-2</v>
      </c>
      <c r="P3732">
        <v>0.99154960000000003</v>
      </c>
      <c r="Q3732">
        <v>7.9019329999999999E-2</v>
      </c>
      <c r="R3732">
        <v>-0.1028868</v>
      </c>
      <c r="S3732">
        <v>3.0171809999999999</v>
      </c>
      <c r="T3732">
        <v>-8.2749610000000001E-2</v>
      </c>
      <c r="U3732">
        <v>-0.15341189999999999</v>
      </c>
      <c r="V3732">
        <v>4.5031509999999997E-2</v>
      </c>
      <c r="W3732">
        <v>8.1017599999999995E-2</v>
      </c>
      <c r="X3732">
        <v>0.99569490000000005</v>
      </c>
      <c r="Y3732">
        <v>-7.2766710000000002E-3</v>
      </c>
      <c r="Z3732">
        <v>1.689776E-3</v>
      </c>
      <c r="AA3732">
        <v>0.99997210000000003</v>
      </c>
      <c r="AB3732">
        <v>40</v>
      </c>
      <c r="AC3732">
        <v>40.026000000000003</v>
      </c>
      <c r="AD3732">
        <v>-1.1093606156460001</v>
      </c>
      <c r="AE3732">
        <v>-2.0323000000000202</v>
      </c>
      <c r="AF3732">
        <v>-0.29524753969484402</v>
      </c>
      <c r="AG3732">
        <v>-1.1093606156460001</v>
      </c>
      <c r="AH3732">
        <v>40.045788944535602</v>
      </c>
      <c r="AI3732">
        <v>91.586776158255105</v>
      </c>
      <c r="AJ3732">
        <v>90.422419732028004</v>
      </c>
      <c r="AK3732">
        <v>40.062239880909502</v>
      </c>
      <c r="AL3732">
        <v>85.352940250597499</v>
      </c>
      <c r="AM3732">
        <v>87.410493423045594</v>
      </c>
      <c r="AN3732">
        <v>1.0000000111443199</v>
      </c>
    </row>
    <row r="3733" spans="1:40" x14ac:dyDescent="0.25">
      <c r="A3733" t="str">
        <f>"20190312154326920"</f>
        <v>20190312154326920</v>
      </c>
      <c r="B3733" t="str">
        <f>"1552376606911074"</f>
        <v>1552376606911074</v>
      </c>
      <c r="C3733" t="s">
        <v>40</v>
      </c>
      <c r="D3733">
        <v>4.6498619999999997</v>
      </c>
      <c r="E3733">
        <v>0.46091860000000001</v>
      </c>
      <c r="F3733" t="s">
        <v>50</v>
      </c>
      <c r="G3733">
        <v>-391.28609999999998</v>
      </c>
      <c r="H3733" s="1">
        <v>-8.5237549999999899E-7</v>
      </c>
      <c r="I3733">
        <v>213.1893</v>
      </c>
      <c r="J3733">
        <v>-428.71730000000002</v>
      </c>
      <c r="K3733">
        <v>1.109381</v>
      </c>
      <c r="L3733">
        <v>214.95240000000001</v>
      </c>
      <c r="M3733">
        <v>0.99834630000000002</v>
      </c>
      <c r="N3733">
        <v>0</v>
      </c>
      <c r="O3733">
        <v>-5.7454680000000001E-2</v>
      </c>
      <c r="P3733">
        <v>0.99197290000000005</v>
      </c>
      <c r="Q3733">
        <v>7.7294660000000001E-2</v>
      </c>
      <c r="R3733">
        <v>-0.1000808</v>
      </c>
      <c r="S3733">
        <v>3.0178219999999998</v>
      </c>
      <c r="T3733">
        <v>-8.8450429999999997E-2</v>
      </c>
      <c r="U3733">
        <v>-0.14248659999999999</v>
      </c>
      <c r="V3733">
        <v>4.2817019999999997E-2</v>
      </c>
      <c r="W3733">
        <v>7.935072E-2</v>
      </c>
      <c r="X3733">
        <v>0.9959268</v>
      </c>
      <c r="Y3733">
        <v>-1.027728E-2</v>
      </c>
      <c r="Z3733">
        <v>1.831893E-3</v>
      </c>
      <c r="AA3733">
        <v>0.99994550000000004</v>
      </c>
      <c r="AB3733">
        <v>41</v>
      </c>
      <c r="AC3733">
        <v>37.431199999999997</v>
      </c>
      <c r="AD3733">
        <v>-1.1093818523754999</v>
      </c>
      <c r="AE3733">
        <v>-1.7630999999999999</v>
      </c>
      <c r="AF3733">
        <v>-0.39007208150935302</v>
      </c>
      <c r="AG3733">
        <v>-1.1093818523754999</v>
      </c>
      <c r="AH3733">
        <v>37.437853502932498</v>
      </c>
      <c r="AI3733">
        <v>91.697235559446199</v>
      </c>
      <c r="AJ3733">
        <v>90.5969539700681</v>
      </c>
      <c r="AK3733">
        <v>37.456318014858198</v>
      </c>
      <c r="AL3733">
        <v>85.448753969643803</v>
      </c>
      <c r="AM3733">
        <v>87.538248037788506</v>
      </c>
      <c r="AN3733">
        <v>1.0000000124622099</v>
      </c>
    </row>
    <row r="3734" spans="1:40" x14ac:dyDescent="0.25">
      <c r="A3734" t="str">
        <f>"20190312154326942"</f>
        <v>20190312154326942</v>
      </c>
      <c r="B3734" t="str">
        <f>"1552376606931570"</f>
        <v>1552376606931570</v>
      </c>
      <c r="C3734" t="s">
        <v>40</v>
      </c>
      <c r="D3734">
        <v>4.4987830000000004</v>
      </c>
      <c r="E3734">
        <v>0.46266350000000001</v>
      </c>
      <c r="F3734" t="s">
        <v>50</v>
      </c>
      <c r="G3734">
        <v>-381.4898</v>
      </c>
      <c r="H3734" s="1">
        <v>-7.7194599999999997E-7</v>
      </c>
      <c r="I3734">
        <v>215.256</v>
      </c>
      <c r="J3734">
        <v>-428.31290000000001</v>
      </c>
      <c r="K3734">
        <v>1.109389</v>
      </c>
      <c r="L3734">
        <v>214.92959999999999</v>
      </c>
      <c r="M3734">
        <v>0.9983805</v>
      </c>
      <c r="N3734">
        <v>0</v>
      </c>
      <c r="O3734">
        <v>-5.6851949999999998E-2</v>
      </c>
      <c r="P3734">
        <v>0.99245070000000002</v>
      </c>
      <c r="Q3734">
        <v>7.38901E-2</v>
      </c>
      <c r="R3734">
        <v>-9.7887920000000003E-2</v>
      </c>
      <c r="S3734">
        <v>3.0318299999999998</v>
      </c>
      <c r="T3734">
        <v>-7.1218249999999997E-2</v>
      </c>
      <c r="U3734">
        <v>1.9485470000000001E-2</v>
      </c>
      <c r="V3734">
        <v>4.1202210000000003E-2</v>
      </c>
      <c r="W3734">
        <v>7.6001550000000001E-2</v>
      </c>
      <c r="X3734">
        <v>0.99625609999999998</v>
      </c>
      <c r="Y3734">
        <v>-6.3234230000000002E-2</v>
      </c>
      <c r="Z3734">
        <v>2.0773710000000002E-3</v>
      </c>
      <c r="AA3734">
        <v>0.99799660000000001</v>
      </c>
      <c r="AB3734">
        <v>41</v>
      </c>
      <c r="AC3734">
        <v>46.823099999999997</v>
      </c>
      <c r="AD3734">
        <v>-1.109389771946</v>
      </c>
      <c r="AE3734">
        <v>0.32639999999997799</v>
      </c>
      <c r="AF3734">
        <v>-2.98618598996782</v>
      </c>
      <c r="AG3734">
        <v>-1.109389771946</v>
      </c>
      <c r="AH3734">
        <v>46.702596325317302</v>
      </c>
      <c r="AI3734">
        <v>91.357995903354904</v>
      </c>
      <c r="AJ3734">
        <v>93.658538696117404</v>
      </c>
      <c r="AK3734">
        <v>46.811115730756903</v>
      </c>
      <c r="AL3734">
        <v>85.641229008378104</v>
      </c>
      <c r="AM3734">
        <v>87.631765372404303</v>
      </c>
      <c r="AN3734">
        <v>1.0000000372492399</v>
      </c>
    </row>
    <row r="3735" spans="1:40" x14ac:dyDescent="0.25">
      <c r="A3735" t="str">
        <f>"20190312154326963"</f>
        <v>20190312154326963</v>
      </c>
      <c r="B3735" t="str">
        <f>"1552376606951095"</f>
        <v>1552376606951095</v>
      </c>
      <c r="C3735" t="s">
        <v>40</v>
      </c>
      <c r="D3735">
        <v>4.7323029999999999</v>
      </c>
      <c r="E3735">
        <v>0.46312700000000001</v>
      </c>
      <c r="F3735" t="s">
        <v>50</v>
      </c>
      <c r="G3735">
        <v>-366.3768</v>
      </c>
      <c r="H3735" s="1">
        <v>1.8566139999999999E-6</v>
      </c>
      <c r="I3735">
        <v>215.16990000000001</v>
      </c>
      <c r="J3735">
        <v>-427.91550000000001</v>
      </c>
      <c r="K3735">
        <v>1.1093959999999901</v>
      </c>
      <c r="L3735">
        <v>214.90729999999999</v>
      </c>
      <c r="M3735">
        <v>0.99841420000000003</v>
      </c>
      <c r="N3735">
        <v>0</v>
      </c>
      <c r="O3735">
        <v>-5.6255670000000001E-2</v>
      </c>
      <c r="P3735">
        <v>0.99275829999999998</v>
      </c>
      <c r="Q3735">
        <v>7.1624229999999997E-2</v>
      </c>
      <c r="R3735">
        <v>-9.6443319999999999E-2</v>
      </c>
      <c r="S3735">
        <v>3.0280459999999998</v>
      </c>
      <c r="T3735">
        <v>-5.4237720000000003E-2</v>
      </c>
      <c r="U3735">
        <v>1.1749269999999999E-2</v>
      </c>
      <c r="V3735">
        <v>4.0337070000000003E-2</v>
      </c>
      <c r="W3735">
        <v>7.3790010000000003E-2</v>
      </c>
      <c r="X3735">
        <v>0.9964577</v>
      </c>
      <c r="Y3735">
        <v>-6.0110690000000001E-2</v>
      </c>
      <c r="Z3735">
        <v>1.545486E-3</v>
      </c>
      <c r="AA3735">
        <v>0.99819049999999998</v>
      </c>
      <c r="AB3735">
        <v>41</v>
      </c>
      <c r="AC3735">
        <v>61.538699999999999</v>
      </c>
      <c r="AD3735">
        <v>-1.10939414338599</v>
      </c>
      <c r="AE3735">
        <v>0.26260000000001998</v>
      </c>
      <c r="AF3735">
        <v>-3.7228826412969398</v>
      </c>
      <c r="AG3735">
        <v>-1.10939414338599</v>
      </c>
      <c r="AH3735">
        <v>61.406517487807697</v>
      </c>
      <c r="AI3735">
        <v>91.033118828013599</v>
      </c>
      <c r="AJ3735">
        <v>93.469415035557006</v>
      </c>
      <c r="AK3735">
        <v>61.529269461831603</v>
      </c>
      <c r="AL3735">
        <v>85.768297654532802</v>
      </c>
      <c r="AM3735">
        <v>87.681905905762704</v>
      </c>
      <c r="AN3735">
        <v>0.99999999634063697</v>
      </c>
    </row>
    <row r="3736" spans="1:40" x14ac:dyDescent="0.25">
      <c r="A3736" t="str">
        <f>"20190312154326986"</f>
        <v>20190312154326986</v>
      </c>
      <c r="B3736" t="str">
        <f>"1552376606981348"</f>
        <v>1552376606981348</v>
      </c>
      <c r="C3736" t="s">
        <v>40</v>
      </c>
      <c r="D3736">
        <v>4.4911379999999896</v>
      </c>
      <c r="E3736">
        <v>0.46328789999999997</v>
      </c>
      <c r="F3736" t="s">
        <v>50</v>
      </c>
      <c r="G3736">
        <v>-337.32659999999998</v>
      </c>
      <c r="H3736" s="1">
        <v>2.3339300000000002E-6</v>
      </c>
      <c r="I3736">
        <v>215.25960000000001</v>
      </c>
      <c r="J3736">
        <v>-427.50920000000002</v>
      </c>
      <c r="K3736">
        <v>1.1094010000000001</v>
      </c>
      <c r="L3736">
        <v>214.88480000000001</v>
      </c>
      <c r="M3736">
        <v>0.99844829999999996</v>
      </c>
      <c r="N3736">
        <v>0</v>
      </c>
      <c r="O3736">
        <v>-5.5644840000000001E-2</v>
      </c>
      <c r="P3736">
        <v>0.99308209999999997</v>
      </c>
      <c r="Q3736">
        <v>6.8259979999999998E-2</v>
      </c>
      <c r="R3736">
        <v>-9.5543879999999998E-2</v>
      </c>
      <c r="S3736">
        <v>3.025665</v>
      </c>
      <c r="T3736">
        <v>-3.7053700000000002E-2</v>
      </c>
      <c r="U3736">
        <v>1.176453E-2</v>
      </c>
      <c r="V3736">
        <v>4.0032640000000001E-2</v>
      </c>
      <c r="W3736">
        <v>7.0480349999999997E-2</v>
      </c>
      <c r="X3736">
        <v>0.99670950000000003</v>
      </c>
      <c r="Y3736">
        <v>-5.9518120000000001E-2</v>
      </c>
      <c r="Z3736">
        <v>1.0456090000000001E-3</v>
      </c>
      <c r="AA3736">
        <v>0.99822670000000002</v>
      </c>
      <c r="AB3736">
        <v>41</v>
      </c>
      <c r="AC3736">
        <v>90.182599999999994</v>
      </c>
      <c r="AD3736">
        <v>-1.1093986660699999</v>
      </c>
      <c r="AE3736">
        <v>0.37479999999999303</v>
      </c>
      <c r="AF3736">
        <v>-5.3916113845095301</v>
      </c>
      <c r="AG3736">
        <v>-1.1093986660699999</v>
      </c>
      <c r="AH3736">
        <v>90.008396121233005</v>
      </c>
      <c r="AI3736">
        <v>90.704900101619998</v>
      </c>
      <c r="AJ3736">
        <v>93.427990095378107</v>
      </c>
      <c r="AK3736">
        <v>90.176557990636596</v>
      </c>
      <c r="AL3736">
        <v>85.958422446095</v>
      </c>
      <c r="AM3736">
        <v>87.699962628111805</v>
      </c>
      <c r="AN3736">
        <v>0.99999995969586997</v>
      </c>
    </row>
    <row r="3737" spans="1:40" x14ac:dyDescent="0.25">
      <c r="A3737" t="str">
        <f>"20190312154327007"</f>
        <v>20190312154327007</v>
      </c>
      <c r="B3737" t="str">
        <f>"1552376607000867"</f>
        <v>1552376607000867</v>
      </c>
      <c r="C3737" t="s">
        <v>40</v>
      </c>
      <c r="D3737">
        <v>4.5439160000000003</v>
      </c>
      <c r="E3737">
        <v>0.46376240000000002</v>
      </c>
      <c r="F3737" t="s">
        <v>50</v>
      </c>
      <c r="G3737">
        <v>-373.54219999999998</v>
      </c>
      <c r="H3737" s="1">
        <v>3.4820509999999998E-7</v>
      </c>
      <c r="I3737">
        <v>215.1251</v>
      </c>
      <c r="J3737">
        <v>-427.1062</v>
      </c>
      <c r="K3737">
        <v>1.1093999999999999</v>
      </c>
      <c r="L3737">
        <v>214.86269999999999</v>
      </c>
      <c r="M3737">
        <v>0.99848170000000003</v>
      </c>
      <c r="N3737">
        <v>0</v>
      </c>
      <c r="O3737">
        <v>-5.5040810000000003E-2</v>
      </c>
      <c r="P3737">
        <v>0.99333640000000001</v>
      </c>
      <c r="Q3737">
        <v>6.550077E-2</v>
      </c>
      <c r="R3737">
        <v>-9.4830390000000001E-2</v>
      </c>
      <c r="S3737">
        <v>3.0264280000000001</v>
      </c>
      <c r="T3737">
        <v>-6.2214369999999998E-2</v>
      </c>
      <c r="U3737">
        <v>1.3473509999999999E-2</v>
      </c>
      <c r="V3737">
        <v>3.991078E-2</v>
      </c>
      <c r="W3737">
        <v>6.7775059999999998E-2</v>
      </c>
      <c r="X3737">
        <v>0.99690199999999995</v>
      </c>
      <c r="Y3737">
        <v>-5.9461390000000003E-2</v>
      </c>
      <c r="Z3737">
        <v>1.742066E-3</v>
      </c>
      <c r="AA3737">
        <v>0.99822909999999998</v>
      </c>
      <c r="AB3737">
        <v>41</v>
      </c>
      <c r="AC3737">
        <v>53.564</v>
      </c>
      <c r="AD3737">
        <v>-1.1093996517949001</v>
      </c>
      <c r="AE3737">
        <v>0.26240000000001301</v>
      </c>
      <c r="AF3737">
        <v>-3.2088387834153602</v>
      </c>
      <c r="AG3737">
        <v>-1.1093996517949001</v>
      </c>
      <c r="AH3737">
        <v>53.445433398957</v>
      </c>
      <c r="AI3737">
        <v>91.187015967214506</v>
      </c>
      <c r="AJ3737">
        <v>93.4358872219332</v>
      </c>
      <c r="AK3737">
        <v>53.553167647933797</v>
      </c>
      <c r="AL3737">
        <v>86.113795895563996</v>
      </c>
      <c r="AM3737">
        <v>87.707398803959293</v>
      </c>
      <c r="AN3737">
        <v>0.99999996336110497</v>
      </c>
    </row>
    <row r="3738" spans="1:40" x14ac:dyDescent="0.25">
      <c r="A3738" t="str">
        <f>"20190312154327030"</f>
        <v>20190312154327030</v>
      </c>
      <c r="B3738" t="str">
        <f>"1552376607021363"</f>
        <v>1552376607021363</v>
      </c>
      <c r="C3738" t="s">
        <v>40</v>
      </c>
      <c r="D3738">
        <v>4.4597749999999996</v>
      </c>
      <c r="E3738">
        <v>0.46438279999999899</v>
      </c>
      <c r="F3738" t="s">
        <v>50</v>
      </c>
      <c r="G3738">
        <v>-376.76459999999997</v>
      </c>
      <c r="H3738" s="1">
        <v>2.0629920000000002E-6</v>
      </c>
      <c r="I3738">
        <v>215.05459999999999</v>
      </c>
      <c r="J3738">
        <v>-426.6884</v>
      </c>
      <c r="K3738">
        <v>1.109399</v>
      </c>
      <c r="L3738">
        <v>214.84010000000001</v>
      </c>
      <c r="M3738">
        <v>0.99851559999999995</v>
      </c>
      <c r="N3738">
        <v>0</v>
      </c>
      <c r="O3738">
        <v>-5.4418670000000002E-2</v>
      </c>
      <c r="P3738">
        <v>0.99351089999999997</v>
      </c>
      <c r="Q3738">
        <v>6.3704529999999995E-2</v>
      </c>
      <c r="R3738">
        <v>-9.4222840000000002E-2</v>
      </c>
      <c r="S3738">
        <v>3.0256349999999999</v>
      </c>
      <c r="T3738">
        <v>-6.6677089999999994E-2</v>
      </c>
      <c r="U3738">
        <v>1.153564E-2</v>
      </c>
      <c r="V3738">
        <v>3.9916710000000001E-2</v>
      </c>
      <c r="W3738">
        <v>6.6033739999999994E-2</v>
      </c>
      <c r="X3738">
        <v>0.99701859999999998</v>
      </c>
      <c r="Y3738">
        <v>-5.8198029999999998E-2</v>
      </c>
      <c r="Z3738">
        <v>1.8398710000000001E-3</v>
      </c>
      <c r="AA3738">
        <v>0.99830339999999995</v>
      </c>
      <c r="AB3738">
        <v>41</v>
      </c>
      <c r="AC3738">
        <v>49.9238</v>
      </c>
      <c r="AD3738">
        <v>-1.1093969370079999</v>
      </c>
      <c r="AE3738">
        <v>0.21449999999998601</v>
      </c>
      <c r="AF3738">
        <v>-2.9295294211534602</v>
      </c>
      <c r="AG3738">
        <v>-1.1093969370079999</v>
      </c>
      <c r="AH3738">
        <v>49.813552101627202</v>
      </c>
      <c r="AI3738">
        <v>91.273622764594705</v>
      </c>
      <c r="AJ3738">
        <v>93.365681763988903</v>
      </c>
      <c r="AK3738">
        <v>49.911951245916804</v>
      </c>
      <c r="AL3738">
        <v>86.213790172411606</v>
      </c>
      <c r="AM3738">
        <v>87.707326399883101</v>
      </c>
      <c r="AN3738">
        <v>0.99999994365078404</v>
      </c>
    </row>
    <row r="3739" spans="1:40" x14ac:dyDescent="0.25">
      <c r="A3739" t="str">
        <f>"20190312154327052"</f>
        <v>20190312154327052</v>
      </c>
      <c r="B3739" t="str">
        <f>"1552376607040887"</f>
        <v>1552376607040887</v>
      </c>
      <c r="C3739" t="s">
        <v>40</v>
      </c>
      <c r="D3739">
        <v>4.6335410000000001</v>
      </c>
      <c r="E3739">
        <v>0.46478380000000002</v>
      </c>
      <c r="F3739" t="s">
        <v>50</v>
      </c>
      <c r="G3739">
        <v>-382.28829999999999</v>
      </c>
      <c r="H3739" s="1">
        <v>-3.340859E-7</v>
      </c>
      <c r="I3739">
        <v>214.96010000000001</v>
      </c>
      <c r="J3739">
        <v>-426.26780000000002</v>
      </c>
      <c r="K3739">
        <v>1.109399</v>
      </c>
      <c r="L3739">
        <v>214.8176</v>
      </c>
      <c r="M3739">
        <v>0.99854920000000003</v>
      </c>
      <c r="N3739">
        <v>0</v>
      </c>
      <c r="O3739">
        <v>-5.3797119999999997E-2</v>
      </c>
      <c r="P3739">
        <v>0.9937452</v>
      </c>
      <c r="Q3739">
        <v>6.2213490000000003E-2</v>
      </c>
      <c r="R3739">
        <v>-9.2736849999999996E-2</v>
      </c>
      <c r="S3739">
        <v>3.0252080000000001</v>
      </c>
      <c r="T3739">
        <v>-7.5589180000000006E-2</v>
      </c>
      <c r="U3739">
        <v>8.178711E-3</v>
      </c>
      <c r="V3739">
        <v>3.9041489999999998E-2</v>
      </c>
      <c r="W3739">
        <v>6.4595830000000007E-2</v>
      </c>
      <c r="X3739">
        <v>0.99714749999999996</v>
      </c>
      <c r="Y3739">
        <v>-5.646226E-2</v>
      </c>
      <c r="Z3739">
        <v>2.0488120000000001E-3</v>
      </c>
      <c r="AA3739">
        <v>0.99840269999999998</v>
      </c>
      <c r="AB3739">
        <v>42</v>
      </c>
      <c r="AC3739">
        <v>43.979500000000002</v>
      </c>
      <c r="AD3739">
        <v>-1.1093993340858901</v>
      </c>
      <c r="AE3739">
        <v>0.14250000000001201</v>
      </c>
      <c r="AF3739">
        <v>-2.5066753988890098</v>
      </c>
      <c r="AG3739">
        <v>-1.1093993340858901</v>
      </c>
      <c r="AH3739">
        <v>43.8802246877353</v>
      </c>
      <c r="AI3739">
        <v>91.445912518153705</v>
      </c>
      <c r="AJ3739">
        <v>93.269490971963904</v>
      </c>
      <c r="AK3739">
        <v>43.965762896644897</v>
      </c>
      <c r="AL3739">
        <v>86.296352854958698</v>
      </c>
      <c r="AM3739">
        <v>87.757833608032698</v>
      </c>
      <c r="AN3739">
        <v>0.99999999797552896</v>
      </c>
    </row>
    <row r="3740" spans="1:40" x14ac:dyDescent="0.25">
      <c r="A3740" t="str">
        <f>"20190312154327075"</f>
        <v>20190312154327075</v>
      </c>
      <c r="B3740" t="str">
        <f>"1552376607071138"</f>
        <v>1552376607071138</v>
      </c>
      <c r="C3740" t="s">
        <v>40</v>
      </c>
      <c r="D3740">
        <v>4.453659</v>
      </c>
      <c r="E3740">
        <v>0.46515899999999999</v>
      </c>
      <c r="F3740" t="s">
        <v>50</v>
      </c>
      <c r="G3740">
        <v>-382.54700000000003</v>
      </c>
      <c r="H3740" s="1">
        <v>-1.9594760000000001E-7</v>
      </c>
      <c r="I3740">
        <v>214.94900000000001</v>
      </c>
      <c r="J3740">
        <v>-425.85680000000002</v>
      </c>
      <c r="K3740">
        <v>1.1094040000000001</v>
      </c>
      <c r="L3740">
        <v>214.79580000000001</v>
      </c>
      <c r="M3740">
        <v>0.99858150000000001</v>
      </c>
      <c r="N3740">
        <v>0</v>
      </c>
      <c r="O3740">
        <v>-5.3193450000000003E-2</v>
      </c>
      <c r="P3740">
        <v>0.99404800000000004</v>
      </c>
      <c r="Q3740">
        <v>5.9454769999999997E-2</v>
      </c>
      <c r="R3740">
        <v>-9.1291460000000005E-2</v>
      </c>
      <c r="S3740">
        <v>3.0245669999999998</v>
      </c>
      <c r="T3740">
        <v>-7.6747300000000004E-2</v>
      </c>
      <c r="U3740">
        <v>9.0942379999999993E-3</v>
      </c>
      <c r="V3740">
        <v>3.8187980000000003E-2</v>
      </c>
      <c r="W3740">
        <v>6.1888520000000002E-2</v>
      </c>
      <c r="X3740">
        <v>0.99735220000000002</v>
      </c>
      <c r="Y3740">
        <v>-5.6160689999999999E-2</v>
      </c>
      <c r="Z3740">
        <v>2.0615099999999999E-3</v>
      </c>
      <c r="AA3740">
        <v>0.99841959999999996</v>
      </c>
      <c r="AB3740">
        <v>42</v>
      </c>
      <c r="AC3740">
        <v>43.309800000000003</v>
      </c>
      <c r="AD3740">
        <v>-1.1094041959476</v>
      </c>
      <c r="AE3740">
        <v>0.153199999999998</v>
      </c>
      <c r="AF3740">
        <v>-2.4551760959802098</v>
      </c>
      <c r="AG3740">
        <v>-1.1094041959476</v>
      </c>
      <c r="AH3740">
        <v>43.211980073550301</v>
      </c>
      <c r="AI3740">
        <v>91.4682950156309</v>
      </c>
      <c r="AJ3740">
        <v>93.251879458624302</v>
      </c>
      <c r="AK3740">
        <v>43.295887670876603</v>
      </c>
      <c r="AL3740">
        <v>86.451781343560498</v>
      </c>
      <c r="AM3740">
        <v>87.807252283380706</v>
      </c>
      <c r="AN3740">
        <v>0.999999960784554</v>
      </c>
    </row>
    <row r="3741" spans="1:40" x14ac:dyDescent="0.25">
      <c r="A3741" t="str">
        <f>"20190312154327097"</f>
        <v>20190312154327097</v>
      </c>
      <c r="B3741" t="str">
        <f>"1552376607091635"</f>
        <v>1552376607091635</v>
      </c>
      <c r="C3741" t="s">
        <v>40</v>
      </c>
      <c r="D3741">
        <v>4.47729</v>
      </c>
      <c r="E3741">
        <v>0.46536529999999998</v>
      </c>
      <c r="F3741" t="s">
        <v>50</v>
      </c>
      <c r="G3741">
        <v>-381.09699999999998</v>
      </c>
      <c r="H3741" s="1">
        <v>-9.6744719999999995E-7</v>
      </c>
      <c r="I3741">
        <v>214.9469</v>
      </c>
      <c r="J3741">
        <v>-425.42140000000001</v>
      </c>
      <c r="K3741">
        <v>1.109402</v>
      </c>
      <c r="L3741">
        <v>214.773</v>
      </c>
      <c r="M3741">
        <v>0.99861500000000003</v>
      </c>
      <c r="N3741">
        <v>0</v>
      </c>
      <c r="O3741">
        <v>-5.2556529999999997E-2</v>
      </c>
      <c r="P3741">
        <v>0.99427049999999995</v>
      </c>
      <c r="Q3741">
        <v>5.8270429999999998E-2</v>
      </c>
      <c r="R3741">
        <v>-8.9615479999999997E-2</v>
      </c>
      <c r="S3741">
        <v>3.0233759999999998</v>
      </c>
      <c r="T3741">
        <v>-7.4936749999999996E-2</v>
      </c>
      <c r="U3741">
        <v>1.0208129999999999E-2</v>
      </c>
      <c r="V3741">
        <v>3.7139470000000001E-2</v>
      </c>
      <c r="W3741">
        <v>6.0757699999999998E-2</v>
      </c>
      <c r="X3741">
        <v>0.99746140000000005</v>
      </c>
      <c r="Y3741">
        <v>-5.5894810000000003E-2</v>
      </c>
      <c r="Z3741">
        <v>1.9946230000000001E-3</v>
      </c>
      <c r="AA3741">
        <v>0.99843470000000001</v>
      </c>
      <c r="AB3741">
        <v>42</v>
      </c>
      <c r="AC3741">
        <v>44.324399999999997</v>
      </c>
      <c r="AD3741">
        <v>-1.1094029674471999</v>
      </c>
      <c r="AE3741">
        <v>0.173900000000003</v>
      </c>
      <c r="AF3741">
        <v>-2.5016360332099001</v>
      </c>
      <c r="AG3741">
        <v>-1.1094029674471999</v>
      </c>
      <c r="AH3741">
        <v>44.226295967041999</v>
      </c>
      <c r="AI3741">
        <v>91.434653259293</v>
      </c>
      <c r="AJ3741">
        <v>93.237454316260695</v>
      </c>
      <c r="AK3741">
        <v>44.3108814260248</v>
      </c>
      <c r="AL3741">
        <v>86.516695013348397</v>
      </c>
      <c r="AM3741">
        <v>87.867634443754397</v>
      </c>
      <c r="AN3741">
        <v>1.0000000414155601</v>
      </c>
    </row>
    <row r="3742" spans="1:40" x14ac:dyDescent="0.25">
      <c r="A3742" t="str">
        <f>"20190312154327120"</f>
        <v>20190312154327120</v>
      </c>
      <c r="B3742" t="str">
        <f>"1552376607111155"</f>
        <v>1552376607111155</v>
      </c>
      <c r="C3742" t="s">
        <v>40</v>
      </c>
      <c r="D3742">
        <v>4.4731589999999999</v>
      </c>
      <c r="E3742">
        <v>0.4656592</v>
      </c>
      <c r="F3742" t="s">
        <v>50</v>
      </c>
      <c r="G3742">
        <v>-383.20519999999999</v>
      </c>
      <c r="H3742" s="1">
        <v>1.5346530000000001E-7</v>
      </c>
      <c r="I3742">
        <v>214.9682</v>
      </c>
      <c r="J3742">
        <v>-424.9873</v>
      </c>
      <c r="K3742">
        <v>1.1094139999999999</v>
      </c>
      <c r="L3742">
        <v>214.75059999999999</v>
      </c>
      <c r="M3742">
        <v>0.99864799999999998</v>
      </c>
      <c r="N3742">
        <v>0</v>
      </c>
      <c r="O3742">
        <v>-5.1923780000000003E-2</v>
      </c>
      <c r="P3742">
        <v>0.99445790000000001</v>
      </c>
      <c r="Q3742">
        <v>5.823652E-2</v>
      </c>
      <c r="R3742">
        <v>-8.753408E-2</v>
      </c>
      <c r="S3742">
        <v>3.023193</v>
      </c>
      <c r="T3742">
        <v>-7.9446669999999997E-2</v>
      </c>
      <c r="U3742">
        <v>1.397705E-2</v>
      </c>
      <c r="V3742">
        <v>3.5682220000000001E-2</v>
      </c>
      <c r="W3742">
        <v>6.0776259999999999E-2</v>
      </c>
      <c r="X3742">
        <v>0.99751339999999999</v>
      </c>
      <c r="Y3742">
        <v>-5.6502950000000003E-2</v>
      </c>
      <c r="Z3742">
        <v>2.1061399999999998E-3</v>
      </c>
      <c r="AA3742">
        <v>0.99840019999999996</v>
      </c>
      <c r="AB3742">
        <v>42</v>
      </c>
      <c r="AC3742">
        <v>41.7821</v>
      </c>
      <c r="AD3742">
        <v>-1.1094138465347001</v>
      </c>
      <c r="AE3742">
        <v>0.21760000000000401</v>
      </c>
      <c r="AF3742">
        <v>-2.38511611564306</v>
      </c>
      <c r="AG3742">
        <v>-1.1094138465347001</v>
      </c>
      <c r="AH3742">
        <v>41.685050723835403</v>
      </c>
      <c r="AI3742">
        <v>91.522032623070203</v>
      </c>
      <c r="AJ3742">
        <v>93.274753070816004</v>
      </c>
      <c r="AK3742">
        <v>41.767966575076599</v>
      </c>
      <c r="AL3742">
        <v>86.515629416758102</v>
      </c>
      <c r="AM3742">
        <v>87.951336520922496</v>
      </c>
      <c r="AN3742">
        <v>0.99999997889163705</v>
      </c>
    </row>
    <row r="3743" spans="1:40" x14ac:dyDescent="0.25">
      <c r="A3743" t="str">
        <f>"20190312154327142"</f>
        <v>20190312154327142</v>
      </c>
      <c r="B3743" t="str">
        <f>"1552376607130675"</f>
        <v>1552376607130675</v>
      </c>
      <c r="C3743" t="s">
        <v>40</v>
      </c>
      <c r="D3743">
        <v>4.4727540000000001</v>
      </c>
      <c r="E3743">
        <v>0.46593030000000002</v>
      </c>
      <c r="F3743" t="s">
        <v>50</v>
      </c>
      <c r="G3743">
        <v>-384.24560000000002</v>
      </c>
      <c r="H3743" s="1">
        <v>7.062089E-7</v>
      </c>
      <c r="I3743">
        <v>214.98949999999999</v>
      </c>
      <c r="J3743">
        <v>-424.56760000000003</v>
      </c>
      <c r="K3743">
        <v>1.1094200000000001</v>
      </c>
      <c r="L3743">
        <v>214.72909999999999</v>
      </c>
      <c r="M3743">
        <v>0.99867930000000005</v>
      </c>
      <c r="N3743">
        <v>0</v>
      </c>
      <c r="O3743">
        <v>-5.131368E-2</v>
      </c>
      <c r="P3743">
        <v>0.99464470000000005</v>
      </c>
      <c r="Q3743">
        <v>5.8490430000000003E-2</v>
      </c>
      <c r="R3743">
        <v>-8.5211159999999994E-2</v>
      </c>
      <c r="S3743">
        <v>3.0230709999999998</v>
      </c>
      <c r="T3743">
        <v>-8.2319619999999996E-2</v>
      </c>
      <c r="U3743">
        <v>1.773071E-2</v>
      </c>
      <c r="V3743">
        <v>3.3960669999999998E-2</v>
      </c>
      <c r="W3743">
        <v>6.1079920000000003E-2</v>
      </c>
      <c r="X3743">
        <v>0.99755499999999997</v>
      </c>
      <c r="Y3743">
        <v>-5.7130090000000001E-2</v>
      </c>
      <c r="Z3743">
        <v>2.1743090000000001E-3</v>
      </c>
      <c r="AA3743">
        <v>0.99836440000000004</v>
      </c>
      <c r="AB3743">
        <v>42</v>
      </c>
      <c r="AC3743">
        <v>40.321999999999903</v>
      </c>
      <c r="AD3743">
        <v>-1.1094192937911</v>
      </c>
      <c r="AE3743">
        <v>0.26040000000000402</v>
      </c>
      <c r="AF3743">
        <v>-2.3273721430184899</v>
      </c>
      <c r="AG3743">
        <v>-1.1094192937911</v>
      </c>
      <c r="AH3743">
        <v>40.225066824551099</v>
      </c>
      <c r="AI3743">
        <v>91.577197723784195</v>
      </c>
      <c r="AJ3743">
        <v>93.3113704714997</v>
      </c>
      <c r="AK3743">
        <v>40.307610612651501</v>
      </c>
      <c r="AL3743">
        <v>86.498198778484806</v>
      </c>
      <c r="AM3743">
        <v>88.050180829941894</v>
      </c>
      <c r="AN3743">
        <v>1.0000000308795201</v>
      </c>
    </row>
    <row r="3744" spans="1:40" x14ac:dyDescent="0.25">
      <c r="A3744" t="str">
        <f>"20190312154327277"</f>
        <v>20190312154327277</v>
      </c>
      <c r="B3744" t="str">
        <f>"1552376607271219"</f>
        <v>1552376607271219</v>
      </c>
      <c r="C3744" t="s">
        <v>40</v>
      </c>
      <c r="D3744">
        <v>4.3734989999999998</v>
      </c>
      <c r="E3744">
        <v>0.47204059999999998</v>
      </c>
      <c r="F3744" t="s">
        <v>50</v>
      </c>
      <c r="G3744">
        <v>-383.76960000000003</v>
      </c>
      <c r="H3744" s="1">
        <v>4.5118780000000002E-7</v>
      </c>
      <c r="I3744">
        <v>215.02789999999999</v>
      </c>
      <c r="J3744">
        <v>-421.9873</v>
      </c>
      <c r="K3744">
        <v>1.1094349999999999</v>
      </c>
      <c r="L3744">
        <v>214.60290000000001</v>
      </c>
      <c r="M3744">
        <v>0.99886359999999996</v>
      </c>
      <c r="N3744">
        <v>0</v>
      </c>
      <c r="O3744">
        <v>-4.7575390000000002E-2</v>
      </c>
      <c r="P3744">
        <v>0.99574019999999996</v>
      </c>
      <c r="Q3744">
        <v>5.2589950000000003E-2</v>
      </c>
      <c r="R3744">
        <v>-7.5734949999999995E-2</v>
      </c>
      <c r="S3744">
        <v>3.022888</v>
      </c>
      <c r="T3744">
        <v>-8.2201239999999995E-2</v>
      </c>
      <c r="U3744">
        <v>2.21405E-2</v>
      </c>
      <c r="V3744">
        <v>2.818186E-2</v>
      </c>
      <c r="W3744">
        <v>5.5487080000000001E-2</v>
      </c>
      <c r="X3744">
        <v>0.99806159999999999</v>
      </c>
      <c r="Y3744">
        <v>-5.4852249999999998E-2</v>
      </c>
      <c r="Z3744">
        <v>2.0388030000000001E-3</v>
      </c>
      <c r="AA3744">
        <v>0.99849239999999995</v>
      </c>
      <c r="AB3744">
        <v>43</v>
      </c>
      <c r="AC3744">
        <v>38.217699999999901</v>
      </c>
      <c r="AD3744">
        <v>-1.1094345488121999</v>
      </c>
      <c r="AE3744">
        <v>0.424999999999982</v>
      </c>
      <c r="AF3744">
        <v>-2.2408599405457301</v>
      </c>
      <c r="AG3744">
        <v>-1.1094345488121999</v>
      </c>
      <c r="AH3744">
        <v>38.122082613789601</v>
      </c>
      <c r="AI3744">
        <v>91.664089045323294</v>
      </c>
      <c r="AJ3744">
        <v>93.364040994939302</v>
      </c>
      <c r="AK3744">
        <v>38.203998234528299</v>
      </c>
      <c r="AL3744">
        <v>86.819190869891798</v>
      </c>
      <c r="AM3744">
        <v>88.382592111231602</v>
      </c>
      <c r="AN3744">
        <v>0.99999999533727302</v>
      </c>
    </row>
    <row r="3745" spans="1:40" x14ac:dyDescent="0.25">
      <c r="A3745" t="str">
        <f>"20190312154327367"</f>
        <v>20190312154327367</v>
      </c>
      <c r="B3745" t="str">
        <f>"1552376607361012"</f>
        <v>1552376607361012</v>
      </c>
      <c r="C3745" t="s">
        <v>40</v>
      </c>
      <c r="D3745">
        <v>4.5732390000000001</v>
      </c>
      <c r="E3745">
        <v>0.51772790000000002</v>
      </c>
      <c r="F3745" t="s">
        <v>56</v>
      </c>
      <c r="G3745">
        <v>0</v>
      </c>
      <c r="H3745">
        <v>0</v>
      </c>
      <c r="I3745">
        <v>0</v>
      </c>
      <c r="J3745">
        <v>-420.20890000000003</v>
      </c>
      <c r="K3745">
        <v>1.109477</v>
      </c>
      <c r="L3745">
        <v>214.5214</v>
      </c>
      <c r="M3745">
        <v>0.99898540000000002</v>
      </c>
      <c r="N3745">
        <v>0</v>
      </c>
      <c r="O3745">
        <v>-4.4931970000000002E-2</v>
      </c>
      <c r="P3745">
        <v>0.99595449999999996</v>
      </c>
      <c r="Q3745">
        <v>5.106202E-2</v>
      </c>
      <c r="R3745">
        <v>-7.3941999999999994E-2</v>
      </c>
      <c r="S3745">
        <v>2.8758849999999998</v>
      </c>
      <c r="T3745">
        <v>2.0162010000000001</v>
      </c>
      <c r="U3745">
        <v>-0.4205933</v>
      </c>
      <c r="V3745">
        <v>2.9018510000000001E-2</v>
      </c>
      <c r="W3745">
        <v>5.4177280000000001E-2</v>
      </c>
      <c r="X3745">
        <v>0.99810960000000004</v>
      </c>
      <c r="Y3745">
        <v>9.027433E-2</v>
      </c>
      <c r="Z3745">
        <v>1.575053E-4</v>
      </c>
      <c r="AA3745">
        <v>0.99591689999999999</v>
      </c>
      <c r="AB3745">
        <v>44</v>
      </c>
      <c r="AC3745">
        <v>2.8758849999999998</v>
      </c>
      <c r="AD3745">
        <v>2.0162010000000001</v>
      </c>
      <c r="AE3745">
        <v>-0.4205933</v>
      </c>
      <c r="AF3745">
        <v>0.19642654298079201</v>
      </c>
      <c r="AG3745">
        <v>2.0162010000000001</v>
      </c>
      <c r="AH3745">
        <v>1.95237734001555</v>
      </c>
      <c r="AI3745">
        <v>44.222831223041098</v>
      </c>
      <c r="AJ3745">
        <v>84.254866782225903</v>
      </c>
      <c r="AK3745">
        <v>2.8134368905298999</v>
      </c>
      <c r="AL3745">
        <v>86.894350011853504</v>
      </c>
      <c r="AM3745">
        <v>88.334681952111197</v>
      </c>
      <c r="AN3745">
        <v>1.0000000126014801</v>
      </c>
    </row>
    <row r="3746" spans="1:40" x14ac:dyDescent="0.25">
      <c r="A3746" t="str">
        <f>"20190312154327387"</f>
        <v>20190312154327387</v>
      </c>
      <c r="B3746" t="str">
        <f>"1552376607381507"</f>
        <v>1552376607381507</v>
      </c>
      <c r="C3746" t="s">
        <v>40</v>
      </c>
      <c r="D3746">
        <v>4.8583699999999999</v>
      </c>
      <c r="E3746">
        <v>0.51772790000000002</v>
      </c>
      <c r="F3746" t="s">
        <v>56</v>
      </c>
      <c r="G3746">
        <v>0</v>
      </c>
      <c r="H3746">
        <v>0</v>
      </c>
      <c r="I3746">
        <v>0</v>
      </c>
      <c r="J3746">
        <v>-419.79790000000003</v>
      </c>
      <c r="K3746">
        <v>1.109497</v>
      </c>
      <c r="L3746">
        <v>214.5033</v>
      </c>
      <c r="M3746">
        <v>0.99901470000000003</v>
      </c>
      <c r="N3746">
        <v>0</v>
      </c>
      <c r="O3746">
        <v>-4.427358E-2</v>
      </c>
      <c r="P3746">
        <v>0.99604610000000005</v>
      </c>
      <c r="Q3746">
        <v>4.958634E-2</v>
      </c>
      <c r="R3746">
        <v>-7.3714890000000005E-2</v>
      </c>
      <c r="S3746">
        <v>2.8778079999999999</v>
      </c>
      <c r="T3746">
        <v>2.013833</v>
      </c>
      <c r="U3746">
        <v>-0.41941830000000002</v>
      </c>
      <c r="V3746">
        <v>2.9444939999999999E-2</v>
      </c>
      <c r="W3746">
        <v>5.2753090000000002E-2</v>
      </c>
      <c r="X3746">
        <v>0.99817339999999999</v>
      </c>
      <c r="Y3746">
        <v>9.0317259999999996E-2</v>
      </c>
      <c r="Z3746">
        <v>5.8310290000000004E-4</v>
      </c>
      <c r="AA3746">
        <v>0.99591280000000004</v>
      </c>
      <c r="AB3746">
        <v>44</v>
      </c>
      <c r="AC3746">
        <v>2.8778079999999999</v>
      </c>
      <c r="AD3746">
        <v>2.013833</v>
      </c>
      <c r="AE3746">
        <v>-0.41941830000000002</v>
      </c>
      <c r="AF3746">
        <v>0.19708965984464</v>
      </c>
      <c r="AG3746">
        <v>2.013833</v>
      </c>
      <c r="AH3746">
        <v>1.9557562156036401</v>
      </c>
      <c r="AI3746">
        <v>44.306478348322997</v>
      </c>
      <c r="AJ3746">
        <v>84.245494174221406</v>
      </c>
      <c r="AK3746">
        <v>2.8141339806020098</v>
      </c>
      <c r="AL3746">
        <v>86.976066979084393</v>
      </c>
      <c r="AM3746">
        <v>88.310331959056796</v>
      </c>
      <c r="AN3746">
        <v>1.00000001473185</v>
      </c>
    </row>
    <row r="3747" spans="1:40" x14ac:dyDescent="0.25">
      <c r="A3747" t="str">
        <f>"20190312154327409"</f>
        <v>20190312154327409</v>
      </c>
      <c r="B3747" t="str">
        <f>"1552376607401027"</f>
        <v>1552376607401027</v>
      </c>
      <c r="C3747" t="s">
        <v>40</v>
      </c>
      <c r="D3747">
        <v>4.6837569999999999</v>
      </c>
      <c r="E3747">
        <v>0.48153230000000002</v>
      </c>
      <c r="F3747" t="s">
        <v>56</v>
      </c>
      <c r="G3747">
        <v>0</v>
      </c>
      <c r="H3747">
        <v>0</v>
      </c>
      <c r="I3747">
        <v>0</v>
      </c>
      <c r="J3747">
        <v>-419.36009999999999</v>
      </c>
      <c r="K3747">
        <v>1.109529</v>
      </c>
      <c r="L3747">
        <v>214.48429999999999</v>
      </c>
      <c r="M3747">
        <v>0.99904709999999997</v>
      </c>
      <c r="N3747">
        <v>0</v>
      </c>
      <c r="O3747">
        <v>-4.352922E-2</v>
      </c>
      <c r="P3747">
        <v>0.996085</v>
      </c>
      <c r="Q3747">
        <v>4.8569149999999998E-2</v>
      </c>
      <c r="R3747">
        <v>-7.386297E-2</v>
      </c>
      <c r="S3747">
        <v>2.8807369999999999</v>
      </c>
      <c r="T3747">
        <v>2.0093740000000002</v>
      </c>
      <c r="U3747">
        <v>-0.42080689999999998</v>
      </c>
      <c r="V3747">
        <v>3.0332499999999998E-2</v>
      </c>
      <c r="W3747">
        <v>5.1793100000000002E-2</v>
      </c>
      <c r="X3747">
        <v>0.99819709999999995</v>
      </c>
      <c r="Y3747">
        <v>9.1112509999999994E-2</v>
      </c>
      <c r="Z3747">
        <v>1.2956090000000001E-3</v>
      </c>
      <c r="AA3747">
        <v>0.99583980000000005</v>
      </c>
      <c r="AB3747">
        <v>44</v>
      </c>
      <c r="AC3747">
        <v>2.8807369999999999</v>
      </c>
      <c r="AD3747">
        <v>2.0093740000000002</v>
      </c>
      <c r="AE3747">
        <v>-0.42080689999999998</v>
      </c>
      <c r="AF3747">
        <v>0.19982192351460201</v>
      </c>
      <c r="AG3747">
        <v>2.0093740000000002</v>
      </c>
      <c r="AH3747">
        <v>1.9617868362206601</v>
      </c>
      <c r="AI3747">
        <v>44.461256286620298</v>
      </c>
      <c r="AJ3747">
        <v>84.1840757005791</v>
      </c>
      <c r="AK3747">
        <v>2.8153366164211602</v>
      </c>
      <c r="AL3747">
        <v>87.031145667880693</v>
      </c>
      <c r="AM3747">
        <v>88.259472400146805</v>
      </c>
      <c r="AN3747">
        <v>1.0000000181061299</v>
      </c>
    </row>
    <row r="3748" spans="1:40" x14ac:dyDescent="0.25">
      <c r="A3748" t="str">
        <f>"20190312154327433"</f>
        <v>20190312154327433</v>
      </c>
      <c r="B3748" t="str">
        <f>"1552376607421523"</f>
        <v>1552376607421523</v>
      </c>
      <c r="C3748" t="s">
        <v>40</v>
      </c>
      <c r="D3748">
        <v>4.7106349999999999</v>
      </c>
      <c r="E3748">
        <v>0.4818752</v>
      </c>
      <c r="F3748" t="s">
        <v>50</v>
      </c>
      <c r="G3748">
        <v>-389.96120000000002</v>
      </c>
      <c r="H3748" s="1">
        <v>-1.557456E-6</v>
      </c>
      <c r="I3748">
        <v>213.83949999999999</v>
      </c>
      <c r="J3748">
        <v>-418.89749999999998</v>
      </c>
      <c r="K3748">
        <v>1.1095710000000001</v>
      </c>
      <c r="L3748">
        <v>214.46459999999999</v>
      </c>
      <c r="M3748">
        <v>0.99908359999999996</v>
      </c>
      <c r="N3748">
        <v>0</v>
      </c>
      <c r="O3748">
        <v>-4.2681839999999999E-2</v>
      </c>
      <c r="P3748">
        <v>0.99609300000000001</v>
      </c>
      <c r="Q3748">
        <v>4.8065900000000002E-2</v>
      </c>
      <c r="R3748">
        <v>-7.4086340000000001E-2</v>
      </c>
      <c r="S3748">
        <v>3.0124209999999998</v>
      </c>
      <c r="T3748">
        <v>-0.1136904</v>
      </c>
      <c r="U3748">
        <v>-6.607056E-2</v>
      </c>
      <c r="V3748">
        <v>3.1396720000000003E-2</v>
      </c>
      <c r="W3748">
        <v>5.1350720000000002E-2</v>
      </c>
      <c r="X3748">
        <v>0.99818700000000005</v>
      </c>
      <c r="Y3748">
        <v>-2.0719250000000002E-2</v>
      </c>
      <c r="Z3748">
        <v>2.0003130000000001E-3</v>
      </c>
      <c r="AA3748">
        <v>0.99978330000000004</v>
      </c>
      <c r="AB3748">
        <v>45</v>
      </c>
      <c r="AC3748">
        <v>28.9362999999999</v>
      </c>
      <c r="AD3748">
        <v>-1.10957255745599</v>
      </c>
      <c r="AE3748">
        <v>-0.62510000000000299</v>
      </c>
      <c r="AF3748">
        <v>-0.60963452080189895</v>
      </c>
      <c r="AG3748">
        <v>-1.10957255745599</v>
      </c>
      <c r="AH3748">
        <v>28.894145921073999</v>
      </c>
      <c r="AI3748">
        <v>92.198662582704301</v>
      </c>
      <c r="AJ3748">
        <v>91.208698241442903</v>
      </c>
      <c r="AK3748">
        <v>28.9218684392543</v>
      </c>
      <c r="AL3748">
        <v>87.056525803030496</v>
      </c>
      <c r="AM3748">
        <v>88.198427089821607</v>
      </c>
      <c r="AN3748">
        <v>0.99999996872013697</v>
      </c>
    </row>
    <row r="3749" spans="1:40" x14ac:dyDescent="0.25">
      <c r="A3749" t="str">
        <f>"20190312154327454"</f>
        <v>20190312154327454</v>
      </c>
      <c r="B3749" t="str">
        <f>"1552376607451544"</f>
        <v>1552376607451544</v>
      </c>
      <c r="C3749" t="s">
        <v>40</v>
      </c>
      <c r="D3749">
        <v>4.7216769999999997</v>
      </c>
      <c r="E3749">
        <v>0.48229939999999999</v>
      </c>
      <c r="F3749" t="s">
        <v>50</v>
      </c>
      <c r="G3749">
        <v>-388.28809999999999</v>
      </c>
      <c r="H3749" s="1">
        <v>2.9111700000000002E-6</v>
      </c>
      <c r="I3749">
        <v>213.75919999999999</v>
      </c>
      <c r="J3749">
        <v>-418.46749999999997</v>
      </c>
      <c r="K3749">
        <v>1.1096140000000001</v>
      </c>
      <c r="L3749">
        <v>214.44669999999999</v>
      </c>
      <c r="M3749">
        <v>0.99911890000000003</v>
      </c>
      <c r="N3749">
        <v>0</v>
      </c>
      <c r="O3749">
        <v>-4.1840780000000001E-2</v>
      </c>
      <c r="P3749">
        <v>0.99608929999999996</v>
      </c>
      <c r="Q3749">
        <v>4.7930430000000003E-2</v>
      </c>
      <c r="R3749">
        <v>-7.4220430000000004E-2</v>
      </c>
      <c r="S3749">
        <v>3.011841</v>
      </c>
      <c r="T3749">
        <v>-0.109177</v>
      </c>
      <c r="U3749">
        <v>-6.9412230000000005E-2</v>
      </c>
      <c r="V3749">
        <v>3.2365190000000002E-2</v>
      </c>
      <c r="W3749">
        <v>5.1272619999999998E-2</v>
      </c>
      <c r="X3749">
        <v>0.99816009999999999</v>
      </c>
      <c r="Y3749">
        <v>-1.8769979999999999E-2</v>
      </c>
      <c r="Z3749">
        <v>1.855534E-3</v>
      </c>
      <c r="AA3749">
        <v>0.99982210000000005</v>
      </c>
      <c r="AB3749">
        <v>45</v>
      </c>
      <c r="AC3749">
        <v>30.179399999999902</v>
      </c>
      <c r="AD3749">
        <v>-1.1096110888299999</v>
      </c>
      <c r="AE3749">
        <v>-0.6875</v>
      </c>
      <c r="AF3749">
        <v>-0.57506151474336398</v>
      </c>
      <c r="AG3749">
        <v>-1.1096110888299999</v>
      </c>
      <c r="AH3749">
        <v>30.141012806651599</v>
      </c>
      <c r="AI3749">
        <v>92.107951142717695</v>
      </c>
      <c r="AJ3749">
        <v>91.093015718152003</v>
      </c>
      <c r="AK3749">
        <v>30.166912097941498</v>
      </c>
      <c r="AL3749">
        <v>87.061006557329904</v>
      </c>
      <c r="AM3749">
        <v>88.142843701742194</v>
      </c>
      <c r="AN3749">
        <v>0.999999986158705</v>
      </c>
    </row>
    <row r="3750" spans="1:40" x14ac:dyDescent="0.25">
      <c r="A3750" t="str">
        <f>"20190312154327476"</f>
        <v>20190312154327476</v>
      </c>
      <c r="B3750" t="str">
        <f>"1552376607471065"</f>
        <v>1552376607471065</v>
      </c>
      <c r="C3750" t="s">
        <v>40</v>
      </c>
      <c r="D3750">
        <v>4.7547499999999996</v>
      </c>
      <c r="E3750">
        <v>0.48238959999999997</v>
      </c>
      <c r="F3750" t="s">
        <v>50</v>
      </c>
      <c r="G3750">
        <v>-388.60680000000002</v>
      </c>
      <c r="H3750" s="1">
        <v>3.0824010000000002E-6</v>
      </c>
      <c r="I3750">
        <v>213.7225</v>
      </c>
      <c r="J3750">
        <v>-418.02260000000001</v>
      </c>
      <c r="K3750">
        <v>1.10968</v>
      </c>
      <c r="L3750">
        <v>214.42859999999999</v>
      </c>
      <c r="M3750">
        <v>0.99915779999999998</v>
      </c>
      <c r="N3750">
        <v>0</v>
      </c>
      <c r="O3750">
        <v>-4.0900289999999999E-2</v>
      </c>
      <c r="P3750">
        <v>0.99608419999999998</v>
      </c>
      <c r="Q3750">
        <v>4.7501340000000003E-2</v>
      </c>
      <c r="R3750">
        <v>-7.4565699999999999E-2</v>
      </c>
      <c r="S3750">
        <v>3.0117189999999998</v>
      </c>
      <c r="T3750">
        <v>-0.11191420000000001</v>
      </c>
      <c r="U3750">
        <v>-7.3043819999999995E-2</v>
      </c>
      <c r="V3750">
        <v>3.3643099999999898E-2</v>
      </c>
      <c r="W3750">
        <v>5.0904970000000001E-2</v>
      </c>
      <c r="X3750">
        <v>0.99813669999999999</v>
      </c>
      <c r="Y3750">
        <v>-1.662305E-2</v>
      </c>
      <c r="Z3750">
        <v>1.827293E-3</v>
      </c>
      <c r="AA3750">
        <v>0.99986019999999998</v>
      </c>
      <c r="AB3750">
        <v>45</v>
      </c>
      <c r="AC3750">
        <v>29.415799999999901</v>
      </c>
      <c r="AD3750">
        <v>-1.109676917599</v>
      </c>
      <c r="AE3750">
        <v>-0.70609999999999196</v>
      </c>
      <c r="AF3750">
        <v>-0.49690539636921699</v>
      </c>
      <c r="AG3750">
        <v>-1.109676917599</v>
      </c>
      <c r="AH3750">
        <v>29.378281608692099</v>
      </c>
      <c r="AI3750">
        <v>92.162839679826007</v>
      </c>
      <c r="AJ3750">
        <v>90.969010641090094</v>
      </c>
      <c r="AK3750">
        <v>29.4034305500907</v>
      </c>
      <c r="AL3750">
        <v>87.082099002894793</v>
      </c>
      <c r="AM3750">
        <v>88.069524785898395</v>
      </c>
      <c r="AN3750">
        <v>1.0000000230176</v>
      </c>
    </row>
    <row r="3751" spans="1:40" x14ac:dyDescent="0.25">
      <c r="A3751" t="str">
        <f>"20190312154327498"</f>
        <v>20190312154327498</v>
      </c>
      <c r="B3751" t="str">
        <f>"1552376607491560"</f>
        <v>1552376607491560</v>
      </c>
      <c r="C3751" t="s">
        <v>40</v>
      </c>
      <c r="D3751">
        <v>4.7343479999999998</v>
      </c>
      <c r="E3751">
        <v>0.4826918</v>
      </c>
      <c r="F3751" t="s">
        <v>50</v>
      </c>
      <c r="G3751">
        <v>-387.85660000000001</v>
      </c>
      <c r="H3751" s="1">
        <v>2.684879E-6</v>
      </c>
      <c r="I3751">
        <v>213.68389999999999</v>
      </c>
      <c r="J3751">
        <v>-417.57560000000001</v>
      </c>
      <c r="K3751">
        <v>1.1097669999999999</v>
      </c>
      <c r="L3751">
        <v>214.4109</v>
      </c>
      <c r="M3751">
        <v>0.99919950000000002</v>
      </c>
      <c r="N3751">
        <v>0</v>
      </c>
      <c r="O3751">
        <v>-3.9864910000000003E-2</v>
      </c>
      <c r="P3751">
        <v>0.99606850000000002</v>
      </c>
      <c r="Q3751">
        <v>4.683818E-2</v>
      </c>
      <c r="R3751">
        <v>-7.5193490000000002E-2</v>
      </c>
      <c r="S3751">
        <v>3.011536</v>
      </c>
      <c r="T3751">
        <v>-0.1107817</v>
      </c>
      <c r="U3751">
        <v>-7.4340820000000002E-2</v>
      </c>
      <c r="V3751">
        <v>3.5297229999999999E-2</v>
      </c>
      <c r="W3751">
        <v>5.0306360000000001E-2</v>
      </c>
      <c r="X3751">
        <v>0.99810989999999999</v>
      </c>
      <c r="Y3751">
        <v>-1.51576E-2</v>
      </c>
      <c r="Z3751">
        <v>1.7439350000000001E-3</v>
      </c>
      <c r="AA3751">
        <v>0.99988359999999998</v>
      </c>
      <c r="AB3751">
        <v>45</v>
      </c>
      <c r="AC3751">
        <v>29.718999999999902</v>
      </c>
      <c r="AD3751">
        <v>-1.1097643151209999</v>
      </c>
      <c r="AE3751">
        <v>-0.72700000000000298</v>
      </c>
      <c r="AF3751">
        <v>-0.45769194614372999</v>
      </c>
      <c r="AG3751">
        <v>-1.1097643151209999</v>
      </c>
      <c r="AH3751">
        <v>29.682991658201502</v>
      </c>
      <c r="AI3751">
        <v>92.140877973800997</v>
      </c>
      <c r="AJ3751">
        <v>90.883392723380496</v>
      </c>
      <c r="AK3751">
        <v>29.7072558903299</v>
      </c>
      <c r="AL3751">
        <v>87.116440759875502</v>
      </c>
      <c r="AM3751">
        <v>87.974631987973893</v>
      </c>
      <c r="AN3751">
        <v>0.99999999839006604</v>
      </c>
    </row>
    <row r="3752" spans="1:40" x14ac:dyDescent="0.25">
      <c r="A3752" t="str">
        <f>"20190312154327522"</f>
        <v>20190312154327522</v>
      </c>
      <c r="B3752" t="str">
        <f>"1552376607511079"</f>
        <v>1552376607511079</v>
      </c>
      <c r="C3752" t="s">
        <v>40</v>
      </c>
      <c r="D3752">
        <v>4.8014729999999997</v>
      </c>
      <c r="E3752">
        <v>0.48272660000000001</v>
      </c>
      <c r="F3752" t="s">
        <v>50</v>
      </c>
      <c r="G3752">
        <v>-385.95359999999999</v>
      </c>
      <c r="H3752" s="1">
        <v>1.6764979999999999E-6</v>
      </c>
      <c r="I3752">
        <v>213.58510000000001</v>
      </c>
      <c r="J3752">
        <v>-417.08499999999998</v>
      </c>
      <c r="K3752">
        <v>1.1098650000000001</v>
      </c>
      <c r="L3752">
        <v>214.392</v>
      </c>
      <c r="M3752">
        <v>0.99924869999999999</v>
      </c>
      <c r="N3752">
        <v>0</v>
      </c>
      <c r="O3752">
        <v>-3.8605279999999999E-2</v>
      </c>
      <c r="P3752">
        <v>0.99609539999999996</v>
      </c>
      <c r="Q3752">
        <v>4.5978390000000001E-2</v>
      </c>
      <c r="R3752">
        <v>-7.5366939999999993E-2</v>
      </c>
      <c r="S3752">
        <v>3.0108640000000002</v>
      </c>
      <c r="T3752">
        <v>-0.10566540000000001</v>
      </c>
      <c r="U3752">
        <v>-7.8628539999999997E-2</v>
      </c>
      <c r="V3752">
        <v>3.6717560000000003E-2</v>
      </c>
      <c r="W3752">
        <v>4.9518649999999997E-2</v>
      </c>
      <c r="X3752">
        <v>0.99809809999999999</v>
      </c>
      <c r="Y3752">
        <v>-1.247437E-2</v>
      </c>
      <c r="Z3752">
        <v>1.572567E-3</v>
      </c>
      <c r="AA3752">
        <v>0.99992099999999995</v>
      </c>
      <c r="AB3752">
        <v>45</v>
      </c>
      <c r="AC3752">
        <v>31.1313999999999</v>
      </c>
      <c r="AD3752">
        <v>-1.1098633235019999</v>
      </c>
      <c r="AE3752">
        <v>-0.80689999999998396</v>
      </c>
      <c r="AF3752">
        <v>-0.39504318700688501</v>
      </c>
      <c r="AG3752">
        <v>-1.1098633235019999</v>
      </c>
      <c r="AH3752">
        <v>31.099842233781001</v>
      </c>
      <c r="AI3752">
        <v>92.043688379833</v>
      </c>
      <c r="AJ3752">
        <v>90.727755785042802</v>
      </c>
      <c r="AK3752">
        <v>31.122147141264598</v>
      </c>
      <c r="AL3752">
        <v>87.161629680026195</v>
      </c>
      <c r="AM3752">
        <v>87.893180069473701</v>
      </c>
      <c r="AN3752">
        <v>1.0000000465668899</v>
      </c>
    </row>
    <row r="3753" spans="1:40" x14ac:dyDescent="0.25">
      <c r="A3753" t="str">
        <f>"20190312154327544"</f>
        <v>20190312154327544</v>
      </c>
      <c r="B3753" t="str">
        <f>"1552376607540885"</f>
        <v>1552376607540885</v>
      </c>
      <c r="C3753" t="s">
        <v>40</v>
      </c>
      <c r="D3753">
        <v>4.8483710000000002</v>
      </c>
      <c r="E3753">
        <v>0.48248530000000001</v>
      </c>
      <c r="F3753" t="s">
        <v>50</v>
      </c>
      <c r="G3753">
        <v>-385.64690000000002</v>
      </c>
      <c r="H3753" s="1">
        <v>1.514212E-6</v>
      </c>
      <c r="I3753">
        <v>213.56450000000001</v>
      </c>
      <c r="J3753">
        <v>-416.63749999999999</v>
      </c>
      <c r="K3753">
        <v>1.109972</v>
      </c>
      <c r="L3753">
        <v>214.37540000000001</v>
      </c>
      <c r="M3753">
        <v>0.99929710000000005</v>
      </c>
      <c r="N3753">
        <v>0</v>
      </c>
      <c r="O3753">
        <v>-3.7327550000000001E-2</v>
      </c>
      <c r="P3753">
        <v>0.99613399999999996</v>
      </c>
      <c r="Q3753">
        <v>4.5103879999999999E-2</v>
      </c>
      <c r="R3753">
        <v>-7.5385460000000001E-2</v>
      </c>
      <c r="S3753">
        <v>3.0107119999999998</v>
      </c>
      <c r="T3753">
        <v>-0.1062877</v>
      </c>
      <c r="U3753">
        <v>-7.9254149999999995E-2</v>
      </c>
      <c r="V3753">
        <v>3.800005E-2</v>
      </c>
      <c r="W3753">
        <v>4.8713300000000001E-2</v>
      </c>
      <c r="X3753">
        <v>0.99808969999999997</v>
      </c>
      <c r="Y3753">
        <v>-1.098818E-2</v>
      </c>
      <c r="Z3753">
        <v>1.510625E-3</v>
      </c>
      <c r="AA3753">
        <v>0.99993849999999995</v>
      </c>
      <c r="AB3753">
        <v>45</v>
      </c>
      <c r="AC3753">
        <v>30.990599999999901</v>
      </c>
      <c r="AD3753">
        <v>-1.1099704857879999</v>
      </c>
      <c r="AE3753">
        <v>-0.81090000000000295</v>
      </c>
      <c r="AF3753">
        <v>-0.34603163485606298</v>
      </c>
      <c r="AG3753">
        <v>-1.1099704857879999</v>
      </c>
      <c r="AH3753">
        <v>30.959582852386902</v>
      </c>
      <c r="AI3753">
        <v>92.053174617299902</v>
      </c>
      <c r="AJ3753">
        <v>90.640361558899301</v>
      </c>
      <c r="AK3753">
        <v>30.981406403929601</v>
      </c>
      <c r="AL3753">
        <v>87.207828517320195</v>
      </c>
      <c r="AM3753">
        <v>87.8196434621847</v>
      </c>
      <c r="AN3753">
        <v>1.00000001932149</v>
      </c>
    </row>
    <row r="3754" spans="1:40" x14ac:dyDescent="0.25">
      <c r="A3754" t="str">
        <f>"20190312154327566"</f>
        <v>20190312154327566</v>
      </c>
      <c r="B3754" t="str">
        <f>"1552376607561362"</f>
        <v>1552376607561362</v>
      </c>
      <c r="C3754" t="s">
        <v>40</v>
      </c>
      <c r="D3754">
        <v>4.8823210000000001</v>
      </c>
      <c r="E3754">
        <v>0.48233189999999998</v>
      </c>
      <c r="F3754" t="s">
        <v>50</v>
      </c>
      <c r="G3754">
        <v>-385.65440000000001</v>
      </c>
      <c r="H3754" s="1">
        <v>1.517481E-6</v>
      </c>
      <c r="I3754">
        <v>213.58009999999999</v>
      </c>
      <c r="J3754">
        <v>-416.20769999999999</v>
      </c>
      <c r="K3754">
        <v>1.110096</v>
      </c>
      <c r="L3754">
        <v>214.36009999999999</v>
      </c>
      <c r="M3754">
        <v>0.99934639999999997</v>
      </c>
      <c r="N3754">
        <v>0</v>
      </c>
      <c r="O3754">
        <v>-3.5977009999999997E-2</v>
      </c>
      <c r="P3754">
        <v>0.99616320000000003</v>
      </c>
      <c r="Q3754">
        <v>4.5186749999999998E-2</v>
      </c>
      <c r="R3754">
        <v>-7.4950139999999998E-2</v>
      </c>
      <c r="S3754">
        <v>3.0107119999999998</v>
      </c>
      <c r="T3754">
        <v>-0.10785889999999999</v>
      </c>
      <c r="U3754">
        <v>-7.7285770000000004E-2</v>
      </c>
      <c r="V3754">
        <v>3.8898120000000001E-2</v>
      </c>
      <c r="W3754">
        <v>4.8863320000000002E-2</v>
      </c>
      <c r="X3754">
        <v>0.99804780000000004</v>
      </c>
      <c r="Y3754">
        <v>-1.0290530000000001E-2</v>
      </c>
      <c r="Z3754">
        <v>1.472143E-3</v>
      </c>
      <c r="AA3754">
        <v>0.99994590000000005</v>
      </c>
      <c r="AB3754">
        <v>45</v>
      </c>
      <c r="AC3754">
        <v>30.553299999999901</v>
      </c>
      <c r="AD3754">
        <v>-1.110094482519</v>
      </c>
      <c r="AE3754">
        <v>-0.78000000000000103</v>
      </c>
      <c r="AF3754">
        <v>-0.31930693491010698</v>
      </c>
      <c r="AG3754">
        <v>-1.110094482519</v>
      </c>
      <c r="AH3754">
        <v>30.521317681063401</v>
      </c>
      <c r="AI3754">
        <v>92.082879565921303</v>
      </c>
      <c r="AJ3754">
        <v>90.599393267448605</v>
      </c>
      <c r="AK3754">
        <v>30.543167806682899</v>
      </c>
      <c r="AL3754">
        <v>87.199222840793595</v>
      </c>
      <c r="AM3754">
        <v>87.768072151848301</v>
      </c>
      <c r="AN3754">
        <v>1.00000004943289</v>
      </c>
    </row>
    <row r="3755" spans="1:40" x14ac:dyDescent="0.25">
      <c r="A3755" t="str">
        <f>"20190312154327588"</f>
        <v>20190312154327588</v>
      </c>
      <c r="B3755" t="str">
        <f>"1552376607580882"</f>
        <v>1552376607580882</v>
      </c>
      <c r="C3755" t="s">
        <v>40</v>
      </c>
      <c r="D3755">
        <v>4.8796489999999997</v>
      </c>
      <c r="E3755">
        <v>0.4822362</v>
      </c>
      <c r="F3755" t="s">
        <v>50</v>
      </c>
      <c r="G3755">
        <v>-384.71789999999999</v>
      </c>
      <c r="H3755" s="1">
        <v>1.019158E-6</v>
      </c>
      <c r="I3755">
        <v>213.57919999999999</v>
      </c>
      <c r="J3755">
        <v>-415.74189999999999</v>
      </c>
      <c r="K3755">
        <v>1.1102339999999999</v>
      </c>
      <c r="L3755">
        <v>214.3443</v>
      </c>
      <c r="M3755">
        <v>0.99940229999999997</v>
      </c>
      <c r="N3755">
        <v>0</v>
      </c>
      <c r="O3755">
        <v>-3.4382830000000003E-2</v>
      </c>
      <c r="P3755">
        <v>0.99624880000000005</v>
      </c>
      <c r="Q3755">
        <v>4.4664250000000003E-2</v>
      </c>
      <c r="R3755">
        <v>-7.4121389999999995E-2</v>
      </c>
      <c r="S3755">
        <v>3.0107729999999999</v>
      </c>
      <c r="T3755">
        <v>-0.1061372</v>
      </c>
      <c r="U3755">
        <v>-7.4661249999999998E-2</v>
      </c>
      <c r="V3755">
        <v>3.9644569999999997E-2</v>
      </c>
      <c r="W3755">
        <v>4.8414199999999998E-2</v>
      </c>
      <c r="X3755">
        <v>0.99804029999999999</v>
      </c>
      <c r="Y3755">
        <v>-9.5694530000000003E-3</v>
      </c>
      <c r="Z3755">
        <v>1.379812E-3</v>
      </c>
      <c r="AA3755">
        <v>0.99995330000000004</v>
      </c>
      <c r="AB3755">
        <v>46</v>
      </c>
      <c r="AC3755">
        <v>31.024000000000001</v>
      </c>
      <c r="AD3755">
        <v>-1.110232980842</v>
      </c>
      <c r="AE3755">
        <v>-0.76510000000001799</v>
      </c>
      <c r="AF3755">
        <v>-0.301666065165622</v>
      </c>
      <c r="AG3755">
        <v>-1.110232980842</v>
      </c>
      <c r="AH3755">
        <v>30.9922964910246</v>
      </c>
      <c r="AI3755">
        <v>92.051524812129401</v>
      </c>
      <c r="AJ3755">
        <v>90.557675567618503</v>
      </c>
      <c r="AK3755">
        <v>31.013643150623199</v>
      </c>
      <c r="AL3755">
        <v>87.224985968530405</v>
      </c>
      <c r="AM3755">
        <v>87.725269231836705</v>
      </c>
      <c r="AN3755">
        <v>1.0000000335581001</v>
      </c>
    </row>
    <row r="3756" spans="1:40" x14ac:dyDescent="0.25">
      <c r="A3756" t="str">
        <f>"20190312154327611"</f>
        <v>20190312154327611</v>
      </c>
      <c r="B3756" t="str">
        <f>"1552376607601378"</f>
        <v>1552376607601378</v>
      </c>
      <c r="C3756" t="s">
        <v>40</v>
      </c>
      <c r="D3756">
        <v>4.8075519999999896</v>
      </c>
      <c r="E3756">
        <v>0.48228799999999999</v>
      </c>
      <c r="F3756" t="s">
        <v>50</v>
      </c>
      <c r="G3756">
        <v>-384.00200000000001</v>
      </c>
      <c r="H3756" s="1">
        <v>6.3788419999999897E-7</v>
      </c>
      <c r="I3756">
        <v>213.58670000000001</v>
      </c>
      <c r="J3756">
        <v>-415.27749999999997</v>
      </c>
      <c r="K3756">
        <v>1.1103670000000001</v>
      </c>
      <c r="L3756">
        <v>214.32929999999999</v>
      </c>
      <c r="M3756">
        <v>0.99945980000000001</v>
      </c>
      <c r="N3756">
        <v>0</v>
      </c>
      <c r="O3756">
        <v>-3.266376E-2</v>
      </c>
      <c r="P3756">
        <v>0.99641840000000004</v>
      </c>
      <c r="Q3756">
        <v>4.3003470000000002E-2</v>
      </c>
      <c r="R3756">
        <v>-7.2810910000000006E-2</v>
      </c>
      <c r="S3756">
        <v>3.0106809999999999</v>
      </c>
      <c r="T3756">
        <v>-0.1053108</v>
      </c>
      <c r="U3756">
        <v>-7.1853639999999996E-2</v>
      </c>
      <c r="V3756">
        <v>4.0036740000000001E-2</v>
      </c>
      <c r="W3756">
        <v>4.6825749999999999E-2</v>
      </c>
      <c r="X3756">
        <v>0.9981004</v>
      </c>
      <c r="Y3756">
        <v>-8.7826450000000004E-3</v>
      </c>
      <c r="Z3756">
        <v>1.2953159999999999E-3</v>
      </c>
      <c r="AA3756">
        <v>0.99996059999999998</v>
      </c>
      <c r="AB3756">
        <v>46</v>
      </c>
      <c r="AC3756">
        <v>31.275500000000001</v>
      </c>
      <c r="AD3756">
        <v>-1.1103663621158</v>
      </c>
      <c r="AE3756">
        <v>-0.74259999999998105</v>
      </c>
      <c r="AF3756">
        <v>-0.279026920423189</v>
      </c>
      <c r="AG3756">
        <v>-1.1103663621158</v>
      </c>
      <c r="AH3756">
        <v>31.2437085457431</v>
      </c>
      <c r="AI3756">
        <v>92.035290042079097</v>
      </c>
      <c r="AJ3756">
        <v>90.511675490848006</v>
      </c>
      <c r="AK3756">
        <v>31.264678043629001</v>
      </c>
      <c r="AL3756">
        <v>87.3161007332981</v>
      </c>
      <c r="AM3756">
        <v>87.702929421856894</v>
      </c>
      <c r="AN3756">
        <v>0.999999999946525</v>
      </c>
    </row>
    <row r="3757" spans="1:40" x14ac:dyDescent="0.25">
      <c r="A3757" t="str">
        <f>"20190312154327632"</f>
        <v>20190312154327632</v>
      </c>
      <c r="B3757" t="str">
        <f>"1552376607620898"</f>
        <v>1552376607620898</v>
      </c>
      <c r="C3757" t="s">
        <v>40</v>
      </c>
      <c r="D3757">
        <v>4.9052470000000001</v>
      </c>
      <c r="E3757">
        <v>0.4822668</v>
      </c>
      <c r="F3757" t="s">
        <v>50</v>
      </c>
      <c r="G3757">
        <v>-384.1361</v>
      </c>
      <c r="H3757" s="1">
        <v>7.0789329999999997E-7</v>
      </c>
      <c r="I3757">
        <v>213.61770000000001</v>
      </c>
      <c r="J3757">
        <v>-414.83640000000003</v>
      </c>
      <c r="K3757">
        <v>1.1104750000000001</v>
      </c>
      <c r="L3757">
        <v>214.3158</v>
      </c>
      <c r="M3757">
        <v>0.99951429999999997</v>
      </c>
      <c r="N3757">
        <v>0</v>
      </c>
      <c r="O3757">
        <v>-3.0945190000000001E-2</v>
      </c>
      <c r="P3757">
        <v>0.99666889999999997</v>
      </c>
      <c r="Q3757">
        <v>4.1546909999999999E-2</v>
      </c>
      <c r="R3757">
        <v>-7.0181439999999998E-2</v>
      </c>
      <c r="S3757">
        <v>3.0103759999999999</v>
      </c>
      <c r="T3757">
        <v>-0.107337</v>
      </c>
      <c r="U3757">
        <v>-6.8786620000000007E-2</v>
      </c>
      <c r="V3757">
        <v>3.9109560000000002E-2</v>
      </c>
      <c r="W3757">
        <v>4.5430579999999998E-2</v>
      </c>
      <c r="X3757">
        <v>0.99820160000000002</v>
      </c>
      <c r="Y3757">
        <v>-8.0796089999999997E-3</v>
      </c>
      <c r="Z3757">
        <v>1.246633E-3</v>
      </c>
      <c r="AA3757">
        <v>0.99996660000000004</v>
      </c>
      <c r="AB3757">
        <v>46</v>
      </c>
      <c r="AC3757">
        <v>30.700299999999999</v>
      </c>
      <c r="AD3757">
        <v>-1.1104742921066999</v>
      </c>
      <c r="AE3757">
        <v>-0.69809999999998196</v>
      </c>
      <c r="AF3757">
        <v>-0.25193793542374299</v>
      </c>
      <c r="AG3757">
        <v>-1.1104742921066999</v>
      </c>
      <c r="AH3757">
        <v>30.667096602420202</v>
      </c>
      <c r="AI3757">
        <v>92.073739160445299</v>
      </c>
      <c r="AJ3757">
        <v>90.470688694746102</v>
      </c>
      <c r="AK3757">
        <v>30.688229663812599</v>
      </c>
      <c r="AL3757">
        <v>87.396123182488594</v>
      </c>
      <c r="AM3757">
        <v>87.756297748847103</v>
      </c>
      <c r="AN3757">
        <v>0.99999996476254405</v>
      </c>
    </row>
    <row r="3758" spans="1:40" x14ac:dyDescent="0.25">
      <c r="A3758" t="str">
        <f>"20190312154327655"</f>
        <v>20190312154327655</v>
      </c>
      <c r="B3758" t="str">
        <f>"1552376607651155"</f>
        <v>1552376607651155</v>
      </c>
      <c r="C3758" t="s">
        <v>40</v>
      </c>
      <c r="D3758">
        <v>4.9094689999999996</v>
      </c>
      <c r="E3758">
        <v>0.48230820000000002</v>
      </c>
      <c r="F3758" t="s">
        <v>50</v>
      </c>
      <c r="G3758">
        <v>-384.36590000000001</v>
      </c>
      <c r="H3758" s="1">
        <v>8.2669119999999895E-7</v>
      </c>
      <c r="I3758">
        <v>213.69800000000001</v>
      </c>
      <c r="J3758">
        <v>-414.3818</v>
      </c>
      <c r="K3758">
        <v>1.1105780000000001</v>
      </c>
      <c r="L3758">
        <v>214.30269999999999</v>
      </c>
      <c r="M3758">
        <v>0.99956920000000005</v>
      </c>
      <c r="N3758">
        <v>0</v>
      </c>
      <c r="O3758">
        <v>-2.910314E-2</v>
      </c>
      <c r="P3758">
        <v>0.99695529999999999</v>
      </c>
      <c r="Q3758">
        <v>4.0089960000000001E-2</v>
      </c>
      <c r="R3758">
        <v>-6.6878870000000007E-2</v>
      </c>
      <c r="S3758">
        <v>3.0103149999999999</v>
      </c>
      <c r="T3758">
        <v>-0.1097088</v>
      </c>
      <c r="U3758">
        <v>-6.1035159999999998E-2</v>
      </c>
      <c r="V3758">
        <v>3.7634330000000001E-2</v>
      </c>
      <c r="W3758">
        <v>4.4032460000000002E-2</v>
      </c>
      <c r="X3758">
        <v>0.99832100000000001</v>
      </c>
      <c r="Y3758">
        <v>-8.8096310000000001E-3</v>
      </c>
      <c r="Z3758">
        <v>1.22046E-3</v>
      </c>
      <c r="AA3758">
        <v>0.99996039999999997</v>
      </c>
      <c r="AB3758">
        <v>46</v>
      </c>
      <c r="AC3758">
        <v>30.015899999999899</v>
      </c>
      <c r="AD3758">
        <v>-1.1105771733087999</v>
      </c>
      <c r="AE3758">
        <v>-0.60470000000000801</v>
      </c>
      <c r="AF3758">
        <v>-0.26875162093052402</v>
      </c>
      <c r="AG3758">
        <v>-1.1105771733087999</v>
      </c>
      <c r="AH3758">
        <v>29.979759476518101</v>
      </c>
      <c r="AI3758">
        <v>92.121422927688698</v>
      </c>
      <c r="AJ3758">
        <v>90.513610563582603</v>
      </c>
      <c r="AK3758">
        <v>30.001526417192601</v>
      </c>
      <c r="AL3758">
        <v>87.476309943847397</v>
      </c>
      <c r="AM3758">
        <v>87.8411075172274</v>
      </c>
      <c r="AN3758">
        <v>1.0000000096846</v>
      </c>
    </row>
    <row r="3759" spans="1:40" x14ac:dyDescent="0.25">
      <c r="A3759" t="str">
        <f>"20190312154327678"</f>
        <v>20190312154327678</v>
      </c>
      <c r="B3759" t="str">
        <f>"1552376607671650"</f>
        <v>1552376607671650</v>
      </c>
      <c r="C3759" t="s">
        <v>40</v>
      </c>
      <c r="D3759">
        <v>4.9403030000000001</v>
      </c>
      <c r="E3759">
        <v>0.48232809999999998</v>
      </c>
      <c r="F3759" t="s">
        <v>50</v>
      </c>
      <c r="G3759">
        <v>-384.56450000000001</v>
      </c>
      <c r="H3759" s="1">
        <v>9.2836079999999997E-7</v>
      </c>
      <c r="I3759">
        <v>213.7893</v>
      </c>
      <c r="J3759">
        <v>-413.88990000000001</v>
      </c>
      <c r="K3759">
        <v>1.1106670000000001</v>
      </c>
      <c r="L3759">
        <v>214.2895</v>
      </c>
      <c r="M3759">
        <v>0.99962680000000004</v>
      </c>
      <c r="N3759">
        <v>0</v>
      </c>
      <c r="O3759">
        <v>-2.7052119999999999E-2</v>
      </c>
      <c r="P3759">
        <v>0.99730960000000002</v>
      </c>
      <c r="Q3759">
        <v>3.863221E-2</v>
      </c>
      <c r="R3759">
        <v>-6.2303169999999998E-2</v>
      </c>
      <c r="S3759">
        <v>3.0101930000000001</v>
      </c>
      <c r="T3759">
        <v>-0.1121178</v>
      </c>
      <c r="U3759">
        <v>-5.1834110000000003E-2</v>
      </c>
      <c r="V3759">
        <v>3.5094809999999997E-2</v>
      </c>
      <c r="W3759">
        <v>4.2629500000000001E-2</v>
      </c>
      <c r="X3759">
        <v>0.99847439999999998</v>
      </c>
      <c r="Y3759">
        <v>-9.8120840000000004E-3</v>
      </c>
      <c r="Z3759">
        <v>1.189671E-3</v>
      </c>
      <c r="AA3759">
        <v>0.99995109999999998</v>
      </c>
      <c r="AB3759">
        <v>46</v>
      </c>
      <c r="AC3759">
        <v>29.325399999999998</v>
      </c>
      <c r="AD3759">
        <v>-1.1106660716392001</v>
      </c>
      <c r="AE3759">
        <v>-0.50020000000000597</v>
      </c>
      <c r="AF3759">
        <v>-0.29288303487223</v>
      </c>
      <c r="AG3759">
        <v>-1.1106660716392001</v>
      </c>
      <c r="AH3759">
        <v>29.286202267545601</v>
      </c>
      <c r="AI3759">
        <v>92.171767365239006</v>
      </c>
      <c r="AJ3759">
        <v>90.572979802016306</v>
      </c>
      <c r="AK3759">
        <v>29.308718887907698</v>
      </c>
      <c r="AL3759">
        <v>87.556769240407704</v>
      </c>
      <c r="AM3759">
        <v>87.986971864516704</v>
      </c>
      <c r="AN3759">
        <v>1.0000000237072699</v>
      </c>
    </row>
    <row r="3760" spans="1:40" x14ac:dyDescent="0.25">
      <c r="A3760" t="str">
        <f>"20190312154327699"</f>
        <v>20190312154327699</v>
      </c>
      <c r="B3760" t="str">
        <f>"1552376607691171"</f>
        <v>1552376607691171</v>
      </c>
      <c r="C3760" t="s">
        <v>40</v>
      </c>
      <c r="D3760">
        <v>4.8989479999999999</v>
      </c>
      <c r="E3760">
        <v>0.49839499999999998</v>
      </c>
      <c r="F3760" t="s">
        <v>50</v>
      </c>
      <c r="G3760">
        <v>-384.97649999999999</v>
      </c>
      <c r="H3760" s="1">
        <v>1.1418940000000001E-6</v>
      </c>
      <c r="I3760">
        <v>213.9204</v>
      </c>
      <c r="J3760">
        <v>-413.44229999999999</v>
      </c>
      <c r="K3760">
        <v>1.1107450000000001</v>
      </c>
      <c r="L3760">
        <v>214.2783</v>
      </c>
      <c r="M3760">
        <v>0.99967620000000001</v>
      </c>
      <c r="N3760">
        <v>0</v>
      </c>
      <c r="O3760">
        <v>-2.5150820000000001E-2</v>
      </c>
      <c r="P3760">
        <v>0.99757309999999999</v>
      </c>
      <c r="Q3760">
        <v>3.7637650000000002E-2</v>
      </c>
      <c r="R3760">
        <v>-5.8576059999999999E-2</v>
      </c>
      <c r="S3760">
        <v>3.0101619999999998</v>
      </c>
      <c r="T3760">
        <v>-0.1156312</v>
      </c>
      <c r="U3760">
        <v>-3.8421629999999998E-2</v>
      </c>
      <c r="V3760">
        <v>3.3257790000000002E-2</v>
      </c>
      <c r="W3760">
        <v>4.1684779999999998E-2</v>
      </c>
      <c r="X3760">
        <v>0.9985771</v>
      </c>
      <c r="Y3760">
        <v>-1.2362410000000001E-2</v>
      </c>
      <c r="Z3760">
        <v>1.2029759999999999E-3</v>
      </c>
      <c r="AA3760">
        <v>0.99992289999999995</v>
      </c>
      <c r="AB3760">
        <v>46</v>
      </c>
      <c r="AC3760">
        <v>28.465800000000002</v>
      </c>
      <c r="AD3760">
        <v>-1.1107438581060001</v>
      </c>
      <c r="AE3760">
        <v>-0.3579</v>
      </c>
      <c r="AF3760">
        <v>-0.35761236533358298</v>
      </c>
      <c r="AG3760">
        <v>-1.1107438581060001</v>
      </c>
      <c r="AH3760">
        <v>28.422527944811801</v>
      </c>
      <c r="AI3760">
        <v>92.237786092901402</v>
      </c>
      <c r="AJ3760">
        <v>90.720857699887105</v>
      </c>
      <c r="AK3760">
        <v>28.446471368093501</v>
      </c>
      <c r="AL3760">
        <v>87.610945728429201</v>
      </c>
      <c r="AM3760">
        <v>88.092458848788397</v>
      </c>
      <c r="AN3760">
        <v>0.99999996306187</v>
      </c>
    </row>
    <row r="3761" spans="1:40" x14ac:dyDescent="0.25">
      <c r="A3761" t="str">
        <f>"20190312154327724"</f>
        <v>20190312154327724</v>
      </c>
      <c r="B3761" t="str">
        <f>"1552376607711668"</f>
        <v>1552376607711668</v>
      </c>
      <c r="C3761" t="s">
        <v>40</v>
      </c>
      <c r="D3761">
        <v>4.9018800000000002</v>
      </c>
      <c r="E3761">
        <v>0.50119360000000002</v>
      </c>
      <c r="F3761" t="s">
        <v>62</v>
      </c>
      <c r="G3761">
        <v>-168.4143</v>
      </c>
      <c r="H3761">
        <v>6.1189790000000004</v>
      </c>
      <c r="I3761">
        <v>201.10919999999999</v>
      </c>
      <c r="J3761">
        <v>-412.95299999999997</v>
      </c>
      <c r="K3761">
        <v>1.110825</v>
      </c>
      <c r="L3761">
        <v>214.267</v>
      </c>
      <c r="M3761">
        <v>0.99972669999999997</v>
      </c>
      <c r="N3761">
        <v>0</v>
      </c>
      <c r="O3761">
        <v>-2.3048539999999999E-2</v>
      </c>
      <c r="P3761">
        <v>0.99776909999999996</v>
      </c>
      <c r="Q3761">
        <v>3.7626680000000003E-2</v>
      </c>
      <c r="R3761">
        <v>-5.5147269999999998E-2</v>
      </c>
      <c r="S3761">
        <v>2.995514</v>
      </c>
      <c r="T3761">
        <v>6.1226959999999997E-2</v>
      </c>
      <c r="U3761">
        <v>-0.16099550000000001</v>
      </c>
      <c r="V3761">
        <v>3.1916989999999999E-2</v>
      </c>
      <c r="W3761">
        <v>4.1729080000000002E-2</v>
      </c>
      <c r="X3761">
        <v>0.99861900000000003</v>
      </c>
      <c r="Y3761">
        <v>3.0636739999999999E-2</v>
      </c>
      <c r="Z3761">
        <v>-1.577704E-4</v>
      </c>
      <c r="AA3761">
        <v>0.99953060000000005</v>
      </c>
      <c r="AB3761">
        <v>47</v>
      </c>
      <c r="AC3761">
        <v>244.53870000000001</v>
      </c>
      <c r="AD3761">
        <v>5.0081540000000002</v>
      </c>
      <c r="AE3761">
        <v>-13.1578</v>
      </c>
      <c r="AF3761">
        <v>7.5148585776538601</v>
      </c>
      <c r="AG3761">
        <v>5.0081540000000002</v>
      </c>
      <c r="AH3761">
        <v>244.67467919147001</v>
      </c>
      <c r="AI3761">
        <v>88.827950506175895</v>
      </c>
      <c r="AJ3761">
        <v>88.240789082070094</v>
      </c>
      <c r="AK3761">
        <v>244.84128194277</v>
      </c>
      <c r="AL3761">
        <v>87.608405304573694</v>
      </c>
      <c r="AM3761">
        <v>88.169385401828094</v>
      </c>
      <c r="AN3761">
        <v>0.99999995876465197</v>
      </c>
    </row>
    <row r="3762" spans="1:40" x14ac:dyDescent="0.25">
      <c r="A3762" t="str">
        <f>"20190312154327746"</f>
        <v>20190312154327746</v>
      </c>
      <c r="B3762" t="str">
        <f>"1552376607741415"</f>
        <v>1552376607741415</v>
      </c>
      <c r="C3762" t="s">
        <v>40</v>
      </c>
      <c r="D3762">
        <v>5.221889</v>
      </c>
      <c r="E3762">
        <v>0.50223859999999998</v>
      </c>
      <c r="F3762" t="s">
        <v>62</v>
      </c>
      <c r="G3762">
        <v>-169.71350000000001</v>
      </c>
      <c r="H3762">
        <v>7.1875109999999998</v>
      </c>
      <c r="I3762">
        <v>200.16229999999999</v>
      </c>
      <c r="J3762">
        <v>-412.4735</v>
      </c>
      <c r="K3762">
        <v>1.1108990000000001</v>
      </c>
      <c r="L3762">
        <v>214.2569</v>
      </c>
      <c r="M3762">
        <v>0.99977210000000005</v>
      </c>
      <c r="N3762">
        <v>0</v>
      </c>
      <c r="O3762">
        <v>-2.097427E-2</v>
      </c>
      <c r="P3762">
        <v>0.99786859999999999</v>
      </c>
      <c r="Q3762">
        <v>3.8350919999999997E-2</v>
      </c>
      <c r="R3762">
        <v>-5.2799800000000001E-2</v>
      </c>
      <c r="S3762">
        <v>2.9942929999999999</v>
      </c>
      <c r="T3762">
        <v>7.4804780000000001E-2</v>
      </c>
      <c r="U3762">
        <v>-0.173629799999999</v>
      </c>
      <c r="V3762">
        <v>3.1628419999999997E-2</v>
      </c>
      <c r="W3762">
        <v>4.2511350000000003E-2</v>
      </c>
      <c r="X3762">
        <v>0.99859520000000002</v>
      </c>
      <c r="Y3762">
        <v>3.6932710000000001E-2</v>
      </c>
      <c r="Z3762" s="1">
        <v>-6.2487440000000004E-5</v>
      </c>
      <c r="AA3762">
        <v>0.99931780000000003</v>
      </c>
      <c r="AB3762">
        <v>47</v>
      </c>
      <c r="AC3762">
        <v>242.76</v>
      </c>
      <c r="AD3762">
        <v>6.0766119999999999</v>
      </c>
      <c r="AE3762">
        <v>-14.0946</v>
      </c>
      <c r="AF3762">
        <v>8.9941287725603001</v>
      </c>
      <c r="AG3762">
        <v>6.0766119999999999</v>
      </c>
      <c r="AH3762">
        <v>242.850570696891</v>
      </c>
      <c r="AI3762">
        <v>88.567624518221095</v>
      </c>
      <c r="AJ3762">
        <v>87.878982957851804</v>
      </c>
      <c r="AK3762">
        <v>243.09302592543</v>
      </c>
      <c r="AL3762">
        <v>87.563544754448102</v>
      </c>
      <c r="AM3762">
        <v>88.185882159410696</v>
      </c>
      <c r="AN3762">
        <v>0.99999997264677898</v>
      </c>
    </row>
    <row r="3763" spans="1:40" x14ac:dyDescent="0.25">
      <c r="A3763" t="str">
        <f>"20190312154327767"</f>
        <v>20190312154327767</v>
      </c>
      <c r="B3763" t="str">
        <f>"1552376607760890"</f>
        <v>1552376607760890</v>
      </c>
      <c r="C3763" t="s">
        <v>40</v>
      </c>
      <c r="D3763">
        <v>4.9217620000000002</v>
      </c>
      <c r="E3763">
        <v>0.50292519999999996</v>
      </c>
      <c r="F3763" t="s">
        <v>62</v>
      </c>
      <c r="G3763">
        <v>-168.41540000000001</v>
      </c>
      <c r="H3763">
        <v>8.3866779999999999</v>
      </c>
      <c r="I3763">
        <v>199.9538</v>
      </c>
      <c r="J3763">
        <v>-412.0308</v>
      </c>
      <c r="K3763">
        <v>1.110986</v>
      </c>
      <c r="L3763">
        <v>214.24850000000001</v>
      </c>
      <c r="M3763">
        <v>0.99981019999999998</v>
      </c>
      <c r="N3763">
        <v>0</v>
      </c>
      <c r="O3763">
        <v>-1.9057060000000001E-2</v>
      </c>
      <c r="P3763">
        <v>0.99793290000000001</v>
      </c>
      <c r="Q3763">
        <v>3.9043340000000003E-2</v>
      </c>
      <c r="R3763">
        <v>-5.104943E-2</v>
      </c>
      <c r="S3763">
        <v>2.9936829999999999</v>
      </c>
      <c r="T3763">
        <v>8.9247110000000004E-2</v>
      </c>
      <c r="U3763">
        <v>-0.17544560000000001</v>
      </c>
      <c r="V3763">
        <v>3.1781289999999997E-2</v>
      </c>
      <c r="W3763">
        <v>4.3305040000000003E-2</v>
      </c>
      <c r="X3763">
        <v>0.99855629999999995</v>
      </c>
      <c r="Y3763">
        <v>3.9460639999999998E-2</v>
      </c>
      <c r="Z3763" s="1">
        <v>2.0149569999999999E-5</v>
      </c>
      <c r="AA3763">
        <v>0.99922109999999997</v>
      </c>
      <c r="AB3763">
        <v>47</v>
      </c>
      <c r="AC3763">
        <v>243.61539999999999</v>
      </c>
      <c r="AD3763">
        <v>7.2756919999999896</v>
      </c>
      <c r="AE3763">
        <v>-14.294700000000001</v>
      </c>
      <c r="AF3763">
        <v>9.6409029901648307</v>
      </c>
      <c r="AG3763">
        <v>7.2756919999999896</v>
      </c>
      <c r="AH3763">
        <v>243.62701853656401</v>
      </c>
      <c r="AI3763">
        <v>88.290760784974793</v>
      </c>
      <c r="AJ3763">
        <v>87.733851578478095</v>
      </c>
      <c r="AK3763">
        <v>243.926232426035</v>
      </c>
      <c r="AL3763">
        <v>87.5180278883401</v>
      </c>
      <c r="AM3763">
        <v>88.177048899926902</v>
      </c>
      <c r="AN3763">
        <v>1.0000000305765699</v>
      </c>
    </row>
    <row r="3764" spans="1:40" x14ac:dyDescent="0.25">
      <c r="A3764" t="str">
        <f>"20190312154327791"</f>
        <v>20190312154327791</v>
      </c>
      <c r="B3764" t="str">
        <f>"1552376607781387"</f>
        <v>1552376607781387</v>
      </c>
      <c r="C3764" t="s">
        <v>40</v>
      </c>
      <c r="D3764">
        <v>4.9150720000000003</v>
      </c>
      <c r="E3764">
        <v>0.50359120000000002</v>
      </c>
      <c r="F3764" t="s">
        <v>62</v>
      </c>
      <c r="G3764">
        <v>-168.416</v>
      </c>
      <c r="H3764">
        <v>10.036049999999999</v>
      </c>
      <c r="I3764">
        <v>199.89830000000001</v>
      </c>
      <c r="J3764">
        <v>-411.5498</v>
      </c>
      <c r="K3764">
        <v>1.1111089999999999</v>
      </c>
      <c r="L3764">
        <v>214.24039999999999</v>
      </c>
      <c r="M3764">
        <v>0.99984629999999997</v>
      </c>
      <c r="N3764">
        <v>0</v>
      </c>
      <c r="O3764">
        <v>-1.6983720000000001E-2</v>
      </c>
      <c r="P3764">
        <v>0.99802670000000004</v>
      </c>
      <c r="Q3764">
        <v>3.8946580000000001E-2</v>
      </c>
      <c r="R3764">
        <v>-4.9252629999999999E-2</v>
      </c>
      <c r="S3764">
        <v>2.99295</v>
      </c>
      <c r="T3764">
        <v>0.10965</v>
      </c>
      <c r="U3764">
        <v>-0.17630000000000001</v>
      </c>
      <c r="V3764">
        <v>3.2045700000000003E-2</v>
      </c>
      <c r="W3764">
        <v>4.3459379999999999E-2</v>
      </c>
      <c r="X3764">
        <v>0.99854109999999996</v>
      </c>
      <c r="Y3764">
        <v>4.1823600000000002E-2</v>
      </c>
      <c r="Z3764">
        <v>1.43831E-4</v>
      </c>
      <c r="AA3764">
        <v>0.99912500000000004</v>
      </c>
      <c r="AB3764">
        <v>47</v>
      </c>
      <c r="AC3764">
        <v>243.13380000000001</v>
      </c>
      <c r="AD3764">
        <v>8.9249409999999898</v>
      </c>
      <c r="AE3764">
        <v>-14.342099999999901</v>
      </c>
      <c r="AF3764">
        <v>10.196983366680399</v>
      </c>
      <c r="AG3764">
        <v>8.9249409999999898</v>
      </c>
      <c r="AH3764">
        <v>243.01599377077099</v>
      </c>
      <c r="AI3764">
        <v>87.898563141293295</v>
      </c>
      <c r="AJ3764">
        <v>87.597270946183698</v>
      </c>
      <c r="AK3764">
        <v>243.393521421646</v>
      </c>
      <c r="AL3764">
        <v>87.509176414993505</v>
      </c>
      <c r="AM3764">
        <v>88.161864939649405</v>
      </c>
      <c r="AN3764">
        <v>0.99999998649384203</v>
      </c>
    </row>
    <row r="3765" spans="1:40" x14ac:dyDescent="0.25">
      <c r="A3765" t="str">
        <f>"20190312154327812"</f>
        <v>20190312154327812</v>
      </c>
      <c r="B3765" t="str">
        <f>"1552376607800906"</f>
        <v>1552376607800906</v>
      </c>
      <c r="C3765" t="s">
        <v>40</v>
      </c>
      <c r="D3765">
        <v>4.9258629999999997</v>
      </c>
      <c r="E3765">
        <v>0.50411269999999997</v>
      </c>
      <c r="F3765" t="s">
        <v>62</v>
      </c>
      <c r="G3765">
        <v>-168.41630000000001</v>
      </c>
      <c r="H3765">
        <v>10.87323</v>
      </c>
      <c r="I3765">
        <v>199.89920000000001</v>
      </c>
      <c r="J3765">
        <v>-411.08249999999998</v>
      </c>
      <c r="K3765">
        <v>1.111273</v>
      </c>
      <c r="L3765">
        <v>214.23349999999999</v>
      </c>
      <c r="M3765">
        <v>0.9998764</v>
      </c>
      <c r="N3765">
        <v>0</v>
      </c>
      <c r="O3765">
        <v>-1.498582E-2</v>
      </c>
      <c r="P3765">
        <v>0.99815310000000002</v>
      </c>
      <c r="Q3765">
        <v>3.7386799999999998E-2</v>
      </c>
      <c r="R3765">
        <v>-4.788162E-2</v>
      </c>
      <c r="S3765">
        <v>2.9925229999999998</v>
      </c>
      <c r="T3765">
        <v>0.120154</v>
      </c>
      <c r="U3765">
        <v>-0.1765137</v>
      </c>
      <c r="V3765">
        <v>3.2667670000000003E-2</v>
      </c>
      <c r="W3765">
        <v>4.2347950000000002E-2</v>
      </c>
      <c r="X3765">
        <v>0.99856869999999998</v>
      </c>
      <c r="Y3765">
        <v>4.389274E-2</v>
      </c>
      <c r="Z3765">
        <v>2.7919739999999999E-4</v>
      </c>
      <c r="AA3765">
        <v>0.99903620000000004</v>
      </c>
      <c r="AB3765">
        <v>47</v>
      </c>
      <c r="AC3765">
        <v>242.6662</v>
      </c>
      <c r="AD3765">
        <v>9.7619570000000007</v>
      </c>
      <c r="AE3765">
        <v>-14.334299999999899</v>
      </c>
      <c r="AF3765">
        <v>10.6788758246581</v>
      </c>
      <c r="AG3765">
        <v>9.7619570000000007</v>
      </c>
      <c r="AH3765">
        <v>242.46275349134601</v>
      </c>
      <c r="AI3765">
        <v>87.696651639899699</v>
      </c>
      <c r="AJ3765">
        <v>87.478130818430998</v>
      </c>
      <c r="AK3765">
        <v>242.89405308478399</v>
      </c>
      <c r="AL3765">
        <v>87.572915358730995</v>
      </c>
      <c r="AM3765">
        <v>88.126265806844003</v>
      </c>
      <c r="AN3765">
        <v>0.99999998707605997</v>
      </c>
    </row>
    <row r="3766" spans="1:40" x14ac:dyDescent="0.25">
      <c r="A3766" t="str">
        <f>"20190312154327835"</f>
        <v>20190312154327835</v>
      </c>
      <c r="B3766" t="str">
        <f>"1552376607831163"</f>
        <v>1552376607831163</v>
      </c>
      <c r="C3766" t="s">
        <v>40</v>
      </c>
      <c r="D3766">
        <v>5.0120760000000004</v>
      </c>
      <c r="E3766">
        <v>0.50476019999999999</v>
      </c>
      <c r="F3766" t="s">
        <v>62</v>
      </c>
      <c r="G3766">
        <v>-168.41640000000001</v>
      </c>
      <c r="H3766">
        <v>11.11735</v>
      </c>
      <c r="I3766">
        <v>199.8922</v>
      </c>
      <c r="J3766">
        <v>-410.6096</v>
      </c>
      <c r="K3766">
        <v>1.111477</v>
      </c>
      <c r="L3766">
        <v>214.22749999999999</v>
      </c>
      <c r="M3766">
        <v>0.99990089999999998</v>
      </c>
      <c r="N3766">
        <v>0</v>
      </c>
      <c r="O3766">
        <v>-1.2983450000000001E-2</v>
      </c>
      <c r="P3766">
        <v>0.99832370000000004</v>
      </c>
      <c r="Q3766">
        <v>3.6086790000000001E-2</v>
      </c>
      <c r="R3766">
        <v>-4.5251189999999997E-2</v>
      </c>
      <c r="S3766">
        <v>2.992432</v>
      </c>
      <c r="T3766">
        <v>0.1233901</v>
      </c>
      <c r="U3766">
        <v>-0.17684939999999999</v>
      </c>
      <c r="V3766">
        <v>3.203222E-2</v>
      </c>
      <c r="W3766">
        <v>4.1715259999999997E-2</v>
      </c>
      <c r="X3766">
        <v>0.9986159</v>
      </c>
      <c r="Y3766">
        <v>4.600199E-2</v>
      </c>
      <c r="Z3766">
        <v>4.1258359999999999E-4</v>
      </c>
      <c r="AA3766">
        <v>0.99894119999999997</v>
      </c>
      <c r="AB3766">
        <v>47</v>
      </c>
      <c r="AC3766">
        <v>242.19319999999999</v>
      </c>
      <c r="AD3766">
        <v>10.005872999999999</v>
      </c>
      <c r="AE3766">
        <v>-14.335299999999901</v>
      </c>
      <c r="AF3766">
        <v>11.170542318475499</v>
      </c>
      <c r="AG3766">
        <v>10.005872999999999</v>
      </c>
      <c r="AH3766">
        <v>241.947392314007</v>
      </c>
      <c r="AI3766">
        <v>87.634366760217901</v>
      </c>
      <c r="AJ3766">
        <v>87.356571011831093</v>
      </c>
      <c r="AK3766">
        <v>242.41171415121201</v>
      </c>
      <c r="AL3766">
        <v>87.609197851354807</v>
      </c>
      <c r="AM3766">
        <v>88.162775150580302</v>
      </c>
      <c r="AN3766">
        <v>0.99999997088390202</v>
      </c>
    </row>
    <row r="3767" spans="1:40" x14ac:dyDescent="0.25">
      <c r="A3767" t="str">
        <f>"20190312154327856"</f>
        <v>20190312154327856</v>
      </c>
      <c r="B3767" t="str">
        <f>"1552376607851658"</f>
        <v>1552376607851658</v>
      </c>
      <c r="C3767" t="s">
        <v>40</v>
      </c>
      <c r="D3767">
        <v>4.8876739999999996</v>
      </c>
      <c r="E3767">
        <v>0.5051852</v>
      </c>
      <c r="F3767" t="s">
        <v>62</v>
      </c>
      <c r="G3767">
        <v>-168.41640000000001</v>
      </c>
      <c r="H3767">
        <v>11.411210000000001</v>
      </c>
      <c r="I3767">
        <v>200.1146</v>
      </c>
      <c r="J3767">
        <v>-410.1653</v>
      </c>
      <c r="K3767">
        <v>1.1116509999999999</v>
      </c>
      <c r="L3767">
        <v>214.22280000000001</v>
      </c>
      <c r="M3767">
        <v>0.99991960000000002</v>
      </c>
      <c r="N3767">
        <v>0</v>
      </c>
      <c r="O3767">
        <v>-1.111055E-2</v>
      </c>
      <c r="P3767">
        <v>0.99852609999999997</v>
      </c>
      <c r="Q3767">
        <v>3.478974E-2</v>
      </c>
      <c r="R3767">
        <v>-4.1655640000000001E-2</v>
      </c>
      <c r="S3767">
        <v>2.9925229999999998</v>
      </c>
      <c r="T3767">
        <v>0.12726319999999999</v>
      </c>
      <c r="U3767">
        <v>-0.17437739999999999</v>
      </c>
      <c r="V3767">
        <v>3.0304589999999999E-2</v>
      </c>
      <c r="W3767">
        <v>4.1084469999999998E-2</v>
      </c>
      <c r="X3767">
        <v>0.99869600000000003</v>
      </c>
      <c r="Y3767">
        <v>4.7044469999999998E-2</v>
      </c>
      <c r="Z3767">
        <v>5.2718410000000002E-4</v>
      </c>
      <c r="AA3767">
        <v>0.99889269999999997</v>
      </c>
      <c r="AB3767">
        <v>47</v>
      </c>
      <c r="AC3767">
        <v>241.74889999999999</v>
      </c>
      <c r="AD3767">
        <v>10.299559</v>
      </c>
      <c r="AE3767">
        <v>-14.1082</v>
      </c>
      <c r="AF3767">
        <v>11.400692226349801</v>
      </c>
      <c r="AG3767">
        <v>10.299559</v>
      </c>
      <c r="AH3767">
        <v>241.45394726650201</v>
      </c>
      <c r="AI3767">
        <v>87.560163299916795</v>
      </c>
      <c r="AJ3767">
        <v>87.296682145786505</v>
      </c>
      <c r="AK3767">
        <v>241.942276895563</v>
      </c>
      <c r="AL3767">
        <v>87.645370541339801</v>
      </c>
      <c r="AM3767">
        <v>88.261941087597194</v>
      </c>
      <c r="AN3767">
        <v>1.00000000113312</v>
      </c>
    </row>
    <row r="3768" spans="1:40" x14ac:dyDescent="0.25">
      <c r="A3768" t="str">
        <f>"20190312154327889"</f>
        <v>20190312154327889</v>
      </c>
      <c r="B3768" t="str">
        <f>"1552376607880939"</f>
        <v>1552376607880939</v>
      </c>
      <c r="C3768" t="s">
        <v>40</v>
      </c>
      <c r="D3768">
        <v>4.9209059999999996</v>
      </c>
      <c r="E3768">
        <v>0.50580839999999905</v>
      </c>
      <c r="F3768" t="s">
        <v>62</v>
      </c>
      <c r="G3768">
        <v>-168.4162</v>
      </c>
      <c r="H3768">
        <v>11.36204</v>
      </c>
      <c r="I3768">
        <v>200.73249999999999</v>
      </c>
      <c r="J3768">
        <v>-409.45170000000002</v>
      </c>
      <c r="K3768">
        <v>1.111769</v>
      </c>
      <c r="L3768">
        <v>214.21709999999999</v>
      </c>
      <c r="M3768">
        <v>0.99994340000000004</v>
      </c>
      <c r="N3768">
        <v>0</v>
      </c>
      <c r="O3768">
        <v>-8.1080939999999997E-3</v>
      </c>
      <c r="P3768">
        <v>0.99872729999999998</v>
      </c>
      <c r="Q3768">
        <v>3.3893520000000003E-2</v>
      </c>
      <c r="R3768">
        <v>-3.7351170000000003E-2</v>
      </c>
      <c r="S3768">
        <v>2.9930729999999999</v>
      </c>
      <c r="T3768">
        <v>0.12690950000000001</v>
      </c>
      <c r="U3768">
        <v>-0.1670227</v>
      </c>
      <c r="V3768">
        <v>2.8994809999999999E-2</v>
      </c>
      <c r="W3768">
        <v>4.0962030000000003E-2</v>
      </c>
      <c r="X3768">
        <v>0.99873990000000001</v>
      </c>
      <c r="Y3768">
        <v>4.7583540000000001E-2</v>
      </c>
      <c r="Z3768">
        <v>6.6420439999999997E-4</v>
      </c>
      <c r="AA3768">
        <v>0.99886699999999995</v>
      </c>
      <c r="AB3768">
        <v>47</v>
      </c>
      <c r="AC3768">
        <v>241.03550000000001</v>
      </c>
      <c r="AD3768">
        <v>10.2502709999999</v>
      </c>
      <c r="AE3768">
        <v>-13.4846</v>
      </c>
      <c r="AF3768">
        <v>11.5090232015952</v>
      </c>
      <c r="AG3768">
        <v>10.2502709999999</v>
      </c>
      <c r="AH3768">
        <v>240.702970201114</v>
      </c>
      <c r="AI3768">
        <v>87.564327267217294</v>
      </c>
      <c r="AJ3768">
        <v>87.262532228806194</v>
      </c>
      <c r="AK3768">
        <v>241.19586549994301</v>
      </c>
      <c r="AL3768">
        <v>87.652391714781601</v>
      </c>
      <c r="AM3768">
        <v>88.337090812512301</v>
      </c>
      <c r="AN3768">
        <v>0.99999998738033302</v>
      </c>
    </row>
    <row r="3769" spans="1:40" x14ac:dyDescent="0.25">
      <c r="A3769" t="str">
        <f>"20190312154327913"</f>
        <v>20190312154327913</v>
      </c>
      <c r="B3769" t="str">
        <f>"1552376607901434"</f>
        <v>1552376607901434</v>
      </c>
      <c r="C3769" t="s">
        <v>40</v>
      </c>
      <c r="D3769">
        <v>4.9316069999999996</v>
      </c>
      <c r="E3769">
        <v>0.50587070000000001</v>
      </c>
      <c r="F3769" t="s">
        <v>62</v>
      </c>
      <c r="G3769">
        <v>-168.41589999999999</v>
      </c>
      <c r="H3769">
        <v>11.399229999999999</v>
      </c>
      <c r="I3769">
        <v>201.3989</v>
      </c>
      <c r="J3769">
        <v>-408.95139999999998</v>
      </c>
      <c r="K3769">
        <v>1.1118059999999901</v>
      </c>
      <c r="L3769">
        <v>214.21449999999999</v>
      </c>
      <c r="M3769">
        <v>0.99995389999999995</v>
      </c>
      <c r="N3769">
        <v>0</v>
      </c>
      <c r="O3769">
        <v>-6.07202E-3</v>
      </c>
      <c r="P3769">
        <v>0.99886330000000001</v>
      </c>
      <c r="Q3769">
        <v>3.212073E-2</v>
      </c>
      <c r="R3769">
        <v>-3.5221870000000002E-2</v>
      </c>
      <c r="S3769">
        <v>2.9935299999999998</v>
      </c>
      <c r="T3769">
        <v>0.12776509999999999</v>
      </c>
      <c r="U3769">
        <v>-0.159194899999999</v>
      </c>
      <c r="V3769">
        <v>2.8908099999999999E-2</v>
      </c>
      <c r="W3769">
        <v>3.9738030000000001E-2</v>
      </c>
      <c r="X3769">
        <v>0.99879189999999995</v>
      </c>
      <c r="Y3769">
        <v>4.7002879999999997E-2</v>
      </c>
      <c r="Z3769">
        <v>7.4303619999999896E-4</v>
      </c>
      <c r="AA3769">
        <v>0.99889450000000002</v>
      </c>
      <c r="AB3769">
        <v>47</v>
      </c>
      <c r="AC3769">
        <v>240.53550000000001</v>
      </c>
      <c r="AD3769">
        <v>10.287424</v>
      </c>
      <c r="AE3769">
        <v>-12.8155999999999</v>
      </c>
      <c r="AF3769">
        <v>11.3341135844262</v>
      </c>
      <c r="AG3769">
        <v>10.287424</v>
      </c>
      <c r="AH3769">
        <v>240.17081369095399</v>
      </c>
      <c r="AI3769">
        <v>87.550027706926102</v>
      </c>
      <c r="AJ3769">
        <v>87.298108703894997</v>
      </c>
      <c r="AK3769">
        <v>240.65808312266401</v>
      </c>
      <c r="AL3769">
        <v>87.722578998568594</v>
      </c>
      <c r="AM3769">
        <v>88.342147290226606</v>
      </c>
      <c r="AN3769">
        <v>1.00000002438975</v>
      </c>
    </row>
    <row r="3770" spans="1:40" x14ac:dyDescent="0.25">
      <c r="A3770" t="str">
        <f>"20190312154327936"</f>
        <v>20190312154327936</v>
      </c>
      <c r="B3770" t="str">
        <f>"1552376607931691"</f>
        <v>1552376607931691</v>
      </c>
      <c r="C3770" t="s">
        <v>40</v>
      </c>
      <c r="D3770">
        <v>4.9589759999999998</v>
      </c>
      <c r="E3770">
        <v>0.50214139999999996</v>
      </c>
      <c r="F3770" t="s">
        <v>62</v>
      </c>
      <c r="G3770">
        <v>-168.41560000000001</v>
      </c>
      <c r="H3770">
        <v>10.831110000000001</v>
      </c>
      <c r="I3770">
        <v>201.89009999999999</v>
      </c>
      <c r="J3770">
        <v>-408.47699999999998</v>
      </c>
      <c r="K3770">
        <v>1.111818</v>
      </c>
      <c r="L3770">
        <v>214.21289999999999</v>
      </c>
      <c r="M3770">
        <v>0.9999593</v>
      </c>
      <c r="N3770">
        <v>0</v>
      </c>
      <c r="O3770">
        <v>-4.1821050000000002E-3</v>
      </c>
      <c r="P3770">
        <v>0.99899519999999997</v>
      </c>
      <c r="Q3770">
        <v>3.0174659999999999E-2</v>
      </c>
      <c r="R3770">
        <v>-3.3140940000000001E-2</v>
      </c>
      <c r="S3770">
        <v>2.9941409999999999</v>
      </c>
      <c r="T3770">
        <v>0.1209843</v>
      </c>
      <c r="U3770">
        <v>-0.15341189999999999</v>
      </c>
      <c r="V3770">
        <v>2.8727840000000001E-2</v>
      </c>
      <c r="W3770">
        <v>3.8341960000000001E-2</v>
      </c>
      <c r="X3770">
        <v>0.99885170000000001</v>
      </c>
      <c r="Y3770">
        <v>4.6958220000000002E-2</v>
      </c>
      <c r="Z3770">
        <v>7.7890580000000004E-4</v>
      </c>
      <c r="AA3770">
        <v>0.99889649999999996</v>
      </c>
      <c r="AB3770">
        <v>47</v>
      </c>
      <c r="AC3770">
        <v>240.06139999999999</v>
      </c>
      <c r="AD3770">
        <v>9.7192919999999994</v>
      </c>
      <c r="AE3770">
        <v>-12.322800000000001</v>
      </c>
      <c r="AF3770">
        <v>11.3002238320977</v>
      </c>
      <c r="AG3770">
        <v>9.7192919999999994</v>
      </c>
      <c r="AH3770">
        <v>239.71892945684399</v>
      </c>
      <c r="AI3770">
        <v>87.680813565525995</v>
      </c>
      <c r="AJ3770">
        <v>87.301105104486098</v>
      </c>
      <c r="AK3770">
        <v>240.181857840204</v>
      </c>
      <c r="AL3770">
        <v>87.802629019131004</v>
      </c>
      <c r="AM3770">
        <v>88.352577899306795</v>
      </c>
      <c r="AN3770">
        <v>1.00000005664029</v>
      </c>
    </row>
    <row r="3771" spans="1:40" x14ac:dyDescent="0.25">
      <c r="A3771" t="str">
        <f>"20190312154327959"</f>
        <v>20190312154327959</v>
      </c>
      <c r="B3771" t="str">
        <f>"1552376607951211"</f>
        <v>1552376607951211</v>
      </c>
      <c r="C3771" t="s">
        <v>40</v>
      </c>
      <c r="D3771">
        <v>5.0057010000000002</v>
      </c>
      <c r="E3771">
        <v>0.50236800000000004</v>
      </c>
      <c r="F3771" t="s">
        <v>50</v>
      </c>
      <c r="G3771">
        <v>-347.52980000000002</v>
      </c>
      <c r="H3771" s="1">
        <v>2.470191E-6</v>
      </c>
      <c r="I3771">
        <v>211.9485</v>
      </c>
      <c r="J3771">
        <v>-408.00549999999998</v>
      </c>
      <c r="K3771">
        <v>1.1118059999999901</v>
      </c>
      <c r="L3771">
        <v>214.21209999999999</v>
      </c>
      <c r="M3771">
        <v>0.99996079999999998</v>
      </c>
      <c r="N3771">
        <v>0</v>
      </c>
      <c r="O3771">
        <v>-2.3639910000000002E-3</v>
      </c>
      <c r="P3771">
        <v>0.9990985</v>
      </c>
      <c r="Q3771">
        <v>2.8158679999999998E-2</v>
      </c>
      <c r="R3771">
        <v>-3.1770100000000003E-2</v>
      </c>
      <c r="S3771">
        <v>3.001007</v>
      </c>
      <c r="T3771">
        <v>-5.4745200000000001E-2</v>
      </c>
      <c r="U3771">
        <v>-0.111496</v>
      </c>
      <c r="V3771">
        <v>2.918815E-2</v>
      </c>
      <c r="W3771">
        <v>3.6864340000000002E-2</v>
      </c>
      <c r="X3771">
        <v>0.9988939</v>
      </c>
      <c r="Y3771">
        <v>3.47593E-2</v>
      </c>
      <c r="Z3771">
        <v>-2.7380150000000001E-4</v>
      </c>
      <c r="AA3771">
        <v>0.9993957</v>
      </c>
      <c r="AB3771">
        <v>47</v>
      </c>
      <c r="AC3771">
        <v>60.475699999999897</v>
      </c>
      <c r="AD3771">
        <v>-1.1118035298090001</v>
      </c>
      <c r="AE3771">
        <v>-2.2635999999999901</v>
      </c>
      <c r="AF3771">
        <v>2.1199089692534798</v>
      </c>
      <c r="AG3771">
        <v>-1.1118035298090001</v>
      </c>
      <c r="AH3771">
        <v>60.460476331779802</v>
      </c>
      <c r="AI3771">
        <v>91.0528425672438</v>
      </c>
      <c r="AJ3771">
        <v>87.991876576262399</v>
      </c>
      <c r="AK3771">
        <v>60.507845106172198</v>
      </c>
      <c r="AL3771">
        <v>87.887350159452495</v>
      </c>
      <c r="AM3771">
        <v>88.326266606055896</v>
      </c>
      <c r="AN3771">
        <v>0.99999997556063303</v>
      </c>
    </row>
    <row r="3772" spans="1:40" x14ac:dyDescent="0.25">
      <c r="A3772" t="str">
        <f>"20190312154327978"</f>
        <v>20190312154327978</v>
      </c>
      <c r="B3772" t="str">
        <f>"1552376607971707"</f>
        <v>1552376607971707</v>
      </c>
      <c r="C3772" t="s">
        <v>40</v>
      </c>
      <c r="D3772">
        <v>4.954707</v>
      </c>
      <c r="E3772">
        <v>0.50236359999999902</v>
      </c>
      <c r="F3772" t="s">
        <v>50</v>
      </c>
      <c r="G3772">
        <v>-360.92689999999999</v>
      </c>
      <c r="H3772" s="1">
        <v>-1.043546E-6</v>
      </c>
      <c r="I3772">
        <v>212.50049999999999</v>
      </c>
      <c r="J3772">
        <v>-407.56189999999998</v>
      </c>
      <c r="K3772">
        <v>1.1117619999999999</v>
      </c>
      <c r="L3772">
        <v>214.21209999999999</v>
      </c>
      <c r="M3772">
        <v>0.99995909999999999</v>
      </c>
      <c r="N3772">
        <v>0</v>
      </c>
      <c r="O3772">
        <v>-7.3201669999999996E-4</v>
      </c>
      <c r="P3772">
        <v>0.99916300000000002</v>
      </c>
      <c r="Q3772">
        <v>2.644877E-2</v>
      </c>
      <c r="R3772">
        <v>-3.120612E-2</v>
      </c>
      <c r="S3772">
        <v>3.0012210000000001</v>
      </c>
      <c r="T3772">
        <v>-7.0876720000000004E-2</v>
      </c>
      <c r="U3772">
        <v>-0.10911559999999999</v>
      </c>
      <c r="V3772">
        <v>3.0268659999999999E-2</v>
      </c>
      <c r="W3772">
        <v>3.5626810000000002E-2</v>
      </c>
      <c r="X3772">
        <v>0.99890670000000004</v>
      </c>
      <c r="Y3772">
        <v>3.5591789999999998E-2</v>
      </c>
      <c r="Z3772">
        <v>-4.0279010000000002E-4</v>
      </c>
      <c r="AA3772">
        <v>0.99936630000000004</v>
      </c>
      <c r="AB3772">
        <v>47</v>
      </c>
      <c r="AC3772">
        <v>46.634999999999899</v>
      </c>
      <c r="AD3772">
        <v>-1.111763043546</v>
      </c>
      <c r="AE3772">
        <v>-1.7116</v>
      </c>
      <c r="AF3772">
        <v>1.6765090269818801</v>
      </c>
      <c r="AG3772">
        <v>-1.111763043546</v>
      </c>
      <c r="AH3772">
        <v>46.609786374562802</v>
      </c>
      <c r="AI3772">
        <v>91.365509605632795</v>
      </c>
      <c r="AJ3772">
        <v>87.940014191536306</v>
      </c>
      <c r="AK3772">
        <v>46.653176584932801</v>
      </c>
      <c r="AL3772">
        <v>87.958302141090897</v>
      </c>
      <c r="AM3772">
        <v>88.264366470349401</v>
      </c>
      <c r="AN3772">
        <v>1.0000000283369299</v>
      </c>
    </row>
    <row r="3773" spans="1:40" x14ac:dyDescent="0.25">
      <c r="A3773" t="str">
        <f>"20190312154328002"</f>
        <v>20190312154328002</v>
      </c>
      <c r="B3773" t="str">
        <f>"1552376607991227"</f>
        <v>1552376607991227</v>
      </c>
      <c r="C3773" t="s">
        <v>40</v>
      </c>
      <c r="D3773">
        <v>4.9248539999999998</v>
      </c>
      <c r="E3773">
        <v>0.50240859999999998</v>
      </c>
      <c r="F3773" t="s">
        <v>50</v>
      </c>
      <c r="G3773">
        <v>-368.65570000000002</v>
      </c>
      <c r="H3773" s="1">
        <v>3.0693340000000001E-6</v>
      </c>
      <c r="I3773">
        <v>212.82640000000001</v>
      </c>
      <c r="J3773">
        <v>-407.06659999999999</v>
      </c>
      <c r="K3773">
        <v>1.111712</v>
      </c>
      <c r="L3773">
        <v>214.21289999999999</v>
      </c>
      <c r="M3773">
        <v>0.99995449999999997</v>
      </c>
      <c r="N3773">
        <v>0</v>
      </c>
      <c r="O3773">
        <v>9.8201769999999998E-4</v>
      </c>
      <c r="P3773">
        <v>0.99921729999999997</v>
      </c>
      <c r="Q3773">
        <v>2.587159E-2</v>
      </c>
      <c r="R3773">
        <v>-2.9928369999999999E-2</v>
      </c>
      <c r="S3773">
        <v>3.0014340000000002</v>
      </c>
      <c r="T3773">
        <v>-8.5767029999999994E-2</v>
      </c>
      <c r="U3773">
        <v>-0.1069031</v>
      </c>
      <c r="V3773">
        <v>3.0712030000000001E-2</v>
      </c>
      <c r="W3773">
        <v>3.5519589999999997E-2</v>
      </c>
      <c r="X3773">
        <v>0.99889700000000003</v>
      </c>
      <c r="Y3773">
        <v>3.6560879999999997E-2</v>
      </c>
      <c r="Z3773">
        <v>-5.5014620000000001E-4</v>
      </c>
      <c r="AA3773">
        <v>0.99933130000000003</v>
      </c>
      <c r="AB3773">
        <v>47</v>
      </c>
      <c r="AC3773">
        <v>38.410899999999899</v>
      </c>
      <c r="AD3773">
        <v>-1.111708930666</v>
      </c>
      <c r="AE3773">
        <v>-1.3864999999999801</v>
      </c>
      <c r="AF3773">
        <v>1.4230307335036001</v>
      </c>
      <c r="AG3773">
        <v>-1.111708930666</v>
      </c>
      <c r="AH3773">
        <v>38.377414053365598</v>
      </c>
      <c r="AI3773">
        <v>91.658129317611497</v>
      </c>
      <c r="AJ3773">
        <v>87.876451017863502</v>
      </c>
      <c r="AK3773">
        <v>38.419875359486603</v>
      </c>
      <c r="AL3773">
        <v>87.964449315631498</v>
      </c>
      <c r="AM3773">
        <v>88.238942019031697</v>
      </c>
      <c r="AN3773">
        <v>1.00000004333474</v>
      </c>
    </row>
    <row r="3774" spans="1:40" x14ac:dyDescent="0.25">
      <c r="A3774" t="str">
        <f>"20190312154328024"</f>
        <v>20190312154328024</v>
      </c>
      <c r="B3774" t="str">
        <f>"1552376608021482"</f>
        <v>1552376608021482</v>
      </c>
      <c r="C3774" t="s">
        <v>40</v>
      </c>
      <c r="D3774">
        <v>4.9674829999999996</v>
      </c>
      <c r="E3774">
        <v>0.50243349999999998</v>
      </c>
      <c r="F3774" t="s">
        <v>50</v>
      </c>
      <c r="G3774">
        <v>-373.62479999999999</v>
      </c>
      <c r="H3774" s="1">
        <v>3.9216360000000002E-7</v>
      </c>
      <c r="I3774">
        <v>213.06720000000001</v>
      </c>
      <c r="J3774">
        <v>-406.61439999999999</v>
      </c>
      <c r="K3774">
        <v>1.1116539999999999</v>
      </c>
      <c r="L3774">
        <v>214.21430000000001</v>
      </c>
      <c r="M3774">
        <v>0.99994830000000001</v>
      </c>
      <c r="N3774">
        <v>0</v>
      </c>
      <c r="O3774">
        <v>2.4419889999999999E-3</v>
      </c>
      <c r="P3774">
        <v>0.99924190000000002</v>
      </c>
      <c r="Q3774">
        <v>2.593985E-2</v>
      </c>
      <c r="R3774">
        <v>-2.903215E-2</v>
      </c>
      <c r="S3774">
        <v>3.0019230000000001</v>
      </c>
      <c r="T3774">
        <v>-9.9793670000000001E-2</v>
      </c>
      <c r="U3774">
        <v>-0.1028442</v>
      </c>
      <c r="V3774">
        <v>3.1279960000000002E-2</v>
      </c>
      <c r="W3774">
        <v>3.5969910000000001E-2</v>
      </c>
      <c r="X3774">
        <v>0.99886319999999995</v>
      </c>
      <c r="Y3774">
        <v>3.6658370000000003E-2</v>
      </c>
      <c r="Z3774">
        <v>-6.9011319999999997E-4</v>
      </c>
      <c r="AA3774">
        <v>0.99932759999999998</v>
      </c>
      <c r="AB3774">
        <v>47</v>
      </c>
      <c r="AC3774">
        <v>32.989600000000003</v>
      </c>
      <c r="AD3774">
        <v>-1.1116536078363899</v>
      </c>
      <c r="AE3774">
        <v>-1.14709999999999</v>
      </c>
      <c r="AF3774">
        <v>1.2262700038543499</v>
      </c>
      <c r="AG3774">
        <v>-1.1116536078363899</v>
      </c>
      <c r="AH3774">
        <v>32.949331695326997</v>
      </c>
      <c r="AI3774">
        <v>91.930991980518897</v>
      </c>
      <c r="AJ3774">
        <v>87.868615836604405</v>
      </c>
      <c r="AK3774">
        <v>32.990877087989702</v>
      </c>
      <c r="AL3774">
        <v>87.938631254315496</v>
      </c>
      <c r="AM3774">
        <v>88.206336779842104</v>
      </c>
      <c r="AN3774">
        <v>0.999999981318624</v>
      </c>
    </row>
    <row r="3775" spans="1:40" x14ac:dyDescent="0.25">
      <c r="A3775" t="str">
        <f>"20190312154328046"</f>
        <v>20190312154328046</v>
      </c>
      <c r="B3775" t="str">
        <f>"1552376608041003"</f>
        <v>1552376608041003</v>
      </c>
      <c r="C3775" t="s">
        <v>40</v>
      </c>
      <c r="D3775">
        <v>4.9676090000000004</v>
      </c>
      <c r="E3775">
        <v>0.50267439999999997</v>
      </c>
      <c r="F3775" t="s">
        <v>50</v>
      </c>
      <c r="G3775">
        <v>-376.25290000000001</v>
      </c>
      <c r="H3775" s="1">
        <v>1.790713E-6</v>
      </c>
      <c r="I3775">
        <v>213.2071</v>
      </c>
      <c r="J3775">
        <v>-406.1506</v>
      </c>
      <c r="K3775">
        <v>1.111575</v>
      </c>
      <c r="L3775">
        <v>214.21639999999999</v>
      </c>
      <c r="M3775">
        <v>0.99994039999999995</v>
      </c>
      <c r="N3775">
        <v>0</v>
      </c>
      <c r="O3775">
        <v>3.843473E-3</v>
      </c>
      <c r="P3775">
        <v>0.9992936</v>
      </c>
      <c r="Q3775">
        <v>2.4889359999999999E-2</v>
      </c>
      <c r="R3775">
        <v>-2.8159150000000001E-2</v>
      </c>
      <c r="S3775">
        <v>3.0022280000000001</v>
      </c>
      <c r="T3775">
        <v>-0.1099234</v>
      </c>
      <c r="U3775">
        <v>-9.9594119999999994E-2</v>
      </c>
      <c r="V3775">
        <v>3.1819489999999999E-2</v>
      </c>
      <c r="W3775">
        <v>3.5267489999999999E-2</v>
      </c>
      <c r="X3775">
        <v>0.99887119999999996</v>
      </c>
      <c r="Y3775">
        <v>3.6969160000000001E-2</v>
      </c>
      <c r="Z3775">
        <v>-8.1702879999999997E-4</v>
      </c>
      <c r="AA3775">
        <v>0.99931610000000004</v>
      </c>
      <c r="AB3775">
        <v>47</v>
      </c>
      <c r="AC3775">
        <v>29.897699999999901</v>
      </c>
      <c r="AD3775">
        <v>-1.1115732092870001</v>
      </c>
      <c r="AE3775">
        <v>-1.0092999999999901</v>
      </c>
      <c r="AF3775">
        <v>1.1226594677900801</v>
      </c>
      <c r="AG3775">
        <v>-1.1115732092870001</v>
      </c>
      <c r="AH3775">
        <v>29.852381917196499</v>
      </c>
      <c r="AI3775">
        <v>92.130956136587699</v>
      </c>
      <c r="AJ3775">
        <v>87.846290753393205</v>
      </c>
      <c r="AK3775">
        <v>29.894157713680201</v>
      </c>
      <c r="AL3775">
        <v>87.978902498567905</v>
      </c>
      <c r="AM3775">
        <v>88.175434254813098</v>
      </c>
      <c r="AN3775">
        <v>0.99999997499209903</v>
      </c>
    </row>
    <row r="3776" spans="1:40" x14ac:dyDescent="0.25">
      <c r="A3776" t="str">
        <f>"20190312154328069"</f>
        <v>20190312154328069</v>
      </c>
      <c r="B3776" t="str">
        <f>"1552376608061498"</f>
        <v>1552376608061498</v>
      </c>
      <c r="C3776" t="s">
        <v>40</v>
      </c>
      <c r="D3776">
        <v>5.0110859999999997</v>
      </c>
      <c r="E3776">
        <v>0.50286469999999905</v>
      </c>
      <c r="F3776" t="s">
        <v>50</v>
      </c>
      <c r="G3776">
        <v>-377.31529999999998</v>
      </c>
      <c r="H3776" s="1">
        <v>2.3560349999999999E-6</v>
      </c>
      <c r="I3776">
        <v>213.26679999999999</v>
      </c>
      <c r="J3776">
        <v>-405.66629999999998</v>
      </c>
      <c r="K3776">
        <v>1.111491</v>
      </c>
      <c r="L3776">
        <v>214.2192</v>
      </c>
      <c r="M3776">
        <v>0.99993089999999996</v>
      </c>
      <c r="N3776">
        <v>0</v>
      </c>
      <c r="O3776">
        <v>5.213957E-3</v>
      </c>
      <c r="P3776">
        <v>0.99936119999999995</v>
      </c>
      <c r="Q3776">
        <v>2.3041820000000001E-2</v>
      </c>
      <c r="R3776">
        <v>-2.7323110000000001E-2</v>
      </c>
      <c r="S3776">
        <v>3.0022280000000001</v>
      </c>
      <c r="T3776">
        <v>-0.11573269999999999</v>
      </c>
      <c r="U3776">
        <v>-9.8861690000000002E-2</v>
      </c>
      <c r="V3776">
        <v>3.2369139999999998E-2</v>
      </c>
      <c r="W3776">
        <v>3.3739190000000002E-2</v>
      </c>
      <c r="X3776">
        <v>0.99890639999999997</v>
      </c>
      <c r="Y3776">
        <v>3.809046E-2</v>
      </c>
      <c r="Z3776">
        <v>-9.3458029999999995E-4</v>
      </c>
      <c r="AA3776">
        <v>0.99927379999999999</v>
      </c>
      <c r="AB3776">
        <v>47</v>
      </c>
      <c r="AC3776">
        <v>28.350999999999999</v>
      </c>
      <c r="AD3776">
        <v>-1.111488643965</v>
      </c>
      <c r="AE3776">
        <v>-0.95240000000001102</v>
      </c>
      <c r="AF3776">
        <v>1.0985296186470801</v>
      </c>
      <c r="AG3776">
        <v>-1.111488643965</v>
      </c>
      <c r="AH3776">
        <v>28.30219715558</v>
      </c>
      <c r="AI3776">
        <v>92.247283312045397</v>
      </c>
      <c r="AJ3776">
        <v>87.777220932378796</v>
      </c>
      <c r="AK3776">
        <v>28.345308926911098</v>
      </c>
      <c r="AL3776">
        <v>88.066519953571003</v>
      </c>
      <c r="AM3776">
        <v>88.144003915844706</v>
      </c>
      <c r="AN3776">
        <v>1.00000004506357</v>
      </c>
    </row>
    <row r="3777" spans="1:40" x14ac:dyDescent="0.25">
      <c r="A3777" t="str">
        <f>"20190312154328090"</f>
        <v>20190312154328090</v>
      </c>
      <c r="B3777" t="str">
        <f>"1552376608081019"</f>
        <v>1552376608081019</v>
      </c>
      <c r="C3777" t="s">
        <v>40</v>
      </c>
      <c r="D3777">
        <v>5.0000159999999996</v>
      </c>
      <c r="E3777">
        <v>0.50314429999999999</v>
      </c>
      <c r="F3777" t="s">
        <v>50</v>
      </c>
      <c r="G3777">
        <v>-379.0258</v>
      </c>
      <c r="H3777" s="1">
        <v>3.2663E-6</v>
      </c>
      <c r="I3777">
        <v>213.35290000000001</v>
      </c>
      <c r="J3777">
        <v>-405.20429999999999</v>
      </c>
      <c r="K3777">
        <v>1.111415</v>
      </c>
      <c r="L3777">
        <v>214.2225</v>
      </c>
      <c r="M3777">
        <v>0.99992080000000005</v>
      </c>
      <c r="N3777">
        <v>0</v>
      </c>
      <c r="O3777">
        <v>6.4447840000000003E-3</v>
      </c>
      <c r="P3777">
        <v>0.99938879999999997</v>
      </c>
      <c r="Q3777">
        <v>2.2376799999999999E-2</v>
      </c>
      <c r="R3777">
        <v>-2.6864099999999998E-2</v>
      </c>
      <c r="S3777">
        <v>3.0021969999999998</v>
      </c>
      <c r="T3777">
        <v>-0.1252568</v>
      </c>
      <c r="U3777">
        <v>-9.7625729999999994E-2</v>
      </c>
      <c r="V3777">
        <v>3.3149610000000003E-2</v>
      </c>
      <c r="W3777">
        <v>3.3339819999999999E-2</v>
      </c>
      <c r="X3777">
        <v>0.99889419999999995</v>
      </c>
      <c r="Y3777">
        <v>3.8902579999999999E-2</v>
      </c>
      <c r="Z3777">
        <v>-1.0796950000000001E-3</v>
      </c>
      <c r="AA3777">
        <v>0.99924239999999998</v>
      </c>
      <c r="AB3777">
        <v>47</v>
      </c>
      <c r="AC3777">
        <v>26.1784999999999</v>
      </c>
      <c r="AD3777">
        <v>-1.1114117337</v>
      </c>
      <c r="AE3777">
        <v>-0.86959999999999105</v>
      </c>
      <c r="AF3777">
        <v>1.03644051374212</v>
      </c>
      <c r="AG3777">
        <v>-1.1114117337</v>
      </c>
      <c r="AH3777">
        <v>26.1253141867377</v>
      </c>
      <c r="AI3777">
        <v>92.434070879483997</v>
      </c>
      <c r="AJ3777">
        <v>87.728159658354201</v>
      </c>
      <c r="AK3777">
        <v>26.169476233507101</v>
      </c>
      <c r="AL3777">
        <v>88.089415023216105</v>
      </c>
      <c r="AM3777">
        <v>88.099262222949406</v>
      </c>
      <c r="AN3777">
        <v>1.00000003151721</v>
      </c>
    </row>
    <row r="3778" spans="1:40" x14ac:dyDescent="0.25">
      <c r="A3778" t="str">
        <f>"20190312154328113"</f>
        <v>20190312154328113</v>
      </c>
      <c r="B3778" t="str">
        <f>"1552376608101515"</f>
        <v>1552376608101515</v>
      </c>
      <c r="C3778" t="s">
        <v>40</v>
      </c>
      <c r="D3778">
        <v>4.9877500000000001</v>
      </c>
      <c r="E3778">
        <v>0.50341840000000004</v>
      </c>
      <c r="F3778" t="s">
        <v>50</v>
      </c>
      <c r="G3778">
        <v>-379.64819999999997</v>
      </c>
      <c r="H3778" s="1">
        <v>3.59749E-6</v>
      </c>
      <c r="I3778">
        <v>213.38509999999999</v>
      </c>
      <c r="J3778">
        <v>-404.73910000000001</v>
      </c>
      <c r="K3778">
        <v>1.1113360000000001</v>
      </c>
      <c r="L3778">
        <v>214.22640000000001</v>
      </c>
      <c r="M3778">
        <v>0.99990979999999996</v>
      </c>
      <c r="N3778">
        <v>0</v>
      </c>
      <c r="O3778">
        <v>7.6298590000000001E-3</v>
      </c>
      <c r="P3778">
        <v>0.99943119999999996</v>
      </c>
      <c r="Q3778">
        <v>2.1189199999999998E-2</v>
      </c>
      <c r="R3778">
        <v>-2.624133E-2</v>
      </c>
      <c r="S3778">
        <v>3.0021059999999999</v>
      </c>
      <c r="T3778">
        <v>-0.13055849999999999</v>
      </c>
      <c r="U3778">
        <v>-9.8373409999999994E-2</v>
      </c>
      <c r="V3778">
        <v>3.3722559999999999E-2</v>
      </c>
      <c r="W3778">
        <v>3.2387140000000002E-2</v>
      </c>
      <c r="X3778">
        <v>0.99890630000000002</v>
      </c>
      <c r="Y3778">
        <v>4.0330560000000001E-2</v>
      </c>
      <c r="Z3778">
        <v>-1.2079149999999999E-3</v>
      </c>
      <c r="AA3778">
        <v>0.99918569999999995</v>
      </c>
      <c r="AB3778">
        <v>47</v>
      </c>
      <c r="AC3778">
        <v>25.090900000000001</v>
      </c>
      <c r="AD3778">
        <v>-1.11133240251</v>
      </c>
      <c r="AE3778">
        <v>-0.84130000000001803</v>
      </c>
      <c r="AF3778">
        <v>1.03070745907195</v>
      </c>
      <c r="AG3778">
        <v>-1.11133240251</v>
      </c>
      <c r="AH3778">
        <v>25.0346921882755</v>
      </c>
      <c r="AI3778">
        <v>92.539639275642799</v>
      </c>
      <c r="AJ3778">
        <v>87.642397465463205</v>
      </c>
      <c r="AK3778">
        <v>25.080534893354201</v>
      </c>
      <c r="AL3778">
        <v>88.144028946852302</v>
      </c>
      <c r="AM3778">
        <v>88.066458451139098</v>
      </c>
      <c r="AN3778">
        <v>0.99999996703501104</v>
      </c>
    </row>
    <row r="3779" spans="1:40" x14ac:dyDescent="0.25">
      <c r="A3779" t="str">
        <f>"20190312154328136"</f>
        <v>20190312154328136</v>
      </c>
      <c r="B3779" t="str">
        <f>"1552376608130796"</f>
        <v>1552376608130796</v>
      </c>
      <c r="C3779" t="s">
        <v>40</v>
      </c>
      <c r="D3779">
        <v>4.9953099999999999</v>
      </c>
      <c r="E3779">
        <v>0.50379280000000004</v>
      </c>
      <c r="F3779" t="s">
        <v>50</v>
      </c>
      <c r="G3779">
        <v>-380.53809999999999</v>
      </c>
      <c r="H3779" s="1">
        <v>-1.198767E-6</v>
      </c>
      <c r="I3779">
        <v>213.43450000000001</v>
      </c>
      <c r="J3779">
        <v>-404.24970000000002</v>
      </c>
      <c r="K3779">
        <v>1.1112649999999999</v>
      </c>
      <c r="L3779">
        <v>214.23099999999999</v>
      </c>
      <c r="M3779">
        <v>0.99989749999999999</v>
      </c>
      <c r="N3779">
        <v>0</v>
      </c>
      <c r="O3779">
        <v>8.831116E-3</v>
      </c>
      <c r="P3779">
        <v>0.99946429999999997</v>
      </c>
      <c r="Q3779">
        <v>2.066287E-2</v>
      </c>
      <c r="R3779">
        <v>-2.539027E-2</v>
      </c>
      <c r="S3779">
        <v>3.002075</v>
      </c>
      <c r="T3779">
        <v>-0.13785899999999901</v>
      </c>
      <c r="U3779">
        <v>-9.8236080000000003E-2</v>
      </c>
      <c r="V3779">
        <v>3.4079980000000003E-2</v>
      </c>
      <c r="W3779">
        <v>3.2081169999999999E-2</v>
      </c>
      <c r="X3779">
        <v>0.99890400000000001</v>
      </c>
      <c r="Y3779">
        <v>4.1477939999999998E-2</v>
      </c>
      <c r="Z3779">
        <v>-1.356854E-3</v>
      </c>
      <c r="AA3779">
        <v>0.99913850000000004</v>
      </c>
      <c r="AB3779">
        <v>47</v>
      </c>
      <c r="AC3779">
        <v>23.711600000000001</v>
      </c>
      <c r="AD3779">
        <v>-1.1112661987670001</v>
      </c>
      <c r="AE3779">
        <v>-0.79649999999998</v>
      </c>
      <c r="AF3779">
        <v>1.0036801110610301</v>
      </c>
      <c r="AG3779">
        <v>-1.1112661987670001</v>
      </c>
      <c r="AH3779">
        <v>23.651750298361499</v>
      </c>
      <c r="AI3779">
        <v>92.687621271334507</v>
      </c>
      <c r="AJ3779">
        <v>87.570067683526503</v>
      </c>
      <c r="AK3779">
        <v>23.699105014871499</v>
      </c>
      <c r="AL3779">
        <v>88.161568772462999</v>
      </c>
      <c r="AM3779">
        <v>88.045976462392602</v>
      </c>
      <c r="AN3779">
        <v>0.99999992386068104</v>
      </c>
    </row>
    <row r="3780" spans="1:40" x14ac:dyDescent="0.25">
      <c r="A3780" t="str">
        <f>"20190312154328159"</f>
        <v>20190312154328159</v>
      </c>
      <c r="B3780" t="str">
        <f>"1552376608151290"</f>
        <v>1552376608151290</v>
      </c>
      <c r="C3780" t="s">
        <v>40</v>
      </c>
      <c r="D3780">
        <v>5.045185</v>
      </c>
      <c r="E3780">
        <v>0.50389349999999999</v>
      </c>
      <c r="F3780" t="s">
        <v>50</v>
      </c>
      <c r="G3780">
        <v>-381.11599999999999</v>
      </c>
      <c r="H3780" s="1">
        <v>-8.9288820000000003E-7</v>
      </c>
      <c r="I3780">
        <v>213.4718</v>
      </c>
      <c r="J3780">
        <v>-403.76940000000002</v>
      </c>
      <c r="K3780">
        <v>1.1110370000000001</v>
      </c>
      <c r="L3780">
        <v>214.23609999999999</v>
      </c>
      <c r="M3780">
        <v>0.99989059999999996</v>
      </c>
      <c r="N3780">
        <v>0</v>
      </c>
      <c r="O3780">
        <v>9.9640230000000007E-3</v>
      </c>
      <c r="P3780">
        <v>0.99946979999999996</v>
      </c>
      <c r="Q3780">
        <v>2.1135660000000001E-2</v>
      </c>
      <c r="R3780">
        <v>-2.4779610000000001E-2</v>
      </c>
      <c r="S3780">
        <v>3.0021059999999999</v>
      </c>
      <c r="T3780">
        <v>-0.14421129999999999</v>
      </c>
      <c r="U3780">
        <v>-9.8526000000000002E-2</v>
      </c>
      <c r="V3780">
        <v>3.4608840000000002E-2</v>
      </c>
      <c r="W3780">
        <v>3.2212709999999999E-2</v>
      </c>
      <c r="X3780">
        <v>0.99888160000000004</v>
      </c>
      <c r="Y3780">
        <v>4.2698270000000003E-2</v>
      </c>
      <c r="Z3780">
        <v>-1.50295299999999E-3</v>
      </c>
      <c r="AA3780">
        <v>0.9990869</v>
      </c>
      <c r="AB3780">
        <v>47</v>
      </c>
      <c r="AC3780">
        <v>22.653400000000001</v>
      </c>
      <c r="AD3780">
        <v>-1.1110378928882001</v>
      </c>
      <c r="AE3780">
        <v>-0.76429999999999099</v>
      </c>
      <c r="AF3780">
        <v>0.98762159745610301</v>
      </c>
      <c r="AG3780">
        <v>-1.1110378928882001</v>
      </c>
      <c r="AH3780">
        <v>22.590381769100102</v>
      </c>
      <c r="AI3780">
        <v>92.812963896834702</v>
      </c>
      <c r="AJ3780">
        <v>87.4966983985871</v>
      </c>
      <c r="AK3780">
        <v>22.6392391677125</v>
      </c>
      <c r="AL3780">
        <v>88.154028218734396</v>
      </c>
      <c r="AM3780">
        <v>88.015633124463804</v>
      </c>
      <c r="AN3780">
        <v>0.99999994065512299</v>
      </c>
    </row>
    <row r="3781" spans="1:40" x14ac:dyDescent="0.25">
      <c r="A3781" t="str">
        <f>"20190312154328181"</f>
        <v>20190312154328181</v>
      </c>
      <c r="B3781" t="str">
        <f>"1552376608170810"</f>
        <v>1552376608170810</v>
      </c>
      <c r="C3781" t="s">
        <v>40</v>
      </c>
      <c r="D3781">
        <v>5.0309850000000003</v>
      </c>
      <c r="E3781">
        <v>0.50214399999999904</v>
      </c>
      <c r="F3781" t="s">
        <v>50</v>
      </c>
      <c r="G3781">
        <v>-380.55070000000001</v>
      </c>
      <c r="H3781" s="1">
        <v>-1.1941609999999999E-6</v>
      </c>
      <c r="I3781">
        <v>213.4821</v>
      </c>
      <c r="J3781">
        <v>-403.29899999999998</v>
      </c>
      <c r="K3781">
        <v>1.110592</v>
      </c>
      <c r="L3781">
        <v>214.2415</v>
      </c>
      <c r="M3781">
        <v>0.99989130000000004</v>
      </c>
      <c r="N3781">
        <v>0</v>
      </c>
      <c r="O3781">
        <v>1.100512E-2</v>
      </c>
      <c r="P3781">
        <v>0.9994826</v>
      </c>
      <c r="Q3781">
        <v>2.1400369999999998E-2</v>
      </c>
      <c r="R3781">
        <v>-2.4011950000000001E-2</v>
      </c>
      <c r="S3781">
        <v>3.0022579999999999</v>
      </c>
      <c r="T3781">
        <v>-0.14366080000000001</v>
      </c>
      <c r="U3781">
        <v>-9.7503660000000006E-2</v>
      </c>
      <c r="V3781">
        <v>3.4894729999999999E-2</v>
      </c>
      <c r="W3781">
        <v>3.1339110000000003E-2</v>
      </c>
      <c r="X3781">
        <v>0.99889950000000005</v>
      </c>
      <c r="Y3781">
        <v>4.3395360000000001E-2</v>
      </c>
      <c r="Z3781">
        <v>-1.5635929999999901E-3</v>
      </c>
      <c r="AA3781">
        <v>0.99905679999999997</v>
      </c>
      <c r="AB3781">
        <v>47</v>
      </c>
      <c r="AC3781">
        <v>22.7483</v>
      </c>
      <c r="AD3781">
        <v>-1.1105931941609899</v>
      </c>
      <c r="AE3781">
        <v>-0.75939999999999896</v>
      </c>
      <c r="AF3781">
        <v>1.0073155837508101</v>
      </c>
      <c r="AG3781">
        <v>-1.1105931941609899</v>
      </c>
      <c r="AH3781">
        <v>22.684556505846299</v>
      </c>
      <c r="AI3781">
        <v>92.800100667634098</v>
      </c>
      <c r="AJ3781">
        <v>87.457431375402194</v>
      </c>
      <c r="AK3781">
        <v>22.734053879480399</v>
      </c>
      <c r="AL3781">
        <v>88.204107205623302</v>
      </c>
      <c r="AM3781">
        <v>87.999290142390606</v>
      </c>
      <c r="AN3781">
        <v>0.999999996548807</v>
      </c>
    </row>
    <row r="3782" spans="1:40" x14ac:dyDescent="0.25">
      <c r="A3782" t="str">
        <f>"20190312154328203"</f>
        <v>20190312154328203</v>
      </c>
      <c r="B3782" t="str">
        <f>"1552376608191311"</f>
        <v>1552376608191311</v>
      </c>
      <c r="C3782" t="s">
        <v>40</v>
      </c>
      <c r="D3782">
        <v>5.028734</v>
      </c>
      <c r="E3782">
        <v>0.50077539999999998</v>
      </c>
      <c r="F3782" t="s">
        <v>50</v>
      </c>
      <c r="G3782">
        <v>-380.35449999999997</v>
      </c>
      <c r="H3782" s="1">
        <v>-1.3046719999999901E-6</v>
      </c>
      <c r="I3782">
        <v>213.6223</v>
      </c>
      <c r="J3782">
        <v>-402.8288</v>
      </c>
      <c r="K3782">
        <v>1.11016</v>
      </c>
      <c r="L3782">
        <v>214.24719999999999</v>
      </c>
      <c r="M3782">
        <v>0.99989150000000004</v>
      </c>
      <c r="N3782">
        <v>0</v>
      </c>
      <c r="O3782">
        <v>1.200672E-2</v>
      </c>
      <c r="P3782">
        <v>0.99949659999999996</v>
      </c>
      <c r="Q3782">
        <v>2.146468E-2</v>
      </c>
      <c r="R3782">
        <v>-2.3363660000000001E-2</v>
      </c>
      <c r="S3782">
        <v>3.0026860000000002</v>
      </c>
      <c r="T3782">
        <v>-0.14534059999999999</v>
      </c>
      <c r="U3782">
        <v>-8.1039429999999996E-2</v>
      </c>
      <c r="V3782">
        <v>3.5261059999999997E-2</v>
      </c>
      <c r="W3782">
        <v>3.0104680000000002E-2</v>
      </c>
      <c r="X3782">
        <v>0.99892460000000005</v>
      </c>
      <c r="Y3782">
        <v>3.8920419999999997E-2</v>
      </c>
      <c r="Z3782">
        <v>-1.5219770000000001E-3</v>
      </c>
      <c r="AA3782">
        <v>0.99924120000000005</v>
      </c>
      <c r="AB3782">
        <v>48</v>
      </c>
      <c r="AC3782">
        <v>22.474299999999999</v>
      </c>
      <c r="AD3782">
        <v>-1.110161304672</v>
      </c>
      <c r="AE3782">
        <v>-0.62489999999999601</v>
      </c>
      <c r="AF3782">
        <v>0.89253126163983099</v>
      </c>
      <c r="AG3782">
        <v>-1.110161304672</v>
      </c>
      <c r="AH3782">
        <v>22.4105358663411</v>
      </c>
      <c r="AI3782">
        <v>92.833727040621994</v>
      </c>
      <c r="AJ3782">
        <v>87.719319928780493</v>
      </c>
      <c r="AK3782">
        <v>22.455760686112502</v>
      </c>
      <c r="AL3782">
        <v>88.274868238568601</v>
      </c>
      <c r="AM3782">
        <v>87.978354492584103</v>
      </c>
      <c r="AN3782">
        <v>0.99999999529769301</v>
      </c>
    </row>
    <row r="3783" spans="1:40" x14ac:dyDescent="0.25">
      <c r="A3783" t="str">
        <f>"20190312154328225"</f>
        <v>20190312154328225</v>
      </c>
      <c r="B3783" t="str">
        <f>"1552376608221563"</f>
        <v>1552376608221563</v>
      </c>
      <c r="C3783" t="s">
        <v>40</v>
      </c>
      <c r="D3783">
        <v>5.0199920000000002</v>
      </c>
      <c r="E3783">
        <v>0.49922820000000001</v>
      </c>
      <c r="F3783" t="s">
        <v>50</v>
      </c>
      <c r="G3783">
        <v>-380.02069999999998</v>
      </c>
      <c r="H3783" s="1">
        <v>-1.4869619999999999E-6</v>
      </c>
      <c r="I3783">
        <v>213.7287</v>
      </c>
      <c r="J3783">
        <v>-402.34739999999999</v>
      </c>
      <c r="K3783">
        <v>1.1098330000000001</v>
      </c>
      <c r="L3783">
        <v>214.2534</v>
      </c>
      <c r="M3783">
        <v>0.99988840000000001</v>
      </c>
      <c r="N3783">
        <v>0</v>
      </c>
      <c r="O3783">
        <v>1.301838E-2</v>
      </c>
      <c r="P3783">
        <v>0.99950110000000003</v>
      </c>
      <c r="Q3783">
        <v>2.1839799999999999E-2</v>
      </c>
      <c r="R3783">
        <v>-2.2811700000000001E-2</v>
      </c>
      <c r="S3783">
        <v>3.0030209999999999</v>
      </c>
      <c r="T3783">
        <v>-0.1461693</v>
      </c>
      <c r="U3783">
        <v>-6.8267820000000007E-2</v>
      </c>
      <c r="V3783">
        <v>3.5730140000000001E-2</v>
      </c>
      <c r="W3783">
        <v>2.9273440000000001E-2</v>
      </c>
      <c r="X3783">
        <v>0.99893270000000001</v>
      </c>
      <c r="Y3783">
        <v>3.5682989999999998E-2</v>
      </c>
      <c r="Z3783">
        <v>-1.501021E-3</v>
      </c>
      <c r="AA3783">
        <v>0.99936210000000003</v>
      </c>
      <c r="AB3783">
        <v>48</v>
      </c>
      <c r="AC3783">
        <v>22.326699999999999</v>
      </c>
      <c r="AD3783">
        <v>-1.109834486962</v>
      </c>
      <c r="AE3783">
        <v>-0.52469999999999495</v>
      </c>
      <c r="AF3783">
        <v>0.81331224338487296</v>
      </c>
      <c r="AG3783">
        <v>-1.109834486962</v>
      </c>
      <c r="AH3783">
        <v>22.2629961308348</v>
      </c>
      <c r="AI3783">
        <v>92.851994832609194</v>
      </c>
      <c r="AJ3783">
        <v>87.907799787648997</v>
      </c>
      <c r="AK3783">
        <v>22.305474801385699</v>
      </c>
      <c r="AL3783">
        <v>88.322515893278606</v>
      </c>
      <c r="AM3783">
        <v>87.951499780599207</v>
      </c>
      <c r="AN3783">
        <v>1.00000005816156</v>
      </c>
    </row>
    <row r="3784" spans="1:40" x14ac:dyDescent="0.25">
      <c r="A3784" t="str">
        <f>"20190312154328248"</f>
        <v>20190312154328248</v>
      </c>
      <c r="B3784" t="str">
        <f>"1552376608241083"</f>
        <v>1552376608241083</v>
      </c>
      <c r="C3784" t="s">
        <v>40</v>
      </c>
      <c r="D3784">
        <v>5.0015239999999999</v>
      </c>
      <c r="E3784">
        <v>0.49839559999999999</v>
      </c>
      <c r="F3784" t="s">
        <v>50</v>
      </c>
      <c r="G3784">
        <v>-379.42520000000002</v>
      </c>
      <c r="H3784" s="1">
        <v>3.47881999999999E-6</v>
      </c>
      <c r="I3784">
        <v>213.8365</v>
      </c>
      <c r="J3784">
        <v>-401.85180000000003</v>
      </c>
      <c r="K3784">
        <v>1.1096729999999999</v>
      </c>
      <c r="L3784">
        <v>214.26009999999999</v>
      </c>
      <c r="M3784">
        <v>0.99988109999999997</v>
      </c>
      <c r="N3784">
        <v>0</v>
      </c>
      <c r="O3784">
        <v>1.403749E-2</v>
      </c>
      <c r="P3784">
        <v>0.99947989999999998</v>
      </c>
      <c r="Q3784">
        <v>2.37583E-2</v>
      </c>
      <c r="R3784">
        <v>-2.1800469999999999E-2</v>
      </c>
      <c r="S3784">
        <v>3.0034480000000001</v>
      </c>
      <c r="T3784">
        <v>-0.14541879999999999</v>
      </c>
      <c r="U3784">
        <v>-5.4626460000000002E-2</v>
      </c>
      <c r="V3784">
        <v>3.5737409999999997E-2</v>
      </c>
      <c r="W3784">
        <v>3.02429E-2</v>
      </c>
      <c r="X3784">
        <v>0.99890350000000006</v>
      </c>
      <c r="Y3784">
        <v>3.2164459999999999E-2</v>
      </c>
      <c r="Z3784">
        <v>-1.4573590000000001E-3</v>
      </c>
      <c r="AA3784">
        <v>0.99948150000000002</v>
      </c>
      <c r="AB3784">
        <v>48</v>
      </c>
      <c r="AC3784">
        <v>22.426600000000001</v>
      </c>
      <c r="AD3784">
        <v>-1.1096695211799901</v>
      </c>
      <c r="AE3784">
        <v>-0.42359999999999298</v>
      </c>
      <c r="AF3784">
        <v>0.73657514976934702</v>
      </c>
      <c r="AG3784">
        <v>-1.1096695211799901</v>
      </c>
      <c r="AH3784">
        <v>22.363710788113799</v>
      </c>
      <c r="AI3784">
        <v>92.8391042219978</v>
      </c>
      <c r="AJ3784">
        <v>88.113577959455597</v>
      </c>
      <c r="AK3784">
        <v>22.4033361268337</v>
      </c>
      <c r="AL3784">
        <v>88.266945214500794</v>
      </c>
      <c r="AM3784">
        <v>87.951023485150102</v>
      </c>
      <c r="AN3784">
        <v>0.999999998893084</v>
      </c>
    </row>
    <row r="3785" spans="1:40" x14ac:dyDescent="0.25">
      <c r="A3785" t="str">
        <f>"20190312154328270"</f>
        <v>20190312154328270</v>
      </c>
      <c r="B3785" t="str">
        <f>"1552376608261579"</f>
        <v>1552376608261579</v>
      </c>
      <c r="C3785" t="s">
        <v>40</v>
      </c>
      <c r="D3785">
        <v>5.0001709999999999</v>
      </c>
      <c r="E3785">
        <v>0.49768370000000001</v>
      </c>
      <c r="F3785" t="s">
        <v>41</v>
      </c>
      <c r="G3785">
        <v>-400.67739999999998</v>
      </c>
      <c r="H3785">
        <v>1.0551029999999999</v>
      </c>
      <c r="I3785">
        <v>214.24289999999999</v>
      </c>
      <c r="J3785">
        <v>-401.3691</v>
      </c>
      <c r="K3785">
        <v>1.1097049999999999</v>
      </c>
      <c r="L3785">
        <v>214.2672</v>
      </c>
      <c r="M3785">
        <v>0.99987009999999998</v>
      </c>
      <c r="N3785">
        <v>0</v>
      </c>
      <c r="O3785">
        <v>1.4995619999999999E-2</v>
      </c>
      <c r="P3785">
        <v>0.99943409999999999</v>
      </c>
      <c r="Q3785">
        <v>2.6484210000000001E-2</v>
      </c>
      <c r="R3785">
        <v>-2.0736460000000002E-2</v>
      </c>
      <c r="S3785">
        <v>3.0039060000000002</v>
      </c>
      <c r="T3785">
        <v>-0.13952600000000001</v>
      </c>
      <c r="U3785">
        <v>-4.4616700000000002E-2</v>
      </c>
      <c r="V3785">
        <v>3.5622130000000002E-2</v>
      </c>
      <c r="W3785">
        <v>3.2481509999999998E-2</v>
      </c>
      <c r="X3785">
        <v>0.99883739999999999</v>
      </c>
      <c r="Y3785">
        <v>2.9795530000000001E-2</v>
      </c>
      <c r="Z3785">
        <v>-1.387681E-3</v>
      </c>
      <c r="AA3785">
        <v>0.99955510000000003</v>
      </c>
      <c r="AB3785">
        <v>49</v>
      </c>
      <c r="AC3785">
        <v>0.69170000000002496</v>
      </c>
      <c r="AD3785">
        <v>-5.4601999999999803E-2</v>
      </c>
      <c r="AE3785">
        <v>-2.4300000000010799E-2</v>
      </c>
      <c r="AF3785">
        <v>3.4455479826600202E-2</v>
      </c>
      <c r="AG3785">
        <v>-5.4601999999999803E-2</v>
      </c>
      <c r="AH3785">
        <v>0.686982277796512</v>
      </c>
      <c r="AI3785">
        <v>94.538688367836599</v>
      </c>
      <c r="AJ3785">
        <v>87.128745820048195</v>
      </c>
      <c r="AK3785">
        <v>0.69000957131083696</v>
      </c>
      <c r="AL3785">
        <v>88.138619285926893</v>
      </c>
      <c r="AM3785">
        <v>87.957492323996306</v>
      </c>
      <c r="AN3785">
        <v>1.00000006813818</v>
      </c>
    </row>
    <row r="3786" spans="1:40" x14ac:dyDescent="0.25">
      <c r="A3786" t="str">
        <f>"20190312154328292"</f>
        <v>20190312154328292</v>
      </c>
      <c r="B3786" t="str">
        <f>"1552376608281099"</f>
        <v>1552376608281099</v>
      </c>
      <c r="C3786" t="s">
        <v>40</v>
      </c>
      <c r="D3786">
        <v>5.0008949999999999</v>
      </c>
      <c r="E3786">
        <v>0.4971738</v>
      </c>
      <c r="F3786" t="s">
        <v>50</v>
      </c>
      <c r="G3786">
        <v>-375.9228</v>
      </c>
      <c r="H3786" s="1">
        <v>1.6150129999999999E-6</v>
      </c>
      <c r="I3786">
        <v>213.96539999999999</v>
      </c>
      <c r="J3786">
        <v>-400.87630000000001</v>
      </c>
      <c r="K3786">
        <v>1.109837</v>
      </c>
      <c r="L3786">
        <v>214.27500000000001</v>
      </c>
      <c r="M3786">
        <v>0.99985639999999998</v>
      </c>
      <c r="N3786">
        <v>0</v>
      </c>
      <c r="O3786">
        <v>1.5957160000000001E-2</v>
      </c>
      <c r="P3786">
        <v>0.99942660000000005</v>
      </c>
      <c r="Q3786">
        <v>2.7563379999999998E-2</v>
      </c>
      <c r="R3786">
        <v>-1.9667810000000001E-2</v>
      </c>
      <c r="S3786">
        <v>3.0044249999999999</v>
      </c>
      <c r="T3786">
        <v>-0.13102139999999901</v>
      </c>
      <c r="U3786">
        <v>-3.5629269999999998E-2</v>
      </c>
      <c r="V3786">
        <v>3.5508289999999998E-2</v>
      </c>
      <c r="W3786">
        <v>3.3395109999999999E-2</v>
      </c>
      <c r="X3786">
        <v>0.99881120000000001</v>
      </c>
      <c r="Y3786">
        <v>2.777133E-2</v>
      </c>
      <c r="Z3786">
        <v>-1.300772E-3</v>
      </c>
      <c r="AA3786">
        <v>0.99961350000000004</v>
      </c>
      <c r="AB3786">
        <v>49</v>
      </c>
      <c r="AC3786">
        <v>24.953499999999998</v>
      </c>
      <c r="AD3786">
        <v>-1.109835384987</v>
      </c>
      <c r="AE3786">
        <v>-0.30960000000001697</v>
      </c>
      <c r="AF3786">
        <v>0.70635700284478997</v>
      </c>
      <c r="AG3786">
        <v>-1.109835384987</v>
      </c>
      <c r="AH3786">
        <v>24.896142156228301</v>
      </c>
      <c r="AI3786">
        <v>92.551450870757606</v>
      </c>
      <c r="AJ3786">
        <v>88.374831707839405</v>
      </c>
      <c r="AK3786">
        <v>24.930875818156998</v>
      </c>
      <c r="AL3786">
        <v>88.086245204494801</v>
      </c>
      <c r="AM3786">
        <v>87.963960837473493</v>
      </c>
      <c r="AN3786">
        <v>0.99999994263803604</v>
      </c>
    </row>
    <row r="3787" spans="1:40" x14ac:dyDescent="0.25">
      <c r="A3787" t="str">
        <f>"20190312154328316"</f>
        <v>20190312154328316</v>
      </c>
      <c r="B3787" t="str">
        <f>"1552376608311356"</f>
        <v>1552376608311356</v>
      </c>
      <c r="C3787" t="s">
        <v>40</v>
      </c>
      <c r="D3787">
        <v>5.2663699999999896</v>
      </c>
      <c r="E3787">
        <v>0.49632330000000002</v>
      </c>
      <c r="F3787" t="s">
        <v>50</v>
      </c>
      <c r="G3787">
        <v>-374.67669999999998</v>
      </c>
      <c r="H3787" s="1">
        <v>9.5189290000000002E-7</v>
      </c>
      <c r="I3787">
        <v>214.02850000000001</v>
      </c>
      <c r="J3787">
        <v>-400.39139999999998</v>
      </c>
      <c r="K3787">
        <v>1.1099829999999999</v>
      </c>
      <c r="L3787">
        <v>214.28319999999999</v>
      </c>
      <c r="M3787">
        <v>0.99984050000000002</v>
      </c>
      <c r="N3787">
        <v>0</v>
      </c>
      <c r="O3787">
        <v>1.6915110000000001E-2</v>
      </c>
      <c r="P3787">
        <v>0.99941619999999998</v>
      </c>
      <c r="Q3787">
        <v>2.8462339999999999E-2</v>
      </c>
      <c r="R3787">
        <v>-1.8902599999999999E-2</v>
      </c>
      <c r="S3787">
        <v>3.0046689999999998</v>
      </c>
      <c r="T3787">
        <v>-0.12728019999999901</v>
      </c>
      <c r="U3787">
        <v>-2.8259280000000001E-2</v>
      </c>
      <c r="V3787">
        <v>3.5693950000000002E-2</v>
      </c>
      <c r="W3787">
        <v>3.4310109999999998E-2</v>
      </c>
      <c r="X3787">
        <v>0.99877360000000004</v>
      </c>
      <c r="Y3787">
        <v>2.6279259999999999E-2</v>
      </c>
      <c r="Z3787">
        <v>-1.2725449999999999E-3</v>
      </c>
      <c r="AA3787">
        <v>0.99965380000000004</v>
      </c>
      <c r="AB3787">
        <v>49</v>
      </c>
      <c r="AC3787">
        <v>25.714700000000001</v>
      </c>
      <c r="AD3787">
        <v>-1.1099820481071001</v>
      </c>
      <c r="AE3787">
        <v>-0.25469999999998499</v>
      </c>
      <c r="AF3787">
        <v>0.68835523735621296</v>
      </c>
      <c r="AG3787">
        <v>-1.1099820481071001</v>
      </c>
      <c r="AH3787">
        <v>25.658908474163301</v>
      </c>
      <c r="AI3787">
        <v>92.476131436807705</v>
      </c>
      <c r="AJ3787">
        <v>88.463286446245206</v>
      </c>
      <c r="AK3787">
        <v>25.692128700545702</v>
      </c>
      <c r="AL3787">
        <v>88.033789555172802</v>
      </c>
      <c r="AM3787">
        <v>87.953247171616695</v>
      </c>
      <c r="AN3787">
        <v>0.99999997288588605</v>
      </c>
    </row>
    <row r="3788" spans="1:40" x14ac:dyDescent="0.25">
      <c r="A3788" t="str">
        <f>"20190312154328338"</f>
        <v>20190312154328338</v>
      </c>
      <c r="B3788" t="str">
        <f>"1552376608330875"</f>
        <v>1552376608330875</v>
      </c>
      <c r="C3788" t="s">
        <v>40</v>
      </c>
      <c r="D3788">
        <v>5.0053570000000001</v>
      </c>
      <c r="E3788">
        <v>0.49581779999999998</v>
      </c>
      <c r="F3788" t="s">
        <v>50</v>
      </c>
      <c r="G3788">
        <v>-373.17259999999999</v>
      </c>
      <c r="H3788" s="1">
        <v>1.5152660000000001E-7</v>
      </c>
      <c r="I3788">
        <v>214.1122</v>
      </c>
      <c r="J3788">
        <v>-399.88600000000002</v>
      </c>
      <c r="K3788">
        <v>1.110128</v>
      </c>
      <c r="L3788">
        <v>214.29220000000001</v>
      </c>
      <c r="M3788">
        <v>0.99982199999999999</v>
      </c>
      <c r="N3788">
        <v>0</v>
      </c>
      <c r="O3788">
        <v>1.7940620000000001E-2</v>
      </c>
      <c r="P3788">
        <v>0.99940289999999998</v>
      </c>
      <c r="Q3788">
        <v>2.9242250000000001E-2</v>
      </c>
      <c r="R3788">
        <v>-1.8407799999999998E-2</v>
      </c>
      <c r="S3788">
        <v>3.0049130000000002</v>
      </c>
      <c r="T3788">
        <v>-0.1225406</v>
      </c>
      <c r="U3788">
        <v>-1.8875119999999999E-2</v>
      </c>
      <c r="V3788">
        <v>3.6218E-2</v>
      </c>
      <c r="W3788">
        <v>3.519982E-2</v>
      </c>
      <c r="X3788">
        <v>0.99872380000000005</v>
      </c>
      <c r="Y3788">
        <v>2.418584E-2</v>
      </c>
      <c r="Z3788">
        <v>-1.2242430000000001E-3</v>
      </c>
      <c r="AA3788">
        <v>0.99970669999999995</v>
      </c>
      <c r="AB3788">
        <v>49</v>
      </c>
      <c r="AC3788">
        <v>26.713399999999901</v>
      </c>
      <c r="AD3788">
        <v>-1.1101278484733901</v>
      </c>
      <c r="AE3788">
        <v>-0.18000000000000599</v>
      </c>
      <c r="AF3788">
        <v>0.65809768829205095</v>
      </c>
      <c r="AG3788">
        <v>-1.1101278484733901</v>
      </c>
      <c r="AH3788">
        <v>26.659832131234701</v>
      </c>
      <c r="AI3788">
        <v>92.383720165310905</v>
      </c>
      <c r="AJ3788">
        <v>88.585941430012994</v>
      </c>
      <c r="AK3788">
        <v>26.691049542363601</v>
      </c>
      <c r="AL3788">
        <v>87.982782162911604</v>
      </c>
      <c r="AM3788">
        <v>87.923119896305906</v>
      </c>
      <c r="AN3788">
        <v>0.99999999976923604</v>
      </c>
    </row>
    <row r="3789" spans="1:40" x14ac:dyDescent="0.25">
      <c r="A3789" t="str">
        <f>"20190312154328360"</f>
        <v>20190312154328360</v>
      </c>
      <c r="B3789" t="str">
        <f>"1552376608351371"</f>
        <v>1552376608351371</v>
      </c>
      <c r="C3789" t="s">
        <v>40</v>
      </c>
      <c r="D3789">
        <v>5.008661</v>
      </c>
      <c r="E3789">
        <v>0.49540630000000002</v>
      </c>
      <c r="F3789" t="s">
        <v>50</v>
      </c>
      <c r="G3789">
        <v>-371.45549999999997</v>
      </c>
      <c r="H3789" s="1">
        <v>-7.6225219999999897E-7</v>
      </c>
      <c r="I3789">
        <v>214.1643</v>
      </c>
      <c r="J3789">
        <v>-399.40989999999999</v>
      </c>
      <c r="K3789">
        <v>1.110247</v>
      </c>
      <c r="L3789">
        <v>214.3013</v>
      </c>
      <c r="M3789">
        <v>0.99980250000000004</v>
      </c>
      <c r="N3789">
        <v>0</v>
      </c>
      <c r="O3789">
        <v>1.8937280000000001E-2</v>
      </c>
      <c r="P3789">
        <v>0.99936409999999998</v>
      </c>
      <c r="Q3789">
        <v>3.0781079999999999E-2</v>
      </c>
      <c r="R3789">
        <v>-1.799305E-2</v>
      </c>
      <c r="S3789">
        <v>3.0049739999999998</v>
      </c>
      <c r="T3789">
        <v>-0.1173356</v>
      </c>
      <c r="U3789">
        <v>-1.351929E-2</v>
      </c>
      <c r="V3789">
        <v>3.6791129999999998E-2</v>
      </c>
      <c r="W3789">
        <v>3.690674E-2</v>
      </c>
      <c r="X3789">
        <v>0.99864129999999995</v>
      </c>
      <c r="Y3789">
        <v>2.340329E-2</v>
      </c>
      <c r="Z3789">
        <v>-1.195888E-3</v>
      </c>
      <c r="AA3789">
        <v>0.99972539999999999</v>
      </c>
      <c r="AB3789">
        <v>49</v>
      </c>
      <c r="AC3789">
        <v>27.9544</v>
      </c>
      <c r="AD3789">
        <v>-1.1102477622522</v>
      </c>
      <c r="AE3789">
        <v>-0.13700000000000001</v>
      </c>
      <c r="AF3789">
        <v>0.66531591226242903</v>
      </c>
      <c r="AG3789">
        <v>-1.1102477622522</v>
      </c>
      <c r="AH3789">
        <v>27.902779855080698</v>
      </c>
      <c r="AI3789">
        <v>92.277942383510293</v>
      </c>
      <c r="AJ3789">
        <v>88.634094084169305</v>
      </c>
      <c r="AK3789">
        <v>27.932783946427399</v>
      </c>
      <c r="AL3789">
        <v>87.884919364693801</v>
      </c>
      <c r="AM3789">
        <v>87.890109743531397</v>
      </c>
      <c r="AN3789">
        <v>1.0000000703848899</v>
      </c>
    </row>
    <row r="3790" spans="1:40" x14ac:dyDescent="0.25">
      <c r="A3790" t="str">
        <f>"20190312154328382"</f>
        <v>20190312154328382</v>
      </c>
      <c r="B3790" t="str">
        <f>"1552376608370890"</f>
        <v>1552376608370890</v>
      </c>
      <c r="C3790" t="s">
        <v>40</v>
      </c>
      <c r="D3790">
        <v>5.0393189999999999</v>
      </c>
      <c r="E3790">
        <v>0.49506810000000001</v>
      </c>
      <c r="F3790" t="s">
        <v>50</v>
      </c>
      <c r="G3790">
        <v>-369.57690000000002</v>
      </c>
      <c r="H3790" s="1">
        <v>3.559562E-6</v>
      </c>
      <c r="I3790">
        <v>214.21299999999999</v>
      </c>
      <c r="J3790">
        <v>-398.91370000000001</v>
      </c>
      <c r="K3790">
        <v>1.1103590000000001</v>
      </c>
      <c r="L3790">
        <v>214.31129999999999</v>
      </c>
      <c r="M3790">
        <v>0.99978049999999996</v>
      </c>
      <c r="N3790">
        <v>0</v>
      </c>
      <c r="O3790">
        <v>2.000352E-2</v>
      </c>
      <c r="P3790">
        <v>0.9993438</v>
      </c>
      <c r="Q3790">
        <v>3.1285430000000003E-2</v>
      </c>
      <c r="R3790">
        <v>-1.8259210000000001E-2</v>
      </c>
      <c r="S3790">
        <v>3.005188</v>
      </c>
      <c r="T3790">
        <v>-0.1118391</v>
      </c>
      <c r="U3790">
        <v>-8.8958739999999998E-3</v>
      </c>
      <c r="V3790">
        <v>3.8118779999999998E-2</v>
      </c>
      <c r="W3790">
        <v>3.7658669999999998E-2</v>
      </c>
      <c r="X3790">
        <v>0.99856330000000004</v>
      </c>
      <c r="Y3790">
        <v>2.2933660000000002E-2</v>
      </c>
      <c r="Z3790">
        <v>-1.170754E-3</v>
      </c>
      <c r="AA3790">
        <v>0.99973630000000002</v>
      </c>
      <c r="AB3790">
        <v>49</v>
      </c>
      <c r="AC3790">
        <v>29.336799999999901</v>
      </c>
      <c r="AD3790">
        <v>-1.1103554404380001</v>
      </c>
      <c r="AE3790">
        <v>-9.8299999999994697E-2</v>
      </c>
      <c r="AF3790">
        <v>0.68415094002015098</v>
      </c>
      <c r="AG3790">
        <v>-1.1103554404380001</v>
      </c>
      <c r="AH3790">
        <v>29.287009824174099</v>
      </c>
      <c r="AI3790">
        <v>92.170617595112901</v>
      </c>
      <c r="AJ3790">
        <v>88.661801471244601</v>
      </c>
      <c r="AK3790">
        <v>29.316034795894701</v>
      </c>
      <c r="AL3790">
        <v>87.841806697156301</v>
      </c>
      <c r="AM3790">
        <v>87.813873934070401</v>
      </c>
      <c r="AN3790">
        <v>0.99999994046087204</v>
      </c>
    </row>
    <row r="3791" spans="1:40" x14ac:dyDescent="0.25">
      <c r="A3791" t="str">
        <f>"20190312154328404"</f>
        <v>20190312154328404</v>
      </c>
      <c r="B3791" t="str">
        <f>"1552376608401147"</f>
        <v>1552376608401147</v>
      </c>
      <c r="C3791" t="s">
        <v>40</v>
      </c>
      <c r="D3791">
        <v>5.0534689999999998</v>
      </c>
      <c r="E3791">
        <v>0.49478240000000001</v>
      </c>
      <c r="F3791" t="s">
        <v>50</v>
      </c>
      <c r="G3791">
        <v>-368.85919999999999</v>
      </c>
      <c r="H3791" s="1">
        <v>3.1776229999999999E-6</v>
      </c>
      <c r="I3791">
        <v>214.2439</v>
      </c>
      <c r="J3791">
        <v>-398.45569999999998</v>
      </c>
      <c r="K3791">
        <v>1.1104449999999999</v>
      </c>
      <c r="L3791">
        <v>214.321</v>
      </c>
      <c r="M3791">
        <v>0.99975789999999998</v>
      </c>
      <c r="N3791">
        <v>0</v>
      </c>
      <c r="O3791">
        <v>2.1007709999999999E-2</v>
      </c>
      <c r="P3791">
        <v>0.99934829999999997</v>
      </c>
      <c r="Q3791">
        <v>3.1096439999999999E-2</v>
      </c>
      <c r="R3791">
        <v>-1.8331480000000001E-2</v>
      </c>
      <c r="S3791">
        <v>3.0053100000000001</v>
      </c>
      <c r="T3791">
        <v>-0.1110305</v>
      </c>
      <c r="U3791">
        <v>-6.7443850000000003E-3</v>
      </c>
      <c r="V3791">
        <v>3.919359E-2</v>
      </c>
      <c r="W3791">
        <v>3.7764930000000002E-2</v>
      </c>
      <c r="X3791">
        <v>0.99851780000000001</v>
      </c>
      <c r="Y3791">
        <v>2.3221579999999999E-2</v>
      </c>
      <c r="Z3791">
        <v>-1.204648E-3</v>
      </c>
      <c r="AA3791">
        <v>0.9997296</v>
      </c>
      <c r="AB3791">
        <v>49</v>
      </c>
      <c r="AC3791">
        <v>29.596499999999899</v>
      </c>
      <c r="AD3791">
        <v>-1.1104418223770001</v>
      </c>
      <c r="AE3791">
        <v>-7.7100000000001501E-2</v>
      </c>
      <c r="AF3791">
        <v>0.69786860002627404</v>
      </c>
      <c r="AG3791">
        <v>-1.1104418223770001</v>
      </c>
      <c r="AH3791">
        <v>29.546755687171199</v>
      </c>
      <c r="AI3791">
        <v>92.151707844096407</v>
      </c>
      <c r="AJ3791">
        <v>88.646975222105098</v>
      </c>
      <c r="AK3791">
        <v>29.575849493483201</v>
      </c>
      <c r="AL3791">
        <v>87.835714376894401</v>
      </c>
      <c r="AM3791">
        <v>87.752193225233697</v>
      </c>
      <c r="AN3791">
        <v>1.00000006217591</v>
      </c>
    </row>
    <row r="3792" spans="1:40" x14ac:dyDescent="0.25">
      <c r="A3792" t="str">
        <f>"20190312154328582"</f>
        <v>20190312154328582</v>
      </c>
      <c r="B3792" t="str">
        <f>"1552376608570971"</f>
        <v>1552376608570971</v>
      </c>
      <c r="C3792" t="s">
        <v>40</v>
      </c>
      <c r="D3792">
        <v>4.508127</v>
      </c>
      <c r="E3792">
        <v>0.50073190000000001</v>
      </c>
      <c r="F3792" t="s">
        <v>50</v>
      </c>
      <c r="G3792">
        <v>-368.18729999999999</v>
      </c>
      <c r="H3792" s="1">
        <v>2.8200780000000001E-6</v>
      </c>
      <c r="I3792">
        <v>214.2715</v>
      </c>
      <c r="J3792">
        <v>-394.52</v>
      </c>
      <c r="K3792">
        <v>1.110994</v>
      </c>
      <c r="L3792">
        <v>214.42400000000001</v>
      </c>
      <c r="M3792">
        <v>0.99950989999999995</v>
      </c>
      <c r="N3792">
        <v>0</v>
      </c>
      <c r="O3792">
        <v>2.9671599999999999E-2</v>
      </c>
      <c r="P3792">
        <v>0.9995288</v>
      </c>
      <c r="Q3792">
        <v>3.007116E-2</v>
      </c>
      <c r="R3792">
        <v>-6.1636260000000002E-3</v>
      </c>
      <c r="S3792">
        <v>3.0053100000000001</v>
      </c>
      <c r="T3792">
        <v>-0.1102543</v>
      </c>
      <c r="U3792">
        <v>-4.9133299999999996E-3</v>
      </c>
      <c r="V3792">
        <v>3.5678250000000002E-2</v>
      </c>
      <c r="W3792">
        <v>4.016256E-2</v>
      </c>
      <c r="X3792">
        <v>0.998556</v>
      </c>
      <c r="Y3792">
        <v>3.1266210000000003E-2</v>
      </c>
      <c r="Z3792">
        <v>-1.6614519999999999E-3</v>
      </c>
      <c r="AA3792">
        <v>0.99950969999999995</v>
      </c>
      <c r="AB3792">
        <v>49</v>
      </c>
      <c r="AC3792">
        <v>26.3326999999999</v>
      </c>
      <c r="AD3792">
        <v>-1.110991179922</v>
      </c>
      <c r="AE3792">
        <v>-0.15250000000000299</v>
      </c>
      <c r="AF3792">
        <v>0.93214588125934605</v>
      </c>
      <c r="AG3792">
        <v>-1.110991179922</v>
      </c>
      <c r="AH3792">
        <v>26.269819609033</v>
      </c>
      <c r="AI3792">
        <v>92.420162469696606</v>
      </c>
      <c r="AJ3792">
        <v>87.9677962165797</v>
      </c>
      <c r="AK3792">
        <v>26.3098198328485</v>
      </c>
      <c r="AL3792">
        <v>87.698235793624093</v>
      </c>
      <c r="AM3792">
        <v>87.953701229103302</v>
      </c>
      <c r="AN3792">
        <v>1.0000000269424001</v>
      </c>
    </row>
    <row r="3793" spans="1:40" x14ac:dyDescent="0.25">
      <c r="A3793" t="str">
        <f>"20190312154328605"</f>
        <v>20190312154328605</v>
      </c>
      <c r="B3793" t="str">
        <f>"1552376608601228"</f>
        <v>1552376608601228</v>
      </c>
      <c r="C3793" t="s">
        <v>40</v>
      </c>
      <c r="D3793">
        <v>6.7060760000000004</v>
      </c>
      <c r="E3793">
        <v>0.4954211</v>
      </c>
      <c r="F3793" t="s">
        <v>41</v>
      </c>
      <c r="G3793">
        <v>-393.7432</v>
      </c>
      <c r="H3793">
        <v>0.89141939999999997</v>
      </c>
      <c r="I3793">
        <v>214.42789999999999</v>
      </c>
      <c r="J3793">
        <v>-394.03480000000002</v>
      </c>
      <c r="K3793">
        <v>1.111046</v>
      </c>
      <c r="L3793">
        <v>214.4391</v>
      </c>
      <c r="M3793">
        <v>0.99947260000000004</v>
      </c>
      <c r="N3793">
        <v>0</v>
      </c>
      <c r="O3793">
        <v>3.0723179999999999E-2</v>
      </c>
      <c r="P3793">
        <v>0.99954319999999997</v>
      </c>
      <c r="Q3793">
        <v>2.984009E-2</v>
      </c>
      <c r="R3793">
        <v>-4.8484080000000002E-3</v>
      </c>
      <c r="S3793">
        <v>3.0272519999999998</v>
      </c>
      <c r="T3793">
        <v>-0.85571989999999998</v>
      </c>
      <c r="U3793">
        <v>1.49231E-2</v>
      </c>
      <c r="V3793">
        <v>3.541453E-2</v>
      </c>
      <c r="W3793">
        <v>4.0476060000000001E-2</v>
      </c>
      <c r="X3793">
        <v>0.99855269999999996</v>
      </c>
      <c r="Y3793">
        <v>2.366646E-2</v>
      </c>
      <c r="Z3793">
        <v>-1.179758E-2</v>
      </c>
      <c r="AA3793">
        <v>0.99965029999999999</v>
      </c>
      <c r="AB3793">
        <v>49</v>
      </c>
      <c r="AC3793">
        <v>0.29160000000001601</v>
      </c>
      <c r="AD3793">
        <v>-0.21962660000000001</v>
      </c>
      <c r="AE3793">
        <v>-1.12000000000023E-2</v>
      </c>
      <c r="AF3793">
        <v>1.28661647666675E-2</v>
      </c>
      <c r="AG3793">
        <v>-0.21962660000000001</v>
      </c>
      <c r="AH3793">
        <v>0.18584691341594201</v>
      </c>
      <c r="AI3793">
        <v>139.69471353549901</v>
      </c>
      <c r="AJ3793">
        <v>86.039737264083399</v>
      </c>
      <c r="AK3793">
        <v>0.287993848631521</v>
      </c>
      <c r="AL3793">
        <v>87.680258880931504</v>
      </c>
      <c r="AM3793">
        <v>87.968807264526106</v>
      </c>
      <c r="AN3793">
        <v>0.99999999752276703</v>
      </c>
    </row>
    <row r="3794" spans="1:40" x14ac:dyDescent="0.25">
      <c r="A3794" t="str">
        <f>"20190312154328626"</f>
        <v>20190312154328626</v>
      </c>
      <c r="B3794" t="str">
        <f>"1552376608621723"</f>
        <v>1552376608621723</v>
      </c>
      <c r="C3794" t="s">
        <v>40</v>
      </c>
      <c r="D3794">
        <v>5.0396710000000002</v>
      </c>
      <c r="E3794">
        <v>0.49619950000000002</v>
      </c>
      <c r="F3794" t="s">
        <v>41</v>
      </c>
      <c r="G3794">
        <v>-393.29079999999999</v>
      </c>
      <c r="H3794">
        <v>0.92245029999999995</v>
      </c>
      <c r="I3794">
        <v>214.45330000000001</v>
      </c>
      <c r="J3794">
        <v>-393.56029999999998</v>
      </c>
      <c r="K3794">
        <v>1.111092</v>
      </c>
      <c r="L3794">
        <v>214.45429999999999</v>
      </c>
      <c r="M3794">
        <v>0.99943519999999997</v>
      </c>
      <c r="N3794">
        <v>0</v>
      </c>
      <c r="O3794">
        <v>3.1748810000000002E-2</v>
      </c>
      <c r="P3794">
        <v>0.99956049999999996</v>
      </c>
      <c r="Q3794">
        <v>2.933386E-2</v>
      </c>
      <c r="R3794">
        <v>-4.329304E-3</v>
      </c>
      <c r="S3794">
        <v>3.0245359999999999</v>
      </c>
      <c r="T3794">
        <v>-0.76676489999999997</v>
      </c>
      <c r="U3794">
        <v>5.9051510000000001E-2</v>
      </c>
      <c r="V3794">
        <v>3.5922339999999997E-2</v>
      </c>
      <c r="W3794">
        <v>4.0473200000000001E-2</v>
      </c>
      <c r="X3794">
        <v>0.9985347</v>
      </c>
      <c r="Y3794">
        <v>1.088627E-2</v>
      </c>
      <c r="Z3794">
        <v>-9.2799149999999997E-3</v>
      </c>
      <c r="AA3794">
        <v>0.9998977</v>
      </c>
      <c r="AB3794">
        <v>49</v>
      </c>
      <c r="AC3794">
        <v>0.26949999999999302</v>
      </c>
      <c r="AD3794">
        <v>-0.188641699999999</v>
      </c>
      <c r="AE3794">
        <v>-9.9999999997635292E-4</v>
      </c>
      <c r="AF3794">
        <v>6.4138515978504201E-3</v>
      </c>
      <c r="AG3794">
        <v>-0.188641699999999</v>
      </c>
      <c r="AH3794">
        <v>0.180766030607204</v>
      </c>
      <c r="AI3794">
        <v>136.20333947965301</v>
      </c>
      <c r="AJ3794">
        <v>87.967911737083497</v>
      </c>
      <c r="AK3794">
        <v>0.26134878284142399</v>
      </c>
      <c r="AL3794">
        <v>87.680422935194201</v>
      </c>
      <c r="AM3794">
        <v>87.939669746928104</v>
      </c>
      <c r="AN3794">
        <v>1.0000000207666999</v>
      </c>
    </row>
    <row r="3795" spans="1:40" x14ac:dyDescent="0.25">
      <c r="A3795" t="str">
        <f>"20190312154328649"</f>
        <v>20190312154328649</v>
      </c>
      <c r="B3795" t="str">
        <f>"1552376608641244"</f>
        <v>1552376608641244</v>
      </c>
      <c r="C3795" t="s">
        <v>40</v>
      </c>
      <c r="D3795">
        <v>4.9517689999999996</v>
      </c>
      <c r="E3795">
        <v>0.49813109999999999</v>
      </c>
      <c r="F3795" t="s">
        <v>41</v>
      </c>
      <c r="G3795">
        <v>-392.84309999999999</v>
      </c>
      <c r="H3795">
        <v>0.94266510000000003</v>
      </c>
      <c r="I3795">
        <v>214.4665</v>
      </c>
      <c r="J3795">
        <v>-393.06650000000002</v>
      </c>
      <c r="K3795">
        <v>1.11112099999999</v>
      </c>
      <c r="L3795">
        <v>214.4708</v>
      </c>
      <c r="M3795">
        <v>0.9993957</v>
      </c>
      <c r="N3795">
        <v>0</v>
      </c>
      <c r="O3795">
        <v>3.2802619999999998E-2</v>
      </c>
      <c r="P3795">
        <v>0.99955989999999995</v>
      </c>
      <c r="Q3795">
        <v>2.9533210000000001E-2</v>
      </c>
      <c r="R3795">
        <v>-2.8428820000000001E-3</v>
      </c>
      <c r="S3795">
        <v>3.0223689999999999</v>
      </c>
      <c r="T3795">
        <v>-0.70992049999999995</v>
      </c>
      <c r="U3795">
        <v>5.1910400000000002E-2</v>
      </c>
      <c r="V3795">
        <v>3.5489159999999999E-2</v>
      </c>
      <c r="W3795">
        <v>4.1143539999999999E-2</v>
      </c>
      <c r="X3795">
        <v>0.99852280000000004</v>
      </c>
      <c r="Y3795">
        <v>1.4353660000000001E-2</v>
      </c>
      <c r="Z3795">
        <v>-9.2629300000000008E-3</v>
      </c>
      <c r="AA3795">
        <v>0.99985409999999997</v>
      </c>
      <c r="AB3795">
        <v>49</v>
      </c>
      <c r="AC3795">
        <v>0.22340000000002599</v>
      </c>
      <c r="AD3795">
        <v>-0.16845589999999899</v>
      </c>
      <c r="AE3795">
        <v>-4.3000000000006297E-3</v>
      </c>
      <c r="AF3795">
        <v>7.41288005729314E-3</v>
      </c>
      <c r="AG3795">
        <v>-0.16845589999999899</v>
      </c>
      <c r="AH3795">
        <v>0.14227259862063399</v>
      </c>
      <c r="AI3795">
        <v>139.77831675397101</v>
      </c>
      <c r="AJ3795">
        <v>87.0173945892559</v>
      </c>
      <c r="AK3795">
        <v>0.220621470745306</v>
      </c>
      <c r="AL3795">
        <v>87.641983275950906</v>
      </c>
      <c r="AM3795">
        <v>87.964469574404703</v>
      </c>
      <c r="AN3795">
        <v>1.00000002674053</v>
      </c>
    </row>
    <row r="3796" spans="1:40" x14ac:dyDescent="0.25">
      <c r="A3796" t="str">
        <f>"20190312154328671"</f>
        <v>20190312154328671</v>
      </c>
      <c r="B3796" t="str">
        <f>"1552376608660763"</f>
        <v>1552376608660763</v>
      </c>
      <c r="C3796" t="s">
        <v>40</v>
      </c>
      <c r="D3796">
        <v>5.0805949999999998</v>
      </c>
      <c r="E3796">
        <v>0.4991582</v>
      </c>
      <c r="F3796" t="s">
        <v>41</v>
      </c>
      <c r="G3796">
        <v>-391.98790000000002</v>
      </c>
      <c r="H3796">
        <v>0.89648589999999995</v>
      </c>
      <c r="I3796">
        <v>214.48349999999999</v>
      </c>
      <c r="J3796">
        <v>-392.56740000000002</v>
      </c>
      <c r="K3796">
        <v>1.1111420000000001</v>
      </c>
      <c r="L3796">
        <v>214.4879</v>
      </c>
      <c r="M3796">
        <v>0.99935620000000003</v>
      </c>
      <c r="N3796">
        <v>0</v>
      </c>
      <c r="O3796">
        <v>3.3836320000000003E-2</v>
      </c>
      <c r="P3796">
        <v>0.99951489999999998</v>
      </c>
      <c r="Q3796">
        <v>3.1130089999999999E-2</v>
      </c>
      <c r="R3796">
        <v>-1.1030549999999999E-3</v>
      </c>
      <c r="S3796">
        <v>3.0191650000000001</v>
      </c>
      <c r="T3796">
        <v>-0.60079099999999996</v>
      </c>
      <c r="U3796">
        <v>3.5568240000000001E-2</v>
      </c>
      <c r="V3796">
        <v>3.4777469999999998E-2</v>
      </c>
      <c r="W3796">
        <v>4.3161159999999997E-2</v>
      </c>
      <c r="X3796">
        <v>0.99846259999999998</v>
      </c>
      <c r="Y3796">
        <v>2.0988590000000001E-2</v>
      </c>
      <c r="Z3796">
        <v>-8.7347050000000006E-3</v>
      </c>
      <c r="AA3796">
        <v>0.99974160000000001</v>
      </c>
      <c r="AB3796">
        <v>49</v>
      </c>
      <c r="AC3796">
        <v>0.57949999999999502</v>
      </c>
      <c r="AD3796">
        <v>-0.21465609999999999</v>
      </c>
      <c r="AE3796">
        <v>-4.4000000000039502E-3</v>
      </c>
      <c r="AF3796">
        <v>2.1110639999808702E-2</v>
      </c>
      <c r="AG3796">
        <v>-0.21465609999999999</v>
      </c>
      <c r="AH3796">
        <v>0.50916211982717796</v>
      </c>
      <c r="AI3796">
        <v>112.842044389452</v>
      </c>
      <c r="AJ3796">
        <v>87.625789221700003</v>
      </c>
      <c r="AK3796">
        <v>0.55296380049268801</v>
      </c>
      <c r="AL3796">
        <v>87.5262791473086</v>
      </c>
      <c r="AM3796">
        <v>88.005136065271898</v>
      </c>
      <c r="AN3796">
        <v>0.99999996087545195</v>
      </c>
    </row>
    <row r="3797" spans="1:40" x14ac:dyDescent="0.25">
      <c r="A3797" t="str">
        <f>"20190312154328693"</f>
        <v>20190312154328693</v>
      </c>
      <c r="B3797" t="str">
        <f>"1552376608691020"</f>
        <v>1552376608691020</v>
      </c>
      <c r="C3797" t="s">
        <v>40</v>
      </c>
      <c r="D3797">
        <v>4.9230910000000003</v>
      </c>
      <c r="E3797">
        <v>0.50085210000000002</v>
      </c>
      <c r="F3797" t="s">
        <v>41</v>
      </c>
      <c r="G3797">
        <v>-391.5317</v>
      </c>
      <c r="H3797">
        <v>0.93852780000000002</v>
      </c>
      <c r="I3797">
        <v>214.4975</v>
      </c>
      <c r="J3797">
        <v>-392.08179999999999</v>
      </c>
      <c r="K3797">
        <v>1.111154</v>
      </c>
      <c r="L3797">
        <v>214.5051</v>
      </c>
      <c r="M3797">
        <v>0.99931829999999999</v>
      </c>
      <c r="N3797">
        <v>0</v>
      </c>
      <c r="O3797">
        <v>3.4811090000000003E-2</v>
      </c>
      <c r="P3797">
        <v>0.99947889999999995</v>
      </c>
      <c r="Q3797">
        <v>3.227853E-2</v>
      </c>
      <c r="R3797">
        <v>4.4000579999999999E-4</v>
      </c>
      <c r="S3797">
        <v>3.0171809999999999</v>
      </c>
      <c r="T3797">
        <v>-0.5028743</v>
      </c>
      <c r="U3797">
        <v>2.784729E-2</v>
      </c>
      <c r="V3797">
        <v>3.4206489999999999E-2</v>
      </c>
      <c r="W3797">
        <v>4.467604E-2</v>
      </c>
      <c r="X3797">
        <v>0.99841570000000002</v>
      </c>
      <c r="Y3797">
        <v>2.476706E-2</v>
      </c>
      <c r="Z3797">
        <v>-7.8112190000000003E-3</v>
      </c>
      <c r="AA3797">
        <v>0.99966279999999996</v>
      </c>
      <c r="AB3797">
        <v>49</v>
      </c>
      <c r="AC3797">
        <v>0.55009999999998604</v>
      </c>
      <c r="AD3797">
        <v>-0.17262620000000001</v>
      </c>
      <c r="AE3797">
        <v>-7.5999999999964898E-3</v>
      </c>
      <c r="AF3797">
        <v>2.43490798506623E-2</v>
      </c>
      <c r="AG3797">
        <v>-0.17262620000000001</v>
      </c>
      <c r="AH3797">
        <v>0.50024887836036902</v>
      </c>
      <c r="AI3797">
        <v>109.017668493277</v>
      </c>
      <c r="AJ3797">
        <v>87.213388375008805</v>
      </c>
      <c r="AK3797">
        <v>0.52975619195703705</v>
      </c>
      <c r="AL3797">
        <v>87.439399102204803</v>
      </c>
      <c r="AM3797">
        <v>88.037770029342795</v>
      </c>
      <c r="AN3797">
        <v>0.99999997125734497</v>
      </c>
    </row>
    <row r="3798" spans="1:40" x14ac:dyDescent="0.25">
      <c r="A3798" t="str">
        <f>"20190312154328715"</f>
        <v>20190312154328715</v>
      </c>
      <c r="B3798" t="str">
        <f>"1552376608711515"</f>
        <v>1552376608711515</v>
      </c>
      <c r="C3798" t="s">
        <v>40</v>
      </c>
      <c r="D3798">
        <v>4.8830730000000004</v>
      </c>
      <c r="E3798">
        <v>0.50157339999999995</v>
      </c>
      <c r="F3798" t="s">
        <v>41</v>
      </c>
      <c r="G3798">
        <v>-391.07870000000003</v>
      </c>
      <c r="H3798">
        <v>0.97140910000000003</v>
      </c>
      <c r="I3798">
        <v>214.5102</v>
      </c>
      <c r="J3798">
        <v>-391.60500000000002</v>
      </c>
      <c r="K3798">
        <v>1.111127</v>
      </c>
      <c r="L3798">
        <v>214.5224</v>
      </c>
      <c r="M3798">
        <v>0.999282</v>
      </c>
      <c r="N3798">
        <v>0</v>
      </c>
      <c r="O3798">
        <v>3.5728059999999999E-2</v>
      </c>
      <c r="P3798">
        <v>0.99952010000000002</v>
      </c>
      <c r="Q3798">
        <v>3.0933390000000002E-2</v>
      </c>
      <c r="R3798">
        <v>1.7534180000000001E-3</v>
      </c>
      <c r="S3798">
        <v>3.0151370000000002</v>
      </c>
      <c r="T3798">
        <v>-0.4200547</v>
      </c>
      <c r="U3798">
        <v>1.5274050000000001E-2</v>
      </c>
      <c r="V3798">
        <v>3.3819479999999999E-2</v>
      </c>
      <c r="W3798">
        <v>4.3652320000000001E-2</v>
      </c>
      <c r="X3798">
        <v>0.99847419999999998</v>
      </c>
      <c r="Y3798">
        <v>3.0032980000000001E-2</v>
      </c>
      <c r="Z3798">
        <v>-7.0349619999999996E-3</v>
      </c>
      <c r="AA3798">
        <v>0.99952419999999997</v>
      </c>
      <c r="AB3798">
        <v>49</v>
      </c>
      <c r="AC3798">
        <v>0.526299999999992</v>
      </c>
      <c r="AD3798">
        <v>-0.13971789999999901</v>
      </c>
      <c r="AE3798">
        <v>-1.2200000000007E-2</v>
      </c>
      <c r="AF3798">
        <v>2.8957675755505001E-2</v>
      </c>
      <c r="AG3798">
        <v>-0.13971789999999901</v>
      </c>
      <c r="AH3798">
        <v>0.49094692879434598</v>
      </c>
      <c r="AI3798">
        <v>105.85957485322299</v>
      </c>
      <c r="AJ3798">
        <v>86.624416136738901</v>
      </c>
      <c r="AK3798">
        <v>0.51126169958072498</v>
      </c>
      <c r="AL3798">
        <v>87.498111312979503</v>
      </c>
      <c r="AM3798">
        <v>88.060067088865097</v>
      </c>
      <c r="AN3798">
        <v>1.00000000516724</v>
      </c>
    </row>
    <row r="3799" spans="1:40" x14ac:dyDescent="0.25">
      <c r="A3799" t="str">
        <f>"20190312154328738"</f>
        <v>20190312154328738</v>
      </c>
      <c r="B3799" t="str">
        <f>"1552376608731036"</f>
        <v>1552376608731036</v>
      </c>
      <c r="C3799" t="s">
        <v>40</v>
      </c>
      <c r="D3799">
        <v>4.9570670000000003</v>
      </c>
      <c r="E3799">
        <v>0.50217889999999998</v>
      </c>
      <c r="F3799" t="s">
        <v>41</v>
      </c>
      <c r="G3799">
        <v>-390.63589999999999</v>
      </c>
      <c r="H3799">
        <v>0.98355309999999996</v>
      </c>
      <c r="I3799">
        <v>214.5258</v>
      </c>
      <c r="J3799">
        <v>-391.1096</v>
      </c>
      <c r="K3799">
        <v>1.1110789999999999</v>
      </c>
      <c r="L3799">
        <v>214.54079999999999</v>
      </c>
      <c r="M3799">
        <v>0.99924570000000001</v>
      </c>
      <c r="N3799">
        <v>0</v>
      </c>
      <c r="O3799">
        <v>3.6621149999999998E-2</v>
      </c>
      <c r="P3799">
        <v>0.99960550000000004</v>
      </c>
      <c r="Q3799">
        <v>2.79394E-2</v>
      </c>
      <c r="R3799">
        <v>2.9564109999999999E-3</v>
      </c>
      <c r="S3799">
        <v>3.013763</v>
      </c>
      <c r="T3799">
        <v>-0.39690769999999997</v>
      </c>
      <c r="U3799">
        <v>1.2008670000000001E-2</v>
      </c>
      <c r="V3799">
        <v>3.3527309999999998E-2</v>
      </c>
      <c r="W3799">
        <v>4.095393E-2</v>
      </c>
      <c r="X3799">
        <v>0.99859830000000005</v>
      </c>
      <c r="Y3799">
        <v>3.2049170000000002E-2</v>
      </c>
      <c r="Z3799">
        <v>-6.9030289999999998E-3</v>
      </c>
      <c r="AA3799">
        <v>0.99946239999999997</v>
      </c>
      <c r="AB3799">
        <v>49</v>
      </c>
      <c r="AC3799">
        <v>0.473700000000007</v>
      </c>
      <c r="AD3799">
        <v>-0.1275259</v>
      </c>
      <c r="AE3799">
        <v>-1.49999999999863E-2</v>
      </c>
      <c r="AF3799">
        <v>3.0155484835826599E-2</v>
      </c>
      <c r="AG3799">
        <v>-0.1275259</v>
      </c>
      <c r="AH3799">
        <v>0.44090977670728698</v>
      </c>
      <c r="AI3799">
        <v>106.09599460846</v>
      </c>
      <c r="AJ3799">
        <v>86.0874182950365</v>
      </c>
      <c r="AK3799">
        <v>0.45997134653428501</v>
      </c>
      <c r="AL3799">
        <v>87.652856076954507</v>
      </c>
      <c r="AM3799">
        <v>88.077052553660707</v>
      </c>
      <c r="AN3799">
        <v>0.99999993483058303</v>
      </c>
    </row>
    <row r="3800" spans="1:40" x14ac:dyDescent="0.25">
      <c r="A3800" t="str">
        <f>"20190312154328762"</f>
        <v>20190312154328762</v>
      </c>
      <c r="B3800" t="str">
        <f>"1552376608751531"</f>
        <v>1552376608751531</v>
      </c>
      <c r="C3800" t="s">
        <v>40</v>
      </c>
      <c r="D3800">
        <v>5.0169119999999996</v>
      </c>
      <c r="E3800">
        <v>0.5027452</v>
      </c>
      <c r="F3800" t="s">
        <v>41</v>
      </c>
      <c r="G3800">
        <v>-390.1936</v>
      </c>
      <c r="H3800">
        <v>0.99529230000000002</v>
      </c>
      <c r="I3800">
        <v>214.54349999999999</v>
      </c>
      <c r="J3800">
        <v>-390.59739999999999</v>
      </c>
      <c r="K3800">
        <v>1.111008</v>
      </c>
      <c r="L3800">
        <v>214.56010000000001</v>
      </c>
      <c r="M3800">
        <v>0.99921099999999996</v>
      </c>
      <c r="N3800">
        <v>0</v>
      </c>
      <c r="O3800">
        <v>3.7463290000000003E-2</v>
      </c>
      <c r="P3800">
        <v>0.99960879999999996</v>
      </c>
      <c r="Q3800">
        <v>2.760203E-2</v>
      </c>
      <c r="R3800">
        <v>4.5352379999999996E-3</v>
      </c>
      <c r="S3800">
        <v>3.0118100000000001</v>
      </c>
      <c r="T3800">
        <v>-0.38075579999999998</v>
      </c>
      <c r="U3800">
        <v>9.2773439999999999E-3</v>
      </c>
      <c r="V3800">
        <v>3.2799469999999997E-2</v>
      </c>
      <c r="W3800">
        <v>4.0880079999999999E-2</v>
      </c>
      <c r="X3800">
        <v>0.9986256</v>
      </c>
      <c r="Y3800">
        <v>3.3820940000000001E-2</v>
      </c>
      <c r="Z3800">
        <v>-6.8462269999999999E-3</v>
      </c>
      <c r="AA3800">
        <v>0.99940439999999997</v>
      </c>
      <c r="AB3800">
        <v>49</v>
      </c>
      <c r="AC3800">
        <v>0.403799999999989</v>
      </c>
      <c r="AD3800">
        <v>-0.11571569999999901</v>
      </c>
      <c r="AE3800">
        <v>-1.6600000000010998E-2</v>
      </c>
      <c r="AF3800">
        <v>2.9314107026750798E-2</v>
      </c>
      <c r="AG3800">
        <v>-0.11571569999999901</v>
      </c>
      <c r="AH3800">
        <v>0.372367130891606</v>
      </c>
      <c r="AI3800">
        <v>107.212904150311</v>
      </c>
      <c r="AJ3800">
        <v>85.498749367339798</v>
      </c>
      <c r="AK3800">
        <v>0.39103288898213201</v>
      </c>
      <c r="AL3800">
        <v>87.657091157874405</v>
      </c>
      <c r="AM3800">
        <v>88.118818632201695</v>
      </c>
      <c r="AN3800">
        <v>1.00000003757422</v>
      </c>
    </row>
    <row r="3801" spans="1:40" x14ac:dyDescent="0.25">
      <c r="A3801" t="str">
        <f>"20190312154328784"</f>
        <v>20190312154328784</v>
      </c>
      <c r="B3801" t="str">
        <f>"1552376608780811"</f>
        <v>1552376608780811</v>
      </c>
      <c r="C3801" t="s">
        <v>40</v>
      </c>
      <c r="D3801">
        <v>5.034205</v>
      </c>
      <c r="E3801">
        <v>0.50289340000000005</v>
      </c>
      <c r="F3801" t="s">
        <v>41</v>
      </c>
      <c r="G3801">
        <v>-389.75080000000003</v>
      </c>
      <c r="H3801">
        <v>1.0089570000000001</v>
      </c>
      <c r="I3801">
        <v>214.56200000000001</v>
      </c>
      <c r="J3801">
        <v>-390.10500000000002</v>
      </c>
      <c r="K3801">
        <v>1.110932</v>
      </c>
      <c r="L3801">
        <v>214.57910000000001</v>
      </c>
      <c r="M3801">
        <v>0.99918070000000003</v>
      </c>
      <c r="N3801">
        <v>0</v>
      </c>
      <c r="O3801">
        <v>3.8180749999999999E-2</v>
      </c>
      <c r="P3801">
        <v>0.9995716</v>
      </c>
      <c r="Q3801">
        <v>2.8713209999999999E-2</v>
      </c>
      <c r="R3801">
        <v>5.6696469999999999E-3</v>
      </c>
      <c r="S3801">
        <v>3.0112000000000001</v>
      </c>
      <c r="T3801">
        <v>-0.36300349999999998</v>
      </c>
      <c r="U3801">
        <v>8.1176759999999903E-3</v>
      </c>
      <c r="V3801">
        <v>3.2386659999999998E-2</v>
      </c>
      <c r="W3801">
        <v>4.2209789999999997E-2</v>
      </c>
      <c r="X3801">
        <v>0.99858369999999996</v>
      </c>
      <c r="Y3801">
        <v>3.4960749999999999E-2</v>
      </c>
      <c r="Z3801">
        <v>-6.6853099999999999E-3</v>
      </c>
      <c r="AA3801">
        <v>0.99936630000000004</v>
      </c>
      <c r="AB3801">
        <v>49</v>
      </c>
      <c r="AC3801">
        <v>0.35419999999999102</v>
      </c>
      <c r="AD3801">
        <v>-0.101975</v>
      </c>
      <c r="AE3801">
        <v>-1.7099999999999199E-2</v>
      </c>
      <c r="AF3801">
        <v>2.8274231651838899E-2</v>
      </c>
      <c r="AG3801">
        <v>-0.101975</v>
      </c>
      <c r="AH3801">
        <v>0.32630495015824001</v>
      </c>
      <c r="AI3801">
        <v>107.29386060776901</v>
      </c>
      <c r="AJ3801">
        <v>85.047706416618695</v>
      </c>
      <c r="AK3801">
        <v>0.34303535284030601</v>
      </c>
      <c r="AL3801">
        <v>87.580838420741699</v>
      </c>
      <c r="AM3801">
        <v>88.142400366053096</v>
      </c>
      <c r="AN3801">
        <v>0.99999998401174395</v>
      </c>
    </row>
    <row r="3802" spans="1:40" x14ac:dyDescent="0.25">
      <c r="A3802" t="str">
        <f>"20190312154328805"</f>
        <v>20190312154328805</v>
      </c>
      <c r="B3802" t="str">
        <f>"1552376608801308"</f>
        <v>1552376608801308</v>
      </c>
      <c r="C3802" t="s">
        <v>40</v>
      </c>
      <c r="D3802">
        <v>5.0328809999999997</v>
      </c>
      <c r="E3802">
        <v>0.50302990000000003</v>
      </c>
      <c r="F3802" t="s">
        <v>41</v>
      </c>
      <c r="G3802">
        <v>-389.30869999999999</v>
      </c>
      <c r="H3802">
        <v>1.0216670000000001</v>
      </c>
      <c r="I3802">
        <v>214.58160000000001</v>
      </c>
      <c r="J3802">
        <v>-389.65260000000001</v>
      </c>
      <c r="K3802">
        <v>1.110857</v>
      </c>
      <c r="L3802">
        <v>214.5968</v>
      </c>
      <c r="M3802">
        <v>0.9991565</v>
      </c>
      <c r="N3802">
        <v>0</v>
      </c>
      <c r="O3802">
        <v>3.8745849999999998E-2</v>
      </c>
      <c r="P3802">
        <v>0.99952180000000002</v>
      </c>
      <c r="Q3802">
        <v>3.031151E-2</v>
      </c>
      <c r="R3802">
        <v>6.1274019999999997E-3</v>
      </c>
      <c r="S3802">
        <v>3.0109249999999999</v>
      </c>
      <c r="T3802">
        <v>-0.33755239999999997</v>
      </c>
      <c r="U3802">
        <v>9.3688959999999998E-3</v>
      </c>
      <c r="V3802">
        <v>3.249722E-2</v>
      </c>
      <c r="W3802">
        <v>4.3982439999999998E-2</v>
      </c>
      <c r="X3802">
        <v>0.99850360000000005</v>
      </c>
      <c r="Y3802">
        <v>3.517696E-2</v>
      </c>
      <c r="Z3802">
        <v>-6.2953810000000001E-3</v>
      </c>
      <c r="AA3802">
        <v>0.99936130000000001</v>
      </c>
      <c r="AB3802">
        <v>49</v>
      </c>
      <c r="AC3802">
        <v>0.34390000000001902</v>
      </c>
      <c r="AD3802">
        <v>-8.9189999999999797E-2</v>
      </c>
      <c r="AE3802">
        <v>-1.51999999999929E-2</v>
      </c>
      <c r="AF3802">
        <v>2.6720736503231701E-2</v>
      </c>
      <c r="AG3802">
        <v>-8.9189999999999797E-2</v>
      </c>
      <c r="AH3802">
        <v>0.32147211623709498</v>
      </c>
      <c r="AI3802">
        <v>105.45553292059201</v>
      </c>
      <c r="AJ3802">
        <v>85.248501892281993</v>
      </c>
      <c r="AK3802">
        <v>0.33468369451951402</v>
      </c>
      <c r="AL3802">
        <v>87.479178587511299</v>
      </c>
      <c r="AM3802">
        <v>88.135914029055499</v>
      </c>
      <c r="AN3802">
        <v>0.99999998177451999</v>
      </c>
    </row>
    <row r="3803" spans="1:40" x14ac:dyDescent="0.25">
      <c r="A3803" t="str">
        <f>"20190312154328827"</f>
        <v>20190312154328827</v>
      </c>
      <c r="B3803" t="str">
        <f>"1552376608820827"</f>
        <v>1552376608820827</v>
      </c>
      <c r="C3803" t="s">
        <v>40</v>
      </c>
      <c r="D3803">
        <v>5.0078610000000001</v>
      </c>
      <c r="E3803">
        <v>0.5030462</v>
      </c>
      <c r="F3803" t="s">
        <v>41</v>
      </c>
      <c r="G3803">
        <v>-388.87020000000001</v>
      </c>
      <c r="H3803">
        <v>1.0275909999999999</v>
      </c>
      <c r="I3803">
        <v>214.59880000000001</v>
      </c>
      <c r="J3803">
        <v>-389.17180000000002</v>
      </c>
      <c r="K3803">
        <v>1.11077</v>
      </c>
      <c r="L3803">
        <v>214.61580000000001</v>
      </c>
      <c r="M3803">
        <v>0.99913470000000004</v>
      </c>
      <c r="N3803">
        <v>0</v>
      </c>
      <c r="O3803">
        <v>3.9247070000000002E-2</v>
      </c>
      <c r="P3803">
        <v>0.99949160000000004</v>
      </c>
      <c r="Q3803">
        <v>3.1326350000000003E-2</v>
      </c>
      <c r="R3803">
        <v>5.9770830000000002E-3</v>
      </c>
      <c r="S3803">
        <v>3.0111690000000002</v>
      </c>
      <c r="T3803">
        <v>-0.32064189999999998</v>
      </c>
      <c r="U3803">
        <v>9.4757079999999994E-3</v>
      </c>
      <c r="V3803">
        <v>3.3156060000000001E-2</v>
      </c>
      <c r="W3803">
        <v>4.5159539999999998E-2</v>
      </c>
      <c r="X3803">
        <v>0.99842940000000002</v>
      </c>
      <c r="Y3803">
        <v>3.5682659999999998E-2</v>
      </c>
      <c r="Z3803">
        <v>-6.0613869999999997E-3</v>
      </c>
      <c r="AA3803">
        <v>0.99934480000000003</v>
      </c>
      <c r="AB3803">
        <v>49</v>
      </c>
      <c r="AC3803">
        <v>0.30160000000000697</v>
      </c>
      <c r="AD3803">
        <v>-8.31790000000001E-2</v>
      </c>
      <c r="AE3803">
        <v>-1.69999999999959E-2</v>
      </c>
      <c r="AF3803">
        <v>2.6793443403666E-2</v>
      </c>
      <c r="AG3803">
        <v>-8.31790000000001E-2</v>
      </c>
      <c r="AH3803">
        <v>0.27950787236070401</v>
      </c>
      <c r="AI3803">
        <v>106.50102583731601</v>
      </c>
      <c r="AJ3803">
        <v>84.524394634155399</v>
      </c>
      <c r="AK3803">
        <v>0.292850278063779</v>
      </c>
      <c r="AL3803">
        <v>87.411668645245996</v>
      </c>
      <c r="AM3803">
        <v>88.098008288328501</v>
      </c>
      <c r="AN3803">
        <v>0.99999998757604702</v>
      </c>
    </row>
    <row r="3804" spans="1:40" x14ac:dyDescent="0.25">
      <c r="A3804" t="str">
        <f>"20190312154328852"</f>
        <v>20190312154328852</v>
      </c>
      <c r="B3804" t="str">
        <f>"1552376608841327"</f>
        <v>1552376608841327</v>
      </c>
      <c r="C3804" t="s">
        <v>40</v>
      </c>
      <c r="D3804">
        <v>5.0309339999999896</v>
      </c>
      <c r="E3804">
        <v>0.50314199999999998</v>
      </c>
      <c r="F3804" t="s">
        <v>41</v>
      </c>
      <c r="G3804">
        <v>-388.43119999999999</v>
      </c>
      <c r="H3804">
        <v>1.03525</v>
      </c>
      <c r="I3804">
        <v>214.61770000000001</v>
      </c>
      <c r="J3804">
        <v>-388.65230000000003</v>
      </c>
      <c r="K3804">
        <v>1.1106780000000001</v>
      </c>
      <c r="L3804">
        <v>214.63650000000001</v>
      </c>
      <c r="M3804">
        <v>0.999116</v>
      </c>
      <c r="N3804">
        <v>0</v>
      </c>
      <c r="O3804">
        <v>3.9665369999999998E-2</v>
      </c>
      <c r="P3804">
        <v>0.99944049999999995</v>
      </c>
      <c r="Q3804">
        <v>3.3058289999999997E-2</v>
      </c>
      <c r="R3804">
        <v>5.1117580000000001E-3</v>
      </c>
      <c r="S3804">
        <v>3.011139</v>
      </c>
      <c r="T3804">
        <v>-0.30720649999999999</v>
      </c>
      <c r="U3804">
        <v>8.4838869999999903E-3</v>
      </c>
      <c r="V3804">
        <v>3.4446400000000002E-2</v>
      </c>
      <c r="W3804">
        <v>4.7039619999999997E-2</v>
      </c>
      <c r="X3804">
        <v>0.99829889999999999</v>
      </c>
      <c r="Y3804">
        <v>3.645872E-2</v>
      </c>
      <c r="Z3804">
        <v>-5.8908519999999898E-3</v>
      </c>
      <c r="AA3804">
        <v>0.99931780000000003</v>
      </c>
      <c r="AB3804">
        <v>49</v>
      </c>
      <c r="AC3804">
        <v>0.22110000000003499</v>
      </c>
      <c r="AD3804">
        <v>-7.5427999999999995E-2</v>
      </c>
      <c r="AE3804">
        <v>-1.87999999999988E-2</v>
      </c>
      <c r="AF3804">
        <v>2.4701839568622801E-2</v>
      </c>
      <c r="AG3804">
        <v>-7.5427999999999995E-2</v>
      </c>
      <c r="AH3804">
        <v>0.19737417069854299</v>
      </c>
      <c r="AI3804">
        <v>110.766688320291</v>
      </c>
      <c r="AJ3804">
        <v>82.866389585429104</v>
      </c>
      <c r="AK3804">
        <v>0.21273487565749899</v>
      </c>
      <c r="AL3804">
        <v>87.303833332093404</v>
      </c>
      <c r="AM3804">
        <v>88.023787637065794</v>
      </c>
      <c r="AN3804">
        <v>0.99999998703195703</v>
      </c>
    </row>
    <row r="3805" spans="1:40" x14ac:dyDescent="0.25">
      <c r="A3805" t="str">
        <f>"20190312154328872"</f>
        <v>20190312154328872</v>
      </c>
      <c r="B3805" t="str">
        <f>"1552376608860843"</f>
        <v>1552376608860843</v>
      </c>
      <c r="C3805" t="s">
        <v>40</v>
      </c>
      <c r="D3805">
        <v>5.0454949999999998</v>
      </c>
      <c r="E3805">
        <v>0.50312219999999996</v>
      </c>
      <c r="F3805" t="s">
        <v>41</v>
      </c>
      <c r="G3805">
        <v>-387.57569999999998</v>
      </c>
      <c r="H3805">
        <v>1.0057879999999999</v>
      </c>
      <c r="I3805">
        <v>214.6378</v>
      </c>
      <c r="J3805">
        <v>-388.19409999999999</v>
      </c>
      <c r="K3805">
        <v>1.110595</v>
      </c>
      <c r="L3805">
        <v>214.6549</v>
      </c>
      <c r="M3805">
        <v>0.99910299999999996</v>
      </c>
      <c r="N3805">
        <v>0</v>
      </c>
      <c r="O3805">
        <v>3.994673E-2</v>
      </c>
      <c r="P3805">
        <v>0.99938360000000004</v>
      </c>
      <c r="Q3805">
        <v>3.486334E-2</v>
      </c>
      <c r="R3805">
        <v>4.1547870000000001E-3</v>
      </c>
      <c r="S3805">
        <v>3.0113829999999999</v>
      </c>
      <c r="T3805">
        <v>-0.29345070000000001</v>
      </c>
      <c r="U3805">
        <v>4.3029790000000002E-3</v>
      </c>
      <c r="V3805">
        <v>3.5690069999999997E-2</v>
      </c>
      <c r="W3805">
        <v>4.8956670000000001E-2</v>
      </c>
      <c r="X3805">
        <v>0.99816300000000002</v>
      </c>
      <c r="Y3805">
        <v>3.8152999999999999E-2</v>
      </c>
      <c r="Z3805">
        <v>-5.7376320000000003E-3</v>
      </c>
      <c r="AA3805">
        <v>0.99925540000000002</v>
      </c>
      <c r="AB3805">
        <v>49</v>
      </c>
      <c r="AC3805">
        <v>0.61840000000000805</v>
      </c>
      <c r="AD3805">
        <v>-0.104807</v>
      </c>
      <c r="AE3805">
        <v>-1.7099999999999199E-2</v>
      </c>
      <c r="AF3805">
        <v>4.0625810012324598E-2</v>
      </c>
      <c r="AG3805">
        <v>-0.104807</v>
      </c>
      <c r="AH3805">
        <v>0.60000198750491096</v>
      </c>
      <c r="AI3805">
        <v>99.886142033167602</v>
      </c>
      <c r="AJ3805">
        <v>86.126446070288907</v>
      </c>
      <c r="AK3805">
        <v>0.61044029085406903</v>
      </c>
      <c r="AL3805">
        <v>87.193867607644094</v>
      </c>
      <c r="AM3805">
        <v>87.952218622543995</v>
      </c>
      <c r="AN3805">
        <v>0.99999995560154598</v>
      </c>
    </row>
    <row r="3806" spans="1:40" x14ac:dyDescent="0.25">
      <c r="A3806" t="str">
        <f>"20190312154328894"</f>
        <v>20190312154328894</v>
      </c>
      <c r="B3806" t="str">
        <f>"1552376608891101"</f>
        <v>1552376608891101</v>
      </c>
      <c r="C3806" t="s">
        <v>40</v>
      </c>
      <c r="D3806">
        <v>5.1593450000000001</v>
      </c>
      <c r="E3806">
        <v>0.50287649999999995</v>
      </c>
      <c r="F3806" t="s">
        <v>41</v>
      </c>
      <c r="G3806">
        <v>-387.13819999999998</v>
      </c>
      <c r="H3806">
        <v>1.012078</v>
      </c>
      <c r="I3806">
        <v>214.65530000000001</v>
      </c>
      <c r="J3806">
        <v>-387.7167</v>
      </c>
      <c r="K3806">
        <v>1.110517</v>
      </c>
      <c r="L3806">
        <v>214.67410000000001</v>
      </c>
      <c r="M3806">
        <v>0.9990928</v>
      </c>
      <c r="N3806">
        <v>0</v>
      </c>
      <c r="O3806">
        <v>4.0165510000000001E-2</v>
      </c>
      <c r="P3806">
        <v>0.99934769999999995</v>
      </c>
      <c r="Q3806">
        <v>3.6031090000000002E-2</v>
      </c>
      <c r="R3806">
        <v>2.5032869999999999E-3</v>
      </c>
      <c r="S3806">
        <v>3.0116580000000002</v>
      </c>
      <c r="T3806">
        <v>-0.28100170000000002</v>
      </c>
      <c r="U3806">
        <v>1.556396E-3</v>
      </c>
      <c r="V3806">
        <v>3.7567419999999997E-2</v>
      </c>
      <c r="W3806">
        <v>5.0225890000000002E-2</v>
      </c>
      <c r="X3806">
        <v>0.99803109999999995</v>
      </c>
      <c r="Y3806">
        <v>3.9308019999999999E-2</v>
      </c>
      <c r="Z3806">
        <v>-5.5689509999999999E-3</v>
      </c>
      <c r="AA3806">
        <v>0.99921159999999998</v>
      </c>
      <c r="AB3806">
        <v>49</v>
      </c>
      <c r="AC3806">
        <v>0.578500000000019</v>
      </c>
      <c r="AD3806">
        <v>-9.8438999999999902E-2</v>
      </c>
      <c r="AE3806">
        <v>-1.87999999999988E-2</v>
      </c>
      <c r="AF3806">
        <v>4.0841569981752597E-2</v>
      </c>
      <c r="AG3806">
        <v>-9.8438999999999902E-2</v>
      </c>
      <c r="AH3806">
        <v>0.56104968514435505</v>
      </c>
      <c r="AI3806">
        <v>99.925801395429403</v>
      </c>
      <c r="AJ3806">
        <v>85.836501906347905</v>
      </c>
      <c r="AK3806">
        <v>0.57108232310250495</v>
      </c>
      <c r="AL3806">
        <v>87.121057231532902</v>
      </c>
      <c r="AM3806">
        <v>87.844316792297604</v>
      </c>
      <c r="AN3806">
        <v>1.00000001381947</v>
      </c>
    </row>
    <row r="3807" spans="1:40" x14ac:dyDescent="0.25">
      <c r="A3807" t="str">
        <f>"20190312154328916"</f>
        <v>20190312154328916</v>
      </c>
      <c r="B3807" t="str">
        <f>"1552376608911595"</f>
        <v>1552376608911595</v>
      </c>
      <c r="C3807" t="s">
        <v>40</v>
      </c>
      <c r="D3807">
        <v>5.0510960000000003</v>
      </c>
      <c r="E3807">
        <v>0.50277329999999998</v>
      </c>
      <c r="F3807" t="s">
        <v>41</v>
      </c>
      <c r="G3807">
        <v>-386.70060000000001</v>
      </c>
      <c r="H3807">
        <v>1.0194319999999999</v>
      </c>
      <c r="I3807">
        <v>214.67349999999999</v>
      </c>
      <c r="J3807">
        <v>-387.24349999999998</v>
      </c>
      <c r="K3807">
        <v>1.1104309999999999</v>
      </c>
      <c r="L3807">
        <v>214.69329999999999</v>
      </c>
      <c r="M3807">
        <v>0.99908509999999995</v>
      </c>
      <c r="N3807">
        <v>0</v>
      </c>
      <c r="O3807">
        <v>4.0321650000000001E-2</v>
      </c>
      <c r="P3807">
        <v>0.99931619999999999</v>
      </c>
      <c r="Q3807">
        <v>3.6975719999999997E-2</v>
      </c>
      <c r="R3807">
        <v>3.9087630000000001E-4</v>
      </c>
      <c r="S3807">
        <v>3.0116580000000002</v>
      </c>
      <c r="T3807">
        <v>-0.27002569999999998</v>
      </c>
      <c r="U3807">
        <v>-1.113892E-3</v>
      </c>
      <c r="V3807">
        <v>3.9842710000000003E-2</v>
      </c>
      <c r="W3807">
        <v>5.1256419999999997E-2</v>
      </c>
      <c r="X3807">
        <v>0.99789050000000001</v>
      </c>
      <c r="Y3807">
        <v>4.0371659999999997E-2</v>
      </c>
      <c r="Z3807">
        <v>-5.4138889999999999E-3</v>
      </c>
      <c r="AA3807">
        <v>0.99917009999999995</v>
      </c>
      <c r="AB3807">
        <v>49</v>
      </c>
      <c r="AC3807">
        <v>0.54289999999997396</v>
      </c>
      <c r="AD3807">
        <v>-9.0998999999999997E-2</v>
      </c>
      <c r="AE3807">
        <v>-1.9800000000003599E-2</v>
      </c>
      <c r="AF3807">
        <v>4.05392915221102E-2</v>
      </c>
      <c r="AG3807">
        <v>-9.0998999999999997E-2</v>
      </c>
      <c r="AH3807">
        <v>0.526876851999457</v>
      </c>
      <c r="AI3807">
        <v>99.770788710789205</v>
      </c>
      <c r="AJ3807">
        <v>85.600180836787601</v>
      </c>
      <c r="AK3807">
        <v>0.53621214955553997</v>
      </c>
      <c r="AL3807">
        <v>87.061936176604704</v>
      </c>
      <c r="AM3807">
        <v>87.713569548436297</v>
      </c>
      <c r="AN3807">
        <v>1.0000000560608</v>
      </c>
    </row>
    <row r="3808" spans="1:40" x14ac:dyDescent="0.25">
      <c r="A3808" t="str">
        <f>"20190312154328939"</f>
        <v>20190312154328939</v>
      </c>
      <c r="B3808" t="str">
        <f>"1552376608931116"</f>
        <v>1552376608931116</v>
      </c>
      <c r="C3808" t="s">
        <v>40</v>
      </c>
      <c r="D3808">
        <v>5.080946</v>
      </c>
      <c r="E3808">
        <v>0.5027604</v>
      </c>
      <c r="F3808" t="s">
        <v>41</v>
      </c>
      <c r="G3808">
        <v>-386.26420000000002</v>
      </c>
      <c r="H3808">
        <v>1.0246959999999901</v>
      </c>
      <c r="I3808">
        <v>214.69110000000001</v>
      </c>
      <c r="J3808">
        <v>-386.73860000000002</v>
      </c>
      <c r="K3808">
        <v>1.1103510000000001</v>
      </c>
      <c r="L3808">
        <v>214.71369999999999</v>
      </c>
      <c r="M3808">
        <v>0.99907919999999995</v>
      </c>
      <c r="N3808">
        <v>0</v>
      </c>
      <c r="O3808">
        <v>4.0436430000000002E-2</v>
      </c>
      <c r="P3808">
        <v>0.99927069999999996</v>
      </c>
      <c r="Q3808">
        <v>3.8124640000000001E-2</v>
      </c>
      <c r="R3808">
        <v>-2.0998089999999998E-3</v>
      </c>
      <c r="S3808">
        <v>3.0118100000000001</v>
      </c>
      <c r="T3808">
        <v>-0.26365609999999901</v>
      </c>
      <c r="U3808">
        <v>-6.5917969999999999E-3</v>
      </c>
      <c r="V3808">
        <v>4.2453780000000003E-2</v>
      </c>
      <c r="W3808">
        <v>5.2482630000000002E-2</v>
      </c>
      <c r="X3808">
        <v>0.99771900000000002</v>
      </c>
      <c r="Y3808">
        <v>4.2310939999999998E-2</v>
      </c>
      <c r="Z3808">
        <v>-5.3811830000000003E-3</v>
      </c>
      <c r="AA3808">
        <v>0.99909000000000003</v>
      </c>
      <c r="AB3808">
        <v>49</v>
      </c>
      <c r="AC3808">
        <v>0.47440000000000199</v>
      </c>
      <c r="AD3808">
        <v>-8.5655000000000203E-2</v>
      </c>
      <c r="AE3808">
        <v>-2.2599999999982801E-2</v>
      </c>
      <c r="AF3808">
        <v>4.0450820953574197E-2</v>
      </c>
      <c r="AG3808">
        <v>-8.5655000000000203E-2</v>
      </c>
      <c r="AH3808">
        <v>0.458194685671379</v>
      </c>
      <c r="AI3808">
        <v>100.548565167368</v>
      </c>
      <c r="AJ3808">
        <v>84.954834290574397</v>
      </c>
      <c r="AK3808">
        <v>0.46788397912122598</v>
      </c>
      <c r="AL3808">
        <v>86.991584576442804</v>
      </c>
      <c r="AM3808">
        <v>87.563486328024993</v>
      </c>
      <c r="AN3808">
        <v>0.999999976424502</v>
      </c>
    </row>
    <row r="3809" spans="1:40" x14ac:dyDescent="0.25">
      <c r="A3809" t="str">
        <f>"20190312154328962"</f>
        <v>20190312154328962</v>
      </c>
      <c r="B3809" t="str">
        <f>"1552376608951611"</f>
        <v>1552376608951611</v>
      </c>
      <c r="C3809" t="s">
        <v>40</v>
      </c>
      <c r="D3809">
        <v>5.1273260000000001</v>
      </c>
      <c r="E3809">
        <v>0.50290179999999995</v>
      </c>
      <c r="F3809" t="s">
        <v>41</v>
      </c>
      <c r="G3809">
        <v>-385.827</v>
      </c>
      <c r="H3809">
        <v>1.032454</v>
      </c>
      <c r="I3809">
        <v>214.70959999999999</v>
      </c>
      <c r="J3809">
        <v>-386.24630000000002</v>
      </c>
      <c r="K3809">
        <v>1.1102920000000001</v>
      </c>
      <c r="L3809">
        <v>214.7338</v>
      </c>
      <c r="M3809">
        <v>0.99907520000000005</v>
      </c>
      <c r="N3809">
        <v>0</v>
      </c>
      <c r="O3809">
        <v>4.0513319999999998E-2</v>
      </c>
      <c r="P3809">
        <v>0.99922960000000005</v>
      </c>
      <c r="Q3809">
        <v>3.8957829999999999E-2</v>
      </c>
      <c r="R3809">
        <v>-4.7937780000000003E-3</v>
      </c>
      <c r="S3809">
        <v>3.0119929999999999</v>
      </c>
      <c r="T3809">
        <v>-0.25736629999999999</v>
      </c>
      <c r="U3809">
        <v>-1.403809E-2</v>
      </c>
      <c r="V3809">
        <v>4.5229430000000001E-2</v>
      </c>
      <c r="W3809">
        <v>5.3379719999999999E-2</v>
      </c>
      <c r="X3809">
        <v>0.99754949999999998</v>
      </c>
      <c r="Y3809">
        <v>4.4862869999999999E-2</v>
      </c>
      <c r="Z3809">
        <v>-5.3683689999999996E-3</v>
      </c>
      <c r="AA3809">
        <v>0.9989787</v>
      </c>
      <c r="AB3809">
        <v>49</v>
      </c>
      <c r="AC3809">
        <v>0.41930000000002099</v>
      </c>
      <c r="AD3809">
        <v>-7.7838000000000004E-2</v>
      </c>
      <c r="AE3809">
        <v>-2.42000000000075E-2</v>
      </c>
      <c r="AF3809">
        <v>3.9802042222253899E-2</v>
      </c>
      <c r="AG3809">
        <v>-7.7838000000000004E-2</v>
      </c>
      <c r="AH3809">
        <v>0.40409566710290201</v>
      </c>
      <c r="AI3809">
        <v>100.851674679005</v>
      </c>
      <c r="AJ3809">
        <v>84.374706106696905</v>
      </c>
      <c r="AK3809">
        <v>0.41344439164221602</v>
      </c>
      <c r="AL3809">
        <v>86.940113174362097</v>
      </c>
      <c r="AM3809">
        <v>87.403956566804993</v>
      </c>
      <c r="AN3809">
        <v>1.0000000503978199</v>
      </c>
    </row>
    <row r="3810" spans="1:40" x14ac:dyDescent="0.25">
      <c r="A3810" t="str">
        <f>"20190312154328985"</f>
        <v>20190312154328985</v>
      </c>
      <c r="B3810" t="str">
        <f>"1552376608980892"</f>
        <v>1552376608980892</v>
      </c>
      <c r="C3810" t="s">
        <v>40</v>
      </c>
      <c r="D3810">
        <v>5.1042239999999897</v>
      </c>
      <c r="E3810">
        <v>0.50297440000000004</v>
      </c>
      <c r="F3810" t="s">
        <v>41</v>
      </c>
      <c r="G3810">
        <v>-385.39069999999998</v>
      </c>
      <c r="H3810">
        <v>1.038931</v>
      </c>
      <c r="I3810">
        <v>214.727</v>
      </c>
      <c r="J3810">
        <v>-385.74</v>
      </c>
      <c r="K3810">
        <v>1.110249</v>
      </c>
      <c r="L3810">
        <v>214.7544</v>
      </c>
      <c r="M3810">
        <v>0.99907179999999995</v>
      </c>
      <c r="N3810">
        <v>0</v>
      </c>
      <c r="O3810">
        <v>4.056937E-2</v>
      </c>
      <c r="P3810">
        <v>0.99910810000000005</v>
      </c>
      <c r="Q3810">
        <v>4.1579089999999999E-2</v>
      </c>
      <c r="R3810">
        <v>-7.3649450000000003E-3</v>
      </c>
      <c r="S3810">
        <v>3.0120239999999998</v>
      </c>
      <c r="T3810">
        <v>-0.251341799999999</v>
      </c>
      <c r="U3810">
        <v>-2.2995000000000002E-2</v>
      </c>
      <c r="V3810">
        <v>4.7856709999999997E-2</v>
      </c>
      <c r="W3810">
        <v>5.6054590000000001E-2</v>
      </c>
      <c r="X3810">
        <v>0.9972801</v>
      </c>
      <c r="Y3810">
        <v>4.7892909999999997E-2</v>
      </c>
      <c r="Z3810">
        <v>-5.3739690000000001E-3</v>
      </c>
      <c r="AA3810">
        <v>0.998838</v>
      </c>
      <c r="AB3810">
        <v>49</v>
      </c>
      <c r="AC3810">
        <v>0.34930000000002698</v>
      </c>
      <c r="AD3810">
        <v>-7.1317999999999895E-2</v>
      </c>
      <c r="AE3810">
        <v>-2.7400000000000001E-2</v>
      </c>
      <c r="AF3810">
        <v>3.9896795971985199E-2</v>
      </c>
      <c r="AG3810">
        <v>-7.1317999999999895E-2</v>
      </c>
      <c r="AH3810">
        <v>0.33405984906977099</v>
      </c>
      <c r="AI3810">
        <v>101.968512292897</v>
      </c>
      <c r="AJ3810">
        <v>83.189418973265006</v>
      </c>
      <c r="AK3810">
        <v>0.34390986350110497</v>
      </c>
      <c r="AL3810">
        <v>86.786624236850201</v>
      </c>
      <c r="AM3810">
        <v>87.252641778849593</v>
      </c>
      <c r="AN3810">
        <v>0.99999998980405103</v>
      </c>
    </row>
    <row r="3811" spans="1:40" x14ac:dyDescent="0.25">
      <c r="A3811" t="str">
        <f>"20190312154329007"</f>
        <v>20190312154329007</v>
      </c>
      <c r="B3811" t="str">
        <f>"1552376609001388"</f>
        <v>1552376609001388</v>
      </c>
      <c r="C3811" t="s">
        <v>40</v>
      </c>
      <c r="D3811">
        <v>5.0574789999999998</v>
      </c>
      <c r="E3811">
        <v>0.50301799999999997</v>
      </c>
      <c r="F3811" t="s">
        <v>41</v>
      </c>
      <c r="G3811">
        <v>-384.95100000000002</v>
      </c>
      <c r="H3811">
        <v>1.047606</v>
      </c>
      <c r="I3811">
        <v>214.74629999999999</v>
      </c>
      <c r="J3811">
        <v>-385.28269999999998</v>
      </c>
      <c r="K3811">
        <v>1.110214</v>
      </c>
      <c r="L3811">
        <v>214.773</v>
      </c>
      <c r="M3811">
        <v>0.9990696</v>
      </c>
      <c r="N3811">
        <v>0</v>
      </c>
      <c r="O3811">
        <v>4.0606570000000002E-2</v>
      </c>
      <c r="P3811">
        <v>0.99903319999999995</v>
      </c>
      <c r="Q3811">
        <v>4.309694E-2</v>
      </c>
      <c r="R3811">
        <v>-8.6655350000000003E-3</v>
      </c>
      <c r="S3811">
        <v>3.0123899999999999</v>
      </c>
      <c r="T3811">
        <v>-0.23905750000000001</v>
      </c>
      <c r="U3811">
        <v>-3.0944820000000001E-2</v>
      </c>
      <c r="V3811">
        <v>4.9196879999999998E-2</v>
      </c>
      <c r="W3811">
        <v>5.761322E-2</v>
      </c>
      <c r="X3811">
        <v>0.99712599999999996</v>
      </c>
      <c r="Y3811">
        <v>5.0585539999999998E-2</v>
      </c>
      <c r="Z3811">
        <v>-5.2211430000000001E-3</v>
      </c>
      <c r="AA3811">
        <v>0.99870610000000004</v>
      </c>
      <c r="AB3811">
        <v>48</v>
      </c>
      <c r="AC3811">
        <v>0.33170000000001199</v>
      </c>
      <c r="AD3811">
        <v>-6.2607999999999997E-2</v>
      </c>
      <c r="AE3811">
        <v>-2.6700000000005199E-2</v>
      </c>
      <c r="AF3811">
        <v>3.8776046820469201E-2</v>
      </c>
      <c r="AG3811">
        <v>-6.2607999999999997E-2</v>
      </c>
      <c r="AH3811">
        <v>0.31904874978054198</v>
      </c>
      <c r="AI3811">
        <v>101.02316387622599</v>
      </c>
      <c r="AJ3811">
        <v>83.070460982602697</v>
      </c>
      <c r="AK3811">
        <v>0.32743770126170602</v>
      </c>
      <c r="AL3811">
        <v>86.697176555940601</v>
      </c>
      <c r="AM3811">
        <v>87.175392405449799</v>
      </c>
      <c r="AN3811">
        <v>0.99999993799824904</v>
      </c>
    </row>
    <row r="3812" spans="1:40" x14ac:dyDescent="0.25">
      <c r="A3812" t="str">
        <f>"20190312154329028"</f>
        <v>20190312154329028</v>
      </c>
      <c r="B3812" t="str">
        <f>"1552376609020908"</f>
        <v>1552376609020908</v>
      </c>
      <c r="C3812" t="s">
        <v>40</v>
      </c>
      <c r="D3812">
        <v>5.1028269999999996</v>
      </c>
      <c r="E3812">
        <v>0.50309510000000002</v>
      </c>
      <c r="F3812" t="s">
        <v>41</v>
      </c>
      <c r="G3812">
        <v>-384.50889999999998</v>
      </c>
      <c r="H3812">
        <v>1.0505359999999999</v>
      </c>
      <c r="I3812">
        <v>214.7637</v>
      </c>
      <c r="J3812">
        <v>-384.81610000000001</v>
      </c>
      <c r="K3812">
        <v>1.1101840000000001</v>
      </c>
      <c r="L3812">
        <v>214.792</v>
      </c>
      <c r="M3812">
        <v>0.99906779999999995</v>
      </c>
      <c r="N3812">
        <v>0</v>
      </c>
      <c r="O3812">
        <v>4.0636159999999998E-2</v>
      </c>
      <c r="P3812">
        <v>0.99897610000000003</v>
      </c>
      <c r="Q3812">
        <v>4.4197149999999998E-2</v>
      </c>
      <c r="R3812">
        <v>-9.6841319999999998E-3</v>
      </c>
      <c r="S3812">
        <v>3.0126040000000001</v>
      </c>
      <c r="T3812">
        <v>-0.2324861</v>
      </c>
      <c r="U3812">
        <v>-3.4805299999999997E-2</v>
      </c>
      <c r="V3812">
        <v>5.0247519999999997E-2</v>
      </c>
      <c r="W3812">
        <v>5.8749509999999998E-2</v>
      </c>
      <c r="X3812">
        <v>0.99700739999999999</v>
      </c>
      <c r="Y3812">
        <v>5.1905560000000003E-2</v>
      </c>
      <c r="Z3812">
        <v>-5.1308150000000004E-3</v>
      </c>
      <c r="AA3812">
        <v>0.99863880000000005</v>
      </c>
      <c r="AB3812">
        <v>48</v>
      </c>
      <c r="AC3812">
        <v>0.30720000000002301</v>
      </c>
      <c r="AD3812">
        <v>-5.9647999999999902E-2</v>
      </c>
      <c r="AE3812">
        <v>-2.8300000000001501E-2</v>
      </c>
      <c r="AF3812">
        <v>3.9292484602234903E-2</v>
      </c>
      <c r="AG3812">
        <v>-5.9647999999999902E-2</v>
      </c>
      <c r="AH3812">
        <v>0.29477632404319298</v>
      </c>
      <c r="AI3812">
        <v>101.341661164702</v>
      </c>
      <c r="AJ3812">
        <v>82.407462195369206</v>
      </c>
      <c r="AK3812">
        <v>0.30330655196786399</v>
      </c>
      <c r="AL3812">
        <v>86.631961788153703</v>
      </c>
      <c r="AM3812">
        <v>87.114828823496296</v>
      </c>
      <c r="AN3812">
        <v>1.0000000369230699</v>
      </c>
    </row>
    <row r="3813" spans="1:40" x14ac:dyDescent="0.25">
      <c r="A3813" t="str">
        <f>"20190312154329051"</f>
        <v>20190312154329051</v>
      </c>
      <c r="B3813" t="str">
        <f>"1552376609041404"</f>
        <v>1552376609041404</v>
      </c>
      <c r="C3813" t="s">
        <v>40</v>
      </c>
      <c r="D3813">
        <v>5.1207690000000001</v>
      </c>
      <c r="E3813">
        <v>0.50310299999999997</v>
      </c>
      <c r="F3813" t="s">
        <v>41</v>
      </c>
      <c r="G3813">
        <v>-383.66849999999999</v>
      </c>
      <c r="H3813">
        <v>1.023539</v>
      </c>
      <c r="I3813">
        <v>214.77690000000001</v>
      </c>
      <c r="J3813">
        <v>-384.31729999999999</v>
      </c>
      <c r="K3813">
        <v>1.1101570000000001</v>
      </c>
      <c r="L3813">
        <v>214.81229999999999</v>
      </c>
      <c r="M3813">
        <v>0.99906640000000002</v>
      </c>
      <c r="N3813">
        <v>0</v>
      </c>
      <c r="O3813">
        <v>4.0661639999999999E-2</v>
      </c>
      <c r="P3813">
        <v>0.99886640000000004</v>
      </c>
      <c r="Q3813">
        <v>4.6342250000000001E-2</v>
      </c>
      <c r="R3813">
        <v>-1.090868E-2</v>
      </c>
      <c r="S3813">
        <v>3.012756</v>
      </c>
      <c r="T3813">
        <v>-0.22759889999999999</v>
      </c>
      <c r="U3813">
        <v>-3.8818360000000003E-2</v>
      </c>
      <c r="V3813">
        <v>5.1496960000000001E-2</v>
      </c>
      <c r="W3813">
        <v>6.0925699999999902E-2</v>
      </c>
      <c r="X3813">
        <v>0.99681299999999995</v>
      </c>
      <c r="Y3813">
        <v>5.326794E-2</v>
      </c>
      <c r="Z3813">
        <v>-5.0763010000000001E-3</v>
      </c>
      <c r="AA3813">
        <v>0.99856730000000005</v>
      </c>
      <c r="AB3813">
        <v>48</v>
      </c>
      <c r="AC3813">
        <v>0.64879999999999405</v>
      </c>
      <c r="AD3813">
        <v>-8.6618000000000001E-2</v>
      </c>
      <c r="AE3813">
        <v>-3.5399999999981398E-2</v>
      </c>
      <c r="AF3813">
        <v>6.0676536301383602E-2</v>
      </c>
      <c r="AG3813">
        <v>-8.6618000000000001E-2</v>
      </c>
      <c r="AH3813">
        <v>0.63552994707004995</v>
      </c>
      <c r="AI3813">
        <v>97.726460402142493</v>
      </c>
      <c r="AJ3813">
        <v>84.546277870456393</v>
      </c>
      <c r="AK3813">
        <v>0.64426906925941496</v>
      </c>
      <c r="AL3813">
        <v>86.507051373368398</v>
      </c>
      <c r="AM3813">
        <v>87.042637159717003</v>
      </c>
      <c r="AN3813">
        <v>1.00000001738936</v>
      </c>
    </row>
    <row r="3814" spans="1:40" x14ac:dyDescent="0.25">
      <c r="A3814" t="str">
        <f>"20190312154329073"</f>
        <v>20190312154329073</v>
      </c>
      <c r="B3814" t="str">
        <f>"1552376609060924"</f>
        <v>1552376609060924</v>
      </c>
      <c r="C3814" t="s">
        <v>40</v>
      </c>
      <c r="D3814">
        <v>5.1305040000000002</v>
      </c>
      <c r="E3814">
        <v>0.50310619999999995</v>
      </c>
      <c r="F3814" t="s">
        <v>41</v>
      </c>
      <c r="G3814">
        <v>-383.23340000000002</v>
      </c>
      <c r="H3814">
        <v>1.031153</v>
      </c>
      <c r="I3814">
        <v>214.797</v>
      </c>
      <c r="J3814">
        <v>-383.8501</v>
      </c>
      <c r="K3814">
        <v>1.1101460000000001</v>
      </c>
      <c r="L3814">
        <v>214.8314</v>
      </c>
      <c r="M3814">
        <v>0.99906510000000004</v>
      </c>
      <c r="N3814">
        <v>0</v>
      </c>
      <c r="O3814">
        <v>4.0681019999999998E-2</v>
      </c>
      <c r="P3814">
        <v>0.99868040000000002</v>
      </c>
      <c r="Q3814">
        <v>4.9980089999999998E-2</v>
      </c>
      <c r="R3814">
        <v>-1.1822859999999999E-2</v>
      </c>
      <c r="S3814">
        <v>3.0131230000000002</v>
      </c>
      <c r="T3814">
        <v>-0.2196562</v>
      </c>
      <c r="U3814">
        <v>-4.2129519999999997E-2</v>
      </c>
      <c r="V3814">
        <v>5.2425909999999999E-2</v>
      </c>
      <c r="W3814">
        <v>6.4586790000000005E-2</v>
      </c>
      <c r="X3814">
        <v>0.99653400000000003</v>
      </c>
      <c r="Y3814">
        <v>5.4398200000000001E-2</v>
      </c>
      <c r="Z3814">
        <v>-4.9415659999999997E-3</v>
      </c>
      <c r="AA3814">
        <v>0.99850709999999998</v>
      </c>
      <c r="AB3814">
        <v>48</v>
      </c>
      <c r="AC3814">
        <v>0.61669999999998004</v>
      </c>
      <c r="AD3814">
        <v>-7.8992999999999799E-2</v>
      </c>
      <c r="AE3814">
        <v>-3.4400000000005003E-2</v>
      </c>
      <c r="AF3814">
        <v>5.8505267896766897E-2</v>
      </c>
      <c r="AG3814">
        <v>-7.8992999999999799E-2</v>
      </c>
      <c r="AH3814">
        <v>0.604896051743399</v>
      </c>
      <c r="AI3814">
        <v>97.405944226856107</v>
      </c>
      <c r="AJ3814">
        <v>84.475562225581399</v>
      </c>
      <c r="AK3814">
        <v>0.61283112994969902</v>
      </c>
      <c r="AL3814">
        <v>86.296871793809999</v>
      </c>
      <c r="AM3814">
        <v>86.988545444117406</v>
      </c>
      <c r="AN3814">
        <v>0.99999997131891505</v>
      </c>
    </row>
    <row r="3815" spans="1:40" x14ac:dyDescent="0.25">
      <c r="A3815" t="str">
        <f>"20190312154329095"</f>
        <v>20190312154329095</v>
      </c>
      <c r="B3815" t="str">
        <f>"1552376609091180"</f>
        <v>1552376609091180</v>
      </c>
      <c r="C3815" t="s">
        <v>40</v>
      </c>
      <c r="D3815">
        <v>5.1366969999999998</v>
      </c>
      <c r="E3815">
        <v>0.50289359999999905</v>
      </c>
      <c r="F3815" t="s">
        <v>41</v>
      </c>
      <c r="G3815">
        <v>-382.79899999999998</v>
      </c>
      <c r="H3815">
        <v>1.0376719999999999</v>
      </c>
      <c r="I3815">
        <v>214.81569999999999</v>
      </c>
      <c r="J3815">
        <v>-383.37549999999999</v>
      </c>
      <c r="K3815">
        <v>1.1101319999999999</v>
      </c>
      <c r="L3815">
        <v>214.85079999999999</v>
      </c>
      <c r="M3815">
        <v>0.99906399999999995</v>
      </c>
      <c r="N3815">
        <v>0</v>
      </c>
      <c r="O3815">
        <v>4.0696690000000001E-2</v>
      </c>
      <c r="P3815">
        <v>0.99855859999999996</v>
      </c>
      <c r="Q3815">
        <v>5.2310200000000001E-2</v>
      </c>
      <c r="R3815">
        <v>-1.202429E-2</v>
      </c>
      <c r="S3815">
        <v>3.013855</v>
      </c>
      <c r="T3815">
        <v>-0.2079309</v>
      </c>
      <c r="U3815">
        <v>-4.4204710000000001E-2</v>
      </c>
      <c r="V3815">
        <v>5.2641399999999998E-2</v>
      </c>
      <c r="W3815">
        <v>6.6938209999999998E-2</v>
      </c>
      <c r="X3815">
        <v>0.99636749999999996</v>
      </c>
      <c r="Y3815">
        <v>5.5122400000000002E-2</v>
      </c>
      <c r="Z3815">
        <v>-4.7033129999999998E-3</v>
      </c>
      <c r="AA3815">
        <v>0.99846849999999998</v>
      </c>
      <c r="AB3815">
        <v>48</v>
      </c>
      <c r="AC3815">
        <v>0.57649999999995305</v>
      </c>
      <c r="AD3815">
        <v>-7.2459999999999899E-2</v>
      </c>
      <c r="AE3815">
        <v>-3.5099999999999902E-2</v>
      </c>
      <c r="AF3815">
        <v>5.76280412889668E-2</v>
      </c>
      <c r="AG3815">
        <v>-7.2459999999999899E-2</v>
      </c>
      <c r="AH3815">
        <v>0.56569000508233203</v>
      </c>
      <c r="AI3815">
        <v>97.262164690600898</v>
      </c>
      <c r="AJ3815">
        <v>84.183223995563097</v>
      </c>
      <c r="AK3815">
        <v>0.57321603658032105</v>
      </c>
      <c r="AL3815">
        <v>86.161853221366499</v>
      </c>
      <c r="AM3815">
        <v>86.975685807880794</v>
      </c>
      <c r="AN3815">
        <v>1.0000000180041</v>
      </c>
    </row>
    <row r="3816" spans="1:40" x14ac:dyDescent="0.25">
      <c r="A3816" t="str">
        <f>"20190312154329117"</f>
        <v>20190312154329117</v>
      </c>
      <c r="B3816" t="str">
        <f>"1552376609111676"</f>
        <v>1552376609111676</v>
      </c>
      <c r="C3816" t="s">
        <v>40</v>
      </c>
      <c r="D3816">
        <v>5.1827870000000003</v>
      </c>
      <c r="E3816">
        <v>0.50279669999999999</v>
      </c>
      <c r="F3816" t="s">
        <v>41</v>
      </c>
      <c r="G3816">
        <v>-382.36540000000002</v>
      </c>
      <c r="H3816">
        <v>1.043064</v>
      </c>
      <c r="I3816">
        <v>214.8365</v>
      </c>
      <c r="J3816">
        <v>-382.89920000000001</v>
      </c>
      <c r="K3816">
        <v>1.110114</v>
      </c>
      <c r="L3816">
        <v>214.87020000000001</v>
      </c>
      <c r="M3816">
        <v>0.99906309999999998</v>
      </c>
      <c r="N3816">
        <v>0</v>
      </c>
      <c r="O3816">
        <v>4.0708840000000003E-2</v>
      </c>
      <c r="P3816">
        <v>0.9986216</v>
      </c>
      <c r="Q3816">
        <v>5.1231199999999998E-2</v>
      </c>
      <c r="R3816">
        <v>-1.1416320000000001E-2</v>
      </c>
      <c r="S3816">
        <v>3.014313</v>
      </c>
      <c r="T3816">
        <v>-0.20018520000000001</v>
      </c>
      <c r="U3816">
        <v>-4.2175289999999997E-2</v>
      </c>
      <c r="V3816">
        <v>5.2052510000000003E-2</v>
      </c>
      <c r="W3816">
        <v>6.5880540000000001E-2</v>
      </c>
      <c r="X3816">
        <v>0.99646889999999999</v>
      </c>
      <c r="Y3816">
        <v>5.4478310000000002E-2</v>
      </c>
      <c r="Z3816">
        <v>-4.5072699999999999E-3</v>
      </c>
      <c r="AA3816">
        <v>0.99850479999999997</v>
      </c>
      <c r="AB3816">
        <v>48</v>
      </c>
      <c r="AC3816">
        <v>0.53379999999998495</v>
      </c>
      <c r="AD3816">
        <v>-6.7049999999999998E-2</v>
      </c>
      <c r="AE3816">
        <v>-3.3700000000010201E-2</v>
      </c>
      <c r="AF3816">
        <v>5.4547569207709902E-2</v>
      </c>
      <c r="AG3816">
        <v>-6.7049999999999998E-2</v>
      </c>
      <c r="AH3816">
        <v>0.52375460042087796</v>
      </c>
      <c r="AI3816">
        <v>97.256383387453397</v>
      </c>
      <c r="AJ3816">
        <v>84.054240973517807</v>
      </c>
      <c r="AK3816">
        <v>0.53083897866349605</v>
      </c>
      <c r="AL3816">
        <v>86.222587213480296</v>
      </c>
      <c r="AM3816">
        <v>87.009760277979794</v>
      </c>
      <c r="AN3816">
        <v>0.99999998900760001</v>
      </c>
    </row>
    <row r="3817" spans="1:40" x14ac:dyDescent="0.25">
      <c r="A3817" t="str">
        <f>"20190312154329140"</f>
        <v>20190312154329140</v>
      </c>
      <c r="B3817" t="str">
        <f>"1552376609131196"</f>
        <v>1552376609131196</v>
      </c>
      <c r="C3817" t="s">
        <v>40</v>
      </c>
      <c r="D3817">
        <v>5.1204359999999998</v>
      </c>
      <c r="E3817">
        <v>0.50272919999999999</v>
      </c>
      <c r="F3817" t="s">
        <v>41</v>
      </c>
      <c r="G3817">
        <v>-381.9332</v>
      </c>
      <c r="H3817">
        <v>1.0449949999999999</v>
      </c>
      <c r="I3817">
        <v>214.85740000000001</v>
      </c>
      <c r="J3817">
        <v>-382.39909999999998</v>
      </c>
      <c r="K3817">
        <v>1.1101049999999999</v>
      </c>
      <c r="L3817">
        <v>214.89060000000001</v>
      </c>
      <c r="M3817">
        <v>0.99906240000000002</v>
      </c>
      <c r="N3817">
        <v>0</v>
      </c>
      <c r="O3817">
        <v>4.0718909999999997E-2</v>
      </c>
      <c r="P3817">
        <v>0.99866659999999996</v>
      </c>
      <c r="Q3817">
        <v>5.0616130000000002E-2</v>
      </c>
      <c r="R3817">
        <v>-1.0154959999999999E-2</v>
      </c>
      <c r="S3817">
        <v>3.01416</v>
      </c>
      <c r="T3817">
        <v>-0.20323240000000001</v>
      </c>
      <c r="U3817">
        <v>-3.9367680000000002E-2</v>
      </c>
      <c r="V3817">
        <v>5.0807060000000001E-2</v>
      </c>
      <c r="W3817">
        <v>6.5284830000000002E-2</v>
      </c>
      <c r="X3817">
        <v>0.99657240000000002</v>
      </c>
      <c r="Y3817">
        <v>5.3554789999999998E-2</v>
      </c>
      <c r="Z3817">
        <v>-4.5455529999999999E-3</v>
      </c>
      <c r="AA3817">
        <v>0.99855459999999996</v>
      </c>
      <c r="AB3817">
        <v>48</v>
      </c>
      <c r="AC3817">
        <v>0.465899999999976</v>
      </c>
      <c r="AD3817">
        <v>-6.5109999999999696E-2</v>
      </c>
      <c r="AE3817">
        <v>-3.3199999999993603E-2</v>
      </c>
      <c r="AF3817">
        <v>5.1151492340256198E-2</v>
      </c>
      <c r="AG3817">
        <v>-6.5109999999999696E-2</v>
      </c>
      <c r="AH3817">
        <v>0.45531399112328202</v>
      </c>
      <c r="AI3817">
        <v>98.087936321490304</v>
      </c>
      <c r="AJ3817">
        <v>83.590077468450403</v>
      </c>
      <c r="AK3817">
        <v>0.462781393080196</v>
      </c>
      <c r="AL3817">
        <v>86.256792591457895</v>
      </c>
      <c r="AM3817">
        <v>87.081484525653494</v>
      </c>
      <c r="AN3817">
        <v>1.0000000074078601</v>
      </c>
    </row>
    <row r="3818" spans="1:40" x14ac:dyDescent="0.25">
      <c r="A3818" t="str">
        <f>"20190312154329164"</f>
        <v>20190312154329164</v>
      </c>
      <c r="B3818" t="str">
        <f>"1552376609161453"</f>
        <v>1552376609161453</v>
      </c>
      <c r="C3818" t="s">
        <v>40</v>
      </c>
      <c r="D3818">
        <v>5.1287240000000001</v>
      </c>
      <c r="E3818">
        <v>0.50269640000000004</v>
      </c>
      <c r="F3818" t="s">
        <v>41</v>
      </c>
      <c r="G3818">
        <v>-381.49939999999998</v>
      </c>
      <c r="H3818">
        <v>1.0490280000000001</v>
      </c>
      <c r="I3818">
        <v>214.8801</v>
      </c>
      <c r="J3818">
        <v>-381.89510000000001</v>
      </c>
      <c r="K3818">
        <v>1.1101049999999999</v>
      </c>
      <c r="L3818">
        <v>214.91120000000001</v>
      </c>
      <c r="M3818">
        <v>0.99906209999999995</v>
      </c>
      <c r="N3818">
        <v>0</v>
      </c>
      <c r="O3818">
        <v>4.0721819999999999E-2</v>
      </c>
      <c r="P3818">
        <v>0.99858259999999999</v>
      </c>
      <c r="Q3818">
        <v>5.2464990000000003E-2</v>
      </c>
      <c r="R3818">
        <v>-8.9631420000000003E-3</v>
      </c>
      <c r="S3818">
        <v>3.0140380000000002</v>
      </c>
      <c r="T3818">
        <v>-0.20462320000000001</v>
      </c>
      <c r="U3818">
        <v>-3.5171510000000003E-2</v>
      </c>
      <c r="V3818">
        <v>4.9618339999999997E-2</v>
      </c>
      <c r="W3818">
        <v>6.7147540000000006E-2</v>
      </c>
      <c r="X3818">
        <v>0.99650850000000002</v>
      </c>
      <c r="Y3818">
        <v>5.2168430000000002E-2</v>
      </c>
      <c r="Z3818">
        <v>-4.5299870000000001E-3</v>
      </c>
      <c r="AA3818">
        <v>0.99862799999999996</v>
      </c>
      <c r="AB3818">
        <v>48</v>
      </c>
      <c r="AC3818">
        <v>0.39570000000003303</v>
      </c>
      <c r="AD3818">
        <v>-6.1076999999999798E-2</v>
      </c>
      <c r="AE3818">
        <v>-3.11000000000092E-2</v>
      </c>
      <c r="AF3818">
        <v>4.6098048456924202E-2</v>
      </c>
      <c r="AG3818">
        <v>-6.1076999999999798E-2</v>
      </c>
      <c r="AH3818">
        <v>0.38498926282462598</v>
      </c>
      <c r="AI3818">
        <v>98.951720940278904</v>
      </c>
      <c r="AJ3818">
        <v>83.171995496601696</v>
      </c>
      <c r="AK3818">
        <v>0.39252027016548602</v>
      </c>
      <c r="AL3818">
        <v>86.149832308464298</v>
      </c>
      <c r="AM3818">
        <v>87.149471873013198</v>
      </c>
      <c r="AN3818">
        <v>0.99999998118232802</v>
      </c>
    </row>
    <row r="3819" spans="1:40" x14ac:dyDescent="0.25">
      <c r="A3819" t="str">
        <f>"20190312154329186"</f>
        <v>20190312154329186</v>
      </c>
      <c r="B3819" t="str">
        <f>"1552376609180971"</f>
        <v>1552376609180971</v>
      </c>
      <c r="C3819" t="s">
        <v>40</v>
      </c>
      <c r="D3819">
        <v>5.1061969999999999</v>
      </c>
      <c r="E3819">
        <v>0.5026294</v>
      </c>
      <c r="F3819" t="s">
        <v>50</v>
      </c>
      <c r="G3819">
        <v>-365.1927</v>
      </c>
      <c r="H3819" s="1">
        <v>1.2265259999999999E-6</v>
      </c>
      <c r="I3819">
        <v>214.7398</v>
      </c>
      <c r="J3819">
        <v>-381.42</v>
      </c>
      <c r="K3819">
        <v>1.1101019999999999</v>
      </c>
      <c r="L3819">
        <v>214.93049999999999</v>
      </c>
      <c r="M3819">
        <v>0.99906269999999997</v>
      </c>
      <c r="N3819">
        <v>0</v>
      </c>
      <c r="O3819">
        <v>4.0701000000000001E-2</v>
      </c>
      <c r="P3819">
        <v>0.99848559999999997</v>
      </c>
      <c r="Q3819">
        <v>5.4345780000000003E-2</v>
      </c>
      <c r="R3819">
        <v>-8.5481419999999999E-3</v>
      </c>
      <c r="S3819">
        <v>3.0144959999999998</v>
      </c>
      <c r="T3819">
        <v>-0.20035459999999999</v>
      </c>
      <c r="U3819">
        <v>-3.092957E-2</v>
      </c>
      <c r="V3819">
        <v>4.9182499999999997E-2</v>
      </c>
      <c r="W3819">
        <v>6.9037619999999994E-2</v>
      </c>
      <c r="X3819">
        <v>0.99640099999999998</v>
      </c>
      <c r="Y3819">
        <v>5.0752770000000003E-2</v>
      </c>
      <c r="Z3819">
        <v>-4.3866670000000003E-3</v>
      </c>
      <c r="AA3819">
        <v>0.99870159999999997</v>
      </c>
      <c r="AB3819">
        <v>48</v>
      </c>
      <c r="AC3819">
        <v>16.2273</v>
      </c>
      <c r="AD3819">
        <v>-1.110100773474</v>
      </c>
      <c r="AE3819">
        <v>-0.19069999999999199</v>
      </c>
      <c r="AF3819">
        <v>0.84711716833366901</v>
      </c>
      <c r="AG3819">
        <v>-1.110100773474</v>
      </c>
      <c r="AH3819">
        <v>16.1306096730668</v>
      </c>
      <c r="AI3819">
        <v>93.931459955144504</v>
      </c>
      <c r="AJ3819">
        <v>86.993809093371993</v>
      </c>
      <c r="AK3819">
        <v>16.190938813082699</v>
      </c>
      <c r="AL3819">
        <v>86.041286951203404</v>
      </c>
      <c r="AM3819">
        <v>87.174165379074793</v>
      </c>
      <c r="AN3819">
        <v>1.0000000320412501</v>
      </c>
    </row>
    <row r="3820" spans="1:40" x14ac:dyDescent="0.25">
      <c r="A3820" t="str">
        <f>"20190312154329207"</f>
        <v>20190312154329207</v>
      </c>
      <c r="B3820" t="str">
        <f>"1552376609201467"</f>
        <v>1552376609201467</v>
      </c>
      <c r="C3820" t="s">
        <v>40</v>
      </c>
      <c r="D3820">
        <v>5.0961339999999904</v>
      </c>
      <c r="E3820">
        <v>0.50255760000000005</v>
      </c>
      <c r="F3820" t="s">
        <v>50</v>
      </c>
      <c r="G3820">
        <v>-364.2715</v>
      </c>
      <c r="H3820" s="1">
        <v>7.3631380000000003E-7</v>
      </c>
      <c r="I3820">
        <v>214.7646</v>
      </c>
      <c r="J3820">
        <v>-380.97480000000002</v>
      </c>
      <c r="K3820">
        <v>1.110087</v>
      </c>
      <c r="L3820">
        <v>214.9486</v>
      </c>
      <c r="M3820">
        <v>0.99906510000000004</v>
      </c>
      <c r="N3820">
        <v>0</v>
      </c>
      <c r="O3820">
        <v>4.0639590000000003E-2</v>
      </c>
      <c r="P3820">
        <v>0.99844999999999995</v>
      </c>
      <c r="Q3820">
        <v>5.5084019999999997E-2</v>
      </c>
      <c r="R3820">
        <v>-7.9755109999999994E-3</v>
      </c>
      <c r="S3820">
        <v>3.0148929999999998</v>
      </c>
      <c r="T3820">
        <v>-0.19516890000000001</v>
      </c>
      <c r="U3820">
        <v>-2.9174800000000001E-2</v>
      </c>
      <c r="V3820">
        <v>4.8552909999999998E-2</v>
      </c>
      <c r="W3820">
        <v>6.9782559999999993E-2</v>
      </c>
      <c r="X3820">
        <v>0.99638000000000004</v>
      </c>
      <c r="Y3820">
        <v>5.0120610000000003E-2</v>
      </c>
      <c r="Z3820">
        <v>-4.2484030000000004E-3</v>
      </c>
      <c r="AA3820">
        <v>0.99873409999999996</v>
      </c>
      <c r="AB3820">
        <v>48</v>
      </c>
      <c r="AC3820">
        <v>16.703299999999999</v>
      </c>
      <c r="AD3820">
        <v>-1.1100862636861999</v>
      </c>
      <c r="AE3820">
        <v>-0.183999999999997</v>
      </c>
      <c r="AF3820">
        <v>0.85894367271087801</v>
      </c>
      <c r="AG3820">
        <v>-1.1100862636861999</v>
      </c>
      <c r="AH3820">
        <v>16.608670941449098</v>
      </c>
      <c r="AI3820">
        <v>93.818745657583506</v>
      </c>
      <c r="AJ3820">
        <v>87.039495702434195</v>
      </c>
      <c r="AK3820">
        <v>16.667874075209799</v>
      </c>
      <c r="AL3820">
        <v>85.998501907205707</v>
      </c>
      <c r="AM3820">
        <v>87.210222947047498</v>
      </c>
      <c r="AN3820">
        <v>1.0000000475748001</v>
      </c>
    </row>
    <row r="3821" spans="1:40" x14ac:dyDescent="0.25">
      <c r="A3821" t="str">
        <f>"20190312154329230"</f>
        <v>20190312154329230</v>
      </c>
      <c r="B3821" t="str">
        <f>"1552376609220987"</f>
        <v>1552376609220987</v>
      </c>
      <c r="C3821" t="s">
        <v>40</v>
      </c>
      <c r="D3821">
        <v>5.0979419999999998</v>
      </c>
      <c r="E3821">
        <v>0.50247410000000003</v>
      </c>
      <c r="F3821" t="s">
        <v>50</v>
      </c>
      <c r="G3821">
        <v>-363.69940000000003</v>
      </c>
      <c r="H3821" s="1">
        <v>4.3183309999999999E-7</v>
      </c>
      <c r="I3821">
        <v>214.7921</v>
      </c>
      <c r="J3821">
        <v>-380.4821</v>
      </c>
      <c r="K3821">
        <v>1.110039</v>
      </c>
      <c r="L3821">
        <v>214.96860000000001</v>
      </c>
      <c r="M3821">
        <v>0.99907049999999997</v>
      </c>
      <c r="N3821">
        <v>0</v>
      </c>
      <c r="O3821">
        <v>4.0503770000000001E-2</v>
      </c>
      <c r="P3821">
        <v>0.99836519999999995</v>
      </c>
      <c r="Q3821">
        <v>5.665647E-2</v>
      </c>
      <c r="R3821">
        <v>-7.5700869999999996E-3</v>
      </c>
      <c r="S3821">
        <v>3.0151370000000002</v>
      </c>
      <c r="T3821">
        <v>-0.19374739999999999</v>
      </c>
      <c r="U3821">
        <v>-2.7313230000000001E-2</v>
      </c>
      <c r="V3821">
        <v>4.801863E-2</v>
      </c>
      <c r="W3821">
        <v>7.1357420000000005E-2</v>
      </c>
      <c r="X3821">
        <v>0.99629429999999997</v>
      </c>
      <c r="Y3821">
        <v>4.9372069999999997E-2</v>
      </c>
      <c r="Z3821">
        <v>-4.1844500000000001E-3</v>
      </c>
      <c r="AA3821">
        <v>0.99877169999999904</v>
      </c>
      <c r="AB3821">
        <v>48</v>
      </c>
      <c r="AC3821">
        <v>16.782699999999899</v>
      </c>
      <c r="AD3821">
        <v>-1.1100385681668901</v>
      </c>
      <c r="AE3821">
        <v>-0.17650000000000399</v>
      </c>
      <c r="AF3821">
        <v>0.852462821738594</v>
      </c>
      <c r="AG3821">
        <v>-1.1100385681668901</v>
      </c>
      <c r="AH3821">
        <v>16.688774171067401</v>
      </c>
      <c r="AI3821">
        <v>93.800431023785094</v>
      </c>
      <c r="AJ3821">
        <v>87.075872181552995</v>
      </c>
      <c r="AK3821">
        <v>16.747359846201199</v>
      </c>
      <c r="AL3821">
        <v>85.908043352602604</v>
      </c>
      <c r="AM3821">
        <v>87.240637199599306</v>
      </c>
      <c r="AN3821">
        <v>1.00000000121431</v>
      </c>
    </row>
    <row r="3822" spans="1:40" x14ac:dyDescent="0.25">
      <c r="A3822" t="str">
        <f>"20190312154329253"</f>
        <v>20190312154329253</v>
      </c>
      <c r="B3822" t="str">
        <f>"1552376609241484"</f>
        <v>1552376609241484</v>
      </c>
      <c r="C3822" t="s">
        <v>40</v>
      </c>
      <c r="D3822">
        <v>5.145823</v>
      </c>
      <c r="E3822">
        <v>0.50222840000000002</v>
      </c>
      <c r="F3822" t="s">
        <v>41</v>
      </c>
      <c r="G3822">
        <v>-379.36070000000001</v>
      </c>
      <c r="H3822">
        <v>1.0393349999999999</v>
      </c>
      <c r="I3822">
        <v>214.9588</v>
      </c>
      <c r="J3822">
        <v>-379.98750000000001</v>
      </c>
      <c r="K3822">
        <v>1.1099730000000001</v>
      </c>
      <c r="L3822">
        <v>214.98849999999999</v>
      </c>
      <c r="M3822">
        <v>0.9990793</v>
      </c>
      <c r="N3822">
        <v>0</v>
      </c>
      <c r="O3822">
        <v>4.0284090000000002E-2</v>
      </c>
      <c r="P3822">
        <v>0.99836599999999998</v>
      </c>
      <c r="Q3822">
        <v>5.6638330000000001E-2</v>
      </c>
      <c r="R3822">
        <v>-7.5847179999999998E-3</v>
      </c>
      <c r="S3822">
        <v>3.015533</v>
      </c>
      <c r="T3822">
        <v>-0.19020519999999999</v>
      </c>
      <c r="U3822">
        <v>-2.555847E-2</v>
      </c>
      <c r="V3822">
        <v>4.7826199999999902E-2</v>
      </c>
      <c r="W3822">
        <v>7.1338869999999999E-2</v>
      </c>
      <c r="X3822">
        <v>0.99630490000000005</v>
      </c>
      <c r="Y3822">
        <v>4.8578870000000003E-2</v>
      </c>
      <c r="Z3822">
        <v>-4.0687379999999997E-3</v>
      </c>
      <c r="AA3822">
        <v>0.99881109999999995</v>
      </c>
      <c r="AB3822">
        <v>48</v>
      </c>
      <c r="AC3822">
        <v>0.62680000000000202</v>
      </c>
      <c r="AD3822">
        <v>-7.0637999999999701E-2</v>
      </c>
      <c r="AE3822">
        <v>-2.9699999999991102E-2</v>
      </c>
      <c r="AF3822">
        <v>5.4241357406819603E-2</v>
      </c>
      <c r="AG3822">
        <v>-7.0637999999999701E-2</v>
      </c>
      <c r="AH3822">
        <v>0.61727245637023398</v>
      </c>
      <c r="AI3822">
        <v>96.503439569887604</v>
      </c>
      <c r="AJ3822">
        <v>84.978167884215097</v>
      </c>
      <c r="AK3822">
        <v>0.62366428251959105</v>
      </c>
      <c r="AL3822">
        <v>85.909108968651296</v>
      </c>
      <c r="AM3822">
        <v>87.251707285717501</v>
      </c>
      <c r="AN3822">
        <v>1.0000000167716601</v>
      </c>
    </row>
    <row r="3823" spans="1:40" x14ac:dyDescent="0.25">
      <c r="A3823" t="str">
        <f>"20190312154329274"</f>
        <v>20190312154329274</v>
      </c>
      <c r="B3823" t="str">
        <f>"1552376609271740"</f>
        <v>1552376609271740</v>
      </c>
      <c r="C3823" t="s">
        <v>40</v>
      </c>
      <c r="D3823">
        <v>5.1506100000000004</v>
      </c>
      <c r="E3823">
        <v>0.50195259999999997</v>
      </c>
      <c r="F3823" t="s">
        <v>41</v>
      </c>
      <c r="G3823">
        <v>-378.92989999999998</v>
      </c>
      <c r="H3823">
        <v>1.043288</v>
      </c>
      <c r="I3823">
        <v>214.97989999999999</v>
      </c>
      <c r="J3823">
        <v>-379.52370000000002</v>
      </c>
      <c r="K3823">
        <v>1.109896</v>
      </c>
      <c r="L3823">
        <v>215.00700000000001</v>
      </c>
      <c r="M3823">
        <v>0.99909009999999998</v>
      </c>
      <c r="N3823">
        <v>0</v>
      </c>
      <c r="O3823">
        <v>4.0011060000000001E-2</v>
      </c>
      <c r="P3823">
        <v>0.99842719999999896</v>
      </c>
      <c r="Q3823">
        <v>5.5537179999999998E-2</v>
      </c>
      <c r="R3823">
        <v>-7.702464E-3</v>
      </c>
      <c r="S3823">
        <v>3.015533</v>
      </c>
      <c r="T3823">
        <v>-0.19018379999999999</v>
      </c>
      <c r="U3823">
        <v>-2.4230959999999999E-2</v>
      </c>
      <c r="V3823">
        <v>4.7685529999999997E-2</v>
      </c>
      <c r="W3823">
        <v>7.0236800000000002E-2</v>
      </c>
      <c r="X3823">
        <v>0.99638990000000005</v>
      </c>
      <c r="Y3823">
        <v>4.7868239999999999E-2</v>
      </c>
      <c r="Z3823">
        <v>-4.028701E-3</v>
      </c>
      <c r="AA3823">
        <v>0.99884550000000005</v>
      </c>
      <c r="AB3823">
        <v>48</v>
      </c>
      <c r="AC3823">
        <v>0.59380000000004396</v>
      </c>
      <c r="AD3823">
        <v>-6.6608000000000001E-2</v>
      </c>
      <c r="AE3823">
        <v>-2.7100000000018502E-2</v>
      </c>
      <c r="AF3823">
        <v>5.0209003556856202E-2</v>
      </c>
      <c r="AG3823">
        <v>-6.6608000000000001E-2</v>
      </c>
      <c r="AH3823">
        <v>0.58489573892897195</v>
      </c>
      <c r="AI3823">
        <v>96.473258130055797</v>
      </c>
      <c r="AJ3823">
        <v>85.0936062087534</v>
      </c>
      <c r="AK3823">
        <v>0.59081350282423295</v>
      </c>
      <c r="AL3823">
        <v>85.972411565055907</v>
      </c>
      <c r="AM3823">
        <v>87.260011837681404</v>
      </c>
      <c r="AN3823">
        <v>0.99999997533381502</v>
      </c>
    </row>
    <row r="3824" spans="1:40" x14ac:dyDescent="0.25">
      <c r="A3824" t="str">
        <f>"20190312154329298"</f>
        <v>20190312154329298</v>
      </c>
      <c r="B3824" t="str">
        <f>"1552376609291260"</f>
        <v>1552376609291260</v>
      </c>
      <c r="C3824" t="s">
        <v>40</v>
      </c>
      <c r="D3824">
        <v>5.1388480000000003</v>
      </c>
      <c r="E3824">
        <v>0.5017684</v>
      </c>
      <c r="F3824" t="s">
        <v>41</v>
      </c>
      <c r="G3824">
        <v>-378.50099999999998</v>
      </c>
      <c r="H3824">
        <v>1.0442290000000001</v>
      </c>
      <c r="I3824">
        <v>214.9992</v>
      </c>
      <c r="J3824">
        <v>-379.02769999999998</v>
      </c>
      <c r="K3824">
        <v>1.10981</v>
      </c>
      <c r="L3824">
        <v>215.0265</v>
      </c>
      <c r="M3824">
        <v>0.99910480000000002</v>
      </c>
      <c r="N3824">
        <v>0</v>
      </c>
      <c r="O3824">
        <v>3.9641240000000001E-2</v>
      </c>
      <c r="P3824">
        <v>0.99856</v>
      </c>
      <c r="Q3824">
        <v>5.297719E-2</v>
      </c>
      <c r="R3824">
        <v>-8.4567840000000002E-3</v>
      </c>
      <c r="S3824">
        <v>3.0152890000000001</v>
      </c>
      <c r="T3824">
        <v>-0.1936582</v>
      </c>
      <c r="U3824">
        <v>-2.2583010000000001E-2</v>
      </c>
      <c r="V3824">
        <v>4.8086789999999997E-2</v>
      </c>
      <c r="W3824">
        <v>6.7674670000000006E-2</v>
      </c>
      <c r="X3824">
        <v>0.99654790000000004</v>
      </c>
      <c r="Y3824">
        <v>4.694947E-2</v>
      </c>
      <c r="Z3824">
        <v>-4.0492929999999998E-3</v>
      </c>
      <c r="AA3824">
        <v>0.99888900000000003</v>
      </c>
      <c r="AB3824">
        <v>48</v>
      </c>
      <c r="AC3824">
        <v>0.52670000000000505</v>
      </c>
      <c r="AD3824">
        <v>-6.5580999999999806E-2</v>
      </c>
      <c r="AE3824">
        <v>-2.7299999999996698E-2</v>
      </c>
      <c r="AF3824">
        <v>4.7426549091682701E-2</v>
      </c>
      <c r="AG3824">
        <v>-6.5580999999999806E-2</v>
      </c>
      <c r="AH3824">
        <v>0.51720656596675396</v>
      </c>
      <c r="AI3824">
        <v>97.196578978803004</v>
      </c>
      <c r="AJ3824">
        <v>84.760772038065596</v>
      </c>
      <c r="AK3824">
        <v>0.52350050334156095</v>
      </c>
      <c r="AL3824">
        <v>86.119561037428298</v>
      </c>
      <c r="AM3824">
        <v>87.237428595194103</v>
      </c>
      <c r="AN3824">
        <v>0.99999995866325997</v>
      </c>
    </row>
    <row r="3825" spans="1:40" x14ac:dyDescent="0.25">
      <c r="A3825" t="str">
        <f>"20190312154329319"</f>
        <v>20190312154329319</v>
      </c>
      <c r="B3825" t="str">
        <f>"1552376609311756"</f>
        <v>1552376609311756</v>
      </c>
      <c r="C3825" t="s">
        <v>40</v>
      </c>
      <c r="D3825">
        <v>5.11761</v>
      </c>
      <c r="E3825">
        <v>0.50160769999999999</v>
      </c>
      <c r="F3825" t="s">
        <v>41</v>
      </c>
      <c r="G3825">
        <v>-378.07170000000002</v>
      </c>
      <c r="H3825">
        <v>1.0459050000000001</v>
      </c>
      <c r="I3825">
        <v>215.01900000000001</v>
      </c>
      <c r="J3825">
        <v>-378.56200000000001</v>
      </c>
      <c r="K3825">
        <v>1.109737</v>
      </c>
      <c r="L3825">
        <v>215.0446</v>
      </c>
      <c r="M3825">
        <v>0.99912120000000004</v>
      </c>
      <c r="N3825">
        <v>0</v>
      </c>
      <c r="O3825">
        <v>3.9222340000000001E-2</v>
      </c>
      <c r="P3825">
        <v>0.99856920000000005</v>
      </c>
      <c r="Q3825">
        <v>5.2522800000000001E-2</v>
      </c>
      <c r="R3825">
        <v>-1.005697E-2</v>
      </c>
      <c r="S3825">
        <v>3.0148320000000002</v>
      </c>
      <c r="T3825">
        <v>-0.20152529999999999</v>
      </c>
      <c r="U3825">
        <v>-2.3132320000000001E-2</v>
      </c>
      <c r="V3825">
        <v>4.9279440000000001E-2</v>
      </c>
      <c r="W3825">
        <v>6.7214629999999997E-2</v>
      </c>
      <c r="X3825">
        <v>0.99652079999999998</v>
      </c>
      <c r="Y3825">
        <v>4.6700459999999999E-2</v>
      </c>
      <c r="Z3825">
        <v>-4.1777990000000003E-3</v>
      </c>
      <c r="AA3825">
        <v>0.99890020000000002</v>
      </c>
      <c r="AB3825">
        <v>48</v>
      </c>
      <c r="AC3825">
        <v>0.49029999999993301</v>
      </c>
      <c r="AD3825">
        <v>-6.3832000000000097E-2</v>
      </c>
      <c r="AE3825">
        <v>-2.5599999999997101E-2</v>
      </c>
      <c r="AF3825">
        <v>4.4068213714782797E-2</v>
      </c>
      <c r="AG3825">
        <v>-6.3832000000000097E-2</v>
      </c>
      <c r="AH3825">
        <v>0.48079148514588299</v>
      </c>
      <c r="AI3825">
        <v>97.531408380927203</v>
      </c>
      <c r="AJ3825">
        <v>84.763036712943702</v>
      </c>
      <c r="AK3825">
        <v>0.48700819692567399</v>
      </c>
      <c r="AL3825">
        <v>86.145979654038499</v>
      </c>
      <c r="AM3825">
        <v>87.168944470935003</v>
      </c>
      <c r="AN3825">
        <v>0.99999998726269501</v>
      </c>
    </row>
    <row r="3826" spans="1:40" x14ac:dyDescent="0.25">
      <c r="A3826" t="str">
        <f>"20190312154329342"</f>
        <v>20190312154329342</v>
      </c>
      <c r="B3826" t="str">
        <f>"1552376609331277"</f>
        <v>1552376609331277</v>
      </c>
      <c r="C3826" t="s">
        <v>40</v>
      </c>
      <c r="D3826">
        <v>5.1259880000000004</v>
      </c>
      <c r="E3826">
        <v>0.50146899999999905</v>
      </c>
      <c r="F3826" t="s">
        <v>41</v>
      </c>
      <c r="G3826">
        <v>-377.64240000000001</v>
      </c>
      <c r="H3826">
        <v>1.0478149999999999</v>
      </c>
      <c r="I3826">
        <v>215.03639999999999</v>
      </c>
      <c r="J3826">
        <v>-378.06279999999998</v>
      </c>
      <c r="K3826">
        <v>1.1096629999999901</v>
      </c>
      <c r="L3826">
        <v>215.06379999999999</v>
      </c>
      <c r="M3826">
        <v>0.99914130000000001</v>
      </c>
      <c r="N3826">
        <v>0</v>
      </c>
      <c r="O3826">
        <v>3.870763E-2</v>
      </c>
      <c r="P3826">
        <v>0.99861690000000003</v>
      </c>
      <c r="Q3826">
        <v>5.1050579999999998E-2</v>
      </c>
      <c r="R3826">
        <v>-1.258576E-2</v>
      </c>
      <c r="S3826">
        <v>3.0147089999999999</v>
      </c>
      <c r="T3826">
        <v>-0.20302890000000001</v>
      </c>
      <c r="U3826">
        <v>-2.6443479999999998E-2</v>
      </c>
      <c r="V3826">
        <v>5.1304629999999997E-2</v>
      </c>
      <c r="W3826">
        <v>6.5734459999999995E-2</v>
      </c>
      <c r="X3826">
        <v>0.9965174</v>
      </c>
      <c r="Y3826">
        <v>4.728019E-2</v>
      </c>
      <c r="Z3826">
        <v>-4.1939519999999999E-3</v>
      </c>
      <c r="AA3826">
        <v>0.99887289999999995</v>
      </c>
      <c r="AB3826">
        <v>48</v>
      </c>
      <c r="AC3826">
        <v>0.42039999999997202</v>
      </c>
      <c r="AD3826">
        <v>-6.1847999999999903E-2</v>
      </c>
      <c r="AE3826">
        <v>-2.7400000000000001E-2</v>
      </c>
      <c r="AF3826">
        <v>4.2732951122463399E-2</v>
      </c>
      <c r="AG3826">
        <v>-6.1847999999999903E-2</v>
      </c>
      <c r="AH3826">
        <v>0.41018393852896801</v>
      </c>
      <c r="AI3826">
        <v>98.529055829746</v>
      </c>
      <c r="AJ3826">
        <v>84.052382805705307</v>
      </c>
      <c r="AK3826">
        <v>0.41701575946572</v>
      </c>
      <c r="AL3826">
        <v>86.230975417657902</v>
      </c>
      <c r="AM3826">
        <v>87.052790331923305</v>
      </c>
      <c r="AN3826">
        <v>1.0000000563968401</v>
      </c>
    </row>
    <row r="3827" spans="1:40" x14ac:dyDescent="0.25">
      <c r="A3827" t="str">
        <f>"20190312154329365"</f>
        <v>20190312154329365</v>
      </c>
      <c r="B3827" t="str">
        <f>"1552376609361532"</f>
        <v>1552376609361532</v>
      </c>
      <c r="C3827" t="s">
        <v>40</v>
      </c>
      <c r="D3827">
        <v>5.1541860000000002</v>
      </c>
      <c r="E3827">
        <v>0.50126099999999996</v>
      </c>
      <c r="F3827" t="s">
        <v>41</v>
      </c>
      <c r="G3827">
        <v>-377.20350000000002</v>
      </c>
      <c r="H3827">
        <v>1.0504910000000001</v>
      </c>
      <c r="I3827">
        <v>215.05459999999999</v>
      </c>
      <c r="J3827">
        <v>-377.58969999999999</v>
      </c>
      <c r="K3827">
        <v>1.1095969999999999</v>
      </c>
      <c r="L3827">
        <v>215.08170000000001</v>
      </c>
      <c r="M3827">
        <v>0.99916179999999999</v>
      </c>
      <c r="N3827">
        <v>0</v>
      </c>
      <c r="O3827">
        <v>3.8172629999999999E-2</v>
      </c>
      <c r="P3827">
        <v>0.99870170000000003</v>
      </c>
      <c r="Q3827">
        <v>4.8489369999999997E-2</v>
      </c>
      <c r="R3827">
        <v>-1.5618140000000001E-2</v>
      </c>
      <c r="S3827">
        <v>3.0143740000000001</v>
      </c>
      <c r="T3827">
        <v>-0.2076528</v>
      </c>
      <c r="U3827">
        <v>-3.2226560000000001E-2</v>
      </c>
      <c r="V3827">
        <v>5.3810810000000001E-2</v>
      </c>
      <c r="W3827">
        <v>6.3165369999999998E-2</v>
      </c>
      <c r="X3827">
        <v>0.99655130000000003</v>
      </c>
      <c r="Y3827">
        <v>4.8651430000000002E-2</v>
      </c>
      <c r="Z3827">
        <v>-4.3000809999999999E-3</v>
      </c>
      <c r="AA3827">
        <v>0.99880650000000004</v>
      </c>
      <c r="AB3827">
        <v>48</v>
      </c>
      <c r="AC3827">
        <v>0.38619999999997301</v>
      </c>
      <c r="AD3827">
        <v>-5.9105999999999798E-2</v>
      </c>
      <c r="AE3827">
        <v>-2.7100000000018502E-2</v>
      </c>
      <c r="AF3827">
        <v>4.0871491437751997E-2</v>
      </c>
      <c r="AG3827">
        <v>-5.9105999999999798E-2</v>
      </c>
      <c r="AH3827">
        <v>0.376117318563783</v>
      </c>
      <c r="AI3827">
        <v>98.879432822183603</v>
      </c>
      <c r="AJ3827">
        <v>83.798181992967997</v>
      </c>
      <c r="AK3827">
        <v>0.38292066459249202</v>
      </c>
      <c r="AL3827">
        <v>86.378479859744601</v>
      </c>
      <c r="AM3827">
        <v>86.909199695558399</v>
      </c>
      <c r="AN3827">
        <v>0.999999980385891</v>
      </c>
    </row>
    <row r="3828" spans="1:40" x14ac:dyDescent="0.25">
      <c r="A3828" t="str">
        <f>"20190312154329387"</f>
        <v>20190312154329387</v>
      </c>
      <c r="B3828" t="str">
        <f>"1552376609381052"</f>
        <v>1552376609381052</v>
      </c>
      <c r="C3828" t="s">
        <v>40</v>
      </c>
      <c r="D3828">
        <v>5.1518030000000001</v>
      </c>
      <c r="E3828">
        <v>0.50107869999999999</v>
      </c>
      <c r="F3828" t="s">
        <v>50</v>
      </c>
      <c r="G3828">
        <v>-362.06779999999998</v>
      </c>
      <c r="H3828" s="1">
        <v>-4.3638349999999998E-7</v>
      </c>
      <c r="I3828">
        <v>214.88079999999999</v>
      </c>
      <c r="J3828">
        <v>-377.11919999999998</v>
      </c>
      <c r="K3828">
        <v>1.10955</v>
      </c>
      <c r="L3828">
        <v>215.0993</v>
      </c>
      <c r="M3828">
        <v>0.99918320000000005</v>
      </c>
      <c r="N3828">
        <v>0</v>
      </c>
      <c r="O3828">
        <v>3.760894E-2</v>
      </c>
      <c r="P3828">
        <v>0.99876860000000001</v>
      </c>
      <c r="Q3828">
        <v>4.6039289999999997E-2</v>
      </c>
      <c r="R3828">
        <v>-1.849253E-2</v>
      </c>
      <c r="S3828">
        <v>3.013763</v>
      </c>
      <c r="T3828">
        <v>-0.21544289999999999</v>
      </c>
      <c r="U3828">
        <v>-3.9016719999999998E-2</v>
      </c>
      <c r="V3828">
        <v>5.612781E-2</v>
      </c>
      <c r="W3828">
        <v>6.0706280000000001E-2</v>
      </c>
      <c r="X3828">
        <v>0.99657640000000003</v>
      </c>
      <c r="Y3828">
        <v>5.0321480000000002E-2</v>
      </c>
      <c r="Z3828">
        <v>-4.48125E-3</v>
      </c>
      <c r="AA3828">
        <v>0.99872300000000003</v>
      </c>
      <c r="AB3828">
        <v>48</v>
      </c>
      <c r="AC3828">
        <v>15.051399999999999</v>
      </c>
      <c r="AD3828">
        <v>-1.1095504363835</v>
      </c>
      <c r="AE3828">
        <v>-0.218500000000005</v>
      </c>
      <c r="AF3828">
        <v>0.78023533020830205</v>
      </c>
      <c r="AG3828">
        <v>-1.1095504363835</v>
      </c>
      <c r="AH3828">
        <v>14.951298755300201</v>
      </c>
      <c r="AI3828">
        <v>94.238449405778695</v>
      </c>
      <c r="AJ3828">
        <v>87.0127226015899</v>
      </c>
      <c r="AK3828">
        <v>15.012701416188399</v>
      </c>
      <c r="AL3828">
        <v>86.519646648331005</v>
      </c>
      <c r="AM3828">
        <v>86.776471121777604</v>
      </c>
      <c r="AN3828">
        <v>1.0000000522618899</v>
      </c>
    </row>
    <row r="3829" spans="1:40" x14ac:dyDescent="0.25">
      <c r="A3829" t="str">
        <f>"20190312154329408"</f>
        <v>20190312154329408</v>
      </c>
      <c r="B3829" t="str">
        <f>"1552376609401548"</f>
        <v>1552376609401548</v>
      </c>
      <c r="C3829" t="s">
        <v>40</v>
      </c>
      <c r="D3829">
        <v>5.1444970000000003</v>
      </c>
      <c r="E3829">
        <v>0.50091169999999996</v>
      </c>
      <c r="F3829" t="s">
        <v>50</v>
      </c>
      <c r="G3829">
        <v>-362.10239999999999</v>
      </c>
      <c r="H3829" s="1">
        <v>-4.1800519999999997E-7</v>
      </c>
      <c r="I3829">
        <v>214.8699</v>
      </c>
      <c r="J3829">
        <v>-376.67840000000001</v>
      </c>
      <c r="K3829">
        <v>1.109513</v>
      </c>
      <c r="L3829">
        <v>215.1155</v>
      </c>
      <c r="M3829">
        <v>0.99920370000000003</v>
      </c>
      <c r="N3829">
        <v>0</v>
      </c>
      <c r="O3829">
        <v>3.7060950000000002E-2</v>
      </c>
      <c r="P3829">
        <v>0.99866679999999997</v>
      </c>
      <c r="Q3829">
        <v>4.7461870000000003E-2</v>
      </c>
      <c r="R3829">
        <v>-2.030525E-2</v>
      </c>
      <c r="S3829">
        <v>3.013153</v>
      </c>
      <c r="T3829">
        <v>-0.22263289999999999</v>
      </c>
      <c r="U3829">
        <v>-4.6035769999999997E-2</v>
      </c>
      <c r="V3829">
        <v>5.739694E-2</v>
      </c>
      <c r="W3829">
        <v>6.2119830000000001E-2</v>
      </c>
      <c r="X3829">
        <v>0.99641690000000005</v>
      </c>
      <c r="Y3829">
        <v>5.2083709999999998E-2</v>
      </c>
      <c r="Z3829">
        <v>-4.6558830000000004E-3</v>
      </c>
      <c r="AA3829">
        <v>0.99863190000000002</v>
      </c>
      <c r="AB3829">
        <v>48</v>
      </c>
      <c r="AC3829">
        <v>14.576000000000001</v>
      </c>
      <c r="AD3829">
        <v>-1.1095134180052</v>
      </c>
      <c r="AE3829">
        <v>-0.24559999999999599</v>
      </c>
      <c r="AF3829">
        <v>0.78116576537501803</v>
      </c>
      <c r="AG3829">
        <v>-1.1095134180052</v>
      </c>
      <c r="AH3829">
        <v>14.473046097250499</v>
      </c>
      <c r="AI3829">
        <v>94.377412087188404</v>
      </c>
      <c r="AJ3829">
        <v>86.910524928413196</v>
      </c>
      <c r="AK3829">
        <v>14.536516202683</v>
      </c>
      <c r="AL3829">
        <v>86.438502704975207</v>
      </c>
      <c r="AM3829">
        <v>86.703214999054794</v>
      </c>
      <c r="AN3829">
        <v>0.99999996030310001</v>
      </c>
    </row>
    <row r="3830" spans="1:40" x14ac:dyDescent="0.25">
      <c r="A3830" t="str">
        <f>"20190312154329431"</f>
        <v>20190312154329431</v>
      </c>
      <c r="B3830" t="str">
        <f>"1552376609421068"</f>
        <v>1552376609421068</v>
      </c>
      <c r="C3830" t="s">
        <v>40</v>
      </c>
      <c r="D3830">
        <v>5.1258559999999997</v>
      </c>
      <c r="E3830">
        <v>0.50074730000000001</v>
      </c>
      <c r="F3830" t="s">
        <v>50</v>
      </c>
      <c r="G3830">
        <v>-361.32940000000002</v>
      </c>
      <c r="H3830" s="1">
        <v>-8.2932309999999999E-7</v>
      </c>
      <c r="I3830">
        <v>214.86060000000001</v>
      </c>
      <c r="J3830">
        <v>-376.1678</v>
      </c>
      <c r="K3830">
        <v>1.10948</v>
      </c>
      <c r="L3830">
        <v>215.13390000000001</v>
      </c>
      <c r="M3830">
        <v>0.99922759999999999</v>
      </c>
      <c r="N3830">
        <v>0</v>
      </c>
      <c r="O3830">
        <v>3.6411069999999997E-2</v>
      </c>
      <c r="P3830">
        <v>0.99854370000000003</v>
      </c>
      <c r="Q3830">
        <v>4.9251709999999997E-2</v>
      </c>
      <c r="R3830">
        <v>-2.2032909999999999E-2</v>
      </c>
      <c r="S3830">
        <v>3.0133359999999998</v>
      </c>
      <c r="T3830">
        <v>-0.2178223</v>
      </c>
      <c r="U3830">
        <v>-5.0033569999999999E-2</v>
      </c>
      <c r="V3830">
        <v>5.8479290000000003E-2</v>
      </c>
      <c r="W3830">
        <v>6.3900120000000005E-2</v>
      </c>
      <c r="X3830">
        <v>0.99624140000000005</v>
      </c>
      <c r="Y3830">
        <v>5.2768139999999998E-2</v>
      </c>
      <c r="Z3830">
        <v>-4.533039E-3</v>
      </c>
      <c r="AA3830">
        <v>0.9985965</v>
      </c>
      <c r="AB3830">
        <v>48</v>
      </c>
      <c r="AC3830">
        <v>14.838399999999901</v>
      </c>
      <c r="AD3830">
        <v>-1.1094808293231</v>
      </c>
      <c r="AE3830">
        <v>-0.27330000000000598</v>
      </c>
      <c r="AF3830">
        <v>0.80893878130267705</v>
      </c>
      <c r="AG3830">
        <v>-1.1094808293231</v>
      </c>
      <c r="AH3830">
        <v>14.736248365619399</v>
      </c>
      <c r="AI3830">
        <v>94.299183684403502</v>
      </c>
      <c r="AJ3830">
        <v>86.857931203058101</v>
      </c>
      <c r="AK3830">
        <v>14.800079241536301</v>
      </c>
      <c r="AL3830">
        <v>86.336296598186905</v>
      </c>
      <c r="AM3830">
        <v>86.640597291113394</v>
      </c>
      <c r="AN3830">
        <v>0.99999998988443894</v>
      </c>
    </row>
    <row r="3831" spans="1:40" x14ac:dyDescent="0.25">
      <c r="A3831" t="str">
        <f>"20190312154329453"</f>
        <v>20190312154329453</v>
      </c>
      <c r="B3831" t="str">
        <f>"1552376609441564"</f>
        <v>1552376609441564</v>
      </c>
      <c r="C3831" t="s">
        <v>40</v>
      </c>
      <c r="D3831">
        <v>5.1332979999999999</v>
      </c>
      <c r="E3831">
        <v>0.50062050000000002</v>
      </c>
      <c r="F3831" t="s">
        <v>41</v>
      </c>
      <c r="G3831">
        <v>-375.09280000000001</v>
      </c>
      <c r="H3831">
        <v>1.0338750000000001</v>
      </c>
      <c r="I3831">
        <v>215.11420000000001</v>
      </c>
      <c r="J3831">
        <v>-375.71390000000002</v>
      </c>
      <c r="K3831">
        <v>1.1094489999999999</v>
      </c>
      <c r="L3831">
        <v>215.15010000000001</v>
      </c>
      <c r="M3831">
        <v>0.99924869999999999</v>
      </c>
      <c r="N3831">
        <v>0</v>
      </c>
      <c r="O3831">
        <v>3.5827079999999997E-2</v>
      </c>
      <c r="P3831">
        <v>0.99852260000000004</v>
      </c>
      <c r="Q3831">
        <v>4.9324460000000001E-2</v>
      </c>
      <c r="R3831">
        <v>-2.280252E-2</v>
      </c>
      <c r="S3831">
        <v>3.0136409999999998</v>
      </c>
      <c r="T3831">
        <v>-0.21201709999999999</v>
      </c>
      <c r="U3831">
        <v>-5.4397580000000001E-2</v>
      </c>
      <c r="V3831">
        <v>5.866996E-2</v>
      </c>
      <c r="W3831">
        <v>6.3967700000000002E-2</v>
      </c>
      <c r="X3831">
        <v>0.99622580000000005</v>
      </c>
      <c r="Y3831">
        <v>5.364E-2</v>
      </c>
      <c r="Z3831">
        <v>-4.4016530000000002E-3</v>
      </c>
      <c r="AA3831">
        <v>0.99855070000000001</v>
      </c>
      <c r="AB3831">
        <v>48</v>
      </c>
      <c r="AC3831">
        <v>0.62110000000001198</v>
      </c>
      <c r="AD3831">
        <v>-7.5573999999999794E-2</v>
      </c>
      <c r="AE3831">
        <v>-3.5899999999998003E-2</v>
      </c>
      <c r="AF3831">
        <v>5.7286252778324998E-2</v>
      </c>
      <c r="AG3831">
        <v>-7.5573999999999794E-2</v>
      </c>
      <c r="AH3831">
        <v>0.61040756725337997</v>
      </c>
      <c r="AI3831">
        <v>97.0272534010887</v>
      </c>
      <c r="AJ3831">
        <v>84.638541632373901</v>
      </c>
      <c r="AK3831">
        <v>0.61773015337894199</v>
      </c>
      <c r="AL3831">
        <v>86.332416419849693</v>
      </c>
      <c r="AM3831">
        <v>86.629616611471107</v>
      </c>
      <c r="AN3831">
        <v>0.99999993771766305</v>
      </c>
    </row>
    <row r="3832" spans="1:40" x14ac:dyDescent="0.25">
      <c r="A3832" t="str">
        <f>"20190312154329474"</f>
        <v>20190312154329474</v>
      </c>
      <c r="B3832" t="str">
        <f>"1552376609471352"</f>
        <v>1552376609471352</v>
      </c>
      <c r="C3832" t="s">
        <v>40</v>
      </c>
      <c r="D3832">
        <v>5.1121259999999999</v>
      </c>
      <c r="E3832">
        <v>0.50033329999999998</v>
      </c>
      <c r="F3832" t="s">
        <v>41</v>
      </c>
      <c r="G3832">
        <v>-374.66640000000001</v>
      </c>
      <c r="H3832">
        <v>1.0360100000000001</v>
      </c>
      <c r="I3832">
        <v>215.13050000000001</v>
      </c>
      <c r="J3832">
        <v>-375.26229999999998</v>
      </c>
      <c r="K3832">
        <v>1.1094189999999999</v>
      </c>
      <c r="L3832">
        <v>215.16579999999999</v>
      </c>
      <c r="M3832">
        <v>0.99926950000000003</v>
      </c>
      <c r="N3832">
        <v>0</v>
      </c>
      <c r="O3832">
        <v>3.5242809999999999E-2</v>
      </c>
      <c r="P3832">
        <v>0.998583</v>
      </c>
      <c r="Q3832">
        <v>4.7657900000000003E-2</v>
      </c>
      <c r="R3832">
        <v>-2.3689720000000001E-2</v>
      </c>
      <c r="S3832">
        <v>3.013611</v>
      </c>
      <c r="T3832">
        <v>-0.2112948</v>
      </c>
      <c r="U3832">
        <v>-5.5572509999999999E-2</v>
      </c>
      <c r="V3832">
        <v>5.8977040000000001E-2</v>
      </c>
      <c r="W3832">
        <v>6.2297329999999998E-2</v>
      </c>
      <c r="X3832">
        <v>0.99631360000000002</v>
      </c>
      <c r="Y3832">
        <v>5.3448910000000002E-2</v>
      </c>
      <c r="Z3832">
        <v>-4.3391330000000002E-3</v>
      </c>
      <c r="AA3832">
        <v>0.99856109999999998</v>
      </c>
      <c r="AB3832">
        <v>48</v>
      </c>
      <c r="AC3832">
        <v>0.59589999999997101</v>
      </c>
      <c r="AD3832">
        <v>-7.3409000000000002E-2</v>
      </c>
      <c r="AE3832">
        <v>-3.5299999999978099E-2</v>
      </c>
      <c r="AF3832">
        <v>5.5443098803952602E-2</v>
      </c>
      <c r="AG3832">
        <v>-7.3409000000000002E-2</v>
      </c>
      <c r="AH3832">
        <v>0.58543218738990799</v>
      </c>
      <c r="AI3832">
        <v>97.115666354993806</v>
      </c>
      <c r="AJ3832">
        <v>84.589963923274595</v>
      </c>
      <c r="AK3832">
        <v>0.59261595027312297</v>
      </c>
      <c r="AL3832">
        <v>86.428313178039403</v>
      </c>
      <c r="AM3832">
        <v>86.612314798283293</v>
      </c>
      <c r="AN3832">
        <v>1.00000001905862</v>
      </c>
    </row>
    <row r="3833" spans="1:40" x14ac:dyDescent="0.25">
      <c r="A3833" t="str">
        <f>"20190312154329497"</f>
        <v>20190312154329497</v>
      </c>
      <c r="B3833" t="str">
        <f>"1552376609490871"</f>
        <v>1552376609490871</v>
      </c>
      <c r="C3833" t="s">
        <v>40</v>
      </c>
      <c r="D3833">
        <v>5.1101809999999999</v>
      </c>
      <c r="E3833">
        <v>0.5001698</v>
      </c>
      <c r="F3833" t="s">
        <v>41</v>
      </c>
      <c r="G3833">
        <v>-374.24119999999999</v>
      </c>
      <c r="H3833">
        <v>1.0363990000000001</v>
      </c>
      <c r="I3833">
        <v>215.14670000000001</v>
      </c>
      <c r="J3833">
        <v>-374.76240000000001</v>
      </c>
      <c r="K3833">
        <v>1.109381</v>
      </c>
      <c r="L3833">
        <v>215.18299999999999</v>
      </c>
      <c r="M3833">
        <v>0.99929210000000002</v>
      </c>
      <c r="N3833">
        <v>0</v>
      </c>
      <c r="O3833">
        <v>3.4594989999999999E-2</v>
      </c>
      <c r="P3833">
        <v>0.99868230000000002</v>
      </c>
      <c r="Q3833">
        <v>4.5498869999999997E-2</v>
      </c>
      <c r="R3833">
        <v>-2.374331E-2</v>
      </c>
      <c r="S3833">
        <v>3.0132140000000001</v>
      </c>
      <c r="T3833">
        <v>-0.2156024</v>
      </c>
      <c r="U3833">
        <v>-5.5633540000000002E-2</v>
      </c>
      <c r="V3833">
        <v>5.8387700000000001E-2</v>
      </c>
      <c r="W3833">
        <v>6.0137500000000003E-2</v>
      </c>
      <c r="X3833">
        <v>0.99648099999999995</v>
      </c>
      <c r="Y3833">
        <v>5.2818450000000003E-2</v>
      </c>
      <c r="Z3833">
        <v>-4.3591469999999998E-3</v>
      </c>
      <c r="AA3833">
        <v>0.9985946</v>
      </c>
      <c r="AB3833">
        <v>48</v>
      </c>
      <c r="AC3833">
        <v>0.52120000000002098</v>
      </c>
      <c r="AD3833">
        <v>-7.2981999999999797E-2</v>
      </c>
      <c r="AE3833">
        <v>-3.6299999999982901E-2</v>
      </c>
      <c r="AF3833">
        <v>5.3271662380050301E-2</v>
      </c>
      <c r="AG3833">
        <v>-7.2981999999999797E-2</v>
      </c>
      <c r="AH3833">
        <v>0.50968656545597202</v>
      </c>
      <c r="AI3833">
        <v>98.105229670512998</v>
      </c>
      <c r="AJ3833">
        <v>84.033196926974298</v>
      </c>
      <c r="AK3833">
        <v>0.51763369030912099</v>
      </c>
      <c r="AL3833">
        <v>86.552294855486295</v>
      </c>
      <c r="AM3833">
        <v>86.646651402907906</v>
      </c>
      <c r="AN3833">
        <v>1.0000000128892601</v>
      </c>
    </row>
    <row r="3834" spans="1:40" x14ac:dyDescent="0.25">
      <c r="A3834" t="str">
        <f>"20190312154329520"</f>
        <v>20190312154329520</v>
      </c>
      <c r="B3834" t="str">
        <f>"1552376609511370"</f>
        <v>1552376609511370</v>
      </c>
      <c r="C3834" t="s">
        <v>40</v>
      </c>
      <c r="D3834">
        <v>5.0953339999999896</v>
      </c>
      <c r="E3834">
        <v>0.50002860000000005</v>
      </c>
      <c r="F3834" t="s">
        <v>41</v>
      </c>
      <c r="G3834">
        <v>-373.81490000000002</v>
      </c>
      <c r="H3834">
        <v>1.039795</v>
      </c>
      <c r="I3834">
        <v>215.166</v>
      </c>
      <c r="J3834">
        <v>-374.29570000000001</v>
      </c>
      <c r="K3834">
        <v>1.1093599999999999</v>
      </c>
      <c r="L3834">
        <v>215.1987</v>
      </c>
      <c r="M3834">
        <v>0.99931300000000001</v>
      </c>
      <c r="N3834">
        <v>0</v>
      </c>
      <c r="O3834">
        <v>3.3988949999999997E-2</v>
      </c>
      <c r="P3834">
        <v>0.99876989999999999</v>
      </c>
      <c r="Q3834">
        <v>4.3512790000000003E-2</v>
      </c>
      <c r="R3834">
        <v>-2.3782230000000001E-2</v>
      </c>
      <c r="S3834">
        <v>3.012756</v>
      </c>
      <c r="T3834">
        <v>-0.22131100000000001</v>
      </c>
      <c r="U3834">
        <v>-5.36499E-2</v>
      </c>
      <c r="V3834">
        <v>5.7824090000000002E-2</v>
      </c>
      <c r="W3834">
        <v>5.8150199999999902E-2</v>
      </c>
      <c r="X3834">
        <v>0.99663179999999996</v>
      </c>
      <c r="Y3834">
        <v>5.1551310000000003E-2</v>
      </c>
      <c r="Z3834">
        <v>-4.3840329999999999E-3</v>
      </c>
      <c r="AA3834">
        <v>0.99866069999999996</v>
      </c>
      <c r="AB3834">
        <v>48</v>
      </c>
      <c r="AC3834">
        <v>0.48079999999998702</v>
      </c>
      <c r="AD3834">
        <v>-6.9565000000000099E-2</v>
      </c>
      <c r="AE3834">
        <v>-3.2700000000005502E-2</v>
      </c>
      <c r="AF3834">
        <v>4.8024065156517901E-2</v>
      </c>
      <c r="AG3834">
        <v>-6.9565000000000099E-2</v>
      </c>
      <c r="AH3834">
        <v>0.46962470900882403</v>
      </c>
      <c r="AI3834">
        <v>98.382800475526395</v>
      </c>
      <c r="AJ3834">
        <v>84.161200090803703</v>
      </c>
      <c r="AK3834">
        <v>0.47717184260052498</v>
      </c>
      <c r="AL3834">
        <v>86.6663584308846</v>
      </c>
      <c r="AM3834">
        <v>86.679449482825802</v>
      </c>
      <c r="AN3834">
        <v>1.0000000079578</v>
      </c>
    </row>
    <row r="3835" spans="1:40" x14ac:dyDescent="0.25">
      <c r="A3835" t="str">
        <f>"20190312154329543"</f>
        <v>20190312154329543</v>
      </c>
      <c r="B3835" t="str">
        <f>"1552376609530887"</f>
        <v>1552376609530887</v>
      </c>
      <c r="C3835" t="s">
        <v>40</v>
      </c>
      <c r="D3835">
        <v>5.1539390000000003</v>
      </c>
      <c r="E3835">
        <v>0.4999557</v>
      </c>
      <c r="F3835" t="s">
        <v>41</v>
      </c>
      <c r="G3835">
        <v>-373.38979999999998</v>
      </c>
      <c r="H3835">
        <v>1.041226</v>
      </c>
      <c r="I3835">
        <v>215.18270000000001</v>
      </c>
      <c r="J3835">
        <v>-373.8005</v>
      </c>
      <c r="K3835">
        <v>1.1093230000000001</v>
      </c>
      <c r="L3835">
        <v>215.21510000000001</v>
      </c>
      <c r="M3835">
        <v>0.99933459999999996</v>
      </c>
      <c r="N3835">
        <v>0</v>
      </c>
      <c r="O3835">
        <v>3.3345159999999999E-2</v>
      </c>
      <c r="P3835">
        <v>0.99889830000000002</v>
      </c>
      <c r="Q3835">
        <v>4.0452759999999997E-2</v>
      </c>
      <c r="R3835">
        <v>-2.3789600000000001E-2</v>
      </c>
      <c r="S3835">
        <v>3.0122990000000001</v>
      </c>
      <c r="T3835">
        <v>-0.22659860000000001</v>
      </c>
      <c r="U3835">
        <v>-5.2597049999999999E-2</v>
      </c>
      <c r="V3835">
        <v>5.7189690000000001E-2</v>
      </c>
      <c r="W3835">
        <v>5.5090479999999997E-2</v>
      </c>
      <c r="X3835">
        <v>0.99684220000000001</v>
      </c>
      <c r="Y3835">
        <v>5.0555120000000002E-2</v>
      </c>
      <c r="Z3835">
        <v>-4.4034159999999899E-3</v>
      </c>
      <c r="AA3835">
        <v>0.99871160000000003</v>
      </c>
      <c r="AB3835">
        <v>48</v>
      </c>
      <c r="AC3835">
        <v>0.41070000000001899</v>
      </c>
      <c r="AD3835">
        <v>-6.8097000000000005E-2</v>
      </c>
      <c r="AE3835">
        <v>-3.2399999999995502E-2</v>
      </c>
      <c r="AF3835">
        <v>4.4852862888999402E-2</v>
      </c>
      <c r="AG3835">
        <v>-6.8097000000000005E-2</v>
      </c>
      <c r="AH3835">
        <v>0.39850316399684399</v>
      </c>
      <c r="AI3835">
        <v>99.637450313691005</v>
      </c>
      <c r="AJ3835">
        <v>83.578195216007998</v>
      </c>
      <c r="AK3835">
        <v>0.406760067403174</v>
      </c>
      <c r="AL3835">
        <v>86.841949191496099</v>
      </c>
      <c r="AM3835">
        <v>86.716491408770906</v>
      </c>
      <c r="AN3835">
        <v>0.99999999666488304</v>
      </c>
    </row>
    <row r="3836" spans="1:40" x14ac:dyDescent="0.25">
      <c r="A3836" t="str">
        <f>"20190312154329566"</f>
        <v>20190312154329566</v>
      </c>
      <c r="B3836" t="str">
        <f>"1552376609561143"</f>
        <v>1552376609561143</v>
      </c>
      <c r="C3836" t="s">
        <v>40</v>
      </c>
      <c r="D3836">
        <v>5.2449519999999996</v>
      </c>
      <c r="E3836">
        <v>0.45632739999999999</v>
      </c>
      <c r="F3836" t="s">
        <v>41</v>
      </c>
      <c r="G3836">
        <v>-372.9633</v>
      </c>
      <c r="H3836">
        <v>1.043858</v>
      </c>
      <c r="I3836">
        <v>215.20050000000001</v>
      </c>
      <c r="J3836">
        <v>-373.32029999999997</v>
      </c>
      <c r="K3836">
        <v>1.1092740000000001</v>
      </c>
      <c r="L3836">
        <v>215.23070000000001</v>
      </c>
      <c r="M3836">
        <v>0.9993554</v>
      </c>
      <c r="N3836">
        <v>0</v>
      </c>
      <c r="O3836">
        <v>3.2719520000000002E-2</v>
      </c>
      <c r="P3836">
        <v>0.99914380000000003</v>
      </c>
      <c r="Q3836">
        <v>3.420028E-2</v>
      </c>
      <c r="R3836">
        <v>-2.329111E-2</v>
      </c>
      <c r="S3836">
        <v>3.0116269999999998</v>
      </c>
      <c r="T3836">
        <v>-0.2355479</v>
      </c>
      <c r="U3836">
        <v>-5.1895139999999999E-2</v>
      </c>
      <c r="V3836">
        <v>5.6065129999999998E-2</v>
      </c>
      <c r="W3836">
        <v>4.8842370000000003E-2</v>
      </c>
      <c r="X3836">
        <v>0.99723170000000005</v>
      </c>
      <c r="Y3836">
        <v>4.9686439999999998E-2</v>
      </c>
      <c r="Z3836">
        <v>-4.4950650000000003E-3</v>
      </c>
      <c r="AA3836">
        <v>0.9987547</v>
      </c>
      <c r="AB3836">
        <v>47</v>
      </c>
      <c r="AC3836">
        <v>0.35699999999997001</v>
      </c>
      <c r="AD3836">
        <v>-6.5415999999999905E-2</v>
      </c>
      <c r="AE3836">
        <v>-3.02000000000077E-2</v>
      </c>
      <c r="AF3836">
        <v>4.0515286228762798E-2</v>
      </c>
      <c r="AG3836">
        <v>-6.5415999999999905E-2</v>
      </c>
      <c r="AH3836">
        <v>0.34434105822815098</v>
      </c>
      <c r="AI3836">
        <v>100.68456354871699</v>
      </c>
      <c r="AJ3836">
        <v>83.2894125868457</v>
      </c>
      <c r="AK3836">
        <v>0.35283353845103999</v>
      </c>
      <c r="AL3836">
        <v>87.200424398853301</v>
      </c>
      <c r="AM3836">
        <v>86.7821748107243</v>
      </c>
      <c r="AN3836">
        <v>0.99999996969701099</v>
      </c>
    </row>
    <row r="3837" spans="1:40" x14ac:dyDescent="0.25">
      <c r="A3837" t="str">
        <f>"20190312154329587"</f>
        <v>20190312154329587</v>
      </c>
      <c r="B3837" t="str">
        <f>"1552376609581639"</f>
        <v>1552376609581639</v>
      </c>
      <c r="C3837" t="s">
        <v>40</v>
      </c>
      <c r="D3837">
        <v>5.1162729999999996</v>
      </c>
      <c r="E3837">
        <v>0.4457623</v>
      </c>
      <c r="F3837" t="s">
        <v>50</v>
      </c>
      <c r="G3837">
        <v>-340.32220000000001</v>
      </c>
      <c r="H3837" s="1">
        <v>-1.365334E-6</v>
      </c>
      <c r="I3837">
        <v>218.40389999999999</v>
      </c>
      <c r="J3837">
        <v>-372.86340000000001</v>
      </c>
      <c r="K3837">
        <v>1.1092219999999999</v>
      </c>
      <c r="L3837">
        <v>215.24529999999999</v>
      </c>
      <c r="M3837">
        <v>0.99937469999999995</v>
      </c>
      <c r="N3837">
        <v>0</v>
      </c>
      <c r="O3837">
        <v>3.2122909999999998E-2</v>
      </c>
      <c r="P3837">
        <v>0.99946650000000004</v>
      </c>
      <c r="Q3837">
        <v>2.510122E-2</v>
      </c>
      <c r="R3837">
        <v>-2.0901949999999999E-2</v>
      </c>
      <c r="S3837">
        <v>3.012756</v>
      </c>
      <c r="T3837">
        <v>-0.1012779</v>
      </c>
      <c r="U3837">
        <v>0.28971859999999999</v>
      </c>
      <c r="V3837">
        <v>5.3075770000000001E-2</v>
      </c>
      <c r="W3837">
        <v>3.9753280000000002E-2</v>
      </c>
      <c r="X3837">
        <v>0.99779890000000004</v>
      </c>
      <c r="Y3837">
        <v>-6.3676449999999996E-2</v>
      </c>
      <c r="Z3837" s="1">
        <v>-9.1093829999999997E-6</v>
      </c>
      <c r="AA3837">
        <v>0.99797060000000004</v>
      </c>
      <c r="AB3837">
        <v>47</v>
      </c>
      <c r="AC3837">
        <v>32.541200000000003</v>
      </c>
      <c r="AD3837">
        <v>-1.109223365334</v>
      </c>
      <c r="AE3837">
        <v>3.1585999999999999</v>
      </c>
      <c r="AF3837">
        <v>-2.1091096908116498</v>
      </c>
      <c r="AG3837">
        <v>-1.109223365334</v>
      </c>
      <c r="AH3837">
        <v>32.5883659757177</v>
      </c>
      <c r="AI3837">
        <v>91.945380108541201</v>
      </c>
      <c r="AJ3837">
        <v>93.703001982230504</v>
      </c>
      <c r="AK3837">
        <v>32.675377842182499</v>
      </c>
      <c r="AL3837">
        <v>87.721704497627897</v>
      </c>
      <c r="AM3837">
        <v>86.955143657623495</v>
      </c>
      <c r="AN3837">
        <v>1.0000000027365299</v>
      </c>
    </row>
    <row r="3838" spans="1:40" x14ac:dyDescent="0.25">
      <c r="A3838" t="str">
        <f>"20190312154329610"</f>
        <v>20190312154329610</v>
      </c>
      <c r="B3838" t="str">
        <f>"1552376609601160"</f>
        <v>1552376609601160</v>
      </c>
      <c r="C3838" t="s">
        <v>40</v>
      </c>
      <c r="D3838">
        <v>5.1030490000000004</v>
      </c>
      <c r="E3838">
        <v>0.44131090000000001</v>
      </c>
      <c r="F3838" t="s">
        <v>50</v>
      </c>
      <c r="G3838">
        <v>-338.5179</v>
      </c>
      <c r="H3838" s="1">
        <v>2.7792629999999998E-6</v>
      </c>
      <c r="I3838">
        <v>219.5752</v>
      </c>
      <c r="J3838">
        <v>-372.3845</v>
      </c>
      <c r="K3838">
        <v>1.1091799999999901</v>
      </c>
      <c r="L3838">
        <v>215.2602</v>
      </c>
      <c r="M3838">
        <v>0.99939469999999997</v>
      </c>
      <c r="N3838">
        <v>0</v>
      </c>
      <c r="O3838">
        <v>3.1496129999999997E-2</v>
      </c>
      <c r="P3838">
        <v>0.99970380000000003</v>
      </c>
      <c r="Q3838">
        <v>1.7806570000000001E-2</v>
      </c>
      <c r="R3838">
        <v>-1.6598080000000001E-2</v>
      </c>
      <c r="S3838">
        <v>3.012054</v>
      </c>
      <c r="T3838">
        <v>-9.7277160000000001E-2</v>
      </c>
      <c r="U3838">
        <v>0.37973020000000002</v>
      </c>
      <c r="V3838">
        <v>4.8142079999999997E-2</v>
      </c>
      <c r="W3838">
        <v>3.2471970000000003E-2</v>
      </c>
      <c r="X3838">
        <v>0.99831250000000005</v>
      </c>
      <c r="Y3838">
        <v>-9.3733929999999993E-2</v>
      </c>
      <c r="Z3838">
        <v>4.9484660000000005E-4</v>
      </c>
      <c r="AA3838">
        <v>0.99559719999999996</v>
      </c>
      <c r="AB3838">
        <v>47</v>
      </c>
      <c r="AC3838">
        <v>33.866599999999998</v>
      </c>
      <c r="AD3838">
        <v>-1.1091772207370001</v>
      </c>
      <c r="AE3838">
        <v>4.3149999999999897</v>
      </c>
      <c r="AF3838">
        <v>-3.2426528308992899</v>
      </c>
      <c r="AG3838">
        <v>-1.1091772207370001</v>
      </c>
      <c r="AH3838">
        <v>33.949880194385798</v>
      </c>
      <c r="AI3838">
        <v>91.862774488699998</v>
      </c>
      <c r="AJ3838">
        <v>95.455937455204193</v>
      </c>
      <c r="AK3838">
        <v>34.1224183888231</v>
      </c>
      <c r="AL3838">
        <v>88.139165990043097</v>
      </c>
      <c r="AM3838">
        <v>87.239138239690206</v>
      </c>
      <c r="AN3838">
        <v>0.99999996817932801</v>
      </c>
    </row>
    <row r="3839" spans="1:40" x14ac:dyDescent="0.25">
      <c r="A3839" t="str">
        <f>"20190312154329632"</f>
        <v>20190312154329632</v>
      </c>
      <c r="B3839" t="str">
        <f>"1552376609621657"</f>
        <v>1552376609621657</v>
      </c>
      <c r="C3839" t="s">
        <v>40</v>
      </c>
      <c r="D3839">
        <v>5.0759169999999996</v>
      </c>
      <c r="E3839">
        <v>0.43887660000000001</v>
      </c>
      <c r="F3839" t="s">
        <v>50</v>
      </c>
      <c r="G3839">
        <v>-343.024</v>
      </c>
      <c r="H3839" s="1">
        <v>7.2458420000000001E-8</v>
      </c>
      <c r="I3839">
        <v>219.43690000000001</v>
      </c>
      <c r="J3839">
        <v>-371.91250000000002</v>
      </c>
      <c r="K3839">
        <v>1.1091719999999901</v>
      </c>
      <c r="L3839">
        <v>215.2747</v>
      </c>
      <c r="M3839">
        <v>0.99941389999999997</v>
      </c>
      <c r="N3839">
        <v>0</v>
      </c>
      <c r="O3839">
        <v>3.0876790000000001E-2</v>
      </c>
      <c r="P3839">
        <v>0.9997045</v>
      </c>
      <c r="Q3839">
        <v>2.1088050000000001E-2</v>
      </c>
      <c r="R3839">
        <v>-1.207977E-2</v>
      </c>
      <c r="S3839">
        <v>3.0100099999999999</v>
      </c>
      <c r="T3839">
        <v>-0.1137122</v>
      </c>
      <c r="U3839">
        <v>0.42819210000000002</v>
      </c>
      <c r="V3839">
        <v>4.3013999999999997E-2</v>
      </c>
      <c r="W3839">
        <v>3.5763089999999997E-2</v>
      </c>
      <c r="X3839">
        <v>0.99843419999999905</v>
      </c>
      <c r="Y3839">
        <v>-0.1101432</v>
      </c>
      <c r="Z3839">
        <v>9.0978000000000001E-4</v>
      </c>
      <c r="AA3839">
        <v>0.99391529999999995</v>
      </c>
      <c r="AB3839">
        <v>47</v>
      </c>
      <c r="AC3839">
        <v>28.888500000000001</v>
      </c>
      <c r="AD3839">
        <v>-1.1091719275415799</v>
      </c>
      <c r="AE3839">
        <v>4.1622000000000101</v>
      </c>
      <c r="AF3839">
        <v>-3.2634204139420899</v>
      </c>
      <c r="AG3839">
        <v>-1.1091719275415799</v>
      </c>
      <c r="AH3839">
        <v>28.961426475914902</v>
      </c>
      <c r="AI3839">
        <v>92.179476640166101</v>
      </c>
      <c r="AJ3839">
        <v>96.429062450653205</v>
      </c>
      <c r="AK3839">
        <v>29.1658087267061</v>
      </c>
      <c r="AL3839">
        <v>87.950488891147501</v>
      </c>
      <c r="AM3839">
        <v>87.533139761147893</v>
      </c>
      <c r="AN3839">
        <v>1.0000000272659899</v>
      </c>
    </row>
    <row r="3840" spans="1:40" x14ac:dyDescent="0.25">
      <c r="A3840" t="str">
        <f>"20190312154329653"</f>
        <v>20190312154329653</v>
      </c>
      <c r="B3840" t="str">
        <f>"1552376609651454"</f>
        <v>1552376609651454</v>
      </c>
      <c r="C3840" t="s">
        <v>40</v>
      </c>
      <c r="D3840">
        <v>5.0578709999999996</v>
      </c>
      <c r="E3840">
        <v>0.4367473</v>
      </c>
      <c r="F3840" t="s">
        <v>50</v>
      </c>
      <c r="G3840">
        <v>-340.23939999999999</v>
      </c>
      <c r="H3840">
        <v>8.0000089999999996E-2</v>
      </c>
      <c r="I3840">
        <v>220.13249999999999</v>
      </c>
      <c r="J3840">
        <v>-371.45620000000002</v>
      </c>
      <c r="K3840">
        <v>1.109202</v>
      </c>
      <c r="L3840">
        <v>215.28829999999999</v>
      </c>
      <c r="M3840">
        <v>0.99943230000000005</v>
      </c>
      <c r="N3840">
        <v>0</v>
      </c>
      <c r="O3840">
        <v>3.0277080000000001E-2</v>
      </c>
      <c r="P3840">
        <v>0.99949650000000001</v>
      </c>
      <c r="Q3840">
        <v>3.0788340000000001E-2</v>
      </c>
      <c r="R3840">
        <v>-7.6710609999999999E-3</v>
      </c>
      <c r="S3840">
        <v>3.008575</v>
      </c>
      <c r="T3840">
        <v>-9.7759369999999998E-2</v>
      </c>
      <c r="U3840">
        <v>0.46144099999999999</v>
      </c>
      <c r="V3840">
        <v>3.802051E-2</v>
      </c>
      <c r="W3840">
        <v>4.5468689999999999E-2</v>
      </c>
      <c r="X3840">
        <v>0.99824199999999996</v>
      </c>
      <c r="Y3840">
        <v>-0.1215556</v>
      </c>
      <c r="Z3840">
        <v>9.8562939999999994E-4</v>
      </c>
      <c r="AA3840">
        <v>0.99258420000000003</v>
      </c>
      <c r="AB3840">
        <v>47</v>
      </c>
      <c r="AC3840">
        <v>31.216799999999999</v>
      </c>
      <c r="AD3840">
        <v>-1.0292019100000001</v>
      </c>
      <c r="AE3840">
        <v>4.8441999999999998</v>
      </c>
      <c r="AF3840">
        <v>-3.89259019391084</v>
      </c>
      <c r="AG3840">
        <v>-1.0292019100000001</v>
      </c>
      <c r="AH3840">
        <v>31.315930012112801</v>
      </c>
      <c r="AI3840">
        <v>91.867990135555203</v>
      </c>
      <c r="AJ3840">
        <v>97.0855591420856</v>
      </c>
      <c r="AK3840">
        <v>31.573707218393299</v>
      </c>
      <c r="AL3840">
        <v>87.393937540582399</v>
      </c>
      <c r="AM3840">
        <v>87.818803158347805</v>
      </c>
      <c r="AN3840">
        <v>1.0000000257574799</v>
      </c>
    </row>
    <row r="3841" spans="1:40" x14ac:dyDescent="0.25">
      <c r="A3841" t="str">
        <f>"20190312154329676"</f>
        <v>20190312154329676</v>
      </c>
      <c r="B3841" t="str">
        <f>"1552376609670961"</f>
        <v>1552376609670961</v>
      </c>
      <c r="C3841" t="s">
        <v>40</v>
      </c>
      <c r="D3841">
        <v>5.1079109999999996</v>
      </c>
      <c r="E3841">
        <v>0.43588159999999998</v>
      </c>
      <c r="F3841" t="s">
        <v>50</v>
      </c>
      <c r="G3841">
        <v>-320.6977</v>
      </c>
      <c r="H3841">
        <v>8.0000219999999997E-2</v>
      </c>
      <c r="I3841">
        <v>223.58430000000001</v>
      </c>
      <c r="J3841">
        <v>-370.9889</v>
      </c>
      <c r="K3841">
        <v>1.1092150000000001</v>
      </c>
      <c r="L3841">
        <v>215.30199999999999</v>
      </c>
      <c r="M3841">
        <v>0.99945090000000003</v>
      </c>
      <c r="N3841">
        <v>0</v>
      </c>
      <c r="O3841">
        <v>2.9662250000000001E-2</v>
      </c>
      <c r="P3841">
        <v>0.99933249999999996</v>
      </c>
      <c r="Q3841">
        <v>3.6222900000000002E-2</v>
      </c>
      <c r="R3841">
        <v>-4.7610170000000002E-3</v>
      </c>
      <c r="S3841">
        <v>3.0071409999999998</v>
      </c>
      <c r="T3841">
        <v>-6.0974E-2</v>
      </c>
      <c r="U3841">
        <v>0.49148560000000002</v>
      </c>
      <c r="V3841">
        <v>3.450334E-2</v>
      </c>
      <c r="W3841">
        <v>5.0906399999999997E-2</v>
      </c>
      <c r="X3841">
        <v>0.99810730000000003</v>
      </c>
      <c r="Y3841">
        <v>-0.13193089999999999</v>
      </c>
      <c r="Z3841">
        <v>7.3153339999999995E-4</v>
      </c>
      <c r="AA3841">
        <v>0.99125859999999999</v>
      </c>
      <c r="AB3841">
        <v>47</v>
      </c>
      <c r="AC3841">
        <v>50.291200000000003</v>
      </c>
      <c r="AD3841">
        <v>-1.02921478</v>
      </c>
      <c r="AE3841">
        <v>8.2822999999999904</v>
      </c>
      <c r="AF3841">
        <v>-6.78397576138702</v>
      </c>
      <c r="AG3841">
        <v>-1.02921478</v>
      </c>
      <c r="AH3841">
        <v>50.494174838016903</v>
      </c>
      <c r="AI3841">
        <v>91.157293910003403</v>
      </c>
      <c r="AJ3841">
        <v>97.651961882199302</v>
      </c>
      <c r="AK3841">
        <v>50.958250585814703</v>
      </c>
      <c r="AL3841">
        <v>87.082017077917897</v>
      </c>
      <c r="AM3841">
        <v>88.020143864365906</v>
      </c>
      <c r="AN3841">
        <v>1.0000000621727001</v>
      </c>
    </row>
    <row r="3842" spans="1:40" x14ac:dyDescent="0.25">
      <c r="A3842" t="str">
        <f>"20190312154329698"</f>
        <v>20190312154329698</v>
      </c>
      <c r="B3842" t="str">
        <f>"1552376609691457"</f>
        <v>1552376609691457</v>
      </c>
      <c r="C3842" t="s">
        <v>40</v>
      </c>
      <c r="D3842">
        <v>5.191249</v>
      </c>
      <c r="E3842">
        <v>0.43532720000000003</v>
      </c>
      <c r="F3842" t="s">
        <v>51</v>
      </c>
      <c r="G3842">
        <v>-289.95780000000002</v>
      </c>
      <c r="H3842">
        <v>2.991947E-2</v>
      </c>
      <c r="I3842">
        <v>228.96379999999999</v>
      </c>
      <c r="J3842">
        <v>-370.5197</v>
      </c>
      <c r="K3842">
        <v>1.1092310000000001</v>
      </c>
      <c r="L3842">
        <v>215.31549999999999</v>
      </c>
      <c r="M3842">
        <v>0.99946900000000005</v>
      </c>
      <c r="N3842">
        <v>0</v>
      </c>
      <c r="O3842">
        <v>2.9044750000000001E-2</v>
      </c>
      <c r="P3842">
        <v>0.99928249999999996</v>
      </c>
      <c r="Q3842">
        <v>3.7619649999999998E-2</v>
      </c>
      <c r="R3842">
        <v>-4.3853649999999996E-3</v>
      </c>
      <c r="S3842">
        <v>3.00589</v>
      </c>
      <c r="T3842">
        <v>-4.0037040000000003E-2</v>
      </c>
      <c r="U3842">
        <v>0.50679019999999997</v>
      </c>
      <c r="V3842">
        <v>3.3512309999999997E-2</v>
      </c>
      <c r="W3842">
        <v>5.230216E-2</v>
      </c>
      <c r="X3842">
        <v>0.99806890000000004</v>
      </c>
      <c r="Y3842">
        <v>-0.1375295</v>
      </c>
      <c r="Z3842">
        <v>5.2555370000000002E-4</v>
      </c>
      <c r="AA3842">
        <v>0.99049750000000003</v>
      </c>
      <c r="AB3842">
        <v>47</v>
      </c>
      <c r="AC3842">
        <v>80.561899999999895</v>
      </c>
      <c r="AD3842">
        <v>-1.07931152999999</v>
      </c>
      <c r="AE3842">
        <v>13.648300000000001</v>
      </c>
      <c r="AF3842">
        <v>-11.300413522639699</v>
      </c>
      <c r="AG3842">
        <v>-1.07931152999999</v>
      </c>
      <c r="AH3842">
        <v>80.910242006678899</v>
      </c>
      <c r="AI3842">
        <v>90.756912472460698</v>
      </c>
      <c r="AJ3842">
        <v>97.950843158618497</v>
      </c>
      <c r="AK3842">
        <v>81.702702040635003</v>
      </c>
      <c r="AL3842">
        <v>87.001939217813202</v>
      </c>
      <c r="AM3842">
        <v>88.076893471365906</v>
      </c>
      <c r="AN3842">
        <v>1.0000000600047001</v>
      </c>
    </row>
    <row r="3843" spans="1:40" x14ac:dyDescent="0.25">
      <c r="A3843" t="str">
        <f>"20190312154329721"</f>
        <v>20190312154329721</v>
      </c>
      <c r="B3843" t="str">
        <f>"1552376609710977"</f>
        <v>1552376609710977</v>
      </c>
      <c r="C3843" t="s">
        <v>40</v>
      </c>
      <c r="D3843">
        <v>5.1103230000000002</v>
      </c>
      <c r="E3843">
        <v>0.43508999999999998</v>
      </c>
      <c r="F3843" t="s">
        <v>66</v>
      </c>
      <c r="G3843">
        <v>-280.18</v>
      </c>
      <c r="H3843">
        <v>0.2655072</v>
      </c>
      <c r="I3843">
        <v>230.7105</v>
      </c>
      <c r="J3843">
        <v>-370.0301</v>
      </c>
      <c r="K3843">
        <v>1.1092500000000001</v>
      </c>
      <c r="L3843">
        <v>215.32929999999999</v>
      </c>
      <c r="M3843">
        <v>0.99948760000000003</v>
      </c>
      <c r="N3843">
        <v>0</v>
      </c>
      <c r="O3843">
        <v>2.8399790000000001E-2</v>
      </c>
      <c r="P3843">
        <v>0.99923030000000002</v>
      </c>
      <c r="Q3843">
        <v>3.8664499999999997E-2</v>
      </c>
      <c r="R3843">
        <v>-6.6396190000000002E-3</v>
      </c>
      <c r="S3843">
        <v>3.0055239999999999</v>
      </c>
      <c r="T3843">
        <v>-2.8070330000000001E-2</v>
      </c>
      <c r="U3843">
        <v>0.51217650000000003</v>
      </c>
      <c r="V3843">
        <v>3.5121880000000001E-2</v>
      </c>
      <c r="W3843">
        <v>5.3339730000000002E-2</v>
      </c>
      <c r="X3843">
        <v>0.99795860000000003</v>
      </c>
      <c r="Y3843">
        <v>-0.13991819999999999</v>
      </c>
      <c r="Z3843">
        <v>3.8551660000000001E-4</v>
      </c>
      <c r="AA3843">
        <v>0.99016300000000002</v>
      </c>
      <c r="AB3843">
        <v>47</v>
      </c>
      <c r="AC3843">
        <v>89.850099999999998</v>
      </c>
      <c r="AD3843">
        <v>-0.84374280000000002</v>
      </c>
      <c r="AE3843">
        <v>15.3812</v>
      </c>
      <c r="AF3843">
        <v>-12.8218939385729</v>
      </c>
      <c r="AG3843">
        <v>-0.84374280000000002</v>
      </c>
      <c r="AH3843">
        <v>90.242989746584499</v>
      </c>
      <c r="AI3843">
        <v>90.530355265539797</v>
      </c>
      <c r="AJ3843">
        <v>98.086566919188499</v>
      </c>
      <c r="AK3843">
        <v>91.153223006576795</v>
      </c>
      <c r="AL3843">
        <v>86.942407609187796</v>
      </c>
      <c r="AM3843">
        <v>87.984380029004697</v>
      </c>
      <c r="AN3843">
        <v>1.0000000202825801</v>
      </c>
    </row>
    <row r="3844" spans="1:40" x14ac:dyDescent="0.25">
      <c r="A3844" t="str">
        <f>"20190312154329743"</f>
        <v>20190312154329743</v>
      </c>
      <c r="B3844" t="str">
        <f>"1552376609731477"</f>
        <v>1552376609731477</v>
      </c>
      <c r="C3844" t="s">
        <v>40</v>
      </c>
      <c r="D3844">
        <v>5.0779959999999997</v>
      </c>
      <c r="E3844">
        <v>0.43473270000000003</v>
      </c>
      <c r="F3844" t="s">
        <v>66</v>
      </c>
      <c r="G3844">
        <v>-280.18</v>
      </c>
      <c r="H3844">
        <v>0.3275304</v>
      </c>
      <c r="I3844">
        <v>230.47800000000001</v>
      </c>
      <c r="J3844">
        <v>-369.57709999999997</v>
      </c>
      <c r="K3844">
        <v>1.1092690000000001</v>
      </c>
      <c r="L3844">
        <v>215.3417</v>
      </c>
      <c r="M3844">
        <v>0.99950450000000002</v>
      </c>
      <c r="N3844">
        <v>0</v>
      </c>
      <c r="O3844">
        <v>2.780235E-2</v>
      </c>
      <c r="P3844">
        <v>0.99910399999999999</v>
      </c>
      <c r="Q3844">
        <v>4.0905740000000003E-2</v>
      </c>
      <c r="R3844">
        <v>-1.087721E-2</v>
      </c>
      <c r="S3844">
        <v>3.0066830000000002</v>
      </c>
      <c r="T3844">
        <v>-2.6159290000000002E-2</v>
      </c>
      <c r="U3844">
        <v>0.50692749999999998</v>
      </c>
      <c r="V3844">
        <v>3.8761780000000003E-2</v>
      </c>
      <c r="W3844">
        <v>5.556755E-2</v>
      </c>
      <c r="X3844">
        <v>0.99770219999999998</v>
      </c>
      <c r="Y3844">
        <v>-0.138767</v>
      </c>
      <c r="Z3844">
        <v>3.5936710000000001E-4</v>
      </c>
      <c r="AA3844">
        <v>0.99032500000000001</v>
      </c>
      <c r="AB3844">
        <v>47</v>
      </c>
      <c r="AC3844">
        <v>89.397099999999895</v>
      </c>
      <c r="AD3844">
        <v>-0.78173859999999995</v>
      </c>
      <c r="AE3844">
        <v>15.136299999999901</v>
      </c>
      <c r="AF3844">
        <v>-12.6437875907778</v>
      </c>
      <c r="AG3844">
        <v>-0.78173859999999995</v>
      </c>
      <c r="AH3844">
        <v>89.776731992496295</v>
      </c>
      <c r="AI3844">
        <v>90.494020226529003</v>
      </c>
      <c r="AJ3844">
        <v>98.016578330871099</v>
      </c>
      <c r="AK3844">
        <v>90.666080135472697</v>
      </c>
      <c r="AL3844">
        <v>86.814573022459498</v>
      </c>
      <c r="AM3844">
        <v>87.775117659177297</v>
      </c>
      <c r="AN3844">
        <v>0.999999954043304</v>
      </c>
    </row>
    <row r="3845" spans="1:40" x14ac:dyDescent="0.25">
      <c r="A3845" t="str">
        <f>"20190312154329765"</f>
        <v>20190312154329765</v>
      </c>
      <c r="B3845" t="str">
        <f>"1552376609760754"</f>
        <v>1552376609760754</v>
      </c>
      <c r="C3845" t="s">
        <v>40</v>
      </c>
      <c r="D3845">
        <v>4.9711720000000001</v>
      </c>
      <c r="E3845">
        <v>0.43410070000000001</v>
      </c>
      <c r="F3845" t="s">
        <v>66</v>
      </c>
      <c r="G3845">
        <v>-280.18</v>
      </c>
      <c r="H3845">
        <v>0.57473779999999997</v>
      </c>
      <c r="I3845">
        <v>230.06559999999999</v>
      </c>
      <c r="J3845">
        <v>-369.11090000000002</v>
      </c>
      <c r="K3845">
        <v>1.109283</v>
      </c>
      <c r="L3845">
        <v>215.35419999999999</v>
      </c>
      <c r="M3845">
        <v>0.9995214</v>
      </c>
      <c r="N3845">
        <v>0</v>
      </c>
      <c r="O3845">
        <v>2.7187269999999999E-2</v>
      </c>
      <c r="P3845">
        <v>0.998996</v>
      </c>
      <c r="Q3845">
        <v>4.1992359999999999E-2</v>
      </c>
      <c r="R3845">
        <v>-1.5611460000000001E-2</v>
      </c>
      <c r="S3845">
        <v>3.0088200000000001</v>
      </c>
      <c r="T3845">
        <v>-1.7990949999999999E-2</v>
      </c>
      <c r="U3845">
        <v>0.49555969999999999</v>
      </c>
      <c r="V3845">
        <v>4.287941E-2</v>
      </c>
      <c r="W3845">
        <v>5.6640169999999997E-2</v>
      </c>
      <c r="X3845">
        <v>0.99747339999999995</v>
      </c>
      <c r="Y3845">
        <v>-0.1356221</v>
      </c>
      <c r="Z3845">
        <v>2.4136550000000001E-4</v>
      </c>
      <c r="AA3845">
        <v>0.99076059999999999</v>
      </c>
      <c r="AB3845">
        <v>47</v>
      </c>
      <c r="AC3845">
        <v>88.930899999999994</v>
      </c>
      <c r="AD3845">
        <v>-0.53454519999999905</v>
      </c>
      <c r="AE3845">
        <v>14.7113999999999</v>
      </c>
      <c r="AF3845">
        <v>-12.2874769867078</v>
      </c>
      <c r="AG3845">
        <v>-0.53454519999999905</v>
      </c>
      <c r="AH3845">
        <v>89.294886343362094</v>
      </c>
      <c r="AI3845">
        <v>90.339783340508603</v>
      </c>
      <c r="AJ3845">
        <v>97.835014953059698</v>
      </c>
      <c r="AK3845">
        <v>90.137919636209006</v>
      </c>
      <c r="AL3845">
        <v>86.753019512919906</v>
      </c>
      <c r="AM3845">
        <v>87.538483204918094</v>
      </c>
      <c r="AN3845">
        <v>0.99999996818356796</v>
      </c>
    </row>
    <row r="3846" spans="1:40" x14ac:dyDescent="0.25">
      <c r="A3846" t="str">
        <f>"20190312154329876"</f>
        <v>20190312154329876</v>
      </c>
      <c r="B3846" t="str">
        <f>"1552376609871042"</f>
        <v>1552376609871042</v>
      </c>
      <c r="C3846" t="s">
        <v>40</v>
      </c>
      <c r="D3846">
        <v>4.9259300000000001</v>
      </c>
      <c r="E3846">
        <v>0.43410070000000001</v>
      </c>
      <c r="F3846" t="s">
        <v>66</v>
      </c>
      <c r="G3846">
        <v>-279.2611</v>
      </c>
      <c r="H3846">
        <v>0.61694720000000003</v>
      </c>
      <c r="I3846">
        <v>229.83</v>
      </c>
      <c r="J3846">
        <v>-366.77640000000002</v>
      </c>
      <c r="K3846">
        <v>1.1092789999999999</v>
      </c>
      <c r="L3846">
        <v>215.41239999999999</v>
      </c>
      <c r="M3846">
        <v>0.99960079999999996</v>
      </c>
      <c r="N3846">
        <v>0</v>
      </c>
      <c r="O3846">
        <v>2.410172E-2</v>
      </c>
      <c r="P3846">
        <v>0.99885769999999996</v>
      </c>
      <c r="Q3846">
        <v>3.977816E-2</v>
      </c>
      <c r="R3846">
        <v>-2.6476079999999999E-2</v>
      </c>
      <c r="S3846">
        <v>3.0112920000000001</v>
      </c>
      <c r="T3846">
        <v>-1.6500709999999998E-2</v>
      </c>
      <c r="U3846">
        <v>0.48515320000000001</v>
      </c>
      <c r="V3846">
        <v>5.0651380000000003E-2</v>
      </c>
      <c r="W3846">
        <v>5.439343E-2</v>
      </c>
      <c r="X3846">
        <v>0.99723399999999995</v>
      </c>
      <c r="Y3846">
        <v>-0.1352149</v>
      </c>
      <c r="Z3846">
        <v>2.3692400000000001E-4</v>
      </c>
      <c r="AA3846">
        <v>0.99081629999999998</v>
      </c>
      <c r="AB3846">
        <v>47</v>
      </c>
      <c r="AC3846">
        <v>87.515299999999996</v>
      </c>
      <c r="AD3846">
        <v>-0.49233179999999999</v>
      </c>
      <c r="AE3846">
        <v>14.4176</v>
      </c>
      <c r="AF3846">
        <v>-12.303533329385299</v>
      </c>
      <c r="AG3846">
        <v>-0.49233179999999999</v>
      </c>
      <c r="AH3846">
        <v>87.834692648547005</v>
      </c>
      <c r="AI3846">
        <v>90.318046431046795</v>
      </c>
      <c r="AJ3846">
        <v>97.973881711681898</v>
      </c>
      <c r="AK3846">
        <v>88.693588018826404</v>
      </c>
      <c r="AL3846">
        <v>86.881946980403001</v>
      </c>
      <c r="AM3846">
        <v>87.092338888004903</v>
      </c>
      <c r="AN3846">
        <v>0.99999992913953195</v>
      </c>
    </row>
    <row r="3847" spans="1:40" x14ac:dyDescent="0.25">
      <c r="A3847" t="str">
        <f>"20190312154329899"</f>
        <v>20190312154329899</v>
      </c>
      <c r="B3847" t="str">
        <f>"1552376609891536"</f>
        <v>1552376609891536</v>
      </c>
      <c r="C3847" t="s">
        <v>40</v>
      </c>
      <c r="D3847">
        <v>5.1759629999999897</v>
      </c>
      <c r="E3847">
        <v>0.52778959999999997</v>
      </c>
      <c r="F3847" t="s">
        <v>67</v>
      </c>
      <c r="G3847">
        <v>-273.41399999999999</v>
      </c>
      <c r="H3847">
        <v>0.23700760000000001</v>
      </c>
      <c r="I3847">
        <v>229.3759</v>
      </c>
      <c r="J3847">
        <v>-366.3039</v>
      </c>
      <c r="K3847">
        <v>1.1092740000000001</v>
      </c>
      <c r="L3847">
        <v>215.42330000000001</v>
      </c>
      <c r="M3847">
        <v>0.9996157</v>
      </c>
      <c r="N3847">
        <v>0</v>
      </c>
      <c r="O3847">
        <v>2.3476360000000002E-2</v>
      </c>
      <c r="P3847">
        <v>0.99888670000000002</v>
      </c>
      <c r="Q3847">
        <v>4.1554510000000003E-2</v>
      </c>
      <c r="R3847">
        <v>-2.2338630000000002E-2</v>
      </c>
      <c r="S3847">
        <v>3.0165099999999998</v>
      </c>
      <c r="T3847">
        <v>-2.8182390000000002E-2</v>
      </c>
      <c r="U3847">
        <v>0.45115660000000002</v>
      </c>
      <c r="V3847">
        <v>4.5894730000000002E-2</v>
      </c>
      <c r="W3847">
        <v>5.6178369999999998E-2</v>
      </c>
      <c r="X3847">
        <v>0.99736539999999996</v>
      </c>
      <c r="Y3847">
        <v>-0.1246515</v>
      </c>
      <c r="Z3847">
        <v>3.6102999999999998E-4</v>
      </c>
      <c r="AA3847">
        <v>0.99220050000000004</v>
      </c>
      <c r="AB3847">
        <v>47</v>
      </c>
      <c r="AC3847">
        <v>92.889899999999997</v>
      </c>
      <c r="AD3847">
        <v>-0.872266399999999</v>
      </c>
      <c r="AE3847">
        <v>13.952599999999901</v>
      </c>
      <c r="AF3847">
        <v>-11.7667853184163</v>
      </c>
      <c r="AG3847">
        <v>-0.872266399999999</v>
      </c>
      <c r="AH3847">
        <v>93.183849628047298</v>
      </c>
      <c r="AI3847">
        <v>90.532088002894398</v>
      </c>
      <c r="AJ3847">
        <v>97.196930062192493</v>
      </c>
      <c r="AK3847">
        <v>93.927886790371204</v>
      </c>
      <c r="AL3847">
        <v>86.779521128433601</v>
      </c>
      <c r="AM3847">
        <v>87.365338048224103</v>
      </c>
      <c r="AN3847">
        <v>1.0000000383073899</v>
      </c>
    </row>
    <row r="3848" spans="1:40" x14ac:dyDescent="0.25">
      <c r="A3848" t="str">
        <f>"20190312154329922"</f>
        <v>20190312154329922</v>
      </c>
      <c r="B3848" t="str">
        <f>"1552376609911057"</f>
        <v>1552376609911057</v>
      </c>
      <c r="C3848" t="s">
        <v>40</v>
      </c>
      <c r="D3848">
        <v>5.501614</v>
      </c>
      <c r="E3848">
        <v>0.52203080000000002</v>
      </c>
      <c r="F3848" t="s">
        <v>41</v>
      </c>
      <c r="G3848">
        <v>-365.46420000000001</v>
      </c>
      <c r="H3848">
        <v>0.86973009999999995</v>
      </c>
      <c r="I3848">
        <v>215.3553</v>
      </c>
      <c r="J3848">
        <v>-365.81200000000001</v>
      </c>
      <c r="K3848">
        <v>1.1092799999999901</v>
      </c>
      <c r="L3848">
        <v>215.43440000000001</v>
      </c>
      <c r="M3848">
        <v>0.99963069999999998</v>
      </c>
      <c r="N3848">
        <v>0</v>
      </c>
      <c r="O3848">
        <v>2.2825129999999999E-2</v>
      </c>
      <c r="P3848">
        <v>0.9989768</v>
      </c>
      <c r="Q3848">
        <v>4.2949300000000003E-2</v>
      </c>
      <c r="R3848">
        <v>-1.4178680000000001E-2</v>
      </c>
      <c r="S3848">
        <v>3.0339049999999999</v>
      </c>
      <c r="T3848">
        <v>-0.86547039999999997</v>
      </c>
      <c r="U3848">
        <v>-0.24508669999999999</v>
      </c>
      <c r="V3848">
        <v>3.7091329999999999E-2</v>
      </c>
      <c r="W3848">
        <v>5.7592280000000003E-2</v>
      </c>
      <c r="X3848">
        <v>0.99765090000000001</v>
      </c>
      <c r="Y3848">
        <v>9.8443589999999997E-2</v>
      </c>
      <c r="Z3848">
        <v>-2.0121429999999999E-2</v>
      </c>
      <c r="AA3848">
        <v>0.99493920000000002</v>
      </c>
      <c r="AB3848">
        <v>47</v>
      </c>
      <c r="AC3848">
        <v>0.34779999999994898</v>
      </c>
      <c r="AD3848">
        <v>-0.23954989999999901</v>
      </c>
      <c r="AE3848">
        <v>-7.9100000000010995E-2</v>
      </c>
      <c r="AF3848">
        <v>5.9969291518988201E-2</v>
      </c>
      <c r="AG3848">
        <v>-0.23954989999999901</v>
      </c>
      <c r="AH3848">
        <v>0.238380587009353</v>
      </c>
      <c r="AI3848">
        <v>134.261270306184</v>
      </c>
      <c r="AJ3848">
        <v>75.8791504055378</v>
      </c>
      <c r="AK3848">
        <v>0.34322845857857298</v>
      </c>
      <c r="AL3848">
        <v>86.698378456875901</v>
      </c>
      <c r="AM3848">
        <v>87.870799996904694</v>
      </c>
      <c r="AN3848">
        <v>0.99999997787378803</v>
      </c>
    </row>
    <row r="3849" spans="1:40" x14ac:dyDescent="0.25">
      <c r="A3849" t="str">
        <f>"20190312154329943"</f>
        <v>20190312154329943</v>
      </c>
      <c r="B3849" t="str">
        <f>"1552376609931553"</f>
        <v>1552376609931553</v>
      </c>
      <c r="C3849" t="s">
        <v>40</v>
      </c>
      <c r="D3849">
        <v>5.185435</v>
      </c>
      <c r="E3849">
        <v>0.51931879999999997</v>
      </c>
      <c r="F3849" t="s">
        <v>41</v>
      </c>
      <c r="G3849">
        <v>-365.02080000000001</v>
      </c>
      <c r="H3849">
        <v>0.92864740000000001</v>
      </c>
      <c r="I3849">
        <v>215.38910000000001</v>
      </c>
      <c r="J3849">
        <v>-365.37119999999999</v>
      </c>
      <c r="K3849">
        <v>1.1092690000000001</v>
      </c>
      <c r="L3849">
        <v>215.44409999999999</v>
      </c>
      <c r="M3849">
        <v>0.99964399999999998</v>
      </c>
      <c r="N3849">
        <v>0</v>
      </c>
      <c r="O3849">
        <v>2.2241489999999999E-2</v>
      </c>
      <c r="P3849">
        <v>0.99915589999999999</v>
      </c>
      <c r="Q3849">
        <v>4.07953E-2</v>
      </c>
      <c r="R3849">
        <v>-4.8423499999999996E-3</v>
      </c>
      <c r="S3849">
        <v>3.0303650000000002</v>
      </c>
      <c r="T3849">
        <v>-0.69179869999999899</v>
      </c>
      <c r="U3849">
        <v>-0.17207339999999999</v>
      </c>
      <c r="V3849">
        <v>2.7174110000000001E-2</v>
      </c>
      <c r="W3849">
        <v>5.5461370000000003E-2</v>
      </c>
      <c r="X3849">
        <v>0.99809099999999995</v>
      </c>
      <c r="Y3849">
        <v>7.6356460000000001E-2</v>
      </c>
      <c r="Z3849">
        <v>-1.3608439999999999E-2</v>
      </c>
      <c r="AA3849">
        <v>0.99698770000000003</v>
      </c>
      <c r="AB3849">
        <v>47</v>
      </c>
      <c r="AC3849">
        <v>0.35039999999997901</v>
      </c>
      <c r="AD3849">
        <v>-0.18062159999999999</v>
      </c>
      <c r="AE3849">
        <v>-5.49999999999784E-2</v>
      </c>
      <c r="AF3849">
        <v>4.9852706355965802E-2</v>
      </c>
      <c r="AG3849">
        <v>-0.18062159999999999</v>
      </c>
      <c r="AH3849">
        <v>0.27720442421319902</v>
      </c>
      <c r="AI3849">
        <v>122.671832649599</v>
      </c>
      <c r="AJ3849">
        <v>79.804853552969007</v>
      </c>
      <c r="AK3849">
        <v>0.33459191191800403</v>
      </c>
      <c r="AL3849">
        <v>86.820666294893897</v>
      </c>
      <c r="AM3849">
        <v>88.440445528821499</v>
      </c>
      <c r="AN3849">
        <v>1.00000002004878</v>
      </c>
    </row>
    <row r="3850" spans="1:40" x14ac:dyDescent="0.25">
      <c r="A3850" t="str">
        <f>"20190312154329965"</f>
        <v>20190312154329965</v>
      </c>
      <c r="B3850" t="str">
        <f>"1552376609960833"</f>
        <v>1552376609960833</v>
      </c>
      <c r="C3850" t="s">
        <v>40</v>
      </c>
      <c r="D3850">
        <v>5.0959760000000003</v>
      </c>
      <c r="E3850">
        <v>0.51936819999999995</v>
      </c>
      <c r="F3850" t="s">
        <v>41</v>
      </c>
      <c r="G3850">
        <v>-364.58589999999998</v>
      </c>
      <c r="H3850">
        <v>0.96300940000000002</v>
      </c>
      <c r="I3850">
        <v>215.41130000000001</v>
      </c>
      <c r="J3850">
        <v>-364.91109999999998</v>
      </c>
      <c r="K3850">
        <v>1.109254</v>
      </c>
      <c r="L3850">
        <v>215.4539</v>
      </c>
      <c r="M3850">
        <v>0.99965749999999998</v>
      </c>
      <c r="N3850">
        <v>0</v>
      </c>
      <c r="O3850">
        <v>2.1631870000000001E-2</v>
      </c>
      <c r="P3850">
        <v>0.99926210000000004</v>
      </c>
      <c r="Q3850">
        <v>3.7925500000000001E-2</v>
      </c>
      <c r="R3850">
        <v>6.1047619999999997E-3</v>
      </c>
      <c r="S3850">
        <v>3.0249630000000001</v>
      </c>
      <c r="T3850">
        <v>-0.563442</v>
      </c>
      <c r="U3850">
        <v>-0.1256409</v>
      </c>
      <c r="V3850">
        <v>1.561717E-2</v>
      </c>
      <c r="W3850">
        <v>5.261644E-2</v>
      </c>
      <c r="X3850">
        <v>0.99849270000000001</v>
      </c>
      <c r="Y3850">
        <v>6.1674090000000001E-2</v>
      </c>
      <c r="Z3850">
        <v>-9.6863179999999993E-3</v>
      </c>
      <c r="AA3850">
        <v>0.99804930000000003</v>
      </c>
      <c r="AB3850">
        <v>47</v>
      </c>
      <c r="AC3850">
        <v>0.32519999999999499</v>
      </c>
      <c r="AD3850">
        <v>-0.1462446</v>
      </c>
      <c r="AE3850">
        <v>-4.2599999999992998E-2</v>
      </c>
      <c r="AF3850">
        <v>4.1395123261223403E-2</v>
      </c>
      <c r="AG3850">
        <v>-0.1462446</v>
      </c>
      <c r="AH3850">
        <v>0.27043353079509902</v>
      </c>
      <c r="AI3850">
        <v>118.12683270735501</v>
      </c>
      <c r="AJ3850">
        <v>81.297313343600294</v>
      </c>
      <c r="AK3850">
        <v>0.31021820358785501</v>
      </c>
      <c r="AL3850">
        <v>86.983907378621595</v>
      </c>
      <c r="AM3850">
        <v>89.103924371233106</v>
      </c>
      <c r="AN3850">
        <v>1.00000002885518</v>
      </c>
    </row>
    <row r="3851" spans="1:40" x14ac:dyDescent="0.25">
      <c r="A3851" t="str">
        <f>"20190312154329995"</f>
        <v>20190312154329995</v>
      </c>
      <c r="B3851" t="str">
        <f>"1552376609991089"</f>
        <v>1552376609991089</v>
      </c>
      <c r="C3851" t="s">
        <v>40</v>
      </c>
      <c r="D3851">
        <v>5.2057820000000001</v>
      </c>
      <c r="E3851">
        <v>0.52010809999999996</v>
      </c>
      <c r="F3851" t="s">
        <v>41</v>
      </c>
      <c r="G3851">
        <v>-364.1533</v>
      </c>
      <c r="H3851">
        <v>0.99349949999999998</v>
      </c>
      <c r="I3851">
        <v>215.429</v>
      </c>
      <c r="J3851">
        <v>-364.30450000000002</v>
      </c>
      <c r="K3851">
        <v>1.1092599999999999</v>
      </c>
      <c r="L3851">
        <v>215.46629999999999</v>
      </c>
      <c r="M3851">
        <v>0.99967459999999997</v>
      </c>
      <c r="N3851">
        <v>0</v>
      </c>
      <c r="O3851">
        <v>2.08279E-2</v>
      </c>
      <c r="P3851">
        <v>0.99918660000000004</v>
      </c>
      <c r="Q3851">
        <v>3.7364750000000002E-2</v>
      </c>
      <c r="R3851">
        <v>1.518244E-2</v>
      </c>
      <c r="S3851">
        <v>3.0202640000000001</v>
      </c>
      <c r="T3851">
        <v>-0.46146609999999999</v>
      </c>
      <c r="U3851">
        <v>-9.7625729999999994E-2</v>
      </c>
      <c r="V3851">
        <v>5.7350200000000004E-3</v>
      </c>
      <c r="W3851">
        <v>5.2073109999999999E-2</v>
      </c>
      <c r="X3851">
        <v>0.99862680000000004</v>
      </c>
      <c r="Y3851">
        <v>5.2271400000000003E-2</v>
      </c>
      <c r="Z3851">
        <v>-7.1327750000000001E-3</v>
      </c>
      <c r="AA3851">
        <v>0.99860749999999998</v>
      </c>
      <c r="AB3851">
        <v>47</v>
      </c>
      <c r="AC3851">
        <v>0.15120000000001699</v>
      </c>
      <c r="AD3851">
        <v>-0.1157605</v>
      </c>
      <c r="AE3851">
        <v>-3.72999999999876E-2</v>
      </c>
      <c r="AF3851">
        <v>2.6048633367112099E-2</v>
      </c>
      <c r="AG3851">
        <v>-0.1157605</v>
      </c>
      <c r="AH3851">
        <v>9.6867500129128703E-2</v>
      </c>
      <c r="AI3851">
        <v>139.090428921865</v>
      </c>
      <c r="AJ3851">
        <v>74.948653155629202</v>
      </c>
      <c r="AK3851">
        <v>0.153174205536738</v>
      </c>
      <c r="AL3851">
        <v>87.015080521518897</v>
      </c>
      <c r="AM3851">
        <v>89.670959332293094</v>
      </c>
      <c r="AN3851">
        <v>0.99999999245885596</v>
      </c>
    </row>
    <row r="3852" spans="1:40" x14ac:dyDescent="0.25">
      <c r="A3852" t="str">
        <f>"20190312154330012"</f>
        <v>20190312154330012</v>
      </c>
      <c r="B3852" t="str">
        <f>"1552376610001826"</f>
        <v>1552376610001826</v>
      </c>
      <c r="C3852" t="s">
        <v>40</v>
      </c>
      <c r="D3852">
        <v>5.0661509999999996</v>
      </c>
      <c r="E3852">
        <v>0.52052759999999998</v>
      </c>
      <c r="F3852" t="s">
        <v>41</v>
      </c>
      <c r="G3852">
        <v>-363.32679999999999</v>
      </c>
      <c r="H3852">
        <v>0.9772497</v>
      </c>
      <c r="I3852">
        <v>215.43969999999999</v>
      </c>
      <c r="J3852">
        <v>-363.93509999999998</v>
      </c>
      <c r="K3852">
        <v>1.1092679999999999</v>
      </c>
      <c r="L3852">
        <v>215.47370000000001</v>
      </c>
      <c r="M3852">
        <v>0.99968469999999998</v>
      </c>
      <c r="N3852">
        <v>0</v>
      </c>
      <c r="O3852">
        <v>2.0338309999999998E-2</v>
      </c>
      <c r="P3852">
        <v>0.99902290000000005</v>
      </c>
      <c r="Q3852">
        <v>3.9028970000000003E-2</v>
      </c>
      <c r="R3852">
        <v>2.0738779999999998E-2</v>
      </c>
      <c r="S3852">
        <v>3.0189210000000002</v>
      </c>
      <c r="T3852">
        <v>-0.40765020000000002</v>
      </c>
      <c r="U3852">
        <v>-8.1176760000000001E-2</v>
      </c>
      <c r="V3852">
        <v>-3.0979770000000002E-4</v>
      </c>
      <c r="W3852">
        <v>5.3745899999999999E-2</v>
      </c>
      <c r="X3852">
        <v>0.99855459999999996</v>
      </c>
      <c r="Y3852">
        <v>4.660007E-2</v>
      </c>
      <c r="Z3852">
        <v>-5.8652390000000004E-3</v>
      </c>
      <c r="AA3852">
        <v>0.99889640000000002</v>
      </c>
      <c r="AB3852">
        <v>47</v>
      </c>
      <c r="AC3852">
        <v>0.60829999999998496</v>
      </c>
      <c r="AD3852">
        <v>-0.13201830000000001</v>
      </c>
      <c r="AE3852">
        <v>-3.4000000000020202E-2</v>
      </c>
      <c r="AF3852">
        <v>4.4286640655021497E-2</v>
      </c>
      <c r="AG3852">
        <v>-0.13201830000000001</v>
      </c>
      <c r="AH3852">
        <v>0.58023775017109103</v>
      </c>
      <c r="AI3852">
        <v>102.782031505454</v>
      </c>
      <c r="AJ3852">
        <v>85.635362462727898</v>
      </c>
      <c r="AK3852">
        <v>0.59671264843223004</v>
      </c>
      <c r="AL3852">
        <v>86.919102300743305</v>
      </c>
      <c r="AM3852">
        <v>90.017775793274893</v>
      </c>
      <c r="AN3852">
        <v>1.0000000034612899</v>
      </c>
    </row>
    <row r="3853" spans="1:40" x14ac:dyDescent="0.25">
      <c r="A3853" t="str">
        <f>"20190312154330034"</f>
        <v>20190312154330034</v>
      </c>
      <c r="B3853" t="str">
        <f>"1552376610031105"</f>
        <v>1552376610031105</v>
      </c>
      <c r="C3853" t="s">
        <v>40</v>
      </c>
      <c r="D3853">
        <v>5.1423550000000002</v>
      </c>
      <c r="E3853">
        <v>0.52109719999999904</v>
      </c>
      <c r="F3853" t="s">
        <v>41</v>
      </c>
      <c r="G3853">
        <v>-362.91070000000002</v>
      </c>
      <c r="H3853">
        <v>0.9758542</v>
      </c>
      <c r="I3853">
        <v>215.44990000000001</v>
      </c>
      <c r="J3853">
        <v>-363.47829999999999</v>
      </c>
      <c r="K3853">
        <v>1.109283</v>
      </c>
      <c r="L3853">
        <v>215.48249999999999</v>
      </c>
      <c r="M3853">
        <v>0.9996969</v>
      </c>
      <c r="N3853">
        <v>0</v>
      </c>
      <c r="O3853">
        <v>1.973244E-2</v>
      </c>
      <c r="P3853">
        <v>0.99889170000000005</v>
      </c>
      <c r="Q3853">
        <v>4.1428520000000003E-2</v>
      </c>
      <c r="R3853">
        <v>2.2338219999999999E-2</v>
      </c>
      <c r="S3853">
        <v>3.019714</v>
      </c>
      <c r="T3853">
        <v>-0.39335170000000003</v>
      </c>
      <c r="U3853">
        <v>-7.012939E-2</v>
      </c>
      <c r="V3853">
        <v>-2.5121229999999998E-3</v>
      </c>
      <c r="W3853">
        <v>5.614504E-2</v>
      </c>
      <c r="X3853">
        <v>0.99841950000000002</v>
      </c>
      <c r="Y3853">
        <v>4.2417490000000002E-2</v>
      </c>
      <c r="Z3853">
        <v>-5.3102069999999999E-3</v>
      </c>
      <c r="AA3853">
        <v>0.99908580000000002</v>
      </c>
      <c r="AB3853">
        <v>47</v>
      </c>
      <c r="AC3853">
        <v>0.56759999999997002</v>
      </c>
      <c r="AD3853">
        <v>-0.13342879999999999</v>
      </c>
      <c r="AE3853">
        <v>-3.2599999999973699E-2</v>
      </c>
      <c r="AF3853">
        <v>4.1508748032536201E-2</v>
      </c>
      <c r="AG3853">
        <v>-0.13342879999999999</v>
      </c>
      <c r="AH3853">
        <v>0.53725479025253697</v>
      </c>
      <c r="AI3853">
        <v>103.907558816223</v>
      </c>
      <c r="AJ3853">
        <v>85.582057467366894</v>
      </c>
      <c r="AK3853">
        <v>0.55512965195705999</v>
      </c>
      <c r="AL3853">
        <v>86.781433811716994</v>
      </c>
      <c r="AM3853">
        <v>90.144161589173393</v>
      </c>
      <c r="AN3853">
        <v>1.0000000371294</v>
      </c>
    </row>
    <row r="3854" spans="1:40" x14ac:dyDescent="0.25">
      <c r="A3854" t="str">
        <f>"20190312154330056"</f>
        <v>20190312154330056</v>
      </c>
      <c r="B3854" t="str">
        <f>"1552376610051602"</f>
        <v>1552376610051602</v>
      </c>
      <c r="C3854" t="s">
        <v>40</v>
      </c>
      <c r="D3854">
        <v>5.1485669999999999</v>
      </c>
      <c r="E3854">
        <v>0.52172850000000004</v>
      </c>
      <c r="F3854" t="s">
        <v>41</v>
      </c>
      <c r="G3854">
        <v>-362.4871</v>
      </c>
      <c r="H3854">
        <v>0.99050070000000001</v>
      </c>
      <c r="I3854">
        <v>215.4581</v>
      </c>
      <c r="J3854">
        <v>-363.02839999999998</v>
      </c>
      <c r="K3854">
        <v>1.1093010000000001</v>
      </c>
      <c r="L3854">
        <v>215.49090000000001</v>
      </c>
      <c r="M3854">
        <v>0.9997085</v>
      </c>
      <c r="N3854">
        <v>0</v>
      </c>
      <c r="O3854">
        <v>1.9135220000000001E-2</v>
      </c>
      <c r="P3854">
        <v>0.99880360000000001</v>
      </c>
      <c r="Q3854">
        <v>4.427528E-2</v>
      </c>
      <c r="R3854">
        <v>2.0774549999999999E-2</v>
      </c>
      <c r="S3854">
        <v>3.0199579999999999</v>
      </c>
      <c r="T3854">
        <v>-0.36195240000000001</v>
      </c>
      <c r="U3854">
        <v>-7.3547360000000006E-2</v>
      </c>
      <c r="V3854">
        <v>-1.542564E-3</v>
      </c>
      <c r="W3854">
        <v>5.8985139999999998E-2</v>
      </c>
      <c r="X3854">
        <v>0.99825770000000003</v>
      </c>
      <c r="Y3854">
        <v>4.3029020000000001E-2</v>
      </c>
      <c r="Z3854">
        <v>-4.8542009999999998E-3</v>
      </c>
      <c r="AA3854">
        <v>0.99906200000000001</v>
      </c>
      <c r="AB3854">
        <v>47</v>
      </c>
      <c r="AC3854">
        <v>0.54129999999997802</v>
      </c>
      <c r="AD3854">
        <v>-0.1188003</v>
      </c>
      <c r="AE3854">
        <v>-3.2800000000008801E-2</v>
      </c>
      <c r="AF3854">
        <v>4.1176857704889797E-2</v>
      </c>
      <c r="AG3854">
        <v>-0.1188003</v>
      </c>
      <c r="AH3854">
        <v>0.51581810999336797</v>
      </c>
      <c r="AI3854">
        <v>102.930123273295</v>
      </c>
      <c r="AJ3854">
        <v>85.435856771128798</v>
      </c>
      <c r="AK3854">
        <v>0.53092124414800801</v>
      </c>
      <c r="AL3854">
        <v>86.618437710582697</v>
      </c>
      <c r="AM3854">
        <v>90.0885365937892</v>
      </c>
      <c r="AN3854">
        <v>1.0000000309268999</v>
      </c>
    </row>
    <row r="3855" spans="1:40" x14ac:dyDescent="0.25">
      <c r="A3855" t="str">
        <f>"20190312154330077"</f>
        <v>20190312154330077</v>
      </c>
      <c r="B3855" t="str">
        <f>"1552376610071122"</f>
        <v>1552376610071122</v>
      </c>
      <c r="C3855" t="s">
        <v>40</v>
      </c>
      <c r="D3855">
        <v>5.126455</v>
      </c>
      <c r="E3855">
        <v>0.52222760000000001</v>
      </c>
      <c r="F3855" t="s">
        <v>41</v>
      </c>
      <c r="G3855">
        <v>-362.06560000000002</v>
      </c>
      <c r="H3855">
        <v>1.0011540000000001</v>
      </c>
      <c r="I3855">
        <v>215.46369999999999</v>
      </c>
      <c r="J3855">
        <v>-362.56509999999997</v>
      </c>
      <c r="K3855">
        <v>1.1093109999999999</v>
      </c>
      <c r="L3855">
        <v>215.49930000000001</v>
      </c>
      <c r="M3855">
        <v>0.99972019999999995</v>
      </c>
      <c r="N3855">
        <v>0</v>
      </c>
      <c r="O3855">
        <v>1.85203E-2</v>
      </c>
      <c r="P3855">
        <v>0.9987317</v>
      </c>
      <c r="Q3855">
        <v>4.7475860000000002E-2</v>
      </c>
      <c r="R3855">
        <v>1.6773070000000001E-2</v>
      </c>
      <c r="S3855">
        <v>3.0204469999999999</v>
      </c>
      <c r="T3855">
        <v>-0.33931359999999999</v>
      </c>
      <c r="U3855">
        <v>-8.5220340000000006E-2</v>
      </c>
      <c r="V3855">
        <v>1.8485789999999999E-3</v>
      </c>
      <c r="W3855">
        <v>6.217408E-2</v>
      </c>
      <c r="X3855">
        <v>0.99806360000000005</v>
      </c>
      <c r="Y3855">
        <v>4.6305859999999997E-2</v>
      </c>
      <c r="Z3855">
        <v>-4.6661979999999999E-3</v>
      </c>
      <c r="AA3855">
        <v>0.99891640000000004</v>
      </c>
      <c r="AB3855">
        <v>47</v>
      </c>
      <c r="AC3855">
        <v>0.49949999999995498</v>
      </c>
      <c r="AD3855">
        <v>-0.108157</v>
      </c>
      <c r="AE3855">
        <v>-3.56000000000165E-2</v>
      </c>
      <c r="AF3855">
        <v>4.2847033740255398E-2</v>
      </c>
      <c r="AG3855">
        <v>-0.108157</v>
      </c>
      <c r="AH3855">
        <v>0.47652569911537801</v>
      </c>
      <c r="AI3855">
        <v>102.73806533598599</v>
      </c>
      <c r="AJ3855">
        <v>84.862039592446393</v>
      </c>
      <c r="AK3855">
        <v>0.49052068953993999</v>
      </c>
      <c r="AL3855">
        <v>86.435388500420203</v>
      </c>
      <c r="AM3855">
        <v>89.893878853330094</v>
      </c>
      <c r="AN3855">
        <v>0.99999999155656205</v>
      </c>
    </row>
    <row r="3856" spans="1:40" x14ac:dyDescent="0.25">
      <c r="A3856" t="str">
        <f>"20190312154330101"</f>
        <v>20190312154330101</v>
      </c>
      <c r="B3856" t="str">
        <f>"1552376610091617"</f>
        <v>1552376610091617</v>
      </c>
      <c r="C3856" t="s">
        <v>40</v>
      </c>
      <c r="D3856">
        <v>5.1728319999999997</v>
      </c>
      <c r="E3856">
        <v>0.52278760000000002</v>
      </c>
      <c r="F3856" t="s">
        <v>41</v>
      </c>
      <c r="G3856">
        <v>-361.64449999999999</v>
      </c>
      <c r="H3856">
        <v>1.0116830000000001</v>
      </c>
      <c r="I3856">
        <v>215.46799999999999</v>
      </c>
      <c r="J3856">
        <v>-362.08210000000003</v>
      </c>
      <c r="K3856">
        <v>1.109324</v>
      </c>
      <c r="L3856">
        <v>215.5077</v>
      </c>
      <c r="M3856">
        <v>0.99973190000000001</v>
      </c>
      <c r="N3856">
        <v>0</v>
      </c>
      <c r="O3856">
        <v>1.7878740000000001E-2</v>
      </c>
      <c r="P3856">
        <v>0.99872119999999998</v>
      </c>
      <c r="Q3856">
        <v>4.9343289999999998E-2</v>
      </c>
      <c r="R3856">
        <v>1.1024620000000001E-2</v>
      </c>
      <c r="S3856">
        <v>3.020721</v>
      </c>
      <c r="T3856">
        <v>-0.32036920000000002</v>
      </c>
      <c r="U3856">
        <v>-0.1023102</v>
      </c>
      <c r="V3856">
        <v>6.9583680000000004E-3</v>
      </c>
      <c r="W3856">
        <v>6.4026710000000001E-2</v>
      </c>
      <c r="X3856">
        <v>0.99792389999999997</v>
      </c>
      <c r="Y3856">
        <v>5.1327320000000003E-2</v>
      </c>
      <c r="Z3856">
        <v>-4.6040339999999999E-3</v>
      </c>
      <c r="AA3856">
        <v>0.99867130000000004</v>
      </c>
      <c r="AB3856">
        <v>47</v>
      </c>
      <c r="AC3856">
        <v>0.43760000000003102</v>
      </c>
      <c r="AD3856">
        <v>-9.7641000000000006E-2</v>
      </c>
      <c r="AE3856">
        <v>-3.9700000000010498E-2</v>
      </c>
      <c r="AF3856">
        <v>4.5282206997844701E-2</v>
      </c>
      <c r="AG3856">
        <v>-9.7641000000000006E-2</v>
      </c>
      <c r="AH3856">
        <v>0.41626506088147902</v>
      </c>
      <c r="AI3856">
        <v>103.12616942739901</v>
      </c>
      <c r="AJ3856">
        <v>83.791654229277896</v>
      </c>
      <c r="AK3856">
        <v>0.42995446742911803</v>
      </c>
      <c r="AL3856">
        <v>86.329028585220399</v>
      </c>
      <c r="AM3856">
        <v>89.600491923826596</v>
      </c>
      <c r="AN3856">
        <v>0.99999997433492804</v>
      </c>
    </row>
    <row r="3857" spans="1:40" x14ac:dyDescent="0.25">
      <c r="A3857" t="str">
        <f>"20190312154330122"</f>
        <v>20190312154330122</v>
      </c>
      <c r="B3857" t="str">
        <f>"1552376610111137"</f>
        <v>1552376610111137</v>
      </c>
      <c r="C3857" t="s">
        <v>40</v>
      </c>
      <c r="D3857">
        <v>5.1363130000000004</v>
      </c>
      <c r="E3857">
        <v>0.52295630000000004</v>
      </c>
      <c r="F3857" t="s">
        <v>41</v>
      </c>
      <c r="G3857">
        <v>-361.22370000000001</v>
      </c>
      <c r="H3857">
        <v>1.0223040000000001</v>
      </c>
      <c r="I3857">
        <v>215.47210000000001</v>
      </c>
      <c r="J3857">
        <v>-361.64080000000001</v>
      </c>
      <c r="K3857">
        <v>1.109329</v>
      </c>
      <c r="L3857">
        <v>215.51509999999999</v>
      </c>
      <c r="M3857">
        <v>0.99974220000000003</v>
      </c>
      <c r="N3857">
        <v>0</v>
      </c>
      <c r="O3857">
        <v>1.7292829999999999E-2</v>
      </c>
      <c r="P3857">
        <v>0.99877169999999904</v>
      </c>
      <c r="Q3857">
        <v>4.9153570000000001E-2</v>
      </c>
      <c r="R3857">
        <v>6.2929500000000003E-3</v>
      </c>
      <c r="S3857">
        <v>3.0203549999999999</v>
      </c>
      <c r="T3857">
        <v>-0.30617879999999997</v>
      </c>
      <c r="U3857">
        <v>-0.1248779</v>
      </c>
      <c r="V3857">
        <v>1.1104299999999999E-2</v>
      </c>
      <c r="W3857">
        <v>6.3825409999999999E-2</v>
      </c>
      <c r="X3857">
        <v>0.99789930000000004</v>
      </c>
      <c r="Y3857">
        <v>5.8197619999999999E-2</v>
      </c>
      <c r="Z3857">
        <v>-4.6890760000000004E-3</v>
      </c>
      <c r="AA3857">
        <v>0.99829409999999996</v>
      </c>
      <c r="AB3857">
        <v>46</v>
      </c>
      <c r="AC3857">
        <v>0.41710000000000402</v>
      </c>
      <c r="AD3857">
        <v>-8.7024999999999894E-2</v>
      </c>
      <c r="AE3857">
        <v>-4.2999999999977903E-2</v>
      </c>
      <c r="AF3857">
        <v>4.8133865616929797E-2</v>
      </c>
      <c r="AG3857">
        <v>-8.7024999999999894E-2</v>
      </c>
      <c r="AH3857">
        <v>0.39910294075682901</v>
      </c>
      <c r="AI3857">
        <v>102.21505775153599</v>
      </c>
      <c r="AJ3857">
        <v>83.123049319332594</v>
      </c>
      <c r="AK3857">
        <v>0.41130691334449698</v>
      </c>
      <c r="AL3857">
        <v>86.340585961354293</v>
      </c>
      <c r="AM3857">
        <v>89.362457448373704</v>
      </c>
      <c r="AN3857">
        <v>1.00000000069032</v>
      </c>
    </row>
    <row r="3858" spans="1:40" x14ac:dyDescent="0.25">
      <c r="A3858" t="str">
        <f>"20190312154330145"</f>
        <v>20190312154330145</v>
      </c>
      <c r="B3858" t="str">
        <f>"1552376610141394"</f>
        <v>1552376610141394</v>
      </c>
      <c r="C3858" t="s">
        <v>40</v>
      </c>
      <c r="D3858">
        <v>5.1953100000000001</v>
      </c>
      <c r="E3858">
        <v>0.52341349999999998</v>
      </c>
      <c r="F3858" t="s">
        <v>41</v>
      </c>
      <c r="G3858">
        <v>-360.80599999999998</v>
      </c>
      <c r="H3858">
        <v>1.0272760000000001</v>
      </c>
      <c r="I3858">
        <v>215.47569999999999</v>
      </c>
      <c r="J3858">
        <v>-361.17989999999998</v>
      </c>
      <c r="K3858">
        <v>1.1093360000000001</v>
      </c>
      <c r="L3858">
        <v>215.52260000000001</v>
      </c>
      <c r="M3858">
        <v>0.99975270000000005</v>
      </c>
      <c r="N3858">
        <v>0</v>
      </c>
      <c r="O3858">
        <v>1.6678849999999999E-2</v>
      </c>
      <c r="P3858">
        <v>0.99875979999999998</v>
      </c>
      <c r="Q3858">
        <v>4.9773459999999999E-2</v>
      </c>
      <c r="R3858">
        <v>1.3348419999999999E-3</v>
      </c>
      <c r="S3858">
        <v>3.0191349999999999</v>
      </c>
      <c r="T3858">
        <v>-0.29685660000000003</v>
      </c>
      <c r="U3858">
        <v>-0.141586299999999</v>
      </c>
      <c r="V3858">
        <v>1.5449350000000001E-2</v>
      </c>
      <c r="W3858">
        <v>6.4433089999999998E-2</v>
      </c>
      <c r="X3858">
        <v>0.99780239999999998</v>
      </c>
      <c r="Y3858">
        <v>6.3116619999999998E-2</v>
      </c>
      <c r="Z3858">
        <v>-4.7292139999999998E-3</v>
      </c>
      <c r="AA3858">
        <v>0.99799499999999997</v>
      </c>
      <c r="AB3858">
        <v>46</v>
      </c>
      <c r="AC3858">
        <v>0.37389999999999102</v>
      </c>
      <c r="AD3858">
        <v>-8.2059999999999994E-2</v>
      </c>
      <c r="AE3858">
        <v>-4.6900000000022098E-2</v>
      </c>
      <c r="AF3858">
        <v>5.0724936150259803E-2</v>
      </c>
      <c r="AG3858">
        <v>-8.2059999999999994E-2</v>
      </c>
      <c r="AH3858">
        <v>0.35617540506362599</v>
      </c>
      <c r="AI3858">
        <v>102.84881843804099</v>
      </c>
      <c r="AJ3858">
        <v>81.894691412030298</v>
      </c>
      <c r="AK3858">
        <v>0.36900918947864503</v>
      </c>
      <c r="AL3858">
        <v>86.305696522530098</v>
      </c>
      <c r="AM3858">
        <v>89.112938769241197</v>
      </c>
      <c r="AN3858">
        <v>0.99999996747406406</v>
      </c>
    </row>
    <row r="3859" spans="1:40" x14ac:dyDescent="0.25">
      <c r="A3859" t="str">
        <f>"20190312154330166"</f>
        <v>20190312154330166</v>
      </c>
      <c r="B3859" t="str">
        <f>"1552376610160914"</f>
        <v>1552376610160914</v>
      </c>
      <c r="C3859" t="s">
        <v>40</v>
      </c>
      <c r="D3859">
        <v>5.2347010000000003</v>
      </c>
      <c r="E3859">
        <v>0.52371719999999999</v>
      </c>
      <c r="F3859" t="s">
        <v>41</v>
      </c>
      <c r="G3859">
        <v>-360.38799999999998</v>
      </c>
      <c r="H3859">
        <v>1.033474</v>
      </c>
      <c r="I3859">
        <v>215.4804</v>
      </c>
      <c r="J3859">
        <v>-360.72250000000003</v>
      </c>
      <c r="K3859">
        <v>1.1093309999999901</v>
      </c>
      <c r="L3859">
        <v>215.52979999999999</v>
      </c>
      <c r="M3859">
        <v>0.99976279999999995</v>
      </c>
      <c r="N3859">
        <v>0</v>
      </c>
      <c r="O3859">
        <v>1.6064040000000002E-2</v>
      </c>
      <c r="P3859">
        <v>0.99872190000000005</v>
      </c>
      <c r="Q3859">
        <v>5.0458610000000001E-2</v>
      </c>
      <c r="R3859">
        <v>-2.9229E-3</v>
      </c>
      <c r="S3859">
        <v>3.0183719999999998</v>
      </c>
      <c r="T3859">
        <v>-0.28924139999999998</v>
      </c>
      <c r="U3859">
        <v>-0.16052249999999901</v>
      </c>
      <c r="V3859">
        <v>1.9093479999999999E-2</v>
      </c>
      <c r="W3859">
        <v>6.5107349999999994E-2</v>
      </c>
      <c r="X3859">
        <v>0.99769560000000002</v>
      </c>
      <c r="Y3859">
        <v>6.8755460000000004E-2</v>
      </c>
      <c r="Z3859">
        <v>-4.8195340000000003E-3</v>
      </c>
      <c r="AA3859">
        <v>0.99762189999999995</v>
      </c>
      <c r="AB3859">
        <v>46</v>
      </c>
      <c r="AC3859">
        <v>0.33449999999999103</v>
      </c>
      <c r="AD3859">
        <v>-7.58569999999998E-2</v>
      </c>
      <c r="AE3859">
        <v>-4.9399999999991402E-2</v>
      </c>
      <c r="AF3859">
        <v>5.2143245972813002E-2</v>
      </c>
      <c r="AG3859">
        <v>-7.58569999999998E-2</v>
      </c>
      <c r="AH3859">
        <v>0.31767454990169203</v>
      </c>
      <c r="AI3859">
        <v>103.25903871506701</v>
      </c>
      <c r="AJ3859">
        <v>80.678564421509193</v>
      </c>
      <c r="AK3859">
        <v>0.330742078068128</v>
      </c>
      <c r="AL3859">
        <v>86.266983170820595</v>
      </c>
      <c r="AM3859">
        <v>88.903631233374</v>
      </c>
      <c r="AN3859">
        <v>1.0000000191309399</v>
      </c>
    </row>
    <row r="3860" spans="1:40" x14ac:dyDescent="0.25">
      <c r="A3860" t="str">
        <f>"20190312154330191"</f>
        <v>20190312154330191</v>
      </c>
      <c r="B3860" t="str">
        <f>"1552376610181410"</f>
        <v>1552376610181410</v>
      </c>
      <c r="C3860" t="s">
        <v>40</v>
      </c>
      <c r="D3860">
        <v>5.2368370000000004</v>
      </c>
      <c r="E3860">
        <v>0.52395079999999905</v>
      </c>
      <c r="F3860" t="s">
        <v>41</v>
      </c>
      <c r="G3860">
        <v>-359.97070000000002</v>
      </c>
      <c r="H3860">
        <v>1.038648</v>
      </c>
      <c r="I3860">
        <v>215.48580000000001</v>
      </c>
      <c r="J3860">
        <v>-360.22800000000001</v>
      </c>
      <c r="K3860">
        <v>1.109321</v>
      </c>
      <c r="L3860">
        <v>215.53720000000001</v>
      </c>
      <c r="M3860">
        <v>0.99977340000000003</v>
      </c>
      <c r="N3860">
        <v>0</v>
      </c>
      <c r="O3860">
        <v>1.538747E-2</v>
      </c>
      <c r="P3860">
        <v>0.9988148</v>
      </c>
      <c r="Q3860">
        <v>4.8277130000000001E-2</v>
      </c>
      <c r="R3860">
        <v>-6.1967929999999999E-3</v>
      </c>
      <c r="S3860">
        <v>3.0176699999999999</v>
      </c>
      <c r="T3860">
        <v>-0.28379090000000001</v>
      </c>
      <c r="U3860">
        <v>-0.17552190000000001</v>
      </c>
      <c r="V3860">
        <v>2.1689389999999999E-2</v>
      </c>
      <c r="W3860">
        <v>6.2918390000000005E-2</v>
      </c>
      <c r="X3860">
        <v>0.99778290000000003</v>
      </c>
      <c r="Y3860">
        <v>7.3033940000000006E-2</v>
      </c>
      <c r="Z3860">
        <v>-4.8666969999999997E-3</v>
      </c>
      <c r="AA3860">
        <v>0.99731760000000003</v>
      </c>
      <c r="AB3860">
        <v>46</v>
      </c>
      <c r="AC3860">
        <v>0.25729999999998598</v>
      </c>
      <c r="AD3860">
        <v>-7.0672999999999903E-2</v>
      </c>
      <c r="AE3860">
        <v>-5.1400000000000903E-2</v>
      </c>
      <c r="AF3860">
        <v>5.1609319016153302E-2</v>
      </c>
      <c r="AG3860">
        <v>-7.0672999999999903E-2</v>
      </c>
      <c r="AH3860">
        <v>0.239129833189478</v>
      </c>
      <c r="AI3860">
        <v>106.11352204962699</v>
      </c>
      <c r="AJ3860">
        <v>77.821147781086097</v>
      </c>
      <c r="AK3860">
        <v>0.25463949391156698</v>
      </c>
      <c r="AL3860">
        <v>86.392658809815799</v>
      </c>
      <c r="AM3860">
        <v>88.754724272753194</v>
      </c>
      <c r="AN3860">
        <v>0.999999934485585</v>
      </c>
    </row>
    <row r="3861" spans="1:40" x14ac:dyDescent="0.25">
      <c r="A3861" t="str">
        <f>"20190312154330212"</f>
        <v>20190312154330212</v>
      </c>
      <c r="B3861" t="str">
        <f>"1552376610200931"</f>
        <v>1552376610200931</v>
      </c>
      <c r="C3861" t="s">
        <v>40</v>
      </c>
      <c r="D3861">
        <v>5.2611160000000003</v>
      </c>
      <c r="E3861">
        <v>0.52394359999999995</v>
      </c>
      <c r="F3861" t="s">
        <v>41</v>
      </c>
      <c r="G3861">
        <v>-359.1574</v>
      </c>
      <c r="H3861">
        <v>1.0074780000000001</v>
      </c>
      <c r="I3861">
        <v>215.47030000000001</v>
      </c>
      <c r="J3861">
        <v>-359.77339999999998</v>
      </c>
      <c r="K3861">
        <v>1.1093</v>
      </c>
      <c r="L3861">
        <v>215.5436</v>
      </c>
      <c r="M3861">
        <v>0.99978319999999998</v>
      </c>
      <c r="N3861">
        <v>0</v>
      </c>
      <c r="O3861">
        <v>1.4753759999999999E-2</v>
      </c>
      <c r="P3861">
        <v>0.99890250000000003</v>
      </c>
      <c r="Q3861">
        <v>4.6006369999999998E-2</v>
      </c>
      <c r="R3861">
        <v>-8.805518E-3</v>
      </c>
      <c r="S3861">
        <v>3.0162659999999999</v>
      </c>
      <c r="T3861">
        <v>-0.286991099999999</v>
      </c>
      <c r="U3861">
        <v>-0.1873322</v>
      </c>
      <c r="V3861">
        <v>2.3662989999999998E-2</v>
      </c>
      <c r="W3861">
        <v>6.0641559999999997E-2</v>
      </c>
      <c r="X3861">
        <v>0.99787910000000002</v>
      </c>
      <c r="Y3861">
        <v>7.6298359999999996E-2</v>
      </c>
      <c r="Z3861">
        <v>-5.0177290000000003E-3</v>
      </c>
      <c r="AA3861">
        <v>0.99707239999999997</v>
      </c>
      <c r="AB3861">
        <v>46</v>
      </c>
      <c r="AC3861">
        <v>0.615999999999985</v>
      </c>
      <c r="AD3861">
        <v>-0.101821999999999</v>
      </c>
      <c r="AE3861">
        <v>-7.3299999999988999E-2</v>
      </c>
      <c r="AF3861">
        <v>8.0220098460250105E-2</v>
      </c>
      <c r="AG3861">
        <v>-0.101821999999999</v>
      </c>
      <c r="AH3861">
        <v>0.59872115513198298</v>
      </c>
      <c r="AI3861">
        <v>99.567812050095696</v>
      </c>
      <c r="AJ3861">
        <v>82.3686324199886</v>
      </c>
      <c r="AK3861">
        <v>0.61259285458087698</v>
      </c>
      <c r="AL3861">
        <v>86.523361552853302</v>
      </c>
      <c r="AM3861">
        <v>88.641583520213103</v>
      </c>
      <c r="AN3861">
        <v>1.00000001705589</v>
      </c>
    </row>
    <row r="3862" spans="1:40" x14ac:dyDescent="0.25">
      <c r="A3862" t="str">
        <f>"20190312154330234"</f>
        <v>20190312154330234</v>
      </c>
      <c r="B3862" t="str">
        <f>"1552376610231186"</f>
        <v>1552376610231186</v>
      </c>
      <c r="C3862" t="s">
        <v>40</v>
      </c>
      <c r="D3862">
        <v>5.2347400000000004</v>
      </c>
      <c r="E3862">
        <v>0.52391179999999904</v>
      </c>
      <c r="F3862" t="s">
        <v>41</v>
      </c>
      <c r="G3862">
        <v>-358.74250000000001</v>
      </c>
      <c r="H3862">
        <v>1.010229</v>
      </c>
      <c r="I3862">
        <v>215.47669999999999</v>
      </c>
      <c r="J3862">
        <v>-359.32850000000002</v>
      </c>
      <c r="K3862">
        <v>1.1092770000000001</v>
      </c>
      <c r="L3862">
        <v>215.5497</v>
      </c>
      <c r="M3862">
        <v>0.99979209999999996</v>
      </c>
      <c r="N3862">
        <v>0</v>
      </c>
      <c r="O3862">
        <v>1.412301E-2</v>
      </c>
      <c r="P3862">
        <v>0.99901709999999999</v>
      </c>
      <c r="Q3862">
        <v>4.2964860000000001E-2</v>
      </c>
      <c r="R3862">
        <v>-1.090941E-2</v>
      </c>
      <c r="S3862">
        <v>3.014923</v>
      </c>
      <c r="T3862">
        <v>-0.28971529999999901</v>
      </c>
      <c r="U3862">
        <v>-0.1958771</v>
      </c>
      <c r="V3862">
        <v>2.5133409999999998E-2</v>
      </c>
      <c r="W3862">
        <v>5.7595140000000003E-2</v>
      </c>
      <c r="X3862">
        <v>0.99802360000000001</v>
      </c>
      <c r="Y3862">
        <v>7.8495899999999993E-2</v>
      </c>
      <c r="Z3862">
        <v>-5.1117460000000003E-3</v>
      </c>
      <c r="AA3862">
        <v>0.99690129999999999</v>
      </c>
      <c r="AB3862">
        <v>46</v>
      </c>
      <c r="AC3862">
        <v>0.58600000000001196</v>
      </c>
      <c r="AD3862">
        <v>-9.9047999999999997E-2</v>
      </c>
      <c r="AE3862">
        <v>-7.3000000000007503E-2</v>
      </c>
      <c r="AF3862">
        <v>7.9045936969481895E-2</v>
      </c>
      <c r="AG3862">
        <v>-9.9047999999999997E-2</v>
      </c>
      <c r="AH3862">
        <v>0.56890571126975298</v>
      </c>
      <c r="AI3862">
        <v>99.784201987787796</v>
      </c>
      <c r="AJ3862">
        <v>82.089749145016995</v>
      </c>
      <c r="AK3862">
        <v>0.58284858648771398</v>
      </c>
      <c r="AL3862">
        <v>86.6982143827138</v>
      </c>
      <c r="AM3862">
        <v>88.557414861752505</v>
      </c>
      <c r="AN3862">
        <v>0.99999999730340305</v>
      </c>
    </row>
    <row r="3863" spans="1:40" x14ac:dyDescent="0.25">
      <c r="A3863" t="str">
        <f>"20190312154330256"</f>
        <v>20190312154330256</v>
      </c>
      <c r="B3863" t="str">
        <f>"1552376610251682"</f>
        <v>1552376610251682</v>
      </c>
      <c r="C3863" t="s">
        <v>40</v>
      </c>
      <c r="D3863">
        <v>5.2844179999999996</v>
      </c>
      <c r="E3863">
        <v>0.52376080000000003</v>
      </c>
      <c r="F3863" t="s">
        <v>41</v>
      </c>
      <c r="G3863">
        <v>-358.32819999999998</v>
      </c>
      <c r="H3863">
        <v>1.0117659999999999</v>
      </c>
      <c r="I3863">
        <v>215.4821</v>
      </c>
      <c r="J3863">
        <v>-358.86540000000002</v>
      </c>
      <c r="K3863">
        <v>1.109246</v>
      </c>
      <c r="L3863">
        <v>215.5557</v>
      </c>
      <c r="M3863">
        <v>0.99980139999999995</v>
      </c>
      <c r="N3863">
        <v>0</v>
      </c>
      <c r="O3863">
        <v>1.3453379999999999E-2</v>
      </c>
      <c r="P3863">
        <v>0.99913980000000002</v>
      </c>
      <c r="Q3863">
        <v>3.923335E-2</v>
      </c>
      <c r="R3863">
        <v>-1.343863E-2</v>
      </c>
      <c r="S3863">
        <v>3.0133670000000001</v>
      </c>
      <c r="T3863">
        <v>-0.29381390000000002</v>
      </c>
      <c r="U3863">
        <v>-0.20306399999999999</v>
      </c>
      <c r="V3863">
        <v>2.698907E-2</v>
      </c>
      <c r="W3863">
        <v>5.3858259999999998E-2</v>
      </c>
      <c r="X3863">
        <v>0.99818379999999995</v>
      </c>
      <c r="Y3863">
        <v>8.0211299999999999E-2</v>
      </c>
      <c r="Z3863">
        <v>-5.2042420000000004E-3</v>
      </c>
      <c r="AA3863">
        <v>0.99676430000000005</v>
      </c>
      <c r="AB3863">
        <v>46</v>
      </c>
      <c r="AC3863">
        <v>0.53720000000004098</v>
      </c>
      <c r="AD3863">
        <v>-9.7479999999999997E-2</v>
      </c>
      <c r="AE3863">
        <v>-7.3599999999999E-2</v>
      </c>
      <c r="AF3863">
        <v>7.8290849328351203E-2</v>
      </c>
      <c r="AG3863">
        <v>-9.7479999999999997E-2</v>
      </c>
      <c r="AH3863">
        <v>0.51937448140119202</v>
      </c>
      <c r="AI3863">
        <v>100.513933286088</v>
      </c>
      <c r="AJ3863">
        <v>81.427736329399494</v>
      </c>
      <c r="AK3863">
        <v>0.53421124980602197</v>
      </c>
      <c r="AL3863">
        <v>86.9126552303468</v>
      </c>
      <c r="AM3863">
        <v>88.451203936213801</v>
      </c>
      <c r="AN3863">
        <v>1.00000001032606</v>
      </c>
    </row>
    <row r="3864" spans="1:40" x14ac:dyDescent="0.25">
      <c r="A3864" t="str">
        <f>"20190312154330279"</f>
        <v>20190312154330279</v>
      </c>
      <c r="B3864" t="str">
        <f>"1552376610271203"</f>
        <v>1552376610271203</v>
      </c>
      <c r="C3864" t="s">
        <v>40</v>
      </c>
      <c r="D3864">
        <v>5.2399290000000001</v>
      </c>
      <c r="E3864">
        <v>0.52355470000000004</v>
      </c>
      <c r="F3864" t="s">
        <v>41</v>
      </c>
      <c r="G3864">
        <v>-357.91410000000002</v>
      </c>
      <c r="H3864">
        <v>1.0140469999999999</v>
      </c>
      <c r="I3864">
        <v>215.48929999999999</v>
      </c>
      <c r="J3864">
        <v>-358.399</v>
      </c>
      <c r="K3864">
        <v>1.1092219999999999</v>
      </c>
      <c r="L3864">
        <v>215.5615</v>
      </c>
      <c r="M3864">
        <v>0.99981059999999999</v>
      </c>
      <c r="N3864">
        <v>0</v>
      </c>
      <c r="O3864">
        <v>1.276659E-2</v>
      </c>
      <c r="P3864">
        <v>0.99922040000000001</v>
      </c>
      <c r="Q3864">
        <v>3.6095370000000002E-2</v>
      </c>
      <c r="R3864">
        <v>-1.5995869999999999E-2</v>
      </c>
      <c r="S3864">
        <v>3.0116269999999998</v>
      </c>
      <c r="T3864">
        <v>-0.3013902</v>
      </c>
      <c r="U3864">
        <v>-0.21018980000000001</v>
      </c>
      <c r="V3864">
        <v>2.8856050000000001E-2</v>
      </c>
      <c r="W3864">
        <v>5.0714009999999997E-2</v>
      </c>
      <c r="X3864">
        <v>0.99829630000000003</v>
      </c>
      <c r="Y3864">
        <v>8.1884120000000005E-2</v>
      </c>
      <c r="Z3864">
        <v>-5.3553189999999999E-3</v>
      </c>
      <c r="AA3864">
        <v>0.99662740000000005</v>
      </c>
      <c r="AB3864">
        <v>46</v>
      </c>
      <c r="AC3864">
        <v>0.48489999999998101</v>
      </c>
      <c r="AD3864">
        <v>-9.5174999999999996E-2</v>
      </c>
      <c r="AE3864">
        <v>-7.2200000000009298E-2</v>
      </c>
      <c r="AF3864">
        <v>7.5538315265668898E-2</v>
      </c>
      <c r="AG3864">
        <v>-9.5174999999999996E-2</v>
      </c>
      <c r="AH3864">
        <v>0.46636177357346398</v>
      </c>
      <c r="AI3864">
        <v>101.390027640958</v>
      </c>
      <c r="AJ3864">
        <v>80.799498382965496</v>
      </c>
      <c r="AK3864">
        <v>0.481931137766344</v>
      </c>
      <c r="AL3864">
        <v>87.093054411765493</v>
      </c>
      <c r="AM3864">
        <v>88.344309552332604</v>
      </c>
      <c r="AN3864">
        <v>1.00000004251278</v>
      </c>
    </row>
    <row r="3865" spans="1:40" x14ac:dyDescent="0.25">
      <c r="A3865" t="str">
        <f>"20190312154330302"</f>
        <v>20190312154330302</v>
      </c>
      <c r="B3865" t="str">
        <f>"1552376610291698"</f>
        <v>1552376610291698</v>
      </c>
      <c r="C3865" t="s">
        <v>40</v>
      </c>
      <c r="D3865">
        <v>5.2755519999999896</v>
      </c>
      <c r="E3865">
        <v>0.52337699999999998</v>
      </c>
      <c r="F3865" t="s">
        <v>41</v>
      </c>
      <c r="G3865">
        <v>-357.49959999999999</v>
      </c>
      <c r="H3865">
        <v>1.0174510000000001</v>
      </c>
      <c r="I3865">
        <v>215.4965</v>
      </c>
      <c r="J3865">
        <v>-357.9228</v>
      </c>
      <c r="K3865">
        <v>1.109221</v>
      </c>
      <c r="L3865">
        <v>215.56700000000001</v>
      </c>
      <c r="M3865">
        <v>0.99981929999999997</v>
      </c>
      <c r="N3865">
        <v>0</v>
      </c>
      <c r="O3865">
        <v>1.205562E-2</v>
      </c>
      <c r="P3865">
        <v>0.99920819999999999</v>
      </c>
      <c r="Q3865">
        <v>3.534992E-2</v>
      </c>
      <c r="R3865">
        <v>-1.8258420000000001E-2</v>
      </c>
      <c r="S3865">
        <v>3.0099490000000002</v>
      </c>
      <c r="T3865">
        <v>-0.3072376</v>
      </c>
      <c r="U3865">
        <v>-0.2166748</v>
      </c>
      <c r="V3865">
        <v>3.040754E-2</v>
      </c>
      <c r="W3865">
        <v>4.9962039999999999E-2</v>
      </c>
      <c r="X3865">
        <v>0.99828810000000001</v>
      </c>
      <c r="Y3865">
        <v>8.3327810000000002E-2</v>
      </c>
      <c r="Z3865">
        <v>-5.4623900000000001E-3</v>
      </c>
      <c r="AA3865">
        <v>0.99650720000000004</v>
      </c>
      <c r="AB3865">
        <v>46</v>
      </c>
      <c r="AC3865">
        <v>0.42320000000000801</v>
      </c>
      <c r="AD3865">
        <v>-9.1769999999999893E-2</v>
      </c>
      <c r="AE3865">
        <v>-7.0500000000009694E-2</v>
      </c>
      <c r="AF3865">
        <v>7.2289868194031506E-2</v>
      </c>
      <c r="AG3865">
        <v>-9.1769999999999893E-2</v>
      </c>
      <c r="AH3865">
        <v>0.403842132863238</v>
      </c>
      <c r="AI3865">
        <v>102.608744605526</v>
      </c>
      <c r="AJ3865">
        <v>79.851241272494903</v>
      </c>
      <c r="AK3865">
        <v>0.420399840888457</v>
      </c>
      <c r="AL3865">
        <v>87.136193621752199</v>
      </c>
      <c r="AM3865">
        <v>88.255328096323893</v>
      </c>
      <c r="AN3865">
        <v>0.99999997726571099</v>
      </c>
    </row>
    <row r="3866" spans="1:40" x14ac:dyDescent="0.25">
      <c r="A3866" t="str">
        <f>"20190312154330324"</f>
        <v>20190312154330324</v>
      </c>
      <c r="B3866" t="str">
        <f>"1552376610320977"</f>
        <v>1552376610320977</v>
      </c>
      <c r="C3866" t="s">
        <v>40</v>
      </c>
      <c r="D3866">
        <v>5.2804729999999998</v>
      </c>
      <c r="E3866">
        <v>0.52312369999999997</v>
      </c>
      <c r="F3866" t="s">
        <v>41</v>
      </c>
      <c r="G3866">
        <v>-357.084</v>
      </c>
      <c r="H3866">
        <v>1.02384599999999</v>
      </c>
      <c r="I3866">
        <v>215.505</v>
      </c>
      <c r="J3866">
        <v>-357.4692</v>
      </c>
      <c r="K3866">
        <v>1.109218</v>
      </c>
      <c r="L3866">
        <v>215.5719</v>
      </c>
      <c r="M3866">
        <v>0.99982749999999998</v>
      </c>
      <c r="N3866">
        <v>0</v>
      </c>
      <c r="O3866">
        <v>1.137109E-2</v>
      </c>
      <c r="P3866">
        <v>0.99915880000000001</v>
      </c>
      <c r="Q3866">
        <v>3.5861070000000002E-2</v>
      </c>
      <c r="R3866">
        <v>-1.989577E-2</v>
      </c>
      <c r="S3866">
        <v>3.0091549999999998</v>
      </c>
      <c r="T3866">
        <v>-0.30630309999999999</v>
      </c>
      <c r="U3866">
        <v>-0.22198490000000001</v>
      </c>
      <c r="V3866">
        <v>3.1362309999999997E-2</v>
      </c>
      <c r="W3866">
        <v>5.0466850000000001E-2</v>
      </c>
      <c r="X3866">
        <v>0.99823320000000004</v>
      </c>
      <c r="Y3866">
        <v>8.441427E-2</v>
      </c>
      <c r="Z3866">
        <v>-5.4325969999999999E-3</v>
      </c>
      <c r="AA3866">
        <v>0.99641590000000002</v>
      </c>
      <c r="AB3866">
        <v>46</v>
      </c>
      <c r="AC3866">
        <v>0.38519999999999699</v>
      </c>
      <c r="AD3866">
        <v>-8.5372000000000198E-2</v>
      </c>
      <c r="AE3866">
        <v>-6.6900000000003901E-2</v>
      </c>
      <c r="AF3866">
        <v>6.8032386300666894E-2</v>
      </c>
      <c r="AG3866">
        <v>-8.5372000000000198E-2</v>
      </c>
      <c r="AH3866">
        <v>0.36691894225231902</v>
      </c>
      <c r="AI3866">
        <v>102.88599815101399</v>
      </c>
      <c r="AJ3866">
        <v>79.495775978181001</v>
      </c>
      <c r="AK3866">
        <v>0.38281365460668099</v>
      </c>
      <c r="AL3866">
        <v>87.107233697431596</v>
      </c>
      <c r="AM3866">
        <v>88.200483502400004</v>
      </c>
      <c r="AN3866">
        <v>1.00000000950984</v>
      </c>
    </row>
    <row r="3867" spans="1:40" x14ac:dyDescent="0.25">
      <c r="A3867" t="str">
        <f>"20190312154330346"</f>
        <v>20190312154330346</v>
      </c>
      <c r="B3867" t="str">
        <f>"1552376610341474"</f>
        <v>1552376610341474</v>
      </c>
      <c r="C3867" t="s">
        <v>40</v>
      </c>
      <c r="D3867">
        <v>5.255363</v>
      </c>
      <c r="E3867">
        <v>0.52291909999999997</v>
      </c>
      <c r="F3867" t="s">
        <v>41</v>
      </c>
      <c r="G3867">
        <v>-356.66919999999999</v>
      </c>
      <c r="H3867">
        <v>1.029104</v>
      </c>
      <c r="I3867">
        <v>215.51159999999999</v>
      </c>
      <c r="J3867">
        <v>-357.01769999999999</v>
      </c>
      <c r="K3867">
        <v>1.109219</v>
      </c>
      <c r="L3867">
        <v>215.57650000000001</v>
      </c>
      <c r="M3867">
        <v>0.99983500000000003</v>
      </c>
      <c r="N3867">
        <v>0</v>
      </c>
      <c r="O3867">
        <v>1.0684859999999999E-2</v>
      </c>
      <c r="P3867">
        <v>0.99911970000000005</v>
      </c>
      <c r="Q3867">
        <v>3.6155880000000001E-2</v>
      </c>
      <c r="R3867">
        <v>-2.1281319999999999E-2</v>
      </c>
      <c r="S3867">
        <v>3.0088499999999998</v>
      </c>
      <c r="T3867">
        <v>-0.30136160000000001</v>
      </c>
      <c r="U3867">
        <v>-0.22525020000000001</v>
      </c>
      <c r="V3867">
        <v>3.206291E-2</v>
      </c>
      <c r="W3867">
        <v>5.07564E-2</v>
      </c>
      <c r="X3867">
        <v>0.99819619999999998</v>
      </c>
      <c r="Y3867">
        <v>8.4830260000000005E-2</v>
      </c>
      <c r="Z3867">
        <v>-5.2979860000000002E-3</v>
      </c>
      <c r="AA3867">
        <v>0.99638130000000003</v>
      </c>
      <c r="AB3867">
        <v>46</v>
      </c>
      <c r="AC3867">
        <v>0.34850000000000098</v>
      </c>
      <c r="AD3867">
        <v>-8.0114999999999895E-2</v>
      </c>
      <c r="AE3867">
        <v>-6.4900000000022801E-2</v>
      </c>
      <c r="AF3867">
        <v>6.5285838050516798E-2</v>
      </c>
      <c r="AG3867">
        <v>-8.0114999999999895E-2</v>
      </c>
      <c r="AH3867">
        <v>0.330886270497741</v>
      </c>
      <c r="AI3867">
        <v>103.362544149832</v>
      </c>
      <c r="AJ3867">
        <v>78.838563637208395</v>
      </c>
      <c r="AK3867">
        <v>0.34665022411483098</v>
      </c>
      <c r="AL3867">
        <v>87.090622236667301</v>
      </c>
      <c r="AM3867">
        <v>88.160243432535907</v>
      </c>
      <c r="AN3867">
        <v>0.99999994801653203</v>
      </c>
    </row>
    <row r="3868" spans="1:40" x14ac:dyDescent="0.25">
      <c r="A3868" t="str">
        <f>"20190312154330367"</f>
        <v>20190312154330367</v>
      </c>
      <c r="B3868" t="str">
        <f>"1552376610360993"</f>
        <v>1552376610360993</v>
      </c>
      <c r="C3868" t="s">
        <v>40</v>
      </c>
      <c r="D3868">
        <v>5.2728970000000004</v>
      </c>
      <c r="E3868">
        <v>0.52264069999999996</v>
      </c>
      <c r="F3868" t="s">
        <v>41</v>
      </c>
      <c r="G3868">
        <v>-356.255</v>
      </c>
      <c r="H3868">
        <v>1.0337750000000001</v>
      </c>
      <c r="I3868">
        <v>215.5187</v>
      </c>
      <c r="J3868">
        <v>-356.57409999999999</v>
      </c>
      <c r="K3868">
        <v>1.1092229999999901</v>
      </c>
      <c r="L3868">
        <v>215.58070000000001</v>
      </c>
      <c r="M3868">
        <v>0.99984220000000001</v>
      </c>
      <c r="N3868">
        <v>0</v>
      </c>
      <c r="O3868">
        <v>1.000759E-2</v>
      </c>
      <c r="P3868">
        <v>0.99903529999999996</v>
      </c>
      <c r="Q3868">
        <v>3.779938E-2</v>
      </c>
      <c r="R3868">
        <v>-2.235494E-2</v>
      </c>
      <c r="S3868">
        <v>3.0085449999999998</v>
      </c>
      <c r="T3868">
        <v>-0.29758879999999999</v>
      </c>
      <c r="U3868">
        <v>-0.22819519999999999</v>
      </c>
      <c r="V3868">
        <v>3.2463270000000002E-2</v>
      </c>
      <c r="W3868">
        <v>5.2394530000000002E-2</v>
      </c>
      <c r="X3868">
        <v>0.99809870000000001</v>
      </c>
      <c r="Y3868">
        <v>8.5146180000000002E-2</v>
      </c>
      <c r="Z3868">
        <v>-5.1811330000000001E-3</v>
      </c>
      <c r="AA3868">
        <v>0.99635499999999999</v>
      </c>
      <c r="AB3868">
        <v>46</v>
      </c>
      <c r="AC3868">
        <v>0.319099999999991</v>
      </c>
      <c r="AD3868">
        <v>-7.5447999999999696E-2</v>
      </c>
      <c r="AE3868">
        <v>-6.2000000000011803E-2</v>
      </c>
      <c r="AF3868">
        <v>6.18583389917697E-2</v>
      </c>
      <c r="AG3868">
        <v>-7.5447999999999696E-2</v>
      </c>
      <c r="AH3868">
        <v>0.302184725678045</v>
      </c>
      <c r="AI3868">
        <v>103.74483033236901</v>
      </c>
      <c r="AJ3868">
        <v>78.431165413747806</v>
      </c>
      <c r="AK3868">
        <v>0.317544427190804</v>
      </c>
      <c r="AL3868">
        <v>86.996639458752895</v>
      </c>
      <c r="AM3868">
        <v>88.137105192181096</v>
      </c>
      <c r="AN3868">
        <v>1.0000000328073499</v>
      </c>
    </row>
    <row r="3869" spans="1:40" x14ac:dyDescent="0.25">
      <c r="A3869" t="str">
        <f>"20190312154330392"</f>
        <v>20190312154330392</v>
      </c>
      <c r="B3869" t="str">
        <f>"1552376610381490"</f>
        <v>1552376610381490</v>
      </c>
      <c r="C3869" t="s">
        <v>40</v>
      </c>
      <c r="D3869">
        <v>5.262378</v>
      </c>
      <c r="E3869">
        <v>0.50046139999999995</v>
      </c>
      <c r="F3869" t="s">
        <v>41</v>
      </c>
      <c r="G3869">
        <v>-355.84100000000001</v>
      </c>
      <c r="H3869">
        <v>1.038697</v>
      </c>
      <c r="I3869">
        <v>215.52449999999999</v>
      </c>
      <c r="J3869">
        <v>-356.08620000000002</v>
      </c>
      <c r="K3869">
        <v>1.1092329999999999</v>
      </c>
      <c r="L3869">
        <v>215.58500000000001</v>
      </c>
      <c r="M3869">
        <v>0.9998494</v>
      </c>
      <c r="N3869">
        <v>0</v>
      </c>
      <c r="O3869">
        <v>9.2610209999999995E-3</v>
      </c>
      <c r="P3869">
        <v>0.99895590000000001</v>
      </c>
      <c r="Q3869">
        <v>3.927808E-2</v>
      </c>
      <c r="R3869">
        <v>-2.3336119999999998E-2</v>
      </c>
      <c r="S3869">
        <v>3.008759</v>
      </c>
      <c r="T3869">
        <v>-0.289637799999999</v>
      </c>
      <c r="U3869">
        <v>-0.22941590000000001</v>
      </c>
      <c r="V3869">
        <v>3.2701300000000003E-2</v>
      </c>
      <c r="W3869">
        <v>5.3868260000000001E-2</v>
      </c>
      <c r="X3869">
        <v>0.99801240000000002</v>
      </c>
      <c r="Y3869">
        <v>8.4828089999999995E-2</v>
      </c>
      <c r="Z3869">
        <v>-4.9560439999999997E-3</v>
      </c>
      <c r="AA3869">
        <v>0.99638320000000002</v>
      </c>
      <c r="AB3869">
        <v>46</v>
      </c>
      <c r="AC3869">
        <v>0.24520000000001099</v>
      </c>
      <c r="AD3869">
        <v>-7.0535999999999904E-2</v>
      </c>
      <c r="AE3869">
        <v>-6.0500000000018803E-2</v>
      </c>
      <c r="AF3869">
        <v>5.82265689564576E-2</v>
      </c>
      <c r="AG3869">
        <v>-7.0535999999999904E-2</v>
      </c>
      <c r="AH3869">
        <v>0.22692793108530299</v>
      </c>
      <c r="AI3869">
        <v>106.75584013947</v>
      </c>
      <c r="AJ3869">
        <v>75.609148426235805</v>
      </c>
      <c r="AK3869">
        <v>0.24466701153833001</v>
      </c>
      <c r="AL3869">
        <v>86.912081276333694</v>
      </c>
      <c r="AM3869">
        <v>88.123293491727395</v>
      </c>
      <c r="AN3869">
        <v>0.99999995750543702</v>
      </c>
    </row>
    <row r="3870" spans="1:40" x14ac:dyDescent="0.25">
      <c r="A3870" t="str">
        <f>"20190312154330414"</f>
        <v>20190312154330414</v>
      </c>
      <c r="B3870" t="str">
        <f>"1552376610411745"</f>
        <v>1552376610411745</v>
      </c>
      <c r="C3870" t="s">
        <v>40</v>
      </c>
      <c r="D3870">
        <v>5.2671619999999999</v>
      </c>
      <c r="E3870">
        <v>0.49967339999999999</v>
      </c>
      <c r="F3870" t="s">
        <v>41</v>
      </c>
      <c r="G3870">
        <v>-355.01190000000003</v>
      </c>
      <c r="H3870">
        <v>1.0463260000000001</v>
      </c>
      <c r="I3870">
        <v>215.56319999999999</v>
      </c>
      <c r="J3870">
        <v>-355.61099999999999</v>
      </c>
      <c r="K3870">
        <v>1.109232</v>
      </c>
      <c r="L3870">
        <v>215.58879999999999</v>
      </c>
      <c r="M3870">
        <v>0.99985590000000002</v>
      </c>
      <c r="N3870">
        <v>0</v>
      </c>
      <c r="O3870">
        <v>8.5332989999999994E-3</v>
      </c>
      <c r="P3870">
        <v>0.99893960000000004</v>
      </c>
      <c r="Q3870">
        <v>3.9007300000000002E-2</v>
      </c>
      <c r="R3870">
        <v>-2.446982E-2</v>
      </c>
      <c r="S3870">
        <v>3.0086360000000001</v>
      </c>
      <c r="T3870">
        <v>-0.17619899999999999</v>
      </c>
      <c r="U3870">
        <v>-6.0424800000000001E-2</v>
      </c>
      <c r="V3870">
        <v>3.3107820000000003E-2</v>
      </c>
      <c r="W3870">
        <v>5.3593519999999999E-2</v>
      </c>
      <c r="X3870">
        <v>0.99801390000000001</v>
      </c>
      <c r="Y3870">
        <v>2.8547989999999999E-2</v>
      </c>
      <c r="Z3870">
        <v>-1.3344779999999901E-3</v>
      </c>
      <c r="AA3870">
        <v>0.99959149999999997</v>
      </c>
      <c r="AB3870">
        <v>46</v>
      </c>
      <c r="AC3870">
        <v>0.59909999999996399</v>
      </c>
      <c r="AD3870">
        <v>-6.2905999999999906E-2</v>
      </c>
      <c r="AE3870">
        <v>-2.5599999999997101E-2</v>
      </c>
      <c r="AF3870">
        <v>3.0377609687873199E-2</v>
      </c>
      <c r="AG3870">
        <v>-6.2905999999999906E-2</v>
      </c>
      <c r="AH3870">
        <v>0.59234094650378999</v>
      </c>
      <c r="AI3870">
        <v>96.054134515944696</v>
      </c>
      <c r="AJ3870">
        <v>87.064215522366794</v>
      </c>
      <c r="AK3870">
        <v>0.59644594131518303</v>
      </c>
      <c r="AL3870">
        <v>86.927845834111196</v>
      </c>
      <c r="AM3870">
        <v>88.099983420005501</v>
      </c>
      <c r="AN3870">
        <v>1.00000006886217</v>
      </c>
    </row>
    <row r="3871" spans="1:40" x14ac:dyDescent="0.25">
      <c r="A3871" t="str">
        <f>"20190312154330434"</f>
        <v>20190312154330434</v>
      </c>
      <c r="B3871" t="str">
        <f>"1552376610431266"</f>
        <v>1552376610431266</v>
      </c>
      <c r="C3871" t="s">
        <v>40</v>
      </c>
      <c r="D3871">
        <v>5.3158450000000004</v>
      </c>
      <c r="E3871">
        <v>0.49946980000000002</v>
      </c>
      <c r="F3871" t="s">
        <v>50</v>
      </c>
      <c r="G3871">
        <v>-337.12259999999998</v>
      </c>
      <c r="H3871" s="1">
        <v>2.2265070000000002E-6</v>
      </c>
      <c r="I3871">
        <v>215.2337</v>
      </c>
      <c r="J3871">
        <v>-355.20069999999998</v>
      </c>
      <c r="K3871">
        <v>1.1092340000000001</v>
      </c>
      <c r="L3871">
        <v>215.59180000000001</v>
      </c>
      <c r="M3871">
        <v>0.99986109999999995</v>
      </c>
      <c r="N3871">
        <v>0</v>
      </c>
      <c r="O3871">
        <v>7.9048899999999995E-3</v>
      </c>
      <c r="P3871">
        <v>0.99887610000000004</v>
      </c>
      <c r="Q3871">
        <v>3.9788070000000002E-2</v>
      </c>
      <c r="R3871">
        <v>-2.5759230000000001E-2</v>
      </c>
      <c r="S3871">
        <v>3.0088200000000001</v>
      </c>
      <c r="T3871">
        <v>-0.18051719999999999</v>
      </c>
      <c r="U3871">
        <v>-5.7785030000000001E-2</v>
      </c>
      <c r="V3871">
        <v>3.377119E-2</v>
      </c>
      <c r="W3871">
        <v>5.4368680000000003E-2</v>
      </c>
      <c r="X3871">
        <v>0.99794970000000005</v>
      </c>
      <c r="Y3871">
        <v>2.704254E-2</v>
      </c>
      <c r="Z3871">
        <v>-1.2842680000000001E-3</v>
      </c>
      <c r="AA3871">
        <v>0.99963340000000001</v>
      </c>
      <c r="AB3871">
        <v>46</v>
      </c>
      <c r="AC3871">
        <v>18.078099999999999</v>
      </c>
      <c r="AD3871">
        <v>-1.109231773493</v>
      </c>
      <c r="AE3871">
        <v>-0.35810000000000702</v>
      </c>
      <c r="AF3871">
        <v>0.49913120706413</v>
      </c>
      <c r="AG3871">
        <v>-1.109231773493</v>
      </c>
      <c r="AH3871">
        <v>18.006938514378501</v>
      </c>
      <c r="AI3871">
        <v>93.5236297900165</v>
      </c>
      <c r="AJ3871">
        <v>88.412234781300199</v>
      </c>
      <c r="AK3871">
        <v>18.047973895975101</v>
      </c>
      <c r="AL3871">
        <v>86.8833674521711</v>
      </c>
      <c r="AM3871">
        <v>88.061817604976895</v>
      </c>
      <c r="AN3871">
        <v>1.00000002518452</v>
      </c>
    </row>
    <row r="3872" spans="1:40" x14ac:dyDescent="0.25">
      <c r="A3872" t="str">
        <f>"20190312154330457"</f>
        <v>20190312154330457</v>
      </c>
      <c r="B3872" t="str">
        <f>"1552376610450786"</f>
        <v>1552376610450786</v>
      </c>
      <c r="C3872" t="s">
        <v>40</v>
      </c>
      <c r="D3872">
        <v>5.3167390000000001</v>
      </c>
      <c r="E3872">
        <v>0.49943349999999997</v>
      </c>
      <c r="F3872" t="s">
        <v>50</v>
      </c>
      <c r="G3872">
        <v>-336.30079999999998</v>
      </c>
      <c r="H3872" s="1">
        <v>1.7900480000000001E-6</v>
      </c>
      <c r="I3872">
        <v>215.21369999999999</v>
      </c>
      <c r="J3872">
        <v>-354.74590000000001</v>
      </c>
      <c r="K3872">
        <v>1.109243</v>
      </c>
      <c r="L3872">
        <v>215.5949</v>
      </c>
      <c r="M3872">
        <v>0.99986640000000004</v>
      </c>
      <c r="N3872">
        <v>0</v>
      </c>
      <c r="O3872">
        <v>7.2081250000000001E-3</v>
      </c>
      <c r="P3872">
        <v>0.99877450000000001</v>
      </c>
      <c r="Q3872">
        <v>4.1169499999999998E-2</v>
      </c>
      <c r="R3872">
        <v>-2.7470230000000002E-2</v>
      </c>
      <c r="S3872">
        <v>3.0088200000000001</v>
      </c>
      <c r="T3872">
        <v>-0.17658689999999999</v>
      </c>
      <c r="U3872">
        <v>-6.019592E-2</v>
      </c>
      <c r="V3872">
        <v>3.4788880000000001E-2</v>
      </c>
      <c r="W3872">
        <v>5.5743689999999999E-2</v>
      </c>
      <c r="X3872">
        <v>0.99783889999999997</v>
      </c>
      <c r="Y3872">
        <v>2.7150319999999999E-2</v>
      </c>
      <c r="Z3872">
        <v>-1.2186460000000001E-3</v>
      </c>
      <c r="AA3872">
        <v>0.99963060000000004</v>
      </c>
      <c r="AB3872">
        <v>46</v>
      </c>
      <c r="AC3872">
        <v>18.4451</v>
      </c>
      <c r="AD3872">
        <v>-1.1092412099519999</v>
      </c>
      <c r="AE3872">
        <v>-0.38120000000000598</v>
      </c>
      <c r="AF3872">
        <v>0.51230701735247897</v>
      </c>
      <c r="AG3872">
        <v>-1.1092412099519999</v>
      </c>
      <c r="AH3872">
        <v>18.3754460235671</v>
      </c>
      <c r="AI3872">
        <v>93.453152326664494</v>
      </c>
      <c r="AJ3872">
        <v>88.403008660921401</v>
      </c>
      <c r="AK3872">
        <v>18.4160226733927</v>
      </c>
      <c r="AL3872">
        <v>86.804465576375193</v>
      </c>
      <c r="AM3872">
        <v>88.003235816767102</v>
      </c>
      <c r="AN3872">
        <v>1.0000000477498301</v>
      </c>
    </row>
    <row r="3873" spans="1:40" x14ac:dyDescent="0.25">
      <c r="A3873" t="str">
        <f>"20190312154330491"</f>
        <v>20190312154330491</v>
      </c>
      <c r="B3873" t="str">
        <f>"1552376610481041"</f>
        <v>1552376610481041</v>
      </c>
      <c r="C3873" t="s">
        <v>40</v>
      </c>
      <c r="D3873">
        <v>5.2844199999999999</v>
      </c>
      <c r="E3873">
        <v>0.49930400000000003</v>
      </c>
      <c r="F3873" t="s">
        <v>50</v>
      </c>
      <c r="G3873">
        <v>-335.55369999999999</v>
      </c>
      <c r="H3873" s="1">
        <v>1.3939349999999901E-6</v>
      </c>
      <c r="I3873">
        <v>215.1815</v>
      </c>
      <c r="J3873">
        <v>-354.0444</v>
      </c>
      <c r="K3873">
        <v>1.1092409999999999</v>
      </c>
      <c r="L3873">
        <v>215.59899999999999</v>
      </c>
      <c r="M3873">
        <v>0.99987360000000003</v>
      </c>
      <c r="N3873">
        <v>0</v>
      </c>
      <c r="O3873">
        <v>6.1328490000000001E-3</v>
      </c>
      <c r="P3873">
        <v>0.99873029999999996</v>
      </c>
      <c r="Q3873">
        <v>4.0935300000000001E-2</v>
      </c>
      <c r="R3873">
        <v>-2.9366130000000001E-2</v>
      </c>
      <c r="S3873">
        <v>3.0090940000000002</v>
      </c>
      <c r="T3873">
        <v>-0.1739154</v>
      </c>
      <c r="U3873">
        <v>-6.480408E-2</v>
      </c>
      <c r="V3873">
        <v>3.5610080000000002E-2</v>
      </c>
      <c r="W3873">
        <v>5.5503280000000002E-2</v>
      </c>
      <c r="X3873">
        <v>0.99782329999999997</v>
      </c>
      <c r="Y3873">
        <v>2.7606479999999999E-2</v>
      </c>
      <c r="Z3873">
        <v>-1.151186E-3</v>
      </c>
      <c r="AA3873">
        <v>0.99961820000000001</v>
      </c>
      <c r="AB3873">
        <v>46</v>
      </c>
      <c r="AC3873">
        <v>18.4907</v>
      </c>
      <c r="AD3873">
        <v>-1.1092396060649901</v>
      </c>
      <c r="AE3873">
        <v>-0.41750000000001802</v>
      </c>
      <c r="AF3873">
        <v>0.52900227668458299</v>
      </c>
      <c r="AG3873">
        <v>-1.1092396060649901</v>
      </c>
      <c r="AH3873">
        <v>18.4215319062865</v>
      </c>
      <c r="AI3873">
        <v>93.444448016283999</v>
      </c>
      <c r="AJ3873">
        <v>88.355116686606806</v>
      </c>
      <c r="AK3873">
        <v>18.462477994211099</v>
      </c>
      <c r="AL3873">
        <v>86.818261308151307</v>
      </c>
      <c r="AM3873">
        <v>87.956109299232097</v>
      </c>
      <c r="AN3873">
        <v>1.0000000149556201</v>
      </c>
    </row>
    <row r="3874" spans="1:40" x14ac:dyDescent="0.25">
      <c r="A3874" t="str">
        <f>"20190312154330514"</f>
        <v>20190312154330514</v>
      </c>
      <c r="B3874" t="str">
        <f>"1552376610501538"</f>
        <v>1552376610501538</v>
      </c>
      <c r="C3874" t="s">
        <v>40</v>
      </c>
      <c r="D3874">
        <v>5.3188120000000003</v>
      </c>
      <c r="E3874">
        <v>0.49923200000000001</v>
      </c>
      <c r="F3874" t="s">
        <v>41</v>
      </c>
      <c r="G3874">
        <v>-352.96269999999998</v>
      </c>
      <c r="H3874">
        <v>1.044945</v>
      </c>
      <c r="I3874">
        <v>215.5737</v>
      </c>
      <c r="J3874">
        <v>-353.58460000000002</v>
      </c>
      <c r="K3874">
        <v>1.1092390000000001</v>
      </c>
      <c r="L3874">
        <v>215.60120000000001</v>
      </c>
      <c r="M3874">
        <v>0.99987769999999998</v>
      </c>
      <c r="N3874">
        <v>0</v>
      </c>
      <c r="O3874">
        <v>5.427594E-3</v>
      </c>
      <c r="P3874">
        <v>0.99878250000000002</v>
      </c>
      <c r="Q3874">
        <v>3.9408609999999997E-2</v>
      </c>
      <c r="R3874">
        <v>-2.967533E-2</v>
      </c>
      <c r="S3874">
        <v>3.0090940000000002</v>
      </c>
      <c r="T3874">
        <v>-0.1789615</v>
      </c>
      <c r="U3874">
        <v>-6.9412230000000005E-2</v>
      </c>
      <c r="V3874">
        <v>3.5212189999999997E-2</v>
      </c>
      <c r="W3874">
        <v>5.3975389999999998E-2</v>
      </c>
      <c r="X3874">
        <v>0.99792119999999995</v>
      </c>
      <c r="Y3874">
        <v>2.842795E-2</v>
      </c>
      <c r="Z3874">
        <v>-1.1670059999999999E-3</v>
      </c>
      <c r="AA3874">
        <v>0.99959520000000002</v>
      </c>
      <c r="AB3874">
        <v>46</v>
      </c>
      <c r="AC3874">
        <v>0.62190000000003898</v>
      </c>
      <c r="AD3874">
        <v>-6.4293999999999796E-2</v>
      </c>
      <c r="AE3874">
        <v>-2.75000000000034E-2</v>
      </c>
      <c r="AF3874">
        <v>3.0549500330229299E-2</v>
      </c>
      <c r="AG3874">
        <v>-6.4293999999999796E-2</v>
      </c>
      <c r="AH3874">
        <v>0.61517930746301697</v>
      </c>
      <c r="AI3874">
        <v>95.959180736829197</v>
      </c>
      <c r="AJ3874">
        <v>87.157055338932096</v>
      </c>
      <c r="AK3874">
        <v>0.61928391771230695</v>
      </c>
      <c r="AL3874">
        <v>86.905934309727101</v>
      </c>
      <c r="AM3874">
        <v>87.979125820690896</v>
      </c>
      <c r="AN3874">
        <v>0.99999998122984302</v>
      </c>
    </row>
    <row r="3875" spans="1:40" x14ac:dyDescent="0.25">
      <c r="A3875" t="str">
        <f>"20190312154330535"</f>
        <v>20190312154330535</v>
      </c>
      <c r="B3875" t="str">
        <f>"1552376610531793"</f>
        <v>1552376610531793</v>
      </c>
      <c r="C3875" t="s">
        <v>40</v>
      </c>
      <c r="D3875">
        <v>5.2962470000000001</v>
      </c>
      <c r="E3875">
        <v>0.49882860000000001</v>
      </c>
      <c r="F3875" t="s">
        <v>41</v>
      </c>
      <c r="G3875">
        <v>-352.55200000000002</v>
      </c>
      <c r="H3875">
        <v>1.0463530000000001</v>
      </c>
      <c r="I3875">
        <v>215.5771</v>
      </c>
      <c r="J3875">
        <v>-353.13990000000001</v>
      </c>
      <c r="K3875">
        <v>1.1092310000000001</v>
      </c>
      <c r="L3875">
        <v>215.60310000000001</v>
      </c>
      <c r="M3875">
        <v>0.99988129999999997</v>
      </c>
      <c r="N3875">
        <v>0</v>
      </c>
      <c r="O3875">
        <v>4.74458E-3</v>
      </c>
      <c r="P3875">
        <v>0.99879870000000004</v>
      </c>
      <c r="Q3875">
        <v>3.8520100000000002E-2</v>
      </c>
      <c r="R3875">
        <v>-3.02896E-2</v>
      </c>
      <c r="S3875">
        <v>3.0088200000000001</v>
      </c>
      <c r="T3875">
        <v>-0.1832992</v>
      </c>
      <c r="U3875">
        <v>-6.9686890000000001E-2</v>
      </c>
      <c r="V3875">
        <v>3.5142649999999998E-2</v>
      </c>
      <c r="W3875">
        <v>5.3084989999999999E-2</v>
      </c>
      <c r="X3875">
        <v>0.99797139999999995</v>
      </c>
      <c r="Y3875">
        <v>2.7837850000000001E-2</v>
      </c>
      <c r="Z3875">
        <v>-1.1358220000000001E-3</v>
      </c>
      <c r="AA3875">
        <v>0.99961180000000005</v>
      </c>
      <c r="AB3875">
        <v>46</v>
      </c>
      <c r="AC3875">
        <v>0.58790000000004705</v>
      </c>
      <c r="AD3875">
        <v>-6.2877999999999698E-2</v>
      </c>
      <c r="AE3875">
        <v>-2.60000000000104E-2</v>
      </c>
      <c r="AF3875">
        <v>2.8464375367908201E-2</v>
      </c>
      <c r="AG3875">
        <v>-6.2877999999999698E-2</v>
      </c>
      <c r="AH3875">
        <v>0.58113534083392404</v>
      </c>
      <c r="AI3875">
        <v>96.167959747119696</v>
      </c>
      <c r="AJ3875">
        <v>87.195857639428993</v>
      </c>
      <c r="AK3875">
        <v>0.58521974327191495</v>
      </c>
      <c r="AL3875">
        <v>86.957023686440607</v>
      </c>
      <c r="AM3875">
        <v>87.983214883687197</v>
      </c>
      <c r="AN3875">
        <v>0.99999996861513996</v>
      </c>
    </row>
    <row r="3876" spans="1:40" x14ac:dyDescent="0.25">
      <c r="A3876" t="str">
        <f>"20190312154330558"</f>
        <v>20190312154330558</v>
      </c>
      <c r="B3876" t="str">
        <f>"1552376610551314"</f>
        <v>1552376610551314</v>
      </c>
      <c r="C3876" t="s">
        <v>40</v>
      </c>
      <c r="D3876">
        <v>5.2939239999999996</v>
      </c>
      <c r="E3876">
        <v>0.49844880000000003</v>
      </c>
      <c r="F3876" t="s">
        <v>50</v>
      </c>
      <c r="G3876">
        <v>-334.93380000000002</v>
      </c>
      <c r="H3876" s="1">
        <v>1.063759E-6</v>
      </c>
      <c r="I3876">
        <v>215.18799999999999</v>
      </c>
      <c r="J3876">
        <v>-352.6755</v>
      </c>
      <c r="K3876">
        <v>1.109226</v>
      </c>
      <c r="L3876">
        <v>215.60470000000001</v>
      </c>
      <c r="M3876">
        <v>0.99988440000000001</v>
      </c>
      <c r="N3876">
        <v>0</v>
      </c>
      <c r="O3876">
        <v>4.0311160000000004E-3</v>
      </c>
      <c r="P3876">
        <v>0.99882800000000005</v>
      </c>
      <c r="Q3876">
        <v>3.7431539999999999E-2</v>
      </c>
      <c r="R3876">
        <v>-3.068365E-2</v>
      </c>
      <c r="S3876">
        <v>3.0086059999999999</v>
      </c>
      <c r="T3876">
        <v>-0.1833031</v>
      </c>
      <c r="U3876">
        <v>-6.8588259999999998E-2</v>
      </c>
      <c r="V3876">
        <v>3.4821850000000001E-2</v>
      </c>
      <c r="W3876">
        <v>5.1995010000000001E-2</v>
      </c>
      <c r="X3876">
        <v>0.99804009999999999</v>
      </c>
      <c r="Y3876">
        <v>2.6764679999999999E-2</v>
      </c>
      <c r="Z3876">
        <v>-1.0598459999999999E-3</v>
      </c>
      <c r="AA3876">
        <v>0.99964120000000001</v>
      </c>
      <c r="AB3876">
        <v>46</v>
      </c>
      <c r="AC3876">
        <v>17.741699999999899</v>
      </c>
      <c r="AD3876">
        <v>-1.109224936241</v>
      </c>
      <c r="AE3876">
        <v>-0.41670000000002</v>
      </c>
      <c r="AF3876">
        <v>0.48632323603223399</v>
      </c>
      <c r="AG3876">
        <v>-1.109224936241</v>
      </c>
      <c r="AH3876">
        <v>17.670841320476299</v>
      </c>
      <c r="AI3876">
        <v>93.590472556615595</v>
      </c>
      <c r="AJ3876">
        <v>88.423547774087595</v>
      </c>
      <c r="AK3876">
        <v>17.712298643104901</v>
      </c>
      <c r="AL3876">
        <v>87.019561539178497</v>
      </c>
      <c r="AM3876">
        <v>88.001747576571404</v>
      </c>
      <c r="AN3876">
        <v>1.00000004175516</v>
      </c>
    </row>
    <row r="3877" spans="1:40" x14ac:dyDescent="0.25">
      <c r="A3877" t="str">
        <f>"20190312154330581"</f>
        <v>20190312154330581</v>
      </c>
      <c r="B3877" t="str">
        <f>"1552376610570834"</f>
        <v>1552376610570834</v>
      </c>
      <c r="C3877" t="s">
        <v>40</v>
      </c>
      <c r="D3877">
        <v>5.3186489999999997</v>
      </c>
      <c r="E3877">
        <v>0.49656990000000001</v>
      </c>
      <c r="F3877" t="s">
        <v>50</v>
      </c>
      <c r="G3877">
        <v>-334.60160000000002</v>
      </c>
      <c r="H3877" s="1">
        <v>8.8631959999999898E-7</v>
      </c>
      <c r="I3877">
        <v>215.20269999999999</v>
      </c>
      <c r="J3877">
        <v>-352.1909</v>
      </c>
      <c r="K3877">
        <v>1.1092219999999999</v>
      </c>
      <c r="L3877">
        <v>215.60599999999999</v>
      </c>
      <c r="M3877">
        <v>0.99988719999999998</v>
      </c>
      <c r="N3877">
        <v>0</v>
      </c>
      <c r="O3877">
        <v>3.2862439999999998E-3</v>
      </c>
      <c r="P3877">
        <v>0.9988397</v>
      </c>
      <c r="Q3877">
        <v>3.6544159999999999E-2</v>
      </c>
      <c r="R3877">
        <v>-3.1372990000000003E-2</v>
      </c>
      <c r="S3877">
        <v>3.0083920000000002</v>
      </c>
      <c r="T3877">
        <v>-0.18462980000000001</v>
      </c>
      <c r="U3877">
        <v>-6.6909789999999997E-2</v>
      </c>
      <c r="V3877">
        <v>3.476518E-2</v>
      </c>
      <c r="W3877">
        <v>5.110547E-2</v>
      </c>
      <c r="X3877">
        <v>0.99808799999999998</v>
      </c>
      <c r="Y3877">
        <v>2.5467139999999999E-2</v>
      </c>
      <c r="Z3877">
        <v>-9.8213940000000007E-4</v>
      </c>
      <c r="AA3877">
        <v>0.99967519999999999</v>
      </c>
      <c r="AB3877">
        <v>46</v>
      </c>
      <c r="AC3877">
        <v>17.589299999999898</v>
      </c>
      <c r="AD3877">
        <v>-1.1092211136804</v>
      </c>
      <c r="AE3877">
        <v>-0.40330000000000099</v>
      </c>
      <c r="AF3877">
        <v>0.45928122953594303</v>
      </c>
      <c r="AG3877">
        <v>-1.1092211136804</v>
      </c>
      <c r="AH3877">
        <v>17.518248688111999</v>
      </c>
      <c r="AI3877">
        <v>93.621778483559694</v>
      </c>
      <c r="AJ3877">
        <v>88.498203224216098</v>
      </c>
      <c r="AK3877">
        <v>17.5593379096529</v>
      </c>
      <c r="AL3877">
        <v>87.070596222070193</v>
      </c>
      <c r="AM3877">
        <v>88.005092621813603</v>
      </c>
      <c r="AN3877">
        <v>1.00000002127417</v>
      </c>
    </row>
    <row r="3878" spans="1:40" x14ac:dyDescent="0.25">
      <c r="A3878" t="str">
        <f>"20190312154330603"</f>
        <v>20190312154330603</v>
      </c>
      <c r="B3878" t="str">
        <f>"1552376610591330"</f>
        <v>1552376610591330</v>
      </c>
      <c r="C3878" t="s">
        <v>40</v>
      </c>
      <c r="D3878">
        <v>5.3142820000000004</v>
      </c>
      <c r="E3878">
        <v>0.49487639999999999</v>
      </c>
      <c r="F3878" t="s">
        <v>50</v>
      </c>
      <c r="G3878">
        <v>-325.40129999999999</v>
      </c>
      <c r="H3878" s="1">
        <v>1.3375070000000001E-6</v>
      </c>
      <c r="I3878">
        <v>215.10120000000001</v>
      </c>
      <c r="J3878">
        <v>-351.75599999999997</v>
      </c>
      <c r="K3878">
        <v>1.109221</v>
      </c>
      <c r="L3878">
        <v>215.6069</v>
      </c>
      <c r="M3878">
        <v>0.99988909999999998</v>
      </c>
      <c r="N3878">
        <v>0</v>
      </c>
      <c r="O3878">
        <v>2.6180209999999999E-3</v>
      </c>
      <c r="P3878">
        <v>0.99883759999999999</v>
      </c>
      <c r="Q3878">
        <v>3.5678080000000001E-2</v>
      </c>
      <c r="R3878">
        <v>-3.2413560000000001E-2</v>
      </c>
      <c r="S3878">
        <v>3.0062869999999999</v>
      </c>
      <c r="T3878">
        <v>-0.124475</v>
      </c>
      <c r="U3878">
        <v>-5.6655879999999999E-2</v>
      </c>
      <c r="V3878">
        <v>3.513633E-2</v>
      </c>
      <c r="W3878">
        <v>5.0236360000000001E-2</v>
      </c>
      <c r="X3878">
        <v>0.99811910000000004</v>
      </c>
      <c r="Y3878">
        <v>2.143962E-2</v>
      </c>
      <c r="Z3878">
        <v>-5.5197839999999998E-4</v>
      </c>
      <c r="AA3878">
        <v>0.99977000000000005</v>
      </c>
      <c r="AB3878">
        <v>46</v>
      </c>
      <c r="AC3878">
        <v>26.354699999999902</v>
      </c>
      <c r="AD3878">
        <v>-1.109219662493</v>
      </c>
      <c r="AE3878">
        <v>-0.50569999999999005</v>
      </c>
      <c r="AF3878">
        <v>0.57368698020355602</v>
      </c>
      <c r="AG3878">
        <v>-1.109219662493</v>
      </c>
      <c r="AH3878">
        <v>26.3067027953586</v>
      </c>
      <c r="AI3878">
        <v>92.413867761784203</v>
      </c>
      <c r="AJ3878">
        <v>88.750712554141799</v>
      </c>
      <c r="AK3878">
        <v>26.336326565682</v>
      </c>
      <c r="AL3878">
        <v>87.120456534176597</v>
      </c>
      <c r="AM3878">
        <v>87.983875420386795</v>
      </c>
      <c r="AN3878">
        <v>0.99999999566836395</v>
      </c>
    </row>
    <row r="3879" spans="1:40" x14ac:dyDescent="0.25">
      <c r="A3879" t="str">
        <f>"20190312154330626"</f>
        <v>20190312154330626</v>
      </c>
      <c r="B3879" t="str">
        <f>"1552376610621585"</f>
        <v>1552376610621585</v>
      </c>
      <c r="C3879" t="s">
        <v>40</v>
      </c>
      <c r="D3879">
        <v>5.3277700000000001</v>
      </c>
      <c r="E3879">
        <v>0.49479489999999998</v>
      </c>
      <c r="F3879" t="s">
        <v>50</v>
      </c>
      <c r="G3879">
        <v>-327.13749999999999</v>
      </c>
      <c r="H3879" s="1">
        <v>2.2614460000000001E-6</v>
      </c>
      <c r="I3879">
        <v>215.22980000000001</v>
      </c>
      <c r="J3879">
        <v>-351.28429999999997</v>
      </c>
      <c r="K3879">
        <v>1.109219</v>
      </c>
      <c r="L3879">
        <v>215.60759999999999</v>
      </c>
      <c r="M3879">
        <v>0.99989090000000003</v>
      </c>
      <c r="N3879">
        <v>0</v>
      </c>
      <c r="O3879">
        <v>1.8928230000000001E-3</v>
      </c>
      <c r="P3879">
        <v>0.99880579999999997</v>
      </c>
      <c r="Q3879">
        <v>3.4992299999999997E-2</v>
      </c>
      <c r="R3879">
        <v>-3.4097479999999999E-2</v>
      </c>
      <c r="S3879">
        <v>3.0068049999999999</v>
      </c>
      <c r="T3879">
        <v>-0.1354754</v>
      </c>
      <c r="U3879">
        <v>-4.6066280000000001E-2</v>
      </c>
      <c r="V3879">
        <v>3.6094370000000001E-2</v>
      </c>
      <c r="W3879">
        <v>4.9545319999999997E-2</v>
      </c>
      <c r="X3879">
        <v>0.99811950000000005</v>
      </c>
      <c r="Y3879">
        <v>1.7192289999999999E-2</v>
      </c>
      <c r="Z3879">
        <v>-4.723358E-4</v>
      </c>
      <c r="AA3879">
        <v>0.99985210000000002</v>
      </c>
      <c r="AB3879">
        <v>46</v>
      </c>
      <c r="AC3879">
        <v>24.146799999999899</v>
      </c>
      <c r="AD3879">
        <v>-1.1092167385539999</v>
      </c>
      <c r="AE3879">
        <v>-0.37779999999997899</v>
      </c>
      <c r="AF3879">
        <v>0.42261827622516901</v>
      </c>
      <c r="AG3879">
        <v>-1.1092167385539999</v>
      </c>
      <c r="AH3879">
        <v>24.095209447611602</v>
      </c>
      <c r="AI3879">
        <v>92.6353308124759</v>
      </c>
      <c r="AJ3879">
        <v>88.995162875113195</v>
      </c>
      <c r="AK3879">
        <v>24.124429243087999</v>
      </c>
      <c r="AL3879">
        <v>87.160099702983302</v>
      </c>
      <c r="AM3879">
        <v>87.928951097780796</v>
      </c>
      <c r="AN3879">
        <v>1.00000003927992</v>
      </c>
    </row>
    <row r="3880" spans="1:40" x14ac:dyDescent="0.25">
      <c r="A3880" t="str">
        <f>"20190312154330647"</f>
        <v>20190312154330647</v>
      </c>
      <c r="B3880" t="str">
        <f>"1552376610641109"</f>
        <v>1552376610641109</v>
      </c>
      <c r="C3880" t="s">
        <v>40</v>
      </c>
      <c r="D3880">
        <v>5.3107439999999997</v>
      </c>
      <c r="E3880">
        <v>0.4949595</v>
      </c>
      <c r="F3880" t="s">
        <v>50</v>
      </c>
      <c r="G3880">
        <v>-326.61880000000002</v>
      </c>
      <c r="H3880" s="1">
        <v>1.9854079999999999E-6</v>
      </c>
      <c r="I3880">
        <v>215.19210000000001</v>
      </c>
      <c r="J3880">
        <v>-350.84710000000001</v>
      </c>
      <c r="K3880">
        <v>1.109218</v>
      </c>
      <c r="L3880">
        <v>215.6079</v>
      </c>
      <c r="M3880">
        <v>0.99989209999999995</v>
      </c>
      <c r="N3880">
        <v>0</v>
      </c>
      <c r="O3880">
        <v>1.220786E-3</v>
      </c>
      <c r="P3880">
        <v>0.99873109999999998</v>
      </c>
      <c r="Q3880">
        <v>3.517108E-2</v>
      </c>
      <c r="R3880">
        <v>-3.6048520000000001E-2</v>
      </c>
      <c r="S3880">
        <v>3.0065919999999999</v>
      </c>
      <c r="T3880">
        <v>-0.13520739999999901</v>
      </c>
      <c r="U3880">
        <v>-5.0643920000000002E-2</v>
      </c>
      <c r="V3880">
        <v>3.7374270000000001E-2</v>
      </c>
      <c r="W3880">
        <v>4.9718209999999999E-2</v>
      </c>
      <c r="X3880">
        <v>0.9980637</v>
      </c>
      <c r="Y3880">
        <v>1.8043179999999999E-2</v>
      </c>
      <c r="Z3880">
        <v>-4.603438E-4</v>
      </c>
      <c r="AA3880">
        <v>0.99983710000000003</v>
      </c>
      <c r="AB3880">
        <v>46</v>
      </c>
      <c r="AC3880">
        <v>24.228299999999901</v>
      </c>
      <c r="AD3880">
        <v>-1.109216014592</v>
      </c>
      <c r="AE3880">
        <v>-0.41579999999999001</v>
      </c>
      <c r="AF3880">
        <v>0.44444914864023999</v>
      </c>
      <c r="AG3880">
        <v>-1.109216014592</v>
      </c>
      <c r="AH3880">
        <v>24.1771145453393</v>
      </c>
      <c r="AI3880">
        <v>92.626374157568193</v>
      </c>
      <c r="AJ3880">
        <v>88.946847340539506</v>
      </c>
      <c r="AK3880">
        <v>24.206626426481002</v>
      </c>
      <c r="AL3880">
        <v>87.150181337828897</v>
      </c>
      <c r="AM3880">
        <v>87.855459680303696</v>
      </c>
      <c r="AN3880">
        <v>0.99999994286066096</v>
      </c>
    </row>
    <row r="3881" spans="1:40" x14ac:dyDescent="0.25">
      <c r="A3881" t="str">
        <f>"20190312154330671"</f>
        <v>20190312154330671</v>
      </c>
      <c r="B3881" t="str">
        <f>"1552376610661602"</f>
        <v>1552376610661602</v>
      </c>
      <c r="C3881" t="s">
        <v>40</v>
      </c>
      <c r="D3881">
        <v>5.309374</v>
      </c>
      <c r="E3881">
        <v>0.49448510000000001</v>
      </c>
      <c r="F3881" t="s">
        <v>50</v>
      </c>
      <c r="G3881">
        <v>-325.89179999999999</v>
      </c>
      <c r="H3881" s="1">
        <v>1.5985659999999999E-6</v>
      </c>
      <c r="I3881">
        <v>215.12569999999999</v>
      </c>
      <c r="J3881">
        <v>-350.37699999999899</v>
      </c>
      <c r="K3881">
        <v>1.109227</v>
      </c>
      <c r="L3881">
        <v>215.6079</v>
      </c>
      <c r="M3881">
        <v>0.99989249999999996</v>
      </c>
      <c r="N3881">
        <v>0</v>
      </c>
      <c r="O3881">
        <v>4.9726930000000005E-4</v>
      </c>
      <c r="P3881">
        <v>0.99862620000000002</v>
      </c>
      <c r="Q3881">
        <v>3.6159299999999998E-2</v>
      </c>
      <c r="R3881">
        <v>-3.7922709999999998E-2</v>
      </c>
      <c r="S3881">
        <v>3.0064090000000001</v>
      </c>
      <c r="T3881">
        <v>-0.13362959999999999</v>
      </c>
      <c r="U3881">
        <v>-5.8090210000000003E-2</v>
      </c>
      <c r="V3881">
        <v>3.8527810000000003E-2</v>
      </c>
      <c r="W3881">
        <v>5.0700200000000001E-2</v>
      </c>
      <c r="X3881">
        <v>0.99797049999999998</v>
      </c>
      <c r="Y3881">
        <v>1.9795719999999999E-2</v>
      </c>
      <c r="Z3881">
        <v>-4.6177659999999999E-4</v>
      </c>
      <c r="AA3881">
        <v>0.99980400000000003</v>
      </c>
      <c r="AB3881">
        <v>46</v>
      </c>
      <c r="AC3881">
        <v>24.485199999999899</v>
      </c>
      <c r="AD3881">
        <v>-1.1092254014339999</v>
      </c>
      <c r="AE3881">
        <v>-0.48220000000000601</v>
      </c>
      <c r="AF3881">
        <v>0.493364865900556</v>
      </c>
      <c r="AG3881">
        <v>-1.1092254014339999</v>
      </c>
      <c r="AH3881">
        <v>24.4348299890619</v>
      </c>
      <c r="AI3881">
        <v>92.598643327538497</v>
      </c>
      <c r="AJ3881">
        <v>88.843295240969994</v>
      </c>
      <c r="AK3881">
        <v>24.464968965368602</v>
      </c>
      <c r="AL3881">
        <v>87.093846592967097</v>
      </c>
      <c r="AM3881">
        <v>87.789127851166896</v>
      </c>
      <c r="AN3881">
        <v>1.0000000106468401</v>
      </c>
    </row>
    <row r="3882" spans="1:40" x14ac:dyDescent="0.25">
      <c r="A3882" t="str">
        <f>"20190312154330691"</f>
        <v>20190312154330691</v>
      </c>
      <c r="B3882" t="str">
        <f>"1552376610681122"</f>
        <v>1552376610681122</v>
      </c>
      <c r="C3882" t="s">
        <v>40</v>
      </c>
      <c r="D3882">
        <v>5.3203519999999997</v>
      </c>
      <c r="E3882">
        <v>0.49433070000000001</v>
      </c>
      <c r="F3882" t="s">
        <v>50</v>
      </c>
      <c r="G3882">
        <v>-324.2722</v>
      </c>
      <c r="H3882" s="1">
        <v>7.3663349999999898E-7</v>
      </c>
      <c r="I3882">
        <v>215.08760000000001</v>
      </c>
      <c r="J3882">
        <v>-349.9391</v>
      </c>
      <c r="K3882">
        <v>1.1092280000000001</v>
      </c>
      <c r="L3882">
        <v>215.60759999999999</v>
      </c>
      <c r="M3882">
        <v>0.99989289999999997</v>
      </c>
      <c r="N3882">
        <v>0</v>
      </c>
      <c r="O3882">
        <v>-1.7707749999999999E-4</v>
      </c>
      <c r="P3882">
        <v>0.99852030000000003</v>
      </c>
      <c r="Q3882">
        <v>3.7134609999999998E-2</v>
      </c>
      <c r="R3882">
        <v>-3.972879E-2</v>
      </c>
      <c r="S3882">
        <v>3.0064700000000002</v>
      </c>
      <c r="T3882">
        <v>-0.12774839999999901</v>
      </c>
      <c r="U3882">
        <v>-5.9921259999999997E-2</v>
      </c>
      <c r="V3882">
        <v>3.9662459999999997E-2</v>
      </c>
      <c r="W3882">
        <v>5.1668819999999997E-2</v>
      </c>
      <c r="X3882">
        <v>0.99787630000000005</v>
      </c>
      <c r="Y3882">
        <v>1.9732119999999999E-2</v>
      </c>
      <c r="Z3882">
        <v>-4.1146889999999999E-4</v>
      </c>
      <c r="AA3882">
        <v>0.99980519999999995</v>
      </c>
      <c r="AB3882">
        <v>45</v>
      </c>
      <c r="AC3882">
        <v>25.666899999999998</v>
      </c>
      <c r="AD3882">
        <v>-1.1092272633664999</v>
      </c>
      <c r="AE3882">
        <v>-0.51999999999998103</v>
      </c>
      <c r="AF3882">
        <v>0.51449397695138799</v>
      </c>
      <c r="AG3882">
        <v>-1.1092272633664999</v>
      </c>
      <c r="AH3882">
        <v>25.619163825918701</v>
      </c>
      <c r="AI3882">
        <v>92.478675136068404</v>
      </c>
      <c r="AJ3882">
        <v>88.849518597482998</v>
      </c>
      <c r="AK3882">
        <v>25.648326345268099</v>
      </c>
      <c r="AL3882">
        <v>87.038275714269304</v>
      </c>
      <c r="AM3882">
        <v>87.723870191396998</v>
      </c>
      <c r="AN3882">
        <v>0.99999994389756497</v>
      </c>
    </row>
    <row r="3883" spans="1:40" x14ac:dyDescent="0.25">
      <c r="A3883" t="str">
        <f>"20190312154330714"</f>
        <v>20190312154330714</v>
      </c>
      <c r="B3883" t="str">
        <f>"1552376610701618"</f>
        <v>1552376610701618</v>
      </c>
      <c r="C3883" t="s">
        <v>40</v>
      </c>
      <c r="D3883">
        <v>5.318867</v>
      </c>
      <c r="E3883">
        <v>0.49404330000000002</v>
      </c>
      <c r="F3883" t="s">
        <v>50</v>
      </c>
      <c r="G3883">
        <v>-323.03879999999998</v>
      </c>
      <c r="H3883" s="1">
        <v>8.0325239999999997E-8</v>
      </c>
      <c r="I3883">
        <v>215.035</v>
      </c>
      <c r="J3883">
        <v>-349.50369999999998</v>
      </c>
      <c r="K3883">
        <v>1.1092249999999999</v>
      </c>
      <c r="L3883">
        <v>215.607</v>
      </c>
      <c r="M3883">
        <v>0.99989269999999997</v>
      </c>
      <c r="N3883">
        <v>0</v>
      </c>
      <c r="O3883">
        <v>-8.4790739999999999E-4</v>
      </c>
      <c r="P3883">
        <v>0.99845539999999999</v>
      </c>
      <c r="Q3883">
        <v>3.7231519999999997E-2</v>
      </c>
      <c r="R3883">
        <v>-4.1242830000000001E-2</v>
      </c>
      <c r="S3883">
        <v>3.0065</v>
      </c>
      <c r="T3883">
        <v>-0.12397229999999999</v>
      </c>
      <c r="U3883">
        <v>-6.3995360000000001E-2</v>
      </c>
      <c r="V3883">
        <v>4.050666E-2</v>
      </c>
      <c r="W3883">
        <v>5.1760250000000001E-2</v>
      </c>
      <c r="X3883">
        <v>0.99783770000000005</v>
      </c>
      <c r="Y3883">
        <v>2.0416409999999999E-2</v>
      </c>
      <c r="Z3883">
        <v>-3.8575840000000002E-4</v>
      </c>
      <c r="AA3883">
        <v>0.99979150000000006</v>
      </c>
      <c r="AB3883">
        <v>45</v>
      </c>
      <c r="AC3883">
        <v>26.4649</v>
      </c>
      <c r="AD3883">
        <v>-1.1092249196747599</v>
      </c>
      <c r="AE3883">
        <v>-0.57200000000000195</v>
      </c>
      <c r="AF3883">
        <v>0.54859434162987097</v>
      </c>
      <c r="AG3883">
        <v>-1.1092249196747599</v>
      </c>
      <c r="AH3883">
        <v>26.418986855807098</v>
      </c>
      <c r="AI3883">
        <v>92.4036852051469</v>
      </c>
      <c r="AJ3883">
        <v>88.810415250916904</v>
      </c>
      <c r="AK3883">
        <v>26.447952702645999</v>
      </c>
      <c r="AL3883">
        <v>87.033030291360305</v>
      </c>
      <c r="AM3883">
        <v>87.675386424084095</v>
      </c>
      <c r="AN3883">
        <v>0.99999999426285402</v>
      </c>
    </row>
    <row r="3884" spans="1:40" x14ac:dyDescent="0.25">
      <c r="A3884" t="str">
        <f>"20190312154330736"</f>
        <v>20190312154330736</v>
      </c>
      <c r="B3884" t="str">
        <f>"1552376610730898"</f>
        <v>1552376610730898</v>
      </c>
      <c r="C3884" t="s">
        <v>40</v>
      </c>
      <c r="D3884">
        <v>5.2460639999999996</v>
      </c>
      <c r="E3884">
        <v>0.493701</v>
      </c>
      <c r="F3884" t="s">
        <v>50</v>
      </c>
      <c r="G3884">
        <v>-322.55059999999997</v>
      </c>
      <c r="H3884" s="1">
        <v>-1.7950839999999999E-7</v>
      </c>
      <c r="I3884">
        <v>215.01179999999999</v>
      </c>
      <c r="J3884">
        <v>-349.03519999999997</v>
      </c>
      <c r="K3884">
        <v>1.109226</v>
      </c>
      <c r="L3884">
        <v>215.60599999999999</v>
      </c>
      <c r="M3884">
        <v>0.99989170000000005</v>
      </c>
      <c r="N3884">
        <v>0</v>
      </c>
      <c r="O3884">
        <v>-1.569516E-3</v>
      </c>
      <c r="P3884">
        <v>0.99843579999999998</v>
      </c>
      <c r="Q3884">
        <v>3.6724399999999997E-2</v>
      </c>
      <c r="R3884">
        <v>-4.215874E-2</v>
      </c>
      <c r="S3884">
        <v>3.0065309999999998</v>
      </c>
      <c r="T3884">
        <v>-0.1237304</v>
      </c>
      <c r="U3884">
        <v>-6.6390989999999997E-2</v>
      </c>
      <c r="V3884">
        <v>4.0700790000000001E-2</v>
      </c>
      <c r="W3884">
        <v>5.1249759999999998E-2</v>
      </c>
      <c r="X3884">
        <v>0.99785610000000002</v>
      </c>
      <c r="Y3884">
        <v>2.0491550000000001E-2</v>
      </c>
      <c r="Z3884">
        <v>-3.5686060000000001E-4</v>
      </c>
      <c r="AA3884">
        <v>0.99978999999999996</v>
      </c>
      <c r="AB3884">
        <v>45</v>
      </c>
      <c r="AC3884">
        <v>26.4846</v>
      </c>
      <c r="AD3884">
        <v>-1.1092261795084</v>
      </c>
      <c r="AE3884">
        <v>-0.59419999999999995</v>
      </c>
      <c r="AF3884">
        <v>0.55165963624696601</v>
      </c>
      <c r="AG3884">
        <v>-1.1092261795084</v>
      </c>
      <c r="AH3884">
        <v>26.439146606647501</v>
      </c>
      <c r="AI3884">
        <v>92.401852279466695</v>
      </c>
      <c r="AJ3884">
        <v>88.804682176640895</v>
      </c>
      <c r="AK3884">
        <v>26.468154154745498</v>
      </c>
      <c r="AL3884">
        <v>87.062317939927397</v>
      </c>
      <c r="AM3884">
        <v>87.664300940472501</v>
      </c>
      <c r="AN3884">
        <v>0.99999994425694405</v>
      </c>
    </row>
    <row r="3885" spans="1:40" x14ac:dyDescent="0.25">
      <c r="A3885" t="str">
        <f>"20190312154330759"</f>
        <v>20190312154330759</v>
      </c>
      <c r="B3885" t="str">
        <f>"1552376610751394"</f>
        <v>1552376610751394</v>
      </c>
      <c r="C3885" t="s">
        <v>40</v>
      </c>
      <c r="D3885">
        <v>5.3932440000000001</v>
      </c>
      <c r="E3885">
        <v>0.49234620000000001</v>
      </c>
      <c r="F3885" t="s">
        <v>50</v>
      </c>
      <c r="G3885">
        <v>-321.84739999999999</v>
      </c>
      <c r="H3885" s="1">
        <v>-5.5368060000000002E-7</v>
      </c>
      <c r="I3885">
        <v>215.00380000000001</v>
      </c>
      <c r="J3885">
        <v>-348.58600000000001</v>
      </c>
      <c r="K3885">
        <v>1.1092360000000001</v>
      </c>
      <c r="L3885">
        <v>215.60480000000001</v>
      </c>
      <c r="M3885">
        <v>0.99989039999999996</v>
      </c>
      <c r="N3885">
        <v>0</v>
      </c>
      <c r="O3885">
        <v>-2.2618E-3</v>
      </c>
      <c r="P3885">
        <v>0.99840660000000003</v>
      </c>
      <c r="Q3885">
        <v>3.6512129999999997E-2</v>
      </c>
      <c r="R3885">
        <v>-4.3027009999999997E-2</v>
      </c>
      <c r="S3885">
        <v>3.0063780000000002</v>
      </c>
      <c r="T3885">
        <v>-0.1226566</v>
      </c>
      <c r="U3885">
        <v>-6.658936E-2</v>
      </c>
      <c r="V3885">
        <v>4.0877259999999999E-2</v>
      </c>
      <c r="W3885">
        <v>5.1034509999999998E-2</v>
      </c>
      <c r="X3885">
        <v>0.99785999999999997</v>
      </c>
      <c r="Y3885">
        <v>1.986775E-2</v>
      </c>
      <c r="Z3885">
        <v>-3.1283359999999998E-4</v>
      </c>
      <c r="AA3885">
        <v>0.99980259999999999</v>
      </c>
      <c r="AB3885">
        <v>45</v>
      </c>
      <c r="AC3885">
        <v>26.738600000000002</v>
      </c>
      <c r="AD3885">
        <v>-1.1092365536805999</v>
      </c>
      <c r="AE3885">
        <v>-0.60099999999999898</v>
      </c>
      <c r="AF3885">
        <v>0.539586484240825</v>
      </c>
      <c r="AG3885">
        <v>-1.1092365536805999</v>
      </c>
      <c r="AH3885">
        <v>26.6939749873358</v>
      </c>
      <c r="AI3885">
        <v>92.3790039815336</v>
      </c>
      <c r="AJ3885">
        <v>88.841992676645603</v>
      </c>
      <c r="AK3885">
        <v>26.722459840563101</v>
      </c>
      <c r="AL3885">
        <v>87.074667255528396</v>
      </c>
      <c r="AM3885">
        <v>87.6541942913437</v>
      </c>
      <c r="AN3885">
        <v>1.0000000255980199</v>
      </c>
    </row>
    <row r="3886" spans="1:40" x14ac:dyDescent="0.25">
      <c r="A3886" t="str">
        <f>"20190312154330781"</f>
        <v>20190312154330781</v>
      </c>
      <c r="B3886" t="str">
        <f>"1552376610770914"</f>
        <v>1552376610770914</v>
      </c>
      <c r="C3886" t="s">
        <v>40</v>
      </c>
      <c r="D3886">
        <v>5.2690929999999998</v>
      </c>
      <c r="E3886">
        <v>0.45152710000000001</v>
      </c>
      <c r="F3886" t="s">
        <v>50</v>
      </c>
      <c r="G3886">
        <v>-321.98390000000001</v>
      </c>
      <c r="H3886" s="1">
        <v>-4.8102639999999998E-7</v>
      </c>
      <c r="I3886">
        <v>215.09049999999999</v>
      </c>
      <c r="J3886">
        <v>-348.12130000000002</v>
      </c>
      <c r="K3886">
        <v>1.109245</v>
      </c>
      <c r="L3886">
        <v>215.60310000000001</v>
      </c>
      <c r="M3886">
        <v>0.99988860000000002</v>
      </c>
      <c r="N3886">
        <v>0</v>
      </c>
      <c r="O3886">
        <v>-2.9780430000000001E-3</v>
      </c>
      <c r="P3886">
        <v>0.99838210000000005</v>
      </c>
      <c r="Q3886">
        <v>3.6853080000000003E-2</v>
      </c>
      <c r="R3886">
        <v>-4.3309220000000002E-2</v>
      </c>
      <c r="S3886">
        <v>3.006866</v>
      </c>
      <c r="T3886">
        <v>-0.12537870000000001</v>
      </c>
      <c r="U3886">
        <v>-5.8120730000000002E-2</v>
      </c>
      <c r="V3886">
        <v>4.0444670000000002E-2</v>
      </c>
      <c r="W3886">
        <v>5.1373580000000002E-2</v>
      </c>
      <c r="X3886">
        <v>0.99786019999999997</v>
      </c>
      <c r="Y3886">
        <v>1.633623E-2</v>
      </c>
      <c r="Z3886">
        <v>-2.1628660000000001E-4</v>
      </c>
      <c r="AA3886">
        <v>0.99986649999999999</v>
      </c>
      <c r="AB3886">
        <v>45</v>
      </c>
      <c r="AC3886">
        <v>26.1374</v>
      </c>
      <c r="AD3886">
        <v>-1.1092454810263901</v>
      </c>
      <c r="AE3886">
        <v>-0.51260000000002004</v>
      </c>
      <c r="AF3886">
        <v>0.43396978905037797</v>
      </c>
      <c r="AG3886">
        <v>-1.1092454810263901</v>
      </c>
      <c r="AH3886">
        <v>26.091835628061499</v>
      </c>
      <c r="AI3886">
        <v>92.434020535328898</v>
      </c>
      <c r="AJ3886">
        <v>89.047121664404997</v>
      </c>
      <c r="AK3886">
        <v>26.119009203198399</v>
      </c>
      <c r="AL3886">
        <v>87.055214374922699</v>
      </c>
      <c r="AM3886">
        <v>87.6789923176066</v>
      </c>
      <c r="AN3886">
        <v>0.99999999739873202</v>
      </c>
    </row>
    <row r="3887" spans="1:40" x14ac:dyDescent="0.25">
      <c r="A3887" t="str">
        <f>"20190312154330804"</f>
        <v>20190312154330804</v>
      </c>
      <c r="B3887" t="str">
        <f>"1552376610801170"</f>
        <v>1552376610801170</v>
      </c>
      <c r="C3887" t="s">
        <v>40</v>
      </c>
      <c r="D3887">
        <v>5.1754810000000004</v>
      </c>
      <c r="E3887">
        <v>0.44670720000000003</v>
      </c>
      <c r="F3887" t="s">
        <v>51</v>
      </c>
      <c r="G3887">
        <v>-314.80220000000003</v>
      </c>
      <c r="H3887" s="1">
        <v>3.0352249999999998E-6</v>
      </c>
      <c r="I3887">
        <v>218.53210000000001</v>
      </c>
      <c r="J3887">
        <v>-347.67</v>
      </c>
      <c r="K3887">
        <v>1.1092500000000001</v>
      </c>
      <c r="L3887">
        <v>215.60120000000001</v>
      </c>
      <c r="M3887">
        <v>0.99988630000000001</v>
      </c>
      <c r="N3887">
        <v>0</v>
      </c>
      <c r="O3887">
        <v>-3.6742599999999999E-3</v>
      </c>
      <c r="P3887">
        <v>0.99836930000000002</v>
      </c>
      <c r="Q3887">
        <v>3.6680240000000003E-2</v>
      </c>
      <c r="R3887">
        <v>-4.3744449999999997E-2</v>
      </c>
      <c r="S3887">
        <v>3.0200809999999998</v>
      </c>
      <c r="T3887">
        <v>-0.1005428</v>
      </c>
      <c r="U3887">
        <v>0.26548769999999999</v>
      </c>
      <c r="V3887">
        <v>4.018422E-2</v>
      </c>
      <c r="W3887">
        <v>5.1198800000000003E-2</v>
      </c>
      <c r="X3887">
        <v>0.99787969999999904</v>
      </c>
      <c r="Y3887">
        <v>-9.1177579999999994E-2</v>
      </c>
      <c r="Z3887">
        <v>1.636448E-3</v>
      </c>
      <c r="AA3887">
        <v>0.99583330000000003</v>
      </c>
      <c r="AB3887">
        <v>45</v>
      </c>
      <c r="AC3887">
        <v>32.867799999999903</v>
      </c>
      <c r="AD3887">
        <v>-1.1092469647750001</v>
      </c>
      <c r="AE3887">
        <v>2.9308999999999998</v>
      </c>
      <c r="AF3887">
        <v>-3.0482135138411501</v>
      </c>
      <c r="AG3887">
        <v>-1.1092469647750001</v>
      </c>
      <c r="AH3887">
        <v>32.819722016131898</v>
      </c>
      <c r="AI3887">
        <v>91.927467135383395</v>
      </c>
      <c r="AJ3887">
        <v>95.3062656345232</v>
      </c>
      <c r="AK3887">
        <v>32.979632922017103</v>
      </c>
      <c r="AL3887">
        <v>87.065241711954201</v>
      </c>
      <c r="AM3887">
        <v>87.693967648996605</v>
      </c>
      <c r="AN3887">
        <v>0.99999999216526902</v>
      </c>
    </row>
    <row r="3888" spans="1:40" x14ac:dyDescent="0.25">
      <c r="A3888" t="str">
        <f>"20190312154330827"</f>
        <v>20190312154330827</v>
      </c>
      <c r="B3888" t="str">
        <f>"1552376610821666"</f>
        <v>1552376610821666</v>
      </c>
      <c r="C3888" t="s">
        <v>40</v>
      </c>
      <c r="D3888">
        <v>5.1533329999999999</v>
      </c>
      <c r="E3888">
        <v>0.44522919999999999</v>
      </c>
      <c r="F3888" t="s">
        <v>51</v>
      </c>
      <c r="G3888">
        <v>-319.8784</v>
      </c>
      <c r="H3888" s="1">
        <v>5.2863170000000004E-6</v>
      </c>
      <c r="I3888">
        <v>218.39150000000001</v>
      </c>
      <c r="J3888">
        <v>-347.21409999999997</v>
      </c>
      <c r="K3888">
        <v>1.109253</v>
      </c>
      <c r="L3888">
        <v>215.59899999999999</v>
      </c>
      <c r="M3888">
        <v>0.99988350000000004</v>
      </c>
      <c r="N3888">
        <v>0</v>
      </c>
      <c r="O3888">
        <v>-4.3775109999999997E-3</v>
      </c>
      <c r="P3888">
        <v>0.9983476</v>
      </c>
      <c r="Q3888">
        <v>3.7404659999999999E-2</v>
      </c>
      <c r="R3888">
        <v>-4.3625589999999999E-2</v>
      </c>
      <c r="S3888">
        <v>3.022675</v>
      </c>
      <c r="T3888">
        <v>-0.12064370000000001</v>
      </c>
      <c r="U3888">
        <v>0.30348209999999998</v>
      </c>
      <c r="V3888">
        <v>3.9364580000000003E-2</v>
      </c>
      <c r="W3888">
        <v>5.1922160000000002E-2</v>
      </c>
      <c r="X3888">
        <v>0.99787499999999996</v>
      </c>
      <c r="Y3888">
        <v>-0.1041691</v>
      </c>
      <c r="Z3888">
        <v>2.247055E-3</v>
      </c>
      <c r="AA3888">
        <v>0.99455709999999997</v>
      </c>
      <c r="AB3888">
        <v>45</v>
      </c>
      <c r="AC3888">
        <v>27.3356999999999</v>
      </c>
      <c r="AD3888">
        <v>-1.1092477136829999</v>
      </c>
      <c r="AE3888">
        <v>2.79249999999998</v>
      </c>
      <c r="AF3888">
        <v>-2.90741036951529</v>
      </c>
      <c r="AG3888">
        <v>-1.1092477136829999</v>
      </c>
      <c r="AH3888">
        <v>27.278758349371302</v>
      </c>
      <c r="AI3888">
        <v>92.315459869869002</v>
      </c>
      <c r="AJ3888">
        <v>96.083702041653495</v>
      </c>
      <c r="AK3888">
        <v>27.455675599599999</v>
      </c>
      <c r="AL3888">
        <v>87.023741052609907</v>
      </c>
      <c r="AM3888">
        <v>87.740944065043706</v>
      </c>
      <c r="AN3888">
        <v>0.99999999824132102</v>
      </c>
    </row>
    <row r="3889" spans="1:40" x14ac:dyDescent="0.25">
      <c r="A3889" t="str">
        <f>"20190312154330848"</f>
        <v>20190312154330848</v>
      </c>
      <c r="B3889" t="str">
        <f>"1552376610841186"</f>
        <v>1552376610841186</v>
      </c>
      <c r="C3889" t="s">
        <v>40</v>
      </c>
      <c r="D3889">
        <v>5.1368499999999999</v>
      </c>
      <c r="E3889">
        <v>0.44383489999999998</v>
      </c>
      <c r="F3889" t="s">
        <v>50</v>
      </c>
      <c r="G3889">
        <v>-321.33269999999999</v>
      </c>
      <c r="H3889" s="1">
        <v>-8.2760680000000002E-7</v>
      </c>
      <c r="I3889">
        <v>218.30260000000001</v>
      </c>
      <c r="J3889">
        <v>-346.77159999999998</v>
      </c>
      <c r="K3889">
        <v>1.109251</v>
      </c>
      <c r="L3889">
        <v>215.59649999999999</v>
      </c>
      <c r="M3889">
        <v>0.99988030000000006</v>
      </c>
      <c r="N3889">
        <v>0</v>
      </c>
      <c r="O3889">
        <v>-5.0601409999999998E-3</v>
      </c>
      <c r="P3889">
        <v>0.99833629999999995</v>
      </c>
      <c r="Q3889">
        <v>3.7008920000000001E-2</v>
      </c>
      <c r="R3889">
        <v>-4.421804E-2</v>
      </c>
      <c r="S3889">
        <v>3.0236209999999999</v>
      </c>
      <c r="T3889">
        <v>-0.1295898</v>
      </c>
      <c r="U3889">
        <v>0.3158569</v>
      </c>
      <c r="V3889">
        <v>3.9274320000000001E-2</v>
      </c>
      <c r="W3889">
        <v>5.1524529999999999E-2</v>
      </c>
      <c r="X3889">
        <v>0.99789919999999999</v>
      </c>
      <c r="Y3889">
        <v>-0.1088263</v>
      </c>
      <c r="Z3889">
        <v>2.5409389999999999E-3</v>
      </c>
      <c r="AA3889">
        <v>0.99405750000000004</v>
      </c>
      <c r="AB3889">
        <v>45</v>
      </c>
      <c r="AC3889">
        <v>25.438899999999901</v>
      </c>
      <c r="AD3889">
        <v>-1.1092518276068</v>
      </c>
      <c r="AE3889">
        <v>2.7061000000000202</v>
      </c>
      <c r="AF3889">
        <v>-2.8294838682687602</v>
      </c>
      <c r="AG3889">
        <v>-1.1092518276068</v>
      </c>
      <c r="AH3889">
        <v>25.377168377324299</v>
      </c>
      <c r="AI3889">
        <v>92.487446796560207</v>
      </c>
      <c r="AJ3889">
        <v>96.362043761387994</v>
      </c>
      <c r="AK3889">
        <v>25.5585033487665</v>
      </c>
      <c r="AL3889">
        <v>87.0465542079491</v>
      </c>
      <c r="AM3889">
        <v>87.7461731633868</v>
      </c>
      <c r="AN3889">
        <v>1.00000003138191</v>
      </c>
    </row>
    <row r="3890" spans="1:40" x14ac:dyDescent="0.25">
      <c r="A3890" t="str">
        <f>"20190312154330871"</f>
        <v>20190312154330871</v>
      </c>
      <c r="B3890" t="str">
        <f>"1552376610861682"</f>
        <v>1552376610861682</v>
      </c>
      <c r="C3890" t="s">
        <v>40</v>
      </c>
      <c r="D3890">
        <v>5.2626309999999998</v>
      </c>
      <c r="E3890">
        <v>0.44260349999999998</v>
      </c>
      <c r="F3890" t="s">
        <v>50</v>
      </c>
      <c r="G3890">
        <v>-323.06299999999999</v>
      </c>
      <c r="H3890" s="1">
        <v>9.3208090000000005E-8</v>
      </c>
      <c r="I3890">
        <v>218.14959999999999</v>
      </c>
      <c r="J3890">
        <v>-346.31610000000001</v>
      </c>
      <c r="K3890">
        <v>1.1092550000000001</v>
      </c>
      <c r="L3890">
        <v>215.59360000000001</v>
      </c>
      <c r="M3890">
        <v>0.9998766</v>
      </c>
      <c r="N3890">
        <v>0</v>
      </c>
      <c r="O3890">
        <v>-5.7633930000000003E-3</v>
      </c>
      <c r="P3890">
        <v>0.99829100000000004</v>
      </c>
      <c r="Q3890">
        <v>3.7545849999999999E-2</v>
      </c>
      <c r="R3890">
        <v>-4.4785199999999997E-2</v>
      </c>
      <c r="S3890">
        <v>3.0246580000000001</v>
      </c>
      <c r="T3890">
        <v>-0.14151440000000001</v>
      </c>
      <c r="U3890">
        <v>0.32571409999999901</v>
      </c>
      <c r="V3890">
        <v>3.9140380000000002E-2</v>
      </c>
      <c r="W3890">
        <v>5.2058350000000003E-2</v>
      </c>
      <c r="X3890">
        <v>0.99787669999999995</v>
      </c>
      <c r="Y3890">
        <v>-0.1126683</v>
      </c>
      <c r="Z3890">
        <v>2.8954559999999998E-3</v>
      </c>
      <c r="AA3890">
        <v>0.99362839999999997</v>
      </c>
      <c r="AB3890">
        <v>45</v>
      </c>
      <c r="AC3890">
        <v>23.2531</v>
      </c>
      <c r="AD3890">
        <v>-1.10925490679191</v>
      </c>
      <c r="AE3890">
        <v>2.5559999999999801</v>
      </c>
      <c r="AF3890">
        <v>-2.6839538453660898</v>
      </c>
      <c r="AG3890">
        <v>-1.10925490679191</v>
      </c>
      <c r="AH3890">
        <v>23.185848474518401</v>
      </c>
      <c r="AI3890">
        <v>92.720908319666407</v>
      </c>
      <c r="AJ3890">
        <v>96.603071639087204</v>
      </c>
      <c r="AK3890">
        <v>23.367020010596601</v>
      </c>
      <c r="AL3890">
        <v>87.015927303014607</v>
      </c>
      <c r="AM3890">
        <v>87.753801068713301</v>
      </c>
      <c r="AN3890">
        <v>0.99999997477707803</v>
      </c>
    </row>
    <row r="3891" spans="1:40" x14ac:dyDescent="0.25">
      <c r="A3891" t="str">
        <f>"20190312154330892"</f>
        <v>20190312154330892</v>
      </c>
      <c r="B3891" t="str">
        <f>"1552376610881202"</f>
        <v>1552376610881202</v>
      </c>
      <c r="C3891" t="s">
        <v>40</v>
      </c>
      <c r="D3891">
        <v>5.1063660000000004</v>
      </c>
      <c r="E3891">
        <v>0.44185049999999998</v>
      </c>
      <c r="F3891" t="s">
        <v>50</v>
      </c>
      <c r="G3891">
        <v>-324.5256</v>
      </c>
      <c r="H3891" s="1">
        <v>8.7148829999999995E-7</v>
      </c>
      <c r="I3891">
        <v>218.00129999999999</v>
      </c>
      <c r="J3891">
        <v>-345.86989999999997</v>
      </c>
      <c r="K3891">
        <v>1.1092679999999999</v>
      </c>
      <c r="L3891">
        <v>215.59049999999999</v>
      </c>
      <c r="M3891">
        <v>0.99987250000000005</v>
      </c>
      <c r="N3891">
        <v>0</v>
      </c>
      <c r="O3891">
        <v>-6.45234E-3</v>
      </c>
      <c r="P3891">
        <v>0.99819460000000004</v>
      </c>
      <c r="Q3891">
        <v>3.8792609999999998E-2</v>
      </c>
      <c r="R3891">
        <v>-4.5859539999999997E-2</v>
      </c>
      <c r="S3891">
        <v>3.0259399999999999</v>
      </c>
      <c r="T3891">
        <v>-0.15403639999999999</v>
      </c>
      <c r="U3891">
        <v>0.3343506</v>
      </c>
      <c r="V3891">
        <v>3.95299E-2</v>
      </c>
      <c r="W3891">
        <v>5.3300210000000001E-2</v>
      </c>
      <c r="X3891">
        <v>0.99779580000000001</v>
      </c>
      <c r="Y3891">
        <v>-0.1160813</v>
      </c>
      <c r="Z3891">
        <v>3.2710399999999998E-3</v>
      </c>
      <c r="AA3891">
        <v>0.99323430000000001</v>
      </c>
      <c r="AB3891">
        <v>45</v>
      </c>
      <c r="AC3891">
        <v>21.344299999999901</v>
      </c>
      <c r="AD3891">
        <v>-1.1092671285117</v>
      </c>
      <c r="AE3891">
        <v>2.4107999999999898</v>
      </c>
      <c r="AF3891">
        <v>-2.5417067584775199</v>
      </c>
      <c r="AG3891">
        <v>-1.1092671285117</v>
      </c>
      <c r="AH3891">
        <v>21.2715699570273</v>
      </c>
      <c r="AI3891">
        <v>92.964102083048999</v>
      </c>
      <c r="AJ3891">
        <v>96.813877640628206</v>
      </c>
      <c r="AK3891">
        <v>21.4515835136988</v>
      </c>
      <c r="AL3891">
        <v>86.944675077311999</v>
      </c>
      <c r="AM3891">
        <v>87.731286689708895</v>
      </c>
      <c r="AN3891">
        <v>0.99999999193884703</v>
      </c>
    </row>
    <row r="3892" spans="1:40" x14ac:dyDescent="0.25">
      <c r="A3892" t="str">
        <f>"20190312154330914"</f>
        <v>20190312154330914</v>
      </c>
      <c r="B3892" t="str">
        <f>"1552376610911458"</f>
        <v>1552376610911458</v>
      </c>
      <c r="C3892" t="s">
        <v>40</v>
      </c>
      <c r="D3892">
        <v>5.3629629999999997</v>
      </c>
      <c r="E3892">
        <v>0.44085839999999998</v>
      </c>
      <c r="F3892" t="s">
        <v>50</v>
      </c>
      <c r="G3892">
        <v>-324.03359999999998</v>
      </c>
      <c r="H3892" s="1">
        <v>6.0970390000000003E-7</v>
      </c>
      <c r="I3892">
        <v>218.0204</v>
      </c>
      <c r="J3892">
        <v>-345.43869999999998</v>
      </c>
      <c r="K3892">
        <v>1.109275</v>
      </c>
      <c r="L3892">
        <v>215.58709999999999</v>
      </c>
      <c r="M3892">
        <v>0.99986799999999998</v>
      </c>
      <c r="N3892">
        <v>0</v>
      </c>
      <c r="O3892">
        <v>-7.1184009999999999E-3</v>
      </c>
      <c r="P3892">
        <v>0.99797309999999995</v>
      </c>
      <c r="Q3892">
        <v>4.2540639999999998E-2</v>
      </c>
      <c r="R3892">
        <v>-4.7333699999999999E-2</v>
      </c>
      <c r="S3892">
        <v>3.0269170000000001</v>
      </c>
      <c r="T3892">
        <v>-0.15376500000000001</v>
      </c>
      <c r="U3892">
        <v>0.33683780000000002</v>
      </c>
      <c r="V3892">
        <v>4.0348009999999997E-2</v>
      </c>
      <c r="W3892">
        <v>5.7041010000000003E-2</v>
      </c>
      <c r="X3892">
        <v>0.9975562</v>
      </c>
      <c r="Y3892">
        <v>-0.11751209999999999</v>
      </c>
      <c r="Z3892">
        <v>3.3340140000000002E-3</v>
      </c>
      <c r="AA3892">
        <v>0.9930658</v>
      </c>
      <c r="AB3892">
        <v>45</v>
      </c>
      <c r="AC3892">
        <v>21.405100000000001</v>
      </c>
      <c r="AD3892">
        <v>-1.1092743902961</v>
      </c>
      <c r="AE3892">
        <v>2.4333</v>
      </c>
      <c r="AF3892">
        <v>-2.5787874067505601</v>
      </c>
      <c r="AG3892">
        <v>-1.1092743902961</v>
      </c>
      <c r="AH3892">
        <v>21.330679406825102</v>
      </c>
      <c r="AI3892">
        <v>92.955430229113105</v>
      </c>
      <c r="AJ3892">
        <v>96.893359323522901</v>
      </c>
      <c r="AK3892">
        <v>21.5146117352588</v>
      </c>
      <c r="AL3892">
        <v>86.730016003013304</v>
      </c>
      <c r="AM3892">
        <v>87.6838284648274</v>
      </c>
      <c r="AN3892">
        <v>1.00000000544561</v>
      </c>
    </row>
    <row r="3893" spans="1:40" x14ac:dyDescent="0.25">
      <c r="A3893" t="str">
        <f>"20190312154330938"</f>
        <v>20190312154330938</v>
      </c>
      <c r="B3893" t="str">
        <f>"1552376610930979"</f>
        <v>1552376610930979</v>
      </c>
      <c r="C3893" t="s">
        <v>40</v>
      </c>
      <c r="D3893">
        <v>5.2731029999999999</v>
      </c>
      <c r="E3893">
        <v>0.44016840000000002</v>
      </c>
      <c r="F3893" t="s">
        <v>50</v>
      </c>
      <c r="G3893">
        <v>-323.09890000000001</v>
      </c>
      <c r="H3893" s="1">
        <v>1.123026E-7</v>
      </c>
      <c r="I3893">
        <v>218.09790000000001</v>
      </c>
      <c r="J3893">
        <v>-344.96420000000001</v>
      </c>
      <c r="K3893">
        <v>1.1092799999999901</v>
      </c>
      <c r="L3893">
        <v>215.5831</v>
      </c>
      <c r="M3893">
        <v>0.99986240000000004</v>
      </c>
      <c r="N3893">
        <v>0</v>
      </c>
      <c r="O3893">
        <v>-7.8514529999999996E-3</v>
      </c>
      <c r="P3893">
        <v>0.9978591</v>
      </c>
      <c r="Q3893">
        <v>4.3001310000000001E-2</v>
      </c>
      <c r="R3893">
        <v>-4.9277630000000003E-2</v>
      </c>
      <c r="S3893">
        <v>3.0286249999999999</v>
      </c>
      <c r="T3893">
        <v>-0.1503854</v>
      </c>
      <c r="U3893">
        <v>0.340393099999999</v>
      </c>
      <c r="V3893">
        <v>4.1561630000000002E-2</v>
      </c>
      <c r="W3893">
        <v>5.749518E-2</v>
      </c>
      <c r="X3893">
        <v>0.99748029999999999</v>
      </c>
      <c r="Y3893">
        <v>-0.1193337</v>
      </c>
      <c r="Z3893">
        <v>3.3401199999999998E-3</v>
      </c>
      <c r="AA3893">
        <v>0.99284859999999997</v>
      </c>
      <c r="AB3893">
        <v>45</v>
      </c>
      <c r="AC3893">
        <v>21.865299999999898</v>
      </c>
      <c r="AD3893">
        <v>-1.1092798876973899</v>
      </c>
      <c r="AE3893">
        <v>2.5148000000000001</v>
      </c>
      <c r="AF3893">
        <v>-2.6796084937875899</v>
      </c>
      <c r="AG3893">
        <v>-1.1092798876973899</v>
      </c>
      <c r="AH3893">
        <v>21.789529667594199</v>
      </c>
      <c r="AI3893">
        <v>92.892592949942497</v>
      </c>
      <c r="AJ3893">
        <v>97.010855470366806</v>
      </c>
      <c r="AK3893">
        <v>21.981683436083699</v>
      </c>
      <c r="AL3893">
        <v>86.703951206766206</v>
      </c>
      <c r="AM3893">
        <v>87.614058788875099</v>
      </c>
      <c r="AN3893">
        <v>1.0000000068497801</v>
      </c>
    </row>
    <row r="3894" spans="1:40" x14ac:dyDescent="0.25">
      <c r="A3894" t="str">
        <f>"20190312154330960"</f>
        <v>20190312154330960</v>
      </c>
      <c r="B3894" t="str">
        <f>"1552376610951478"</f>
        <v>1552376610951478</v>
      </c>
      <c r="C3894" t="s">
        <v>40</v>
      </c>
      <c r="D3894">
        <v>5.2601239999999896</v>
      </c>
      <c r="E3894">
        <v>0.43974449999999998</v>
      </c>
      <c r="F3894" t="s">
        <v>50</v>
      </c>
      <c r="G3894">
        <v>-323.56310000000002</v>
      </c>
      <c r="H3894" s="1">
        <v>3.5933399999999998E-7</v>
      </c>
      <c r="I3894">
        <v>217.9863</v>
      </c>
      <c r="J3894">
        <v>-344.51740000000001</v>
      </c>
      <c r="K3894">
        <v>1.1092799999999901</v>
      </c>
      <c r="L3894">
        <v>215.57910000000001</v>
      </c>
      <c r="M3894">
        <v>0.99985679999999999</v>
      </c>
      <c r="N3894">
        <v>0</v>
      </c>
      <c r="O3894">
        <v>-8.5420679999999999E-3</v>
      </c>
      <c r="P3894">
        <v>0.99783310000000003</v>
      </c>
      <c r="Q3894">
        <v>4.1488669999999998E-2</v>
      </c>
      <c r="R3894">
        <v>-5.1064360000000003E-2</v>
      </c>
      <c r="S3894">
        <v>3.0299680000000002</v>
      </c>
      <c r="T3894">
        <v>-0.15705179999999999</v>
      </c>
      <c r="U3894">
        <v>0.3402405</v>
      </c>
      <c r="V3894">
        <v>4.2656090000000001E-2</v>
      </c>
      <c r="W3894">
        <v>5.5977939999999997E-2</v>
      </c>
      <c r="X3894">
        <v>0.99752039999999997</v>
      </c>
      <c r="Y3894">
        <v>-0.1199056</v>
      </c>
      <c r="Z3894">
        <v>3.5369049999999999E-3</v>
      </c>
      <c r="AA3894">
        <v>0.99277899999999997</v>
      </c>
      <c r="AB3894">
        <v>45</v>
      </c>
      <c r="AC3894">
        <v>20.9542999999999</v>
      </c>
      <c r="AD3894">
        <v>-1.1092796406659899</v>
      </c>
      <c r="AE3894">
        <v>2.40719999999998</v>
      </c>
      <c r="AF3894">
        <v>-2.57899099560426</v>
      </c>
      <c r="AG3894">
        <v>-1.1092796406659899</v>
      </c>
      <c r="AH3894">
        <v>20.875231161919999</v>
      </c>
      <c r="AI3894">
        <v>93.018846141747204</v>
      </c>
      <c r="AJ3894">
        <v>97.042812270032798</v>
      </c>
      <c r="AK3894">
        <v>21.063166237301601</v>
      </c>
      <c r="AL3894">
        <v>86.791022930066106</v>
      </c>
      <c r="AM3894">
        <v>87.551402605326899</v>
      </c>
      <c r="AN3894">
        <v>1.0000000100984401</v>
      </c>
    </row>
    <row r="3895" spans="1:40" x14ac:dyDescent="0.25">
      <c r="A3895" t="str">
        <f>"20190312154330983"</f>
        <v>20190312154330983</v>
      </c>
      <c r="B3895" t="str">
        <f>"1552376610970994"</f>
        <v>1552376610970994</v>
      </c>
      <c r="C3895" t="s">
        <v>40</v>
      </c>
      <c r="D3895">
        <v>3.8502399999999999</v>
      </c>
      <c r="E3895">
        <v>0.43951990000000002</v>
      </c>
      <c r="F3895" t="s">
        <v>50</v>
      </c>
      <c r="G3895">
        <v>-324.41739999999999</v>
      </c>
      <c r="H3895" s="1">
        <v>8.1393809999999998E-7</v>
      </c>
      <c r="I3895">
        <v>217.82380000000001</v>
      </c>
      <c r="J3895">
        <v>-344.06619999999998</v>
      </c>
      <c r="K3895">
        <v>1.1092599999999999</v>
      </c>
      <c r="L3895">
        <v>215.57470000000001</v>
      </c>
      <c r="M3895">
        <v>0.99985069999999998</v>
      </c>
      <c r="N3895">
        <v>0</v>
      </c>
      <c r="O3895">
        <v>-9.2387530000000006E-3</v>
      </c>
      <c r="P3895">
        <v>0.99795959999999995</v>
      </c>
      <c r="Q3895">
        <v>3.8045429999999998E-2</v>
      </c>
      <c r="R3895">
        <v>-5.1281180000000003E-2</v>
      </c>
      <c r="S3895">
        <v>3.0307919999999999</v>
      </c>
      <c r="T3895">
        <v>-0.167263299999999</v>
      </c>
      <c r="U3895">
        <v>0.33847050000000001</v>
      </c>
      <c r="V3895">
        <v>4.2168530000000003E-2</v>
      </c>
      <c r="W3895">
        <v>5.2535970000000001E-2</v>
      </c>
      <c r="X3895">
        <v>0.99772830000000001</v>
      </c>
      <c r="Y3895">
        <v>-0.11997089999999901</v>
      </c>
      <c r="Z3895">
        <v>3.8057519999999999E-3</v>
      </c>
      <c r="AA3895">
        <v>0.99277009999999999</v>
      </c>
      <c r="AB3895">
        <v>45</v>
      </c>
      <c r="AC3895">
        <v>19.648799999999898</v>
      </c>
      <c r="AD3895">
        <v>-1.1092591860618899</v>
      </c>
      <c r="AE3895">
        <v>2.2490999999999901</v>
      </c>
      <c r="AF3895">
        <v>-2.42293153143186</v>
      </c>
      <c r="AG3895">
        <v>-1.1092591860618899</v>
      </c>
      <c r="AH3895">
        <v>19.565629230986499</v>
      </c>
      <c r="AI3895">
        <v>93.220322991151704</v>
      </c>
      <c r="AJ3895">
        <v>97.059347263700701</v>
      </c>
      <c r="AK3895">
        <v>19.746262946499598</v>
      </c>
      <c r="AL3895">
        <v>86.988524228905305</v>
      </c>
      <c r="AM3895">
        <v>87.579860438829002</v>
      </c>
      <c r="AN3895">
        <v>0.99999998684354496</v>
      </c>
    </row>
    <row r="3896" spans="1:40" x14ac:dyDescent="0.25">
      <c r="A3896" t="str">
        <f>"20190312154331138"</f>
        <v>20190312154331138</v>
      </c>
      <c r="B3896" t="str">
        <f>"1552376611131058"</f>
        <v>1552376611131058</v>
      </c>
      <c r="C3896" t="s">
        <v>40</v>
      </c>
      <c r="D3896">
        <v>4.3229790000000001</v>
      </c>
      <c r="E3896">
        <v>0.45409569999999999</v>
      </c>
      <c r="F3896" t="s">
        <v>50</v>
      </c>
      <c r="G3896">
        <v>-325.11270000000002</v>
      </c>
      <c r="H3896" s="1">
        <v>1.183922E-6</v>
      </c>
      <c r="I3896">
        <v>217.6962</v>
      </c>
      <c r="J3896">
        <v>-340.94009999999997</v>
      </c>
      <c r="K3896">
        <v>1.109289</v>
      </c>
      <c r="L3896">
        <v>215.53559999999999</v>
      </c>
      <c r="M3896">
        <v>0.99979660000000004</v>
      </c>
      <c r="N3896">
        <v>0</v>
      </c>
      <c r="O3896">
        <v>-1.3927180000000001E-2</v>
      </c>
      <c r="P3896">
        <v>0.99826119999999996</v>
      </c>
      <c r="Q3896">
        <v>2.999684E-2</v>
      </c>
      <c r="R3896">
        <v>-5.0742179999999998E-2</v>
      </c>
      <c r="S3896">
        <v>3.0303650000000002</v>
      </c>
      <c r="T3896">
        <v>-0.17735279999999901</v>
      </c>
      <c r="U3896">
        <v>0.33920289999999997</v>
      </c>
      <c r="V3896">
        <v>3.6921639999999999E-2</v>
      </c>
      <c r="W3896">
        <v>4.4490729999999999E-2</v>
      </c>
      <c r="X3896">
        <v>0.99832730000000003</v>
      </c>
      <c r="Y3896">
        <v>-0.1248368</v>
      </c>
      <c r="Z3896">
        <v>4.4506839999999999E-3</v>
      </c>
      <c r="AA3896">
        <v>0.99216729999999997</v>
      </c>
      <c r="AB3896">
        <v>45</v>
      </c>
      <c r="AC3896">
        <v>15.8273999999999</v>
      </c>
      <c r="AD3896">
        <v>-1.109287816078</v>
      </c>
      <c r="AE3896">
        <v>2.1606000000000098</v>
      </c>
      <c r="AF3896">
        <v>-2.3694189517782598</v>
      </c>
      <c r="AG3896">
        <v>-1.109287816078</v>
      </c>
      <c r="AH3896">
        <v>15.7199645648104</v>
      </c>
      <c r="AI3896">
        <v>93.991479343290905</v>
      </c>
      <c r="AJ3896">
        <v>98.571483918426196</v>
      </c>
      <c r="AK3896">
        <v>15.9361837196626</v>
      </c>
      <c r="AL3896">
        <v>87.450027263482895</v>
      </c>
      <c r="AM3896">
        <v>87.881966721843298</v>
      </c>
      <c r="AN3896">
        <v>1.00000001524075</v>
      </c>
    </row>
    <row r="3897" spans="1:40" x14ac:dyDescent="0.25">
      <c r="A3897" t="str">
        <f>"20190312154331162"</f>
        <v>20190312154331162</v>
      </c>
      <c r="B3897" t="str">
        <f>"1552376611151554"</f>
        <v>1552376611151554</v>
      </c>
      <c r="C3897" t="s">
        <v>40</v>
      </c>
      <c r="D3897">
        <v>4.8959140000000003</v>
      </c>
      <c r="E3897">
        <v>0.4771473</v>
      </c>
      <c r="F3897" t="s">
        <v>41</v>
      </c>
      <c r="G3897">
        <v>-340.12290000000002</v>
      </c>
      <c r="H3897">
        <v>0.79592109999999905</v>
      </c>
      <c r="I3897">
        <v>215.60509999999999</v>
      </c>
      <c r="J3897">
        <v>-340.48009999999999</v>
      </c>
      <c r="K3897">
        <v>1.1093170000000001</v>
      </c>
      <c r="L3897">
        <v>215.52869999999999</v>
      </c>
      <c r="M3897">
        <v>0.99978750000000005</v>
      </c>
      <c r="N3897">
        <v>0</v>
      </c>
      <c r="O3897">
        <v>-1.457606E-2</v>
      </c>
      <c r="P3897">
        <v>0.99815370000000003</v>
      </c>
      <c r="Q3897">
        <v>3.158209E-2</v>
      </c>
      <c r="R3897">
        <v>-5.1883949999999998E-2</v>
      </c>
      <c r="S3897">
        <v>3.0536500000000002</v>
      </c>
      <c r="T3897">
        <v>-1.170919</v>
      </c>
      <c r="U3897">
        <v>0.25978089999999998</v>
      </c>
      <c r="V3897">
        <v>3.741833E-2</v>
      </c>
      <c r="W3897">
        <v>4.6072200000000001E-2</v>
      </c>
      <c r="X3897">
        <v>0.99823709999999999</v>
      </c>
      <c r="Y3897">
        <v>-9.1781249999999995E-2</v>
      </c>
      <c r="Z3897">
        <v>2.2355860000000002E-2</v>
      </c>
      <c r="AA3897">
        <v>0.99552819999999997</v>
      </c>
      <c r="AB3897">
        <v>45</v>
      </c>
      <c r="AC3897">
        <v>0.35719999999997698</v>
      </c>
      <c r="AD3897">
        <v>-0.31339590000000001</v>
      </c>
      <c r="AE3897">
        <v>7.6400000000006602E-2</v>
      </c>
      <c r="AF3897">
        <v>-4.7001316710074598E-2</v>
      </c>
      <c r="AG3897">
        <v>-0.31339590000000001</v>
      </c>
      <c r="AH3897">
        <v>0.20508509729610799</v>
      </c>
      <c r="AI3897">
        <v>146.124095918157</v>
      </c>
      <c r="AJ3897">
        <v>102.908111696783</v>
      </c>
      <c r="AK3897">
        <v>0.377473192481592</v>
      </c>
      <c r="AL3897">
        <v>87.359322734819301</v>
      </c>
      <c r="AM3897">
        <v>87.853306486483305</v>
      </c>
      <c r="AN3897">
        <v>1.0000000434246099</v>
      </c>
    </row>
    <row r="3898" spans="1:40" x14ac:dyDescent="0.25">
      <c r="A3898" t="str">
        <f>"20190312154331183"</f>
        <v>20190312154331183</v>
      </c>
      <c r="B3898" t="str">
        <f>"1552376611181810"</f>
        <v>1552376611181810</v>
      </c>
      <c r="C3898" t="s">
        <v>40</v>
      </c>
      <c r="D3898">
        <v>6.961328</v>
      </c>
      <c r="E3898">
        <v>0.4816955</v>
      </c>
      <c r="F3898" t="s">
        <v>41</v>
      </c>
      <c r="G3898">
        <v>-339.70729999999998</v>
      </c>
      <c r="H3898">
        <v>0.85826049999999998</v>
      </c>
      <c r="I3898">
        <v>215.54509999999999</v>
      </c>
      <c r="J3898">
        <v>-340.04489999999998</v>
      </c>
      <c r="K3898">
        <v>1.1093409999999999</v>
      </c>
      <c r="L3898">
        <v>215.52189999999999</v>
      </c>
      <c r="M3898">
        <v>0.99977859999999996</v>
      </c>
      <c r="N3898">
        <v>0</v>
      </c>
      <c r="O3898">
        <v>-1.516991E-2</v>
      </c>
      <c r="P3898">
        <v>0.99805869999999997</v>
      </c>
      <c r="Q3898">
        <v>3.2233409999999997E-2</v>
      </c>
      <c r="R3898">
        <v>-5.3290549999999999E-2</v>
      </c>
      <c r="S3898">
        <v>3.0401919999999998</v>
      </c>
      <c r="T3898">
        <v>-0.98756310000000003</v>
      </c>
      <c r="U3898">
        <v>6.5734860000000006E-2</v>
      </c>
      <c r="V3898">
        <v>3.8231910000000001E-2</v>
      </c>
      <c r="W3898">
        <v>4.6720009999999999E-2</v>
      </c>
      <c r="X3898">
        <v>0.99817610000000001</v>
      </c>
      <c r="Y3898">
        <v>-3.424174E-2</v>
      </c>
      <c r="Z3898">
        <v>1.0225649999999999E-2</v>
      </c>
      <c r="AA3898">
        <v>0.99936130000000001</v>
      </c>
      <c r="AB3898">
        <v>45</v>
      </c>
      <c r="AC3898">
        <v>0.337600000000008</v>
      </c>
      <c r="AD3898">
        <v>-0.25108049999999899</v>
      </c>
      <c r="AE3898">
        <v>2.3200000000002701E-2</v>
      </c>
      <c r="AF3898">
        <v>-1.8264319531625099E-2</v>
      </c>
      <c r="AG3898">
        <v>-0.25108049999999899</v>
      </c>
      <c r="AH3898">
        <v>0.21748100619956201</v>
      </c>
      <c r="AI3898">
        <v>139.00186656052</v>
      </c>
      <c r="AJ3898">
        <v>94.800504690587601</v>
      </c>
      <c r="AK3898">
        <v>0.33267550391601902</v>
      </c>
      <c r="AL3898">
        <v>87.322165780065902</v>
      </c>
      <c r="AM3898">
        <v>87.806542511623206</v>
      </c>
      <c r="AN3898">
        <v>0.99999998244392896</v>
      </c>
    </row>
    <row r="3899" spans="1:40" x14ac:dyDescent="0.25">
      <c r="A3899" t="str">
        <f>"20190312154331206"</f>
        <v>20190312154331206</v>
      </c>
      <c r="B3899" t="str">
        <f>"1552376611201331"</f>
        <v>1552376611201331</v>
      </c>
      <c r="C3899" t="s">
        <v>40</v>
      </c>
      <c r="D3899">
        <v>5.089296</v>
      </c>
      <c r="E3899">
        <v>0.49537350000000002</v>
      </c>
      <c r="F3899" t="s">
        <v>41</v>
      </c>
      <c r="G3899">
        <v>-339.28910000000002</v>
      </c>
      <c r="H3899">
        <v>0.9037231</v>
      </c>
      <c r="I3899">
        <v>215.52680000000001</v>
      </c>
      <c r="J3899">
        <v>-339.59640000000002</v>
      </c>
      <c r="K3899">
        <v>1.109369</v>
      </c>
      <c r="L3899">
        <v>215.5146</v>
      </c>
      <c r="M3899">
        <v>0.99976969999999998</v>
      </c>
      <c r="N3899">
        <v>0</v>
      </c>
      <c r="O3899">
        <v>-1.5756860000000001E-2</v>
      </c>
      <c r="P3899">
        <v>0.99794950000000004</v>
      </c>
      <c r="Q3899">
        <v>3.254046E-2</v>
      </c>
      <c r="R3899">
        <v>-5.5119790000000002E-2</v>
      </c>
      <c r="S3899">
        <v>3.0335390000000002</v>
      </c>
      <c r="T3899">
        <v>-0.82529379999999997</v>
      </c>
      <c r="U3899">
        <v>1.928711E-2</v>
      </c>
      <c r="V3899">
        <v>3.9474500000000003E-2</v>
      </c>
      <c r="W3899">
        <v>4.7022469999999997E-2</v>
      </c>
      <c r="X3899">
        <v>0.99811360000000005</v>
      </c>
      <c r="Y3899">
        <v>-2.0786990000000002E-2</v>
      </c>
      <c r="Z3899">
        <v>6.9876859999999999E-3</v>
      </c>
      <c r="AA3899">
        <v>0.99975950000000002</v>
      </c>
      <c r="AB3899">
        <v>45</v>
      </c>
      <c r="AC3899">
        <v>0.30729999999999702</v>
      </c>
      <c r="AD3899">
        <v>-0.20564589999999999</v>
      </c>
      <c r="AE3899">
        <v>1.2200000000007E-2</v>
      </c>
      <c r="AF3899">
        <v>-1.17758017387012E-2</v>
      </c>
      <c r="AG3899">
        <v>-0.20564589999999999</v>
      </c>
      <c r="AH3899">
        <v>0.212192544380159</v>
      </c>
      <c r="AI3899">
        <v>134.058345591354</v>
      </c>
      <c r="AJ3899">
        <v>93.176418714819704</v>
      </c>
      <c r="AK3899">
        <v>0.29572720805486402</v>
      </c>
      <c r="AL3899">
        <v>87.304817223006395</v>
      </c>
      <c r="AM3899">
        <v>87.735183506867699</v>
      </c>
      <c r="AN3899">
        <v>1.00000005367005</v>
      </c>
    </row>
    <row r="3900" spans="1:40" x14ac:dyDescent="0.25">
      <c r="A3900" t="str">
        <f>"20190312154331229"</f>
        <v>20190312154331229</v>
      </c>
      <c r="B3900" t="str">
        <f>"1552376611220851"</f>
        <v>1552376611220851</v>
      </c>
      <c r="C3900" t="s">
        <v>40</v>
      </c>
      <c r="D3900">
        <v>5.0684389999999997</v>
      </c>
      <c r="E3900">
        <v>0.49697380000000002</v>
      </c>
      <c r="F3900" t="s">
        <v>50</v>
      </c>
      <c r="G3900">
        <v>-323.96080000000001</v>
      </c>
      <c r="H3900" s="1">
        <v>5.7092960000000002E-7</v>
      </c>
      <c r="I3900">
        <v>214.90369999999999</v>
      </c>
      <c r="J3900">
        <v>-339.13780000000003</v>
      </c>
      <c r="K3900">
        <v>1.1093980000000001</v>
      </c>
      <c r="L3900">
        <v>215.5069</v>
      </c>
      <c r="M3900">
        <v>0.9997606</v>
      </c>
      <c r="N3900">
        <v>0</v>
      </c>
      <c r="O3900">
        <v>-1.632451E-2</v>
      </c>
      <c r="P3900">
        <v>0.99783189999999999</v>
      </c>
      <c r="Q3900">
        <v>3.374899E-2</v>
      </c>
      <c r="R3900">
        <v>-5.6504499999999999E-2</v>
      </c>
      <c r="S3900">
        <v>3.0066220000000001</v>
      </c>
      <c r="T3900">
        <v>-0.2133235</v>
      </c>
      <c r="U3900">
        <v>-0.1174622</v>
      </c>
      <c r="V3900">
        <v>4.0292769999999999E-2</v>
      </c>
      <c r="W3900">
        <v>4.8228439999999997E-2</v>
      </c>
      <c r="X3900">
        <v>0.99802329999999995</v>
      </c>
      <c r="Y3900">
        <v>2.2703029999999999E-2</v>
      </c>
      <c r="Z3900">
        <v>3.5225519999999898E-4</v>
      </c>
      <c r="AA3900">
        <v>0.99974220000000003</v>
      </c>
      <c r="AB3900">
        <v>45</v>
      </c>
      <c r="AC3900">
        <v>15.177</v>
      </c>
      <c r="AD3900">
        <v>-1.1093974290703901</v>
      </c>
      <c r="AE3900">
        <v>-0.60320000000001495</v>
      </c>
      <c r="AF3900">
        <v>0.353450634912855</v>
      </c>
      <c r="AG3900">
        <v>-1.1093974290703901</v>
      </c>
      <c r="AH3900">
        <v>15.104247249054399</v>
      </c>
      <c r="AI3900">
        <v>94.199649941152501</v>
      </c>
      <c r="AJ3900">
        <v>88.659480738287101</v>
      </c>
      <c r="AK3900">
        <v>15.1490585505342</v>
      </c>
      <c r="AL3900">
        <v>87.235641582861803</v>
      </c>
      <c r="AM3900">
        <v>87.688077431439694</v>
      </c>
      <c r="AN3900">
        <v>0.99999999854099797</v>
      </c>
    </row>
    <row r="3901" spans="1:40" x14ac:dyDescent="0.25">
      <c r="A3901" t="str">
        <f>"20190312154331251"</f>
        <v>20190312154331251</v>
      </c>
      <c r="B3901" t="str">
        <f>"1552376611241346"</f>
        <v>1552376611241346</v>
      </c>
      <c r="C3901" t="s">
        <v>40</v>
      </c>
      <c r="D3901">
        <v>5.1299279999999996</v>
      </c>
      <c r="E3901">
        <v>0.49691299999999999</v>
      </c>
      <c r="F3901" t="s">
        <v>41</v>
      </c>
      <c r="G3901">
        <v>-338.0292</v>
      </c>
      <c r="H3901">
        <v>1.041947</v>
      </c>
      <c r="I3901">
        <v>215.45670000000001</v>
      </c>
      <c r="J3901">
        <v>-338.69749999999999</v>
      </c>
      <c r="K3901">
        <v>1.1094310000000001</v>
      </c>
      <c r="L3901">
        <v>215.49930000000001</v>
      </c>
      <c r="M3901">
        <v>0.99975210000000003</v>
      </c>
      <c r="N3901">
        <v>0</v>
      </c>
      <c r="O3901">
        <v>-1.6835969999999999E-2</v>
      </c>
      <c r="P3901">
        <v>0.99773590000000001</v>
      </c>
      <c r="Q3901">
        <v>3.4189530000000003E-2</v>
      </c>
      <c r="R3901">
        <v>-5.791607E-2</v>
      </c>
      <c r="S3901">
        <v>3.0050349999999999</v>
      </c>
      <c r="T3901">
        <v>-0.18291199999999999</v>
      </c>
      <c r="U3901">
        <v>-0.1353607</v>
      </c>
      <c r="V3901">
        <v>4.119221E-2</v>
      </c>
      <c r="W3901">
        <v>4.8666139999999997E-2</v>
      </c>
      <c r="X3901">
        <v>0.99796530000000006</v>
      </c>
      <c r="Y3901">
        <v>2.8151039999999999E-2</v>
      </c>
      <c r="Z3901">
        <v>1.6776019999999999E-4</v>
      </c>
      <c r="AA3901">
        <v>0.99960369999999998</v>
      </c>
      <c r="AB3901">
        <v>45</v>
      </c>
      <c r="AC3901">
        <v>0.66829999999998702</v>
      </c>
      <c r="AD3901">
        <v>-6.7484000000000099E-2</v>
      </c>
      <c r="AE3901">
        <v>-4.2599999999992998E-2</v>
      </c>
      <c r="AF3901">
        <v>3.1026203645693001E-2</v>
      </c>
      <c r="AG3901">
        <v>-6.7484000000000099E-2</v>
      </c>
      <c r="AH3901">
        <v>0.66219765557850596</v>
      </c>
      <c r="AI3901">
        <v>95.812542993031499</v>
      </c>
      <c r="AJ3901">
        <v>87.317460407092597</v>
      </c>
      <c r="AK3901">
        <v>0.66635009613740903</v>
      </c>
      <c r="AL3901">
        <v>87.210533645056699</v>
      </c>
      <c r="AM3901">
        <v>87.636389954802496</v>
      </c>
      <c r="AN3901">
        <v>0.99999996567563598</v>
      </c>
    </row>
    <row r="3902" spans="1:40" x14ac:dyDescent="0.25">
      <c r="A3902" t="str">
        <f>"20190312154331272"</f>
        <v>20190312154331272</v>
      </c>
      <c r="B3902" t="str">
        <f>"1552376611260908"</f>
        <v>1552376611260908</v>
      </c>
      <c r="C3902" t="s">
        <v>40</v>
      </c>
      <c r="D3902">
        <v>5.1292299999999997</v>
      </c>
      <c r="E3902">
        <v>0.49665720000000002</v>
      </c>
      <c r="F3902" t="s">
        <v>41</v>
      </c>
      <c r="G3902">
        <v>-337.6207</v>
      </c>
      <c r="H3902">
        <v>1.048791</v>
      </c>
      <c r="I3902">
        <v>215.44890000000001</v>
      </c>
      <c r="J3902">
        <v>-338.26740000000001</v>
      </c>
      <c r="K3902">
        <v>1.1094630000000001</v>
      </c>
      <c r="L3902">
        <v>215.49160000000001</v>
      </c>
      <c r="M3902">
        <v>0.99974410000000002</v>
      </c>
      <c r="N3902">
        <v>0</v>
      </c>
      <c r="O3902">
        <v>-1.7308960000000002E-2</v>
      </c>
      <c r="P3902">
        <v>0.99770709999999996</v>
      </c>
      <c r="Q3902">
        <v>3.3437219999999997E-2</v>
      </c>
      <c r="R3902">
        <v>-5.8843470000000002E-2</v>
      </c>
      <c r="S3902">
        <v>3.004486</v>
      </c>
      <c r="T3902">
        <v>-0.16930439999999999</v>
      </c>
      <c r="U3902">
        <v>-0.1397552</v>
      </c>
      <c r="V3902">
        <v>4.1642609999999997E-2</v>
      </c>
      <c r="W3902">
        <v>4.791314E-2</v>
      </c>
      <c r="X3902">
        <v>0.99798310000000001</v>
      </c>
      <c r="Y3902">
        <v>2.91475E-2</v>
      </c>
      <c r="Z3902">
        <v>1.5389430000000001E-4</v>
      </c>
      <c r="AA3902">
        <v>0.99957510000000005</v>
      </c>
      <c r="AB3902">
        <v>45</v>
      </c>
      <c r="AC3902">
        <v>0.64670000000000905</v>
      </c>
      <c r="AD3902">
        <v>-6.0671999999999802E-2</v>
      </c>
      <c r="AE3902">
        <v>-4.2699999999996401E-2</v>
      </c>
      <c r="AF3902">
        <v>3.1225066368184E-2</v>
      </c>
      <c r="AG3902">
        <v>-6.0671999999999802E-2</v>
      </c>
      <c r="AH3902">
        <v>0.64171851471447405</v>
      </c>
      <c r="AI3902">
        <v>95.394694092856696</v>
      </c>
      <c r="AJ3902">
        <v>87.214269933781793</v>
      </c>
      <c r="AK3902">
        <v>0.64533615153735902</v>
      </c>
      <c r="AL3902">
        <v>87.253727915463898</v>
      </c>
      <c r="AM3902">
        <v>87.610618352323101</v>
      </c>
      <c r="AN3902">
        <v>1.00000002191894</v>
      </c>
    </row>
    <row r="3903" spans="1:40" x14ac:dyDescent="0.25">
      <c r="A3903" t="str">
        <f>"20190312154331296"</f>
        <v>20190312154331296</v>
      </c>
      <c r="B3903" t="str">
        <f>"1552376611281391"</f>
        <v>1552376611281391</v>
      </c>
      <c r="C3903" t="s">
        <v>40</v>
      </c>
      <c r="D3903">
        <v>5.1216530000000002</v>
      </c>
      <c r="E3903">
        <v>0.49678620000000001</v>
      </c>
      <c r="F3903" t="s">
        <v>51</v>
      </c>
      <c r="G3903">
        <v>-318.7072</v>
      </c>
      <c r="H3903" s="1">
        <v>4.7669400000000003E-6</v>
      </c>
      <c r="I3903">
        <v>214.57570000000001</v>
      </c>
      <c r="J3903">
        <v>-337.81420000000003</v>
      </c>
      <c r="K3903">
        <v>1.1095010000000001</v>
      </c>
      <c r="L3903">
        <v>215.48339999999999</v>
      </c>
      <c r="M3903">
        <v>0.99973590000000001</v>
      </c>
      <c r="N3903">
        <v>0</v>
      </c>
      <c r="O3903">
        <v>-1.7778579999999999E-2</v>
      </c>
      <c r="P3903">
        <v>0.997695</v>
      </c>
      <c r="Q3903">
        <v>3.3312870000000001E-2</v>
      </c>
      <c r="R3903">
        <v>-5.9116910000000002E-2</v>
      </c>
      <c r="S3903">
        <v>3.0042719999999998</v>
      </c>
      <c r="T3903">
        <v>-0.1704032</v>
      </c>
      <c r="U3903">
        <v>-0.14067079999999901</v>
      </c>
      <c r="V3903">
        <v>4.1443519999999998E-2</v>
      </c>
      <c r="W3903">
        <v>4.7789789999999999E-2</v>
      </c>
      <c r="X3903">
        <v>0.99799729999999998</v>
      </c>
      <c r="Y3903">
        <v>2.898597E-2</v>
      </c>
      <c r="Z3903">
        <v>1.8607110000000001E-4</v>
      </c>
      <c r="AA3903">
        <v>0.99957980000000002</v>
      </c>
      <c r="AB3903">
        <v>44</v>
      </c>
      <c r="AC3903">
        <v>19.106999999999999</v>
      </c>
      <c r="AD3903">
        <v>-1.10949623306</v>
      </c>
      <c r="AE3903">
        <v>-0.90769999999997697</v>
      </c>
      <c r="AF3903">
        <v>0.56592125806126004</v>
      </c>
      <c r="AG3903">
        <v>-1.10949623306</v>
      </c>
      <c r="AH3903">
        <v>19.056009711255399</v>
      </c>
      <c r="AI3903">
        <v>93.330699715031997</v>
      </c>
      <c r="AJ3903">
        <v>88.298942292459301</v>
      </c>
      <c r="AK3903">
        <v>19.096668685322101</v>
      </c>
      <c r="AL3903">
        <v>87.260803450005795</v>
      </c>
      <c r="AM3903">
        <v>87.622062446583797</v>
      </c>
      <c r="AN3903">
        <v>1.0000000200927599</v>
      </c>
    </row>
    <row r="3904" spans="1:40" x14ac:dyDescent="0.25">
      <c r="A3904" t="str">
        <f>"20190312154331318"</f>
        <v>20190312154331318</v>
      </c>
      <c r="B3904" t="str">
        <f>"1552376611311647"</f>
        <v>1552376611311647</v>
      </c>
      <c r="C3904" t="s">
        <v>40</v>
      </c>
      <c r="D3904">
        <v>5.0892369999999998</v>
      </c>
      <c r="E3904">
        <v>0.49617169999999999</v>
      </c>
      <c r="F3904" t="s">
        <v>51</v>
      </c>
      <c r="G3904">
        <v>-318.62270000000001</v>
      </c>
      <c r="H3904" s="1">
        <v>4.7294599999999999E-6</v>
      </c>
      <c r="I3904">
        <v>214.57220000000001</v>
      </c>
      <c r="J3904">
        <v>-337.37479999999999</v>
      </c>
      <c r="K3904">
        <v>1.1095330000000001</v>
      </c>
      <c r="L3904">
        <v>215.4752</v>
      </c>
      <c r="M3904">
        <v>0.99972810000000001</v>
      </c>
      <c r="N3904">
        <v>0</v>
      </c>
      <c r="O3904">
        <v>-1.820772E-2</v>
      </c>
      <c r="P3904">
        <v>0.99766569999999999</v>
      </c>
      <c r="Q3904">
        <v>3.38778E-2</v>
      </c>
      <c r="R3904">
        <v>-5.9291770000000001E-2</v>
      </c>
      <c r="S3904">
        <v>3.0042719999999998</v>
      </c>
      <c r="T3904">
        <v>-0.17368259999999999</v>
      </c>
      <c r="U3904">
        <v>-0.14263919999999999</v>
      </c>
      <c r="V3904">
        <v>4.118757E-2</v>
      </c>
      <c r="W3904">
        <v>4.8354670000000002E-2</v>
      </c>
      <c r="X3904">
        <v>0.99798070000000005</v>
      </c>
      <c r="Y3904">
        <v>2.921E-2</v>
      </c>
      <c r="Z3904">
        <v>2.0794349999999999E-4</v>
      </c>
      <c r="AA3904">
        <v>0.9995733</v>
      </c>
      <c r="AB3904">
        <v>44</v>
      </c>
      <c r="AC3904">
        <v>18.752099999999899</v>
      </c>
      <c r="AD3904">
        <v>-1.10952827053999</v>
      </c>
      <c r="AE3904">
        <v>-0.90299999999999103</v>
      </c>
      <c r="AF3904">
        <v>0.55942710034992704</v>
      </c>
      <c r="AG3904">
        <v>-1.10952827053999</v>
      </c>
      <c r="AH3904">
        <v>18.7001186717305</v>
      </c>
      <c r="AI3904">
        <v>93.394016881291606</v>
      </c>
      <c r="AJ3904">
        <v>88.286467823446301</v>
      </c>
      <c r="AK3904">
        <v>18.741356674492302</v>
      </c>
      <c r="AL3904">
        <v>87.228400786326603</v>
      </c>
      <c r="AM3904">
        <v>87.636692324002894</v>
      </c>
      <c r="AN3904">
        <v>1.0000000338029</v>
      </c>
    </row>
    <row r="3905" spans="1:40" x14ac:dyDescent="0.25">
      <c r="A3905" t="str">
        <f>"20190312154331341"</f>
        <v>20190312154331341</v>
      </c>
      <c r="B3905" t="str">
        <f>"1552376611331168"</f>
        <v>1552376611331168</v>
      </c>
      <c r="C3905" t="s">
        <v>40</v>
      </c>
      <c r="D3905">
        <v>5.1332870000000002</v>
      </c>
      <c r="E3905">
        <v>0.49563430000000003</v>
      </c>
      <c r="F3905" t="s">
        <v>51</v>
      </c>
      <c r="G3905">
        <v>-318.86329999999998</v>
      </c>
      <c r="H3905" s="1">
        <v>4.8361759999999997E-6</v>
      </c>
      <c r="I3905">
        <v>214.62209999999999</v>
      </c>
      <c r="J3905">
        <v>-336.9049</v>
      </c>
      <c r="K3905">
        <v>1.109569</v>
      </c>
      <c r="L3905">
        <v>215.46619999999999</v>
      </c>
      <c r="M3905">
        <v>0.99972030000000001</v>
      </c>
      <c r="N3905">
        <v>0</v>
      </c>
      <c r="O3905">
        <v>-1.864329E-2</v>
      </c>
      <c r="P3905">
        <v>0.99757830000000003</v>
      </c>
      <c r="Q3905">
        <v>3.5715469999999999E-2</v>
      </c>
      <c r="R3905">
        <v>-5.968416E-2</v>
      </c>
      <c r="S3905">
        <v>3.0049130000000002</v>
      </c>
      <c r="T3905">
        <v>-0.18010689999999999</v>
      </c>
      <c r="U3905">
        <v>-0.1384735</v>
      </c>
      <c r="V3905">
        <v>4.1145559999999998E-2</v>
      </c>
      <c r="W3905">
        <v>5.0191119999999999E-2</v>
      </c>
      <c r="X3905">
        <v>0.99789170000000005</v>
      </c>
      <c r="Y3905">
        <v>2.738436E-2</v>
      </c>
      <c r="Z3905">
        <v>2.9628389999999998E-4</v>
      </c>
      <c r="AA3905">
        <v>0.99962490000000004</v>
      </c>
      <c r="AB3905">
        <v>44</v>
      </c>
      <c r="AC3905">
        <v>18.041599999999999</v>
      </c>
      <c r="AD3905">
        <v>-1.1095641638239999</v>
      </c>
      <c r="AE3905">
        <v>-0.84409999999999696</v>
      </c>
      <c r="AF3905">
        <v>0.50565451097009995</v>
      </c>
      <c r="AG3905">
        <v>-1.1095641638239999</v>
      </c>
      <c r="AH3905">
        <v>17.9863212690537</v>
      </c>
      <c r="AI3905">
        <v>93.528674332714601</v>
      </c>
      <c r="AJ3905">
        <v>88.389651788604795</v>
      </c>
      <c r="AK3905">
        <v>18.027605828609602</v>
      </c>
      <c r="AL3905">
        <v>87.123051810582197</v>
      </c>
      <c r="AM3905">
        <v>87.638889767309294</v>
      </c>
      <c r="AN3905">
        <v>0.99999997528172802</v>
      </c>
    </row>
    <row r="3906" spans="1:40" x14ac:dyDescent="0.25">
      <c r="A3906" t="str">
        <f>"20190312154331362"</f>
        <v>20190312154331362</v>
      </c>
      <c r="B3906" t="str">
        <f>"1552376611351663"</f>
        <v>1552376611351663</v>
      </c>
      <c r="C3906" t="s">
        <v>40</v>
      </c>
      <c r="D3906">
        <v>5.1458839999999997</v>
      </c>
      <c r="E3906">
        <v>0.49505379999999899</v>
      </c>
      <c r="F3906" t="s">
        <v>51</v>
      </c>
      <c r="G3906">
        <v>-318.26049999999998</v>
      </c>
      <c r="H3906" s="1">
        <v>4.5688269999999999E-6</v>
      </c>
      <c r="I3906">
        <v>214.62270000000001</v>
      </c>
      <c r="J3906">
        <v>-336.48239999999998</v>
      </c>
      <c r="K3906">
        <v>1.1095889999999999</v>
      </c>
      <c r="L3906">
        <v>215.458</v>
      </c>
      <c r="M3906">
        <v>0.99971330000000003</v>
      </c>
      <c r="N3906">
        <v>0</v>
      </c>
      <c r="O3906">
        <v>-1.9019379999999999E-2</v>
      </c>
      <c r="P3906">
        <v>0.9975948</v>
      </c>
      <c r="Q3906">
        <v>3.6162979999999997E-2</v>
      </c>
      <c r="R3906">
        <v>-5.9138830000000003E-2</v>
      </c>
      <c r="S3906">
        <v>3.0055540000000001</v>
      </c>
      <c r="T3906">
        <v>-0.1788661</v>
      </c>
      <c r="U3906">
        <v>-0.13598629999999901</v>
      </c>
      <c r="V3906">
        <v>4.0222019999999997E-2</v>
      </c>
      <c r="W3906">
        <v>5.0639730000000001E-2</v>
      </c>
      <c r="X3906">
        <v>0.99790670000000004</v>
      </c>
      <c r="Y3906">
        <v>2.617601E-2</v>
      </c>
      <c r="Z3906">
        <v>3.5244200000000001E-4</v>
      </c>
      <c r="AA3906">
        <v>0.99965729999999997</v>
      </c>
      <c r="AB3906">
        <v>44</v>
      </c>
      <c r="AC3906">
        <v>18.221900000000002</v>
      </c>
      <c r="AD3906">
        <v>-1.1095844311730001</v>
      </c>
      <c r="AE3906">
        <v>-0.83529999999998905</v>
      </c>
      <c r="AF3906">
        <v>0.48674193681066402</v>
      </c>
      <c r="AG3906">
        <v>-1.1095844311730001</v>
      </c>
      <c r="AH3906">
        <v>18.167269810117901</v>
      </c>
      <c r="AI3906">
        <v>93.493805681999802</v>
      </c>
      <c r="AJ3906">
        <v>88.465284608090997</v>
      </c>
      <c r="AK3906">
        <v>18.20762993024</v>
      </c>
      <c r="AL3906">
        <v>87.097315657813795</v>
      </c>
      <c r="AM3906">
        <v>87.6918631684171</v>
      </c>
      <c r="AN3906">
        <v>0.99999998752612096</v>
      </c>
    </row>
    <row r="3907" spans="1:40" x14ac:dyDescent="0.25">
      <c r="A3907" t="str">
        <f>"20190312154331384"</f>
        <v>20190312154331384</v>
      </c>
      <c r="B3907" t="str">
        <f>"1552376611371183"</f>
        <v>1552376611371183</v>
      </c>
      <c r="C3907" t="s">
        <v>40</v>
      </c>
      <c r="D3907">
        <v>5.1536970000000002</v>
      </c>
      <c r="E3907">
        <v>0.49479489999999998</v>
      </c>
      <c r="F3907" t="s">
        <v>51</v>
      </c>
      <c r="G3907">
        <v>-318.07420000000002</v>
      </c>
      <c r="H3907" s="1">
        <v>4.4862329999999998E-6</v>
      </c>
      <c r="I3907">
        <v>214.6645</v>
      </c>
      <c r="J3907">
        <v>-336.05349999999999</v>
      </c>
      <c r="K3907">
        <v>1.1095900000000001</v>
      </c>
      <c r="L3907">
        <v>215.4496</v>
      </c>
      <c r="M3907">
        <v>0.99970610000000004</v>
      </c>
      <c r="N3907">
        <v>0</v>
      </c>
      <c r="O3907">
        <v>-1.939099E-2</v>
      </c>
      <c r="P3907">
        <v>0.99773250000000002</v>
      </c>
      <c r="Q3907">
        <v>3.2613620000000003E-2</v>
      </c>
      <c r="R3907">
        <v>-5.8877329999999999E-2</v>
      </c>
      <c r="S3907">
        <v>3.0061040000000001</v>
      </c>
      <c r="T3907">
        <v>-0.181198</v>
      </c>
      <c r="U3907">
        <v>-0.12959289999999901</v>
      </c>
      <c r="V3907">
        <v>3.9579580000000003E-2</v>
      </c>
      <c r="W3907">
        <v>4.7092960000000003E-2</v>
      </c>
      <c r="X3907">
        <v>0.9981061</v>
      </c>
      <c r="Y3907">
        <v>2.367901E-2</v>
      </c>
      <c r="Z3907">
        <v>4.5450200000000002E-4</v>
      </c>
      <c r="AA3907">
        <v>0.99971949999999998</v>
      </c>
      <c r="AB3907">
        <v>44</v>
      </c>
      <c r="AC3907">
        <v>17.979299999999899</v>
      </c>
      <c r="AD3907">
        <v>-1.1095855137670001</v>
      </c>
      <c r="AE3907">
        <v>-0.78509999999999902</v>
      </c>
      <c r="AF3907">
        <v>0.43462680610191501</v>
      </c>
      <c r="AG3907">
        <v>-1.1095855137670001</v>
      </c>
      <c r="AH3907">
        <v>17.9230109069997</v>
      </c>
      <c r="AI3907">
        <v>93.541532220577693</v>
      </c>
      <c r="AJ3907">
        <v>88.610869441689303</v>
      </c>
      <c r="AK3907">
        <v>17.962583345537301</v>
      </c>
      <c r="AL3907">
        <v>87.300773923366407</v>
      </c>
      <c r="AM3907">
        <v>87.729143887006899</v>
      </c>
      <c r="AN3907">
        <v>1.00000003844587</v>
      </c>
    </row>
    <row r="3908" spans="1:40" x14ac:dyDescent="0.25">
      <c r="A3908" t="str">
        <f>"20190312154331407"</f>
        <v>20190312154331407</v>
      </c>
      <c r="B3908" t="str">
        <f>"1552376611401442"</f>
        <v>1552376611401442</v>
      </c>
      <c r="C3908" t="s">
        <v>40</v>
      </c>
      <c r="D3908">
        <v>5.1425780000000003</v>
      </c>
      <c r="E3908">
        <v>0.49448199999999998</v>
      </c>
      <c r="F3908" t="s">
        <v>51</v>
      </c>
      <c r="G3908">
        <v>-318.88490000000002</v>
      </c>
      <c r="H3908" s="1">
        <v>4.8457369999999996E-6</v>
      </c>
      <c r="I3908">
        <v>214.7251</v>
      </c>
      <c r="J3908">
        <v>-335.6001</v>
      </c>
      <c r="K3908">
        <v>1.109594</v>
      </c>
      <c r="L3908">
        <v>215.44040000000001</v>
      </c>
      <c r="M3908">
        <v>0.99969859999999999</v>
      </c>
      <c r="N3908">
        <v>0</v>
      </c>
      <c r="O3908">
        <v>-1.9776829999999999E-2</v>
      </c>
      <c r="P3908">
        <v>0.99785369999999995</v>
      </c>
      <c r="Q3908">
        <v>2.8702180000000001E-2</v>
      </c>
      <c r="R3908">
        <v>-5.8857130000000001E-2</v>
      </c>
      <c r="S3908">
        <v>3.0056759999999998</v>
      </c>
      <c r="T3908">
        <v>-0.19425300000000001</v>
      </c>
      <c r="U3908">
        <v>-0.1268311</v>
      </c>
      <c r="V3908">
        <v>3.9164610000000002E-2</v>
      </c>
      <c r="W3908">
        <v>4.3183069999999997E-2</v>
      </c>
      <c r="X3908">
        <v>0.99829920000000005</v>
      </c>
      <c r="Y3908">
        <v>2.2384649999999999E-2</v>
      </c>
      <c r="Z3908">
        <v>5.5392099999999997E-4</v>
      </c>
      <c r="AA3908">
        <v>0.99974929999999995</v>
      </c>
      <c r="AB3908">
        <v>44</v>
      </c>
      <c r="AC3908">
        <v>16.7151999999999</v>
      </c>
      <c r="AD3908">
        <v>-1.1095891542630001</v>
      </c>
      <c r="AE3908">
        <v>-0.71530000000001304</v>
      </c>
      <c r="AF3908">
        <v>0.382867374619486</v>
      </c>
      <c r="AG3908">
        <v>-1.1095891542630001</v>
      </c>
      <c r="AH3908">
        <v>16.652830179366699</v>
      </c>
      <c r="AI3908">
        <v>93.811017096502994</v>
      </c>
      <c r="AJ3908">
        <v>88.682937345632993</v>
      </c>
      <c r="AK3908">
        <v>16.694146534059001</v>
      </c>
      <c r="AL3908">
        <v>87.525022644009198</v>
      </c>
      <c r="AM3908">
        <v>87.753362225269299</v>
      </c>
      <c r="AN3908">
        <v>0.99999996846585804</v>
      </c>
    </row>
    <row r="3909" spans="1:40" x14ac:dyDescent="0.25">
      <c r="A3909" t="str">
        <f>"20190312154331430"</f>
        <v>20190312154331430</v>
      </c>
      <c r="B3909" t="str">
        <f>"1552376611420959"</f>
        <v>1552376611420959</v>
      </c>
      <c r="C3909" t="s">
        <v>40</v>
      </c>
      <c r="D3909">
        <v>5.153416</v>
      </c>
      <c r="E3909">
        <v>0.49431320000000001</v>
      </c>
      <c r="F3909" t="s">
        <v>51</v>
      </c>
      <c r="G3909">
        <v>-319.64089999999999</v>
      </c>
      <c r="H3909" s="1">
        <v>5.1809879999999997E-6</v>
      </c>
      <c r="I3909">
        <v>214.78149999999999</v>
      </c>
      <c r="J3909">
        <v>-335.14859999999999</v>
      </c>
      <c r="K3909">
        <v>1.109602</v>
      </c>
      <c r="L3909">
        <v>215.43109999999999</v>
      </c>
      <c r="M3909">
        <v>0.999691</v>
      </c>
      <c r="N3909">
        <v>0</v>
      </c>
      <c r="O3909">
        <v>-2.0156420000000001E-2</v>
      </c>
      <c r="P3909">
        <v>0.99786900000000001</v>
      </c>
      <c r="Q3909">
        <v>2.6500659999999999E-2</v>
      </c>
      <c r="R3909">
        <v>-5.9627989999999999E-2</v>
      </c>
      <c r="S3909">
        <v>3.005188</v>
      </c>
      <c r="T3909">
        <v>-0.2089403</v>
      </c>
      <c r="U3909">
        <v>-0.1240845</v>
      </c>
      <c r="V3909">
        <v>3.9551320000000001E-2</v>
      </c>
      <c r="W3909">
        <v>4.0980610000000001E-2</v>
      </c>
      <c r="X3909">
        <v>0.99837679999999995</v>
      </c>
      <c r="Y3909">
        <v>2.1102889999999999E-2</v>
      </c>
      <c r="Z3909">
        <v>6.6664380000000002E-4</v>
      </c>
      <c r="AA3909">
        <v>0.99977709999999997</v>
      </c>
      <c r="AB3909">
        <v>44</v>
      </c>
      <c r="AC3909">
        <v>15.5077</v>
      </c>
      <c r="AD3909">
        <v>-1.109596819012</v>
      </c>
      <c r="AE3909">
        <v>-0.64959999999999196</v>
      </c>
      <c r="AF3909">
        <v>0.33514241612997703</v>
      </c>
      <c r="AG3909">
        <v>-1.109596819012</v>
      </c>
      <c r="AH3909">
        <v>15.438742101927</v>
      </c>
      <c r="AI3909">
        <v>94.109867934663995</v>
      </c>
      <c r="AJ3909">
        <v>88.756425201813599</v>
      </c>
      <c r="AK3909">
        <v>15.482192455516801</v>
      </c>
      <c r="AL3909">
        <v>87.651326237910396</v>
      </c>
      <c r="AM3909">
        <v>87.731378231017601</v>
      </c>
      <c r="AN3909">
        <v>0.99999997604397695</v>
      </c>
    </row>
    <row r="3910" spans="1:40" x14ac:dyDescent="0.25">
      <c r="A3910" t="str">
        <f>"20190312154331453"</f>
        <v>20190312154331453</v>
      </c>
      <c r="B3910" t="str">
        <f>"1552376611441455"</f>
        <v>1552376611441455</v>
      </c>
      <c r="C3910" t="s">
        <v>40</v>
      </c>
      <c r="D3910">
        <v>5.1405560000000001</v>
      </c>
      <c r="E3910">
        <v>0.49415910000000002</v>
      </c>
      <c r="F3910" t="s">
        <v>41</v>
      </c>
      <c r="G3910">
        <v>-334.07029999999997</v>
      </c>
      <c r="H3910">
        <v>1.032041</v>
      </c>
      <c r="I3910">
        <v>215.386</v>
      </c>
      <c r="J3910">
        <v>-334.70729999999998</v>
      </c>
      <c r="K3910">
        <v>1.1096239999999999</v>
      </c>
      <c r="L3910">
        <v>215.42189999999999</v>
      </c>
      <c r="M3910">
        <v>0.99968360000000001</v>
      </c>
      <c r="N3910">
        <v>0</v>
      </c>
      <c r="O3910">
        <v>-2.0525459999999999E-2</v>
      </c>
      <c r="P3910">
        <v>0.99773869999999998</v>
      </c>
      <c r="Q3910">
        <v>2.8156239999999999E-2</v>
      </c>
      <c r="R3910">
        <v>-6.103244E-2</v>
      </c>
      <c r="S3910">
        <v>3.0047000000000001</v>
      </c>
      <c r="T3910">
        <v>-0.2162656</v>
      </c>
      <c r="U3910">
        <v>-0.1247101</v>
      </c>
      <c r="V3910">
        <v>4.0590220000000003E-2</v>
      </c>
      <c r="W3910">
        <v>4.2631879999999997E-2</v>
      </c>
      <c r="X3910">
        <v>0.99826599999999999</v>
      </c>
      <c r="Y3910">
        <v>2.0949499999999999E-2</v>
      </c>
      <c r="Z3910">
        <v>7.2208419999999997E-4</v>
      </c>
      <c r="AA3910">
        <v>0.99978029999999996</v>
      </c>
      <c r="AB3910">
        <v>44</v>
      </c>
      <c r="AC3910">
        <v>0.63700000000000001</v>
      </c>
      <c r="AD3910">
        <v>-7.7582999999999902E-2</v>
      </c>
      <c r="AE3910">
        <v>-3.5899999999998003E-2</v>
      </c>
      <c r="AF3910">
        <v>2.2483868449709201E-2</v>
      </c>
      <c r="AG3910">
        <v>-7.7582999999999902E-2</v>
      </c>
      <c r="AH3910">
        <v>0.62831193328985202</v>
      </c>
      <c r="AI3910">
        <v>97.034707121658002</v>
      </c>
      <c r="AJ3910">
        <v>87.950570014191896</v>
      </c>
      <c r="AK3910">
        <v>0.63348285828733797</v>
      </c>
      <c r="AL3910">
        <v>87.556632755422399</v>
      </c>
      <c r="AM3910">
        <v>87.671594640321302</v>
      </c>
      <c r="AN3910">
        <v>1.00000002495399</v>
      </c>
    </row>
    <row r="3911" spans="1:40" x14ac:dyDescent="0.25">
      <c r="A3911" t="str">
        <f>"20190312154331473"</f>
        <v>20190312154331473</v>
      </c>
      <c r="B3911" t="str">
        <f>"1552376611460976"</f>
        <v>1552376611460976</v>
      </c>
      <c r="C3911" t="s">
        <v>40</v>
      </c>
      <c r="D3911">
        <v>5.1724839999999999</v>
      </c>
      <c r="E3911">
        <v>0.4939867</v>
      </c>
      <c r="F3911" t="s">
        <v>41</v>
      </c>
      <c r="G3911">
        <v>-333.67320000000001</v>
      </c>
      <c r="H3911">
        <v>1.0366569999999999</v>
      </c>
      <c r="I3911">
        <v>215.37790000000001</v>
      </c>
      <c r="J3911">
        <v>-334.28539999999998</v>
      </c>
      <c r="K3911">
        <v>1.1096520000000001</v>
      </c>
      <c r="L3911">
        <v>215.41290000000001</v>
      </c>
      <c r="M3911">
        <v>0.99967629999999996</v>
      </c>
      <c r="N3911">
        <v>0</v>
      </c>
      <c r="O3911">
        <v>-2.08775E-2</v>
      </c>
      <c r="P3911">
        <v>0.99759830000000005</v>
      </c>
      <c r="Q3911">
        <v>3.0903E-2</v>
      </c>
      <c r="R3911">
        <v>-6.198857E-2</v>
      </c>
      <c r="S3911">
        <v>3.0050050000000001</v>
      </c>
      <c r="T3911">
        <v>-0.21211150000000001</v>
      </c>
      <c r="U3911">
        <v>-0.12736510000000001</v>
      </c>
      <c r="V3911">
        <v>4.1199819999999998E-2</v>
      </c>
      <c r="W3911">
        <v>4.5374369999999997E-2</v>
      </c>
      <c r="X3911">
        <v>0.99812009999999995</v>
      </c>
      <c r="Y3911">
        <v>2.147462E-2</v>
      </c>
      <c r="Z3911">
        <v>7.1445989999999995E-4</v>
      </c>
      <c r="AA3911">
        <v>0.99976920000000002</v>
      </c>
      <c r="AB3911">
        <v>44</v>
      </c>
      <c r="AC3911">
        <v>0.61219999999997299</v>
      </c>
      <c r="AD3911">
        <v>-7.2995000000000101E-2</v>
      </c>
      <c r="AE3911">
        <v>-3.4999999999996499E-2</v>
      </c>
      <c r="AF3911">
        <v>2.1899488268526401E-2</v>
      </c>
      <c r="AG3911">
        <v>-7.2995000000000101E-2</v>
      </c>
      <c r="AH3911">
        <v>0.60423506893100098</v>
      </c>
      <c r="AI3911">
        <v>96.883796870402904</v>
      </c>
      <c r="AJ3911">
        <v>87.924318953208896</v>
      </c>
      <c r="AK3911">
        <v>0.60902206539457604</v>
      </c>
      <c r="AL3911">
        <v>87.399347185086398</v>
      </c>
      <c r="AM3911">
        <v>87.636320015909206</v>
      </c>
      <c r="AN3911">
        <v>0.99999999632246905</v>
      </c>
    </row>
    <row r="3912" spans="1:40" x14ac:dyDescent="0.25">
      <c r="A3912" t="str">
        <f>"20190312154331495"</f>
        <v>20190312154331495</v>
      </c>
      <c r="B3912" t="str">
        <f>"1552376611491232"</f>
        <v>1552376611491232</v>
      </c>
      <c r="C3912" t="s">
        <v>40</v>
      </c>
      <c r="D3912">
        <v>5.1873139999999998</v>
      </c>
      <c r="E3912">
        <v>0.49379070000000003</v>
      </c>
      <c r="F3912" t="s">
        <v>41</v>
      </c>
      <c r="G3912">
        <v>-333.2749</v>
      </c>
      <c r="H3912">
        <v>1.040807</v>
      </c>
      <c r="I3912">
        <v>215.36930000000001</v>
      </c>
      <c r="J3912">
        <v>-333.86540000000002</v>
      </c>
      <c r="K3912">
        <v>1.109686</v>
      </c>
      <c r="L3912">
        <v>215.40389999999999</v>
      </c>
      <c r="M3912">
        <v>0.99966900000000003</v>
      </c>
      <c r="N3912">
        <v>0</v>
      </c>
      <c r="O3912">
        <v>-2.1227659999999999E-2</v>
      </c>
      <c r="P3912">
        <v>0.99749060000000001</v>
      </c>
      <c r="Q3912">
        <v>3.5249030000000001E-2</v>
      </c>
      <c r="R3912">
        <v>-6.1401770000000001E-2</v>
      </c>
      <c r="S3912">
        <v>3.005585</v>
      </c>
      <c r="T3912">
        <v>-0.2049811</v>
      </c>
      <c r="U3912">
        <v>-0.12831119999999999</v>
      </c>
      <c r="V3912">
        <v>4.026967E-2</v>
      </c>
      <c r="W3912">
        <v>4.9717730000000002E-2</v>
      </c>
      <c r="X3912">
        <v>0.99795109999999998</v>
      </c>
      <c r="Y3912">
        <v>2.14314E-2</v>
      </c>
      <c r="Z3912">
        <v>7.1566759999999903E-4</v>
      </c>
      <c r="AA3912">
        <v>0.99977000000000005</v>
      </c>
      <c r="AB3912">
        <v>44</v>
      </c>
      <c r="AC3912">
        <v>0.59050000000002001</v>
      </c>
      <c r="AD3912">
        <v>-6.8878999999999899E-2</v>
      </c>
      <c r="AE3912">
        <v>-3.4599999999983297E-2</v>
      </c>
      <c r="AF3912">
        <v>2.1760876505275001E-2</v>
      </c>
      <c r="AG3912">
        <v>-6.8878999999999899E-2</v>
      </c>
      <c r="AH3912">
        <v>0.58319362342657299</v>
      </c>
      <c r="AI3912">
        <v>96.731163006440099</v>
      </c>
      <c r="AJ3912">
        <v>87.863096954948006</v>
      </c>
      <c r="AK3912">
        <v>0.58765011256077604</v>
      </c>
      <c r="AL3912">
        <v>87.150208889927697</v>
      </c>
      <c r="AM3912">
        <v>87.689234442028095</v>
      </c>
      <c r="AN3912">
        <v>0.99999994849473395</v>
      </c>
    </row>
    <row r="3913" spans="1:40" x14ac:dyDescent="0.25">
      <c r="A3913" t="str">
        <f>"20190312154331530"</f>
        <v>20190312154331530</v>
      </c>
      <c r="B3913" t="str">
        <f>"1552376611521487"</f>
        <v>1552376611521487</v>
      </c>
      <c r="C3913" t="s">
        <v>40</v>
      </c>
      <c r="D3913">
        <v>5.1786510000000003</v>
      </c>
      <c r="E3913">
        <v>0.49361149999999998</v>
      </c>
      <c r="F3913" t="s">
        <v>41</v>
      </c>
      <c r="G3913">
        <v>-332.86829999999998</v>
      </c>
      <c r="H3913">
        <v>1.045987</v>
      </c>
      <c r="I3913">
        <v>215.36240000000001</v>
      </c>
      <c r="J3913">
        <v>-333.17189999999999</v>
      </c>
      <c r="K3913">
        <v>1.10975</v>
      </c>
      <c r="L3913">
        <v>215.38849999999999</v>
      </c>
      <c r="M3913">
        <v>0.99965669999999995</v>
      </c>
      <c r="N3913">
        <v>0</v>
      </c>
      <c r="O3913">
        <v>-2.1804830000000001E-2</v>
      </c>
      <c r="P3913">
        <v>0.99698850000000006</v>
      </c>
      <c r="Q3913">
        <v>4.7345320000000003E-2</v>
      </c>
      <c r="R3913">
        <v>-6.1422039999999997E-2</v>
      </c>
      <c r="S3913">
        <v>3.006653</v>
      </c>
      <c r="T3913">
        <v>-0.19216610000000001</v>
      </c>
      <c r="U3913">
        <v>-0.1248322</v>
      </c>
      <c r="V3913">
        <v>3.9736859999999999E-2</v>
      </c>
      <c r="W3913">
        <v>6.1802849999999999E-2</v>
      </c>
      <c r="X3913">
        <v>0.99729699999999999</v>
      </c>
      <c r="Y3913">
        <v>1.968899E-2</v>
      </c>
      <c r="Z3913">
        <v>7.6322819999999998E-4</v>
      </c>
      <c r="AA3913">
        <v>0.99980590000000003</v>
      </c>
      <c r="AB3913">
        <v>44</v>
      </c>
      <c r="AC3913">
        <v>0.30360000000001702</v>
      </c>
      <c r="AD3913">
        <v>-6.3763E-2</v>
      </c>
      <c r="AE3913">
        <v>-2.6099999999985302E-2</v>
      </c>
      <c r="AF3913">
        <v>1.8656263651187499E-2</v>
      </c>
      <c r="AG3913">
        <v>-6.3763E-2</v>
      </c>
      <c r="AH3913">
        <v>0.29134031825226397</v>
      </c>
      <c r="AI3913">
        <v>102.32068801761299</v>
      </c>
      <c r="AJ3913">
        <v>86.336011168385895</v>
      </c>
      <c r="AK3913">
        <v>0.29881927210565501</v>
      </c>
      <c r="AL3913">
        <v>86.456699278534003</v>
      </c>
      <c r="AM3913">
        <v>87.718281850380706</v>
      </c>
      <c r="AN3913">
        <v>0.99999995825988997</v>
      </c>
    </row>
    <row r="3914" spans="1:40" x14ac:dyDescent="0.25">
      <c r="A3914" t="str">
        <f>"20190312154331551"</f>
        <v>20190312154331551</v>
      </c>
      <c r="B3914" t="str">
        <f>"1552376611541007"</f>
        <v>1552376611541007</v>
      </c>
      <c r="C3914" t="s">
        <v>40</v>
      </c>
      <c r="D3914">
        <v>5.164625</v>
      </c>
      <c r="E3914">
        <v>0.49346079999999998</v>
      </c>
      <c r="F3914" t="s">
        <v>51</v>
      </c>
      <c r="G3914">
        <v>-312.01960000000003</v>
      </c>
      <c r="H3914" s="1">
        <v>1.801268E-6</v>
      </c>
      <c r="I3914">
        <v>214.52350000000001</v>
      </c>
      <c r="J3914">
        <v>-332.75670000000002</v>
      </c>
      <c r="K3914">
        <v>1.1097939999999999</v>
      </c>
      <c r="L3914">
        <v>215.3792</v>
      </c>
      <c r="M3914">
        <v>0.99964920000000002</v>
      </c>
      <c r="N3914">
        <v>0</v>
      </c>
      <c r="O3914">
        <v>-2.2147400000000001E-2</v>
      </c>
      <c r="P3914">
        <v>0.996556</v>
      </c>
      <c r="Q3914">
        <v>5.6399329999999998E-2</v>
      </c>
      <c r="R3914">
        <v>-6.0793489999999999E-2</v>
      </c>
      <c r="S3914">
        <v>3.0089419999999998</v>
      </c>
      <c r="T3914">
        <v>-0.15786329999999901</v>
      </c>
      <c r="U3914">
        <v>-0.1230469</v>
      </c>
      <c r="V3914">
        <v>3.8785189999999997E-2</v>
      </c>
      <c r="W3914">
        <v>7.0848969999999997E-2</v>
      </c>
      <c r="X3914">
        <v>0.99673270000000003</v>
      </c>
      <c r="Y3914">
        <v>1.872302E-2</v>
      </c>
      <c r="Z3914">
        <v>6.6998769999999995E-4</v>
      </c>
      <c r="AA3914">
        <v>0.9998245</v>
      </c>
      <c r="AB3914">
        <v>44</v>
      </c>
      <c r="AC3914">
        <v>20.737100000000002</v>
      </c>
      <c r="AD3914">
        <v>-1.1097921987320001</v>
      </c>
      <c r="AE3914">
        <v>-0.85569999999998403</v>
      </c>
      <c r="AF3914">
        <v>0.39503925751018598</v>
      </c>
      <c r="AG3914">
        <v>-1.1097921987320001</v>
      </c>
      <c r="AH3914">
        <v>20.691803447341801</v>
      </c>
      <c r="AI3914">
        <v>93.069524149788805</v>
      </c>
      <c r="AJ3914">
        <v>88.906265811872402</v>
      </c>
      <c r="AK3914">
        <v>20.7253087948712</v>
      </c>
      <c r="AL3914">
        <v>85.937249191888995</v>
      </c>
      <c r="AM3914">
        <v>87.771612085313393</v>
      </c>
      <c r="AN3914">
        <v>0.999999971381343</v>
      </c>
    </row>
    <row r="3915" spans="1:40" x14ac:dyDescent="0.25">
      <c r="A3915" t="str">
        <f>"20190312154331574"</f>
        <v>20190312154331574</v>
      </c>
      <c r="B3915" t="str">
        <f>"1552376611571263"</f>
        <v>1552376611571263</v>
      </c>
      <c r="C3915" t="s">
        <v>40</v>
      </c>
      <c r="D3915">
        <v>5.1758459999999999</v>
      </c>
      <c r="E3915">
        <v>0.49322539999999998</v>
      </c>
      <c r="F3915" t="s">
        <v>51</v>
      </c>
      <c r="G3915">
        <v>-307.40699999999998</v>
      </c>
      <c r="H3915" s="1">
        <v>1.339383E-6</v>
      </c>
      <c r="I3915">
        <v>214.3723</v>
      </c>
      <c r="J3915">
        <v>-332.31909999999999</v>
      </c>
      <c r="K3915">
        <v>1.1098170000000001</v>
      </c>
      <c r="L3915">
        <v>215.36920000000001</v>
      </c>
      <c r="M3915">
        <v>0.99964109999999995</v>
      </c>
      <c r="N3915">
        <v>0</v>
      </c>
      <c r="O3915">
        <v>-2.250547E-2</v>
      </c>
      <c r="P3915">
        <v>0.9963398</v>
      </c>
      <c r="Q3915">
        <v>6.0767469999999997E-2</v>
      </c>
      <c r="R3915">
        <v>-6.0119010000000001E-2</v>
      </c>
      <c r="S3915">
        <v>3.0105590000000002</v>
      </c>
      <c r="T3915">
        <v>-0.1317999</v>
      </c>
      <c r="U3915">
        <v>-0.1195831</v>
      </c>
      <c r="V3915">
        <v>3.7762360000000002E-2</v>
      </c>
      <c r="W3915">
        <v>7.5212260000000003E-2</v>
      </c>
      <c r="X3915">
        <v>0.99645229999999996</v>
      </c>
      <c r="Y3915">
        <v>1.7194850000000001E-2</v>
      </c>
      <c r="Z3915">
        <v>6.0828409999999999E-4</v>
      </c>
      <c r="AA3915">
        <v>0.99985199999999996</v>
      </c>
      <c r="AB3915">
        <v>44</v>
      </c>
      <c r="AC3915">
        <v>24.912099999999999</v>
      </c>
      <c r="AD3915">
        <v>-1.109815660617</v>
      </c>
      <c r="AE3915">
        <v>-0.99690000000001</v>
      </c>
      <c r="AF3915">
        <v>0.43506765379280299</v>
      </c>
      <c r="AG3915">
        <v>-1.109815660617</v>
      </c>
      <c r="AH3915">
        <v>24.878930300794298</v>
      </c>
      <c r="AI3915">
        <v>92.553804490374404</v>
      </c>
      <c r="AJ3915">
        <v>88.998148252028201</v>
      </c>
      <c r="AK3915">
        <v>24.907471721869101</v>
      </c>
      <c r="AL3915">
        <v>85.686581788711607</v>
      </c>
      <c r="AM3915">
        <v>87.829711499156801</v>
      </c>
      <c r="AN3915">
        <v>1.00000003303118</v>
      </c>
    </row>
    <row r="3916" spans="1:40" x14ac:dyDescent="0.25">
      <c r="A3916" t="str">
        <f>"20190312154331596"</f>
        <v>20190312154331596</v>
      </c>
      <c r="B3916" t="str">
        <f>"1552376611591760"</f>
        <v>1552376611591760</v>
      </c>
      <c r="C3916" t="s">
        <v>40</v>
      </c>
      <c r="D3916">
        <v>5.2193620000000003</v>
      </c>
      <c r="E3916">
        <v>0.49310569999999998</v>
      </c>
      <c r="F3916" t="s">
        <v>51</v>
      </c>
      <c r="G3916">
        <v>-304.86450000000002</v>
      </c>
      <c r="H3916" s="1">
        <v>1.790375E-6</v>
      </c>
      <c r="I3916">
        <v>214.31379999999999</v>
      </c>
      <c r="J3916">
        <v>-331.87860000000001</v>
      </c>
      <c r="K3916">
        <v>1.109828</v>
      </c>
      <c r="L3916">
        <v>215.35900000000001</v>
      </c>
      <c r="M3916">
        <v>0.99963340000000001</v>
      </c>
      <c r="N3916">
        <v>0</v>
      </c>
      <c r="O3916">
        <v>-2.2858010000000002E-2</v>
      </c>
      <c r="P3916">
        <v>0.99635339999999994</v>
      </c>
      <c r="Q3916">
        <v>6.0848819999999998E-2</v>
      </c>
      <c r="R3916">
        <v>-5.981206E-2</v>
      </c>
      <c r="S3916">
        <v>3.0114749999999999</v>
      </c>
      <c r="T3916">
        <v>-0.1217347</v>
      </c>
      <c r="U3916">
        <v>-0.11576839999999999</v>
      </c>
      <c r="V3916">
        <v>3.7102019999999999E-2</v>
      </c>
      <c r="W3916">
        <v>7.5292620000000005E-2</v>
      </c>
      <c r="X3916">
        <v>0.996471</v>
      </c>
      <c r="Y3916">
        <v>1.5566419999999999E-2</v>
      </c>
      <c r="Z3916">
        <v>6.0884039999999995E-4</v>
      </c>
      <c r="AA3916">
        <v>0.99987859999999995</v>
      </c>
      <c r="AB3916">
        <v>44</v>
      </c>
      <c r="AC3916">
        <v>27.0140999999999</v>
      </c>
      <c r="AD3916">
        <v>-1.109826209625</v>
      </c>
      <c r="AE3916">
        <v>-1.0452000000000199</v>
      </c>
      <c r="AF3916">
        <v>0.42665421779736201</v>
      </c>
      <c r="AG3916">
        <v>-1.109826209625</v>
      </c>
      <c r="AH3916">
        <v>26.985455213630701</v>
      </c>
      <c r="AI3916">
        <v>92.354772577043903</v>
      </c>
      <c r="AJ3916">
        <v>89.0941991083061</v>
      </c>
      <c r="AK3916">
        <v>27.011637142609501</v>
      </c>
      <c r="AL3916">
        <v>85.681964248070898</v>
      </c>
      <c r="AM3916">
        <v>87.867667370967396</v>
      </c>
      <c r="AN3916">
        <v>0.99999999617777202</v>
      </c>
    </row>
    <row r="3917" spans="1:40" x14ac:dyDescent="0.25">
      <c r="A3917" t="str">
        <f>"20190312154331620"</f>
        <v>20190312154331620</v>
      </c>
      <c r="B3917" t="str">
        <f>"1552376611611279"</f>
        <v>1552376611611279</v>
      </c>
      <c r="C3917" t="s">
        <v>40</v>
      </c>
      <c r="D3917">
        <v>5.2163849999999998</v>
      </c>
      <c r="E3917">
        <v>0.49303639999999999</v>
      </c>
      <c r="F3917" t="s">
        <v>51</v>
      </c>
      <c r="G3917">
        <v>-305.07749999999999</v>
      </c>
      <c r="H3917" s="1">
        <v>1.752603E-6</v>
      </c>
      <c r="I3917">
        <v>214.35169999999999</v>
      </c>
      <c r="J3917">
        <v>-331.41950000000003</v>
      </c>
      <c r="K3917">
        <v>1.1098269999999999</v>
      </c>
      <c r="L3917">
        <v>215.34819999999999</v>
      </c>
      <c r="M3917">
        <v>0.99962530000000005</v>
      </c>
      <c r="N3917">
        <v>0</v>
      </c>
      <c r="O3917">
        <v>-2.320856E-2</v>
      </c>
      <c r="P3917">
        <v>0.99653519999999896</v>
      </c>
      <c r="Q3917">
        <v>5.8429200000000001E-2</v>
      </c>
      <c r="R3917">
        <v>-5.9195730000000002E-2</v>
      </c>
      <c r="S3917">
        <v>3.0118100000000001</v>
      </c>
      <c r="T3917">
        <v>-0.1247181</v>
      </c>
      <c r="U3917">
        <v>-0.1131897</v>
      </c>
      <c r="V3917">
        <v>3.6126760000000001E-2</v>
      </c>
      <c r="W3917">
        <v>7.2875049999999997E-2</v>
      </c>
      <c r="X3917">
        <v>0.99668659999999998</v>
      </c>
      <c r="Y3917">
        <v>1.4358259999999999E-2</v>
      </c>
      <c r="Z3917">
        <v>6.6318710000000001E-4</v>
      </c>
      <c r="AA3917">
        <v>0.99989669999999997</v>
      </c>
      <c r="AB3917">
        <v>44</v>
      </c>
      <c r="AC3917">
        <v>26.341999999999999</v>
      </c>
      <c r="AD3917">
        <v>-1.1098252473970001</v>
      </c>
      <c r="AE3917">
        <v>-0.99649999999999705</v>
      </c>
      <c r="AF3917">
        <v>0.38412637964483898</v>
      </c>
      <c r="AG3917">
        <v>-1.1098252473970001</v>
      </c>
      <c r="AH3917">
        <v>26.311395502051699</v>
      </c>
      <c r="AI3917">
        <v>92.415070217042995</v>
      </c>
      <c r="AJ3917">
        <v>89.163584580139698</v>
      </c>
      <c r="AK3917">
        <v>26.337592874457702</v>
      </c>
      <c r="AL3917">
        <v>85.820862744322795</v>
      </c>
      <c r="AM3917">
        <v>87.924116685853406</v>
      </c>
      <c r="AN3917">
        <v>1.0000000471600701</v>
      </c>
    </row>
    <row r="3918" spans="1:40" x14ac:dyDescent="0.25">
      <c r="A3918" t="str">
        <f>"20190312154331642"</f>
        <v>20190312154331642</v>
      </c>
      <c r="B3918" t="str">
        <f>"1552376611631775"</f>
        <v>1552376611631775</v>
      </c>
      <c r="C3918" t="s">
        <v>40</v>
      </c>
      <c r="D3918">
        <v>5.2378530000000003</v>
      </c>
      <c r="E3918">
        <v>0.49307709999999999</v>
      </c>
      <c r="F3918" t="s">
        <v>51</v>
      </c>
      <c r="G3918">
        <v>-306.65980000000002</v>
      </c>
      <c r="H3918" s="1">
        <v>1.4719250000000001E-6</v>
      </c>
      <c r="I3918">
        <v>214.43559999999999</v>
      </c>
      <c r="J3918">
        <v>-330.97379999999998</v>
      </c>
      <c r="K3918">
        <v>1.109836</v>
      </c>
      <c r="L3918">
        <v>215.33750000000001</v>
      </c>
      <c r="M3918">
        <v>0.9996178</v>
      </c>
      <c r="N3918">
        <v>0</v>
      </c>
      <c r="O3918">
        <v>-2.352359E-2</v>
      </c>
      <c r="P3918">
        <v>0.99677360000000004</v>
      </c>
      <c r="Q3918">
        <v>5.5298600000000003E-2</v>
      </c>
      <c r="R3918">
        <v>-5.8176169999999999E-2</v>
      </c>
      <c r="S3918">
        <v>3.011749</v>
      </c>
      <c r="T3918">
        <v>-0.13499829999999999</v>
      </c>
      <c r="U3918">
        <v>-0.1110077</v>
      </c>
      <c r="V3918">
        <v>3.4780899999999997E-2</v>
      </c>
      <c r="W3918">
        <v>6.9748770000000002E-2</v>
      </c>
      <c r="X3918">
        <v>0.99695809999999996</v>
      </c>
      <c r="Y3918">
        <v>1.3323130000000001E-2</v>
      </c>
      <c r="Z3918">
        <v>7.5511060000000001E-4</v>
      </c>
      <c r="AA3918">
        <v>0.99991099999999999</v>
      </c>
      <c r="AB3918">
        <v>44</v>
      </c>
      <c r="AC3918">
        <v>24.313999999999901</v>
      </c>
      <c r="AD3918">
        <v>-1.1098345280749999</v>
      </c>
      <c r="AE3918">
        <v>-0.90190000000001203</v>
      </c>
      <c r="AF3918">
        <v>0.32895303989838298</v>
      </c>
      <c r="AG3918">
        <v>-1.1098345280749999</v>
      </c>
      <c r="AH3918">
        <v>24.277973791468298</v>
      </c>
      <c r="AI3918">
        <v>92.617136491455</v>
      </c>
      <c r="AJ3918">
        <v>89.223721561869496</v>
      </c>
      <c r="AK3918">
        <v>24.305553978492</v>
      </c>
      <c r="AL3918">
        <v>86.000442580060593</v>
      </c>
      <c r="AM3918">
        <v>88.001931188285894</v>
      </c>
      <c r="AN3918">
        <v>1.00000002753846</v>
      </c>
    </row>
    <row r="3919" spans="1:40" x14ac:dyDescent="0.25">
      <c r="A3919" t="str">
        <f>"20190312154331663"</f>
        <v>20190312154331663</v>
      </c>
      <c r="B3919" t="str">
        <f>"1552376611651296"</f>
        <v>1552376611651296</v>
      </c>
      <c r="C3919" t="s">
        <v>40</v>
      </c>
      <c r="D3919">
        <v>5.4891620000000003</v>
      </c>
      <c r="E3919">
        <v>0.51186640000000005</v>
      </c>
      <c r="F3919" t="s">
        <v>51</v>
      </c>
      <c r="G3919">
        <v>-308.06880000000001</v>
      </c>
      <c r="H3919" s="1">
        <v>1.2219929999999999E-6</v>
      </c>
      <c r="I3919">
        <v>214.5162</v>
      </c>
      <c r="J3919">
        <v>-330.55250000000001</v>
      </c>
      <c r="K3919">
        <v>1.1098509999999999</v>
      </c>
      <c r="L3919">
        <v>215.32740000000001</v>
      </c>
      <c r="M3919">
        <v>0.99961160000000004</v>
      </c>
      <c r="N3919">
        <v>0</v>
      </c>
      <c r="O3919">
        <v>-2.3789020000000001E-2</v>
      </c>
      <c r="P3919">
        <v>0.99685780000000002</v>
      </c>
      <c r="Q3919">
        <v>5.4279510000000003E-2</v>
      </c>
      <c r="R3919">
        <v>-5.7690449999999997E-2</v>
      </c>
      <c r="S3919">
        <v>3.0115050000000001</v>
      </c>
      <c r="T3919">
        <v>-0.14591850000000001</v>
      </c>
      <c r="U3919">
        <v>-0.1079865</v>
      </c>
      <c r="V3919">
        <v>3.4023150000000002E-2</v>
      </c>
      <c r="W3919">
        <v>6.873079E-2</v>
      </c>
      <c r="X3919">
        <v>0.99705489999999997</v>
      </c>
      <c r="Y3919">
        <v>1.206229E-2</v>
      </c>
      <c r="Z3919">
        <v>8.5957119999999904E-4</v>
      </c>
      <c r="AA3919">
        <v>0.99992689999999995</v>
      </c>
      <c r="AB3919">
        <v>44</v>
      </c>
      <c r="AC3919">
        <v>22.483699999999999</v>
      </c>
      <c r="AD3919">
        <v>-1.109849778007</v>
      </c>
      <c r="AE3919">
        <v>-0.81120000000001302</v>
      </c>
      <c r="AF3919">
        <v>0.275378699899406</v>
      </c>
      <c r="AG3919">
        <v>-1.109849778007</v>
      </c>
      <c r="AH3919">
        <v>22.442023259788499</v>
      </c>
      <c r="AI3919">
        <v>92.830991113014406</v>
      </c>
      <c r="AJ3919">
        <v>89.296977582436298</v>
      </c>
      <c r="AK3919">
        <v>22.4711372197979</v>
      </c>
      <c r="AL3919">
        <v>86.058908686760205</v>
      </c>
      <c r="AM3919">
        <v>88.045617354380596</v>
      </c>
      <c r="AN3919">
        <v>0.99999998492197795</v>
      </c>
    </row>
    <row r="3920" spans="1:40" x14ac:dyDescent="0.25">
      <c r="A3920" t="str">
        <f>"20190312154331686"</f>
        <v>20190312154331686</v>
      </c>
      <c r="B3920" t="str">
        <f>"1552376611681551"</f>
        <v>1552376611681551</v>
      </c>
      <c r="C3920" t="s">
        <v>40</v>
      </c>
      <c r="D3920">
        <v>5.1593</v>
      </c>
      <c r="E3920">
        <v>0.55394359999999998</v>
      </c>
      <c r="F3920" t="s">
        <v>41</v>
      </c>
      <c r="G3920">
        <v>-329.73169999999999</v>
      </c>
      <c r="H3920">
        <v>1.0507850000000001</v>
      </c>
      <c r="I3920">
        <v>215.25800000000001</v>
      </c>
      <c r="J3920">
        <v>-330.12180000000001</v>
      </c>
      <c r="K3920">
        <v>1.109872</v>
      </c>
      <c r="L3920">
        <v>215.3169</v>
      </c>
      <c r="M3920">
        <v>0.99960629999999995</v>
      </c>
      <c r="N3920">
        <v>0</v>
      </c>
      <c r="O3920">
        <v>-2.401671E-2</v>
      </c>
      <c r="P3920">
        <v>0.99698189999999998</v>
      </c>
      <c r="Q3920">
        <v>5.1544029999999998E-2</v>
      </c>
      <c r="R3920">
        <v>-5.805809E-2</v>
      </c>
      <c r="S3920">
        <v>3.006561</v>
      </c>
      <c r="T3920">
        <v>-0.2163416</v>
      </c>
      <c r="U3920">
        <v>-0.25369259999999999</v>
      </c>
      <c r="V3920">
        <v>3.4151760000000003E-2</v>
      </c>
      <c r="W3920">
        <v>6.5998070000000006E-2</v>
      </c>
      <c r="X3920">
        <v>0.99723510000000004</v>
      </c>
      <c r="Y3920">
        <v>6.0030020000000003E-2</v>
      </c>
      <c r="Z3920">
        <v>-4.3067570000000001E-4</v>
      </c>
      <c r="AA3920">
        <v>0.99819650000000004</v>
      </c>
      <c r="AB3920">
        <v>44</v>
      </c>
      <c r="AC3920">
        <v>0.39010000000001799</v>
      </c>
      <c r="AD3920">
        <v>-5.9086999999999799E-2</v>
      </c>
      <c r="AE3920">
        <v>-5.8900000000022601E-2</v>
      </c>
      <c r="AF3920">
        <v>4.8426855134465298E-2</v>
      </c>
      <c r="AG3920">
        <v>-5.9086999999999799E-2</v>
      </c>
      <c r="AH3920">
        <v>0.382815377208714</v>
      </c>
      <c r="AI3920">
        <v>98.705972397720899</v>
      </c>
      <c r="AJ3920">
        <v>82.790273293695506</v>
      </c>
      <c r="AK3920">
        <v>0.390363992825497</v>
      </c>
      <c r="AL3920">
        <v>86.215838466888599</v>
      </c>
      <c r="AM3920">
        <v>88.038589619634493</v>
      </c>
      <c r="AN3920">
        <v>0.99999996631341503</v>
      </c>
    </row>
    <row r="3921" spans="1:40" x14ac:dyDescent="0.25">
      <c r="A3921" t="str">
        <f>"20190312154331708"</f>
        <v>20190312154331708</v>
      </c>
      <c r="B3921" t="str">
        <f>"1552376611701072"</f>
        <v>1552376611701072</v>
      </c>
      <c r="C3921" t="s">
        <v>40</v>
      </c>
      <c r="D3921">
        <v>5.2234509999999998</v>
      </c>
      <c r="E3921">
        <v>0.55532190000000003</v>
      </c>
      <c r="F3921" t="s">
        <v>51</v>
      </c>
      <c r="G3921">
        <v>-309.7715</v>
      </c>
      <c r="H3921" s="1">
        <v>9.1995229999999995E-7</v>
      </c>
      <c r="I3921">
        <v>211.27709999999999</v>
      </c>
      <c r="J3921">
        <v>-329.68389999999999</v>
      </c>
      <c r="K3921">
        <v>1.1099139999999901</v>
      </c>
      <c r="L3921">
        <v>215.30629999999999</v>
      </c>
      <c r="M3921">
        <v>0.99960199999999999</v>
      </c>
      <c r="N3921">
        <v>0</v>
      </c>
      <c r="O3921">
        <v>-2.419464E-2</v>
      </c>
      <c r="P3921">
        <v>0.99692930000000002</v>
      </c>
      <c r="Q3921">
        <v>5.0314169999999998E-2</v>
      </c>
      <c r="R3921">
        <v>-6.0005009999999998E-2</v>
      </c>
      <c r="S3921">
        <v>2.9830019999999999</v>
      </c>
      <c r="T3921">
        <v>-0.1626881</v>
      </c>
      <c r="U3921">
        <v>-0.59216309999999905</v>
      </c>
      <c r="V3921">
        <v>3.5913680000000003E-2</v>
      </c>
      <c r="W3921">
        <v>6.476759E-2</v>
      </c>
      <c r="X3921">
        <v>0.99725390000000003</v>
      </c>
      <c r="Y3921">
        <v>0.1707127</v>
      </c>
      <c r="Z3921">
        <v>-3.3017810000000002E-3</v>
      </c>
      <c r="AA3921">
        <v>0.98531530000000001</v>
      </c>
      <c r="AB3921">
        <v>44</v>
      </c>
      <c r="AC3921">
        <v>19.912399999999899</v>
      </c>
      <c r="AD3921">
        <v>-1.1099130800477</v>
      </c>
      <c r="AE3921">
        <v>-4.0292000000000003</v>
      </c>
      <c r="AF3921">
        <v>3.5356433171211301</v>
      </c>
      <c r="AG3921">
        <v>-1.1099130800477</v>
      </c>
      <c r="AH3921">
        <v>19.944536234150402</v>
      </c>
      <c r="AI3921">
        <v>93.136422226843493</v>
      </c>
      <c r="AJ3921">
        <v>79.9473967257467</v>
      </c>
      <c r="AK3921">
        <v>20.2858868750297</v>
      </c>
      <c r="AL3921">
        <v>86.286491040285895</v>
      </c>
      <c r="AM3921">
        <v>87.937522797484803</v>
      </c>
      <c r="AN3921">
        <v>0.99999998709537996</v>
      </c>
    </row>
    <row r="3922" spans="1:40" x14ac:dyDescent="0.25">
      <c r="A3922" t="str">
        <f>"20190312154331730"</f>
        <v>20190312154331730</v>
      </c>
      <c r="B3922" t="str">
        <f>"1552376611721569"</f>
        <v>1552376611721569</v>
      </c>
      <c r="C3922" t="s">
        <v>40</v>
      </c>
      <c r="D3922">
        <v>5.1101700000000001</v>
      </c>
      <c r="E3922">
        <v>0.55606789999999995</v>
      </c>
      <c r="F3922" t="s">
        <v>51</v>
      </c>
      <c r="G3922">
        <v>-312.64949999999999</v>
      </c>
      <c r="H3922" s="1">
        <v>2.0805970000000002E-6</v>
      </c>
      <c r="I3922">
        <v>211.8329</v>
      </c>
      <c r="J3922">
        <v>-329.24829999999997</v>
      </c>
      <c r="K3922">
        <v>1.109972</v>
      </c>
      <c r="L3922">
        <v>215.29560000000001</v>
      </c>
      <c r="M3922">
        <v>0.99959920000000002</v>
      </c>
      <c r="N3922">
        <v>0</v>
      </c>
      <c r="O3922">
        <v>-2.4315779999999999E-2</v>
      </c>
      <c r="P3922">
        <v>0.99673820000000002</v>
      </c>
      <c r="Q3922">
        <v>5.1342539999999999E-2</v>
      </c>
      <c r="R3922">
        <v>-6.226628E-2</v>
      </c>
      <c r="S3922">
        <v>2.9824519999999999</v>
      </c>
      <c r="T3922">
        <v>-0.19432769999999999</v>
      </c>
      <c r="U3922">
        <v>-0.60813899999999999</v>
      </c>
      <c r="V3922">
        <v>3.8050809999999997E-2</v>
      </c>
      <c r="W3922">
        <v>6.5793939999999995E-2</v>
      </c>
      <c r="X3922">
        <v>0.99710739999999998</v>
      </c>
      <c r="Y3922">
        <v>0.175599799999999</v>
      </c>
      <c r="Z3922">
        <v>-4.0910159999999899E-3</v>
      </c>
      <c r="AA3922">
        <v>0.98445309999999997</v>
      </c>
      <c r="AB3922">
        <v>44</v>
      </c>
      <c r="AC3922">
        <v>16.598799999999901</v>
      </c>
      <c r="AD3922">
        <v>-1.1099699194029999</v>
      </c>
      <c r="AE3922">
        <v>-3.4627000000000101</v>
      </c>
      <c r="AF3922">
        <v>3.0449725217664199</v>
      </c>
      <c r="AG3922">
        <v>-1.1099699194029999</v>
      </c>
      <c r="AH3922">
        <v>16.6069346074995</v>
      </c>
      <c r="AI3922">
        <v>93.761313849484097</v>
      </c>
      <c r="AJ3922">
        <v>79.609914356247799</v>
      </c>
      <c r="AK3922">
        <v>16.920229547439799</v>
      </c>
      <c r="AL3922">
        <v>86.227559619900404</v>
      </c>
      <c r="AM3922">
        <v>87.814585025871594</v>
      </c>
      <c r="AN3922">
        <v>0.99999993690856703</v>
      </c>
    </row>
    <row r="3923" spans="1:40" x14ac:dyDescent="0.25">
      <c r="A3923" t="str">
        <f>"20190312154331753"</f>
        <v>20190312154331753</v>
      </c>
      <c r="B3923" t="str">
        <f>"1552376611741087"</f>
        <v>1552376611741087</v>
      </c>
      <c r="C3923" t="s">
        <v>40</v>
      </c>
      <c r="D3923">
        <v>5.1952489999999996</v>
      </c>
      <c r="E3923">
        <v>0.55589719999999998</v>
      </c>
      <c r="F3923" t="s">
        <v>51</v>
      </c>
      <c r="G3923">
        <v>-312.2586</v>
      </c>
      <c r="H3923" s="1">
        <v>1.907255E-6</v>
      </c>
      <c r="I3923">
        <v>211.75899999999999</v>
      </c>
      <c r="J3923">
        <v>-328.8073</v>
      </c>
      <c r="K3923">
        <v>1.110023</v>
      </c>
      <c r="L3923">
        <v>215.28479999999999</v>
      </c>
      <c r="M3923">
        <v>0.99959719999999996</v>
      </c>
      <c r="N3923">
        <v>0</v>
      </c>
      <c r="O3923">
        <v>-2.4396210000000002E-2</v>
      </c>
      <c r="P3923">
        <v>0.99657879999999999</v>
      </c>
      <c r="Q3923">
        <v>5.3189899999999998E-2</v>
      </c>
      <c r="R3923">
        <v>-6.3257690000000005E-2</v>
      </c>
      <c r="S3923">
        <v>2.9810490000000001</v>
      </c>
      <c r="T3923">
        <v>-0.19475809999999999</v>
      </c>
      <c r="U3923">
        <v>-0.6205444</v>
      </c>
      <c r="V3923">
        <v>3.8959220000000003E-2</v>
      </c>
      <c r="W3923">
        <v>6.7639950000000004E-2</v>
      </c>
      <c r="X3923">
        <v>0.99694879999999997</v>
      </c>
      <c r="Y3923">
        <v>0.17953060000000001</v>
      </c>
      <c r="Z3923">
        <v>-4.2219900000000001E-3</v>
      </c>
      <c r="AA3923">
        <v>0.98374329999999999</v>
      </c>
      <c r="AB3923">
        <v>44</v>
      </c>
      <c r="AC3923">
        <v>16.548699999999901</v>
      </c>
      <c r="AD3923">
        <v>-1.110021092745</v>
      </c>
      <c r="AE3923">
        <v>-3.5257999999999701</v>
      </c>
      <c r="AF3923">
        <v>3.1076077603879702</v>
      </c>
      <c r="AG3923">
        <v>-1.110021092745</v>
      </c>
      <c r="AH3923">
        <v>16.558533622728</v>
      </c>
      <c r="AI3923">
        <v>93.769537738764697</v>
      </c>
      <c r="AJ3923">
        <v>79.370709062633296</v>
      </c>
      <c r="AK3923">
        <v>16.884146663476201</v>
      </c>
      <c r="AL3923">
        <v>86.121554869396903</v>
      </c>
      <c r="AM3923">
        <v>87.762108107910194</v>
      </c>
      <c r="AN3923">
        <v>0.99999994674022397</v>
      </c>
    </row>
    <row r="3924" spans="1:40" x14ac:dyDescent="0.25">
      <c r="A3924" t="str">
        <f>"20190312154331774"</f>
        <v>20190312154331774</v>
      </c>
      <c r="B3924" t="str">
        <f>"1552376611771344"</f>
        <v>1552376611771344</v>
      </c>
      <c r="C3924" t="s">
        <v>40</v>
      </c>
      <c r="D3924">
        <v>5.0992949999999997</v>
      </c>
      <c r="E3924">
        <v>0.55623520000000004</v>
      </c>
      <c r="F3924" t="s">
        <v>51</v>
      </c>
      <c r="G3924">
        <v>-311.9991</v>
      </c>
      <c r="H3924" s="1">
        <v>1.79217E-6</v>
      </c>
      <c r="I3924">
        <v>211.77940000000001</v>
      </c>
      <c r="J3924">
        <v>-328.3854</v>
      </c>
      <c r="K3924">
        <v>1.1100669999999999</v>
      </c>
      <c r="L3924">
        <v>215.27440000000001</v>
      </c>
      <c r="M3924">
        <v>0.99959609999999999</v>
      </c>
      <c r="N3924">
        <v>0</v>
      </c>
      <c r="O3924">
        <v>-2.4440900000000002E-2</v>
      </c>
      <c r="P3924">
        <v>0.9965079</v>
      </c>
      <c r="Q3924">
        <v>5.3693009999999999E-2</v>
      </c>
      <c r="R3924">
        <v>-6.3948619999999998E-2</v>
      </c>
      <c r="S3924">
        <v>2.981293</v>
      </c>
      <c r="T3924">
        <v>-0.19688559999999999</v>
      </c>
      <c r="U3924">
        <v>-0.62174989999999997</v>
      </c>
      <c r="V3924">
        <v>3.960085E-2</v>
      </c>
      <c r="W3924">
        <v>6.8142809999999998E-2</v>
      </c>
      <c r="X3924">
        <v>0.99688940000000004</v>
      </c>
      <c r="Y3924">
        <v>0.17984429999999901</v>
      </c>
      <c r="Z3924">
        <v>-4.2748259999999998E-3</v>
      </c>
      <c r="AA3924">
        <v>0.98368580000000005</v>
      </c>
      <c r="AB3924">
        <v>44</v>
      </c>
      <c r="AC3924">
        <v>16.386299999999999</v>
      </c>
      <c r="AD3924">
        <v>-1.11006520783</v>
      </c>
      <c r="AE3924">
        <v>-3.4950000000000001</v>
      </c>
      <c r="AF3924">
        <v>3.0798985082125299</v>
      </c>
      <c r="AG3924">
        <v>-1.11006520783</v>
      </c>
      <c r="AH3924">
        <v>16.394868730291499</v>
      </c>
      <c r="AI3924">
        <v>93.807082356822093</v>
      </c>
      <c r="AJ3924">
        <v>79.360560259265</v>
      </c>
      <c r="AK3924">
        <v>16.718544801208498</v>
      </c>
      <c r="AL3924">
        <v>86.092676974821302</v>
      </c>
      <c r="AM3924">
        <v>87.725154663150605</v>
      </c>
      <c r="AN3924">
        <v>1.00000007285388</v>
      </c>
    </row>
    <row r="3925" spans="1:40" x14ac:dyDescent="0.25">
      <c r="A3925" t="str">
        <f>"20190312154331797"</f>
        <v>20190312154331797</v>
      </c>
      <c r="B3925" t="str">
        <f>"1552376611791839"</f>
        <v>1552376611791839</v>
      </c>
      <c r="C3925" t="s">
        <v>40</v>
      </c>
      <c r="D3925">
        <v>5.0146379999999997</v>
      </c>
      <c r="E3925">
        <v>0.55622530000000003</v>
      </c>
      <c r="F3925" t="s">
        <v>51</v>
      </c>
      <c r="G3925">
        <v>-311.68729999999999</v>
      </c>
      <c r="H3925" s="1">
        <v>1.6538730000000001E-6</v>
      </c>
      <c r="I3925">
        <v>211.76439999999999</v>
      </c>
      <c r="J3925">
        <v>-327.94209999999998</v>
      </c>
      <c r="K3925">
        <v>1.110107</v>
      </c>
      <c r="L3925">
        <v>215.2636</v>
      </c>
      <c r="M3925">
        <v>0.99959589999999998</v>
      </c>
      <c r="N3925">
        <v>0</v>
      </c>
      <c r="O3925">
        <v>-2.4452600000000001E-2</v>
      </c>
      <c r="P3925">
        <v>0.99649670000000001</v>
      </c>
      <c r="Q3925">
        <v>5.3555579999999998E-2</v>
      </c>
      <c r="R3925">
        <v>-6.4235169999999994E-2</v>
      </c>
      <c r="S3925">
        <v>2.980988</v>
      </c>
      <c r="T3925">
        <v>-0.19817100000000001</v>
      </c>
      <c r="U3925">
        <v>-0.62661739999999999</v>
      </c>
      <c r="V3925">
        <v>3.9869740000000001E-2</v>
      </c>
      <c r="W3925">
        <v>6.8005789999999997E-2</v>
      </c>
      <c r="X3925">
        <v>0.996888</v>
      </c>
      <c r="Y3925">
        <v>0.18138409999999999</v>
      </c>
      <c r="Z3925">
        <v>-4.3522099999999996E-3</v>
      </c>
      <c r="AA3925">
        <v>0.98340269999999996</v>
      </c>
      <c r="AB3925">
        <v>44</v>
      </c>
      <c r="AC3925">
        <v>16.2547999999999</v>
      </c>
      <c r="AD3925">
        <v>-1.1101053461269901</v>
      </c>
      <c r="AE3925">
        <v>-3.4992000000000001</v>
      </c>
      <c r="AF3925">
        <v>3.0868798297651998</v>
      </c>
      <c r="AG3925">
        <v>-1.1101053461269901</v>
      </c>
      <c r="AH3925">
        <v>16.263019732755101</v>
      </c>
      <c r="AI3925">
        <v>93.836632091441999</v>
      </c>
      <c r="AJ3925">
        <v>79.252553594247999</v>
      </c>
      <c r="AK3925">
        <v>16.590568760319599</v>
      </c>
      <c r="AL3925">
        <v>86.100545744476406</v>
      </c>
      <c r="AM3925">
        <v>87.709721630184504</v>
      </c>
      <c r="AN3925">
        <v>1.0000000340925901</v>
      </c>
    </row>
    <row r="3926" spans="1:40" x14ac:dyDescent="0.25">
      <c r="A3926" t="str">
        <f>"20190312154331821"</f>
        <v>20190312154331821</v>
      </c>
      <c r="B3926" t="str">
        <f>"1552376611811360"</f>
        <v>1552376611811360</v>
      </c>
      <c r="C3926" t="s">
        <v>40</v>
      </c>
      <c r="D3926">
        <v>5.0843299999999996</v>
      </c>
      <c r="E3926">
        <v>0.55621779999999998</v>
      </c>
      <c r="F3926" t="s">
        <v>51</v>
      </c>
      <c r="G3926">
        <v>-311.38600000000002</v>
      </c>
      <c r="H3926" s="1">
        <v>1.520297E-6</v>
      </c>
      <c r="I3926">
        <v>211.78020000000001</v>
      </c>
      <c r="J3926">
        <v>-327.48950000000002</v>
      </c>
      <c r="K3926">
        <v>1.110144</v>
      </c>
      <c r="L3926">
        <v>215.2525</v>
      </c>
      <c r="M3926">
        <v>0.99959659999999995</v>
      </c>
      <c r="N3926">
        <v>0</v>
      </c>
      <c r="O3926">
        <v>-2.4424919999999999E-2</v>
      </c>
      <c r="P3926">
        <v>0.99647640000000004</v>
      </c>
      <c r="Q3926">
        <v>5.3493619999999999E-2</v>
      </c>
      <c r="R3926">
        <v>-6.4601169999999999E-2</v>
      </c>
      <c r="S3926">
        <v>2.9809269999999999</v>
      </c>
      <c r="T3926">
        <v>-0.199875</v>
      </c>
      <c r="U3926">
        <v>-0.62718200000000002</v>
      </c>
      <c r="V3926">
        <v>4.0257179999999997E-2</v>
      </c>
      <c r="W3926">
        <v>6.7944409999999997E-2</v>
      </c>
      <c r="X3926">
        <v>0.9968766</v>
      </c>
      <c r="Y3926">
        <v>0.18158750000000001</v>
      </c>
      <c r="Z3926">
        <v>-4.3981259999999996E-3</v>
      </c>
      <c r="AA3926">
        <v>0.98336489999999999</v>
      </c>
      <c r="AB3926">
        <v>44</v>
      </c>
      <c r="AC3926">
        <v>16.1035</v>
      </c>
      <c r="AD3926">
        <v>-1.110142479703</v>
      </c>
      <c r="AE3926">
        <v>-3.47229999999999</v>
      </c>
      <c r="AF3926">
        <v>3.0639814027281602</v>
      </c>
      <c r="AG3926">
        <v>-1.110142479703</v>
      </c>
      <c r="AH3926">
        <v>16.110352388472901</v>
      </c>
      <c r="AI3926">
        <v>93.8727412074131</v>
      </c>
      <c r="AJ3926">
        <v>79.231686042831896</v>
      </c>
      <c r="AK3926">
        <v>16.436661839992901</v>
      </c>
      <c r="AL3926">
        <v>86.104070655589098</v>
      </c>
      <c r="AM3926">
        <v>87.687463146607797</v>
      </c>
      <c r="AN3926">
        <v>1.0000000195096801</v>
      </c>
    </row>
    <row r="3927" spans="1:40" x14ac:dyDescent="0.25">
      <c r="A3927" t="str">
        <f>"20190312154331843"</f>
        <v>20190312154331843</v>
      </c>
      <c r="B3927" t="str">
        <f>"1552376611831855"</f>
        <v>1552376611831855</v>
      </c>
      <c r="C3927" t="s">
        <v>40</v>
      </c>
      <c r="D3927">
        <v>4.9600689999999998</v>
      </c>
      <c r="E3927">
        <v>0.55604039999999999</v>
      </c>
      <c r="F3927" t="s">
        <v>51</v>
      </c>
      <c r="G3927">
        <v>-310.98939999999999</v>
      </c>
      <c r="H3927" s="1">
        <v>1.3443950000000001E-6</v>
      </c>
      <c r="I3927">
        <v>211.77269999999999</v>
      </c>
      <c r="J3927">
        <v>-327.0453</v>
      </c>
      <c r="K3927">
        <v>1.110174</v>
      </c>
      <c r="L3927">
        <v>215.24170000000001</v>
      </c>
      <c r="M3927">
        <v>0.99959830000000005</v>
      </c>
      <c r="N3927">
        <v>0</v>
      </c>
      <c r="O3927">
        <v>-2.4356639999999999E-2</v>
      </c>
      <c r="P3927">
        <v>0.99654739999999997</v>
      </c>
      <c r="Q3927">
        <v>5.2169599999999997E-2</v>
      </c>
      <c r="R3927">
        <v>-6.4586930000000001E-2</v>
      </c>
      <c r="S3927">
        <v>2.980591</v>
      </c>
      <c r="T3927">
        <v>-0.20053679999999999</v>
      </c>
      <c r="U3927">
        <v>-0.62860109999999902</v>
      </c>
      <c r="V3927">
        <v>4.0301709999999998E-2</v>
      </c>
      <c r="W3927">
        <v>6.6622760000000003E-2</v>
      </c>
      <c r="X3927">
        <v>0.99696399999999996</v>
      </c>
      <c r="Y3927">
        <v>0.1821217</v>
      </c>
      <c r="Z3927">
        <v>-4.4352189999999998E-3</v>
      </c>
      <c r="AA3927">
        <v>0.98326599999999997</v>
      </c>
      <c r="AB3927">
        <v>44</v>
      </c>
      <c r="AC3927">
        <v>16.055900000000001</v>
      </c>
      <c r="AD3927">
        <v>-1.110172655605</v>
      </c>
      <c r="AE3927">
        <v>-3.4690000000000198</v>
      </c>
      <c r="AF3927">
        <v>3.06287152873937</v>
      </c>
      <c r="AG3927">
        <v>-1.110172655605</v>
      </c>
      <c r="AH3927">
        <v>16.062270192026201</v>
      </c>
      <c r="AI3927">
        <v>93.884048057852198</v>
      </c>
      <c r="AJ3927">
        <v>79.204028337727493</v>
      </c>
      <c r="AK3927">
        <v>16.389331561978601</v>
      </c>
      <c r="AL3927">
        <v>86.179967614088099</v>
      </c>
      <c r="AM3927">
        <v>87.685110677678097</v>
      </c>
      <c r="AN3927">
        <v>1.00000001863747</v>
      </c>
    </row>
    <row r="3928" spans="1:40" x14ac:dyDescent="0.25">
      <c r="A3928" t="str">
        <f>"20190312154331864"</f>
        <v>20190312154331864</v>
      </c>
      <c r="B3928" t="str">
        <f>"1552376611851376"</f>
        <v>1552376611851376</v>
      </c>
      <c r="C3928" t="s">
        <v>40</v>
      </c>
      <c r="D3928">
        <v>5.0395640000000004</v>
      </c>
      <c r="E3928">
        <v>0.55605950000000004</v>
      </c>
      <c r="F3928" t="s">
        <v>51</v>
      </c>
      <c r="G3928">
        <v>-310.90179999999998</v>
      </c>
      <c r="H3928" s="1">
        <v>1.3055349999999999E-6</v>
      </c>
      <c r="I3928">
        <v>211.8433</v>
      </c>
      <c r="J3928">
        <v>-326.64780000000002</v>
      </c>
      <c r="K3928">
        <v>1.110206</v>
      </c>
      <c r="L3928">
        <v>215.2321</v>
      </c>
      <c r="M3928">
        <v>0.99960070000000001</v>
      </c>
      <c r="N3928">
        <v>0</v>
      </c>
      <c r="O3928">
        <v>-2.4259889999999999E-2</v>
      </c>
      <c r="P3928">
        <v>0.99670049999999999</v>
      </c>
      <c r="Q3928">
        <v>5.004343E-2</v>
      </c>
      <c r="R3928">
        <v>-6.3905829999999997E-2</v>
      </c>
      <c r="S3928">
        <v>2.9804689999999998</v>
      </c>
      <c r="T3928">
        <v>-0.20496339999999999</v>
      </c>
      <c r="U3928">
        <v>-0.62742609999999999</v>
      </c>
      <c r="V3928">
        <v>3.970655E-2</v>
      </c>
      <c r="W3928">
        <v>6.4500639999999998E-2</v>
      </c>
      <c r="X3928">
        <v>0.9971274</v>
      </c>
      <c r="Y3928">
        <v>0.1818389</v>
      </c>
      <c r="Z3928">
        <v>-4.5302199999999997E-3</v>
      </c>
      <c r="AA3928">
        <v>0.98331789999999997</v>
      </c>
      <c r="AB3928">
        <v>44</v>
      </c>
      <c r="AC3928">
        <v>15.746</v>
      </c>
      <c r="AD3928">
        <v>-1.1102046944649999</v>
      </c>
      <c r="AE3928">
        <v>-3.3887999999999998</v>
      </c>
      <c r="AF3928">
        <v>2.9915526758934199</v>
      </c>
      <c r="AG3928">
        <v>-1.1102046944649999</v>
      </c>
      <c r="AH3928">
        <v>15.748760038279601</v>
      </c>
      <c r="AI3928">
        <v>93.961769199861607</v>
      </c>
      <c r="AJ3928">
        <v>79.244532073017794</v>
      </c>
      <c r="AK3928">
        <v>16.0687704762863</v>
      </c>
      <c r="AL3928">
        <v>86.301818235118205</v>
      </c>
      <c r="AM3928">
        <v>87.719633045088202</v>
      </c>
      <c r="AN3928">
        <v>0.99999999725203603</v>
      </c>
    </row>
    <row r="3929" spans="1:40" x14ac:dyDescent="0.25">
      <c r="A3929" t="str">
        <f>"20190312154331887"</f>
        <v>20190312154331887</v>
      </c>
      <c r="B3929" t="str">
        <f>"1552376611881632"</f>
        <v>1552376611881632</v>
      </c>
      <c r="C3929" t="s">
        <v>40</v>
      </c>
      <c r="D3929">
        <v>5.0902570000000003</v>
      </c>
      <c r="E3929">
        <v>0.50749739999999999</v>
      </c>
      <c r="F3929" t="s">
        <v>51</v>
      </c>
      <c r="G3929">
        <v>-310.97730000000001</v>
      </c>
      <c r="H3929" s="1">
        <v>1.3390490000000001E-6</v>
      </c>
      <c r="I3929">
        <v>211.94210000000001</v>
      </c>
      <c r="J3929">
        <v>-326.20080000000002</v>
      </c>
      <c r="K3929">
        <v>1.1102510000000001</v>
      </c>
      <c r="L3929">
        <v>215.22130000000001</v>
      </c>
      <c r="M3929">
        <v>0.9996043</v>
      </c>
      <c r="N3929">
        <v>0</v>
      </c>
      <c r="O3929">
        <v>-2.411319E-2</v>
      </c>
      <c r="P3929">
        <v>0.99683770000000005</v>
      </c>
      <c r="Q3929">
        <v>4.7783220000000001E-2</v>
      </c>
      <c r="R3929">
        <v>-6.3494419999999996E-2</v>
      </c>
      <c r="S3929">
        <v>2.9803470000000001</v>
      </c>
      <c r="T3929">
        <v>-0.21114840000000001</v>
      </c>
      <c r="U3929">
        <v>-0.62571719999999997</v>
      </c>
      <c r="V3929">
        <v>3.9430720000000002E-2</v>
      </c>
      <c r="W3929">
        <v>6.2244510000000003E-2</v>
      </c>
      <c r="X3929">
        <v>0.99728170000000005</v>
      </c>
      <c r="Y3929">
        <v>0.18143020000000001</v>
      </c>
      <c r="Z3929">
        <v>-4.6630029999999998E-3</v>
      </c>
      <c r="AA3929">
        <v>0.98339279999999996</v>
      </c>
      <c r="AB3929">
        <v>44</v>
      </c>
      <c r="AC3929">
        <v>15.2235</v>
      </c>
      <c r="AD3929">
        <v>-1.110249660951</v>
      </c>
      <c r="AE3929">
        <v>-3.2791999999999999</v>
      </c>
      <c r="AF3929">
        <v>2.8963984400830598</v>
      </c>
      <c r="AG3929">
        <v>-1.110249660951</v>
      </c>
      <c r="AH3929">
        <v>15.220786520046101</v>
      </c>
      <c r="AI3929">
        <v>94.098645649970706</v>
      </c>
      <c r="AJ3929">
        <v>79.225869869503697</v>
      </c>
      <c r="AK3929">
        <v>15.533644791940301</v>
      </c>
      <c r="AL3929">
        <v>86.431345268106</v>
      </c>
      <c r="AM3929">
        <v>87.735807556516306</v>
      </c>
      <c r="AN3929">
        <v>0.99999997492987303</v>
      </c>
    </row>
    <row r="3930" spans="1:40" x14ac:dyDescent="0.25">
      <c r="A3930" t="str">
        <f>"20190312154331909"</f>
        <v>20190312154331909</v>
      </c>
      <c r="B3930" t="str">
        <f>"1552376611901151"</f>
        <v>1552376611901151</v>
      </c>
      <c r="C3930" t="s">
        <v>40</v>
      </c>
      <c r="D3930">
        <v>5.1254559999999998</v>
      </c>
      <c r="E3930">
        <v>0.49540430000000002</v>
      </c>
      <c r="F3930" t="s">
        <v>51</v>
      </c>
      <c r="G3930">
        <v>-307.36700000000002</v>
      </c>
      <c r="H3930" s="1">
        <v>1.346479E-6</v>
      </c>
      <c r="I3930">
        <v>213.72219999999999</v>
      </c>
      <c r="J3930">
        <v>-325.774</v>
      </c>
      <c r="K3930">
        <v>1.110298</v>
      </c>
      <c r="L3930">
        <v>215.21119999999999</v>
      </c>
      <c r="M3930">
        <v>0.99960870000000002</v>
      </c>
      <c r="N3930">
        <v>0</v>
      </c>
      <c r="O3930">
        <v>-2.3934E-2</v>
      </c>
      <c r="P3930">
        <v>0.99693220000000005</v>
      </c>
      <c r="Q3930">
        <v>4.7316459999999998E-2</v>
      </c>
      <c r="R3930">
        <v>-6.2349109999999999E-2</v>
      </c>
      <c r="S3930">
        <v>3.002777</v>
      </c>
      <c r="T3930">
        <v>-0.177013</v>
      </c>
      <c r="U3930">
        <v>-0.2390137</v>
      </c>
      <c r="V3930">
        <v>3.8455120000000002E-2</v>
      </c>
      <c r="W3930">
        <v>6.1780969999999998E-2</v>
      </c>
      <c r="X3930">
        <v>0.99734869999999998</v>
      </c>
      <c r="Y3930">
        <v>5.5408539999999999E-2</v>
      </c>
      <c r="Z3930">
        <v>-2.220012E-4</v>
      </c>
      <c r="AA3930">
        <v>0.99846369999999895</v>
      </c>
      <c r="AB3930">
        <v>43</v>
      </c>
      <c r="AC3930">
        <v>18.406999999999901</v>
      </c>
      <c r="AD3930">
        <v>-1.1102966535209999</v>
      </c>
      <c r="AE3930">
        <v>-1.4890000000000001</v>
      </c>
      <c r="AF3930">
        <v>1.0441995251489999</v>
      </c>
      <c r="AG3930">
        <v>-1.1102966535209999</v>
      </c>
      <c r="AH3930">
        <v>18.3709608967702</v>
      </c>
      <c r="AI3930">
        <v>93.453052034147305</v>
      </c>
      <c r="AJ3930">
        <v>86.746826651749899</v>
      </c>
      <c r="AK3930">
        <v>18.434080274800898</v>
      </c>
      <c r="AL3930">
        <v>86.457955660462204</v>
      </c>
      <c r="AM3930">
        <v>87.791920536582495</v>
      </c>
      <c r="AN3930">
        <v>1.00000005695002</v>
      </c>
    </row>
    <row r="3931" spans="1:40" x14ac:dyDescent="0.25">
      <c r="A3931" t="str">
        <f>"20190312154331931"</f>
        <v>20190312154331931</v>
      </c>
      <c r="B3931" t="str">
        <f>"1552376611921649"</f>
        <v>1552376611921649</v>
      </c>
      <c r="C3931" t="s">
        <v>40</v>
      </c>
      <c r="D3931">
        <v>5.0816350000000003</v>
      </c>
      <c r="E3931">
        <v>0.49067690000000003</v>
      </c>
      <c r="F3931" t="s">
        <v>51</v>
      </c>
      <c r="G3931">
        <v>-305.5788</v>
      </c>
      <c r="H3931" s="1">
        <v>1.663667E-6</v>
      </c>
      <c r="I3931">
        <v>214.27160000000001</v>
      </c>
      <c r="J3931">
        <v>-325.34030000000001</v>
      </c>
      <c r="K3931">
        <v>1.110344</v>
      </c>
      <c r="L3931">
        <v>215.20099999999999</v>
      </c>
      <c r="M3931">
        <v>0.999614</v>
      </c>
      <c r="N3931">
        <v>0</v>
      </c>
      <c r="O3931">
        <v>-2.3712790000000001E-2</v>
      </c>
      <c r="P3931">
        <v>0.9970348</v>
      </c>
      <c r="Q3931">
        <v>4.6964409999999998E-2</v>
      </c>
      <c r="R3931">
        <v>-6.0961920000000003E-2</v>
      </c>
      <c r="S3931">
        <v>3.0083310000000001</v>
      </c>
      <c r="T3931">
        <v>-0.16539289999999901</v>
      </c>
      <c r="U3931">
        <v>-0.13995360000000001</v>
      </c>
      <c r="V3931">
        <v>3.7280000000000001E-2</v>
      </c>
      <c r="W3931">
        <v>6.1431159999999999E-2</v>
      </c>
      <c r="X3931">
        <v>0.99741489999999999</v>
      </c>
      <c r="Y3931">
        <v>2.2770439999999999E-2</v>
      </c>
      <c r="Z3931">
        <v>6.7673769999999998E-4</v>
      </c>
      <c r="AA3931">
        <v>0.99974050000000003</v>
      </c>
      <c r="AB3931">
        <v>43</v>
      </c>
      <c r="AC3931">
        <v>19.761500000000002</v>
      </c>
      <c r="AD3931">
        <v>-1.1103423363330001</v>
      </c>
      <c r="AE3931">
        <v>-0.92939999999998602</v>
      </c>
      <c r="AF3931">
        <v>0.45904320435691098</v>
      </c>
      <c r="AG3931">
        <v>-1.1103423363330001</v>
      </c>
      <c r="AH3931">
        <v>19.715877551599199</v>
      </c>
      <c r="AI3931">
        <v>93.222459557341097</v>
      </c>
      <c r="AJ3931">
        <v>88.666227911196202</v>
      </c>
      <c r="AK3931">
        <v>19.7524532247763</v>
      </c>
      <c r="AL3931">
        <v>86.478036358696201</v>
      </c>
      <c r="AM3931">
        <v>87.859473698562397</v>
      </c>
      <c r="AN3931">
        <v>1.00000003428047</v>
      </c>
    </row>
    <row r="3932" spans="1:40" x14ac:dyDescent="0.25">
      <c r="A3932" t="str">
        <f>"20190312154331952"</f>
        <v>20190312154331952</v>
      </c>
      <c r="B3932" t="str">
        <f>"1552376611941168"</f>
        <v>1552376611941168</v>
      </c>
      <c r="C3932" t="s">
        <v>40</v>
      </c>
      <c r="D3932">
        <v>5.043113</v>
      </c>
      <c r="E3932">
        <v>0.48753079999999999</v>
      </c>
      <c r="F3932" t="s">
        <v>51</v>
      </c>
      <c r="G3932">
        <v>-304.84249999999997</v>
      </c>
      <c r="H3932" s="1">
        <v>1.7942839999999999E-6</v>
      </c>
      <c r="I3932">
        <v>214.53120000000001</v>
      </c>
      <c r="J3932">
        <v>-324.91430000000003</v>
      </c>
      <c r="K3932">
        <v>1.110384</v>
      </c>
      <c r="L3932">
        <v>215.19110000000001</v>
      </c>
      <c r="M3932">
        <v>0.9996197</v>
      </c>
      <c r="N3932">
        <v>0</v>
      </c>
      <c r="O3932">
        <v>-2.3465590000000001E-2</v>
      </c>
      <c r="P3932">
        <v>0.9971371</v>
      </c>
      <c r="Q3932">
        <v>4.5814870000000001E-2</v>
      </c>
      <c r="R3932">
        <v>-6.0158950000000003E-2</v>
      </c>
      <c r="S3932">
        <v>3.0106199999999999</v>
      </c>
      <c r="T3932">
        <v>-0.16308139999999999</v>
      </c>
      <c r="U3932">
        <v>-9.8373409999999994E-2</v>
      </c>
      <c r="V3932">
        <v>3.6716060000000002E-2</v>
      </c>
      <c r="W3932">
        <v>6.0283629999999998E-2</v>
      </c>
      <c r="X3932">
        <v>0.9975058</v>
      </c>
      <c r="Y3932">
        <v>9.2143759999999998E-3</v>
      </c>
      <c r="Z3932">
        <v>1.0204389999999999E-3</v>
      </c>
      <c r="AA3932">
        <v>0.99995699999999998</v>
      </c>
      <c r="AB3932">
        <v>43</v>
      </c>
      <c r="AC3932">
        <v>20.0718</v>
      </c>
      <c r="AD3932">
        <v>-1.110382205716</v>
      </c>
      <c r="AE3932">
        <v>-0.65989999999999305</v>
      </c>
      <c r="AF3932">
        <v>0.188097182120564</v>
      </c>
      <c r="AG3932">
        <v>-1.110382205716</v>
      </c>
      <c r="AH3932">
        <v>20.020554614517302</v>
      </c>
      <c r="AI3932">
        <v>93.174352729838702</v>
      </c>
      <c r="AJ3932">
        <v>89.461710337287997</v>
      </c>
      <c r="AK3932">
        <v>20.052205271878801</v>
      </c>
      <c r="AL3932">
        <v>86.543906971259204</v>
      </c>
      <c r="AM3932">
        <v>87.892016250142703</v>
      </c>
      <c r="AN3932">
        <v>1.0000000030707701</v>
      </c>
    </row>
    <row r="3933" spans="1:40" x14ac:dyDescent="0.25">
      <c r="A3933" t="str">
        <f>"20190312154331975"</f>
        <v>20190312154331975</v>
      </c>
      <c r="B3933" t="str">
        <f>"1552376611971423"</f>
        <v>1552376611971423</v>
      </c>
      <c r="C3933" t="s">
        <v>40</v>
      </c>
      <c r="D3933">
        <v>4.9716690000000003</v>
      </c>
      <c r="E3933">
        <v>0.48568919999999999</v>
      </c>
      <c r="F3933" t="s">
        <v>51</v>
      </c>
      <c r="G3933">
        <v>-305.39859999999999</v>
      </c>
      <c r="H3933" s="1">
        <v>1.6956360000000001E-6</v>
      </c>
      <c r="I3933">
        <v>214.73310000000001</v>
      </c>
      <c r="J3933">
        <v>-324.48689999999999</v>
      </c>
      <c r="K3933">
        <v>1.1104160000000001</v>
      </c>
      <c r="L3933">
        <v>215.18129999999999</v>
      </c>
      <c r="M3933">
        <v>0.99962629999999997</v>
      </c>
      <c r="N3933">
        <v>0</v>
      </c>
      <c r="O3933">
        <v>-2.3191170000000001E-2</v>
      </c>
      <c r="P3933">
        <v>0.99719630000000004</v>
      </c>
      <c r="Q3933">
        <v>4.5520150000000002E-2</v>
      </c>
      <c r="R3933">
        <v>-5.9395900000000001E-2</v>
      </c>
      <c r="S3933">
        <v>3.012238</v>
      </c>
      <c r="T3933">
        <v>-0.17138699999999901</v>
      </c>
      <c r="U3933">
        <v>-7.0693969999999995E-2</v>
      </c>
      <c r="V3933">
        <v>3.6221059999999999E-2</v>
      </c>
      <c r="W3933">
        <v>5.9989960000000002E-2</v>
      </c>
      <c r="X3933">
        <v>0.99754160000000003</v>
      </c>
      <c r="Y3933">
        <v>3.059262E-4</v>
      </c>
      <c r="Z3933">
        <v>1.3095229999999999E-3</v>
      </c>
      <c r="AA3933">
        <v>0.99999910000000003</v>
      </c>
      <c r="AB3933">
        <v>43</v>
      </c>
      <c r="AC3933">
        <v>19.0883</v>
      </c>
      <c r="AD3933">
        <v>-1.110414304364</v>
      </c>
      <c r="AE3933">
        <v>-0.448199999999985</v>
      </c>
      <c r="AF3933">
        <v>5.3350139668927798E-3</v>
      </c>
      <c r="AG3933">
        <v>-1.110414304364</v>
      </c>
      <c r="AH3933">
        <v>19.029200364270601</v>
      </c>
      <c r="AI3933">
        <v>93.339603536181997</v>
      </c>
      <c r="AJ3933">
        <v>89.983936593756596</v>
      </c>
      <c r="AK3933">
        <v>19.061571679514401</v>
      </c>
      <c r="AL3933">
        <v>86.560763527453901</v>
      </c>
      <c r="AM3933">
        <v>87.920485191233396</v>
      </c>
      <c r="AN3933">
        <v>1.00000000210944</v>
      </c>
    </row>
    <row r="3934" spans="1:40" x14ac:dyDescent="0.25">
      <c r="A3934" t="str">
        <f>"20190312154331998"</f>
        <v>20190312154331998</v>
      </c>
      <c r="B3934" t="str">
        <f>"1552376611990944"</f>
        <v>1552376611990944</v>
      </c>
      <c r="C3934" t="s">
        <v>40</v>
      </c>
      <c r="D3934">
        <v>4.9929249999999996</v>
      </c>
      <c r="E3934">
        <v>0.4846396</v>
      </c>
      <c r="F3934" t="s">
        <v>51</v>
      </c>
      <c r="G3934">
        <v>-305.06990000000002</v>
      </c>
      <c r="H3934" s="1">
        <v>1.7539489999999999E-6</v>
      </c>
      <c r="I3934">
        <v>214.83420000000001</v>
      </c>
      <c r="J3934">
        <v>-324.04270000000002</v>
      </c>
      <c r="K3934">
        <v>1.1104529999999999</v>
      </c>
      <c r="L3934">
        <v>215.1712</v>
      </c>
      <c r="M3934">
        <v>0.99963340000000001</v>
      </c>
      <c r="N3934">
        <v>0</v>
      </c>
      <c r="O3934">
        <v>-2.288198E-2</v>
      </c>
      <c r="P3934">
        <v>0.99723550000000005</v>
      </c>
      <c r="Q3934">
        <v>4.563921E-2</v>
      </c>
      <c r="R3934">
        <v>-5.8638900000000001E-2</v>
      </c>
      <c r="S3934">
        <v>3.0130919999999999</v>
      </c>
      <c r="T3934">
        <v>-0.172311299999999</v>
      </c>
      <c r="U3934">
        <v>-5.3848269999999997E-2</v>
      </c>
      <c r="V3934">
        <v>3.5767479999999997E-2</v>
      </c>
      <c r="W3934">
        <v>6.0108950000000001E-2</v>
      </c>
      <c r="X3934">
        <v>0.99755079999999996</v>
      </c>
      <c r="Y3934">
        <v>-4.9713359999999998E-3</v>
      </c>
      <c r="Z3934">
        <v>1.449398E-3</v>
      </c>
      <c r="AA3934">
        <v>0.99998659999999995</v>
      </c>
      <c r="AB3934">
        <v>43</v>
      </c>
      <c r="AC3934">
        <v>18.972799999999999</v>
      </c>
      <c r="AD3934">
        <v>-1.1104512460510001</v>
      </c>
      <c r="AE3934">
        <v>-0.33699999999998898</v>
      </c>
      <c r="AF3934">
        <v>-9.6937000596371101E-2</v>
      </c>
      <c r="AG3934">
        <v>-1.1104512460510001</v>
      </c>
      <c r="AH3934">
        <v>18.910783136913601</v>
      </c>
      <c r="AI3934">
        <v>93.360535610126803</v>
      </c>
      <c r="AJ3934">
        <v>90.293696581836002</v>
      </c>
      <c r="AK3934">
        <v>18.943606245995401</v>
      </c>
      <c r="AL3934">
        <v>86.553933565032096</v>
      </c>
      <c r="AM3934">
        <v>87.946522504233698</v>
      </c>
      <c r="AN3934">
        <v>0.99999999853814603</v>
      </c>
    </row>
    <row r="3935" spans="1:40" x14ac:dyDescent="0.25">
      <c r="A3935" t="str">
        <f>"20190312154332021"</f>
        <v>20190312154332021</v>
      </c>
      <c r="B3935" t="str">
        <f>"1552376612011440"</f>
        <v>1552376612011440</v>
      </c>
      <c r="C3935" t="s">
        <v>40</v>
      </c>
      <c r="D3935">
        <v>4.9754690000000004</v>
      </c>
      <c r="E3935">
        <v>0.48408449999999997</v>
      </c>
      <c r="F3935" t="s">
        <v>51</v>
      </c>
      <c r="G3935">
        <v>-304.25279999999998</v>
      </c>
      <c r="H3935" s="1">
        <v>1.898878E-6</v>
      </c>
      <c r="I3935">
        <v>214.88829999999999</v>
      </c>
      <c r="J3935">
        <v>-323.60469999999998</v>
      </c>
      <c r="K3935">
        <v>1.110479</v>
      </c>
      <c r="L3935">
        <v>215.16139999999999</v>
      </c>
      <c r="M3935">
        <v>0.9996408</v>
      </c>
      <c r="N3935">
        <v>0</v>
      </c>
      <c r="O3935">
        <v>-2.2558789999999999E-2</v>
      </c>
      <c r="P3935">
        <v>0.99721689999999996</v>
      </c>
      <c r="Q3935">
        <v>4.617578E-2</v>
      </c>
      <c r="R3935">
        <v>-5.8536949999999997E-2</v>
      </c>
      <c r="S3935">
        <v>3.0135190000000001</v>
      </c>
      <c r="T3935">
        <v>-0.1690952</v>
      </c>
      <c r="U3935">
        <v>-4.3075559999999999E-2</v>
      </c>
      <c r="V3935">
        <v>3.5984040000000002E-2</v>
      </c>
      <c r="W3935">
        <v>6.0645369999999997E-2</v>
      </c>
      <c r="X3935">
        <v>0.99751060000000003</v>
      </c>
      <c r="Y3935">
        <v>-8.2214360000000004E-3</v>
      </c>
      <c r="Z3935">
        <v>1.4952329999999999E-3</v>
      </c>
      <c r="AA3935">
        <v>0.99996510000000005</v>
      </c>
      <c r="AB3935">
        <v>43</v>
      </c>
      <c r="AC3935">
        <v>19.351900000000001</v>
      </c>
      <c r="AD3935">
        <v>-1.110477101122</v>
      </c>
      <c r="AE3935">
        <v>-0.27309999999999901</v>
      </c>
      <c r="AF3935">
        <v>-0.16303393073513001</v>
      </c>
      <c r="AG3935">
        <v>-1.110477101122</v>
      </c>
      <c r="AH3935">
        <v>19.289630492367699</v>
      </c>
      <c r="AI3935">
        <v>93.294684027369399</v>
      </c>
      <c r="AJ3935">
        <v>90.484246379667596</v>
      </c>
      <c r="AK3935">
        <v>19.322256182619299</v>
      </c>
      <c r="AL3935">
        <v>86.523142984027004</v>
      </c>
      <c r="AM3935">
        <v>87.934016948830504</v>
      </c>
      <c r="AN3935">
        <v>1.0000000545747501</v>
      </c>
    </row>
    <row r="3936" spans="1:40" x14ac:dyDescent="0.25">
      <c r="A3936" t="str">
        <f>"20190312154332044"</f>
        <v>20190312154332044</v>
      </c>
      <c r="B3936" t="str">
        <f>"1552376612030959"</f>
        <v>1552376612030959</v>
      </c>
      <c r="C3936" t="s">
        <v>40</v>
      </c>
      <c r="D3936">
        <v>4.9377509999999996</v>
      </c>
      <c r="E3936">
        <v>0.483657</v>
      </c>
      <c r="F3936" t="s">
        <v>51</v>
      </c>
      <c r="G3936">
        <v>-303.25290000000001</v>
      </c>
      <c r="H3936" s="1">
        <v>2.0762550000000002E-6</v>
      </c>
      <c r="I3936">
        <v>214.9024</v>
      </c>
      <c r="J3936">
        <v>-323.16399999999999</v>
      </c>
      <c r="K3936">
        <v>1.1105119999999999</v>
      </c>
      <c r="L3936">
        <v>215.15180000000001</v>
      </c>
      <c r="M3936">
        <v>0.99964830000000005</v>
      </c>
      <c r="N3936">
        <v>0</v>
      </c>
      <c r="O3936">
        <v>-2.2221000000000001E-2</v>
      </c>
      <c r="P3936">
        <v>0.99724789999999996</v>
      </c>
      <c r="Q3936">
        <v>4.6106840000000003E-2</v>
      </c>
      <c r="R3936">
        <v>-5.8057520000000001E-2</v>
      </c>
      <c r="S3936">
        <v>3.0137330000000002</v>
      </c>
      <c r="T3936">
        <v>-0.16444129999999901</v>
      </c>
      <c r="U3936">
        <v>-3.8360600000000002E-2</v>
      </c>
      <c r="V3936">
        <v>3.5837899999999999E-2</v>
      </c>
      <c r="W3936">
        <v>6.0576350000000001E-2</v>
      </c>
      <c r="X3936">
        <v>0.99751999999999996</v>
      </c>
      <c r="Y3936">
        <v>-9.4500090000000005E-3</v>
      </c>
      <c r="Z3936">
        <v>1.4691400000000001E-3</v>
      </c>
      <c r="AA3936">
        <v>0.99995429999999996</v>
      </c>
      <c r="AB3936">
        <v>43</v>
      </c>
      <c r="AC3936">
        <v>19.911099999999902</v>
      </c>
      <c r="AD3936">
        <v>-1.110509923745</v>
      </c>
      <c r="AE3936">
        <v>-0.249400000000008</v>
      </c>
      <c r="AF3936">
        <v>-0.19255362377101701</v>
      </c>
      <c r="AG3936">
        <v>-1.110509923745</v>
      </c>
      <c r="AH3936">
        <v>19.849987942068299</v>
      </c>
      <c r="AI3936">
        <v>93.201930930630994</v>
      </c>
      <c r="AJ3936">
        <v>90.555776858709294</v>
      </c>
      <c r="AK3936">
        <v>19.881959925747299</v>
      </c>
      <c r="AL3936">
        <v>86.527104632101796</v>
      </c>
      <c r="AM3936">
        <v>87.942419558137601</v>
      </c>
      <c r="AN3936">
        <v>0.99999999982786603</v>
      </c>
    </row>
    <row r="3937" spans="1:40" x14ac:dyDescent="0.25">
      <c r="A3937" t="str">
        <f>"20190312154332065"</f>
        <v>20190312154332065</v>
      </c>
      <c r="B3937" t="str">
        <f>"1552376612061216"</f>
        <v>1552376612061216</v>
      </c>
      <c r="C3937" t="s">
        <v>40</v>
      </c>
      <c r="D3937">
        <v>4.9384959999999998</v>
      </c>
      <c r="E3937">
        <v>0.48319499999999999</v>
      </c>
      <c r="F3937" t="s">
        <v>51</v>
      </c>
      <c r="G3937">
        <v>-302.42590000000001</v>
      </c>
      <c r="H3937" s="1">
        <v>2.2229389999999999E-6</v>
      </c>
      <c r="I3937">
        <v>214.9195</v>
      </c>
      <c r="J3937">
        <v>-322.75599999999997</v>
      </c>
      <c r="K3937">
        <v>1.1105259999999999</v>
      </c>
      <c r="L3937">
        <v>215.143</v>
      </c>
      <c r="M3937">
        <v>0.99965539999999997</v>
      </c>
      <c r="N3937">
        <v>0</v>
      </c>
      <c r="O3937">
        <v>-2.190131E-2</v>
      </c>
      <c r="P3937">
        <v>0.99732240000000005</v>
      </c>
      <c r="Q3937">
        <v>4.4477500000000003E-2</v>
      </c>
      <c r="R3937">
        <v>-5.8049730000000001E-2</v>
      </c>
      <c r="S3937">
        <v>3.013763</v>
      </c>
      <c r="T3937">
        <v>-0.1613851</v>
      </c>
      <c r="U3937">
        <v>-3.3752440000000002E-2</v>
      </c>
      <c r="V3937">
        <v>3.614593E-2</v>
      </c>
      <c r="W3937">
        <v>5.8947529999999998E-2</v>
      </c>
      <c r="X3937">
        <v>0.99760649999999995</v>
      </c>
      <c r="Y3937">
        <v>-1.065954E-2</v>
      </c>
      <c r="Z3937">
        <v>1.4571339999999999E-3</v>
      </c>
      <c r="AA3937">
        <v>0.99994209999999994</v>
      </c>
      <c r="AB3937">
        <v>43</v>
      </c>
      <c r="AC3937">
        <v>20.330099999999899</v>
      </c>
      <c r="AD3937">
        <v>-1.1105237770609999</v>
      </c>
      <c r="AE3937">
        <v>-0.223500000000001</v>
      </c>
      <c r="AF3937">
        <v>-0.221196135732176</v>
      </c>
      <c r="AG3937">
        <v>-1.1105237770609999</v>
      </c>
      <c r="AH3937">
        <v>20.2696437792628</v>
      </c>
      <c r="AI3937">
        <v>93.135772872477602</v>
      </c>
      <c r="AJ3937">
        <v>90.625225687760704</v>
      </c>
      <c r="AK3937">
        <v>20.301247491917501</v>
      </c>
      <c r="AL3937">
        <v>86.620596371954406</v>
      </c>
      <c r="AM3937">
        <v>87.924929647530405</v>
      </c>
      <c r="AN3937">
        <v>1.00000003419545</v>
      </c>
    </row>
    <row r="3938" spans="1:40" x14ac:dyDescent="0.25">
      <c r="A3938" t="str">
        <f>"20190312154332087"</f>
        <v>20190312154332087</v>
      </c>
      <c r="B3938" t="str">
        <f>"1552376612081712"</f>
        <v>1552376612081712</v>
      </c>
      <c r="C3938" t="s">
        <v>40</v>
      </c>
      <c r="D3938">
        <v>4.916531</v>
      </c>
      <c r="E3938">
        <v>0.48294490000000001</v>
      </c>
      <c r="F3938" t="s">
        <v>51</v>
      </c>
      <c r="G3938">
        <v>-302.08760000000001</v>
      </c>
      <c r="H3938" s="1">
        <v>2.2829519999999999E-6</v>
      </c>
      <c r="I3938">
        <v>214.93430000000001</v>
      </c>
      <c r="J3938">
        <v>-322.31729999999999</v>
      </c>
      <c r="K3938">
        <v>1.110536</v>
      </c>
      <c r="L3938">
        <v>215.1336</v>
      </c>
      <c r="M3938">
        <v>0.99966310000000003</v>
      </c>
      <c r="N3938">
        <v>0</v>
      </c>
      <c r="O3938">
        <v>-2.1551859999999999E-2</v>
      </c>
      <c r="P3938">
        <v>0.99734529999999999</v>
      </c>
      <c r="Q3938">
        <v>4.251394E-2</v>
      </c>
      <c r="R3938">
        <v>-5.9120649999999997E-2</v>
      </c>
      <c r="S3938">
        <v>3.0135190000000001</v>
      </c>
      <c r="T3938">
        <v>-0.16191820000000001</v>
      </c>
      <c r="U3938">
        <v>-3.042603E-2</v>
      </c>
      <c r="V3938">
        <v>3.7564069999999998E-2</v>
      </c>
      <c r="W3938">
        <v>5.6984840000000002E-2</v>
      </c>
      <c r="X3938">
        <v>0.99766809999999995</v>
      </c>
      <c r="Y3938">
        <v>-1.141182E-2</v>
      </c>
      <c r="Z3938">
        <v>1.4635060000000001E-3</v>
      </c>
      <c r="AA3938">
        <v>0.99993379999999998</v>
      </c>
      <c r="AB3938">
        <v>43</v>
      </c>
      <c r="AC3938">
        <v>20.229699999999902</v>
      </c>
      <c r="AD3938">
        <v>-1.1105337170480001</v>
      </c>
      <c r="AE3938">
        <v>-0.19929999999999301</v>
      </c>
      <c r="AF3938">
        <v>-0.23606823075553299</v>
      </c>
      <c r="AG3938">
        <v>-1.1105337170480001</v>
      </c>
      <c r="AH3938">
        <v>20.168522212818601</v>
      </c>
      <c r="AI3938">
        <v>93.151463477443698</v>
      </c>
      <c r="AJ3938">
        <v>90.670604198174104</v>
      </c>
      <c r="AK3938">
        <v>20.200453004703402</v>
      </c>
      <c r="AL3938">
        <v>86.733239481892099</v>
      </c>
      <c r="AM3938">
        <v>87.843725307775202</v>
      </c>
      <c r="AN3938">
        <v>0.99999998455119998</v>
      </c>
    </row>
    <row r="3939" spans="1:40" x14ac:dyDescent="0.25">
      <c r="A3939" t="str">
        <f>"20190312154332110"</f>
        <v>20190312154332110</v>
      </c>
      <c r="B3939" t="str">
        <f>"1552376612101235"</f>
        <v>1552376612101235</v>
      </c>
      <c r="C3939" t="s">
        <v>40</v>
      </c>
      <c r="D3939">
        <v>4.8801059999999996</v>
      </c>
      <c r="E3939">
        <v>0.48274030000000001</v>
      </c>
      <c r="F3939" t="s">
        <v>51</v>
      </c>
      <c r="G3939">
        <v>-302.07990000000001</v>
      </c>
      <c r="H3939" s="1">
        <v>2.2843209999999998E-6</v>
      </c>
      <c r="I3939">
        <v>214.9169</v>
      </c>
      <c r="J3939">
        <v>-321.8895</v>
      </c>
      <c r="K3939">
        <v>1.110541</v>
      </c>
      <c r="L3939">
        <v>215.12469999999999</v>
      </c>
      <c r="M3939">
        <v>0.99967059999999996</v>
      </c>
      <c r="N3939">
        <v>0</v>
      </c>
      <c r="O3939">
        <v>-2.1207489999999999E-2</v>
      </c>
      <c r="P3939">
        <v>0.99734710000000004</v>
      </c>
      <c r="Q3939">
        <v>4.0579490000000003E-2</v>
      </c>
      <c r="R3939">
        <v>-6.0434929999999998E-2</v>
      </c>
      <c r="S3939">
        <v>3.0130919999999999</v>
      </c>
      <c r="T3939">
        <v>-0.1653444</v>
      </c>
      <c r="U3939">
        <v>-3.2272339999999997E-2</v>
      </c>
      <c r="V3939">
        <v>3.9221840000000001E-2</v>
      </c>
      <c r="W3939">
        <v>5.5050969999999998E-2</v>
      </c>
      <c r="X3939">
        <v>0.99771290000000001</v>
      </c>
      <c r="Y3939">
        <v>-1.0453179999999999E-2</v>
      </c>
      <c r="Z3939">
        <v>1.4494690000000001E-3</v>
      </c>
      <c r="AA3939">
        <v>0.99994430000000001</v>
      </c>
      <c r="AB3939">
        <v>43</v>
      </c>
      <c r="AC3939">
        <v>19.8095999999999</v>
      </c>
      <c r="AD3939">
        <v>-1.1105387156790001</v>
      </c>
      <c r="AE3939">
        <v>-0.20779999999999099</v>
      </c>
      <c r="AF3939">
        <v>-0.21173716024171499</v>
      </c>
      <c r="AG3939">
        <v>-1.1105387156790001</v>
      </c>
      <c r="AH3939">
        <v>19.747495691435201</v>
      </c>
      <c r="AI3939">
        <v>93.218564312423695</v>
      </c>
      <c r="AJ3939">
        <v>90.614314896425</v>
      </c>
      <c r="AK3939">
        <v>19.779831014123999</v>
      </c>
      <c r="AL3939">
        <v>86.844216387576793</v>
      </c>
      <c r="AM3939">
        <v>87.748761865805704</v>
      </c>
      <c r="AN3939">
        <v>0.99999999642866799</v>
      </c>
    </row>
    <row r="3940" spans="1:40" x14ac:dyDescent="0.25">
      <c r="A3940" t="str">
        <f>"20190312154332132"</f>
        <v>20190312154332132</v>
      </c>
      <c r="B3940" t="str">
        <f>"1552376612120753"</f>
        <v>1552376612120753</v>
      </c>
      <c r="C3940" t="s">
        <v>40</v>
      </c>
      <c r="D3940">
        <v>4.8637610000000002</v>
      </c>
      <c r="E3940">
        <v>0.48246359999999999</v>
      </c>
      <c r="F3940" t="s">
        <v>51</v>
      </c>
      <c r="G3940">
        <v>-302.04640000000001</v>
      </c>
      <c r="H3940" s="1">
        <v>2.2902659999999998E-6</v>
      </c>
      <c r="I3940">
        <v>214.89609999999999</v>
      </c>
      <c r="J3940">
        <v>-321.45490000000001</v>
      </c>
      <c r="K3940">
        <v>1.1105670000000001</v>
      </c>
      <c r="L3940">
        <v>215.11580000000001</v>
      </c>
      <c r="M3940">
        <v>0.99967799999999996</v>
      </c>
      <c r="N3940">
        <v>0</v>
      </c>
      <c r="O3940">
        <v>-2.0854930000000001E-2</v>
      </c>
      <c r="P3940">
        <v>0.99725419999999998</v>
      </c>
      <c r="Q3940">
        <v>4.303659E-2</v>
      </c>
      <c r="R3940">
        <v>-6.0270030000000002E-2</v>
      </c>
      <c r="S3940">
        <v>3.0126650000000001</v>
      </c>
      <c r="T3940">
        <v>-0.16860639999999999</v>
      </c>
      <c r="U3940">
        <v>-3.4698489999999999E-2</v>
      </c>
      <c r="V3940">
        <v>3.9407320000000003E-2</v>
      </c>
      <c r="W3940">
        <v>5.7504699999999999E-2</v>
      </c>
      <c r="X3940">
        <v>0.99756719999999999</v>
      </c>
      <c r="Y3940">
        <v>-9.2942849999999994E-3</v>
      </c>
      <c r="Z3940">
        <v>1.4261059999999999E-3</v>
      </c>
      <c r="AA3940">
        <v>0.99995579999999995</v>
      </c>
      <c r="AB3940">
        <v>43</v>
      </c>
      <c r="AC3940">
        <v>19.4085</v>
      </c>
      <c r="AD3940">
        <v>-1.1105647097339999</v>
      </c>
      <c r="AE3940">
        <v>-0.21970000000001699</v>
      </c>
      <c r="AF3940">
        <v>-0.184548828466128</v>
      </c>
      <c r="AG3940">
        <v>-1.1105647097339999</v>
      </c>
      <c r="AH3940">
        <v>19.345527509309701</v>
      </c>
      <c r="AI3940">
        <v>93.285411774891898</v>
      </c>
      <c r="AJ3940">
        <v>90.546562932549804</v>
      </c>
      <c r="AK3940">
        <v>19.378257064505299</v>
      </c>
      <c r="AL3940">
        <v>86.703404900149096</v>
      </c>
      <c r="AM3940">
        <v>87.737796781390998</v>
      </c>
      <c r="AN3940">
        <v>1.00000002295375</v>
      </c>
    </row>
    <row r="3941" spans="1:40" x14ac:dyDescent="0.25">
      <c r="A3941" t="str">
        <f>"20190312154332155"</f>
        <v>20190312154332155</v>
      </c>
      <c r="B3941" t="str">
        <f>"1552376612151008"</f>
        <v>1552376612151008</v>
      </c>
      <c r="C3941" t="s">
        <v>40</v>
      </c>
      <c r="D3941">
        <v>4.8111709999999999</v>
      </c>
      <c r="E3941">
        <v>0.48231649999999998</v>
      </c>
      <c r="F3941" t="s">
        <v>51</v>
      </c>
      <c r="G3941">
        <v>-300.40469999999999</v>
      </c>
      <c r="H3941" s="1">
        <v>2.5814809999999999E-6</v>
      </c>
      <c r="I3941">
        <v>214.89230000000001</v>
      </c>
      <c r="J3941">
        <v>-321.0197</v>
      </c>
      <c r="K3941">
        <v>1.110598</v>
      </c>
      <c r="L3941">
        <v>215.107</v>
      </c>
      <c r="M3941">
        <v>0.9996853</v>
      </c>
      <c r="N3941">
        <v>0</v>
      </c>
      <c r="O3941">
        <v>-2.049991E-2</v>
      </c>
      <c r="P3941">
        <v>0.99710679999999996</v>
      </c>
      <c r="Q3941">
        <v>4.7218059999999999E-2</v>
      </c>
      <c r="R3941">
        <v>-5.9569219999999999E-2</v>
      </c>
      <c r="S3941">
        <v>3.0131839999999999</v>
      </c>
      <c r="T3941">
        <v>-0.1589692</v>
      </c>
      <c r="U3941">
        <v>-3.1982419999999998E-2</v>
      </c>
      <c r="V3941">
        <v>3.9059370000000003E-2</v>
      </c>
      <c r="W3941">
        <v>6.1681010000000001E-2</v>
      </c>
      <c r="X3941">
        <v>0.99733130000000003</v>
      </c>
      <c r="Y3941">
        <v>-9.8473640000000008E-3</v>
      </c>
      <c r="Z3941">
        <v>1.3403519999999999E-3</v>
      </c>
      <c r="AA3941">
        <v>0.99995060000000002</v>
      </c>
      <c r="AB3941">
        <v>43</v>
      </c>
      <c r="AC3941">
        <v>20.614999999999998</v>
      </c>
      <c r="AD3941">
        <v>-1.1105954185189999</v>
      </c>
      <c r="AE3941">
        <v>-0.21469999999999301</v>
      </c>
      <c r="AF3941">
        <v>-0.207393097481367</v>
      </c>
      <c r="AG3941">
        <v>-1.1105954185189999</v>
      </c>
      <c r="AH3941">
        <v>20.555416843592699</v>
      </c>
      <c r="AI3941">
        <v>93.092488557859596</v>
      </c>
      <c r="AJ3941">
        <v>90.578063976541799</v>
      </c>
      <c r="AK3941">
        <v>20.586442035824799</v>
      </c>
      <c r="AL3941">
        <v>86.463693517294999</v>
      </c>
      <c r="AM3941">
        <v>87.757220781921106</v>
      </c>
      <c r="AN3941">
        <v>0.99999995166955202</v>
      </c>
    </row>
    <row r="3942" spans="1:40" x14ac:dyDescent="0.25">
      <c r="A3942" t="str">
        <f>"20190312154332177"</f>
        <v>20190312154332177</v>
      </c>
      <c r="B3942" t="str">
        <f>"1552376612171504"</f>
        <v>1552376612171504</v>
      </c>
      <c r="C3942" t="s">
        <v>40</v>
      </c>
      <c r="D3942">
        <v>4.82552</v>
      </c>
      <c r="E3942">
        <v>0.4822129</v>
      </c>
      <c r="F3942" t="s">
        <v>51</v>
      </c>
      <c r="G3942">
        <v>-297.71339999999998</v>
      </c>
      <c r="H3942" s="1">
        <v>2.2626379999999999E-6</v>
      </c>
      <c r="I3942">
        <v>214.88550000000001</v>
      </c>
      <c r="J3942">
        <v>-320.59769999999997</v>
      </c>
      <c r="K3942">
        <v>1.110609</v>
      </c>
      <c r="L3942">
        <v>215.0986</v>
      </c>
      <c r="M3942">
        <v>0.99969240000000004</v>
      </c>
      <c r="N3942">
        <v>0</v>
      </c>
      <c r="O3942">
        <v>-2.015169E-2</v>
      </c>
      <c r="P3942">
        <v>0.99719219999999997</v>
      </c>
      <c r="Q3942">
        <v>4.5941349999999999E-2</v>
      </c>
      <c r="R3942">
        <v>-5.9138259999999998E-2</v>
      </c>
      <c r="S3942">
        <v>3.0137939999999999</v>
      </c>
      <c r="T3942">
        <v>-0.14361409999999999</v>
      </c>
      <c r="U3942">
        <v>-2.864075E-2</v>
      </c>
      <c r="V3942">
        <v>3.897457E-2</v>
      </c>
      <c r="W3942">
        <v>6.0404060000000002E-2</v>
      </c>
      <c r="X3942">
        <v>0.99741279999999999</v>
      </c>
      <c r="Y3942">
        <v>-1.0617120000000001E-2</v>
      </c>
      <c r="Z3942">
        <v>1.2125510000000001E-3</v>
      </c>
      <c r="AA3942">
        <v>0.99994289999999997</v>
      </c>
      <c r="AB3942">
        <v>43</v>
      </c>
      <c r="AC3942">
        <v>22.8843</v>
      </c>
      <c r="AD3942">
        <v>-1.1106067373620001</v>
      </c>
      <c r="AE3942">
        <v>-0.21309999999999699</v>
      </c>
      <c r="AF3942">
        <v>-0.24756576387382001</v>
      </c>
      <c r="AG3942">
        <v>-1.1106067373620001</v>
      </c>
      <c r="AH3942">
        <v>22.830179631348201</v>
      </c>
      <c r="AI3942">
        <v>92.784876136902497</v>
      </c>
      <c r="AJ3942">
        <v>90.621279276649005</v>
      </c>
      <c r="AK3942">
        <v>22.858517846355198</v>
      </c>
      <c r="AL3942">
        <v>86.536994165182705</v>
      </c>
      <c r="AM3942">
        <v>87.762267697722393</v>
      </c>
      <c r="AN3942">
        <v>0.99999998058750394</v>
      </c>
    </row>
    <row r="3943" spans="1:40" x14ac:dyDescent="0.25">
      <c r="A3943" t="str">
        <f>"20190312154332199"</f>
        <v>20190312154332199</v>
      </c>
      <c r="B3943" t="str">
        <f>"1552376612191024"</f>
        <v>1552376612191024</v>
      </c>
      <c r="C3943" t="s">
        <v>40</v>
      </c>
      <c r="D3943">
        <v>4.8193640000000002</v>
      </c>
      <c r="E3943">
        <v>0.48251050000000001</v>
      </c>
      <c r="F3943" t="s">
        <v>51</v>
      </c>
      <c r="G3943">
        <v>-297.52</v>
      </c>
      <c r="H3943" s="1">
        <v>2.2283290000000001E-6</v>
      </c>
      <c r="I3943">
        <v>214.89609999999999</v>
      </c>
      <c r="J3943">
        <v>-320.17439999999999</v>
      </c>
      <c r="K3943">
        <v>1.110614</v>
      </c>
      <c r="L3943">
        <v>215.09039999999999</v>
      </c>
      <c r="M3943">
        <v>0.99969960000000002</v>
      </c>
      <c r="N3943">
        <v>0</v>
      </c>
      <c r="O3943">
        <v>-1.979558E-2</v>
      </c>
      <c r="P3943">
        <v>0.99725200000000003</v>
      </c>
      <c r="Q3943">
        <v>4.4635559999999998E-2</v>
      </c>
      <c r="R3943">
        <v>-5.9132160000000003E-2</v>
      </c>
      <c r="S3943">
        <v>3.0135190000000001</v>
      </c>
      <c r="T3943">
        <v>-0.14502419999999999</v>
      </c>
      <c r="U3943">
        <v>-2.6443479999999998E-2</v>
      </c>
      <c r="V3943">
        <v>3.9322580000000003E-2</v>
      </c>
      <c r="W3943">
        <v>5.9097950000000003E-2</v>
      </c>
      <c r="X3943">
        <v>0.99747739999999996</v>
      </c>
      <c r="Y3943">
        <v>-1.0988370000000001E-2</v>
      </c>
      <c r="Z3943">
        <v>1.216363E-3</v>
      </c>
      <c r="AA3943">
        <v>0.99993889999999996</v>
      </c>
      <c r="AB3943">
        <v>43</v>
      </c>
      <c r="AC3943">
        <v>22.654399999999999</v>
      </c>
      <c r="AD3943">
        <v>-1.110611771671</v>
      </c>
      <c r="AE3943">
        <v>-0.194299999999998</v>
      </c>
      <c r="AF3943">
        <v>-0.253632379302068</v>
      </c>
      <c r="AG3943">
        <v>-1.110611771671</v>
      </c>
      <c r="AH3943">
        <v>22.599495784967502</v>
      </c>
      <c r="AI3943">
        <v>92.813258245410097</v>
      </c>
      <c r="AJ3943">
        <v>90.642999071414707</v>
      </c>
      <c r="AK3943">
        <v>22.628190330337301</v>
      </c>
      <c r="AL3943">
        <v>86.611962767884606</v>
      </c>
      <c r="AM3943">
        <v>87.742453287455405</v>
      </c>
      <c r="AN3943">
        <v>0.99999999825140895</v>
      </c>
    </row>
    <row r="3944" spans="1:40" x14ac:dyDescent="0.25">
      <c r="A3944" t="str">
        <f>"20190312154332223"</f>
        <v>20190312154332223</v>
      </c>
      <c r="B3944" t="str">
        <f>"1552376612211520"</f>
        <v>1552376612211520</v>
      </c>
      <c r="C3944" t="s">
        <v>40</v>
      </c>
      <c r="D3944">
        <v>4.805898</v>
      </c>
      <c r="E3944">
        <v>0.48349530000000002</v>
      </c>
      <c r="F3944" t="s">
        <v>51</v>
      </c>
      <c r="G3944">
        <v>-297.54660000000001</v>
      </c>
      <c r="H3944" s="1">
        <v>2.2330500000000002E-6</v>
      </c>
      <c r="I3944">
        <v>214.87729999999999</v>
      </c>
      <c r="J3944">
        <v>-319.72430000000003</v>
      </c>
      <c r="K3944">
        <v>1.1106199999999999</v>
      </c>
      <c r="L3944">
        <v>215.08179999999999</v>
      </c>
      <c r="M3944">
        <v>0.99970729999999997</v>
      </c>
      <c r="N3944">
        <v>0</v>
      </c>
      <c r="O3944">
        <v>-1.9404370000000001E-2</v>
      </c>
      <c r="P3944">
        <v>0.9971949</v>
      </c>
      <c r="Q3944">
        <v>4.5714280000000003E-2</v>
      </c>
      <c r="R3944">
        <v>-5.9267769999999997E-2</v>
      </c>
      <c r="S3944">
        <v>3.013245</v>
      </c>
      <c r="T3944">
        <v>-0.147895</v>
      </c>
      <c r="U3944">
        <v>-2.838135E-2</v>
      </c>
      <c r="V3944">
        <v>3.9847109999999998E-2</v>
      </c>
      <c r="W3944">
        <v>6.0174159999999997E-2</v>
      </c>
      <c r="X3944">
        <v>0.99739219999999895</v>
      </c>
      <c r="Y3944">
        <v>-9.9535219999999994E-3</v>
      </c>
      <c r="Z3944">
        <v>1.1959519999999999E-3</v>
      </c>
      <c r="AA3944">
        <v>0.9999498</v>
      </c>
      <c r="AB3944">
        <v>43</v>
      </c>
      <c r="AC3944">
        <v>22.177700000000002</v>
      </c>
      <c r="AD3944">
        <v>-1.1106177669499999</v>
      </c>
      <c r="AE3944">
        <v>-0.20449999999999499</v>
      </c>
      <c r="AF3944">
        <v>-0.22536261940788099</v>
      </c>
      <c r="AG3944">
        <v>-1.1106177669499999</v>
      </c>
      <c r="AH3944">
        <v>22.1220187559253</v>
      </c>
      <c r="AI3944">
        <v>92.873925596054704</v>
      </c>
      <c r="AJ3944">
        <v>90.583666456543696</v>
      </c>
      <c r="AK3944">
        <v>22.151026476712101</v>
      </c>
      <c r="AL3944">
        <v>86.550190402733804</v>
      </c>
      <c r="AM3944">
        <v>87.712176096646502</v>
      </c>
      <c r="AN3944">
        <v>0.99999996116394796</v>
      </c>
    </row>
    <row r="3945" spans="1:40" x14ac:dyDescent="0.25">
      <c r="A3945" t="str">
        <f>"20190312154332244"</f>
        <v>20190312154332244</v>
      </c>
      <c r="B3945" t="str">
        <f>"1552376612241776"</f>
        <v>1552376612241776</v>
      </c>
      <c r="C3945" t="s">
        <v>40</v>
      </c>
      <c r="D3945">
        <v>4.7735370000000001</v>
      </c>
      <c r="E3945">
        <v>0.48415399999999997</v>
      </c>
      <c r="F3945" t="s">
        <v>51</v>
      </c>
      <c r="G3945">
        <v>-295.911</v>
      </c>
      <c r="H3945" s="1">
        <v>1.942921E-6</v>
      </c>
      <c r="I3945">
        <v>214.79339999999999</v>
      </c>
      <c r="J3945">
        <v>-319.30549999999999</v>
      </c>
      <c r="K3945">
        <v>1.1106320000000001</v>
      </c>
      <c r="L3945">
        <v>215.07400000000001</v>
      </c>
      <c r="M3945">
        <v>0.99971469999999996</v>
      </c>
      <c r="N3945">
        <v>0</v>
      </c>
      <c r="O3945">
        <v>-1.9024329999999999E-2</v>
      </c>
      <c r="P3945">
        <v>0.99729760000000001</v>
      </c>
      <c r="Q3945">
        <v>4.3483180000000003E-2</v>
      </c>
      <c r="R3945">
        <v>-5.9219920000000002E-2</v>
      </c>
      <c r="S3945">
        <v>3.0126949999999999</v>
      </c>
      <c r="T3945">
        <v>-0.14050789999999999</v>
      </c>
      <c r="U3945">
        <v>-3.6483759999999997E-2</v>
      </c>
      <c r="V3945">
        <v>4.0176770000000001E-2</v>
      </c>
      <c r="W3945">
        <v>5.7943599999999998E-2</v>
      </c>
      <c r="X3945">
        <v>0.99751109999999998</v>
      </c>
      <c r="Y3945">
        <v>-6.8898229999999998E-3</v>
      </c>
      <c r="Z3945">
        <v>1.047353E-3</v>
      </c>
      <c r="AA3945">
        <v>0.99997570000000002</v>
      </c>
      <c r="AB3945">
        <v>43</v>
      </c>
      <c r="AC3945">
        <v>23.394499999999901</v>
      </c>
      <c r="AD3945">
        <v>-1.110630057079</v>
      </c>
      <c r="AE3945">
        <v>-0.280600000000021</v>
      </c>
      <c r="AF3945">
        <v>-0.1641919084989</v>
      </c>
      <c r="AG3945">
        <v>-1.110630057079</v>
      </c>
      <c r="AH3945">
        <v>23.343001591447798</v>
      </c>
      <c r="AI3945">
        <v>92.723938138028004</v>
      </c>
      <c r="AJ3945">
        <v>90.403005080901394</v>
      </c>
      <c r="AK3945">
        <v>23.369984625686801</v>
      </c>
      <c r="AL3945">
        <v>86.678215752474202</v>
      </c>
      <c r="AM3945">
        <v>87.693543670476899</v>
      </c>
      <c r="AN3945">
        <v>1.0000000141259</v>
      </c>
    </row>
    <row r="3946" spans="1:40" x14ac:dyDescent="0.25">
      <c r="A3946" t="str">
        <f>"20190312154332267"</f>
        <v>20190312154332267</v>
      </c>
      <c r="B3946" t="str">
        <f>"1552376612261296"</f>
        <v>1552376612261296</v>
      </c>
      <c r="C3946" t="s">
        <v>40</v>
      </c>
      <c r="D3946">
        <v>4.7805679999999997</v>
      </c>
      <c r="E3946">
        <v>0.48454829999999999</v>
      </c>
      <c r="F3946" t="s">
        <v>51</v>
      </c>
      <c r="G3946">
        <v>-295.96280000000002</v>
      </c>
      <c r="H3946" s="1">
        <v>1.9521060000000001E-6</v>
      </c>
      <c r="I3946">
        <v>214.74870000000001</v>
      </c>
      <c r="J3946">
        <v>-318.87560000000002</v>
      </c>
      <c r="K3946">
        <v>1.110652</v>
      </c>
      <c r="L3946">
        <v>215.06610000000001</v>
      </c>
      <c r="M3946">
        <v>0.99972240000000001</v>
      </c>
      <c r="N3946">
        <v>0</v>
      </c>
      <c r="O3946">
        <v>-1.861575E-2</v>
      </c>
      <c r="P3946">
        <v>0.99726789999999998</v>
      </c>
      <c r="Q3946">
        <v>4.3629290000000001E-2</v>
      </c>
      <c r="R3946">
        <v>-5.961023E-2</v>
      </c>
      <c r="S3946">
        <v>3.0119020000000001</v>
      </c>
      <c r="T3946">
        <v>-0.14330399999999999</v>
      </c>
      <c r="U3946">
        <v>-4.1976930000000003E-2</v>
      </c>
      <c r="V3946">
        <v>4.097315E-2</v>
      </c>
      <c r="W3946">
        <v>5.8088790000000001E-2</v>
      </c>
      <c r="X3946">
        <v>0.99747030000000003</v>
      </c>
      <c r="Y3946">
        <v>-4.6563200000000003E-3</v>
      </c>
      <c r="Z3946">
        <v>9.9590909999999993E-4</v>
      </c>
      <c r="AA3946">
        <v>0.99998869999999895</v>
      </c>
      <c r="AB3946">
        <v>43</v>
      </c>
      <c r="AC3946">
        <v>22.912800000000001</v>
      </c>
      <c r="AD3946">
        <v>-1.110650047894</v>
      </c>
      <c r="AE3946">
        <v>-0.31739999999999202</v>
      </c>
      <c r="AF3946">
        <v>-0.108982441235244</v>
      </c>
      <c r="AG3946">
        <v>-1.110650047894</v>
      </c>
      <c r="AH3946">
        <v>22.861033411408702</v>
      </c>
      <c r="AI3946">
        <v>92.781363497428998</v>
      </c>
      <c r="AJ3946">
        <v>90.273136673662705</v>
      </c>
      <c r="AK3946">
        <v>22.888256144558699</v>
      </c>
      <c r="AL3946">
        <v>86.669883072402101</v>
      </c>
      <c r="AM3946">
        <v>87.647780067427306</v>
      </c>
      <c r="AN3946">
        <v>1.0000000529633299</v>
      </c>
    </row>
    <row r="3947" spans="1:40" x14ac:dyDescent="0.25">
      <c r="A3947" t="str">
        <f>"20190312154332289"</f>
        <v>20190312154332289</v>
      </c>
      <c r="B3947" t="str">
        <f>"1552376612281793"</f>
        <v>1552376612281793</v>
      </c>
      <c r="C3947" t="s">
        <v>40</v>
      </c>
      <c r="D3947">
        <v>4.7471800000000002</v>
      </c>
      <c r="E3947">
        <v>0.48494769999999998</v>
      </c>
      <c r="F3947" t="s">
        <v>51</v>
      </c>
      <c r="G3947">
        <v>-294.96260000000001</v>
      </c>
      <c r="H3947" s="1">
        <v>1.774702E-6</v>
      </c>
      <c r="I3947">
        <v>214.696</v>
      </c>
      <c r="J3947">
        <v>-318.44779999999997</v>
      </c>
      <c r="K3947">
        <v>1.1106750000000001</v>
      </c>
      <c r="L3947">
        <v>215.05850000000001</v>
      </c>
      <c r="M3947">
        <v>0.99973029999999996</v>
      </c>
      <c r="N3947">
        <v>0</v>
      </c>
      <c r="O3947">
        <v>-1.8187370000000001E-2</v>
      </c>
      <c r="P3947">
        <v>0.99728609999999895</v>
      </c>
      <c r="Q3947">
        <v>4.4288180000000003E-2</v>
      </c>
      <c r="R3947">
        <v>-5.8815609999999997E-2</v>
      </c>
      <c r="S3947">
        <v>3.0115660000000002</v>
      </c>
      <c r="T3947">
        <v>-0.1398739</v>
      </c>
      <c r="U3947">
        <v>-4.66156E-2</v>
      </c>
      <c r="V3947">
        <v>4.0602480000000003E-2</v>
      </c>
      <c r="W3947">
        <v>5.8745699999999998E-2</v>
      </c>
      <c r="X3947">
        <v>0.99744699999999997</v>
      </c>
      <c r="Y3947">
        <v>-2.6901450000000001E-3</v>
      </c>
      <c r="Z3947">
        <v>9.0667570000000004E-4</v>
      </c>
      <c r="AA3947">
        <v>0.99999590000000005</v>
      </c>
      <c r="AB3947">
        <v>43</v>
      </c>
      <c r="AC3947">
        <v>23.485199999999899</v>
      </c>
      <c r="AD3947">
        <v>-1.1106732252980001</v>
      </c>
      <c r="AE3947">
        <v>-0.36250000000001098</v>
      </c>
      <c r="AF3947">
        <v>-6.45941036845782E-2</v>
      </c>
      <c r="AG3947">
        <v>-1.1106732252980001</v>
      </c>
      <c r="AH3947">
        <v>23.435505400690801</v>
      </c>
      <c r="AI3947">
        <v>92.713364431068399</v>
      </c>
      <c r="AJ3947">
        <v>90.157921072634906</v>
      </c>
      <c r="AK3947">
        <v>23.461898490903</v>
      </c>
      <c r="AL3947">
        <v>86.632180568302502</v>
      </c>
      <c r="AM3947">
        <v>87.668981822661095</v>
      </c>
      <c r="AN3947">
        <v>1.00000006822981</v>
      </c>
    </row>
    <row r="3948" spans="1:40" x14ac:dyDescent="0.25">
      <c r="A3948" t="str">
        <f>"20190312154332312"</f>
        <v>20190312154332312</v>
      </c>
      <c r="B3948" t="str">
        <f>"1552376612301312"</f>
        <v>1552376612301312</v>
      </c>
      <c r="C3948" t="s">
        <v>40</v>
      </c>
      <c r="D3948">
        <v>4.7573990000000004</v>
      </c>
      <c r="E3948">
        <v>0.48529990000000001</v>
      </c>
      <c r="F3948" t="s">
        <v>51</v>
      </c>
      <c r="G3948">
        <v>-293.71499999999997</v>
      </c>
      <c r="H3948" s="1">
        <v>1.553385E-6</v>
      </c>
      <c r="I3948">
        <v>214.66890000000001</v>
      </c>
      <c r="J3948">
        <v>-318.01249999999999</v>
      </c>
      <c r="K3948">
        <v>1.110697</v>
      </c>
      <c r="L3948">
        <v>215.05099999999999</v>
      </c>
      <c r="M3948">
        <v>0.99973849999999997</v>
      </c>
      <c r="N3948">
        <v>0</v>
      </c>
      <c r="O3948">
        <v>-1.7730010000000001E-2</v>
      </c>
      <c r="P3948">
        <v>0.99732549999999998</v>
      </c>
      <c r="Q3948">
        <v>4.3985499999999997E-2</v>
      </c>
      <c r="R3948">
        <v>-5.837059E-2</v>
      </c>
      <c r="S3948">
        <v>3.0113530000000002</v>
      </c>
      <c r="T3948">
        <v>-0.13523070000000001</v>
      </c>
      <c r="U3948">
        <v>-4.7439580000000002E-2</v>
      </c>
      <c r="V3948">
        <v>4.0611229999999998E-2</v>
      </c>
      <c r="W3948">
        <v>5.8442960000000002E-2</v>
      </c>
      <c r="X3948">
        <v>0.99746440000000003</v>
      </c>
      <c r="Y3948">
        <v>-1.9606789999999999E-3</v>
      </c>
      <c r="Z3948">
        <v>8.3977379999999999E-4</v>
      </c>
      <c r="AA3948">
        <v>0.99999769999999999</v>
      </c>
      <c r="AB3948">
        <v>43</v>
      </c>
      <c r="AC3948">
        <v>24.297499999999999</v>
      </c>
      <c r="AD3948">
        <v>-1.1106954466150001</v>
      </c>
      <c r="AE3948">
        <v>-0.38209999999997901</v>
      </c>
      <c r="AF3948">
        <v>-4.8698191260658302E-2</v>
      </c>
      <c r="AG3948">
        <v>-1.1106954466150001</v>
      </c>
      <c r="AH3948">
        <v>24.249794979307801</v>
      </c>
      <c r="AI3948">
        <v>92.622438181556305</v>
      </c>
      <c r="AJ3948">
        <v>90.115060646110507</v>
      </c>
      <c r="AK3948">
        <v>24.2752666808714</v>
      </c>
      <c r="AL3948">
        <v>86.649556051585805</v>
      </c>
      <c r="AM3948">
        <v>87.668520659740196</v>
      </c>
      <c r="AN3948">
        <v>1.0000000404215099</v>
      </c>
    </row>
    <row r="3949" spans="1:40" x14ac:dyDescent="0.25">
      <c r="A3949" t="str">
        <f>"20190312154332334"</f>
        <v>20190312154332334</v>
      </c>
      <c r="B3949" t="str">
        <f>"1552376612321808"</f>
        <v>1552376612321808</v>
      </c>
      <c r="C3949" t="s">
        <v>40</v>
      </c>
      <c r="D3949">
        <v>4.7725140000000001</v>
      </c>
      <c r="E3949">
        <v>0.48562620000000001</v>
      </c>
      <c r="F3949" t="s">
        <v>51</v>
      </c>
      <c r="G3949">
        <v>-293.05869999999999</v>
      </c>
      <c r="H3949" s="1">
        <v>1.4369730000000001E-6</v>
      </c>
      <c r="I3949">
        <v>214.6447</v>
      </c>
      <c r="J3949">
        <v>-317.5976</v>
      </c>
      <c r="K3949">
        <v>1.110719</v>
      </c>
      <c r="L3949">
        <v>215.04409999999999</v>
      </c>
      <c r="M3949">
        <v>0.99974649999999998</v>
      </c>
      <c r="N3949">
        <v>0</v>
      </c>
      <c r="O3949">
        <v>-1.727795E-2</v>
      </c>
      <c r="P3949">
        <v>0.99727829999999995</v>
      </c>
      <c r="Q3949">
        <v>4.449993E-2</v>
      </c>
      <c r="R3949">
        <v>-5.8786070000000003E-2</v>
      </c>
      <c r="S3949">
        <v>3.0110779999999999</v>
      </c>
      <c r="T3949">
        <v>-0.13402310000000001</v>
      </c>
      <c r="U3949">
        <v>-4.9026489999999999E-2</v>
      </c>
      <c r="V3949">
        <v>4.1475810000000002E-2</v>
      </c>
      <c r="W3949">
        <v>5.895657E-2</v>
      </c>
      <c r="X3949">
        <v>0.99739860000000002</v>
      </c>
      <c r="Y3949">
        <v>-9.8193439999999998E-4</v>
      </c>
      <c r="Z3949">
        <v>7.9047509999999896E-4</v>
      </c>
      <c r="AA3949">
        <v>0.99999919999999998</v>
      </c>
      <c r="AB3949">
        <v>43</v>
      </c>
      <c r="AC3949">
        <v>24.538900000000002</v>
      </c>
      <c r="AD3949">
        <v>-1.1107175630270001</v>
      </c>
      <c r="AE3949">
        <v>-0.39939999999998499</v>
      </c>
      <c r="AF3949">
        <v>-2.4635248597703E-2</v>
      </c>
      <c r="AG3949">
        <v>-1.1107175630270001</v>
      </c>
      <c r="AH3949">
        <v>24.491972148793302</v>
      </c>
      <c r="AI3949">
        <v>92.596598668703606</v>
      </c>
      <c r="AJ3949">
        <v>90.057630936672197</v>
      </c>
      <c r="AK3949">
        <v>24.517157260529899</v>
      </c>
      <c r="AL3949">
        <v>86.620077547635503</v>
      </c>
      <c r="AM3949">
        <v>87.618784995638606</v>
      </c>
      <c r="AN3949">
        <v>1.0000000436216301</v>
      </c>
    </row>
    <row r="3950" spans="1:40" x14ac:dyDescent="0.25">
      <c r="A3950" t="str">
        <f>"20190312154332355"</f>
        <v>20190312154332355</v>
      </c>
      <c r="B3950" t="str">
        <f>"1552376612351088"</f>
        <v>1552376612351088</v>
      </c>
      <c r="C3950" t="s">
        <v>40</v>
      </c>
      <c r="D3950">
        <v>4.7910219999999999</v>
      </c>
      <c r="E3950">
        <v>0.48596810000000001</v>
      </c>
      <c r="F3950" t="s">
        <v>51</v>
      </c>
      <c r="G3950">
        <v>-291.98630000000003</v>
      </c>
      <c r="H3950" s="1">
        <v>1.2467479999999999E-6</v>
      </c>
      <c r="I3950">
        <v>214.59540000000001</v>
      </c>
      <c r="J3950">
        <v>-317.17790000000002</v>
      </c>
      <c r="K3950">
        <v>1.1107400000000001</v>
      </c>
      <c r="L3950">
        <v>215.03720000000001</v>
      </c>
      <c r="M3950">
        <v>0.99975449999999999</v>
      </c>
      <c r="N3950">
        <v>0</v>
      </c>
      <c r="O3950">
        <v>-1.6807800000000001E-2</v>
      </c>
      <c r="P3950">
        <v>0.99716830000000001</v>
      </c>
      <c r="Q3950">
        <v>4.491291E-2</v>
      </c>
      <c r="R3950">
        <v>-6.0320640000000002E-2</v>
      </c>
      <c r="S3950">
        <v>3.0108950000000001</v>
      </c>
      <c r="T3950">
        <v>-0.13057759999999999</v>
      </c>
      <c r="U3950">
        <v>-5.2749629999999999E-2</v>
      </c>
      <c r="V3950">
        <v>4.3478709999999997E-2</v>
      </c>
      <c r="W3950">
        <v>5.9369749999999999E-2</v>
      </c>
      <c r="X3950">
        <v>0.99728879999999998</v>
      </c>
      <c r="Y3950">
        <v>7.2257029999999996E-4</v>
      </c>
      <c r="Z3950">
        <v>7.1289189999999998E-4</v>
      </c>
      <c r="AA3950">
        <v>0.99999950000000004</v>
      </c>
      <c r="AB3950">
        <v>43</v>
      </c>
      <c r="AC3950">
        <v>25.191599999999902</v>
      </c>
      <c r="AD3950">
        <v>-1.1107387532520001</v>
      </c>
      <c r="AE3950">
        <v>-0.44180000000000003</v>
      </c>
      <c r="AF3950">
        <v>1.82426145858243E-2</v>
      </c>
      <c r="AG3950">
        <v>-1.1107387532520001</v>
      </c>
      <c r="AH3950">
        <v>25.146595365686501</v>
      </c>
      <c r="AI3950">
        <v>92.5291410242653</v>
      </c>
      <c r="AJ3950">
        <v>89.958434745360407</v>
      </c>
      <c r="AK3950">
        <v>25.171120989271198</v>
      </c>
      <c r="AL3950">
        <v>86.596362586427503</v>
      </c>
      <c r="AM3950">
        <v>87.503661848448999</v>
      </c>
      <c r="AN3950">
        <v>1.00000005802188</v>
      </c>
    </row>
    <row r="3951" spans="1:40" x14ac:dyDescent="0.25">
      <c r="A3951" t="str">
        <f>"20190312154332378"</f>
        <v>20190312154332378</v>
      </c>
      <c r="B3951" t="str">
        <f>"1552376612371584"</f>
        <v>1552376612371584</v>
      </c>
      <c r="C3951" t="s">
        <v>40</v>
      </c>
      <c r="D3951">
        <v>4.7572660000000004</v>
      </c>
      <c r="E3951">
        <v>0.4938901</v>
      </c>
      <c r="F3951" t="s">
        <v>51</v>
      </c>
      <c r="G3951">
        <v>-290.98149999999998</v>
      </c>
      <c r="H3951" s="1">
        <v>1.068508E-6</v>
      </c>
      <c r="I3951">
        <v>214.5111</v>
      </c>
      <c r="J3951">
        <v>-316.75479999999999</v>
      </c>
      <c r="K3951">
        <v>1.1107499999999999</v>
      </c>
      <c r="L3951">
        <v>215.03049999999999</v>
      </c>
      <c r="M3951">
        <v>0.9997627</v>
      </c>
      <c r="N3951">
        <v>0</v>
      </c>
      <c r="O3951">
        <v>-1.632422E-2</v>
      </c>
      <c r="P3951">
        <v>0.99705429999999995</v>
      </c>
      <c r="Q3951">
        <v>4.4586870000000001E-2</v>
      </c>
      <c r="R3951">
        <v>-6.240946E-2</v>
      </c>
      <c r="S3951">
        <v>3.0106510000000002</v>
      </c>
      <c r="T3951">
        <v>-0.1276526</v>
      </c>
      <c r="U3951">
        <v>-6.0470580000000003E-2</v>
      </c>
      <c r="V3951">
        <v>4.6050679999999997E-2</v>
      </c>
      <c r="W3951">
        <v>5.9043680000000001E-2</v>
      </c>
      <c r="X3951">
        <v>0.99719259999999998</v>
      </c>
      <c r="Y3951">
        <v>3.7674750000000002E-3</v>
      </c>
      <c r="Z3951">
        <v>6.1196549999999997E-4</v>
      </c>
      <c r="AA3951">
        <v>0.99999269999999996</v>
      </c>
      <c r="AB3951">
        <v>43</v>
      </c>
      <c r="AC3951">
        <v>25.773299999999999</v>
      </c>
      <c r="AD3951">
        <v>-1.1107489314919901</v>
      </c>
      <c r="AE3951">
        <v>-0.51939999999998998</v>
      </c>
      <c r="AF3951">
        <v>9.8375338331117695E-2</v>
      </c>
      <c r="AG3951">
        <v>-1.1107489314919901</v>
      </c>
      <c r="AH3951">
        <v>25.7305736422948</v>
      </c>
      <c r="AI3951">
        <v>92.471817166124197</v>
      </c>
      <c r="AJ3951">
        <v>89.780942923802996</v>
      </c>
      <c r="AK3951">
        <v>25.754725020033899</v>
      </c>
      <c r="AL3951">
        <v>86.615077490244403</v>
      </c>
      <c r="AM3951">
        <v>87.355940712247602</v>
      </c>
      <c r="AN3951">
        <v>0.99999995138558095</v>
      </c>
    </row>
    <row r="3952" spans="1:40" x14ac:dyDescent="0.25">
      <c r="A3952" t="str">
        <f>"20190312154332399"</f>
        <v>20190312154332399</v>
      </c>
      <c r="B3952" t="str">
        <f>"1552376612391104"</f>
        <v>1552376612391104</v>
      </c>
      <c r="C3952" t="s">
        <v>40</v>
      </c>
      <c r="D3952">
        <v>4.7754589999999997</v>
      </c>
      <c r="E3952">
        <v>0.49347170000000001</v>
      </c>
      <c r="F3952" t="s">
        <v>50</v>
      </c>
      <c r="G3952">
        <v>-276.49930000000001</v>
      </c>
      <c r="H3952" s="1">
        <v>1.9806830000000001E-6</v>
      </c>
      <c r="I3952">
        <v>213.26949999999999</v>
      </c>
      <c r="J3952">
        <v>-316.33229999999998</v>
      </c>
      <c r="K3952">
        <v>1.1107560000000001</v>
      </c>
      <c r="L3952">
        <v>215.024</v>
      </c>
      <c r="M3952">
        <v>0.99977059999999995</v>
      </c>
      <c r="N3952">
        <v>0</v>
      </c>
      <c r="O3952">
        <v>-1.5834839999999999E-2</v>
      </c>
      <c r="P3952">
        <v>0.99703339999999996</v>
      </c>
      <c r="Q3952">
        <v>4.458699E-2</v>
      </c>
      <c r="R3952">
        <v>-6.2745819999999994E-2</v>
      </c>
      <c r="S3952">
        <v>3.0043329999999999</v>
      </c>
      <c r="T3952">
        <v>-8.2896949999999997E-2</v>
      </c>
      <c r="U3952">
        <v>-0.13142400000000001</v>
      </c>
      <c r="V3952">
        <v>4.687417E-2</v>
      </c>
      <c r="W3952">
        <v>5.9042740000000003E-2</v>
      </c>
      <c r="X3952">
        <v>0.9971544</v>
      </c>
      <c r="Y3952">
        <v>2.7871590000000002E-2</v>
      </c>
      <c r="Z3952" s="1">
        <v>5.2358170000000001E-5</v>
      </c>
      <c r="AA3952">
        <v>0.99961149999999999</v>
      </c>
      <c r="AB3952">
        <v>43</v>
      </c>
      <c r="AC3952">
        <v>39.832999999999899</v>
      </c>
      <c r="AD3952">
        <v>-1.11075401931699</v>
      </c>
      <c r="AE3952">
        <v>-1.7544999999999999</v>
      </c>
      <c r="AF3952">
        <v>1.1225939596158601</v>
      </c>
      <c r="AG3952">
        <v>-1.11075401931699</v>
      </c>
      <c r="AH3952">
        <v>39.824882455978901</v>
      </c>
      <c r="AI3952">
        <v>91.596985839629298</v>
      </c>
      <c r="AJ3952">
        <v>88.3853594932324</v>
      </c>
      <c r="AK3952">
        <v>39.856182134295402</v>
      </c>
      <c r="AL3952">
        <v>86.615131828097603</v>
      </c>
      <c r="AM3952">
        <v>87.308624927702297</v>
      </c>
      <c r="AN3952">
        <v>1.0000000651996199</v>
      </c>
    </row>
    <row r="3953" spans="1:40" x14ac:dyDescent="0.25">
      <c r="A3953" t="str">
        <f>"20190312154332424"</f>
        <v>20190312154332424</v>
      </c>
      <c r="B3953" t="str">
        <f>"1552376612411600"</f>
        <v>1552376612411600</v>
      </c>
      <c r="C3953" t="s">
        <v>40</v>
      </c>
      <c r="D3953">
        <v>4.7833170000000003</v>
      </c>
      <c r="E3953">
        <v>0.49327959999999899</v>
      </c>
      <c r="F3953" t="s">
        <v>50</v>
      </c>
      <c r="G3953">
        <v>-277.03559999999999</v>
      </c>
      <c r="H3953" s="1">
        <v>2.2631450000000002E-6</v>
      </c>
      <c r="I3953">
        <v>213.3373</v>
      </c>
      <c r="J3953">
        <v>-315.88569999999999</v>
      </c>
      <c r="K3953">
        <v>1.110754</v>
      </c>
      <c r="L3953">
        <v>215.01740000000001</v>
      </c>
      <c r="M3953">
        <v>0.99977870000000002</v>
      </c>
      <c r="N3953">
        <v>0</v>
      </c>
      <c r="O3953">
        <v>-1.531365E-2</v>
      </c>
      <c r="P3953">
        <v>0.99715299999999996</v>
      </c>
      <c r="Q3953">
        <v>4.393702E-2</v>
      </c>
      <c r="R3953">
        <v>-6.128488E-2</v>
      </c>
      <c r="S3953">
        <v>3.004578</v>
      </c>
      <c r="T3953">
        <v>-8.4927080000000002E-2</v>
      </c>
      <c r="U3953">
        <v>-0.12896730000000001</v>
      </c>
      <c r="V3953">
        <v>4.5931520000000003E-2</v>
      </c>
      <c r="W3953">
        <v>5.8391070000000003E-2</v>
      </c>
      <c r="X3953">
        <v>0.99723649999999997</v>
      </c>
      <c r="Y3953">
        <v>2.757304E-2</v>
      </c>
      <c r="Z3953" s="1">
        <v>4.3133909999999998E-5</v>
      </c>
      <c r="AA3953">
        <v>0.99961979999999995</v>
      </c>
      <c r="AB3953">
        <v>43</v>
      </c>
      <c r="AC3953">
        <v>38.850099999999998</v>
      </c>
      <c r="AD3953">
        <v>-1.1107517368549999</v>
      </c>
      <c r="AE3953">
        <v>-1.6801000000000099</v>
      </c>
      <c r="AF3953">
        <v>1.0840197648825001</v>
      </c>
      <c r="AG3953">
        <v>-1.1107517368549999</v>
      </c>
      <c r="AH3953">
        <v>38.839585282959</v>
      </c>
      <c r="AI3953">
        <v>91.637486383854593</v>
      </c>
      <c r="AJ3953">
        <v>88.401279593024498</v>
      </c>
      <c r="AK3953">
        <v>38.870583391863597</v>
      </c>
      <c r="AL3953">
        <v>86.652533842832497</v>
      </c>
      <c r="AM3953">
        <v>87.362888697129307</v>
      </c>
      <c r="AN3953">
        <v>0.99999992925875003</v>
      </c>
    </row>
    <row r="3954" spans="1:40" x14ac:dyDescent="0.25">
      <c r="A3954" t="str">
        <f>"20190312154332445"</f>
        <v>20190312154332445</v>
      </c>
      <c r="B3954" t="str">
        <f>"1552376612441856"</f>
        <v>1552376612441856</v>
      </c>
      <c r="C3954" t="s">
        <v>40</v>
      </c>
      <c r="D3954">
        <v>4.7744549999999997</v>
      </c>
      <c r="E3954">
        <v>0.49320350000000002</v>
      </c>
      <c r="F3954" t="s">
        <v>50</v>
      </c>
      <c r="G3954">
        <v>-277.65960000000001</v>
      </c>
      <c r="H3954" s="1">
        <v>2.5901660000000001E-6</v>
      </c>
      <c r="I3954">
        <v>213.45249999999999</v>
      </c>
      <c r="J3954">
        <v>-315.47309999999999</v>
      </c>
      <c r="K3954">
        <v>1.1107479999999901</v>
      </c>
      <c r="L3954">
        <v>215.01150000000001</v>
      </c>
      <c r="M3954">
        <v>0.99978599999999995</v>
      </c>
      <c r="N3954">
        <v>0</v>
      </c>
      <c r="O3954">
        <v>-1.483052E-2</v>
      </c>
      <c r="P3954">
        <v>0.99726709999999996</v>
      </c>
      <c r="Q3954">
        <v>4.2994329999999997E-2</v>
      </c>
      <c r="R3954">
        <v>-6.0085220000000002E-2</v>
      </c>
      <c r="S3954">
        <v>3.0048219999999999</v>
      </c>
      <c r="T3954">
        <v>-8.7312580000000001E-2</v>
      </c>
      <c r="U3954">
        <v>-0.1230164</v>
      </c>
      <c r="V3954">
        <v>4.5212960000000003E-2</v>
      </c>
      <c r="W3954">
        <v>5.7447079999999998E-2</v>
      </c>
      <c r="X3954">
        <v>0.99732419999999999</v>
      </c>
      <c r="Y3954">
        <v>2.6076499999999999E-2</v>
      </c>
      <c r="Z3954" s="1">
        <v>5.204635E-5</v>
      </c>
      <c r="AA3954">
        <v>0.99965999999999999</v>
      </c>
      <c r="AB3954">
        <v>43</v>
      </c>
      <c r="AC3954">
        <v>37.813499999999898</v>
      </c>
      <c r="AD3954">
        <v>-1.1107454098339999</v>
      </c>
      <c r="AE3954">
        <v>-1.5590000000000199</v>
      </c>
      <c r="AF3954">
        <v>0.99711740306544705</v>
      </c>
      <c r="AG3954">
        <v>-1.1107454098339999</v>
      </c>
      <c r="AH3954">
        <v>37.799903359186899</v>
      </c>
      <c r="AI3954">
        <v>91.6825599828653</v>
      </c>
      <c r="AJ3954">
        <v>88.488954520611898</v>
      </c>
      <c r="AK3954">
        <v>37.829362834243398</v>
      </c>
      <c r="AL3954">
        <v>86.706711572662996</v>
      </c>
      <c r="AM3954">
        <v>87.404315163546897</v>
      </c>
      <c r="AN3954">
        <v>0.99999996932906299</v>
      </c>
    </row>
    <row r="3955" spans="1:40" x14ac:dyDescent="0.25">
      <c r="A3955" t="str">
        <f>"20190312154332467"</f>
        <v>20190312154332467</v>
      </c>
      <c r="B3955" t="str">
        <f>"1552376612461377"</f>
        <v>1552376612461377</v>
      </c>
      <c r="C3955" t="s">
        <v>40</v>
      </c>
      <c r="D3955">
        <v>4.798146</v>
      </c>
      <c r="E3955">
        <v>0.4931914</v>
      </c>
      <c r="F3955" t="s">
        <v>50</v>
      </c>
      <c r="G3955">
        <v>-279.66629999999998</v>
      </c>
      <c r="H3955" s="1">
        <v>3.6516089999999999E-6</v>
      </c>
      <c r="I3955">
        <v>213.5992</v>
      </c>
      <c r="J3955">
        <v>-315.06020000000001</v>
      </c>
      <c r="K3955">
        <v>1.110746</v>
      </c>
      <c r="L3955">
        <v>215.00579999999999</v>
      </c>
      <c r="M3955">
        <v>0.99979309999999999</v>
      </c>
      <c r="N3955">
        <v>0</v>
      </c>
      <c r="O3955">
        <v>-1.4346579999999999E-2</v>
      </c>
      <c r="P3955">
        <v>0.99727960000000004</v>
      </c>
      <c r="Q3955">
        <v>4.2125559999999999E-2</v>
      </c>
      <c r="R3955">
        <v>-6.0490149999999999E-2</v>
      </c>
      <c r="S3955">
        <v>3.005096</v>
      </c>
      <c r="T3955">
        <v>-9.3219759999999999E-2</v>
      </c>
      <c r="U3955">
        <v>-0.11853030000000001</v>
      </c>
      <c r="V3955">
        <v>4.6100990000000001E-2</v>
      </c>
      <c r="W3955">
        <v>5.657732E-2</v>
      </c>
      <c r="X3955">
        <v>0.99733329999999998</v>
      </c>
      <c r="Y3955">
        <v>2.5066310000000001E-2</v>
      </c>
      <c r="Z3955" s="1">
        <v>5.6221270000000001E-5</v>
      </c>
      <c r="AA3955">
        <v>0.99968579999999996</v>
      </c>
      <c r="AB3955">
        <v>43</v>
      </c>
      <c r="AC3955">
        <v>35.393900000000002</v>
      </c>
      <c r="AD3955">
        <v>-1.1107423483909999</v>
      </c>
      <c r="AE3955">
        <v>-1.4065999999999901</v>
      </c>
      <c r="AF3955">
        <v>0.89773824507363198</v>
      </c>
      <c r="AG3955">
        <v>-1.1107423483909999</v>
      </c>
      <c r="AH3955">
        <v>35.375653836222398</v>
      </c>
      <c r="AI3955">
        <v>91.797832064364101</v>
      </c>
      <c r="AJ3955">
        <v>88.546300367792298</v>
      </c>
      <c r="AK3955">
        <v>35.404471001010798</v>
      </c>
      <c r="AL3955">
        <v>86.756626449105099</v>
      </c>
      <c r="AM3955">
        <v>87.353429094431803</v>
      </c>
      <c r="AN3955">
        <v>1.00000000285312</v>
      </c>
    </row>
    <row r="3956" spans="1:40" x14ac:dyDescent="0.25">
      <c r="A3956" t="str">
        <f>"20190312154332490"</f>
        <v>20190312154332490</v>
      </c>
      <c r="B3956" t="str">
        <f>"1552376612481873"</f>
        <v>1552376612481873</v>
      </c>
      <c r="C3956" t="s">
        <v>40</v>
      </c>
      <c r="D3956">
        <v>4.7739710000000004</v>
      </c>
      <c r="E3956">
        <v>0.49318299999999998</v>
      </c>
      <c r="F3956" t="s">
        <v>51</v>
      </c>
      <c r="G3956">
        <v>-280.4384</v>
      </c>
      <c r="H3956" s="1">
        <v>7.0145850000000004E-6</v>
      </c>
      <c r="I3956">
        <v>213.62559999999999</v>
      </c>
      <c r="J3956">
        <v>-314.62880000000001</v>
      </c>
      <c r="K3956">
        <v>1.1107610000000001</v>
      </c>
      <c r="L3956">
        <v>215</v>
      </c>
      <c r="M3956">
        <v>0.99980009999999997</v>
      </c>
      <c r="N3956">
        <v>0</v>
      </c>
      <c r="O3956">
        <v>-1.384119E-2</v>
      </c>
      <c r="P3956">
        <v>0.9972782</v>
      </c>
      <c r="Q3956">
        <v>4.2597299999999998E-2</v>
      </c>
      <c r="R3956">
        <v>-6.0182619999999999E-2</v>
      </c>
      <c r="S3956">
        <v>3.0050659999999998</v>
      </c>
      <c r="T3956">
        <v>-9.6408839999999996E-2</v>
      </c>
      <c r="U3956">
        <v>-0.11979679999999999</v>
      </c>
      <c r="V3956">
        <v>4.6296820000000002E-2</v>
      </c>
      <c r="W3956">
        <v>5.704625E-2</v>
      </c>
      <c r="X3956">
        <v>0.99729749999999995</v>
      </c>
      <c r="Y3956">
        <v>2.5991589999999998E-2</v>
      </c>
      <c r="Z3956" s="1">
        <v>2.7109169999999999E-5</v>
      </c>
      <c r="AA3956">
        <v>0.99966219999999995</v>
      </c>
      <c r="AB3956">
        <v>43</v>
      </c>
      <c r="AC3956">
        <v>34.190399999999997</v>
      </c>
      <c r="AD3956">
        <v>-1.1107539854149999</v>
      </c>
      <c r="AE3956">
        <v>-1.3744000000000001</v>
      </c>
      <c r="AF3956">
        <v>0.90003483696414599</v>
      </c>
      <c r="AG3956">
        <v>-1.1107539854149999</v>
      </c>
      <c r="AH3956">
        <v>34.170143556540303</v>
      </c>
      <c r="AI3956">
        <v>91.861188302027102</v>
      </c>
      <c r="AJ3956">
        <v>88.491189341988701</v>
      </c>
      <c r="AK3956">
        <v>34.200037248494901</v>
      </c>
      <c r="AL3956">
        <v>86.729715222564906</v>
      </c>
      <c r="AM3956">
        <v>87.342107679507905</v>
      </c>
      <c r="AN3956">
        <v>0.99999998684371205</v>
      </c>
    </row>
    <row r="3957" spans="1:40" x14ac:dyDescent="0.25">
      <c r="A3957" t="str">
        <f>"20190312154332512"</f>
        <v>20190312154332512</v>
      </c>
      <c r="B3957" t="str">
        <f>"1552376612501396"</f>
        <v>1552376612501396</v>
      </c>
      <c r="C3957" t="s">
        <v>40</v>
      </c>
      <c r="D3957">
        <v>4.7969780000000002</v>
      </c>
      <c r="E3957">
        <v>0.4931487</v>
      </c>
      <c r="F3957" t="s">
        <v>50</v>
      </c>
      <c r="G3957">
        <v>-279.5566</v>
      </c>
      <c r="H3957" s="1">
        <v>3.5925989999999999E-6</v>
      </c>
      <c r="I3957">
        <v>213.61349999999999</v>
      </c>
      <c r="J3957">
        <v>-314.20440000000002</v>
      </c>
      <c r="K3957">
        <v>1.110765</v>
      </c>
      <c r="L3957">
        <v>214.99459999999999</v>
      </c>
      <c r="M3957">
        <v>0.999807</v>
      </c>
      <c r="N3957">
        <v>0</v>
      </c>
      <c r="O3957">
        <v>-1.3343799999999999E-2</v>
      </c>
      <c r="P3957">
        <v>0.99726870000000001</v>
      </c>
      <c r="Q3957">
        <v>4.3986949999999997E-2</v>
      </c>
      <c r="R3957">
        <v>-5.933132E-2</v>
      </c>
      <c r="S3957">
        <v>3.0051269999999999</v>
      </c>
      <c r="T3957">
        <v>-9.5174309999999998E-2</v>
      </c>
      <c r="U3957">
        <v>-0.1188049</v>
      </c>
      <c r="V3957">
        <v>4.5940090000000003E-2</v>
      </c>
      <c r="W3957">
        <v>5.8432959999999999E-2</v>
      </c>
      <c r="X3957">
        <v>0.9972337</v>
      </c>
      <c r="Y3957">
        <v>2.6158520000000001E-2</v>
      </c>
      <c r="Z3957" s="1">
        <v>8.3796619999999998E-6</v>
      </c>
      <c r="AA3957">
        <v>0.99965780000000004</v>
      </c>
      <c r="AB3957">
        <v>42</v>
      </c>
      <c r="AC3957">
        <v>34.647799999999997</v>
      </c>
      <c r="AD3957">
        <v>-1.1107614074009999</v>
      </c>
      <c r="AE3957">
        <v>-1.3811</v>
      </c>
      <c r="AF3957">
        <v>0.917654000969783</v>
      </c>
      <c r="AG3957">
        <v>-1.1107614074009999</v>
      </c>
      <c r="AH3957">
        <v>34.627613320318801</v>
      </c>
      <c r="AI3957">
        <v>91.836621331312003</v>
      </c>
      <c r="AJ3957">
        <v>88.481980324606099</v>
      </c>
      <c r="AK3957">
        <v>34.657574699208098</v>
      </c>
      <c r="AL3957">
        <v>86.650129779341597</v>
      </c>
      <c r="AM3957">
        <v>87.362389958812102</v>
      </c>
      <c r="AN3957">
        <v>0.99999997754962899</v>
      </c>
    </row>
    <row r="3958" spans="1:40" x14ac:dyDescent="0.25">
      <c r="A3958" t="str">
        <f>"20190312154332533"</f>
        <v>20190312154332533</v>
      </c>
      <c r="B3958" t="str">
        <f>"1552376612521888"</f>
        <v>1552376612521888</v>
      </c>
      <c r="C3958" t="s">
        <v>40</v>
      </c>
      <c r="D3958">
        <v>4.7740960000000001</v>
      </c>
      <c r="E3958">
        <v>0.49315579999999998</v>
      </c>
      <c r="F3958" t="s">
        <v>50</v>
      </c>
      <c r="G3958">
        <v>-277.8528</v>
      </c>
      <c r="H3958" s="1">
        <v>2.6868190000000002E-6</v>
      </c>
      <c r="I3958">
        <v>213.59299999999999</v>
      </c>
      <c r="J3958">
        <v>-313.80040000000002</v>
      </c>
      <c r="K3958">
        <v>1.110771</v>
      </c>
      <c r="L3958">
        <v>214.9896</v>
      </c>
      <c r="M3958">
        <v>0.99981330000000002</v>
      </c>
      <c r="N3958">
        <v>0</v>
      </c>
      <c r="O3958">
        <v>-1.287051E-2</v>
      </c>
      <c r="P3958">
        <v>0.99736060000000004</v>
      </c>
      <c r="Q3958">
        <v>4.4156189999999998E-2</v>
      </c>
      <c r="R3958">
        <v>-5.7639700000000002E-2</v>
      </c>
      <c r="S3958">
        <v>3.0054020000000001</v>
      </c>
      <c r="T3958">
        <v>-9.1833349999999994E-2</v>
      </c>
      <c r="U3958">
        <v>-0.1158752</v>
      </c>
      <c r="V3958">
        <v>4.471903E-2</v>
      </c>
      <c r="W3958">
        <v>5.859909E-2</v>
      </c>
      <c r="X3958">
        <v>0.99727949999999999</v>
      </c>
      <c r="Y3958">
        <v>2.5655589999999999E-2</v>
      </c>
      <c r="Z3958" s="1">
        <v>1.312816E-6</v>
      </c>
      <c r="AA3958">
        <v>0.99967090000000003</v>
      </c>
      <c r="AB3958">
        <v>42</v>
      </c>
      <c r="AC3958">
        <v>35.947600000000001</v>
      </c>
      <c r="AD3958">
        <v>-1.110768313181</v>
      </c>
      <c r="AE3958">
        <v>-1.3966000000000001</v>
      </c>
      <c r="AF3958">
        <v>0.93288293039485704</v>
      </c>
      <c r="AG3958">
        <v>-1.110768313181</v>
      </c>
      <c r="AH3958">
        <v>35.928346448626101</v>
      </c>
      <c r="AI3958">
        <v>91.770208080363602</v>
      </c>
      <c r="AJ3958">
        <v>88.512643830767999</v>
      </c>
      <c r="AK3958">
        <v>35.957616096452902</v>
      </c>
      <c r="AL3958">
        <v>86.640595045997003</v>
      </c>
      <c r="AM3958">
        <v>87.432518709665402</v>
      </c>
      <c r="AN3958">
        <v>1.0000000230566</v>
      </c>
    </row>
    <row r="3959" spans="1:40" x14ac:dyDescent="0.25">
      <c r="A3959" t="str">
        <f>"20190312154332567"</f>
        <v>20190312154332567</v>
      </c>
      <c r="B3959" t="str">
        <f>"1552376612561904"</f>
        <v>1552376612561904</v>
      </c>
      <c r="C3959" t="s">
        <v>40</v>
      </c>
      <c r="D3959">
        <v>4.7831140000000003</v>
      </c>
      <c r="E3959">
        <v>0.49324609999999902</v>
      </c>
      <c r="F3959" t="s">
        <v>50</v>
      </c>
      <c r="G3959">
        <v>-277.15129999999999</v>
      </c>
      <c r="H3959" s="1">
        <v>2.3117089999999999E-6</v>
      </c>
      <c r="I3959">
        <v>213.6345</v>
      </c>
      <c r="J3959">
        <v>-313.1601</v>
      </c>
      <c r="K3959">
        <v>1.1107750000000001</v>
      </c>
      <c r="L3959">
        <v>214.9821</v>
      </c>
      <c r="M3959">
        <v>0.99982269999999895</v>
      </c>
      <c r="N3959">
        <v>0</v>
      </c>
      <c r="O3959">
        <v>-1.2119359999999999E-2</v>
      </c>
      <c r="P3959">
        <v>0.99751219999999996</v>
      </c>
      <c r="Q3959">
        <v>4.3332540000000003E-2</v>
      </c>
      <c r="R3959">
        <v>-5.5601739999999997E-2</v>
      </c>
      <c r="S3959">
        <v>3.0055239999999999</v>
      </c>
      <c r="T3959">
        <v>-9.1091989999999998E-2</v>
      </c>
      <c r="U3959">
        <v>-0.1111298</v>
      </c>
      <c r="V3959">
        <v>4.343027E-2</v>
      </c>
      <c r="W3959">
        <v>5.7771749999999997E-2</v>
      </c>
      <c r="X3959">
        <v>0.99738470000000001</v>
      </c>
      <c r="Y3959">
        <v>2.482904E-2</v>
      </c>
      <c r="Z3959" s="1">
        <v>-8.9299870000000003E-6</v>
      </c>
      <c r="AA3959">
        <v>0.99969169999999996</v>
      </c>
      <c r="AB3959">
        <v>42</v>
      </c>
      <c r="AC3959">
        <v>36.008800000000001</v>
      </c>
      <c r="AD3959">
        <v>-1.1107726882910001</v>
      </c>
      <c r="AE3959">
        <v>-1.3475999999999999</v>
      </c>
      <c r="AF3959">
        <v>0.91018719288149597</v>
      </c>
      <c r="AG3959">
        <v>-1.1107726882910001</v>
      </c>
      <c r="AH3959">
        <v>35.988291752895897</v>
      </c>
      <c r="AI3959">
        <v>91.767298774668305</v>
      </c>
      <c r="AJ3959">
        <v>88.551229655311303</v>
      </c>
      <c r="AK3959">
        <v>36.016932128968101</v>
      </c>
      <c r="AL3959">
        <v>86.688078512352902</v>
      </c>
      <c r="AM3959">
        <v>87.506678984425406</v>
      </c>
      <c r="AN3959">
        <v>1.0000000016222099</v>
      </c>
    </row>
    <row r="3960" spans="1:40" x14ac:dyDescent="0.25">
      <c r="A3960" t="str">
        <f>"20190312154332590"</f>
        <v>20190312154332590</v>
      </c>
      <c r="B3960" t="str">
        <f>"1552376612581428"</f>
        <v>1552376612581428</v>
      </c>
      <c r="C3960" t="s">
        <v>40</v>
      </c>
      <c r="D3960">
        <v>4.7826870000000001</v>
      </c>
      <c r="E3960">
        <v>0.49330839999999998</v>
      </c>
      <c r="F3960" t="s">
        <v>50</v>
      </c>
      <c r="G3960">
        <v>-277.47059999999999</v>
      </c>
      <c r="H3960" s="1">
        <v>2.477638E-6</v>
      </c>
      <c r="I3960">
        <v>213.7252</v>
      </c>
      <c r="J3960">
        <v>-312.73829999999998</v>
      </c>
      <c r="K3960">
        <v>1.1107739999999999</v>
      </c>
      <c r="L3960">
        <v>214.97739999999999</v>
      </c>
      <c r="M3960">
        <v>0.99982859999999996</v>
      </c>
      <c r="N3960">
        <v>0</v>
      </c>
      <c r="O3960">
        <v>-1.1624509999999999E-2</v>
      </c>
      <c r="P3960">
        <v>0.99753610000000004</v>
      </c>
      <c r="Q3960">
        <v>4.3627050000000001E-2</v>
      </c>
      <c r="R3960">
        <v>-5.4939830000000002E-2</v>
      </c>
      <c r="S3960">
        <v>3.005646</v>
      </c>
      <c r="T3960">
        <v>-9.3545439999999994E-2</v>
      </c>
      <c r="U3960">
        <v>-0.10585020000000001</v>
      </c>
      <c r="V3960">
        <v>4.3261519999999998E-2</v>
      </c>
      <c r="W3960">
        <v>5.806356E-2</v>
      </c>
      <c r="X3960">
        <v>0.99737509999999996</v>
      </c>
      <c r="Y3960">
        <v>2.3568639999999998E-2</v>
      </c>
      <c r="Z3960" s="1">
        <v>-4.9580120000000001E-6</v>
      </c>
      <c r="AA3960">
        <v>0.99972220000000001</v>
      </c>
      <c r="AB3960">
        <v>42</v>
      </c>
      <c r="AC3960">
        <v>35.267699999999898</v>
      </c>
      <c r="AD3960">
        <v>-1.1107715223619901</v>
      </c>
      <c r="AE3960">
        <v>-1.25219999999998</v>
      </c>
      <c r="AF3960">
        <v>0.84126961674840905</v>
      </c>
      <c r="AG3960">
        <v>-1.1107715223619901</v>
      </c>
      <c r="AH3960">
        <v>35.244956646881803</v>
      </c>
      <c r="AI3960">
        <v>91.804608769336795</v>
      </c>
      <c r="AJ3960">
        <v>88.632654083295293</v>
      </c>
      <c r="AK3960">
        <v>35.272489520638203</v>
      </c>
      <c r="AL3960">
        <v>86.671330956050099</v>
      </c>
      <c r="AM3960">
        <v>87.516330849255297</v>
      </c>
      <c r="AN3960">
        <v>1.0000000131062901</v>
      </c>
    </row>
    <row r="3961" spans="1:40" x14ac:dyDescent="0.25">
      <c r="A3961" t="str">
        <f>"20190312154332612"</f>
        <v>20190312154332612</v>
      </c>
      <c r="B3961" t="str">
        <f>"1552376612600944"</f>
        <v>1552376612600944</v>
      </c>
      <c r="C3961" t="s">
        <v>40</v>
      </c>
      <c r="D3961">
        <v>4.7822820000000004</v>
      </c>
      <c r="E3961">
        <v>0.49331439999999999</v>
      </c>
      <c r="F3961" t="s">
        <v>50</v>
      </c>
      <c r="G3961">
        <v>-276.66579999999999</v>
      </c>
      <c r="H3961" s="1">
        <v>2.0494109999999999E-6</v>
      </c>
      <c r="I3961">
        <v>213.72470000000001</v>
      </c>
      <c r="J3961">
        <v>-312.30520000000001</v>
      </c>
      <c r="K3961">
        <v>1.1107849999999999</v>
      </c>
      <c r="L3961">
        <v>214.97290000000001</v>
      </c>
      <c r="M3961">
        <v>0.99983440000000001</v>
      </c>
      <c r="N3961">
        <v>0</v>
      </c>
      <c r="O3961">
        <v>-1.111609E-2</v>
      </c>
      <c r="P3961">
        <v>0.99759390000000003</v>
      </c>
      <c r="Q3961">
        <v>4.2910940000000002E-2</v>
      </c>
      <c r="R3961">
        <v>-5.4452250000000001E-2</v>
      </c>
      <c r="S3961">
        <v>3.0056759999999998</v>
      </c>
      <c r="T3961">
        <v>-9.2553259999999998E-2</v>
      </c>
      <c r="U3961">
        <v>-0.1043854</v>
      </c>
      <c r="V3961">
        <v>4.3281720000000003E-2</v>
      </c>
      <c r="W3961">
        <v>5.7345220000000002E-2</v>
      </c>
      <c r="X3961">
        <v>0.99741579999999996</v>
      </c>
      <c r="Y3961">
        <v>2.3589889999999999E-2</v>
      </c>
      <c r="Z3961" s="1">
        <v>-2.087903E-5</v>
      </c>
      <c r="AA3961">
        <v>0.99972169999999905</v>
      </c>
      <c r="AB3961">
        <v>42</v>
      </c>
      <c r="AC3961">
        <v>35.639400000000002</v>
      </c>
      <c r="AD3961">
        <v>-1.1107829505889999</v>
      </c>
      <c r="AE3961">
        <v>-1.24819999999999</v>
      </c>
      <c r="AF3961">
        <v>0.85108522479598103</v>
      </c>
      <c r="AG3961">
        <v>-1.1107829505889999</v>
      </c>
      <c r="AH3961">
        <v>35.616518620122299</v>
      </c>
      <c r="AI3961">
        <v>91.785812044412694</v>
      </c>
      <c r="AJ3961">
        <v>88.631131986886203</v>
      </c>
      <c r="AK3961">
        <v>35.643997859958198</v>
      </c>
      <c r="AL3961">
        <v>86.712557556894296</v>
      </c>
      <c r="AM3961">
        <v>87.5152738760967</v>
      </c>
      <c r="AN3961">
        <v>1.0000000298163201</v>
      </c>
    </row>
    <row r="3962" spans="1:40" x14ac:dyDescent="0.25">
      <c r="A3962" t="str">
        <f>"20190312154332636"</f>
        <v>20190312154332636</v>
      </c>
      <c r="B3962" t="str">
        <f>"1552376612631201"</f>
        <v>1552376612631201</v>
      </c>
      <c r="C3962" t="s">
        <v>40</v>
      </c>
      <c r="D3962">
        <v>4.7777469999999997</v>
      </c>
      <c r="E3962">
        <v>0.4934653</v>
      </c>
      <c r="F3962" t="s">
        <v>50</v>
      </c>
      <c r="G3962">
        <v>-277.15230000000003</v>
      </c>
      <c r="H3962" s="1">
        <v>2.306299E-6</v>
      </c>
      <c r="I3962">
        <v>213.7697</v>
      </c>
      <c r="J3962">
        <v>-311.87029999999999</v>
      </c>
      <c r="K3962">
        <v>1.110781</v>
      </c>
      <c r="L3962">
        <v>214.96850000000001</v>
      </c>
      <c r="M3962">
        <v>0.99984010000000001</v>
      </c>
      <c r="N3962">
        <v>0</v>
      </c>
      <c r="O3962">
        <v>-1.0605409999999999E-2</v>
      </c>
      <c r="P3962">
        <v>0.99762249999999997</v>
      </c>
      <c r="Q3962">
        <v>4.2595429999999997E-2</v>
      </c>
      <c r="R3962">
        <v>-5.4176660000000001E-2</v>
      </c>
      <c r="S3962">
        <v>3.0057369999999999</v>
      </c>
      <c r="T3962">
        <v>-9.4976900000000003E-2</v>
      </c>
      <c r="U3962">
        <v>-0.1028748</v>
      </c>
      <c r="V3962">
        <v>4.3516140000000002E-2</v>
      </c>
      <c r="W3962">
        <v>5.7027679999999997E-2</v>
      </c>
      <c r="X3962">
        <v>0.99742379999999997</v>
      </c>
      <c r="Y3962">
        <v>2.3597400000000001E-2</v>
      </c>
      <c r="Z3962" s="1">
        <v>-3.7671130000000001E-5</v>
      </c>
      <c r="AA3962">
        <v>0.99972150000000004</v>
      </c>
      <c r="AB3962">
        <v>42</v>
      </c>
      <c r="AC3962">
        <v>34.717999999999897</v>
      </c>
      <c r="AD3962">
        <v>-1.110778693701</v>
      </c>
      <c r="AE3962">
        <v>-1.1988000000000001</v>
      </c>
      <c r="AF3962">
        <v>0.82964752675310705</v>
      </c>
      <c r="AG3962">
        <v>-1.110778693701</v>
      </c>
      <c r="AH3962">
        <v>34.6932911543622</v>
      </c>
      <c r="AI3962">
        <v>91.833294692327101</v>
      </c>
      <c r="AJ3962">
        <v>88.630102766915996</v>
      </c>
      <c r="AK3962">
        <v>34.720982063391801</v>
      </c>
      <c r="AL3962">
        <v>86.730781060961107</v>
      </c>
      <c r="AM3962">
        <v>87.501853258390994</v>
      </c>
      <c r="AN3962">
        <v>1.0000000237665601</v>
      </c>
    </row>
    <row r="3963" spans="1:40" x14ac:dyDescent="0.25">
      <c r="A3963" t="str">
        <f>"20190312154332658"</f>
        <v>20190312154332658</v>
      </c>
      <c r="B3963" t="str">
        <f>"1552376612651697"</f>
        <v>1552376612651697</v>
      </c>
      <c r="C3963" t="s">
        <v>40</v>
      </c>
      <c r="D3963">
        <v>4.7957320000000001</v>
      </c>
      <c r="E3963">
        <v>0.49278949999999999</v>
      </c>
      <c r="F3963" t="s">
        <v>50</v>
      </c>
      <c r="G3963">
        <v>-277.37540000000001</v>
      </c>
      <c r="H3963" s="1">
        <v>2.424453E-6</v>
      </c>
      <c r="I3963">
        <v>213.78280000000001</v>
      </c>
      <c r="J3963">
        <v>-311.45350000000002</v>
      </c>
      <c r="K3963">
        <v>1.110789</v>
      </c>
      <c r="L3963">
        <v>214.96449999999999</v>
      </c>
      <c r="M3963">
        <v>0.99984510000000004</v>
      </c>
      <c r="N3963">
        <v>0</v>
      </c>
      <c r="O3963">
        <v>-1.011535E-2</v>
      </c>
      <c r="P3963">
        <v>0.99763670000000004</v>
      </c>
      <c r="Q3963">
        <v>4.281898E-2</v>
      </c>
      <c r="R3963">
        <v>-5.3739299999999997E-2</v>
      </c>
      <c r="S3963">
        <v>3.0056759999999998</v>
      </c>
      <c r="T3963">
        <v>-9.6786380000000005E-2</v>
      </c>
      <c r="U3963">
        <v>-0.1033173</v>
      </c>
      <c r="V3963">
        <v>4.3567540000000002E-2</v>
      </c>
      <c r="W3963">
        <v>5.7248569999999999E-2</v>
      </c>
      <c r="X3963">
        <v>0.99740890000000004</v>
      </c>
      <c r="Y3963">
        <v>2.4234269999999999E-2</v>
      </c>
      <c r="Z3963" s="1">
        <v>-6.4408669999999895E-5</v>
      </c>
      <c r="AA3963">
        <v>0.99970630000000005</v>
      </c>
      <c r="AB3963">
        <v>42</v>
      </c>
      <c r="AC3963">
        <v>34.078099999999999</v>
      </c>
      <c r="AD3963">
        <v>-1.1107865755470001</v>
      </c>
      <c r="AE3963">
        <v>-1.18169999999997</v>
      </c>
      <c r="AF3963">
        <v>0.83600470878798905</v>
      </c>
      <c r="AG3963">
        <v>-1.1107865755470001</v>
      </c>
      <c r="AH3963">
        <v>34.052175252694703</v>
      </c>
      <c r="AI3963">
        <v>91.867771202286505</v>
      </c>
      <c r="AJ3963">
        <v>88.593631068084207</v>
      </c>
      <c r="AK3963">
        <v>34.080542691244901</v>
      </c>
      <c r="AL3963">
        <v>86.718104278965995</v>
      </c>
      <c r="AM3963">
        <v>87.498868949230797</v>
      </c>
      <c r="AN3963">
        <v>1.00000002155395</v>
      </c>
    </row>
    <row r="3964" spans="1:40" x14ac:dyDescent="0.25">
      <c r="A3964" t="str">
        <f>"20190312154332680"</f>
        <v>20190312154332680</v>
      </c>
      <c r="B3964" t="str">
        <f>"1552376612671220"</f>
        <v>1552376612671220</v>
      </c>
      <c r="C3964" t="s">
        <v>40</v>
      </c>
      <c r="D3964">
        <v>4.7801799999999997</v>
      </c>
      <c r="E3964">
        <v>0.49198839999999999</v>
      </c>
      <c r="F3964" t="s">
        <v>50</v>
      </c>
      <c r="G3964">
        <v>-275.65750000000003</v>
      </c>
      <c r="H3964" s="1">
        <v>1.5087299999999901E-6</v>
      </c>
      <c r="I3964">
        <v>213.81809999999999</v>
      </c>
      <c r="J3964">
        <v>-311.03120000000001</v>
      </c>
      <c r="K3964">
        <v>1.1107819999999999</v>
      </c>
      <c r="L3964">
        <v>214.9607</v>
      </c>
      <c r="M3964">
        <v>0.99985009999999996</v>
      </c>
      <c r="N3964">
        <v>0</v>
      </c>
      <c r="O3964">
        <v>-9.6180180000000007E-3</v>
      </c>
      <c r="P3964">
        <v>0.99765990000000004</v>
      </c>
      <c r="Q3964">
        <v>4.3095010000000003E-2</v>
      </c>
      <c r="R3964">
        <v>-5.308094E-2</v>
      </c>
      <c r="S3964">
        <v>3.00589</v>
      </c>
      <c r="T3964">
        <v>-9.3275899999999995E-2</v>
      </c>
      <c r="U3964">
        <v>-9.6267699999999998E-2</v>
      </c>
      <c r="V3964">
        <v>4.3405289999999999E-2</v>
      </c>
      <c r="W3964">
        <v>5.7521820000000001E-2</v>
      </c>
      <c r="X3964">
        <v>0.99740019999999996</v>
      </c>
      <c r="Y3964">
        <v>2.238824E-2</v>
      </c>
      <c r="Z3964" s="1">
        <v>-4.8867779999999999E-5</v>
      </c>
      <c r="AA3964">
        <v>0.99974940000000001</v>
      </c>
      <c r="AB3964">
        <v>42</v>
      </c>
      <c r="AC3964">
        <v>35.3736999999999</v>
      </c>
      <c r="AD3964">
        <v>-1.1107804912699999</v>
      </c>
      <c r="AE3964">
        <v>-1.1426000000000101</v>
      </c>
      <c r="AF3964">
        <v>0.80149750408810905</v>
      </c>
      <c r="AG3964">
        <v>-1.1107804912699999</v>
      </c>
      <c r="AH3964">
        <v>35.348235639842599</v>
      </c>
      <c r="AI3964">
        <v>91.799404105170296</v>
      </c>
      <c r="AJ3964">
        <v>88.7010792501477</v>
      </c>
      <c r="AK3964">
        <v>35.3747649377164</v>
      </c>
      <c r="AL3964">
        <v>86.702422191867299</v>
      </c>
      <c r="AM3964">
        <v>87.508149947907995</v>
      </c>
      <c r="AN3964">
        <v>0.99999996896806698</v>
      </c>
    </row>
    <row r="3965" spans="1:40" x14ac:dyDescent="0.25">
      <c r="A3965" t="str">
        <f>"20190312154332702"</f>
        <v>20190312154332702</v>
      </c>
      <c r="B3965" t="str">
        <f>"1552376612691716"</f>
        <v>1552376612691716</v>
      </c>
      <c r="C3965" t="s">
        <v>40</v>
      </c>
      <c r="D3965">
        <v>4.8033390000000002</v>
      </c>
      <c r="E3965">
        <v>0.49110870000000001</v>
      </c>
      <c r="F3965" t="s">
        <v>50</v>
      </c>
      <c r="G3965">
        <v>-274.22089999999997</v>
      </c>
      <c r="H3965" s="1">
        <v>7.4121769999999898E-7</v>
      </c>
      <c r="I3965">
        <v>213.8869</v>
      </c>
      <c r="J3965">
        <v>-310.62290000000002</v>
      </c>
      <c r="K3965">
        <v>1.1107819999999999</v>
      </c>
      <c r="L3965">
        <v>214.9572</v>
      </c>
      <c r="M3965">
        <v>0.99985469999999999</v>
      </c>
      <c r="N3965">
        <v>0</v>
      </c>
      <c r="O3965">
        <v>-9.1351000000000002E-3</v>
      </c>
      <c r="P3965">
        <v>0.99769459999999999</v>
      </c>
      <c r="Q3965">
        <v>4.3193019999999999E-2</v>
      </c>
      <c r="R3965">
        <v>-5.234743E-2</v>
      </c>
      <c r="S3965">
        <v>3.006256</v>
      </c>
      <c r="T3965">
        <v>-9.0716119999999997E-2</v>
      </c>
      <c r="U3965">
        <v>-8.7692259999999994E-2</v>
      </c>
      <c r="V3965">
        <v>4.3153209999999997E-2</v>
      </c>
      <c r="W3965">
        <v>5.7617509999999997E-2</v>
      </c>
      <c r="X3965">
        <v>0.9974056</v>
      </c>
      <c r="Y3965">
        <v>2.0019189999999999E-2</v>
      </c>
      <c r="Z3965" s="1">
        <v>-2.6360470000000001E-5</v>
      </c>
      <c r="AA3965">
        <v>0.99979960000000001</v>
      </c>
      <c r="AB3965">
        <v>42</v>
      </c>
      <c r="AC3965">
        <v>36.402000000000001</v>
      </c>
      <c r="AD3965">
        <v>-1.1107812587822901</v>
      </c>
      <c r="AE3965">
        <v>-1.0703</v>
      </c>
      <c r="AF3965">
        <v>0.73699933350743396</v>
      </c>
      <c r="AG3965">
        <v>-1.1107812587822901</v>
      </c>
      <c r="AH3965">
        <v>36.376417462032101</v>
      </c>
      <c r="AI3965">
        <v>91.7486675886055</v>
      </c>
      <c r="AJ3965">
        <v>88.839325643419997</v>
      </c>
      <c r="AK3965">
        <v>36.400834473875598</v>
      </c>
      <c r="AL3965">
        <v>86.696930400797797</v>
      </c>
      <c r="AM3965">
        <v>87.522616896883093</v>
      </c>
      <c r="AN3965">
        <v>0.99999995395163099</v>
      </c>
    </row>
    <row r="3966" spans="1:40" x14ac:dyDescent="0.25">
      <c r="A3966" t="str">
        <f>"20190312154332723"</f>
        <v>20190312154332723</v>
      </c>
      <c r="B3966" t="str">
        <f>"1552376612720996"</f>
        <v>1552376612720996</v>
      </c>
      <c r="C3966" t="s">
        <v>40</v>
      </c>
      <c r="D3966">
        <v>4.7447290000000004</v>
      </c>
      <c r="E3966">
        <v>0.49011399999999999</v>
      </c>
      <c r="F3966" t="s">
        <v>50</v>
      </c>
      <c r="G3966">
        <v>-272.29919999999998</v>
      </c>
      <c r="H3966" s="1">
        <v>-2.8462919999999998E-7</v>
      </c>
      <c r="I3966">
        <v>213.96080000000001</v>
      </c>
      <c r="J3966">
        <v>-310.20839999999998</v>
      </c>
      <c r="K3966">
        <v>1.1107929999999999</v>
      </c>
      <c r="L3966">
        <v>214.9538</v>
      </c>
      <c r="M3966">
        <v>0.9998591</v>
      </c>
      <c r="N3966">
        <v>0</v>
      </c>
      <c r="O3966">
        <v>-8.6425169999999902E-3</v>
      </c>
      <c r="P3966">
        <v>0.99772760000000005</v>
      </c>
      <c r="Q3966">
        <v>4.3296069999999999E-2</v>
      </c>
      <c r="R3966">
        <v>-5.1628399999999998E-2</v>
      </c>
      <c r="S3966">
        <v>3.006561</v>
      </c>
      <c r="T3966">
        <v>-8.7142709999999998E-2</v>
      </c>
      <c r="U3966">
        <v>-7.8170779999999995E-2</v>
      </c>
      <c r="V3966">
        <v>4.2925199999999997E-2</v>
      </c>
      <c r="W3966">
        <v>5.7717959999999999E-2</v>
      </c>
      <c r="X3966">
        <v>0.99740969999999995</v>
      </c>
      <c r="Y3966">
        <v>1.7346170000000001E-2</v>
      </c>
      <c r="Z3966" s="1">
        <v>-8.6901129999999998E-7</v>
      </c>
      <c r="AA3966">
        <v>0.99984960000000001</v>
      </c>
      <c r="AB3966">
        <v>42</v>
      </c>
      <c r="AC3966">
        <v>37.909199999999998</v>
      </c>
      <c r="AD3966">
        <v>-1.1107932846291999</v>
      </c>
      <c r="AE3966">
        <v>-0.992999999999994</v>
      </c>
      <c r="AF3966">
        <v>0.66472774570957704</v>
      </c>
      <c r="AG3966">
        <v>-1.1107932846291999</v>
      </c>
      <c r="AH3966">
        <v>37.8838630487259</v>
      </c>
      <c r="AI3966">
        <v>91.679230842994798</v>
      </c>
      <c r="AJ3966">
        <v>88.994764963651903</v>
      </c>
      <c r="AK3966">
        <v>37.905973199374699</v>
      </c>
      <c r="AL3966">
        <v>86.691165673276998</v>
      </c>
      <c r="AM3966">
        <v>87.535700662939107</v>
      </c>
      <c r="AN3966">
        <v>1.0000000226778401</v>
      </c>
    </row>
    <row r="3967" spans="1:40" x14ac:dyDescent="0.25">
      <c r="A3967" t="str">
        <f>"20190312154332746"</f>
        <v>20190312154332746</v>
      </c>
      <c r="B3967" t="str">
        <f>"1552376612741492"</f>
        <v>1552376612741492</v>
      </c>
      <c r="C3967" t="s">
        <v>40</v>
      </c>
      <c r="D3967">
        <v>4.758839</v>
      </c>
      <c r="E3967">
        <v>0.48956450000000001</v>
      </c>
      <c r="F3967" t="s">
        <v>50</v>
      </c>
      <c r="G3967">
        <v>-270.47109999999998</v>
      </c>
      <c r="H3967" s="1">
        <v>-1.261328E-6</v>
      </c>
      <c r="I3967">
        <v>214.05019999999999</v>
      </c>
      <c r="J3967">
        <v>-309.79750000000001</v>
      </c>
      <c r="K3967">
        <v>1.110795</v>
      </c>
      <c r="L3967">
        <v>214.95070000000001</v>
      </c>
      <c r="M3967">
        <v>0.99986319999999995</v>
      </c>
      <c r="N3967">
        <v>0</v>
      </c>
      <c r="O3967">
        <v>-8.1523150000000003E-3</v>
      </c>
      <c r="P3967">
        <v>0.99772890000000003</v>
      </c>
      <c r="Q3967">
        <v>4.3724859999999997E-2</v>
      </c>
      <c r="R3967">
        <v>-5.1235969999999999E-2</v>
      </c>
      <c r="S3967">
        <v>3.006958</v>
      </c>
      <c r="T3967">
        <v>-8.4054950000000003E-2</v>
      </c>
      <c r="U3967">
        <v>-6.8374630000000006E-2</v>
      </c>
      <c r="V3967">
        <v>4.3021410000000003E-2</v>
      </c>
      <c r="W3967">
        <v>5.8144010000000003E-2</v>
      </c>
      <c r="X3967">
        <v>0.99738079999999996</v>
      </c>
      <c r="Y3967">
        <v>1.457862E-2</v>
      </c>
      <c r="Z3967" s="1">
        <v>2.4132660000000001E-5</v>
      </c>
      <c r="AA3967">
        <v>0.9998937</v>
      </c>
      <c r="AB3967">
        <v>42</v>
      </c>
      <c r="AC3967">
        <v>39.3264</v>
      </c>
      <c r="AD3967">
        <v>-1.110796261328</v>
      </c>
      <c r="AE3967">
        <v>-0.90050000000002195</v>
      </c>
      <c r="AF3967">
        <v>0.57937367327894995</v>
      </c>
      <c r="AG3967">
        <v>-1.110796261328</v>
      </c>
      <c r="AH3967">
        <v>39.301096361166699</v>
      </c>
      <c r="AI3967">
        <v>91.618786638198401</v>
      </c>
      <c r="AJ3967">
        <v>89.155411301829702</v>
      </c>
      <c r="AK3967">
        <v>39.321059464073201</v>
      </c>
      <c r="AL3967">
        <v>86.666713712723705</v>
      </c>
      <c r="AM3967">
        <v>87.530112683912094</v>
      </c>
      <c r="AN3967">
        <v>1.0000000139129499</v>
      </c>
    </row>
    <row r="3968" spans="1:40" x14ac:dyDescent="0.25">
      <c r="A3968" t="str">
        <f>"20190312154332769"</f>
        <v>20190312154332769</v>
      </c>
      <c r="B3968" t="str">
        <f>"1552376612761012"</f>
        <v>1552376612761012</v>
      </c>
      <c r="C3968" t="s">
        <v>40</v>
      </c>
      <c r="D3968">
        <v>4.7277009999999997</v>
      </c>
      <c r="E3968">
        <v>0.48914350000000001</v>
      </c>
      <c r="F3968" t="s">
        <v>50</v>
      </c>
      <c r="G3968">
        <v>-268.4119</v>
      </c>
      <c r="H3968" s="1">
        <v>2.9628370000000002E-6</v>
      </c>
      <c r="I3968">
        <v>214.0847</v>
      </c>
      <c r="J3968">
        <v>-309.35730000000001</v>
      </c>
      <c r="K3968">
        <v>1.1107940000000001</v>
      </c>
      <c r="L3968">
        <v>214.94759999999999</v>
      </c>
      <c r="M3968">
        <v>0.99986739999999996</v>
      </c>
      <c r="N3968">
        <v>0</v>
      </c>
      <c r="O3968">
        <v>-7.6255200000000002E-3</v>
      </c>
      <c r="P3968">
        <v>0.99775610000000003</v>
      </c>
      <c r="Q3968">
        <v>4.3882369999999997E-2</v>
      </c>
      <c r="R3968">
        <v>-5.0571970000000001E-2</v>
      </c>
      <c r="S3968">
        <v>3.0071110000000001</v>
      </c>
      <c r="T3968">
        <v>-8.071101E-2</v>
      </c>
      <c r="U3968">
        <v>-6.2927250000000004E-2</v>
      </c>
      <c r="V3968">
        <v>4.2882660000000003E-2</v>
      </c>
      <c r="W3968">
        <v>5.8298709999999997E-2</v>
      </c>
      <c r="X3968">
        <v>0.99737779999999998</v>
      </c>
      <c r="Y3968">
        <v>1.329428E-2</v>
      </c>
      <c r="Z3968" s="1">
        <v>2.6267749999999999E-5</v>
      </c>
      <c r="AA3968">
        <v>0.99991160000000001</v>
      </c>
      <c r="AB3968">
        <v>42</v>
      </c>
      <c r="AC3968">
        <v>40.945399999999999</v>
      </c>
      <c r="AD3968">
        <v>-1.1107910371629901</v>
      </c>
      <c r="AE3968">
        <v>-0.862899999999996</v>
      </c>
      <c r="AF3968">
        <v>0.55020786204744598</v>
      </c>
      <c r="AG3968">
        <v>-1.1107910371629901</v>
      </c>
      <c r="AH3968">
        <v>40.920687381246303</v>
      </c>
      <c r="AI3968">
        <v>91.554770201444597</v>
      </c>
      <c r="AJ3968">
        <v>89.2296637513696</v>
      </c>
      <c r="AK3968">
        <v>40.939458242304497</v>
      </c>
      <c r="AL3968">
        <v>86.657835179161296</v>
      </c>
      <c r="AM3968">
        <v>87.538061199104106</v>
      </c>
      <c r="AN3968">
        <v>1.0000000690245801</v>
      </c>
    </row>
    <row r="3969" spans="1:40" x14ac:dyDescent="0.25">
      <c r="A3969" t="str">
        <f>"20190312154332791"</f>
        <v>20190312154332791</v>
      </c>
      <c r="B3969" t="str">
        <f>"1552376612781280"</f>
        <v>1552376612781280</v>
      </c>
      <c r="C3969" t="s">
        <v>40</v>
      </c>
      <c r="D3969">
        <v>3.1657090000000001</v>
      </c>
      <c r="E3969">
        <v>0.48905579999999998</v>
      </c>
      <c r="F3969" t="s">
        <v>50</v>
      </c>
      <c r="G3969">
        <v>-266.66329999999999</v>
      </c>
      <c r="H3969" s="1">
        <v>2.030306E-6</v>
      </c>
      <c r="I3969">
        <v>214.1309</v>
      </c>
      <c r="J3969">
        <v>-308.93990000000002</v>
      </c>
      <c r="K3969">
        <v>1.1107880000000001</v>
      </c>
      <c r="L3969">
        <v>214.94489999999999</v>
      </c>
      <c r="M3969">
        <v>0.99987130000000002</v>
      </c>
      <c r="N3969">
        <v>0</v>
      </c>
      <c r="O3969">
        <v>-7.1237649999999998E-3</v>
      </c>
      <c r="P3969">
        <v>0.99784569999999995</v>
      </c>
      <c r="Q3969">
        <v>4.2776170000000002E-2</v>
      </c>
      <c r="R3969">
        <v>-4.9743389999999998E-2</v>
      </c>
      <c r="S3969">
        <v>3.007263</v>
      </c>
      <c r="T3969">
        <v>-7.8241469999999994E-2</v>
      </c>
      <c r="U3969">
        <v>-5.7525630000000001E-2</v>
      </c>
      <c r="V3969">
        <v>4.2555759999999998E-2</v>
      </c>
      <c r="W3969">
        <v>5.7190020000000001E-2</v>
      </c>
      <c r="X3969">
        <v>0.99745589999999995</v>
      </c>
      <c r="Y3969">
        <v>1.200007E-2</v>
      </c>
      <c r="Z3969" s="1">
        <v>2.924385E-5</v>
      </c>
      <c r="AA3969">
        <v>0.99992800000000004</v>
      </c>
      <c r="AB3969">
        <v>42</v>
      </c>
      <c r="AC3969">
        <v>42.276600000000002</v>
      </c>
      <c r="AD3969">
        <v>-1.1107859696939999</v>
      </c>
      <c r="AE3969">
        <v>-0.81399999999999195</v>
      </c>
      <c r="AF3969">
        <v>0.51242604158731897</v>
      </c>
      <c r="AG3969">
        <v>-1.1107859696939999</v>
      </c>
      <c r="AH3969">
        <v>42.2521689878808</v>
      </c>
      <c r="AI3969">
        <v>91.505816550098004</v>
      </c>
      <c r="AJ3969">
        <v>89.305162057365294</v>
      </c>
      <c r="AK3969">
        <v>42.269873551963698</v>
      </c>
      <c r="AL3969">
        <v>86.721464321404497</v>
      </c>
      <c r="AM3969">
        <v>87.556997112359596</v>
      </c>
      <c r="AN3969">
        <v>0.99999998177079297</v>
      </c>
    </row>
    <row r="3970" spans="1:40" x14ac:dyDescent="0.25">
      <c r="A3970" t="str">
        <f>"20190312154332925"</f>
        <v>20190312154332925</v>
      </c>
      <c r="B3970" t="str">
        <f>"1552376612921556"</f>
        <v>1552376612921556</v>
      </c>
      <c r="C3970" t="s">
        <v>40</v>
      </c>
      <c r="D3970">
        <v>4.8173329999999996</v>
      </c>
      <c r="E3970">
        <v>0.4887338</v>
      </c>
      <c r="F3970" t="s">
        <v>50</v>
      </c>
      <c r="G3970">
        <v>-267.67320000000001</v>
      </c>
      <c r="H3970" s="1">
        <v>2.564954E-6</v>
      </c>
      <c r="I3970">
        <v>214.19460000000001</v>
      </c>
      <c r="J3970">
        <v>-306.44189999999998</v>
      </c>
      <c r="K3970">
        <v>1.110778</v>
      </c>
      <c r="L3970">
        <v>214.93289999999999</v>
      </c>
      <c r="M3970">
        <v>0.99988840000000001</v>
      </c>
      <c r="N3970">
        <v>0</v>
      </c>
      <c r="O3970">
        <v>-4.1087800000000002E-3</v>
      </c>
      <c r="P3970">
        <v>0.99831780000000003</v>
      </c>
      <c r="Q3970">
        <v>3.7996269999999999E-2</v>
      </c>
      <c r="R3970">
        <v>-4.3792659999999997E-2</v>
      </c>
      <c r="S3970">
        <v>3.0072329999999998</v>
      </c>
      <c r="T3970">
        <v>-8.0946329999999997E-2</v>
      </c>
      <c r="U3970">
        <v>-5.4672239999999997E-2</v>
      </c>
      <c r="V3970">
        <v>3.9619349999999998E-2</v>
      </c>
      <c r="W3970">
        <v>5.239597E-2</v>
      </c>
      <c r="X3970">
        <v>0.99784019999999995</v>
      </c>
      <c r="Y3970">
        <v>1.406497E-2</v>
      </c>
      <c r="Z3970" s="1">
        <v>-7.8667069999999894E-5</v>
      </c>
      <c r="AA3970">
        <v>0.99990109999999999</v>
      </c>
      <c r="AB3970">
        <v>42</v>
      </c>
      <c r="AC3970">
        <v>38.768699999999903</v>
      </c>
      <c r="AD3970">
        <v>-1.110775435046</v>
      </c>
      <c r="AE3970">
        <v>-0.73829999999998097</v>
      </c>
      <c r="AF3970">
        <v>0.57851054660567203</v>
      </c>
      <c r="AG3970">
        <v>-1.110775435046</v>
      </c>
      <c r="AH3970">
        <v>38.739616700529602</v>
      </c>
      <c r="AI3970">
        <v>91.642200626607007</v>
      </c>
      <c r="AJ3970">
        <v>89.144448191069699</v>
      </c>
      <c r="AK3970">
        <v>38.7598555031309</v>
      </c>
      <c r="AL3970">
        <v>86.996556883973199</v>
      </c>
      <c r="AM3970">
        <v>87.726259398729596</v>
      </c>
      <c r="AN3970">
        <v>1.00000004765135</v>
      </c>
    </row>
    <row r="3971" spans="1:40" x14ac:dyDescent="0.25">
      <c r="A3971" t="str">
        <f>"20190312154332947"</f>
        <v>20190312154332947</v>
      </c>
      <c r="B3971" t="str">
        <f>"1552376612941076"</f>
        <v>1552376612941076</v>
      </c>
      <c r="C3971" t="s">
        <v>40</v>
      </c>
      <c r="D3971">
        <v>4.6543049999999999</v>
      </c>
      <c r="E3971">
        <v>0.4883593</v>
      </c>
      <c r="F3971" t="s">
        <v>50</v>
      </c>
      <c r="G3971">
        <v>-270.3184</v>
      </c>
      <c r="H3971" s="1">
        <v>-1.3630699999999999E-6</v>
      </c>
      <c r="I3971">
        <v>214.51830000000001</v>
      </c>
      <c r="J3971">
        <v>-306.02359999999999</v>
      </c>
      <c r="K3971">
        <v>1.1107860000000001</v>
      </c>
      <c r="L3971">
        <v>214.93170000000001</v>
      </c>
      <c r="M3971">
        <v>0.99989030000000001</v>
      </c>
      <c r="N3971">
        <v>0</v>
      </c>
      <c r="O3971">
        <v>-3.6033480000000001E-3</v>
      </c>
      <c r="P3971">
        <v>0.99834590000000001</v>
      </c>
      <c r="Q3971">
        <v>3.8375199999999998E-2</v>
      </c>
      <c r="R3971">
        <v>-4.2815899999999997E-2</v>
      </c>
      <c r="S3971">
        <v>3.0070190000000001</v>
      </c>
      <c r="T3971">
        <v>-9.2464329999999997E-2</v>
      </c>
      <c r="U3971">
        <v>-3.4515379999999998E-2</v>
      </c>
      <c r="V3971">
        <v>3.91467E-2</v>
      </c>
      <c r="W3971">
        <v>5.277167E-2</v>
      </c>
      <c r="X3971">
        <v>0.99783900000000003</v>
      </c>
      <c r="Y3971">
        <v>7.8719429999999993E-3</v>
      </c>
      <c r="Z3971" s="1">
        <v>-1.0214559999999999E-5</v>
      </c>
      <c r="AA3971">
        <v>0.999969</v>
      </c>
      <c r="AB3971">
        <v>42</v>
      </c>
      <c r="AC3971">
        <v>35.705199999999898</v>
      </c>
      <c r="AD3971">
        <v>-1.11078736307</v>
      </c>
      <c r="AE3971">
        <v>-0.41339999999999499</v>
      </c>
      <c r="AF3971">
        <v>0.28445051203662702</v>
      </c>
      <c r="AG3971">
        <v>-1.11078736307</v>
      </c>
      <c r="AH3971">
        <v>35.671938197182897</v>
      </c>
      <c r="AI3971">
        <v>91.783498496479396</v>
      </c>
      <c r="AJ3971">
        <v>89.543129159208902</v>
      </c>
      <c r="AK3971">
        <v>35.6903619399326</v>
      </c>
      <c r="AL3971">
        <v>86.975000868579897</v>
      </c>
      <c r="AM3971">
        <v>87.753353954597301</v>
      </c>
      <c r="AN3971">
        <v>0.99999999159823905</v>
      </c>
    </row>
    <row r="3972" spans="1:40" x14ac:dyDescent="0.25">
      <c r="A3972" t="str">
        <f>"20190312154332970"</f>
        <v>20190312154332970</v>
      </c>
      <c r="B3972" t="str">
        <f>"1552376612961571"</f>
        <v>1552376612961571</v>
      </c>
      <c r="C3972" t="s">
        <v>40</v>
      </c>
      <c r="D3972">
        <v>4.6593669999999996</v>
      </c>
      <c r="E3972">
        <v>0.48807840000000002</v>
      </c>
      <c r="F3972" t="s">
        <v>50</v>
      </c>
      <c r="G3972">
        <v>-261.63589999999999</v>
      </c>
      <c r="H3972" s="1">
        <v>-6.6119469999999996E-7</v>
      </c>
      <c r="I3972">
        <v>214.50069999999999</v>
      </c>
      <c r="J3972">
        <v>-305.60969999999998</v>
      </c>
      <c r="K3972">
        <v>1.110792</v>
      </c>
      <c r="L3972">
        <v>214.9306</v>
      </c>
      <c r="M3972">
        <v>0.99989209999999995</v>
      </c>
      <c r="N3972">
        <v>0</v>
      </c>
      <c r="O3972">
        <v>-3.1030440000000001E-3</v>
      </c>
      <c r="P3972">
        <v>0.99831029999999998</v>
      </c>
      <c r="Q3972">
        <v>3.9889479999999998E-2</v>
      </c>
      <c r="R3972">
        <v>-4.2258370000000003E-2</v>
      </c>
      <c r="S3972">
        <v>3.0065919999999999</v>
      </c>
      <c r="T3972">
        <v>-7.5238940000000004E-2</v>
      </c>
      <c r="U3972">
        <v>-2.919006E-2</v>
      </c>
      <c r="V3972">
        <v>3.9086969999999999E-2</v>
      </c>
      <c r="W3972">
        <v>5.4282509999999999E-2</v>
      </c>
      <c r="X3972">
        <v>0.99776030000000004</v>
      </c>
      <c r="Y3972">
        <v>6.6038719999999898E-3</v>
      </c>
      <c r="Z3972" s="1">
        <v>-4.9686930000000004E-6</v>
      </c>
      <c r="AA3972">
        <v>0.99997820000000004</v>
      </c>
      <c r="AB3972">
        <v>42</v>
      </c>
      <c r="AC3972">
        <v>43.973799999999898</v>
      </c>
      <c r="AD3972">
        <v>-1.1107926611947001</v>
      </c>
      <c r="AE3972">
        <v>-0.429900000000003</v>
      </c>
      <c r="AF3972">
        <v>0.29324412934371102</v>
      </c>
      <c r="AG3972">
        <v>-1.1107926611947001</v>
      </c>
      <c r="AH3972">
        <v>43.946883249503898</v>
      </c>
      <c r="AI3972">
        <v>91.447856200541295</v>
      </c>
      <c r="AJ3972">
        <v>89.6176884370621</v>
      </c>
      <c r="AK3972">
        <v>43.961897136055001</v>
      </c>
      <c r="AL3972">
        <v>86.888311850027307</v>
      </c>
      <c r="AM3972">
        <v>87.756601623486802</v>
      </c>
      <c r="AN3972">
        <v>0.999999999185885</v>
      </c>
    </row>
    <row r="3973" spans="1:40" x14ac:dyDescent="0.25">
      <c r="A3973" t="str">
        <f>"20190312154332993"</f>
        <v>20190312154332993</v>
      </c>
      <c r="B3973" t="str">
        <f>"1552376612981598"</f>
        <v>1552376612981598</v>
      </c>
      <c r="C3973" t="s">
        <v>40</v>
      </c>
      <c r="D3973">
        <v>4.6575899999999999</v>
      </c>
      <c r="E3973">
        <v>0.48788389999999998</v>
      </c>
      <c r="F3973" t="s">
        <v>50</v>
      </c>
      <c r="G3973">
        <v>-241.08199999999999</v>
      </c>
      <c r="H3973" s="1">
        <v>-9.5017099999999997E-7</v>
      </c>
      <c r="I3973">
        <v>214.3689</v>
      </c>
      <c r="J3973">
        <v>-305.17259999999999</v>
      </c>
      <c r="K3973">
        <v>1.1108070000000001</v>
      </c>
      <c r="L3973">
        <v>214.9298</v>
      </c>
      <c r="M3973">
        <v>0.99989349999999999</v>
      </c>
      <c r="N3973">
        <v>0</v>
      </c>
      <c r="O3973">
        <v>-2.57449E-3</v>
      </c>
      <c r="P3973">
        <v>0.9982278</v>
      </c>
      <c r="Q3973">
        <v>4.2346759999999997E-2</v>
      </c>
      <c r="R3973">
        <v>-4.1808890000000001E-2</v>
      </c>
      <c r="S3973">
        <v>3.0060419999999999</v>
      </c>
      <c r="T3973">
        <v>-5.1746609999999998E-2</v>
      </c>
      <c r="U3973">
        <v>-2.6168819999999999E-2</v>
      </c>
      <c r="V3973">
        <v>3.9162240000000001E-2</v>
      </c>
      <c r="W3973">
        <v>5.6735380000000002E-2</v>
      </c>
      <c r="X3973">
        <v>0.99762090000000003</v>
      </c>
      <c r="Y3973">
        <v>6.1298630000000002E-3</v>
      </c>
      <c r="Z3973" s="1">
        <v>-8.4373609999999999E-6</v>
      </c>
      <c r="AA3973">
        <v>0.99998120000000001</v>
      </c>
      <c r="AB3973">
        <v>42</v>
      </c>
      <c r="AC3973">
        <v>64.090599999999995</v>
      </c>
      <c r="AD3973">
        <v>-1.110807950171</v>
      </c>
      <c r="AE3973">
        <v>-0.56090000000000295</v>
      </c>
      <c r="AF3973">
        <v>0.39576162976948198</v>
      </c>
      <c r="AG3973">
        <v>-1.110807950171</v>
      </c>
      <c r="AH3973">
        <v>64.072586280921001</v>
      </c>
      <c r="AI3973">
        <v>90.993201963006797</v>
      </c>
      <c r="AJ3973">
        <v>89.646101647731399</v>
      </c>
      <c r="AK3973">
        <v>64.083436505042599</v>
      </c>
      <c r="AL3973">
        <v>86.747555771392896</v>
      </c>
      <c r="AM3973">
        <v>87.751972168959099</v>
      </c>
      <c r="AN3973">
        <v>1.00000002225118</v>
      </c>
    </row>
    <row r="3974" spans="1:40" x14ac:dyDescent="0.25">
      <c r="A3974" t="str">
        <f>"20190312154333013"</f>
        <v>20190312154333013</v>
      </c>
      <c r="B3974" t="str">
        <f>"1552376613011854"</f>
        <v>1552376613011854</v>
      </c>
      <c r="C3974" t="s">
        <v>40</v>
      </c>
      <c r="D3974">
        <v>4.683084</v>
      </c>
      <c r="E3974">
        <v>0.48738429999999999</v>
      </c>
      <c r="F3974" t="s">
        <v>49</v>
      </c>
      <c r="G3974">
        <v>-186.75659999999999</v>
      </c>
      <c r="H3974" s="1">
        <v>3.459261E-6</v>
      </c>
      <c r="I3974">
        <v>213.9871</v>
      </c>
      <c r="J3974">
        <v>-304.78320000000002</v>
      </c>
      <c r="K3974">
        <v>1.1108180000000001</v>
      </c>
      <c r="L3974">
        <v>214.92920000000001</v>
      </c>
      <c r="M3974">
        <v>0.99989470000000003</v>
      </c>
      <c r="N3974">
        <v>0</v>
      </c>
      <c r="O3974">
        <v>-2.103396E-3</v>
      </c>
      <c r="P3974">
        <v>0.99799070000000001</v>
      </c>
      <c r="Q3974">
        <v>4.728251E-2</v>
      </c>
      <c r="R3974">
        <v>-4.2178930000000003E-2</v>
      </c>
      <c r="S3974">
        <v>3.0055239999999999</v>
      </c>
      <c r="T3974">
        <v>-2.8193349999999999E-2</v>
      </c>
      <c r="U3974">
        <v>-2.3925780000000001E-2</v>
      </c>
      <c r="V3974">
        <v>3.9996650000000002E-2</v>
      </c>
      <c r="W3974">
        <v>6.1665789999999998E-2</v>
      </c>
      <c r="X3974">
        <v>0.99729509999999999</v>
      </c>
      <c r="Y3974">
        <v>5.8566240000000004E-3</v>
      </c>
      <c r="Z3974" s="1">
        <v>-7.7358669999999996E-6</v>
      </c>
      <c r="AA3974">
        <v>0.99998279999999995</v>
      </c>
      <c r="AB3974">
        <v>42</v>
      </c>
      <c r="AC3974">
        <v>118.0266</v>
      </c>
      <c r="AD3974">
        <v>-1.110814540739</v>
      </c>
      <c r="AE3974">
        <v>-0.94210000000001004</v>
      </c>
      <c r="AF3974">
        <v>0.69375419526499604</v>
      </c>
      <c r="AG3974">
        <v>-1.110814540739</v>
      </c>
      <c r="AH3974">
        <v>118.01786760922499</v>
      </c>
      <c r="AI3974">
        <v>90.539257380546005</v>
      </c>
      <c r="AJ3974">
        <v>89.663197358388004</v>
      </c>
      <c r="AK3974">
        <v>118.02513409802199</v>
      </c>
      <c r="AL3974">
        <v>86.464567248517795</v>
      </c>
      <c r="AM3974">
        <v>87.703376078544096</v>
      </c>
      <c r="AN3974">
        <v>0.99999995907577699</v>
      </c>
    </row>
    <row r="3975" spans="1:40" x14ac:dyDescent="0.25">
      <c r="A3975" t="str">
        <f>"20190312154333037"</f>
        <v>20190312154333037</v>
      </c>
      <c r="B3975" t="str">
        <f>"1552376613031374"</f>
        <v>1552376613031374</v>
      </c>
      <c r="C3975" t="s">
        <v>40</v>
      </c>
      <c r="D3975">
        <v>4.6805659999999998</v>
      </c>
      <c r="E3975">
        <v>0.48706899999999997</v>
      </c>
      <c r="F3975" t="s">
        <v>68</v>
      </c>
      <c r="G3975">
        <v>-107.39749999999999</v>
      </c>
      <c r="H3975">
        <v>1.543374</v>
      </c>
      <c r="I3975">
        <v>213.49979999999999</v>
      </c>
      <c r="J3975">
        <v>-304.35820000000001</v>
      </c>
      <c r="K3975">
        <v>1.110832</v>
      </c>
      <c r="L3975">
        <v>214.9288</v>
      </c>
      <c r="M3975">
        <v>0.9998958</v>
      </c>
      <c r="N3975">
        <v>0</v>
      </c>
      <c r="O3975">
        <v>-1.5889089999999999E-3</v>
      </c>
      <c r="P3975">
        <v>0.99775100000000005</v>
      </c>
      <c r="Q3975">
        <v>5.2020450000000003E-2</v>
      </c>
      <c r="R3975">
        <v>-4.2274289999999999E-2</v>
      </c>
      <c r="S3975">
        <v>3.0048219999999999</v>
      </c>
      <c r="T3975">
        <v>6.5855979999999998E-3</v>
      </c>
      <c r="U3975">
        <v>-2.1759029999999999E-2</v>
      </c>
      <c r="V3975">
        <v>4.059956E-2</v>
      </c>
      <c r="W3975">
        <v>6.6397730000000002E-2</v>
      </c>
      <c r="X3975">
        <v>0.99696689999999999</v>
      </c>
      <c r="Y3975">
        <v>5.6521330000000002E-3</v>
      </c>
      <c r="Z3975" s="1">
        <v>2.7110590000000001E-6</v>
      </c>
      <c r="AA3975">
        <v>0.99998399999999998</v>
      </c>
      <c r="AB3975">
        <v>42</v>
      </c>
      <c r="AC3975">
        <v>196.9607</v>
      </c>
      <c r="AD3975">
        <v>0.43254199999999998</v>
      </c>
      <c r="AE3975">
        <v>-1.429</v>
      </c>
      <c r="AF3975">
        <v>1.1160079670302501</v>
      </c>
      <c r="AG3975">
        <v>0.43254199999999998</v>
      </c>
      <c r="AH3975">
        <v>196.96177225352801</v>
      </c>
      <c r="AI3975">
        <v>89.874176632727497</v>
      </c>
      <c r="AJ3975">
        <v>89.675359023191703</v>
      </c>
      <c r="AK3975">
        <v>196.965408880886</v>
      </c>
      <c r="AL3975">
        <v>86.192889391126698</v>
      </c>
      <c r="AM3975">
        <v>87.668028070054504</v>
      </c>
      <c r="AN3975">
        <v>0.99999999125847805</v>
      </c>
    </row>
    <row r="3976" spans="1:40" x14ac:dyDescent="0.25">
      <c r="A3976" t="str">
        <f>"20190312154333060"</f>
        <v>20190312154333060</v>
      </c>
      <c r="B3976" t="str">
        <f>"1552376613051870"</f>
        <v>1552376613051870</v>
      </c>
      <c r="C3976" t="s">
        <v>40</v>
      </c>
      <c r="D3976">
        <v>4.6671860000000001</v>
      </c>
      <c r="E3976">
        <v>0.48675889999999999</v>
      </c>
      <c r="F3976" t="s">
        <v>68</v>
      </c>
      <c r="G3976">
        <v>-107.39749999999999</v>
      </c>
      <c r="H3976">
        <v>3.3124560000000001</v>
      </c>
      <c r="I3976">
        <v>213.6112</v>
      </c>
      <c r="J3976">
        <v>-303.92439999999999</v>
      </c>
      <c r="K3976">
        <v>1.1108420000000001</v>
      </c>
      <c r="L3976">
        <v>214.92850000000001</v>
      </c>
      <c r="M3976">
        <v>0.99989649999999997</v>
      </c>
      <c r="N3976">
        <v>0</v>
      </c>
      <c r="O3976">
        <v>-1.064171E-3</v>
      </c>
      <c r="P3976">
        <v>0.9977106</v>
      </c>
      <c r="Q3976">
        <v>5.3020810000000002E-2</v>
      </c>
      <c r="R3976">
        <v>-4.1985870000000002E-2</v>
      </c>
      <c r="S3976">
        <v>3.0041199999999999</v>
      </c>
      <c r="T3976">
        <v>3.3580779999999998E-2</v>
      </c>
      <c r="U3976">
        <v>-2.0095829999999999E-2</v>
      </c>
      <c r="V3976">
        <v>4.0833670000000002E-2</v>
      </c>
      <c r="W3976">
        <v>6.7394469999999998E-2</v>
      </c>
      <c r="X3976">
        <v>0.99689050000000001</v>
      </c>
      <c r="Y3976">
        <v>5.6247270000000004E-3</v>
      </c>
      <c r="Z3976" s="1">
        <v>1.9539680000000001E-5</v>
      </c>
      <c r="AA3976">
        <v>0.99998419999999999</v>
      </c>
      <c r="AB3976">
        <v>42</v>
      </c>
      <c r="AC3976">
        <v>196.52690000000001</v>
      </c>
      <c r="AD3976">
        <v>2.20161399999999</v>
      </c>
      <c r="AE3976">
        <v>-1.3173000000000099</v>
      </c>
      <c r="AF3976">
        <v>1.1080004505736201</v>
      </c>
      <c r="AG3976">
        <v>2.20161399999999</v>
      </c>
      <c r="AH3976">
        <v>196.50353089452699</v>
      </c>
      <c r="AI3976">
        <v>89.358098518692302</v>
      </c>
      <c r="AJ3976">
        <v>89.676936712287798</v>
      </c>
      <c r="AK3976">
        <v>196.51898743688801</v>
      </c>
      <c r="AL3976">
        <v>86.135652352068604</v>
      </c>
      <c r="AM3976">
        <v>87.654416603550899</v>
      </c>
      <c r="AN3976">
        <v>1.00000003609124</v>
      </c>
    </row>
    <row r="3977" spans="1:40" x14ac:dyDescent="0.25">
      <c r="A3977" t="str">
        <f>"20190312154333082"</f>
        <v>20190312154333082</v>
      </c>
      <c r="B3977" t="str">
        <f>"1552376613071725"</f>
        <v>1552376613071725</v>
      </c>
      <c r="C3977" t="s">
        <v>40</v>
      </c>
      <c r="D3977">
        <v>4.6589669999999996</v>
      </c>
      <c r="E3977">
        <v>0.4864367</v>
      </c>
      <c r="F3977" t="s">
        <v>68</v>
      </c>
      <c r="G3977">
        <v>-107.39749999999999</v>
      </c>
      <c r="H3977">
        <v>4.2810040000000003</v>
      </c>
      <c r="I3977">
        <v>213.8013</v>
      </c>
      <c r="J3977">
        <v>-303.51889999999997</v>
      </c>
      <c r="K3977">
        <v>1.1108480000000001</v>
      </c>
      <c r="L3977">
        <v>214.92850000000001</v>
      </c>
      <c r="M3977">
        <v>0.99989689999999998</v>
      </c>
      <c r="N3977">
        <v>0</v>
      </c>
      <c r="O3977">
        <v>-5.7328719999999998E-4</v>
      </c>
      <c r="P3977">
        <v>0.99759249999999999</v>
      </c>
      <c r="Q3977">
        <v>5.5181630000000002E-2</v>
      </c>
      <c r="R3977">
        <v>-4.2006469999999997E-2</v>
      </c>
      <c r="S3977">
        <v>3.0036010000000002</v>
      </c>
      <c r="T3977">
        <v>4.8451660000000001E-2</v>
      </c>
      <c r="U3977">
        <v>-1.722717E-2</v>
      </c>
      <c r="V3977">
        <v>4.1341299999999997E-2</v>
      </c>
      <c r="W3977">
        <v>6.9551379999999996E-2</v>
      </c>
      <c r="X3977">
        <v>0.99672139999999998</v>
      </c>
      <c r="Y3977">
        <v>5.1614779999999997E-3</v>
      </c>
      <c r="Z3977" s="1">
        <v>3.2379260000000001E-5</v>
      </c>
      <c r="AA3977">
        <v>0.99998670000000001</v>
      </c>
      <c r="AB3977">
        <v>42</v>
      </c>
      <c r="AC3977">
        <v>196.12139999999999</v>
      </c>
      <c r="AD3977">
        <v>3.170156</v>
      </c>
      <c r="AE3977">
        <v>-1.12720000000001</v>
      </c>
      <c r="AF3977">
        <v>1.0144892916788399</v>
      </c>
      <c r="AG3977">
        <v>3.170156</v>
      </c>
      <c r="AH3977">
        <v>196.07078575285701</v>
      </c>
      <c r="AI3977">
        <v>89.0737105344041</v>
      </c>
      <c r="AJ3977">
        <v>89.703548716564399</v>
      </c>
      <c r="AK3977">
        <v>196.099036467113</v>
      </c>
      <c r="AL3977">
        <v>86.011779709512695</v>
      </c>
      <c r="AM3977">
        <v>87.624887880279701</v>
      </c>
      <c r="AN3977">
        <v>1.0000000233817701</v>
      </c>
    </row>
    <row r="3978" spans="1:40" x14ac:dyDescent="0.25">
      <c r="A3978" t="str">
        <f>"20190312154333103"</f>
        <v>20190312154333103</v>
      </c>
      <c r="B3978" t="str">
        <f>"1552376613091246"</f>
        <v>1552376613091246</v>
      </c>
      <c r="C3978" t="s">
        <v>40</v>
      </c>
      <c r="D3978">
        <v>4.6433540000000004</v>
      </c>
      <c r="E3978">
        <v>0.4861338</v>
      </c>
      <c r="F3978" t="s">
        <v>68</v>
      </c>
      <c r="G3978">
        <v>-107.39749999999999</v>
      </c>
      <c r="H3978">
        <v>5.422752</v>
      </c>
      <c r="I3978">
        <v>213.96090000000001</v>
      </c>
      <c r="J3978">
        <v>-303.11790000000002</v>
      </c>
      <c r="K3978">
        <v>1.1108450000000001</v>
      </c>
      <c r="L3978">
        <v>214.92869999999999</v>
      </c>
      <c r="M3978">
        <v>0.99989700000000004</v>
      </c>
      <c r="N3978">
        <v>0</v>
      </c>
      <c r="O3978" s="1">
        <v>-8.7648959999999998E-5</v>
      </c>
      <c r="P3978">
        <v>0.99753360000000002</v>
      </c>
      <c r="Q3978">
        <v>5.6557129999999997E-2</v>
      </c>
      <c r="R3978">
        <v>-4.1571749999999998E-2</v>
      </c>
      <c r="S3978">
        <v>3.0029300000000001</v>
      </c>
      <c r="T3978">
        <v>6.6022869999999997E-2</v>
      </c>
      <c r="U3978">
        <v>-1.4816279999999999E-2</v>
      </c>
      <c r="V3978">
        <v>4.138944E-2</v>
      </c>
      <c r="W3978">
        <v>7.0923180000000002E-2</v>
      </c>
      <c r="X3978">
        <v>0.99662269999999997</v>
      </c>
      <c r="Y3978">
        <v>4.8450769999999997E-3</v>
      </c>
      <c r="Z3978" s="1">
        <v>5.1328539999999998E-5</v>
      </c>
      <c r="AA3978">
        <v>0.99998830000000005</v>
      </c>
      <c r="AB3978">
        <v>42</v>
      </c>
      <c r="AC3978">
        <v>195.72040000000001</v>
      </c>
      <c r="AD3978">
        <v>4.3119069999999997</v>
      </c>
      <c r="AE3978">
        <v>-0.96779999999998201</v>
      </c>
      <c r="AF3978">
        <v>0.95018236772368403</v>
      </c>
      <c r="AG3978">
        <v>4.3119069999999997</v>
      </c>
      <c r="AH3978">
        <v>195.62553702606101</v>
      </c>
      <c r="AI3978">
        <v>88.737326596885495</v>
      </c>
      <c r="AJ3978">
        <v>89.721708054344901</v>
      </c>
      <c r="AK3978">
        <v>195.675359013963</v>
      </c>
      <c r="AL3978">
        <v>85.932986643856296</v>
      </c>
      <c r="AM3978">
        <v>87.621890125514199</v>
      </c>
      <c r="AN3978">
        <v>0.99999999468005796</v>
      </c>
    </row>
    <row r="3979" spans="1:40" x14ac:dyDescent="0.25">
      <c r="A3979" t="str">
        <f>"20190312154333125"</f>
        <v>20190312154333125</v>
      </c>
      <c r="B3979" t="str">
        <f>"1552376613121501"</f>
        <v>1552376613121501</v>
      </c>
      <c r="C3979" t="s">
        <v>40</v>
      </c>
      <c r="D3979">
        <v>4.6802739999999998</v>
      </c>
      <c r="E3979">
        <v>0.4857494</v>
      </c>
      <c r="F3979" t="s">
        <v>68</v>
      </c>
      <c r="G3979">
        <v>-107.39749999999999</v>
      </c>
      <c r="H3979">
        <v>6.3409129999999996</v>
      </c>
      <c r="I3979">
        <v>214.1568</v>
      </c>
      <c r="J3979">
        <v>-302.7115</v>
      </c>
      <c r="K3979">
        <v>1.1108370000000001</v>
      </c>
      <c r="L3979">
        <v>214.92910000000001</v>
      </c>
      <c r="M3979">
        <v>0.99989709999999998</v>
      </c>
      <c r="N3979">
        <v>0</v>
      </c>
      <c r="O3979">
        <v>4.0454299999999999E-4</v>
      </c>
      <c r="P3979">
        <v>0.99768060000000003</v>
      </c>
      <c r="Q3979">
        <v>5.448008E-2</v>
      </c>
      <c r="R3979">
        <v>-4.0814179999999999E-2</v>
      </c>
      <c r="S3979">
        <v>3.00238</v>
      </c>
      <c r="T3979">
        <v>8.0230830000000003E-2</v>
      </c>
      <c r="U3979">
        <v>-1.184082E-2</v>
      </c>
      <c r="V3979">
        <v>4.1125889999999998E-2</v>
      </c>
      <c r="W3979">
        <v>6.8845439999999994E-2</v>
      </c>
      <c r="X3979">
        <v>0.99677930000000003</v>
      </c>
      <c r="Y3979">
        <v>4.3466659999999999E-3</v>
      </c>
      <c r="Z3979" s="1">
        <v>6.8875609999999996E-5</v>
      </c>
      <c r="AA3979">
        <v>0.9999905</v>
      </c>
      <c r="AB3979">
        <v>42</v>
      </c>
      <c r="AC3979">
        <v>195.31399999999999</v>
      </c>
      <c r="AD3979">
        <v>5.2300760000000004</v>
      </c>
      <c r="AE3979">
        <v>-0.77230000000000099</v>
      </c>
      <c r="AF3979">
        <v>0.85071098058619399</v>
      </c>
      <c r="AG3979">
        <v>5.2300760000000004</v>
      </c>
      <c r="AH3979">
        <v>195.173724483949</v>
      </c>
      <c r="AI3979">
        <v>88.465025240857599</v>
      </c>
      <c r="AJ3979">
        <v>89.750264333848904</v>
      </c>
      <c r="AK3979">
        <v>195.24564049697699</v>
      </c>
      <c r="AL3979">
        <v>86.052324200804307</v>
      </c>
      <c r="AM3979">
        <v>87.637386496036697</v>
      </c>
      <c r="AN3979">
        <v>1.00000000317278</v>
      </c>
    </row>
    <row r="3980" spans="1:40" x14ac:dyDescent="0.25">
      <c r="A3980" t="str">
        <f>"20190312154333148"</f>
        <v>20190312154333148</v>
      </c>
      <c r="B3980" t="str">
        <f>"1552376613141029"</f>
        <v>1552376613141029</v>
      </c>
      <c r="C3980" t="s">
        <v>40</v>
      </c>
      <c r="D3980">
        <v>4.6894679999999997</v>
      </c>
      <c r="E3980">
        <v>0.4854754</v>
      </c>
      <c r="F3980" t="s">
        <v>68</v>
      </c>
      <c r="G3980">
        <v>-107.39749999999999</v>
      </c>
      <c r="H3980">
        <v>6.8970770000000003</v>
      </c>
      <c r="I3980">
        <v>214.49619999999999</v>
      </c>
      <c r="J3980">
        <v>-302.29140000000001</v>
      </c>
      <c r="K3980">
        <v>1.110835</v>
      </c>
      <c r="L3980">
        <v>214.9298</v>
      </c>
      <c r="M3980">
        <v>0.99989660000000002</v>
      </c>
      <c r="N3980">
        <v>0</v>
      </c>
      <c r="O3980">
        <v>9.1378230000000002E-4</v>
      </c>
      <c r="P3980">
        <v>0.99778239999999996</v>
      </c>
      <c r="Q3980">
        <v>5.3006829999999998E-2</v>
      </c>
      <c r="R3980">
        <v>-4.0253669999999998E-2</v>
      </c>
      <c r="S3980">
        <v>3.001862</v>
      </c>
      <c r="T3980">
        <v>8.8931919999999998E-2</v>
      </c>
      <c r="U3980">
        <v>-6.6528319999999896E-3</v>
      </c>
      <c r="V3980">
        <v>4.1075800000000003E-2</v>
      </c>
      <c r="W3980">
        <v>6.7370680000000002E-2</v>
      </c>
      <c r="X3980">
        <v>0.99688209999999999</v>
      </c>
      <c r="Y3980">
        <v>3.1283299999999999E-3</v>
      </c>
      <c r="Z3980" s="1">
        <v>7.3397250000000006E-5</v>
      </c>
      <c r="AA3980">
        <v>0.99999510000000003</v>
      </c>
      <c r="AB3980">
        <v>41</v>
      </c>
      <c r="AC3980">
        <v>194.8939</v>
      </c>
      <c r="AD3980">
        <v>5.7862419999999997</v>
      </c>
      <c r="AE3980">
        <v>-0.43360000000001198</v>
      </c>
      <c r="AF3980">
        <v>0.61117004528497698</v>
      </c>
      <c r="AG3980">
        <v>5.7862419999999997</v>
      </c>
      <c r="AH3980">
        <v>194.72178608009099</v>
      </c>
      <c r="AI3980">
        <v>88.297940398159398</v>
      </c>
      <c r="AJ3980">
        <v>89.820167276216594</v>
      </c>
      <c r="AK3980">
        <v>194.80869615991799</v>
      </c>
      <c r="AL3980">
        <v>86.137018289542894</v>
      </c>
      <c r="AM3980">
        <v>87.640503892613594</v>
      </c>
      <c r="AN3980">
        <v>0.99999997558485598</v>
      </c>
    </row>
    <row r="3981" spans="1:40" x14ac:dyDescent="0.25">
      <c r="A3981" t="str">
        <f>"20190312154333171"</f>
        <v>20190312154333171</v>
      </c>
      <c r="B3981" t="str">
        <f>"1552376613161518"</f>
        <v>1552376613161518</v>
      </c>
      <c r="C3981" t="s">
        <v>40</v>
      </c>
      <c r="D3981">
        <v>4.6777030000000002</v>
      </c>
      <c r="E3981">
        <v>0.4852339</v>
      </c>
      <c r="F3981" t="s">
        <v>68</v>
      </c>
      <c r="G3981">
        <v>-107.39749999999999</v>
      </c>
      <c r="H3981">
        <v>7.1568269999999998</v>
      </c>
      <c r="I3981">
        <v>214.73660000000001</v>
      </c>
      <c r="J3981">
        <v>-301.87810000000002</v>
      </c>
      <c r="K3981">
        <v>1.110825</v>
      </c>
      <c r="L3981">
        <v>214.9306</v>
      </c>
      <c r="M3981">
        <v>0.99989609999999995</v>
      </c>
      <c r="N3981">
        <v>0</v>
      </c>
      <c r="O3981">
        <v>1.4146779999999999E-3</v>
      </c>
      <c r="P3981">
        <v>0.99788750000000004</v>
      </c>
      <c r="Q3981">
        <v>5.1791169999999997E-2</v>
      </c>
      <c r="R3981">
        <v>-3.9223729999999998E-2</v>
      </c>
      <c r="S3981">
        <v>3.0015869999999998</v>
      </c>
      <c r="T3981">
        <v>9.311593E-2</v>
      </c>
      <c r="U3981">
        <v>-2.9754640000000001E-3</v>
      </c>
      <c r="V3981">
        <v>4.0547510000000002E-2</v>
      </c>
      <c r="W3981">
        <v>6.6153169999999997E-2</v>
      </c>
      <c r="X3981">
        <v>0.99698529999999996</v>
      </c>
      <c r="Y3981">
        <v>2.4042809999999999E-3</v>
      </c>
      <c r="Z3981" s="1">
        <v>8.1164510000000006E-5</v>
      </c>
      <c r="AA3981">
        <v>0.99999709999999997</v>
      </c>
      <c r="AB3981">
        <v>41</v>
      </c>
      <c r="AC3981">
        <v>194.48060000000001</v>
      </c>
      <c r="AD3981">
        <v>6.0460019999999997</v>
      </c>
      <c r="AE3981">
        <v>-0.19399999999998799</v>
      </c>
      <c r="AF3981">
        <v>0.46870256344435601</v>
      </c>
      <c r="AG3981">
        <v>6.0460019999999997</v>
      </c>
      <c r="AH3981">
        <v>194.29235522211701</v>
      </c>
      <c r="AI3981">
        <v>88.217646590255598</v>
      </c>
      <c r="AJ3981">
        <v>89.8617823814606</v>
      </c>
      <c r="AK3981">
        <v>194.386967464473</v>
      </c>
      <c r="AL3981">
        <v>86.206932614703305</v>
      </c>
      <c r="AM3981">
        <v>87.671057377770097</v>
      </c>
      <c r="AN3981">
        <v>1.00000001544216</v>
      </c>
    </row>
    <row r="3982" spans="1:40" x14ac:dyDescent="0.25">
      <c r="A3982" t="str">
        <f>"20190312154333192"</f>
        <v>20190312154333192</v>
      </c>
      <c r="B3982" t="str">
        <f>"1552376613181037"</f>
        <v>1552376613181037</v>
      </c>
      <c r="C3982" t="s">
        <v>40</v>
      </c>
      <c r="D3982">
        <v>4.682156</v>
      </c>
      <c r="E3982">
        <v>0.48515589999999997</v>
      </c>
      <c r="F3982" t="s">
        <v>68</v>
      </c>
      <c r="G3982">
        <v>-107.39749999999999</v>
      </c>
      <c r="H3982">
        <v>7.3892749999999996</v>
      </c>
      <c r="I3982">
        <v>215.04429999999999</v>
      </c>
      <c r="J3982">
        <v>-301.46769999999998</v>
      </c>
      <c r="K3982">
        <v>1.110825</v>
      </c>
      <c r="L3982">
        <v>214.9316</v>
      </c>
      <c r="M3982">
        <v>0.99989530000000004</v>
      </c>
      <c r="N3982">
        <v>0</v>
      </c>
      <c r="O3982">
        <v>1.9124140000000001E-3</v>
      </c>
      <c r="P3982">
        <v>0.99799309999999997</v>
      </c>
      <c r="Q3982">
        <v>5.0024359999999997E-2</v>
      </c>
      <c r="R3982">
        <v>-3.8823629999999998E-2</v>
      </c>
      <c r="S3982">
        <v>3.001404</v>
      </c>
      <c r="T3982">
        <v>9.6895579999999995E-2</v>
      </c>
      <c r="U3982">
        <v>1.7547610000000001E-3</v>
      </c>
      <c r="V3982">
        <v>4.06469E-2</v>
      </c>
      <c r="W3982">
        <v>6.4385029999999996E-2</v>
      </c>
      <c r="X3982">
        <v>0.99709700000000001</v>
      </c>
      <c r="Y3982">
        <v>1.326278E-3</v>
      </c>
      <c r="Z3982" s="1">
        <v>8.3132309999999998E-5</v>
      </c>
      <c r="AA3982">
        <v>0.99999910000000003</v>
      </c>
      <c r="AB3982">
        <v>41</v>
      </c>
      <c r="AC3982">
        <v>194.0702</v>
      </c>
      <c r="AD3982">
        <v>6.2784499999999897</v>
      </c>
      <c r="AE3982">
        <v>0.112699999999989</v>
      </c>
      <c r="AF3982">
        <v>0.25821071013808999</v>
      </c>
      <c r="AG3982">
        <v>6.2784499999999897</v>
      </c>
      <c r="AH3982">
        <v>193.86715628137199</v>
      </c>
      <c r="AI3982">
        <v>88.145107753672903</v>
      </c>
      <c r="AJ3982">
        <v>89.923688078725405</v>
      </c>
      <c r="AK3982">
        <v>193.96896631110599</v>
      </c>
      <c r="AL3982">
        <v>86.308456063026199</v>
      </c>
      <c r="AM3982">
        <v>87.665616235712704</v>
      </c>
      <c r="AN3982">
        <v>1.0000000149883499</v>
      </c>
    </row>
    <row r="3983" spans="1:40" x14ac:dyDescent="0.25">
      <c r="A3983" t="str">
        <f>"20190312154333215"</f>
        <v>20190312154333215</v>
      </c>
      <c r="B3983" t="str">
        <f>"1552376613211293"</f>
        <v>1552376613211293</v>
      </c>
      <c r="C3983" t="s">
        <v>40</v>
      </c>
      <c r="D3983">
        <v>4.6871199999999904</v>
      </c>
      <c r="E3983">
        <v>0.48482769999999997</v>
      </c>
      <c r="F3983" t="s">
        <v>68</v>
      </c>
      <c r="G3983">
        <v>-107.39749999999999</v>
      </c>
      <c r="H3983">
        <v>7.3733929999999903</v>
      </c>
      <c r="I3983">
        <v>215.1576</v>
      </c>
      <c r="J3983">
        <v>-301.05880000000002</v>
      </c>
      <c r="K3983">
        <v>1.1108150000000001</v>
      </c>
      <c r="L3983">
        <v>214.93289999999999</v>
      </c>
      <c r="M3983">
        <v>0.99989439999999996</v>
      </c>
      <c r="N3983">
        <v>0</v>
      </c>
      <c r="O3983">
        <v>2.408005E-3</v>
      </c>
      <c r="P3983">
        <v>0.99806729999999999</v>
      </c>
      <c r="Q3983">
        <v>4.8510539999999998E-2</v>
      </c>
      <c r="R3983">
        <v>-3.8842469999999997E-2</v>
      </c>
      <c r="S3983">
        <v>3.001312</v>
      </c>
      <c r="T3983">
        <v>9.6851939999999997E-2</v>
      </c>
      <c r="U3983">
        <v>3.4942630000000001E-3</v>
      </c>
      <c r="V3983">
        <v>4.116264E-2</v>
      </c>
      <c r="W3983">
        <v>6.2870319999999993E-2</v>
      </c>
      <c r="X3983">
        <v>0.99717250000000002</v>
      </c>
      <c r="Y3983">
        <v>1.24211E-3</v>
      </c>
      <c r="Z3983" s="1">
        <v>9.7729779999999999E-5</v>
      </c>
      <c r="AA3983">
        <v>0.99999919999999998</v>
      </c>
      <c r="AB3983">
        <v>41</v>
      </c>
      <c r="AC3983">
        <v>193.66130000000001</v>
      </c>
      <c r="AD3983">
        <v>6.2625780000000004</v>
      </c>
      <c r="AE3983">
        <v>0.224700000000012</v>
      </c>
      <c r="AF3983">
        <v>0.241433453808888</v>
      </c>
      <c r="AG3983">
        <v>6.2625780000000004</v>
      </c>
      <c r="AH3983">
        <v>193.45897348088599</v>
      </c>
      <c r="AI3983">
        <v>88.145892416634496</v>
      </c>
      <c r="AJ3983">
        <v>89.928495894989396</v>
      </c>
      <c r="AK3983">
        <v>193.56046237183099</v>
      </c>
      <c r="AL3983">
        <v>86.395418781055596</v>
      </c>
      <c r="AM3983">
        <v>87.636209053115195</v>
      </c>
      <c r="AN3983">
        <v>1.0000000174124599</v>
      </c>
    </row>
    <row r="3984" spans="1:40" x14ac:dyDescent="0.25">
      <c r="A3984" t="str">
        <f>"20190312154333237"</f>
        <v>20190312154333237</v>
      </c>
      <c r="B3984" t="str">
        <f>"1552376613231790"</f>
        <v>1552376613231790</v>
      </c>
      <c r="C3984" t="s">
        <v>40</v>
      </c>
      <c r="D3984">
        <v>4.72593</v>
      </c>
      <c r="E3984">
        <v>0.48466949999999998</v>
      </c>
      <c r="F3984" t="s">
        <v>68</v>
      </c>
      <c r="G3984">
        <v>-109.68</v>
      </c>
      <c r="H3984">
        <v>7.6128070000000001</v>
      </c>
      <c r="I3984">
        <v>215.29390000000001</v>
      </c>
      <c r="J3984">
        <v>-300.64069999999998</v>
      </c>
      <c r="K3984">
        <v>1.110811</v>
      </c>
      <c r="L3984">
        <v>214.93440000000001</v>
      </c>
      <c r="M3984">
        <v>0.99989300000000003</v>
      </c>
      <c r="N3984">
        <v>0</v>
      </c>
      <c r="O3984">
        <v>2.9149250000000001E-3</v>
      </c>
      <c r="P3984">
        <v>0.99811780000000005</v>
      </c>
      <c r="Q3984">
        <v>4.7105460000000002E-2</v>
      </c>
      <c r="R3984">
        <v>-3.9266889999999999E-2</v>
      </c>
      <c r="S3984">
        <v>3.001099</v>
      </c>
      <c r="T3984">
        <v>0.1019615</v>
      </c>
      <c r="U3984">
        <v>5.6610109999999996E-3</v>
      </c>
      <c r="V3984">
        <v>4.209512E-2</v>
      </c>
      <c r="W3984">
        <v>6.146447E-2</v>
      </c>
      <c r="X3984">
        <v>0.99722120000000003</v>
      </c>
      <c r="Y3984">
        <v>1.026644E-3</v>
      </c>
      <c r="Z3984">
        <v>1.1645010000000001E-4</v>
      </c>
      <c r="AA3984">
        <v>0.99999950000000004</v>
      </c>
      <c r="AB3984">
        <v>41</v>
      </c>
      <c r="AC3984">
        <v>190.9607</v>
      </c>
      <c r="AD3984">
        <v>6.5019960000000001</v>
      </c>
      <c r="AE3984">
        <v>0.35949999999999699</v>
      </c>
      <c r="AF3984">
        <v>0.196966499464655</v>
      </c>
      <c r="AG3984">
        <v>6.5019960000000001</v>
      </c>
      <c r="AH3984">
        <v>190.73980783325999</v>
      </c>
      <c r="AI3984">
        <v>88.047641244526304</v>
      </c>
      <c r="AJ3984">
        <v>89.940833823617595</v>
      </c>
      <c r="AK3984">
        <v>190.85069829595901</v>
      </c>
      <c r="AL3984">
        <v>86.476124105430102</v>
      </c>
      <c r="AM3984">
        <v>87.582841518926301</v>
      </c>
      <c r="AN3984">
        <v>1.00000000096481</v>
      </c>
    </row>
    <row r="3985" spans="1:40" x14ac:dyDescent="0.25">
      <c r="A3985" t="str">
        <f>"20190312154333262"</f>
        <v>20190312154333262</v>
      </c>
      <c r="B3985" t="str">
        <f>"1552376613251309"</f>
        <v>1552376613251309</v>
      </c>
      <c r="C3985" t="s">
        <v>40</v>
      </c>
      <c r="D3985">
        <v>4.7758330000000004</v>
      </c>
      <c r="E3985">
        <v>0.48475020000000002</v>
      </c>
      <c r="F3985" t="s">
        <v>68</v>
      </c>
      <c r="G3985">
        <v>-109.68</v>
      </c>
      <c r="H3985">
        <v>7.6397659999999998</v>
      </c>
      <c r="I3985">
        <v>215.28970000000001</v>
      </c>
      <c r="J3985">
        <v>-300.19349999999997</v>
      </c>
      <c r="K3985">
        <v>1.110808</v>
      </c>
      <c r="L3985">
        <v>214.93620000000001</v>
      </c>
      <c r="M3985">
        <v>0.99989139999999999</v>
      </c>
      <c r="N3985">
        <v>0</v>
      </c>
      <c r="O3985">
        <v>3.4568889999999999E-3</v>
      </c>
      <c r="P3985">
        <v>0.99812190000000001</v>
      </c>
      <c r="Q3985">
        <v>4.7069279999999998E-2</v>
      </c>
      <c r="R3985">
        <v>-3.9208819999999998E-2</v>
      </c>
      <c r="S3985">
        <v>3.001007</v>
      </c>
      <c r="T3985">
        <v>0.1026053</v>
      </c>
      <c r="U3985">
        <v>5.5847170000000003E-3</v>
      </c>
      <c r="V3985">
        <v>4.257822E-2</v>
      </c>
      <c r="W3985">
        <v>6.1425439999999998E-2</v>
      </c>
      <c r="X3985">
        <v>0.99720310000000001</v>
      </c>
      <c r="Y3985">
        <v>1.593354E-3</v>
      </c>
      <c r="Z3985">
        <v>1.4539999999999901E-4</v>
      </c>
      <c r="AA3985">
        <v>0.99999870000000002</v>
      </c>
      <c r="AB3985">
        <v>41</v>
      </c>
      <c r="AC3985">
        <v>190.51349999999999</v>
      </c>
      <c r="AD3985">
        <v>6.5289580000000003</v>
      </c>
      <c r="AE3985">
        <v>0.35349999999999598</v>
      </c>
      <c r="AF3985">
        <v>0.30479576124232399</v>
      </c>
      <c r="AG3985">
        <v>6.5289580000000003</v>
      </c>
      <c r="AH3985">
        <v>190.29009725945301</v>
      </c>
      <c r="AI3985">
        <v>88.034923643995299</v>
      </c>
      <c r="AJ3985">
        <v>89.908226985799402</v>
      </c>
      <c r="AK3985">
        <v>190.402314345267</v>
      </c>
      <c r="AL3985">
        <v>86.478364611177099</v>
      </c>
      <c r="AM3985">
        <v>87.555090414289097</v>
      </c>
      <c r="AN3985">
        <v>1.0000000060735801</v>
      </c>
    </row>
    <row r="3986" spans="1:40" x14ac:dyDescent="0.25">
      <c r="A3986" t="str">
        <f>"20190312154333284"</f>
        <v>20190312154333284</v>
      </c>
      <c r="B3986" t="str">
        <f>"1552376613271352"</f>
        <v>1552376613271352</v>
      </c>
      <c r="C3986" t="s">
        <v>40</v>
      </c>
      <c r="D3986">
        <v>4.7981740000000004</v>
      </c>
      <c r="E3986">
        <v>0.48490420000000001</v>
      </c>
      <c r="F3986" t="s">
        <v>68</v>
      </c>
      <c r="G3986">
        <v>-109.68</v>
      </c>
      <c r="H3986">
        <v>7.5973920000000001</v>
      </c>
      <c r="I3986">
        <v>215.26159999999999</v>
      </c>
      <c r="J3986">
        <v>-299.80110000000002</v>
      </c>
      <c r="K3986">
        <v>1.1108199999999999</v>
      </c>
      <c r="L3986">
        <v>214.93790000000001</v>
      </c>
      <c r="M3986">
        <v>0.99988969999999999</v>
      </c>
      <c r="N3986">
        <v>0</v>
      </c>
      <c r="O3986">
        <v>3.9330490000000001E-3</v>
      </c>
      <c r="P3986">
        <v>0.99803909999999996</v>
      </c>
      <c r="Q3986">
        <v>4.8688740000000001E-2</v>
      </c>
      <c r="R3986">
        <v>-3.934207E-2</v>
      </c>
      <c r="S3986">
        <v>3.0010379999999999</v>
      </c>
      <c r="T3986">
        <v>0.1021798</v>
      </c>
      <c r="U3986">
        <v>5.1269530000000001E-3</v>
      </c>
      <c r="V3986">
        <v>4.3184170000000001E-2</v>
      </c>
      <c r="W3986">
        <v>6.3041630000000001E-2</v>
      </c>
      <c r="X3986">
        <v>0.99707619999999997</v>
      </c>
      <c r="Y3986">
        <v>2.2215030000000001E-3</v>
      </c>
      <c r="Z3986">
        <v>1.7169559999999999E-4</v>
      </c>
      <c r="AA3986">
        <v>0.99999749999999998</v>
      </c>
      <c r="AB3986">
        <v>41</v>
      </c>
      <c r="AC3986">
        <v>190.12110000000001</v>
      </c>
      <c r="AD3986">
        <v>6.4865719999999998</v>
      </c>
      <c r="AE3986">
        <v>0.32369999999997301</v>
      </c>
      <c r="AF3986">
        <v>0.42364167099014999</v>
      </c>
      <c r="AG3986">
        <v>6.4865719999999998</v>
      </c>
      <c r="AH3986">
        <v>189.89985109954199</v>
      </c>
      <c r="AI3986">
        <v>88.043664431223704</v>
      </c>
      <c r="AJ3986">
        <v>89.8721808397095</v>
      </c>
      <c r="AK3986">
        <v>190.01107477251099</v>
      </c>
      <c r="AL3986">
        <v>86.385583992387197</v>
      </c>
      <c r="AM3986">
        <v>87.520023723743705</v>
      </c>
      <c r="AN3986">
        <v>1.00000003412904</v>
      </c>
    </row>
    <row r="3987" spans="1:40" x14ac:dyDescent="0.25">
      <c r="A3987" t="str">
        <f>"20190312154333304"</f>
        <v>20190312154333304</v>
      </c>
      <c r="B3987" t="str">
        <f>"1552376613291834"</f>
        <v>1552376613291834</v>
      </c>
      <c r="C3987" t="s">
        <v>40</v>
      </c>
      <c r="D3987">
        <v>4.7851229999999996</v>
      </c>
      <c r="E3987">
        <v>0.48501759999999999</v>
      </c>
      <c r="F3987" t="s">
        <v>68</v>
      </c>
      <c r="G3987">
        <v>-109.68</v>
      </c>
      <c r="H3987">
        <v>7.6007800000000003</v>
      </c>
      <c r="I3987">
        <v>215.16220000000001</v>
      </c>
      <c r="J3987">
        <v>-299.4074</v>
      </c>
      <c r="K3987">
        <v>1.110832</v>
      </c>
      <c r="L3987">
        <v>214.93989999999999</v>
      </c>
      <c r="M3987">
        <v>0.99988770000000005</v>
      </c>
      <c r="N3987">
        <v>0</v>
      </c>
      <c r="O3987">
        <v>4.4116620000000002E-3</v>
      </c>
      <c r="P3987">
        <v>0.99788659999999996</v>
      </c>
      <c r="Q3987">
        <v>5.1663010000000002E-2</v>
      </c>
      <c r="R3987">
        <v>-3.9412959999999997E-2</v>
      </c>
      <c r="S3987">
        <v>3.0010379999999999</v>
      </c>
      <c r="T3987">
        <v>0.1024439</v>
      </c>
      <c r="U3987">
        <v>3.540039E-3</v>
      </c>
      <c r="V3987">
        <v>4.3728320000000001E-2</v>
      </c>
      <c r="W3987">
        <v>6.601187E-2</v>
      </c>
      <c r="X3987">
        <v>0.99686019999999997</v>
      </c>
      <c r="Y3987">
        <v>3.2280680000000002E-3</v>
      </c>
      <c r="Z3987">
        <v>2.0564920000000001E-4</v>
      </c>
      <c r="AA3987">
        <v>0.99999479999999996</v>
      </c>
      <c r="AB3987">
        <v>41</v>
      </c>
      <c r="AC3987">
        <v>189.72739999999999</v>
      </c>
      <c r="AD3987">
        <v>6.4899480000000001</v>
      </c>
      <c r="AE3987">
        <v>0.22230000000001801</v>
      </c>
      <c r="AF3987">
        <v>0.614082647859443</v>
      </c>
      <c r="AG3987">
        <v>6.4899480000000001</v>
      </c>
      <c r="AH3987">
        <v>189.50479519401901</v>
      </c>
      <c r="AI3987">
        <v>88.038575181155807</v>
      </c>
      <c r="AJ3987">
        <v>89.814335986551995</v>
      </c>
      <c r="AK3987">
        <v>189.61688723335899</v>
      </c>
      <c r="AL3987">
        <v>86.215046168281802</v>
      </c>
      <c r="AM3987">
        <v>87.488270658044897</v>
      </c>
      <c r="AN3987">
        <v>0.99999999564747899</v>
      </c>
    </row>
    <row r="3988" spans="1:40" x14ac:dyDescent="0.25">
      <c r="A3988" t="str">
        <f>"20190312154333327"</f>
        <v>20190312154333327</v>
      </c>
      <c r="B3988" t="str">
        <f>"1552376613321113"</f>
        <v>1552376613321113</v>
      </c>
      <c r="C3988" t="s">
        <v>40</v>
      </c>
      <c r="D3988">
        <v>4.8087809999999998</v>
      </c>
      <c r="E3988">
        <v>0.48515520000000001</v>
      </c>
      <c r="F3988" t="s">
        <v>68</v>
      </c>
      <c r="G3988">
        <v>-109.68</v>
      </c>
      <c r="H3988">
        <v>7.8254529999999898</v>
      </c>
      <c r="I3988">
        <v>215.12219999999999</v>
      </c>
      <c r="J3988">
        <v>-298.98469999999998</v>
      </c>
      <c r="K3988">
        <v>1.110835</v>
      </c>
      <c r="L3988">
        <v>214.94220000000001</v>
      </c>
      <c r="M3988">
        <v>0.99988529999999998</v>
      </c>
      <c r="N3988">
        <v>0</v>
      </c>
      <c r="O3988">
        <v>4.9271760000000001E-3</v>
      </c>
      <c r="P3988">
        <v>0.99782899999999997</v>
      </c>
      <c r="Q3988">
        <v>5.2846360000000002E-2</v>
      </c>
      <c r="R3988">
        <v>-3.930144E-2</v>
      </c>
      <c r="S3988">
        <v>3.0009769999999998</v>
      </c>
      <c r="T3988">
        <v>0.106208</v>
      </c>
      <c r="U3988">
        <v>2.8839109999999999E-3</v>
      </c>
      <c r="V3988">
        <v>4.4129189999999999E-2</v>
      </c>
      <c r="W3988">
        <v>6.7191299999999995E-2</v>
      </c>
      <c r="X3988">
        <v>0.99676370000000003</v>
      </c>
      <c r="Y3988">
        <v>3.9611359999999997E-3</v>
      </c>
      <c r="Z3988">
        <v>2.4441360000000001E-4</v>
      </c>
      <c r="AA3988">
        <v>0.99999210000000005</v>
      </c>
      <c r="AB3988">
        <v>41</v>
      </c>
      <c r="AC3988">
        <v>189.3047</v>
      </c>
      <c r="AD3988">
        <v>6.71461799999999</v>
      </c>
      <c r="AE3988">
        <v>0.17999999999997801</v>
      </c>
      <c r="AF3988">
        <v>0.75188946999350204</v>
      </c>
      <c r="AG3988">
        <v>6.71461799999999</v>
      </c>
      <c r="AH3988">
        <v>189.06542306740201</v>
      </c>
      <c r="AI3988">
        <v>87.966023605517705</v>
      </c>
      <c r="AJ3988">
        <v>89.772143073637295</v>
      </c>
      <c r="AK3988">
        <v>189.18611374072</v>
      </c>
      <c r="AL3988">
        <v>86.147319307103601</v>
      </c>
      <c r="AM3988">
        <v>87.465029737478304</v>
      </c>
      <c r="AN3988">
        <v>0.99999996492171705</v>
      </c>
    </row>
    <row r="3989" spans="1:40" x14ac:dyDescent="0.25">
      <c r="A3989" t="str">
        <f>"20190312154333351"</f>
        <v>20190312154333351</v>
      </c>
      <c r="B3989" t="str">
        <f>"1552376613341608"</f>
        <v>1552376613341608</v>
      </c>
      <c r="C3989" t="s">
        <v>40</v>
      </c>
      <c r="D3989">
        <v>4.8229540000000002</v>
      </c>
      <c r="E3989">
        <v>0.48529729999999999</v>
      </c>
      <c r="F3989" t="s">
        <v>68</v>
      </c>
      <c r="G3989">
        <v>-109.68</v>
      </c>
      <c r="H3989">
        <v>7.5575339999999898</v>
      </c>
      <c r="I3989">
        <v>215.08179999999999</v>
      </c>
      <c r="J3989">
        <v>-298.5625</v>
      </c>
      <c r="K3989">
        <v>1.110843</v>
      </c>
      <c r="L3989">
        <v>214.94479999999999</v>
      </c>
      <c r="M3989">
        <v>0.99988270000000001</v>
      </c>
      <c r="N3989">
        <v>0</v>
      </c>
      <c r="O3989">
        <v>5.4437069999999999E-3</v>
      </c>
      <c r="P3989">
        <v>0.9978591</v>
      </c>
      <c r="Q3989">
        <v>5.2370390000000003E-2</v>
      </c>
      <c r="R3989">
        <v>-3.9173970000000002E-2</v>
      </c>
      <c r="S3989">
        <v>3.0011899999999998</v>
      </c>
      <c r="T3989">
        <v>0.1022052</v>
      </c>
      <c r="U3989">
        <v>2.212524E-3</v>
      </c>
      <c r="V3989">
        <v>4.4517969999999997E-2</v>
      </c>
      <c r="W3989">
        <v>6.6713640000000005E-2</v>
      </c>
      <c r="X3989">
        <v>0.99677850000000001</v>
      </c>
      <c r="Y3989">
        <v>4.7011780000000003E-3</v>
      </c>
      <c r="Z3989">
        <v>2.6537510000000002E-4</v>
      </c>
      <c r="AA3989">
        <v>0.99998889999999996</v>
      </c>
      <c r="AB3989">
        <v>41</v>
      </c>
      <c r="AC3989">
        <v>188.88249999999999</v>
      </c>
      <c r="AD3989">
        <v>6.4466910000000004</v>
      </c>
      <c r="AE3989">
        <v>0.13700000000000001</v>
      </c>
      <c r="AF3989">
        <v>0.89029129845536303</v>
      </c>
      <c r="AG3989">
        <v>6.4466910000000004</v>
      </c>
      <c r="AH3989">
        <v>188.66067507904401</v>
      </c>
      <c r="AI3989">
        <v>88.042939181384597</v>
      </c>
      <c r="AJ3989">
        <v>89.729622745837204</v>
      </c>
      <c r="AK3989">
        <v>188.772886730924</v>
      </c>
      <c r="AL3989">
        <v>86.174748772131196</v>
      </c>
      <c r="AM3989">
        <v>87.442763982399796</v>
      </c>
      <c r="AN3989">
        <v>0.99999996873860897</v>
      </c>
    </row>
    <row r="3990" spans="1:40" x14ac:dyDescent="0.25">
      <c r="A3990" t="str">
        <f>"20190312154333372"</f>
        <v>20190312154333372</v>
      </c>
      <c r="B3990" t="str">
        <f>"1552376613361128"</f>
        <v>1552376613361128</v>
      </c>
      <c r="C3990" t="s">
        <v>40</v>
      </c>
      <c r="D3990">
        <v>4.8146959999999996</v>
      </c>
      <c r="E3990">
        <v>0.48541529999999999</v>
      </c>
      <c r="F3990" t="s">
        <v>68</v>
      </c>
      <c r="G3990">
        <v>-107.39749999999999</v>
      </c>
      <c r="H3990">
        <v>7.2296399999999998</v>
      </c>
      <c r="I3990">
        <v>215.05070000000001</v>
      </c>
      <c r="J3990">
        <v>-298.16109999999998</v>
      </c>
      <c r="K3990">
        <v>1.1108450000000001</v>
      </c>
      <c r="L3990">
        <v>214.94739999999999</v>
      </c>
      <c r="M3990">
        <v>0.99987979999999999</v>
      </c>
      <c r="N3990">
        <v>0</v>
      </c>
      <c r="O3990">
        <v>5.9363920000000004E-3</v>
      </c>
      <c r="P3990">
        <v>0.99788949999999998</v>
      </c>
      <c r="Q3990">
        <v>5.1744659999999998E-2</v>
      </c>
      <c r="R3990">
        <v>-3.9229939999999998E-2</v>
      </c>
      <c r="S3990">
        <v>3.001465</v>
      </c>
      <c r="T3990">
        <v>9.6071480000000001E-2</v>
      </c>
      <c r="U3990">
        <v>1.66320799999999E-3</v>
      </c>
      <c r="V3990">
        <v>4.5066519999999999E-2</v>
      </c>
      <c r="W3990">
        <v>6.6086560000000003E-2</v>
      </c>
      <c r="X3990">
        <v>0.99679569999999995</v>
      </c>
      <c r="Y3990">
        <v>5.3770850000000002E-3</v>
      </c>
      <c r="Z3990">
        <v>2.7601649999999998E-4</v>
      </c>
      <c r="AA3990">
        <v>0.99998549999999997</v>
      </c>
      <c r="AB3990">
        <v>41</v>
      </c>
      <c r="AC3990">
        <v>190.7636</v>
      </c>
      <c r="AD3990">
        <v>6.1187950000000004</v>
      </c>
      <c r="AE3990">
        <v>0.103300000000018</v>
      </c>
      <c r="AF3990">
        <v>1.0282076615615201</v>
      </c>
      <c r="AG3990">
        <v>6.1187950000000004</v>
      </c>
      <c r="AH3990">
        <v>190.56479380610401</v>
      </c>
      <c r="AI3990">
        <v>88.160963422091797</v>
      </c>
      <c r="AJ3990">
        <v>89.690859016418699</v>
      </c>
      <c r="AK3990">
        <v>190.66577433197099</v>
      </c>
      <c r="AL3990">
        <v>86.210757572761906</v>
      </c>
      <c r="AM3990">
        <v>87.411340957406196</v>
      </c>
      <c r="AN3990">
        <v>1.0000000460880101</v>
      </c>
    </row>
    <row r="3991" spans="1:40" x14ac:dyDescent="0.25">
      <c r="A3991" t="str">
        <f>"20190312154333393"</f>
        <v>20190312154333393</v>
      </c>
      <c r="B3991" t="str">
        <f>"1552376613381114"</f>
        <v>1552376613381114</v>
      </c>
      <c r="C3991" t="s">
        <v>40</v>
      </c>
      <c r="D3991">
        <v>4.8406129999999896</v>
      </c>
      <c r="E3991">
        <v>0.4855507</v>
      </c>
      <c r="F3991" t="s">
        <v>68</v>
      </c>
      <c r="G3991">
        <v>-107.39749999999999</v>
      </c>
      <c r="H3991">
        <v>6.8053489999999996</v>
      </c>
      <c r="I3991">
        <v>214.9881</v>
      </c>
      <c r="J3991">
        <v>-297.767</v>
      </c>
      <c r="K3991">
        <v>1.110838</v>
      </c>
      <c r="L3991">
        <v>214.9502</v>
      </c>
      <c r="M3991">
        <v>0.99987689999999996</v>
      </c>
      <c r="N3991">
        <v>0</v>
      </c>
      <c r="O3991">
        <v>6.4207309999999998E-3</v>
      </c>
      <c r="P3991">
        <v>0.99790489999999998</v>
      </c>
      <c r="Q3991">
        <v>5.1127640000000002E-2</v>
      </c>
      <c r="R3991">
        <v>-3.9650039999999998E-2</v>
      </c>
      <c r="S3991">
        <v>3.0017399999999999</v>
      </c>
      <c r="T3991">
        <v>8.9606050000000007E-2</v>
      </c>
      <c r="U3991">
        <v>6.408691E-4</v>
      </c>
      <c r="V3991">
        <v>4.5970570000000002E-2</v>
      </c>
      <c r="W3991">
        <v>6.5468499999999999E-2</v>
      </c>
      <c r="X3991">
        <v>0.99679519999999999</v>
      </c>
      <c r="Y3991">
        <v>6.2022719999999896E-3</v>
      </c>
      <c r="Z3991">
        <v>2.8419619999999997E-4</v>
      </c>
      <c r="AA3991">
        <v>0.99998069999999895</v>
      </c>
      <c r="AB3991">
        <v>41</v>
      </c>
      <c r="AC3991">
        <v>190.36949999999999</v>
      </c>
      <c r="AD3991">
        <v>5.6945110000000003</v>
      </c>
      <c r="AE3991">
        <v>3.7900000000007601E-2</v>
      </c>
      <c r="AF3991">
        <v>1.18347845529295</v>
      </c>
      <c r="AG3991">
        <v>5.6945110000000003</v>
      </c>
      <c r="AH3991">
        <v>190.19563448538801</v>
      </c>
      <c r="AI3991">
        <v>88.285093675828904</v>
      </c>
      <c r="AJ3991">
        <v>89.643485794565905</v>
      </c>
      <c r="AK3991">
        <v>190.284543392475</v>
      </c>
      <c r="AL3991">
        <v>86.246246652598003</v>
      </c>
      <c r="AM3991">
        <v>87.359483013741396</v>
      </c>
      <c r="AN3991">
        <v>1.0000000442707</v>
      </c>
    </row>
    <row r="3992" spans="1:40" x14ac:dyDescent="0.25">
      <c r="A3992" t="str">
        <f>"20190312154333416"</f>
        <v>20190312154333416</v>
      </c>
      <c r="B3992" t="str">
        <f>"1552376613411370"</f>
        <v>1552376613411370</v>
      </c>
      <c r="C3992" t="s">
        <v>40</v>
      </c>
      <c r="D3992">
        <v>4.8354480000000004</v>
      </c>
      <c r="E3992">
        <v>0.48574699999999998</v>
      </c>
      <c r="F3992" t="s">
        <v>68</v>
      </c>
      <c r="G3992">
        <v>-107.39749999999999</v>
      </c>
      <c r="H3992">
        <v>6.4056879999999996</v>
      </c>
      <c r="I3992">
        <v>214.8563</v>
      </c>
      <c r="J3992">
        <v>-297.35750000000002</v>
      </c>
      <c r="K3992">
        <v>1.110835</v>
      </c>
      <c r="L3992">
        <v>214.95330000000001</v>
      </c>
      <c r="M3992">
        <v>0.99987360000000003</v>
      </c>
      <c r="N3992">
        <v>0</v>
      </c>
      <c r="O3992">
        <v>6.9249749999999999E-3</v>
      </c>
      <c r="P3992">
        <v>0.99793600000000005</v>
      </c>
      <c r="Q3992">
        <v>5.0132900000000001E-2</v>
      </c>
      <c r="R3992">
        <v>-4.0133410000000001E-2</v>
      </c>
      <c r="S3992">
        <v>3.0019230000000001</v>
      </c>
      <c r="T3992">
        <v>8.3494899999999997E-2</v>
      </c>
      <c r="U3992">
        <v>-1.480103E-3</v>
      </c>
      <c r="V3992">
        <v>4.6958470000000002E-2</v>
      </c>
      <c r="W3992">
        <v>6.4473059999999999E-2</v>
      </c>
      <c r="X3992">
        <v>0.99681399999999998</v>
      </c>
      <c r="Y3992">
        <v>7.4131789999999998E-3</v>
      </c>
      <c r="Z3992">
        <v>2.9566580000000002E-4</v>
      </c>
      <c r="AA3992">
        <v>0.99997250000000004</v>
      </c>
      <c r="AB3992">
        <v>41</v>
      </c>
      <c r="AC3992">
        <v>189.96</v>
      </c>
      <c r="AD3992">
        <v>5.2948529999999998</v>
      </c>
      <c r="AE3992">
        <v>-9.7000000000008399E-2</v>
      </c>
      <c r="AF3992">
        <v>1.4115040246395301</v>
      </c>
      <c r="AG3992">
        <v>5.2948529999999998</v>
      </c>
      <c r="AH3992">
        <v>189.80730493369401</v>
      </c>
      <c r="AI3992">
        <v>88.402138990279795</v>
      </c>
      <c r="AJ3992">
        <v>89.573927185538594</v>
      </c>
      <c r="AK3992">
        <v>189.88638923865901</v>
      </c>
      <c r="AL3992">
        <v>86.303401803246103</v>
      </c>
      <c r="AM3992">
        <v>87.302872445756506</v>
      </c>
      <c r="AN3992">
        <v>1.0000000119832499</v>
      </c>
    </row>
    <row r="3993" spans="1:40" x14ac:dyDescent="0.25">
      <c r="A3993" t="str">
        <f>"20190312154333439"</f>
        <v>20190312154333439</v>
      </c>
      <c r="B3993" t="str">
        <f>"1552376613431866"</f>
        <v>1552376613431866</v>
      </c>
      <c r="C3993" t="s">
        <v>40</v>
      </c>
      <c r="D3993">
        <v>4.867146</v>
      </c>
      <c r="E3993">
        <v>0.48583979999999999</v>
      </c>
      <c r="F3993" t="s">
        <v>68</v>
      </c>
      <c r="G3993">
        <v>-107.39749999999999</v>
      </c>
      <c r="H3993">
        <v>5.827852</v>
      </c>
      <c r="I3993">
        <v>214.68870000000001</v>
      </c>
      <c r="J3993">
        <v>-296.92660000000001</v>
      </c>
      <c r="K3993">
        <v>1.11083</v>
      </c>
      <c r="L3993">
        <v>214.95679999999999</v>
      </c>
      <c r="M3993">
        <v>0.99986980000000003</v>
      </c>
      <c r="N3993">
        <v>0</v>
      </c>
      <c r="O3993">
        <v>7.4560980000000004E-3</v>
      </c>
      <c r="P3993">
        <v>0.9980559</v>
      </c>
      <c r="Q3993">
        <v>4.7499350000000003E-2</v>
      </c>
      <c r="R3993">
        <v>-4.035184E-2</v>
      </c>
      <c r="S3993">
        <v>3.0022890000000002</v>
      </c>
      <c r="T3993">
        <v>7.455254E-2</v>
      </c>
      <c r="U3993">
        <v>-4.1809079999999997E-3</v>
      </c>
      <c r="V3993">
        <v>4.7711389999999999E-2</v>
      </c>
      <c r="W3993">
        <v>6.1839030000000003E-2</v>
      </c>
      <c r="X3993">
        <v>0.99694510000000003</v>
      </c>
      <c r="Y3993">
        <v>8.8443659999999993E-3</v>
      </c>
      <c r="Z3993">
        <v>2.949327E-4</v>
      </c>
      <c r="AA3993">
        <v>0.99996079999999998</v>
      </c>
      <c r="AB3993">
        <v>41</v>
      </c>
      <c r="AC3993">
        <v>189.5291</v>
      </c>
      <c r="AD3993">
        <v>4.717022</v>
      </c>
      <c r="AE3993">
        <v>-0.26809999999997502</v>
      </c>
      <c r="AF3993">
        <v>1.68034397709351</v>
      </c>
      <c r="AG3993">
        <v>4.717022</v>
      </c>
      <c r="AH3993">
        <v>189.40451100213301</v>
      </c>
      <c r="AI3993">
        <v>88.573429074070503</v>
      </c>
      <c r="AJ3993">
        <v>89.491701165234005</v>
      </c>
      <c r="AK3993">
        <v>189.47069071597099</v>
      </c>
      <c r="AL3993">
        <v>86.454622447913195</v>
      </c>
      <c r="AM3993">
        <v>87.260052602418796</v>
      </c>
      <c r="AN3993">
        <v>0.99999998739054097</v>
      </c>
    </row>
    <row r="3994" spans="1:40" x14ac:dyDescent="0.25">
      <c r="A3994" t="str">
        <f>"20190312154333462"</f>
        <v>20190312154333462</v>
      </c>
      <c r="B3994" t="str">
        <f>"1552376613451385"</f>
        <v>1552376613451385</v>
      </c>
      <c r="C3994" t="s">
        <v>40</v>
      </c>
      <c r="D3994">
        <v>4.8603690000000004</v>
      </c>
      <c r="E3994">
        <v>0.4859444</v>
      </c>
      <c r="F3994" t="s">
        <v>68</v>
      </c>
      <c r="G3994">
        <v>-107.39749999999999</v>
      </c>
      <c r="H3994">
        <v>5.0630639999999998</v>
      </c>
      <c r="I3994">
        <v>214.6052</v>
      </c>
      <c r="J3994">
        <v>-296.52100000000002</v>
      </c>
      <c r="K3994">
        <v>1.110825</v>
      </c>
      <c r="L3994">
        <v>214.96029999999999</v>
      </c>
      <c r="M3994">
        <v>0.99986600000000003</v>
      </c>
      <c r="N3994">
        <v>0</v>
      </c>
      <c r="O3994">
        <v>7.9563450000000001E-3</v>
      </c>
      <c r="P3994">
        <v>0.998143</v>
      </c>
      <c r="Q3994">
        <v>4.5421629999999998E-2</v>
      </c>
      <c r="R3994">
        <v>-4.0589119999999999E-2</v>
      </c>
      <c r="S3994">
        <v>3.0026549999999999</v>
      </c>
      <c r="T3994">
        <v>6.2614920000000004E-2</v>
      </c>
      <c r="U3994">
        <v>-5.5694580000000002E-3</v>
      </c>
      <c r="V3994">
        <v>4.8451460000000002E-2</v>
      </c>
      <c r="W3994">
        <v>5.9761010000000003E-2</v>
      </c>
      <c r="X3994">
        <v>0.99703620000000004</v>
      </c>
      <c r="Y3994">
        <v>9.8080660000000007E-3</v>
      </c>
      <c r="Z3994">
        <v>2.6816639999999999E-4</v>
      </c>
      <c r="AA3994">
        <v>0.99995179999999995</v>
      </c>
      <c r="AB3994">
        <v>41</v>
      </c>
      <c r="AC3994">
        <v>189.12350000000001</v>
      </c>
      <c r="AD3994">
        <v>3.9522390000000001</v>
      </c>
      <c r="AE3994">
        <v>-0.35509999999999298</v>
      </c>
      <c r="AF3994">
        <v>1.8591626721527501</v>
      </c>
      <c r="AG3994">
        <v>3.9522390000000001</v>
      </c>
      <c r="AH3994">
        <v>189.03213464594</v>
      </c>
      <c r="AI3994">
        <v>88.802305856862503</v>
      </c>
      <c r="AJ3994">
        <v>89.436504590644603</v>
      </c>
      <c r="AK3994">
        <v>189.08258673858799</v>
      </c>
      <c r="AL3994">
        <v>86.573905149107404</v>
      </c>
      <c r="AM3994">
        <v>87.217872314599305</v>
      </c>
      <c r="AN3994">
        <v>1.00000005320139</v>
      </c>
    </row>
    <row r="3995" spans="1:40" x14ac:dyDescent="0.25">
      <c r="A3995" t="str">
        <f>"20190312154333484"</f>
        <v>20190312154333484</v>
      </c>
      <c r="B3995" t="str">
        <f>"1552376613471298"</f>
        <v>1552376613471298</v>
      </c>
      <c r="C3995" t="s">
        <v>40</v>
      </c>
      <c r="D3995">
        <v>4.8882879999999904</v>
      </c>
      <c r="E3995">
        <v>0.48601650000000002</v>
      </c>
      <c r="F3995" t="s">
        <v>68</v>
      </c>
      <c r="G3995">
        <v>-107.39749999999999</v>
      </c>
      <c r="H3995">
        <v>4.4254389999999999</v>
      </c>
      <c r="I3995">
        <v>214.524</v>
      </c>
      <c r="J3995">
        <v>-296.11110000000002</v>
      </c>
      <c r="K3995">
        <v>1.1108150000000001</v>
      </c>
      <c r="L3995">
        <v>214.964</v>
      </c>
      <c r="M3995">
        <v>0.99986180000000002</v>
      </c>
      <c r="N3995">
        <v>0</v>
      </c>
      <c r="O3995">
        <v>8.4611689999999993E-3</v>
      </c>
      <c r="P3995">
        <v>0.99826119999999996</v>
      </c>
      <c r="Q3995">
        <v>4.3291549999999998E-2</v>
      </c>
      <c r="R3995">
        <v>-4.0009089999999997E-2</v>
      </c>
      <c r="S3995">
        <v>3.0028990000000002</v>
      </c>
      <c r="T3995">
        <v>5.263019E-2</v>
      </c>
      <c r="U3995">
        <v>-6.9274899999999997E-3</v>
      </c>
      <c r="V3995">
        <v>4.8378850000000001E-2</v>
      </c>
      <c r="W3995">
        <v>5.7629880000000001E-2</v>
      </c>
      <c r="X3995">
        <v>0.99716510000000003</v>
      </c>
      <c r="Y3995">
        <v>1.076591E-2</v>
      </c>
      <c r="Z3995">
        <v>2.4263369999999999E-4</v>
      </c>
      <c r="AA3995">
        <v>0.999942</v>
      </c>
      <c r="AB3995">
        <v>41</v>
      </c>
      <c r="AC3995">
        <v>188.71360000000001</v>
      </c>
      <c r="AD3995">
        <v>3.3146239999999998</v>
      </c>
      <c r="AE3995">
        <v>-0.44000000000002598</v>
      </c>
      <c r="AF3995">
        <v>2.0362572392417899</v>
      </c>
      <c r="AG3995">
        <v>3.3146239999999998</v>
      </c>
      <c r="AH3995">
        <v>188.64492248942301</v>
      </c>
      <c r="AI3995">
        <v>88.993435054570199</v>
      </c>
      <c r="AJ3995">
        <v>89.381566100840502</v>
      </c>
      <c r="AK3995">
        <v>188.68502817353101</v>
      </c>
      <c r="AL3995">
        <v>86.696220546673402</v>
      </c>
      <c r="AM3995">
        <v>87.222393647415799</v>
      </c>
      <c r="AN3995">
        <v>0.99999997642707295</v>
      </c>
    </row>
    <row r="3996" spans="1:40" x14ac:dyDescent="0.25">
      <c r="A3996" t="str">
        <f>"20190312154333506"</f>
        <v>20190312154333506</v>
      </c>
      <c r="B3996" t="str">
        <f>"1552376613501513"</f>
        <v>1552376613501513</v>
      </c>
      <c r="C3996" t="s">
        <v>40</v>
      </c>
      <c r="D3996">
        <v>4.8963199999999896</v>
      </c>
      <c r="E3996">
        <v>0.48612850000000002</v>
      </c>
      <c r="F3996" t="s">
        <v>68</v>
      </c>
      <c r="G3996">
        <v>-107.39749999999999</v>
      </c>
      <c r="H3996">
        <v>3.778473</v>
      </c>
      <c r="I3996">
        <v>214.6063</v>
      </c>
      <c r="J3996">
        <v>-295.72199999999998</v>
      </c>
      <c r="K3996">
        <v>1.110803</v>
      </c>
      <c r="L3996">
        <v>214.96770000000001</v>
      </c>
      <c r="M3996">
        <v>0.99985769999999996</v>
      </c>
      <c r="N3996">
        <v>0</v>
      </c>
      <c r="O3996">
        <v>8.9347869999999996E-3</v>
      </c>
      <c r="P3996">
        <v>0.99838839999999995</v>
      </c>
      <c r="Q3996">
        <v>4.079174E-2</v>
      </c>
      <c r="R3996">
        <v>-3.9453439999999999E-2</v>
      </c>
      <c r="S3996">
        <v>3.0031430000000001</v>
      </c>
      <c r="T3996">
        <v>4.2453289999999998E-2</v>
      </c>
      <c r="U3996">
        <v>-5.6915280000000004E-3</v>
      </c>
      <c r="V3996">
        <v>4.8301030000000002E-2</v>
      </c>
      <c r="W3996">
        <v>5.5129520000000001E-2</v>
      </c>
      <c r="X3996">
        <v>0.99731029999999998</v>
      </c>
      <c r="Y3996">
        <v>1.0828819999999999E-2</v>
      </c>
      <c r="Z3996">
        <v>2.0284599999999999E-4</v>
      </c>
      <c r="AA3996">
        <v>0.99994130000000003</v>
      </c>
      <c r="AB3996">
        <v>41</v>
      </c>
      <c r="AC3996">
        <v>188.3245</v>
      </c>
      <c r="AD3996">
        <v>2.6676700000000002</v>
      </c>
      <c r="AE3996">
        <v>-0.361400000000003</v>
      </c>
      <c r="AF3996">
        <v>2.0437870567485201</v>
      </c>
      <c r="AG3996">
        <v>2.6676700000000002</v>
      </c>
      <c r="AH3996">
        <v>188.27597350943299</v>
      </c>
      <c r="AI3996">
        <v>89.188281971146395</v>
      </c>
      <c r="AJ3996">
        <v>89.378063110580797</v>
      </c>
      <c r="AK3996">
        <v>188.305963075222</v>
      </c>
      <c r="AL3996">
        <v>86.839709109434096</v>
      </c>
      <c r="AM3996">
        <v>87.227257714118295</v>
      </c>
      <c r="AN3996">
        <v>1.0000000439802801</v>
      </c>
    </row>
    <row r="3997" spans="1:40" x14ac:dyDescent="0.25">
      <c r="A3997" t="str">
        <f>"20190312154333528"</f>
        <v>20190312154333528</v>
      </c>
      <c r="B3997" t="str">
        <f>"1552376613521037"</f>
        <v>1552376613521037</v>
      </c>
      <c r="C3997" t="s">
        <v>40</v>
      </c>
      <c r="D3997">
        <v>4.8964819999999998</v>
      </c>
      <c r="E3997">
        <v>0.48622070000000001</v>
      </c>
      <c r="F3997" t="s">
        <v>68</v>
      </c>
      <c r="G3997">
        <v>-107.39749999999999</v>
      </c>
      <c r="H3997">
        <v>2.9656709999999999</v>
      </c>
      <c r="I3997">
        <v>214.67400000000001</v>
      </c>
      <c r="J3997">
        <v>-295.3005</v>
      </c>
      <c r="K3997">
        <v>1.110776</v>
      </c>
      <c r="L3997">
        <v>214.97190000000001</v>
      </c>
      <c r="M3997">
        <v>0.99985329999999994</v>
      </c>
      <c r="N3997">
        <v>0</v>
      </c>
      <c r="O3997">
        <v>9.4340129999999998E-3</v>
      </c>
      <c r="P3997">
        <v>0.99847929999999996</v>
      </c>
      <c r="Q3997">
        <v>3.9502879999999997E-2</v>
      </c>
      <c r="R3997">
        <v>-3.845378E-2</v>
      </c>
      <c r="S3997">
        <v>3.0034480000000001</v>
      </c>
      <c r="T3997">
        <v>2.958274E-2</v>
      </c>
      <c r="U3997">
        <v>-4.6844479999999999E-3</v>
      </c>
      <c r="V3997">
        <v>4.7803390000000001E-2</v>
      </c>
      <c r="W3997">
        <v>5.3837309999999999E-2</v>
      </c>
      <c r="X3997">
        <v>0.99740479999999998</v>
      </c>
      <c r="Y3997">
        <v>1.0993589999999999E-2</v>
      </c>
      <c r="Z3997">
        <v>1.4706739999999999E-4</v>
      </c>
      <c r="AA3997">
        <v>0.99993960000000004</v>
      </c>
      <c r="AB3997">
        <v>41</v>
      </c>
      <c r="AC3997">
        <v>187.90299999999999</v>
      </c>
      <c r="AD3997">
        <v>1.854895</v>
      </c>
      <c r="AE3997">
        <v>-0.297899999999998</v>
      </c>
      <c r="AF3997">
        <v>2.0705454918659099</v>
      </c>
      <c r="AG3997">
        <v>1.854895</v>
      </c>
      <c r="AH3997">
        <v>187.873517903844</v>
      </c>
      <c r="AI3997">
        <v>89.434365471119406</v>
      </c>
      <c r="AJ3997">
        <v>89.368571385074503</v>
      </c>
      <c r="AK3997">
        <v>187.89408325878901</v>
      </c>
      <c r="AL3997">
        <v>86.913857219722303</v>
      </c>
      <c r="AM3997">
        <v>87.256040672100397</v>
      </c>
      <c r="AN3997">
        <v>0.99999997755328296</v>
      </c>
    </row>
    <row r="3998" spans="1:40" x14ac:dyDescent="0.25">
      <c r="A3998" t="str">
        <f>"20190312154333550"</f>
        <v>20190312154333550</v>
      </c>
      <c r="B3998" t="str">
        <f>"1552376613541530"</f>
        <v>1552376613541530</v>
      </c>
      <c r="C3998" t="s">
        <v>40</v>
      </c>
      <c r="D3998">
        <v>4.8994030000000004</v>
      </c>
      <c r="E3998">
        <v>0.4863632</v>
      </c>
      <c r="F3998" t="s">
        <v>68</v>
      </c>
      <c r="G3998">
        <v>-107.39749999999999</v>
      </c>
      <c r="H3998">
        <v>2.5040279999999999</v>
      </c>
      <c r="I3998">
        <v>214.8134</v>
      </c>
      <c r="J3998">
        <v>-294.90030000000002</v>
      </c>
      <c r="K3998">
        <v>1.110751</v>
      </c>
      <c r="L3998">
        <v>214.9761</v>
      </c>
      <c r="M3998">
        <v>0.99984899999999999</v>
      </c>
      <c r="N3998">
        <v>0</v>
      </c>
      <c r="O3998">
        <v>9.885741E-3</v>
      </c>
      <c r="P3998">
        <v>0.99858360000000002</v>
      </c>
      <c r="Q3998">
        <v>3.7974639999999997E-2</v>
      </c>
      <c r="R3998">
        <v>-3.7274580000000002E-2</v>
      </c>
      <c r="S3998">
        <v>3.003571</v>
      </c>
      <c r="T3998">
        <v>2.2271510000000001E-2</v>
      </c>
      <c r="U3998">
        <v>-2.532959E-3</v>
      </c>
      <c r="V3998">
        <v>4.7079919999999997E-2</v>
      </c>
      <c r="W3998">
        <v>5.2305009999999999E-2</v>
      </c>
      <c r="X3998">
        <v>0.99752070000000004</v>
      </c>
      <c r="Y3998">
        <v>1.072946E-2</v>
      </c>
      <c r="Z3998">
        <v>1.130875E-4</v>
      </c>
      <c r="AA3998">
        <v>0.99994240000000001</v>
      </c>
      <c r="AB3998">
        <v>41</v>
      </c>
      <c r="AC3998">
        <v>187.50280000000001</v>
      </c>
      <c r="AD3998">
        <v>1.3932770000000001</v>
      </c>
      <c r="AE3998">
        <v>-0.16270000000000001</v>
      </c>
      <c r="AF3998">
        <v>2.0163741586742598</v>
      </c>
      <c r="AG3998">
        <v>1.3932770000000001</v>
      </c>
      <c r="AH3998">
        <v>187.481675356062</v>
      </c>
      <c r="AI3998">
        <v>89.574236757750299</v>
      </c>
      <c r="AJ3998">
        <v>89.3838049781656</v>
      </c>
      <c r="AK3998">
        <v>187.49769486546299</v>
      </c>
      <c r="AL3998">
        <v>87.001775340704995</v>
      </c>
      <c r="AM3998">
        <v>87.297820021673601</v>
      </c>
      <c r="AN3998">
        <v>0.99999993993339598</v>
      </c>
    </row>
    <row r="3999" spans="1:40" x14ac:dyDescent="0.25">
      <c r="A3999" t="str">
        <f>"20190312154333572"</f>
        <v>20190312154333572</v>
      </c>
      <c r="B3999" t="str">
        <f>"1552376613562025"</f>
        <v>1552376613562025</v>
      </c>
      <c r="C3999" t="s">
        <v>40</v>
      </c>
      <c r="D3999">
        <v>4.8993690000000001</v>
      </c>
      <c r="E3999">
        <v>0.486508</v>
      </c>
      <c r="F3999" t="s">
        <v>68</v>
      </c>
      <c r="G3999">
        <v>-107.39749999999999</v>
      </c>
      <c r="H3999">
        <v>1.993554</v>
      </c>
      <c r="I3999">
        <v>214.98560000000001</v>
      </c>
      <c r="J3999">
        <v>-294.50040000000001</v>
      </c>
      <c r="K3999">
        <v>1.110725</v>
      </c>
      <c r="L3999">
        <v>214.98050000000001</v>
      </c>
      <c r="M3999">
        <v>0.99984470000000003</v>
      </c>
      <c r="N3999">
        <v>0</v>
      </c>
      <c r="O3999">
        <v>1.0315660000000001E-2</v>
      </c>
      <c r="P3999">
        <v>0.9986659</v>
      </c>
      <c r="Q3999">
        <v>3.6555120000000003E-2</v>
      </c>
      <c r="R3999">
        <v>-3.6476229999999998E-2</v>
      </c>
      <c r="S3999">
        <v>3.0037229999999999</v>
      </c>
      <c r="T3999">
        <v>1.4142989999999999E-2</v>
      </c>
      <c r="U3999">
        <v>1.5258789999999999E-4</v>
      </c>
      <c r="V3999">
        <v>4.671587E-2</v>
      </c>
      <c r="W3999">
        <v>5.088165E-2</v>
      </c>
      <c r="X3999">
        <v>0.99761149999999998</v>
      </c>
      <c r="Y3999">
        <v>1.0265689999999999E-2</v>
      </c>
      <c r="Z3999" s="1">
        <v>7.2742990000000004E-5</v>
      </c>
      <c r="AA3999">
        <v>0.99994729999999998</v>
      </c>
      <c r="AB3999">
        <v>41</v>
      </c>
      <c r="AC3999">
        <v>187.10290000000001</v>
      </c>
      <c r="AD3999">
        <v>0.88282899999999997</v>
      </c>
      <c r="AE3999">
        <v>5.0999999999987696E-3</v>
      </c>
      <c r="AF3999">
        <v>1.92514436919146</v>
      </c>
      <c r="AG3999">
        <v>0.88282899999999997</v>
      </c>
      <c r="AH3999">
        <v>187.08883000207399</v>
      </c>
      <c r="AI3999">
        <v>89.729650761954204</v>
      </c>
      <c r="AJ3999">
        <v>89.410447141852103</v>
      </c>
      <c r="AK3999">
        <v>187.10081742053001</v>
      </c>
      <c r="AL3999">
        <v>87.083436835829204</v>
      </c>
      <c r="AM3999">
        <v>87.318927965827498</v>
      </c>
      <c r="AN3999">
        <v>1.00000000987441</v>
      </c>
    </row>
    <row r="4000" spans="1:40" x14ac:dyDescent="0.25">
      <c r="A4000" t="str">
        <f>"20190312154333605"</f>
        <v>20190312154333605</v>
      </c>
      <c r="B4000" t="str">
        <f>"1552376613591305"</f>
        <v>1552376613591305</v>
      </c>
      <c r="C4000" t="s">
        <v>40</v>
      </c>
      <c r="D4000">
        <v>4.8818739999999998</v>
      </c>
      <c r="E4000">
        <v>0.48669820000000003</v>
      </c>
      <c r="F4000" t="s">
        <v>68</v>
      </c>
      <c r="G4000">
        <v>-107.39749999999999</v>
      </c>
      <c r="H4000">
        <v>1.49766</v>
      </c>
      <c r="I4000">
        <v>215.06790000000001</v>
      </c>
      <c r="J4000">
        <v>-293.90010000000001</v>
      </c>
      <c r="K4000">
        <v>1.110697</v>
      </c>
      <c r="L4000">
        <v>214.9873</v>
      </c>
      <c r="M4000">
        <v>0.99983840000000002</v>
      </c>
      <c r="N4000">
        <v>0</v>
      </c>
      <c r="O4000">
        <v>1.090988E-2</v>
      </c>
      <c r="P4000">
        <v>0.99871339999999997</v>
      </c>
      <c r="Q4000">
        <v>3.700055E-2</v>
      </c>
      <c r="R4000">
        <v>-3.4683949999999998E-2</v>
      </c>
      <c r="S4000">
        <v>3.003876</v>
      </c>
      <c r="T4000">
        <v>6.2129500000000001E-3</v>
      </c>
      <c r="U4000">
        <v>1.403809E-3</v>
      </c>
      <c r="V4000">
        <v>4.5521270000000003E-2</v>
      </c>
      <c r="W4000">
        <v>5.1318330000000002E-2</v>
      </c>
      <c r="X4000">
        <v>0.99764439999999999</v>
      </c>
      <c r="Y4000">
        <v>1.0443640000000001E-2</v>
      </c>
      <c r="Z4000" s="1">
        <v>3.3367290000000001E-5</v>
      </c>
      <c r="AA4000">
        <v>0.99994550000000004</v>
      </c>
      <c r="AB4000">
        <v>41</v>
      </c>
      <c r="AC4000">
        <v>186.5026</v>
      </c>
      <c r="AD4000">
        <v>0.386963</v>
      </c>
      <c r="AE4000">
        <v>8.0600000000004002E-2</v>
      </c>
      <c r="AF4000">
        <v>1.9543250945739401</v>
      </c>
      <c r="AG4000">
        <v>0.386963</v>
      </c>
      <c r="AH4000">
        <v>186.491574709829</v>
      </c>
      <c r="AI4000">
        <v>89.881120111526002</v>
      </c>
      <c r="AJ4000">
        <v>89.399594961848607</v>
      </c>
      <c r="AK4000">
        <v>186.50221597796201</v>
      </c>
      <c r="AL4000">
        <v>87.0583843114198</v>
      </c>
      <c r="AM4000">
        <v>87.387477094125302</v>
      </c>
      <c r="AN4000">
        <v>1.00000005293387</v>
      </c>
    </row>
    <row r="4001" spans="1:40" x14ac:dyDescent="0.25">
      <c r="A4001" t="str">
        <f>"20190312154333628"</f>
        <v>20190312154333628</v>
      </c>
      <c r="B4001" t="str">
        <f>"1552376613621564"</f>
        <v>1552376613621564</v>
      </c>
      <c r="C4001" t="s">
        <v>40</v>
      </c>
      <c r="D4001">
        <v>4.8634950000000003</v>
      </c>
      <c r="E4001">
        <v>0.4869194</v>
      </c>
      <c r="F4001" t="s">
        <v>68</v>
      </c>
      <c r="G4001">
        <v>-107.39749999999999</v>
      </c>
      <c r="H4001">
        <v>1.2707029999999999</v>
      </c>
      <c r="I4001">
        <v>215.32830000000001</v>
      </c>
      <c r="J4001">
        <v>-293.48739999999998</v>
      </c>
      <c r="K4001">
        <v>1.1106689999999999</v>
      </c>
      <c r="L4001">
        <v>214.99209999999999</v>
      </c>
      <c r="M4001">
        <v>0.99983429999999995</v>
      </c>
      <c r="N4001">
        <v>0</v>
      </c>
      <c r="O4001">
        <v>1.127352E-2</v>
      </c>
      <c r="P4001">
        <v>0.99875230000000004</v>
      </c>
      <c r="Q4001">
        <v>3.7050260000000002E-2</v>
      </c>
      <c r="R4001">
        <v>-3.3483800000000001E-2</v>
      </c>
      <c r="S4001">
        <v>3.0039669999999998</v>
      </c>
      <c r="T4001">
        <v>2.5780199999999999E-3</v>
      </c>
      <c r="U4001">
        <v>5.493164E-3</v>
      </c>
      <c r="V4001">
        <v>4.4688529999999997E-2</v>
      </c>
      <c r="W4001">
        <v>5.1362150000000002E-2</v>
      </c>
      <c r="X4001">
        <v>0.99767980000000001</v>
      </c>
      <c r="Y4001">
        <v>9.4461300000000005E-3</v>
      </c>
      <c r="Z4001" s="1">
        <v>1.3729150000000001E-5</v>
      </c>
      <c r="AA4001">
        <v>0.99995540000000005</v>
      </c>
      <c r="AB4001">
        <v>41</v>
      </c>
      <c r="AC4001">
        <v>186.0899</v>
      </c>
      <c r="AD4001">
        <v>0.16003399999999901</v>
      </c>
      <c r="AE4001">
        <v>0.33620000000001898</v>
      </c>
      <c r="AF4001">
        <v>1.76192258708182</v>
      </c>
      <c r="AG4001">
        <v>0.16003399999999901</v>
      </c>
      <c r="AH4001">
        <v>186.08172484030101</v>
      </c>
      <c r="AI4001">
        <v>89.950726706096106</v>
      </c>
      <c r="AJ4001">
        <v>89.457508729227797</v>
      </c>
      <c r="AK4001">
        <v>186.09013488529001</v>
      </c>
      <c r="AL4001">
        <v>87.055870313664201</v>
      </c>
      <c r="AM4001">
        <v>87.435295560552106</v>
      </c>
      <c r="AN4001">
        <v>1.0000000592470999</v>
      </c>
    </row>
    <row r="4002" spans="1:40" x14ac:dyDescent="0.25">
      <c r="A4002" t="str">
        <f>"20190312154333650"</f>
        <v>20190312154333650</v>
      </c>
      <c r="B4002" t="str">
        <f>"1552376613641082"</f>
        <v>1552376613641082</v>
      </c>
      <c r="C4002" t="s">
        <v>40</v>
      </c>
      <c r="D4002">
        <v>4.8782560000000004</v>
      </c>
      <c r="E4002">
        <v>0.48707260000000002</v>
      </c>
      <c r="F4002" t="s">
        <v>68</v>
      </c>
      <c r="G4002">
        <v>-107.39749999999999</v>
      </c>
      <c r="H4002">
        <v>0.99795900000000004</v>
      </c>
      <c r="I4002">
        <v>215.45339999999999</v>
      </c>
      <c r="J4002">
        <v>-293.07530000000003</v>
      </c>
      <c r="K4002">
        <v>1.110643</v>
      </c>
      <c r="L4002">
        <v>214.99709999999999</v>
      </c>
      <c r="M4002">
        <v>0.99983080000000002</v>
      </c>
      <c r="N4002">
        <v>0</v>
      </c>
      <c r="O4002">
        <v>1.158928E-2</v>
      </c>
      <c r="P4002">
        <v>0.99879289999999998</v>
      </c>
      <c r="Q4002">
        <v>3.6645400000000002E-2</v>
      </c>
      <c r="R4002">
        <v>-3.2711759999999999E-2</v>
      </c>
      <c r="S4002">
        <v>3.0040279999999999</v>
      </c>
      <c r="T4002">
        <v>-1.818657E-3</v>
      </c>
      <c r="U4002">
        <v>7.446289E-3</v>
      </c>
      <c r="V4002">
        <v>4.4237140000000001E-2</v>
      </c>
      <c r="W4002">
        <v>5.0950700000000002E-2</v>
      </c>
      <c r="X4002">
        <v>0.99772099999999997</v>
      </c>
      <c r="Y4002">
        <v>9.111826E-3</v>
      </c>
      <c r="Z4002" s="1">
        <v>-9.7749530000000002E-6</v>
      </c>
      <c r="AA4002">
        <v>0.99995849999999997</v>
      </c>
      <c r="AB4002">
        <v>41</v>
      </c>
      <c r="AC4002">
        <v>185.67779999999999</v>
      </c>
      <c r="AD4002">
        <v>-0.11268399999999899</v>
      </c>
      <c r="AE4002">
        <v>0.45629999999999798</v>
      </c>
      <c r="AF4002">
        <v>1.6958216289113299</v>
      </c>
      <c r="AG4002">
        <v>-0.11268399999999899</v>
      </c>
      <c r="AH4002">
        <v>185.67054805805699</v>
      </c>
      <c r="AI4002">
        <v>90.034771522004306</v>
      </c>
      <c r="AJ4002">
        <v>89.476703648055306</v>
      </c>
      <c r="AK4002">
        <v>185.67832648120299</v>
      </c>
      <c r="AL4002">
        <v>87.079475529993999</v>
      </c>
      <c r="AM4002">
        <v>87.461271765315701</v>
      </c>
      <c r="AN4002">
        <v>1.00000004611343</v>
      </c>
    </row>
    <row r="4003" spans="1:40" x14ac:dyDescent="0.25">
      <c r="A4003" t="str">
        <f>"20190312154333673"</f>
        <v>20190312154333673</v>
      </c>
      <c r="B4003" t="str">
        <f>"1552376613661577"</f>
        <v>1552376613661577</v>
      </c>
      <c r="C4003" t="s">
        <v>40</v>
      </c>
      <c r="D4003">
        <v>4.8349929999999999</v>
      </c>
      <c r="E4003">
        <v>0.4872377</v>
      </c>
      <c r="F4003" t="s">
        <v>68</v>
      </c>
      <c r="G4003">
        <v>-107.39749999999999</v>
      </c>
      <c r="H4003">
        <v>0.75267419999999996</v>
      </c>
      <c r="I4003">
        <v>215.54320000000001</v>
      </c>
      <c r="J4003">
        <v>-292.66739999999999</v>
      </c>
      <c r="K4003">
        <v>1.110609</v>
      </c>
      <c r="L4003">
        <v>215.00210000000001</v>
      </c>
      <c r="M4003">
        <v>0.99982760000000004</v>
      </c>
      <c r="N4003">
        <v>0</v>
      </c>
      <c r="O4003">
        <v>1.186485E-2</v>
      </c>
      <c r="P4003">
        <v>0.99879569999999995</v>
      </c>
      <c r="Q4003">
        <v>3.661242E-2</v>
      </c>
      <c r="R4003">
        <v>-3.2659979999999998E-2</v>
      </c>
      <c r="S4003">
        <v>3.0041199999999999</v>
      </c>
      <c r="T4003">
        <v>-5.7908300000000003E-3</v>
      </c>
      <c r="U4003">
        <v>8.8348390000000006E-3</v>
      </c>
      <c r="V4003">
        <v>4.446514E-2</v>
      </c>
      <c r="W4003">
        <v>5.0911640000000001E-2</v>
      </c>
      <c r="X4003">
        <v>0.99771279999999996</v>
      </c>
      <c r="Y4003">
        <v>8.9252800000000007E-3</v>
      </c>
      <c r="Z4003" s="1">
        <v>-3.1475079999999998E-5</v>
      </c>
      <c r="AA4003">
        <v>0.99996019999999997</v>
      </c>
      <c r="AB4003">
        <v>41</v>
      </c>
      <c r="AC4003">
        <v>185.26990000000001</v>
      </c>
      <c r="AD4003">
        <v>-0.3579348</v>
      </c>
      <c r="AE4003">
        <v>0.54110000000000003</v>
      </c>
      <c r="AF4003">
        <v>1.6573557285534799</v>
      </c>
      <c r="AG4003">
        <v>-0.3579348</v>
      </c>
      <c r="AH4003">
        <v>185.26258546722599</v>
      </c>
      <c r="AI4003">
        <v>90.110693193794106</v>
      </c>
      <c r="AJ4003">
        <v>89.487446668960303</v>
      </c>
      <c r="AK4003">
        <v>185.27034441413801</v>
      </c>
      <c r="AL4003">
        <v>87.081716240200194</v>
      </c>
      <c r="AM4003">
        <v>87.448183364648401</v>
      </c>
      <c r="AN4003">
        <v>0.99999998752327401</v>
      </c>
    </row>
    <row r="4004" spans="1:40" x14ac:dyDescent="0.25">
      <c r="A4004" t="str">
        <f>"20190312154333695"</f>
        <v>20190312154333695</v>
      </c>
      <c r="B4004" t="str">
        <f>"1552376613691833"</f>
        <v>1552376613691833</v>
      </c>
      <c r="C4004" t="s">
        <v>40</v>
      </c>
      <c r="D4004">
        <v>4.8475409999999997</v>
      </c>
      <c r="E4004">
        <v>0.48750640000000001</v>
      </c>
      <c r="F4004" t="s">
        <v>68</v>
      </c>
      <c r="G4004">
        <v>-107.39749999999999</v>
      </c>
      <c r="H4004">
        <v>0.58767199999999997</v>
      </c>
      <c r="I4004">
        <v>215.48670000000001</v>
      </c>
      <c r="J4004">
        <v>-292.26209999999998</v>
      </c>
      <c r="K4004">
        <v>1.110573</v>
      </c>
      <c r="L4004">
        <v>215.00710000000001</v>
      </c>
      <c r="M4004">
        <v>0.99982490000000002</v>
      </c>
      <c r="N4004">
        <v>0</v>
      </c>
      <c r="O4004">
        <v>1.21058E-2</v>
      </c>
      <c r="P4004">
        <v>0.99876330000000002</v>
      </c>
      <c r="Q4004">
        <v>3.6398569999999998E-2</v>
      </c>
      <c r="R4004">
        <v>-3.3874689999999999E-2</v>
      </c>
      <c r="S4004">
        <v>3.0042110000000002</v>
      </c>
      <c r="T4004">
        <v>-8.4787609999999996E-3</v>
      </c>
      <c r="U4004">
        <v>7.8582759999999904E-3</v>
      </c>
      <c r="V4004">
        <v>4.5924199999999998E-2</v>
      </c>
      <c r="W4004">
        <v>5.0691630000000001E-2</v>
      </c>
      <c r="X4004">
        <v>0.99765789999999999</v>
      </c>
      <c r="Y4004">
        <v>9.4913570000000006E-3</v>
      </c>
      <c r="Z4004" s="1">
        <v>-4.756235E-5</v>
      </c>
      <c r="AA4004">
        <v>0.99995489999999998</v>
      </c>
      <c r="AB4004">
        <v>41</v>
      </c>
      <c r="AC4004">
        <v>184.8646</v>
      </c>
      <c r="AD4004">
        <v>-0.52290099999999995</v>
      </c>
      <c r="AE4004">
        <v>0.47960000000000402</v>
      </c>
      <c r="AF4004">
        <v>1.7585828336686</v>
      </c>
      <c r="AG4004">
        <v>-0.52290099999999995</v>
      </c>
      <c r="AH4004">
        <v>184.855378313394</v>
      </c>
      <c r="AI4004">
        <v>90.162064989071894</v>
      </c>
      <c r="AJ4004">
        <v>89.454945072667201</v>
      </c>
      <c r="AK4004">
        <v>184.864482609361</v>
      </c>
      <c r="AL4004">
        <v>87.0943381593152</v>
      </c>
      <c r="AM4004">
        <v>87.364420513869405</v>
      </c>
      <c r="AN4004">
        <v>0.99999997946505303</v>
      </c>
    </row>
    <row r="4005" spans="1:40" x14ac:dyDescent="0.25">
      <c r="A4005" t="str">
        <f>"20190312154333717"</f>
        <v>20190312154333717</v>
      </c>
      <c r="B4005" t="str">
        <f>"1552376613711357"</f>
        <v>1552376613711357</v>
      </c>
      <c r="C4005" t="s">
        <v>40</v>
      </c>
      <c r="D4005">
        <v>4.8506130000000001</v>
      </c>
      <c r="E4005">
        <v>0.48768850000000002</v>
      </c>
      <c r="F4005" t="s">
        <v>68</v>
      </c>
      <c r="G4005">
        <v>-107.39749999999999</v>
      </c>
      <c r="H4005">
        <v>0.31360860000000002</v>
      </c>
      <c r="I4005">
        <v>215.13669999999999</v>
      </c>
      <c r="J4005">
        <v>-291.87079999999997</v>
      </c>
      <c r="K4005">
        <v>1.1105370000000001</v>
      </c>
      <c r="L4005">
        <v>215.012</v>
      </c>
      <c r="M4005">
        <v>0.99982219999999999</v>
      </c>
      <c r="N4005">
        <v>0</v>
      </c>
      <c r="O4005">
        <v>1.231136E-2</v>
      </c>
      <c r="P4005">
        <v>0.99877969999999905</v>
      </c>
      <c r="Q4005">
        <v>3.4910330000000003E-2</v>
      </c>
      <c r="R4005">
        <v>-3.4939959999999999E-2</v>
      </c>
      <c r="S4005">
        <v>3.0042420000000001</v>
      </c>
      <c r="T4005">
        <v>-1.2950659999999999E-2</v>
      </c>
      <c r="U4005">
        <v>2.1057129999999999E-3</v>
      </c>
      <c r="V4005">
        <v>4.7199570000000003E-2</v>
      </c>
      <c r="W4005">
        <v>4.9198619999999998E-2</v>
      </c>
      <c r="X4005">
        <v>0.99767320000000004</v>
      </c>
      <c r="Y4005">
        <v>1.161153E-2</v>
      </c>
      <c r="Z4005" s="1">
        <v>-7.8103100000000001E-5</v>
      </c>
      <c r="AA4005">
        <v>0.99993259999999995</v>
      </c>
      <c r="AB4005">
        <v>41</v>
      </c>
      <c r="AC4005">
        <v>184.47329999999999</v>
      </c>
      <c r="AD4005">
        <v>-0.79692839999999998</v>
      </c>
      <c r="AE4005">
        <v>0.12469999999999</v>
      </c>
      <c r="AF4005">
        <v>2.1466182859744198</v>
      </c>
      <c r="AG4005">
        <v>-0.79692839999999998</v>
      </c>
      <c r="AH4005">
        <v>184.45740928117101</v>
      </c>
      <c r="AI4005">
        <v>90.247521953287702</v>
      </c>
      <c r="AJ4005">
        <v>89.333251959717103</v>
      </c>
      <c r="AK4005">
        <v>184.47162086256401</v>
      </c>
      <c r="AL4005">
        <v>87.179988459226706</v>
      </c>
      <c r="AM4005">
        <v>87.291376331194897</v>
      </c>
      <c r="AN4005">
        <v>1.0000000588081599</v>
      </c>
    </row>
    <row r="4006" spans="1:40" x14ac:dyDescent="0.25">
      <c r="A4006" t="str">
        <f>"20190312154333740"</f>
        <v>20190312154333740</v>
      </c>
      <c r="B4006" t="str">
        <f>"1552376613731853"</f>
        <v>1552376613731853</v>
      </c>
      <c r="C4006" t="s">
        <v>40</v>
      </c>
      <c r="D4006">
        <v>4.8295949999999896</v>
      </c>
      <c r="E4006">
        <v>0.48783650000000001</v>
      </c>
      <c r="F4006" t="s">
        <v>42</v>
      </c>
      <c r="G4006">
        <v>-115.51519999999999</v>
      </c>
      <c r="H4006">
        <v>-0.05</v>
      </c>
      <c r="I4006">
        <v>214.88570000000001</v>
      </c>
      <c r="J4006">
        <v>-291.45609999999999</v>
      </c>
      <c r="K4006">
        <v>1.1105050000000001</v>
      </c>
      <c r="L4006">
        <v>215.01730000000001</v>
      </c>
      <c r="M4006">
        <v>0.99981989999999998</v>
      </c>
      <c r="N4006">
        <v>0</v>
      </c>
      <c r="O4006">
        <v>1.2506099999999999E-2</v>
      </c>
      <c r="P4006">
        <v>0.99877150000000003</v>
      </c>
      <c r="Q4006">
        <v>3.3250019999999998E-2</v>
      </c>
      <c r="R4006">
        <v>-3.6740599999999998E-2</v>
      </c>
      <c r="S4006">
        <v>3.0042420000000001</v>
      </c>
      <c r="T4006">
        <v>-1.9769910000000002E-2</v>
      </c>
      <c r="U4006">
        <v>-2.1514889999999999E-3</v>
      </c>
      <c r="V4006">
        <v>4.9198980000000003E-2</v>
      </c>
      <c r="W4006">
        <v>4.7533550000000001E-2</v>
      </c>
      <c r="X4006">
        <v>0.99765720000000002</v>
      </c>
      <c r="Y4006">
        <v>1.3222909999999999E-2</v>
      </c>
      <c r="Z4006">
        <v>-1.258117E-4</v>
      </c>
      <c r="AA4006">
        <v>0.99991260000000004</v>
      </c>
      <c r="AB4006">
        <v>41</v>
      </c>
      <c r="AC4006">
        <v>175.9409</v>
      </c>
      <c r="AD4006">
        <v>-1.1605049999999999</v>
      </c>
      <c r="AE4006">
        <v>-0.131599999999991</v>
      </c>
      <c r="AF4006">
        <v>2.3320469449685901</v>
      </c>
      <c r="AG4006">
        <v>-1.1605049999999999</v>
      </c>
      <c r="AH4006">
        <v>175.91783820999601</v>
      </c>
      <c r="AI4006">
        <v>90.377933433820104</v>
      </c>
      <c r="AJ4006">
        <v>89.240505551960595</v>
      </c>
      <c r="AK4006">
        <v>175.93712233433601</v>
      </c>
      <c r="AL4006">
        <v>87.275501387745805</v>
      </c>
      <c r="AM4006">
        <v>87.176773615712307</v>
      </c>
      <c r="AN4006">
        <v>0.99999993336023896</v>
      </c>
    </row>
    <row r="4007" spans="1:40" x14ac:dyDescent="0.25">
      <c r="A4007" t="str">
        <f>"20190312154333762"</f>
        <v>20190312154333762</v>
      </c>
      <c r="B4007" t="str">
        <f>"1552376613751369"</f>
        <v>1552376613751369</v>
      </c>
      <c r="C4007" t="s">
        <v>40</v>
      </c>
      <c r="D4007">
        <v>4.7863939999999996</v>
      </c>
      <c r="E4007">
        <v>0.48788120000000001</v>
      </c>
      <c r="F4007" t="s">
        <v>49</v>
      </c>
      <c r="G4007">
        <v>-177.6062</v>
      </c>
      <c r="H4007">
        <v>7.9980560000000006E-2</v>
      </c>
      <c r="I4007">
        <v>214.68950000000001</v>
      </c>
      <c r="J4007">
        <v>-291.0625</v>
      </c>
      <c r="K4007">
        <v>1.110484</v>
      </c>
      <c r="L4007">
        <v>215.0224</v>
      </c>
      <c r="M4007">
        <v>0.99981779999999998</v>
      </c>
      <c r="N4007">
        <v>0</v>
      </c>
      <c r="O4007">
        <v>1.2675240000000001E-2</v>
      </c>
      <c r="P4007">
        <v>0.99875510000000001</v>
      </c>
      <c r="Q4007">
        <v>3.2499159999999999E-2</v>
      </c>
      <c r="R4007">
        <v>-3.784643E-2</v>
      </c>
      <c r="S4007">
        <v>3.0042420000000001</v>
      </c>
      <c r="T4007">
        <v>-2.7193189999999999E-2</v>
      </c>
      <c r="U4007">
        <v>-8.651733E-3</v>
      </c>
      <c r="V4007">
        <v>5.047654E-2</v>
      </c>
      <c r="W4007">
        <v>4.677717E-2</v>
      </c>
      <c r="X4007">
        <v>0.99762919999999999</v>
      </c>
      <c r="Y4007">
        <v>1.555492E-2</v>
      </c>
      <c r="Z4007">
        <v>-1.851353E-4</v>
      </c>
      <c r="AA4007">
        <v>0.99987899999999996</v>
      </c>
      <c r="AB4007">
        <v>41</v>
      </c>
      <c r="AC4007">
        <v>113.4563</v>
      </c>
      <c r="AD4007">
        <v>-1.0305034399999999</v>
      </c>
      <c r="AE4007">
        <v>-0.33289999999999498</v>
      </c>
      <c r="AF4007">
        <v>1.77095947966897</v>
      </c>
      <c r="AG4007">
        <v>-1.0305034399999999</v>
      </c>
      <c r="AH4007">
        <v>113.433605790931</v>
      </c>
      <c r="AI4007">
        <v>90.520433776364698</v>
      </c>
      <c r="AJ4007">
        <v>89.105553770756302</v>
      </c>
      <c r="AK4007">
        <v>113.452109533278</v>
      </c>
      <c r="AL4007">
        <v>87.318887223072693</v>
      </c>
      <c r="AM4007">
        <v>87.103504422183207</v>
      </c>
      <c r="AN4007">
        <v>1.00000000270811</v>
      </c>
    </row>
    <row r="4008" spans="1:40" x14ac:dyDescent="0.25">
      <c r="A4008" t="str">
        <f>"20190312154333784"</f>
        <v>20190312154333784</v>
      </c>
      <c r="B4008" t="str">
        <f>"1552376613771865"</f>
        <v>1552376613771865</v>
      </c>
      <c r="C4008" t="s">
        <v>40</v>
      </c>
      <c r="D4008">
        <v>4.7901910000000001</v>
      </c>
      <c r="E4008">
        <v>0.49201729999999999</v>
      </c>
      <c r="F4008" t="s">
        <v>49</v>
      </c>
      <c r="G4008">
        <v>-183.89420000000001</v>
      </c>
      <c r="H4008" s="1">
        <v>2.8993240000000002E-6</v>
      </c>
      <c r="I4008">
        <v>214.58430000000001</v>
      </c>
      <c r="J4008">
        <v>-290.66329999999999</v>
      </c>
      <c r="K4008">
        <v>1.1104579999999999</v>
      </c>
      <c r="L4008">
        <v>215.02770000000001</v>
      </c>
      <c r="M4008">
        <v>0.99981580000000003</v>
      </c>
      <c r="N4008">
        <v>0</v>
      </c>
      <c r="O4008">
        <v>1.283687E-2</v>
      </c>
      <c r="P4008">
        <v>0.99874079999999998</v>
      </c>
      <c r="Q4008">
        <v>3.1984029999999997E-2</v>
      </c>
      <c r="R4008">
        <v>-3.8651820000000003E-2</v>
      </c>
      <c r="S4008">
        <v>3.0043030000000002</v>
      </c>
      <c r="T4008">
        <v>-3.1130669999999999E-2</v>
      </c>
      <c r="U4008">
        <v>-1.228333E-2</v>
      </c>
      <c r="V4008">
        <v>5.1445669999999999E-2</v>
      </c>
      <c r="W4008">
        <v>4.62575E-2</v>
      </c>
      <c r="X4008">
        <v>0.99760389999999999</v>
      </c>
      <c r="Y4008">
        <v>1.6924680000000001E-2</v>
      </c>
      <c r="Z4008">
        <v>-2.207078E-4</v>
      </c>
      <c r="AA4008">
        <v>0.99985679999999999</v>
      </c>
      <c r="AB4008">
        <v>40</v>
      </c>
      <c r="AC4008">
        <v>106.769099999999</v>
      </c>
      <c r="AD4008">
        <v>-1.110455100676</v>
      </c>
      <c r="AE4008">
        <v>-0.44339999999999602</v>
      </c>
      <c r="AF4008">
        <v>1.8138878415352999</v>
      </c>
      <c r="AG4008">
        <v>-1.110455100676</v>
      </c>
      <c r="AH4008">
        <v>106.74306210851699</v>
      </c>
      <c r="AI4008">
        <v>90.595944233505406</v>
      </c>
      <c r="AJ4008">
        <v>89.026464915110296</v>
      </c>
      <c r="AK4008">
        <v>106.764247798292</v>
      </c>
      <c r="AL4008">
        <v>87.348694320374804</v>
      </c>
      <c r="AM4008">
        <v>87.047915536703201</v>
      </c>
      <c r="AN4008">
        <v>0.99999997728160395</v>
      </c>
    </row>
    <row r="4009" spans="1:40" x14ac:dyDescent="0.25">
      <c r="A4009" t="str">
        <f>"20190312154333807"</f>
        <v>20190312154333807</v>
      </c>
      <c r="B4009" t="str">
        <f>"1552376613801145"</f>
        <v>1552376613801145</v>
      </c>
      <c r="C4009" t="s">
        <v>40</v>
      </c>
      <c r="D4009">
        <v>4.7367730000000003</v>
      </c>
      <c r="E4009">
        <v>0.49134820000000001</v>
      </c>
      <c r="F4009" t="s">
        <v>41</v>
      </c>
      <c r="G4009">
        <v>-289.86489999999998</v>
      </c>
      <c r="H4009">
        <v>1.03511</v>
      </c>
      <c r="I4009">
        <v>215.01730000000001</v>
      </c>
      <c r="J4009">
        <v>-290.25920000000002</v>
      </c>
      <c r="K4009">
        <v>1.110441</v>
      </c>
      <c r="L4009">
        <v>215.03299999999999</v>
      </c>
      <c r="M4009">
        <v>0.99981370000000003</v>
      </c>
      <c r="N4009">
        <v>0</v>
      </c>
      <c r="O4009">
        <v>1.2994749999999999E-2</v>
      </c>
      <c r="P4009">
        <v>0.9987762</v>
      </c>
      <c r="Q4009">
        <v>3.1325099999999897E-2</v>
      </c>
      <c r="R4009">
        <v>-3.8273639999999998E-2</v>
      </c>
      <c r="S4009">
        <v>3.0113829999999999</v>
      </c>
      <c r="T4009">
        <v>-0.28425440000000002</v>
      </c>
      <c r="U4009">
        <v>-3.8452149999999997E-2</v>
      </c>
      <c r="V4009">
        <v>5.1227700000000001E-2</v>
      </c>
      <c r="W4009">
        <v>4.559444E-2</v>
      </c>
      <c r="X4009">
        <v>0.99764569999999997</v>
      </c>
      <c r="Y4009">
        <v>2.5590330000000001E-2</v>
      </c>
      <c r="Z4009">
        <v>-2.4290219999999999E-3</v>
      </c>
      <c r="AA4009">
        <v>0.99966960000000005</v>
      </c>
      <c r="AB4009">
        <v>40</v>
      </c>
      <c r="AC4009">
        <v>0.394300000000043</v>
      </c>
      <c r="AD4009">
        <v>-7.5330999999999995E-2</v>
      </c>
      <c r="AE4009">
        <v>-1.5699999999981101E-2</v>
      </c>
      <c r="AF4009">
        <v>2.00908682879961E-2</v>
      </c>
      <c r="AG4009">
        <v>-7.5330999999999995E-2</v>
      </c>
      <c r="AH4009">
        <v>0.38020703870571199</v>
      </c>
      <c r="AI4009">
        <v>101.191738002901</v>
      </c>
      <c r="AJ4009">
        <v>86.975194511624906</v>
      </c>
      <c r="AK4009">
        <v>0.38811827428109102</v>
      </c>
      <c r="AL4009">
        <v>87.386725144495699</v>
      </c>
      <c r="AM4009">
        <v>87.060524179351901</v>
      </c>
      <c r="AN4009">
        <v>1.00000003646734</v>
      </c>
    </row>
    <row r="4010" spans="1:40" x14ac:dyDescent="0.25">
      <c r="A4010" t="str">
        <f>"20190312154333830"</f>
        <v>20190312154333830</v>
      </c>
      <c r="B4010" t="str">
        <f>"1552376613821641"</f>
        <v>1552376613821641</v>
      </c>
      <c r="C4010" t="s">
        <v>40</v>
      </c>
      <c r="D4010">
        <v>4.8267540000000002</v>
      </c>
      <c r="E4010">
        <v>0.49119819999999997</v>
      </c>
      <c r="F4010" t="s">
        <v>41</v>
      </c>
      <c r="G4010">
        <v>-289.50319999999999</v>
      </c>
      <c r="H4010">
        <v>1.0361340000000001</v>
      </c>
      <c r="I4010">
        <v>215.02500000000001</v>
      </c>
      <c r="J4010">
        <v>-289.84359999999998</v>
      </c>
      <c r="K4010">
        <v>1.1104309999999999</v>
      </c>
      <c r="L4010">
        <v>215.0386</v>
      </c>
      <c r="M4010">
        <v>0.99981180000000003</v>
      </c>
      <c r="N4010">
        <v>0</v>
      </c>
      <c r="O4010">
        <v>1.315434E-2</v>
      </c>
      <c r="P4010">
        <v>0.99878750000000005</v>
      </c>
      <c r="Q4010">
        <v>3.1709189999999998E-2</v>
      </c>
      <c r="R4010">
        <v>-3.7662059999999997E-2</v>
      </c>
      <c r="S4010">
        <v>3.0117799999999999</v>
      </c>
      <c r="T4010">
        <v>-0.29619879999999998</v>
      </c>
      <c r="U4010">
        <v>-3.1204220000000001E-2</v>
      </c>
      <c r="V4010">
        <v>5.0776790000000002E-2</v>
      </c>
      <c r="W4010">
        <v>4.5974080000000001E-2</v>
      </c>
      <c r="X4010">
        <v>0.99765130000000002</v>
      </c>
      <c r="Y4010">
        <v>2.33382E-2</v>
      </c>
      <c r="Z4010">
        <v>-2.435492E-3</v>
      </c>
      <c r="AA4010">
        <v>0.99972470000000002</v>
      </c>
      <c r="AB4010">
        <v>40</v>
      </c>
      <c r="AC4010">
        <v>0.34039999999998799</v>
      </c>
      <c r="AD4010">
        <v>-7.4296999999999794E-2</v>
      </c>
      <c r="AE4010">
        <v>-1.35999999999967E-2</v>
      </c>
      <c r="AF4010">
        <v>1.7256253613703299E-2</v>
      </c>
      <c r="AG4010">
        <v>-7.4296999999999794E-2</v>
      </c>
      <c r="AH4010">
        <v>0.32474569106441598</v>
      </c>
      <c r="AI4010">
        <v>102.86908958855901</v>
      </c>
      <c r="AJ4010">
        <v>86.958292220782795</v>
      </c>
      <c r="AK4010">
        <v>0.33358295274591798</v>
      </c>
      <c r="AL4010">
        <v>87.364950464894093</v>
      </c>
      <c r="AM4010">
        <v>87.086369209107801</v>
      </c>
      <c r="AN4010">
        <v>1.0000000074131199</v>
      </c>
    </row>
    <row r="4011" spans="1:40" x14ac:dyDescent="0.25">
      <c r="A4011" t="str">
        <f>"20190312154333851"</f>
        <v>20190312154333851</v>
      </c>
      <c r="B4011" t="str">
        <f>"1552376613841162"</f>
        <v>1552376613841162</v>
      </c>
      <c r="C4011" t="s">
        <v>40</v>
      </c>
      <c r="D4011">
        <v>4.7857979999999998</v>
      </c>
      <c r="E4011">
        <v>0.49115350000000002</v>
      </c>
      <c r="F4011" t="s">
        <v>41</v>
      </c>
      <c r="G4011">
        <v>-288.79520000000002</v>
      </c>
      <c r="H4011">
        <v>1.008661</v>
      </c>
      <c r="I4011">
        <v>215.02850000000001</v>
      </c>
      <c r="J4011">
        <v>-289.44420000000002</v>
      </c>
      <c r="K4011">
        <v>1.1104259999999999</v>
      </c>
      <c r="L4011">
        <v>215.04400000000001</v>
      </c>
      <c r="M4011">
        <v>0.99980979999999997</v>
      </c>
      <c r="N4011">
        <v>0</v>
      </c>
      <c r="O4011">
        <v>1.330726E-2</v>
      </c>
      <c r="P4011">
        <v>0.99883310000000003</v>
      </c>
      <c r="Q4011">
        <v>3.179535E-2</v>
      </c>
      <c r="R4011">
        <v>-3.6357479999999998E-2</v>
      </c>
      <c r="S4011">
        <v>3.0119020000000001</v>
      </c>
      <c r="T4011">
        <v>-0.29254170000000002</v>
      </c>
      <c r="U4011">
        <v>-2.8305049999999998E-2</v>
      </c>
      <c r="V4011">
        <v>4.962664E-2</v>
      </c>
      <c r="W4011">
        <v>4.6056960000000001E-2</v>
      </c>
      <c r="X4011">
        <v>0.99770530000000002</v>
      </c>
      <c r="Y4011">
        <v>2.2535840000000001E-2</v>
      </c>
      <c r="Z4011">
        <v>-2.3814190000000001E-3</v>
      </c>
      <c r="AA4011">
        <v>0.99974320000000005</v>
      </c>
      <c r="AB4011">
        <v>40</v>
      </c>
      <c r="AC4011">
        <v>0.64900000000000002</v>
      </c>
      <c r="AD4011">
        <v>-0.101764999999999</v>
      </c>
      <c r="AE4011">
        <v>-1.55000000000029E-2</v>
      </c>
      <c r="AF4011">
        <v>2.3557047419269901E-2</v>
      </c>
      <c r="AG4011">
        <v>-0.101764999999999</v>
      </c>
      <c r="AH4011">
        <v>0.63317711827966405</v>
      </c>
      <c r="AI4011">
        <v>99.124357500735201</v>
      </c>
      <c r="AJ4011">
        <v>87.869321043103497</v>
      </c>
      <c r="AK4011">
        <v>0.64173539159146697</v>
      </c>
      <c r="AL4011">
        <v>87.360196620225196</v>
      </c>
      <c r="AM4011">
        <v>87.152410129515104</v>
      </c>
      <c r="AN4011">
        <v>0.99999995630510896</v>
      </c>
    </row>
    <row r="4012" spans="1:40" x14ac:dyDescent="0.25">
      <c r="A4012" t="str">
        <f>"20190312154333875"</f>
        <v>20190312154333875</v>
      </c>
      <c r="B4012" t="str">
        <f>"1552376613861657"</f>
        <v>1552376613861657</v>
      </c>
      <c r="C4012" t="s">
        <v>40</v>
      </c>
      <c r="D4012">
        <v>4.8381169999999996</v>
      </c>
      <c r="E4012">
        <v>0.49116660000000001</v>
      </c>
      <c r="F4012" t="s">
        <v>41</v>
      </c>
      <c r="G4012">
        <v>-288.43290000000002</v>
      </c>
      <c r="H4012">
        <v>1.0125249999999999</v>
      </c>
      <c r="I4012">
        <v>215.0359</v>
      </c>
      <c r="J4012">
        <v>-289.02679999999998</v>
      </c>
      <c r="K4012">
        <v>1.1104240000000001</v>
      </c>
      <c r="L4012">
        <v>215.0497</v>
      </c>
      <c r="M4012">
        <v>0.99980760000000002</v>
      </c>
      <c r="N4012">
        <v>0</v>
      </c>
      <c r="O4012">
        <v>1.346753E-2</v>
      </c>
      <c r="P4012">
        <v>0.99884810000000002</v>
      </c>
      <c r="Q4012">
        <v>3.2221060000000003E-2</v>
      </c>
      <c r="R4012">
        <v>-3.5556339999999999E-2</v>
      </c>
      <c r="S4012">
        <v>3.0119630000000002</v>
      </c>
      <c r="T4012">
        <v>-0.29167290000000001</v>
      </c>
      <c r="U4012">
        <v>-2.3529049999999999E-2</v>
      </c>
      <c r="V4012">
        <v>4.8986710000000003E-2</v>
      </c>
      <c r="W4012">
        <v>4.6478520000000002E-2</v>
      </c>
      <c r="X4012">
        <v>0.99771739999999998</v>
      </c>
      <c r="Y4012">
        <v>2.1117629999999998E-2</v>
      </c>
      <c r="Z4012">
        <v>-2.3213219999999998E-3</v>
      </c>
      <c r="AA4012">
        <v>0.9997743</v>
      </c>
      <c r="AB4012">
        <v>40</v>
      </c>
      <c r="AC4012">
        <v>0.59389999999996201</v>
      </c>
      <c r="AD4012">
        <v>-9.7899000000000097E-2</v>
      </c>
      <c r="AE4012">
        <v>-1.3800000000003299E-2</v>
      </c>
      <c r="AF4012">
        <v>2.1221594825047801E-2</v>
      </c>
      <c r="AG4012">
        <v>-9.7899000000000097E-2</v>
      </c>
      <c r="AH4012">
        <v>0.57796399524728004</v>
      </c>
      <c r="AI4012">
        <v>99.607496043911596</v>
      </c>
      <c r="AJ4012">
        <v>87.897166881600697</v>
      </c>
      <c r="AK4012">
        <v>0.58658072768385205</v>
      </c>
      <c r="AL4012">
        <v>87.336017180021003</v>
      </c>
      <c r="AM4012">
        <v>87.189104244658594</v>
      </c>
      <c r="AN4012">
        <v>0.99999998042038696</v>
      </c>
    </row>
    <row r="4013" spans="1:40" x14ac:dyDescent="0.25">
      <c r="A4013" t="str">
        <f>"20190312154333896"</f>
        <v>20190312154333896</v>
      </c>
      <c r="B4013" t="str">
        <f>"1552376613891914"</f>
        <v>1552376613891914</v>
      </c>
      <c r="C4013" t="s">
        <v>40</v>
      </c>
      <c r="D4013">
        <v>4.8301720000000001</v>
      </c>
      <c r="E4013">
        <v>0.4912049</v>
      </c>
      <c r="F4013" t="s">
        <v>41</v>
      </c>
      <c r="G4013">
        <v>-288.07</v>
      </c>
      <c r="H4013">
        <v>1.0181910000000001</v>
      </c>
      <c r="I4013">
        <v>215.0427</v>
      </c>
      <c r="J4013">
        <v>-288.6343</v>
      </c>
      <c r="K4013">
        <v>1.1104099999999999</v>
      </c>
      <c r="L4013">
        <v>215.05520000000001</v>
      </c>
      <c r="M4013">
        <v>0.99980570000000002</v>
      </c>
      <c r="N4013">
        <v>0</v>
      </c>
      <c r="O4013">
        <v>1.3618470000000001E-2</v>
      </c>
      <c r="P4013">
        <v>0.99886240000000004</v>
      </c>
      <c r="Q4013">
        <v>3.2255060000000002E-2</v>
      </c>
      <c r="R4013">
        <v>-3.5120599999999898E-2</v>
      </c>
      <c r="S4013">
        <v>3.0121150000000001</v>
      </c>
      <c r="T4013">
        <v>-0.29056989999999999</v>
      </c>
      <c r="U4013">
        <v>-2.113342E-2</v>
      </c>
      <c r="V4013">
        <v>4.8702469999999998E-2</v>
      </c>
      <c r="W4013">
        <v>4.6509000000000002E-2</v>
      </c>
      <c r="X4013">
        <v>0.99772989999999995</v>
      </c>
      <c r="Y4013">
        <v>2.0476560000000001E-2</v>
      </c>
      <c r="Z4013">
        <v>-2.2961520000000001E-3</v>
      </c>
      <c r="AA4013">
        <v>0.99978769999999995</v>
      </c>
      <c r="AB4013">
        <v>40</v>
      </c>
      <c r="AC4013">
        <v>0.56430000000000202</v>
      </c>
      <c r="AD4013">
        <v>-9.2218999999999995E-2</v>
      </c>
      <c r="AE4013">
        <v>-1.2500000000016999E-2</v>
      </c>
      <c r="AF4013">
        <v>1.9659734004616802E-2</v>
      </c>
      <c r="AG4013">
        <v>-9.2218999999999995E-2</v>
      </c>
      <c r="AH4013">
        <v>0.54941161891745505</v>
      </c>
      <c r="AI4013">
        <v>99.5223207179572</v>
      </c>
      <c r="AJ4013">
        <v>87.950645119828394</v>
      </c>
      <c r="AK4013">
        <v>0.55744414617397497</v>
      </c>
      <c r="AL4013">
        <v>87.334268927594096</v>
      </c>
      <c r="AM4013">
        <v>87.205423184253206</v>
      </c>
      <c r="AN4013">
        <v>0.99999998550955504</v>
      </c>
    </row>
    <row r="4014" spans="1:40" x14ac:dyDescent="0.25">
      <c r="A4014" t="str">
        <f>"20190312154333919"</f>
        <v>20190312154333919</v>
      </c>
      <c r="B4014" t="str">
        <f>"1552376613911437"</f>
        <v>1552376613911437</v>
      </c>
      <c r="C4014" t="s">
        <v>40</v>
      </c>
      <c r="D4014">
        <v>4.8473670000000002</v>
      </c>
      <c r="E4014">
        <v>0.49119119999999999</v>
      </c>
      <c r="F4014" t="s">
        <v>41</v>
      </c>
      <c r="G4014">
        <v>-287.70890000000003</v>
      </c>
      <c r="H4014">
        <v>1.0209980000000001</v>
      </c>
      <c r="I4014">
        <v>215.0488</v>
      </c>
      <c r="J4014">
        <v>-288.23829999999998</v>
      </c>
      <c r="K4014">
        <v>1.1104069999999999</v>
      </c>
      <c r="L4014">
        <v>215.0607</v>
      </c>
      <c r="M4014">
        <v>0.99980340000000001</v>
      </c>
      <c r="N4014">
        <v>0</v>
      </c>
      <c r="O4014">
        <v>1.3771230000000001E-2</v>
      </c>
      <c r="P4014">
        <v>0.99884689999999998</v>
      </c>
      <c r="Q4014">
        <v>3.2536959999999997E-2</v>
      </c>
      <c r="R4014">
        <v>-3.5302050000000001E-2</v>
      </c>
      <c r="S4014">
        <v>3.0120849999999999</v>
      </c>
      <c r="T4014">
        <v>-0.29109119999999999</v>
      </c>
      <c r="U4014">
        <v>-2.012634E-2</v>
      </c>
      <c r="V4014">
        <v>4.9036459999999997E-2</v>
      </c>
      <c r="W4014">
        <v>4.6788120000000002E-2</v>
      </c>
      <c r="X4014">
        <v>0.99770049999999999</v>
      </c>
      <c r="Y4014">
        <v>2.0294699999999999E-2</v>
      </c>
      <c r="Z4014">
        <v>-2.3062389999999999E-3</v>
      </c>
      <c r="AA4014">
        <v>0.9997914</v>
      </c>
      <c r="AB4014">
        <v>40</v>
      </c>
      <c r="AC4014">
        <v>0.52939999999995202</v>
      </c>
      <c r="AD4014">
        <v>-8.9409000000000002E-2</v>
      </c>
      <c r="AE4014">
        <v>-1.18999999999971E-2</v>
      </c>
      <c r="AF4014">
        <v>1.8658184555999598E-2</v>
      </c>
      <c r="AG4014">
        <v>-8.9409000000000002E-2</v>
      </c>
      <c r="AH4014">
        <v>0.51451773592786099</v>
      </c>
      <c r="AI4014">
        <v>99.851638510951204</v>
      </c>
      <c r="AJ4014">
        <v>87.923167820759403</v>
      </c>
      <c r="AK4014">
        <v>0.522561573133978</v>
      </c>
      <c r="AL4014">
        <v>87.318259126296297</v>
      </c>
      <c r="AM4014">
        <v>87.186206550673006</v>
      </c>
      <c r="AN4014">
        <v>0.99999999514135796</v>
      </c>
    </row>
    <row r="4015" spans="1:40" x14ac:dyDescent="0.25">
      <c r="A4015" t="str">
        <f>"20190312154333940"</f>
        <v>20190312154333940</v>
      </c>
      <c r="B4015" t="str">
        <f>"1552376613931933"</f>
        <v>1552376613931933</v>
      </c>
      <c r="C4015" t="s">
        <v>40</v>
      </c>
      <c r="D4015">
        <v>4.871327</v>
      </c>
      <c r="E4015">
        <v>0.49130509999999999</v>
      </c>
      <c r="F4015" t="s">
        <v>41</v>
      </c>
      <c r="G4015">
        <v>-287.3476</v>
      </c>
      <c r="H4015">
        <v>1.0244390000000001</v>
      </c>
      <c r="I4015">
        <v>215.05420000000001</v>
      </c>
      <c r="J4015">
        <v>-287.84070000000003</v>
      </c>
      <c r="K4015">
        <v>1.110417</v>
      </c>
      <c r="L4015">
        <v>215.06639999999999</v>
      </c>
      <c r="M4015">
        <v>0.99980139999999995</v>
      </c>
      <c r="N4015">
        <v>0</v>
      </c>
      <c r="O4015">
        <v>1.392472E-2</v>
      </c>
      <c r="P4015">
        <v>0.99882780000000004</v>
      </c>
      <c r="Q4015">
        <v>3.3016419999999998E-2</v>
      </c>
      <c r="R4015">
        <v>-3.539378E-2</v>
      </c>
      <c r="S4015">
        <v>3.0122070000000001</v>
      </c>
      <c r="T4015">
        <v>-0.29092899999999999</v>
      </c>
      <c r="U4015">
        <v>-2.081299E-2</v>
      </c>
      <c r="V4015">
        <v>4.9281579999999998E-2</v>
      </c>
      <c r="W4015">
        <v>4.7264430000000003E-2</v>
      </c>
      <c r="X4015">
        <v>0.99766600000000005</v>
      </c>
      <c r="Y4015">
        <v>2.0673520000000001E-2</v>
      </c>
      <c r="Z4015">
        <v>-2.3379080000000001E-3</v>
      </c>
      <c r="AA4015">
        <v>0.99978359999999999</v>
      </c>
      <c r="AB4015">
        <v>40</v>
      </c>
      <c r="AC4015">
        <v>0.49310000000002602</v>
      </c>
      <c r="AD4015">
        <v>-8.5978000000000096E-2</v>
      </c>
      <c r="AE4015">
        <v>-1.2199999999978599E-2</v>
      </c>
      <c r="AF4015">
        <v>1.8503589065333999E-2</v>
      </c>
      <c r="AG4015">
        <v>-8.5978000000000096E-2</v>
      </c>
      <c r="AH4015">
        <v>0.47834834956822597</v>
      </c>
      <c r="AI4015">
        <v>100.18204966844399</v>
      </c>
      <c r="AJ4015">
        <v>87.784774950075303</v>
      </c>
      <c r="AK4015">
        <v>0.48636585285867401</v>
      </c>
      <c r="AL4015">
        <v>87.290938425167596</v>
      </c>
      <c r="AM4015">
        <v>87.172066302155102</v>
      </c>
      <c r="AN4015">
        <v>1.00000002401326</v>
      </c>
    </row>
    <row r="4016" spans="1:40" x14ac:dyDescent="0.25">
      <c r="A4016" t="str">
        <f>"20190312154333963"</f>
        <v>20190312154333963</v>
      </c>
      <c r="B4016" t="str">
        <f>"1552376613951450"</f>
        <v>1552376613951450</v>
      </c>
      <c r="C4016" t="s">
        <v>40</v>
      </c>
      <c r="D4016">
        <v>4.8566320000000003</v>
      </c>
      <c r="E4016">
        <v>0.49153429999999998</v>
      </c>
      <c r="F4016" t="s">
        <v>41</v>
      </c>
      <c r="G4016">
        <v>-286.98649999999998</v>
      </c>
      <c r="H4016">
        <v>1.0282480000000001</v>
      </c>
      <c r="I4016">
        <v>215.06030000000001</v>
      </c>
      <c r="J4016">
        <v>-287.44549999999998</v>
      </c>
      <c r="K4016">
        <v>1.110417</v>
      </c>
      <c r="L4016">
        <v>215.072</v>
      </c>
      <c r="M4016">
        <v>0.9997994</v>
      </c>
      <c r="N4016">
        <v>0</v>
      </c>
      <c r="O4016">
        <v>1.407716E-2</v>
      </c>
      <c r="P4016">
        <v>0.9988186</v>
      </c>
      <c r="Q4016">
        <v>3.3252660000000003E-2</v>
      </c>
      <c r="R4016">
        <v>-3.5435630000000003E-2</v>
      </c>
      <c r="S4016">
        <v>3.0123600000000001</v>
      </c>
      <c r="T4016">
        <v>-0.28980080000000003</v>
      </c>
      <c r="U4016">
        <v>-2.1102909999999999E-2</v>
      </c>
      <c r="V4016">
        <v>4.9475779999999997E-2</v>
      </c>
      <c r="W4016">
        <v>4.7497350000000001E-2</v>
      </c>
      <c r="X4016">
        <v>0.99764529999999996</v>
      </c>
      <c r="Y4016">
        <v>2.0921229999999999E-2</v>
      </c>
      <c r="Z4016">
        <v>-2.3552849999999999E-3</v>
      </c>
      <c r="AA4016">
        <v>0.99977830000000001</v>
      </c>
      <c r="AB4016">
        <v>40</v>
      </c>
      <c r="AC4016">
        <v>0.45900000000000302</v>
      </c>
      <c r="AD4016">
        <v>-8.2168999999999895E-2</v>
      </c>
      <c r="AE4016">
        <v>-1.16999999999904E-2</v>
      </c>
      <c r="AF4016">
        <v>1.7597333017802801E-2</v>
      </c>
      <c r="AG4016">
        <v>-8.2168999999999895E-2</v>
      </c>
      <c r="AH4016">
        <v>0.44455236430124201</v>
      </c>
      <c r="AI4016">
        <v>100.46408354862299</v>
      </c>
      <c r="AJ4016">
        <v>87.733165157565395</v>
      </c>
      <c r="AK4016">
        <v>0.45242481728588202</v>
      </c>
      <c r="AL4016">
        <v>87.277578016117204</v>
      </c>
      <c r="AM4016">
        <v>87.160881874303698</v>
      </c>
      <c r="AN4016">
        <v>0.99999999783785998</v>
      </c>
    </row>
    <row r="4017" spans="1:40" x14ac:dyDescent="0.25">
      <c r="A4017" t="str">
        <f>"20190312154333986"</f>
        <v>20190312154333986</v>
      </c>
      <c r="B4017" t="str">
        <f>"1552376613981706"</f>
        <v>1552376613981706</v>
      </c>
      <c r="C4017" t="s">
        <v>40</v>
      </c>
      <c r="D4017">
        <v>4.8822539999999996</v>
      </c>
      <c r="E4017">
        <v>0.50321249999999995</v>
      </c>
      <c r="F4017" t="s">
        <v>41</v>
      </c>
      <c r="G4017">
        <v>-286.62599999999998</v>
      </c>
      <c r="H4017">
        <v>1.031264</v>
      </c>
      <c r="I4017">
        <v>215.06559999999999</v>
      </c>
      <c r="J4017">
        <v>-287.02699999999999</v>
      </c>
      <c r="K4017">
        <v>1.1104149999999999</v>
      </c>
      <c r="L4017">
        <v>215.07810000000001</v>
      </c>
      <c r="M4017">
        <v>0.99979709999999999</v>
      </c>
      <c r="N4017">
        <v>0</v>
      </c>
      <c r="O4017">
        <v>1.423866E-2</v>
      </c>
      <c r="P4017">
        <v>0.99883109999999997</v>
      </c>
      <c r="Q4017">
        <v>3.2842290000000003E-2</v>
      </c>
      <c r="R4017">
        <v>-3.5471900000000001E-2</v>
      </c>
      <c r="S4017">
        <v>3.0123899999999999</v>
      </c>
      <c r="T4017">
        <v>-0.29113099999999997</v>
      </c>
      <c r="U4017">
        <v>-2.3010249999999999E-2</v>
      </c>
      <c r="V4017">
        <v>4.9673540000000002E-2</v>
      </c>
      <c r="W4017">
        <v>4.7084389999999997E-2</v>
      </c>
      <c r="X4017">
        <v>0.99765499999999996</v>
      </c>
      <c r="Y4017">
        <v>2.1709740000000002E-2</v>
      </c>
      <c r="Z4017">
        <v>-2.4196040000000001E-3</v>
      </c>
      <c r="AA4017">
        <v>0.99976140000000002</v>
      </c>
      <c r="AB4017">
        <v>40</v>
      </c>
      <c r="AC4017">
        <v>0.40100000000001002</v>
      </c>
      <c r="AD4017">
        <v>-7.9150999999999902E-2</v>
      </c>
      <c r="AE4017">
        <v>-1.2500000000016999E-2</v>
      </c>
      <c r="AF4017">
        <v>1.7526824641788698E-2</v>
      </c>
      <c r="AG4017">
        <v>-7.9150999999999902E-2</v>
      </c>
      <c r="AH4017">
        <v>0.38576629711038202</v>
      </c>
      <c r="AI4017">
        <v>101.58332207431999</v>
      </c>
      <c r="AJ4017">
        <v>87.398624589619303</v>
      </c>
      <c r="AK4017">
        <v>0.39419247376031902</v>
      </c>
      <c r="AL4017">
        <v>87.301265253768094</v>
      </c>
      <c r="AM4017">
        <v>87.1495799616754</v>
      </c>
      <c r="AN4017">
        <v>0.99999994969140005</v>
      </c>
    </row>
    <row r="4018" spans="1:40" x14ac:dyDescent="0.25">
      <c r="A4018" t="str">
        <f>"20190312154334008"</f>
        <v>20190312154334008</v>
      </c>
      <c r="B4018" t="str">
        <f>"1552376614001225"</f>
        <v>1552376614001225</v>
      </c>
      <c r="C4018" t="s">
        <v>40</v>
      </c>
      <c r="D4018">
        <v>4.8039649999999998</v>
      </c>
      <c r="E4018">
        <v>0.50388880000000003</v>
      </c>
      <c r="F4018" t="s">
        <v>41</v>
      </c>
      <c r="G4018">
        <v>-286.2901</v>
      </c>
      <c r="H4018">
        <v>0.98502909999999999</v>
      </c>
      <c r="I4018">
        <v>215.0515</v>
      </c>
      <c r="J4018">
        <v>-286.64190000000002</v>
      </c>
      <c r="K4018">
        <v>1.110409</v>
      </c>
      <c r="L4018">
        <v>215.08369999999999</v>
      </c>
      <c r="M4018">
        <v>0.99979499999999999</v>
      </c>
      <c r="N4018">
        <v>0</v>
      </c>
      <c r="O4018">
        <v>1.43873E-2</v>
      </c>
      <c r="P4018">
        <v>0.99884470000000003</v>
      </c>
      <c r="Q4018">
        <v>3.237379E-2</v>
      </c>
      <c r="R4018">
        <v>-3.5517510000000002E-2</v>
      </c>
      <c r="S4018">
        <v>3.0165410000000001</v>
      </c>
      <c r="T4018">
        <v>-0.51334769999999996</v>
      </c>
      <c r="U4018">
        <v>-0.1082306</v>
      </c>
      <c r="V4018">
        <v>4.9868330000000002E-2</v>
      </c>
      <c r="W4018">
        <v>4.661332E-2</v>
      </c>
      <c r="X4018">
        <v>0.99766739999999998</v>
      </c>
      <c r="Y4018">
        <v>4.9316939999999997E-2</v>
      </c>
      <c r="Z4018">
        <v>-6.595554E-3</v>
      </c>
      <c r="AA4018">
        <v>0.99876140000000002</v>
      </c>
      <c r="AB4018">
        <v>40</v>
      </c>
      <c r="AC4018">
        <v>0.35180000000002498</v>
      </c>
      <c r="AD4018">
        <v>-0.12537989999999999</v>
      </c>
      <c r="AE4018">
        <v>-3.2199999999988897E-2</v>
      </c>
      <c r="AF4018">
        <v>3.3090476153148002E-2</v>
      </c>
      <c r="AG4018">
        <v>-0.12537989999999999</v>
      </c>
      <c r="AH4018">
        <v>0.31199999041704901</v>
      </c>
      <c r="AI4018">
        <v>111.78250884670599</v>
      </c>
      <c r="AJ4018">
        <v>83.945886541766797</v>
      </c>
      <c r="AK4018">
        <v>0.33787437451853503</v>
      </c>
      <c r="AL4018">
        <v>87.328285237884799</v>
      </c>
      <c r="AM4018">
        <v>87.138456363854104</v>
      </c>
      <c r="AN4018">
        <v>0.99999994648058399</v>
      </c>
    </row>
    <row r="4019" spans="1:40" x14ac:dyDescent="0.25">
      <c r="A4019" t="str">
        <f>"20190312154334030"</f>
        <v>20190312154334030</v>
      </c>
      <c r="B4019" t="str">
        <f>"1552376614021721"</f>
        <v>1552376614021721</v>
      </c>
      <c r="C4019" t="s">
        <v>40</v>
      </c>
      <c r="D4019">
        <v>4.8411249999999999</v>
      </c>
      <c r="E4019">
        <v>0.50507959999999996</v>
      </c>
      <c r="F4019" t="s">
        <v>41</v>
      </c>
      <c r="G4019">
        <v>-285.93299999999999</v>
      </c>
      <c r="H4019">
        <v>0.98220059999999998</v>
      </c>
      <c r="I4019">
        <v>215.05690000000001</v>
      </c>
      <c r="J4019">
        <v>-286.23939999999999</v>
      </c>
      <c r="K4019">
        <v>1.1104019999999999</v>
      </c>
      <c r="L4019">
        <v>215.08959999999999</v>
      </c>
      <c r="M4019">
        <v>0.99979289999999998</v>
      </c>
      <c r="N4019">
        <v>0</v>
      </c>
      <c r="O4019">
        <v>1.454226E-2</v>
      </c>
      <c r="P4019">
        <v>0.99883940000000004</v>
      </c>
      <c r="Q4019">
        <v>3.2535080000000001E-2</v>
      </c>
      <c r="R4019">
        <v>-3.5520009999999998E-2</v>
      </c>
      <c r="S4019">
        <v>3.0171510000000001</v>
      </c>
      <c r="T4019">
        <v>-0.54581859999999904</v>
      </c>
      <c r="U4019">
        <v>-0.112854</v>
      </c>
      <c r="V4019">
        <v>5.0025199999999902E-2</v>
      </c>
      <c r="W4019">
        <v>4.6771930000000003E-2</v>
      </c>
      <c r="X4019">
        <v>0.99765219999999999</v>
      </c>
      <c r="Y4019">
        <v>5.0847580000000003E-2</v>
      </c>
      <c r="Z4019">
        <v>-7.1697879999999999E-3</v>
      </c>
      <c r="AA4019">
        <v>0.99868069999999998</v>
      </c>
      <c r="AB4019">
        <v>40</v>
      </c>
      <c r="AC4019">
        <v>0.30639999999999601</v>
      </c>
      <c r="AD4019">
        <v>-0.12820139999999999</v>
      </c>
      <c r="AE4019">
        <v>-3.2699999999976997E-2</v>
      </c>
      <c r="AF4019">
        <v>3.16706487425822E-2</v>
      </c>
      <c r="AG4019">
        <v>-0.12820139999999999</v>
      </c>
      <c r="AH4019">
        <v>0.26075595244632399</v>
      </c>
      <c r="AI4019">
        <v>116.015433332952</v>
      </c>
      <c r="AJ4019">
        <v>83.074943100889797</v>
      </c>
      <c r="AK4019">
        <v>0.29228803548884003</v>
      </c>
      <c r="AL4019">
        <v>87.319187836681493</v>
      </c>
      <c r="AM4019">
        <v>87.1294262222887</v>
      </c>
      <c r="AN4019">
        <v>1.0000000231179</v>
      </c>
    </row>
    <row r="4020" spans="1:40" x14ac:dyDescent="0.25">
      <c r="A4020" t="str">
        <f>"20190312154334052"</f>
        <v>20190312154334052</v>
      </c>
      <c r="B4020" t="str">
        <f>"1552376614041242"</f>
        <v>1552376614041242</v>
      </c>
      <c r="C4020" t="s">
        <v>40</v>
      </c>
      <c r="D4020">
        <v>4.8484439999999998</v>
      </c>
      <c r="E4020">
        <v>0.50599369999999999</v>
      </c>
      <c r="F4020" t="s">
        <v>41</v>
      </c>
      <c r="G4020">
        <v>-285.24639999999999</v>
      </c>
      <c r="H4020">
        <v>0.92229070000000002</v>
      </c>
      <c r="I4020">
        <v>215.0497</v>
      </c>
      <c r="J4020">
        <v>-285.82870000000003</v>
      </c>
      <c r="K4020">
        <v>1.110406</v>
      </c>
      <c r="L4020">
        <v>215.09569999999999</v>
      </c>
      <c r="M4020">
        <v>0.99979050000000003</v>
      </c>
      <c r="N4020">
        <v>0</v>
      </c>
      <c r="O4020">
        <v>1.470074E-2</v>
      </c>
      <c r="P4020">
        <v>0.99885849999999998</v>
      </c>
      <c r="Q4020">
        <v>3.2457840000000002E-2</v>
      </c>
      <c r="R4020">
        <v>-3.5047439999999999E-2</v>
      </c>
      <c r="S4020">
        <v>3.017792</v>
      </c>
      <c r="T4020">
        <v>-0.57173750000000001</v>
      </c>
      <c r="U4020">
        <v>-0.12095640000000001</v>
      </c>
      <c r="V4020">
        <v>4.97118E-2</v>
      </c>
      <c r="W4020">
        <v>4.6692379999999999E-2</v>
      </c>
      <c r="X4020">
        <v>0.99767150000000004</v>
      </c>
      <c r="Y4020">
        <v>5.3523189999999998E-2</v>
      </c>
      <c r="Z4020">
        <v>-7.783384E-3</v>
      </c>
      <c r="AA4020">
        <v>0.99853630000000004</v>
      </c>
      <c r="AB4020">
        <v>40</v>
      </c>
      <c r="AC4020">
        <v>0.58230000000003201</v>
      </c>
      <c r="AD4020">
        <v>-0.18811530000000001</v>
      </c>
      <c r="AE4020">
        <v>-4.59999999999922E-2</v>
      </c>
      <c r="AF4020">
        <v>4.9429430842939298E-2</v>
      </c>
      <c r="AG4020">
        <v>-0.18811530000000001</v>
      </c>
      <c r="AH4020">
        <v>0.52691078874322606</v>
      </c>
      <c r="AI4020">
        <v>109.568002602701</v>
      </c>
      <c r="AJ4020">
        <v>84.640774752885903</v>
      </c>
      <c r="AK4020">
        <v>0.56166325678430895</v>
      </c>
      <c r="AL4020">
        <v>87.323750456027</v>
      </c>
      <c r="AM4020">
        <v>87.147435210483096</v>
      </c>
      <c r="AN4020">
        <v>0.99999993166077406</v>
      </c>
    </row>
    <row r="4021" spans="1:40" x14ac:dyDescent="0.25">
      <c r="A4021" t="str">
        <f>"20190312154334075"</f>
        <v>20190312154334075</v>
      </c>
      <c r="B4021" t="str">
        <f>"1552376614071498"</f>
        <v>1552376614071498</v>
      </c>
      <c r="C4021" t="s">
        <v>40</v>
      </c>
      <c r="D4021">
        <v>4.8239890000000001</v>
      </c>
      <c r="E4021">
        <v>0.50724460000000005</v>
      </c>
      <c r="F4021" t="s">
        <v>41</v>
      </c>
      <c r="G4021">
        <v>-284.8877</v>
      </c>
      <c r="H4021">
        <v>0.92442950000000002</v>
      </c>
      <c r="I4021">
        <v>215.0565</v>
      </c>
      <c r="J4021">
        <v>-285.43099999999998</v>
      </c>
      <c r="K4021">
        <v>1.1104080000000001</v>
      </c>
      <c r="L4021">
        <v>215.10169999999999</v>
      </c>
      <c r="M4021">
        <v>0.99978829999999996</v>
      </c>
      <c r="N4021">
        <v>0</v>
      </c>
      <c r="O4021">
        <v>1.485416E-2</v>
      </c>
      <c r="P4021">
        <v>0.99885950000000001</v>
      </c>
      <c r="Q4021">
        <v>3.2839340000000002E-2</v>
      </c>
      <c r="R4021">
        <v>-3.4664849999999997E-2</v>
      </c>
      <c r="S4021">
        <v>3.018402</v>
      </c>
      <c r="T4021">
        <v>-0.5966129</v>
      </c>
      <c r="U4021">
        <v>-0.1257172</v>
      </c>
      <c r="V4021">
        <v>4.9482329999999998E-2</v>
      </c>
      <c r="W4021">
        <v>4.7071050000000003E-2</v>
      </c>
      <c r="X4021">
        <v>0.99766520000000003</v>
      </c>
      <c r="Y4021">
        <v>5.5101020000000001E-2</v>
      </c>
      <c r="Z4021">
        <v>-8.2982819999999902E-3</v>
      </c>
      <c r="AA4021">
        <v>0.99844630000000001</v>
      </c>
      <c r="AB4021">
        <v>40</v>
      </c>
      <c r="AC4021">
        <v>0.54329999999998702</v>
      </c>
      <c r="AD4021">
        <v>-0.18597849999999999</v>
      </c>
      <c r="AE4021">
        <v>-4.5199999999994099E-2</v>
      </c>
      <c r="AF4021">
        <v>4.7713548921905498E-2</v>
      </c>
      <c r="AG4021">
        <v>-0.18597849999999999</v>
      </c>
      <c r="AH4021">
        <v>0.486010319479738</v>
      </c>
      <c r="AI4021">
        <v>110.84847610220299</v>
      </c>
      <c r="AJ4021">
        <v>84.393015002358993</v>
      </c>
      <c r="AK4021">
        <v>0.522561590488403</v>
      </c>
      <c r="AL4021">
        <v>87.302030612367602</v>
      </c>
      <c r="AM4021">
        <v>87.160563169661401</v>
      </c>
      <c r="AN4021">
        <v>1.0000000180106801</v>
      </c>
    </row>
    <row r="4022" spans="1:40" x14ac:dyDescent="0.25">
      <c r="A4022" t="str">
        <f>"20190312154334097"</f>
        <v>20190312154334097</v>
      </c>
      <c r="B4022" t="str">
        <f>"1552376614091018"</f>
        <v>1552376614091018</v>
      </c>
      <c r="C4022" t="s">
        <v>40</v>
      </c>
      <c r="D4022">
        <v>4.892042</v>
      </c>
      <c r="E4022">
        <v>0.50780369999999997</v>
      </c>
      <c r="F4022" t="s">
        <v>41</v>
      </c>
      <c r="G4022">
        <v>-284.52940000000001</v>
      </c>
      <c r="H4022">
        <v>0.92652000000000001</v>
      </c>
      <c r="I4022">
        <v>215.0616</v>
      </c>
      <c r="J4022">
        <v>-285.03149999999999</v>
      </c>
      <c r="K4022">
        <v>1.1104099999999999</v>
      </c>
      <c r="L4022">
        <v>215.1079</v>
      </c>
      <c r="M4022">
        <v>0.99978610000000001</v>
      </c>
      <c r="N4022">
        <v>0</v>
      </c>
      <c r="O4022">
        <v>1.500841E-2</v>
      </c>
      <c r="P4022">
        <v>0.99886759999999997</v>
      </c>
      <c r="Q4022">
        <v>3.2713440000000003E-2</v>
      </c>
      <c r="R4022">
        <v>-3.4549290000000003E-2</v>
      </c>
      <c r="S4022">
        <v>3.019012</v>
      </c>
      <c r="T4022">
        <v>-0.61576370000000002</v>
      </c>
      <c r="U4022">
        <v>-0.13380429999999999</v>
      </c>
      <c r="V4022">
        <v>4.9521030000000001E-2</v>
      </c>
      <c r="W4022">
        <v>4.6942440000000002E-2</v>
      </c>
      <c r="X4022">
        <v>0.99766929999999998</v>
      </c>
      <c r="Y4022">
        <v>5.7771540000000003E-2</v>
      </c>
      <c r="Z4022">
        <v>-8.857775E-3</v>
      </c>
      <c r="AA4022">
        <v>0.99829049999999997</v>
      </c>
      <c r="AB4022">
        <v>40</v>
      </c>
      <c r="AC4022">
        <v>0.502099999999984</v>
      </c>
      <c r="AD4022">
        <v>-0.18389</v>
      </c>
      <c r="AE4022">
        <v>-4.6300000000002201E-2</v>
      </c>
      <c r="AF4022">
        <v>4.7512065219710201E-2</v>
      </c>
      <c r="AG4022">
        <v>-0.18389</v>
      </c>
      <c r="AH4022">
        <v>0.44249562685785399</v>
      </c>
      <c r="AI4022">
        <v>112.45039804585799</v>
      </c>
      <c r="AJ4022">
        <v>83.871462460393005</v>
      </c>
      <c r="AK4022">
        <v>0.48153432715619199</v>
      </c>
      <c r="AL4022">
        <v>87.309407471094801</v>
      </c>
      <c r="AM4022">
        <v>87.158357750897196</v>
      </c>
      <c r="AN4022">
        <v>0.99999997862395196</v>
      </c>
    </row>
    <row r="4023" spans="1:40" x14ac:dyDescent="0.25">
      <c r="A4023" t="str">
        <f>"20190312154334120"</f>
        <v>20190312154334120</v>
      </c>
      <c r="B4023" t="str">
        <f>"1552376614111513"</f>
        <v>1552376614111513</v>
      </c>
      <c r="C4023" t="s">
        <v>40</v>
      </c>
      <c r="D4023">
        <v>4.8623289999999999</v>
      </c>
      <c r="E4023">
        <v>0.50775090000000001</v>
      </c>
      <c r="F4023" t="s">
        <v>41</v>
      </c>
      <c r="G4023">
        <v>-284.16950000000003</v>
      </c>
      <c r="H4023">
        <v>0.93230840000000004</v>
      </c>
      <c r="I4023">
        <v>215.06829999999999</v>
      </c>
      <c r="J4023">
        <v>-284.63990000000001</v>
      </c>
      <c r="K4023">
        <v>1.1104149999999999</v>
      </c>
      <c r="L4023">
        <v>215.1139</v>
      </c>
      <c r="M4023">
        <v>0.9997838</v>
      </c>
      <c r="N4023">
        <v>0</v>
      </c>
      <c r="O4023">
        <v>1.515969E-2</v>
      </c>
      <c r="P4023">
        <v>0.99884030000000001</v>
      </c>
      <c r="Q4023">
        <v>3.3202429999999998E-2</v>
      </c>
      <c r="R4023">
        <v>-3.4875980000000001E-2</v>
      </c>
      <c r="S4023">
        <v>3.0191349999999999</v>
      </c>
      <c r="T4023">
        <v>-0.62391479999999999</v>
      </c>
      <c r="U4023">
        <v>-0.1379242</v>
      </c>
      <c r="V4023">
        <v>4.9997989999999999E-2</v>
      </c>
      <c r="W4023">
        <v>4.742876E-2</v>
      </c>
      <c r="X4023">
        <v>0.99762249999999997</v>
      </c>
      <c r="Y4023">
        <v>5.9207540000000003E-2</v>
      </c>
      <c r="Z4023">
        <v>-9.1496860000000006E-3</v>
      </c>
      <c r="AA4023">
        <v>0.99820379999999997</v>
      </c>
      <c r="AB4023">
        <v>40</v>
      </c>
      <c r="AC4023">
        <v>0.470399999999983</v>
      </c>
      <c r="AD4023">
        <v>-0.178106599999999</v>
      </c>
      <c r="AE4023">
        <v>-4.5600000000007399E-2</v>
      </c>
      <c r="AF4023">
        <v>4.6169410775238902E-2</v>
      </c>
      <c r="AG4023">
        <v>-0.178106599999999</v>
      </c>
      <c r="AH4023">
        <v>0.41124737012752699</v>
      </c>
      <c r="AI4023">
        <v>113.286317466439</v>
      </c>
      <c r="AJ4023">
        <v>83.594410125221302</v>
      </c>
      <c r="AK4023">
        <v>0.45053077019411197</v>
      </c>
      <c r="AL4023">
        <v>87.2815122902947</v>
      </c>
      <c r="AM4023">
        <v>87.130899722116894</v>
      </c>
      <c r="AN4023">
        <v>0.99999996939271296</v>
      </c>
    </row>
    <row r="4024" spans="1:40" x14ac:dyDescent="0.25">
      <c r="A4024" t="str">
        <f>"20190312154334141"</f>
        <v>20190312154334141</v>
      </c>
      <c r="B4024" t="str">
        <f>"1552376614131033"</f>
        <v>1552376614131033</v>
      </c>
      <c r="C4024" t="s">
        <v>40</v>
      </c>
      <c r="D4024">
        <v>4.8488720000000001</v>
      </c>
      <c r="E4024">
        <v>0.50760870000000002</v>
      </c>
      <c r="F4024" t="s">
        <v>41</v>
      </c>
      <c r="G4024">
        <v>-283.81</v>
      </c>
      <c r="H4024">
        <v>0.93800640000000002</v>
      </c>
      <c r="I4024">
        <v>215.07550000000001</v>
      </c>
      <c r="J4024">
        <v>-284.23950000000002</v>
      </c>
      <c r="K4024">
        <v>1.1104179999999999</v>
      </c>
      <c r="L4024">
        <v>215.12010000000001</v>
      </c>
      <c r="M4024">
        <v>0.99978140000000004</v>
      </c>
      <c r="N4024">
        <v>0</v>
      </c>
      <c r="O4024">
        <v>1.531424E-2</v>
      </c>
      <c r="P4024">
        <v>0.99877260000000001</v>
      </c>
      <c r="Q4024">
        <v>3.4009320000000003E-2</v>
      </c>
      <c r="R4024">
        <v>-3.601099E-2</v>
      </c>
      <c r="S4024">
        <v>3.019501</v>
      </c>
      <c r="T4024">
        <v>-0.62737200000000004</v>
      </c>
      <c r="U4024">
        <v>-0.1383209</v>
      </c>
      <c r="V4024">
        <v>5.1286060000000001E-2</v>
      </c>
      <c r="W4024">
        <v>4.8232259999999999E-2</v>
      </c>
      <c r="X4024">
        <v>0.99751860000000003</v>
      </c>
      <c r="Y4024">
        <v>5.9461630000000001E-2</v>
      </c>
      <c r="Z4024">
        <v>-9.2560779999999992E-3</v>
      </c>
      <c r="AA4024">
        <v>0.99818770000000001</v>
      </c>
      <c r="AB4024">
        <v>40</v>
      </c>
      <c r="AC4024">
        <v>0.42950000000001798</v>
      </c>
      <c r="AD4024">
        <v>-0.1724116</v>
      </c>
      <c r="AE4024">
        <v>-4.4600000000002603E-2</v>
      </c>
      <c r="AF4024">
        <v>4.4136556577449602E-2</v>
      </c>
      <c r="AG4024">
        <v>-0.1724116</v>
      </c>
      <c r="AH4024">
        <v>0.36981054614617498</v>
      </c>
      <c r="AI4024">
        <v>114.840863772459</v>
      </c>
      <c r="AJ4024">
        <v>83.193993718019499</v>
      </c>
      <c r="AK4024">
        <v>0.41040667085466198</v>
      </c>
      <c r="AL4024">
        <v>87.235422418021997</v>
      </c>
      <c r="AM4024">
        <v>87.056807027413399</v>
      </c>
      <c r="AN4024">
        <v>0.99999998410049495</v>
      </c>
    </row>
    <row r="4025" spans="1:40" x14ac:dyDescent="0.25">
      <c r="A4025" t="str">
        <f>"20190312154334164"</f>
        <v>20190312154334164</v>
      </c>
      <c r="B4025" t="str">
        <f>"1552376614151531"</f>
        <v>1552376614151531</v>
      </c>
      <c r="C4025" t="s">
        <v>40</v>
      </c>
      <c r="D4025">
        <v>4.8584019999999999</v>
      </c>
      <c r="E4025">
        <v>0.49500250000000001</v>
      </c>
      <c r="F4025" t="s">
        <v>41</v>
      </c>
      <c r="G4025">
        <v>-283.44929999999999</v>
      </c>
      <c r="H4025">
        <v>0.9464437</v>
      </c>
      <c r="I4025">
        <v>215.0831</v>
      </c>
      <c r="J4025">
        <v>-283.84980000000002</v>
      </c>
      <c r="K4025">
        <v>1.1104229999999999</v>
      </c>
      <c r="L4025">
        <v>215.12620000000001</v>
      </c>
      <c r="M4025">
        <v>0.99977919999999998</v>
      </c>
      <c r="N4025">
        <v>0</v>
      </c>
      <c r="O4025">
        <v>1.546463E-2</v>
      </c>
      <c r="P4025">
        <v>0.99872050000000001</v>
      </c>
      <c r="Q4025">
        <v>3.4555040000000002E-2</v>
      </c>
      <c r="R4025">
        <v>-3.6929469999999999E-2</v>
      </c>
      <c r="S4025">
        <v>3.0199579999999999</v>
      </c>
      <c r="T4025">
        <v>-0.62672090000000003</v>
      </c>
      <c r="U4025">
        <v>-0.14082339999999999</v>
      </c>
      <c r="V4025">
        <v>5.2353539999999997E-2</v>
      </c>
      <c r="W4025">
        <v>4.8774739999999997E-2</v>
      </c>
      <c r="X4025">
        <v>0.99743680000000001</v>
      </c>
      <c r="Y4025">
        <v>6.041063E-2</v>
      </c>
      <c r="Z4025">
        <v>-9.3733849999999997E-3</v>
      </c>
      <c r="AA4025">
        <v>0.99812959999999995</v>
      </c>
      <c r="AB4025">
        <v>40</v>
      </c>
      <c r="AC4025">
        <v>0.40050000000002201</v>
      </c>
      <c r="AD4025">
        <v>-0.163979299999999</v>
      </c>
      <c r="AE4025">
        <v>-4.3100000000009603E-2</v>
      </c>
      <c r="AF4025">
        <v>4.2282107365018397E-2</v>
      </c>
      <c r="AG4025">
        <v>-0.163979299999999</v>
      </c>
      <c r="AH4025">
        <v>0.34295186281322798</v>
      </c>
      <c r="AI4025">
        <v>115.386578345777</v>
      </c>
      <c r="AJ4025">
        <v>82.971542731440195</v>
      </c>
      <c r="AK4025">
        <v>0.38248263704223201</v>
      </c>
      <c r="AL4025">
        <v>87.204304074873093</v>
      </c>
      <c r="AM4025">
        <v>86.995411875445697</v>
      </c>
      <c r="AN4025">
        <v>1.00000001920341</v>
      </c>
    </row>
    <row r="4026" spans="1:40" x14ac:dyDescent="0.25">
      <c r="A4026" t="str">
        <f>"20190312154334186"</f>
        <v>20190312154334186</v>
      </c>
      <c r="B4026" t="str">
        <f>"1552376614181785"</f>
        <v>1552376614181785</v>
      </c>
      <c r="C4026" t="s">
        <v>40</v>
      </c>
      <c r="D4026">
        <v>4.8552160000000004</v>
      </c>
      <c r="E4026">
        <v>0.4889947</v>
      </c>
      <c r="F4026" t="s">
        <v>41</v>
      </c>
      <c r="G4026">
        <v>-283.06020000000001</v>
      </c>
      <c r="H4026">
        <v>1.0132369999999999</v>
      </c>
      <c r="I4026">
        <v>215.1122</v>
      </c>
      <c r="J4026">
        <v>-283.45409999999998</v>
      </c>
      <c r="K4026">
        <v>1.1104290000000001</v>
      </c>
      <c r="L4026">
        <v>215.13239999999999</v>
      </c>
      <c r="M4026">
        <v>0.99977689999999997</v>
      </c>
      <c r="N4026">
        <v>0</v>
      </c>
      <c r="O4026">
        <v>1.561734E-2</v>
      </c>
      <c r="P4026">
        <v>0.99869439999999998</v>
      </c>
      <c r="Q4026">
        <v>3.4537070000000003E-2</v>
      </c>
      <c r="R4026">
        <v>-3.7637709999999998E-2</v>
      </c>
      <c r="S4026">
        <v>3.0147400000000002</v>
      </c>
      <c r="T4026">
        <v>-0.37106139999999999</v>
      </c>
      <c r="U4026">
        <v>-5.2932739999999999E-2</v>
      </c>
      <c r="V4026">
        <v>5.3213950000000003E-2</v>
      </c>
      <c r="W4026">
        <v>4.8753779999999997E-2</v>
      </c>
      <c r="X4026">
        <v>0.99739230000000001</v>
      </c>
      <c r="Y4026">
        <v>3.2804319999999998E-2</v>
      </c>
      <c r="Z4026">
        <v>-3.9261239999999996E-3</v>
      </c>
      <c r="AA4026">
        <v>0.99945410000000001</v>
      </c>
      <c r="AB4026">
        <v>40</v>
      </c>
      <c r="AC4026">
        <v>0.39389999999997299</v>
      </c>
      <c r="AD4026">
        <v>-9.7191999999999903E-2</v>
      </c>
      <c r="AE4026">
        <v>-2.0199999999988401E-2</v>
      </c>
      <c r="AF4026">
        <v>2.4841400563595201E-2</v>
      </c>
      <c r="AG4026">
        <v>-9.7191999999999903E-2</v>
      </c>
      <c r="AH4026">
        <v>0.37100797889336101</v>
      </c>
      <c r="AI4026">
        <v>104.64836852185</v>
      </c>
      <c r="AJ4026">
        <v>86.169391994530599</v>
      </c>
      <c r="AK4026">
        <v>0.38433097773728497</v>
      </c>
      <c r="AL4026">
        <v>87.205506448900906</v>
      </c>
      <c r="AM4026">
        <v>86.945989362019901</v>
      </c>
      <c r="AN4026">
        <v>1.0000000278190899</v>
      </c>
    </row>
    <row r="4027" spans="1:40" x14ac:dyDescent="0.25">
      <c r="A4027" t="str">
        <f>"20190312154334210"</f>
        <v>20190312154334210</v>
      </c>
      <c r="B4027" t="str">
        <f>"1552376614201307"</f>
        <v>1552376614201307</v>
      </c>
      <c r="C4027" t="s">
        <v>40</v>
      </c>
      <c r="D4027">
        <v>5.0461349999999996</v>
      </c>
      <c r="E4027">
        <v>0.48857780000000001</v>
      </c>
      <c r="F4027" t="s">
        <v>50</v>
      </c>
      <c r="G4027">
        <v>-269.61939999999998</v>
      </c>
      <c r="H4027" s="1">
        <v>3.562016E-6</v>
      </c>
      <c r="I4027">
        <v>215.07689999999999</v>
      </c>
      <c r="J4027">
        <v>-283.0455</v>
      </c>
      <c r="K4027">
        <v>1.1104270000000001</v>
      </c>
      <c r="L4027">
        <v>215.13900000000001</v>
      </c>
      <c r="M4027">
        <v>0.99977439999999995</v>
      </c>
      <c r="N4027">
        <v>0</v>
      </c>
      <c r="O4027">
        <v>1.5774759999999999E-2</v>
      </c>
      <c r="P4027">
        <v>0.99868920000000005</v>
      </c>
      <c r="Q4027">
        <v>3.4180009999999997E-2</v>
      </c>
      <c r="R4027">
        <v>-3.8103699999999997E-2</v>
      </c>
      <c r="S4027">
        <v>3.011841</v>
      </c>
      <c r="T4027">
        <v>-0.24174080000000001</v>
      </c>
      <c r="U4027">
        <v>-1.210022E-2</v>
      </c>
      <c r="V4027">
        <v>5.3836889999999998E-2</v>
      </c>
      <c r="W4027">
        <v>4.8394670000000001E-2</v>
      </c>
      <c r="X4027">
        <v>0.99737629999999999</v>
      </c>
      <c r="Y4027">
        <v>1.9679220000000001E-2</v>
      </c>
      <c r="Z4027">
        <v>-2.052688E-3</v>
      </c>
      <c r="AA4027">
        <v>0.99980429999999998</v>
      </c>
      <c r="AB4027">
        <v>40</v>
      </c>
      <c r="AC4027">
        <v>13.4261</v>
      </c>
      <c r="AD4027">
        <v>-1.1104234379839999</v>
      </c>
      <c r="AE4027">
        <v>-6.2100000000015101E-2</v>
      </c>
      <c r="AF4027">
        <v>0.27204635454383103</v>
      </c>
      <c r="AG4027">
        <v>-1.1104234379839999</v>
      </c>
      <c r="AH4027">
        <v>13.3322541926509</v>
      </c>
      <c r="AI4027">
        <v>94.760104247823094</v>
      </c>
      <c r="AJ4027">
        <v>88.831034502377605</v>
      </c>
      <c r="AK4027">
        <v>13.3811827312873</v>
      </c>
      <c r="AL4027">
        <v>87.226106089892198</v>
      </c>
      <c r="AM4027">
        <v>86.910257508483497</v>
      </c>
      <c r="AN4027">
        <v>0.99999996930548496</v>
      </c>
    </row>
    <row r="4028" spans="1:40" x14ac:dyDescent="0.25">
      <c r="A4028" t="str">
        <f>"20190312154334230"</f>
        <v>20190312154334230</v>
      </c>
      <c r="B4028" t="str">
        <f>"1552376614221801"</f>
        <v>1552376614221801</v>
      </c>
      <c r="C4028" t="s">
        <v>40</v>
      </c>
      <c r="D4028">
        <v>4.9010420000000003</v>
      </c>
      <c r="E4028">
        <v>0.48793550000000002</v>
      </c>
      <c r="F4028" t="s">
        <v>41</v>
      </c>
      <c r="G4028">
        <v>-281.98129999999998</v>
      </c>
      <c r="H4028">
        <v>1.0371980000000001</v>
      </c>
      <c r="I4028">
        <v>215.13470000000001</v>
      </c>
      <c r="J4028">
        <v>-282.65870000000001</v>
      </c>
      <c r="K4028">
        <v>1.1104259999999999</v>
      </c>
      <c r="L4028">
        <v>215.14519999999999</v>
      </c>
      <c r="M4028">
        <v>0.99977210000000005</v>
      </c>
      <c r="N4028">
        <v>0</v>
      </c>
      <c r="O4028">
        <v>1.5923949999999999E-2</v>
      </c>
      <c r="P4028">
        <v>0.9986836</v>
      </c>
      <c r="Q4028">
        <v>3.3522830000000003E-2</v>
      </c>
      <c r="R4028">
        <v>-3.8827649999999998E-2</v>
      </c>
      <c r="S4028">
        <v>3.0105900000000001</v>
      </c>
      <c r="T4028">
        <v>-0.20730399999999999</v>
      </c>
      <c r="U4028">
        <v>-1.139832E-2</v>
      </c>
      <c r="V4028">
        <v>5.4709849999999997E-2</v>
      </c>
      <c r="W4028">
        <v>4.7735010000000001E-2</v>
      </c>
      <c r="X4028">
        <v>0.99736060000000004</v>
      </c>
      <c r="Y4028">
        <v>1.9626830000000001E-2</v>
      </c>
      <c r="Z4028">
        <v>-1.7702130000000001E-3</v>
      </c>
      <c r="AA4028">
        <v>0.99980579999999997</v>
      </c>
      <c r="AB4028">
        <v>40</v>
      </c>
      <c r="AC4028">
        <v>0.67740000000003397</v>
      </c>
      <c r="AD4028">
        <v>-7.3227999999999793E-2</v>
      </c>
      <c r="AE4028">
        <v>-1.0499999999979E-2</v>
      </c>
      <c r="AF4028">
        <v>2.1040819840775899E-2</v>
      </c>
      <c r="AG4028">
        <v>-7.3227999999999793E-2</v>
      </c>
      <c r="AH4028">
        <v>0.66932703163492702</v>
      </c>
      <c r="AI4028">
        <v>96.240577857504206</v>
      </c>
      <c r="AJ4028">
        <v>88.199455212386297</v>
      </c>
      <c r="AK4028">
        <v>0.67364956124144804</v>
      </c>
      <c r="AL4028">
        <v>87.263945596389107</v>
      </c>
      <c r="AM4028">
        <v>86.860207744932595</v>
      </c>
      <c r="AN4028">
        <v>0.99999998264954104</v>
      </c>
    </row>
    <row r="4029" spans="1:40" x14ac:dyDescent="0.25">
      <c r="A4029" t="str">
        <f>"20190312154334253"</f>
        <v>20190312154334253</v>
      </c>
      <c r="B4029" t="str">
        <f>"1552376614241322"</f>
        <v>1552376614241322</v>
      </c>
      <c r="C4029" t="s">
        <v>40</v>
      </c>
      <c r="D4029">
        <v>4.890676</v>
      </c>
      <c r="E4029">
        <v>0.48742920000000001</v>
      </c>
      <c r="F4029" t="s">
        <v>41</v>
      </c>
      <c r="G4029">
        <v>-281.62099999999998</v>
      </c>
      <c r="H4029">
        <v>1.0430429999999999</v>
      </c>
      <c r="I4029">
        <v>215.14189999999999</v>
      </c>
      <c r="J4029">
        <v>-282.26170000000002</v>
      </c>
      <c r="K4029">
        <v>1.1104229999999999</v>
      </c>
      <c r="L4029">
        <v>215.15170000000001</v>
      </c>
      <c r="M4029">
        <v>0.99976949999999998</v>
      </c>
      <c r="N4029">
        <v>0</v>
      </c>
      <c r="O4029">
        <v>1.6076960000000001E-2</v>
      </c>
      <c r="P4029">
        <v>0.99868630000000003</v>
      </c>
      <c r="Q4029">
        <v>3.3345090000000001E-2</v>
      </c>
      <c r="R4029">
        <v>-3.8908760000000001E-2</v>
      </c>
      <c r="S4029">
        <v>3.0101930000000001</v>
      </c>
      <c r="T4029">
        <v>-0.19562969999999999</v>
      </c>
      <c r="U4029">
        <v>-8.7280269999999993E-3</v>
      </c>
      <c r="V4029">
        <v>5.4943869999999999E-2</v>
      </c>
      <c r="W4029">
        <v>4.75545E-2</v>
      </c>
      <c r="X4029">
        <v>0.99735640000000003</v>
      </c>
      <c r="Y4029">
        <v>1.890383E-2</v>
      </c>
      <c r="Z4029">
        <v>-1.6574249999999999E-3</v>
      </c>
      <c r="AA4029">
        <v>0.99981989999999998</v>
      </c>
      <c r="AB4029">
        <v>40</v>
      </c>
      <c r="AC4029">
        <v>0.64070000000003802</v>
      </c>
      <c r="AD4029">
        <v>-6.7379999999999995E-2</v>
      </c>
      <c r="AE4029">
        <v>-9.8000000000126805E-3</v>
      </c>
      <c r="AF4029">
        <v>1.9880459257967501E-2</v>
      </c>
      <c r="AG4029">
        <v>-6.7379999999999995E-2</v>
      </c>
      <c r="AH4029">
        <v>0.63345527204145202</v>
      </c>
      <c r="AI4029">
        <v>96.068698425361106</v>
      </c>
      <c r="AJ4029">
        <v>88.202410334087702</v>
      </c>
      <c r="AK4029">
        <v>0.63733890414552496</v>
      </c>
      <c r="AL4029">
        <v>87.274299929292098</v>
      </c>
      <c r="AM4029">
        <v>86.846791155022501</v>
      </c>
      <c r="AN4029">
        <v>1.0000000239708899</v>
      </c>
    </row>
    <row r="4030" spans="1:40" x14ac:dyDescent="0.25">
      <c r="A4030" t="str">
        <f>"20190312154334276"</f>
        <v>20190312154334276</v>
      </c>
      <c r="B4030" t="str">
        <f>"1552376614271579"</f>
        <v>1552376614271579</v>
      </c>
      <c r="C4030" t="s">
        <v>40</v>
      </c>
      <c r="D4030">
        <v>4.8567019999999896</v>
      </c>
      <c r="E4030">
        <v>0.48707479999999997</v>
      </c>
      <c r="F4030" t="s">
        <v>50</v>
      </c>
      <c r="G4030">
        <v>-264.3417</v>
      </c>
      <c r="H4030" s="1">
        <v>7.5163190000000002E-7</v>
      </c>
      <c r="I4030">
        <v>215.12049999999999</v>
      </c>
      <c r="J4030">
        <v>-281.86160000000001</v>
      </c>
      <c r="K4030">
        <v>1.1104179999999999</v>
      </c>
      <c r="L4030">
        <v>215.15819999999999</v>
      </c>
      <c r="M4030">
        <v>0.99976719999999997</v>
      </c>
      <c r="N4030">
        <v>0</v>
      </c>
      <c r="O4030">
        <v>1.6231160000000001E-2</v>
      </c>
      <c r="P4030">
        <v>0.99870510000000001</v>
      </c>
      <c r="Q4030">
        <v>3.2902340000000002E-2</v>
      </c>
      <c r="R4030">
        <v>-3.8802009999999998E-2</v>
      </c>
      <c r="S4030">
        <v>3.009979</v>
      </c>
      <c r="T4030">
        <v>-0.1865156</v>
      </c>
      <c r="U4030">
        <v>-5.2337649999999996E-3</v>
      </c>
      <c r="V4030">
        <v>5.4991400000000003E-2</v>
      </c>
      <c r="W4030">
        <v>4.7110109999999997E-2</v>
      </c>
      <c r="X4030">
        <v>0.99737480000000001</v>
      </c>
      <c r="Y4030">
        <v>1.7905870000000001E-2</v>
      </c>
      <c r="Z4030">
        <v>-1.559127E-3</v>
      </c>
      <c r="AA4030">
        <v>0.99983849999999996</v>
      </c>
      <c r="AB4030">
        <v>40</v>
      </c>
      <c r="AC4030">
        <v>17.5199</v>
      </c>
      <c r="AD4030">
        <v>-1.1104172483681001</v>
      </c>
      <c r="AE4030">
        <v>-3.7700000000000899E-2</v>
      </c>
      <c r="AF4030">
        <v>0.32080338883901099</v>
      </c>
      <c r="AG4030">
        <v>-1.1104172483681001</v>
      </c>
      <c r="AH4030">
        <v>17.4468945588678</v>
      </c>
      <c r="AI4030">
        <v>93.641095818755304</v>
      </c>
      <c r="AJ4030">
        <v>88.946597108938803</v>
      </c>
      <c r="AK4030">
        <v>17.485138576174201</v>
      </c>
      <c r="AL4030">
        <v>87.299789981065103</v>
      </c>
      <c r="AM4030">
        <v>86.844127041277901</v>
      </c>
      <c r="AN4030">
        <v>0.99999995410660503</v>
      </c>
    </row>
    <row r="4031" spans="1:40" x14ac:dyDescent="0.25">
      <c r="A4031" t="str">
        <f>"20190312154334299"</f>
        <v>20190312154334299</v>
      </c>
      <c r="B4031" t="str">
        <f>"1552376614291098"</f>
        <v>1552376614291098</v>
      </c>
      <c r="C4031" t="s">
        <v>40</v>
      </c>
      <c r="D4031">
        <v>4.8692589999999996</v>
      </c>
      <c r="E4031">
        <v>0.48691200000000001</v>
      </c>
      <c r="F4031" t="s">
        <v>50</v>
      </c>
      <c r="G4031">
        <v>-263.33350000000002</v>
      </c>
      <c r="H4031" s="1">
        <v>2.1406700000000001E-7</v>
      </c>
      <c r="I4031">
        <v>215.14439999999999</v>
      </c>
      <c r="J4031">
        <v>-281.4502</v>
      </c>
      <c r="K4031">
        <v>1.1104149999999999</v>
      </c>
      <c r="L4031">
        <v>215.1651</v>
      </c>
      <c r="M4031">
        <v>0.9997646</v>
      </c>
      <c r="N4031">
        <v>0</v>
      </c>
      <c r="O4031">
        <v>1.638966E-2</v>
      </c>
      <c r="P4031">
        <v>0.99874960000000002</v>
      </c>
      <c r="Q4031">
        <v>3.21344E-2</v>
      </c>
      <c r="R4031">
        <v>-3.8298800000000001E-2</v>
      </c>
      <c r="S4031">
        <v>3.009735</v>
      </c>
      <c r="T4031">
        <v>-0.18037810000000001</v>
      </c>
      <c r="U4031">
        <v>-2.2430420000000002E-3</v>
      </c>
      <c r="V4031">
        <v>5.4647670000000002E-2</v>
      </c>
      <c r="W4031">
        <v>4.6339900000000003E-2</v>
      </c>
      <c r="X4031">
        <v>0.99742980000000003</v>
      </c>
      <c r="Y4031">
        <v>1.7076419999999998E-2</v>
      </c>
      <c r="Z4031">
        <v>-1.4926939999999999E-3</v>
      </c>
      <c r="AA4031">
        <v>0.99985310000000005</v>
      </c>
      <c r="AB4031">
        <v>40</v>
      </c>
      <c r="AC4031">
        <v>18.116699999999899</v>
      </c>
      <c r="AD4031">
        <v>-1.110414785933</v>
      </c>
      <c r="AE4031">
        <v>-2.0700000000004999E-2</v>
      </c>
      <c r="AF4031">
        <v>0.31646490686909301</v>
      </c>
      <c r="AG4031">
        <v>-1.110414785933</v>
      </c>
      <c r="AH4031">
        <v>18.046132064899702</v>
      </c>
      <c r="AI4031">
        <v>93.5205452208221</v>
      </c>
      <c r="AJ4031">
        <v>88.995338995459505</v>
      </c>
      <c r="AK4031">
        <v>18.083032199769502</v>
      </c>
      <c r="AL4031">
        <v>87.343968087157293</v>
      </c>
      <c r="AM4031">
        <v>86.863986272637206</v>
      </c>
      <c r="AN4031">
        <v>0.99999998004823898</v>
      </c>
    </row>
    <row r="4032" spans="1:40" x14ac:dyDescent="0.25">
      <c r="A4032" t="str">
        <f>"20190312154334321"</f>
        <v>20190312154334321</v>
      </c>
      <c r="B4032" t="str">
        <f>"1552376614311595"</f>
        <v>1552376614311595</v>
      </c>
      <c r="C4032" t="s">
        <v>40</v>
      </c>
      <c r="D4032">
        <v>4.8507189999999998</v>
      </c>
      <c r="E4032">
        <v>0.4868439</v>
      </c>
      <c r="F4032" t="s">
        <v>50</v>
      </c>
      <c r="G4032">
        <v>-262.7704</v>
      </c>
      <c r="H4032" s="1">
        <v>-8.6613759999999894E-8</v>
      </c>
      <c r="I4032">
        <v>215.1678</v>
      </c>
      <c r="J4032">
        <v>-281.05680000000001</v>
      </c>
      <c r="K4032">
        <v>1.110409</v>
      </c>
      <c r="L4032">
        <v>215.17169999999999</v>
      </c>
      <c r="M4032">
        <v>0.99976209999999999</v>
      </c>
      <c r="N4032">
        <v>0</v>
      </c>
      <c r="O4032">
        <v>1.6541650000000001E-2</v>
      </c>
      <c r="P4032">
        <v>0.99881010000000003</v>
      </c>
      <c r="Q4032">
        <v>3.1304369999999998E-2</v>
      </c>
      <c r="R4032">
        <v>-3.7397909999999999E-2</v>
      </c>
      <c r="S4032">
        <v>3.0095209999999999</v>
      </c>
      <c r="T4032">
        <v>-0.1789</v>
      </c>
      <c r="U4032">
        <v>4.4250490000000001E-4</v>
      </c>
      <c r="V4032">
        <v>5.389998E-2</v>
      </c>
      <c r="W4032">
        <v>4.5508220000000002E-2</v>
      </c>
      <c r="X4032">
        <v>0.99750879999999997</v>
      </c>
      <c r="Y4032">
        <v>1.6338269999999998E-2</v>
      </c>
      <c r="Z4032">
        <v>-1.467695E-3</v>
      </c>
      <c r="AA4032">
        <v>0.99986549999999996</v>
      </c>
      <c r="AB4032">
        <v>40</v>
      </c>
      <c r="AC4032">
        <v>18.2864</v>
      </c>
      <c r="AD4032">
        <v>-1.1104090866137599</v>
      </c>
      <c r="AE4032">
        <v>-3.8999999999873498E-3</v>
      </c>
      <c r="AF4032">
        <v>0.30529156400827601</v>
      </c>
      <c r="AG4032">
        <v>-1.1104090866137599</v>
      </c>
      <c r="AH4032">
        <v>18.216662516812001</v>
      </c>
      <c r="AI4032">
        <v>93.487698818460501</v>
      </c>
      <c r="AJ4032">
        <v>89.039874576524099</v>
      </c>
      <c r="AK4032">
        <v>18.2530272702944</v>
      </c>
      <c r="AL4032">
        <v>87.391670240008693</v>
      </c>
      <c r="AM4032">
        <v>86.907053845842697</v>
      </c>
      <c r="AN4032">
        <v>1.0000000060045</v>
      </c>
    </row>
    <row r="4033" spans="1:40" x14ac:dyDescent="0.25">
      <c r="A4033" t="str">
        <f>"20190312154334343"</f>
        <v>20190312154334343</v>
      </c>
      <c r="B4033" t="str">
        <f>"1552376614331115"</f>
        <v>1552376614331115</v>
      </c>
      <c r="C4033" t="s">
        <v>40</v>
      </c>
      <c r="D4033">
        <v>4.8318000000000003</v>
      </c>
      <c r="E4033">
        <v>0.48685990000000001</v>
      </c>
      <c r="F4033" t="s">
        <v>50</v>
      </c>
      <c r="G4033">
        <v>-262.20150000000001</v>
      </c>
      <c r="H4033" s="1">
        <v>-3.9047199999999998E-7</v>
      </c>
      <c r="I4033">
        <v>215.19300000000001</v>
      </c>
      <c r="J4033">
        <v>-280.66419999999999</v>
      </c>
      <c r="K4033">
        <v>1.1104149999999999</v>
      </c>
      <c r="L4033">
        <v>215.17830000000001</v>
      </c>
      <c r="M4033">
        <v>0.99975970000000003</v>
      </c>
      <c r="N4033">
        <v>0</v>
      </c>
      <c r="O4033">
        <v>1.6693409999999999E-2</v>
      </c>
      <c r="P4033">
        <v>0.99884360000000005</v>
      </c>
      <c r="Q4033">
        <v>3.1060790000000001E-2</v>
      </c>
      <c r="R4033">
        <v>-3.6703109999999997E-2</v>
      </c>
      <c r="S4033">
        <v>3.0092469999999998</v>
      </c>
      <c r="T4033">
        <v>-0.17721779999999901</v>
      </c>
      <c r="U4033">
        <v>3.4027100000000002E-3</v>
      </c>
      <c r="V4033">
        <v>5.3357439999999999E-2</v>
      </c>
      <c r="W4033">
        <v>4.5262429999999999E-2</v>
      </c>
      <c r="X4033">
        <v>0.99754909999999997</v>
      </c>
      <c r="Y4033">
        <v>1.55087E-2</v>
      </c>
      <c r="Z4033">
        <v>-1.438571E-3</v>
      </c>
      <c r="AA4033">
        <v>0.99987870000000001</v>
      </c>
      <c r="AB4033">
        <v>40</v>
      </c>
      <c r="AC4033">
        <v>18.462699999999899</v>
      </c>
      <c r="AD4033">
        <v>-1.110415390472</v>
      </c>
      <c r="AE4033">
        <v>1.46999999999764E-2</v>
      </c>
      <c r="AF4033">
        <v>0.29248060371922002</v>
      </c>
      <c r="AG4033">
        <v>-1.110415390472</v>
      </c>
      <c r="AH4033">
        <v>18.393836849795299</v>
      </c>
      <c r="AI4033">
        <v>93.454253933961297</v>
      </c>
      <c r="AJ4033">
        <v>89.089015947819107</v>
      </c>
      <c r="AK4033">
        <v>18.429644633031799</v>
      </c>
      <c r="AL4033">
        <v>87.4057673647889</v>
      </c>
      <c r="AM4033">
        <v>86.938250377301102</v>
      </c>
      <c r="AN4033">
        <v>0.99999995544183296</v>
      </c>
    </row>
    <row r="4034" spans="1:40" x14ac:dyDescent="0.25">
      <c r="A4034" t="str">
        <f>"20190312154334366"</f>
        <v>20190312154334366</v>
      </c>
      <c r="B4034" t="str">
        <f>"1552376614361371"</f>
        <v>1552376614361371</v>
      </c>
      <c r="C4034" t="s">
        <v>40</v>
      </c>
      <c r="D4034">
        <v>4.8070190000000004</v>
      </c>
      <c r="E4034">
        <v>0.48693049999999999</v>
      </c>
      <c r="F4034" t="s">
        <v>50</v>
      </c>
      <c r="G4034">
        <v>-261.60059999999999</v>
      </c>
      <c r="H4034" s="1">
        <v>-7.1103029999999996E-7</v>
      </c>
      <c r="I4034">
        <v>215.21129999999999</v>
      </c>
      <c r="J4034">
        <v>-280.26710000000003</v>
      </c>
      <c r="K4034">
        <v>1.110417</v>
      </c>
      <c r="L4034">
        <v>215.18510000000001</v>
      </c>
      <c r="M4034">
        <v>0.99975720000000001</v>
      </c>
      <c r="N4034">
        <v>0</v>
      </c>
      <c r="O4034">
        <v>1.684689E-2</v>
      </c>
      <c r="P4034">
        <v>0.99885299999999999</v>
      </c>
      <c r="Q4034">
        <v>3.122105E-2</v>
      </c>
      <c r="R4034">
        <v>-3.6307409999999998E-2</v>
      </c>
      <c r="S4034">
        <v>3.0091549999999998</v>
      </c>
      <c r="T4034">
        <v>-0.17527770000000001</v>
      </c>
      <c r="U4034">
        <v>5.2032470000000003E-3</v>
      </c>
      <c r="V4034">
        <v>5.3115139999999998E-2</v>
      </c>
      <c r="W4034">
        <v>4.5420580000000002E-2</v>
      </c>
      <c r="X4034">
        <v>0.99755490000000002</v>
      </c>
      <c r="Y4034">
        <v>1.506559E-2</v>
      </c>
      <c r="Z4034">
        <v>-1.4189280000000001E-3</v>
      </c>
      <c r="AA4034">
        <v>0.99988549999999998</v>
      </c>
      <c r="AB4034">
        <v>40</v>
      </c>
      <c r="AC4034">
        <v>18.666499999999999</v>
      </c>
      <c r="AD4034">
        <v>-1.1104177110303</v>
      </c>
      <c r="AE4034">
        <v>2.61999999999886E-2</v>
      </c>
      <c r="AF4034">
        <v>0.28729127106293001</v>
      </c>
      <c r="AG4034">
        <v>-1.1104177110303</v>
      </c>
      <c r="AH4034">
        <v>18.598476979412599</v>
      </c>
      <c r="AI4034">
        <v>93.416368464535296</v>
      </c>
      <c r="AJ4034">
        <v>89.115020638268703</v>
      </c>
      <c r="AK4034">
        <v>18.6338109285551</v>
      </c>
      <c r="AL4034">
        <v>87.396696857635703</v>
      </c>
      <c r="AM4034">
        <v>86.952145417719507</v>
      </c>
      <c r="AN4034">
        <v>1.00000001284938</v>
      </c>
    </row>
    <row r="4035" spans="1:40" x14ac:dyDescent="0.25">
      <c r="A4035" t="str">
        <f>"20190312154334387"</f>
        <v>20190312154334387</v>
      </c>
      <c r="B4035" t="str">
        <f>"1552376614380896"</f>
        <v>1552376614380896</v>
      </c>
      <c r="C4035" t="s">
        <v>40</v>
      </c>
      <c r="D4035">
        <v>4.8391699999999904</v>
      </c>
      <c r="E4035">
        <v>0.48697669999999998</v>
      </c>
      <c r="F4035" t="s">
        <v>50</v>
      </c>
      <c r="G4035">
        <v>-260.71960000000001</v>
      </c>
      <c r="H4035" s="1">
        <v>-1.180288E-6</v>
      </c>
      <c r="I4035">
        <v>215.2216</v>
      </c>
      <c r="J4035">
        <v>-279.88260000000002</v>
      </c>
      <c r="K4035">
        <v>1.110419</v>
      </c>
      <c r="L4035">
        <v>215.1917</v>
      </c>
      <c r="M4035">
        <v>0.9997547</v>
      </c>
      <c r="N4035">
        <v>0</v>
      </c>
      <c r="O4035">
        <v>1.6995670000000001E-2</v>
      </c>
      <c r="P4035">
        <v>0.99883960000000005</v>
      </c>
      <c r="Q4035">
        <v>3.1690860000000001E-2</v>
      </c>
      <c r="R4035">
        <v>-3.6272869999999999E-2</v>
      </c>
      <c r="S4035">
        <v>3.0090029999999999</v>
      </c>
      <c r="T4035">
        <v>-0.17093</v>
      </c>
      <c r="U4035">
        <v>5.6152340000000002E-3</v>
      </c>
      <c r="V4035">
        <v>5.3228739999999997E-2</v>
      </c>
      <c r="W4035">
        <v>4.588834E-2</v>
      </c>
      <c r="X4035">
        <v>0.99752739999999995</v>
      </c>
      <c r="Y4035">
        <v>1.5079769999999999E-2</v>
      </c>
      <c r="Z4035">
        <v>-1.392707E-3</v>
      </c>
      <c r="AA4035">
        <v>0.99988529999999998</v>
      </c>
      <c r="AB4035">
        <v>40</v>
      </c>
      <c r="AC4035">
        <v>19.163</v>
      </c>
      <c r="AD4035">
        <v>-1.110420180288</v>
      </c>
      <c r="AE4035">
        <v>2.98999999999978E-2</v>
      </c>
      <c r="AF4035">
        <v>0.29483521322581202</v>
      </c>
      <c r="AG4035">
        <v>-1.110420180288</v>
      </c>
      <c r="AH4035">
        <v>19.096618404295501</v>
      </c>
      <c r="AI4035">
        <v>93.327462097402801</v>
      </c>
      <c r="AJ4035">
        <v>89.115473170412201</v>
      </c>
      <c r="AK4035">
        <v>19.131147254125299</v>
      </c>
      <c r="AL4035">
        <v>87.3698681128066</v>
      </c>
      <c r="AM4035">
        <v>86.945555104984095</v>
      </c>
      <c r="AN4035">
        <v>0.99999997613035096</v>
      </c>
    </row>
    <row r="4036" spans="1:40" x14ac:dyDescent="0.25">
      <c r="A4036" t="str">
        <f>"20190312154334411"</f>
        <v>20190312154334411</v>
      </c>
      <c r="B4036" t="str">
        <f>"1552376614401390"</f>
        <v>1552376614401390</v>
      </c>
      <c r="C4036" t="s">
        <v>40</v>
      </c>
      <c r="D4036">
        <v>4.8211399999999998</v>
      </c>
      <c r="E4036">
        <v>0.48705949999999998</v>
      </c>
      <c r="F4036" t="s">
        <v>50</v>
      </c>
      <c r="G4036">
        <v>-259.84030000000001</v>
      </c>
      <c r="H4036" s="1">
        <v>3.672976E-6</v>
      </c>
      <c r="I4036">
        <v>215.22890000000001</v>
      </c>
      <c r="J4036">
        <v>-279.48570000000001</v>
      </c>
      <c r="K4036">
        <v>1.110414</v>
      </c>
      <c r="L4036">
        <v>215.1986</v>
      </c>
      <c r="M4036">
        <v>0.99975199999999997</v>
      </c>
      <c r="N4036">
        <v>0</v>
      </c>
      <c r="O4036">
        <v>1.7148920000000002E-2</v>
      </c>
      <c r="P4036">
        <v>0.9988399</v>
      </c>
      <c r="Q4036">
        <v>3.1234189999999998E-2</v>
      </c>
      <c r="R4036">
        <v>-3.6657679999999998E-2</v>
      </c>
      <c r="S4036">
        <v>3.008972</v>
      </c>
      <c r="T4036">
        <v>-0.16670850000000001</v>
      </c>
      <c r="U4036">
        <v>5.5847170000000003E-3</v>
      </c>
      <c r="V4036">
        <v>5.3766599999999901E-2</v>
      </c>
      <c r="W4036">
        <v>4.5429629999999999E-2</v>
      </c>
      <c r="X4036">
        <v>0.99751959999999995</v>
      </c>
      <c r="Y4036">
        <v>1.524519E-2</v>
      </c>
      <c r="Z4036">
        <v>-1.37144E-3</v>
      </c>
      <c r="AA4036">
        <v>0.99988279999999996</v>
      </c>
      <c r="AB4036">
        <v>40</v>
      </c>
      <c r="AC4036">
        <v>19.645399999999899</v>
      </c>
      <c r="AD4036">
        <v>-1.110410327024</v>
      </c>
      <c r="AE4036">
        <v>3.0300000000010999E-2</v>
      </c>
      <c r="AF4036">
        <v>0.30565933499879899</v>
      </c>
      <c r="AG4036">
        <v>-1.110410327024</v>
      </c>
      <c r="AH4036">
        <v>19.5804743808213</v>
      </c>
      <c r="AI4036">
        <v>93.245377330638803</v>
      </c>
      <c r="AJ4036">
        <v>89.105661733202396</v>
      </c>
      <c r="AK4036">
        <v>19.614316600418</v>
      </c>
      <c r="AL4036">
        <v>87.396177827920596</v>
      </c>
      <c r="AM4036">
        <v>86.914726133552307</v>
      </c>
      <c r="AN4036">
        <v>1.0000000254708199</v>
      </c>
    </row>
    <row r="4037" spans="1:40" x14ac:dyDescent="0.25">
      <c r="A4037" t="str">
        <f>"20190312154334432"</f>
        <v>20190312154334432</v>
      </c>
      <c r="B4037" t="str">
        <f>"1552376614420905"</f>
        <v>1552376614420905</v>
      </c>
      <c r="C4037" t="s">
        <v>40</v>
      </c>
      <c r="D4037">
        <v>4.7844389999999999</v>
      </c>
      <c r="E4037">
        <v>0.48711389999999999</v>
      </c>
      <c r="F4037" t="s">
        <v>50</v>
      </c>
      <c r="G4037">
        <v>-259.29450000000003</v>
      </c>
      <c r="H4037" s="1">
        <v>3.382754E-6</v>
      </c>
      <c r="I4037">
        <v>215.22309999999999</v>
      </c>
      <c r="J4037">
        <v>-279.09550000000002</v>
      </c>
      <c r="K4037">
        <v>1.110409</v>
      </c>
      <c r="L4037">
        <v>215.2054</v>
      </c>
      <c r="M4037">
        <v>0.99974949999999996</v>
      </c>
      <c r="N4037">
        <v>0</v>
      </c>
      <c r="O4037">
        <v>1.7299479999999999E-2</v>
      </c>
      <c r="P4037">
        <v>0.99884410000000001</v>
      </c>
      <c r="Q4037">
        <v>2.9958950000000002E-2</v>
      </c>
      <c r="R4037">
        <v>-3.759767E-2</v>
      </c>
      <c r="S4037">
        <v>3.0088200000000001</v>
      </c>
      <c r="T4037">
        <v>-0.1654688</v>
      </c>
      <c r="U4037">
        <v>3.646851E-3</v>
      </c>
      <c r="V4037">
        <v>5.4857360000000001E-2</v>
      </c>
      <c r="W4037">
        <v>4.4152030000000002E-2</v>
      </c>
      <c r="X4037">
        <v>0.99751749999999995</v>
      </c>
      <c r="Y4037">
        <v>1.6038960000000001E-2</v>
      </c>
      <c r="Z4037">
        <v>-1.3914120000000001E-3</v>
      </c>
      <c r="AA4037">
        <v>0.99987040000000005</v>
      </c>
      <c r="AB4037">
        <v>39</v>
      </c>
      <c r="AC4037">
        <v>19.800999999999899</v>
      </c>
      <c r="AD4037">
        <v>-1.110405617246</v>
      </c>
      <c r="AE4037">
        <v>1.7699999999990699E-2</v>
      </c>
      <c r="AF4037">
        <v>0.32386571514910101</v>
      </c>
      <c r="AG4037">
        <v>-1.110405617246</v>
      </c>
      <c r="AH4037">
        <v>19.736276445669599</v>
      </c>
      <c r="AI4037">
        <v>93.219757067724203</v>
      </c>
      <c r="AJ4037">
        <v>89.0598797424758</v>
      </c>
      <c r="AK4037">
        <v>19.770141566922401</v>
      </c>
      <c r="AL4037">
        <v>87.469452260273798</v>
      </c>
      <c r="AM4037">
        <v>86.852253361090902</v>
      </c>
      <c r="AN4037">
        <v>0.99999994725276797</v>
      </c>
    </row>
    <row r="4038" spans="1:40" x14ac:dyDescent="0.25">
      <c r="A4038" t="str">
        <f>"20190312154334454"</f>
        <v>20190312154334454</v>
      </c>
      <c r="B4038" t="str">
        <f>"1552376614441402"</f>
        <v>1552376614441402</v>
      </c>
      <c r="C4038" t="s">
        <v>40</v>
      </c>
      <c r="D4038">
        <v>4.8452799999999998</v>
      </c>
      <c r="E4038">
        <v>0.48716910000000002</v>
      </c>
      <c r="F4038" t="s">
        <v>50</v>
      </c>
      <c r="G4038">
        <v>-259.19330000000002</v>
      </c>
      <c r="H4038" s="1">
        <v>3.3296840000000001E-6</v>
      </c>
      <c r="I4038">
        <v>215.2054</v>
      </c>
      <c r="J4038">
        <v>-278.71730000000002</v>
      </c>
      <c r="K4038">
        <v>1.110409</v>
      </c>
      <c r="L4038">
        <v>215.21209999999999</v>
      </c>
      <c r="M4038">
        <v>0.9997471</v>
      </c>
      <c r="N4038">
        <v>0</v>
      </c>
      <c r="O4038">
        <v>1.74454E-2</v>
      </c>
      <c r="P4038">
        <v>0.99885380000000001</v>
      </c>
      <c r="Q4038">
        <v>2.945188E-2</v>
      </c>
      <c r="R4038">
        <v>-3.7735959999999999E-2</v>
      </c>
      <c r="S4038">
        <v>3.0084840000000002</v>
      </c>
      <c r="T4038">
        <v>-0.1678529</v>
      </c>
      <c r="U4038">
        <v>0</v>
      </c>
      <c r="V4038">
        <v>5.514173E-2</v>
      </c>
      <c r="W4038">
        <v>4.3643260000000003E-2</v>
      </c>
      <c r="X4038">
        <v>0.99752430000000003</v>
      </c>
      <c r="Y4038">
        <v>1.7392970000000001E-2</v>
      </c>
      <c r="Z4038">
        <v>-1.4574670000000001E-3</v>
      </c>
      <c r="AA4038">
        <v>0.99984770000000001</v>
      </c>
      <c r="AB4038">
        <v>39</v>
      </c>
      <c r="AC4038">
        <v>19.524000000000001</v>
      </c>
      <c r="AD4038">
        <v>-1.1104056703159999</v>
      </c>
      <c r="AE4038">
        <v>-6.6999999999950398E-3</v>
      </c>
      <c r="AF4038">
        <v>0.34621738483228598</v>
      </c>
      <c r="AG4038">
        <v>-1.1104056703159999</v>
      </c>
      <c r="AH4038">
        <v>19.457971796810199</v>
      </c>
      <c r="AI4038">
        <v>93.265632913910395</v>
      </c>
      <c r="AJ4038">
        <v>88.980638776405698</v>
      </c>
      <c r="AK4038">
        <v>19.492704627005701</v>
      </c>
      <c r="AL4038">
        <v>87.498630987125196</v>
      </c>
      <c r="AM4038">
        <v>86.835990641341994</v>
      </c>
      <c r="AN4038">
        <v>1.0000000368106501</v>
      </c>
    </row>
    <row r="4039" spans="1:40" x14ac:dyDescent="0.25">
      <c r="A4039" t="str">
        <f>"20190312154334476"</f>
        <v>20190312154334476</v>
      </c>
      <c r="B4039" t="str">
        <f>"1552376614471658"</f>
        <v>1552376614471658</v>
      </c>
      <c r="C4039" t="s">
        <v>40</v>
      </c>
      <c r="D4039">
        <v>4.8616799999999998</v>
      </c>
      <c r="E4039">
        <v>0.48708630000000003</v>
      </c>
      <c r="F4039" t="s">
        <v>50</v>
      </c>
      <c r="G4039">
        <v>-258.74160000000001</v>
      </c>
      <c r="H4039" s="1">
        <v>3.089246E-6</v>
      </c>
      <c r="I4039">
        <v>215.2071</v>
      </c>
      <c r="J4039">
        <v>-278.31700000000001</v>
      </c>
      <c r="K4039">
        <v>1.1104080000000001</v>
      </c>
      <c r="L4039">
        <v>215.2193</v>
      </c>
      <c r="M4039">
        <v>0.99974439999999998</v>
      </c>
      <c r="N4039">
        <v>0</v>
      </c>
      <c r="O4039">
        <v>1.760014E-2</v>
      </c>
      <c r="P4039">
        <v>0.99885690000000005</v>
      </c>
      <c r="Q4039">
        <v>2.9012050000000001E-2</v>
      </c>
      <c r="R4039">
        <v>-3.7997179999999998E-2</v>
      </c>
      <c r="S4039">
        <v>3.0083310000000001</v>
      </c>
      <c r="T4039">
        <v>-0.16722709999999999</v>
      </c>
      <c r="U4039">
        <v>-7.6293949999999998E-4</v>
      </c>
      <c r="V4039">
        <v>5.5557490000000001E-2</v>
      </c>
      <c r="W4039">
        <v>4.3201169999999997E-2</v>
      </c>
      <c r="X4039">
        <v>0.99752039999999997</v>
      </c>
      <c r="Y4039">
        <v>1.780083E-2</v>
      </c>
      <c r="Z4039">
        <v>-1.4720379999999999E-3</v>
      </c>
      <c r="AA4039">
        <v>0.99984050000000002</v>
      </c>
      <c r="AB4039">
        <v>39</v>
      </c>
      <c r="AC4039">
        <v>19.575399999999998</v>
      </c>
      <c r="AD4039">
        <v>-1.1104049107539999</v>
      </c>
      <c r="AE4039">
        <v>-1.2200000000007E-2</v>
      </c>
      <c r="AF4039">
        <v>0.35561832279088601</v>
      </c>
      <c r="AG4039">
        <v>-1.1104049107539999</v>
      </c>
      <c r="AH4039">
        <v>19.5093778159384</v>
      </c>
      <c r="AI4039">
        <v>93.257019043877605</v>
      </c>
      <c r="AJ4039">
        <v>88.955724114254707</v>
      </c>
      <c r="AK4039">
        <v>19.544188042033401</v>
      </c>
      <c r="AL4039">
        <v>87.523984605898093</v>
      </c>
      <c r="AM4039">
        <v>86.812171087432603</v>
      </c>
      <c r="AN4039">
        <v>0.99999996210031294</v>
      </c>
    </row>
    <row r="4040" spans="1:40" x14ac:dyDescent="0.25">
      <c r="A4040" t="str">
        <f>"20190312154334503"</f>
        <v>20190312154334503</v>
      </c>
      <c r="B4040" t="str">
        <f>"1552376614491179"</f>
        <v>1552376614491179</v>
      </c>
      <c r="C4040" t="s">
        <v>40</v>
      </c>
      <c r="D4040">
        <v>4.6945739999999896</v>
      </c>
      <c r="E4040">
        <v>0.4625322</v>
      </c>
      <c r="F4040" t="s">
        <v>50</v>
      </c>
      <c r="G4040">
        <v>-258.08170000000001</v>
      </c>
      <c r="H4040" s="1">
        <v>2.7379519999999998E-6</v>
      </c>
      <c r="I4040">
        <v>215.21</v>
      </c>
      <c r="J4040">
        <v>-277.84570000000002</v>
      </c>
      <c r="K4040">
        <v>1.1104050000000001</v>
      </c>
      <c r="L4040">
        <v>215.2278</v>
      </c>
      <c r="M4040">
        <v>0.9997412</v>
      </c>
      <c r="N4040">
        <v>0</v>
      </c>
      <c r="O4040">
        <v>1.7782409999999998E-2</v>
      </c>
      <c r="P4040">
        <v>0.99888410000000005</v>
      </c>
      <c r="Q4040">
        <v>2.8738509999999998E-2</v>
      </c>
      <c r="R4040">
        <v>-3.7481309999999997E-2</v>
      </c>
      <c r="S4040">
        <v>3.0081479999999998</v>
      </c>
      <c r="T4040">
        <v>-0.1650711</v>
      </c>
      <c r="U4040">
        <v>-1.373291E-3</v>
      </c>
      <c r="V4040">
        <v>5.5224540000000003E-2</v>
      </c>
      <c r="W4040">
        <v>4.2924869999999997E-2</v>
      </c>
      <c r="X4040">
        <v>0.99755079999999996</v>
      </c>
      <c r="Y4040">
        <v>1.8186529999999999E-2</v>
      </c>
      <c r="Z4040">
        <v>-1.473746E-3</v>
      </c>
      <c r="AA4040">
        <v>0.99983350000000004</v>
      </c>
      <c r="AB4040">
        <v>39</v>
      </c>
      <c r="AC4040">
        <v>19.763999999999999</v>
      </c>
      <c r="AD4040">
        <v>-1.1104022620480001</v>
      </c>
      <c r="AE4040">
        <v>-1.7799999999994001E-2</v>
      </c>
      <c r="AF4040">
        <v>0.36812212796567201</v>
      </c>
      <c r="AG4040">
        <v>-1.1104022620480001</v>
      </c>
      <c r="AH4040">
        <v>19.698379110556999</v>
      </c>
      <c r="AI4040">
        <v>93.225800038581596</v>
      </c>
      <c r="AJ4040">
        <v>88.929384529141899</v>
      </c>
      <c r="AK4040">
        <v>19.733085077298099</v>
      </c>
      <c r="AL4040">
        <v>87.539830090832993</v>
      </c>
      <c r="AM4040">
        <v>86.831332720647893</v>
      </c>
      <c r="AN4040">
        <v>0.999999946431682</v>
      </c>
    </row>
    <row r="4041" spans="1:40" x14ac:dyDescent="0.25">
      <c r="A4041" t="str">
        <f>"20190312154334522"</f>
        <v>20190312154334522</v>
      </c>
      <c r="B4041" t="str">
        <f>"1552376614511674"</f>
        <v>1552376614511674</v>
      </c>
      <c r="C4041" t="s">
        <v>40</v>
      </c>
      <c r="D4041">
        <v>4.7194599999999998</v>
      </c>
      <c r="E4041">
        <v>0.45875919999999998</v>
      </c>
      <c r="F4041" t="s">
        <v>50</v>
      </c>
      <c r="G4041">
        <v>-242.93039999999999</v>
      </c>
      <c r="H4041" s="1">
        <v>-1.02094899999999E-7</v>
      </c>
      <c r="I4041">
        <v>217.4699</v>
      </c>
      <c r="J4041">
        <v>-277.51170000000002</v>
      </c>
      <c r="K4041">
        <v>1.110403</v>
      </c>
      <c r="L4041">
        <v>215.2338</v>
      </c>
      <c r="M4041">
        <v>0.99973880000000004</v>
      </c>
      <c r="N4041">
        <v>0</v>
      </c>
      <c r="O4041">
        <v>1.791158E-2</v>
      </c>
      <c r="P4041">
        <v>0.99892060000000005</v>
      </c>
      <c r="Q4041">
        <v>2.850755E-2</v>
      </c>
      <c r="R4041">
        <v>-3.6677090000000002E-2</v>
      </c>
      <c r="S4041">
        <v>3.0133969999999999</v>
      </c>
      <c r="T4041">
        <v>-9.5834730000000007E-2</v>
      </c>
      <c r="U4041">
        <v>0.19351199999999999</v>
      </c>
      <c r="V4041">
        <v>5.4550069999999999E-2</v>
      </c>
      <c r="W4041">
        <v>4.2692389999999997E-2</v>
      </c>
      <c r="X4041">
        <v>0.99759790000000004</v>
      </c>
      <c r="Y4041">
        <v>-4.6184129999999997E-2</v>
      </c>
      <c r="Z4041">
        <v>1.6459069999999999E-4</v>
      </c>
      <c r="AA4041">
        <v>0.99893299999999996</v>
      </c>
      <c r="AB4041">
        <v>39</v>
      </c>
      <c r="AC4041">
        <v>34.581299999999999</v>
      </c>
      <c r="AD4041">
        <v>-1.1104031020948999</v>
      </c>
      <c r="AE4041">
        <v>2.2360999999999902</v>
      </c>
      <c r="AF4041">
        <v>-1.61461524916759</v>
      </c>
      <c r="AG4041">
        <v>-1.1104031020948999</v>
      </c>
      <c r="AH4041">
        <v>34.580301808338902</v>
      </c>
      <c r="AI4041">
        <v>91.8371844063563</v>
      </c>
      <c r="AJ4041">
        <v>92.673299368796194</v>
      </c>
      <c r="AK4041">
        <v>34.635779919150004</v>
      </c>
      <c r="AL4041">
        <v>87.553162469979398</v>
      </c>
      <c r="AM4041">
        <v>86.870102443814105</v>
      </c>
      <c r="AN4041">
        <v>0.99999996019266202</v>
      </c>
    </row>
    <row r="4042" spans="1:40" x14ac:dyDescent="0.25">
      <c r="A4042" t="str">
        <f>"20190312154334543"</f>
        <v>20190312154334543</v>
      </c>
      <c r="B4042" t="str">
        <f>"1552376614531195"</f>
        <v>1552376614531195</v>
      </c>
      <c r="C4042" t="s">
        <v>40</v>
      </c>
      <c r="D4042">
        <v>4.6951530000000004</v>
      </c>
      <c r="E4042">
        <v>0.45806910000000001</v>
      </c>
      <c r="F4042" t="s">
        <v>50</v>
      </c>
      <c r="G4042">
        <v>-243.47919999999999</v>
      </c>
      <c r="H4042" s="1">
        <v>1.7606729999999999E-7</v>
      </c>
      <c r="I4042">
        <v>217.78739999999999</v>
      </c>
      <c r="J4042">
        <v>-277.13990000000001</v>
      </c>
      <c r="K4042">
        <v>1.1104019999999999</v>
      </c>
      <c r="L4042">
        <v>215.2406</v>
      </c>
      <c r="M4042">
        <v>0.99973639999999997</v>
      </c>
      <c r="N4042">
        <v>0</v>
      </c>
      <c r="O4042">
        <v>1.8055290000000002E-2</v>
      </c>
      <c r="P4042">
        <v>0.99894720000000004</v>
      </c>
      <c r="Q4042">
        <v>2.8542930000000001E-2</v>
      </c>
      <c r="R4042">
        <v>-3.5916509999999999E-2</v>
      </c>
      <c r="S4042">
        <v>3.0143740000000001</v>
      </c>
      <c r="T4042">
        <v>-9.835207E-2</v>
      </c>
      <c r="U4042">
        <v>0.22618099999999999</v>
      </c>
      <c r="V4042">
        <v>5.3933589999999997E-2</v>
      </c>
      <c r="W4042">
        <v>4.2726210000000001E-2</v>
      </c>
      <c r="X4042">
        <v>0.99763000000000002</v>
      </c>
      <c r="Y4042">
        <v>-5.6784660000000001E-2</v>
      </c>
      <c r="Z4042">
        <v>3.3677529999999998E-4</v>
      </c>
      <c r="AA4042">
        <v>0.99838640000000001</v>
      </c>
      <c r="AB4042">
        <v>39</v>
      </c>
      <c r="AC4042">
        <v>33.660699999999999</v>
      </c>
      <c r="AD4042">
        <v>-1.1104018239327</v>
      </c>
      <c r="AE4042">
        <v>2.54679999999999</v>
      </c>
      <c r="AF4042">
        <v>-1.9364746295016499</v>
      </c>
      <c r="AG4042">
        <v>-1.1104018239327</v>
      </c>
      <c r="AH4042">
        <v>33.664773768965297</v>
      </c>
      <c r="AI4042">
        <v>91.886048607638799</v>
      </c>
      <c r="AJ4042">
        <v>93.292156174672897</v>
      </c>
      <c r="AK4042">
        <v>33.738700613937503</v>
      </c>
      <c r="AL4042">
        <v>87.551223027562401</v>
      </c>
      <c r="AM4042">
        <v>86.905504207755996</v>
      </c>
      <c r="AN4042">
        <v>0.99999998902562603</v>
      </c>
    </row>
    <row r="4043" spans="1:40" x14ac:dyDescent="0.25">
      <c r="A4043" t="str">
        <f>"20190312154334565"</f>
        <v>20190312154334565</v>
      </c>
      <c r="B4043" t="str">
        <f>"1552376614561450"</f>
        <v>1552376614561450</v>
      </c>
      <c r="C4043" t="s">
        <v>40</v>
      </c>
      <c r="D4043">
        <v>4.7150290000000004</v>
      </c>
      <c r="E4043">
        <v>0.4575496</v>
      </c>
      <c r="F4043" t="s">
        <v>50</v>
      </c>
      <c r="G4043">
        <v>-244.60239999999999</v>
      </c>
      <c r="H4043" s="1">
        <v>7.7453899999999997E-7</v>
      </c>
      <c r="I4043">
        <v>217.7697</v>
      </c>
      <c r="J4043">
        <v>-276.7527</v>
      </c>
      <c r="K4043">
        <v>1.110398</v>
      </c>
      <c r="L4043">
        <v>215.24770000000001</v>
      </c>
      <c r="M4043">
        <v>0.9997336</v>
      </c>
      <c r="N4043">
        <v>0</v>
      </c>
      <c r="O4043">
        <v>1.8205260000000001E-2</v>
      </c>
      <c r="P4043">
        <v>0.99895109999999998</v>
      </c>
      <c r="Q4043">
        <v>2.8998820000000002E-2</v>
      </c>
      <c r="R4043">
        <v>-3.54417E-2</v>
      </c>
      <c r="S4043">
        <v>3.014526</v>
      </c>
      <c r="T4043">
        <v>-0.1028761</v>
      </c>
      <c r="U4043">
        <v>0.23431399999999999</v>
      </c>
      <c r="V4043">
        <v>5.36084E-2</v>
      </c>
      <c r="W4043">
        <v>4.3179740000000001E-2</v>
      </c>
      <c r="X4043">
        <v>0.99762799999999996</v>
      </c>
      <c r="Y4043">
        <v>-5.9305589999999998E-2</v>
      </c>
      <c r="Z4043">
        <v>3.9003870000000002E-4</v>
      </c>
      <c r="AA4043">
        <v>0.99823980000000001</v>
      </c>
      <c r="AB4043">
        <v>39</v>
      </c>
      <c r="AC4043">
        <v>32.150300000000001</v>
      </c>
      <c r="AD4043">
        <v>-1.1103972254609999</v>
      </c>
      <c r="AE4043">
        <v>2.52199999999999</v>
      </c>
      <c r="AF4043">
        <v>-1.93392567727003</v>
      </c>
      <c r="AG4043">
        <v>-1.1103972254609999</v>
      </c>
      <c r="AH4043">
        <v>32.1527700199808</v>
      </c>
      <c r="AI4043">
        <v>91.974360647439596</v>
      </c>
      <c r="AJ4043">
        <v>93.442081183138001</v>
      </c>
      <c r="AK4043">
        <v>32.230011952856799</v>
      </c>
      <c r="AL4043">
        <v>87.525213666555203</v>
      </c>
      <c r="AM4043">
        <v>86.924120231577604</v>
      </c>
      <c r="AN4043">
        <v>0.99999998844051297</v>
      </c>
    </row>
    <row r="4044" spans="1:40" x14ac:dyDescent="0.25">
      <c r="A4044" t="str">
        <f>"20190312154334589"</f>
        <v>20190312154334589</v>
      </c>
      <c r="B4044" t="str">
        <f>"1552376614581950"</f>
        <v>1552376614581950</v>
      </c>
      <c r="C4044" t="s">
        <v>40</v>
      </c>
      <c r="D4044">
        <v>4.6985330000000003</v>
      </c>
      <c r="E4044">
        <v>0.45750639999999998</v>
      </c>
      <c r="F4044" t="s">
        <v>50</v>
      </c>
      <c r="G4044">
        <v>-246.0275</v>
      </c>
      <c r="H4044" s="1">
        <v>1.536216E-6</v>
      </c>
      <c r="I4044">
        <v>217.69450000000001</v>
      </c>
      <c r="J4044">
        <v>-276.34410000000003</v>
      </c>
      <c r="K4044">
        <v>1.1104019999999999</v>
      </c>
      <c r="L4044">
        <v>215.25530000000001</v>
      </c>
      <c r="M4044">
        <v>0.99973069999999997</v>
      </c>
      <c r="N4044">
        <v>0</v>
      </c>
      <c r="O4044">
        <v>1.8363460000000002E-2</v>
      </c>
      <c r="P4044">
        <v>0.99894430000000001</v>
      </c>
      <c r="Q4044">
        <v>2.893971E-2</v>
      </c>
      <c r="R4044">
        <v>-3.5678540000000002E-2</v>
      </c>
      <c r="S4044">
        <v>3.0148320000000002</v>
      </c>
      <c r="T4044">
        <v>-0.1089551</v>
      </c>
      <c r="U4044">
        <v>0.24008180000000001</v>
      </c>
      <c r="V4044">
        <v>5.4003049999999997E-2</v>
      </c>
      <c r="W4044">
        <v>4.3118280000000002E-2</v>
      </c>
      <c r="X4044">
        <v>0.99760939999999998</v>
      </c>
      <c r="Y4044">
        <v>-6.1033860000000002E-2</v>
      </c>
      <c r="Z4044">
        <v>4.3846850000000003E-4</v>
      </c>
      <c r="AA4044">
        <v>0.99813560000000001</v>
      </c>
      <c r="AB4044">
        <v>39</v>
      </c>
      <c r="AC4044">
        <v>30.316600000000001</v>
      </c>
      <c r="AD4044">
        <v>-1.1104004637839999</v>
      </c>
      <c r="AE4044">
        <v>2.4392</v>
      </c>
      <c r="AF4044">
        <v>-1.8795097072359901</v>
      </c>
      <c r="AG4044">
        <v>-1.1104004637839999</v>
      </c>
      <c r="AH4044">
        <v>30.315875686983301</v>
      </c>
      <c r="AI4044">
        <v>92.093658007543894</v>
      </c>
      <c r="AJ4044">
        <v>93.547656646125006</v>
      </c>
      <c r="AK4044">
        <v>30.394372252082899</v>
      </c>
      <c r="AL4044">
        <v>87.5287384141552</v>
      </c>
      <c r="AM4044">
        <v>86.901462771754893</v>
      </c>
      <c r="AN4044">
        <v>1.0000000152239099</v>
      </c>
    </row>
    <row r="4045" spans="1:40" x14ac:dyDescent="0.25">
      <c r="A4045" t="str">
        <f>"20190312154334612"</f>
        <v>20190312154334612</v>
      </c>
      <c r="B4045" t="str">
        <f>"1552376614601466"</f>
        <v>1552376614601466</v>
      </c>
      <c r="C4045" t="s">
        <v>40</v>
      </c>
      <c r="D4045">
        <v>4.7056009999999997</v>
      </c>
      <c r="E4045">
        <v>0.45736830000000001</v>
      </c>
      <c r="F4045" t="s">
        <v>50</v>
      </c>
      <c r="G4045">
        <v>-246.78450000000001</v>
      </c>
      <c r="H4045" s="1">
        <v>1.9429009999999999E-6</v>
      </c>
      <c r="I4045">
        <v>217.6063</v>
      </c>
      <c r="J4045">
        <v>-275.94779999999997</v>
      </c>
      <c r="K4045">
        <v>1.1103970000000001</v>
      </c>
      <c r="L4045">
        <v>215.2628</v>
      </c>
      <c r="M4045">
        <v>0.99972810000000001</v>
      </c>
      <c r="N4045">
        <v>0</v>
      </c>
      <c r="O4045">
        <v>1.851676E-2</v>
      </c>
      <c r="P4045">
        <v>0.99894380000000005</v>
      </c>
      <c r="Q4045">
        <v>2.834797E-2</v>
      </c>
      <c r="R4045">
        <v>-3.6165469999999998E-2</v>
      </c>
      <c r="S4045">
        <v>3.015015</v>
      </c>
      <c r="T4045">
        <v>-0.113258399999999</v>
      </c>
      <c r="U4045">
        <v>0.2397919</v>
      </c>
      <c r="V4045">
        <v>5.464339E-2</v>
      </c>
      <c r="W4045">
        <v>4.2523739999999997E-2</v>
      </c>
      <c r="X4045">
        <v>0.99760000000000004</v>
      </c>
      <c r="Y4045">
        <v>-6.0778690000000003E-2</v>
      </c>
      <c r="Z4045">
        <v>4.4521939999999998E-4</v>
      </c>
      <c r="AA4045">
        <v>0.99815120000000002</v>
      </c>
      <c r="AB4045">
        <v>39</v>
      </c>
      <c r="AC4045">
        <v>29.1632999999999</v>
      </c>
      <c r="AD4045">
        <v>-1.11039505709899</v>
      </c>
      <c r="AE4045">
        <v>2.3435000000000001</v>
      </c>
      <c r="AF4045">
        <v>-1.8004406854347601</v>
      </c>
      <c r="AG4045">
        <v>-1.11039505709899</v>
      </c>
      <c r="AH4045">
        <v>29.159695400992302</v>
      </c>
      <c r="AI4045">
        <v>92.176616478949697</v>
      </c>
      <c r="AJ4045">
        <v>93.533194001870399</v>
      </c>
      <c r="AK4045">
        <v>29.236319873117601</v>
      </c>
      <c r="AL4045">
        <v>87.562834196761202</v>
      </c>
      <c r="AM4045">
        <v>86.864765319128907</v>
      </c>
      <c r="AN4045">
        <v>0.999999964267139</v>
      </c>
    </row>
    <row r="4046" spans="1:40" x14ac:dyDescent="0.25">
      <c r="A4046" t="str">
        <f>"20190312154334632"</f>
        <v>20190312154334632</v>
      </c>
      <c r="B4046" t="str">
        <f>"1552376614621962"</f>
        <v>1552376614621962</v>
      </c>
      <c r="C4046" t="s">
        <v>40</v>
      </c>
      <c r="D4046">
        <v>4.7499719999999996</v>
      </c>
      <c r="E4046">
        <v>0.45742559999999899</v>
      </c>
      <c r="F4046" t="s">
        <v>50</v>
      </c>
      <c r="G4046">
        <v>-247.70230000000001</v>
      </c>
      <c r="H4046" s="1">
        <v>2.4355869999999999E-6</v>
      </c>
      <c r="I4046">
        <v>217.5078</v>
      </c>
      <c r="J4046">
        <v>-275.57429999999999</v>
      </c>
      <c r="K4046">
        <v>1.110393</v>
      </c>
      <c r="L4046">
        <v>215.2698</v>
      </c>
      <c r="M4046">
        <v>0.99972539999999999</v>
      </c>
      <c r="N4046">
        <v>0</v>
      </c>
      <c r="O4046">
        <v>1.8661609999999999E-2</v>
      </c>
      <c r="P4046">
        <v>0.99894530000000004</v>
      </c>
      <c r="Q4046">
        <v>2.7883089999999999E-2</v>
      </c>
      <c r="R4046">
        <v>-3.6489149999999998E-2</v>
      </c>
      <c r="S4046">
        <v>3.0151979999999998</v>
      </c>
      <c r="T4046">
        <v>-0.11853420000000001</v>
      </c>
      <c r="U4046">
        <v>0.23965449999999999</v>
      </c>
      <c r="V4046">
        <v>5.5111559999999997E-2</v>
      </c>
      <c r="W4046">
        <v>4.2056379999999997E-2</v>
      </c>
      <c r="X4046">
        <v>0.99759410000000004</v>
      </c>
      <c r="Y4046">
        <v>-6.0581549999999998E-2</v>
      </c>
      <c r="Z4046">
        <v>4.5636750000000001E-4</v>
      </c>
      <c r="AA4046">
        <v>0.99816320000000003</v>
      </c>
      <c r="AB4046">
        <v>39</v>
      </c>
      <c r="AC4046">
        <v>27.8719999999999</v>
      </c>
      <c r="AD4046">
        <v>-1.1103905644130001</v>
      </c>
      <c r="AE4046">
        <v>2.2379999999999902</v>
      </c>
      <c r="AF4046">
        <v>-1.7147174855370599</v>
      </c>
      <c r="AG4046">
        <v>-1.1103905644130001</v>
      </c>
      <c r="AH4046">
        <v>27.864971888735401</v>
      </c>
      <c r="AI4046">
        <v>92.2776668455692</v>
      </c>
      <c r="AJ4046">
        <v>93.521350923737899</v>
      </c>
      <c r="AK4046">
        <v>27.939754501798301</v>
      </c>
      <c r="AL4046">
        <v>87.589636031020405</v>
      </c>
      <c r="AM4046">
        <v>86.837939079481202</v>
      </c>
      <c r="AN4046">
        <v>1.0000000057495699</v>
      </c>
    </row>
    <row r="4047" spans="1:40" x14ac:dyDescent="0.25">
      <c r="A4047" t="str">
        <f>"20190312154334666"</f>
        <v>20190312154334666</v>
      </c>
      <c r="B4047" t="str">
        <f>"1552376614661978"</f>
        <v>1552376614661978</v>
      </c>
      <c r="C4047" t="s">
        <v>40</v>
      </c>
      <c r="D4047">
        <v>4.7565439999999999</v>
      </c>
      <c r="E4047">
        <v>0.45734140000000001</v>
      </c>
      <c r="F4047" t="s">
        <v>50</v>
      </c>
      <c r="G4047">
        <v>-247.58170000000001</v>
      </c>
      <c r="H4047" s="1">
        <v>2.3725230000000002E-6</v>
      </c>
      <c r="I4047">
        <v>217.48240000000001</v>
      </c>
      <c r="J4047">
        <v>-274.98820000000001</v>
      </c>
      <c r="K4047">
        <v>1.110392</v>
      </c>
      <c r="L4047">
        <v>215.28100000000001</v>
      </c>
      <c r="M4047">
        <v>0.99972110000000003</v>
      </c>
      <c r="N4047">
        <v>0</v>
      </c>
      <c r="O4047">
        <v>1.8888889999999998E-2</v>
      </c>
      <c r="P4047">
        <v>0.99895750000000005</v>
      </c>
      <c r="Q4047">
        <v>2.7497600000000001E-2</v>
      </c>
      <c r="R4047">
        <v>-3.6440149999999998E-2</v>
      </c>
      <c r="S4047">
        <v>3.015228</v>
      </c>
      <c r="T4047">
        <v>-0.1196057</v>
      </c>
      <c r="U4047">
        <v>0.23832700000000001</v>
      </c>
      <c r="V4047">
        <v>5.5290119999999998E-2</v>
      </c>
      <c r="W4047">
        <v>4.16681E-2</v>
      </c>
      <c r="X4047">
        <v>0.9976005</v>
      </c>
      <c r="Y4047">
        <v>-5.9917199999999997E-2</v>
      </c>
      <c r="Z4047">
        <v>4.383468E-4</v>
      </c>
      <c r="AA4047">
        <v>0.99820330000000002</v>
      </c>
      <c r="AB4047">
        <v>39</v>
      </c>
      <c r="AC4047">
        <v>27.406499999999902</v>
      </c>
      <c r="AD4047">
        <v>-1.110389627477</v>
      </c>
      <c r="AE4047">
        <v>2.2014000000000302</v>
      </c>
      <c r="AF4047">
        <v>-1.68053585364517</v>
      </c>
      <c r="AG4047">
        <v>-1.110389627477</v>
      </c>
      <c r="AH4047">
        <v>27.3985089551228</v>
      </c>
      <c r="AI4047">
        <v>92.316428870431693</v>
      </c>
      <c r="AJ4047">
        <v>93.509940365682098</v>
      </c>
      <c r="AK4047">
        <v>27.472449087115301</v>
      </c>
      <c r="AL4047">
        <v>87.611902324106097</v>
      </c>
      <c r="AM4047">
        <v>86.827735286174601</v>
      </c>
      <c r="AN4047">
        <v>0.99999999276373697</v>
      </c>
    </row>
    <row r="4048" spans="1:40" x14ac:dyDescent="0.25">
      <c r="A4048" t="str">
        <f>"20190312154334689"</f>
        <v>20190312154334689</v>
      </c>
      <c r="B4048" t="str">
        <f>"1552376614682063"</f>
        <v>1552376614682063</v>
      </c>
      <c r="C4048" t="s">
        <v>40</v>
      </c>
      <c r="D4048">
        <v>4.7610219999999996</v>
      </c>
      <c r="E4048">
        <v>0.45728570000000002</v>
      </c>
      <c r="F4048" t="s">
        <v>50</v>
      </c>
      <c r="G4048">
        <v>-246.45830000000001</v>
      </c>
      <c r="H4048" s="1">
        <v>1.7720890000000001E-6</v>
      </c>
      <c r="I4048">
        <v>217.5428</v>
      </c>
      <c r="J4048">
        <v>-274.58530000000002</v>
      </c>
      <c r="K4048">
        <v>1.110393</v>
      </c>
      <c r="L4048">
        <v>215.28870000000001</v>
      </c>
      <c r="M4048">
        <v>0.9997182</v>
      </c>
      <c r="N4048">
        <v>0</v>
      </c>
      <c r="O4048">
        <v>1.9044809999999999E-2</v>
      </c>
      <c r="P4048">
        <v>0.99897939999999996</v>
      </c>
      <c r="Q4048">
        <v>2.720933E-2</v>
      </c>
      <c r="R4048">
        <v>-3.6052000000000001E-2</v>
      </c>
      <c r="S4048">
        <v>3.0150760000000001</v>
      </c>
      <c r="T4048">
        <v>-0.1173477</v>
      </c>
      <c r="U4048">
        <v>0.23902889999999999</v>
      </c>
      <c r="V4048">
        <v>5.5058389999999999E-2</v>
      </c>
      <c r="W4048">
        <v>4.1377480000000001E-2</v>
      </c>
      <c r="X4048">
        <v>0.9976254</v>
      </c>
      <c r="Y4048">
        <v>-5.9997670000000003E-2</v>
      </c>
      <c r="Z4048">
        <v>4.2560429999999999E-4</v>
      </c>
      <c r="AA4048">
        <v>0.99819840000000004</v>
      </c>
      <c r="AB4048">
        <v>39</v>
      </c>
      <c r="AC4048">
        <v>28.126999999999999</v>
      </c>
      <c r="AD4048">
        <v>-1.110391227911</v>
      </c>
      <c r="AE4048">
        <v>2.25409999999999</v>
      </c>
      <c r="AF4048">
        <v>-1.7153076918099099</v>
      </c>
      <c r="AG4048">
        <v>-1.110391227911</v>
      </c>
      <c r="AH4048">
        <v>28.121283649706601</v>
      </c>
      <c r="AI4048">
        <v>92.257004236775103</v>
      </c>
      <c r="AJ4048">
        <v>93.490533254357601</v>
      </c>
      <c r="AK4048">
        <v>28.195422381370001</v>
      </c>
      <c r="AL4048">
        <v>87.628567967685001</v>
      </c>
      <c r="AM4048">
        <v>86.841082472317794</v>
      </c>
      <c r="AN4048">
        <v>0.99999998044285099</v>
      </c>
    </row>
    <row r="4049" spans="1:40" x14ac:dyDescent="0.25">
      <c r="A4049" t="str">
        <f>"20190312154334712"</f>
        <v>20190312154334712</v>
      </c>
      <c r="B4049" t="str">
        <f>"1552376614701583"</f>
        <v>1552376614701583</v>
      </c>
      <c r="C4049" t="s">
        <v>40</v>
      </c>
      <c r="D4049">
        <v>4.7713749999999999</v>
      </c>
      <c r="E4049">
        <v>0.45723249999999999</v>
      </c>
      <c r="F4049" t="s">
        <v>50</v>
      </c>
      <c r="G4049">
        <v>-245.83160000000001</v>
      </c>
      <c r="H4049" s="1">
        <v>1.4368430000000001E-6</v>
      </c>
      <c r="I4049">
        <v>217.58240000000001</v>
      </c>
      <c r="J4049">
        <v>-274.19150000000002</v>
      </c>
      <c r="K4049">
        <v>1.1103860000000001</v>
      </c>
      <c r="L4049">
        <v>215.29640000000001</v>
      </c>
      <c r="M4049">
        <v>0.99971520000000003</v>
      </c>
      <c r="N4049">
        <v>0</v>
      </c>
      <c r="O4049">
        <v>1.9197760000000001E-2</v>
      </c>
      <c r="P4049">
        <v>0.99897219999999998</v>
      </c>
      <c r="Q4049">
        <v>2.7331939999999999E-2</v>
      </c>
      <c r="R4049">
        <v>-3.6161400000000003E-2</v>
      </c>
      <c r="S4049">
        <v>3.014923</v>
      </c>
      <c r="T4049">
        <v>-0.1164284</v>
      </c>
      <c r="U4049">
        <v>0.24049380000000001</v>
      </c>
      <c r="V4049">
        <v>5.53202E-2</v>
      </c>
      <c r="W4049">
        <v>4.1497529999999998E-2</v>
      </c>
      <c r="X4049">
        <v>0.99760590000000005</v>
      </c>
      <c r="Y4049">
        <v>-6.0331219999999998E-2</v>
      </c>
      <c r="Z4049">
        <v>4.2282209999999998E-4</v>
      </c>
      <c r="AA4049">
        <v>0.99817829999999996</v>
      </c>
      <c r="AB4049">
        <v>39</v>
      </c>
      <c r="AC4049">
        <v>28.3599</v>
      </c>
      <c r="AD4049">
        <v>-1.110384563157</v>
      </c>
      <c r="AE4049">
        <v>2.286</v>
      </c>
      <c r="AF4049">
        <v>-1.7384295701025501</v>
      </c>
      <c r="AG4049">
        <v>-1.110384563157</v>
      </c>
      <c r="AH4049">
        <v>28.355375172147799</v>
      </c>
      <c r="AI4049">
        <v>92.238334366277996</v>
      </c>
      <c r="AJ4049">
        <v>93.508335230519506</v>
      </c>
      <c r="AK4049">
        <v>28.43030763818</v>
      </c>
      <c r="AL4049">
        <v>87.621683625329098</v>
      </c>
      <c r="AM4049">
        <v>86.8260301226113</v>
      </c>
      <c r="AN4049">
        <v>0.999999950619474</v>
      </c>
    </row>
    <row r="4050" spans="1:40" x14ac:dyDescent="0.25">
      <c r="A4050" t="str">
        <f>"20190312154334733"</f>
        <v>20190312154334733</v>
      </c>
      <c r="B4050" t="str">
        <f>"1552376614722079"</f>
        <v>1552376614722079</v>
      </c>
      <c r="C4050" t="s">
        <v>40</v>
      </c>
      <c r="D4050">
        <v>4.7401080000000002</v>
      </c>
      <c r="E4050">
        <v>0.45736379999999999</v>
      </c>
      <c r="F4050" t="s">
        <v>50</v>
      </c>
      <c r="G4050">
        <v>-244.96449999999999</v>
      </c>
      <c r="H4050" s="1">
        <v>9.7346170000000006E-7</v>
      </c>
      <c r="I4050">
        <v>217.6267</v>
      </c>
      <c r="J4050">
        <v>-273.81459999999998</v>
      </c>
      <c r="K4050">
        <v>1.110387</v>
      </c>
      <c r="L4050">
        <v>215.3038</v>
      </c>
      <c r="M4050">
        <v>0.9997125</v>
      </c>
      <c r="N4050">
        <v>0</v>
      </c>
      <c r="O4050">
        <v>1.9343679999999999E-2</v>
      </c>
      <c r="P4050">
        <v>0.99898050000000005</v>
      </c>
      <c r="Q4050">
        <v>2.7127769999999999E-2</v>
      </c>
      <c r="R4050">
        <v>-3.6088269999999999E-2</v>
      </c>
      <c r="S4050">
        <v>3.0149539999999999</v>
      </c>
      <c r="T4050">
        <v>-0.1145433</v>
      </c>
      <c r="U4050">
        <v>0.24038699999999999</v>
      </c>
      <c r="V4050">
        <v>5.5392879999999999E-2</v>
      </c>
      <c r="W4050">
        <v>4.129124E-2</v>
      </c>
      <c r="X4050">
        <v>0.99761040000000001</v>
      </c>
      <c r="Y4050">
        <v>-6.0150809999999999E-2</v>
      </c>
      <c r="Z4050">
        <v>4.0702670000000002E-4</v>
      </c>
      <c r="AA4050">
        <v>0.9981892</v>
      </c>
      <c r="AB4050">
        <v>39</v>
      </c>
      <c r="AC4050">
        <v>28.850100000000001</v>
      </c>
      <c r="AD4050">
        <v>-1.1103860265383001</v>
      </c>
      <c r="AE4050">
        <v>2.3229000000000002</v>
      </c>
      <c r="AF4050">
        <v>-1.76174922778634</v>
      </c>
      <c r="AG4050">
        <v>-1.1103860265383001</v>
      </c>
      <c r="AH4050">
        <v>28.847181719097701</v>
      </c>
      <c r="AI4050">
        <v>92.200246168962195</v>
      </c>
      <c r="AJ4050">
        <v>93.494815585815203</v>
      </c>
      <c r="AK4050">
        <v>28.922251133066801</v>
      </c>
      <c r="AL4050">
        <v>87.633513248475097</v>
      </c>
      <c r="AM4050">
        <v>86.821882991610593</v>
      </c>
      <c r="AN4050">
        <v>0.99999992392179304</v>
      </c>
    </row>
    <row r="4051" spans="1:40" x14ac:dyDescent="0.25">
      <c r="A4051" t="str">
        <f>"20190312154334756"</f>
        <v>20190312154334756</v>
      </c>
      <c r="B4051" t="str">
        <f>"1552376614751359"</f>
        <v>1552376614751359</v>
      </c>
      <c r="C4051" t="s">
        <v>40</v>
      </c>
      <c r="D4051">
        <v>4.7522779999999996</v>
      </c>
      <c r="E4051">
        <v>0.45746389999999998</v>
      </c>
      <c r="F4051" t="s">
        <v>50</v>
      </c>
      <c r="G4051">
        <v>-244.71119999999999</v>
      </c>
      <c r="H4051" s="1">
        <v>8.3907639999999998E-7</v>
      </c>
      <c r="I4051">
        <v>217.61779999999999</v>
      </c>
      <c r="J4051">
        <v>-273.43259999999998</v>
      </c>
      <c r="K4051">
        <v>1.1103959999999999</v>
      </c>
      <c r="L4051">
        <v>215.31129999999999</v>
      </c>
      <c r="M4051">
        <v>0.99970959999999998</v>
      </c>
      <c r="N4051">
        <v>0</v>
      </c>
      <c r="O4051">
        <v>1.9491919999999999E-2</v>
      </c>
      <c r="P4051">
        <v>0.99897400000000003</v>
      </c>
      <c r="Q4051">
        <v>2.7486549999999998E-2</v>
      </c>
      <c r="R4051">
        <v>-3.5994659999999998E-2</v>
      </c>
      <c r="S4051">
        <v>3.0148320000000002</v>
      </c>
      <c r="T4051">
        <v>-0.1150254</v>
      </c>
      <c r="U4051">
        <v>0.2397156</v>
      </c>
      <c r="V4051">
        <v>5.5447139999999999E-2</v>
      </c>
      <c r="W4051">
        <v>4.1647610000000002E-2</v>
      </c>
      <c r="X4051">
        <v>0.99759260000000005</v>
      </c>
      <c r="Y4051">
        <v>-5.978522E-2</v>
      </c>
      <c r="Z4051">
        <v>3.9615499999999998E-4</v>
      </c>
      <c r="AA4051">
        <v>0.99821119999999997</v>
      </c>
      <c r="AB4051">
        <v>39</v>
      </c>
      <c r="AC4051">
        <v>28.7213999999999</v>
      </c>
      <c r="AD4051">
        <v>-1.1103951609236</v>
      </c>
      <c r="AE4051">
        <v>2.3065000000000002</v>
      </c>
      <c r="AF4051">
        <v>-1.7435808981410099</v>
      </c>
      <c r="AG4051">
        <v>-1.1103951609236</v>
      </c>
      <c r="AH4051">
        <v>28.7182557516415</v>
      </c>
      <c r="AI4051">
        <v>92.2101802256838</v>
      </c>
      <c r="AJ4051">
        <v>93.474352730071502</v>
      </c>
      <c r="AK4051">
        <v>28.792555725021298</v>
      </c>
      <c r="AL4051">
        <v>87.613077237657606</v>
      </c>
      <c r="AM4051">
        <v>86.818719617724696</v>
      </c>
      <c r="AN4051">
        <v>0.99999995216382398</v>
      </c>
    </row>
    <row r="4052" spans="1:40" x14ac:dyDescent="0.25">
      <c r="A4052" t="str">
        <f>"20190312154334778"</f>
        <v>20190312154334778</v>
      </c>
      <c r="B4052" t="str">
        <f>"1552376614771861"</f>
        <v>1552376614771861</v>
      </c>
      <c r="C4052" t="s">
        <v>40</v>
      </c>
      <c r="D4052">
        <v>4.7759589999999896</v>
      </c>
      <c r="E4052">
        <v>0.45748290000000003</v>
      </c>
      <c r="F4052" t="s">
        <v>50</v>
      </c>
      <c r="G4052">
        <v>-244.2071</v>
      </c>
      <c r="H4052" s="1">
        <v>5.7028729999999995E-7</v>
      </c>
      <c r="I4052">
        <v>217.62989999999999</v>
      </c>
      <c r="J4052">
        <v>-273.03500000000003</v>
      </c>
      <c r="K4052">
        <v>1.110395</v>
      </c>
      <c r="L4052">
        <v>215.3192</v>
      </c>
      <c r="M4052">
        <v>0.9997066</v>
      </c>
      <c r="N4052">
        <v>0</v>
      </c>
      <c r="O4052">
        <v>1.9646179999999999E-2</v>
      </c>
      <c r="P4052">
        <v>0.99898489999999995</v>
      </c>
      <c r="Q4052">
        <v>2.757745E-2</v>
      </c>
      <c r="R4052">
        <v>-3.5616790000000002E-2</v>
      </c>
      <c r="S4052">
        <v>3.0148929999999998</v>
      </c>
      <c r="T4052">
        <v>-0.1145481</v>
      </c>
      <c r="U4052">
        <v>0.23918149999999999</v>
      </c>
      <c r="V4052">
        <v>5.5223550000000003E-2</v>
      </c>
      <c r="W4052">
        <v>4.1736700000000002E-2</v>
      </c>
      <c r="X4052">
        <v>0.99760130000000002</v>
      </c>
      <c r="Y4052">
        <v>-5.9454460000000001E-2</v>
      </c>
      <c r="Z4052">
        <v>3.8238809999999998E-4</v>
      </c>
      <c r="AA4052">
        <v>0.99823090000000003</v>
      </c>
      <c r="AB4052">
        <v>39</v>
      </c>
      <c r="AC4052">
        <v>28.8279</v>
      </c>
      <c r="AD4052">
        <v>-1.1103944297127</v>
      </c>
      <c r="AE4052">
        <v>2.31069999999999</v>
      </c>
      <c r="AF4052">
        <v>-1.7412720386370599</v>
      </c>
      <c r="AG4052">
        <v>-1.1103944297127</v>
      </c>
      <c r="AH4052">
        <v>28.8252426729298</v>
      </c>
      <c r="AI4052">
        <v>92.202024170530095</v>
      </c>
      <c r="AJ4052">
        <v>93.456916238303904</v>
      </c>
      <c r="AK4052">
        <v>28.899128347674601</v>
      </c>
      <c r="AL4052">
        <v>87.607968364530905</v>
      </c>
      <c r="AM4052">
        <v>86.831549481771404</v>
      </c>
      <c r="AN4052">
        <v>0.99999997318159095</v>
      </c>
    </row>
    <row r="4053" spans="1:40" x14ac:dyDescent="0.25">
      <c r="A4053" t="str">
        <f>"20190312154334800"</f>
        <v>20190312154334800</v>
      </c>
      <c r="B4053" t="str">
        <f>"1552376614791938"</f>
        <v>1552376614791938</v>
      </c>
      <c r="C4053" t="s">
        <v>40</v>
      </c>
      <c r="D4053">
        <v>4.782216</v>
      </c>
      <c r="E4053">
        <v>0.45752999999999999</v>
      </c>
      <c r="F4053" t="s">
        <v>50</v>
      </c>
      <c r="G4053">
        <v>-243.88460000000001</v>
      </c>
      <c r="H4053" s="1">
        <v>3.981629E-7</v>
      </c>
      <c r="I4053">
        <v>217.64179999999999</v>
      </c>
      <c r="J4053">
        <v>-272.65589999999997</v>
      </c>
      <c r="K4053">
        <v>1.110393</v>
      </c>
      <c r="L4053">
        <v>215.32679999999999</v>
      </c>
      <c r="M4053">
        <v>0.99970380000000003</v>
      </c>
      <c r="N4053">
        <v>0</v>
      </c>
      <c r="O4053">
        <v>1.979305E-2</v>
      </c>
      <c r="P4053">
        <v>0.99899640000000001</v>
      </c>
      <c r="Q4053">
        <v>2.7425629999999999E-2</v>
      </c>
      <c r="R4053">
        <v>-3.5414429999999997E-2</v>
      </c>
      <c r="S4053">
        <v>3.0148009999999998</v>
      </c>
      <c r="T4053">
        <v>-0.1148397</v>
      </c>
      <c r="U4053">
        <v>0.2402039</v>
      </c>
      <c r="V4053">
        <v>5.5168050000000003E-2</v>
      </c>
      <c r="W4053">
        <v>4.158282E-2</v>
      </c>
      <c r="X4053">
        <v>0.99761080000000002</v>
      </c>
      <c r="Y4053">
        <v>-5.9646390000000001E-2</v>
      </c>
      <c r="Z4053">
        <v>3.8143520000000002E-4</v>
      </c>
      <c r="AA4053">
        <v>0.99821950000000004</v>
      </c>
      <c r="AB4053">
        <v>39</v>
      </c>
      <c r="AC4053">
        <v>28.771299999999901</v>
      </c>
      <c r="AD4053">
        <v>-1.1103926018371</v>
      </c>
      <c r="AE4053">
        <v>2.3149999999999902</v>
      </c>
      <c r="AF4053">
        <v>-1.7424388754507101</v>
      </c>
      <c r="AG4053">
        <v>-1.1103926018371</v>
      </c>
      <c r="AH4053">
        <v>28.768913000449299</v>
      </c>
      <c r="AI4053">
        <v>92.206306759987399</v>
      </c>
      <c r="AJ4053">
        <v>93.4659838032523</v>
      </c>
      <c r="AK4053">
        <v>28.843013368792001</v>
      </c>
      <c r="AL4053">
        <v>87.616792707965004</v>
      </c>
      <c r="AM4053">
        <v>86.834757396227801</v>
      </c>
      <c r="AN4053">
        <v>0.99999997646829697</v>
      </c>
    </row>
    <row r="4054" spans="1:40" x14ac:dyDescent="0.25">
      <c r="A4054" t="str">
        <f>"20190312154334823"</f>
        <v>20190312154334823</v>
      </c>
      <c r="B4054" t="str">
        <f>"1552376614811455"</f>
        <v>1552376614811455</v>
      </c>
      <c r="C4054" t="s">
        <v>40</v>
      </c>
      <c r="D4054">
        <v>4.828424</v>
      </c>
      <c r="E4054">
        <v>0.45751380000000003</v>
      </c>
      <c r="F4054" t="s">
        <v>50</v>
      </c>
      <c r="G4054">
        <v>-243.74299999999999</v>
      </c>
      <c r="H4054" s="1">
        <v>3.2316580000000001E-7</v>
      </c>
      <c r="I4054">
        <v>217.63329999999999</v>
      </c>
      <c r="J4054">
        <v>-272.26819999999998</v>
      </c>
      <c r="K4054">
        <v>1.110392</v>
      </c>
      <c r="L4054">
        <v>215.33459999999999</v>
      </c>
      <c r="M4054">
        <v>0.9997007</v>
      </c>
      <c r="N4054">
        <v>0</v>
      </c>
      <c r="O4054">
        <v>1.994344E-2</v>
      </c>
      <c r="P4054">
        <v>0.99902369999999996</v>
      </c>
      <c r="Q4054">
        <v>2.7062200000000002E-2</v>
      </c>
      <c r="R4054">
        <v>-3.4918409999999997E-2</v>
      </c>
      <c r="S4054">
        <v>3.0147089999999999</v>
      </c>
      <c r="T4054">
        <v>-0.1157789</v>
      </c>
      <c r="U4054">
        <v>0.24049380000000001</v>
      </c>
      <c r="V4054">
        <v>5.4823030000000002E-2</v>
      </c>
      <c r="W4054">
        <v>4.1217869999999997E-2</v>
      </c>
      <c r="X4054">
        <v>0.997645</v>
      </c>
      <c r="Y4054">
        <v>-5.9593699999999999E-2</v>
      </c>
      <c r="Z4054">
        <v>3.777912E-4</v>
      </c>
      <c r="AA4054">
        <v>0.99822259999999996</v>
      </c>
      <c r="AB4054">
        <v>39</v>
      </c>
      <c r="AC4054">
        <v>28.525199999999899</v>
      </c>
      <c r="AD4054">
        <v>-1.1103916768341999</v>
      </c>
      <c r="AE4054">
        <v>2.29869999999999</v>
      </c>
      <c r="AF4054">
        <v>-1.7266954296474899</v>
      </c>
      <c r="AG4054">
        <v>-1.1103916768341999</v>
      </c>
      <c r="AH4054">
        <v>28.522433238784402</v>
      </c>
      <c r="AI4054">
        <v>92.2253556976098</v>
      </c>
      <c r="AJ4054">
        <v>93.464352667463103</v>
      </c>
      <c r="AK4054">
        <v>28.596217313547999</v>
      </c>
      <c r="AL4054">
        <v>87.637720829543198</v>
      </c>
      <c r="AM4054">
        <v>86.8546205050108</v>
      </c>
      <c r="AN4054">
        <v>1.00000001172535</v>
      </c>
    </row>
    <row r="4055" spans="1:40" x14ac:dyDescent="0.25">
      <c r="A4055" t="str">
        <f>"20190312154334845"</f>
        <v>20190312154334845</v>
      </c>
      <c r="B4055" t="str">
        <f>"1552376614841711"</f>
        <v>1552376614841711</v>
      </c>
      <c r="C4055" t="s">
        <v>40</v>
      </c>
      <c r="D4055">
        <v>4.8141669999999896</v>
      </c>
      <c r="E4055">
        <v>0.45749770000000001</v>
      </c>
      <c r="F4055" t="s">
        <v>50</v>
      </c>
      <c r="G4055">
        <v>-243.77340000000001</v>
      </c>
      <c r="H4055" s="1">
        <v>3.3979310000000002E-7</v>
      </c>
      <c r="I4055">
        <v>217.62289999999999</v>
      </c>
      <c r="J4055">
        <v>-271.875</v>
      </c>
      <c r="K4055">
        <v>1.1104000000000001</v>
      </c>
      <c r="L4055">
        <v>215.3426</v>
      </c>
      <c r="M4055">
        <v>0.99969770000000002</v>
      </c>
      <c r="N4055">
        <v>0</v>
      </c>
      <c r="O4055">
        <v>2.0095970000000001E-2</v>
      </c>
      <c r="P4055">
        <v>0.99903730000000002</v>
      </c>
      <c r="Q4055">
        <v>2.7186419999999999E-2</v>
      </c>
      <c r="R4055">
        <v>-3.4432129999999998E-2</v>
      </c>
      <c r="S4055">
        <v>3.0145569999999999</v>
      </c>
      <c r="T4055">
        <v>-0.117471699999999</v>
      </c>
      <c r="U4055">
        <v>0.24208070000000001</v>
      </c>
      <c r="V4055">
        <v>5.4489250000000003E-2</v>
      </c>
      <c r="W4055">
        <v>4.1339840000000003E-2</v>
      </c>
      <c r="X4055">
        <v>0.9976583</v>
      </c>
      <c r="Y4055">
        <v>-5.9966499999999999E-2</v>
      </c>
      <c r="Z4055">
        <v>3.84643E-4</v>
      </c>
      <c r="AA4055">
        <v>0.99820030000000004</v>
      </c>
      <c r="AB4055">
        <v>39</v>
      </c>
      <c r="AC4055">
        <v>28.101599999999902</v>
      </c>
      <c r="AD4055">
        <v>-1.1103996602069</v>
      </c>
      <c r="AE4055">
        <v>2.28029999999998</v>
      </c>
      <c r="AF4055">
        <v>-1.7123976953522499</v>
      </c>
      <c r="AG4055">
        <v>-1.1103996602069</v>
      </c>
      <c r="AH4055">
        <v>28.098169614323801</v>
      </c>
      <c r="AI4055">
        <v>92.258883418651493</v>
      </c>
      <c r="AJ4055">
        <v>93.487485656500098</v>
      </c>
      <c r="AK4055">
        <v>28.172192476762302</v>
      </c>
      <c r="AL4055">
        <v>87.6307266451213</v>
      </c>
      <c r="AM4055">
        <v>86.873774065258601</v>
      </c>
      <c r="AN4055">
        <v>1.0000000721478299</v>
      </c>
    </row>
    <row r="4056" spans="1:40" x14ac:dyDescent="0.25">
      <c r="A4056" t="str">
        <f>"20190312154334867"</f>
        <v>20190312154334867</v>
      </c>
      <c r="B4056" t="str">
        <f>"1552376614861230"</f>
        <v>1552376614861230</v>
      </c>
      <c r="C4056" t="s">
        <v>40</v>
      </c>
      <c r="D4056">
        <v>4.8256309999999996</v>
      </c>
      <c r="E4056">
        <v>0.45754030000000001</v>
      </c>
      <c r="F4056" t="s">
        <v>50</v>
      </c>
      <c r="G4056">
        <v>-243.405</v>
      </c>
      <c r="H4056" s="1">
        <v>1.429083E-7</v>
      </c>
      <c r="I4056">
        <v>217.6422</v>
      </c>
      <c r="J4056">
        <v>-271.49119999999999</v>
      </c>
      <c r="K4056">
        <v>1.1104039999999999</v>
      </c>
      <c r="L4056">
        <v>215.35050000000001</v>
      </c>
      <c r="M4056">
        <v>0.99969479999999999</v>
      </c>
      <c r="N4056">
        <v>0</v>
      </c>
      <c r="O4056">
        <v>2.0245050000000001E-2</v>
      </c>
      <c r="P4056">
        <v>0.99906349999999999</v>
      </c>
      <c r="Q4056">
        <v>2.6739389999999998E-2</v>
      </c>
      <c r="R4056">
        <v>-3.4021589999999997E-2</v>
      </c>
      <c r="S4056">
        <v>3.0144959999999998</v>
      </c>
      <c r="T4056">
        <v>-0.1175725</v>
      </c>
      <c r="U4056">
        <v>0.24348449999999999</v>
      </c>
      <c r="V4056">
        <v>5.4228390000000001E-2</v>
      </c>
      <c r="W4056">
        <v>4.0890570000000001E-2</v>
      </c>
      <c r="X4056">
        <v>0.99769099999999999</v>
      </c>
      <c r="Y4056">
        <v>-6.0280939999999998E-2</v>
      </c>
      <c r="Z4056">
        <v>3.8529429999999999E-4</v>
      </c>
      <c r="AA4056">
        <v>0.9981814</v>
      </c>
      <c r="AB4056">
        <v>39</v>
      </c>
      <c r="AC4056">
        <v>28.086199999999899</v>
      </c>
      <c r="AD4056">
        <v>-1.1104038570917001</v>
      </c>
      <c r="AE4056">
        <v>2.2916999999999899</v>
      </c>
      <c r="AF4056">
        <v>-1.71989617522459</v>
      </c>
      <c r="AG4056">
        <v>-1.1104038570917001</v>
      </c>
      <c r="AH4056">
        <v>28.083237254021299</v>
      </c>
      <c r="AI4056">
        <v>92.260050650579601</v>
      </c>
      <c r="AJ4056">
        <v>93.504577011711604</v>
      </c>
      <c r="AK4056">
        <v>28.157756555610899</v>
      </c>
      <c r="AL4056">
        <v>87.656489637820698</v>
      </c>
      <c r="AM4056">
        <v>86.888812753858403</v>
      </c>
      <c r="AN4056">
        <v>1.0000000442389501</v>
      </c>
    </row>
    <row r="4057" spans="1:40" x14ac:dyDescent="0.25">
      <c r="A4057" t="str">
        <f>"20190312154334891"</f>
        <v>20190312154334891</v>
      </c>
      <c r="B4057" t="str">
        <f>"1552376614881605"</f>
        <v>1552376614881605</v>
      </c>
      <c r="C4057" t="s">
        <v>40</v>
      </c>
      <c r="D4057">
        <v>4.8647289999999996</v>
      </c>
      <c r="E4057">
        <v>0.45754610000000001</v>
      </c>
      <c r="F4057" t="s">
        <v>50</v>
      </c>
      <c r="G4057">
        <v>-243.35740000000001</v>
      </c>
      <c r="H4057" s="1">
        <v>1.17827E-7</v>
      </c>
      <c r="I4057">
        <v>217.63669999999999</v>
      </c>
      <c r="J4057">
        <v>-271.09120000000001</v>
      </c>
      <c r="K4057">
        <v>1.1104039999999999</v>
      </c>
      <c r="L4057">
        <v>215.3587</v>
      </c>
      <c r="M4057">
        <v>0.99969180000000002</v>
      </c>
      <c r="N4057">
        <v>0</v>
      </c>
      <c r="O4057">
        <v>2.0400560000000002E-2</v>
      </c>
      <c r="P4057">
        <v>0.99907670000000004</v>
      </c>
      <c r="Q4057">
        <v>2.675636E-2</v>
      </c>
      <c r="R4057">
        <v>-3.3621239999999997E-2</v>
      </c>
      <c r="S4057">
        <v>3.0143430000000002</v>
      </c>
      <c r="T4057">
        <v>-0.1189721</v>
      </c>
      <c r="U4057">
        <v>0.24494930000000001</v>
      </c>
      <c r="V4057">
        <v>5.3983789999999997E-2</v>
      </c>
      <c r="W4057">
        <v>4.0905329999999997E-2</v>
      </c>
      <c r="X4057">
        <v>0.99770360000000002</v>
      </c>
      <c r="Y4057">
        <v>-6.0610770000000001E-2</v>
      </c>
      <c r="Z4057">
        <v>3.9026330000000001E-4</v>
      </c>
      <c r="AA4057">
        <v>0.99816139999999998</v>
      </c>
      <c r="AB4057">
        <v>39</v>
      </c>
      <c r="AC4057">
        <v>27.733799999999999</v>
      </c>
      <c r="AD4057">
        <v>-1.110403882173</v>
      </c>
      <c r="AE4057">
        <v>2.2779999999999898</v>
      </c>
      <c r="AF4057">
        <v>-1.70896298120615</v>
      </c>
      <c r="AG4057">
        <v>-1.110403882173</v>
      </c>
      <c r="AH4057">
        <v>27.730349363153199</v>
      </c>
      <c r="AI4057">
        <v>92.288727129774898</v>
      </c>
      <c r="AJ4057">
        <v>93.526558017069107</v>
      </c>
      <c r="AK4057">
        <v>27.805140299146199</v>
      </c>
      <c r="AL4057">
        <v>87.655643103939795</v>
      </c>
      <c r="AM4057">
        <v>86.902857582577994</v>
      </c>
      <c r="AN4057">
        <v>0.99999998452906602</v>
      </c>
    </row>
    <row r="4058" spans="1:40" x14ac:dyDescent="0.25">
      <c r="A4058" t="str">
        <f>"20190312154334912"</f>
        <v>20190312154334912</v>
      </c>
      <c r="B4058" t="str">
        <f>"1552376614901125"</f>
        <v>1552376614901125</v>
      </c>
      <c r="C4058" t="s">
        <v>40</v>
      </c>
      <c r="D4058">
        <v>5.1394120000000001</v>
      </c>
      <c r="E4058">
        <v>0.47709560000000001</v>
      </c>
      <c r="F4058" t="s">
        <v>50</v>
      </c>
      <c r="G4058">
        <v>-243.10910000000001</v>
      </c>
      <c r="H4058" s="1">
        <v>-1.4484119999999999E-8</v>
      </c>
      <c r="I4058">
        <v>217.64060000000001</v>
      </c>
      <c r="J4058">
        <v>-270.7115</v>
      </c>
      <c r="K4058">
        <v>1.110401</v>
      </c>
      <c r="L4058">
        <v>215.36670000000001</v>
      </c>
      <c r="M4058">
        <v>0.99968869999999999</v>
      </c>
      <c r="N4058">
        <v>0</v>
      </c>
      <c r="O4058">
        <v>2.054856E-2</v>
      </c>
      <c r="P4058">
        <v>0.9991025</v>
      </c>
      <c r="Q4058">
        <v>2.6439150000000002E-2</v>
      </c>
      <c r="R4058">
        <v>-3.3098099999999998E-2</v>
      </c>
      <c r="S4058">
        <v>3.0142519999999999</v>
      </c>
      <c r="T4058">
        <v>-0.1196132</v>
      </c>
      <c r="U4058">
        <v>0.24580379999999999</v>
      </c>
      <c r="V4058">
        <v>5.3609110000000001E-2</v>
      </c>
      <c r="W4058">
        <v>4.0586589999999999E-2</v>
      </c>
      <c r="X4058">
        <v>0.99773679999999998</v>
      </c>
      <c r="Y4058">
        <v>-6.0746210000000002E-2</v>
      </c>
      <c r="Z4058">
        <v>3.891961E-4</v>
      </c>
      <c r="AA4058">
        <v>0.99815319999999996</v>
      </c>
      <c r="AB4058">
        <v>39</v>
      </c>
      <c r="AC4058">
        <v>27.6023999999999</v>
      </c>
      <c r="AD4058">
        <v>-1.1104010144841201</v>
      </c>
      <c r="AE4058">
        <v>2.27389999999999</v>
      </c>
      <c r="AF4058">
        <v>-1.7034352787661</v>
      </c>
      <c r="AG4058">
        <v>-1.1104010144841201</v>
      </c>
      <c r="AH4058">
        <v>27.598937795998999</v>
      </c>
      <c r="AI4058">
        <v>92.299594088001797</v>
      </c>
      <c r="AJ4058">
        <v>93.531875048772903</v>
      </c>
      <c r="AK4058">
        <v>27.673742963851701</v>
      </c>
      <c r="AL4058">
        <v>87.673920694526899</v>
      </c>
      <c r="AM4058">
        <v>86.924414347530302</v>
      </c>
      <c r="AN4058">
        <v>0.99999996501852895</v>
      </c>
    </row>
    <row r="4059" spans="1:40" x14ac:dyDescent="0.25">
      <c r="A4059" t="str">
        <f>"20190312154334935"</f>
        <v>20190312154334935</v>
      </c>
      <c r="B4059" t="str">
        <f>"1552376614931381"</f>
        <v>1552376614931381</v>
      </c>
      <c r="C4059" t="s">
        <v>40</v>
      </c>
      <c r="D4059">
        <v>5.0621910000000003</v>
      </c>
      <c r="E4059">
        <v>0.494616</v>
      </c>
      <c r="F4059" t="s">
        <v>50</v>
      </c>
      <c r="G4059">
        <v>-249.27279999999999</v>
      </c>
      <c r="H4059" s="1">
        <v>3.3361070000000001E-6</v>
      </c>
      <c r="I4059">
        <v>216.02629999999999</v>
      </c>
      <c r="J4059">
        <v>-270.32679999999999</v>
      </c>
      <c r="K4059">
        <v>1.1103989999999999</v>
      </c>
      <c r="L4059">
        <v>215.37469999999999</v>
      </c>
      <c r="M4059">
        <v>0.99968559999999995</v>
      </c>
      <c r="N4059">
        <v>0</v>
      </c>
      <c r="O4059">
        <v>2.0697989999999999E-2</v>
      </c>
      <c r="P4059">
        <v>0.99911850000000002</v>
      </c>
      <c r="Q4059">
        <v>2.6068480000000002E-2</v>
      </c>
      <c r="R4059">
        <v>-3.2906329999999998E-2</v>
      </c>
      <c r="S4059">
        <v>3.0098880000000001</v>
      </c>
      <c r="T4059">
        <v>-0.1558948</v>
      </c>
      <c r="U4059">
        <v>9.2605590000000002E-2</v>
      </c>
      <c r="V4059">
        <v>5.3567190000000001E-2</v>
      </c>
      <c r="W4059">
        <v>4.0214010000000001E-2</v>
      </c>
      <c r="X4059">
        <v>0.99775420000000004</v>
      </c>
      <c r="Y4059">
        <v>-1.0069939999999999E-2</v>
      </c>
      <c r="Z4059">
        <v>-8.1048389999999995E-4</v>
      </c>
      <c r="AA4059">
        <v>0.99994899999999998</v>
      </c>
      <c r="AB4059">
        <v>39</v>
      </c>
      <c r="AC4059">
        <v>21.053999999999998</v>
      </c>
      <c r="AD4059">
        <v>-1.1103956638929999</v>
      </c>
      <c r="AE4059">
        <v>0.65160000000000196</v>
      </c>
      <c r="AF4059">
        <v>-0.21504367092756699</v>
      </c>
      <c r="AG4059">
        <v>-1.1103956638929999</v>
      </c>
      <c r="AH4059">
        <v>21.004607558345601</v>
      </c>
      <c r="AI4059">
        <v>93.025931023850703</v>
      </c>
      <c r="AJ4059">
        <v>90.586569602347495</v>
      </c>
      <c r="AK4059">
        <v>21.0350365103298</v>
      </c>
      <c r="AL4059">
        <v>87.695285542616602</v>
      </c>
      <c r="AM4059">
        <v>86.926868201430693</v>
      </c>
      <c r="AN4059">
        <v>1.0000000270311999</v>
      </c>
    </row>
    <row r="4060" spans="1:40" x14ac:dyDescent="0.25">
      <c r="A4060" t="str">
        <f>"20190312154334956"</f>
        <v>20190312154334956</v>
      </c>
      <c r="B4060" t="str">
        <f>"1552376614951878"</f>
        <v>1552376614951878</v>
      </c>
      <c r="C4060" t="s">
        <v>40</v>
      </c>
      <c r="D4060">
        <v>5.0048190000000004</v>
      </c>
      <c r="E4060">
        <v>0.49834349999999999</v>
      </c>
      <c r="F4060" t="s">
        <v>50</v>
      </c>
      <c r="G4060">
        <v>-251.81540000000001</v>
      </c>
      <c r="H4060" s="1">
        <v>-5.9157349999999999E-7</v>
      </c>
      <c r="I4060">
        <v>215.09350000000001</v>
      </c>
      <c r="J4060">
        <v>-269.94889999999998</v>
      </c>
      <c r="K4060">
        <v>1.11039</v>
      </c>
      <c r="L4060">
        <v>215.3827</v>
      </c>
      <c r="M4060">
        <v>0.99968259999999998</v>
      </c>
      <c r="N4060">
        <v>0</v>
      </c>
      <c r="O4060">
        <v>2.0844809999999998E-2</v>
      </c>
      <c r="P4060">
        <v>0.99912990000000002</v>
      </c>
      <c r="Q4060">
        <v>2.6333479999999999E-2</v>
      </c>
      <c r="R4060">
        <v>-3.2345949999999998E-2</v>
      </c>
      <c r="S4060">
        <v>3.0058590000000001</v>
      </c>
      <c r="T4060">
        <v>-0.18030570000000001</v>
      </c>
      <c r="U4060">
        <v>-4.5669559999999998E-2</v>
      </c>
      <c r="V4060">
        <v>5.315363E-2</v>
      </c>
      <c r="W4060">
        <v>4.0476529999999997E-2</v>
      </c>
      <c r="X4060">
        <v>0.99776569999999998</v>
      </c>
      <c r="Y4060">
        <v>3.5930910000000003E-2</v>
      </c>
      <c r="Z4060">
        <v>-2.325906E-3</v>
      </c>
      <c r="AA4060">
        <v>0.99935160000000001</v>
      </c>
      <c r="AB4060">
        <v>39</v>
      </c>
      <c r="AC4060">
        <v>18.133499999999898</v>
      </c>
      <c r="AD4060">
        <v>-1.1103905915735</v>
      </c>
      <c r="AE4060">
        <v>-0.28919999999999302</v>
      </c>
      <c r="AF4060">
        <v>0.66467271208969703</v>
      </c>
      <c r="AG4060">
        <v>-1.1103905915735</v>
      </c>
      <c r="AH4060">
        <v>18.055844802826702</v>
      </c>
      <c r="AI4060">
        <v>93.516743308751401</v>
      </c>
      <c r="AJ4060">
        <v>87.891776699507005</v>
      </c>
      <c r="AK4060">
        <v>18.102162539978899</v>
      </c>
      <c r="AL4060">
        <v>87.6802319935573</v>
      </c>
      <c r="AM4060">
        <v>86.950584127964305</v>
      </c>
      <c r="AN4060">
        <v>1.00000002497975</v>
      </c>
    </row>
    <row r="4061" spans="1:40" x14ac:dyDescent="0.25">
      <c r="A4061" t="str">
        <f>"20190312154334980"</f>
        <v>20190312154334980</v>
      </c>
      <c r="B4061" t="str">
        <f>"1552376614971404"</f>
        <v>1552376614971404</v>
      </c>
      <c r="C4061" t="s">
        <v>40</v>
      </c>
      <c r="D4061">
        <v>5.0075609999999999</v>
      </c>
      <c r="E4061">
        <v>0.50033850000000002</v>
      </c>
      <c r="F4061" t="s">
        <v>50</v>
      </c>
      <c r="G4061">
        <v>-251.97649999999999</v>
      </c>
      <c r="H4061" s="1">
        <v>-4.9928870000000002E-7</v>
      </c>
      <c r="I4061">
        <v>214.94319999999999</v>
      </c>
      <c r="J4061">
        <v>-269.55189999999999</v>
      </c>
      <c r="K4061">
        <v>1.1103860000000001</v>
      </c>
      <c r="L4061">
        <v>215.39109999999999</v>
      </c>
      <c r="M4061">
        <v>0.99967930000000005</v>
      </c>
      <c r="N4061">
        <v>0</v>
      </c>
      <c r="O4061">
        <v>2.099931E-2</v>
      </c>
      <c r="P4061">
        <v>0.99914919999999996</v>
      </c>
      <c r="Q4061">
        <v>2.6742019999999998E-2</v>
      </c>
      <c r="R4061">
        <v>-3.1399379999999998E-2</v>
      </c>
      <c r="S4061">
        <v>3.0051570000000001</v>
      </c>
      <c r="T4061">
        <v>-0.18566830000000001</v>
      </c>
      <c r="U4061">
        <v>-7.3486330000000002E-2</v>
      </c>
      <c r="V4061">
        <v>5.2361860000000003E-2</v>
      </c>
      <c r="W4061">
        <v>4.0882460000000002E-2</v>
      </c>
      <c r="X4061">
        <v>0.99779099999999998</v>
      </c>
      <c r="Y4061">
        <v>4.5309469999999998E-2</v>
      </c>
      <c r="Z4061">
        <v>-2.6942590000000001E-3</v>
      </c>
      <c r="AA4061">
        <v>0.99896940000000001</v>
      </c>
      <c r="AB4061">
        <v>39</v>
      </c>
      <c r="AC4061">
        <v>17.575399999999998</v>
      </c>
      <c r="AD4061">
        <v>-1.1103864992887</v>
      </c>
      <c r="AE4061">
        <v>-0.44790000000000402</v>
      </c>
      <c r="AF4061">
        <v>0.813663815211222</v>
      </c>
      <c r="AG4061">
        <v>-1.1103864992887</v>
      </c>
      <c r="AH4061">
        <v>17.492341491699701</v>
      </c>
      <c r="AI4061">
        <v>93.628260549542006</v>
      </c>
      <c r="AJ4061">
        <v>87.336781765496397</v>
      </c>
      <c r="AK4061">
        <v>17.546424645614501</v>
      </c>
      <c r="AL4061">
        <v>87.656954614716796</v>
      </c>
      <c r="AM4061">
        <v>86.996000059019096</v>
      </c>
      <c r="AN4061">
        <v>1.00000000979965</v>
      </c>
    </row>
    <row r="4062" spans="1:40" x14ac:dyDescent="0.25">
      <c r="A4062" t="str">
        <f>"20190312154335002"</f>
        <v>20190312154335002</v>
      </c>
      <c r="B4062" t="str">
        <f>"1552376614991424"</f>
        <v>1552376614991424</v>
      </c>
      <c r="C4062" t="s">
        <v>40</v>
      </c>
      <c r="D4062">
        <v>5.0430210000000004</v>
      </c>
      <c r="E4062">
        <v>0.50160590000000005</v>
      </c>
      <c r="F4062" t="s">
        <v>50</v>
      </c>
      <c r="G4062">
        <v>-251.7089</v>
      </c>
      <c r="H4062" s="1">
        <v>-6.3883369999999903E-7</v>
      </c>
      <c r="I4062">
        <v>214.8775</v>
      </c>
      <c r="J4062">
        <v>-269.16480000000001</v>
      </c>
      <c r="K4062">
        <v>1.110387</v>
      </c>
      <c r="L4062">
        <v>215.39940000000001</v>
      </c>
      <c r="M4062">
        <v>0.99967629999999996</v>
      </c>
      <c r="N4062">
        <v>0</v>
      </c>
      <c r="O4062">
        <v>2.1149580000000001E-2</v>
      </c>
      <c r="P4062">
        <v>0.99915670000000001</v>
      </c>
      <c r="Q4062">
        <v>2.7331479999999998E-2</v>
      </c>
      <c r="R4062">
        <v>-3.064743E-2</v>
      </c>
      <c r="S4062">
        <v>3.0048520000000001</v>
      </c>
      <c r="T4062">
        <v>-0.18699470000000001</v>
      </c>
      <c r="U4062">
        <v>-8.6502079999999995E-2</v>
      </c>
      <c r="V4062">
        <v>5.1760170000000001E-2</v>
      </c>
      <c r="W4062">
        <v>4.1469440000000003E-2</v>
      </c>
      <c r="X4062">
        <v>0.99779810000000002</v>
      </c>
      <c r="Y4062">
        <v>4.9774930000000002E-2</v>
      </c>
      <c r="Z4062">
        <v>-2.8617249999999999E-3</v>
      </c>
      <c r="AA4062">
        <v>0.99875630000000004</v>
      </c>
      <c r="AB4062">
        <v>39</v>
      </c>
      <c r="AC4062">
        <v>17.4559</v>
      </c>
      <c r="AD4062">
        <v>-1.1103876388337</v>
      </c>
      <c r="AE4062">
        <v>-0.52190000000001602</v>
      </c>
      <c r="AF4062">
        <v>0.88741750959379895</v>
      </c>
      <c r="AG4062">
        <v>-1.1103876388337</v>
      </c>
      <c r="AH4062">
        <v>17.3707301693502</v>
      </c>
      <c r="AI4062">
        <v>93.652786067261999</v>
      </c>
      <c r="AJ4062">
        <v>87.075476199274604</v>
      </c>
      <c r="AK4062">
        <v>17.4287904675334</v>
      </c>
      <c r="AL4062">
        <v>87.6232944228571</v>
      </c>
      <c r="AM4062">
        <v>87.030477966373098</v>
      </c>
      <c r="AN4062">
        <v>0.99999993900797401</v>
      </c>
    </row>
    <row r="4063" spans="1:40" x14ac:dyDescent="0.25">
      <c r="A4063" t="str">
        <f>"20190312154335023"</f>
        <v>20190312154335023</v>
      </c>
      <c r="B4063" t="str">
        <f>"1552376615011920"</f>
        <v>1552376615011920</v>
      </c>
      <c r="C4063" t="s">
        <v>40</v>
      </c>
      <c r="D4063">
        <v>5.0450660000000003</v>
      </c>
      <c r="E4063">
        <v>0.50253499999999995</v>
      </c>
      <c r="F4063" t="s">
        <v>50</v>
      </c>
      <c r="G4063">
        <v>-251.19370000000001</v>
      </c>
      <c r="H4063" s="1">
        <v>-9.111034E-7</v>
      </c>
      <c r="I4063">
        <v>214.8349</v>
      </c>
      <c r="J4063">
        <v>-268.79590000000002</v>
      </c>
      <c r="K4063">
        <v>1.1104000000000001</v>
      </c>
      <c r="L4063">
        <v>215.40729999999999</v>
      </c>
      <c r="M4063">
        <v>0.99967329999999999</v>
      </c>
      <c r="N4063">
        <v>0</v>
      </c>
      <c r="O4063">
        <v>2.1293059999999999E-2</v>
      </c>
      <c r="P4063">
        <v>0.99914619999999998</v>
      </c>
      <c r="Q4063">
        <v>2.8223479999999999E-2</v>
      </c>
      <c r="R4063">
        <v>-3.0178770000000001E-2</v>
      </c>
      <c r="S4063">
        <v>3.0047609999999998</v>
      </c>
      <c r="T4063">
        <v>-0.18565670000000001</v>
      </c>
      <c r="U4063">
        <v>-9.4390870000000002E-2</v>
      </c>
      <c r="V4063">
        <v>5.1434260000000002E-2</v>
      </c>
      <c r="W4063">
        <v>4.2358899999999998E-2</v>
      </c>
      <c r="X4063">
        <v>0.99777760000000004</v>
      </c>
      <c r="Y4063">
        <v>5.2535169999999999E-2</v>
      </c>
      <c r="Z4063">
        <v>-2.9352979999999998E-3</v>
      </c>
      <c r="AA4063">
        <v>0.99861480000000002</v>
      </c>
      <c r="AB4063">
        <v>39</v>
      </c>
      <c r="AC4063">
        <v>17.6022</v>
      </c>
      <c r="AD4063">
        <v>-1.1104009111033999</v>
      </c>
      <c r="AE4063">
        <v>-0.57239999999998703</v>
      </c>
      <c r="AF4063">
        <v>0.94336224542453895</v>
      </c>
      <c r="AG4063">
        <v>-1.1104009111033999</v>
      </c>
      <c r="AH4063">
        <v>17.5163866354678</v>
      </c>
      <c r="AI4063">
        <v>93.622012487176306</v>
      </c>
      <c r="AJ4063">
        <v>86.917257554759004</v>
      </c>
      <c r="AK4063">
        <v>17.576880362358501</v>
      </c>
      <c r="AL4063">
        <v>87.572287314672593</v>
      </c>
      <c r="AM4063">
        <v>87.049082011240301</v>
      </c>
      <c r="AN4063">
        <v>0.99999994928635705</v>
      </c>
    </row>
    <row r="4064" spans="1:40" x14ac:dyDescent="0.25">
      <c r="A4064" t="str">
        <f>"20190312154335046"</f>
        <v>20190312154335046</v>
      </c>
      <c r="B4064" t="str">
        <f>"1552376615041199"</f>
        <v>1552376615041199</v>
      </c>
      <c r="C4064" t="s">
        <v>40</v>
      </c>
      <c r="D4064">
        <v>4.981331</v>
      </c>
      <c r="E4064">
        <v>0.50376430000000005</v>
      </c>
      <c r="F4064" t="s">
        <v>50</v>
      </c>
      <c r="G4064">
        <v>-250.64080000000001</v>
      </c>
      <c r="H4064" s="1">
        <v>-1.203968E-6</v>
      </c>
      <c r="I4064">
        <v>214.8031</v>
      </c>
      <c r="J4064">
        <v>-268.411</v>
      </c>
      <c r="K4064">
        <v>1.110406</v>
      </c>
      <c r="L4064">
        <v>215.41569999999999</v>
      </c>
      <c r="M4064">
        <v>0.99967019999999995</v>
      </c>
      <c r="N4064">
        <v>0</v>
      </c>
      <c r="O4064">
        <v>2.1442780000000002E-2</v>
      </c>
      <c r="P4064">
        <v>0.99915449999999995</v>
      </c>
      <c r="Q4064">
        <v>2.8131030000000001E-2</v>
      </c>
      <c r="R4064">
        <v>-2.9990840000000001E-2</v>
      </c>
      <c r="S4064">
        <v>3.0047299999999999</v>
      </c>
      <c r="T4064">
        <v>-0.18377450000000001</v>
      </c>
      <c r="U4064">
        <v>-0.1000061</v>
      </c>
      <c r="V4064">
        <v>5.1396120000000003E-2</v>
      </c>
      <c r="W4064">
        <v>4.2264089999999997E-2</v>
      </c>
      <c r="X4064">
        <v>0.99778370000000005</v>
      </c>
      <c r="Y4064">
        <v>5.4548010000000001E-2</v>
      </c>
      <c r="Z4064">
        <v>-2.9761710000000001E-3</v>
      </c>
      <c r="AA4064">
        <v>0.99850669999999997</v>
      </c>
      <c r="AB4064">
        <v>39</v>
      </c>
      <c r="AC4064">
        <v>17.7701999999999</v>
      </c>
      <c r="AD4064">
        <v>-1.110407203968</v>
      </c>
      <c r="AE4064">
        <v>-0.61259999999998604</v>
      </c>
      <c r="AF4064">
        <v>0.98967991567742097</v>
      </c>
      <c r="AG4064">
        <v>-1.110407203968</v>
      </c>
      <c r="AH4064">
        <v>17.684008697889499</v>
      </c>
      <c r="AI4064">
        <v>93.587377693584401</v>
      </c>
      <c r="AJ4064">
        <v>86.796801343718599</v>
      </c>
      <c r="AK4064">
        <v>17.7464541281111</v>
      </c>
      <c r="AL4064">
        <v>87.577724673032506</v>
      </c>
      <c r="AM4064">
        <v>87.051284334955298</v>
      </c>
      <c r="AN4064">
        <v>1.00000006322013</v>
      </c>
    </row>
    <row r="4065" spans="1:40" x14ac:dyDescent="0.25">
      <c r="A4065" t="str">
        <f>"20190312154335069"</f>
        <v>20190312154335069</v>
      </c>
      <c r="B4065" t="str">
        <f>"1552376615061696"</f>
        <v>1552376615061696</v>
      </c>
      <c r="C4065" t="s">
        <v>40</v>
      </c>
      <c r="D4065">
        <v>5.033137</v>
      </c>
      <c r="E4065">
        <v>0.5044689</v>
      </c>
      <c r="F4065" t="s">
        <v>50</v>
      </c>
      <c r="G4065">
        <v>-250.4263</v>
      </c>
      <c r="H4065" s="1">
        <v>-1.316194E-6</v>
      </c>
      <c r="I4065">
        <v>214.75980000000001</v>
      </c>
      <c r="J4065">
        <v>-268.01690000000002</v>
      </c>
      <c r="K4065">
        <v>1.110412</v>
      </c>
      <c r="L4065">
        <v>215.42429999999999</v>
      </c>
      <c r="M4065">
        <v>0.99966690000000002</v>
      </c>
      <c r="N4065">
        <v>0</v>
      </c>
      <c r="O4065">
        <v>2.1595909999999999E-2</v>
      </c>
      <c r="P4065">
        <v>0.99916899999999997</v>
      </c>
      <c r="Q4065">
        <v>2.772169E-2</v>
      </c>
      <c r="R4065">
        <v>-2.9885220000000001E-2</v>
      </c>
      <c r="S4065">
        <v>3.0044249999999999</v>
      </c>
      <c r="T4065">
        <v>-0.185499</v>
      </c>
      <c r="U4065">
        <v>-0.1095734</v>
      </c>
      <c r="V4065">
        <v>5.1443999999999997E-2</v>
      </c>
      <c r="W4065">
        <v>4.185295E-2</v>
      </c>
      <c r="X4065">
        <v>0.99779850000000003</v>
      </c>
      <c r="Y4065">
        <v>5.7870499999999998E-2</v>
      </c>
      <c r="Z4065">
        <v>-3.1160770000000001E-3</v>
      </c>
      <c r="AA4065">
        <v>0.99831919999999996</v>
      </c>
      <c r="AB4065">
        <v>39</v>
      </c>
      <c r="AC4065">
        <v>17.590599999999998</v>
      </c>
      <c r="AD4065">
        <v>-1.110413316194</v>
      </c>
      <c r="AE4065">
        <v>-0.664499999999975</v>
      </c>
      <c r="AF4065">
        <v>1.0401291332271601</v>
      </c>
      <c r="AG4065">
        <v>-1.110413316194</v>
      </c>
      <c r="AH4065">
        <v>17.502499988818101</v>
      </c>
      <c r="AI4065">
        <v>93.623781894844598</v>
      </c>
      <c r="AJ4065">
        <v>86.599057157519198</v>
      </c>
      <c r="AK4065">
        <v>17.568505690728099</v>
      </c>
      <c r="AL4065">
        <v>87.601301970685597</v>
      </c>
      <c r="AM4065">
        <v>87.048585902560006</v>
      </c>
      <c r="AN4065">
        <v>1.0000000005809699</v>
      </c>
    </row>
    <row r="4066" spans="1:40" x14ac:dyDescent="0.25">
      <c r="A4066" t="str">
        <f>"20190312154335090"</f>
        <v>20190312154335090</v>
      </c>
      <c r="B4066" t="str">
        <f>"1552376615081216"</f>
        <v>1552376615081216</v>
      </c>
      <c r="C4066" t="s">
        <v>40</v>
      </c>
      <c r="D4066">
        <v>5.0477530000000002</v>
      </c>
      <c r="E4066">
        <v>0.50503980000000004</v>
      </c>
      <c r="F4066" t="s">
        <v>41</v>
      </c>
      <c r="G4066">
        <v>-266.95179999999999</v>
      </c>
      <c r="H4066">
        <v>1.043544</v>
      </c>
      <c r="I4066">
        <v>215.38339999999999</v>
      </c>
      <c r="J4066">
        <v>-267.63420000000002</v>
      </c>
      <c r="K4066">
        <v>1.1104080000000001</v>
      </c>
      <c r="L4066">
        <v>215.43270000000001</v>
      </c>
      <c r="M4066">
        <v>0.99966370000000004</v>
      </c>
      <c r="N4066">
        <v>0</v>
      </c>
      <c r="O4066">
        <v>2.1745110000000002E-2</v>
      </c>
      <c r="P4066">
        <v>0.99915710000000002</v>
      </c>
      <c r="Q4066">
        <v>2.788038E-2</v>
      </c>
      <c r="R4066">
        <v>-3.0133400000000001E-2</v>
      </c>
      <c r="S4066">
        <v>3.0043030000000002</v>
      </c>
      <c r="T4066">
        <v>-0.18878329999999999</v>
      </c>
      <c r="U4066">
        <v>-0.1146851</v>
      </c>
      <c r="V4066">
        <v>5.1840820000000003E-2</v>
      </c>
      <c r="W4066">
        <v>4.2008730000000001E-2</v>
      </c>
      <c r="X4066">
        <v>0.99777139999999997</v>
      </c>
      <c r="Y4066">
        <v>5.9707799999999998E-2</v>
      </c>
      <c r="Z4066">
        <v>-3.2381860000000001E-3</v>
      </c>
      <c r="AA4066">
        <v>0.99821070000000001</v>
      </c>
      <c r="AB4066">
        <v>38</v>
      </c>
      <c r="AC4066">
        <v>0.68240000000002898</v>
      </c>
      <c r="AD4066">
        <v>-6.6864000000000007E-2</v>
      </c>
      <c r="AE4066">
        <v>-4.9300000000016497E-2</v>
      </c>
      <c r="AF4066">
        <v>6.35219906981455E-2</v>
      </c>
      <c r="AG4066">
        <v>-6.6864000000000007E-2</v>
      </c>
      <c r="AH4066">
        <v>0.67472224391810198</v>
      </c>
      <c r="AI4066">
        <v>95.634696348086706</v>
      </c>
      <c r="AJ4066">
        <v>84.621718819267002</v>
      </c>
      <c r="AK4066">
        <v>0.68099628797529699</v>
      </c>
      <c r="AL4066">
        <v>87.592368540643605</v>
      </c>
      <c r="AM4066">
        <v>87.0257798684557</v>
      </c>
      <c r="AN4066">
        <v>0.99999998533622203</v>
      </c>
    </row>
    <row r="4067" spans="1:40" x14ac:dyDescent="0.25">
      <c r="A4067" t="str">
        <f>"20190312154335114"</f>
        <v>20190312154335114</v>
      </c>
      <c r="B4067" t="str">
        <f>"1552376615101712"</f>
        <v>1552376615101712</v>
      </c>
      <c r="C4067" t="s">
        <v>40</v>
      </c>
      <c r="D4067">
        <v>5.0379759999999996</v>
      </c>
      <c r="E4067">
        <v>0.50560729999999998</v>
      </c>
      <c r="F4067" t="s">
        <v>41</v>
      </c>
      <c r="G4067">
        <v>-266.60680000000002</v>
      </c>
      <c r="H4067">
        <v>1.04542</v>
      </c>
      <c r="I4067">
        <v>215.39150000000001</v>
      </c>
      <c r="J4067">
        <v>-267.2423</v>
      </c>
      <c r="K4067">
        <v>1.1104130000000001</v>
      </c>
      <c r="L4067">
        <v>215.44139999999999</v>
      </c>
      <c r="M4067">
        <v>0.9996604</v>
      </c>
      <c r="N4067">
        <v>0</v>
      </c>
      <c r="O4067">
        <v>2.1897699999999999E-2</v>
      </c>
      <c r="P4067">
        <v>0.99915900000000002</v>
      </c>
      <c r="Q4067">
        <v>2.8413549999999999E-2</v>
      </c>
      <c r="R4067">
        <v>-2.9565609999999999E-2</v>
      </c>
      <c r="S4067">
        <v>3.0042420000000001</v>
      </c>
      <c r="T4067">
        <v>-0.19007289999999999</v>
      </c>
      <c r="U4067">
        <v>-0.1200867</v>
      </c>
      <c r="V4067">
        <v>5.1425289999999999E-2</v>
      </c>
      <c r="W4067">
        <v>4.2539939999999998E-2</v>
      </c>
      <c r="X4067">
        <v>0.99777039999999995</v>
      </c>
      <c r="Y4067">
        <v>6.16465E-2</v>
      </c>
      <c r="Z4067">
        <v>-3.3311069999999998E-3</v>
      </c>
      <c r="AA4067">
        <v>0.99809250000000005</v>
      </c>
      <c r="AB4067">
        <v>38</v>
      </c>
      <c r="AC4067">
        <v>0.63549999999997897</v>
      </c>
      <c r="AD4067">
        <v>-6.4992999999999801E-2</v>
      </c>
      <c r="AE4067">
        <v>-4.98999999999796E-2</v>
      </c>
      <c r="AF4067">
        <v>6.3148963851748299E-2</v>
      </c>
      <c r="AG4067">
        <v>-6.4992999999999801E-2</v>
      </c>
      <c r="AH4067">
        <v>0.62772941351484002</v>
      </c>
      <c r="AI4067">
        <v>95.881673724690799</v>
      </c>
      <c r="AJ4067">
        <v>84.255427376516593</v>
      </c>
      <c r="AK4067">
        <v>0.63423662640708001</v>
      </c>
      <c r="AL4067">
        <v>87.561905224843798</v>
      </c>
      <c r="AM4067">
        <v>87.049574481482793</v>
      </c>
      <c r="AN4067">
        <v>0.99999998903147302</v>
      </c>
    </row>
    <row r="4068" spans="1:40" x14ac:dyDescent="0.25">
      <c r="A4068" t="str">
        <f>"20190312154335135"</f>
        <v>20190312154335135</v>
      </c>
      <c r="B4068" t="str">
        <f>"1552376615121232"</f>
        <v>1552376615121232</v>
      </c>
      <c r="C4068" t="s">
        <v>40</v>
      </c>
      <c r="D4068">
        <v>5.0401930000000004</v>
      </c>
      <c r="E4068">
        <v>0.50603109999999996</v>
      </c>
      <c r="F4068" t="s">
        <v>41</v>
      </c>
      <c r="G4068">
        <v>-266.26069999999999</v>
      </c>
      <c r="H4068">
        <v>1.0485629999999999</v>
      </c>
      <c r="I4068">
        <v>215.4008</v>
      </c>
      <c r="J4068">
        <v>-266.86419999999998</v>
      </c>
      <c r="K4068">
        <v>1.1104160000000001</v>
      </c>
      <c r="L4068">
        <v>215.44980000000001</v>
      </c>
      <c r="M4068">
        <v>0.99965720000000002</v>
      </c>
      <c r="N4068">
        <v>0</v>
      </c>
      <c r="O4068">
        <v>2.2044749999999998E-2</v>
      </c>
      <c r="P4068">
        <v>0.99917860000000003</v>
      </c>
      <c r="Q4068">
        <v>2.8387329999999999E-2</v>
      </c>
      <c r="R4068">
        <v>-2.892598E-2</v>
      </c>
      <c r="S4068">
        <v>3.0042719999999998</v>
      </c>
      <c r="T4068">
        <v>-0.18950500000000001</v>
      </c>
      <c r="U4068">
        <v>-0.1230927</v>
      </c>
      <c r="V4068">
        <v>5.0933470000000002E-2</v>
      </c>
      <c r="W4068">
        <v>4.2510869999999999E-2</v>
      </c>
      <c r="X4068">
        <v>0.99779689999999999</v>
      </c>
      <c r="Y4068">
        <v>6.2788350000000007E-2</v>
      </c>
      <c r="Z4068">
        <v>-3.3663030000000002E-3</v>
      </c>
      <c r="AA4068">
        <v>0.99802120000000005</v>
      </c>
      <c r="AB4068">
        <v>38</v>
      </c>
      <c r="AC4068">
        <v>0.60349999999999604</v>
      </c>
      <c r="AD4068">
        <v>-6.1853000000000102E-2</v>
      </c>
      <c r="AE4068">
        <v>-4.9000000000006497E-2</v>
      </c>
      <c r="AF4068">
        <v>6.1650074336360203E-2</v>
      </c>
      <c r="AG4068">
        <v>-6.1853000000000102E-2</v>
      </c>
      <c r="AH4068">
        <v>0.59605289892316504</v>
      </c>
      <c r="AI4068">
        <v>95.893219358415394</v>
      </c>
      <c r="AJ4068">
        <v>84.094864210759397</v>
      </c>
      <c r="AK4068">
        <v>0.60241645361774998</v>
      </c>
      <c r="AL4068">
        <v>87.563572404165896</v>
      </c>
      <c r="AM4068">
        <v>87.077820024707506</v>
      </c>
      <c r="AN4068">
        <v>1.0000000230420001</v>
      </c>
    </row>
    <row r="4069" spans="1:40" x14ac:dyDescent="0.25">
      <c r="A4069" t="str">
        <f>"20190312154335158"</f>
        <v>20190312154335158</v>
      </c>
      <c r="B4069" t="str">
        <f>"1552376615151492"</f>
        <v>1552376615151492</v>
      </c>
      <c r="C4069" t="s">
        <v>40</v>
      </c>
      <c r="D4069">
        <v>5.067221</v>
      </c>
      <c r="E4069">
        <v>0.50644769999999995</v>
      </c>
      <c r="F4069" t="s">
        <v>41</v>
      </c>
      <c r="G4069">
        <v>-265.9162</v>
      </c>
      <c r="H4069">
        <v>1.0501499999999999</v>
      </c>
      <c r="I4069">
        <v>215.41059999999999</v>
      </c>
      <c r="J4069">
        <v>-266.48090000000002</v>
      </c>
      <c r="K4069">
        <v>1.110411</v>
      </c>
      <c r="L4069">
        <v>215.45840000000001</v>
      </c>
      <c r="M4069">
        <v>0.99965389999999998</v>
      </c>
      <c r="N4069">
        <v>0</v>
      </c>
      <c r="O4069">
        <v>2.2194120000000001E-2</v>
      </c>
      <c r="P4069">
        <v>0.99918430000000003</v>
      </c>
      <c r="Q4069">
        <v>2.8453510000000001E-2</v>
      </c>
      <c r="R4069">
        <v>-2.8659480000000001E-2</v>
      </c>
      <c r="S4069">
        <v>3.0043030000000002</v>
      </c>
      <c r="T4069">
        <v>-0.1910037</v>
      </c>
      <c r="U4069">
        <v>-0.1243286</v>
      </c>
      <c r="V4069">
        <v>5.0816130000000001E-2</v>
      </c>
      <c r="W4069">
        <v>4.2574710000000002E-2</v>
      </c>
      <c r="X4069">
        <v>0.99780009999999997</v>
      </c>
      <c r="Y4069">
        <v>6.3342850000000006E-2</v>
      </c>
      <c r="Z4069">
        <v>-3.4198969999999999E-3</v>
      </c>
      <c r="AA4069">
        <v>0.99798600000000004</v>
      </c>
      <c r="AB4069">
        <v>38</v>
      </c>
      <c r="AC4069">
        <v>0.56470000000001597</v>
      </c>
      <c r="AD4069">
        <v>-6.0261000000000099E-2</v>
      </c>
      <c r="AE4069">
        <v>-4.7800000000023601E-2</v>
      </c>
      <c r="AF4069">
        <v>5.96480697748474E-2</v>
      </c>
      <c r="AG4069">
        <v>-6.0261000000000099E-2</v>
      </c>
      <c r="AH4069">
        <v>0.55719979151210297</v>
      </c>
      <c r="AI4069">
        <v>96.137733601938194</v>
      </c>
      <c r="AJ4069">
        <v>83.8897734957403</v>
      </c>
      <c r="AK4069">
        <v>0.563614130420801</v>
      </c>
      <c r="AL4069">
        <v>87.559911178758995</v>
      </c>
      <c r="AM4069">
        <v>87.084549818617205</v>
      </c>
      <c r="AN4069">
        <v>0.99999996227988397</v>
      </c>
    </row>
    <row r="4070" spans="1:40" x14ac:dyDescent="0.25">
      <c r="A4070" t="str">
        <f>"20190312154335180"</f>
        <v>20190312154335180</v>
      </c>
      <c r="B4070" t="str">
        <f>"1552376615171987"</f>
        <v>1552376615171987</v>
      </c>
      <c r="C4070" t="s">
        <v>40</v>
      </c>
      <c r="D4070">
        <v>5.0345389999999997</v>
      </c>
      <c r="E4070">
        <v>0.5066252</v>
      </c>
      <c r="F4070" t="s">
        <v>41</v>
      </c>
      <c r="G4070">
        <v>-265.57170000000002</v>
      </c>
      <c r="H4070">
        <v>1.0519989999999999</v>
      </c>
      <c r="I4070">
        <v>215.41980000000001</v>
      </c>
      <c r="J4070">
        <v>-266.1026</v>
      </c>
      <c r="K4070">
        <v>1.110412</v>
      </c>
      <c r="L4070">
        <v>215.46700000000001</v>
      </c>
      <c r="M4070">
        <v>0.99965059999999994</v>
      </c>
      <c r="N4070">
        <v>0</v>
      </c>
      <c r="O4070">
        <v>2.2341469999999999E-2</v>
      </c>
      <c r="P4070">
        <v>0.99919049999999998</v>
      </c>
      <c r="Q4070">
        <v>2.8481619999999999E-2</v>
      </c>
      <c r="R4070">
        <v>-2.8413250000000001E-2</v>
      </c>
      <c r="S4070">
        <v>3.0043329999999999</v>
      </c>
      <c r="T4070">
        <v>-0.19326019999999999</v>
      </c>
      <c r="U4070">
        <v>-0.12669369999999999</v>
      </c>
      <c r="V4070">
        <v>5.07173E-2</v>
      </c>
      <c r="W4070">
        <v>4.2600909999999999E-2</v>
      </c>
      <c r="X4070">
        <v>0.99780400000000002</v>
      </c>
      <c r="Y4070">
        <v>6.4267489999999997E-2</v>
      </c>
      <c r="Z4070">
        <v>-3.49929E-3</v>
      </c>
      <c r="AA4070">
        <v>0.9979266</v>
      </c>
      <c r="AB4070">
        <v>38</v>
      </c>
      <c r="AC4070">
        <v>0.53089999999997395</v>
      </c>
      <c r="AD4070">
        <v>-5.8413000000000201E-2</v>
      </c>
      <c r="AE4070">
        <v>-4.72000000000036E-2</v>
      </c>
      <c r="AF4070">
        <v>5.8349656514151201E-2</v>
      </c>
      <c r="AG4070">
        <v>-5.8413000000000201E-2</v>
      </c>
      <c r="AH4070">
        <v>0.52342603748929195</v>
      </c>
      <c r="AI4070">
        <v>96.328832707643002</v>
      </c>
      <c r="AJ4070">
        <v>83.639134141046</v>
      </c>
      <c r="AK4070">
        <v>0.52989770494507804</v>
      </c>
      <c r="AL4070">
        <v>87.558408641548098</v>
      </c>
      <c r="AM4070">
        <v>87.090221545953995</v>
      </c>
      <c r="AN4070">
        <v>0.99999995223405702</v>
      </c>
    </row>
    <row r="4071" spans="1:40" x14ac:dyDescent="0.25">
      <c r="A4071" t="str">
        <f>"20190312154335202"</f>
        <v>20190312154335202</v>
      </c>
      <c r="B4071" t="str">
        <f>"1552376615191504"</f>
        <v>1552376615191504</v>
      </c>
      <c r="C4071" t="s">
        <v>40</v>
      </c>
      <c r="D4071">
        <v>5.068473</v>
      </c>
      <c r="E4071">
        <v>0.50689700000000004</v>
      </c>
      <c r="F4071" t="s">
        <v>50</v>
      </c>
      <c r="G4071">
        <v>-248.89590000000001</v>
      </c>
      <c r="H4071" s="1">
        <v>3.191906E-6</v>
      </c>
      <c r="I4071">
        <v>214.7363</v>
      </c>
      <c r="J4071">
        <v>-265.71870000000001</v>
      </c>
      <c r="K4071">
        <v>1.110411</v>
      </c>
      <c r="L4071">
        <v>215.47569999999999</v>
      </c>
      <c r="M4071">
        <v>0.99964730000000002</v>
      </c>
      <c r="N4071">
        <v>0</v>
      </c>
      <c r="O4071">
        <v>2.2491199999999999E-2</v>
      </c>
      <c r="P4071">
        <v>0.99919669999999905</v>
      </c>
      <c r="Q4071">
        <v>2.835027E-2</v>
      </c>
      <c r="R4071">
        <v>-2.832606E-2</v>
      </c>
      <c r="S4071">
        <v>3.0043329999999999</v>
      </c>
      <c r="T4071">
        <v>-0.19387979999999999</v>
      </c>
      <c r="U4071">
        <v>-0.12757869999999999</v>
      </c>
      <c r="V4071">
        <v>5.0779869999999998E-2</v>
      </c>
      <c r="W4071">
        <v>4.2467520000000002E-2</v>
      </c>
      <c r="X4071">
        <v>0.99780650000000004</v>
      </c>
      <c r="Y4071">
        <v>6.4708020000000005E-2</v>
      </c>
      <c r="Z4071">
        <v>-3.5343089999999998E-3</v>
      </c>
      <c r="AA4071">
        <v>0.99789799999999995</v>
      </c>
      <c r="AB4071">
        <v>38</v>
      </c>
      <c r="AC4071">
        <v>16.822800000000001</v>
      </c>
      <c r="AD4071">
        <v>-1.1104078080940001</v>
      </c>
      <c r="AE4071">
        <v>-0.73939999999998895</v>
      </c>
      <c r="AF4071">
        <v>1.11277680922674</v>
      </c>
      <c r="AG4071">
        <v>-1.1104078080940001</v>
      </c>
      <c r="AH4071">
        <v>16.729166776971901</v>
      </c>
      <c r="AI4071">
        <v>93.789120294586596</v>
      </c>
      <c r="AJ4071">
        <v>86.194452950155195</v>
      </c>
      <c r="AK4071">
        <v>16.802865790666999</v>
      </c>
      <c r="AL4071">
        <v>87.566058239538293</v>
      </c>
      <c r="AM4071">
        <v>87.086645215876402</v>
      </c>
      <c r="AN4071">
        <v>0.99999994844720697</v>
      </c>
    </row>
    <row r="4072" spans="1:40" x14ac:dyDescent="0.25">
      <c r="A4072" t="str">
        <f>"20190312154335224"</f>
        <v>20190312154335224</v>
      </c>
      <c r="B4072" t="str">
        <f>"1552376615211999"</f>
        <v>1552376615211999</v>
      </c>
      <c r="C4072" t="s">
        <v>40</v>
      </c>
      <c r="D4072">
        <v>5.0749740000000001</v>
      </c>
      <c r="E4072">
        <v>0.50723070000000003</v>
      </c>
      <c r="F4072" t="s">
        <v>50</v>
      </c>
      <c r="G4072">
        <v>-248.65039999999999</v>
      </c>
      <c r="H4072" s="1">
        <v>3.0611109999999999E-6</v>
      </c>
      <c r="I4072">
        <v>214.7405</v>
      </c>
      <c r="J4072">
        <v>-265.34500000000003</v>
      </c>
      <c r="K4072">
        <v>1.1104149999999999</v>
      </c>
      <c r="L4072">
        <v>215.48429999999999</v>
      </c>
      <c r="M4072">
        <v>0.99964410000000004</v>
      </c>
      <c r="N4072">
        <v>0</v>
      </c>
      <c r="O4072">
        <v>2.2636880000000002E-2</v>
      </c>
      <c r="P4072">
        <v>0.99920609999999999</v>
      </c>
      <c r="Q4072">
        <v>2.8030780000000002E-2</v>
      </c>
      <c r="R4072">
        <v>-2.8313919999999999E-2</v>
      </c>
      <c r="S4072">
        <v>3.0043030000000002</v>
      </c>
      <c r="T4072">
        <v>-0.19545029999999999</v>
      </c>
      <c r="U4072">
        <v>-0.12940979999999999</v>
      </c>
      <c r="V4072">
        <v>5.0913640000000003E-2</v>
      </c>
      <c r="W4072">
        <v>4.2145469999999997E-2</v>
      </c>
      <c r="X4072">
        <v>0.99781339999999996</v>
      </c>
      <c r="Y4072">
        <v>6.5456139999999996E-2</v>
      </c>
      <c r="Z4072">
        <v>-3.5966320000000002E-3</v>
      </c>
      <c r="AA4072">
        <v>0.99784899999999999</v>
      </c>
      <c r="AB4072">
        <v>38</v>
      </c>
      <c r="AC4072">
        <v>16.694600000000001</v>
      </c>
      <c r="AD4072">
        <v>-1.1104119388889999</v>
      </c>
      <c r="AE4072">
        <v>-0.74379999999999302</v>
      </c>
      <c r="AF4072">
        <v>1.1166304774701099</v>
      </c>
      <c r="AG4072">
        <v>-1.1104119388889999</v>
      </c>
      <c r="AH4072">
        <v>16.600188288134198</v>
      </c>
      <c r="AI4072">
        <v>93.818298140760902</v>
      </c>
      <c r="AJ4072">
        <v>86.151731602159501</v>
      </c>
      <c r="AK4072">
        <v>16.674715274893</v>
      </c>
      <c r="AL4072">
        <v>87.584527031210101</v>
      </c>
      <c r="AM4072">
        <v>87.0790039696533</v>
      </c>
      <c r="AN4072">
        <v>1.0000000102995601</v>
      </c>
    </row>
    <row r="4073" spans="1:40" x14ac:dyDescent="0.25">
      <c r="A4073" t="str">
        <f>"20190312154335247"</f>
        <v>20190312154335247</v>
      </c>
      <c r="B4073" t="str">
        <f>"1552376615241280"</f>
        <v>1552376615241280</v>
      </c>
      <c r="C4073" t="s">
        <v>40</v>
      </c>
      <c r="D4073">
        <v>4.9853759999999996</v>
      </c>
      <c r="E4073">
        <v>0.50750229999999996</v>
      </c>
      <c r="F4073" t="s">
        <v>50</v>
      </c>
      <c r="G4073">
        <v>-248.49860000000001</v>
      </c>
      <c r="H4073" s="1">
        <v>2.9801469999999999E-6</v>
      </c>
      <c r="I4073">
        <v>214.74449999999999</v>
      </c>
      <c r="J4073">
        <v>-264.95949999999999</v>
      </c>
      <c r="K4073">
        <v>1.1104179999999999</v>
      </c>
      <c r="L4073">
        <v>215.4931</v>
      </c>
      <c r="M4073">
        <v>0.99964070000000005</v>
      </c>
      <c r="N4073">
        <v>0</v>
      </c>
      <c r="O4073">
        <v>2.2787209999999999E-2</v>
      </c>
      <c r="P4073">
        <v>0.99920739999999997</v>
      </c>
      <c r="Q4073">
        <v>2.808927E-2</v>
      </c>
      <c r="R4073">
        <v>-2.8210039999999999E-2</v>
      </c>
      <c r="S4073">
        <v>3.0042110000000002</v>
      </c>
      <c r="T4073">
        <v>-0.19801969999999999</v>
      </c>
      <c r="U4073">
        <v>-0.1319275</v>
      </c>
      <c r="V4073">
        <v>5.0959909999999997E-2</v>
      </c>
      <c r="W4073">
        <v>4.2201679999999998E-2</v>
      </c>
      <c r="X4073">
        <v>0.99780860000000005</v>
      </c>
      <c r="Y4073">
        <v>6.6434770000000004E-2</v>
      </c>
      <c r="Z4073">
        <v>-3.685958E-3</v>
      </c>
      <c r="AA4073">
        <v>0.997784</v>
      </c>
      <c r="AB4073">
        <v>38</v>
      </c>
      <c r="AC4073">
        <v>16.460899999999899</v>
      </c>
      <c r="AD4073">
        <v>-1.1104150198530001</v>
      </c>
      <c r="AE4073">
        <v>-0.74860000000001004</v>
      </c>
      <c r="AF4073">
        <v>1.1184618239151001</v>
      </c>
      <c r="AG4073">
        <v>-1.1104150198530001</v>
      </c>
      <c r="AH4073">
        <v>16.365247562185498</v>
      </c>
      <c r="AI4073">
        <v>93.872678164803304</v>
      </c>
      <c r="AJ4073">
        <v>86.090273247089797</v>
      </c>
      <c r="AK4073">
        <v>16.4409642703672</v>
      </c>
      <c r="AL4073">
        <v>87.581303417336102</v>
      </c>
      <c r="AM4073">
        <v>87.076339950154903</v>
      </c>
      <c r="AN4073">
        <v>0.99999994822799299</v>
      </c>
    </row>
    <row r="4074" spans="1:40" x14ac:dyDescent="0.25">
      <c r="A4074" t="str">
        <f>"20190312154335270"</f>
        <v>20190312154335270</v>
      </c>
      <c r="B4074" t="str">
        <f>"1552376615261776"</f>
        <v>1552376615261776</v>
      </c>
      <c r="C4074" t="s">
        <v>40</v>
      </c>
      <c r="D4074">
        <v>5.1539619999999999</v>
      </c>
      <c r="E4074">
        <v>0.50752039999999998</v>
      </c>
      <c r="F4074" t="s">
        <v>50</v>
      </c>
      <c r="G4074">
        <v>-248.21279999999999</v>
      </c>
      <c r="H4074" s="1">
        <v>2.8279160000000001E-6</v>
      </c>
      <c r="I4074">
        <v>214.74770000000001</v>
      </c>
      <c r="J4074">
        <v>-264.57249999999999</v>
      </c>
      <c r="K4074">
        <v>1.1104210000000001</v>
      </c>
      <c r="L4074">
        <v>215.50210000000001</v>
      </c>
      <c r="M4074">
        <v>0.9996372</v>
      </c>
      <c r="N4074">
        <v>0</v>
      </c>
      <c r="O4074">
        <v>2.2938489999999999E-2</v>
      </c>
      <c r="P4074">
        <v>0.99921249999999995</v>
      </c>
      <c r="Q4074">
        <v>2.8088390000000001E-2</v>
      </c>
      <c r="R4074">
        <v>-2.802781E-2</v>
      </c>
      <c r="S4074">
        <v>3.0042420000000001</v>
      </c>
      <c r="T4074">
        <v>-0.19920089999999999</v>
      </c>
      <c r="U4074">
        <v>-0.13372800000000001</v>
      </c>
      <c r="V4074">
        <v>5.0928840000000003E-2</v>
      </c>
      <c r="W4074">
        <v>4.219883E-2</v>
      </c>
      <c r="X4074">
        <v>0.99781039999999999</v>
      </c>
      <c r="Y4074">
        <v>6.7177870000000001E-2</v>
      </c>
      <c r="Z4074">
        <v>-3.7424250000000002E-3</v>
      </c>
      <c r="AA4074">
        <v>0.99773400000000001</v>
      </c>
      <c r="AB4074">
        <v>38</v>
      </c>
      <c r="AC4074">
        <v>16.3597</v>
      </c>
      <c r="AD4074">
        <v>-1.1104181720839901</v>
      </c>
      <c r="AE4074">
        <v>-0.75440000000000396</v>
      </c>
      <c r="AF4074">
        <v>1.1243367971542699</v>
      </c>
      <c r="AG4074">
        <v>-1.1104181720839901</v>
      </c>
      <c r="AH4074">
        <v>16.2633211623804</v>
      </c>
      <c r="AI4074">
        <v>93.896675861594801</v>
      </c>
      <c r="AJ4074">
        <v>86.045247068583905</v>
      </c>
      <c r="AK4074">
        <v>16.339913616083098</v>
      </c>
      <c r="AL4074">
        <v>87.581467080835097</v>
      </c>
      <c r="AM4074">
        <v>87.078124662901701</v>
      </c>
      <c r="AN4074">
        <v>1.00000004117263</v>
      </c>
    </row>
    <row r="4075" spans="1:40" x14ac:dyDescent="0.25">
      <c r="A4075" t="str">
        <f>"20190312154335293"</f>
        <v>20190312154335293</v>
      </c>
      <c r="B4075" t="str">
        <f>"1552376615281297"</f>
        <v>1552376615281297</v>
      </c>
      <c r="C4075" t="s">
        <v>40</v>
      </c>
      <c r="D4075">
        <v>5.1273049999999998</v>
      </c>
      <c r="E4075">
        <v>0.48701640000000002</v>
      </c>
      <c r="F4075" t="s">
        <v>41</v>
      </c>
      <c r="G4075">
        <v>-263.52949999999998</v>
      </c>
      <c r="H4075">
        <v>1.0411509999999999</v>
      </c>
      <c r="I4075">
        <v>215.45570000000001</v>
      </c>
      <c r="J4075">
        <v>-264.18459999999999</v>
      </c>
      <c r="K4075">
        <v>1.110411</v>
      </c>
      <c r="L4075">
        <v>215.5112</v>
      </c>
      <c r="M4075">
        <v>0.99963380000000002</v>
      </c>
      <c r="N4075">
        <v>0</v>
      </c>
      <c r="O4075">
        <v>2.3089470000000001E-2</v>
      </c>
      <c r="P4075">
        <v>0.99921210000000005</v>
      </c>
      <c r="Q4075">
        <v>2.7989219999999999E-2</v>
      </c>
      <c r="R4075">
        <v>-2.814351E-2</v>
      </c>
      <c r="S4075">
        <v>3.0042420000000001</v>
      </c>
      <c r="T4075">
        <v>-0.19961880000000001</v>
      </c>
      <c r="U4075">
        <v>-0.13327030000000001</v>
      </c>
      <c r="V4075">
        <v>5.1195490000000003E-2</v>
      </c>
      <c r="W4075">
        <v>4.2096870000000002E-2</v>
      </c>
      <c r="X4075">
        <v>0.99780100000000005</v>
      </c>
      <c r="Y4075">
        <v>6.7175670000000007E-2</v>
      </c>
      <c r="Z4075">
        <v>-3.7602159999999998E-3</v>
      </c>
      <c r="AA4075">
        <v>0.99773409999999996</v>
      </c>
      <c r="AB4075">
        <v>38</v>
      </c>
      <c r="AC4075">
        <v>0.65510000000000401</v>
      </c>
      <c r="AD4075">
        <v>-6.9260000000000099E-2</v>
      </c>
      <c r="AE4075">
        <v>-5.5499999999994998E-2</v>
      </c>
      <c r="AF4075">
        <v>6.9837563429381896E-2</v>
      </c>
      <c r="AG4075">
        <v>-6.9260000000000099E-2</v>
      </c>
      <c r="AH4075">
        <v>0.64646922420847797</v>
      </c>
      <c r="AI4075">
        <v>96.079996471147794</v>
      </c>
      <c r="AJ4075">
        <v>83.834292911345003</v>
      </c>
      <c r="AK4075">
        <v>0.653908778588011</v>
      </c>
      <c r="AL4075">
        <v>87.587314006713001</v>
      </c>
      <c r="AM4075">
        <v>87.062825588753896</v>
      </c>
      <c r="AN4075">
        <v>0.99999998013056801</v>
      </c>
    </row>
    <row r="4076" spans="1:40" x14ac:dyDescent="0.25">
      <c r="A4076" t="str">
        <f>"20190312154335317"</f>
        <v>20190312154335317</v>
      </c>
      <c r="B4076" t="str">
        <f>"1552376615311554"</f>
        <v>1552376615311554</v>
      </c>
      <c r="C4076" t="s">
        <v>40</v>
      </c>
      <c r="D4076">
        <v>5.131983</v>
      </c>
      <c r="E4076">
        <v>0.48281540000000001</v>
      </c>
      <c r="F4076" t="s">
        <v>50</v>
      </c>
      <c r="G4076">
        <v>-244.83600000000001</v>
      </c>
      <c r="H4076" s="1">
        <v>9.8947959999999992E-7</v>
      </c>
      <c r="I4076">
        <v>215.6969</v>
      </c>
      <c r="J4076">
        <v>-263.75920000000002</v>
      </c>
      <c r="K4076">
        <v>1.1104069999999999</v>
      </c>
      <c r="L4076">
        <v>215.52109999999999</v>
      </c>
      <c r="M4076">
        <v>0.99963000000000002</v>
      </c>
      <c r="N4076">
        <v>0</v>
      </c>
      <c r="O4076">
        <v>2.3255419999999999E-2</v>
      </c>
      <c r="P4076">
        <v>0.99921579999999999</v>
      </c>
      <c r="Q4076">
        <v>2.7749010000000001E-2</v>
      </c>
      <c r="R4076">
        <v>-2.8247149999999999E-2</v>
      </c>
      <c r="S4076">
        <v>3.008057</v>
      </c>
      <c r="T4076">
        <v>-0.17263149999999999</v>
      </c>
      <c r="U4076">
        <v>2.886963E-2</v>
      </c>
      <c r="V4076">
        <v>5.1464969999999999E-2</v>
      </c>
      <c r="W4076">
        <v>4.1854379999999997E-2</v>
      </c>
      <c r="X4076">
        <v>0.99779739999999995</v>
      </c>
      <c r="Y4076">
        <v>1.360163E-2</v>
      </c>
      <c r="Z4076">
        <v>-1.7234660000000001E-3</v>
      </c>
      <c r="AA4076">
        <v>0.99990599999999996</v>
      </c>
      <c r="AB4076">
        <v>38</v>
      </c>
      <c r="AC4076">
        <v>18.923200000000001</v>
      </c>
      <c r="AD4076">
        <v>-1.1104060105204001</v>
      </c>
      <c r="AE4076">
        <v>0.175800000000009</v>
      </c>
      <c r="AF4076">
        <v>0.26345125855420098</v>
      </c>
      <c r="AG4076">
        <v>-1.1104060105204001</v>
      </c>
      <c r="AH4076">
        <v>18.8572445429946</v>
      </c>
      <c r="AI4076">
        <v>93.3696338536041</v>
      </c>
      <c r="AJ4076">
        <v>89.1995827796746</v>
      </c>
      <c r="AK4076">
        <v>18.891746341408801</v>
      </c>
      <c r="AL4076">
        <v>87.601220064928398</v>
      </c>
      <c r="AM4076">
        <v>87.047381703493102</v>
      </c>
      <c r="AN4076">
        <v>1.0000000418545201</v>
      </c>
    </row>
    <row r="4077" spans="1:40" x14ac:dyDescent="0.25">
      <c r="A4077" t="str">
        <f>"20190312154335340"</f>
        <v>20190312154335340</v>
      </c>
      <c r="B4077" t="str">
        <f>"1552376615332049"</f>
        <v>1552376615332049</v>
      </c>
      <c r="C4077" t="s">
        <v>40</v>
      </c>
      <c r="D4077">
        <v>5.1311359999999997</v>
      </c>
      <c r="E4077">
        <v>0.48205189999999998</v>
      </c>
      <c r="F4077" t="s">
        <v>50</v>
      </c>
      <c r="G4077">
        <v>-243.7003</v>
      </c>
      <c r="H4077" s="1">
        <v>3.7473760000000001E-7</v>
      </c>
      <c r="I4077">
        <v>215.93369999999999</v>
      </c>
      <c r="J4077">
        <v>-263.38600000000002</v>
      </c>
      <c r="K4077">
        <v>1.110406</v>
      </c>
      <c r="L4077">
        <v>215.53</v>
      </c>
      <c r="M4077">
        <v>0.99962660000000003</v>
      </c>
      <c r="N4077">
        <v>0</v>
      </c>
      <c r="O4077">
        <v>2.3401209999999999E-2</v>
      </c>
      <c r="P4077">
        <v>0.99922489999999997</v>
      </c>
      <c r="Q4077">
        <v>2.729322E-2</v>
      </c>
      <c r="R4077">
        <v>-2.8371270000000001E-2</v>
      </c>
      <c r="S4077">
        <v>3.0087280000000001</v>
      </c>
      <c r="T4077">
        <v>-0.166554799999999</v>
      </c>
      <c r="U4077">
        <v>6.1889649999999997E-2</v>
      </c>
      <c r="V4077">
        <v>5.1735030000000001E-2</v>
      </c>
      <c r="W4077">
        <v>4.1396530000000001E-2</v>
      </c>
      <c r="X4077">
        <v>0.99780250000000004</v>
      </c>
      <c r="Y4077">
        <v>2.7984490000000002E-3</v>
      </c>
      <c r="Z4077">
        <v>-1.371651E-3</v>
      </c>
      <c r="AA4077">
        <v>0.99999519999999997</v>
      </c>
      <c r="AB4077">
        <v>38</v>
      </c>
      <c r="AC4077">
        <v>19.685699999999901</v>
      </c>
      <c r="AD4077">
        <v>-1.1104056252623999</v>
      </c>
      <c r="AE4077">
        <v>0.40369999999998601</v>
      </c>
      <c r="AF4077">
        <v>5.6944521612065799E-2</v>
      </c>
      <c r="AG4077">
        <v>-1.1104056252623999</v>
      </c>
      <c r="AH4077">
        <v>19.62733371445</v>
      </c>
      <c r="AI4077">
        <v>93.238011987476199</v>
      </c>
      <c r="AJ4077">
        <v>89.833768985243907</v>
      </c>
      <c r="AK4077">
        <v>19.658801389442399</v>
      </c>
      <c r="AL4077">
        <v>87.627475611335598</v>
      </c>
      <c r="AM4077">
        <v>87.031930753499296</v>
      </c>
      <c r="AN4077">
        <v>1.0000000075156901</v>
      </c>
    </row>
    <row r="4078" spans="1:40" x14ac:dyDescent="0.25">
      <c r="A4078" t="str">
        <f>"20190312154335360"</f>
        <v>20190312154335360</v>
      </c>
      <c r="B4078" t="str">
        <f>"1552376615351569"</f>
        <v>1552376615351569</v>
      </c>
      <c r="C4078" t="s">
        <v>40</v>
      </c>
      <c r="D4078">
        <v>5.0758159999999997</v>
      </c>
      <c r="E4078">
        <v>0.48141390000000001</v>
      </c>
      <c r="F4078" t="s">
        <v>50</v>
      </c>
      <c r="G4078">
        <v>-243.37479999999999</v>
      </c>
      <c r="H4078" s="1">
        <v>1.9952959999999999E-7</v>
      </c>
      <c r="I4078">
        <v>215.9796</v>
      </c>
      <c r="J4078">
        <v>-263.03190000000001</v>
      </c>
      <c r="K4078">
        <v>1.110412</v>
      </c>
      <c r="L4078">
        <v>215.5384</v>
      </c>
      <c r="M4078">
        <v>0.99962340000000005</v>
      </c>
      <c r="N4078">
        <v>0</v>
      </c>
      <c r="O4078">
        <v>2.3539500000000001E-2</v>
      </c>
      <c r="P4078">
        <v>0.99922509999999998</v>
      </c>
      <c r="Q4078">
        <v>2.7330030000000002E-2</v>
      </c>
      <c r="R4078">
        <v>-2.8323660000000001E-2</v>
      </c>
      <c r="S4078">
        <v>3.0088200000000001</v>
      </c>
      <c r="T4078">
        <v>-0.16695760000000001</v>
      </c>
      <c r="U4078">
        <v>6.7611690000000002E-2</v>
      </c>
      <c r="V4078">
        <v>5.1825629999999998E-2</v>
      </c>
      <c r="W4078">
        <v>4.1431309999999999E-2</v>
      </c>
      <c r="X4078">
        <v>0.99779640000000003</v>
      </c>
      <c r="Y4078">
        <v>1.0388420000000001E-3</v>
      </c>
      <c r="Z4078">
        <v>-1.3337749999999999E-3</v>
      </c>
      <c r="AA4078">
        <v>0.99999859999999896</v>
      </c>
      <c r="AB4078">
        <v>38</v>
      </c>
      <c r="AC4078">
        <v>19.6571</v>
      </c>
      <c r="AD4078">
        <v>-1.1104118004704</v>
      </c>
      <c r="AE4078">
        <v>0.44120000000000897</v>
      </c>
      <c r="AF4078">
        <v>2.16176711127893E-2</v>
      </c>
      <c r="AG4078">
        <v>-1.1104118004704</v>
      </c>
      <c r="AH4078">
        <v>19.599527790004799</v>
      </c>
      <c r="AI4078">
        <v>93.242625615955703</v>
      </c>
      <c r="AJ4078">
        <v>89.936804558320603</v>
      </c>
      <c r="AK4078">
        <v>19.630969697941499</v>
      </c>
      <c r="AL4078">
        <v>87.625481260190597</v>
      </c>
      <c r="AM4078">
        <v>87.026724151875001</v>
      </c>
      <c r="AN4078">
        <v>1.0000000526130799</v>
      </c>
    </row>
    <row r="4079" spans="1:40" x14ac:dyDescent="0.25">
      <c r="A4079" t="str">
        <f>"20190312154335381"</f>
        <v>20190312154335381</v>
      </c>
      <c r="B4079" t="str">
        <f>"1552376615372064"</f>
        <v>1552376615372064</v>
      </c>
      <c r="C4079" t="s">
        <v>40</v>
      </c>
      <c r="D4079">
        <v>5.1237899999999996</v>
      </c>
      <c r="E4079">
        <v>0.4810875</v>
      </c>
      <c r="F4079" t="s">
        <v>50</v>
      </c>
      <c r="G4079">
        <v>-242.90610000000001</v>
      </c>
      <c r="H4079" s="1">
        <v>-5.1920329999999997E-8</v>
      </c>
      <c r="I4079">
        <v>216.02529999999999</v>
      </c>
      <c r="J4079">
        <v>-262.65989999999999</v>
      </c>
      <c r="K4079">
        <v>1.110411</v>
      </c>
      <c r="L4079">
        <v>215.54730000000001</v>
      </c>
      <c r="M4079">
        <v>0.99961999999999995</v>
      </c>
      <c r="N4079">
        <v>0</v>
      </c>
      <c r="O4079">
        <v>2.3684759999999999E-2</v>
      </c>
      <c r="P4079">
        <v>0.99921669999999996</v>
      </c>
      <c r="Q4079">
        <v>2.7745519999999999E-2</v>
      </c>
      <c r="R4079">
        <v>-2.8225170000000001E-2</v>
      </c>
      <c r="S4079">
        <v>3.0089419999999998</v>
      </c>
      <c r="T4079">
        <v>-0.16601399999999999</v>
      </c>
      <c r="U4079">
        <v>7.2799680000000005E-2</v>
      </c>
      <c r="V4079">
        <v>5.1871710000000001E-2</v>
      </c>
      <c r="W4079">
        <v>4.1844369999999999E-2</v>
      </c>
      <c r="X4079">
        <v>0.99777669999999996</v>
      </c>
      <c r="Y4079">
        <v>-5.3557970000000002E-4</v>
      </c>
      <c r="Z4079">
        <v>-1.2907719999999999E-3</v>
      </c>
      <c r="AA4079">
        <v>0.99999899999999997</v>
      </c>
      <c r="AB4079">
        <v>38</v>
      </c>
      <c r="AC4079">
        <v>19.753799999999899</v>
      </c>
      <c r="AD4079">
        <v>-1.1104110519203301</v>
      </c>
      <c r="AE4079">
        <v>0.47799999999998</v>
      </c>
      <c r="AF4079">
        <v>-9.9239979801760102E-3</v>
      </c>
      <c r="AG4079">
        <v>-1.1104110519203301</v>
      </c>
      <c r="AH4079">
        <v>19.6973756402157</v>
      </c>
      <c r="AI4079">
        <v>93.226551183456806</v>
      </c>
      <c r="AJ4079">
        <v>90.028866949711201</v>
      </c>
      <c r="AK4079">
        <v>19.7286522170605</v>
      </c>
      <c r="AL4079">
        <v>87.601793960516304</v>
      </c>
      <c r="AM4079">
        <v>87.024026606518802</v>
      </c>
      <c r="AN4079">
        <v>0.99999998433095505</v>
      </c>
    </row>
    <row r="4080" spans="1:40" x14ac:dyDescent="0.25">
      <c r="A4080" t="str">
        <f>"20190312154335403"</f>
        <v>20190312154335403</v>
      </c>
      <c r="B4080" t="str">
        <f>"1552376615391584"</f>
        <v>1552376615391584</v>
      </c>
      <c r="C4080" t="s">
        <v>40</v>
      </c>
      <c r="D4080">
        <v>5.1149899999999997</v>
      </c>
      <c r="E4080">
        <v>0.4808499</v>
      </c>
      <c r="F4080" t="s">
        <v>50</v>
      </c>
      <c r="G4080">
        <v>-242.2894</v>
      </c>
      <c r="H4080" s="1">
        <v>-3.8163239999999998E-7</v>
      </c>
      <c r="I4080">
        <v>216.06129999999999</v>
      </c>
      <c r="J4080">
        <v>-262.29899999999998</v>
      </c>
      <c r="K4080">
        <v>1.1104130000000001</v>
      </c>
      <c r="L4080">
        <v>215.55600000000001</v>
      </c>
      <c r="M4080">
        <v>0.99961670000000002</v>
      </c>
      <c r="N4080">
        <v>0</v>
      </c>
      <c r="O4080">
        <v>2.3825849999999999E-2</v>
      </c>
      <c r="P4080">
        <v>0.9992278</v>
      </c>
      <c r="Q4080">
        <v>2.7124869999999999E-2</v>
      </c>
      <c r="R4080">
        <v>-2.8428760000000001E-2</v>
      </c>
      <c r="S4080">
        <v>3.0090330000000001</v>
      </c>
      <c r="T4080">
        <v>-0.16402449999999999</v>
      </c>
      <c r="U4080">
        <v>7.5927729999999999E-2</v>
      </c>
      <c r="V4080">
        <v>5.2216819999999997E-2</v>
      </c>
      <c r="W4080">
        <v>4.1221689999999998E-2</v>
      </c>
      <c r="X4080">
        <v>0.99778460000000002</v>
      </c>
      <c r="Y4080">
        <v>-1.430663E-3</v>
      </c>
      <c r="Z4080">
        <v>-1.2585750000000001E-3</v>
      </c>
      <c r="AA4080">
        <v>0.99999819999999995</v>
      </c>
      <c r="AB4080">
        <v>38</v>
      </c>
      <c r="AC4080">
        <v>20.009599999999999</v>
      </c>
      <c r="AD4080">
        <v>-1.11041338163239</v>
      </c>
      <c r="AE4080">
        <v>0.50530000000000497</v>
      </c>
      <c r="AF4080">
        <v>-2.8276385447566301E-2</v>
      </c>
      <c r="AG4080">
        <v>-1.11041338163239</v>
      </c>
      <c r="AH4080">
        <v>19.954546416873701</v>
      </c>
      <c r="AI4080">
        <v>93.185057996757493</v>
      </c>
      <c r="AJ4080">
        <v>90.081190342681097</v>
      </c>
      <c r="AK4080">
        <v>19.985438202232402</v>
      </c>
      <c r="AL4080">
        <v>87.637501665423002</v>
      </c>
      <c r="AM4080">
        <v>87.004286646595105</v>
      </c>
      <c r="AN4080">
        <v>0.99999996600726304</v>
      </c>
    </row>
    <row r="4081" spans="1:40" x14ac:dyDescent="0.25">
      <c r="A4081" t="str">
        <f>"20190312154335426"</f>
        <v>20190312154335426</v>
      </c>
      <c r="B4081" t="str">
        <f>"1552376615421840"</f>
        <v>1552376615421840</v>
      </c>
      <c r="C4081" t="s">
        <v>40</v>
      </c>
      <c r="D4081">
        <v>5.1231390000000001</v>
      </c>
      <c r="E4081">
        <v>0.48059170000000001</v>
      </c>
      <c r="F4081" t="s">
        <v>50</v>
      </c>
      <c r="G4081">
        <v>-242.21209999999999</v>
      </c>
      <c r="H4081" s="1">
        <v>-4.2322180000000002E-7</v>
      </c>
      <c r="I4081">
        <v>216.07089999999999</v>
      </c>
      <c r="J4081">
        <v>-261.90980000000002</v>
      </c>
      <c r="K4081">
        <v>1.1104179999999999</v>
      </c>
      <c r="L4081">
        <v>215.56540000000001</v>
      </c>
      <c r="M4081">
        <v>0.99961310000000003</v>
      </c>
      <c r="N4081">
        <v>0</v>
      </c>
      <c r="O4081">
        <v>2.3978079999999999E-2</v>
      </c>
      <c r="P4081">
        <v>0.99922619999999895</v>
      </c>
      <c r="Q4081">
        <v>2.7114579999999999E-2</v>
      </c>
      <c r="R4081">
        <v>-2.8496150000000001E-2</v>
      </c>
      <c r="S4081">
        <v>3.0090330000000001</v>
      </c>
      <c r="T4081">
        <v>-0.16634079999999901</v>
      </c>
      <c r="U4081">
        <v>7.7133179999999996E-2</v>
      </c>
      <c r="V4081">
        <v>5.2436110000000001E-2</v>
      </c>
      <c r="W4081">
        <v>4.1209299999999997E-2</v>
      </c>
      <c r="X4081">
        <v>0.99777360000000004</v>
      </c>
      <c r="Y4081">
        <v>-1.679514E-3</v>
      </c>
      <c r="Z4081">
        <v>-1.277848E-3</v>
      </c>
      <c r="AA4081">
        <v>0.99999780000000005</v>
      </c>
      <c r="AB4081">
        <v>38</v>
      </c>
      <c r="AC4081">
        <v>19.697700000000001</v>
      </c>
      <c r="AD4081">
        <v>-1.1104184232218</v>
      </c>
      <c r="AE4081">
        <v>0.50549999999998296</v>
      </c>
      <c r="AF4081">
        <v>-3.28902203167366E-2</v>
      </c>
      <c r="AG4081">
        <v>-1.1104184232218</v>
      </c>
      <c r="AH4081">
        <v>19.641778782083399</v>
      </c>
      <c r="AI4081">
        <v>93.235682007405899</v>
      </c>
      <c r="AJ4081">
        <v>90.095941873238004</v>
      </c>
      <c r="AK4081">
        <v>19.6731691540922</v>
      </c>
      <c r="AL4081">
        <v>87.638212136562998</v>
      </c>
      <c r="AM4081">
        <v>86.991695791017094</v>
      </c>
      <c r="AN4081">
        <v>0.99999995444768996</v>
      </c>
    </row>
    <row r="4082" spans="1:40" x14ac:dyDescent="0.25">
      <c r="A4082" t="str">
        <f>"20190312154335450"</f>
        <v>20190312154335450</v>
      </c>
      <c r="B4082" t="str">
        <f>"1552376615441360"</f>
        <v>1552376615441360</v>
      </c>
      <c r="C4082" t="s">
        <v>40</v>
      </c>
      <c r="D4082">
        <v>5.1428909999999997</v>
      </c>
      <c r="E4082">
        <v>0.4804544</v>
      </c>
      <c r="F4082" t="s">
        <v>50</v>
      </c>
      <c r="G4082">
        <v>-241.8715</v>
      </c>
      <c r="H4082" s="1">
        <v>-6.0534159999999997E-7</v>
      </c>
      <c r="I4082">
        <v>216.0908</v>
      </c>
      <c r="J4082">
        <v>-261.52440000000001</v>
      </c>
      <c r="K4082">
        <v>1.1104179999999999</v>
      </c>
      <c r="L4082">
        <v>215.57480000000001</v>
      </c>
      <c r="M4082">
        <v>0.99960950000000004</v>
      </c>
      <c r="N4082">
        <v>0</v>
      </c>
      <c r="O4082">
        <v>2.412895E-2</v>
      </c>
      <c r="P4082">
        <v>0.999224</v>
      </c>
      <c r="Q4082">
        <v>2.749397E-2</v>
      </c>
      <c r="R4082">
        <v>-2.8208850000000001E-2</v>
      </c>
      <c r="S4082">
        <v>3.0090940000000002</v>
      </c>
      <c r="T4082">
        <v>-0.16674839999999999</v>
      </c>
      <c r="U4082">
        <v>7.8887940000000004E-2</v>
      </c>
      <c r="V4082">
        <v>5.2299270000000002E-2</v>
      </c>
      <c r="W4082">
        <v>4.1586159999999997E-2</v>
      </c>
      <c r="X4082">
        <v>0.99776520000000002</v>
      </c>
      <c r="Y4082">
        <v>-2.1105709999999999E-3</v>
      </c>
      <c r="Z4082">
        <v>-1.277353E-3</v>
      </c>
      <c r="AA4082">
        <v>0.99999700000000002</v>
      </c>
      <c r="AB4082">
        <v>38</v>
      </c>
      <c r="AC4082">
        <v>19.652899999999999</v>
      </c>
      <c r="AD4082">
        <v>-1.1104186053416001</v>
      </c>
      <c r="AE4082">
        <v>0.51599999999999102</v>
      </c>
      <c r="AF4082">
        <v>-4.1466505017407701E-2</v>
      </c>
      <c r="AG4082">
        <v>-1.1104186053416001</v>
      </c>
      <c r="AH4082">
        <v>19.5971096566903</v>
      </c>
      <c r="AI4082">
        <v>93.243039432779497</v>
      </c>
      <c r="AJ4082">
        <v>90.121234826182203</v>
      </c>
      <c r="AK4082">
        <v>19.628587719101802</v>
      </c>
      <c r="AL4082">
        <v>87.616601250382004</v>
      </c>
      <c r="AM4082">
        <v>86.999506839981507</v>
      </c>
      <c r="AN4082">
        <v>1.0000000083385501</v>
      </c>
    </row>
    <row r="4083" spans="1:40" x14ac:dyDescent="0.25">
      <c r="A4083" t="str">
        <f>"20190312154335471"</f>
        <v>20190312154335471</v>
      </c>
      <c r="B4083" t="str">
        <f>"1552376615461856"</f>
        <v>1552376615461856</v>
      </c>
      <c r="C4083" t="s">
        <v>40</v>
      </c>
      <c r="D4083">
        <v>5.105111</v>
      </c>
      <c r="E4083">
        <v>0.48030430000000002</v>
      </c>
      <c r="F4083" t="s">
        <v>50</v>
      </c>
      <c r="G4083">
        <v>-241.4194</v>
      </c>
      <c r="H4083" s="1">
        <v>-8.4694059999999904E-7</v>
      </c>
      <c r="I4083">
        <v>216.1139</v>
      </c>
      <c r="J4083">
        <v>-261.15010000000001</v>
      </c>
      <c r="K4083">
        <v>1.110419</v>
      </c>
      <c r="L4083">
        <v>215.584</v>
      </c>
      <c r="M4083">
        <v>0.99960599999999999</v>
      </c>
      <c r="N4083">
        <v>0</v>
      </c>
      <c r="O4083">
        <v>2.4274859999999999E-2</v>
      </c>
      <c r="P4083">
        <v>0.99923519999999999</v>
      </c>
      <c r="Q4083">
        <v>2.732801E-2</v>
      </c>
      <c r="R4083">
        <v>-2.7977399999999999E-2</v>
      </c>
      <c r="S4083">
        <v>3.0091860000000001</v>
      </c>
      <c r="T4083">
        <v>-0.1662003</v>
      </c>
      <c r="U4083">
        <v>8.0688480000000007E-2</v>
      </c>
      <c r="V4083">
        <v>5.2213889999999999E-2</v>
      </c>
      <c r="W4083">
        <v>4.1417969999999998E-2</v>
      </c>
      <c r="X4083">
        <v>0.99777669999999996</v>
      </c>
      <c r="Y4083">
        <v>-2.5610369999999999E-3</v>
      </c>
      <c r="Z4083">
        <v>-1.2687309999999999E-3</v>
      </c>
      <c r="AA4083">
        <v>0.99999590000000005</v>
      </c>
      <c r="AB4083">
        <v>38</v>
      </c>
      <c r="AC4083">
        <v>19.730699999999999</v>
      </c>
      <c r="AD4083">
        <v>-1.1104198469405999</v>
      </c>
      <c r="AE4083">
        <v>0.52989999999999704</v>
      </c>
      <c r="AF4083">
        <v>-5.0576202312869398E-2</v>
      </c>
      <c r="AG4083">
        <v>-1.1104198469405999</v>
      </c>
      <c r="AH4083">
        <v>19.675475917338101</v>
      </c>
      <c r="AI4083">
        <v>93.230150175158698</v>
      </c>
      <c r="AJ4083">
        <v>90.147279616820697</v>
      </c>
      <c r="AK4083">
        <v>19.7068501481711</v>
      </c>
      <c r="AL4083">
        <v>87.626246214441295</v>
      </c>
      <c r="AM4083">
        <v>87.004430762121203</v>
      </c>
      <c r="AN4083">
        <v>1.00000004080537</v>
      </c>
    </row>
    <row r="4084" spans="1:40" x14ac:dyDescent="0.25">
      <c r="A4084" t="str">
        <f>"20190312154335494"</f>
        <v>20190312154335494</v>
      </c>
      <c r="B4084" t="str">
        <f>"1552376615481377"</f>
        <v>1552376615481377</v>
      </c>
      <c r="C4084" t="s">
        <v>40</v>
      </c>
      <c r="D4084">
        <v>5.0877929999999996</v>
      </c>
      <c r="E4084">
        <v>0.45720519999999998</v>
      </c>
      <c r="F4084" t="s">
        <v>50</v>
      </c>
      <c r="G4084">
        <v>-241.0411</v>
      </c>
      <c r="H4084" s="1">
        <v>-1.049207E-6</v>
      </c>
      <c r="I4084">
        <v>216.13669999999999</v>
      </c>
      <c r="J4084">
        <v>-260.7724</v>
      </c>
      <c r="K4084">
        <v>1.110419</v>
      </c>
      <c r="L4084">
        <v>215.5933</v>
      </c>
      <c r="M4084">
        <v>0.9996024</v>
      </c>
      <c r="N4084">
        <v>0</v>
      </c>
      <c r="O4084">
        <v>2.4422739999999998E-2</v>
      </c>
      <c r="P4084">
        <v>0.99924219999999997</v>
      </c>
      <c r="Q4084">
        <v>2.7295030000000001E-2</v>
      </c>
      <c r="R4084">
        <v>-2.775393E-2</v>
      </c>
      <c r="S4084">
        <v>3.0091860000000001</v>
      </c>
      <c r="T4084">
        <v>-0.16616739999999999</v>
      </c>
      <c r="U4084">
        <v>8.2717899999999997E-2</v>
      </c>
      <c r="V4084">
        <v>5.213856E-2</v>
      </c>
      <c r="W4084">
        <v>4.1383200000000002E-2</v>
      </c>
      <c r="X4084">
        <v>0.99778210000000001</v>
      </c>
      <c r="Y4084">
        <v>-3.086414E-3</v>
      </c>
      <c r="Z4084">
        <v>-1.26213E-3</v>
      </c>
      <c r="AA4084">
        <v>0.99999450000000001</v>
      </c>
      <c r="AB4084">
        <v>38</v>
      </c>
      <c r="AC4084">
        <v>19.731300000000001</v>
      </c>
      <c r="AD4084">
        <v>-1.110420049207</v>
      </c>
      <c r="AE4084">
        <v>0.543399999999991</v>
      </c>
      <c r="AF4084">
        <v>-6.1104243473999099E-2</v>
      </c>
      <c r="AG4084">
        <v>-1.110420049207</v>
      </c>
      <c r="AH4084">
        <v>19.6764158707891</v>
      </c>
      <c r="AI4084">
        <v>93.229991889735004</v>
      </c>
      <c r="AJ4084">
        <v>90.177928949562002</v>
      </c>
      <c r="AK4084">
        <v>19.7078184468625</v>
      </c>
      <c r="AL4084">
        <v>87.628240141008206</v>
      </c>
      <c r="AM4084">
        <v>87.008760833411003</v>
      </c>
      <c r="AN4084">
        <v>1.00000005888076</v>
      </c>
    </row>
    <row r="4085" spans="1:40" x14ac:dyDescent="0.25">
      <c r="A4085" t="str">
        <f>"20190312154335515"</f>
        <v>20190312154335515</v>
      </c>
      <c r="B4085" t="str">
        <f>"1552376615511633"</f>
        <v>1552376615511633</v>
      </c>
      <c r="C4085" t="s">
        <v>40</v>
      </c>
      <c r="D4085">
        <v>5.0737370000000004</v>
      </c>
      <c r="E4085">
        <v>0.4540496</v>
      </c>
      <c r="F4085" t="s">
        <v>50</v>
      </c>
      <c r="G4085">
        <v>-239.61709999999999</v>
      </c>
      <c r="H4085" s="1">
        <v>3.45629E-6</v>
      </c>
      <c r="I4085">
        <v>217.46860000000001</v>
      </c>
      <c r="J4085">
        <v>-260.39819999999997</v>
      </c>
      <c r="K4085">
        <v>1.110414</v>
      </c>
      <c r="L4085">
        <v>215.6026</v>
      </c>
      <c r="M4085">
        <v>0.99959880000000001</v>
      </c>
      <c r="N4085">
        <v>0</v>
      </c>
      <c r="O4085">
        <v>2.4568900000000001E-2</v>
      </c>
      <c r="P4085">
        <v>0.99924279999999999</v>
      </c>
      <c r="Q4085">
        <v>2.7739659999999999E-2</v>
      </c>
      <c r="R4085">
        <v>-2.7285050000000002E-2</v>
      </c>
      <c r="S4085">
        <v>3.0140380000000002</v>
      </c>
      <c r="T4085">
        <v>-0.15820310000000001</v>
      </c>
      <c r="U4085">
        <v>0.26718140000000001</v>
      </c>
      <c r="V4085">
        <v>5.1815699999999902E-2</v>
      </c>
      <c r="W4085">
        <v>4.1825790000000002E-2</v>
      </c>
      <c r="X4085">
        <v>0.99778040000000001</v>
      </c>
      <c r="Y4085">
        <v>-6.3743910000000001E-2</v>
      </c>
      <c r="Z4085">
        <v>3.8263499999999998E-4</v>
      </c>
      <c r="AA4085">
        <v>0.99796620000000003</v>
      </c>
      <c r="AB4085">
        <v>38</v>
      </c>
      <c r="AC4085">
        <v>20.781099999999899</v>
      </c>
      <c r="AD4085">
        <v>-1.11041054371</v>
      </c>
      <c r="AE4085">
        <v>1.8660000000000101</v>
      </c>
      <c r="AF4085">
        <v>-1.3509906990261999</v>
      </c>
      <c r="AG4085">
        <v>-1.11041054371</v>
      </c>
      <c r="AH4085">
        <v>20.761871582756001</v>
      </c>
      <c r="AI4085">
        <v>93.054994030656104</v>
      </c>
      <c r="AJ4085">
        <v>93.723030971321194</v>
      </c>
      <c r="AK4085">
        <v>20.835390542614899</v>
      </c>
      <c r="AL4085">
        <v>87.602859474629497</v>
      </c>
      <c r="AM4085">
        <v>87.027245238000305</v>
      </c>
      <c r="AN4085">
        <v>0.99999999504988701</v>
      </c>
    </row>
    <row r="4086" spans="1:40" x14ac:dyDescent="0.25">
      <c r="A4086" t="str">
        <f>"20190312154335538"</f>
        <v>20190312154335538</v>
      </c>
      <c r="B4086" t="str">
        <f>"1552376615531152"</f>
        <v>1552376615531152</v>
      </c>
      <c r="C4086" t="s">
        <v>40</v>
      </c>
      <c r="D4086">
        <v>5.0481499999999997</v>
      </c>
      <c r="E4086">
        <v>0.45369930000000003</v>
      </c>
      <c r="F4086" t="s">
        <v>50</v>
      </c>
      <c r="G4086">
        <v>-238.8827</v>
      </c>
      <c r="H4086" s="1">
        <v>3.0553749999999999E-6</v>
      </c>
      <c r="I4086">
        <v>217.69929999999999</v>
      </c>
      <c r="J4086">
        <v>-260.01920000000001</v>
      </c>
      <c r="K4086">
        <v>1.1104149999999999</v>
      </c>
      <c r="L4086">
        <v>215.6121</v>
      </c>
      <c r="M4086">
        <v>0.99959520000000002</v>
      </c>
      <c r="N4086">
        <v>0</v>
      </c>
      <c r="O4086">
        <v>2.4717079999999999E-2</v>
      </c>
      <c r="P4086">
        <v>0.99924619999999997</v>
      </c>
      <c r="Q4086">
        <v>2.785402E-2</v>
      </c>
      <c r="R4086">
        <v>-2.704144E-2</v>
      </c>
      <c r="S4086">
        <v>3.0146790000000001</v>
      </c>
      <c r="T4086">
        <v>-0.155586999999999</v>
      </c>
      <c r="U4086">
        <v>0.29377750000000002</v>
      </c>
      <c r="V4086">
        <v>5.1720309999999999E-2</v>
      </c>
      <c r="W4086">
        <v>4.1937269999999999E-2</v>
      </c>
      <c r="X4086">
        <v>0.99778069999999996</v>
      </c>
      <c r="Y4086">
        <v>-7.2294250000000004E-2</v>
      </c>
      <c r="Z4086">
        <v>5.8847199999999896E-4</v>
      </c>
      <c r="AA4086">
        <v>0.99738320000000003</v>
      </c>
      <c r="AB4086">
        <v>38</v>
      </c>
      <c r="AC4086">
        <v>21.136500000000002</v>
      </c>
      <c r="AD4086">
        <v>-1.110411944625</v>
      </c>
      <c r="AE4086">
        <v>2.08719999999999</v>
      </c>
      <c r="AF4086">
        <v>-1.5598143397717199</v>
      </c>
      <c r="AG4086">
        <v>-1.110411944625</v>
      </c>
      <c r="AH4086">
        <v>21.123897836960602</v>
      </c>
      <c r="AI4086">
        <v>93.000920809599506</v>
      </c>
      <c r="AJ4086">
        <v>94.223125692620599</v>
      </c>
      <c r="AK4086">
        <v>21.210494932642899</v>
      </c>
      <c r="AL4086">
        <v>87.5964666043009</v>
      </c>
      <c r="AM4086">
        <v>87.032709025694103</v>
      </c>
      <c r="AN4086">
        <v>1.00000002518701</v>
      </c>
    </row>
    <row r="4087" spans="1:40" x14ac:dyDescent="0.25">
      <c r="A4087" t="str">
        <f>"20190312154335561"</f>
        <v>20190312154335561</v>
      </c>
      <c r="B4087" t="str">
        <f>"1552376615551648"</f>
        <v>1552376615551648</v>
      </c>
      <c r="C4087" t="s">
        <v>40</v>
      </c>
      <c r="D4087">
        <v>5.1204789999999996</v>
      </c>
      <c r="E4087">
        <v>0.45375310000000002</v>
      </c>
      <c r="F4087" t="s">
        <v>50</v>
      </c>
      <c r="G4087">
        <v>-238.51859999999999</v>
      </c>
      <c r="H4087" s="1">
        <v>2.8601750000000001E-6</v>
      </c>
      <c r="I4087">
        <v>217.73249999999999</v>
      </c>
      <c r="J4087">
        <v>-259.63619999999997</v>
      </c>
      <c r="K4087">
        <v>1.1104210000000001</v>
      </c>
      <c r="L4087">
        <v>215.6217</v>
      </c>
      <c r="M4087">
        <v>0.99959149999999997</v>
      </c>
      <c r="N4087">
        <v>0</v>
      </c>
      <c r="O4087">
        <v>2.4867110000000001E-2</v>
      </c>
      <c r="P4087">
        <v>0.99924780000000002</v>
      </c>
      <c r="Q4087">
        <v>2.783426E-2</v>
      </c>
      <c r="R4087">
        <v>-2.7003030000000001E-2</v>
      </c>
      <c r="S4087">
        <v>3.0146480000000002</v>
      </c>
      <c r="T4087">
        <v>-0.15569369999999999</v>
      </c>
      <c r="U4087">
        <v>0.29731750000000001</v>
      </c>
      <c r="V4087">
        <v>5.1831700000000001E-2</v>
      </c>
      <c r="W4087">
        <v>4.1914880000000002E-2</v>
      </c>
      <c r="X4087">
        <v>0.99777590000000005</v>
      </c>
      <c r="Y4087">
        <v>-7.3304330000000001E-2</v>
      </c>
      <c r="Z4087">
        <v>6.0713610000000002E-4</v>
      </c>
      <c r="AA4087">
        <v>0.99730940000000001</v>
      </c>
      <c r="AB4087">
        <v>38</v>
      </c>
      <c r="AC4087">
        <v>21.1175999999999</v>
      </c>
      <c r="AD4087">
        <v>-1.1104181398249999</v>
      </c>
      <c r="AE4087">
        <v>2.1107999999999798</v>
      </c>
      <c r="AF4087">
        <v>-1.5806342299671701</v>
      </c>
      <c r="AG4087">
        <v>-1.1104181398249999</v>
      </c>
      <c r="AH4087">
        <v>21.105784388138101</v>
      </c>
      <c r="AI4087">
        <v>93.003275515967999</v>
      </c>
      <c r="AJ4087">
        <v>94.282945485611606</v>
      </c>
      <c r="AK4087">
        <v>21.193998387580599</v>
      </c>
      <c r="AL4087">
        <v>87.597750680144898</v>
      </c>
      <c r="AM4087">
        <v>87.026315550809002</v>
      </c>
      <c r="AN4087">
        <v>1.00000006445555</v>
      </c>
    </row>
    <row r="4088" spans="1:40" x14ac:dyDescent="0.25">
      <c r="A4088" t="str">
        <f>"20190312154335582"</f>
        <v>20190312154335582</v>
      </c>
      <c r="B4088" t="str">
        <f>"1552376615571169"</f>
        <v>1552376615571169</v>
      </c>
      <c r="C4088" t="s">
        <v>40</v>
      </c>
      <c r="D4088">
        <v>5.2940430000000003</v>
      </c>
      <c r="E4088">
        <v>0.4538237</v>
      </c>
      <c r="F4088" t="s">
        <v>50</v>
      </c>
      <c r="G4088">
        <v>-238.0908</v>
      </c>
      <c r="H4088" s="1">
        <v>2.6319889999999999E-6</v>
      </c>
      <c r="I4088">
        <v>217.74440000000001</v>
      </c>
      <c r="J4088">
        <v>-259.26190000000003</v>
      </c>
      <c r="K4088">
        <v>1.1104240000000001</v>
      </c>
      <c r="L4088">
        <v>215.6311</v>
      </c>
      <c r="M4088">
        <v>0.99958800000000003</v>
      </c>
      <c r="N4088">
        <v>0</v>
      </c>
      <c r="O4088">
        <v>2.5013629999999999E-2</v>
      </c>
      <c r="P4088">
        <v>0.99924460000000004</v>
      </c>
      <c r="Q4088">
        <v>2.780287E-2</v>
      </c>
      <c r="R4088">
        <v>-2.716035E-2</v>
      </c>
      <c r="S4088">
        <v>3.014618</v>
      </c>
      <c r="T4088">
        <v>-0.15536900000000001</v>
      </c>
      <c r="U4088">
        <v>0.29701230000000001</v>
      </c>
      <c r="V4088">
        <v>5.2135109999999998E-2</v>
      </c>
      <c r="W4088">
        <v>4.1881050000000003E-2</v>
      </c>
      <c r="X4088">
        <v>0.99776140000000002</v>
      </c>
      <c r="Y4088">
        <v>-7.305992E-2</v>
      </c>
      <c r="Z4088">
        <v>5.9207979999999997E-4</v>
      </c>
      <c r="AA4088">
        <v>0.99732739999999998</v>
      </c>
      <c r="AB4088">
        <v>38</v>
      </c>
      <c r="AC4088">
        <v>21.171099999999999</v>
      </c>
      <c r="AD4088">
        <v>-1.110421368011</v>
      </c>
      <c r="AE4088">
        <v>2.1133000000000002</v>
      </c>
      <c r="AF4088">
        <v>-1.57871990965224</v>
      </c>
      <c r="AG4088">
        <v>-1.110421368011</v>
      </c>
      <c r="AH4088">
        <v>21.1597051882427</v>
      </c>
      <c r="AI4088">
        <v>92.995707516599694</v>
      </c>
      <c r="AJ4088">
        <v>94.266916985217406</v>
      </c>
      <c r="AK4088">
        <v>21.247553172565802</v>
      </c>
      <c r="AL4088">
        <v>87.599690428944001</v>
      </c>
      <c r="AM4088">
        <v>87.008896463009506</v>
      </c>
      <c r="AN4088">
        <v>0.99999995168688605</v>
      </c>
    </row>
    <row r="4089" spans="1:40" x14ac:dyDescent="0.25">
      <c r="A4089" t="str">
        <f>"20190312154335604"</f>
        <v>20190312154335604</v>
      </c>
      <c r="B4089" t="str">
        <f>"1552376615591665"</f>
        <v>1552376615591665</v>
      </c>
      <c r="C4089" t="s">
        <v>40</v>
      </c>
      <c r="D4089">
        <v>5.0961600000000002</v>
      </c>
      <c r="E4089">
        <v>0.45364880000000002</v>
      </c>
      <c r="F4089" t="s">
        <v>50</v>
      </c>
      <c r="G4089">
        <v>-237.35230000000001</v>
      </c>
      <c r="H4089" s="1">
        <v>2.2375039999999999E-6</v>
      </c>
      <c r="I4089">
        <v>217.77869999999999</v>
      </c>
      <c r="J4089">
        <v>-258.90140000000002</v>
      </c>
      <c r="K4089">
        <v>1.1104259999999999</v>
      </c>
      <c r="L4089">
        <v>215.6403</v>
      </c>
      <c r="M4089">
        <v>0.99958429999999998</v>
      </c>
      <c r="N4089">
        <v>0</v>
      </c>
      <c r="O4089">
        <v>2.5154780000000002E-2</v>
      </c>
      <c r="P4089">
        <v>0.99922900000000003</v>
      </c>
      <c r="Q4089">
        <v>2.804999E-2</v>
      </c>
      <c r="R4089">
        <v>-2.74714E-2</v>
      </c>
      <c r="S4089">
        <v>3.0145569999999999</v>
      </c>
      <c r="T4089">
        <v>-0.15278359999999999</v>
      </c>
      <c r="U4089">
        <v>0.29548649999999999</v>
      </c>
      <c r="V4089">
        <v>5.2586569999999999E-2</v>
      </c>
      <c r="W4089">
        <v>4.2125940000000001E-2</v>
      </c>
      <c r="X4089">
        <v>0.99772749999999999</v>
      </c>
      <c r="Y4089">
        <v>-7.2424119999999995E-2</v>
      </c>
      <c r="Z4089">
        <v>5.5907400000000001E-4</v>
      </c>
      <c r="AA4089">
        <v>0.99737379999999998</v>
      </c>
      <c r="AB4089">
        <v>38</v>
      </c>
      <c r="AC4089">
        <v>21.549099999999999</v>
      </c>
      <c r="AD4089">
        <v>-1.1104237624959901</v>
      </c>
      <c r="AE4089">
        <v>2.1383999999999901</v>
      </c>
      <c r="AF4089">
        <v>-1.59142198991108</v>
      </c>
      <c r="AG4089">
        <v>-1.1104237624959901</v>
      </c>
      <c r="AH4089">
        <v>21.5394394586482</v>
      </c>
      <c r="AI4089">
        <v>92.943151459450903</v>
      </c>
      <c r="AJ4089">
        <v>94.225569044820404</v>
      </c>
      <c r="AK4089">
        <v>21.626676052390899</v>
      </c>
      <c r="AL4089">
        <v>87.585647116095501</v>
      </c>
      <c r="AM4089">
        <v>86.982940557287193</v>
      </c>
      <c r="AN4089">
        <v>1.00000005321074</v>
      </c>
    </row>
    <row r="4090" spans="1:40" x14ac:dyDescent="0.25">
      <c r="A4090" t="str">
        <f>"20190312154335627"</f>
        <v>20190312154335627</v>
      </c>
      <c r="B4090" t="str">
        <f>"1552376615621920"</f>
        <v>1552376615621920</v>
      </c>
      <c r="C4090" t="s">
        <v>40</v>
      </c>
      <c r="D4090">
        <v>5.0859800000000002</v>
      </c>
      <c r="E4090">
        <v>0.45336300000000002</v>
      </c>
      <c r="F4090" t="s">
        <v>50</v>
      </c>
      <c r="G4090">
        <v>-235.88839999999999</v>
      </c>
      <c r="H4090" s="1">
        <v>1.453274E-6</v>
      </c>
      <c r="I4090">
        <v>217.8974</v>
      </c>
      <c r="J4090">
        <v>-258.51499999999999</v>
      </c>
      <c r="K4090">
        <v>1.110417</v>
      </c>
      <c r="L4090">
        <v>215.65020000000001</v>
      </c>
      <c r="M4090">
        <v>0.99958060000000004</v>
      </c>
      <c r="N4090">
        <v>0</v>
      </c>
      <c r="O4090">
        <v>2.5305879999999999E-2</v>
      </c>
      <c r="P4090">
        <v>0.99920450000000005</v>
      </c>
      <c r="Q4090">
        <v>2.883954E-2</v>
      </c>
      <c r="R4090">
        <v>-2.7543890000000001E-2</v>
      </c>
      <c r="S4090">
        <v>3.0145569999999999</v>
      </c>
      <c r="T4090">
        <v>-0.14545820000000001</v>
      </c>
      <c r="U4090">
        <v>0.29566959999999998</v>
      </c>
      <c r="V4090">
        <v>5.2809370000000001E-2</v>
      </c>
      <c r="W4090">
        <v>4.2911999999999999E-2</v>
      </c>
      <c r="X4090">
        <v>0.99768219999999996</v>
      </c>
      <c r="Y4090">
        <v>-7.2339249999999994E-2</v>
      </c>
      <c r="Z4090">
        <v>5.2299349999999998E-4</v>
      </c>
      <c r="AA4090">
        <v>0.99738000000000004</v>
      </c>
      <c r="AB4090">
        <v>38</v>
      </c>
      <c r="AC4090">
        <v>22.6266</v>
      </c>
      <c r="AD4090">
        <v>-1.110415546726</v>
      </c>
      <c r="AE4090">
        <v>2.2471999999999901</v>
      </c>
      <c r="AF4090">
        <v>-1.6698549835804799</v>
      </c>
      <c r="AG4090">
        <v>-1.110415546726</v>
      </c>
      <c r="AH4090">
        <v>22.622273720581202</v>
      </c>
      <c r="AI4090">
        <v>92.802498816130196</v>
      </c>
      <c r="AJ4090">
        <v>94.221611137318902</v>
      </c>
      <c r="AK4090">
        <v>22.710982071268901</v>
      </c>
      <c r="AL4090">
        <v>87.540568350528005</v>
      </c>
      <c r="AM4090">
        <v>86.970044262944597</v>
      </c>
      <c r="AN4090">
        <v>1.0000000207503099</v>
      </c>
    </row>
    <row r="4091" spans="1:40" x14ac:dyDescent="0.25">
      <c r="A4091" t="str">
        <f>"20190312154335650"</f>
        <v>20190312154335650</v>
      </c>
      <c r="B4091" t="str">
        <f>"1552376615641440"</f>
        <v>1552376615641440</v>
      </c>
      <c r="C4091" t="s">
        <v>40</v>
      </c>
      <c r="D4091">
        <v>5.0702769999999999</v>
      </c>
      <c r="E4091">
        <v>0.45316630000000002</v>
      </c>
      <c r="F4091" t="s">
        <v>50</v>
      </c>
      <c r="G4091">
        <v>-234.08279999999999</v>
      </c>
      <c r="H4091" s="1">
        <v>4.8523750000000001E-7</v>
      </c>
      <c r="I4091">
        <v>218.0626</v>
      </c>
      <c r="J4091">
        <v>-258.14460000000003</v>
      </c>
      <c r="K4091">
        <v>1.110425</v>
      </c>
      <c r="L4091">
        <v>215.65969999999999</v>
      </c>
      <c r="M4091">
        <v>0.99957689999999999</v>
      </c>
      <c r="N4091">
        <v>0</v>
      </c>
      <c r="O4091">
        <v>2.545072E-2</v>
      </c>
      <c r="P4091">
        <v>0.99920260000000005</v>
      </c>
      <c r="Q4091">
        <v>2.901227E-2</v>
      </c>
      <c r="R4091">
        <v>-2.7433200000000001E-2</v>
      </c>
      <c r="S4091">
        <v>3.0145420000000001</v>
      </c>
      <c r="T4091">
        <v>-0.13700760000000001</v>
      </c>
      <c r="U4091">
        <v>0.29765320000000001</v>
      </c>
      <c r="V4091">
        <v>5.2843179999999997E-2</v>
      </c>
      <c r="W4091">
        <v>4.3082549999999997E-2</v>
      </c>
      <c r="X4091">
        <v>0.99767300000000003</v>
      </c>
      <c r="Y4091">
        <v>-7.2850940000000003E-2</v>
      </c>
      <c r="Z4091">
        <v>4.9766559999999999E-4</v>
      </c>
      <c r="AA4091">
        <v>0.99734270000000003</v>
      </c>
      <c r="AB4091">
        <v>38</v>
      </c>
      <c r="AC4091">
        <v>24.061800000000002</v>
      </c>
      <c r="AD4091">
        <v>-1.1104245147625</v>
      </c>
      <c r="AE4091">
        <v>2.40290000000001</v>
      </c>
      <c r="AF4091">
        <v>-1.7859047221573601</v>
      </c>
      <c r="AG4091">
        <v>-1.1104245147625</v>
      </c>
      <c r="AH4091">
        <v>24.064421563752099</v>
      </c>
      <c r="AI4091">
        <v>92.634737101326806</v>
      </c>
      <c r="AJ4091">
        <v>94.244339102120605</v>
      </c>
      <c r="AK4091">
        <v>24.156135524491301</v>
      </c>
      <c r="AL4091">
        <v>87.530787363356495</v>
      </c>
      <c r="AM4091">
        <v>86.968080114375397</v>
      </c>
      <c r="AN4091">
        <v>0.99999996135800595</v>
      </c>
    </row>
    <row r="4092" spans="1:40" x14ac:dyDescent="0.25">
      <c r="A4092" t="str">
        <f>"20190312154335671"</f>
        <v>20190312154335671</v>
      </c>
      <c r="B4092" t="str">
        <f>"1552376615661936"</f>
        <v>1552376615661936</v>
      </c>
      <c r="C4092" t="s">
        <v>40</v>
      </c>
      <c r="D4092">
        <v>5.1182970000000001</v>
      </c>
      <c r="E4092">
        <v>0.45305659999999998</v>
      </c>
      <c r="F4092" t="s">
        <v>50</v>
      </c>
      <c r="G4092">
        <v>-233.054</v>
      </c>
      <c r="H4092" s="1">
        <v>-6.6082179999999894E-8</v>
      </c>
      <c r="I4092">
        <v>218.15010000000001</v>
      </c>
      <c r="J4092">
        <v>-257.76889999999997</v>
      </c>
      <c r="K4092">
        <v>1.1104259999999999</v>
      </c>
      <c r="L4092">
        <v>215.6694</v>
      </c>
      <c r="M4092">
        <v>0.99957309999999999</v>
      </c>
      <c r="N4092">
        <v>0</v>
      </c>
      <c r="O4092">
        <v>2.559813E-2</v>
      </c>
      <c r="P4092">
        <v>0.99921510000000002</v>
      </c>
      <c r="Q4092">
        <v>2.9161639999999999E-2</v>
      </c>
      <c r="R4092">
        <v>-2.6813500000000001E-2</v>
      </c>
      <c r="S4092">
        <v>3.014481</v>
      </c>
      <c r="T4092">
        <v>-0.13341059999999999</v>
      </c>
      <c r="U4092">
        <v>0.29920960000000002</v>
      </c>
      <c r="V4092">
        <v>5.237112E-2</v>
      </c>
      <c r="W4092">
        <v>4.3229759999999999E-2</v>
      </c>
      <c r="X4092">
        <v>0.99769160000000001</v>
      </c>
      <c r="Y4092">
        <v>-7.3218099999999994E-2</v>
      </c>
      <c r="Z4092">
        <v>4.8621299999999999E-4</v>
      </c>
      <c r="AA4092">
        <v>0.99731579999999997</v>
      </c>
      <c r="AB4092">
        <v>38</v>
      </c>
      <c r="AC4092">
        <v>24.714899999999901</v>
      </c>
      <c r="AD4092">
        <v>-1.1104260660821801</v>
      </c>
      <c r="AE4092">
        <v>2.4807000000000099</v>
      </c>
      <c r="AF4092">
        <v>-1.8434847335976801</v>
      </c>
      <c r="AG4092">
        <v>-1.1104260660821801</v>
      </c>
      <c r="AH4092">
        <v>24.720902078704398</v>
      </c>
      <c r="AI4092">
        <v>92.5648002160587</v>
      </c>
      <c r="AJ4092">
        <v>94.264761649348898</v>
      </c>
      <c r="AK4092">
        <v>24.814400689844</v>
      </c>
      <c r="AL4092">
        <v>87.522345174745993</v>
      </c>
      <c r="AM4092">
        <v>86.995170993326099</v>
      </c>
      <c r="AN4092">
        <v>1.0000000375351299</v>
      </c>
    </row>
    <row r="4093" spans="1:40" x14ac:dyDescent="0.25">
      <c r="A4093" t="str">
        <f>"20190312154335705"</f>
        <v>20190312154335705</v>
      </c>
      <c r="B4093" t="str">
        <f>"1552376615691216"</f>
        <v>1552376615691216</v>
      </c>
      <c r="C4093" t="s">
        <v>40</v>
      </c>
      <c r="D4093">
        <v>5.1193339999999896</v>
      </c>
      <c r="E4093">
        <v>0.4529724</v>
      </c>
      <c r="F4093" t="s">
        <v>50</v>
      </c>
      <c r="G4093">
        <v>-232.31620000000001</v>
      </c>
      <c r="H4093" s="1">
        <v>-4.617799E-7</v>
      </c>
      <c r="I4093">
        <v>218.2208</v>
      </c>
      <c r="J4093">
        <v>-257.20749999999998</v>
      </c>
      <c r="K4093">
        <v>1.1104290000000001</v>
      </c>
      <c r="L4093">
        <v>215.684</v>
      </c>
      <c r="M4093">
        <v>0.9995676</v>
      </c>
      <c r="N4093">
        <v>0</v>
      </c>
      <c r="O4093">
        <v>2.581814E-2</v>
      </c>
      <c r="P4093">
        <v>0.99921959999999999</v>
      </c>
      <c r="Q4093">
        <v>2.9149950000000001E-2</v>
      </c>
      <c r="R4093">
        <v>-2.66606E-2</v>
      </c>
      <c r="S4093">
        <v>3.0143279999999999</v>
      </c>
      <c r="T4093">
        <v>-0.13150609999999999</v>
      </c>
      <c r="U4093">
        <v>0.30215449999999999</v>
      </c>
      <c r="V4093">
        <v>5.243809E-2</v>
      </c>
      <c r="W4093">
        <v>4.3214519999999999E-2</v>
      </c>
      <c r="X4093">
        <v>0.99768869999999998</v>
      </c>
      <c r="Y4093">
        <v>-7.3969110000000005E-2</v>
      </c>
      <c r="Z4093">
        <v>4.8605490000000001E-4</v>
      </c>
      <c r="AA4093">
        <v>0.99726040000000005</v>
      </c>
      <c r="AB4093">
        <v>38</v>
      </c>
      <c r="AC4093">
        <v>24.891299999999902</v>
      </c>
      <c r="AD4093">
        <v>-1.1104294617799</v>
      </c>
      <c r="AE4093">
        <v>2.5367999999999702</v>
      </c>
      <c r="AF4093">
        <v>-1.8895217114823699</v>
      </c>
      <c r="AG4093">
        <v>-1.1104294617799</v>
      </c>
      <c r="AH4093">
        <v>24.899458580175001</v>
      </c>
      <c r="AI4093">
        <v>92.546189863489204</v>
      </c>
      <c r="AJ4093">
        <v>94.339633288106597</v>
      </c>
      <c r="AK4093">
        <v>24.995727304353501</v>
      </c>
      <c r="AL4093">
        <v>87.523219073906205</v>
      </c>
      <c r="AM4093">
        <v>86.991326869370994</v>
      </c>
      <c r="AN4093">
        <v>0.99999999506468396</v>
      </c>
    </row>
    <row r="4094" spans="1:40" x14ac:dyDescent="0.25">
      <c r="A4094" t="str">
        <f>"20190312154335727"</f>
        <v>20190312154335727</v>
      </c>
      <c r="B4094" t="str">
        <f>"1552376615721472"</f>
        <v>1552376615721472</v>
      </c>
      <c r="C4094" t="s">
        <v>40</v>
      </c>
      <c r="D4094">
        <v>5.1329060000000002</v>
      </c>
      <c r="E4094">
        <v>0.4529956</v>
      </c>
      <c r="F4094" t="s">
        <v>50</v>
      </c>
      <c r="G4094">
        <v>-231.2937</v>
      </c>
      <c r="H4094" s="1">
        <v>-1.008954E-6</v>
      </c>
      <c r="I4094">
        <v>218.29069999999999</v>
      </c>
      <c r="J4094">
        <v>-256.83150000000001</v>
      </c>
      <c r="K4094">
        <v>1.1104309999999999</v>
      </c>
      <c r="L4094">
        <v>215.69390000000001</v>
      </c>
      <c r="M4094">
        <v>0.99956389999999995</v>
      </c>
      <c r="N4094">
        <v>0</v>
      </c>
      <c r="O4094">
        <v>2.5965720000000001E-2</v>
      </c>
      <c r="P4094">
        <v>0.99921669999999996</v>
      </c>
      <c r="Q4094">
        <v>2.9379240000000001E-2</v>
      </c>
      <c r="R4094">
        <v>-2.651684E-2</v>
      </c>
      <c r="S4094">
        <v>3.0141450000000001</v>
      </c>
      <c r="T4094">
        <v>-0.129159</v>
      </c>
      <c r="U4094">
        <v>0.30319210000000002</v>
      </c>
      <c r="V4094">
        <v>5.2441740000000001E-2</v>
      </c>
      <c r="W4094">
        <v>4.3441279999999999E-2</v>
      </c>
      <c r="X4094">
        <v>0.99767859999999997</v>
      </c>
      <c r="Y4094">
        <v>-7.4169289999999999E-2</v>
      </c>
      <c r="Z4094">
        <v>4.7538559999999998E-4</v>
      </c>
      <c r="AA4094">
        <v>0.99724559999999995</v>
      </c>
      <c r="AB4094">
        <v>38</v>
      </c>
      <c r="AC4094">
        <v>25.537800000000001</v>
      </c>
      <c r="AD4094">
        <v>-1.1104320089539901</v>
      </c>
      <c r="AE4094">
        <v>2.5967999999999698</v>
      </c>
      <c r="AF4094">
        <v>-1.9291412684001801</v>
      </c>
      <c r="AG4094">
        <v>-1.1104320089539901</v>
      </c>
      <c r="AH4094">
        <v>25.548812099405801</v>
      </c>
      <c r="AI4094">
        <v>92.481633564242102</v>
      </c>
      <c r="AJ4094">
        <v>94.3180991673444</v>
      </c>
      <c r="AK4094">
        <v>25.6455930906403</v>
      </c>
      <c r="AL4094">
        <v>87.510214320409702</v>
      </c>
      <c r="AM4094">
        <v>86.991087428352301</v>
      </c>
      <c r="AN4094">
        <v>0.99999993490010997</v>
      </c>
    </row>
    <row r="4095" spans="1:40" x14ac:dyDescent="0.25">
      <c r="A4095" t="str">
        <f>"20190312154335750"</f>
        <v>20190312154335750</v>
      </c>
      <c r="B4095" t="str">
        <f>"1552376615741969"</f>
        <v>1552376615741969</v>
      </c>
      <c r="C4095" t="s">
        <v>40</v>
      </c>
      <c r="D4095">
        <v>5.2196389999999999</v>
      </c>
      <c r="E4095">
        <v>0.45324019999999998</v>
      </c>
      <c r="F4095" t="s">
        <v>50</v>
      </c>
      <c r="G4095">
        <v>-230.62870000000001</v>
      </c>
      <c r="H4095" s="1">
        <v>-1.3646459999999901E-6</v>
      </c>
      <c r="I4095">
        <v>218.3321</v>
      </c>
      <c r="J4095">
        <v>-256.44510000000002</v>
      </c>
      <c r="K4095">
        <v>1.1104240000000001</v>
      </c>
      <c r="L4095">
        <v>215.70410000000001</v>
      </c>
      <c r="M4095">
        <v>0.99955989999999995</v>
      </c>
      <c r="N4095">
        <v>0</v>
      </c>
      <c r="O4095">
        <v>2.61173E-2</v>
      </c>
      <c r="P4095">
        <v>0.99922230000000001</v>
      </c>
      <c r="Q4095">
        <v>2.9334880000000001E-2</v>
      </c>
      <c r="R4095">
        <v>-2.635467E-2</v>
      </c>
      <c r="S4095">
        <v>3.01416</v>
      </c>
      <c r="T4095">
        <v>-0.12773499999999999</v>
      </c>
      <c r="U4095">
        <v>0.30348209999999998</v>
      </c>
      <c r="V4095">
        <v>5.2431030000000003E-2</v>
      </c>
      <c r="W4095">
        <v>4.3395070000000001E-2</v>
      </c>
      <c r="X4095">
        <v>0.99768129999999999</v>
      </c>
      <c r="Y4095">
        <v>-7.4113659999999998E-2</v>
      </c>
      <c r="Z4095">
        <v>4.6257010000000002E-4</v>
      </c>
      <c r="AA4095">
        <v>0.99724970000000002</v>
      </c>
      <c r="AB4095">
        <v>38</v>
      </c>
      <c r="AC4095">
        <v>25.816400000000002</v>
      </c>
      <c r="AD4095">
        <v>-1.1104253646460001</v>
      </c>
      <c r="AE4095">
        <v>2.6279999999999801</v>
      </c>
      <c r="AF4095">
        <v>-1.9492127955424301</v>
      </c>
      <c r="AG4095">
        <v>-1.1104253646460001</v>
      </c>
      <c r="AH4095">
        <v>25.8289397849003</v>
      </c>
      <c r="AI4095">
        <v>92.454745146174105</v>
      </c>
      <c r="AJ4095">
        <v>94.315716182030599</v>
      </c>
      <c r="AK4095">
        <v>25.926176066376701</v>
      </c>
      <c r="AL4095">
        <v>87.512864770718593</v>
      </c>
      <c r="AM4095">
        <v>86.991708925927796</v>
      </c>
      <c r="AN4095">
        <v>1.0000000606884201</v>
      </c>
    </row>
    <row r="4096" spans="1:40" x14ac:dyDescent="0.25">
      <c r="A4096" t="str">
        <f>"20190312154335773"</f>
        <v>20190312154335773</v>
      </c>
      <c r="B4096" t="str">
        <f>"1552376615761489"</f>
        <v>1552376615761489</v>
      </c>
      <c r="C4096" t="s">
        <v>40</v>
      </c>
      <c r="D4096">
        <v>5.1956920000000002</v>
      </c>
      <c r="E4096">
        <v>0.48648459999999899</v>
      </c>
      <c r="F4096" t="s">
        <v>50</v>
      </c>
      <c r="G4096">
        <v>-230.19839999999999</v>
      </c>
      <c r="H4096" s="1">
        <v>-1.5936099999999999E-6</v>
      </c>
      <c r="I4096">
        <v>218.3321</v>
      </c>
      <c r="J4096">
        <v>-256.07130000000001</v>
      </c>
      <c r="K4096">
        <v>1.1104240000000001</v>
      </c>
      <c r="L4096">
        <v>215.714</v>
      </c>
      <c r="M4096">
        <v>0.99955609999999995</v>
      </c>
      <c r="N4096">
        <v>0</v>
      </c>
      <c r="O4096">
        <v>2.626388E-2</v>
      </c>
      <c r="P4096">
        <v>0.99922509999999998</v>
      </c>
      <c r="Q4096">
        <v>2.969316E-2</v>
      </c>
      <c r="R4096">
        <v>-2.583947E-2</v>
      </c>
      <c r="S4096">
        <v>3.0140690000000001</v>
      </c>
      <c r="T4096">
        <v>-0.12751699999999999</v>
      </c>
      <c r="U4096">
        <v>0.30178829999999901</v>
      </c>
      <c r="V4096">
        <v>5.2062589999999999E-2</v>
      </c>
      <c r="W4096">
        <v>4.375093E-2</v>
      </c>
      <c r="X4096">
        <v>0.99768500000000004</v>
      </c>
      <c r="Y4096">
        <v>-7.3416519999999999E-2</v>
      </c>
      <c r="Z4096">
        <v>4.4092440000000001E-4</v>
      </c>
      <c r="AA4096">
        <v>0.99730129999999995</v>
      </c>
      <c r="AB4096">
        <v>37</v>
      </c>
      <c r="AC4096">
        <v>25.872900000000001</v>
      </c>
      <c r="AD4096">
        <v>-1.11042559361</v>
      </c>
      <c r="AE4096">
        <v>2.6180999999999699</v>
      </c>
      <c r="AF4096">
        <v>-1.93408027568361</v>
      </c>
      <c r="AG4096">
        <v>-1.11042559361</v>
      </c>
      <c r="AH4096">
        <v>25.885543723833901</v>
      </c>
      <c r="AI4096">
        <v>92.449521340996796</v>
      </c>
      <c r="AJ4096">
        <v>94.273007201180405</v>
      </c>
      <c r="AK4096">
        <v>25.981437323409398</v>
      </c>
      <c r="AL4096">
        <v>87.492455980815805</v>
      </c>
      <c r="AM4096">
        <v>87.012821233781295</v>
      </c>
      <c r="AN4096">
        <v>1.00000000818918</v>
      </c>
    </row>
    <row r="4097" spans="1:40" x14ac:dyDescent="0.25">
      <c r="A4097" t="str">
        <f>"20190312154335794"</f>
        <v>20190312154335794</v>
      </c>
      <c r="B4097" t="str">
        <f>"1552376615781985"</f>
        <v>1552376615781985</v>
      </c>
      <c r="C4097" t="s">
        <v>40</v>
      </c>
      <c r="D4097">
        <v>5.1651309999999997</v>
      </c>
      <c r="E4097">
        <v>0.49948369999999997</v>
      </c>
      <c r="F4097" t="s">
        <v>50</v>
      </c>
      <c r="G4097">
        <v>-238.76240000000001</v>
      </c>
      <c r="H4097" s="1">
        <v>3.0679610000000001E-6</v>
      </c>
      <c r="I4097">
        <v>215.94749999999999</v>
      </c>
      <c r="J4097">
        <v>-255.7114</v>
      </c>
      <c r="K4097">
        <v>1.110422</v>
      </c>
      <c r="L4097">
        <v>215.7236</v>
      </c>
      <c r="M4097">
        <v>0.99955240000000001</v>
      </c>
      <c r="N4097">
        <v>0</v>
      </c>
      <c r="O4097">
        <v>2.6405080000000001E-2</v>
      </c>
      <c r="P4097">
        <v>0.99924190000000002</v>
      </c>
      <c r="Q4097">
        <v>2.9702639999999999E-2</v>
      </c>
      <c r="R4097">
        <v>-2.5171929999999999E-2</v>
      </c>
      <c r="S4097">
        <v>3.009109</v>
      </c>
      <c r="T4097">
        <v>-0.19304450000000001</v>
      </c>
      <c r="U4097">
        <v>4.058838E-2</v>
      </c>
      <c r="V4097">
        <v>5.153663E-2</v>
      </c>
      <c r="W4097">
        <v>4.375855E-2</v>
      </c>
      <c r="X4097">
        <v>0.99771200000000004</v>
      </c>
      <c r="Y4097">
        <v>1.2842070000000001E-2</v>
      </c>
      <c r="Z4097">
        <v>-2.103593E-3</v>
      </c>
      <c r="AA4097">
        <v>0.99991529999999995</v>
      </c>
      <c r="AB4097">
        <v>37</v>
      </c>
      <c r="AC4097">
        <v>16.948999999999899</v>
      </c>
      <c r="AD4097">
        <v>-1.1104189320389899</v>
      </c>
      <c r="AE4097">
        <v>0.223899999999986</v>
      </c>
      <c r="AF4097">
        <v>0.22280587366787399</v>
      </c>
      <c r="AG4097">
        <v>-1.1104189320389899</v>
      </c>
      <c r="AH4097">
        <v>16.8765758868483</v>
      </c>
      <c r="AI4097">
        <v>93.764106289617999</v>
      </c>
      <c r="AJ4097">
        <v>89.243620583832296</v>
      </c>
      <c r="AK4097">
        <v>16.9145347652994</v>
      </c>
      <c r="AL4097">
        <v>87.492019035579602</v>
      </c>
      <c r="AM4097">
        <v>87.043025123636895</v>
      </c>
      <c r="AN4097">
        <v>1.00000003493692</v>
      </c>
    </row>
    <row r="4098" spans="1:40" x14ac:dyDescent="0.25">
      <c r="A4098" t="str">
        <f>"20190312154335817"</f>
        <v>20190312154335817</v>
      </c>
      <c r="B4098" t="str">
        <f>"1552376615811265"</f>
        <v>1552376615811265</v>
      </c>
      <c r="C4098" t="s">
        <v>40</v>
      </c>
      <c r="D4098">
        <v>5.1333570000000002</v>
      </c>
      <c r="E4098">
        <v>0.50508469999999905</v>
      </c>
      <c r="F4098" t="s">
        <v>41</v>
      </c>
      <c r="G4098">
        <v>-254.75200000000001</v>
      </c>
      <c r="H4098">
        <v>1.0429600000000001</v>
      </c>
      <c r="I4098">
        <v>215.7039</v>
      </c>
      <c r="J4098">
        <v>-255.33240000000001</v>
      </c>
      <c r="K4098">
        <v>1.1104160000000001</v>
      </c>
      <c r="L4098">
        <v>215.7338</v>
      </c>
      <c r="M4098">
        <v>0.99954849999999995</v>
      </c>
      <c r="N4098">
        <v>0</v>
      </c>
      <c r="O4098">
        <v>2.655362E-2</v>
      </c>
      <c r="P4098">
        <v>0.99925920000000001</v>
      </c>
      <c r="Q4098">
        <v>2.9322210000000001E-2</v>
      </c>
      <c r="R4098">
        <v>-2.4928929999999998E-2</v>
      </c>
      <c r="S4098">
        <v>3.0070649999999999</v>
      </c>
      <c r="T4098">
        <v>-0.2116306</v>
      </c>
      <c r="U4098">
        <v>-6.0470580000000003E-2</v>
      </c>
      <c r="V4098">
        <v>5.1442679999999998E-2</v>
      </c>
      <c r="W4098">
        <v>4.3375539999999997E-2</v>
      </c>
      <c r="X4098">
        <v>0.99773350000000005</v>
      </c>
      <c r="Y4098">
        <v>4.6468679999999998E-2</v>
      </c>
      <c r="Z4098">
        <v>-3.4994309999999999E-3</v>
      </c>
      <c r="AA4098">
        <v>0.99891359999999996</v>
      </c>
      <c r="AB4098">
        <v>37</v>
      </c>
      <c r="AC4098">
        <v>0.58039999999999703</v>
      </c>
      <c r="AD4098">
        <v>-6.7455999999999905E-2</v>
      </c>
      <c r="AE4098">
        <v>-2.98999999999978E-2</v>
      </c>
      <c r="AF4098">
        <v>4.4700490137596902E-2</v>
      </c>
      <c r="AG4098">
        <v>-6.7455999999999905E-2</v>
      </c>
      <c r="AH4098">
        <v>0.57169928314668705</v>
      </c>
      <c r="AI4098">
        <v>96.709046546892196</v>
      </c>
      <c r="AJ4098">
        <v>85.529206742592606</v>
      </c>
      <c r="AK4098">
        <v>0.57739805689400903</v>
      </c>
      <c r="AL4098">
        <v>87.513984566117898</v>
      </c>
      <c r="AM4098">
        <v>87.048469566087206</v>
      </c>
      <c r="AN4098">
        <v>0.99999996190906104</v>
      </c>
    </row>
    <row r="4099" spans="1:40" x14ac:dyDescent="0.25">
      <c r="A4099" t="str">
        <f>"20190312154335839"</f>
        <v>20190312154335839</v>
      </c>
      <c r="B4099" t="str">
        <f>"1552376615831761"</f>
        <v>1552376615831761</v>
      </c>
      <c r="C4099" t="s">
        <v>40</v>
      </c>
      <c r="D4099">
        <v>5.1181469999999996</v>
      </c>
      <c r="E4099">
        <v>0.50708409999999904</v>
      </c>
      <c r="F4099" t="s">
        <v>41</v>
      </c>
      <c r="G4099">
        <v>-254.41820000000001</v>
      </c>
      <c r="H4099">
        <v>1.0426120000000001</v>
      </c>
      <c r="I4099">
        <v>215.7021</v>
      </c>
      <c r="J4099">
        <v>-254.9649</v>
      </c>
      <c r="K4099">
        <v>1.1104179999999999</v>
      </c>
      <c r="L4099">
        <v>215.74369999999999</v>
      </c>
      <c r="M4099">
        <v>0.99954460000000001</v>
      </c>
      <c r="N4099">
        <v>0</v>
      </c>
      <c r="O4099">
        <v>2.669769E-2</v>
      </c>
      <c r="P4099">
        <v>0.999251</v>
      </c>
      <c r="Q4099">
        <v>2.960989E-2</v>
      </c>
      <c r="R4099">
        <v>-2.4921660000000002E-2</v>
      </c>
      <c r="S4099">
        <v>3.006195</v>
      </c>
      <c r="T4099">
        <v>-0.2229767</v>
      </c>
      <c r="U4099">
        <v>-0.1038818</v>
      </c>
      <c r="V4099">
        <v>5.1578859999999997E-2</v>
      </c>
      <c r="W4099">
        <v>4.3661360000000003E-2</v>
      </c>
      <c r="X4099">
        <v>0.99771399999999999</v>
      </c>
      <c r="Y4099">
        <v>6.0966819999999998E-2</v>
      </c>
      <c r="Z4099">
        <v>-4.23443E-3</v>
      </c>
      <c r="AA4099">
        <v>0.99813079999999998</v>
      </c>
      <c r="AB4099">
        <v>37</v>
      </c>
      <c r="AC4099">
        <v>0.54669999999998697</v>
      </c>
      <c r="AD4099">
        <v>-6.7806000000000005E-2</v>
      </c>
      <c r="AE4099">
        <v>-4.1599999999988299E-2</v>
      </c>
      <c r="AF4099">
        <v>5.53359136492826E-2</v>
      </c>
      <c r="AG4099">
        <v>-6.7806000000000005E-2</v>
      </c>
      <c r="AH4099">
        <v>0.53717856668339303</v>
      </c>
      <c r="AI4099">
        <v>97.156704419711005</v>
      </c>
      <c r="AJ4099">
        <v>84.118584152974094</v>
      </c>
      <c r="AK4099">
        <v>0.54426145323679298</v>
      </c>
      <c r="AL4099">
        <v>87.497592750428595</v>
      </c>
      <c r="AM4099">
        <v>87.040612354817497</v>
      </c>
      <c r="AN4099">
        <v>0.99999995947597298</v>
      </c>
    </row>
    <row r="4100" spans="1:40" x14ac:dyDescent="0.25">
      <c r="A4100" t="str">
        <f>"20190312154335862"</f>
        <v>20190312154335862</v>
      </c>
      <c r="B4100" t="str">
        <f>"1552376615851280"</f>
        <v>1552376615851280</v>
      </c>
      <c r="C4100" t="s">
        <v>40</v>
      </c>
      <c r="D4100">
        <v>5.1433910000000003</v>
      </c>
      <c r="E4100">
        <v>0.50830390000000003</v>
      </c>
      <c r="F4100" t="s">
        <v>41</v>
      </c>
      <c r="G4100">
        <v>-254.08330000000001</v>
      </c>
      <c r="H4100">
        <v>1.044359</v>
      </c>
      <c r="I4100">
        <v>215.70820000000001</v>
      </c>
      <c r="J4100">
        <v>-254.5806</v>
      </c>
      <c r="K4100">
        <v>1.1104259999999999</v>
      </c>
      <c r="L4100">
        <v>215.75409999999999</v>
      </c>
      <c r="M4100">
        <v>0.9995406</v>
      </c>
      <c r="N4100">
        <v>0</v>
      </c>
      <c r="O4100">
        <v>2.6848549999999999E-2</v>
      </c>
      <c r="P4100">
        <v>0.99925359999999996</v>
      </c>
      <c r="Q4100">
        <v>2.9519110000000001E-2</v>
      </c>
      <c r="R4100">
        <v>-2.4921370000000002E-2</v>
      </c>
      <c r="S4100">
        <v>3.005951</v>
      </c>
      <c r="T4100">
        <v>-0.2254747</v>
      </c>
      <c r="U4100">
        <v>-0.1197662</v>
      </c>
      <c r="V4100">
        <v>5.1729560000000001E-2</v>
      </c>
      <c r="W4100">
        <v>4.3568469999999998E-2</v>
      </c>
      <c r="X4100">
        <v>0.99771030000000005</v>
      </c>
      <c r="Y4100">
        <v>6.6365510000000003E-2</v>
      </c>
      <c r="Z4100">
        <v>-4.4951089999999997E-3</v>
      </c>
      <c r="AA4100">
        <v>0.99778529999999999</v>
      </c>
      <c r="AB4100">
        <v>37</v>
      </c>
      <c r="AC4100">
        <v>0.49729999999999502</v>
      </c>
      <c r="AD4100">
        <v>-6.6066999999999806E-2</v>
      </c>
      <c r="AE4100">
        <v>-4.5899999999988901E-2</v>
      </c>
      <c r="AF4100">
        <v>5.82177207300172E-2</v>
      </c>
      <c r="AG4100">
        <v>-6.6066999999999806E-2</v>
      </c>
      <c r="AH4100">
        <v>0.48735923842540602</v>
      </c>
      <c r="AI4100">
        <v>97.666175997553694</v>
      </c>
      <c r="AJ4100">
        <v>83.187985658122997</v>
      </c>
      <c r="AK4100">
        <v>0.49525062218496002</v>
      </c>
      <c r="AL4100">
        <v>87.502920128307593</v>
      </c>
      <c r="AM4100">
        <v>87.031970244882302</v>
      </c>
      <c r="AN4100">
        <v>1.0000000008410099</v>
      </c>
    </row>
    <row r="4101" spans="1:40" x14ac:dyDescent="0.25">
      <c r="A4101" t="str">
        <f>"20190312154335883"</f>
        <v>20190312154335883</v>
      </c>
      <c r="B4101" t="str">
        <f>"1552376615871777"</f>
        <v>1552376615871777</v>
      </c>
      <c r="C4101" t="s">
        <v>40</v>
      </c>
      <c r="D4101">
        <v>5.1637190000000004</v>
      </c>
      <c r="E4101">
        <v>0.50913299999999995</v>
      </c>
      <c r="F4101" t="s">
        <v>41</v>
      </c>
      <c r="G4101">
        <v>-253.74719999999999</v>
      </c>
      <c r="H4101">
        <v>1.0471699999999999</v>
      </c>
      <c r="I4101">
        <v>215.7182</v>
      </c>
      <c r="J4101">
        <v>-254.22880000000001</v>
      </c>
      <c r="K4101">
        <v>1.1104290000000001</v>
      </c>
      <c r="L4101">
        <v>215.7637</v>
      </c>
      <c r="M4101">
        <v>0.99953709999999996</v>
      </c>
      <c r="N4101">
        <v>0</v>
      </c>
      <c r="O4101">
        <v>2.6986429999999999E-2</v>
      </c>
      <c r="P4101">
        <v>0.99923600000000001</v>
      </c>
      <c r="Q4101">
        <v>2.982653E-2</v>
      </c>
      <c r="R4101">
        <v>-2.5265739999999998E-2</v>
      </c>
      <c r="S4101">
        <v>3.0057830000000001</v>
      </c>
      <c r="T4101">
        <v>-0.22822509999999999</v>
      </c>
      <c r="U4101">
        <v>-0.12918089999999999</v>
      </c>
      <c r="V4101">
        <v>5.2210699999999999E-2</v>
      </c>
      <c r="W4101">
        <v>4.387336E-2</v>
      </c>
      <c r="X4101">
        <v>0.99767189999999994</v>
      </c>
      <c r="Y4101">
        <v>6.9608760000000006E-2</v>
      </c>
      <c r="Z4101">
        <v>-4.6831099999999999E-3</v>
      </c>
      <c r="AA4101">
        <v>0.99756339999999999</v>
      </c>
      <c r="AB4101">
        <v>37</v>
      </c>
      <c r="AC4101">
        <v>0.48160000000001402</v>
      </c>
      <c r="AD4101">
        <v>-6.3258999999999899E-2</v>
      </c>
      <c r="AE4101">
        <v>-4.5500000000004003E-2</v>
      </c>
      <c r="AF4101">
        <v>5.7498117966482999E-2</v>
      </c>
      <c r="AG4101">
        <v>-6.3258999999999899E-2</v>
      </c>
      <c r="AH4101">
        <v>0.47212295686029099</v>
      </c>
      <c r="AI4101">
        <v>97.576196635450003</v>
      </c>
      <c r="AJ4101">
        <v>83.056352253752607</v>
      </c>
      <c r="AK4101">
        <v>0.479799771826948</v>
      </c>
      <c r="AL4101">
        <v>87.485434557474505</v>
      </c>
      <c r="AM4101">
        <v>87.004299366741193</v>
      </c>
      <c r="AN4101">
        <v>1.00000002448089</v>
      </c>
    </row>
    <row r="4102" spans="1:40" x14ac:dyDescent="0.25">
      <c r="A4102" t="str">
        <f>"20190312154335906"</f>
        <v>20190312154335906</v>
      </c>
      <c r="B4102" t="str">
        <f>"1552376615901247"</f>
        <v>1552376615901247</v>
      </c>
      <c r="C4102" t="s">
        <v>40</v>
      </c>
      <c r="D4102">
        <v>5.1455549999999999</v>
      </c>
      <c r="E4102">
        <v>0.50994129999999904</v>
      </c>
      <c r="F4102" t="s">
        <v>41</v>
      </c>
      <c r="G4102">
        <v>-253.41309999999999</v>
      </c>
      <c r="H4102">
        <v>1.0481</v>
      </c>
      <c r="I4102">
        <v>215.72630000000001</v>
      </c>
      <c r="J4102">
        <v>-253.85059999999999</v>
      </c>
      <c r="K4102">
        <v>1.11043</v>
      </c>
      <c r="L4102">
        <v>215.774</v>
      </c>
      <c r="M4102">
        <v>0.99953309999999995</v>
      </c>
      <c r="N4102">
        <v>0</v>
      </c>
      <c r="O4102">
        <v>2.7135260000000001E-2</v>
      </c>
      <c r="P4102">
        <v>0.99922730000000004</v>
      </c>
      <c r="Q4102">
        <v>2.9647719999999999E-2</v>
      </c>
      <c r="R4102">
        <v>-2.581377E-2</v>
      </c>
      <c r="S4102">
        <v>3.0056759999999998</v>
      </c>
      <c r="T4102">
        <v>-0.229799</v>
      </c>
      <c r="U4102">
        <v>-0.136795</v>
      </c>
      <c r="V4102">
        <v>5.2907120000000002E-2</v>
      </c>
      <c r="W4102">
        <v>4.3692330000000001E-2</v>
      </c>
      <c r="X4102">
        <v>0.9976431</v>
      </c>
      <c r="Y4102">
        <v>7.2268730000000003E-2</v>
      </c>
      <c r="Z4102">
        <v>-4.8280780000000004E-3</v>
      </c>
      <c r="AA4102">
        <v>0.99737350000000002</v>
      </c>
      <c r="AB4102">
        <v>37</v>
      </c>
      <c r="AC4102">
        <v>0.4375</v>
      </c>
      <c r="AD4102">
        <v>-6.2330000000000003E-2</v>
      </c>
      <c r="AE4102">
        <v>-4.7699999999991798E-2</v>
      </c>
      <c r="AF4102">
        <v>5.8384160242043098E-2</v>
      </c>
      <c r="AG4102">
        <v>-6.2330000000000003E-2</v>
      </c>
      <c r="AH4102">
        <v>0.42746983527900201</v>
      </c>
      <c r="AI4102">
        <v>98.220654135170506</v>
      </c>
      <c r="AJ4102">
        <v>82.222620480591601</v>
      </c>
      <c r="AK4102">
        <v>0.4359176517883</v>
      </c>
      <c r="AL4102">
        <v>87.4958166290061</v>
      </c>
      <c r="AM4102">
        <v>86.964327554517595</v>
      </c>
      <c r="AN4102">
        <v>0.99999996901256605</v>
      </c>
    </row>
    <row r="4103" spans="1:40" x14ac:dyDescent="0.25">
      <c r="A4103" t="str">
        <f>"20190312154335929"</f>
        <v>20190312154335929</v>
      </c>
      <c r="B4103" t="str">
        <f>"1552376615921743"</f>
        <v>1552376615921743</v>
      </c>
      <c r="C4103" t="s">
        <v>40</v>
      </c>
      <c r="D4103">
        <v>5.1749269999999896</v>
      </c>
      <c r="E4103">
        <v>0.51037909999999997</v>
      </c>
      <c r="F4103" t="s">
        <v>41</v>
      </c>
      <c r="G4103">
        <v>-253.07769999999999</v>
      </c>
      <c r="H4103">
        <v>1.050786</v>
      </c>
      <c r="I4103">
        <v>215.73650000000001</v>
      </c>
      <c r="J4103">
        <v>-253.46270000000001</v>
      </c>
      <c r="K4103">
        <v>1.1104240000000001</v>
      </c>
      <c r="L4103">
        <v>215.78469999999999</v>
      </c>
      <c r="M4103">
        <v>0.99952890000000005</v>
      </c>
      <c r="N4103">
        <v>0</v>
      </c>
      <c r="O4103">
        <v>2.728773E-2</v>
      </c>
      <c r="P4103">
        <v>0.99922889999999998</v>
      </c>
      <c r="Q4103">
        <v>2.9548560000000001E-2</v>
      </c>
      <c r="R4103">
        <v>-2.5859159999999999E-2</v>
      </c>
      <c r="S4103">
        <v>3.0054470000000002</v>
      </c>
      <c r="T4103">
        <v>-0.23206599999999999</v>
      </c>
      <c r="U4103">
        <v>-0.14491270000000001</v>
      </c>
      <c r="V4103">
        <v>5.3104859999999997E-2</v>
      </c>
      <c r="W4103">
        <v>4.3590860000000002E-2</v>
      </c>
      <c r="X4103">
        <v>0.99763710000000005</v>
      </c>
      <c r="Y4103">
        <v>7.5097410000000003E-2</v>
      </c>
      <c r="Z4103">
        <v>-4.9963830000000001E-3</v>
      </c>
      <c r="AA4103">
        <v>0.99716369999999999</v>
      </c>
      <c r="AB4103">
        <v>37</v>
      </c>
      <c r="AC4103">
        <v>0.38500000000001899</v>
      </c>
      <c r="AD4103">
        <v>-5.9637999999999997E-2</v>
      </c>
      <c r="AE4103">
        <v>-4.8199999999980002E-2</v>
      </c>
      <c r="AF4103">
        <v>5.7334341098358298E-2</v>
      </c>
      <c r="AG4103">
        <v>-5.9637999999999997E-2</v>
      </c>
      <c r="AH4103">
        <v>0.37468920249850601</v>
      </c>
      <c r="AI4103">
        <v>98.941348396364404</v>
      </c>
      <c r="AJ4103">
        <v>81.300173894161205</v>
      </c>
      <c r="AK4103">
        <v>0.38371332552069298</v>
      </c>
      <c r="AL4103">
        <v>87.501636144434002</v>
      </c>
      <c r="AM4103">
        <v>86.952984798512205</v>
      </c>
      <c r="AN4103">
        <v>1.00000003626378</v>
      </c>
    </row>
    <row r="4104" spans="1:40" x14ac:dyDescent="0.25">
      <c r="A4104" t="str">
        <f>"20190312154335953"</f>
        <v>20190312154335953</v>
      </c>
      <c r="B4104" t="str">
        <f>"1552376615941263"</f>
        <v>1552376615941263</v>
      </c>
      <c r="C4104" t="s">
        <v>40</v>
      </c>
      <c r="D4104">
        <v>5.156657</v>
      </c>
      <c r="E4104">
        <v>0.51074960000000003</v>
      </c>
      <c r="F4104" t="s">
        <v>41</v>
      </c>
      <c r="G4104">
        <v>-252.42500000000001</v>
      </c>
      <c r="H4104">
        <v>1.0301359999999999</v>
      </c>
      <c r="I4104">
        <v>215.73339999999999</v>
      </c>
      <c r="J4104">
        <v>-253.06960000000001</v>
      </c>
      <c r="K4104">
        <v>1.110425</v>
      </c>
      <c r="L4104">
        <v>215.79560000000001</v>
      </c>
      <c r="M4104">
        <v>0.99952450000000004</v>
      </c>
      <c r="N4104">
        <v>0</v>
      </c>
      <c r="O4104">
        <v>2.7442169999999998E-2</v>
      </c>
      <c r="P4104">
        <v>0.99923059999999997</v>
      </c>
      <c r="Q4104">
        <v>2.9564159999999999E-2</v>
      </c>
      <c r="R4104">
        <v>-2.5776469999999999E-2</v>
      </c>
      <c r="S4104">
        <v>3.0053709999999998</v>
      </c>
      <c r="T4104">
        <v>-0.2326136</v>
      </c>
      <c r="U4104">
        <v>-0.1482086</v>
      </c>
      <c r="V4104">
        <v>5.3176559999999998E-2</v>
      </c>
      <c r="W4104">
        <v>4.3604200000000003E-2</v>
      </c>
      <c r="X4104">
        <v>0.99763270000000004</v>
      </c>
      <c r="Y4104">
        <v>7.6338020000000006E-2</v>
      </c>
      <c r="Z4104">
        <v>-5.0679779999999999E-3</v>
      </c>
      <c r="AA4104">
        <v>0.99706910000000004</v>
      </c>
      <c r="AB4104">
        <v>37</v>
      </c>
      <c r="AC4104">
        <v>0.64459999999999695</v>
      </c>
      <c r="AD4104">
        <v>-8.0288999999999805E-2</v>
      </c>
      <c r="AE4104">
        <v>-6.22000000000184E-2</v>
      </c>
      <c r="AF4104">
        <v>7.8658470618153703E-2</v>
      </c>
      <c r="AG4104">
        <v>-8.0288999999999805E-2</v>
      </c>
      <c r="AH4104">
        <v>0.63292138755433303</v>
      </c>
      <c r="AI4104">
        <v>97.175003990993503</v>
      </c>
      <c r="AJ4104">
        <v>82.915694642218199</v>
      </c>
      <c r="AK4104">
        <v>0.64282420718629596</v>
      </c>
      <c r="AL4104">
        <v>87.5008710967995</v>
      </c>
      <c r="AM4104">
        <v>86.948865180318904</v>
      </c>
      <c r="AN4104">
        <v>1.0000000384501799</v>
      </c>
    </row>
    <row r="4105" spans="1:40" x14ac:dyDescent="0.25">
      <c r="A4105" t="str">
        <f>"20190312154335974"</f>
        <v>20190312154335974</v>
      </c>
      <c r="B4105" t="str">
        <f>"1552376615961759"</f>
        <v>1552376615961759</v>
      </c>
      <c r="C4105" t="s">
        <v>40</v>
      </c>
      <c r="D4105">
        <v>5.1597569999999999</v>
      </c>
      <c r="E4105">
        <v>0.51105370000000006</v>
      </c>
      <c r="F4105" t="s">
        <v>41</v>
      </c>
      <c r="G4105">
        <v>-252.0907</v>
      </c>
      <c r="H4105">
        <v>1.0345879999999901</v>
      </c>
      <c r="I4105">
        <v>215.74619999999999</v>
      </c>
      <c r="J4105">
        <v>-252.71799999999999</v>
      </c>
      <c r="K4105">
        <v>1.1104240000000001</v>
      </c>
      <c r="L4105">
        <v>215.80539999999999</v>
      </c>
      <c r="M4105">
        <v>0.99952099999999999</v>
      </c>
      <c r="N4105">
        <v>0</v>
      </c>
      <c r="O4105">
        <v>2.7580339999999998E-2</v>
      </c>
      <c r="P4105">
        <v>0.99923240000000002</v>
      </c>
      <c r="Q4105">
        <v>2.9506609999999999E-2</v>
      </c>
      <c r="R4105">
        <v>-2.577544E-2</v>
      </c>
      <c r="S4105">
        <v>3.005341</v>
      </c>
      <c r="T4105">
        <v>-0.23300989999999999</v>
      </c>
      <c r="U4105">
        <v>-0.15077209999999999</v>
      </c>
      <c r="V4105">
        <v>5.3313579999999999E-2</v>
      </c>
      <c r="W4105">
        <v>4.3544180000000002E-2</v>
      </c>
      <c r="X4105">
        <v>0.99762799999999996</v>
      </c>
      <c r="Y4105">
        <v>7.7320269999999997E-2</v>
      </c>
      <c r="Z4105">
        <v>-5.1252260000000001E-3</v>
      </c>
      <c r="AA4105">
        <v>0.99699309999999997</v>
      </c>
      <c r="AB4105">
        <v>37</v>
      </c>
      <c r="AC4105">
        <v>0.62729999999999098</v>
      </c>
      <c r="AD4105">
        <v>-7.5836000000000195E-2</v>
      </c>
      <c r="AE4105">
        <v>-5.9200000000004097E-2</v>
      </c>
      <c r="AF4105">
        <v>7.5388251130048906E-2</v>
      </c>
      <c r="AG4105">
        <v>-7.5836000000000195E-2</v>
      </c>
      <c r="AH4105">
        <v>0.61649779738380905</v>
      </c>
      <c r="AI4105">
        <v>96.961438496629</v>
      </c>
      <c r="AJ4105">
        <v>83.028215991887393</v>
      </c>
      <c r="AK4105">
        <v>0.62570282201979499</v>
      </c>
      <c r="AL4105">
        <v>87.504313237398506</v>
      </c>
      <c r="AM4105">
        <v>86.941003851693196</v>
      </c>
      <c r="AN4105">
        <v>1.0000000299041401</v>
      </c>
    </row>
    <row r="4106" spans="1:40" x14ac:dyDescent="0.25">
      <c r="A4106" t="str">
        <f>"20190312154335996"</f>
        <v>20190312154335996</v>
      </c>
      <c r="B4106" t="str">
        <f>"1552376615981279"</f>
        <v>1552376615981279</v>
      </c>
      <c r="C4106" t="s">
        <v>40</v>
      </c>
      <c r="D4106">
        <v>5.1578860000000004</v>
      </c>
      <c r="E4106">
        <v>0.51120329999999903</v>
      </c>
      <c r="F4106" t="s">
        <v>41</v>
      </c>
      <c r="G4106">
        <v>-251.75819999999999</v>
      </c>
      <c r="H4106">
        <v>1.035863</v>
      </c>
      <c r="I4106">
        <v>215.75620000000001</v>
      </c>
      <c r="J4106">
        <v>-252.351</v>
      </c>
      <c r="K4106">
        <v>1.1104259999999999</v>
      </c>
      <c r="L4106">
        <v>215.81559999999999</v>
      </c>
      <c r="M4106">
        <v>0.99951699999999999</v>
      </c>
      <c r="N4106">
        <v>0</v>
      </c>
      <c r="O4106">
        <v>2.7724289999999999E-2</v>
      </c>
      <c r="P4106">
        <v>0.9992375</v>
      </c>
      <c r="Q4106">
        <v>2.9394360000000001E-2</v>
      </c>
      <c r="R4106">
        <v>-2.5703469999999999E-2</v>
      </c>
      <c r="S4106">
        <v>3.0052490000000001</v>
      </c>
      <c r="T4106">
        <v>-0.2335449</v>
      </c>
      <c r="U4106">
        <v>-0.15335079999999901</v>
      </c>
      <c r="V4106">
        <v>5.3385630000000003E-2</v>
      </c>
      <c r="W4106">
        <v>4.3429839999999997E-2</v>
      </c>
      <c r="X4106">
        <v>0.99762910000000005</v>
      </c>
      <c r="Y4106">
        <v>7.8313759999999996E-2</v>
      </c>
      <c r="Z4106">
        <v>-5.1866949999999998E-3</v>
      </c>
      <c r="AA4106">
        <v>0.99691529999999995</v>
      </c>
      <c r="AB4106">
        <v>37</v>
      </c>
      <c r="AC4106">
        <v>0.59280000000001098</v>
      </c>
      <c r="AD4106">
        <v>-7.4562999999999893E-2</v>
      </c>
      <c r="AE4106">
        <v>-5.93999999999823E-2</v>
      </c>
      <c r="AF4106">
        <v>7.4644539739466997E-2</v>
      </c>
      <c r="AG4106">
        <v>-7.4562999999999893E-2</v>
      </c>
      <c r="AH4106">
        <v>0.58181183502280098</v>
      </c>
      <c r="AI4106">
        <v>97.244282642297904</v>
      </c>
      <c r="AJ4106">
        <v>82.689078567226602</v>
      </c>
      <c r="AK4106">
        <v>0.59130065081523098</v>
      </c>
      <c r="AL4106">
        <v>87.510870562590696</v>
      </c>
      <c r="AM4106">
        <v>86.936881046265896</v>
      </c>
      <c r="AN4106">
        <v>0.99999999882986601</v>
      </c>
    </row>
    <row r="4107" spans="1:40" x14ac:dyDescent="0.25">
      <c r="A4107" t="str">
        <f>"20190312154336018"</f>
        <v>20190312154336018</v>
      </c>
      <c r="B4107" t="str">
        <f>"1552376616011535"</f>
        <v>1552376616011535</v>
      </c>
      <c r="C4107" t="s">
        <v>40</v>
      </c>
      <c r="D4107">
        <v>5.2399100000000001</v>
      </c>
      <c r="E4107">
        <v>0.52358649999999995</v>
      </c>
      <c r="F4107" t="s">
        <v>41</v>
      </c>
      <c r="G4107">
        <v>-251.42529999999999</v>
      </c>
      <c r="H4107">
        <v>1.03842099999999</v>
      </c>
      <c r="I4107">
        <v>215.76779999999999</v>
      </c>
      <c r="J4107">
        <v>-251.98769999999999</v>
      </c>
      <c r="K4107">
        <v>1.1104240000000001</v>
      </c>
      <c r="L4107">
        <v>215.82589999999999</v>
      </c>
      <c r="M4107">
        <v>0.99951310000000004</v>
      </c>
      <c r="N4107">
        <v>0</v>
      </c>
      <c r="O4107">
        <v>2.7866930000000002E-2</v>
      </c>
      <c r="P4107">
        <v>0.99924020000000002</v>
      </c>
      <c r="Q4107">
        <v>2.904145E-2</v>
      </c>
      <c r="R4107">
        <v>-2.6006979999999999E-2</v>
      </c>
      <c r="S4107">
        <v>3.0052029999999998</v>
      </c>
      <c r="T4107">
        <v>-0.2340351</v>
      </c>
      <c r="U4107">
        <v>-0.154174799999999</v>
      </c>
      <c r="V4107">
        <v>5.3831450000000003E-2</v>
      </c>
      <c r="W4107">
        <v>4.3074939999999999E-2</v>
      </c>
      <c r="X4107">
        <v>0.99762050000000002</v>
      </c>
      <c r="Y4107">
        <v>7.8726399999999905E-2</v>
      </c>
      <c r="Z4107">
        <v>-5.2247109999999999E-3</v>
      </c>
      <c r="AA4107">
        <v>0.99688259999999995</v>
      </c>
      <c r="AB4107">
        <v>37</v>
      </c>
      <c r="AC4107">
        <v>0.56239999999999601</v>
      </c>
      <c r="AD4107">
        <v>-7.2003000000000206E-2</v>
      </c>
      <c r="AE4107">
        <v>-5.8099999999996002E-2</v>
      </c>
      <c r="AF4107">
        <v>7.2574319234971998E-2</v>
      </c>
      <c r="AG4107">
        <v>-7.2003000000000206E-2</v>
      </c>
      <c r="AH4107">
        <v>0.55161614649260504</v>
      </c>
      <c r="AI4107">
        <v>97.373988831731793</v>
      </c>
      <c r="AJ4107">
        <v>82.504831817609798</v>
      </c>
      <c r="AK4107">
        <v>0.56100965846656403</v>
      </c>
      <c r="AL4107">
        <v>87.531223807640998</v>
      </c>
      <c r="AM4107">
        <v>86.911323883705904</v>
      </c>
      <c r="AN4107">
        <v>0.99999996874267705</v>
      </c>
    </row>
    <row r="4108" spans="1:40" x14ac:dyDescent="0.25">
      <c r="A4108" t="str">
        <f>"20190312154336039"</f>
        <v>20190312154336039</v>
      </c>
      <c r="B4108" t="str">
        <f>"1552376616032034"</f>
        <v>1552376616032034</v>
      </c>
      <c r="C4108" t="s">
        <v>40</v>
      </c>
      <c r="D4108">
        <v>5.2104359999999996</v>
      </c>
      <c r="E4108">
        <v>0.53310159999999995</v>
      </c>
      <c r="F4108" t="s">
        <v>41</v>
      </c>
      <c r="G4108">
        <v>-251.12119999999999</v>
      </c>
      <c r="H4108">
        <v>0.98160020000000003</v>
      </c>
      <c r="I4108">
        <v>215.75489999999999</v>
      </c>
      <c r="J4108">
        <v>-251.62559999999999</v>
      </c>
      <c r="K4108">
        <v>1.1104270000000001</v>
      </c>
      <c r="L4108">
        <v>215.83609999999999</v>
      </c>
      <c r="M4108">
        <v>0.99950890000000003</v>
      </c>
      <c r="N4108">
        <v>0</v>
      </c>
      <c r="O4108">
        <v>2.8009389999999999E-2</v>
      </c>
      <c r="P4108">
        <v>0.99924360000000001</v>
      </c>
      <c r="Q4108">
        <v>2.875086E-2</v>
      </c>
      <c r="R4108">
        <v>-2.6185480000000001E-2</v>
      </c>
      <c r="S4108">
        <v>3.0088810000000001</v>
      </c>
      <c r="T4108">
        <v>-0.44744830000000002</v>
      </c>
      <c r="U4108">
        <v>-0.2455444</v>
      </c>
      <c r="V4108">
        <v>5.4152600000000002E-2</v>
      </c>
      <c r="W4108">
        <v>4.2782430000000003E-2</v>
      </c>
      <c r="X4108">
        <v>0.99761580000000005</v>
      </c>
      <c r="Y4108">
        <v>0.1077398</v>
      </c>
      <c r="Z4108">
        <v>-1.2091029999999999E-2</v>
      </c>
      <c r="AA4108">
        <v>0.99410560000000003</v>
      </c>
      <c r="AB4108">
        <v>37</v>
      </c>
      <c r="AC4108">
        <v>0.50440000000000396</v>
      </c>
      <c r="AD4108">
        <v>-0.12882679999999999</v>
      </c>
      <c r="AE4108">
        <v>-8.1199999999995498E-2</v>
      </c>
      <c r="AF4108">
        <v>8.9600285751286604E-2</v>
      </c>
      <c r="AG4108">
        <v>-0.12882679999999999</v>
      </c>
      <c r="AH4108">
        <v>0.47192068048900598</v>
      </c>
      <c r="AI4108">
        <v>105.01302732059899</v>
      </c>
      <c r="AJ4108">
        <v>79.249608005118105</v>
      </c>
      <c r="AK4108">
        <v>0.49732653687306799</v>
      </c>
      <c r="AL4108">
        <v>87.547999090761493</v>
      </c>
      <c r="AM4108">
        <v>86.892918713408605</v>
      </c>
      <c r="AN4108">
        <v>1.0000000624065499</v>
      </c>
    </row>
    <row r="4109" spans="1:40" x14ac:dyDescent="0.25">
      <c r="A4109" t="str">
        <f>"20190312154336063"</f>
        <v>20190312154336063</v>
      </c>
      <c r="B4109" t="str">
        <f>"1552376616051551"</f>
        <v>1552376616051551</v>
      </c>
      <c r="C4109" t="s">
        <v>40</v>
      </c>
      <c r="D4109">
        <v>5.2505319999999998</v>
      </c>
      <c r="E4109">
        <v>0.53244849999999999</v>
      </c>
      <c r="F4109" t="s">
        <v>41</v>
      </c>
      <c r="G4109">
        <v>-250.82320000000001</v>
      </c>
      <c r="H4109">
        <v>0.91139389999999998</v>
      </c>
      <c r="I4109">
        <v>215.75299999999999</v>
      </c>
      <c r="J4109">
        <v>-251.2465</v>
      </c>
      <c r="K4109">
        <v>1.1104229999999999</v>
      </c>
      <c r="L4109">
        <v>215.84690000000001</v>
      </c>
      <c r="M4109">
        <v>0.99950490000000003</v>
      </c>
      <c r="N4109">
        <v>0</v>
      </c>
      <c r="O4109">
        <v>2.815846E-2</v>
      </c>
      <c r="P4109">
        <v>0.99926219999999999</v>
      </c>
      <c r="Q4109">
        <v>2.852594E-2</v>
      </c>
      <c r="R4109">
        <v>-2.5720570000000002E-2</v>
      </c>
      <c r="S4109">
        <v>3.0156559999999999</v>
      </c>
      <c r="T4109">
        <v>-0.74808039999999998</v>
      </c>
      <c r="U4109">
        <v>-0.31094359999999999</v>
      </c>
      <c r="V4109">
        <v>5.3837290000000003E-2</v>
      </c>
      <c r="W4109">
        <v>4.2555660000000002E-2</v>
      </c>
      <c r="X4109">
        <v>0.99764249999999999</v>
      </c>
      <c r="Y4109">
        <v>0.12591340000000001</v>
      </c>
      <c r="Z4109">
        <v>-2.2211249999999998E-2</v>
      </c>
      <c r="AA4109">
        <v>0.99179260000000002</v>
      </c>
      <c r="AB4109">
        <v>37</v>
      </c>
      <c r="AC4109">
        <v>0.42329999999998302</v>
      </c>
      <c r="AD4109">
        <v>-0.19902909999999999</v>
      </c>
      <c r="AE4109">
        <v>-9.3900000000019204E-2</v>
      </c>
      <c r="AF4109">
        <v>8.7373389340918706E-2</v>
      </c>
      <c r="AG4109">
        <v>-0.19902909999999999</v>
      </c>
      <c r="AH4109">
        <v>0.34730816902422801</v>
      </c>
      <c r="AI4109">
        <v>119.062917529998</v>
      </c>
      <c r="AJ4109">
        <v>75.878958399413193</v>
      </c>
      <c r="AK4109">
        <v>0.40971899648746002</v>
      </c>
      <c r="AL4109">
        <v>87.561003740447205</v>
      </c>
      <c r="AM4109">
        <v>86.911057439019402</v>
      </c>
      <c r="AN4109">
        <v>0.99999999789941396</v>
      </c>
    </row>
    <row r="4110" spans="1:40" x14ac:dyDescent="0.25">
      <c r="A4110" t="str">
        <f>"20190312154336084"</f>
        <v>20190312154336084</v>
      </c>
      <c r="B4110" t="str">
        <f>"1552376616072047"</f>
        <v>1552376616072047</v>
      </c>
      <c r="C4110" t="s">
        <v>40</v>
      </c>
      <c r="D4110">
        <v>5.2310049999999997</v>
      </c>
      <c r="E4110">
        <v>0.53282079999999998</v>
      </c>
      <c r="F4110" t="s">
        <v>41</v>
      </c>
      <c r="G4110">
        <v>-250.48679999999999</v>
      </c>
      <c r="H4110">
        <v>0.92404149999999996</v>
      </c>
      <c r="I4110">
        <v>215.77010000000001</v>
      </c>
      <c r="J4110">
        <v>-250.89439999999999</v>
      </c>
      <c r="K4110">
        <v>1.110425</v>
      </c>
      <c r="L4110">
        <v>215.8569</v>
      </c>
      <c r="M4110">
        <v>0.99950110000000003</v>
      </c>
      <c r="N4110">
        <v>0</v>
      </c>
      <c r="O4110">
        <v>2.8296749999999999E-2</v>
      </c>
      <c r="P4110">
        <v>0.99927639999999995</v>
      </c>
      <c r="Q4110">
        <v>2.8389250000000001E-2</v>
      </c>
      <c r="R4110">
        <v>-2.5319379999999999E-2</v>
      </c>
      <c r="S4110">
        <v>3.0154719999999999</v>
      </c>
      <c r="T4110">
        <v>-0.73977550000000003</v>
      </c>
      <c r="U4110">
        <v>-0.30459589999999998</v>
      </c>
      <c r="V4110">
        <v>5.3574900000000002E-2</v>
      </c>
      <c r="W4110">
        <v>4.2417499999999997E-2</v>
      </c>
      <c r="X4110">
        <v>0.99766250000000001</v>
      </c>
      <c r="Y4110">
        <v>0.12413730000000001</v>
      </c>
      <c r="Z4110">
        <v>-2.1794460000000002E-2</v>
      </c>
      <c r="AA4110">
        <v>0.99202570000000001</v>
      </c>
      <c r="AB4110">
        <v>37</v>
      </c>
      <c r="AC4110">
        <v>0.40760000000000202</v>
      </c>
      <c r="AD4110">
        <v>-0.18638349999999901</v>
      </c>
      <c r="AE4110">
        <v>-8.6799999999982405E-2</v>
      </c>
      <c r="AF4110">
        <v>8.1915038830204498E-2</v>
      </c>
      <c r="AG4110">
        <v>-0.18638349999999901</v>
      </c>
      <c r="AH4110">
        <v>0.33747648664470897</v>
      </c>
      <c r="AI4110">
        <v>118.222532221487</v>
      </c>
      <c r="AJ4110">
        <v>76.356560904407999</v>
      </c>
      <c r="AK4110">
        <v>0.39413102097761898</v>
      </c>
      <c r="AL4110">
        <v>87.568926858165497</v>
      </c>
      <c r="AM4110">
        <v>86.926144764035399</v>
      </c>
      <c r="AN4110">
        <v>0.99999998906125498</v>
      </c>
    </row>
    <row r="4111" spans="1:40" x14ac:dyDescent="0.25">
      <c r="A4111" t="str">
        <f>"20190312154336108"</f>
        <v>20190312154336108</v>
      </c>
      <c r="B4111" t="str">
        <f>"1552376616101327"</f>
        <v>1552376616101327</v>
      </c>
      <c r="C4111" t="s">
        <v>40</v>
      </c>
      <c r="D4111">
        <v>5.2559209999999998</v>
      </c>
      <c r="E4111">
        <v>0.53334630000000005</v>
      </c>
      <c r="F4111" t="s">
        <v>41</v>
      </c>
      <c r="G4111">
        <v>-250.15389999999999</v>
      </c>
      <c r="H4111">
        <v>0.92908080000000004</v>
      </c>
      <c r="I4111">
        <v>215.7816</v>
      </c>
      <c r="J4111">
        <v>-250.5052</v>
      </c>
      <c r="K4111">
        <v>1.1104229999999999</v>
      </c>
      <c r="L4111">
        <v>215.8681</v>
      </c>
      <c r="M4111">
        <v>0.99949670000000002</v>
      </c>
      <c r="N4111">
        <v>0</v>
      </c>
      <c r="O4111">
        <v>2.844994E-2</v>
      </c>
      <c r="P4111">
        <v>0.99928159999999999</v>
      </c>
      <c r="Q4111">
        <v>2.8321610000000001E-2</v>
      </c>
      <c r="R4111">
        <v>-2.518248E-2</v>
      </c>
      <c r="S4111">
        <v>3.015396</v>
      </c>
      <c r="T4111">
        <v>-0.73855919999999997</v>
      </c>
      <c r="U4111">
        <v>-0.3059692</v>
      </c>
      <c r="V4111">
        <v>5.3591260000000002E-2</v>
      </c>
      <c r="W4111">
        <v>4.2346990000000001E-2</v>
      </c>
      <c r="X4111">
        <v>0.99766460000000001</v>
      </c>
      <c r="Y4111">
        <v>0.1247316</v>
      </c>
      <c r="Z4111">
        <v>-2.1868160000000001E-2</v>
      </c>
      <c r="AA4111">
        <v>0.99194950000000004</v>
      </c>
      <c r="AB4111">
        <v>37</v>
      </c>
      <c r="AC4111">
        <v>0.35130000000000899</v>
      </c>
      <c r="AD4111">
        <v>-0.18134219999999901</v>
      </c>
      <c r="AE4111">
        <v>-8.6500000000000896E-2</v>
      </c>
      <c r="AF4111">
        <v>7.7092243637979105E-2</v>
      </c>
      <c r="AG4111">
        <v>-0.18134219999999901</v>
      </c>
      <c r="AH4111">
        <v>0.27868219789503901</v>
      </c>
      <c r="AI4111">
        <v>122.094247842253</v>
      </c>
      <c r="AJ4111">
        <v>74.536885120478402</v>
      </c>
      <c r="AK4111">
        <v>0.34130920724994701</v>
      </c>
      <c r="AL4111">
        <v>87.572970376429794</v>
      </c>
      <c r="AM4111">
        <v>86.925214371092295</v>
      </c>
      <c r="AN4111">
        <v>0.99999997240180305</v>
      </c>
    </row>
    <row r="4112" spans="1:40" x14ac:dyDescent="0.25">
      <c r="A4112" t="str">
        <f>"20190312154336129"</f>
        <v>20190312154336129</v>
      </c>
      <c r="B4112" t="str">
        <f>"1552376616121822"</f>
        <v>1552376616121822</v>
      </c>
      <c r="C4112" t="s">
        <v>40</v>
      </c>
      <c r="D4112">
        <v>5.2606140000000003</v>
      </c>
      <c r="E4112">
        <v>0.53349639999999998</v>
      </c>
      <c r="F4112" t="s">
        <v>41</v>
      </c>
      <c r="G4112">
        <v>-249.8175</v>
      </c>
      <c r="H4112">
        <v>0.94233259999999996</v>
      </c>
      <c r="I4112">
        <v>215.7972</v>
      </c>
      <c r="J4112">
        <v>-250.1473</v>
      </c>
      <c r="K4112">
        <v>1.1104210000000001</v>
      </c>
      <c r="L4112">
        <v>215.8784</v>
      </c>
      <c r="M4112">
        <v>0.99949259999999995</v>
      </c>
      <c r="N4112">
        <v>0</v>
      </c>
      <c r="O4112">
        <v>2.8590669999999999E-2</v>
      </c>
      <c r="P4112">
        <v>0.99929380000000001</v>
      </c>
      <c r="Q4112">
        <v>2.8172590000000001E-2</v>
      </c>
      <c r="R4112">
        <v>-2.4860340000000002E-2</v>
      </c>
      <c r="S4112">
        <v>3.0152130000000001</v>
      </c>
      <c r="T4112">
        <v>-0.73695949999999999</v>
      </c>
      <c r="U4112">
        <v>-0.31005860000000002</v>
      </c>
      <c r="V4112">
        <v>5.3410260000000001E-2</v>
      </c>
      <c r="W4112">
        <v>4.2195959999999998E-2</v>
      </c>
      <c r="X4112">
        <v>0.99768069999999998</v>
      </c>
      <c r="Y4112">
        <v>0.1261816</v>
      </c>
      <c r="Z4112">
        <v>-2.2030029999999999E-2</v>
      </c>
      <c r="AA4112">
        <v>0.99176249999999999</v>
      </c>
      <c r="AB4112">
        <v>37</v>
      </c>
      <c r="AC4112">
        <v>0.32980000000000498</v>
      </c>
      <c r="AD4112">
        <v>-0.168088399999999</v>
      </c>
      <c r="AE4112">
        <v>-8.1199999999995498E-2</v>
      </c>
      <c r="AF4112">
        <v>7.2773611868175506E-2</v>
      </c>
      <c r="AG4112">
        <v>-0.168088399999999</v>
      </c>
      <c r="AH4112">
        <v>0.26294443182601401</v>
      </c>
      <c r="AI4112">
        <v>121.636968313766</v>
      </c>
      <c r="AJ4112">
        <v>74.529815477094999</v>
      </c>
      <c r="AK4112">
        <v>0.32045199800782198</v>
      </c>
      <c r="AL4112">
        <v>87.581631486909501</v>
      </c>
      <c r="AM4112">
        <v>86.935628733676495</v>
      </c>
      <c r="AN4112">
        <v>0.99999996703303895</v>
      </c>
    </row>
    <row r="4113" spans="1:40" x14ac:dyDescent="0.25">
      <c r="A4113" t="str">
        <f>"20190312154336153"</f>
        <v>20190312154336153</v>
      </c>
      <c r="B4113" t="str">
        <f>"1552376616141343"</f>
        <v>1552376616141343</v>
      </c>
      <c r="C4113" t="s">
        <v>40</v>
      </c>
      <c r="D4113">
        <v>5.2138470000000003</v>
      </c>
      <c r="E4113">
        <v>0.54682410000000004</v>
      </c>
      <c r="F4113" t="s">
        <v>41</v>
      </c>
      <c r="G4113">
        <v>-249.18549999999999</v>
      </c>
      <c r="H4113">
        <v>0.87454769999999904</v>
      </c>
      <c r="I4113">
        <v>215.77930000000001</v>
      </c>
      <c r="J4113">
        <v>-249.77010000000001</v>
      </c>
      <c r="K4113">
        <v>1.1104160000000001</v>
      </c>
      <c r="L4113">
        <v>215.88939999999999</v>
      </c>
      <c r="M4113">
        <v>0.9994885</v>
      </c>
      <c r="N4113">
        <v>0</v>
      </c>
      <c r="O4113">
        <v>2.8739210000000001E-2</v>
      </c>
      <c r="P4113">
        <v>0.99930790000000003</v>
      </c>
      <c r="Q4113">
        <v>2.7751700000000001E-2</v>
      </c>
      <c r="R4113">
        <v>-2.4770500000000001E-2</v>
      </c>
      <c r="S4113">
        <v>3.015244</v>
      </c>
      <c r="T4113">
        <v>-0.73946269999999903</v>
      </c>
      <c r="U4113">
        <v>-0.31019590000000002</v>
      </c>
      <c r="V4113">
        <v>5.3469290000000003E-2</v>
      </c>
      <c r="W4113">
        <v>4.1772910000000003E-2</v>
      </c>
      <c r="X4113">
        <v>0.99769540000000001</v>
      </c>
      <c r="Y4113">
        <v>0.12633359999999999</v>
      </c>
      <c r="Z4113">
        <v>-2.215661E-2</v>
      </c>
      <c r="AA4113">
        <v>0.99174030000000002</v>
      </c>
      <c r="AB4113">
        <v>37</v>
      </c>
      <c r="AC4113">
        <v>0.58460000000002299</v>
      </c>
      <c r="AD4113">
        <v>-0.2358683</v>
      </c>
      <c r="AE4113">
        <v>-0.110099999999988</v>
      </c>
      <c r="AF4113">
        <v>0.10962310293444</v>
      </c>
      <c r="AG4113">
        <v>-0.2358683</v>
      </c>
      <c r="AH4113">
        <v>0.50223663515546102</v>
      </c>
      <c r="AI4113">
        <v>114.64722665329801</v>
      </c>
      <c r="AJ4113">
        <v>77.687170928872305</v>
      </c>
      <c r="AK4113">
        <v>0.56559059162449299</v>
      </c>
      <c r="AL4113">
        <v>87.6058920000889</v>
      </c>
      <c r="AM4113">
        <v>86.932293513617907</v>
      </c>
      <c r="AN4113">
        <v>1.0000000260820601</v>
      </c>
    </row>
    <row r="4114" spans="1:40" x14ac:dyDescent="0.25">
      <c r="A4114" t="str">
        <f>"20190312154336174"</f>
        <v>20190312154336174</v>
      </c>
      <c r="B4114" t="str">
        <f>"1552376616171598"</f>
        <v>1552376616171598</v>
      </c>
      <c r="C4114" t="s">
        <v>40</v>
      </c>
      <c r="D4114">
        <v>5.2336199999999904</v>
      </c>
      <c r="E4114">
        <v>0.54642400000000002</v>
      </c>
      <c r="F4114" t="s">
        <v>41</v>
      </c>
      <c r="G4114">
        <v>-248.86930000000001</v>
      </c>
      <c r="H4114">
        <v>0.8393003</v>
      </c>
      <c r="I4114">
        <v>215.76669999999999</v>
      </c>
      <c r="J4114">
        <v>-249.40710000000001</v>
      </c>
      <c r="K4114">
        <v>1.1104069999999999</v>
      </c>
      <c r="L4114">
        <v>215.9</v>
      </c>
      <c r="M4114">
        <v>0.9994845</v>
      </c>
      <c r="N4114">
        <v>0</v>
      </c>
      <c r="O4114">
        <v>2.8882089999999999E-2</v>
      </c>
      <c r="P4114">
        <v>0.99929699999999999</v>
      </c>
      <c r="Q4114">
        <v>2.807809E-2</v>
      </c>
      <c r="R4114">
        <v>-2.4847549999999999E-2</v>
      </c>
      <c r="S4114">
        <v>3.0171359999999998</v>
      </c>
      <c r="T4114">
        <v>-0.90815290000000004</v>
      </c>
      <c r="U4114">
        <v>-0.40965269999999998</v>
      </c>
      <c r="V4114">
        <v>5.368858E-2</v>
      </c>
      <c r="W4114">
        <v>4.2096399999999999E-2</v>
      </c>
      <c r="X4114">
        <v>0.99766999999999995</v>
      </c>
      <c r="Y4114">
        <v>0.15509039999999999</v>
      </c>
      <c r="Z4114">
        <v>-3.1209799999999999E-2</v>
      </c>
      <c r="AA4114">
        <v>0.98740709999999998</v>
      </c>
      <c r="AB4114">
        <v>37</v>
      </c>
      <c r="AC4114">
        <v>0.53780000000000405</v>
      </c>
      <c r="AD4114">
        <v>-0.27110669999999898</v>
      </c>
      <c r="AE4114">
        <v>-0.13330000000001899</v>
      </c>
      <c r="AF4114">
        <v>0.120039771034867</v>
      </c>
      <c r="AG4114">
        <v>-0.27110669999999898</v>
      </c>
      <c r="AH4114">
        <v>0.43062789087196801</v>
      </c>
      <c r="AI4114">
        <v>121.234322476987</v>
      </c>
      <c r="AJ4114">
        <v>74.423910679716897</v>
      </c>
      <c r="AK4114">
        <v>0.52282766741234399</v>
      </c>
      <c r="AL4114">
        <v>87.587341006883307</v>
      </c>
      <c r="AM4114">
        <v>86.919658043707898</v>
      </c>
      <c r="AN4114">
        <v>0.99999999970768805</v>
      </c>
    </row>
    <row r="4115" spans="1:40" x14ac:dyDescent="0.25">
      <c r="A4115" t="str">
        <f>"20190312154336196"</f>
        <v>20190312154336196</v>
      </c>
      <c r="B4115" t="str">
        <f>"1552376616191119"</f>
        <v>1552376616191119</v>
      </c>
      <c r="C4115" t="s">
        <v>40</v>
      </c>
      <c r="D4115">
        <v>5.223376</v>
      </c>
      <c r="E4115">
        <v>0.54598930000000001</v>
      </c>
      <c r="F4115" t="s">
        <v>41</v>
      </c>
      <c r="G4115">
        <v>-248.5352</v>
      </c>
      <c r="H4115">
        <v>0.85127999999999904</v>
      </c>
      <c r="I4115">
        <v>215.78229999999999</v>
      </c>
      <c r="J4115">
        <v>-249.0367</v>
      </c>
      <c r="K4115">
        <v>1.110409</v>
      </c>
      <c r="L4115">
        <v>215.91079999999999</v>
      </c>
      <c r="M4115">
        <v>0.99948020000000004</v>
      </c>
      <c r="N4115">
        <v>0</v>
      </c>
      <c r="O4115">
        <v>2.9028310000000002E-2</v>
      </c>
      <c r="P4115">
        <v>0.99928980000000001</v>
      </c>
      <c r="Q4115">
        <v>2.7839699999999998E-2</v>
      </c>
      <c r="R4115">
        <v>-2.5401050000000001E-2</v>
      </c>
      <c r="S4115">
        <v>3.0171809999999999</v>
      </c>
      <c r="T4115">
        <v>-0.89678009999999997</v>
      </c>
      <c r="U4115">
        <v>-0.40718080000000001</v>
      </c>
      <c r="V4115">
        <v>5.4387579999999998E-2</v>
      </c>
      <c r="W4115">
        <v>4.185581E-2</v>
      </c>
      <c r="X4115">
        <v>0.99764229999999998</v>
      </c>
      <c r="Y4115">
        <v>0.1546457</v>
      </c>
      <c r="Z4115">
        <v>-3.0814129999999999E-2</v>
      </c>
      <c r="AA4115">
        <v>0.98748930000000001</v>
      </c>
      <c r="AB4115">
        <v>37</v>
      </c>
      <c r="AC4115">
        <v>0.50149999999999295</v>
      </c>
      <c r="AD4115">
        <v>-0.259129</v>
      </c>
      <c r="AE4115">
        <v>-0.128500000000002</v>
      </c>
      <c r="AF4115">
        <v>0.11435474823552801</v>
      </c>
      <c r="AG4115">
        <v>-0.259129</v>
      </c>
      <c r="AH4115">
        <v>0.39787522175447299</v>
      </c>
      <c r="AI4115">
        <v>122.0441608692</v>
      </c>
      <c r="AJ4115">
        <v>73.964629428184793</v>
      </c>
      <c r="AK4115">
        <v>0.48839485989430897</v>
      </c>
      <c r="AL4115">
        <v>87.601138051379806</v>
      </c>
      <c r="AM4115">
        <v>86.879545720991402</v>
      </c>
      <c r="AN4115">
        <v>1.0000000382191501</v>
      </c>
    </row>
    <row r="4116" spans="1:40" x14ac:dyDescent="0.25">
      <c r="A4116" t="str">
        <f>"20190312154336219"</f>
        <v>20190312154336219</v>
      </c>
      <c r="B4116" t="str">
        <f>"1552376616211615"</f>
        <v>1552376616211615</v>
      </c>
      <c r="C4116" t="s">
        <v>40</v>
      </c>
      <c r="D4116">
        <v>5.1521220000000003</v>
      </c>
      <c r="E4116">
        <v>0.54622169999999903</v>
      </c>
      <c r="F4116" t="s">
        <v>41</v>
      </c>
      <c r="G4116">
        <v>-248.20169999999999</v>
      </c>
      <c r="H4116">
        <v>0.86260439999999905</v>
      </c>
      <c r="I4116">
        <v>215.79839999999999</v>
      </c>
      <c r="J4116">
        <v>-248.67490000000001</v>
      </c>
      <c r="K4116">
        <v>1.1104069999999999</v>
      </c>
      <c r="L4116">
        <v>215.92150000000001</v>
      </c>
      <c r="M4116">
        <v>0.99947609999999998</v>
      </c>
      <c r="N4116">
        <v>0</v>
      </c>
      <c r="O4116">
        <v>2.9170649999999999E-2</v>
      </c>
      <c r="P4116">
        <v>0.99927980000000005</v>
      </c>
      <c r="Q4116">
        <v>2.8133200000000001E-2</v>
      </c>
      <c r="R4116">
        <v>-2.5473889999999999E-2</v>
      </c>
      <c r="S4116">
        <v>3.0167999999999999</v>
      </c>
      <c r="T4116">
        <v>-0.89532710000000004</v>
      </c>
      <c r="U4116">
        <v>-0.40516659999999999</v>
      </c>
      <c r="V4116">
        <v>5.4602159999999997E-2</v>
      </c>
      <c r="W4116">
        <v>4.2146419999999997E-2</v>
      </c>
      <c r="X4116">
        <v>0.99761829999999996</v>
      </c>
      <c r="Y4116">
        <v>0.15419050000000001</v>
      </c>
      <c r="Z4116">
        <v>-3.0746570000000001E-2</v>
      </c>
      <c r="AA4116">
        <v>0.98756270000000002</v>
      </c>
      <c r="AB4116">
        <v>37</v>
      </c>
      <c r="AC4116">
        <v>0.47320000000001899</v>
      </c>
      <c r="AD4116">
        <v>-0.24780260000000001</v>
      </c>
      <c r="AE4116">
        <v>-0.123100000000022</v>
      </c>
      <c r="AF4116">
        <v>0.108885128740502</v>
      </c>
      <c r="AG4116">
        <v>-0.24780260000000001</v>
      </c>
      <c r="AH4116">
        <v>0.37347854539635</v>
      </c>
      <c r="AI4116">
        <v>122.49632412927301</v>
      </c>
      <c r="AJ4116">
        <v>73.7463152303323</v>
      </c>
      <c r="AK4116">
        <v>0.46124648909121202</v>
      </c>
      <c r="AL4116">
        <v>87.584472513735605</v>
      </c>
      <c r="AM4116">
        <v>86.867183583220495</v>
      </c>
      <c r="AN4116">
        <v>0.99999999454518596</v>
      </c>
    </row>
    <row r="4117" spans="1:40" x14ac:dyDescent="0.25">
      <c r="A4117" t="str">
        <f>"20190312154336241"</f>
        <v>20190312154336241</v>
      </c>
      <c r="B4117" t="str">
        <f>"1552376616231135"</f>
        <v>1552376616231135</v>
      </c>
      <c r="C4117" t="s">
        <v>40</v>
      </c>
      <c r="D4117">
        <v>5.2014779999999998</v>
      </c>
      <c r="E4117">
        <v>0.546095199999999</v>
      </c>
      <c r="F4117" t="s">
        <v>41</v>
      </c>
      <c r="G4117">
        <v>-247.87020000000001</v>
      </c>
      <c r="H4117">
        <v>0.86957379999999995</v>
      </c>
      <c r="I4117">
        <v>215.81290000000001</v>
      </c>
      <c r="J4117">
        <v>-248.30080000000001</v>
      </c>
      <c r="K4117">
        <v>1.110409</v>
      </c>
      <c r="L4117">
        <v>215.93260000000001</v>
      </c>
      <c r="M4117">
        <v>0.99947180000000002</v>
      </c>
      <c r="N4117">
        <v>0</v>
      </c>
      <c r="O4117">
        <v>2.9318E-2</v>
      </c>
      <c r="P4117">
        <v>0.99929670000000004</v>
      </c>
      <c r="Q4117">
        <v>2.785172E-2</v>
      </c>
      <c r="R4117">
        <v>-2.5111379999999999E-2</v>
      </c>
      <c r="S4117">
        <v>3.0172119999999998</v>
      </c>
      <c r="T4117">
        <v>-0.9031169</v>
      </c>
      <c r="U4117">
        <v>-0.4068756</v>
      </c>
      <c r="V4117">
        <v>5.4387699999999997E-2</v>
      </c>
      <c r="W4117">
        <v>4.186343E-2</v>
      </c>
      <c r="X4117">
        <v>0.99764189999999997</v>
      </c>
      <c r="Y4117">
        <v>0.1547085</v>
      </c>
      <c r="Z4117">
        <v>-3.111647E-2</v>
      </c>
      <c r="AA4117">
        <v>0.98746999999999996</v>
      </c>
      <c r="AB4117">
        <v>37</v>
      </c>
      <c r="AC4117">
        <v>0.43059999999999798</v>
      </c>
      <c r="AD4117">
        <v>-0.240835199999999</v>
      </c>
      <c r="AE4117">
        <v>-0.11969999999999401</v>
      </c>
      <c r="AF4117">
        <v>0.10250795068225101</v>
      </c>
      <c r="AG4117">
        <v>-0.240835199999999</v>
      </c>
      <c r="AH4117">
        <v>0.330837028745466</v>
      </c>
      <c r="AI4117">
        <v>124.812599559768</v>
      </c>
      <c r="AJ4117">
        <v>72.784705651160806</v>
      </c>
      <c r="AK4117">
        <v>0.42185615214340899</v>
      </c>
      <c r="AL4117">
        <v>87.600700897951597</v>
      </c>
      <c r="AM4117">
        <v>86.879537601008593</v>
      </c>
      <c r="AN4117">
        <v>0.99999996465913099</v>
      </c>
    </row>
    <row r="4118" spans="1:40" x14ac:dyDescent="0.25">
      <c r="A4118" t="str">
        <f>"20190312154336263"</f>
        <v>20190312154336263</v>
      </c>
      <c r="B4118" t="str">
        <f>"1552376616251631"</f>
        <v>1552376616251631</v>
      </c>
      <c r="C4118" t="s">
        <v>40</v>
      </c>
      <c r="D4118">
        <v>5.2315809999999896</v>
      </c>
      <c r="E4118">
        <v>0.54621609999999998</v>
      </c>
      <c r="F4118" t="s">
        <v>41</v>
      </c>
      <c r="G4118">
        <v>-247.53739999999999</v>
      </c>
      <c r="H4118">
        <v>0.88070009999999999</v>
      </c>
      <c r="I4118">
        <v>215.83</v>
      </c>
      <c r="J4118">
        <v>-247.94479999999999</v>
      </c>
      <c r="K4118">
        <v>1.110409</v>
      </c>
      <c r="L4118">
        <v>215.94319999999999</v>
      </c>
      <c r="M4118">
        <v>0.99946769999999996</v>
      </c>
      <c r="N4118">
        <v>0</v>
      </c>
      <c r="O4118">
        <v>2.9458669999999999E-2</v>
      </c>
      <c r="P4118">
        <v>0.99929369999999995</v>
      </c>
      <c r="Q4118">
        <v>2.832519E-2</v>
      </c>
      <c r="R4118">
        <v>-2.4696860000000001E-2</v>
      </c>
      <c r="S4118">
        <v>3.017258</v>
      </c>
      <c r="T4118">
        <v>-0.90789770000000003</v>
      </c>
      <c r="U4118">
        <v>-0.40452579999999999</v>
      </c>
      <c r="V4118">
        <v>5.4113689999999999E-2</v>
      </c>
      <c r="W4118">
        <v>4.2334120000000003E-2</v>
      </c>
      <c r="X4118">
        <v>0.997637</v>
      </c>
      <c r="Y4118">
        <v>0.15403020000000001</v>
      </c>
      <c r="Z4118">
        <v>-3.1217189999999999E-2</v>
      </c>
      <c r="AA4118">
        <v>0.98757280000000003</v>
      </c>
      <c r="AB4118">
        <v>37</v>
      </c>
      <c r="AC4118">
        <v>0.40739999999999499</v>
      </c>
      <c r="AD4118">
        <v>-0.22970889999999999</v>
      </c>
      <c r="AE4118">
        <v>-0.113199999999977</v>
      </c>
      <c r="AF4118">
        <v>9.6633855309785202E-2</v>
      </c>
      <c r="AG4118">
        <v>-0.22970889999999999</v>
      </c>
      <c r="AH4118">
        <v>0.31185115639310501</v>
      </c>
      <c r="AI4118">
        <v>125.12992694485099</v>
      </c>
      <c r="AJ4118">
        <v>72.783269372381696</v>
      </c>
      <c r="AK4118">
        <v>0.39919346747530698</v>
      </c>
      <c r="AL4118">
        <v>87.573708566248698</v>
      </c>
      <c r="AM4118">
        <v>86.895212709284905</v>
      </c>
      <c r="AN4118">
        <v>1.00000002646529</v>
      </c>
    </row>
    <row r="4119" spans="1:40" x14ac:dyDescent="0.25">
      <c r="A4119" t="str">
        <f>"20190312154336285"</f>
        <v>20190312154336285</v>
      </c>
      <c r="B4119" t="str">
        <f>"1552376616281888"</f>
        <v>1552376616281888</v>
      </c>
      <c r="C4119" t="s">
        <v>40</v>
      </c>
      <c r="D4119">
        <v>5.2472440000000002</v>
      </c>
      <c r="E4119">
        <v>0.54565940000000002</v>
      </c>
      <c r="F4119" t="s">
        <v>41</v>
      </c>
      <c r="G4119">
        <v>-247.2062</v>
      </c>
      <c r="H4119">
        <v>0.8880981</v>
      </c>
      <c r="I4119">
        <v>215.84399999999999</v>
      </c>
      <c r="J4119">
        <v>-247.57830000000001</v>
      </c>
      <c r="K4119">
        <v>1.11042</v>
      </c>
      <c r="L4119">
        <v>215.95410000000001</v>
      </c>
      <c r="M4119">
        <v>0.99946360000000001</v>
      </c>
      <c r="N4119">
        <v>0</v>
      </c>
      <c r="O4119">
        <v>2.9602010000000002E-2</v>
      </c>
      <c r="P4119">
        <v>0.99929679999999999</v>
      </c>
      <c r="Q4119">
        <v>2.8542999999999999E-2</v>
      </c>
      <c r="R4119">
        <v>-2.4314619999999999E-2</v>
      </c>
      <c r="S4119">
        <v>3.017868</v>
      </c>
      <c r="T4119">
        <v>-0.90826200000000001</v>
      </c>
      <c r="U4119">
        <v>-0.4051361</v>
      </c>
      <c r="V4119">
        <v>5.3874900000000003E-2</v>
      </c>
      <c r="W4119">
        <v>4.254993E-2</v>
      </c>
      <c r="X4119">
        <v>0.99764070000000005</v>
      </c>
      <c r="Y4119">
        <v>0.15431979999999901</v>
      </c>
      <c r="Z4119">
        <v>-3.1307330000000001E-2</v>
      </c>
      <c r="AA4119">
        <v>0.98752479999999998</v>
      </c>
      <c r="AB4119">
        <v>37</v>
      </c>
      <c r="AC4119">
        <v>0.37210000000001697</v>
      </c>
      <c r="AD4119">
        <v>-0.22232189999999999</v>
      </c>
      <c r="AE4119">
        <v>-0.110099999999988</v>
      </c>
      <c r="AF4119">
        <v>9.11487538511392E-2</v>
      </c>
      <c r="AG4119">
        <v>-0.22232189999999999</v>
      </c>
      <c r="AH4119">
        <v>0.27756765271049899</v>
      </c>
      <c r="AI4119">
        <v>127.270562552063</v>
      </c>
      <c r="AJ4119">
        <v>71.820651453060194</v>
      </c>
      <c r="AK4119">
        <v>0.36712249233660699</v>
      </c>
      <c r="AL4119">
        <v>87.561332308610801</v>
      </c>
      <c r="AM4119">
        <v>86.908898162617206</v>
      </c>
      <c r="AN4119">
        <v>0.99999998384475197</v>
      </c>
    </row>
    <row r="4120" spans="1:40" x14ac:dyDescent="0.25">
      <c r="A4120" t="str">
        <f>"20190312154336309"</f>
        <v>20190312154336309</v>
      </c>
      <c r="B4120" t="str">
        <f>"1552376616301407"</f>
        <v>1552376616301407</v>
      </c>
      <c r="C4120" t="s">
        <v>40</v>
      </c>
      <c r="D4120">
        <v>5.2904780000000002</v>
      </c>
      <c r="E4120">
        <v>0.545552699999999</v>
      </c>
      <c r="F4120" t="s">
        <v>41</v>
      </c>
      <c r="G4120">
        <v>-246.87360000000001</v>
      </c>
      <c r="H4120">
        <v>0.89964759999999999</v>
      </c>
      <c r="I4120">
        <v>215.86060000000001</v>
      </c>
      <c r="J4120">
        <v>-247.19829999999999</v>
      </c>
      <c r="K4120">
        <v>1.110419</v>
      </c>
      <c r="L4120">
        <v>215.96549999999999</v>
      </c>
      <c r="M4120">
        <v>0.99945910000000004</v>
      </c>
      <c r="N4120">
        <v>0</v>
      </c>
      <c r="O4120">
        <v>2.974827E-2</v>
      </c>
      <c r="P4120">
        <v>0.99929460000000003</v>
      </c>
      <c r="Q4120">
        <v>2.8838590000000001E-2</v>
      </c>
      <c r="R4120">
        <v>-2.405711E-2</v>
      </c>
      <c r="S4120">
        <v>3.018173</v>
      </c>
      <c r="T4120">
        <v>-0.90286140000000004</v>
      </c>
      <c r="U4120">
        <v>-0.39982600000000001</v>
      </c>
      <c r="V4120">
        <v>5.3763430000000001E-2</v>
      </c>
      <c r="W4120">
        <v>4.2842930000000001E-2</v>
      </c>
      <c r="X4120">
        <v>0.99763420000000003</v>
      </c>
      <c r="Y4120">
        <v>0.15289150000000001</v>
      </c>
      <c r="Z4120">
        <v>-3.096372E-2</v>
      </c>
      <c r="AA4120">
        <v>0.98775780000000002</v>
      </c>
      <c r="AB4120">
        <v>37</v>
      </c>
      <c r="AC4120">
        <v>0.32469999999997801</v>
      </c>
      <c r="AD4120">
        <v>-0.210771399999999</v>
      </c>
      <c r="AE4120">
        <v>-0.104899999999986</v>
      </c>
      <c r="AF4120">
        <v>8.2888336049789096E-2</v>
      </c>
      <c r="AG4120">
        <v>-0.210771399999999</v>
      </c>
      <c r="AH4120">
        <v>0.23266408065121599</v>
      </c>
      <c r="AI4120">
        <v>130.476351512609</v>
      </c>
      <c r="AJ4120">
        <v>70.391174709949496</v>
      </c>
      <c r="AK4120">
        <v>0.32469621761938999</v>
      </c>
      <c r="AL4120">
        <v>87.544529386441297</v>
      </c>
      <c r="AM4120">
        <v>86.915261390906494</v>
      </c>
      <c r="AN4120">
        <v>1.00000001003299</v>
      </c>
    </row>
    <row r="4121" spans="1:40" x14ac:dyDescent="0.25">
      <c r="A4121" t="str">
        <f>"20190312154336330"</f>
        <v>20190312154336330</v>
      </c>
      <c r="B4121" t="str">
        <f>"1552376616321903"</f>
        <v>1552376616321903</v>
      </c>
      <c r="C4121" t="s">
        <v>40</v>
      </c>
      <c r="D4121">
        <v>5.2702419999999996</v>
      </c>
      <c r="E4121">
        <v>0.54537669999999905</v>
      </c>
      <c r="F4121" t="s">
        <v>41</v>
      </c>
      <c r="G4121">
        <v>-246.2465</v>
      </c>
      <c r="H4121">
        <v>0.82664040000000005</v>
      </c>
      <c r="I4121">
        <v>215.8398</v>
      </c>
      <c r="J4121">
        <v>-246.83850000000001</v>
      </c>
      <c r="K4121">
        <v>1.110428</v>
      </c>
      <c r="L4121">
        <v>215.97640000000001</v>
      </c>
      <c r="M4121">
        <v>0.99945530000000005</v>
      </c>
      <c r="N4121">
        <v>0</v>
      </c>
      <c r="O4121">
        <v>2.9882280000000001E-2</v>
      </c>
      <c r="P4121">
        <v>0.99930030000000003</v>
      </c>
      <c r="Q4121">
        <v>2.8752369999999999E-2</v>
      </c>
      <c r="R4121">
        <v>-2.3929010000000001E-2</v>
      </c>
      <c r="S4121">
        <v>3.0184630000000001</v>
      </c>
      <c r="T4121">
        <v>-0.90005539999999995</v>
      </c>
      <c r="U4121">
        <v>-0.3984222</v>
      </c>
      <c r="V4121">
        <v>5.3769749999999998E-2</v>
      </c>
      <c r="W4121">
        <v>4.2754319999999998E-2</v>
      </c>
      <c r="X4121">
        <v>0.99763760000000001</v>
      </c>
      <c r="Y4121">
        <v>0.15261479999999999</v>
      </c>
      <c r="Z4121">
        <v>-3.0868260000000002E-2</v>
      </c>
      <c r="AA4121">
        <v>0.9878036</v>
      </c>
      <c r="AB4121">
        <v>37</v>
      </c>
      <c r="AC4121">
        <v>0.59200000000001296</v>
      </c>
      <c r="AD4121">
        <v>-0.28378759999999897</v>
      </c>
      <c r="AE4121">
        <v>-0.13660000000001499</v>
      </c>
      <c r="AF4121">
        <v>0.12660774499812999</v>
      </c>
      <c r="AG4121">
        <v>-0.28378759999999897</v>
      </c>
      <c r="AH4121">
        <v>0.48240262113579202</v>
      </c>
      <c r="AI4121">
        <v>119.640259201237</v>
      </c>
      <c r="AJ4121">
        <v>75.294245451005906</v>
      </c>
      <c r="AK4121">
        <v>0.573826813495112</v>
      </c>
      <c r="AL4121">
        <v>87.549610872988694</v>
      </c>
      <c r="AM4121">
        <v>86.914909967953903</v>
      </c>
      <c r="AN4121">
        <v>0.99999994941374104</v>
      </c>
    </row>
    <row r="4122" spans="1:40" x14ac:dyDescent="0.25">
      <c r="A4122" t="str">
        <f>"20190312154336354"</f>
        <v>20190312154336354</v>
      </c>
      <c r="B4122" t="str">
        <f>"1552376616341423"</f>
        <v>1552376616341423</v>
      </c>
      <c r="C4122" t="s">
        <v>40</v>
      </c>
      <c r="D4122">
        <v>5.2439140000000002</v>
      </c>
      <c r="E4122">
        <v>0.54521319999999995</v>
      </c>
      <c r="F4122" t="s">
        <v>41</v>
      </c>
      <c r="G4122">
        <v>-245.91569999999999</v>
      </c>
      <c r="H4122">
        <v>0.83590330000000002</v>
      </c>
      <c r="I4122">
        <v>215.85480000000001</v>
      </c>
      <c r="J4122">
        <v>-246.45959999999999</v>
      </c>
      <c r="K4122">
        <v>1.110425</v>
      </c>
      <c r="L4122">
        <v>215.98779999999999</v>
      </c>
      <c r="M4122">
        <v>0.99945119999999998</v>
      </c>
      <c r="N4122">
        <v>0</v>
      </c>
      <c r="O4122">
        <v>3.0018360000000001E-2</v>
      </c>
      <c r="P4122">
        <v>0.99929920000000005</v>
      </c>
      <c r="Q4122">
        <v>2.8970530000000001E-2</v>
      </c>
      <c r="R4122">
        <v>-2.3711940000000001E-2</v>
      </c>
      <c r="S4122">
        <v>3.0184169999999999</v>
      </c>
      <c r="T4122">
        <v>-0.89788659999999998</v>
      </c>
      <c r="U4122">
        <v>-0.3974762</v>
      </c>
      <c r="V4122">
        <v>5.3688930000000003E-2</v>
      </c>
      <c r="W4122">
        <v>4.2969640000000003E-2</v>
      </c>
      <c r="X4122">
        <v>0.99763270000000004</v>
      </c>
      <c r="Y4122">
        <v>0.1524829</v>
      </c>
      <c r="Z4122">
        <v>-3.081832E-2</v>
      </c>
      <c r="AA4122">
        <v>0.98782550000000002</v>
      </c>
      <c r="AB4122">
        <v>37</v>
      </c>
      <c r="AC4122">
        <v>0.54390000000000704</v>
      </c>
      <c r="AD4122">
        <v>-0.27452169999999898</v>
      </c>
      <c r="AE4122">
        <v>-0.13299999999998099</v>
      </c>
      <c r="AF4122">
        <v>0.12034132323918199</v>
      </c>
      <c r="AG4122">
        <v>-0.27452169999999898</v>
      </c>
      <c r="AH4122">
        <v>0.43507893204099801</v>
      </c>
      <c r="AI4122">
        <v>121.305275948222</v>
      </c>
      <c r="AJ4122">
        <v>74.538740417732598</v>
      </c>
      <c r="AK4122">
        <v>0.52833500258432897</v>
      </c>
      <c r="AL4122">
        <v>87.537262592690396</v>
      </c>
      <c r="AM4122">
        <v>86.919523053057702</v>
      </c>
      <c r="AN4122">
        <v>0.99999994763778099</v>
      </c>
    </row>
    <row r="4123" spans="1:40" x14ac:dyDescent="0.25">
      <c r="A4123" t="str">
        <f>"20190312154336376"</f>
        <v>20190312154336376</v>
      </c>
      <c r="B4123" t="str">
        <f>"1552376616371679"</f>
        <v>1552376616371679</v>
      </c>
      <c r="C4123" t="s">
        <v>40</v>
      </c>
      <c r="D4123">
        <v>5.2296610000000001</v>
      </c>
      <c r="E4123">
        <v>0.54496560000000005</v>
      </c>
      <c r="F4123" t="s">
        <v>41</v>
      </c>
      <c r="G4123">
        <v>-245.583</v>
      </c>
      <c r="H4123">
        <v>0.85025249999999997</v>
      </c>
      <c r="I4123">
        <v>215.87260000000001</v>
      </c>
      <c r="J4123">
        <v>-246.09010000000001</v>
      </c>
      <c r="K4123">
        <v>1.110417</v>
      </c>
      <c r="L4123">
        <v>215.9991</v>
      </c>
      <c r="M4123">
        <v>0.99944739999999999</v>
      </c>
      <c r="N4123">
        <v>0</v>
      </c>
      <c r="O4123">
        <v>3.014381E-2</v>
      </c>
      <c r="P4123">
        <v>0.99929889999999999</v>
      </c>
      <c r="Q4123">
        <v>2.898017E-2</v>
      </c>
      <c r="R4123">
        <v>-2.3705279999999999E-2</v>
      </c>
      <c r="S4123">
        <v>3.0186920000000002</v>
      </c>
      <c r="T4123">
        <v>-0.89595480000000005</v>
      </c>
      <c r="U4123">
        <v>-0.39584350000000001</v>
      </c>
      <c r="V4123">
        <v>5.3808139999999997E-2</v>
      </c>
      <c r="W4123">
        <v>4.2976319999999998E-2</v>
      </c>
      <c r="X4123">
        <v>0.99762609999999996</v>
      </c>
      <c r="Y4123">
        <v>0.15211369999999999</v>
      </c>
      <c r="Z4123">
        <v>-3.073598E-2</v>
      </c>
      <c r="AA4123">
        <v>0.98788500000000001</v>
      </c>
      <c r="AB4123">
        <v>37</v>
      </c>
      <c r="AC4123">
        <v>0.50710000000000799</v>
      </c>
      <c r="AD4123">
        <v>-0.26016450000000002</v>
      </c>
      <c r="AE4123">
        <v>-0.12649999999999201</v>
      </c>
      <c r="AF4123">
        <v>0.113584405269454</v>
      </c>
      <c r="AG4123">
        <v>-0.26016450000000002</v>
      </c>
      <c r="AH4123">
        <v>0.40315627611038801</v>
      </c>
      <c r="AI4123">
        <v>121.84599181829699</v>
      </c>
      <c r="AJ4123">
        <v>74.265459666177307</v>
      </c>
      <c r="AK4123">
        <v>0.49307399763915799</v>
      </c>
      <c r="AL4123">
        <v>87.536879774256903</v>
      </c>
      <c r="AM4123">
        <v>86.912676045610098</v>
      </c>
      <c r="AN4123">
        <v>1.0000000577060999</v>
      </c>
    </row>
    <row r="4124" spans="1:40" x14ac:dyDescent="0.25">
      <c r="A4124" t="str">
        <f>"20190312154336398"</f>
        <v>20190312154336398</v>
      </c>
      <c r="B4124" t="str">
        <f>"1552376616391822"</f>
        <v>1552376616391822</v>
      </c>
      <c r="C4124" t="s">
        <v>40</v>
      </c>
      <c r="D4124">
        <v>5.0932599999999999</v>
      </c>
      <c r="E4124">
        <v>0.53445229999999999</v>
      </c>
      <c r="F4124" t="s">
        <v>41</v>
      </c>
      <c r="G4124">
        <v>-245.2516</v>
      </c>
      <c r="H4124">
        <v>0.86212440000000001</v>
      </c>
      <c r="I4124">
        <v>215.8896</v>
      </c>
      <c r="J4124">
        <v>-245.74080000000001</v>
      </c>
      <c r="K4124">
        <v>1.110414</v>
      </c>
      <c r="L4124">
        <v>216.00970000000001</v>
      </c>
      <c r="M4124">
        <v>0.9994442</v>
      </c>
      <c r="N4124">
        <v>0</v>
      </c>
      <c r="O4124">
        <v>3.0251759999999999E-2</v>
      </c>
      <c r="P4124">
        <v>0.99930669999999999</v>
      </c>
      <c r="Q4124">
        <v>2.8853440000000001E-2</v>
      </c>
      <c r="R4124">
        <v>-2.3533910000000002E-2</v>
      </c>
      <c r="S4124">
        <v>3.018707</v>
      </c>
      <c r="T4124">
        <v>-0.89399249999999997</v>
      </c>
      <c r="U4124">
        <v>-0.39382929999999999</v>
      </c>
      <c r="V4124">
        <v>5.3745519999999998E-2</v>
      </c>
      <c r="W4124">
        <v>4.2846740000000001E-2</v>
      </c>
      <c r="X4124">
        <v>0.99763500000000005</v>
      </c>
      <c r="Y4124">
        <v>0.15162039999999999</v>
      </c>
      <c r="Z4124">
        <v>-3.063244E-2</v>
      </c>
      <c r="AA4124">
        <v>0.98796399999999995</v>
      </c>
      <c r="AB4124">
        <v>37</v>
      </c>
      <c r="AC4124">
        <v>0.48920000000001101</v>
      </c>
      <c r="AD4124">
        <v>-0.2482896</v>
      </c>
      <c r="AE4124">
        <v>-0.12010000000000701</v>
      </c>
      <c r="AF4124">
        <v>0.108487887539165</v>
      </c>
      <c r="AG4124">
        <v>-0.2482896</v>
      </c>
      <c r="AH4124">
        <v>0.39047447942360602</v>
      </c>
      <c r="AI4124">
        <v>121.494112492958</v>
      </c>
      <c r="AJ4124">
        <v>74.472789388112702</v>
      </c>
      <c r="AK4124">
        <v>0.47527641040978102</v>
      </c>
      <c r="AL4124">
        <v>87.544310885455005</v>
      </c>
      <c r="AM4124">
        <v>86.916289482172104</v>
      </c>
      <c r="AN4124">
        <v>1.0000000086368399</v>
      </c>
    </row>
    <row r="4125" spans="1:40" x14ac:dyDescent="0.25">
      <c r="A4125" t="str">
        <f>"20190312154336421"</f>
        <v>20190312154336421</v>
      </c>
      <c r="B4125" t="str">
        <f>"1552376616411342"</f>
        <v>1552376616411342</v>
      </c>
      <c r="C4125" t="s">
        <v>40</v>
      </c>
      <c r="D4125">
        <v>5.2953229999999998</v>
      </c>
      <c r="E4125">
        <v>0.52964809999999996</v>
      </c>
      <c r="F4125" t="s">
        <v>41</v>
      </c>
      <c r="G4125">
        <v>-244.90309999999999</v>
      </c>
      <c r="H4125">
        <v>0.91684140000000003</v>
      </c>
      <c r="I4125">
        <v>215.92140000000001</v>
      </c>
      <c r="J4125">
        <v>-245.3724</v>
      </c>
      <c r="K4125">
        <v>1.110406</v>
      </c>
      <c r="L4125">
        <v>216.02099999999999</v>
      </c>
      <c r="M4125">
        <v>0.99944120000000003</v>
      </c>
      <c r="N4125">
        <v>0</v>
      </c>
      <c r="O4125">
        <v>3.0351670000000001E-2</v>
      </c>
      <c r="P4125">
        <v>0.99930890000000006</v>
      </c>
      <c r="Q4125">
        <v>2.9078429999999999E-2</v>
      </c>
      <c r="R4125">
        <v>-2.3158669999999999E-2</v>
      </c>
      <c r="S4125">
        <v>3.0147400000000002</v>
      </c>
      <c r="T4125">
        <v>-0.69670580000000004</v>
      </c>
      <c r="U4125">
        <v>-0.316955599999999</v>
      </c>
      <c r="V4125">
        <v>5.3471589999999999E-2</v>
      </c>
      <c r="W4125">
        <v>4.3068259999999997E-2</v>
      </c>
      <c r="X4125">
        <v>0.99764019999999998</v>
      </c>
      <c r="Y4125">
        <v>0.13050209999999901</v>
      </c>
      <c r="Z4125">
        <v>-2.1751340000000001E-2</v>
      </c>
      <c r="AA4125">
        <v>0.99120940000000002</v>
      </c>
      <c r="AB4125">
        <v>37</v>
      </c>
      <c r="AC4125">
        <v>0.46930000000000399</v>
      </c>
      <c r="AD4125">
        <v>-0.1935646</v>
      </c>
      <c r="AE4125">
        <v>-9.9599999999980995E-2</v>
      </c>
      <c r="AF4125">
        <v>9.7867999756289806E-2</v>
      </c>
      <c r="AG4125">
        <v>-0.1935646</v>
      </c>
      <c r="AH4125">
        <v>0.40081358452543903</v>
      </c>
      <c r="AI4125">
        <v>115.133448161277</v>
      </c>
      <c r="AJ4125">
        <v>76.278388837576401</v>
      </c>
      <c r="AK4125">
        <v>0.45573778567240603</v>
      </c>
      <c r="AL4125">
        <v>87.531607043620994</v>
      </c>
      <c r="AM4125">
        <v>86.931992386266003</v>
      </c>
      <c r="AN4125">
        <v>1.0000000273062899</v>
      </c>
    </row>
    <row r="4126" spans="1:40" x14ac:dyDescent="0.25">
      <c r="A4126" t="str">
        <f>"20190312154336442"</f>
        <v>20190312154336442</v>
      </c>
      <c r="B4126" t="str">
        <f>"1552376616431838"</f>
        <v>1552376616431838</v>
      </c>
      <c r="C4126" t="s">
        <v>40</v>
      </c>
      <c r="D4126">
        <v>5.2967589999999998</v>
      </c>
      <c r="E4126">
        <v>0.52819680000000002</v>
      </c>
      <c r="F4126" t="s">
        <v>41</v>
      </c>
      <c r="G4126">
        <v>-244.52260000000001</v>
      </c>
      <c r="H4126">
        <v>1.029352</v>
      </c>
      <c r="I4126">
        <v>215.93809999999999</v>
      </c>
      <c r="J4126">
        <v>-245.0187</v>
      </c>
      <c r="K4126">
        <v>1.110393</v>
      </c>
      <c r="L4126">
        <v>216.0318</v>
      </c>
      <c r="M4126">
        <v>0.99943870000000001</v>
      </c>
      <c r="N4126">
        <v>0</v>
      </c>
      <c r="O4126">
        <v>3.0434039999999999E-2</v>
      </c>
      <c r="P4126">
        <v>0.99932109999999996</v>
      </c>
      <c r="Q4126">
        <v>2.8920060000000001E-2</v>
      </c>
      <c r="R4126">
        <v>-2.2827750000000001E-2</v>
      </c>
      <c r="S4126">
        <v>3.0036160000000001</v>
      </c>
      <c r="T4126">
        <v>-0.28651919999999997</v>
      </c>
      <c r="U4126">
        <v>-0.29263309999999998</v>
      </c>
      <c r="V4126">
        <v>5.3224569999999999E-2</v>
      </c>
      <c r="W4126">
        <v>4.2906300000000001E-2</v>
      </c>
      <c r="X4126">
        <v>0.99766030000000006</v>
      </c>
      <c r="Y4126">
        <v>0.12651019999999999</v>
      </c>
      <c r="Z4126">
        <v>-8.8969940000000001E-3</v>
      </c>
      <c r="AA4126">
        <v>0.99192539999999996</v>
      </c>
      <c r="AB4126">
        <v>37</v>
      </c>
      <c r="AC4126">
        <v>0.496099999999984</v>
      </c>
      <c r="AD4126">
        <v>-8.1040999999999905E-2</v>
      </c>
      <c r="AE4126">
        <v>-9.3700000000012496E-2</v>
      </c>
      <c r="AF4126">
        <v>0.106024557264458</v>
      </c>
      <c r="AG4126">
        <v>-8.1040999999999905E-2</v>
      </c>
      <c r="AH4126">
        <v>0.48063414085576101</v>
      </c>
      <c r="AI4126">
        <v>99.350090777184406</v>
      </c>
      <c r="AJ4126">
        <v>77.560174214790194</v>
      </c>
      <c r="AK4126">
        <v>0.49881662740959198</v>
      </c>
      <c r="AL4126">
        <v>87.540895038380597</v>
      </c>
      <c r="AM4126">
        <v>86.946200026382996</v>
      </c>
      <c r="AN4126">
        <v>0.99999993981373003</v>
      </c>
    </row>
    <row r="4127" spans="1:40" x14ac:dyDescent="0.25">
      <c r="A4127" t="str">
        <f>"20190312154336464"</f>
        <v>20190312154336464</v>
      </c>
      <c r="B4127" t="str">
        <f>"1552376616451358"</f>
        <v>1552376616451358</v>
      </c>
      <c r="C4127" t="s">
        <v>40</v>
      </c>
      <c r="D4127">
        <v>5.2371179999999997</v>
      </c>
      <c r="E4127">
        <v>0.527296599999999</v>
      </c>
      <c r="F4127" t="s">
        <v>41</v>
      </c>
      <c r="G4127">
        <v>-244.19200000000001</v>
      </c>
      <c r="H4127">
        <v>1.0391189999999999</v>
      </c>
      <c r="I4127">
        <v>215.95429999999999</v>
      </c>
      <c r="J4127">
        <v>-244.66079999999999</v>
      </c>
      <c r="K4127">
        <v>1.1103809999999901</v>
      </c>
      <c r="L4127">
        <v>216.0428</v>
      </c>
      <c r="M4127">
        <v>0.99943669999999996</v>
      </c>
      <c r="N4127">
        <v>0</v>
      </c>
      <c r="O4127">
        <v>3.0504050000000001E-2</v>
      </c>
      <c r="P4127">
        <v>0.99934480000000003</v>
      </c>
      <c r="Q4127">
        <v>2.830504E-2</v>
      </c>
      <c r="R4127">
        <v>-2.256097E-2</v>
      </c>
      <c r="S4127">
        <v>3.003098</v>
      </c>
      <c r="T4127">
        <v>-0.25900279999999998</v>
      </c>
      <c r="U4127">
        <v>-0.28097529999999998</v>
      </c>
      <c r="V4127">
        <v>5.3029949999999999E-2</v>
      </c>
      <c r="W4127">
        <v>4.2288390000000002E-2</v>
      </c>
      <c r="X4127">
        <v>0.9976971</v>
      </c>
      <c r="Y4127">
        <v>0.122921</v>
      </c>
      <c r="Z4127">
        <v>-7.9005380000000004E-3</v>
      </c>
      <c r="AA4127">
        <v>0.99238499999999996</v>
      </c>
      <c r="AB4127">
        <v>37</v>
      </c>
      <c r="AC4127">
        <v>0.468799999999987</v>
      </c>
      <c r="AD4127">
        <v>-7.1261999999999701E-2</v>
      </c>
      <c r="AE4127">
        <v>-8.8500000000010404E-2</v>
      </c>
      <c r="AF4127">
        <v>0.100517782760405</v>
      </c>
      <c r="AG4127">
        <v>-7.1261999999999701E-2</v>
      </c>
      <c r="AH4127">
        <v>0.455714162043591</v>
      </c>
      <c r="AI4127">
        <v>98.682211440843602</v>
      </c>
      <c r="AJ4127">
        <v>77.561325201503294</v>
      </c>
      <c r="AK4127">
        <v>0.47207784822226101</v>
      </c>
      <c r="AL4127">
        <v>87.5763309705723</v>
      </c>
      <c r="AM4127">
        <v>86.957457493367599</v>
      </c>
      <c r="AN4127">
        <v>0.999999993437102</v>
      </c>
    </row>
    <row r="4128" spans="1:40" x14ac:dyDescent="0.25">
      <c r="A4128" t="str">
        <f>"20190312154336499"</f>
        <v>20190312154336499</v>
      </c>
      <c r="B4128" t="str">
        <f>"1552376616491373"</f>
        <v>1552376616491373</v>
      </c>
      <c r="C4128" t="s">
        <v>40</v>
      </c>
      <c r="D4128">
        <v>5.1886299999999999</v>
      </c>
      <c r="E4128">
        <v>0.5287039</v>
      </c>
      <c r="F4128" t="s">
        <v>41</v>
      </c>
      <c r="G4128">
        <v>-243.86449999999999</v>
      </c>
      <c r="H4128">
        <v>1.0424519999999999</v>
      </c>
      <c r="I4128">
        <v>215.97040000000001</v>
      </c>
      <c r="J4128">
        <v>-244.102</v>
      </c>
      <c r="K4128">
        <v>1.1103529999999999</v>
      </c>
      <c r="L4128">
        <v>216.0599</v>
      </c>
      <c r="M4128">
        <v>0.99943409999999999</v>
      </c>
      <c r="N4128">
        <v>0</v>
      </c>
      <c r="O4128">
        <v>3.0588710000000002E-2</v>
      </c>
      <c r="P4128">
        <v>0.99932600000000005</v>
      </c>
      <c r="Q4128">
        <v>2.856945E-2</v>
      </c>
      <c r="R4128">
        <v>-2.304931E-2</v>
      </c>
      <c r="S4128">
        <v>3.0030519999999998</v>
      </c>
      <c r="T4128">
        <v>-0.25624720000000001</v>
      </c>
      <c r="U4128">
        <v>-0.27304079999999997</v>
      </c>
      <c r="V4128">
        <v>5.3604079999999998E-2</v>
      </c>
      <c r="W4128">
        <v>4.2546599999999997E-2</v>
      </c>
      <c r="X4128">
        <v>0.99765550000000003</v>
      </c>
      <c r="Y4128">
        <v>0.12042659999999999</v>
      </c>
      <c r="Z4128">
        <v>-7.719007E-3</v>
      </c>
      <c r="AA4128">
        <v>0.99269220000000002</v>
      </c>
      <c r="AB4128">
        <v>36</v>
      </c>
      <c r="AC4128">
        <v>0.23750000000001101</v>
      </c>
      <c r="AD4128">
        <v>-6.7901000000000197E-2</v>
      </c>
      <c r="AE4128">
        <v>-8.9499999999986798E-2</v>
      </c>
      <c r="AF4128">
        <v>9.0263147364112103E-2</v>
      </c>
      <c r="AG4128">
        <v>-6.7901000000000197E-2</v>
      </c>
      <c r="AH4128">
        <v>0.21897777149300901</v>
      </c>
      <c r="AI4128">
        <v>105.996621253453</v>
      </c>
      <c r="AJ4128">
        <v>67.598429286058604</v>
      </c>
      <c r="AK4128">
        <v>0.24639246332045101</v>
      </c>
      <c r="AL4128">
        <v>87.561523446751295</v>
      </c>
      <c r="AM4128">
        <v>86.924452239448698</v>
      </c>
      <c r="AN4128">
        <v>1.00000005362222</v>
      </c>
    </row>
    <row r="4129" spans="1:40" x14ac:dyDescent="0.25">
      <c r="A4129" t="str">
        <f>"20190312154336520"</f>
        <v>20190312154336520</v>
      </c>
      <c r="B4129" t="str">
        <f>"1552376616511870"</f>
        <v>1552376616511870</v>
      </c>
      <c r="C4129" t="s">
        <v>40</v>
      </c>
      <c r="D4129">
        <v>5.1676690000000001</v>
      </c>
      <c r="E4129">
        <v>0.52914359999999905</v>
      </c>
      <c r="F4129" t="s">
        <v>41</v>
      </c>
      <c r="G4129">
        <v>-243.21619999999999</v>
      </c>
      <c r="H4129">
        <v>1.0366439999999999</v>
      </c>
      <c r="I4129">
        <v>215.97559999999999</v>
      </c>
      <c r="J4129">
        <v>-243.7439</v>
      </c>
      <c r="K4129">
        <v>1.1103479999999999</v>
      </c>
      <c r="L4129">
        <v>216.07089999999999</v>
      </c>
      <c r="M4129">
        <v>0.99943269999999995</v>
      </c>
      <c r="N4129">
        <v>0</v>
      </c>
      <c r="O4129">
        <v>3.0631729999999999E-2</v>
      </c>
      <c r="P4129">
        <v>0.99930149999999995</v>
      </c>
      <c r="Q4129">
        <v>2.884724E-2</v>
      </c>
      <c r="R4129">
        <v>-2.375594E-2</v>
      </c>
      <c r="S4129">
        <v>3.0025629999999999</v>
      </c>
      <c r="T4129">
        <v>-0.24985499999999999</v>
      </c>
      <c r="U4129">
        <v>-0.28579710000000003</v>
      </c>
      <c r="V4129">
        <v>5.435338E-2</v>
      </c>
      <c r="W4129">
        <v>4.2820539999999997E-2</v>
      </c>
      <c r="X4129">
        <v>0.99760320000000002</v>
      </c>
      <c r="Y4129">
        <v>0.1246761</v>
      </c>
      <c r="Z4129">
        <v>-7.7065830000000004E-3</v>
      </c>
      <c r="AA4129">
        <v>0.99216749999999998</v>
      </c>
      <c r="AB4129">
        <v>36</v>
      </c>
      <c r="AC4129">
        <v>0.52770000000000905</v>
      </c>
      <c r="AD4129">
        <v>-7.37039999999997E-2</v>
      </c>
      <c r="AE4129">
        <v>-9.5300000000008794E-2</v>
      </c>
      <c r="AF4129">
        <v>0.10935531728851</v>
      </c>
      <c r="AG4129">
        <v>-7.37039999999997E-2</v>
      </c>
      <c r="AH4129">
        <v>0.51480727796917602</v>
      </c>
      <c r="AI4129">
        <v>97.972052722138102</v>
      </c>
      <c r="AJ4129">
        <v>78.007491147310105</v>
      </c>
      <c r="AK4129">
        <v>0.53142957998713503</v>
      </c>
      <c r="AL4129">
        <v>87.545813433429799</v>
      </c>
      <c r="AM4129">
        <v>86.881382066125695</v>
      </c>
      <c r="AN4129">
        <v>1.00000001660677</v>
      </c>
    </row>
    <row r="4130" spans="1:40" x14ac:dyDescent="0.25">
      <c r="A4130" t="str">
        <f>"20190312154336543"</f>
        <v>20190312154336543</v>
      </c>
      <c r="B4130" t="str">
        <f>"1552376616531390"</f>
        <v>1552376616531390</v>
      </c>
      <c r="C4130" t="s">
        <v>40</v>
      </c>
      <c r="D4130">
        <v>5.2473669999999997</v>
      </c>
      <c r="E4130">
        <v>0.52972730000000001</v>
      </c>
      <c r="F4130" t="s">
        <v>41</v>
      </c>
      <c r="G4130">
        <v>-242.88919999999999</v>
      </c>
      <c r="H4130">
        <v>1.040165</v>
      </c>
      <c r="I4130">
        <v>215.98769999999999</v>
      </c>
      <c r="J4130">
        <v>-243.3836</v>
      </c>
      <c r="K4130">
        <v>1.1103419999999999</v>
      </c>
      <c r="L4130">
        <v>216.08199999999999</v>
      </c>
      <c r="M4130">
        <v>0.99943159999999998</v>
      </c>
      <c r="N4130">
        <v>0</v>
      </c>
      <c r="O4130">
        <v>3.0669660000000001E-2</v>
      </c>
      <c r="P4130">
        <v>0.99929270000000003</v>
      </c>
      <c r="Q4130">
        <v>2.8856429999999999E-2</v>
      </c>
      <c r="R4130">
        <v>-2.4110469999999998E-2</v>
      </c>
      <c r="S4130">
        <v>3.0022739999999999</v>
      </c>
      <c r="T4130">
        <v>-0.24667839999999999</v>
      </c>
      <c r="U4130">
        <v>-0.29156490000000002</v>
      </c>
      <c r="V4130">
        <v>5.4745889999999998E-2</v>
      </c>
      <c r="W4130">
        <v>4.282673E-2</v>
      </c>
      <c r="X4130">
        <v>0.99758150000000001</v>
      </c>
      <c r="Y4130">
        <v>0.12661810000000001</v>
      </c>
      <c r="Z4130">
        <v>-7.6915459999999996E-3</v>
      </c>
      <c r="AA4130">
        <v>0.99192170000000002</v>
      </c>
      <c r="AB4130">
        <v>36</v>
      </c>
      <c r="AC4130">
        <v>0.494400000000013</v>
      </c>
      <c r="AD4130">
        <v>-7.0176999999999906E-2</v>
      </c>
      <c r="AE4130">
        <v>-9.4300000000004006E-2</v>
      </c>
      <c r="AF4130">
        <v>0.107333548132249</v>
      </c>
      <c r="AG4130">
        <v>-7.0176999999999906E-2</v>
      </c>
      <c r="AH4130">
        <v>0.48190631329232803</v>
      </c>
      <c r="AI4130">
        <v>98.089875817949405</v>
      </c>
      <c r="AJ4130">
        <v>77.443634542305105</v>
      </c>
      <c r="AK4130">
        <v>0.49867724699916</v>
      </c>
      <c r="AL4130">
        <v>87.545458517159304</v>
      </c>
      <c r="AM4130">
        <v>86.858837881034404</v>
      </c>
      <c r="AN4130">
        <v>1.00000004520831</v>
      </c>
    </row>
    <row r="4131" spans="1:40" x14ac:dyDescent="0.25">
      <c r="A4131" t="str">
        <f>"20190312154336565"</f>
        <v>20190312154336565</v>
      </c>
      <c r="B4131" t="str">
        <f>"1552376616551886"</f>
        <v>1552376616551886</v>
      </c>
      <c r="C4131" t="s">
        <v>40</v>
      </c>
      <c r="D4131">
        <v>5.2004020000000004</v>
      </c>
      <c r="E4131">
        <v>0.52994019999999897</v>
      </c>
      <c r="F4131" t="s">
        <v>41</v>
      </c>
      <c r="G4131">
        <v>-242.5626</v>
      </c>
      <c r="H4131">
        <v>1.042759</v>
      </c>
      <c r="I4131">
        <v>216.00059999999999</v>
      </c>
      <c r="J4131">
        <v>-243.01779999999999</v>
      </c>
      <c r="K4131">
        <v>1.110339</v>
      </c>
      <c r="L4131">
        <v>216.0933</v>
      </c>
      <c r="M4131">
        <v>0.99943070000000001</v>
      </c>
      <c r="N4131">
        <v>0</v>
      </c>
      <c r="O4131">
        <v>3.0704929999999998E-2</v>
      </c>
      <c r="P4131">
        <v>0.99928709999999998</v>
      </c>
      <c r="Q4131">
        <v>2.8430460000000001E-2</v>
      </c>
      <c r="R4131">
        <v>-2.4846300000000002E-2</v>
      </c>
      <c r="S4131">
        <v>3.0020899999999999</v>
      </c>
      <c r="T4131">
        <v>-0.2472094</v>
      </c>
      <c r="U4131">
        <v>-0.29725649999999998</v>
      </c>
      <c r="V4131">
        <v>5.5517160000000003E-2</v>
      </c>
      <c r="W4131">
        <v>4.2397490000000003E-2</v>
      </c>
      <c r="X4131">
        <v>0.99755720000000003</v>
      </c>
      <c r="Y4131">
        <v>0.1285126</v>
      </c>
      <c r="Z4131">
        <v>-7.7884009999999899E-3</v>
      </c>
      <c r="AA4131">
        <v>0.99167729999999998</v>
      </c>
      <c r="AB4131">
        <v>36</v>
      </c>
      <c r="AC4131">
        <v>0.45519999999999</v>
      </c>
      <c r="AD4131">
        <v>-6.7579999999999904E-2</v>
      </c>
      <c r="AE4131">
        <v>-9.2700000000007707E-2</v>
      </c>
      <c r="AF4131">
        <v>0.104424560376497</v>
      </c>
      <c r="AG4131">
        <v>-6.7579999999999904E-2</v>
      </c>
      <c r="AH4131">
        <v>0.44276824628379902</v>
      </c>
      <c r="AI4131">
        <v>98.449779426757004</v>
      </c>
      <c r="AJ4131">
        <v>76.729590604456902</v>
      </c>
      <c r="AK4131">
        <v>0.45990788765475199</v>
      </c>
      <c r="AL4131">
        <v>87.570074490106805</v>
      </c>
      <c r="AM4131">
        <v>86.814597684028499</v>
      </c>
      <c r="AN4131">
        <v>1.0000000347422999</v>
      </c>
    </row>
    <row r="4132" spans="1:40" x14ac:dyDescent="0.25">
      <c r="A4132" t="str">
        <f>"20190312154336588"</f>
        <v>20190312154336588</v>
      </c>
      <c r="B4132" t="str">
        <f>"1552376616581166"</f>
        <v>1552376616581166</v>
      </c>
      <c r="C4132" t="s">
        <v>40</v>
      </c>
      <c r="D4132">
        <v>5.1935120000000001</v>
      </c>
      <c r="E4132">
        <v>0.53008559999999905</v>
      </c>
      <c r="F4132" t="s">
        <v>41</v>
      </c>
      <c r="G4132">
        <v>-242.23580000000001</v>
      </c>
      <c r="H4132">
        <v>1.045892</v>
      </c>
      <c r="I4132">
        <v>216.0147</v>
      </c>
      <c r="J4132">
        <v>-242.64529999999999</v>
      </c>
      <c r="K4132">
        <v>1.110333</v>
      </c>
      <c r="L4132">
        <v>216.10480000000001</v>
      </c>
      <c r="M4132">
        <v>0.99942960000000003</v>
      </c>
      <c r="N4132">
        <v>0</v>
      </c>
      <c r="O4132">
        <v>3.0739929999999999E-2</v>
      </c>
      <c r="P4132">
        <v>0.9992858</v>
      </c>
      <c r="Q4132">
        <v>2.8473749999999999E-2</v>
      </c>
      <c r="R4132">
        <v>-2.4851410000000001E-2</v>
      </c>
      <c r="S4132">
        <v>3.0016780000000001</v>
      </c>
      <c r="T4132">
        <v>-0.247474</v>
      </c>
      <c r="U4132">
        <v>-0.30108639999999998</v>
      </c>
      <c r="V4132">
        <v>5.5557370000000002E-2</v>
      </c>
      <c r="W4132">
        <v>4.243798E-2</v>
      </c>
      <c r="X4132">
        <v>0.99755320000000003</v>
      </c>
      <c r="Y4132">
        <v>0.1298078</v>
      </c>
      <c r="Z4132">
        <v>-7.8533330000000005E-3</v>
      </c>
      <c r="AA4132">
        <v>0.9915081</v>
      </c>
      <c r="AB4132">
        <v>36</v>
      </c>
      <c r="AC4132">
        <v>0.40949999999997899</v>
      </c>
      <c r="AD4132">
        <v>-6.4440999999999901E-2</v>
      </c>
      <c r="AE4132">
        <v>-9.0100000000006703E-2</v>
      </c>
      <c r="AF4132">
        <v>0.100278047320058</v>
      </c>
      <c r="AG4132">
        <v>-6.4440999999999901E-2</v>
      </c>
      <c r="AH4132">
        <v>0.397155570130102</v>
      </c>
      <c r="AI4132">
        <v>98.940445812380602</v>
      </c>
      <c r="AJ4132">
        <v>75.829528857428002</v>
      </c>
      <c r="AK4132">
        <v>0.414657540798055</v>
      </c>
      <c r="AL4132">
        <v>87.567752397882501</v>
      </c>
      <c r="AM4132">
        <v>86.812282559562703</v>
      </c>
      <c r="AN4132">
        <v>0.99999999516901805</v>
      </c>
    </row>
    <row r="4133" spans="1:40" x14ac:dyDescent="0.25">
      <c r="A4133" t="str">
        <f>"20190312154336610"</f>
        <v>20190312154336610</v>
      </c>
      <c r="B4133" t="str">
        <f>"1552376616601663"</f>
        <v>1552376616601663</v>
      </c>
      <c r="C4133" t="s">
        <v>40</v>
      </c>
      <c r="D4133">
        <v>5.1883339999999896</v>
      </c>
      <c r="E4133">
        <v>0.53018189999999998</v>
      </c>
      <c r="F4133" t="s">
        <v>41</v>
      </c>
      <c r="G4133">
        <v>-241.5984</v>
      </c>
      <c r="H4133">
        <v>1.0243139999999999</v>
      </c>
      <c r="I4133">
        <v>215.9991</v>
      </c>
      <c r="J4133">
        <v>-242.2937</v>
      </c>
      <c r="K4133">
        <v>1.1103350000000001</v>
      </c>
      <c r="L4133">
        <v>216.1156</v>
      </c>
      <c r="M4133">
        <v>0.9994286</v>
      </c>
      <c r="N4133">
        <v>0</v>
      </c>
      <c r="O4133">
        <v>3.0773089999999999E-2</v>
      </c>
      <c r="P4133">
        <v>0.99929120000000005</v>
      </c>
      <c r="Q4133">
        <v>2.8427549999999999E-2</v>
      </c>
      <c r="R4133">
        <v>-2.4680089999999998E-2</v>
      </c>
      <c r="S4133">
        <v>3.0016479999999999</v>
      </c>
      <c r="T4133">
        <v>-0.24669740000000001</v>
      </c>
      <c r="U4133">
        <v>-0.30256650000000002</v>
      </c>
      <c r="V4133">
        <v>5.5419740000000002E-2</v>
      </c>
      <c r="W4133">
        <v>4.2389860000000001E-2</v>
      </c>
      <c r="X4133">
        <v>0.99756290000000003</v>
      </c>
      <c r="Y4133">
        <v>0.1303272</v>
      </c>
      <c r="Z4133">
        <v>-7.8526369999999904E-3</v>
      </c>
      <c r="AA4133">
        <v>0.99143990000000004</v>
      </c>
      <c r="AB4133">
        <v>36</v>
      </c>
      <c r="AC4133">
        <v>0.69530000000000303</v>
      </c>
      <c r="AD4133">
        <v>-8.6021000000000097E-2</v>
      </c>
      <c r="AE4133">
        <v>-0.116500000000002</v>
      </c>
      <c r="AF4133">
        <v>0.13582131069658901</v>
      </c>
      <c r="AG4133">
        <v>-8.6021000000000097E-2</v>
      </c>
      <c r="AH4133">
        <v>0.68124279449267999</v>
      </c>
      <c r="AI4133">
        <v>97.0592004622373</v>
      </c>
      <c r="AJ4133">
        <v>78.724623245856904</v>
      </c>
      <c r="AK4133">
        <v>0.69995627429757101</v>
      </c>
      <c r="AL4133">
        <v>87.570511950331905</v>
      </c>
      <c r="AM4133">
        <v>86.820193992550401</v>
      </c>
      <c r="AN4133">
        <v>0.99999999363444803</v>
      </c>
    </row>
    <row r="4134" spans="1:40" x14ac:dyDescent="0.25">
      <c r="A4134" t="str">
        <f>"20190312154336631"</f>
        <v>20190312154336631</v>
      </c>
      <c r="B4134" t="str">
        <f>"1552376616621183"</f>
        <v>1552376616621183</v>
      </c>
      <c r="C4134" t="s">
        <v>40</v>
      </c>
      <c r="D4134">
        <v>5.2819599999999998</v>
      </c>
      <c r="E4134">
        <v>0.5302578</v>
      </c>
      <c r="F4134" t="s">
        <v>41</v>
      </c>
      <c r="G4134">
        <v>-241.27369999999999</v>
      </c>
      <c r="H4134">
        <v>1.026559</v>
      </c>
      <c r="I4134">
        <v>216.0127</v>
      </c>
      <c r="J4134">
        <v>-241.93709999999999</v>
      </c>
      <c r="K4134">
        <v>1.1103350000000001</v>
      </c>
      <c r="L4134">
        <v>216.1267</v>
      </c>
      <c r="M4134">
        <v>0.99942759999999997</v>
      </c>
      <c r="N4134">
        <v>0</v>
      </c>
      <c r="O4134">
        <v>3.080722E-2</v>
      </c>
      <c r="P4134">
        <v>0.99929590000000001</v>
      </c>
      <c r="Q4134">
        <v>2.8185459999999999E-2</v>
      </c>
      <c r="R4134">
        <v>-2.47689E-2</v>
      </c>
      <c r="S4134">
        <v>3.0016479999999999</v>
      </c>
      <c r="T4134">
        <v>-0.24653630000000001</v>
      </c>
      <c r="U4134">
        <v>-0.3026276</v>
      </c>
      <c r="V4134">
        <v>5.5542929999999997E-2</v>
      </c>
      <c r="W4134">
        <v>4.2145460000000003E-2</v>
      </c>
      <c r="X4134">
        <v>0.99756639999999996</v>
      </c>
      <c r="Y4134">
        <v>0.13038139999999901</v>
      </c>
      <c r="Z4134">
        <v>-7.8525250000000008E-3</v>
      </c>
      <c r="AA4134">
        <v>0.9914328</v>
      </c>
      <c r="AB4134">
        <v>36</v>
      </c>
      <c r="AC4134">
        <v>0.66339999999999499</v>
      </c>
      <c r="AD4134">
        <v>-8.3776000000000003E-2</v>
      </c>
      <c r="AE4134">
        <v>-0.114000000000004</v>
      </c>
      <c r="AF4134">
        <v>0.13233551759801501</v>
      </c>
      <c r="AG4134">
        <v>-8.3776000000000003E-2</v>
      </c>
      <c r="AH4134">
        <v>0.64951179430234096</v>
      </c>
      <c r="AI4134">
        <v>97.203215661806695</v>
      </c>
      <c r="AJ4134">
        <v>78.483834572656093</v>
      </c>
      <c r="AK4134">
        <v>0.66812923774654598</v>
      </c>
      <c r="AL4134">
        <v>87.584527554745904</v>
      </c>
      <c r="AM4134">
        <v>86.813151458669296</v>
      </c>
      <c r="AN4134">
        <v>0.99999998964027803</v>
      </c>
    </row>
    <row r="4135" spans="1:40" x14ac:dyDescent="0.25">
      <c r="A4135" t="str">
        <f>"20190312154336654"</f>
        <v>20190312154336654</v>
      </c>
      <c r="B4135" t="str">
        <f>"1552376616641678"</f>
        <v>1552376616641678</v>
      </c>
      <c r="C4135" t="s">
        <v>40</v>
      </c>
      <c r="D4135">
        <v>5.2337369999999996</v>
      </c>
      <c r="E4135">
        <v>0.53020239999999996</v>
      </c>
      <c r="F4135" t="s">
        <v>41</v>
      </c>
      <c r="G4135">
        <v>-240.94929999999999</v>
      </c>
      <c r="H4135">
        <v>1.028716</v>
      </c>
      <c r="I4135">
        <v>216.0265</v>
      </c>
      <c r="J4135">
        <v>-241.58170000000001</v>
      </c>
      <c r="K4135">
        <v>1.110331</v>
      </c>
      <c r="L4135">
        <v>216.13759999999999</v>
      </c>
      <c r="M4135">
        <v>0.9994265</v>
      </c>
      <c r="N4135">
        <v>0</v>
      </c>
      <c r="O4135">
        <v>3.0841899999999998E-2</v>
      </c>
      <c r="P4135">
        <v>0.99930140000000001</v>
      </c>
      <c r="Q4135">
        <v>2.8232360000000001E-2</v>
      </c>
      <c r="R4135">
        <v>-2.449171E-2</v>
      </c>
      <c r="S4135">
        <v>3.0016020000000001</v>
      </c>
      <c r="T4135">
        <v>-0.24823439999999999</v>
      </c>
      <c r="U4135">
        <v>-0.3034058</v>
      </c>
      <c r="V4135">
        <v>5.5300889999999998E-2</v>
      </c>
      <c r="W4135">
        <v>4.2190249999999999E-2</v>
      </c>
      <c r="X4135">
        <v>0.99757799999999996</v>
      </c>
      <c r="Y4135">
        <v>0.13066330000000001</v>
      </c>
      <c r="Z4135">
        <v>-7.9209169999999995E-3</v>
      </c>
      <c r="AA4135">
        <v>0.99139520000000003</v>
      </c>
      <c r="AB4135">
        <v>36</v>
      </c>
      <c r="AC4135">
        <v>0.63240000000001795</v>
      </c>
      <c r="AD4135">
        <v>-8.1614999999999993E-2</v>
      </c>
      <c r="AE4135">
        <v>-0.111099999999993</v>
      </c>
      <c r="AF4135">
        <v>0.12847767363418799</v>
      </c>
      <c r="AG4135">
        <v>-8.1614999999999993E-2</v>
      </c>
      <c r="AH4135">
        <v>0.61867639769664795</v>
      </c>
      <c r="AI4135">
        <v>97.359750108377398</v>
      </c>
      <c r="AJ4135">
        <v>78.268394503019493</v>
      </c>
      <c r="AK4135">
        <v>0.63712479618545304</v>
      </c>
      <c r="AL4135">
        <v>87.581959103942197</v>
      </c>
      <c r="AM4135">
        <v>86.827047204051098</v>
      </c>
      <c r="AN4135">
        <v>1.0000000358569201</v>
      </c>
    </row>
    <row r="4136" spans="1:40" x14ac:dyDescent="0.25">
      <c r="A4136" t="str">
        <f>"20190312154336677"</f>
        <v>20190312154336677</v>
      </c>
      <c r="B4136" t="str">
        <f>"1552376616671933"</f>
        <v>1552376616671933</v>
      </c>
      <c r="C4136" t="s">
        <v>40</v>
      </c>
      <c r="D4136">
        <v>5.2062920000000004</v>
      </c>
      <c r="E4136">
        <v>0.53038350000000001</v>
      </c>
      <c r="F4136" t="s">
        <v>41</v>
      </c>
      <c r="G4136">
        <v>-240.62540000000001</v>
      </c>
      <c r="H4136">
        <v>1.0305899999999999</v>
      </c>
      <c r="I4136">
        <v>216.04130000000001</v>
      </c>
      <c r="J4136">
        <v>-241.20779999999999</v>
      </c>
      <c r="K4136">
        <v>1.1103339999999999</v>
      </c>
      <c r="L4136">
        <v>216.14920000000001</v>
      </c>
      <c r="M4136">
        <v>0.99942540000000002</v>
      </c>
      <c r="N4136">
        <v>0</v>
      </c>
      <c r="O4136">
        <v>3.0878610000000001E-2</v>
      </c>
      <c r="P4136">
        <v>0.99927929999999998</v>
      </c>
      <c r="Q4136">
        <v>2.8734869999999999E-2</v>
      </c>
      <c r="R4136">
        <v>-2.4807820000000001E-2</v>
      </c>
      <c r="S4136">
        <v>3.00177</v>
      </c>
      <c r="T4136">
        <v>-0.250361</v>
      </c>
      <c r="U4136">
        <v>-0.30209350000000001</v>
      </c>
      <c r="V4136">
        <v>5.5652960000000001E-2</v>
      </c>
      <c r="W4136">
        <v>4.269001E-2</v>
      </c>
      <c r="X4136">
        <v>0.99753709999999995</v>
      </c>
      <c r="Y4136">
        <v>0.13025709999999999</v>
      </c>
      <c r="Z4136">
        <v>-7.9744489999999998E-3</v>
      </c>
      <c r="AA4136">
        <v>0.9914482</v>
      </c>
      <c r="AB4136">
        <v>36</v>
      </c>
      <c r="AC4136">
        <v>0.58239999999997805</v>
      </c>
      <c r="AD4136">
        <v>-7.9743999999999995E-2</v>
      </c>
      <c r="AE4136">
        <v>-0.1079</v>
      </c>
      <c r="AF4136">
        <v>0.12359376358082901</v>
      </c>
      <c r="AG4136">
        <v>-7.9743999999999995E-2</v>
      </c>
      <c r="AH4136">
        <v>0.56848584858846496</v>
      </c>
      <c r="AI4136">
        <v>97.805025213328193</v>
      </c>
      <c r="AJ4136">
        <v>77.734275106778995</v>
      </c>
      <c r="AK4136">
        <v>0.58720582760853202</v>
      </c>
      <c r="AL4136">
        <v>87.553299000485396</v>
      </c>
      <c r="AM4136">
        <v>86.806757797897305</v>
      </c>
      <c r="AN4136">
        <v>0.99999997739348501</v>
      </c>
    </row>
    <row r="4137" spans="1:40" x14ac:dyDescent="0.25">
      <c r="A4137" t="str">
        <f>"20190312154336699"</f>
        <v>20190312154336699</v>
      </c>
      <c r="B4137" t="str">
        <f>"1552376616691454"</f>
        <v>1552376616691454</v>
      </c>
      <c r="C4137" t="s">
        <v>40</v>
      </c>
      <c r="D4137">
        <v>5.178858</v>
      </c>
      <c r="E4137">
        <v>0.53054209999999902</v>
      </c>
      <c r="F4137" t="s">
        <v>41</v>
      </c>
      <c r="G4137">
        <v>-240.3006</v>
      </c>
      <c r="H4137">
        <v>1.0347489999999999</v>
      </c>
      <c r="I4137">
        <v>216.05690000000001</v>
      </c>
      <c r="J4137">
        <v>-240.85239999999999</v>
      </c>
      <c r="K4137">
        <v>1.1103339999999999</v>
      </c>
      <c r="L4137">
        <v>216.1602</v>
      </c>
      <c r="M4137">
        <v>0.99942430000000004</v>
      </c>
      <c r="N4137">
        <v>0</v>
      </c>
      <c r="O4137">
        <v>3.0913599999999999E-2</v>
      </c>
      <c r="P4137">
        <v>0.99927049999999995</v>
      </c>
      <c r="Q4137">
        <v>2.8674459999999999E-2</v>
      </c>
      <c r="R4137">
        <v>-2.5224139999999999E-2</v>
      </c>
      <c r="S4137">
        <v>3.0018159999999998</v>
      </c>
      <c r="T4137">
        <v>-0.250365</v>
      </c>
      <c r="U4137">
        <v>-0.30418400000000001</v>
      </c>
      <c r="V4137">
        <v>5.6104000000000001E-2</v>
      </c>
      <c r="W4137">
        <v>4.2627110000000003E-2</v>
      </c>
      <c r="X4137">
        <v>0.99751449999999997</v>
      </c>
      <c r="Y4137">
        <v>0.13097110000000001</v>
      </c>
      <c r="Z4137">
        <v>-8.0067439999999997E-3</v>
      </c>
      <c r="AA4137">
        <v>0.99135390000000001</v>
      </c>
      <c r="AB4137">
        <v>36</v>
      </c>
      <c r="AC4137">
        <v>0.55179999999998497</v>
      </c>
      <c r="AD4137">
        <v>-7.5584999999999999E-2</v>
      </c>
      <c r="AE4137">
        <v>-0.10329999999999</v>
      </c>
      <c r="AF4137">
        <v>0.11816826453931099</v>
      </c>
      <c r="AG4137">
        <v>-7.5584999999999999E-2</v>
      </c>
      <c r="AH4137">
        <v>0.53857920790091596</v>
      </c>
      <c r="AI4137">
        <v>97.805499573991696</v>
      </c>
      <c r="AJ4137">
        <v>77.624971408426106</v>
      </c>
      <c r="AK4137">
        <v>0.55654684812009403</v>
      </c>
      <c r="AL4137">
        <v>87.556906130319902</v>
      </c>
      <c r="AM4137">
        <v>86.780859562220499</v>
      </c>
      <c r="AN4137">
        <v>0.99999995351659998</v>
      </c>
    </row>
    <row r="4138" spans="1:40" x14ac:dyDescent="0.25">
      <c r="A4138" t="str">
        <f>"20190312154336721"</f>
        <v>20190312154336721</v>
      </c>
      <c r="B4138" t="str">
        <f>"1552376616711950"</f>
        <v>1552376616711950</v>
      </c>
      <c r="C4138" t="s">
        <v>40</v>
      </c>
      <c r="D4138">
        <v>5.2115650000000002</v>
      </c>
      <c r="E4138">
        <v>0.53071020000000002</v>
      </c>
      <c r="F4138" t="s">
        <v>41</v>
      </c>
      <c r="G4138">
        <v>-239.9769</v>
      </c>
      <c r="H4138">
        <v>1.037085</v>
      </c>
      <c r="I4138">
        <v>216.07060000000001</v>
      </c>
      <c r="J4138">
        <v>-240.48859999999999</v>
      </c>
      <c r="K4138">
        <v>1.1103270000000001</v>
      </c>
      <c r="L4138">
        <v>216.17150000000001</v>
      </c>
      <c r="M4138">
        <v>0.99942330000000001</v>
      </c>
      <c r="N4138">
        <v>0</v>
      </c>
      <c r="O4138">
        <v>3.0949959999999999E-2</v>
      </c>
      <c r="P4138">
        <v>0.99925889999999995</v>
      </c>
      <c r="Q4138">
        <v>2.87151E-2</v>
      </c>
      <c r="R4138">
        <v>-2.5641089999999998E-2</v>
      </c>
      <c r="S4138">
        <v>3.001633</v>
      </c>
      <c r="T4138">
        <v>-0.25120100000000001</v>
      </c>
      <c r="U4138">
        <v>-0.3067627</v>
      </c>
      <c r="V4138">
        <v>5.655657E-2</v>
      </c>
      <c r="W4138">
        <v>4.2665229999999998E-2</v>
      </c>
      <c r="X4138">
        <v>0.99748740000000002</v>
      </c>
      <c r="Y4138">
        <v>0.1318493</v>
      </c>
      <c r="Z4138">
        <v>-8.0731540000000008E-3</v>
      </c>
      <c r="AA4138">
        <v>0.99123689999999998</v>
      </c>
      <c r="AB4138">
        <v>36</v>
      </c>
      <c r="AC4138">
        <v>0.51169999999999005</v>
      </c>
      <c r="AD4138">
        <v>-7.3242000000000002E-2</v>
      </c>
      <c r="AE4138">
        <v>-0.10089999999999499</v>
      </c>
      <c r="AF4138">
        <v>0.1144335781896</v>
      </c>
      <c r="AG4138">
        <v>-7.3242000000000002E-2</v>
      </c>
      <c r="AH4138">
        <v>0.49850085282473899</v>
      </c>
      <c r="AI4138">
        <v>98.149349992066206</v>
      </c>
      <c r="AJ4138">
        <v>77.071429989675593</v>
      </c>
      <c r="AK4138">
        <v>0.51668417301894198</v>
      </c>
      <c r="AL4138">
        <v>87.5547202386322</v>
      </c>
      <c r="AM4138">
        <v>86.754859259914397</v>
      </c>
      <c r="AN4138">
        <v>1.0000000403099301</v>
      </c>
    </row>
    <row r="4139" spans="1:40" x14ac:dyDescent="0.25">
      <c r="A4139" t="str">
        <f>"20190312154336744"</f>
        <v>20190312154336744</v>
      </c>
      <c r="B4139" t="str">
        <f>"1552376616731472"</f>
        <v>1552376616731472</v>
      </c>
      <c r="C4139" t="s">
        <v>40</v>
      </c>
      <c r="D4139">
        <v>5.1963109999999997</v>
      </c>
      <c r="E4139">
        <v>0.53085309999999997</v>
      </c>
      <c r="F4139" t="s">
        <v>41</v>
      </c>
      <c r="G4139">
        <v>-239.6523</v>
      </c>
      <c r="H4139">
        <v>1.040278</v>
      </c>
      <c r="I4139">
        <v>216.08510000000001</v>
      </c>
      <c r="J4139">
        <v>-240.1249</v>
      </c>
      <c r="K4139">
        <v>1.11032999999999</v>
      </c>
      <c r="L4139">
        <v>216.18279999999999</v>
      </c>
      <c r="M4139">
        <v>0.99942220000000004</v>
      </c>
      <c r="N4139">
        <v>0</v>
      </c>
      <c r="O4139">
        <v>3.098615E-2</v>
      </c>
      <c r="P4139">
        <v>0.99922840000000002</v>
      </c>
      <c r="Q4139">
        <v>2.9111359999999999E-2</v>
      </c>
      <c r="R4139">
        <v>-2.637099E-2</v>
      </c>
      <c r="S4139">
        <v>3.0015559999999999</v>
      </c>
      <c r="T4139">
        <v>-0.25159789999999999</v>
      </c>
      <c r="U4139">
        <v>-0.30917359999999999</v>
      </c>
      <c r="V4139">
        <v>5.7321370000000003E-2</v>
      </c>
      <c r="W4139">
        <v>4.3058730000000003E-2</v>
      </c>
      <c r="X4139">
        <v>0.99742679999999995</v>
      </c>
      <c r="Y4139">
        <v>0.13267079999999901</v>
      </c>
      <c r="Z4139">
        <v>-8.1230480000000008E-3</v>
      </c>
      <c r="AA4139">
        <v>0.99112690000000003</v>
      </c>
      <c r="AB4139">
        <v>36</v>
      </c>
      <c r="AC4139">
        <v>0.47259999999999902</v>
      </c>
      <c r="AD4139">
        <v>-7.0051999999999698E-2</v>
      </c>
      <c r="AE4139">
        <v>-9.7699999999974793E-2</v>
      </c>
      <c r="AF4139">
        <v>0.10998117967646499</v>
      </c>
      <c r="AG4139">
        <v>-7.0051999999999698E-2</v>
      </c>
      <c r="AH4139">
        <v>0.45966001934769402</v>
      </c>
      <c r="AI4139">
        <v>98.430777001184893</v>
      </c>
      <c r="AJ4139">
        <v>76.544018484498594</v>
      </c>
      <c r="AK4139">
        <v>0.47779752612769899</v>
      </c>
      <c r="AL4139">
        <v>87.532153530533407</v>
      </c>
      <c r="AM4139">
        <v>86.710872363550195</v>
      </c>
      <c r="AN4139">
        <v>1.00000000752306</v>
      </c>
    </row>
    <row r="4140" spans="1:40" x14ac:dyDescent="0.25">
      <c r="A4140" t="str">
        <f>"20190312154336766"</f>
        <v>20190312154336766</v>
      </c>
      <c r="B4140" t="str">
        <f>"1552376616761726"</f>
        <v>1552376616761726</v>
      </c>
      <c r="C4140" t="s">
        <v>40</v>
      </c>
      <c r="D4140">
        <v>5.1807689999999997</v>
      </c>
      <c r="E4140">
        <v>0.53109410000000001</v>
      </c>
      <c r="F4140" t="s">
        <v>41</v>
      </c>
      <c r="G4140">
        <v>-239.3279</v>
      </c>
      <c r="H4140">
        <v>1.043604</v>
      </c>
      <c r="I4140">
        <v>216.09970000000001</v>
      </c>
      <c r="J4140">
        <v>-239.76439999999999</v>
      </c>
      <c r="K4140">
        <v>1.110331</v>
      </c>
      <c r="L4140">
        <v>216.19409999999999</v>
      </c>
      <c r="M4140">
        <v>0.99942120000000001</v>
      </c>
      <c r="N4140">
        <v>0</v>
      </c>
      <c r="O4140">
        <v>3.1019999999999999E-2</v>
      </c>
      <c r="P4140">
        <v>0.9992356</v>
      </c>
      <c r="Q4140">
        <v>2.8921639999999998E-2</v>
      </c>
      <c r="R4140">
        <v>-2.6312249999999999E-2</v>
      </c>
      <c r="S4140">
        <v>3.001404</v>
      </c>
      <c r="T4140">
        <v>-0.25135800000000003</v>
      </c>
      <c r="U4140">
        <v>-0.31259160000000002</v>
      </c>
      <c r="V4140">
        <v>5.729675E-2</v>
      </c>
      <c r="W4140">
        <v>4.2866269999999998E-2</v>
      </c>
      <c r="X4140">
        <v>0.99743649999999995</v>
      </c>
      <c r="Y4140">
        <v>0.1338231</v>
      </c>
      <c r="Z4140">
        <v>-8.1661389999999993E-3</v>
      </c>
      <c r="AA4140">
        <v>0.99097159999999995</v>
      </c>
      <c r="AB4140">
        <v>36</v>
      </c>
      <c r="AC4140">
        <v>0.436499999999995</v>
      </c>
      <c r="AD4140">
        <v>-6.6726999999999703E-2</v>
      </c>
      <c r="AE4140">
        <v>-9.4399999999978904E-2</v>
      </c>
      <c r="AF4140">
        <v>0.105539978513119</v>
      </c>
      <c r="AG4140">
        <v>-6.6726999999999703E-2</v>
      </c>
      <c r="AH4140">
        <v>0.42389798629525899</v>
      </c>
      <c r="AI4140">
        <v>98.684781907279202</v>
      </c>
      <c r="AJ4140">
        <v>76.019046303899302</v>
      </c>
      <c r="AK4140">
        <v>0.44190573924619397</v>
      </c>
      <c r="AL4140">
        <v>87.543190856247406</v>
      </c>
      <c r="AM4140">
        <v>86.712313873977195</v>
      </c>
      <c r="AN4140">
        <v>1.0000000030982601</v>
      </c>
    </row>
    <row r="4141" spans="1:40" x14ac:dyDescent="0.25">
      <c r="A4141" t="str">
        <f>"20190312154336792"</f>
        <v>20190312154336792</v>
      </c>
      <c r="B4141" t="str">
        <f>"1552376616781246"</f>
        <v>1552376616781246</v>
      </c>
      <c r="C4141" t="s">
        <v>40</v>
      </c>
      <c r="D4141">
        <v>5.1665210000000004</v>
      </c>
      <c r="E4141">
        <v>0.5312772</v>
      </c>
      <c r="F4141" t="s">
        <v>41</v>
      </c>
      <c r="G4141">
        <v>-239.00399999999999</v>
      </c>
      <c r="H4141">
        <v>1.046427</v>
      </c>
      <c r="I4141">
        <v>216.11439999999999</v>
      </c>
      <c r="J4141">
        <v>-239.3663</v>
      </c>
      <c r="K4141">
        <v>1.11032</v>
      </c>
      <c r="L4141">
        <v>216.20650000000001</v>
      </c>
      <c r="M4141">
        <v>0.99942019999999998</v>
      </c>
      <c r="N4141">
        <v>0</v>
      </c>
      <c r="O4141">
        <v>3.1050950000000001E-2</v>
      </c>
      <c r="P4141">
        <v>0.99923050000000002</v>
      </c>
      <c r="Q4141">
        <v>2.900983E-2</v>
      </c>
      <c r="R4141">
        <v>-2.6401259999999999E-2</v>
      </c>
      <c r="S4141">
        <v>3.001328</v>
      </c>
      <c r="T4141">
        <v>-0.2523125</v>
      </c>
      <c r="U4141">
        <v>-0.3144073</v>
      </c>
      <c r="V4141">
        <v>5.7416839999999997E-2</v>
      </c>
      <c r="W4141">
        <v>4.2951540000000003E-2</v>
      </c>
      <c r="X4141">
        <v>0.99742589999999998</v>
      </c>
      <c r="Y4141">
        <v>0.1344428</v>
      </c>
      <c r="Z4141">
        <v>-8.2255230000000002E-3</v>
      </c>
      <c r="AA4141">
        <v>0.99088719999999997</v>
      </c>
      <c r="AB4141">
        <v>36</v>
      </c>
      <c r="AC4141">
        <v>0.36229999999997597</v>
      </c>
      <c r="AD4141">
        <v>-6.3892999999999894E-2</v>
      </c>
      <c r="AE4141">
        <v>-9.2100000000016197E-2</v>
      </c>
      <c r="AF4141">
        <v>0.100374218123005</v>
      </c>
      <c r="AG4141">
        <v>-6.3892999999999894E-2</v>
      </c>
      <c r="AH4141">
        <v>0.34906791648150798</v>
      </c>
      <c r="AI4141">
        <v>99.976869027289297</v>
      </c>
      <c r="AJ4141">
        <v>73.957450262946907</v>
      </c>
      <c r="AK4141">
        <v>0.36878951914275698</v>
      </c>
      <c r="AL4141">
        <v>87.538300677368696</v>
      </c>
      <c r="AM4141">
        <v>86.705403340363901</v>
      </c>
      <c r="AN4141">
        <v>0.99999997714738298</v>
      </c>
    </row>
    <row r="4142" spans="1:40" x14ac:dyDescent="0.25">
      <c r="A4142" t="str">
        <f>"20190312154336811"</f>
        <v>20190312154336811</v>
      </c>
      <c r="B4142" t="str">
        <f>"1552376616801273"</f>
        <v>1552376616801273</v>
      </c>
      <c r="C4142" t="s">
        <v>40</v>
      </c>
      <c r="D4142">
        <v>5.2159820000000003</v>
      </c>
      <c r="E4142">
        <v>0.53140169999999998</v>
      </c>
      <c r="F4142" t="s">
        <v>41</v>
      </c>
      <c r="G4142">
        <v>-238.37110000000001</v>
      </c>
      <c r="H4142">
        <v>1.0267999999999999</v>
      </c>
      <c r="I4142">
        <v>216.10149999999999</v>
      </c>
      <c r="J4142">
        <v>-239.04900000000001</v>
      </c>
      <c r="K4142">
        <v>1.110317</v>
      </c>
      <c r="L4142">
        <v>216.21639999999999</v>
      </c>
      <c r="M4142">
        <v>0.99941970000000002</v>
      </c>
      <c r="N4142">
        <v>0</v>
      </c>
      <c r="O4142">
        <v>3.1069659999999999E-2</v>
      </c>
      <c r="P4142">
        <v>0.99923280000000003</v>
      </c>
      <c r="Q4142">
        <v>2.9052120000000001E-2</v>
      </c>
      <c r="R4142">
        <v>-2.627235E-2</v>
      </c>
      <c r="S4142">
        <v>3.0012660000000002</v>
      </c>
      <c r="T4142">
        <v>-0.25193450000000001</v>
      </c>
      <c r="U4142">
        <v>-0.31623839999999998</v>
      </c>
      <c r="V4142">
        <v>5.7307230000000001E-2</v>
      </c>
      <c r="W4142">
        <v>4.2991080000000001E-2</v>
      </c>
      <c r="X4142">
        <v>0.9974305</v>
      </c>
      <c r="Y4142">
        <v>0.13506089999999901</v>
      </c>
      <c r="Z4142">
        <v>-8.2405450000000002E-3</v>
      </c>
      <c r="AA4142">
        <v>0.99080299999999999</v>
      </c>
      <c r="AB4142">
        <v>36</v>
      </c>
      <c r="AC4142">
        <v>0.67789999999999395</v>
      </c>
      <c r="AD4142">
        <v>-8.3516999999999994E-2</v>
      </c>
      <c r="AE4142">
        <v>-0.114900000000005</v>
      </c>
      <c r="AF4142">
        <v>0.13393261515646701</v>
      </c>
      <c r="AG4142">
        <v>-8.3516999999999994E-2</v>
      </c>
      <c r="AH4142">
        <v>0.66420258177182201</v>
      </c>
      <c r="AI4142">
        <v>97.026796882153107</v>
      </c>
      <c r="AJ4142">
        <v>78.599512407764294</v>
      </c>
      <c r="AK4142">
        <v>0.68269913162681295</v>
      </c>
      <c r="AL4142">
        <v>87.536033107169203</v>
      </c>
      <c r="AM4142">
        <v>86.711694114162498</v>
      </c>
      <c r="AN4142">
        <v>0.99999997695004395</v>
      </c>
    </row>
    <row r="4143" spans="1:40" x14ac:dyDescent="0.25">
      <c r="A4143" t="str">
        <f>"20190312154336833"</f>
        <v>20190312154336833</v>
      </c>
      <c r="B4143" t="str">
        <f>"1552376616821769"</f>
        <v>1552376616821769</v>
      </c>
      <c r="C4143" t="s">
        <v>40</v>
      </c>
      <c r="D4143">
        <v>5.1958310000000001</v>
      </c>
      <c r="E4143">
        <v>0.53150949999999997</v>
      </c>
      <c r="F4143" t="s">
        <v>41</v>
      </c>
      <c r="G4143">
        <v>-238.05009999999999</v>
      </c>
      <c r="H4143">
        <v>1.0262420000000001</v>
      </c>
      <c r="I4143">
        <v>216.11080000000001</v>
      </c>
      <c r="J4143">
        <v>-238.69810000000001</v>
      </c>
      <c r="K4143">
        <v>1.1103149999999999</v>
      </c>
      <c r="L4143">
        <v>216.22720000000001</v>
      </c>
      <c r="M4143">
        <v>0.99941919999999995</v>
      </c>
      <c r="N4143">
        <v>0</v>
      </c>
      <c r="O4143">
        <v>3.1084529999999999E-2</v>
      </c>
      <c r="P4143">
        <v>0.99924239999999998</v>
      </c>
      <c r="Q4143">
        <v>2.8737869999999999E-2</v>
      </c>
      <c r="R4143">
        <v>-2.625079E-2</v>
      </c>
      <c r="S4143">
        <v>3.001328</v>
      </c>
      <c r="T4143">
        <v>-0.25266149999999998</v>
      </c>
      <c r="U4143">
        <v>-0.31709290000000001</v>
      </c>
      <c r="V4143">
        <v>5.7301440000000002E-2</v>
      </c>
      <c r="W4143">
        <v>4.2673799999999998E-2</v>
      </c>
      <c r="X4143">
        <v>0.99744449999999996</v>
      </c>
      <c r="Y4143">
        <v>0.1353482</v>
      </c>
      <c r="Z4143">
        <v>-8.2772360000000003E-3</v>
      </c>
      <c r="AA4143">
        <v>0.99076350000000002</v>
      </c>
      <c r="AB4143">
        <v>36</v>
      </c>
      <c r="AC4143">
        <v>0.648000000000024</v>
      </c>
      <c r="AD4143">
        <v>-8.4072999999999801E-2</v>
      </c>
      <c r="AE4143">
        <v>-0.11639999999999801</v>
      </c>
      <c r="AF4143">
        <v>0.13429848903566899</v>
      </c>
      <c r="AG4143">
        <v>-8.4072999999999801E-2</v>
      </c>
      <c r="AH4143">
        <v>0.63373397708888202</v>
      </c>
      <c r="AI4143">
        <v>97.394560947325502</v>
      </c>
      <c r="AJ4143">
        <v>78.035109202300703</v>
      </c>
      <c r="AK4143">
        <v>0.65324046659951696</v>
      </c>
      <c r="AL4143">
        <v>87.554228715052503</v>
      </c>
      <c r="AM4143">
        <v>86.712071665460499</v>
      </c>
      <c r="AN4143">
        <v>1.0000000194063801</v>
      </c>
    </row>
    <row r="4144" spans="1:40" x14ac:dyDescent="0.25">
      <c r="A4144" t="str">
        <f>"20190312154336854"</f>
        <v>20190312154336854</v>
      </c>
      <c r="B4144" t="str">
        <f>"1552376616851049"</f>
        <v>1552376616851049</v>
      </c>
      <c r="C4144" t="s">
        <v>40</v>
      </c>
      <c r="D4144">
        <v>5.1918449999999998</v>
      </c>
      <c r="E4144">
        <v>0.5317231</v>
      </c>
      <c r="F4144" t="s">
        <v>41</v>
      </c>
      <c r="G4144">
        <v>-237.72839999999999</v>
      </c>
      <c r="H4144">
        <v>1.0282469999999999</v>
      </c>
      <c r="I4144">
        <v>216.12440000000001</v>
      </c>
      <c r="J4144">
        <v>-238.34360000000001</v>
      </c>
      <c r="K4144">
        <v>1.110314</v>
      </c>
      <c r="L4144">
        <v>216.23830000000001</v>
      </c>
      <c r="M4144">
        <v>0.99941899999999995</v>
      </c>
      <c r="N4144">
        <v>0</v>
      </c>
      <c r="O4144">
        <v>3.1094050000000002E-2</v>
      </c>
      <c r="P4144">
        <v>0.99924590000000002</v>
      </c>
      <c r="Q4144">
        <v>2.8822549999999999E-2</v>
      </c>
      <c r="R4144">
        <v>-2.6022989999999999E-2</v>
      </c>
      <c r="S4144">
        <v>3.001236</v>
      </c>
      <c r="T4144">
        <v>-0.25413229999999998</v>
      </c>
      <c r="U4144">
        <v>-0.31758120000000001</v>
      </c>
      <c r="V4144">
        <v>5.7083960000000003E-2</v>
      </c>
      <c r="W4144">
        <v>4.2756219999999998E-2</v>
      </c>
      <c r="X4144">
        <v>0.99745340000000005</v>
      </c>
      <c r="Y4144">
        <v>0.13551270000000001</v>
      </c>
      <c r="Z4144">
        <v>-8.3331710000000003E-3</v>
      </c>
      <c r="AA4144">
        <v>0.99074050000000002</v>
      </c>
      <c r="AB4144">
        <v>36</v>
      </c>
      <c r="AC4144">
        <v>0.61520000000001496</v>
      </c>
      <c r="AD4144">
        <v>-8.2067000000000098E-2</v>
      </c>
      <c r="AE4144">
        <v>-0.1139</v>
      </c>
      <c r="AF4144">
        <v>0.13072662126994</v>
      </c>
      <c r="AG4144">
        <v>-8.2067000000000098E-2</v>
      </c>
      <c r="AH4144">
        <v>0.60101967122892097</v>
      </c>
      <c r="AI4144">
        <v>97.599891630769207</v>
      </c>
      <c r="AJ4144">
        <v>77.728838829530304</v>
      </c>
      <c r="AK4144">
        <v>0.62052323663322595</v>
      </c>
      <c r="AL4144">
        <v>87.5495019839218</v>
      </c>
      <c r="AM4144">
        <v>86.724552500491299</v>
      </c>
      <c r="AN4144">
        <v>0.99999997900476401</v>
      </c>
    </row>
    <row r="4145" spans="1:40" x14ac:dyDescent="0.25">
      <c r="A4145" t="str">
        <f>"20190312154336878"</f>
        <v>20190312154336878</v>
      </c>
      <c r="B4145" t="str">
        <f>"1552376616871545"</f>
        <v>1552376616871545</v>
      </c>
      <c r="C4145" t="s">
        <v>40</v>
      </c>
      <c r="D4145">
        <v>5.2250059999999996</v>
      </c>
      <c r="E4145">
        <v>0.5318079</v>
      </c>
      <c r="F4145" t="s">
        <v>41</v>
      </c>
      <c r="G4145">
        <v>-237.4068</v>
      </c>
      <c r="H4145">
        <v>1.0303070000000001</v>
      </c>
      <c r="I4145">
        <v>216.1388</v>
      </c>
      <c r="J4145">
        <v>-237.97329999999999</v>
      </c>
      <c r="K4145">
        <v>1.1103149999999999</v>
      </c>
      <c r="L4145">
        <v>216.24979999999999</v>
      </c>
      <c r="M4145">
        <v>0.9994189</v>
      </c>
      <c r="N4145">
        <v>0</v>
      </c>
      <c r="O4145">
        <v>3.1099290000000002E-2</v>
      </c>
      <c r="P4145">
        <v>0.99925240000000004</v>
      </c>
      <c r="Q4145">
        <v>2.88384E-2</v>
      </c>
      <c r="R4145">
        <v>-2.5756810000000002E-2</v>
      </c>
      <c r="S4145">
        <v>3.0013580000000002</v>
      </c>
      <c r="T4145">
        <v>-0.25633220000000001</v>
      </c>
      <c r="U4145">
        <v>-0.31852720000000001</v>
      </c>
      <c r="V4145">
        <v>5.682388E-2</v>
      </c>
      <c r="W4145">
        <v>4.2769559999999998E-2</v>
      </c>
      <c r="X4145">
        <v>0.99746769999999996</v>
      </c>
      <c r="Y4145">
        <v>0.1358113</v>
      </c>
      <c r="Z4145">
        <v>-8.4177109999999996E-3</v>
      </c>
      <c r="AA4145">
        <v>0.990699</v>
      </c>
      <c r="AB4145">
        <v>36</v>
      </c>
      <c r="AC4145">
        <v>0.56649999999999001</v>
      </c>
      <c r="AD4145">
        <v>-8.0007999999999996E-2</v>
      </c>
      <c r="AE4145">
        <v>-0.11099999999999</v>
      </c>
      <c r="AF4145">
        <v>0.12614268317896599</v>
      </c>
      <c r="AG4145">
        <v>-8.0007999999999996E-2</v>
      </c>
      <c r="AH4145">
        <v>0.55216698046114998</v>
      </c>
      <c r="AI4145">
        <v>98.0403444575865</v>
      </c>
      <c r="AJ4145">
        <v>77.131597060358303</v>
      </c>
      <c r="AK4145">
        <v>0.57201541141404</v>
      </c>
      <c r="AL4145">
        <v>87.548737011298797</v>
      </c>
      <c r="AM4145">
        <v>86.739490125666194</v>
      </c>
      <c r="AN4145">
        <v>1.00000000057206</v>
      </c>
    </row>
    <row r="4146" spans="1:40" x14ac:dyDescent="0.25">
      <c r="A4146" t="str">
        <f>"20190312154336900"</f>
        <v>20190312154336900</v>
      </c>
      <c r="B4146" t="str">
        <f>"1552376616891065"</f>
        <v>1552376616891065</v>
      </c>
      <c r="C4146" t="s">
        <v>40</v>
      </c>
      <c r="D4146">
        <v>5.1627210000000003</v>
      </c>
      <c r="E4146">
        <v>0.53168780000000004</v>
      </c>
      <c r="F4146" t="s">
        <v>41</v>
      </c>
      <c r="G4146">
        <v>-237.0847</v>
      </c>
      <c r="H4146">
        <v>1.0342469999999999</v>
      </c>
      <c r="I4146">
        <v>216.15530000000001</v>
      </c>
      <c r="J4146">
        <v>-237.6174</v>
      </c>
      <c r="K4146">
        <v>1.1103130000000001</v>
      </c>
      <c r="L4146">
        <v>216.26089999999999</v>
      </c>
      <c r="M4146">
        <v>0.99941869999999999</v>
      </c>
      <c r="N4146">
        <v>0</v>
      </c>
      <c r="O4146">
        <v>3.1100920000000001E-2</v>
      </c>
      <c r="P4146">
        <v>0.99925079999999999</v>
      </c>
      <c r="Q4146">
        <v>2.878271E-2</v>
      </c>
      <c r="R4146">
        <v>-2.5869920000000001E-2</v>
      </c>
      <c r="S4146">
        <v>3.0014949999999998</v>
      </c>
      <c r="T4146">
        <v>-0.25708599999999998</v>
      </c>
      <c r="U4146">
        <v>-0.31842039999999999</v>
      </c>
      <c r="V4146">
        <v>5.693894E-2</v>
      </c>
      <c r="W4146">
        <v>4.2710970000000001E-2</v>
      </c>
      <c r="X4146">
        <v>0.99746360000000001</v>
      </c>
      <c r="Y4146">
        <v>0.135769899999999</v>
      </c>
      <c r="Z4146">
        <v>-8.4403880000000001E-3</v>
      </c>
      <c r="AA4146">
        <v>0.99070440000000004</v>
      </c>
      <c r="AB4146">
        <v>36</v>
      </c>
      <c r="AC4146">
        <v>0.53270000000000495</v>
      </c>
      <c r="AD4146">
        <v>-7.6065999999999898E-2</v>
      </c>
      <c r="AE4146">
        <v>-0.105599999999981</v>
      </c>
      <c r="AF4146">
        <v>0.119768253040761</v>
      </c>
      <c r="AG4146">
        <v>-7.6065999999999898E-2</v>
      </c>
      <c r="AH4146">
        <v>0.51897591087200101</v>
      </c>
      <c r="AI4146">
        <v>98.127774176611695</v>
      </c>
      <c r="AJ4146">
        <v>77.004902999268296</v>
      </c>
      <c r="AK4146">
        <v>0.53802087957425804</v>
      </c>
      <c r="AL4146">
        <v>87.552096921369497</v>
      </c>
      <c r="AM4146">
        <v>86.732888959806303</v>
      </c>
      <c r="AN4146">
        <v>0.99999995158581101</v>
      </c>
    </row>
    <row r="4147" spans="1:40" x14ac:dyDescent="0.25">
      <c r="A4147" t="str">
        <f>"20190312154336922"</f>
        <v>20190312154336922</v>
      </c>
      <c r="B4147" t="str">
        <f>"1552376616911561"</f>
        <v>1552376616911561</v>
      </c>
      <c r="C4147" t="s">
        <v>40</v>
      </c>
      <c r="D4147">
        <v>5.1642250000000001</v>
      </c>
      <c r="E4147">
        <v>0.52138130000000005</v>
      </c>
      <c r="F4147" t="s">
        <v>41</v>
      </c>
      <c r="G4147">
        <v>-236.76329999999999</v>
      </c>
      <c r="H4147">
        <v>1.037147</v>
      </c>
      <c r="I4147">
        <v>216.1705</v>
      </c>
      <c r="J4147">
        <v>-237.2628</v>
      </c>
      <c r="K4147">
        <v>1.1103099999999999</v>
      </c>
      <c r="L4147">
        <v>216.27189999999999</v>
      </c>
      <c r="M4147">
        <v>0.99941880000000005</v>
      </c>
      <c r="N4147">
        <v>0</v>
      </c>
      <c r="O4147">
        <v>3.110042E-2</v>
      </c>
      <c r="P4147">
        <v>0.99926110000000001</v>
      </c>
      <c r="Q4147">
        <v>2.818273E-2</v>
      </c>
      <c r="R4147">
        <v>-2.6141939999999999E-2</v>
      </c>
      <c r="S4147">
        <v>3.0014189999999998</v>
      </c>
      <c r="T4147">
        <v>-0.25710919999999998</v>
      </c>
      <c r="U4147">
        <v>-0.31785580000000002</v>
      </c>
      <c r="V4147">
        <v>5.7210709999999998E-2</v>
      </c>
      <c r="W4147">
        <v>4.2109260000000003E-2</v>
      </c>
      <c r="X4147">
        <v>0.99747370000000002</v>
      </c>
      <c r="Y4147">
        <v>0.13558829999999999</v>
      </c>
      <c r="Z4147">
        <v>-8.4336489999999997E-3</v>
      </c>
      <c r="AA4147">
        <v>0.99072939999999998</v>
      </c>
      <c r="AB4147">
        <v>36</v>
      </c>
      <c r="AC4147">
        <v>0.49950000000001099</v>
      </c>
      <c r="AD4147">
        <v>-7.3163000000000006E-2</v>
      </c>
      <c r="AE4147">
        <v>-0.101399999999983</v>
      </c>
      <c r="AF4147">
        <v>0.11452727318140001</v>
      </c>
      <c r="AG4147">
        <v>-7.3163000000000006E-2</v>
      </c>
      <c r="AH4147">
        <v>0.48608855993015798</v>
      </c>
      <c r="AI4147">
        <v>98.334673493436597</v>
      </c>
      <c r="AJ4147">
        <v>76.742337862959303</v>
      </c>
      <c r="AK4147">
        <v>0.50472904509879502</v>
      </c>
      <c r="AL4147">
        <v>87.586603574976607</v>
      </c>
      <c r="AM4147">
        <v>86.717362201866706</v>
      </c>
      <c r="AN4147">
        <v>1.0000000186540701</v>
      </c>
    </row>
    <row r="4148" spans="1:40" x14ac:dyDescent="0.25">
      <c r="A4148" t="str">
        <f>"20190312154336944"</f>
        <v>20190312154336944</v>
      </c>
      <c r="B4148" t="str">
        <f>"1552376616932057"</f>
        <v>1552376616932057</v>
      </c>
      <c r="C4148" t="s">
        <v>40</v>
      </c>
      <c r="D4148">
        <v>5.1878599999999997</v>
      </c>
      <c r="E4148">
        <v>0.52141590000000004</v>
      </c>
      <c r="F4148" t="s">
        <v>41</v>
      </c>
      <c r="G4148">
        <v>-236.43639999999999</v>
      </c>
      <c r="H4148">
        <v>1.04837</v>
      </c>
      <c r="I4148">
        <v>216.2064</v>
      </c>
      <c r="J4148">
        <v>-236.9128</v>
      </c>
      <c r="K4148">
        <v>1.1103069999999999</v>
      </c>
      <c r="L4148">
        <v>216.28290000000001</v>
      </c>
      <c r="M4148">
        <v>0.99941899999999995</v>
      </c>
      <c r="N4148">
        <v>0</v>
      </c>
      <c r="O4148">
        <v>3.1098919999999999E-2</v>
      </c>
      <c r="P4148">
        <v>0.99925509999999995</v>
      </c>
      <c r="Q4148">
        <v>2.7920609999999998E-2</v>
      </c>
      <c r="R4148">
        <v>-2.6643989999999999E-2</v>
      </c>
      <c r="S4148">
        <v>3.0023499999999999</v>
      </c>
      <c r="T4148">
        <v>-0.2251322</v>
      </c>
      <c r="U4148">
        <v>-0.2376404</v>
      </c>
      <c r="V4148">
        <v>5.7711070000000003E-2</v>
      </c>
      <c r="W4148">
        <v>4.184438E-2</v>
      </c>
      <c r="X4148">
        <v>0.99745600000000001</v>
      </c>
      <c r="Y4148">
        <v>0.10947900000000001</v>
      </c>
      <c r="Z4148">
        <v>-6.4182650000000003E-3</v>
      </c>
      <c r="AA4148">
        <v>0.99396839999999997</v>
      </c>
      <c r="AB4148">
        <v>36</v>
      </c>
      <c r="AC4148">
        <v>0.47640000000001198</v>
      </c>
      <c r="AD4148">
        <v>-6.1936999999999902E-2</v>
      </c>
      <c r="AE4148">
        <v>-7.6500000000009893E-2</v>
      </c>
      <c r="AF4148">
        <v>8.9800243608745903E-2</v>
      </c>
      <c r="AG4148">
        <v>-6.1936999999999902E-2</v>
      </c>
      <c r="AH4148">
        <v>0.46610974725917698</v>
      </c>
      <c r="AI4148">
        <v>97.4340239778208</v>
      </c>
      <c r="AJ4148">
        <v>79.095062921359798</v>
      </c>
      <c r="AK4148">
        <v>0.47870509942051398</v>
      </c>
      <c r="AL4148">
        <v>87.601793414666403</v>
      </c>
      <c r="AM4148">
        <v>86.688657511015194</v>
      </c>
      <c r="AN4148">
        <v>0.999999995837064</v>
      </c>
    </row>
    <row r="4149" spans="1:40" x14ac:dyDescent="0.25">
      <c r="A4149" t="str">
        <f>"20190312154336968"</f>
        <v>20190312154336968</v>
      </c>
      <c r="B4149" t="str">
        <f>"1552376616961336"</f>
        <v>1552376616961336</v>
      </c>
      <c r="C4149" t="s">
        <v>40</v>
      </c>
      <c r="D4149">
        <v>5.1658119999999998</v>
      </c>
      <c r="E4149">
        <v>0.52115140000000004</v>
      </c>
      <c r="F4149" t="s">
        <v>41</v>
      </c>
      <c r="G4149">
        <v>-236.1157</v>
      </c>
      <c r="H4149">
        <v>1.0496259999999999</v>
      </c>
      <c r="I4149">
        <v>216.2192</v>
      </c>
      <c r="J4149">
        <v>-236.54480000000001</v>
      </c>
      <c r="K4149">
        <v>1.1103080000000001</v>
      </c>
      <c r="L4149">
        <v>216.29429999999999</v>
      </c>
      <c r="M4149">
        <v>0.99941899999999995</v>
      </c>
      <c r="N4149">
        <v>0</v>
      </c>
      <c r="O4149">
        <v>3.109454E-2</v>
      </c>
      <c r="P4149">
        <v>0.99922750000000005</v>
      </c>
      <c r="Q4149">
        <v>2.839614E-2</v>
      </c>
      <c r="R4149">
        <v>-2.7170030000000001E-2</v>
      </c>
      <c r="S4149">
        <v>3.0022280000000001</v>
      </c>
      <c r="T4149">
        <v>-0.22864519999999999</v>
      </c>
      <c r="U4149">
        <v>-0.23937990000000001</v>
      </c>
      <c r="V4149">
        <v>5.8231949999999998E-2</v>
      </c>
      <c r="W4149">
        <v>4.2316979999999997E-2</v>
      </c>
      <c r="X4149">
        <v>0.99740580000000001</v>
      </c>
      <c r="Y4149">
        <v>0.1100362</v>
      </c>
      <c r="Z4149">
        <v>-6.5390730000000003E-3</v>
      </c>
      <c r="AA4149">
        <v>0.99390610000000001</v>
      </c>
      <c r="AB4149">
        <v>36</v>
      </c>
      <c r="AC4149">
        <v>0.42910000000000498</v>
      </c>
      <c r="AD4149">
        <v>-6.0682000000000097E-2</v>
      </c>
      <c r="AE4149">
        <v>-7.5099999999991895E-2</v>
      </c>
      <c r="AF4149">
        <v>8.6724804993515203E-2</v>
      </c>
      <c r="AG4149">
        <v>-6.0682000000000097E-2</v>
      </c>
      <c r="AH4149">
        <v>0.41843752440326998</v>
      </c>
      <c r="AI4149">
        <v>98.082113055501495</v>
      </c>
      <c r="AJ4149">
        <v>78.290736057650506</v>
      </c>
      <c r="AK4149">
        <v>0.43161725956441999</v>
      </c>
      <c r="AL4149">
        <v>87.574691452717701</v>
      </c>
      <c r="AM4149">
        <v>86.6586701136209</v>
      </c>
      <c r="AN4149">
        <v>1.0000000083353799</v>
      </c>
    </row>
    <row r="4150" spans="1:40" x14ac:dyDescent="0.25">
      <c r="A4150" t="str">
        <f>"20190312154336994"</f>
        <v>20190312154336994</v>
      </c>
      <c r="B4150" t="str">
        <f>"1552376616981833"</f>
        <v>1552376616981833</v>
      </c>
      <c r="C4150" t="s">
        <v>40</v>
      </c>
      <c r="D4150">
        <v>5.2073210000000003</v>
      </c>
      <c r="E4150">
        <v>0.5214782</v>
      </c>
      <c r="F4150" t="s">
        <v>41</v>
      </c>
      <c r="G4150">
        <v>-235.78749999999999</v>
      </c>
      <c r="H4150">
        <v>1.052354</v>
      </c>
      <c r="I4150">
        <v>216.2337</v>
      </c>
      <c r="J4150">
        <v>-236.13040000000001</v>
      </c>
      <c r="K4150">
        <v>1.110303</v>
      </c>
      <c r="L4150">
        <v>216.30719999999999</v>
      </c>
      <c r="M4150">
        <v>0.99941979999999997</v>
      </c>
      <c r="N4150">
        <v>0</v>
      </c>
      <c r="O4150">
        <v>3.1073469999999999E-2</v>
      </c>
      <c r="P4150">
        <v>0.99921510000000002</v>
      </c>
      <c r="Q4150">
        <v>2.8601140000000001E-2</v>
      </c>
      <c r="R4150">
        <v>-2.7415390000000001E-2</v>
      </c>
      <c r="S4150">
        <v>3.0023499999999999</v>
      </c>
      <c r="T4150">
        <v>-0.23001659999999999</v>
      </c>
      <c r="U4150">
        <v>-0.23869319999999999</v>
      </c>
      <c r="V4150">
        <v>5.8456569999999999E-2</v>
      </c>
      <c r="W4150">
        <v>4.2518019999999997E-2</v>
      </c>
      <c r="X4150">
        <v>0.9973841</v>
      </c>
      <c r="Y4150">
        <v>0.10978209999999999</v>
      </c>
      <c r="Z4150">
        <v>-6.5666559999999997E-3</v>
      </c>
      <c r="AA4150">
        <v>0.99393399999999998</v>
      </c>
      <c r="AB4150">
        <v>36</v>
      </c>
      <c r="AC4150">
        <v>0.34290000000001403</v>
      </c>
      <c r="AD4150">
        <v>-5.7949000000000001E-2</v>
      </c>
      <c r="AE4150">
        <v>-7.3499999999995597E-2</v>
      </c>
      <c r="AF4150">
        <v>8.1884736667901095E-2</v>
      </c>
      <c r="AG4150">
        <v>-5.7949000000000001E-2</v>
      </c>
      <c r="AH4150">
        <v>0.331401228267586</v>
      </c>
      <c r="AI4150">
        <v>99.634423064651102</v>
      </c>
      <c r="AJ4150">
        <v>76.120981048315798</v>
      </c>
      <c r="AK4150">
        <v>0.34625131161836298</v>
      </c>
      <c r="AL4150">
        <v>87.563162306990407</v>
      </c>
      <c r="AM4150">
        <v>86.645738053451495</v>
      </c>
      <c r="AN4150">
        <v>0.999999997766847</v>
      </c>
    </row>
    <row r="4151" spans="1:40" x14ac:dyDescent="0.25">
      <c r="A4151" t="str">
        <f>"20190312154337012"</f>
        <v>20190312154337012</v>
      </c>
      <c r="B4151" t="str">
        <f>"1552376617001353"</f>
        <v>1552376617001353</v>
      </c>
      <c r="C4151" t="s">
        <v>40</v>
      </c>
      <c r="D4151">
        <v>5.2026199999999996</v>
      </c>
      <c r="E4151">
        <v>0.52150280000000004</v>
      </c>
      <c r="F4151" t="s">
        <v>41</v>
      </c>
      <c r="G4151">
        <v>-235.16640000000001</v>
      </c>
      <c r="H4151">
        <v>1.0370569999999999</v>
      </c>
      <c r="I4151">
        <v>216.22929999999999</v>
      </c>
      <c r="J4151">
        <v>-235.83090000000001</v>
      </c>
      <c r="K4151">
        <v>1.110295</v>
      </c>
      <c r="L4151">
        <v>216.31639999999999</v>
      </c>
      <c r="M4151">
        <v>0.99942059999999999</v>
      </c>
      <c r="N4151">
        <v>0</v>
      </c>
      <c r="O4151">
        <v>3.104558E-2</v>
      </c>
      <c r="P4151">
        <v>0.99919959999999997</v>
      </c>
      <c r="Q4151">
        <v>2.8683420000000001E-2</v>
      </c>
      <c r="R4151">
        <v>-2.7879359999999999E-2</v>
      </c>
      <c r="S4151">
        <v>3.002243</v>
      </c>
      <c r="T4151">
        <v>-0.22818240000000001</v>
      </c>
      <c r="U4151">
        <v>-0.24205019999999999</v>
      </c>
      <c r="V4151">
        <v>5.8893429999999997E-2</v>
      </c>
      <c r="W4151">
        <v>4.2596630000000003E-2</v>
      </c>
      <c r="X4151">
        <v>0.99735499999999999</v>
      </c>
      <c r="Y4151">
        <v>0.1108649</v>
      </c>
      <c r="Z4151">
        <v>-6.5533049999999997E-3</v>
      </c>
      <c r="AA4151">
        <v>0.99381390000000003</v>
      </c>
      <c r="AB4151">
        <v>36</v>
      </c>
      <c r="AC4151">
        <v>0.66450000000000298</v>
      </c>
      <c r="AD4151">
        <v>-7.3238000000000095E-2</v>
      </c>
      <c r="AE4151">
        <v>-8.7099999999992406E-2</v>
      </c>
      <c r="AF4151">
        <v>0.1064189254786</v>
      </c>
      <c r="AG4151">
        <v>-7.3238000000000095E-2</v>
      </c>
      <c r="AH4151">
        <v>0.65366904107024204</v>
      </c>
      <c r="AI4151">
        <v>96.310440772055301</v>
      </c>
      <c r="AJ4151">
        <v>80.753230930497296</v>
      </c>
      <c r="AK4151">
        <v>0.66631224482048201</v>
      </c>
      <c r="AL4151">
        <v>87.5586540909609</v>
      </c>
      <c r="AM4151">
        <v>86.620630355451993</v>
      </c>
      <c r="AN4151">
        <v>0.99999995250475904</v>
      </c>
    </row>
    <row r="4152" spans="1:40" x14ac:dyDescent="0.25">
      <c r="A4152" t="str">
        <f>"20190312154337033"</f>
        <v>20190312154337033</v>
      </c>
      <c r="B4152" t="str">
        <f>"1552376617021849"</f>
        <v>1552376617021849</v>
      </c>
      <c r="C4152" t="s">
        <v>40</v>
      </c>
      <c r="D4152">
        <v>5.1736639999999996</v>
      </c>
      <c r="E4152">
        <v>0.52157959999999903</v>
      </c>
      <c r="F4152" t="s">
        <v>41</v>
      </c>
      <c r="G4152">
        <v>-234.84829999999999</v>
      </c>
      <c r="H4152">
        <v>1.0354429999999999</v>
      </c>
      <c r="I4152">
        <v>216.23670000000001</v>
      </c>
      <c r="J4152">
        <v>-235.48769999999999</v>
      </c>
      <c r="K4152">
        <v>1.1102780000000001</v>
      </c>
      <c r="L4152">
        <v>216.327</v>
      </c>
      <c r="M4152">
        <v>0.99942220000000004</v>
      </c>
      <c r="N4152">
        <v>0</v>
      </c>
      <c r="O4152">
        <v>3.0998080000000001E-2</v>
      </c>
      <c r="P4152">
        <v>0.99918649999999998</v>
      </c>
      <c r="Q4152">
        <v>2.9118620000000001E-2</v>
      </c>
      <c r="R4152">
        <v>-2.790745E-2</v>
      </c>
      <c r="S4152">
        <v>3.0021969999999998</v>
      </c>
      <c r="T4152">
        <v>-0.22874120000000001</v>
      </c>
      <c r="U4152">
        <v>-0.24336240000000001</v>
      </c>
      <c r="V4152">
        <v>5.8875039999999997E-2</v>
      </c>
      <c r="W4152">
        <v>4.302777E-2</v>
      </c>
      <c r="X4152">
        <v>0.99733760000000005</v>
      </c>
      <c r="Y4152">
        <v>0.1112475</v>
      </c>
      <c r="Z4152">
        <v>-6.5802150000000004E-3</v>
      </c>
      <c r="AA4152">
        <v>0.99377099999999996</v>
      </c>
      <c r="AB4152">
        <v>36</v>
      </c>
      <c r="AC4152">
        <v>0.63939999999999397</v>
      </c>
      <c r="AD4152">
        <v>-7.4834999999999902E-2</v>
      </c>
      <c r="AE4152">
        <v>-9.0299999999984906E-2</v>
      </c>
      <c r="AF4152">
        <v>0.108619892346368</v>
      </c>
      <c r="AG4152">
        <v>-7.4834999999999902E-2</v>
      </c>
      <c r="AH4152">
        <v>0.62786087781077204</v>
      </c>
      <c r="AI4152">
        <v>96.698465905791593</v>
      </c>
      <c r="AJ4152">
        <v>80.184982099812203</v>
      </c>
      <c r="AK4152">
        <v>0.64156670746201505</v>
      </c>
      <c r="AL4152">
        <v>87.5339289702993</v>
      </c>
      <c r="AM4152">
        <v>86.621624346269002</v>
      </c>
      <c r="AN4152">
        <v>0.99999997384996597</v>
      </c>
    </row>
    <row r="4153" spans="1:40" x14ac:dyDescent="0.25">
      <c r="A4153" t="str">
        <f>"20190312154337056"</f>
        <v>20190312154337056</v>
      </c>
      <c r="B4153" t="str">
        <f>"1552376617052107"</f>
        <v>1552376617052107</v>
      </c>
      <c r="C4153" t="s">
        <v>40</v>
      </c>
      <c r="D4153">
        <v>5.1599029999999999</v>
      </c>
      <c r="E4153">
        <v>0.52193619999999996</v>
      </c>
      <c r="F4153" t="s">
        <v>41</v>
      </c>
      <c r="G4153">
        <v>-234.529</v>
      </c>
      <c r="H4153">
        <v>1.0373680000000001</v>
      </c>
      <c r="I4153">
        <v>216.24889999999999</v>
      </c>
      <c r="J4153">
        <v>-235.1198</v>
      </c>
      <c r="K4153">
        <v>1.1102590000000001</v>
      </c>
      <c r="L4153">
        <v>216.33840000000001</v>
      </c>
      <c r="M4153">
        <v>0.9994246</v>
      </c>
      <c r="N4153">
        <v>0</v>
      </c>
      <c r="O4153">
        <v>3.09228E-2</v>
      </c>
      <c r="P4153">
        <v>0.99917109999999998</v>
      </c>
      <c r="Q4153">
        <v>2.9277259999999999E-2</v>
      </c>
      <c r="R4153">
        <v>-2.8287900000000001E-2</v>
      </c>
      <c r="S4153">
        <v>3.0022739999999999</v>
      </c>
      <c r="T4153">
        <v>-0.22845109999999999</v>
      </c>
      <c r="U4153">
        <v>-0.2439423</v>
      </c>
      <c r="V4153">
        <v>5.9181549999999999E-2</v>
      </c>
      <c r="W4153">
        <v>4.3181650000000002E-2</v>
      </c>
      <c r="X4153">
        <v>0.9973128</v>
      </c>
      <c r="Y4153">
        <v>0.11136219999999999</v>
      </c>
      <c r="Z4153">
        <v>-6.5703200000000002E-3</v>
      </c>
      <c r="AA4153">
        <v>0.99375809999999998</v>
      </c>
      <c r="AB4153">
        <v>36</v>
      </c>
      <c r="AC4153">
        <v>0.59079999999997301</v>
      </c>
      <c r="AD4153">
        <v>-7.2890999999999997E-2</v>
      </c>
      <c r="AE4153">
        <v>-8.9500000000015206E-2</v>
      </c>
      <c r="AF4153">
        <v>0.106148627920049</v>
      </c>
      <c r="AG4153">
        <v>-7.2890999999999997E-2</v>
      </c>
      <c r="AH4153">
        <v>0.57913187213139605</v>
      </c>
      <c r="AI4153">
        <v>97.057319030739706</v>
      </c>
      <c r="AJ4153">
        <v>79.613587636495694</v>
      </c>
      <c r="AK4153">
        <v>0.59327426575634001</v>
      </c>
      <c r="AL4153">
        <v>87.525104073628597</v>
      </c>
      <c r="AM4153">
        <v>86.603992954761495</v>
      </c>
      <c r="AN4153">
        <v>0.99999996590048101</v>
      </c>
    </row>
    <row r="4154" spans="1:40" x14ac:dyDescent="0.25">
      <c r="A4154" t="str">
        <f>"20190312154337079"</f>
        <v>20190312154337079</v>
      </c>
      <c r="B4154" t="str">
        <f>"1552376617071625"</f>
        <v>1552376617071625</v>
      </c>
      <c r="C4154" t="s">
        <v>40</v>
      </c>
      <c r="D4154">
        <v>5.2049760000000003</v>
      </c>
      <c r="E4154">
        <v>0.52223439999999999</v>
      </c>
      <c r="F4154" t="s">
        <v>41</v>
      </c>
      <c r="G4154">
        <v>-234.209</v>
      </c>
      <c r="H4154">
        <v>1.0411170000000001</v>
      </c>
      <c r="I4154">
        <v>216.2629</v>
      </c>
      <c r="J4154">
        <v>-234.76480000000001</v>
      </c>
      <c r="K4154">
        <v>1.110242</v>
      </c>
      <c r="L4154">
        <v>216.3493</v>
      </c>
      <c r="M4154">
        <v>0.99942779999999998</v>
      </c>
      <c r="N4154">
        <v>0</v>
      </c>
      <c r="O4154">
        <v>3.082089E-2</v>
      </c>
      <c r="P4154">
        <v>0.99916280000000002</v>
      </c>
      <c r="Q4154">
        <v>2.9196300000000001E-2</v>
      </c>
      <c r="R4154">
        <v>-2.8670649999999999E-2</v>
      </c>
      <c r="S4154">
        <v>3.002151</v>
      </c>
      <c r="T4154">
        <v>-0.22799040000000001</v>
      </c>
      <c r="U4154">
        <v>-0.24810789999999999</v>
      </c>
      <c r="V4154">
        <v>5.9464129999999997E-2</v>
      </c>
      <c r="W4154">
        <v>4.3095420000000002E-2</v>
      </c>
      <c r="X4154">
        <v>0.99729970000000001</v>
      </c>
      <c r="Y4154">
        <v>0.1126321</v>
      </c>
      <c r="Z4154">
        <v>-6.5973610000000004E-3</v>
      </c>
      <c r="AA4154">
        <v>0.99361489999999997</v>
      </c>
      <c r="AB4154">
        <v>36</v>
      </c>
      <c r="AC4154">
        <v>0.55580000000000496</v>
      </c>
      <c r="AD4154">
        <v>-6.9124999999999798E-2</v>
      </c>
      <c r="AE4154">
        <v>-8.6399999999997507E-2</v>
      </c>
      <c r="AF4154">
        <v>0.10195109198029501</v>
      </c>
      <c r="AG4154">
        <v>-6.9124999999999798E-2</v>
      </c>
      <c r="AH4154">
        <v>0.54464691604172799</v>
      </c>
      <c r="AI4154">
        <v>97.110930988869697</v>
      </c>
      <c r="AJ4154">
        <v>79.397642807448094</v>
      </c>
      <c r="AK4154">
        <v>0.55840178539716301</v>
      </c>
      <c r="AL4154">
        <v>87.530049240222496</v>
      </c>
      <c r="AM4154">
        <v>86.587771211427395</v>
      </c>
      <c r="AN4154">
        <v>0.99999994480085996</v>
      </c>
    </row>
    <row r="4155" spans="1:40" x14ac:dyDescent="0.25">
      <c r="A4155" t="str">
        <f>"20190312154337100"</f>
        <v>20190312154337100</v>
      </c>
      <c r="B4155" t="str">
        <f>"1552376617092121"</f>
        <v>1552376617092121</v>
      </c>
      <c r="C4155" t="s">
        <v>40</v>
      </c>
      <c r="D4155">
        <v>5.1969399999999997</v>
      </c>
      <c r="E4155">
        <v>0.52252149999999997</v>
      </c>
      <c r="F4155" t="s">
        <v>41</v>
      </c>
      <c r="G4155">
        <v>-233.8888</v>
      </c>
      <c r="H4155">
        <v>1.0437099999999999</v>
      </c>
      <c r="I4155">
        <v>216.2756</v>
      </c>
      <c r="J4155">
        <v>-234.4204</v>
      </c>
      <c r="K4155">
        <v>1.110223</v>
      </c>
      <c r="L4155">
        <v>216.35980000000001</v>
      </c>
      <c r="M4155">
        <v>0.99943179999999998</v>
      </c>
      <c r="N4155">
        <v>0</v>
      </c>
      <c r="O4155">
        <v>3.0690849999999999E-2</v>
      </c>
      <c r="P4155">
        <v>0.9991565</v>
      </c>
      <c r="Q4155">
        <v>2.9110540000000001E-2</v>
      </c>
      <c r="R4155">
        <v>-2.8968130000000002E-2</v>
      </c>
      <c r="S4155">
        <v>3.0019680000000002</v>
      </c>
      <c r="T4155">
        <v>-0.22822210000000001</v>
      </c>
      <c r="U4155">
        <v>-0.2516022</v>
      </c>
      <c r="V4155">
        <v>5.9634100000000002E-2</v>
      </c>
      <c r="W4155">
        <v>4.3003949999999999E-2</v>
      </c>
      <c r="X4155">
        <v>0.99729350000000005</v>
      </c>
      <c r="Y4155">
        <v>0.113653</v>
      </c>
      <c r="Z4155">
        <v>-6.6329680000000004E-3</v>
      </c>
      <c r="AA4155">
        <v>0.9934984</v>
      </c>
      <c r="AB4155">
        <v>36</v>
      </c>
      <c r="AC4155">
        <v>0.53159999999999696</v>
      </c>
      <c r="AD4155">
        <v>-6.6512999999999795E-2</v>
      </c>
      <c r="AE4155">
        <v>-8.4200000000009795E-2</v>
      </c>
      <c r="AF4155">
        <v>9.8965809311901895E-2</v>
      </c>
      <c r="AG4155">
        <v>-6.6512999999999795E-2</v>
      </c>
      <c r="AH4155">
        <v>0.52081152372420503</v>
      </c>
      <c r="AI4155">
        <v>97.151259668706402</v>
      </c>
      <c r="AJ4155">
        <v>79.240799132505799</v>
      </c>
      <c r="AK4155">
        <v>0.53428723906311604</v>
      </c>
      <c r="AL4155">
        <v>87.535294949996</v>
      </c>
      <c r="AM4155">
        <v>86.5780197478704</v>
      </c>
      <c r="AN4155">
        <v>0.99999994537032899</v>
      </c>
    </row>
    <row r="4156" spans="1:40" x14ac:dyDescent="0.25">
      <c r="A4156" t="str">
        <f>"20190312154337123"</f>
        <v>20190312154337123</v>
      </c>
      <c r="B4156" t="str">
        <f>"1552376617111641"</f>
        <v>1552376617111641</v>
      </c>
      <c r="C4156" t="s">
        <v>40</v>
      </c>
      <c r="D4156">
        <v>5.2023270000000004</v>
      </c>
      <c r="E4156">
        <v>0.52271069999999997</v>
      </c>
      <c r="F4156" t="s">
        <v>41</v>
      </c>
      <c r="G4156">
        <v>-233.56960000000001</v>
      </c>
      <c r="H4156">
        <v>1.045474</v>
      </c>
      <c r="I4156">
        <v>216.28739999999999</v>
      </c>
      <c r="J4156">
        <v>-234.06610000000001</v>
      </c>
      <c r="K4156">
        <v>1.1101909999999999</v>
      </c>
      <c r="L4156">
        <v>216.37049999999999</v>
      </c>
      <c r="M4156">
        <v>0.99943700000000002</v>
      </c>
      <c r="N4156">
        <v>0</v>
      </c>
      <c r="O4156">
        <v>3.052241E-2</v>
      </c>
      <c r="P4156">
        <v>0.99915810000000005</v>
      </c>
      <c r="Q4156">
        <v>2.9043880000000001E-2</v>
      </c>
      <c r="R4156">
        <v>-2.8981420000000001E-2</v>
      </c>
      <c r="S4156">
        <v>3.0018159999999998</v>
      </c>
      <c r="T4156">
        <v>-0.22845470000000001</v>
      </c>
      <c r="U4156">
        <v>-0.25506590000000001</v>
      </c>
      <c r="V4156">
        <v>5.9482340000000002E-2</v>
      </c>
      <c r="W4156">
        <v>4.2931539999999997E-2</v>
      </c>
      <c r="X4156">
        <v>0.99730580000000002</v>
      </c>
      <c r="Y4156">
        <v>0.1146248</v>
      </c>
      <c r="Z4156">
        <v>-6.6638110000000004E-3</v>
      </c>
      <c r="AA4156">
        <v>0.99338649999999995</v>
      </c>
      <c r="AB4156">
        <v>36</v>
      </c>
      <c r="AC4156">
        <v>0.496499999999997</v>
      </c>
      <c r="AD4156">
        <v>-6.47169999999999E-2</v>
      </c>
      <c r="AE4156">
        <v>-8.31000000000017E-2</v>
      </c>
      <c r="AF4156">
        <v>9.6620258737871001E-2</v>
      </c>
      <c r="AG4156">
        <v>-6.47169999999999E-2</v>
      </c>
      <c r="AH4156">
        <v>0.48570462656125402</v>
      </c>
      <c r="AI4156">
        <v>97.445385994465795</v>
      </c>
      <c r="AJ4156">
        <v>78.749137412418804</v>
      </c>
      <c r="AK4156">
        <v>0.49943242661102899</v>
      </c>
      <c r="AL4156">
        <v>87.539447860635505</v>
      </c>
      <c r="AM4156">
        <v>86.586749565415801</v>
      </c>
      <c r="AN4156">
        <v>1.00000006230614</v>
      </c>
    </row>
    <row r="4157" spans="1:40" x14ac:dyDescent="0.25">
      <c r="A4157" t="str">
        <f>"20190312154337145"</f>
        <v>20190312154337145</v>
      </c>
      <c r="B4157" t="str">
        <f>"1552376617132137"</f>
        <v>1552376617132137</v>
      </c>
      <c r="C4157" t="s">
        <v>40</v>
      </c>
      <c r="D4157">
        <v>5.164561</v>
      </c>
      <c r="E4157">
        <v>0.52289549999999996</v>
      </c>
      <c r="F4157" t="s">
        <v>41</v>
      </c>
      <c r="G4157">
        <v>-233.2501</v>
      </c>
      <c r="H4157">
        <v>1.0480179999999999</v>
      </c>
      <c r="I4157">
        <v>216.30070000000001</v>
      </c>
      <c r="J4157">
        <v>-233.71350000000001</v>
      </c>
      <c r="K4157">
        <v>1.1101650000000001</v>
      </c>
      <c r="L4157">
        <v>216.3811</v>
      </c>
      <c r="M4157">
        <v>0.99944319999999998</v>
      </c>
      <c r="N4157">
        <v>0</v>
      </c>
      <c r="O4157">
        <v>3.0316539999999999E-2</v>
      </c>
      <c r="P4157">
        <v>0.99914499999999995</v>
      </c>
      <c r="Q4157">
        <v>2.9352139999999999E-2</v>
      </c>
      <c r="R4157">
        <v>-2.9116380000000001E-2</v>
      </c>
      <c r="S4157">
        <v>3.0017550000000002</v>
      </c>
      <c r="T4157">
        <v>-0.22875229999999999</v>
      </c>
      <c r="U4157">
        <v>-0.25648500000000002</v>
      </c>
      <c r="V4157">
        <v>5.9414830000000002E-2</v>
      </c>
      <c r="W4157">
        <v>4.3233090000000002E-2</v>
      </c>
      <c r="X4157">
        <v>0.99729679999999998</v>
      </c>
      <c r="Y4157">
        <v>0.1148869</v>
      </c>
      <c r="Z4157">
        <v>-6.6667819999999996E-3</v>
      </c>
      <c r="AA4157">
        <v>0.99335620000000002</v>
      </c>
      <c r="AB4157">
        <v>36</v>
      </c>
      <c r="AC4157">
        <v>0.46340000000000697</v>
      </c>
      <c r="AD4157">
        <v>-6.2146999999999897E-2</v>
      </c>
      <c r="AE4157">
        <v>-8.0399999999997293E-2</v>
      </c>
      <c r="AF4157">
        <v>9.2792907876705105E-2</v>
      </c>
      <c r="AG4157">
        <v>-6.2146999999999897E-2</v>
      </c>
      <c r="AH4157">
        <v>0.45284257123583699</v>
      </c>
      <c r="AI4157">
        <v>97.657158128526603</v>
      </c>
      <c r="AJ4157">
        <v>78.419708787398903</v>
      </c>
      <c r="AK4157">
        <v>0.46641094292983598</v>
      </c>
      <c r="AL4157">
        <v>87.522154268597305</v>
      </c>
      <c r="AM4157">
        <v>86.590583625387197</v>
      </c>
      <c r="AN4157">
        <v>1.00000006469255</v>
      </c>
    </row>
    <row r="4158" spans="1:40" x14ac:dyDescent="0.25">
      <c r="A4158" t="str">
        <f>"20190312154337169"</f>
        <v>20190312154337169</v>
      </c>
      <c r="B4158" t="str">
        <f>"1552376617161416"</f>
        <v>1552376617161416</v>
      </c>
      <c r="C4158" t="s">
        <v>40</v>
      </c>
      <c r="D4158">
        <v>5.1842779999999999</v>
      </c>
      <c r="E4158">
        <v>0.52317360000000002</v>
      </c>
      <c r="F4158" t="s">
        <v>41</v>
      </c>
      <c r="G4158">
        <v>-232.9307</v>
      </c>
      <c r="H4158">
        <v>1.050657</v>
      </c>
      <c r="I4158">
        <v>216.31360000000001</v>
      </c>
      <c r="J4158">
        <v>-233.35230000000001</v>
      </c>
      <c r="K4158">
        <v>1.1101319999999999</v>
      </c>
      <c r="L4158">
        <v>216.39179999999999</v>
      </c>
      <c r="M4158">
        <v>0.99945070000000003</v>
      </c>
      <c r="N4158">
        <v>0</v>
      </c>
      <c r="O4158">
        <v>3.0064230000000001E-2</v>
      </c>
      <c r="P4158">
        <v>0.99915359999999998</v>
      </c>
      <c r="Q4158">
        <v>2.934846E-2</v>
      </c>
      <c r="R4158">
        <v>-2.8823830000000002E-2</v>
      </c>
      <c r="S4158">
        <v>3.0017239999999998</v>
      </c>
      <c r="T4158">
        <v>-0.22820409999999999</v>
      </c>
      <c r="U4158">
        <v>-0.25851439999999998</v>
      </c>
      <c r="V4158">
        <v>5.8874589999999997E-2</v>
      </c>
      <c r="W4158">
        <v>4.3223089999999999E-2</v>
      </c>
      <c r="X4158">
        <v>0.99732920000000003</v>
      </c>
      <c r="Y4158">
        <v>0.1153052</v>
      </c>
      <c r="Z4158">
        <v>-6.6474560000000004E-3</v>
      </c>
      <c r="AA4158">
        <v>0.99330790000000002</v>
      </c>
      <c r="AB4158">
        <v>36</v>
      </c>
      <c r="AC4158">
        <v>0.42160000000001202</v>
      </c>
      <c r="AD4158">
        <v>-5.9474999999999903E-2</v>
      </c>
      <c r="AE4158">
        <v>-7.8199999999981104E-2</v>
      </c>
      <c r="AF4158">
        <v>8.9126275828903506E-2</v>
      </c>
      <c r="AG4158">
        <v>-5.9474999999999903E-2</v>
      </c>
      <c r="AH4158">
        <v>0.41114814888477802</v>
      </c>
      <c r="AI4158">
        <v>98.046717024100204</v>
      </c>
      <c r="AJ4158">
        <v>77.768997203128706</v>
      </c>
      <c r="AK4158">
        <v>0.42488065265378899</v>
      </c>
      <c r="AL4158">
        <v>87.522727584764297</v>
      </c>
      <c r="AM4158">
        <v>86.621621720193701</v>
      </c>
      <c r="AN4158">
        <v>0.99999999301472797</v>
      </c>
    </row>
    <row r="4159" spans="1:40" x14ac:dyDescent="0.25">
      <c r="A4159" t="str">
        <f>"20190312154337202"</f>
        <v>20190312154337202</v>
      </c>
      <c r="B4159" t="str">
        <f>"1552376617191673"</f>
        <v>1552376617191673</v>
      </c>
      <c r="C4159" t="s">
        <v>40</v>
      </c>
      <c r="D4159">
        <v>5.173457</v>
      </c>
      <c r="E4159">
        <v>0.52344760000000001</v>
      </c>
      <c r="F4159" t="s">
        <v>41</v>
      </c>
      <c r="G4159">
        <v>-232.30889999999999</v>
      </c>
      <c r="H4159">
        <v>1.0305470000000001</v>
      </c>
      <c r="I4159">
        <v>216.3014</v>
      </c>
      <c r="J4159">
        <v>-232.8184</v>
      </c>
      <c r="K4159">
        <v>1.1100829999999999</v>
      </c>
      <c r="L4159">
        <v>216.4074</v>
      </c>
      <c r="M4159">
        <v>0.99946460000000004</v>
      </c>
      <c r="N4159">
        <v>0</v>
      </c>
      <c r="O4159">
        <v>2.9605659999999999E-2</v>
      </c>
      <c r="P4159">
        <v>0.99910560000000004</v>
      </c>
      <c r="Q4159">
        <v>2.9585119999999999E-2</v>
      </c>
      <c r="R4159">
        <v>-3.021184E-2</v>
      </c>
      <c r="S4159">
        <v>3.00177</v>
      </c>
      <c r="T4159">
        <v>-0.2290345</v>
      </c>
      <c r="U4159">
        <v>-0.2597351</v>
      </c>
      <c r="V4159">
        <v>5.9808649999999998E-2</v>
      </c>
      <c r="W4159">
        <v>4.3447470000000002E-2</v>
      </c>
      <c r="X4159">
        <v>0.99726389999999998</v>
      </c>
      <c r="Y4159">
        <v>0.11524760000000001</v>
      </c>
      <c r="Z4159">
        <v>-6.6342850000000002E-3</v>
      </c>
      <c r="AA4159">
        <v>0.99331460000000005</v>
      </c>
      <c r="AB4159">
        <v>35</v>
      </c>
      <c r="AC4159">
        <v>0.50950000000000195</v>
      </c>
      <c r="AD4159">
        <v>-7.9535999999999996E-2</v>
      </c>
      <c r="AE4159">
        <v>-0.105999999999994</v>
      </c>
      <c r="AF4159">
        <v>0.118276367562517</v>
      </c>
      <c r="AG4159">
        <v>-7.9535999999999996E-2</v>
      </c>
      <c r="AH4159">
        <v>0.49458555791394299</v>
      </c>
      <c r="AI4159">
        <v>98.889234456888005</v>
      </c>
      <c r="AJ4159">
        <v>76.550737545318</v>
      </c>
      <c r="AK4159">
        <v>0.51471365681981895</v>
      </c>
      <c r="AL4159">
        <v>87.509859540754903</v>
      </c>
      <c r="AM4159">
        <v>86.567925839483195</v>
      </c>
      <c r="AN4159">
        <v>1.0000000217537099</v>
      </c>
    </row>
    <row r="4160" spans="1:40" x14ac:dyDescent="0.25">
      <c r="A4160" t="str">
        <f>"20190312154337223"</f>
        <v>20190312154337223</v>
      </c>
      <c r="B4160" t="str">
        <f>"1552376617212169"</f>
        <v>1552376617212169</v>
      </c>
      <c r="C4160" t="s">
        <v>40</v>
      </c>
      <c r="D4160">
        <v>5.2188080000000001</v>
      </c>
      <c r="E4160">
        <v>0.52342040000000001</v>
      </c>
      <c r="F4160" t="s">
        <v>41</v>
      </c>
      <c r="G4160">
        <v>-231.98330000000001</v>
      </c>
      <c r="H4160">
        <v>1.046467</v>
      </c>
      <c r="I4160">
        <v>216.3331</v>
      </c>
      <c r="J4160">
        <v>-232.47030000000001</v>
      </c>
      <c r="K4160">
        <v>1.1100460000000001</v>
      </c>
      <c r="L4160">
        <v>216.41739999999999</v>
      </c>
      <c r="M4160">
        <v>0.99947459999999999</v>
      </c>
      <c r="N4160">
        <v>0</v>
      </c>
      <c r="O4160">
        <v>2.9265659999999999E-2</v>
      </c>
      <c r="P4160">
        <v>0.99903759999999997</v>
      </c>
      <c r="Q4160">
        <v>2.9305520000000002E-2</v>
      </c>
      <c r="R4160">
        <v>-3.264061E-2</v>
      </c>
      <c r="S4160">
        <v>3.001404</v>
      </c>
      <c r="T4160">
        <v>-0.22874949999999999</v>
      </c>
      <c r="U4160">
        <v>-0.26620480000000002</v>
      </c>
      <c r="V4160">
        <v>6.1898149999999999E-2</v>
      </c>
      <c r="W4160">
        <v>4.3158299999999997E-2</v>
      </c>
      <c r="X4160">
        <v>0.9971489</v>
      </c>
      <c r="Y4160">
        <v>0.1170416</v>
      </c>
      <c r="Z4160">
        <v>-6.6685499999999997E-3</v>
      </c>
      <c r="AA4160">
        <v>0.9931046</v>
      </c>
      <c r="AB4160">
        <v>35</v>
      </c>
      <c r="AC4160">
        <v>0.48699999999999399</v>
      </c>
      <c r="AD4160">
        <v>-6.3578999999999802E-2</v>
      </c>
      <c r="AE4160">
        <v>-8.4299999999984707E-2</v>
      </c>
      <c r="AF4160">
        <v>9.6913905476029003E-2</v>
      </c>
      <c r="AG4160">
        <v>-6.3578999999999802E-2</v>
      </c>
      <c r="AH4160">
        <v>0.476439864859104</v>
      </c>
      <c r="AI4160">
        <v>97.450182911594496</v>
      </c>
      <c r="AJ4160">
        <v>78.502180310468404</v>
      </c>
      <c r="AK4160">
        <v>0.49033614912891998</v>
      </c>
      <c r="AL4160">
        <v>87.526443199311004</v>
      </c>
      <c r="AM4160">
        <v>86.447914664411499</v>
      </c>
      <c r="AN4160">
        <v>0.99999997430176102</v>
      </c>
    </row>
    <row r="4161" spans="1:40" x14ac:dyDescent="0.25">
      <c r="A4161" t="str">
        <f>"20190312154337246"</f>
        <v>20190312154337246</v>
      </c>
      <c r="B4161" t="str">
        <f>"1552376617231689"</f>
        <v>1552376617231689</v>
      </c>
      <c r="C4161" t="s">
        <v>40</v>
      </c>
      <c r="D4161">
        <v>5.1926329999999998</v>
      </c>
      <c r="E4161">
        <v>0.52269140000000003</v>
      </c>
      <c r="F4161" t="s">
        <v>41</v>
      </c>
      <c r="G4161">
        <v>-231.66550000000001</v>
      </c>
      <c r="H4161">
        <v>1.0481480000000001</v>
      </c>
      <c r="I4161">
        <v>216.34399999999999</v>
      </c>
      <c r="J4161">
        <v>-232.12389999999999</v>
      </c>
      <c r="K4161">
        <v>1.1100159999999999</v>
      </c>
      <c r="L4161">
        <v>216.4272</v>
      </c>
      <c r="M4161">
        <v>0.99948550000000003</v>
      </c>
      <c r="N4161">
        <v>0</v>
      </c>
      <c r="O4161">
        <v>2.88905E-2</v>
      </c>
      <c r="P4161">
        <v>0.99892879999999995</v>
      </c>
      <c r="Q4161">
        <v>2.9115419999999999E-2</v>
      </c>
      <c r="R4161">
        <v>-3.5965030000000002E-2</v>
      </c>
      <c r="S4161">
        <v>3.0007320000000002</v>
      </c>
      <c r="T4161">
        <v>-0.23083819999999999</v>
      </c>
      <c r="U4161">
        <v>-0.27330019999999999</v>
      </c>
      <c r="V4161">
        <v>6.4846860000000006E-2</v>
      </c>
      <c r="W4161">
        <v>4.2956309999999998E-2</v>
      </c>
      <c r="X4161">
        <v>0.99697020000000003</v>
      </c>
      <c r="Y4161">
        <v>0.1190051</v>
      </c>
      <c r="Z4161">
        <v>-6.7765569999999999E-3</v>
      </c>
      <c r="AA4161">
        <v>0.99287049999999999</v>
      </c>
      <c r="AB4161">
        <v>35</v>
      </c>
      <c r="AC4161">
        <v>0.45839999999998299</v>
      </c>
      <c r="AD4161">
        <v>-6.1867999999999999E-2</v>
      </c>
      <c r="AE4161">
        <v>-8.3199999999976598E-2</v>
      </c>
      <c r="AF4161">
        <v>9.4739261209482298E-2</v>
      </c>
      <c r="AG4161">
        <v>-6.1867999999999999E-2</v>
      </c>
      <c r="AH4161">
        <v>0.44790603116009198</v>
      </c>
      <c r="AI4161">
        <v>97.696174017709495</v>
      </c>
      <c r="AJ4161">
        <v>78.0570584266586</v>
      </c>
      <c r="AK4161">
        <v>0.46197726111585102</v>
      </c>
      <c r="AL4161">
        <v>87.538027105806705</v>
      </c>
      <c r="AM4161">
        <v>86.278499614303399</v>
      </c>
      <c r="AN4161">
        <v>0.99999996975435701</v>
      </c>
    </row>
    <row r="4162" spans="1:40" x14ac:dyDescent="0.25">
      <c r="A4162" t="str">
        <f>"20190312154337268"</f>
        <v>20190312154337268</v>
      </c>
      <c r="B4162" t="str">
        <f>"1552376617261945"</f>
        <v>1552376617261945</v>
      </c>
      <c r="C4162" t="s">
        <v>40</v>
      </c>
      <c r="D4162">
        <v>5.1974530000000003</v>
      </c>
      <c r="E4162">
        <v>0.52141850000000001</v>
      </c>
      <c r="F4162" t="s">
        <v>41</v>
      </c>
      <c r="G4162">
        <v>-231.34809999999999</v>
      </c>
      <c r="H4162">
        <v>1.0497920000000001</v>
      </c>
      <c r="I4162">
        <v>216.35509999999999</v>
      </c>
      <c r="J4162">
        <v>-231.7662</v>
      </c>
      <c r="K4162">
        <v>1.1099829999999999</v>
      </c>
      <c r="L4162">
        <v>216.43709999999999</v>
      </c>
      <c r="M4162">
        <v>0.99949790000000005</v>
      </c>
      <c r="N4162">
        <v>0</v>
      </c>
      <c r="O4162">
        <v>2.8465299999999999E-2</v>
      </c>
      <c r="P4162">
        <v>0.99881580000000003</v>
      </c>
      <c r="Q4162">
        <v>2.914458E-2</v>
      </c>
      <c r="R4162">
        <v>-3.8958449999999999E-2</v>
      </c>
      <c r="S4162">
        <v>3.0000309999999999</v>
      </c>
      <c r="T4162">
        <v>-0.2331145</v>
      </c>
      <c r="U4162">
        <v>-0.27732849999999998</v>
      </c>
      <c r="V4162">
        <v>6.7415130000000004E-2</v>
      </c>
      <c r="W4162">
        <v>4.2973940000000002E-2</v>
      </c>
      <c r="X4162">
        <v>0.99679910000000005</v>
      </c>
      <c r="Y4162">
        <v>0.11991549999999999</v>
      </c>
      <c r="Z4162">
        <v>-6.8466719999999998E-3</v>
      </c>
      <c r="AA4162">
        <v>0.99276050000000005</v>
      </c>
      <c r="AB4162">
        <v>35</v>
      </c>
      <c r="AC4162">
        <v>0.41810000000000902</v>
      </c>
      <c r="AD4162">
        <v>-6.01909999999998E-2</v>
      </c>
      <c r="AE4162">
        <v>-8.1999999999993606E-2</v>
      </c>
      <c r="AF4162">
        <v>9.2032501602779607E-2</v>
      </c>
      <c r="AG4162">
        <v>-6.01909999999998E-2</v>
      </c>
      <c r="AH4162">
        <v>0.40746411116939601</v>
      </c>
      <c r="AI4162">
        <v>98.199385078051804</v>
      </c>
      <c r="AJ4162">
        <v>77.272369558215701</v>
      </c>
      <c r="AK4162">
        <v>0.42204258046236398</v>
      </c>
      <c r="AL4162">
        <v>87.537016128286595</v>
      </c>
      <c r="AM4162">
        <v>86.130886045074902</v>
      </c>
      <c r="AN4162">
        <v>1.00000000251642</v>
      </c>
    </row>
    <row r="4163" spans="1:40" x14ac:dyDescent="0.25">
      <c r="A4163" t="str">
        <f>"20190312154337291"</f>
        <v>20190312154337291</v>
      </c>
      <c r="B4163" t="str">
        <f>"1552376617281465"</f>
        <v>1552376617281465</v>
      </c>
      <c r="C4163" t="s">
        <v>40</v>
      </c>
      <c r="D4163">
        <v>5.2954169999999996</v>
      </c>
      <c r="E4163">
        <v>0.52062870000000006</v>
      </c>
      <c r="F4163" t="s">
        <v>41</v>
      </c>
      <c r="G4163">
        <v>-230.72909999999999</v>
      </c>
      <c r="H4163">
        <v>1.02867</v>
      </c>
      <c r="I4163">
        <v>216.3415</v>
      </c>
      <c r="J4163">
        <v>-231.4119</v>
      </c>
      <c r="K4163">
        <v>1.109939</v>
      </c>
      <c r="L4163">
        <v>216.44669999999999</v>
      </c>
      <c r="M4163">
        <v>0.99951069999999997</v>
      </c>
      <c r="N4163">
        <v>0</v>
      </c>
      <c r="O4163">
        <v>2.8006369999999999E-2</v>
      </c>
      <c r="P4163">
        <v>0.99871120000000002</v>
      </c>
      <c r="Q4163">
        <v>2.8850750000000001E-2</v>
      </c>
      <c r="R4163">
        <v>-4.1756519999999998E-2</v>
      </c>
      <c r="S4163">
        <v>2.9996489999999998</v>
      </c>
      <c r="T4163">
        <v>-0.23526130000000001</v>
      </c>
      <c r="U4163">
        <v>-0.27606199999999997</v>
      </c>
      <c r="V4163">
        <v>6.9754410000000003E-2</v>
      </c>
      <c r="W4163">
        <v>4.2668560000000001E-2</v>
      </c>
      <c r="X4163">
        <v>0.99665119999999896</v>
      </c>
      <c r="Y4163">
        <v>0.1190513</v>
      </c>
      <c r="Z4163">
        <v>-6.8408920000000003E-3</v>
      </c>
      <c r="AA4163">
        <v>0.99286450000000004</v>
      </c>
      <c r="AB4163">
        <v>35</v>
      </c>
      <c r="AC4163">
        <v>0.68280000000001395</v>
      </c>
      <c r="AD4163">
        <v>-8.1268999999999994E-2</v>
      </c>
      <c r="AE4163">
        <v>-0.10519999999999601</v>
      </c>
      <c r="AF4163">
        <v>0.12258697035145701</v>
      </c>
      <c r="AG4163">
        <v>-8.1268999999999994E-2</v>
      </c>
      <c r="AH4163">
        <v>0.67030979927196799</v>
      </c>
      <c r="AI4163">
        <v>96.801139630423506</v>
      </c>
      <c r="AJ4163">
        <v>79.636214584714494</v>
      </c>
      <c r="AK4163">
        <v>0.686256105736754</v>
      </c>
      <c r="AL4163">
        <v>87.554529046587902</v>
      </c>
      <c r="AM4163">
        <v>85.996466301727395</v>
      </c>
      <c r="AN4163">
        <v>0.999999949094179</v>
      </c>
    </row>
    <row r="4164" spans="1:40" x14ac:dyDescent="0.25">
      <c r="A4164" t="str">
        <f>"20190312154337313"</f>
        <v>20190312154337313</v>
      </c>
      <c r="B4164" t="str">
        <f>"1552376617301961"</f>
        <v>1552376617301961</v>
      </c>
      <c r="C4164" t="s">
        <v>40</v>
      </c>
      <c r="D4164">
        <v>5.2791689999999996</v>
      </c>
      <c r="E4164">
        <v>0.51985700000000001</v>
      </c>
      <c r="F4164" t="s">
        <v>41</v>
      </c>
      <c r="G4164">
        <v>-230.4128</v>
      </c>
      <c r="H4164">
        <v>1.0308550000000001</v>
      </c>
      <c r="I4164">
        <v>216.35400000000001</v>
      </c>
      <c r="J4164">
        <v>-231.05799999999999</v>
      </c>
      <c r="K4164">
        <v>1.1099129999999999</v>
      </c>
      <c r="L4164">
        <v>216.4562</v>
      </c>
      <c r="M4164">
        <v>0.99952439999999998</v>
      </c>
      <c r="N4164">
        <v>0</v>
      </c>
      <c r="O4164">
        <v>2.7520960000000001E-2</v>
      </c>
      <c r="P4164">
        <v>0.99863380000000002</v>
      </c>
      <c r="Q4164">
        <v>2.823782E-2</v>
      </c>
      <c r="R4164">
        <v>-4.3974239999999998E-2</v>
      </c>
      <c r="S4164">
        <v>2.9990839999999999</v>
      </c>
      <c r="T4164">
        <v>-0.2374358</v>
      </c>
      <c r="U4164">
        <v>-0.27815250000000002</v>
      </c>
      <c r="V4164">
        <v>7.148728E-2</v>
      </c>
      <c r="W4164">
        <v>4.204542E-2</v>
      </c>
      <c r="X4164">
        <v>0.99655499999999997</v>
      </c>
      <c r="Y4164">
        <v>0.1192648</v>
      </c>
      <c r="Z4164">
        <v>-6.8751169999999896E-3</v>
      </c>
      <c r="AA4164">
        <v>0.99283869999999996</v>
      </c>
      <c r="AB4164">
        <v>35</v>
      </c>
      <c r="AC4164">
        <v>0.64519999999998801</v>
      </c>
      <c r="AD4164">
        <v>-7.9058000000000003E-2</v>
      </c>
      <c r="AE4164">
        <v>-0.102199999999982</v>
      </c>
      <c r="AF4164">
        <v>0.11818844995092199</v>
      </c>
      <c r="AG4164">
        <v>-7.9058000000000003E-2</v>
      </c>
      <c r="AH4164">
        <v>0.63287313283847202</v>
      </c>
      <c r="AI4164">
        <v>97.000660895183401</v>
      </c>
      <c r="AJ4164">
        <v>79.421915925152106</v>
      </c>
      <c r="AK4164">
        <v>0.64865019797621604</v>
      </c>
      <c r="AL4164">
        <v>87.590264675374101</v>
      </c>
      <c r="AM4164">
        <v>85.896949574254094</v>
      </c>
      <c r="AN4164">
        <v>1.00000005828488</v>
      </c>
    </row>
    <row r="4165" spans="1:40" x14ac:dyDescent="0.25">
      <c r="A4165" t="str">
        <f>"20190312154337336"</f>
        <v>20190312154337336</v>
      </c>
      <c r="B4165" t="str">
        <f>"1552376617321481"</f>
        <v>1552376617321481</v>
      </c>
      <c r="C4165" t="s">
        <v>40</v>
      </c>
      <c r="D4165">
        <v>5.2388009999999996</v>
      </c>
      <c r="E4165">
        <v>0.51913620000000005</v>
      </c>
      <c r="F4165" t="s">
        <v>41</v>
      </c>
      <c r="G4165">
        <v>-230.09710000000001</v>
      </c>
      <c r="H4165">
        <v>1.0324899999999999</v>
      </c>
      <c r="I4165">
        <v>216.36660000000001</v>
      </c>
      <c r="J4165">
        <v>-230.70580000000001</v>
      </c>
      <c r="K4165">
        <v>1.109885</v>
      </c>
      <c r="L4165">
        <v>216.46530000000001</v>
      </c>
      <c r="M4165">
        <v>0.99953820000000004</v>
      </c>
      <c r="N4165">
        <v>0</v>
      </c>
      <c r="O4165">
        <v>2.7011899999999998E-2</v>
      </c>
      <c r="P4165">
        <v>0.99852200000000002</v>
      </c>
      <c r="Q4165">
        <v>2.7909920000000001E-2</v>
      </c>
      <c r="R4165">
        <v>-4.6637419999999999E-2</v>
      </c>
      <c r="S4165">
        <v>2.998688</v>
      </c>
      <c r="T4165">
        <v>-0.24174309999999999</v>
      </c>
      <c r="U4165">
        <v>-0.2787018</v>
      </c>
      <c r="V4165">
        <v>7.3641020000000001E-2</v>
      </c>
      <c r="W4165">
        <v>4.1706210000000001E-2</v>
      </c>
      <c r="X4165">
        <v>0.99641230000000003</v>
      </c>
      <c r="Y4165">
        <v>0.1189375</v>
      </c>
      <c r="Z4165">
        <v>-6.9462530000000003E-3</v>
      </c>
      <c r="AA4165">
        <v>0.99287740000000002</v>
      </c>
      <c r="AB4165">
        <v>35</v>
      </c>
      <c r="AC4165">
        <v>0.60869999999999802</v>
      </c>
      <c r="AD4165">
        <v>-7.7395000000000103E-2</v>
      </c>
      <c r="AE4165">
        <v>-9.8700000000008004E-2</v>
      </c>
      <c r="AF4165">
        <v>0.113322606239512</v>
      </c>
      <c r="AG4165">
        <v>-7.7395000000000103E-2</v>
      </c>
      <c r="AH4165">
        <v>0.59641649477835701</v>
      </c>
      <c r="AI4165">
        <v>97.265210250991402</v>
      </c>
      <c r="AJ4165">
        <v>79.241710968201801</v>
      </c>
      <c r="AK4165">
        <v>0.61200051826253998</v>
      </c>
      <c r="AL4165">
        <v>87.609716755209703</v>
      </c>
      <c r="AM4165">
        <v>85.773172835287198</v>
      </c>
      <c r="AN4165">
        <v>0.99999993968524503</v>
      </c>
    </row>
    <row r="4166" spans="1:40" x14ac:dyDescent="0.25">
      <c r="A4166" t="str">
        <f>"20190312154337358"</f>
        <v>20190312154337358</v>
      </c>
      <c r="B4166" t="str">
        <f>"1552376617351737"</f>
        <v>1552376617351737</v>
      </c>
      <c r="C4166" t="s">
        <v>40</v>
      </c>
      <c r="D4166">
        <v>5.2912400000000002</v>
      </c>
      <c r="E4166">
        <v>0.51810889999999998</v>
      </c>
      <c r="F4166" t="s">
        <v>41</v>
      </c>
      <c r="G4166">
        <v>-229.78149999999999</v>
      </c>
      <c r="H4166">
        <v>1.034254</v>
      </c>
      <c r="I4166">
        <v>216.37880000000001</v>
      </c>
      <c r="J4166">
        <v>-230.3432</v>
      </c>
      <c r="K4166">
        <v>1.1098680000000001</v>
      </c>
      <c r="L4166">
        <v>216.47460000000001</v>
      </c>
      <c r="M4166">
        <v>0.99955300000000002</v>
      </c>
      <c r="N4166">
        <v>0</v>
      </c>
      <c r="O4166">
        <v>2.646047E-2</v>
      </c>
      <c r="P4166">
        <v>0.9984537</v>
      </c>
      <c r="Q4166">
        <v>2.7913190000000001E-2</v>
      </c>
      <c r="R4166">
        <v>-4.807442E-2</v>
      </c>
      <c r="S4166">
        <v>2.9981840000000002</v>
      </c>
      <c r="T4166">
        <v>-0.24535409999999999</v>
      </c>
      <c r="U4166">
        <v>-0.28102110000000002</v>
      </c>
      <c r="V4166">
        <v>7.452868E-2</v>
      </c>
      <c r="W4166">
        <v>4.1700969999999997E-2</v>
      </c>
      <c r="X4166">
        <v>0.99634659999999997</v>
      </c>
      <c r="Y4166">
        <v>0.1191535</v>
      </c>
      <c r="Z4166">
        <v>-7.0144319999999897E-3</v>
      </c>
      <c r="AA4166">
        <v>0.99285109999999999</v>
      </c>
      <c r="AB4166">
        <v>35</v>
      </c>
      <c r="AC4166">
        <v>0.56170000000000098</v>
      </c>
      <c r="AD4166">
        <v>-7.5614000000000001E-2</v>
      </c>
      <c r="AE4166">
        <v>-9.5799999999996999E-2</v>
      </c>
      <c r="AF4166">
        <v>0.108716313955209</v>
      </c>
      <c r="AG4166">
        <v>-7.5614000000000001E-2</v>
      </c>
      <c r="AH4166">
        <v>0.54929540602115001</v>
      </c>
      <c r="AI4166">
        <v>97.690524750436097</v>
      </c>
      <c r="AJ4166">
        <v>78.804728154943106</v>
      </c>
      <c r="AK4166">
        <v>0.56503288133696095</v>
      </c>
      <c r="AL4166">
        <v>87.610017441431594</v>
      </c>
      <c r="AM4166">
        <v>85.722130140141303</v>
      </c>
      <c r="AN4166">
        <v>1.0000000211865201</v>
      </c>
    </row>
    <row r="4167" spans="1:40" x14ac:dyDescent="0.25">
      <c r="A4167" t="str">
        <f>"20190312154337382"</f>
        <v>20190312154337382</v>
      </c>
      <c r="B4167" t="str">
        <f>"1552376617371258"</f>
        <v>1552376617371258</v>
      </c>
      <c r="C4167" t="s">
        <v>40</v>
      </c>
      <c r="D4167">
        <v>5.2954480000000004</v>
      </c>
      <c r="E4167">
        <v>0.51749959999999995</v>
      </c>
      <c r="F4167" t="s">
        <v>41</v>
      </c>
      <c r="G4167">
        <v>-229.46530000000001</v>
      </c>
      <c r="H4167">
        <v>1.037768</v>
      </c>
      <c r="I4167">
        <v>216.39340000000001</v>
      </c>
      <c r="J4167">
        <v>-229.97020000000001</v>
      </c>
      <c r="K4167">
        <v>1.109842</v>
      </c>
      <c r="L4167">
        <v>216.48390000000001</v>
      </c>
      <c r="M4167">
        <v>0.99956849999999997</v>
      </c>
      <c r="N4167">
        <v>0</v>
      </c>
      <c r="O4167">
        <v>2.586579E-2</v>
      </c>
      <c r="P4167">
        <v>0.99837989999999999</v>
      </c>
      <c r="Q4167">
        <v>2.8133149999999999E-2</v>
      </c>
      <c r="R4167">
        <v>-4.9456130000000001E-2</v>
      </c>
      <c r="S4167">
        <v>2.9981990000000001</v>
      </c>
      <c r="T4167">
        <v>-0.24629880000000001</v>
      </c>
      <c r="U4167">
        <v>-0.27697749999999999</v>
      </c>
      <c r="V4167">
        <v>7.5317759999999997E-2</v>
      </c>
      <c r="W4167">
        <v>4.1912499999999998E-2</v>
      </c>
      <c r="X4167">
        <v>0.99627829999999995</v>
      </c>
      <c r="Y4167">
        <v>0.1172392</v>
      </c>
      <c r="Z4167">
        <v>-6.9147210000000004E-3</v>
      </c>
      <c r="AA4167">
        <v>0.99307970000000001</v>
      </c>
      <c r="AB4167">
        <v>35</v>
      </c>
      <c r="AC4167">
        <v>0.50489999999999202</v>
      </c>
      <c r="AD4167">
        <v>-7.2073999999999902E-2</v>
      </c>
      <c r="AE4167">
        <v>-9.0499999999991601E-2</v>
      </c>
      <c r="AF4167">
        <v>0.101526187687647</v>
      </c>
      <c r="AG4167">
        <v>-7.2073999999999902E-2</v>
      </c>
      <c r="AH4167">
        <v>0.49266331373567002</v>
      </c>
      <c r="AI4167">
        <v>98.154058938053595</v>
      </c>
      <c r="AJ4167">
        <v>78.355710970278494</v>
      </c>
      <c r="AK4167">
        <v>0.50815289919806494</v>
      </c>
      <c r="AL4167">
        <v>87.597886857300097</v>
      </c>
      <c r="AM4167">
        <v>85.676713320105804</v>
      </c>
      <c r="AN4167">
        <v>0.99999993683927701</v>
      </c>
    </row>
    <row r="4168" spans="1:40" x14ac:dyDescent="0.25">
      <c r="A4168" t="str">
        <f>"20190312154337404"</f>
        <v>20190312154337404</v>
      </c>
      <c r="B4168" t="str">
        <f>"1552376617391754"</f>
        <v>1552376617391754</v>
      </c>
      <c r="C4168" t="s">
        <v>40</v>
      </c>
      <c r="D4168">
        <v>5.3175460000000001</v>
      </c>
      <c r="E4168">
        <v>0.51697190000000004</v>
      </c>
      <c r="F4168" t="s">
        <v>41</v>
      </c>
      <c r="G4168">
        <v>-229.14840000000001</v>
      </c>
      <c r="H4168">
        <v>1.042292</v>
      </c>
      <c r="I4168">
        <v>216.40809999999999</v>
      </c>
      <c r="J4168">
        <v>-229.63229999999999</v>
      </c>
      <c r="K4168">
        <v>1.1098159999999999</v>
      </c>
      <c r="L4168">
        <v>216.49209999999999</v>
      </c>
      <c r="M4168">
        <v>0.99958290000000005</v>
      </c>
      <c r="N4168">
        <v>0</v>
      </c>
      <c r="O4168">
        <v>2.5304589999999998E-2</v>
      </c>
      <c r="P4168">
        <v>0.99832659999999995</v>
      </c>
      <c r="Q4168">
        <v>2.8264540000000001E-2</v>
      </c>
      <c r="R4168">
        <v>-5.0450139999999997E-2</v>
      </c>
      <c r="S4168">
        <v>2.998138</v>
      </c>
      <c r="T4168">
        <v>-0.24652669999999999</v>
      </c>
      <c r="U4168">
        <v>-0.27601619999999999</v>
      </c>
      <c r="V4168">
        <v>7.5752940000000005E-2</v>
      </c>
      <c r="W4168">
        <v>4.2036370000000003E-2</v>
      </c>
      <c r="X4168">
        <v>0.99624009999999996</v>
      </c>
      <c r="Y4168">
        <v>0.11637160000000001</v>
      </c>
      <c r="Z4168">
        <v>-6.8398119999999998E-3</v>
      </c>
      <c r="AA4168">
        <v>0.99318220000000002</v>
      </c>
      <c r="AB4168">
        <v>35</v>
      </c>
      <c r="AC4168">
        <v>0.48389999999997702</v>
      </c>
      <c r="AD4168">
        <v>-6.7523999999999904E-2</v>
      </c>
      <c r="AE4168">
        <v>-8.40000000000031E-2</v>
      </c>
      <c r="AF4168">
        <v>9.4434163673508001E-2</v>
      </c>
      <c r="AG4168">
        <v>-6.7523999999999904E-2</v>
      </c>
      <c r="AH4168">
        <v>0.47268446624427701</v>
      </c>
      <c r="AI4168">
        <v>97.974326480477899</v>
      </c>
      <c r="AJ4168">
        <v>78.702041314980704</v>
      </c>
      <c r="AK4168">
        <v>0.48673186301428001</v>
      </c>
      <c r="AL4168">
        <v>87.590783401362302</v>
      </c>
      <c r="AM4168">
        <v>85.651663153241898</v>
      </c>
      <c r="AN4168">
        <v>0.99999995058471303</v>
      </c>
    </row>
    <row r="4169" spans="1:40" x14ac:dyDescent="0.25">
      <c r="A4169" t="str">
        <f>"20190312154337436"</f>
        <v>20190312154337436</v>
      </c>
      <c r="B4169" t="str">
        <f>"1552376617431770"</f>
        <v>1552376617431770</v>
      </c>
      <c r="C4169" t="s">
        <v>40</v>
      </c>
      <c r="D4169">
        <v>5.2946</v>
      </c>
      <c r="E4169">
        <v>0.51598710000000003</v>
      </c>
      <c r="F4169" t="s">
        <v>41</v>
      </c>
      <c r="G4169">
        <v>-228.83320000000001</v>
      </c>
      <c r="H4169">
        <v>1.043741</v>
      </c>
      <c r="I4169">
        <v>216.4188</v>
      </c>
      <c r="J4169">
        <v>-229.12719999999999</v>
      </c>
      <c r="K4169">
        <v>1.109788</v>
      </c>
      <c r="L4169">
        <v>216.50389999999999</v>
      </c>
      <c r="M4169">
        <v>0.99960479999999996</v>
      </c>
      <c r="N4169">
        <v>0</v>
      </c>
      <c r="O4169">
        <v>2.4430460000000001E-2</v>
      </c>
      <c r="P4169">
        <v>0.99828640000000002</v>
      </c>
      <c r="Q4169">
        <v>2.74714E-2</v>
      </c>
      <c r="R4169">
        <v>-5.1672879999999997E-2</v>
      </c>
      <c r="S4169">
        <v>2.9981689999999999</v>
      </c>
      <c r="T4169">
        <v>-0.2479335</v>
      </c>
      <c r="U4169">
        <v>-0.27468870000000001</v>
      </c>
      <c r="V4169">
        <v>7.6104610000000003E-2</v>
      </c>
      <c r="W4169">
        <v>4.1234550000000002E-2</v>
      </c>
      <c r="X4169">
        <v>0.99624690000000005</v>
      </c>
      <c r="Y4169">
        <v>0.1150679</v>
      </c>
      <c r="Z4169">
        <v>-6.7530350000000001E-3</v>
      </c>
      <c r="AA4169">
        <v>0.99333470000000001</v>
      </c>
      <c r="AB4169">
        <v>35</v>
      </c>
      <c r="AC4169">
        <v>0.293999999999982</v>
      </c>
      <c r="AD4169">
        <v>-6.6046999999999897E-2</v>
      </c>
      <c r="AE4169">
        <v>-8.5099999999982801E-2</v>
      </c>
      <c r="AF4169">
        <v>8.8152920206941099E-2</v>
      </c>
      <c r="AG4169">
        <v>-6.6046999999999897E-2</v>
      </c>
      <c r="AH4169">
        <v>0.278848168267331</v>
      </c>
      <c r="AI4169">
        <v>102.726184777596</v>
      </c>
      <c r="AJ4169">
        <v>72.456570681566106</v>
      </c>
      <c r="AK4169">
        <v>0.29981568420624199</v>
      </c>
      <c r="AL4169">
        <v>87.636764396170193</v>
      </c>
      <c r="AM4169">
        <v>85.631584409147905</v>
      </c>
      <c r="AN4169">
        <v>1.00000004276828</v>
      </c>
    </row>
    <row r="4170" spans="1:40" x14ac:dyDescent="0.25">
      <c r="A4170" t="str">
        <f>"20190312154337458"</f>
        <v>20190312154337458</v>
      </c>
      <c r="B4170" t="str">
        <f>"1552376617452265"</f>
        <v>1552376617452265</v>
      </c>
      <c r="C4170" t="s">
        <v>40</v>
      </c>
      <c r="D4170">
        <v>5.3451839999999997</v>
      </c>
      <c r="E4170">
        <v>0.5155824</v>
      </c>
      <c r="F4170" t="s">
        <v>41</v>
      </c>
      <c r="G4170">
        <v>-228.21180000000001</v>
      </c>
      <c r="H4170">
        <v>1.032016</v>
      </c>
      <c r="I4170">
        <v>216.4212</v>
      </c>
      <c r="J4170">
        <v>-228.77940000000001</v>
      </c>
      <c r="K4170">
        <v>1.109766</v>
      </c>
      <c r="L4170">
        <v>216.51179999999999</v>
      </c>
      <c r="M4170">
        <v>0.9996197</v>
      </c>
      <c r="N4170">
        <v>0</v>
      </c>
      <c r="O4170">
        <v>2.3809629999999998E-2</v>
      </c>
      <c r="P4170">
        <v>0.99824820000000003</v>
      </c>
      <c r="Q4170">
        <v>2.7171959999999998E-2</v>
      </c>
      <c r="R4170">
        <v>-5.2558489999999999E-2</v>
      </c>
      <c r="S4170">
        <v>2.9981689999999999</v>
      </c>
      <c r="T4170">
        <v>-0.2548589</v>
      </c>
      <c r="U4170">
        <v>-0.270080599999999</v>
      </c>
      <c r="V4170">
        <v>7.6371359999999999E-2</v>
      </c>
      <c r="W4170">
        <v>4.092867E-2</v>
      </c>
      <c r="X4170">
        <v>0.99623910000000004</v>
      </c>
      <c r="Y4170">
        <v>0.11291959999999999</v>
      </c>
      <c r="Z4170">
        <v>-6.7979119999999997E-3</v>
      </c>
      <c r="AA4170">
        <v>0.99358089999999999</v>
      </c>
      <c r="AB4170">
        <v>35</v>
      </c>
      <c r="AC4170">
        <v>0.567599999999998</v>
      </c>
      <c r="AD4170">
        <v>-7.7749999999999903E-2</v>
      </c>
      <c r="AE4170">
        <v>-9.0599999999994907E-2</v>
      </c>
      <c r="AF4170">
        <v>0.102219611261536</v>
      </c>
      <c r="AG4170">
        <v>-7.7749999999999903E-2</v>
      </c>
      <c r="AH4170">
        <v>0.55512436327813097</v>
      </c>
      <c r="AI4170">
        <v>97.842738071523897</v>
      </c>
      <c r="AJ4170">
        <v>79.566531666676198</v>
      </c>
      <c r="AK4170">
        <v>0.56978677602363603</v>
      </c>
      <c r="AL4170">
        <v>87.654304835664504</v>
      </c>
      <c r="AM4170">
        <v>85.616298311774997</v>
      </c>
      <c r="AN4170">
        <v>1.00000004251251</v>
      </c>
    </row>
    <row r="4171" spans="1:40" x14ac:dyDescent="0.25">
      <c r="A4171" t="str">
        <f>"20190312154337480"</f>
        <v>20190312154337480</v>
      </c>
      <c r="B4171" t="str">
        <f>"1552376617471785"</f>
        <v>1552376617471785</v>
      </c>
      <c r="C4171" t="s">
        <v>40</v>
      </c>
      <c r="D4171">
        <v>5.4007930000000002</v>
      </c>
      <c r="E4171">
        <v>0.51567689999999999</v>
      </c>
      <c r="F4171" t="s">
        <v>41</v>
      </c>
      <c r="G4171">
        <v>-227.89750000000001</v>
      </c>
      <c r="H4171">
        <v>1.0339830000000001</v>
      </c>
      <c r="I4171">
        <v>216.43260000000001</v>
      </c>
      <c r="J4171">
        <v>-228.42869999999999</v>
      </c>
      <c r="K4171">
        <v>1.109758</v>
      </c>
      <c r="L4171">
        <v>216.51949999999999</v>
      </c>
      <c r="M4171">
        <v>0.99963480000000005</v>
      </c>
      <c r="N4171">
        <v>0</v>
      </c>
      <c r="O4171">
        <v>2.3170690000000001E-2</v>
      </c>
      <c r="P4171">
        <v>0.998224</v>
      </c>
      <c r="Q4171">
        <v>2.739809E-2</v>
      </c>
      <c r="R4171">
        <v>-5.2899210000000002E-2</v>
      </c>
      <c r="S4171">
        <v>2.9981230000000001</v>
      </c>
      <c r="T4171">
        <v>-0.25760509999999998</v>
      </c>
      <c r="U4171">
        <v>-0.26922610000000002</v>
      </c>
      <c r="V4171">
        <v>7.607614E-2</v>
      </c>
      <c r="W4171">
        <v>4.1150689999999997E-2</v>
      </c>
      <c r="X4171">
        <v>0.99625249999999999</v>
      </c>
      <c r="Y4171">
        <v>0.11200010000000001</v>
      </c>
      <c r="Z4171">
        <v>-6.7770209999999899E-3</v>
      </c>
      <c r="AA4171">
        <v>0.99368509999999999</v>
      </c>
      <c r="AB4171">
        <v>35</v>
      </c>
      <c r="AC4171">
        <v>0.53119999999998402</v>
      </c>
      <c r="AD4171">
        <v>-7.5774999999999898E-2</v>
      </c>
      <c r="AE4171">
        <v>-8.6899999999985697E-2</v>
      </c>
      <c r="AF4171">
        <v>9.7258627507785494E-2</v>
      </c>
      <c r="AG4171">
        <v>-7.5774999999999898E-2</v>
      </c>
      <c r="AH4171">
        <v>0.51876264934029803</v>
      </c>
      <c r="AI4171">
        <v>98.169976931837297</v>
      </c>
      <c r="AJ4171">
        <v>79.381344387659396</v>
      </c>
      <c r="AK4171">
        <v>0.53321269452279796</v>
      </c>
      <c r="AL4171">
        <v>87.641573203299899</v>
      </c>
      <c r="AM4171">
        <v>85.633236720166593</v>
      </c>
      <c r="AN4171">
        <v>1.0000000010605099</v>
      </c>
    </row>
    <row r="4172" spans="1:40" x14ac:dyDescent="0.25">
      <c r="A4172" t="str">
        <f>"20190312154337503"</f>
        <v>20190312154337503</v>
      </c>
      <c r="B4172" t="str">
        <f>"1552376617491306"</f>
        <v>1552376617491306</v>
      </c>
      <c r="C4172" t="s">
        <v>40</v>
      </c>
      <c r="D4172">
        <v>5.2726920000000002</v>
      </c>
      <c r="E4172">
        <v>0.54917749999999999</v>
      </c>
      <c r="F4172" t="s">
        <v>41</v>
      </c>
      <c r="G4172">
        <v>-227.58279999999999</v>
      </c>
      <c r="H4172">
        <v>1.037042</v>
      </c>
      <c r="I4172">
        <v>216.44300000000001</v>
      </c>
      <c r="J4172">
        <v>-228.08</v>
      </c>
      <c r="K4172">
        <v>1.1097459999999999</v>
      </c>
      <c r="L4172">
        <v>216.52690000000001</v>
      </c>
      <c r="M4172">
        <v>0.99964960000000003</v>
      </c>
      <c r="N4172">
        <v>0</v>
      </c>
      <c r="O4172">
        <v>2.252614E-2</v>
      </c>
      <c r="P4172">
        <v>0.99818689999999999</v>
      </c>
      <c r="Q4172">
        <v>2.7608589999999999E-2</v>
      </c>
      <c r="R4172">
        <v>-5.3488750000000002E-2</v>
      </c>
      <c r="S4172">
        <v>2.9980470000000001</v>
      </c>
      <c r="T4172">
        <v>-0.2577662</v>
      </c>
      <c r="U4172">
        <v>-0.27095029999999998</v>
      </c>
      <c r="V4172">
        <v>7.6023380000000002E-2</v>
      </c>
      <c r="W4172">
        <v>4.135747E-2</v>
      </c>
      <c r="X4172">
        <v>0.99624789999999996</v>
      </c>
      <c r="Y4172">
        <v>0.1119305</v>
      </c>
      <c r="Z4172">
        <v>-6.7230419999999898E-3</v>
      </c>
      <c r="AA4172">
        <v>0.9936933</v>
      </c>
      <c r="AB4172">
        <v>35</v>
      </c>
      <c r="AC4172">
        <v>0.49720000000002001</v>
      </c>
      <c r="AD4172">
        <v>-7.2703999999999797E-2</v>
      </c>
      <c r="AE4172">
        <v>-8.3900000000028202E-2</v>
      </c>
      <c r="AF4172">
        <v>9.3143308758583607E-2</v>
      </c>
      <c r="AG4172">
        <v>-7.2703999999999797E-2</v>
      </c>
      <c r="AH4172">
        <v>0.485098348845306</v>
      </c>
      <c r="AI4172">
        <v>98.373025536035001</v>
      </c>
      <c r="AJ4172">
        <v>79.130970509384795</v>
      </c>
      <c r="AK4172">
        <v>0.49928143930546698</v>
      </c>
      <c r="AL4172">
        <v>87.629715334139107</v>
      </c>
      <c r="AM4172">
        <v>85.636233366619805</v>
      </c>
      <c r="AN4172">
        <v>0.99999993644291496</v>
      </c>
    </row>
    <row r="4173" spans="1:40" x14ac:dyDescent="0.25">
      <c r="A4173" t="str">
        <f>"20190312154337525"</f>
        <v>20190312154337525</v>
      </c>
      <c r="B4173" t="str">
        <f>"1552376617511801"</f>
        <v>1552376617511801</v>
      </c>
      <c r="C4173" t="s">
        <v>40</v>
      </c>
      <c r="D4173">
        <v>5.2619590000000001</v>
      </c>
      <c r="E4173">
        <v>0.54925999999999997</v>
      </c>
      <c r="F4173" t="s">
        <v>50</v>
      </c>
      <c r="G4173">
        <v>-216.09059999999999</v>
      </c>
      <c r="H4173" s="1">
        <v>1.715495E-6</v>
      </c>
      <c r="I4173">
        <v>214.3613</v>
      </c>
      <c r="J4173">
        <v>-227.73079999999999</v>
      </c>
      <c r="K4173">
        <v>1.1097349999999999</v>
      </c>
      <c r="L4173">
        <v>216.5341</v>
      </c>
      <c r="M4173">
        <v>0.99966410000000006</v>
      </c>
      <c r="N4173">
        <v>0</v>
      </c>
      <c r="O4173">
        <v>2.1874370000000001E-2</v>
      </c>
      <c r="P4173">
        <v>0.99818640000000003</v>
      </c>
      <c r="Q4173">
        <v>2.6955929999999999E-2</v>
      </c>
      <c r="R4173">
        <v>-5.3829670000000003E-2</v>
      </c>
      <c r="S4173">
        <v>2.9842070000000001</v>
      </c>
      <c r="T4173">
        <v>-0.27621950000000001</v>
      </c>
      <c r="U4173">
        <v>-0.53903199999999996</v>
      </c>
      <c r="V4173">
        <v>7.571427E-2</v>
      </c>
      <c r="W4173">
        <v>4.0702839999999997E-2</v>
      </c>
      <c r="X4173">
        <v>0.99629849999999998</v>
      </c>
      <c r="Y4173">
        <v>0.1983249</v>
      </c>
      <c r="Z4173">
        <v>-1.1091210000000001E-2</v>
      </c>
      <c r="AA4173">
        <v>0.98007359999999999</v>
      </c>
      <c r="AB4173">
        <v>35</v>
      </c>
      <c r="AC4173">
        <v>11.640199999999901</v>
      </c>
      <c r="AD4173">
        <v>-1.1097332845049901</v>
      </c>
      <c r="AE4173">
        <v>-2.1727999999999899</v>
      </c>
      <c r="AF4173">
        <v>2.4057965922026199</v>
      </c>
      <c r="AG4173">
        <v>-1.1097332845049901</v>
      </c>
      <c r="AH4173">
        <v>11.488973660099299</v>
      </c>
      <c r="AI4173">
        <v>95.400728528458103</v>
      </c>
      <c r="AJ4173">
        <v>78.173123990818098</v>
      </c>
      <c r="AK4173">
        <v>11.790499606388501</v>
      </c>
      <c r="AL4173">
        <v>87.667254718237899</v>
      </c>
      <c r="AM4173">
        <v>85.654128145232093</v>
      </c>
      <c r="AN4173">
        <v>1.0000000364839701</v>
      </c>
    </row>
    <row r="4174" spans="1:40" x14ac:dyDescent="0.25">
      <c r="A4174" t="str">
        <f>"20190312154337548"</f>
        <v>20190312154337548</v>
      </c>
      <c r="B4174" t="str">
        <f>"1552376617542057"</f>
        <v>1552376617542057</v>
      </c>
      <c r="C4174" t="s">
        <v>40</v>
      </c>
      <c r="D4174">
        <v>5.2786019999999896</v>
      </c>
      <c r="E4174">
        <v>0.54954269999999905</v>
      </c>
      <c r="F4174" t="s">
        <v>50</v>
      </c>
      <c r="G4174">
        <v>-215.65950000000001</v>
      </c>
      <c r="H4174" s="1">
        <v>1.486696E-6</v>
      </c>
      <c r="I4174">
        <v>214.3466</v>
      </c>
      <c r="J4174">
        <v>-227.3681</v>
      </c>
      <c r="K4174">
        <v>1.1097269999999999</v>
      </c>
      <c r="L4174">
        <v>216.54140000000001</v>
      </c>
      <c r="M4174">
        <v>0.99967859999999997</v>
      </c>
      <c r="N4174">
        <v>0</v>
      </c>
      <c r="O4174">
        <v>2.11941E-2</v>
      </c>
      <c r="P4174">
        <v>0.99813600000000002</v>
      </c>
      <c r="Q4174">
        <v>2.672252E-2</v>
      </c>
      <c r="R4174">
        <v>-5.4866720000000001E-2</v>
      </c>
      <c r="S4174">
        <v>2.9837039999999999</v>
      </c>
      <c r="T4174">
        <v>-0.27429720000000002</v>
      </c>
      <c r="U4174">
        <v>-0.54069519999999904</v>
      </c>
      <c r="V4174">
        <v>7.6072189999999998E-2</v>
      </c>
      <c r="W4174">
        <v>4.0465099999999997E-2</v>
      </c>
      <c r="X4174">
        <v>0.99628090000000002</v>
      </c>
      <c r="Y4174">
        <v>0.19823160000000001</v>
      </c>
      <c r="Z4174">
        <v>-1.094943E-2</v>
      </c>
      <c r="AA4174">
        <v>0.98009409999999997</v>
      </c>
      <c r="AB4174">
        <v>35</v>
      </c>
      <c r="AC4174">
        <v>11.708599999999899</v>
      </c>
      <c r="AD4174">
        <v>-1.109725513304</v>
      </c>
      <c r="AE4174">
        <v>-2.1948000000000101</v>
      </c>
      <c r="AF4174">
        <v>2.4214704846740198</v>
      </c>
      <c r="AG4174">
        <v>-1.109725513304</v>
      </c>
      <c r="AH4174">
        <v>11.559137257698699</v>
      </c>
      <c r="AI4174">
        <v>95.368010063108599</v>
      </c>
      <c r="AJ4174">
        <v>78.168462900395397</v>
      </c>
      <c r="AK4174">
        <v>11.8620682920536</v>
      </c>
      <c r="AL4174">
        <v>87.680887402895394</v>
      </c>
      <c r="AM4174">
        <v>85.633586564097797</v>
      </c>
      <c r="AN4174">
        <v>1.0000000170571</v>
      </c>
    </row>
    <row r="4175" spans="1:40" x14ac:dyDescent="0.25">
      <c r="A4175" t="str">
        <f>"20190312154337570"</f>
        <v>20190312154337570</v>
      </c>
      <c r="B4175" t="str">
        <f>"1552376617561577"</f>
        <v>1552376617561577</v>
      </c>
      <c r="C4175" t="s">
        <v>40</v>
      </c>
      <c r="D4175">
        <v>5.2562550000000003</v>
      </c>
      <c r="E4175">
        <v>0.54960030000000004</v>
      </c>
      <c r="F4175" t="s">
        <v>50</v>
      </c>
      <c r="G4175">
        <v>-215.64920000000001</v>
      </c>
      <c r="H4175" s="1">
        <v>1.47898E-6</v>
      </c>
      <c r="I4175">
        <v>214.39840000000001</v>
      </c>
      <c r="J4175">
        <v>-227.02449999999999</v>
      </c>
      <c r="K4175">
        <v>1.10972</v>
      </c>
      <c r="L4175">
        <v>216.548</v>
      </c>
      <c r="M4175">
        <v>0.99969229999999998</v>
      </c>
      <c r="N4175">
        <v>0</v>
      </c>
      <c r="O4175">
        <v>2.0548670000000002E-2</v>
      </c>
      <c r="P4175">
        <v>0.99809689999999995</v>
      </c>
      <c r="Q4175">
        <v>2.6981680000000001E-2</v>
      </c>
      <c r="R4175">
        <v>-5.5450100000000002E-2</v>
      </c>
      <c r="S4175">
        <v>2.9831699999999999</v>
      </c>
      <c r="T4175">
        <v>-0.28249360000000001</v>
      </c>
      <c r="U4175">
        <v>-0.54553219999999902</v>
      </c>
      <c r="V4175">
        <v>7.6011599999999999E-2</v>
      </c>
      <c r="W4175">
        <v>4.0721899999999998E-2</v>
      </c>
      <c r="X4175">
        <v>0.99627509999999997</v>
      </c>
      <c r="Y4175">
        <v>0.1991125</v>
      </c>
      <c r="Z4175">
        <v>-1.125632E-2</v>
      </c>
      <c r="AA4175">
        <v>0.97991200000000001</v>
      </c>
      <c r="AB4175">
        <v>35</v>
      </c>
      <c r="AC4175">
        <v>11.3752999999999</v>
      </c>
      <c r="AD4175">
        <v>-1.10971852102</v>
      </c>
      <c r="AE4175">
        <v>-2.1495999999999902</v>
      </c>
      <c r="AF4175">
        <v>2.36121896662618</v>
      </c>
      <c r="AG4175">
        <v>-1.10971852102</v>
      </c>
      <c r="AH4175">
        <v>11.2255717550249</v>
      </c>
      <c r="AI4175">
        <v>95.525564547998002</v>
      </c>
      <c r="AJ4175">
        <v>78.121406992873204</v>
      </c>
      <c r="AK4175">
        <v>11.5247686064173</v>
      </c>
      <c r="AL4175">
        <v>87.666161799370997</v>
      </c>
      <c r="AM4175">
        <v>85.637025591111097</v>
      </c>
      <c r="AN4175">
        <v>1.0000000556770801</v>
      </c>
    </row>
    <row r="4176" spans="1:40" x14ac:dyDescent="0.25">
      <c r="A4176" t="str">
        <f>"20190312154337593"</f>
        <v>20190312154337593</v>
      </c>
      <c r="B4176" t="str">
        <f>"1552376617582074"</f>
        <v>1552376617582074</v>
      </c>
      <c r="C4176" t="s">
        <v>40</v>
      </c>
      <c r="D4176">
        <v>5.2449370000000002</v>
      </c>
      <c r="E4176">
        <v>0.54996309999999904</v>
      </c>
      <c r="F4176" t="s">
        <v>50</v>
      </c>
      <c r="G4176">
        <v>-215.45070000000001</v>
      </c>
      <c r="H4176" s="1">
        <v>1.372224E-6</v>
      </c>
      <c r="I4176">
        <v>214.4239</v>
      </c>
      <c r="J4176">
        <v>-226.67259999999999</v>
      </c>
      <c r="K4176">
        <v>1.1097220000000001</v>
      </c>
      <c r="L4176">
        <v>216.55459999999999</v>
      </c>
      <c r="M4176">
        <v>0.99970570000000003</v>
      </c>
      <c r="N4176">
        <v>0</v>
      </c>
      <c r="O4176">
        <v>1.9886870000000001E-2</v>
      </c>
      <c r="P4176">
        <v>0.99804159999999997</v>
      </c>
      <c r="Q4176">
        <v>2.6925149999999998E-2</v>
      </c>
      <c r="R4176">
        <v>-5.6465590000000003E-2</v>
      </c>
      <c r="S4176">
        <v>2.983063</v>
      </c>
      <c r="T4176">
        <v>-0.28602250000000001</v>
      </c>
      <c r="U4176">
        <v>-0.54748540000000001</v>
      </c>
      <c r="V4176">
        <v>7.6366199999999995E-2</v>
      </c>
      <c r="W4176">
        <v>4.0661870000000003E-2</v>
      </c>
      <c r="X4176">
        <v>0.99625039999999998</v>
      </c>
      <c r="Y4176">
        <v>0.1990702</v>
      </c>
      <c r="Z4176">
        <v>-1.13312E-2</v>
      </c>
      <c r="AA4176">
        <v>0.97991969999999995</v>
      </c>
      <c r="AB4176">
        <v>35</v>
      </c>
      <c r="AC4176">
        <v>11.2218999999999</v>
      </c>
      <c r="AD4176">
        <v>-1.1097206277759999</v>
      </c>
      <c r="AE4176">
        <v>-2.1306999999999898</v>
      </c>
      <c r="AF4176">
        <v>2.3314625062017398</v>
      </c>
      <c r="AG4176">
        <v>-1.1097206277759999</v>
      </c>
      <c r="AH4176">
        <v>11.072790164632</v>
      </c>
      <c r="AI4176">
        <v>95.601093803789794</v>
      </c>
      <c r="AJ4176">
        <v>78.109613778842899</v>
      </c>
      <c r="AK4176">
        <v>11.3698671636702</v>
      </c>
      <c r="AL4176">
        <v>87.669604037045602</v>
      </c>
      <c r="AM4176">
        <v>85.616642865559996</v>
      </c>
      <c r="AN4176">
        <v>1.00000002183724</v>
      </c>
    </row>
    <row r="4177" spans="1:40" x14ac:dyDescent="0.25">
      <c r="A4177" t="str">
        <f>"20190312154337614"</f>
        <v>20190312154337614</v>
      </c>
      <c r="B4177" t="str">
        <f>"1552376617601593"</f>
        <v>1552376617601593</v>
      </c>
      <c r="C4177" t="s">
        <v>40</v>
      </c>
      <c r="D4177">
        <v>5.2658699999999996</v>
      </c>
      <c r="E4177">
        <v>0.55028779999999999</v>
      </c>
      <c r="F4177" t="s">
        <v>50</v>
      </c>
      <c r="G4177">
        <v>-215.17420000000001</v>
      </c>
      <c r="H4177" s="1">
        <v>1.2251619999999999E-6</v>
      </c>
      <c r="I4177">
        <v>214.4213</v>
      </c>
      <c r="J4177">
        <v>-226.3382</v>
      </c>
      <c r="K4177">
        <v>1.1097189999999999</v>
      </c>
      <c r="L4177">
        <v>216.56059999999999</v>
      </c>
      <c r="M4177">
        <v>0.99971810000000005</v>
      </c>
      <c r="N4177">
        <v>0</v>
      </c>
      <c r="O4177">
        <v>1.925439E-2</v>
      </c>
      <c r="P4177">
        <v>0.99795029999999996</v>
      </c>
      <c r="Q4177">
        <v>2.714333E-2</v>
      </c>
      <c r="R4177">
        <v>-5.7956269999999997E-2</v>
      </c>
      <c r="S4177">
        <v>2.9823460000000002</v>
      </c>
      <c r="T4177">
        <v>-0.28782760000000002</v>
      </c>
      <c r="U4177">
        <v>-0.55329899999999999</v>
      </c>
      <c r="V4177">
        <v>7.7224929999999997E-2</v>
      </c>
      <c r="W4177">
        <v>4.087532E-2</v>
      </c>
      <c r="X4177">
        <v>0.99617549999999999</v>
      </c>
      <c r="Y4177">
        <v>0.2003241</v>
      </c>
      <c r="Z4177">
        <v>-1.1402519999999999E-2</v>
      </c>
      <c r="AA4177">
        <v>0.97966330000000001</v>
      </c>
      <c r="AB4177">
        <v>35</v>
      </c>
      <c r="AC4177">
        <v>11.1639999999999</v>
      </c>
      <c r="AD4177">
        <v>-1.109717774838</v>
      </c>
      <c r="AE4177">
        <v>-2.1392999999999902</v>
      </c>
      <c r="AF4177">
        <v>2.3316578029633401</v>
      </c>
      <c r="AG4177">
        <v>-1.109717774838</v>
      </c>
      <c r="AH4177">
        <v>11.0157475223126</v>
      </c>
      <c r="AI4177">
        <v>95.6286450680077</v>
      </c>
      <c r="AJ4177">
        <v>78.048835596546397</v>
      </c>
      <c r="AK4177">
        <v>11.3143623384285</v>
      </c>
      <c r="AL4177">
        <v>87.657364152891404</v>
      </c>
      <c r="AM4177">
        <v>85.567215870665706</v>
      </c>
      <c r="AN4177">
        <v>1.0000000541994201</v>
      </c>
    </row>
    <row r="4178" spans="1:40" x14ac:dyDescent="0.25">
      <c r="A4178" t="str">
        <f>"20190312154337636"</f>
        <v>20190312154337636</v>
      </c>
      <c r="B4178" t="str">
        <f>"1552376617631849"</f>
        <v>1552376617631849</v>
      </c>
      <c r="C4178" t="s">
        <v>40</v>
      </c>
      <c r="D4178">
        <v>5.2597300000000002</v>
      </c>
      <c r="E4178">
        <v>0.55058309999999999</v>
      </c>
      <c r="F4178" t="s">
        <v>50</v>
      </c>
      <c r="G4178">
        <v>-214.8203</v>
      </c>
      <c r="H4178" s="1">
        <v>1.0379879999999999E-6</v>
      </c>
      <c r="I4178">
        <v>214.39490000000001</v>
      </c>
      <c r="J4178">
        <v>-225.98679999999999</v>
      </c>
      <c r="K4178">
        <v>1.1097140000000001</v>
      </c>
      <c r="L4178">
        <v>216.5667</v>
      </c>
      <c r="M4178">
        <v>0.99973080000000003</v>
      </c>
      <c r="N4178">
        <v>0</v>
      </c>
      <c r="O4178">
        <v>1.8580719999999998E-2</v>
      </c>
      <c r="P4178">
        <v>0.99784660000000003</v>
      </c>
      <c r="Q4178">
        <v>2.7627860000000001E-2</v>
      </c>
      <c r="R4178">
        <v>-5.9489300000000002E-2</v>
      </c>
      <c r="S4178">
        <v>2.9813999999999998</v>
      </c>
      <c r="T4178">
        <v>-0.287248</v>
      </c>
      <c r="U4178">
        <v>-0.5605774</v>
      </c>
      <c r="V4178">
        <v>7.808561E-2</v>
      </c>
      <c r="W4178">
        <v>4.1354130000000003E-2</v>
      </c>
      <c r="X4178">
        <v>0.99608859999999999</v>
      </c>
      <c r="Y4178">
        <v>0.20202980000000001</v>
      </c>
      <c r="Z4178">
        <v>-1.139772E-2</v>
      </c>
      <c r="AA4178">
        <v>0.97931299999999999</v>
      </c>
      <c r="AB4178">
        <v>35</v>
      </c>
      <c r="AC4178">
        <v>11.1664999999999</v>
      </c>
      <c r="AD4178">
        <v>-1.1097129620120001</v>
      </c>
      <c r="AE4178">
        <v>-2.17179999999999</v>
      </c>
      <c r="AF4178">
        <v>2.3565017734690299</v>
      </c>
      <c r="AG4178">
        <v>-1.1097129620120001</v>
      </c>
      <c r="AH4178">
        <v>11.0193523747944</v>
      </c>
      <c r="AI4178">
        <v>95.624305030090298</v>
      </c>
      <c r="AJ4178">
        <v>77.929047664405999</v>
      </c>
      <c r="AK4178">
        <v>11.323015950986999</v>
      </c>
      <c r="AL4178">
        <v>87.629907046998596</v>
      </c>
      <c r="AM4178">
        <v>85.517622795947204</v>
      </c>
      <c r="AN4178">
        <v>1.00000001280354</v>
      </c>
    </row>
    <row r="4179" spans="1:40" x14ac:dyDescent="0.25">
      <c r="A4179" t="str">
        <f>"20190312154337660"</f>
        <v>20190312154337660</v>
      </c>
      <c r="B4179" t="str">
        <f>"1552376617651369"</f>
        <v>1552376617651369</v>
      </c>
      <c r="C4179" t="s">
        <v>40</v>
      </c>
      <c r="D4179">
        <v>5.2686460000000004</v>
      </c>
      <c r="E4179">
        <v>0.55072549999999998</v>
      </c>
      <c r="F4179" t="s">
        <v>50</v>
      </c>
      <c r="G4179">
        <v>-214.49</v>
      </c>
      <c r="H4179" s="1">
        <v>8.6290079999999997E-7</v>
      </c>
      <c r="I4179">
        <v>214.37960000000001</v>
      </c>
      <c r="J4179">
        <v>-225.6284</v>
      </c>
      <c r="K4179">
        <v>1.1097109999999999</v>
      </c>
      <c r="L4179">
        <v>216.57259999999999</v>
      </c>
      <c r="M4179">
        <v>0.99974370000000001</v>
      </c>
      <c r="N4179">
        <v>0</v>
      </c>
      <c r="O4179">
        <v>1.787511E-2</v>
      </c>
      <c r="P4179">
        <v>0.997776</v>
      </c>
      <c r="Q4179">
        <v>2.7447200000000001E-2</v>
      </c>
      <c r="R4179">
        <v>-6.0744909999999999E-2</v>
      </c>
      <c r="S4179">
        <v>2.9806520000000001</v>
      </c>
      <c r="T4179">
        <v>-0.287701599999999</v>
      </c>
      <c r="U4179">
        <v>-0.56701659999999998</v>
      </c>
      <c r="V4179">
        <v>7.8637369999999998E-2</v>
      </c>
      <c r="W4179">
        <v>4.1167839999999997E-2</v>
      </c>
      <c r="X4179">
        <v>0.99605290000000002</v>
      </c>
      <c r="Y4179">
        <v>0.20341960000000001</v>
      </c>
      <c r="Z4179">
        <v>-1.1415099999999999E-2</v>
      </c>
      <c r="AA4179">
        <v>0.97902509999999998</v>
      </c>
      <c r="AB4179">
        <v>35</v>
      </c>
      <c r="AC4179">
        <v>11.138399999999899</v>
      </c>
      <c r="AD4179">
        <v>-1.1097101370992</v>
      </c>
      <c r="AE4179">
        <v>-2.1929999999999801</v>
      </c>
      <c r="AF4179">
        <v>2.3691305074556799</v>
      </c>
      <c r="AG4179">
        <v>-1.1097101370992</v>
      </c>
      <c r="AH4179">
        <v>10.9923777391908</v>
      </c>
      <c r="AI4179">
        <v>95.636079927454801</v>
      </c>
      <c r="AJ4179">
        <v>77.837380167423703</v>
      </c>
      <c r="AK4179">
        <v>11.2994072548428</v>
      </c>
      <c r="AL4179">
        <v>87.640589752597805</v>
      </c>
      <c r="AM4179">
        <v>85.485919233113506</v>
      </c>
      <c r="AN4179">
        <v>1.0000000033045899</v>
      </c>
    </row>
    <row r="4180" spans="1:40" x14ac:dyDescent="0.25">
      <c r="A4180" t="str">
        <f>"20190312154337681"</f>
        <v>20190312154337681</v>
      </c>
      <c r="B4180" t="str">
        <f>"1552376617671866"</f>
        <v>1552376617671866</v>
      </c>
      <c r="C4180" t="s">
        <v>40</v>
      </c>
      <c r="D4180">
        <v>5.2935089999999896</v>
      </c>
      <c r="E4180">
        <v>0.55075810000000003</v>
      </c>
      <c r="F4180" t="s">
        <v>50</v>
      </c>
      <c r="G4180">
        <v>-214.18530000000001</v>
      </c>
      <c r="H4180" s="1">
        <v>7.0090700000000002E-7</v>
      </c>
      <c r="I4180">
        <v>214.37629999999999</v>
      </c>
      <c r="J4180">
        <v>-225.2938</v>
      </c>
      <c r="K4180">
        <v>1.109691</v>
      </c>
      <c r="L4180">
        <v>216.5779</v>
      </c>
      <c r="M4180">
        <v>0.99975590000000003</v>
      </c>
      <c r="N4180">
        <v>0</v>
      </c>
      <c r="O4180">
        <v>1.7189050000000001E-2</v>
      </c>
      <c r="P4180">
        <v>0.99767269999999997</v>
      </c>
      <c r="Q4180">
        <v>2.7756530000000001E-2</v>
      </c>
      <c r="R4180">
        <v>-6.2285800000000002E-2</v>
      </c>
      <c r="S4180">
        <v>2.979813</v>
      </c>
      <c r="T4180">
        <v>-0.28897200000000001</v>
      </c>
      <c r="U4180">
        <v>-0.5719147</v>
      </c>
      <c r="V4180">
        <v>7.9494410000000001E-2</v>
      </c>
      <c r="W4180">
        <v>4.146942E-2</v>
      </c>
      <c r="X4180">
        <v>0.99597230000000003</v>
      </c>
      <c r="Y4180">
        <v>0.20434089999999999</v>
      </c>
      <c r="Z4180">
        <v>-1.144504E-2</v>
      </c>
      <c r="AA4180">
        <v>0.97883290000000001</v>
      </c>
      <c r="AB4180">
        <v>35</v>
      </c>
      <c r="AC4180">
        <v>11.1084999999999</v>
      </c>
      <c r="AD4180">
        <v>-1.109690299093</v>
      </c>
      <c r="AE4180">
        <v>-2.2016000000000102</v>
      </c>
      <c r="AF4180">
        <v>2.3694858928370501</v>
      </c>
      <c r="AG4180">
        <v>-1.109690299093</v>
      </c>
      <c r="AH4180">
        <v>10.96373793513</v>
      </c>
      <c r="AI4180">
        <v>95.649917864988893</v>
      </c>
      <c r="AJ4180">
        <v>77.804783720176999</v>
      </c>
      <c r="AK4180">
        <v>11.271620356739399</v>
      </c>
      <c r="AL4180">
        <v>87.623295591599202</v>
      </c>
      <c r="AM4180">
        <v>85.436560853508794</v>
      </c>
      <c r="AN4180">
        <v>0.99999994819183502</v>
      </c>
    </row>
    <row r="4181" spans="1:40" x14ac:dyDescent="0.25">
      <c r="A4181" t="str">
        <f>"20190312154337705"</f>
        <v>20190312154337705</v>
      </c>
      <c r="B4181" t="str">
        <f>"1552376617691385"</f>
        <v>1552376617691385</v>
      </c>
      <c r="C4181" t="s">
        <v>40</v>
      </c>
      <c r="D4181">
        <v>5.3466399999999998</v>
      </c>
      <c r="E4181">
        <v>0.55480689999999999</v>
      </c>
      <c r="F4181" t="s">
        <v>50</v>
      </c>
      <c r="G4181">
        <v>-213.82660000000001</v>
      </c>
      <c r="H4181" s="1">
        <v>5.1081089999999999E-7</v>
      </c>
      <c r="I4181">
        <v>214.3587</v>
      </c>
      <c r="J4181">
        <v>-224.93199999999999</v>
      </c>
      <c r="K4181">
        <v>1.1096629999999901</v>
      </c>
      <c r="L4181">
        <v>216.58330000000001</v>
      </c>
      <c r="M4181">
        <v>0.99976900000000002</v>
      </c>
      <c r="N4181">
        <v>0</v>
      </c>
      <c r="O4181">
        <v>1.6404180000000001E-2</v>
      </c>
      <c r="P4181">
        <v>0.99757649999999998</v>
      </c>
      <c r="Q4181">
        <v>2.7673050000000001E-2</v>
      </c>
      <c r="R4181">
        <v>-6.3840170000000002E-2</v>
      </c>
      <c r="S4181">
        <v>2.9790190000000001</v>
      </c>
      <c r="T4181">
        <v>-0.28828290000000001</v>
      </c>
      <c r="U4181">
        <v>-0.57650760000000001</v>
      </c>
      <c r="V4181">
        <v>8.0267829999999998E-2</v>
      </c>
      <c r="W4181">
        <v>4.137652E-2</v>
      </c>
      <c r="X4181">
        <v>0.99591419999999997</v>
      </c>
      <c r="Y4181">
        <v>0.2050807</v>
      </c>
      <c r="Z4181">
        <v>-1.1379449999999999E-2</v>
      </c>
      <c r="AA4181">
        <v>0.97867890000000002</v>
      </c>
      <c r="AB4181">
        <v>35</v>
      </c>
      <c r="AC4181">
        <v>11.105399999999999</v>
      </c>
      <c r="AD4181">
        <v>-1.1096624891890901</v>
      </c>
      <c r="AE4181">
        <v>-2.2246000000000001</v>
      </c>
      <c r="AF4181">
        <v>2.3836127982530901</v>
      </c>
      <c r="AG4181">
        <v>-1.1096624891890901</v>
      </c>
      <c r="AH4181">
        <v>10.9621828810442</v>
      </c>
      <c r="AI4181">
        <v>95.649040076216494</v>
      </c>
      <c r="AJ4181">
        <v>77.7325833462817</v>
      </c>
      <c r="AK4181">
        <v>11.2730836211468</v>
      </c>
      <c r="AL4181">
        <v>87.628623106352904</v>
      </c>
      <c r="AM4181">
        <v>85.392084685207493</v>
      </c>
      <c r="AN4181">
        <v>1.00000001735092</v>
      </c>
    </row>
    <row r="4182" spans="1:40" x14ac:dyDescent="0.25">
      <c r="A4182" t="str">
        <f>"20190312154337727"</f>
        <v>20190312154337727</v>
      </c>
      <c r="B4182" t="str">
        <f>"1552376617721642"</f>
        <v>1552376617721642</v>
      </c>
      <c r="C4182" t="s">
        <v>40</v>
      </c>
      <c r="D4182">
        <v>5.3379000000000003</v>
      </c>
      <c r="E4182">
        <v>0.55426119999999901</v>
      </c>
      <c r="F4182" t="s">
        <v>41</v>
      </c>
      <c r="G4182">
        <v>-224.15450000000001</v>
      </c>
      <c r="H4182">
        <v>1.021026</v>
      </c>
      <c r="I4182">
        <v>216.4237</v>
      </c>
      <c r="J4182">
        <v>-224.5883</v>
      </c>
      <c r="K4182">
        <v>1.1096170000000001</v>
      </c>
      <c r="L4182">
        <v>216.5881</v>
      </c>
      <c r="M4182">
        <v>0.99978199999999995</v>
      </c>
      <c r="N4182">
        <v>0</v>
      </c>
      <c r="O4182">
        <v>1.560045E-2</v>
      </c>
      <c r="P4182">
        <v>0.99745879999999998</v>
      </c>
      <c r="Q4182">
        <v>2.8113800000000001E-2</v>
      </c>
      <c r="R4182">
        <v>-6.5467789999999998E-2</v>
      </c>
      <c r="S4182">
        <v>2.9775849999999999</v>
      </c>
      <c r="T4182">
        <v>-0.33949659999999998</v>
      </c>
      <c r="U4182">
        <v>-0.6114655</v>
      </c>
      <c r="V4182">
        <v>8.1097370000000002E-2</v>
      </c>
      <c r="W4182">
        <v>4.1804830000000001E-2</v>
      </c>
      <c r="X4182">
        <v>0.99582910000000002</v>
      </c>
      <c r="Y4182">
        <v>0.21498210000000001</v>
      </c>
      <c r="Z4182">
        <v>-1.384698E-2</v>
      </c>
      <c r="AA4182">
        <v>0.97651980000000005</v>
      </c>
      <c r="AB4182">
        <v>35</v>
      </c>
      <c r="AC4182">
        <v>0.43379999999999003</v>
      </c>
      <c r="AD4182">
        <v>-8.8591000000000003E-2</v>
      </c>
      <c r="AE4182">
        <v>-0.16439999999999999</v>
      </c>
      <c r="AF4182">
        <v>0.165126221138896</v>
      </c>
      <c r="AG4182">
        <v>-8.8591000000000003E-2</v>
      </c>
      <c r="AH4182">
        <v>0.416010967577853</v>
      </c>
      <c r="AI4182">
        <v>101.195922939685</v>
      </c>
      <c r="AJ4182">
        <v>68.350507532964102</v>
      </c>
      <c r="AK4182">
        <v>0.45626764002466103</v>
      </c>
      <c r="AL4182">
        <v>87.604061485671394</v>
      </c>
      <c r="AM4182">
        <v>85.344275657616095</v>
      </c>
      <c r="AN4182">
        <v>1.00000001181952</v>
      </c>
    </row>
    <row r="4183" spans="1:40" x14ac:dyDescent="0.25">
      <c r="A4183" t="str">
        <f>"20190312154337748"</f>
        <v>20190312154337748</v>
      </c>
      <c r="B4183" t="str">
        <f>"1552376617742140"</f>
        <v>1552376617742140</v>
      </c>
      <c r="C4183" t="s">
        <v>40</v>
      </c>
      <c r="D4183">
        <v>5.2206859999999997</v>
      </c>
      <c r="E4183">
        <v>0.55359459999999905</v>
      </c>
      <c r="F4183" t="s">
        <v>50</v>
      </c>
      <c r="G4183">
        <v>-213.10220000000001</v>
      </c>
      <c r="H4183" s="1">
        <v>1.31472299999999E-7</v>
      </c>
      <c r="I4183">
        <v>214.21729999999999</v>
      </c>
      <c r="J4183">
        <v>-224.25059999999999</v>
      </c>
      <c r="K4183">
        <v>1.1095630000000001</v>
      </c>
      <c r="L4183">
        <v>216.5926</v>
      </c>
      <c r="M4183">
        <v>0.99979490000000004</v>
      </c>
      <c r="N4183">
        <v>0</v>
      </c>
      <c r="O4183">
        <v>1.4736529999999999E-2</v>
      </c>
      <c r="P4183">
        <v>0.99736849999999999</v>
      </c>
      <c r="Q4183">
        <v>2.7790140000000001E-2</v>
      </c>
      <c r="R4183">
        <v>-6.6961699999999999E-2</v>
      </c>
      <c r="S4183">
        <v>2.9754330000000002</v>
      </c>
      <c r="T4183">
        <v>-0.287441</v>
      </c>
      <c r="U4183">
        <v>-0.614151</v>
      </c>
      <c r="V4183">
        <v>8.1733589999999995E-2</v>
      </c>
      <c r="W4183">
        <v>4.1467999999999998E-2</v>
      </c>
      <c r="X4183">
        <v>0.99579110000000004</v>
      </c>
      <c r="Y4183">
        <v>0.21552869999999999</v>
      </c>
      <c r="Z4183">
        <v>-1.1684999999999999E-2</v>
      </c>
      <c r="AA4183">
        <v>0.97642759999999995</v>
      </c>
      <c r="AB4183">
        <v>35</v>
      </c>
      <c r="AC4183">
        <v>11.148399999999899</v>
      </c>
      <c r="AD4183">
        <v>-1.1095628685276999</v>
      </c>
      <c r="AE4183">
        <v>-2.37530000000001</v>
      </c>
      <c r="AF4183">
        <v>2.51551109926306</v>
      </c>
      <c r="AG4183">
        <v>-1.1095628685276999</v>
      </c>
      <c r="AH4183">
        <v>11.00787792757</v>
      </c>
      <c r="AI4183">
        <v>95.612100599955994</v>
      </c>
      <c r="AJ4183">
        <v>77.127844143319606</v>
      </c>
      <c r="AK4183">
        <v>11.3460258380639</v>
      </c>
      <c r="AL4183">
        <v>87.623377013587501</v>
      </c>
      <c r="AM4183">
        <v>85.307735057464996</v>
      </c>
      <c r="AN4183">
        <v>0.99999994479874699</v>
      </c>
    </row>
    <row r="4184" spans="1:40" x14ac:dyDescent="0.25">
      <c r="A4184" t="str">
        <f>"20190312154337772"</f>
        <v>20190312154337772</v>
      </c>
      <c r="B4184" t="str">
        <f>"1552376617761658"</f>
        <v>1552376617761658</v>
      </c>
      <c r="C4184" t="s">
        <v>40</v>
      </c>
      <c r="D4184">
        <v>5.289625</v>
      </c>
      <c r="E4184">
        <v>0.55392889999999995</v>
      </c>
      <c r="F4184" t="s">
        <v>50</v>
      </c>
      <c r="G4184">
        <v>-212.7406</v>
      </c>
      <c r="H4184" s="1">
        <v>-6.1082240000000001E-8</v>
      </c>
      <c r="I4184">
        <v>214.22020000000001</v>
      </c>
      <c r="J4184">
        <v>-223.89619999999999</v>
      </c>
      <c r="K4184">
        <v>1.109491</v>
      </c>
      <c r="L4184">
        <v>216.5968</v>
      </c>
      <c r="M4184">
        <v>0.99980939999999996</v>
      </c>
      <c r="N4184">
        <v>0</v>
      </c>
      <c r="O4184">
        <v>1.3733179999999999E-2</v>
      </c>
      <c r="P4184">
        <v>0.99722160000000004</v>
      </c>
      <c r="Q4184">
        <v>2.7570810000000001E-2</v>
      </c>
      <c r="R4184">
        <v>-6.9205249999999996E-2</v>
      </c>
      <c r="S4184">
        <v>2.9747309999999998</v>
      </c>
      <c r="T4184">
        <v>-0.28676380000000001</v>
      </c>
      <c r="U4184">
        <v>-0.61314389999999996</v>
      </c>
      <c r="V4184">
        <v>8.2981559999999996E-2</v>
      </c>
      <c r="W4184">
        <v>4.1229309999999998E-2</v>
      </c>
      <c r="X4184">
        <v>0.99569790000000002</v>
      </c>
      <c r="Y4184">
        <v>0.2142917</v>
      </c>
      <c r="Z4184">
        <v>-1.1506219999999999E-2</v>
      </c>
      <c r="AA4184">
        <v>0.97670190000000001</v>
      </c>
      <c r="AB4184">
        <v>35</v>
      </c>
      <c r="AC4184">
        <v>11.1555999999999</v>
      </c>
      <c r="AD4184">
        <v>-1.1094910610822399</v>
      </c>
      <c r="AE4184">
        <v>-2.3765999999999901</v>
      </c>
      <c r="AF4184">
        <v>2.5058816899947298</v>
      </c>
      <c r="AG4184">
        <v>-1.1094910610822399</v>
      </c>
      <c r="AH4184">
        <v>11.0176568220005</v>
      </c>
      <c r="AI4184">
        <v>95.608090928190293</v>
      </c>
      <c r="AJ4184">
        <v>77.186493289981001</v>
      </c>
      <c r="AK4184">
        <v>11.353377264331799</v>
      </c>
      <c r="AL4184">
        <v>87.637064902652696</v>
      </c>
      <c r="AM4184">
        <v>85.235973427905293</v>
      </c>
      <c r="AN4184">
        <v>1.0000000516837499</v>
      </c>
    </row>
    <row r="4185" spans="1:40" x14ac:dyDescent="0.25">
      <c r="A4185" t="str">
        <f>"20190312154337793"</f>
        <v>20190312154337793</v>
      </c>
      <c r="B4185" t="str">
        <f>"1552376617782155"</f>
        <v>1552376617782155</v>
      </c>
      <c r="C4185" t="s">
        <v>40</v>
      </c>
      <c r="D4185">
        <v>5.3298410000000001</v>
      </c>
      <c r="E4185">
        <v>0.5540292</v>
      </c>
      <c r="F4185" t="s">
        <v>50</v>
      </c>
      <c r="G4185">
        <v>-212.73670000000001</v>
      </c>
      <c r="H4185" s="1">
        <v>-6.5000420000000001E-8</v>
      </c>
      <c r="I4185">
        <v>214.26230000000001</v>
      </c>
      <c r="J4185">
        <v>-223.54990000000001</v>
      </c>
      <c r="K4185">
        <v>1.1094200000000001</v>
      </c>
      <c r="L4185">
        <v>216.60040000000001</v>
      </c>
      <c r="M4185">
        <v>0.99982329999999997</v>
      </c>
      <c r="N4185">
        <v>0</v>
      </c>
      <c r="O4185">
        <v>1.266978E-2</v>
      </c>
      <c r="P4185">
        <v>0.99701949999999995</v>
      </c>
      <c r="Q4185">
        <v>2.7826900000000002E-2</v>
      </c>
      <c r="R4185">
        <v>-7.1956539999999999E-2</v>
      </c>
      <c r="S4185">
        <v>2.973373</v>
      </c>
      <c r="T4185">
        <v>-0.29561589999999999</v>
      </c>
      <c r="U4185">
        <v>-0.62200929999999999</v>
      </c>
      <c r="V4185">
        <v>8.4678169999999997E-2</v>
      </c>
      <c r="W4185">
        <v>4.146466E-2</v>
      </c>
      <c r="X4185">
        <v>0.99554520000000002</v>
      </c>
      <c r="Y4185">
        <v>0.2160656</v>
      </c>
      <c r="Z4185">
        <v>-1.184411E-2</v>
      </c>
      <c r="AA4185">
        <v>0.97630700000000004</v>
      </c>
      <c r="AB4185">
        <v>35</v>
      </c>
      <c r="AC4185">
        <v>10.813199999999901</v>
      </c>
      <c r="AD4185">
        <v>-1.10942006500042</v>
      </c>
      <c r="AE4185">
        <v>-2.3380999999999901</v>
      </c>
      <c r="AF4185">
        <v>2.4502855240769299</v>
      </c>
      <c r="AG4185">
        <v>-1.10942006500042</v>
      </c>
      <c r="AH4185">
        <v>10.6753511217564</v>
      </c>
      <c r="AI4185">
        <v>95.783743779200293</v>
      </c>
      <c r="AJ4185">
        <v>77.072955989462997</v>
      </c>
      <c r="AK4185">
        <v>11.0089887638653</v>
      </c>
      <c r="AL4185">
        <v>87.623568624882907</v>
      </c>
      <c r="AM4185">
        <v>85.138289982696506</v>
      </c>
      <c r="AN4185">
        <v>0.99999997787325101</v>
      </c>
    </row>
    <row r="4186" spans="1:40" x14ac:dyDescent="0.25">
      <c r="A4186" t="str">
        <f>"20190312154337816"</f>
        <v>20190312154337816</v>
      </c>
      <c r="B4186" t="str">
        <f>"1552376617801673"</f>
        <v>1552376617801673</v>
      </c>
      <c r="C4186" t="s">
        <v>40</v>
      </c>
      <c r="D4186">
        <v>5.3186869999999997</v>
      </c>
      <c r="E4186">
        <v>0.55445909999999998</v>
      </c>
      <c r="F4186" t="s">
        <v>50</v>
      </c>
      <c r="G4186">
        <v>-212.40799999999999</v>
      </c>
      <c r="H4186" s="1">
        <v>-2.3882270000000002E-7</v>
      </c>
      <c r="I4186">
        <v>214.2379</v>
      </c>
      <c r="J4186">
        <v>-223.2046</v>
      </c>
      <c r="K4186">
        <v>1.1093459999999999</v>
      </c>
      <c r="L4186">
        <v>216.6037</v>
      </c>
      <c r="M4186">
        <v>0.99983750000000005</v>
      </c>
      <c r="N4186">
        <v>0</v>
      </c>
      <c r="O4186">
        <v>1.150748E-2</v>
      </c>
      <c r="P4186">
        <v>0.99672629999999995</v>
      </c>
      <c r="Q4186">
        <v>2.7829909999999999E-2</v>
      </c>
      <c r="R4186">
        <v>-7.5911919999999994E-2</v>
      </c>
      <c r="S4186">
        <v>2.9717560000000001</v>
      </c>
      <c r="T4186">
        <v>-0.29590270000000002</v>
      </c>
      <c r="U4186">
        <v>-0.63012699999999999</v>
      </c>
      <c r="V4186">
        <v>8.7479669999999995E-2</v>
      </c>
      <c r="W4186">
        <v>4.1441319999999997E-2</v>
      </c>
      <c r="X4186">
        <v>0.99530390000000002</v>
      </c>
      <c r="Y4186">
        <v>0.21758649999999999</v>
      </c>
      <c r="Z4186">
        <v>-1.181901E-2</v>
      </c>
      <c r="AA4186">
        <v>0.97596950000000005</v>
      </c>
      <c r="AB4186">
        <v>35</v>
      </c>
      <c r="AC4186">
        <v>10.7966</v>
      </c>
      <c r="AD4186">
        <v>-1.1093462388227</v>
      </c>
      <c r="AE4186">
        <v>-2.3658000000000001</v>
      </c>
      <c r="AF4186">
        <v>2.4650644268418298</v>
      </c>
      <c r="AG4186">
        <v>-1.1093462388227</v>
      </c>
      <c r="AH4186">
        <v>10.6612587880929</v>
      </c>
      <c r="AI4186">
        <v>95.788828640431404</v>
      </c>
      <c r="AJ4186">
        <v>76.981026705564005</v>
      </c>
      <c r="AK4186">
        <v>10.998619488497599</v>
      </c>
      <c r="AL4186">
        <v>87.624907027095205</v>
      </c>
      <c r="AM4186">
        <v>84.977042898298293</v>
      </c>
      <c r="AN4186">
        <v>0.99999996451092998</v>
      </c>
    </row>
    <row r="4187" spans="1:40" x14ac:dyDescent="0.25">
      <c r="A4187" t="str">
        <f>"20190312154337838"</f>
        <v>20190312154337838</v>
      </c>
      <c r="B4187" t="str">
        <f>"1552376617831930"</f>
        <v>1552376617831930</v>
      </c>
      <c r="C4187" t="s">
        <v>40</v>
      </c>
      <c r="D4187">
        <v>5.300834</v>
      </c>
      <c r="E4187">
        <v>0.55515780000000003</v>
      </c>
      <c r="F4187" t="s">
        <v>50</v>
      </c>
      <c r="G4187">
        <v>-212.1884</v>
      </c>
      <c r="H4187" s="1">
        <v>-3.545413E-7</v>
      </c>
      <c r="I4187">
        <v>214.21190000000001</v>
      </c>
      <c r="J4187">
        <v>-222.86420000000001</v>
      </c>
      <c r="K4187">
        <v>1.1092500000000001</v>
      </c>
      <c r="L4187">
        <v>216.60640000000001</v>
      </c>
      <c r="M4187">
        <v>0.99985119999999905</v>
      </c>
      <c r="N4187">
        <v>0</v>
      </c>
      <c r="O4187">
        <v>1.0235380000000001E-2</v>
      </c>
      <c r="P4187">
        <v>0.99648879999999995</v>
      </c>
      <c r="Q4187">
        <v>2.587832E-2</v>
      </c>
      <c r="R4187">
        <v>-7.9627260000000005E-2</v>
      </c>
      <c r="S4187">
        <v>2.9691160000000001</v>
      </c>
      <c r="T4187">
        <v>-0.29899589999999998</v>
      </c>
      <c r="U4187">
        <v>-0.64463809999999999</v>
      </c>
      <c r="V4187">
        <v>8.9929220000000004E-2</v>
      </c>
      <c r="W4187">
        <v>3.9461200000000002E-2</v>
      </c>
      <c r="X4187">
        <v>0.99516610000000005</v>
      </c>
      <c r="Y4187">
        <v>0.22104570000000001</v>
      </c>
      <c r="Z4187">
        <v>-1.199163E-2</v>
      </c>
      <c r="AA4187">
        <v>0.97518970000000005</v>
      </c>
      <c r="AB4187">
        <v>35</v>
      </c>
      <c r="AC4187">
        <v>10.675800000000001</v>
      </c>
      <c r="AD4187">
        <v>-1.1092503545412999</v>
      </c>
      <c r="AE4187">
        <v>-2.3944999999999901</v>
      </c>
      <c r="AF4187">
        <v>2.47818322466357</v>
      </c>
      <c r="AG4187">
        <v>-1.1092503545412999</v>
      </c>
      <c r="AH4187">
        <v>10.5423669016626</v>
      </c>
      <c r="AI4187">
        <v>95.848210302379997</v>
      </c>
      <c r="AJ4187">
        <v>76.771704523365301</v>
      </c>
      <c r="AK4187">
        <v>10.886382701950399</v>
      </c>
      <c r="AL4187">
        <v>87.738452604336899</v>
      </c>
      <c r="AM4187">
        <v>84.836432065520498</v>
      </c>
      <c r="AN4187">
        <v>1.0000000087522201</v>
      </c>
    </row>
    <row r="4188" spans="1:40" x14ac:dyDescent="0.25">
      <c r="A4188" t="str">
        <f>"20190312154337861"</f>
        <v>20190312154337861</v>
      </c>
      <c r="B4188" t="str">
        <f>"1552376617851450"</f>
        <v>1552376617851450</v>
      </c>
      <c r="C4188" t="s">
        <v>40</v>
      </c>
      <c r="D4188">
        <v>5.3151960000000003</v>
      </c>
      <c r="E4188">
        <v>0.55546739999999994</v>
      </c>
      <c r="F4188" t="s">
        <v>50</v>
      </c>
      <c r="G4188">
        <v>-212.0951</v>
      </c>
      <c r="H4188" s="1">
        <v>-4.0381740000000002E-7</v>
      </c>
      <c r="I4188">
        <v>214.20269999999999</v>
      </c>
      <c r="J4188">
        <v>-222.50989999999999</v>
      </c>
      <c r="K4188">
        <v>1.109127</v>
      </c>
      <c r="L4188">
        <v>216.6086</v>
      </c>
      <c r="M4188">
        <v>0.99986549999999996</v>
      </c>
      <c r="N4188">
        <v>0</v>
      </c>
      <c r="O4188">
        <v>8.7451309999999997E-3</v>
      </c>
      <c r="P4188">
        <v>0.99627480000000002</v>
      </c>
      <c r="Q4188">
        <v>2.3771540000000001E-2</v>
      </c>
      <c r="R4188">
        <v>-8.2894899999999994E-2</v>
      </c>
      <c r="S4188">
        <v>2.9655909999999999</v>
      </c>
      <c r="T4188">
        <v>-0.3054636</v>
      </c>
      <c r="U4188">
        <v>-0.66191099999999903</v>
      </c>
      <c r="V4188">
        <v>9.1716300000000001E-2</v>
      </c>
      <c r="W4188">
        <v>3.7321310000000003E-2</v>
      </c>
      <c r="X4188">
        <v>0.99508549999999996</v>
      </c>
      <c r="Y4188">
        <v>0.22518489999999999</v>
      </c>
      <c r="Z4188">
        <v>-1.2315069999999999E-2</v>
      </c>
      <c r="AA4188">
        <v>0.97423820000000005</v>
      </c>
      <c r="AB4188">
        <v>35</v>
      </c>
      <c r="AC4188">
        <v>10.4147999999999</v>
      </c>
      <c r="AD4188">
        <v>-1.1091274038173999</v>
      </c>
      <c r="AE4188">
        <v>-2.4058999999999999</v>
      </c>
      <c r="AF4188">
        <v>2.4702985965613502</v>
      </c>
      <c r="AG4188">
        <v>-1.1091274038173999</v>
      </c>
      <c r="AH4188">
        <v>10.282649612019499</v>
      </c>
      <c r="AI4188">
        <v>95.987283925678696</v>
      </c>
      <c r="AJ4188">
        <v>76.491292470086194</v>
      </c>
      <c r="AK4188">
        <v>10.633222549990901</v>
      </c>
      <c r="AL4188">
        <v>87.861149634015902</v>
      </c>
      <c r="AM4188">
        <v>84.733968384703601</v>
      </c>
      <c r="AN4188">
        <v>0.99999995608802705</v>
      </c>
    </row>
    <row r="4189" spans="1:40" x14ac:dyDescent="0.25">
      <c r="A4189" t="str">
        <f>"20190312154337883"</f>
        <v>20190312154337883</v>
      </c>
      <c r="B4189" t="str">
        <f>"1552376617871947"</f>
        <v>1552376617871947</v>
      </c>
      <c r="C4189" t="s">
        <v>40</v>
      </c>
      <c r="D4189">
        <v>5.3173209999999997</v>
      </c>
      <c r="E4189">
        <v>0.55562880000000003</v>
      </c>
      <c r="F4189" t="s">
        <v>50</v>
      </c>
      <c r="G4189">
        <v>-211.96270000000001</v>
      </c>
      <c r="H4189" s="1">
        <v>-4.7438009999999998E-7</v>
      </c>
      <c r="I4189">
        <v>214.20509999999999</v>
      </c>
      <c r="J4189">
        <v>-222.1756</v>
      </c>
      <c r="K4189">
        <v>1.1089719999999901</v>
      </c>
      <c r="L4189">
        <v>216.61</v>
      </c>
      <c r="M4189">
        <v>0.99987820000000005</v>
      </c>
      <c r="N4189">
        <v>0</v>
      </c>
      <c r="O4189">
        <v>7.1414260000000002E-3</v>
      </c>
      <c r="P4189">
        <v>0.99605520000000003</v>
      </c>
      <c r="Q4189">
        <v>2.3047370000000001E-2</v>
      </c>
      <c r="R4189">
        <v>-8.5691359999999994E-2</v>
      </c>
      <c r="S4189">
        <v>2.962494</v>
      </c>
      <c r="T4189">
        <v>-0.311529</v>
      </c>
      <c r="U4189">
        <v>-0.67507930000000005</v>
      </c>
      <c r="V4189">
        <v>9.2925400000000005E-2</v>
      </c>
      <c r="W4189">
        <v>3.6559840000000003E-2</v>
      </c>
      <c r="X4189">
        <v>0.99500160000000004</v>
      </c>
      <c r="Y4189">
        <v>0.227905</v>
      </c>
      <c r="Z4189">
        <v>-1.2539740000000001E-2</v>
      </c>
      <c r="AA4189">
        <v>0.97360259999999998</v>
      </c>
      <c r="AB4189">
        <v>35</v>
      </c>
      <c r="AC4189">
        <v>10.2128999999999</v>
      </c>
      <c r="AD4189">
        <v>-1.1089724743800999</v>
      </c>
      <c r="AE4189">
        <v>-2.40490000000002</v>
      </c>
      <c r="AF4189">
        <v>2.4504059911907299</v>
      </c>
      <c r="AG4189">
        <v>-1.1089724743800999</v>
      </c>
      <c r="AH4189">
        <v>10.082824595215399</v>
      </c>
      <c r="AI4189">
        <v>96.100353038909503</v>
      </c>
      <c r="AJ4189">
        <v>76.340351563506104</v>
      </c>
      <c r="AK4189">
        <v>10.4354042225721</v>
      </c>
      <c r="AL4189">
        <v>87.904808477765499</v>
      </c>
      <c r="AM4189">
        <v>84.664496791585194</v>
      </c>
      <c r="AN4189">
        <v>0.99999996793427204</v>
      </c>
    </row>
    <row r="4190" spans="1:40" x14ac:dyDescent="0.25">
      <c r="A4190" t="str">
        <f>"20190312154337906"</f>
        <v>20190312154337906</v>
      </c>
      <c r="B4190" t="str">
        <f>"1552376617902202"</f>
        <v>1552376617902202</v>
      </c>
      <c r="C4190" t="s">
        <v>40</v>
      </c>
      <c r="D4190">
        <v>5.320176</v>
      </c>
      <c r="E4190">
        <v>0.5556932</v>
      </c>
      <c r="F4190" t="s">
        <v>50</v>
      </c>
      <c r="G4190">
        <v>-211.70349999999999</v>
      </c>
      <c r="H4190" s="1">
        <v>-6.1135469999999998E-7</v>
      </c>
      <c r="I4190">
        <v>214.1841</v>
      </c>
      <c r="J4190">
        <v>-221.83539999999999</v>
      </c>
      <c r="K4190">
        <v>1.1087800000000001</v>
      </c>
      <c r="L4190">
        <v>216.61060000000001</v>
      </c>
      <c r="M4190">
        <v>0.99988969999999999</v>
      </c>
      <c r="N4190">
        <v>0</v>
      </c>
      <c r="O4190">
        <v>5.2650500000000003E-3</v>
      </c>
      <c r="P4190">
        <v>0.99579859999999998</v>
      </c>
      <c r="Q4190">
        <v>2.3269789999999999E-2</v>
      </c>
      <c r="R4190">
        <v>-8.8565140000000001E-2</v>
      </c>
      <c r="S4190">
        <v>2.9601289999999998</v>
      </c>
      <c r="T4190">
        <v>-0.31347239999999998</v>
      </c>
      <c r="U4190">
        <v>-0.68572999999999995</v>
      </c>
      <c r="V4190">
        <v>9.3947539999999996E-2</v>
      </c>
      <c r="W4190">
        <v>3.6736629999999999E-2</v>
      </c>
      <c r="X4190">
        <v>0.99489919999999998</v>
      </c>
      <c r="Y4190">
        <v>0.22955900000000001</v>
      </c>
      <c r="Z4190">
        <v>-1.2512880000000001E-2</v>
      </c>
      <c r="AA4190">
        <v>0.97321429999999998</v>
      </c>
      <c r="AB4190">
        <v>34</v>
      </c>
      <c r="AC4190">
        <v>10.1319</v>
      </c>
      <c r="AD4190">
        <v>-1.1087806113547001</v>
      </c>
      <c r="AE4190">
        <v>-2.4264999999999999</v>
      </c>
      <c r="AF4190">
        <v>2.4520438711147499</v>
      </c>
      <c r="AG4190">
        <v>-1.1087806113547001</v>
      </c>
      <c r="AH4190">
        <v>10.005655564332701</v>
      </c>
      <c r="AI4190">
        <v>96.143125734153998</v>
      </c>
      <c r="AJ4190">
        <v>76.230143407314898</v>
      </c>
      <c r="AK4190">
        <v>10.361228540190099</v>
      </c>
      <c r="AL4190">
        <v>87.894672560707093</v>
      </c>
      <c r="AM4190">
        <v>84.605600898567403</v>
      </c>
      <c r="AN4190">
        <v>1.00000006920822</v>
      </c>
    </row>
    <row r="4191" spans="1:40" x14ac:dyDescent="0.25">
      <c r="A4191" t="str">
        <f>"20190312154337927"</f>
        <v>20190312154337927</v>
      </c>
      <c r="B4191" t="str">
        <f>"1552376617921722"</f>
        <v>1552376617921722</v>
      </c>
      <c r="C4191" t="s">
        <v>40</v>
      </c>
      <c r="D4191">
        <v>5.2945359999999999</v>
      </c>
      <c r="E4191">
        <v>0.55579909999999999</v>
      </c>
      <c r="F4191" t="s">
        <v>50</v>
      </c>
      <c r="G4191">
        <v>-211.35480000000001</v>
      </c>
      <c r="H4191" s="1">
        <v>-7.9534930000000004E-7</v>
      </c>
      <c r="I4191">
        <v>214.1473</v>
      </c>
      <c r="J4191">
        <v>-221.4871</v>
      </c>
      <c r="K4191">
        <v>1.1085499999999999</v>
      </c>
      <c r="L4191">
        <v>216.6104</v>
      </c>
      <c r="M4191">
        <v>0.99989890000000003</v>
      </c>
      <c r="N4191">
        <v>0</v>
      </c>
      <c r="O4191">
        <v>3.040442E-3</v>
      </c>
      <c r="P4191">
        <v>0.99556849999999997</v>
      </c>
      <c r="Q4191">
        <v>2.306859E-2</v>
      </c>
      <c r="R4191">
        <v>-9.1167750000000006E-2</v>
      </c>
      <c r="S4191">
        <v>2.9581149999999998</v>
      </c>
      <c r="T4191">
        <v>-0.31294889999999997</v>
      </c>
      <c r="U4191">
        <v>-0.69526669999999902</v>
      </c>
      <c r="V4191">
        <v>9.43552E-2</v>
      </c>
      <c r="W4191">
        <v>3.6483130000000003E-2</v>
      </c>
      <c r="X4191">
        <v>0.99486989999999997</v>
      </c>
      <c r="Y4191">
        <v>0.2305257</v>
      </c>
      <c r="Z4191">
        <v>-1.2314530000000001E-2</v>
      </c>
      <c r="AA4191">
        <v>0.97298830000000003</v>
      </c>
      <c r="AB4191">
        <v>34</v>
      </c>
      <c r="AC4191">
        <v>10.132299999999899</v>
      </c>
      <c r="AD4191">
        <v>-1.1085507953492999</v>
      </c>
      <c r="AE4191">
        <v>-2.4630999999999901</v>
      </c>
      <c r="AF4191">
        <v>2.46602689599312</v>
      </c>
      <c r="AG4191">
        <v>-1.1085507953492999</v>
      </c>
      <c r="AH4191">
        <v>10.011610980307699</v>
      </c>
      <c r="AI4191">
        <v>96.136471319011505</v>
      </c>
      <c r="AJ4191">
        <v>76.162552038379602</v>
      </c>
      <c r="AK4191">
        <v>10.370271353183</v>
      </c>
      <c r="AL4191">
        <v>87.909206680658997</v>
      </c>
      <c r="AM4191">
        <v>84.582173727535803</v>
      </c>
      <c r="AN4191">
        <v>1.00000002023382</v>
      </c>
    </row>
    <row r="4192" spans="1:40" x14ac:dyDescent="0.25">
      <c r="A4192" t="str">
        <f>"20190312154337951"</f>
        <v>20190312154337951</v>
      </c>
      <c r="B4192" t="str">
        <f>"1552376617941243"</f>
        <v>1552376617941243</v>
      </c>
      <c r="C4192" t="s">
        <v>40</v>
      </c>
      <c r="D4192">
        <v>5.3230009999999996</v>
      </c>
      <c r="E4192">
        <v>0.55579659999999997</v>
      </c>
      <c r="F4192" t="s">
        <v>50</v>
      </c>
      <c r="G4192">
        <v>-210.99619999999999</v>
      </c>
      <c r="H4192" s="1">
        <v>-9.8454500000000003E-7</v>
      </c>
      <c r="I4192">
        <v>214.1097</v>
      </c>
      <c r="J4192">
        <v>-221.14019999999999</v>
      </c>
      <c r="K4192">
        <v>1.108276</v>
      </c>
      <c r="L4192">
        <v>216.60900000000001</v>
      </c>
      <c r="M4192">
        <v>0.99990330000000005</v>
      </c>
      <c r="N4192">
        <v>0</v>
      </c>
      <c r="O4192">
        <v>4.462329E-4</v>
      </c>
      <c r="P4192">
        <v>0.99535450000000003</v>
      </c>
      <c r="Q4192">
        <v>2.2802260000000001E-2</v>
      </c>
      <c r="R4192">
        <v>-9.3539709999999998E-2</v>
      </c>
      <c r="S4192">
        <v>2.95607</v>
      </c>
      <c r="T4192">
        <v>-0.31236039999999998</v>
      </c>
      <c r="U4192">
        <v>-0.70462040000000004</v>
      </c>
      <c r="V4192">
        <v>9.4167780000000006E-2</v>
      </c>
      <c r="W4192">
        <v>3.6161949999999998E-2</v>
      </c>
      <c r="X4192">
        <v>0.99489939999999999</v>
      </c>
      <c r="Y4192">
        <v>0.23108210000000001</v>
      </c>
      <c r="Z4192">
        <v>-1.2054580000000001E-2</v>
      </c>
      <c r="AA4192">
        <v>0.97285960000000005</v>
      </c>
      <c r="AB4192">
        <v>34</v>
      </c>
      <c r="AC4192">
        <v>10.144</v>
      </c>
      <c r="AD4192">
        <v>-1.108276984545</v>
      </c>
      <c r="AE4192">
        <v>-2.4992999999999999</v>
      </c>
      <c r="AF4192">
        <v>2.4759637561904002</v>
      </c>
      <c r="AG4192">
        <v>-1.108276984545</v>
      </c>
      <c r="AH4192">
        <v>10.030011843545401</v>
      </c>
      <c r="AI4192">
        <v>96.123036546797195</v>
      </c>
      <c r="AJ4192">
        <v>76.1334492320876</v>
      </c>
      <c r="AK4192">
        <v>10.390371118400999</v>
      </c>
      <c r="AL4192">
        <v>87.927621124434395</v>
      </c>
      <c r="AM4192">
        <v>84.5930308189389</v>
      </c>
      <c r="AN4192">
        <v>1.00000003676914</v>
      </c>
    </row>
    <row r="4193" spans="1:40" x14ac:dyDescent="0.25">
      <c r="A4193" t="str">
        <f>"20190312154337972"</f>
        <v>20190312154337972</v>
      </c>
      <c r="B4193" t="str">
        <f>"1552376617961738"</f>
        <v>1552376617961738</v>
      </c>
      <c r="C4193" t="s">
        <v>40</v>
      </c>
      <c r="D4193">
        <v>5.3429520000000004</v>
      </c>
      <c r="E4193">
        <v>0.55608859999999904</v>
      </c>
      <c r="F4193" t="s">
        <v>50</v>
      </c>
      <c r="G4193">
        <v>-210.63210000000001</v>
      </c>
      <c r="H4193" s="1">
        <v>-1.176803E-6</v>
      </c>
      <c r="I4193">
        <v>214.0762</v>
      </c>
      <c r="J4193">
        <v>-220.79759999999999</v>
      </c>
      <c r="K4193">
        <v>1.1079859999999999</v>
      </c>
      <c r="L4193">
        <v>216.6063</v>
      </c>
      <c r="M4193">
        <v>0.99990020000000002</v>
      </c>
      <c r="N4193">
        <v>0</v>
      </c>
      <c r="O4193">
        <v>-2.484516E-3</v>
      </c>
      <c r="P4193">
        <v>0.99511950000000005</v>
      </c>
      <c r="Q4193">
        <v>2.272629E-2</v>
      </c>
      <c r="R4193">
        <v>-9.6025910000000006E-2</v>
      </c>
      <c r="S4193">
        <v>2.954224</v>
      </c>
      <c r="T4193">
        <v>-0.31157980000000002</v>
      </c>
      <c r="U4193">
        <v>-0.71206669999999905</v>
      </c>
      <c r="V4193">
        <v>9.3762479999999995E-2</v>
      </c>
      <c r="W4193">
        <v>3.6031859999999999E-2</v>
      </c>
      <c r="X4193">
        <v>0.9949424</v>
      </c>
      <c r="Y4193">
        <v>0.2307101</v>
      </c>
      <c r="Z4193">
        <v>-1.1705200000000001E-2</v>
      </c>
      <c r="AA4193">
        <v>0.97295209999999999</v>
      </c>
      <c r="AB4193">
        <v>34</v>
      </c>
      <c r="AC4193">
        <v>10.1654999999999</v>
      </c>
      <c r="AD4193">
        <v>-1.1079871768030001</v>
      </c>
      <c r="AE4193">
        <v>-2.5301</v>
      </c>
      <c r="AF4193">
        <v>2.4771221125393099</v>
      </c>
      <c r="AG4193">
        <v>-1.1079871768030001</v>
      </c>
      <c r="AH4193">
        <v>10.059223893436799</v>
      </c>
      <c r="AI4193">
        <v>96.104652489023394</v>
      </c>
      <c r="AJ4193">
        <v>76.165949379751794</v>
      </c>
      <c r="AK4193">
        <v>10.4188173456818</v>
      </c>
      <c r="AL4193">
        <v>87.935079596329103</v>
      </c>
      <c r="AM4193">
        <v>84.616396799797798</v>
      </c>
      <c r="AN4193">
        <v>1.00000003845428</v>
      </c>
    </row>
    <row r="4194" spans="1:40" x14ac:dyDescent="0.25">
      <c r="A4194" t="str">
        <f>"20190312154338000"</f>
        <v>20190312154338000</v>
      </c>
      <c r="B4194" t="str">
        <f>"1552376617991995"</f>
        <v>1552376617991995</v>
      </c>
      <c r="C4194" t="s">
        <v>40</v>
      </c>
      <c r="D4194">
        <v>5.3317379999999996</v>
      </c>
      <c r="E4194">
        <v>0.55633969999999999</v>
      </c>
      <c r="F4194" t="s">
        <v>50</v>
      </c>
      <c r="G4194">
        <v>-210.32839999999999</v>
      </c>
      <c r="H4194" s="1">
        <v>-1.3371179999999999E-6</v>
      </c>
      <c r="I4194">
        <v>214.04570000000001</v>
      </c>
      <c r="J4194">
        <v>-220.39680000000001</v>
      </c>
      <c r="K4194">
        <v>1.1076569999999999</v>
      </c>
      <c r="L4194">
        <v>216.60149999999999</v>
      </c>
      <c r="M4194">
        <v>0.99988319999999997</v>
      </c>
      <c r="N4194">
        <v>0</v>
      </c>
      <c r="O4194">
        <v>-6.3212980000000004E-3</v>
      </c>
      <c r="P4194">
        <v>0.99467039999999995</v>
      </c>
      <c r="Q4194">
        <v>2.2582339999999999E-2</v>
      </c>
      <c r="R4194">
        <v>-0.1006049</v>
      </c>
      <c r="S4194">
        <v>2.952194</v>
      </c>
      <c r="T4194">
        <v>-0.31243690000000002</v>
      </c>
      <c r="U4194">
        <v>-0.72204590000000002</v>
      </c>
      <c r="V4194">
        <v>9.4552109999999995E-2</v>
      </c>
      <c r="W4194">
        <v>3.5818849999999999E-2</v>
      </c>
      <c r="X4194">
        <v>0.99487530000000002</v>
      </c>
      <c r="Y4194">
        <v>0.2302515</v>
      </c>
      <c r="Z4194">
        <v>-1.1317570000000001E-2</v>
      </c>
      <c r="AA4194">
        <v>0.97306539999999997</v>
      </c>
      <c r="AB4194">
        <v>34</v>
      </c>
      <c r="AC4194">
        <v>10.0684</v>
      </c>
      <c r="AD4194">
        <v>-1.107658337118</v>
      </c>
      <c r="AE4194">
        <v>-2.5557999999999699</v>
      </c>
      <c r="AF4194">
        <v>2.4640801418460998</v>
      </c>
      <c r="AG4194">
        <v>-1.107658337118</v>
      </c>
      <c r="AH4194">
        <v>9.9709835270997402</v>
      </c>
      <c r="AI4194">
        <v>96.155212300119402</v>
      </c>
      <c r="AJ4194">
        <v>76.118892203007704</v>
      </c>
      <c r="AK4194">
        <v>10.3304942009045</v>
      </c>
      <c r="AL4194">
        <v>87.947291927180601</v>
      </c>
      <c r="AM4194">
        <v>84.570964035968501</v>
      </c>
      <c r="AN4194">
        <v>0.99999997703543198</v>
      </c>
    </row>
    <row r="4195" spans="1:40" x14ac:dyDescent="0.25">
      <c r="A4195" t="str">
        <f>"20190312154338020"</f>
        <v>20190312154338020</v>
      </c>
      <c r="B4195" t="str">
        <f>"1552376618011513"</f>
        <v>1552376618011513</v>
      </c>
      <c r="C4195" t="s">
        <v>40</v>
      </c>
      <c r="D4195">
        <v>5.2958619999999996</v>
      </c>
      <c r="E4195">
        <v>0.55652209999999902</v>
      </c>
      <c r="F4195" t="s">
        <v>50</v>
      </c>
      <c r="G4195">
        <v>-209.96199999999999</v>
      </c>
      <c r="H4195" s="1">
        <v>-1.5297670000000001E-6</v>
      </c>
      <c r="I4195">
        <v>213.99289999999999</v>
      </c>
      <c r="J4195">
        <v>-220.0574</v>
      </c>
      <c r="K4195">
        <v>1.1073900000000001</v>
      </c>
      <c r="L4195">
        <v>216.5959</v>
      </c>
      <c r="M4195">
        <v>0.99985380000000001</v>
      </c>
      <c r="N4195">
        <v>0</v>
      </c>
      <c r="O4195">
        <v>-9.9103100000000003E-3</v>
      </c>
      <c r="P4195">
        <v>0.99424710000000005</v>
      </c>
      <c r="Q4195">
        <v>2.17269E-2</v>
      </c>
      <c r="R4195">
        <v>-0.1048866</v>
      </c>
      <c r="S4195">
        <v>2.9486080000000001</v>
      </c>
      <c r="T4195">
        <v>-0.31299519999999997</v>
      </c>
      <c r="U4195">
        <v>-0.73710629999999999</v>
      </c>
      <c r="V4195">
        <v>9.5281660000000004E-2</v>
      </c>
      <c r="W4195">
        <v>3.4905800000000001E-2</v>
      </c>
      <c r="X4195">
        <v>0.99483820000000001</v>
      </c>
      <c r="Y4195">
        <v>0.23172180000000001</v>
      </c>
      <c r="Z4195">
        <v>-1.1046820000000001E-2</v>
      </c>
      <c r="AA4195">
        <v>0.97271940000000001</v>
      </c>
      <c r="AB4195">
        <v>34</v>
      </c>
      <c r="AC4195">
        <v>10.0953999999999</v>
      </c>
      <c r="AD4195">
        <v>-1.1073915297669901</v>
      </c>
      <c r="AE4195">
        <v>-2.6030000000000002</v>
      </c>
      <c r="AF4195">
        <v>2.4748911452908602</v>
      </c>
      <c r="AG4195">
        <v>-1.1073915297669901</v>
      </c>
      <c r="AH4195">
        <v>10.007791148456199</v>
      </c>
      <c r="AI4195">
        <v>96.131038016618803</v>
      </c>
      <c r="AJ4195">
        <v>76.109639560489001</v>
      </c>
      <c r="AK4195">
        <v>10.368572025711099</v>
      </c>
      <c r="AL4195">
        <v>87.999638681294897</v>
      </c>
      <c r="AM4195">
        <v>84.529124794261193</v>
      </c>
      <c r="AN4195">
        <v>1.0000000268926099</v>
      </c>
    </row>
    <row r="4196" spans="1:40" x14ac:dyDescent="0.25">
      <c r="A4196" t="str">
        <f>"20190312154338039"</f>
        <v>20190312154338039</v>
      </c>
      <c r="B4196" t="str">
        <f>"1552376618032012"</f>
        <v>1552376618032012</v>
      </c>
      <c r="C4196" t="s">
        <v>40</v>
      </c>
      <c r="D4196">
        <v>5.3220939999999999</v>
      </c>
      <c r="E4196">
        <v>0.55669460000000004</v>
      </c>
      <c r="F4196" t="s">
        <v>49</v>
      </c>
      <c r="G4196">
        <v>-209.744</v>
      </c>
      <c r="H4196" s="1">
        <v>6.594726E-6</v>
      </c>
      <c r="I4196">
        <v>213.9682</v>
      </c>
      <c r="J4196">
        <v>-219.76169999999999</v>
      </c>
      <c r="K4196">
        <v>1.1071569999999999</v>
      </c>
      <c r="L4196">
        <v>216.5898</v>
      </c>
      <c r="M4196">
        <v>0.99981450000000005</v>
      </c>
      <c r="N4196">
        <v>0</v>
      </c>
      <c r="O4196">
        <v>-1.330456E-2</v>
      </c>
      <c r="P4196">
        <v>0.9937897</v>
      </c>
      <c r="Q4196">
        <v>2.1793380000000001E-2</v>
      </c>
      <c r="R4196">
        <v>-0.10912280000000001</v>
      </c>
      <c r="S4196">
        <v>2.9451290000000001</v>
      </c>
      <c r="T4196">
        <v>-0.31623030000000002</v>
      </c>
      <c r="U4196">
        <v>-0.75038149999999904</v>
      </c>
      <c r="V4196">
        <v>9.6164749999999993E-2</v>
      </c>
      <c r="W4196">
        <v>3.4919619999999998E-2</v>
      </c>
      <c r="X4196">
        <v>0.99475270000000005</v>
      </c>
      <c r="Y4196">
        <v>0.2327996</v>
      </c>
      <c r="Z4196">
        <v>-1.086639E-2</v>
      </c>
      <c r="AA4196">
        <v>0.972464</v>
      </c>
      <c r="AB4196">
        <v>34</v>
      </c>
      <c r="AC4196">
        <v>10.0176999999999</v>
      </c>
      <c r="AD4196">
        <v>-1.107150405274</v>
      </c>
      <c r="AE4196">
        <v>-2.6215999999999999</v>
      </c>
      <c r="AF4196">
        <v>2.4599525984014301</v>
      </c>
      <c r="AG4196">
        <v>-1.107150405274</v>
      </c>
      <c r="AH4196">
        <v>9.9380871103840605</v>
      </c>
      <c r="AI4196">
        <v>96.172044922283007</v>
      </c>
      <c r="AJ4196">
        <v>76.097149661173304</v>
      </c>
      <c r="AK4196">
        <v>10.297704803492</v>
      </c>
      <c r="AL4196">
        <v>87.998846289919697</v>
      </c>
      <c r="AM4196">
        <v>84.478259867753806</v>
      </c>
      <c r="AN4196">
        <v>0.99999998658039801</v>
      </c>
    </row>
    <row r="4197" spans="1:40" x14ac:dyDescent="0.25">
      <c r="A4197" t="str">
        <f>"20190312154338062"</f>
        <v>20190312154338062</v>
      </c>
      <c r="B4197" t="str">
        <f>"1552376618051529"</f>
        <v>1552376618051529</v>
      </c>
      <c r="C4197" t="s">
        <v>40</v>
      </c>
      <c r="D4197">
        <v>5.2883740000000001</v>
      </c>
      <c r="E4197">
        <v>0.55680699999999905</v>
      </c>
      <c r="F4197" t="s">
        <v>49</v>
      </c>
      <c r="G4197">
        <v>-209.4306</v>
      </c>
      <c r="H4197" s="1">
        <v>6.4611300000000003E-6</v>
      </c>
      <c r="I4197">
        <v>213.90620000000001</v>
      </c>
      <c r="J4197">
        <v>-219.41679999999999</v>
      </c>
      <c r="K4197">
        <v>1.1068750000000001</v>
      </c>
      <c r="L4197">
        <v>216.5813</v>
      </c>
      <c r="M4197">
        <v>0.99974850000000004</v>
      </c>
      <c r="N4197">
        <v>0</v>
      </c>
      <c r="O4197">
        <v>-1.7558939999999999E-2</v>
      </c>
      <c r="P4197">
        <v>0.99320540000000002</v>
      </c>
      <c r="Q4197">
        <v>2.256083E-2</v>
      </c>
      <c r="R4197">
        <v>-0.11416750000000001</v>
      </c>
      <c r="S4197">
        <v>2.9417420000000001</v>
      </c>
      <c r="T4197">
        <v>-0.3152565</v>
      </c>
      <c r="U4197">
        <v>-0.76416019999999996</v>
      </c>
      <c r="V4197">
        <v>9.7013370000000002E-2</v>
      </c>
      <c r="W4197">
        <v>3.5626810000000002E-2</v>
      </c>
      <c r="X4197">
        <v>0.99464520000000001</v>
      </c>
      <c r="Y4197">
        <v>0.2332293</v>
      </c>
      <c r="Z4197">
        <v>-1.0414720000000001E-2</v>
      </c>
      <c r="AA4197">
        <v>0.97236599999999995</v>
      </c>
      <c r="AB4197">
        <v>34</v>
      </c>
      <c r="AC4197">
        <v>9.9861999999999895</v>
      </c>
      <c r="AD4197">
        <v>-1.1068685388699999</v>
      </c>
      <c r="AE4197">
        <v>-2.67509999999998</v>
      </c>
      <c r="AF4197">
        <v>2.4709985564789401</v>
      </c>
      <c r="AG4197">
        <v>-1.1068685388699999</v>
      </c>
      <c r="AH4197">
        <v>9.9179482449620107</v>
      </c>
      <c r="AI4197">
        <v>96.180599126685294</v>
      </c>
      <c r="AJ4197">
        <v>76.009919149617005</v>
      </c>
      <c r="AK4197">
        <v>10.280889514930401</v>
      </c>
      <c r="AL4197">
        <v>87.958302019312001</v>
      </c>
      <c r="AM4197">
        <v>84.429239346556201</v>
      </c>
      <c r="AN4197">
        <v>0.99999996871628505</v>
      </c>
    </row>
    <row r="4198" spans="1:40" x14ac:dyDescent="0.25">
      <c r="A4198" t="str">
        <f>"20190312154338083"</f>
        <v>20190312154338083</v>
      </c>
      <c r="B4198" t="str">
        <f>"1552376618072026"</f>
        <v>1552376618072026</v>
      </c>
      <c r="C4198" t="s">
        <v>40</v>
      </c>
      <c r="D4198">
        <v>5.2686979999999997</v>
      </c>
      <c r="E4198">
        <v>0.55693110000000001</v>
      </c>
      <c r="F4198" t="s">
        <v>49</v>
      </c>
      <c r="G4198">
        <v>-208.9999</v>
      </c>
      <c r="H4198" s="1">
        <v>6.2782570000000004E-6</v>
      </c>
      <c r="I4198">
        <v>213.81360000000001</v>
      </c>
      <c r="J4198">
        <v>-219.0812</v>
      </c>
      <c r="K4198">
        <v>1.106606</v>
      </c>
      <c r="L4198">
        <v>216.5712</v>
      </c>
      <c r="M4198">
        <v>0.99966069999999996</v>
      </c>
      <c r="N4198">
        <v>0</v>
      </c>
      <c r="O4198">
        <v>-2.1983450000000002E-2</v>
      </c>
      <c r="P4198">
        <v>0.99256009999999995</v>
      </c>
      <c r="Q4198">
        <v>2.3050299999999999E-2</v>
      </c>
      <c r="R4198">
        <v>-0.1195555</v>
      </c>
      <c r="S4198">
        <v>2.937881</v>
      </c>
      <c r="T4198">
        <v>-0.31217220000000001</v>
      </c>
      <c r="U4198">
        <v>-0.78057860000000001</v>
      </c>
      <c r="V4198">
        <v>9.803684E-2</v>
      </c>
      <c r="W4198">
        <v>3.605568E-2</v>
      </c>
      <c r="X4198">
        <v>0.99452940000000001</v>
      </c>
      <c r="Y4198">
        <v>0.2343595</v>
      </c>
      <c r="Z4198">
        <v>-9.9178749999999996E-3</v>
      </c>
      <c r="AA4198">
        <v>0.97209939999999995</v>
      </c>
      <c r="AB4198">
        <v>34</v>
      </c>
      <c r="AC4198">
        <v>10.081300000000001</v>
      </c>
      <c r="AD4198">
        <v>-1.1065997217429999</v>
      </c>
      <c r="AE4198">
        <v>-2.7575999999999898</v>
      </c>
      <c r="AF4198">
        <v>2.5071841505230901</v>
      </c>
      <c r="AG4198">
        <v>-1.1065997217429999</v>
      </c>
      <c r="AH4198">
        <v>10.027085556882</v>
      </c>
      <c r="AI4198">
        <v>96.1110882249627</v>
      </c>
      <c r="AJ4198">
        <v>75.961536732617105</v>
      </c>
      <c r="AK4198">
        <v>10.394853537872899</v>
      </c>
      <c r="AL4198">
        <v>87.933713804253401</v>
      </c>
      <c r="AM4198">
        <v>84.370193307647497</v>
      </c>
      <c r="AN4198">
        <v>0.99999998076090302</v>
      </c>
    </row>
    <row r="4199" spans="1:40" x14ac:dyDescent="0.25">
      <c r="A4199" t="str">
        <f>"20190312154338106"</f>
        <v>20190312154338106</v>
      </c>
      <c r="B4199" t="str">
        <f>"1552376618091546"</f>
        <v>1552376618091546</v>
      </c>
      <c r="C4199" t="s">
        <v>40</v>
      </c>
      <c r="D4199">
        <v>5.3535329999999997</v>
      </c>
      <c r="E4199">
        <v>0.57519129999999996</v>
      </c>
      <c r="F4199" t="s">
        <v>49</v>
      </c>
      <c r="G4199">
        <v>-208.59739999999999</v>
      </c>
      <c r="H4199" s="1">
        <v>6.107916E-6</v>
      </c>
      <c r="I4199">
        <v>213.72030000000001</v>
      </c>
      <c r="J4199">
        <v>-218.74090000000001</v>
      </c>
      <c r="K4199">
        <v>1.1063419999999999</v>
      </c>
      <c r="L4199">
        <v>216.55930000000001</v>
      </c>
      <c r="M4199">
        <v>0.99954469999999995</v>
      </c>
      <c r="N4199">
        <v>0</v>
      </c>
      <c r="O4199">
        <v>-2.6735169999999999E-2</v>
      </c>
      <c r="P4199">
        <v>0.99178250000000001</v>
      </c>
      <c r="Q4199">
        <v>2.223431E-2</v>
      </c>
      <c r="R4199">
        <v>-0.12598909999999999</v>
      </c>
      <c r="S4199">
        <v>2.9335939999999998</v>
      </c>
      <c r="T4199">
        <v>-0.30965039999999999</v>
      </c>
      <c r="U4199">
        <v>-0.79776000000000002</v>
      </c>
      <c r="V4199">
        <v>9.9773360000000005E-2</v>
      </c>
      <c r="W4199">
        <v>3.5172660000000001E-2</v>
      </c>
      <c r="X4199">
        <v>0.9943883</v>
      </c>
      <c r="Y4199">
        <v>0.23543739999999999</v>
      </c>
      <c r="Z4199">
        <v>-9.4099990000000005E-3</v>
      </c>
      <c r="AA4199">
        <v>0.97184400000000004</v>
      </c>
      <c r="AB4199">
        <v>34</v>
      </c>
      <c r="AC4199">
        <v>10.1435</v>
      </c>
      <c r="AD4199">
        <v>-1.1063358920840001</v>
      </c>
      <c r="AE4199">
        <v>-2.8389999999999902</v>
      </c>
      <c r="AF4199">
        <v>2.53876325936203</v>
      </c>
      <c r="AG4199">
        <v>-1.1063358920840001</v>
      </c>
      <c r="AH4199">
        <v>10.104313749514599</v>
      </c>
      <c r="AI4199">
        <v>96.061571827201803</v>
      </c>
      <c r="AJ4199">
        <v>75.896079270074097</v>
      </c>
      <c r="AK4199">
        <v>10.476948713334</v>
      </c>
      <c r="AL4199">
        <v>87.984339210940206</v>
      </c>
      <c r="AM4199">
        <v>84.270323019201896</v>
      </c>
      <c r="AN4199">
        <v>0.99999996527702695</v>
      </c>
    </row>
    <row r="4200" spans="1:40" x14ac:dyDescent="0.25">
      <c r="A4200" t="str">
        <f>"20190312154338129"</f>
        <v>20190312154338129</v>
      </c>
      <c r="B4200" t="str">
        <f>"1552376618121806"</f>
        <v>1552376618121806</v>
      </c>
      <c r="C4200" t="s">
        <v>40</v>
      </c>
      <c r="D4200">
        <v>5.3542579999999997</v>
      </c>
      <c r="E4200">
        <v>0.57635190000000003</v>
      </c>
      <c r="F4200" t="s">
        <v>49</v>
      </c>
      <c r="G4200">
        <v>-209.47120000000001</v>
      </c>
      <c r="H4200" s="1">
        <v>6.514475E-6</v>
      </c>
      <c r="I4200">
        <v>213.50210000000001</v>
      </c>
      <c r="J4200">
        <v>-218.39410000000001</v>
      </c>
      <c r="K4200">
        <v>1.1060840000000001</v>
      </c>
      <c r="L4200">
        <v>216.54519999999999</v>
      </c>
      <c r="M4200">
        <v>0.99939500000000003</v>
      </c>
      <c r="N4200">
        <v>0</v>
      </c>
      <c r="O4200">
        <v>-3.1842299999999997E-2</v>
      </c>
      <c r="P4200">
        <v>0.99086099999999999</v>
      </c>
      <c r="Q4200">
        <v>2.0825659999999999E-2</v>
      </c>
      <c r="R4200">
        <v>-0.13327120000000001</v>
      </c>
      <c r="S4200">
        <v>2.9106900000000002</v>
      </c>
      <c r="T4200">
        <v>-0.34738790000000003</v>
      </c>
      <c r="U4200">
        <v>-0.95996090000000001</v>
      </c>
      <c r="V4200">
        <v>0.1020035</v>
      </c>
      <c r="W4200">
        <v>3.369105E-2</v>
      </c>
      <c r="X4200">
        <v>0.99421329999999997</v>
      </c>
      <c r="Y4200">
        <v>0.28121620000000003</v>
      </c>
      <c r="Z4200">
        <v>-1.2609489999999999E-2</v>
      </c>
      <c r="AA4200">
        <v>0.95956160000000001</v>
      </c>
      <c r="AB4200">
        <v>34</v>
      </c>
      <c r="AC4200">
        <v>8.9228999999999896</v>
      </c>
      <c r="AD4200">
        <v>-1.106077485525</v>
      </c>
      <c r="AE4200">
        <v>-3.0430999999999799</v>
      </c>
      <c r="AF4200">
        <v>2.7199630033478699</v>
      </c>
      <c r="AG4200">
        <v>-1.106077485525</v>
      </c>
      <c r="AH4200">
        <v>8.8928733991523803</v>
      </c>
      <c r="AI4200">
        <v>96.782836869729806</v>
      </c>
      <c r="AJ4200">
        <v>72.993290511895594</v>
      </c>
      <c r="AK4200">
        <v>9.3650842728145491</v>
      </c>
      <c r="AL4200">
        <v>88.0692795448591</v>
      </c>
      <c r="AM4200">
        <v>84.142109862851001</v>
      </c>
      <c r="AN4200">
        <v>0.99999994337961895</v>
      </c>
    </row>
    <row r="4201" spans="1:40" x14ac:dyDescent="0.25">
      <c r="A4201" t="str">
        <f>"20190312154338151"</f>
        <v>20190312154338151</v>
      </c>
      <c r="B4201" t="str">
        <f>"1552376618141322"</f>
        <v>1552376618141322</v>
      </c>
      <c r="C4201" t="s">
        <v>40</v>
      </c>
      <c r="D4201">
        <v>5.2924509999999998</v>
      </c>
      <c r="E4201">
        <v>0.57613130000000001</v>
      </c>
      <c r="F4201" t="s">
        <v>49</v>
      </c>
      <c r="G4201">
        <v>-209.60570000000001</v>
      </c>
      <c r="H4201" s="1">
        <v>6.5701360000000001E-6</v>
      </c>
      <c r="I4201">
        <v>213.54750000000001</v>
      </c>
      <c r="J4201">
        <v>-218.04730000000001</v>
      </c>
      <c r="K4201">
        <v>1.105855</v>
      </c>
      <c r="L4201">
        <v>216.52889999999999</v>
      </c>
      <c r="M4201">
        <v>0.99920900000000001</v>
      </c>
      <c r="N4201">
        <v>0</v>
      </c>
      <c r="O4201">
        <v>-3.7216249999999999E-2</v>
      </c>
      <c r="P4201">
        <v>0.98977309999999996</v>
      </c>
      <c r="Q4201">
        <v>2.043536E-2</v>
      </c>
      <c r="R4201">
        <v>-0.14117959999999999</v>
      </c>
      <c r="S4201">
        <v>2.9022060000000001</v>
      </c>
      <c r="T4201">
        <v>-0.3652589</v>
      </c>
      <c r="U4201">
        <v>-0.98991390000000001</v>
      </c>
      <c r="V4201">
        <v>0.1046118</v>
      </c>
      <c r="W4201">
        <v>3.3225449999999997E-2</v>
      </c>
      <c r="X4201">
        <v>0.99395800000000001</v>
      </c>
      <c r="Y4201">
        <v>0.28562609999999999</v>
      </c>
      <c r="Z4201">
        <v>-1.2884899999999999E-2</v>
      </c>
      <c r="AA4201">
        <v>0.95825450000000001</v>
      </c>
      <c r="AB4201">
        <v>34</v>
      </c>
      <c r="AC4201">
        <v>8.4415999999999904</v>
      </c>
      <c r="AD4201">
        <v>-1.1058484298639999</v>
      </c>
      <c r="AE4201">
        <v>-2.9813999999999701</v>
      </c>
      <c r="AF4201">
        <v>2.62508568270585</v>
      </c>
      <c r="AG4201">
        <v>-1.1058484298639999</v>
      </c>
      <c r="AH4201">
        <v>8.4182741088823896</v>
      </c>
      <c r="AI4201">
        <v>97.147977945341495</v>
      </c>
      <c r="AJ4201">
        <v>72.680860183542805</v>
      </c>
      <c r="AK4201">
        <v>8.8871432172357494</v>
      </c>
      <c r="AL4201">
        <v>88.095971575641698</v>
      </c>
      <c r="AM4201">
        <v>83.991869633571199</v>
      </c>
      <c r="AN4201">
        <v>1.0000000324954701</v>
      </c>
    </row>
    <row r="4202" spans="1:40" x14ac:dyDescent="0.25">
      <c r="A4202" t="str">
        <f>"20190312154338174"</f>
        <v>20190312154338174</v>
      </c>
      <c r="B4202" t="str">
        <f>"1552376618161818"</f>
        <v>1552376618161818</v>
      </c>
      <c r="C4202" t="s">
        <v>40</v>
      </c>
      <c r="D4202">
        <v>5.3116219999999998</v>
      </c>
      <c r="E4202">
        <v>0.57584109999999999</v>
      </c>
      <c r="F4202" t="s">
        <v>49</v>
      </c>
      <c r="G4202">
        <v>-209.2578</v>
      </c>
      <c r="H4202" s="1">
        <v>6.4238619999999998E-6</v>
      </c>
      <c r="I4202">
        <v>213.45599999999999</v>
      </c>
      <c r="J4202">
        <v>-217.7029</v>
      </c>
      <c r="K4202">
        <v>1.1056509999999999</v>
      </c>
      <c r="L4202">
        <v>216.51070000000001</v>
      </c>
      <c r="M4202">
        <v>0.99898739999999997</v>
      </c>
      <c r="N4202">
        <v>0</v>
      </c>
      <c r="O4202">
        <v>-4.2749910000000002E-2</v>
      </c>
      <c r="P4202">
        <v>0.9885581</v>
      </c>
      <c r="Q4202">
        <v>2.0627099999999999E-2</v>
      </c>
      <c r="R4202">
        <v>-0.149425799999999</v>
      </c>
      <c r="S4202">
        <v>2.89418</v>
      </c>
      <c r="T4202">
        <v>-0.36412810000000001</v>
      </c>
      <c r="U4202">
        <v>-1.0118100000000001</v>
      </c>
      <c r="V4202">
        <v>0.1074116</v>
      </c>
      <c r="W4202">
        <v>3.3343159999999997E-2</v>
      </c>
      <c r="X4202">
        <v>0.99365539999999997</v>
      </c>
      <c r="Y4202">
        <v>0.28764000000000001</v>
      </c>
      <c r="Z4202">
        <v>-1.2315130000000001E-2</v>
      </c>
      <c r="AA4202">
        <v>0.95765940000000005</v>
      </c>
      <c r="AB4202">
        <v>34</v>
      </c>
      <c r="AC4202">
        <v>8.4450999999999894</v>
      </c>
      <c r="AD4202">
        <v>-1.105644576138</v>
      </c>
      <c r="AE4202">
        <v>-3.05470000000002</v>
      </c>
      <c r="AF4202">
        <v>2.6506671401160999</v>
      </c>
      <c r="AG4202">
        <v>-1.105644576138</v>
      </c>
      <c r="AH4202">
        <v>8.4400506264413409</v>
      </c>
      <c r="AI4202">
        <v>97.123948708276203</v>
      </c>
      <c r="AJ4202">
        <v>72.564675907490496</v>
      </c>
      <c r="AK4202">
        <v>8.9153205659318608</v>
      </c>
      <c r="AL4202">
        <v>88.089223557509897</v>
      </c>
      <c r="AM4202">
        <v>83.830429365962999</v>
      </c>
      <c r="AN4202">
        <v>1.00000003604125</v>
      </c>
    </row>
    <row r="4203" spans="1:40" x14ac:dyDescent="0.25">
      <c r="A4203" t="str">
        <f>"20190312154338200"</f>
        <v>20190312154338200</v>
      </c>
      <c r="B4203" t="str">
        <f>"1552376618192074"</f>
        <v>1552376618192074</v>
      </c>
      <c r="C4203" t="s">
        <v>40</v>
      </c>
      <c r="D4203">
        <v>5.3269529999999996</v>
      </c>
      <c r="E4203">
        <v>0.57611440000000003</v>
      </c>
      <c r="F4203" t="s">
        <v>49</v>
      </c>
      <c r="G4203">
        <v>-208.9075</v>
      </c>
      <c r="H4203" s="1">
        <v>6.2772760000000002E-6</v>
      </c>
      <c r="I4203">
        <v>213.3562</v>
      </c>
      <c r="J4203">
        <v>-217.29859999999999</v>
      </c>
      <c r="K4203">
        <v>1.1054409999999999</v>
      </c>
      <c r="L4203">
        <v>216.48670000000001</v>
      </c>
      <c r="M4203">
        <v>0.99867669999999997</v>
      </c>
      <c r="N4203">
        <v>0</v>
      </c>
      <c r="O4203">
        <v>-4.9473200000000002E-2</v>
      </c>
      <c r="P4203">
        <v>0.98715439999999999</v>
      </c>
      <c r="Q4203">
        <v>2.1242460000000001E-2</v>
      </c>
      <c r="R4203">
        <v>-0.1583504</v>
      </c>
      <c r="S4203">
        <v>2.8858489999999999</v>
      </c>
      <c r="T4203">
        <v>-0.3627744</v>
      </c>
      <c r="U4203">
        <v>-1.035034</v>
      </c>
      <c r="V4203">
        <v>0.1097262</v>
      </c>
      <c r="W4203">
        <v>3.3886920000000001E-2</v>
      </c>
      <c r="X4203">
        <v>0.99338409999999999</v>
      </c>
      <c r="Y4203">
        <v>0.28895120000000002</v>
      </c>
      <c r="Z4203">
        <v>-1.155399E-2</v>
      </c>
      <c r="AA4203">
        <v>0.95727410000000002</v>
      </c>
      <c r="AB4203">
        <v>34</v>
      </c>
      <c r="AC4203">
        <v>8.3910999999999891</v>
      </c>
      <c r="AD4203">
        <v>-1.10543472272399</v>
      </c>
      <c r="AE4203">
        <v>-3.1305000000000098</v>
      </c>
      <c r="AF4203">
        <v>2.6708013638132799</v>
      </c>
      <c r="AG4203">
        <v>-1.10543472272399</v>
      </c>
      <c r="AH4203">
        <v>8.4076259589717495</v>
      </c>
      <c r="AI4203">
        <v>97.142471240393604</v>
      </c>
      <c r="AJ4203">
        <v>72.376813211728603</v>
      </c>
      <c r="AK4203">
        <v>8.8906321550903495</v>
      </c>
      <c r="AL4203">
        <v>88.058050846675101</v>
      </c>
      <c r="AM4203">
        <v>83.696833235461398</v>
      </c>
      <c r="AN4203">
        <v>1.0000000662231601</v>
      </c>
    </row>
    <row r="4204" spans="1:40" x14ac:dyDescent="0.25">
      <c r="A4204" t="str">
        <f>"20190312154338220"</f>
        <v>20190312154338220</v>
      </c>
      <c r="B4204" t="str">
        <f>"1552376618201835"</f>
        <v>1552376618201835</v>
      </c>
      <c r="C4204" t="s">
        <v>40</v>
      </c>
      <c r="D4204">
        <v>5.2707620000000004</v>
      </c>
      <c r="E4204">
        <v>0.57620059999999995</v>
      </c>
      <c r="F4204" t="s">
        <v>49</v>
      </c>
      <c r="G4204">
        <v>-208.4864</v>
      </c>
      <c r="H4204" s="1">
        <v>6.1018550000000002E-6</v>
      </c>
      <c r="I4204">
        <v>213.22659999999999</v>
      </c>
      <c r="J4204">
        <v>-216.99809999999999</v>
      </c>
      <c r="K4204">
        <v>1.1052930000000001</v>
      </c>
      <c r="L4204">
        <v>216.46700000000001</v>
      </c>
      <c r="M4204">
        <v>0.99840830000000003</v>
      </c>
      <c r="N4204">
        <v>0</v>
      </c>
      <c r="O4204">
        <v>-5.4622560000000001E-2</v>
      </c>
      <c r="P4204">
        <v>0.98588189999999998</v>
      </c>
      <c r="Q4204">
        <v>2.1748549999999998E-2</v>
      </c>
      <c r="R4204">
        <v>-0.1660249</v>
      </c>
      <c r="S4204">
        <v>2.8761139999999998</v>
      </c>
      <c r="T4204">
        <v>-0.3607919</v>
      </c>
      <c r="U4204">
        <v>-1.0640259999999999</v>
      </c>
      <c r="V4204">
        <v>0.11235050000000001</v>
      </c>
      <c r="W4204">
        <v>3.432822E-2</v>
      </c>
      <c r="X4204">
        <v>0.9930755</v>
      </c>
      <c r="Y4204">
        <v>0.29357739999999999</v>
      </c>
      <c r="Z4204">
        <v>-1.116924E-2</v>
      </c>
      <c r="AA4204">
        <v>0.95587</v>
      </c>
      <c r="AB4204">
        <v>34</v>
      </c>
      <c r="AC4204">
        <v>8.5116999999999905</v>
      </c>
      <c r="AD4204">
        <v>-1.1052868981449999</v>
      </c>
      <c r="AE4204">
        <v>-3.2404000000000202</v>
      </c>
      <c r="AF4204">
        <v>2.7303723034507401</v>
      </c>
      <c r="AG4204">
        <v>-1.1052868981449999</v>
      </c>
      <c r="AH4204">
        <v>8.5500826975498505</v>
      </c>
      <c r="AI4204">
        <v>97.020369923050495</v>
      </c>
      <c r="AJ4204">
        <v>72.2897051008175</v>
      </c>
      <c r="AK4204">
        <v>9.0432574981365708</v>
      </c>
      <c r="AL4204">
        <v>88.032751380412805</v>
      </c>
      <c r="AM4204">
        <v>83.545350178271704</v>
      </c>
      <c r="AN4204">
        <v>1.00000000511943</v>
      </c>
    </row>
    <row r="4205" spans="1:40" x14ac:dyDescent="0.25">
      <c r="A4205" t="str">
        <f>"20190312154338242"</f>
        <v>20190312154338242</v>
      </c>
      <c r="B4205" t="str">
        <f>"1552376618232090"</f>
        <v>1552376618232090</v>
      </c>
      <c r="C4205" t="s">
        <v>40</v>
      </c>
      <c r="D4205">
        <v>5.3143630000000002</v>
      </c>
      <c r="E4205">
        <v>0.57648189999999999</v>
      </c>
      <c r="F4205" t="s">
        <v>49</v>
      </c>
      <c r="G4205">
        <v>-208.13030000000001</v>
      </c>
      <c r="H4205" s="1">
        <v>5.9545910000000001E-6</v>
      </c>
      <c r="I4205">
        <v>213.10470000000001</v>
      </c>
      <c r="J4205">
        <v>-216.6566</v>
      </c>
      <c r="K4205">
        <v>1.105121</v>
      </c>
      <c r="L4205">
        <v>216.4426</v>
      </c>
      <c r="M4205">
        <v>0.9980618</v>
      </c>
      <c r="N4205">
        <v>0</v>
      </c>
      <c r="O4205">
        <v>-6.061967E-2</v>
      </c>
      <c r="P4205">
        <v>0.98452320000000004</v>
      </c>
      <c r="Q4205">
        <v>2.1962820000000001E-2</v>
      </c>
      <c r="R4205">
        <v>-0.17387359999999999</v>
      </c>
      <c r="S4205">
        <v>2.8677519999999999</v>
      </c>
      <c r="T4205">
        <v>-0.3574387</v>
      </c>
      <c r="U4205">
        <v>-1.0873409999999999</v>
      </c>
      <c r="V4205">
        <v>0.11431239999999999</v>
      </c>
      <c r="W4205">
        <v>3.4484519999999998E-2</v>
      </c>
      <c r="X4205">
        <v>0.99284609999999995</v>
      </c>
      <c r="Y4205">
        <v>0.29561100000000001</v>
      </c>
      <c r="Z4205">
        <v>-1.048818E-2</v>
      </c>
      <c r="AA4205">
        <v>0.95525079999999996</v>
      </c>
      <c r="AB4205">
        <v>34</v>
      </c>
      <c r="AC4205">
        <v>8.5262999999999902</v>
      </c>
      <c r="AD4205">
        <v>-1.105115045409</v>
      </c>
      <c r="AE4205">
        <v>-3.3378999999999901</v>
      </c>
      <c r="AF4205">
        <v>2.7744326624215399</v>
      </c>
      <c r="AG4205">
        <v>-1.105115045409</v>
      </c>
      <c r="AH4205">
        <v>8.5878801616263694</v>
      </c>
      <c r="AI4205">
        <v>96.981200815334404</v>
      </c>
      <c r="AJ4205">
        <v>72.096236570200901</v>
      </c>
      <c r="AK4205">
        <v>9.0923287188902595</v>
      </c>
      <c r="AL4205">
        <v>88.023790621146503</v>
      </c>
      <c r="AM4205">
        <v>83.432109131061196</v>
      </c>
      <c r="AN4205">
        <v>0.99999994259929803</v>
      </c>
    </row>
    <row r="4206" spans="1:40" x14ac:dyDescent="0.25">
      <c r="A4206" t="str">
        <f>"20190312154338275"</f>
        <v>20190312154338275</v>
      </c>
      <c r="B4206" t="str">
        <f>"1552376618261370"</f>
        <v>1552376618261370</v>
      </c>
      <c r="C4206" t="s">
        <v>40</v>
      </c>
      <c r="D4206">
        <v>5.3009559999999896</v>
      </c>
      <c r="E4206">
        <v>0.57673730000000001</v>
      </c>
      <c r="F4206" t="s">
        <v>49</v>
      </c>
      <c r="G4206">
        <v>-207.7903</v>
      </c>
      <c r="H4206" s="1">
        <v>5.813672E-6</v>
      </c>
      <c r="I4206">
        <v>212.99199999999999</v>
      </c>
      <c r="J4206">
        <v>-216.17429999999999</v>
      </c>
      <c r="K4206">
        <v>1.104919</v>
      </c>
      <c r="L4206">
        <v>216.40430000000001</v>
      </c>
      <c r="M4206">
        <v>0.9974944</v>
      </c>
      <c r="N4206">
        <v>0</v>
      </c>
      <c r="O4206">
        <v>-6.9329370000000001E-2</v>
      </c>
      <c r="P4206">
        <v>0.98242739999999995</v>
      </c>
      <c r="Q4206">
        <v>2.2618880000000001E-2</v>
      </c>
      <c r="R4206">
        <v>-0.1852702</v>
      </c>
      <c r="S4206">
        <v>2.8586429999999998</v>
      </c>
      <c r="T4206">
        <v>-0.35630620000000002</v>
      </c>
      <c r="U4206">
        <v>-1.1125179999999999</v>
      </c>
      <c r="V4206">
        <v>0.1171782</v>
      </c>
      <c r="W4206">
        <v>3.505925E-2</v>
      </c>
      <c r="X4206">
        <v>0.99249180000000004</v>
      </c>
      <c r="Y4206">
        <v>0.29567909999999997</v>
      </c>
      <c r="Z4206">
        <v>-9.4389969999999993E-3</v>
      </c>
      <c r="AA4206">
        <v>0.95524070000000005</v>
      </c>
      <c r="AB4206">
        <v>34</v>
      </c>
      <c r="AC4206">
        <v>8.3839999999999808</v>
      </c>
      <c r="AD4206">
        <v>-1.104913186328</v>
      </c>
      <c r="AE4206">
        <v>-3.4122999999999801</v>
      </c>
      <c r="AF4206">
        <v>2.7813309185209198</v>
      </c>
      <c r="AG4206">
        <v>-1.104913186328</v>
      </c>
      <c r="AH4206">
        <v>8.47415400828198</v>
      </c>
      <c r="AI4206">
        <v>97.0620621495774</v>
      </c>
      <c r="AJ4206">
        <v>71.829470842432897</v>
      </c>
      <c r="AK4206">
        <v>8.9870974726951491</v>
      </c>
      <c r="AL4206">
        <v>87.990841059321099</v>
      </c>
      <c r="AM4206">
        <v>83.266564591736199</v>
      </c>
      <c r="AN4206">
        <v>0.99999992731651799</v>
      </c>
    </row>
    <row r="4207" spans="1:40" x14ac:dyDescent="0.25">
      <c r="A4207" t="str">
        <f>"20190312154338296"</f>
        <v>20190312154338296</v>
      </c>
      <c r="B4207" t="str">
        <f>"1552376618281868"</f>
        <v>1552376618281868</v>
      </c>
      <c r="C4207" t="s">
        <v>40</v>
      </c>
      <c r="D4207">
        <v>5.3125119999999999</v>
      </c>
      <c r="E4207">
        <v>0.57669289999999995</v>
      </c>
      <c r="F4207" t="s">
        <v>49</v>
      </c>
      <c r="G4207">
        <v>-207.26589999999999</v>
      </c>
      <c r="H4207" s="1">
        <v>5.5967460000000001E-6</v>
      </c>
      <c r="I4207">
        <v>212.8134</v>
      </c>
      <c r="J4207">
        <v>-215.8348</v>
      </c>
      <c r="K4207">
        <v>1.1047929999999999</v>
      </c>
      <c r="L4207">
        <v>216.37459999999999</v>
      </c>
      <c r="M4207">
        <v>0.99703900000000001</v>
      </c>
      <c r="N4207">
        <v>0</v>
      </c>
      <c r="O4207">
        <v>-7.5595999999999997E-2</v>
      </c>
      <c r="P4207">
        <v>0.98085180000000005</v>
      </c>
      <c r="Q4207">
        <v>2.2731749999999998E-2</v>
      </c>
      <c r="R4207">
        <v>-0.1934254</v>
      </c>
      <c r="S4207">
        <v>2.8454899999999999</v>
      </c>
      <c r="T4207">
        <v>-0.35292770000000001</v>
      </c>
      <c r="U4207">
        <v>-1.1469879999999999</v>
      </c>
      <c r="V4207">
        <v>0.11919970000000001</v>
      </c>
      <c r="W4207">
        <v>3.5118339999999998E-2</v>
      </c>
      <c r="X4207">
        <v>0.99224900000000005</v>
      </c>
      <c r="Y4207">
        <v>0.3011915</v>
      </c>
      <c r="Z4207">
        <v>-8.9599629999999996E-3</v>
      </c>
      <c r="AA4207">
        <v>0.95352159999999997</v>
      </c>
      <c r="AB4207">
        <v>34</v>
      </c>
      <c r="AC4207">
        <v>8.56890000000001</v>
      </c>
      <c r="AD4207">
        <v>-1.1047874032539999</v>
      </c>
      <c r="AE4207">
        <v>-3.5611999999999799</v>
      </c>
      <c r="AF4207">
        <v>2.8625925389065299</v>
      </c>
      <c r="AG4207">
        <v>-1.1047874032539999</v>
      </c>
      <c r="AH4207">
        <v>8.6904306707257994</v>
      </c>
      <c r="AI4207">
        <v>96.884850371846994</v>
      </c>
      <c r="AJ4207">
        <v>71.768327099495195</v>
      </c>
      <c r="AK4207">
        <v>9.2162126978973191</v>
      </c>
      <c r="AL4207">
        <v>87.987453455568101</v>
      </c>
      <c r="AM4207">
        <v>83.149836873840599</v>
      </c>
      <c r="AN4207">
        <v>0.99999997214272196</v>
      </c>
    </row>
    <row r="4208" spans="1:40" x14ac:dyDescent="0.25">
      <c r="A4208" t="str">
        <f>"20190312154338319"</f>
        <v>20190312154338319</v>
      </c>
      <c r="B4208" t="str">
        <f>"1552376618312123"</f>
        <v>1552376618312123</v>
      </c>
      <c r="C4208" t="s">
        <v>40</v>
      </c>
      <c r="D4208">
        <v>5.3411460000000002</v>
      </c>
      <c r="E4208">
        <v>0.5766445</v>
      </c>
      <c r="F4208" t="s">
        <v>49</v>
      </c>
      <c r="G4208">
        <v>-207.02889999999999</v>
      </c>
      <c r="H4208" s="1">
        <v>5.4976059999999901E-6</v>
      </c>
      <c r="I4208">
        <v>212.745</v>
      </c>
      <c r="J4208">
        <v>-215.4787</v>
      </c>
      <c r="K4208">
        <v>1.1046899999999999</v>
      </c>
      <c r="L4208">
        <v>216.34100000000001</v>
      </c>
      <c r="M4208">
        <v>0.99651149999999999</v>
      </c>
      <c r="N4208">
        <v>0</v>
      </c>
      <c r="O4208">
        <v>-8.2255800000000004E-2</v>
      </c>
      <c r="P4208">
        <v>0.97899480000000005</v>
      </c>
      <c r="Q4208">
        <v>2.2706770000000001E-2</v>
      </c>
      <c r="R4208">
        <v>-0.2026172</v>
      </c>
      <c r="S4208">
        <v>2.8362579999999999</v>
      </c>
      <c r="T4208">
        <v>-0.35583530000000002</v>
      </c>
      <c r="U4208">
        <v>-1.1690370000000001</v>
      </c>
      <c r="V4208">
        <v>0.1218863</v>
      </c>
      <c r="W4208">
        <v>3.5033040000000001E-2</v>
      </c>
      <c r="X4208">
        <v>0.99192559999999996</v>
      </c>
      <c r="Y4208">
        <v>0.302262799999999</v>
      </c>
      <c r="Z4208">
        <v>-8.3206909999999999E-3</v>
      </c>
      <c r="AA4208">
        <v>0.95318829999999999</v>
      </c>
      <c r="AB4208">
        <v>34</v>
      </c>
      <c r="AC4208">
        <v>8.4498000000000104</v>
      </c>
      <c r="AD4208">
        <v>-1.104684502394</v>
      </c>
      <c r="AE4208">
        <v>-3.5959999999999699</v>
      </c>
      <c r="AF4208">
        <v>2.84749196478983</v>
      </c>
      <c r="AG4208">
        <v>-1.104684502394</v>
      </c>
      <c r="AH4208">
        <v>8.59263889829856</v>
      </c>
      <c r="AI4208">
        <v>96.957711038781895</v>
      </c>
      <c r="AJ4208">
        <v>71.665455873652505</v>
      </c>
      <c r="AK4208">
        <v>9.1193191399317595</v>
      </c>
      <c r="AL4208">
        <v>87.992343830746805</v>
      </c>
      <c r="AM4208">
        <v>82.994699383293806</v>
      </c>
      <c r="AN4208">
        <v>0.99999998997734496</v>
      </c>
    </row>
    <row r="4209" spans="1:40" x14ac:dyDescent="0.25">
      <c r="A4209" t="str">
        <f>"20190312154338342"</f>
        <v>20190312154338342</v>
      </c>
      <c r="B4209" t="str">
        <f>"1552376618331642"</f>
        <v>1552376618331642</v>
      </c>
      <c r="C4209" t="s">
        <v>40</v>
      </c>
      <c r="D4209">
        <v>5.3368029999999997</v>
      </c>
      <c r="E4209">
        <v>0.57662630000000004</v>
      </c>
      <c r="F4209" t="s">
        <v>49</v>
      </c>
      <c r="G4209">
        <v>-206.797</v>
      </c>
      <c r="H4209" s="1">
        <v>5.4009439999999998E-6</v>
      </c>
      <c r="I4209">
        <v>212.67439999999999</v>
      </c>
      <c r="J4209">
        <v>-215.1463</v>
      </c>
      <c r="K4209">
        <v>1.1046199999999999</v>
      </c>
      <c r="L4209">
        <v>216.30760000000001</v>
      </c>
      <c r="M4209">
        <v>0.99597360000000001</v>
      </c>
      <c r="N4209">
        <v>0</v>
      </c>
      <c r="O4209">
        <v>-8.8528490000000001E-2</v>
      </c>
      <c r="P4209">
        <v>0.97703530000000005</v>
      </c>
      <c r="Q4209">
        <v>2.2022659999999999E-2</v>
      </c>
      <c r="R4209">
        <v>-0.21193600000000001</v>
      </c>
      <c r="S4209">
        <v>2.8257140000000001</v>
      </c>
      <c r="T4209">
        <v>-0.35955320000000002</v>
      </c>
      <c r="U4209">
        <v>-1.1934199999999999</v>
      </c>
      <c r="V4209">
        <v>0.1250879</v>
      </c>
      <c r="W4209">
        <v>3.4286280000000002E-2</v>
      </c>
      <c r="X4209">
        <v>0.99155309999999997</v>
      </c>
      <c r="Y4209">
        <v>0.30451080000000003</v>
      </c>
      <c r="Z4209">
        <v>-7.8058709999999998E-3</v>
      </c>
      <c r="AA4209">
        <v>0.95247689999999996</v>
      </c>
      <c r="AB4209">
        <v>34</v>
      </c>
      <c r="AC4209">
        <v>8.3492999999999995</v>
      </c>
      <c r="AD4209">
        <v>-1.1046145990559999</v>
      </c>
      <c r="AE4209">
        <v>-3.6332000000000102</v>
      </c>
      <c r="AF4209">
        <v>2.8379422618757801</v>
      </c>
      <c r="AG4209">
        <v>-1.1046145990559999</v>
      </c>
      <c r="AH4209">
        <v>8.5129032855520705</v>
      </c>
      <c r="AI4209">
        <v>97.017669353016004</v>
      </c>
      <c r="AJ4209">
        <v>71.563186522415606</v>
      </c>
      <c r="AK4209">
        <v>9.0412173983015993</v>
      </c>
      <c r="AL4209">
        <v>88.035155851156802</v>
      </c>
      <c r="AM4209">
        <v>82.809918673073</v>
      </c>
      <c r="AN4209">
        <v>1.00000004092112</v>
      </c>
    </row>
    <row r="4210" spans="1:40" x14ac:dyDescent="0.25">
      <c r="A4210" t="str">
        <f>"20190312154338391"</f>
        <v>20190312154338391</v>
      </c>
      <c r="B4210" t="str">
        <f>"1552376618381418"</f>
        <v>1552376618381418</v>
      </c>
      <c r="C4210" t="s">
        <v>40</v>
      </c>
      <c r="D4210">
        <v>5.290432</v>
      </c>
      <c r="E4210">
        <v>0.57644549999999894</v>
      </c>
      <c r="F4210" t="s">
        <v>49</v>
      </c>
      <c r="G4210">
        <v>-206.6217</v>
      </c>
      <c r="H4210" s="1">
        <v>5.3282619999999997E-6</v>
      </c>
      <c r="I4210">
        <v>212.61670000000001</v>
      </c>
      <c r="J4210">
        <v>-214.4135</v>
      </c>
      <c r="K4210">
        <v>1.104527</v>
      </c>
      <c r="L4210">
        <v>216.2261</v>
      </c>
      <c r="M4210">
        <v>0.99463590000000002</v>
      </c>
      <c r="N4210">
        <v>0</v>
      </c>
      <c r="O4210">
        <v>-0.10246760000000001</v>
      </c>
      <c r="P4210">
        <v>0.97261540000000002</v>
      </c>
      <c r="Q4210">
        <v>2.135389E-2</v>
      </c>
      <c r="R4210">
        <v>-0.2314378</v>
      </c>
      <c r="S4210">
        <v>2.8144230000000001</v>
      </c>
      <c r="T4210">
        <v>-0.36469289999999999</v>
      </c>
      <c r="U4210">
        <v>-1.2185520000000001</v>
      </c>
      <c r="V4210">
        <v>0.13103319999999999</v>
      </c>
      <c r="W4210">
        <v>3.3509480000000001E-2</v>
      </c>
      <c r="X4210">
        <v>0.99081149999999996</v>
      </c>
      <c r="Y4210">
        <v>0.29981370000000002</v>
      </c>
      <c r="Z4210">
        <v>-5.9435240000000004E-3</v>
      </c>
      <c r="AA4210">
        <v>0.95397929999999997</v>
      </c>
      <c r="AB4210">
        <v>34</v>
      </c>
      <c r="AC4210">
        <v>7.7917999999999896</v>
      </c>
      <c r="AD4210">
        <v>-1.104521671738</v>
      </c>
      <c r="AE4210">
        <v>-3.6093999999999902</v>
      </c>
      <c r="AF4210">
        <v>2.74647252325728</v>
      </c>
      <c r="AG4210">
        <v>-1.104521671738</v>
      </c>
      <c r="AH4210">
        <v>7.9884985850720103</v>
      </c>
      <c r="AI4210">
        <v>97.449292845334</v>
      </c>
      <c r="AJ4210">
        <v>71.026858864111801</v>
      </c>
      <c r="AK4210">
        <v>8.5193420572273997</v>
      </c>
      <c r="AL4210">
        <v>88.079688739144103</v>
      </c>
      <c r="AM4210">
        <v>82.466443612425493</v>
      </c>
      <c r="AN4210">
        <v>1.0000000066421799</v>
      </c>
    </row>
    <row r="4211" spans="1:40" x14ac:dyDescent="0.25">
      <c r="A4211" t="str">
        <f>"20190312154338408"</f>
        <v>20190312154338408</v>
      </c>
      <c r="B4211" t="str">
        <f>"1552376618401915"</f>
        <v>1552376618401915</v>
      </c>
      <c r="C4211" t="s">
        <v>40</v>
      </c>
      <c r="D4211">
        <v>5.4712839999999998</v>
      </c>
      <c r="E4211">
        <v>0.56869269999999905</v>
      </c>
      <c r="F4211" t="s">
        <v>49</v>
      </c>
      <c r="G4211">
        <v>-206.01750000000001</v>
      </c>
      <c r="H4211" s="1">
        <v>5.0796789999999999E-6</v>
      </c>
      <c r="I4211">
        <v>212.3954</v>
      </c>
      <c r="J4211">
        <v>-214.13249999999999</v>
      </c>
      <c r="K4211">
        <v>1.104501</v>
      </c>
      <c r="L4211">
        <v>216.19210000000001</v>
      </c>
      <c r="M4211">
        <v>0.99406890000000003</v>
      </c>
      <c r="N4211">
        <v>0</v>
      </c>
      <c r="O4211">
        <v>-0.1078301</v>
      </c>
      <c r="P4211">
        <v>0.97081170000000006</v>
      </c>
      <c r="Q4211">
        <v>2.1421369999999999E-2</v>
      </c>
      <c r="R4211">
        <v>-0.23888429999999999</v>
      </c>
      <c r="S4211">
        <v>2.7896730000000001</v>
      </c>
      <c r="T4211">
        <v>-0.36699219999999999</v>
      </c>
      <c r="U4211">
        <v>-1.2728120000000001</v>
      </c>
      <c r="V4211">
        <v>0.13328589999999901</v>
      </c>
      <c r="W4211">
        <v>3.3538560000000002E-2</v>
      </c>
      <c r="X4211">
        <v>0.99051</v>
      </c>
      <c r="Y4211">
        <v>0.31311250000000002</v>
      </c>
      <c r="Z4211">
        <v>-6.1806689999999997E-3</v>
      </c>
      <c r="AA4211">
        <v>0.94969590000000004</v>
      </c>
      <c r="AB4211">
        <v>34</v>
      </c>
      <c r="AC4211">
        <v>8.1149999999999807</v>
      </c>
      <c r="AD4211">
        <v>-1.1044959203210001</v>
      </c>
      <c r="AE4211">
        <v>-3.7967000000000102</v>
      </c>
      <c r="AF4211">
        <v>2.8560239388836299</v>
      </c>
      <c r="AG4211">
        <v>-1.1044959203210001</v>
      </c>
      <c r="AH4211">
        <v>8.3502080845670594</v>
      </c>
      <c r="AI4211">
        <v>97.133679114288398</v>
      </c>
      <c r="AJ4211">
        <v>71.117759238418202</v>
      </c>
      <c r="AK4211">
        <v>8.8939731859867504</v>
      </c>
      <c r="AL4211">
        <v>88.078021653291401</v>
      </c>
      <c r="AM4211">
        <v>82.336149272985594</v>
      </c>
      <c r="AN4211">
        <v>1.0000000131228399</v>
      </c>
    </row>
    <row r="4212" spans="1:40" x14ac:dyDescent="0.25">
      <c r="A4212" t="str">
        <f>"20190312154338432"</f>
        <v>20190312154338432</v>
      </c>
      <c r="B4212" t="str">
        <f>"1552376618421435"</f>
        <v>1552376618421435</v>
      </c>
      <c r="C4212" t="s">
        <v>40</v>
      </c>
      <c r="D4212">
        <v>5.4626869999999998</v>
      </c>
      <c r="E4212">
        <v>0.56853569999999998</v>
      </c>
      <c r="F4212" t="s">
        <v>49</v>
      </c>
      <c r="G4212">
        <v>-206.80119999999999</v>
      </c>
      <c r="H4212" s="1">
        <v>5.3779109999999999E-6</v>
      </c>
      <c r="I4212">
        <v>212.9589</v>
      </c>
      <c r="J4212">
        <v>-213.7867</v>
      </c>
      <c r="K4212">
        <v>1.1044750000000001</v>
      </c>
      <c r="L4212">
        <v>216.148</v>
      </c>
      <c r="M4212">
        <v>0.99333110000000002</v>
      </c>
      <c r="N4212">
        <v>0</v>
      </c>
      <c r="O4212">
        <v>-0.114428</v>
      </c>
      <c r="P4212">
        <v>0.96856240000000005</v>
      </c>
      <c r="Q4212">
        <v>1.997695E-2</v>
      </c>
      <c r="R4212">
        <v>-0.24796869999999999</v>
      </c>
      <c r="S4212">
        <v>2.7960509999999998</v>
      </c>
      <c r="T4212">
        <v>-0.42123840000000001</v>
      </c>
      <c r="U4212">
        <v>-1.233093</v>
      </c>
      <c r="V4212">
        <v>0.13596620000000001</v>
      </c>
      <c r="W4212">
        <v>3.2050670000000003E-2</v>
      </c>
      <c r="X4212">
        <v>0.99019489999999999</v>
      </c>
      <c r="Y4212">
        <v>0.2944697</v>
      </c>
      <c r="Z4212">
        <v>-4.8225430000000003E-3</v>
      </c>
      <c r="AA4212">
        <v>0.95564870000000002</v>
      </c>
      <c r="AB4212">
        <v>34</v>
      </c>
      <c r="AC4212">
        <v>6.9855</v>
      </c>
      <c r="AD4212">
        <v>-1.104469622089</v>
      </c>
      <c r="AE4212">
        <v>-3.1890999999999901</v>
      </c>
      <c r="AF4212">
        <v>2.3207233281324502</v>
      </c>
      <c r="AG4212">
        <v>-1.104469622089</v>
      </c>
      <c r="AH4212">
        <v>7.1565197768102298</v>
      </c>
      <c r="AI4212">
        <v>98.351628345228406</v>
      </c>
      <c r="AJ4212">
        <v>72.033106782302497</v>
      </c>
      <c r="AK4212">
        <v>7.6040374294010098</v>
      </c>
      <c r="AL4212">
        <v>88.163317326424902</v>
      </c>
      <c r="AM4212">
        <v>82.181463808782397</v>
      </c>
      <c r="AN4212">
        <v>0.99999999648794902</v>
      </c>
    </row>
    <row r="4213" spans="1:40" x14ac:dyDescent="0.25">
      <c r="A4213" t="str">
        <f>"20190312154338456"</f>
        <v>20190312154338456</v>
      </c>
      <c r="B4213" t="str">
        <f>"1552376618451690"</f>
        <v>1552376618451690</v>
      </c>
      <c r="C4213" t="s">
        <v>40</v>
      </c>
      <c r="D4213">
        <v>5.3354850000000003</v>
      </c>
      <c r="E4213">
        <v>0.57127399999999995</v>
      </c>
      <c r="F4213" t="s">
        <v>49</v>
      </c>
      <c r="G4213">
        <v>-206.53290000000001</v>
      </c>
      <c r="H4213" s="1">
        <v>5.2668059999999999E-6</v>
      </c>
      <c r="I4213">
        <v>212.8689</v>
      </c>
      <c r="J4213">
        <v>-213.41460000000001</v>
      </c>
      <c r="K4213">
        <v>1.1044510000000001</v>
      </c>
      <c r="L4213">
        <v>216.09800000000001</v>
      </c>
      <c r="M4213">
        <v>0.99248729999999996</v>
      </c>
      <c r="N4213">
        <v>0</v>
      </c>
      <c r="O4213">
        <v>-0.1215287</v>
      </c>
      <c r="P4213">
        <v>0.96623870000000001</v>
      </c>
      <c r="Q4213">
        <v>1.7934229999999999E-2</v>
      </c>
      <c r="R4213">
        <v>-0.25702399999999997</v>
      </c>
      <c r="S4213">
        <v>2.7839360000000002</v>
      </c>
      <c r="T4213">
        <v>-0.42388150000000002</v>
      </c>
      <c r="U4213">
        <v>-1.2584839999999999</v>
      </c>
      <c r="V4213">
        <v>0.1381211</v>
      </c>
      <c r="W4213">
        <v>2.9972660000000002E-2</v>
      </c>
      <c r="X4213">
        <v>0.98996170000000006</v>
      </c>
      <c r="Y4213">
        <v>0.29645739999999998</v>
      </c>
      <c r="Z4213">
        <v>-4.0011650000000001E-3</v>
      </c>
      <c r="AA4213">
        <v>0.95503769999999999</v>
      </c>
      <c r="AB4213">
        <v>34</v>
      </c>
      <c r="AC4213">
        <v>6.8816999999999897</v>
      </c>
      <c r="AD4213">
        <v>-1.1044457331940001</v>
      </c>
      <c r="AE4213">
        <v>-3.2290999999999799</v>
      </c>
      <c r="AF4213">
        <v>2.3197841592158999</v>
      </c>
      <c r="AG4213">
        <v>-1.1044457331940001</v>
      </c>
      <c r="AH4213">
        <v>7.0738258163874699</v>
      </c>
      <c r="AI4213">
        <v>98.438706172506599</v>
      </c>
      <c r="AJ4213">
        <v>71.843659332861506</v>
      </c>
      <c r="AK4213">
        <v>7.5259690806904898</v>
      </c>
      <c r="AL4213">
        <v>88.282435821338098</v>
      </c>
      <c r="AM4213">
        <v>82.057271368317203</v>
      </c>
      <c r="AN4213">
        <v>0.99999998303978699</v>
      </c>
    </row>
    <row r="4214" spans="1:40" x14ac:dyDescent="0.25">
      <c r="A4214" t="str">
        <f>"20190312154338478"</f>
        <v>20190312154338478</v>
      </c>
      <c r="B4214" t="str">
        <f>"1552376618471211"</f>
        <v>1552376618471211</v>
      </c>
      <c r="C4214" t="s">
        <v>40</v>
      </c>
      <c r="D4214">
        <v>5.3746419999999997</v>
      </c>
      <c r="E4214">
        <v>0.57371039999999995</v>
      </c>
      <c r="F4214" t="s">
        <v>49</v>
      </c>
      <c r="G4214">
        <v>-205.44550000000001</v>
      </c>
      <c r="H4214" s="1">
        <v>4.83163E-6</v>
      </c>
      <c r="I4214">
        <v>212.33090000000001</v>
      </c>
      <c r="J4214">
        <v>-213.09719999999999</v>
      </c>
      <c r="K4214">
        <v>1.1044419999999999</v>
      </c>
      <c r="L4214">
        <v>216.0531</v>
      </c>
      <c r="M4214">
        <v>0.99172689999999997</v>
      </c>
      <c r="N4214">
        <v>0</v>
      </c>
      <c r="O4214">
        <v>-0.12758439999999999</v>
      </c>
      <c r="P4214">
        <v>0.96415969999999995</v>
      </c>
      <c r="Q4214">
        <v>1.7301899999999999E-2</v>
      </c>
      <c r="R4214">
        <v>-0.26475850000000001</v>
      </c>
      <c r="S4214">
        <v>2.7643279999999999</v>
      </c>
      <c r="T4214">
        <v>-0.3831116</v>
      </c>
      <c r="U4214">
        <v>-1.306732</v>
      </c>
      <c r="V4214">
        <v>0.14000190000000001</v>
      </c>
      <c r="W4214">
        <v>2.931015E-2</v>
      </c>
      <c r="X4214">
        <v>0.98971730000000002</v>
      </c>
      <c r="Y4214">
        <v>0.30713030000000002</v>
      </c>
      <c r="Z4214">
        <v>-3.5556759999999998E-3</v>
      </c>
      <c r="AA4214">
        <v>0.95166079999999997</v>
      </c>
      <c r="AB4214">
        <v>34</v>
      </c>
      <c r="AC4214">
        <v>7.6516999999999697</v>
      </c>
      <c r="AD4214">
        <v>-1.1044371683699901</v>
      </c>
      <c r="AE4214">
        <v>-3.72219999999998</v>
      </c>
      <c r="AF4214">
        <v>2.6704506358840399</v>
      </c>
      <c r="AG4214">
        <v>-1.1044371683699901</v>
      </c>
      <c r="AH4214">
        <v>7.9304923637565201</v>
      </c>
      <c r="AI4214">
        <v>97.518604616569505</v>
      </c>
      <c r="AJ4214">
        <v>71.389973373720196</v>
      </c>
      <c r="AK4214">
        <v>8.4406040772666895</v>
      </c>
      <c r="AL4214">
        <v>88.320411523384706</v>
      </c>
      <c r="AM4214">
        <v>81.948561494992106</v>
      </c>
      <c r="AN4214">
        <v>0.99999997540796004</v>
      </c>
    </row>
    <row r="4215" spans="1:40" x14ac:dyDescent="0.25">
      <c r="A4215" t="str">
        <f>"20190312154338520"</f>
        <v>20190312154338520</v>
      </c>
      <c r="B4215" t="str">
        <f>"1552376618511731"</f>
        <v>1552376618511731</v>
      </c>
      <c r="C4215" t="s">
        <v>40</v>
      </c>
      <c r="D4215">
        <v>5.3194619999999997</v>
      </c>
      <c r="E4215">
        <v>0.57143120000000003</v>
      </c>
      <c r="F4215" t="s">
        <v>49</v>
      </c>
      <c r="G4215">
        <v>-204.696</v>
      </c>
      <c r="H4215" s="1">
        <v>4.5342739999999996E-6</v>
      </c>
      <c r="I4215">
        <v>211.9306</v>
      </c>
      <c r="J4215">
        <v>-212.46780000000001</v>
      </c>
      <c r="K4215">
        <v>1.1044240000000001</v>
      </c>
      <c r="L4215">
        <v>215.95840000000001</v>
      </c>
      <c r="M4215">
        <v>0.9901027</v>
      </c>
      <c r="N4215">
        <v>0</v>
      </c>
      <c r="O4215">
        <v>-0.13963029999999901</v>
      </c>
      <c r="P4215">
        <v>0.96018309999999996</v>
      </c>
      <c r="Q4215">
        <v>1.681446E-2</v>
      </c>
      <c r="R4215">
        <v>-0.278866</v>
      </c>
      <c r="S4215">
        <v>2.747757</v>
      </c>
      <c r="T4215">
        <v>-0.36122789999999999</v>
      </c>
      <c r="U4215">
        <v>-1.3483579999999999</v>
      </c>
      <c r="V4215">
        <v>0.14247509999999999</v>
      </c>
      <c r="W4215">
        <v>2.8781089999999999E-2</v>
      </c>
      <c r="X4215">
        <v>0.98937989999999998</v>
      </c>
      <c r="Y4215">
        <v>0.30968519999999999</v>
      </c>
      <c r="Z4215">
        <v>-2.0637139999999999E-3</v>
      </c>
      <c r="AA4215">
        <v>0.95083689999999998</v>
      </c>
      <c r="AB4215">
        <v>34</v>
      </c>
      <c r="AC4215">
        <v>7.7718000000000096</v>
      </c>
      <c r="AD4215">
        <v>-1.104419465726</v>
      </c>
      <c r="AE4215">
        <v>-4.0278000000000098</v>
      </c>
      <c r="AF4215">
        <v>2.8575590960975399</v>
      </c>
      <c r="AG4215">
        <v>-1.104419465726</v>
      </c>
      <c r="AH4215">
        <v>8.1287118729136498</v>
      </c>
      <c r="AI4215">
        <v>97.304178727261899</v>
      </c>
      <c r="AJ4215">
        <v>70.631437236550497</v>
      </c>
      <c r="AK4215">
        <v>8.6868488565654101</v>
      </c>
      <c r="AL4215">
        <v>88.350737340683096</v>
      </c>
      <c r="AM4215">
        <v>81.805487352078998</v>
      </c>
      <c r="AN4215">
        <v>1.0000000458928</v>
      </c>
    </row>
    <row r="4216" spans="1:40" x14ac:dyDescent="0.25">
      <c r="A4216" t="str">
        <f>"20190312154338543"</f>
        <v>20190312154338543</v>
      </c>
      <c r="B4216" t="str">
        <f>"1552376618531252"</f>
        <v>1552376618531252</v>
      </c>
      <c r="C4216" t="s">
        <v>40</v>
      </c>
      <c r="D4216">
        <v>5.2691119999999998</v>
      </c>
      <c r="E4216">
        <v>0.57077999999999995</v>
      </c>
      <c r="F4216" t="s">
        <v>49</v>
      </c>
      <c r="G4216">
        <v>-204.4556</v>
      </c>
      <c r="H4216" s="1">
        <v>4.4268389999999997E-6</v>
      </c>
      <c r="I4216">
        <v>211.93969999999999</v>
      </c>
      <c r="J4216">
        <v>-212.1189</v>
      </c>
      <c r="K4216">
        <v>1.104398</v>
      </c>
      <c r="L4216">
        <v>215.9025</v>
      </c>
      <c r="M4216">
        <v>0.98913169999999995</v>
      </c>
      <c r="N4216">
        <v>0</v>
      </c>
      <c r="O4216">
        <v>-0.1463496</v>
      </c>
      <c r="P4216">
        <v>0.95818570000000003</v>
      </c>
      <c r="Q4216">
        <v>1.5763409999999999E-2</v>
      </c>
      <c r="R4216">
        <v>-0.28571370000000001</v>
      </c>
      <c r="S4216">
        <v>2.7328800000000002</v>
      </c>
      <c r="T4216">
        <v>-0.37670609999999999</v>
      </c>
      <c r="U4216">
        <v>-1.370743</v>
      </c>
      <c r="V4216">
        <v>0.1428045</v>
      </c>
      <c r="W4216">
        <v>2.7721490000000001E-2</v>
      </c>
      <c r="X4216">
        <v>0.98936259999999998</v>
      </c>
      <c r="Y4216">
        <v>0.31144899999999998</v>
      </c>
      <c r="Z4216">
        <v>-1.425497E-3</v>
      </c>
      <c r="AA4216">
        <v>0.95026180000000005</v>
      </c>
      <c r="AB4216">
        <v>34</v>
      </c>
      <c r="AC4216">
        <v>7.6632999999999898</v>
      </c>
      <c r="AD4216">
        <v>-1.104393573161</v>
      </c>
      <c r="AE4216">
        <v>-3.9628000000000099</v>
      </c>
      <c r="AF4216">
        <v>2.75337091153615</v>
      </c>
      <c r="AG4216">
        <v>-1.104393573161</v>
      </c>
      <c r="AH4216">
        <v>8.0292095658286495</v>
      </c>
      <c r="AI4216">
        <v>97.413083479260294</v>
      </c>
      <c r="AJ4216">
        <v>71.072168985769494</v>
      </c>
      <c r="AK4216">
        <v>8.5597279625539002</v>
      </c>
      <c r="AL4216">
        <v>88.411472086573895</v>
      </c>
      <c r="AM4216">
        <v>81.786658300883801</v>
      </c>
      <c r="AN4216">
        <v>0.99999998025341497</v>
      </c>
    </row>
    <row r="4217" spans="1:40" x14ac:dyDescent="0.25">
      <c r="A4217" t="str">
        <f>"20190312154338566"</f>
        <v>20190312154338566</v>
      </c>
      <c r="B4217" t="str">
        <f>"1552376618551748"</f>
        <v>1552376618551748</v>
      </c>
      <c r="C4217" t="s">
        <v>40</v>
      </c>
      <c r="D4217">
        <v>5.2471290000000002</v>
      </c>
      <c r="E4217">
        <v>0.5702545</v>
      </c>
      <c r="F4217" t="s">
        <v>49</v>
      </c>
      <c r="G4217">
        <v>-204.1867</v>
      </c>
      <c r="H4217" s="1">
        <v>4.3139259999999998E-6</v>
      </c>
      <c r="I4217">
        <v>211.8673</v>
      </c>
      <c r="J4217">
        <v>-211.7852</v>
      </c>
      <c r="K4217">
        <v>1.104365</v>
      </c>
      <c r="L4217">
        <v>215.8467</v>
      </c>
      <c r="M4217">
        <v>0.98815050000000004</v>
      </c>
      <c r="N4217">
        <v>0</v>
      </c>
      <c r="O4217">
        <v>-0.15283450000000001</v>
      </c>
      <c r="P4217">
        <v>0.95610919999999999</v>
      </c>
      <c r="Q4217">
        <v>1.501167E-2</v>
      </c>
      <c r="R4217">
        <v>-0.2926262</v>
      </c>
      <c r="S4217">
        <v>2.7239689999999999</v>
      </c>
      <c r="T4217">
        <v>-0.37925370000000003</v>
      </c>
      <c r="U4217">
        <v>-1.38569599999999</v>
      </c>
      <c r="V4217">
        <v>0.14344979999999999</v>
      </c>
      <c r="W4217">
        <v>2.6952159999999999E-2</v>
      </c>
      <c r="X4217">
        <v>0.98929049999999996</v>
      </c>
      <c r="Y4217">
        <v>0.31065209999999999</v>
      </c>
      <c r="Z4217">
        <v>-5.618744E-4</v>
      </c>
      <c r="AA4217">
        <v>0.95052360000000002</v>
      </c>
      <c r="AB4217">
        <v>34</v>
      </c>
      <c r="AC4217">
        <v>7.5984999999999996</v>
      </c>
      <c r="AD4217">
        <v>-1.1043606860740001</v>
      </c>
      <c r="AE4217">
        <v>-3.9793999999999898</v>
      </c>
      <c r="AF4217">
        <v>2.7260214689205799</v>
      </c>
      <c r="AG4217">
        <v>-1.1043606860740001</v>
      </c>
      <c r="AH4217">
        <v>7.98509533530917</v>
      </c>
      <c r="AI4217">
        <v>97.456814588470706</v>
      </c>
      <c r="AJ4217">
        <v>71.150674160042598</v>
      </c>
      <c r="AK4217">
        <v>8.5095565741076094</v>
      </c>
      <c r="AL4217">
        <v>88.455567927753904</v>
      </c>
      <c r="AM4217">
        <v>81.749460894192296</v>
      </c>
      <c r="AN4217">
        <v>0.99999997871947699</v>
      </c>
    </row>
    <row r="4218" spans="1:40" x14ac:dyDescent="0.25">
      <c r="A4218" t="str">
        <f>"20190312154338587"</f>
        <v>20190312154338587</v>
      </c>
      <c r="B4218" t="str">
        <f>"1552376618581449"</f>
        <v>1552376618581449</v>
      </c>
      <c r="C4218" t="s">
        <v>40</v>
      </c>
      <c r="D4218">
        <v>5.2019669999999998</v>
      </c>
      <c r="E4218">
        <v>0.56941090000000005</v>
      </c>
      <c r="F4218" t="s">
        <v>49</v>
      </c>
      <c r="G4218">
        <v>-203.93129999999999</v>
      </c>
      <c r="H4218" s="1">
        <v>4.2071260000000002E-6</v>
      </c>
      <c r="I4218">
        <v>211.7936</v>
      </c>
      <c r="J4218">
        <v>-211.46279999999999</v>
      </c>
      <c r="K4218">
        <v>1.104311</v>
      </c>
      <c r="L4218">
        <v>215.79060000000001</v>
      </c>
      <c r="M4218">
        <v>0.9871472</v>
      </c>
      <c r="N4218">
        <v>0</v>
      </c>
      <c r="O4218">
        <v>-0.1591861</v>
      </c>
      <c r="P4218">
        <v>0.95363229999999999</v>
      </c>
      <c r="Q4218">
        <v>1.442481E-2</v>
      </c>
      <c r="R4218">
        <v>-0.30062860000000002</v>
      </c>
      <c r="S4218">
        <v>2.7149049999999999</v>
      </c>
      <c r="T4218">
        <v>-0.38175140000000002</v>
      </c>
      <c r="U4218">
        <v>-1.401062</v>
      </c>
      <c r="V4218">
        <v>0.1453718</v>
      </c>
      <c r="W4218">
        <v>2.632058E-2</v>
      </c>
      <c r="X4218">
        <v>0.98902690000000004</v>
      </c>
      <c r="Y4218">
        <v>0.31011539999999999</v>
      </c>
      <c r="Z4218">
        <v>2.8046970000000001E-4</v>
      </c>
      <c r="AA4218">
        <v>0.95069890000000001</v>
      </c>
      <c r="AB4218">
        <v>34</v>
      </c>
      <c r="AC4218">
        <v>7.5314999999999896</v>
      </c>
      <c r="AD4218">
        <v>-1.104306792874</v>
      </c>
      <c r="AE4218">
        <v>-3.9970000000000101</v>
      </c>
      <c r="AF4218">
        <v>2.70167316466812</v>
      </c>
      <c r="AG4218">
        <v>-1.104306792874</v>
      </c>
      <c r="AH4218">
        <v>7.9386082520261301</v>
      </c>
      <c r="AI4218">
        <v>97.502041256081895</v>
      </c>
      <c r="AJ4218">
        <v>71.205494755316707</v>
      </c>
      <c r="AK4218">
        <v>8.4581340945041106</v>
      </c>
      <c r="AL4218">
        <v>88.491767630033706</v>
      </c>
      <c r="AM4218">
        <v>81.6382722420459</v>
      </c>
      <c r="AN4218">
        <v>0.999999971045192</v>
      </c>
    </row>
    <row r="4219" spans="1:40" x14ac:dyDescent="0.25">
      <c r="A4219" t="str">
        <f>"20190312154338611"</f>
        <v>20190312154338611</v>
      </c>
      <c r="B4219" t="str">
        <f>"1552376618601944"</f>
        <v>1552376618601944</v>
      </c>
      <c r="C4219" t="s">
        <v>40</v>
      </c>
      <c r="D4219">
        <v>5.1612689999999999</v>
      </c>
      <c r="E4219">
        <v>0.56125459999999905</v>
      </c>
      <c r="F4219" t="s">
        <v>49</v>
      </c>
      <c r="G4219">
        <v>-203.6465</v>
      </c>
      <c r="H4219" s="1">
        <v>4.0894880000000001E-6</v>
      </c>
      <c r="I4219">
        <v>211.69470000000001</v>
      </c>
      <c r="J4219">
        <v>-211.12469999999999</v>
      </c>
      <c r="K4219">
        <v>1.104228</v>
      </c>
      <c r="L4219">
        <v>215.72919999999999</v>
      </c>
      <c r="M4219">
        <v>0.98602849999999997</v>
      </c>
      <c r="N4219">
        <v>0</v>
      </c>
      <c r="O4219">
        <v>-0.16597390000000001</v>
      </c>
      <c r="P4219">
        <v>0.95075549999999998</v>
      </c>
      <c r="Q4219">
        <v>1.3235210000000001E-2</v>
      </c>
      <c r="R4219">
        <v>-0.30965959999999998</v>
      </c>
      <c r="S4219">
        <v>2.7048030000000001</v>
      </c>
      <c r="T4219">
        <v>-0.38214169999999997</v>
      </c>
      <c r="U4219">
        <v>-1.4173739999999999</v>
      </c>
      <c r="V4219">
        <v>0.14793229999999999</v>
      </c>
      <c r="W4219">
        <v>2.5068819999999999E-2</v>
      </c>
      <c r="X4219">
        <v>0.98867969999999905</v>
      </c>
      <c r="Y4219">
        <v>0.30958239999999998</v>
      </c>
      <c r="Z4219">
        <v>1.184678E-3</v>
      </c>
      <c r="AA4219">
        <v>0.95087189999999999</v>
      </c>
      <c r="AB4219">
        <v>33</v>
      </c>
      <c r="AC4219">
        <v>7.4781999999999798</v>
      </c>
      <c r="AD4219">
        <v>-1.104223910512</v>
      </c>
      <c r="AE4219">
        <v>-4.03449999999998</v>
      </c>
      <c r="AF4219">
        <v>2.6917623854269199</v>
      </c>
      <c r="AG4219">
        <v>-1.104223910512</v>
      </c>
      <c r="AH4219">
        <v>7.91055447344824</v>
      </c>
      <c r="AI4219">
        <v>97.527887400324303</v>
      </c>
      <c r="AJ4219">
        <v>71.207854299412503</v>
      </c>
      <c r="AK4219">
        <v>8.4286278397813792</v>
      </c>
      <c r="AL4219">
        <v>88.563511902181801</v>
      </c>
      <c r="AM4219">
        <v>81.490186322510993</v>
      </c>
      <c r="AN4219">
        <v>0.99999998015578495</v>
      </c>
    </row>
    <row r="4220" spans="1:40" x14ac:dyDescent="0.25">
      <c r="A4220" t="str">
        <f>"20190312154338636"</f>
        <v>20190312154338636</v>
      </c>
      <c r="B4220" t="str">
        <f>"1552376618621465"</f>
        <v>1552376618621465</v>
      </c>
      <c r="C4220" t="s">
        <v>40</v>
      </c>
      <c r="D4220">
        <v>5.155424</v>
      </c>
      <c r="E4220">
        <v>0.56254579999999998</v>
      </c>
      <c r="F4220" t="s">
        <v>49</v>
      </c>
      <c r="G4220">
        <v>-200.67689999999999</v>
      </c>
      <c r="H4220" s="1">
        <v>2.8868270000000002E-6</v>
      </c>
      <c r="I4220">
        <v>210.38810000000001</v>
      </c>
      <c r="J4220">
        <v>-210.75190000000001</v>
      </c>
      <c r="K4220">
        <v>1.1041259999999999</v>
      </c>
      <c r="L4220">
        <v>215.6584</v>
      </c>
      <c r="M4220">
        <v>0.98471019999999998</v>
      </c>
      <c r="N4220">
        <v>0</v>
      </c>
      <c r="O4220">
        <v>-0.17362339999999901</v>
      </c>
      <c r="P4220">
        <v>0.94745670000000004</v>
      </c>
      <c r="Q4220">
        <v>1.318393E-2</v>
      </c>
      <c r="R4220">
        <v>-0.31961289999999998</v>
      </c>
      <c r="S4220">
        <v>2.7084199999999998</v>
      </c>
      <c r="T4220">
        <v>-0.28625230000000002</v>
      </c>
      <c r="U4220">
        <v>-1.3845829999999999</v>
      </c>
      <c r="V4220">
        <v>0.15063089999999901</v>
      </c>
      <c r="W4220">
        <v>2.4944879999999999E-2</v>
      </c>
      <c r="X4220">
        <v>0.98827529999999997</v>
      </c>
      <c r="Y4220">
        <v>0.29313709999999998</v>
      </c>
      <c r="Z4220">
        <v>2.446784E-3</v>
      </c>
      <c r="AA4220">
        <v>0.95606729999999995</v>
      </c>
      <c r="AB4220">
        <v>33</v>
      </c>
      <c r="AC4220">
        <v>10.074999999999999</v>
      </c>
      <c r="AD4220">
        <v>-1.104123113173</v>
      </c>
      <c r="AE4220">
        <v>-5.27029999999999</v>
      </c>
      <c r="AF4220">
        <v>3.4086650804290901</v>
      </c>
      <c r="AG4220">
        <v>-1.104123113173</v>
      </c>
      <c r="AH4220">
        <v>10.735854512829199</v>
      </c>
      <c r="AI4220">
        <v>95.598381759108193</v>
      </c>
      <c r="AJ4220">
        <v>72.385205086157697</v>
      </c>
      <c r="AK4220">
        <v>11.3179793956437</v>
      </c>
      <c r="AL4220">
        <v>88.570615379328203</v>
      </c>
      <c r="AM4220">
        <v>81.333792607251695</v>
      </c>
      <c r="AN4220">
        <v>0.99999999183155697</v>
      </c>
    </row>
    <row r="4221" spans="1:40" x14ac:dyDescent="0.25">
      <c r="A4221" t="str">
        <f>"20190312154338656"</f>
        <v>20190312154338656</v>
      </c>
      <c r="B4221" t="str">
        <f>"1552376618641961"</f>
        <v>1552376618641961</v>
      </c>
      <c r="C4221" t="s">
        <v>40</v>
      </c>
      <c r="D4221">
        <v>5.0960799999999997</v>
      </c>
      <c r="E4221">
        <v>0.56649850000000002</v>
      </c>
      <c r="F4221" t="s">
        <v>49</v>
      </c>
      <c r="G4221">
        <v>-200.65870000000001</v>
      </c>
      <c r="H4221" s="1">
        <v>2.8844369999999998E-6</v>
      </c>
      <c r="I4221">
        <v>210.32300000000001</v>
      </c>
      <c r="J4221">
        <v>-210.44890000000001</v>
      </c>
      <c r="K4221">
        <v>1.1040509999999999</v>
      </c>
      <c r="L4221">
        <v>215.5986</v>
      </c>
      <c r="M4221">
        <v>0.98357309999999998</v>
      </c>
      <c r="N4221">
        <v>0</v>
      </c>
      <c r="O4221">
        <v>-0.17995139999999901</v>
      </c>
      <c r="P4221">
        <v>0.94440930000000001</v>
      </c>
      <c r="Q4221">
        <v>1.372406E-2</v>
      </c>
      <c r="R4221">
        <v>-0.32848569999999999</v>
      </c>
      <c r="S4221">
        <v>2.6906590000000001</v>
      </c>
      <c r="T4221">
        <v>-0.29433920000000002</v>
      </c>
      <c r="U4221">
        <v>-1.4223330000000001</v>
      </c>
      <c r="V4221">
        <v>0.15356069999999999</v>
      </c>
      <c r="W4221">
        <v>2.5412029999999999E-2</v>
      </c>
      <c r="X4221">
        <v>0.98781240000000003</v>
      </c>
      <c r="Y4221">
        <v>0.30004789999999998</v>
      </c>
      <c r="Z4221">
        <v>2.7899909999999999E-3</v>
      </c>
      <c r="AA4221">
        <v>0.95392010000000005</v>
      </c>
      <c r="AB4221">
        <v>33</v>
      </c>
      <c r="AC4221">
        <v>9.7902000000000005</v>
      </c>
      <c r="AD4221">
        <v>-1.104048115563</v>
      </c>
      <c r="AE4221">
        <v>-5.2756000000000203</v>
      </c>
      <c r="AF4221">
        <v>3.39407317448011</v>
      </c>
      <c r="AG4221">
        <v>-1.104048115563</v>
      </c>
      <c r="AH4221">
        <v>10.4765435850353</v>
      </c>
      <c r="AI4221">
        <v>95.724947058133793</v>
      </c>
      <c r="AJ4221">
        <v>72.049293894334596</v>
      </c>
      <c r="AK4221">
        <v>11.0678191367743</v>
      </c>
      <c r="AL4221">
        <v>88.543841177340894</v>
      </c>
      <c r="AM4221">
        <v>81.163792503420296</v>
      </c>
      <c r="AN4221">
        <v>0.999999998723485</v>
      </c>
    </row>
    <row r="4222" spans="1:40" x14ac:dyDescent="0.25">
      <c r="A4222" t="str">
        <f>"20190312154338678"</f>
        <v>20190312154338678</v>
      </c>
      <c r="B4222" t="str">
        <f>"1552376618661480"</f>
        <v>1552376618661480</v>
      </c>
      <c r="C4222" t="s">
        <v>40</v>
      </c>
      <c r="D4222">
        <v>5.1224939999999997</v>
      </c>
      <c r="E4222">
        <v>0.56711040000000001</v>
      </c>
      <c r="F4222" t="s">
        <v>49</v>
      </c>
      <c r="G4222">
        <v>-202.42570000000001</v>
      </c>
      <c r="H4222" s="1">
        <v>3.594574E-6</v>
      </c>
      <c r="I4222">
        <v>211.16309999999999</v>
      </c>
      <c r="J4222">
        <v>-210.119</v>
      </c>
      <c r="K4222">
        <v>1.1039509999999999</v>
      </c>
      <c r="L4222">
        <v>215.53120000000001</v>
      </c>
      <c r="M4222">
        <v>0.98226170000000002</v>
      </c>
      <c r="N4222">
        <v>0</v>
      </c>
      <c r="O4222">
        <v>-0.18697759999999999</v>
      </c>
      <c r="P4222">
        <v>0.94108369999999997</v>
      </c>
      <c r="Q4222">
        <v>1.426063E-2</v>
      </c>
      <c r="R4222">
        <v>-0.3378737</v>
      </c>
      <c r="S4222">
        <v>2.6687470000000002</v>
      </c>
      <c r="T4222">
        <v>-0.36723830000000002</v>
      </c>
      <c r="U4222">
        <v>-1.475403</v>
      </c>
      <c r="V4222">
        <v>0.1563514</v>
      </c>
      <c r="W4222">
        <v>2.5873460000000001E-2</v>
      </c>
      <c r="X4222">
        <v>0.98736259999999998</v>
      </c>
      <c r="Y4222">
        <v>0.31075799999999998</v>
      </c>
      <c r="Z4222">
        <v>3.658017E-3</v>
      </c>
      <c r="AA4222">
        <v>0.95048200000000005</v>
      </c>
      <c r="AB4222">
        <v>33</v>
      </c>
      <c r="AC4222">
        <v>7.6933000000000202</v>
      </c>
      <c r="AD4222">
        <v>-1.1039474054259999</v>
      </c>
      <c r="AE4222">
        <v>-4.3681000000000196</v>
      </c>
      <c r="AF4222">
        <v>2.8086954511378601</v>
      </c>
      <c r="AG4222">
        <v>-1.1039474054259999</v>
      </c>
      <c r="AH4222">
        <v>8.2460149456919893</v>
      </c>
      <c r="AI4222">
        <v>97.222418709973795</v>
      </c>
      <c r="AJ4222">
        <v>71.190517398831403</v>
      </c>
      <c r="AK4222">
        <v>8.78090157647636</v>
      </c>
      <c r="AL4222">
        <v>88.517394565195403</v>
      </c>
      <c r="AM4222">
        <v>81.001781653774302</v>
      </c>
      <c r="AN4222">
        <v>1.00000005004654</v>
      </c>
    </row>
    <row r="4223" spans="1:40" x14ac:dyDescent="0.25">
      <c r="A4223" t="str">
        <f>"20190312154338700"</f>
        <v>20190312154338700</v>
      </c>
      <c r="B4223" t="str">
        <f>"1552376618691268"</f>
        <v>1552376618691268</v>
      </c>
      <c r="C4223" t="s">
        <v>40</v>
      </c>
      <c r="D4223">
        <v>5.1899089999999903</v>
      </c>
      <c r="E4223">
        <v>0.57942539999999998</v>
      </c>
      <c r="F4223" t="s">
        <v>49</v>
      </c>
      <c r="G4223">
        <v>-202.1207</v>
      </c>
      <c r="H4223" s="1">
        <v>3.474633E-6</v>
      </c>
      <c r="I4223">
        <v>210.988</v>
      </c>
      <c r="J4223">
        <v>-209.81049999999999</v>
      </c>
      <c r="K4223">
        <v>1.103855</v>
      </c>
      <c r="L4223">
        <v>215.4657</v>
      </c>
      <c r="M4223">
        <v>0.98096099999999997</v>
      </c>
      <c r="N4223">
        <v>0</v>
      </c>
      <c r="O4223">
        <v>-0.19368469999999999</v>
      </c>
      <c r="P4223">
        <v>0.93792350000000002</v>
      </c>
      <c r="Q4223">
        <v>1.404803E-2</v>
      </c>
      <c r="R4223">
        <v>-0.34655809999999998</v>
      </c>
      <c r="S4223">
        <v>2.6524510000000001</v>
      </c>
      <c r="T4223">
        <v>-0.36610110000000001</v>
      </c>
      <c r="U4223">
        <v>-1.5066379999999999</v>
      </c>
      <c r="V4223">
        <v>0.15873399999999999</v>
      </c>
      <c r="W4223">
        <v>2.5591740000000002E-2</v>
      </c>
      <c r="X4223">
        <v>0.98698969999999997</v>
      </c>
      <c r="Y4223">
        <v>0.31525449999999999</v>
      </c>
      <c r="Z4223">
        <v>4.1875669999999997E-3</v>
      </c>
      <c r="AA4223">
        <v>0.94899789999999995</v>
      </c>
      <c r="AB4223">
        <v>33</v>
      </c>
      <c r="AC4223">
        <v>7.6897999999999902</v>
      </c>
      <c r="AD4223">
        <v>-1.103851525367</v>
      </c>
      <c r="AE4223">
        <v>-4.4776999999999898</v>
      </c>
      <c r="AF4223">
        <v>2.8593449304040002</v>
      </c>
      <c r="AG4223">
        <v>-1.103851525367</v>
      </c>
      <c r="AH4223">
        <v>8.2840274332516692</v>
      </c>
      <c r="AI4223">
        <v>97.179080555984498</v>
      </c>
      <c r="AJ4223">
        <v>70.957188269120493</v>
      </c>
      <c r="AK4223">
        <v>8.8328620580165502</v>
      </c>
      <c r="AL4223">
        <v>88.533541269235997</v>
      </c>
      <c r="AM4223">
        <v>80.863561708679796</v>
      </c>
      <c r="AN4223">
        <v>1.0000000439091501</v>
      </c>
    </row>
    <row r="4224" spans="1:40" x14ac:dyDescent="0.25">
      <c r="A4224" t="str">
        <f>"20190312154338724"</f>
        <v>20190312154338724</v>
      </c>
      <c r="B4224" t="str">
        <f>"1552376618711802"</f>
        <v>1552376618711802</v>
      </c>
      <c r="C4224" t="s">
        <v>40</v>
      </c>
      <c r="D4224">
        <v>5.0448779999999998</v>
      </c>
      <c r="E4224">
        <v>0.58146390000000003</v>
      </c>
      <c r="F4224" t="s">
        <v>49</v>
      </c>
      <c r="G4224">
        <v>-201.614</v>
      </c>
      <c r="H4224" s="1">
        <v>3.3050699999999902E-6</v>
      </c>
      <c r="I4224">
        <v>210.3571</v>
      </c>
      <c r="J4224">
        <v>-209.46180000000001</v>
      </c>
      <c r="K4224">
        <v>1.1037440000000001</v>
      </c>
      <c r="L4224">
        <v>215.38900000000001</v>
      </c>
      <c r="M4224">
        <v>0.97940039999999995</v>
      </c>
      <c r="N4224">
        <v>0</v>
      </c>
      <c r="O4224">
        <v>-0.2014271</v>
      </c>
      <c r="P4224">
        <v>0.93482880000000002</v>
      </c>
      <c r="Q4224">
        <v>1.29353E-2</v>
      </c>
      <c r="R4224">
        <v>-0.3548634</v>
      </c>
      <c r="S4224">
        <v>2.6041259999999999</v>
      </c>
      <c r="T4224">
        <v>-0.35070709999999999</v>
      </c>
      <c r="U4224">
        <v>-1.6230929999999999</v>
      </c>
      <c r="V4224">
        <v>0.1596786</v>
      </c>
      <c r="W4224">
        <v>2.4430529999999999E-2</v>
      </c>
      <c r="X4224">
        <v>0.98686669999999999</v>
      </c>
      <c r="Y4224">
        <v>0.34621590000000002</v>
      </c>
      <c r="Z4224">
        <v>3.0165330000000001E-3</v>
      </c>
      <c r="AA4224">
        <v>0.93815000000000004</v>
      </c>
      <c r="AB4224">
        <v>33</v>
      </c>
      <c r="AC4224">
        <v>7.8478000000000003</v>
      </c>
      <c r="AD4224">
        <v>-1.1037406949299999</v>
      </c>
      <c r="AE4224">
        <v>-5.0319000000000003</v>
      </c>
      <c r="AF4224">
        <v>3.3015435904037602</v>
      </c>
      <c r="AG4224">
        <v>-1.1037406949299999</v>
      </c>
      <c r="AH4224">
        <v>8.58030273131833</v>
      </c>
      <c r="AI4224">
        <v>96.845918538324796</v>
      </c>
      <c r="AJ4224">
        <v>68.954187561592605</v>
      </c>
      <c r="AK4224">
        <v>9.2595911660315497</v>
      </c>
      <c r="AL4224">
        <v>88.600094453149595</v>
      </c>
      <c r="AM4224">
        <v>80.808991433200106</v>
      </c>
      <c r="AN4224">
        <v>0.99999999483146496</v>
      </c>
    </row>
    <row r="4225" spans="1:40" x14ac:dyDescent="0.25">
      <c r="A4225" t="str">
        <f>"20190312154338746"</f>
        <v>20190312154338746</v>
      </c>
      <c r="B4225" t="str">
        <f>"1552376618731831"</f>
        <v>1552376618731831</v>
      </c>
      <c r="C4225" t="s">
        <v>40</v>
      </c>
      <c r="D4225">
        <v>5.0174719999999997</v>
      </c>
      <c r="E4225">
        <v>0.58240319999999901</v>
      </c>
      <c r="F4225" t="s">
        <v>49</v>
      </c>
      <c r="G4225">
        <v>-201.756</v>
      </c>
      <c r="H4225" s="1">
        <v>3.3611369999999999E-6</v>
      </c>
      <c r="I4225">
        <v>210.43600000000001</v>
      </c>
      <c r="J4225">
        <v>-209.1328</v>
      </c>
      <c r="K4225">
        <v>1.1036220000000001</v>
      </c>
      <c r="L4225">
        <v>215.31389999999999</v>
      </c>
      <c r="M4225">
        <v>0.97783549999999997</v>
      </c>
      <c r="N4225">
        <v>0</v>
      </c>
      <c r="O4225">
        <v>-0.20889050000000001</v>
      </c>
      <c r="P4225">
        <v>0.93174880000000004</v>
      </c>
      <c r="Q4225">
        <v>1.220273E-2</v>
      </c>
      <c r="R4225">
        <v>-0.36289909999999997</v>
      </c>
      <c r="S4225">
        <v>2.5838169999999998</v>
      </c>
      <c r="T4225">
        <v>-0.37009130000000001</v>
      </c>
      <c r="U4225">
        <v>-1.660782</v>
      </c>
      <c r="V4225">
        <v>0.16064210000000001</v>
      </c>
      <c r="W4225">
        <v>2.3648269999999999E-2</v>
      </c>
      <c r="X4225">
        <v>0.98672939999999998</v>
      </c>
      <c r="Y4225">
        <v>0.35201189999999999</v>
      </c>
      <c r="Z4225">
        <v>3.7338380000000002E-3</v>
      </c>
      <c r="AA4225">
        <v>0.93598809999999999</v>
      </c>
      <c r="AB4225">
        <v>33</v>
      </c>
      <c r="AC4225">
        <v>7.3768000000000296</v>
      </c>
      <c r="AD4225">
        <v>-1.1036186388629901</v>
      </c>
      <c r="AE4225">
        <v>-4.8779000000000101</v>
      </c>
      <c r="AF4225">
        <v>3.1796508924521998</v>
      </c>
      <c r="AG4225">
        <v>-1.1036186388629901</v>
      </c>
      <c r="AH4225">
        <v>8.10683057161555</v>
      </c>
      <c r="AI4225">
        <v>97.222864380173206</v>
      </c>
      <c r="AJ4225">
        <v>68.583957709993896</v>
      </c>
      <c r="AK4225">
        <v>8.7777477643640704</v>
      </c>
      <c r="AL4225">
        <v>88.644927637161999</v>
      </c>
      <c r="AM4225">
        <v>80.753223576831701</v>
      </c>
      <c r="AN4225">
        <v>1.00000001689538</v>
      </c>
    </row>
    <row r="4226" spans="1:40" x14ac:dyDescent="0.25">
      <c r="A4226" t="str">
        <f>"20190312154338766"</f>
        <v>20190312154338766</v>
      </c>
      <c r="B4226" t="str">
        <f>"1552376618751350"</f>
        <v>1552376618751350</v>
      </c>
      <c r="C4226" t="s">
        <v>40</v>
      </c>
      <c r="D4226">
        <v>5.0045699999999904</v>
      </c>
      <c r="E4226">
        <v>0.58284019999999903</v>
      </c>
      <c r="F4226" t="s">
        <v>49</v>
      </c>
      <c r="G4226">
        <v>-201.6404</v>
      </c>
      <c r="H4226" s="1">
        <v>3.314602E-6</v>
      </c>
      <c r="I4226">
        <v>210.38200000000001</v>
      </c>
      <c r="J4226">
        <v>-208.82480000000001</v>
      </c>
      <c r="K4226">
        <v>1.103504</v>
      </c>
      <c r="L4226">
        <v>215.24100000000001</v>
      </c>
      <c r="M4226">
        <v>0.97628429999999999</v>
      </c>
      <c r="N4226">
        <v>0</v>
      </c>
      <c r="O4226">
        <v>-0.21602389999999999</v>
      </c>
      <c r="P4226">
        <v>0.92872860000000002</v>
      </c>
      <c r="Q4226">
        <v>1.165165E-2</v>
      </c>
      <c r="R4226">
        <v>-0.3705772</v>
      </c>
      <c r="S4226">
        <v>2.5666500000000001</v>
      </c>
      <c r="T4226">
        <v>-0.37806319999999999</v>
      </c>
      <c r="U4226">
        <v>-1.689484</v>
      </c>
      <c r="V4226">
        <v>0.1615789</v>
      </c>
      <c r="W4226">
        <v>2.3047620000000001E-2</v>
      </c>
      <c r="X4226">
        <v>0.98659059999999998</v>
      </c>
      <c r="Y4226">
        <v>0.35534110000000002</v>
      </c>
      <c r="Z4226">
        <v>4.5010409999999999E-3</v>
      </c>
      <c r="AA4226">
        <v>0.9347259</v>
      </c>
      <c r="AB4226">
        <v>33</v>
      </c>
      <c r="AC4226">
        <v>7.1844000000000099</v>
      </c>
      <c r="AD4226">
        <v>-1.1035006853980001</v>
      </c>
      <c r="AE4226">
        <v>-4.8589999999999796</v>
      </c>
      <c r="AF4226">
        <v>3.1412379053317898</v>
      </c>
      <c r="AG4226">
        <v>-1.1035006853980001</v>
      </c>
      <c r="AH4226">
        <v>7.9360295826703799</v>
      </c>
      <c r="AI4226">
        <v>97.366888307453394</v>
      </c>
      <c r="AJ4226">
        <v>68.405358278837198</v>
      </c>
      <c r="AK4226">
        <v>8.6061405332231597</v>
      </c>
      <c r="AL4226">
        <v>88.679351672921001</v>
      </c>
      <c r="AM4226">
        <v>80.698954057483107</v>
      </c>
      <c r="AN4226">
        <v>0.99999997286061604</v>
      </c>
    </row>
    <row r="4227" spans="1:40" x14ac:dyDescent="0.25">
      <c r="A4227" t="str">
        <f>"20190312154338789"</f>
        <v>20190312154338789</v>
      </c>
      <c r="B4227" t="str">
        <f>"1552376618781607"</f>
        <v>1552376618781607</v>
      </c>
      <c r="C4227" t="s">
        <v>40</v>
      </c>
      <c r="D4227">
        <v>4.9115129999999896</v>
      </c>
      <c r="E4227">
        <v>0.58304719999999999</v>
      </c>
      <c r="F4227" t="s">
        <v>49</v>
      </c>
      <c r="G4227">
        <v>-201.4665</v>
      </c>
      <c r="H4227" s="1">
        <v>3.244753E-6</v>
      </c>
      <c r="I4227">
        <v>210.2989</v>
      </c>
      <c r="J4227">
        <v>-208.50550000000001</v>
      </c>
      <c r="K4227">
        <v>1.10338</v>
      </c>
      <c r="L4227">
        <v>215.1627</v>
      </c>
      <c r="M4227">
        <v>0.97458270000000002</v>
      </c>
      <c r="N4227">
        <v>0</v>
      </c>
      <c r="O4227">
        <v>-0.22357450000000001</v>
      </c>
      <c r="P4227">
        <v>0.92519470000000004</v>
      </c>
      <c r="Q4227">
        <v>1.226965E-2</v>
      </c>
      <c r="R4227">
        <v>-0.37929479999999999</v>
      </c>
      <c r="S4227">
        <v>2.551285</v>
      </c>
      <c r="T4227">
        <v>-0.38260939999999999</v>
      </c>
      <c r="U4227">
        <v>-1.7135309999999999</v>
      </c>
      <c r="V4227">
        <v>0.1632392</v>
      </c>
      <c r="W4227">
        <v>2.3598689999999999E-2</v>
      </c>
      <c r="X4227">
        <v>0.98630419999999996</v>
      </c>
      <c r="Y4227">
        <v>0.3568038</v>
      </c>
      <c r="Z4227">
        <v>5.431389E-3</v>
      </c>
      <c r="AA4227">
        <v>0.93416359999999998</v>
      </c>
      <c r="AB4227">
        <v>33</v>
      </c>
      <c r="AC4227">
        <v>7.0390000000000104</v>
      </c>
      <c r="AD4227">
        <v>-1.103376755247</v>
      </c>
      <c r="AE4227">
        <v>-4.8637999999999897</v>
      </c>
      <c r="AF4227">
        <v>3.1149518234573899</v>
      </c>
      <c r="AG4227">
        <v>-1.103376755247</v>
      </c>
      <c r="AH4227">
        <v>7.8182918547771001</v>
      </c>
      <c r="AI4227">
        <v>97.469166509546994</v>
      </c>
      <c r="AJ4227">
        <v>68.276749813843395</v>
      </c>
      <c r="AK4227">
        <v>8.4879946190460007</v>
      </c>
      <c r="AL4227">
        <v>88.647769070820104</v>
      </c>
      <c r="AM4227">
        <v>80.602397471984304</v>
      </c>
      <c r="AN4227">
        <v>0.99999995476199699</v>
      </c>
    </row>
    <row r="4228" spans="1:40" x14ac:dyDescent="0.25">
      <c r="A4228" t="str">
        <f>"20190312154338813"</f>
        <v>20190312154338813</v>
      </c>
      <c r="B4228" t="str">
        <f>"1552376618801165"</f>
        <v>1552376618801165</v>
      </c>
      <c r="C4228" t="s">
        <v>40</v>
      </c>
      <c r="D4228">
        <v>4.9704309999999996</v>
      </c>
      <c r="E4228">
        <v>0.58308850000000001</v>
      </c>
      <c r="F4228" t="s">
        <v>49</v>
      </c>
      <c r="G4228">
        <v>-201.19200000000001</v>
      </c>
      <c r="H4228" s="1">
        <v>3.1365E-6</v>
      </c>
      <c r="I4228">
        <v>210.1448</v>
      </c>
      <c r="J4228">
        <v>-208.15100000000001</v>
      </c>
      <c r="K4228">
        <v>1.103227</v>
      </c>
      <c r="L4228">
        <v>215.07230000000001</v>
      </c>
      <c r="M4228">
        <v>0.9725724</v>
      </c>
      <c r="N4228">
        <v>0</v>
      </c>
      <c r="O4228">
        <v>-0.2321628</v>
      </c>
      <c r="P4228">
        <v>0.92151930000000004</v>
      </c>
      <c r="Q4228">
        <v>1.28872E-2</v>
      </c>
      <c r="R4228">
        <v>-0.3881193</v>
      </c>
      <c r="S4228">
        <v>2.5346679999999999</v>
      </c>
      <c r="T4228">
        <v>-0.38239960000000001</v>
      </c>
      <c r="U4228">
        <v>-1.7390749999999999</v>
      </c>
      <c r="V4228">
        <v>0.16398579999999999</v>
      </c>
      <c r="W4228">
        <v>2.416215E-2</v>
      </c>
      <c r="X4228">
        <v>0.98616669999999995</v>
      </c>
      <c r="Y4228">
        <v>0.357879</v>
      </c>
      <c r="Z4228">
        <v>6.4658819999999896E-3</v>
      </c>
      <c r="AA4228">
        <v>0.93374559999999995</v>
      </c>
      <c r="AB4228">
        <v>33</v>
      </c>
      <c r="AC4228">
        <v>6.9589999999999703</v>
      </c>
      <c r="AD4228">
        <v>-1.1032238635</v>
      </c>
      <c r="AE4228">
        <v>-4.9275000000000002</v>
      </c>
      <c r="AF4228">
        <v>3.1247455976477498</v>
      </c>
      <c r="AG4228">
        <v>-1.1032238635</v>
      </c>
      <c r="AH4228">
        <v>7.7826397641529796</v>
      </c>
      <c r="AI4228">
        <v>97.494084479425297</v>
      </c>
      <c r="AJ4228">
        <v>68.124439744454605</v>
      </c>
      <c r="AK4228">
        <v>8.4587599352145002</v>
      </c>
      <c r="AL4228">
        <v>88.615475981641097</v>
      </c>
      <c r="AM4228">
        <v>80.558895462922393</v>
      </c>
      <c r="AN4228">
        <v>0.999999956141575</v>
      </c>
    </row>
    <row r="4229" spans="1:40" x14ac:dyDescent="0.25">
      <c r="A4229" t="str">
        <f>"20190312154338834"</f>
        <v>20190312154338834</v>
      </c>
      <c r="B4229" t="str">
        <f>"1552376618821241"</f>
        <v>1552376618821241</v>
      </c>
      <c r="C4229" t="s">
        <v>40</v>
      </c>
      <c r="D4229">
        <v>4.9135160000000004</v>
      </c>
      <c r="E4229">
        <v>0.58297010000000005</v>
      </c>
      <c r="F4229" t="s">
        <v>49</v>
      </c>
      <c r="G4229">
        <v>-200.8125</v>
      </c>
      <c r="H4229" s="1">
        <v>2.9869550000000002E-6</v>
      </c>
      <c r="I4229">
        <v>209.93039999999999</v>
      </c>
      <c r="J4229">
        <v>-207.83529999999999</v>
      </c>
      <c r="K4229">
        <v>1.103102</v>
      </c>
      <c r="L4229">
        <v>214.989</v>
      </c>
      <c r="M4229">
        <v>0.97067990000000004</v>
      </c>
      <c r="N4229">
        <v>0</v>
      </c>
      <c r="O4229">
        <v>-0.2399511</v>
      </c>
      <c r="P4229">
        <v>0.91806980000000005</v>
      </c>
      <c r="Q4229">
        <v>1.1683209999999999E-2</v>
      </c>
      <c r="R4229">
        <v>-0.39624720000000002</v>
      </c>
      <c r="S4229">
        <v>2.517792</v>
      </c>
      <c r="T4229">
        <v>-0.37850820000000002</v>
      </c>
      <c r="U4229">
        <v>-1.7641450000000001</v>
      </c>
      <c r="V4229">
        <v>0.16477809999999901</v>
      </c>
      <c r="W4229">
        <v>2.2909849999999999E-2</v>
      </c>
      <c r="X4229">
        <v>0.98606459999999996</v>
      </c>
      <c r="Y4229">
        <v>0.35963430000000002</v>
      </c>
      <c r="Z4229">
        <v>7.2821319999999898E-3</v>
      </c>
      <c r="AA4229">
        <v>0.93306489999999997</v>
      </c>
      <c r="AB4229">
        <v>33</v>
      </c>
      <c r="AC4229">
        <v>7.0227999999999797</v>
      </c>
      <c r="AD4229">
        <v>-1.103099013045</v>
      </c>
      <c r="AE4229">
        <v>-5.05860000000001</v>
      </c>
      <c r="AF4229">
        <v>3.1739244140009202</v>
      </c>
      <c r="AG4229">
        <v>-1.103099013045</v>
      </c>
      <c r="AH4229">
        <v>7.9031476377651</v>
      </c>
      <c r="AI4229">
        <v>97.380003817033696</v>
      </c>
      <c r="AJ4229">
        <v>68.119478608460398</v>
      </c>
      <c r="AK4229">
        <v>8.58780333977694</v>
      </c>
      <c r="AL4229">
        <v>88.687247484910799</v>
      </c>
      <c r="AM4229">
        <v>80.513143318142596</v>
      </c>
      <c r="AN4229">
        <v>1.00000003941989</v>
      </c>
    </row>
    <row r="4230" spans="1:40" x14ac:dyDescent="0.25">
      <c r="A4230" t="str">
        <f>"20190312154338856"</f>
        <v>20190312154338856</v>
      </c>
      <c r="B4230" t="str">
        <f>"1552376618841789"</f>
        <v>1552376618841789</v>
      </c>
      <c r="C4230" t="s">
        <v>40</v>
      </c>
      <c r="D4230">
        <v>5.3019559999999997</v>
      </c>
      <c r="E4230">
        <v>0.58288339999999905</v>
      </c>
      <c r="F4230" t="s">
        <v>49</v>
      </c>
      <c r="G4230">
        <v>-200.5591</v>
      </c>
      <c r="H4230" s="1">
        <v>2.8865210000000002E-6</v>
      </c>
      <c r="I4230">
        <v>209.79409999999999</v>
      </c>
      <c r="J4230">
        <v>-207.5335</v>
      </c>
      <c r="K4230">
        <v>1.1029770000000001</v>
      </c>
      <c r="L4230">
        <v>214.9066</v>
      </c>
      <c r="M4230">
        <v>0.96877469999999999</v>
      </c>
      <c r="N4230">
        <v>0</v>
      </c>
      <c r="O4230">
        <v>-0.24753059999999999</v>
      </c>
      <c r="P4230">
        <v>0.91475839999999997</v>
      </c>
      <c r="Q4230">
        <v>9.5462629999999993E-3</v>
      </c>
      <c r="R4230">
        <v>-0.4038891</v>
      </c>
      <c r="S4230">
        <v>2.5016479999999999</v>
      </c>
      <c r="T4230">
        <v>-0.37926100000000001</v>
      </c>
      <c r="U4230">
        <v>-1.7860720000000001</v>
      </c>
      <c r="V4230">
        <v>0.16525599999999999</v>
      </c>
      <c r="W4230">
        <v>2.0731699999999999E-2</v>
      </c>
      <c r="X4230">
        <v>0.98603280000000004</v>
      </c>
      <c r="Y4230">
        <v>0.36064689999999999</v>
      </c>
      <c r="Z4230">
        <v>8.2060099999999997E-3</v>
      </c>
      <c r="AA4230">
        <v>0.93266629999999995</v>
      </c>
      <c r="AB4230">
        <v>33</v>
      </c>
      <c r="AC4230">
        <v>6.9744000000000002</v>
      </c>
      <c r="AD4230">
        <v>-1.1029741134790001</v>
      </c>
      <c r="AE4230">
        <v>-5.1125000000000096</v>
      </c>
      <c r="AF4230">
        <v>3.17515784462103</v>
      </c>
      <c r="AG4230">
        <v>-1.1029741134790001</v>
      </c>
      <c r="AH4230">
        <v>7.8945102726664498</v>
      </c>
      <c r="AI4230">
        <v>97.385656340099601</v>
      </c>
      <c r="AJ4230">
        <v>68.090097234895396</v>
      </c>
      <c r="AK4230">
        <v>8.5802955472698805</v>
      </c>
      <c r="AL4230">
        <v>88.812076000646201</v>
      </c>
      <c r="AM4230">
        <v>80.485829975651498</v>
      </c>
      <c r="AN4230">
        <v>1.00000001579836</v>
      </c>
    </row>
    <row r="4231" spans="1:40" x14ac:dyDescent="0.25">
      <c r="A4231" t="str">
        <f>"20190312154338877"</f>
        <v>20190312154338877</v>
      </c>
      <c r="B4231" t="str">
        <f>"1552376618861309"</f>
        <v>1552376618861309</v>
      </c>
      <c r="C4231" t="s">
        <v>40</v>
      </c>
      <c r="D4231">
        <v>4.8637790000000001</v>
      </c>
      <c r="E4231">
        <v>0.57881159999999998</v>
      </c>
      <c r="F4231" t="s">
        <v>49</v>
      </c>
      <c r="G4231">
        <v>-200.405</v>
      </c>
      <c r="H4231" s="1">
        <v>2.823901E-6</v>
      </c>
      <c r="I4231">
        <v>209.7285</v>
      </c>
      <c r="J4231">
        <v>-207.2227</v>
      </c>
      <c r="K4231">
        <v>1.1028519999999999</v>
      </c>
      <c r="L4231">
        <v>214.81899999999999</v>
      </c>
      <c r="M4231">
        <v>0.96670509999999998</v>
      </c>
      <c r="N4231">
        <v>0</v>
      </c>
      <c r="O4231">
        <v>-0.2554921</v>
      </c>
      <c r="P4231">
        <v>0.91095479999999995</v>
      </c>
      <c r="Q4231">
        <v>7.3356259999999996E-3</v>
      </c>
      <c r="R4231">
        <v>-0.412441</v>
      </c>
      <c r="S4231">
        <v>2.4861759999999999</v>
      </c>
      <c r="T4231">
        <v>-0.38467980000000002</v>
      </c>
      <c r="U4231">
        <v>-1.8059540000000001</v>
      </c>
      <c r="V4231">
        <v>0.16634289999999999</v>
      </c>
      <c r="W4231">
        <v>1.846573E-2</v>
      </c>
      <c r="X4231">
        <v>0.98589499999999997</v>
      </c>
      <c r="Y4231">
        <v>0.3606471</v>
      </c>
      <c r="Z4231">
        <v>9.3656629999999998E-3</v>
      </c>
      <c r="AA4231">
        <v>0.93265529999999996</v>
      </c>
      <c r="AB4231">
        <v>33</v>
      </c>
      <c r="AC4231">
        <v>6.8177000000000003</v>
      </c>
      <c r="AD4231">
        <v>-1.102849176099</v>
      </c>
      <c r="AE4231">
        <v>-5.09050000000002</v>
      </c>
      <c r="AF4231">
        <v>3.1269349797202399</v>
      </c>
      <c r="AG4231">
        <v>-1.102849176099</v>
      </c>
      <c r="AH4231">
        <v>7.7616948276997997</v>
      </c>
      <c r="AI4231">
        <v>97.5080440559192</v>
      </c>
      <c r="AJ4231">
        <v>68.057094061947893</v>
      </c>
      <c r="AK4231">
        <v>8.4402550477436495</v>
      </c>
      <c r="AL4231">
        <v>88.941931413193402</v>
      </c>
      <c r="AM4231">
        <v>80.423096049753298</v>
      </c>
      <c r="AN4231">
        <v>0.99999994729491903</v>
      </c>
    </row>
    <row r="4232" spans="1:40" x14ac:dyDescent="0.25">
      <c r="A4232" t="str">
        <f>"20190312154338900"</f>
        <v>20190312154338900</v>
      </c>
      <c r="B4232" t="str">
        <f>"1552376618891565"</f>
        <v>1552376618891565</v>
      </c>
      <c r="C4232" t="s">
        <v>40</v>
      </c>
      <c r="D4232">
        <v>4.8429859999999998</v>
      </c>
      <c r="E4232">
        <v>0.57986219999999999</v>
      </c>
      <c r="F4232" t="s">
        <v>49</v>
      </c>
      <c r="G4232">
        <v>-199.67169999999999</v>
      </c>
      <c r="H4232" s="1">
        <v>2.7593049999999999E-6</v>
      </c>
      <c r="I4232">
        <v>209.3399</v>
      </c>
      <c r="J4232">
        <v>-206.90379999999999</v>
      </c>
      <c r="K4232">
        <v>1.102708</v>
      </c>
      <c r="L4232">
        <v>214.72620000000001</v>
      </c>
      <c r="M4232">
        <v>0.96446100000000001</v>
      </c>
      <c r="N4232">
        <v>0</v>
      </c>
      <c r="O4232">
        <v>-0.26383620000000002</v>
      </c>
      <c r="P4232">
        <v>0.90712170000000003</v>
      </c>
      <c r="Q4232">
        <v>6.8494139999999998E-3</v>
      </c>
      <c r="R4232">
        <v>-0.42081279999999999</v>
      </c>
      <c r="S4232">
        <v>2.4810789999999998</v>
      </c>
      <c r="T4232">
        <v>-0.3623711</v>
      </c>
      <c r="U4232">
        <v>-1.800308</v>
      </c>
      <c r="V4232">
        <v>0.1668994</v>
      </c>
      <c r="W4232">
        <v>1.7930330000000001E-2</v>
      </c>
      <c r="X4232">
        <v>0.98581090000000005</v>
      </c>
      <c r="Y4232">
        <v>0.352294</v>
      </c>
      <c r="Z4232">
        <v>1.040484E-2</v>
      </c>
      <c r="AA4232">
        <v>0.93583150000000004</v>
      </c>
      <c r="AB4232">
        <v>33</v>
      </c>
      <c r="AC4232">
        <v>7.2321</v>
      </c>
      <c r="AD4232">
        <v>-1.102705240695</v>
      </c>
      <c r="AE4232">
        <v>-5.3863000000000003</v>
      </c>
      <c r="AF4232">
        <v>3.2386940592513902</v>
      </c>
      <c r="AG4232">
        <v>-1.102705240695</v>
      </c>
      <c r="AH4232">
        <v>8.2733259590258701</v>
      </c>
      <c r="AI4232">
        <v>97.074998616761903</v>
      </c>
      <c r="AJ4232">
        <v>68.621536780592095</v>
      </c>
      <c r="AK4232">
        <v>8.9528219283965296</v>
      </c>
      <c r="AL4232">
        <v>88.972612729446794</v>
      </c>
      <c r="AM4232">
        <v>80.390848467565107</v>
      </c>
      <c r="AN4232">
        <v>1.0000000185065301</v>
      </c>
    </row>
    <row r="4233" spans="1:40" x14ac:dyDescent="0.25">
      <c r="A4233" t="str">
        <f>"20190312154338922"</f>
        <v>20190312154338922</v>
      </c>
      <c r="B4233" t="str">
        <f>"1552376618912061"</f>
        <v>1552376618912061</v>
      </c>
      <c r="C4233" t="s">
        <v>40</v>
      </c>
      <c r="D4233">
        <v>4.8246190000000002</v>
      </c>
      <c r="E4233">
        <v>0.58040570000000002</v>
      </c>
      <c r="F4233" t="s">
        <v>49</v>
      </c>
      <c r="G4233">
        <v>-199.28659999999999</v>
      </c>
      <c r="H4233" s="1">
        <v>2.903168E-6</v>
      </c>
      <c r="I4233">
        <v>209.05459999999999</v>
      </c>
      <c r="J4233">
        <v>-206.57679999999999</v>
      </c>
      <c r="K4233">
        <v>1.1025469999999999</v>
      </c>
      <c r="L4233">
        <v>214.6277</v>
      </c>
      <c r="M4233">
        <v>0.96202220000000005</v>
      </c>
      <c r="N4233">
        <v>0</v>
      </c>
      <c r="O4233">
        <v>-0.27259349999999999</v>
      </c>
      <c r="P4233">
        <v>0.90283429999999998</v>
      </c>
      <c r="Q4233">
        <v>7.0656800000000004E-3</v>
      </c>
      <c r="R4233">
        <v>-0.4299308</v>
      </c>
      <c r="S4233">
        <v>2.4601139999999999</v>
      </c>
      <c r="T4233">
        <v>-0.35614129999999999</v>
      </c>
      <c r="U4233">
        <v>-1.8317410000000001</v>
      </c>
      <c r="V4233">
        <v>0.167881</v>
      </c>
      <c r="W4233">
        <v>1.808241E-2</v>
      </c>
      <c r="X4233">
        <v>0.9856414</v>
      </c>
      <c r="Y4233">
        <v>0.35535929999999999</v>
      </c>
      <c r="Z4233">
        <v>1.1097589999999999E-2</v>
      </c>
      <c r="AA4233">
        <v>0.93466389999999999</v>
      </c>
      <c r="AB4233">
        <v>33</v>
      </c>
      <c r="AC4233">
        <v>7.2901999999999898</v>
      </c>
      <c r="AD4233">
        <v>-1.1025440968319999</v>
      </c>
      <c r="AE4233">
        <v>-5.5731000000000099</v>
      </c>
      <c r="AF4233">
        <v>3.3265110277416698</v>
      </c>
      <c r="AG4233">
        <v>-1.1025440968319999</v>
      </c>
      <c r="AH4233">
        <v>8.4119692719882107</v>
      </c>
      <c r="AI4233">
        <v>96.949181711734894</v>
      </c>
      <c r="AJ4233">
        <v>68.423693352563902</v>
      </c>
      <c r="AK4233">
        <v>9.1127661078302697</v>
      </c>
      <c r="AL4233">
        <v>88.963897741404196</v>
      </c>
      <c r="AM4233">
        <v>80.333765563762796</v>
      </c>
      <c r="AN4233">
        <v>0.99999998655318401</v>
      </c>
    </row>
    <row r="4234" spans="1:40" x14ac:dyDescent="0.25">
      <c r="A4234" t="str">
        <f>"20190312154338948"</f>
        <v>20190312154338948</v>
      </c>
      <c r="B4234" t="str">
        <f>"1552376618931581"</f>
        <v>1552376618931581</v>
      </c>
      <c r="C4234" t="s">
        <v>40</v>
      </c>
      <c r="D4234">
        <v>4.8550779999999998</v>
      </c>
      <c r="E4234">
        <v>0.58054479999999997</v>
      </c>
      <c r="F4234" t="s">
        <v>49</v>
      </c>
      <c r="G4234">
        <v>-198.8674</v>
      </c>
      <c r="H4234" s="1">
        <v>3.0591289999999998E-6</v>
      </c>
      <c r="I4234">
        <v>208.7465</v>
      </c>
      <c r="J4234">
        <v>-206.21799999999999</v>
      </c>
      <c r="K4234">
        <v>1.102344</v>
      </c>
      <c r="L4234">
        <v>214.51580000000001</v>
      </c>
      <c r="M4234">
        <v>0.95917160000000001</v>
      </c>
      <c r="N4234">
        <v>0</v>
      </c>
      <c r="O4234">
        <v>-0.28245940000000003</v>
      </c>
      <c r="P4234">
        <v>0.89801849999999905</v>
      </c>
      <c r="Q4234">
        <v>6.9949690000000002E-3</v>
      </c>
      <c r="R4234">
        <v>-0.43990240000000003</v>
      </c>
      <c r="S4234">
        <v>2.4394230000000001</v>
      </c>
      <c r="T4234">
        <v>-0.34886729999999999</v>
      </c>
      <c r="U4234">
        <v>-1.8609469999999999</v>
      </c>
      <c r="V4234">
        <v>0.16868060000000001</v>
      </c>
      <c r="W4234">
        <v>1.7941289999999999E-2</v>
      </c>
      <c r="X4234">
        <v>0.98550749999999998</v>
      </c>
      <c r="Y4234">
        <v>0.3567323</v>
      </c>
      <c r="Z4234">
        <v>1.1963420000000001E-2</v>
      </c>
      <c r="AA4234">
        <v>0.93413000000000002</v>
      </c>
      <c r="AB4234">
        <v>33</v>
      </c>
      <c r="AC4234">
        <v>7.3505999999999796</v>
      </c>
      <c r="AD4234">
        <v>-1.1023409408710001</v>
      </c>
      <c r="AE4234">
        <v>-5.7693000000000101</v>
      </c>
      <c r="AF4234">
        <v>3.41039813471841</v>
      </c>
      <c r="AG4234">
        <v>-1.1023409408710001</v>
      </c>
      <c r="AH4234">
        <v>8.5618236390930402</v>
      </c>
      <c r="AI4234">
        <v>96.820798179728101</v>
      </c>
      <c r="AJ4234">
        <v>68.281315180995804</v>
      </c>
      <c r="AK4234">
        <v>9.2817452569085095</v>
      </c>
      <c r="AL4234">
        <v>88.971984682233597</v>
      </c>
      <c r="AM4234">
        <v>80.287306635168406</v>
      </c>
      <c r="AN4234">
        <v>1.0000000336297299</v>
      </c>
    </row>
    <row r="4235" spans="1:40" x14ac:dyDescent="0.25">
      <c r="A4235" t="str">
        <f>"20190312154338967"</f>
        <v>20190312154338967</v>
      </c>
      <c r="B4235" t="str">
        <f>"1552376618952076"</f>
        <v>1552376618952076</v>
      </c>
      <c r="C4235" t="s">
        <v>40</v>
      </c>
      <c r="D4235">
        <v>4.8195940000000004</v>
      </c>
      <c r="E4235">
        <v>0.5805882</v>
      </c>
      <c r="F4235" t="s">
        <v>49</v>
      </c>
      <c r="G4235">
        <v>-198.49879999999999</v>
      </c>
      <c r="H4235" s="1">
        <v>3.193562E-6</v>
      </c>
      <c r="I4235">
        <v>208.48570000000001</v>
      </c>
      <c r="J4235">
        <v>-205.9442</v>
      </c>
      <c r="K4235">
        <v>1.102169</v>
      </c>
      <c r="L4235">
        <v>214.4272</v>
      </c>
      <c r="M4235">
        <v>0.95685330000000002</v>
      </c>
      <c r="N4235">
        <v>0</v>
      </c>
      <c r="O4235">
        <v>-0.29021400000000003</v>
      </c>
      <c r="P4235">
        <v>0.89438019999999996</v>
      </c>
      <c r="Q4235">
        <v>5.5513759999999898E-3</v>
      </c>
      <c r="R4235">
        <v>-0.44727339999999999</v>
      </c>
      <c r="S4235">
        <v>2.4180760000000001</v>
      </c>
      <c r="T4235">
        <v>-0.34531390000000001</v>
      </c>
      <c r="U4235">
        <v>-1.8889469999999999</v>
      </c>
      <c r="V4235">
        <v>0.168785299999999</v>
      </c>
      <c r="W4235">
        <v>1.6450920000000001E-2</v>
      </c>
      <c r="X4235">
        <v>0.98551549999999999</v>
      </c>
      <c r="Y4235">
        <v>0.35992279999999999</v>
      </c>
      <c r="Z4235">
        <v>1.2569540000000001E-2</v>
      </c>
      <c r="AA4235">
        <v>0.93289739999999999</v>
      </c>
      <c r="AB4235">
        <v>33</v>
      </c>
      <c r="AC4235">
        <v>7.4454000000000002</v>
      </c>
      <c r="AD4235">
        <v>-1.102165806438</v>
      </c>
      <c r="AE4235">
        <v>-5.9414999999999898</v>
      </c>
      <c r="AF4235">
        <v>3.4781843670448902</v>
      </c>
      <c r="AG4235">
        <v>-1.102165806438</v>
      </c>
      <c r="AH4235">
        <v>8.7324699570580293</v>
      </c>
      <c r="AI4235">
        <v>96.687724178657206</v>
      </c>
      <c r="AJ4235">
        <v>68.282372178406305</v>
      </c>
      <c r="AK4235">
        <v>9.4640671757420201</v>
      </c>
      <c r="AL4235">
        <v>89.057389152789099</v>
      </c>
      <c r="AM4235">
        <v>80.281470293983602</v>
      </c>
      <c r="AN4235">
        <v>0.99999995550259202</v>
      </c>
    </row>
    <row r="4236" spans="1:40" x14ac:dyDescent="0.25">
      <c r="A4236" t="str">
        <f>"20190312154338993"</f>
        <v>20190312154338993</v>
      </c>
      <c r="B4236" t="str">
        <f>"1552376618981357"</f>
        <v>1552376618981357</v>
      </c>
      <c r="C4236" t="s">
        <v>40</v>
      </c>
      <c r="D4236">
        <v>5.0256480000000003</v>
      </c>
      <c r="E4236">
        <v>0.59899590000000003</v>
      </c>
      <c r="F4236" t="s">
        <v>49</v>
      </c>
      <c r="G4236">
        <v>-198.45400000000001</v>
      </c>
      <c r="H4236" s="1">
        <v>3.2050740000000002E-6</v>
      </c>
      <c r="I4236">
        <v>208.47219999999999</v>
      </c>
      <c r="J4236">
        <v>-205.61099999999999</v>
      </c>
      <c r="K4236">
        <v>1.1019460000000001</v>
      </c>
      <c r="L4236">
        <v>214.31569999999999</v>
      </c>
      <c r="M4236">
        <v>0.95385160000000002</v>
      </c>
      <c r="N4236">
        <v>0</v>
      </c>
      <c r="O4236">
        <v>-0.29993130000000001</v>
      </c>
      <c r="P4236">
        <v>0.88948300000000002</v>
      </c>
      <c r="Q4236">
        <v>4.2791900000000004E-3</v>
      </c>
      <c r="R4236">
        <v>-0.45694859999999998</v>
      </c>
      <c r="S4236">
        <v>2.4016109999999999</v>
      </c>
      <c r="T4236">
        <v>-0.35339379999999998</v>
      </c>
      <c r="U4236">
        <v>-1.9093629999999999</v>
      </c>
      <c r="V4236">
        <v>0.16943320000000001</v>
      </c>
      <c r="W4236">
        <v>1.5105449999999999E-2</v>
      </c>
      <c r="X4236">
        <v>0.98542589999999997</v>
      </c>
      <c r="Y4236">
        <v>0.3584524</v>
      </c>
      <c r="Z4236">
        <v>1.413142E-2</v>
      </c>
      <c r="AA4236">
        <v>0.93344099999999997</v>
      </c>
      <c r="AB4236">
        <v>33</v>
      </c>
      <c r="AC4236">
        <v>7.1569999999999796</v>
      </c>
      <c r="AD4236">
        <v>-1.1019427949259999</v>
      </c>
      <c r="AE4236">
        <v>-5.8434999999999997</v>
      </c>
      <c r="AF4236">
        <v>3.3795109220100099</v>
      </c>
      <c r="AG4236">
        <v>-1.1019427949259999</v>
      </c>
      <c r="AH4236">
        <v>8.4599255879121298</v>
      </c>
      <c r="AI4236">
        <v>96.897000351922699</v>
      </c>
      <c r="AJ4236">
        <v>68.2246307539355</v>
      </c>
      <c r="AK4236">
        <v>9.1763670887930804</v>
      </c>
      <c r="AL4236">
        <v>89.134488545526196</v>
      </c>
      <c r="AM4236">
        <v>80.244010210460303</v>
      </c>
      <c r="AN4236">
        <v>0.99999999413637597</v>
      </c>
    </row>
    <row r="4237" spans="1:40" x14ac:dyDescent="0.25">
      <c r="A4237" t="str">
        <f>"20190312154339013"</f>
        <v>20190312154339013</v>
      </c>
      <c r="B4237" t="str">
        <f>"1552376619001853"</f>
        <v>1552376619001853</v>
      </c>
      <c r="C4237" t="s">
        <v>40</v>
      </c>
      <c r="D4237">
        <v>4.9275989999999998</v>
      </c>
      <c r="E4237">
        <v>0.6090179</v>
      </c>
      <c r="F4237" t="s">
        <v>49</v>
      </c>
      <c r="G4237">
        <v>-200.60650000000001</v>
      </c>
      <c r="H4237" s="1">
        <v>2.9020220000000001E-6</v>
      </c>
      <c r="I4237">
        <v>209.857</v>
      </c>
      <c r="J4237">
        <v>-205.29839999999999</v>
      </c>
      <c r="K4237">
        <v>1.101726</v>
      </c>
      <c r="L4237">
        <v>214.20740000000001</v>
      </c>
      <c r="M4237">
        <v>0.95084619999999997</v>
      </c>
      <c r="N4237">
        <v>0</v>
      </c>
      <c r="O4237">
        <v>-0.30932480000000001</v>
      </c>
      <c r="P4237">
        <v>0.88428619999999902</v>
      </c>
      <c r="Q4237">
        <v>3.4324020000000002E-3</v>
      </c>
      <c r="R4237">
        <v>-0.46693259999999998</v>
      </c>
      <c r="S4237">
        <v>2.315445</v>
      </c>
      <c r="T4237">
        <v>-0.5098374</v>
      </c>
      <c r="U4237">
        <v>-2.0629119999999999</v>
      </c>
      <c r="V4237">
        <v>0.17079620000000001</v>
      </c>
      <c r="W4237">
        <v>1.4171899999999999E-2</v>
      </c>
      <c r="X4237">
        <v>0.98520450000000004</v>
      </c>
      <c r="Y4237">
        <v>0.40035100000000001</v>
      </c>
      <c r="Z4237">
        <v>1.8072339999999999E-2</v>
      </c>
      <c r="AA4237">
        <v>0.91618370000000005</v>
      </c>
      <c r="AB4237">
        <v>33</v>
      </c>
      <c r="AC4237">
        <v>4.6918999999999702</v>
      </c>
      <c r="AD4237">
        <v>-1.1017230979779999</v>
      </c>
      <c r="AE4237">
        <v>-4.3503999999999996</v>
      </c>
      <c r="AF4237">
        <v>2.6081936335511098</v>
      </c>
      <c r="AG4237">
        <v>-1.1017230979779999</v>
      </c>
      <c r="AH4237">
        <v>5.6403448000743897</v>
      </c>
      <c r="AI4237">
        <v>100.053587150029</v>
      </c>
      <c r="AJ4237">
        <v>65.183356998058201</v>
      </c>
      <c r="AK4237">
        <v>6.3110979455591503</v>
      </c>
      <c r="AL4237">
        <v>89.187982796629697</v>
      </c>
      <c r="AM4237">
        <v>80.164887911955304</v>
      </c>
      <c r="AN4237">
        <v>1.0000000457521401</v>
      </c>
    </row>
    <row r="4238" spans="1:40" x14ac:dyDescent="0.25">
      <c r="A4238" t="str">
        <f>"20190312154339036"</f>
        <v>20190312154339036</v>
      </c>
      <c r="B4238" t="str">
        <f>"1552376619032109"</f>
        <v>1552376619032109</v>
      </c>
      <c r="C4238" t="s">
        <v>40</v>
      </c>
      <c r="D4238">
        <v>4.8490419999999999</v>
      </c>
      <c r="E4238">
        <v>0.6612365</v>
      </c>
      <c r="F4238" t="s">
        <v>49</v>
      </c>
      <c r="G4238">
        <v>-200.57069999999999</v>
      </c>
      <c r="H4238" s="1">
        <v>2.901611E-6</v>
      </c>
      <c r="I4238">
        <v>209.68010000000001</v>
      </c>
      <c r="J4238">
        <v>-204.9726</v>
      </c>
      <c r="K4238">
        <v>1.101505</v>
      </c>
      <c r="L4238">
        <v>214.09059999999999</v>
      </c>
      <c r="M4238">
        <v>0.94751669999999999</v>
      </c>
      <c r="N4238">
        <v>0</v>
      </c>
      <c r="O4238">
        <v>-0.31937670000000001</v>
      </c>
      <c r="P4238">
        <v>0.87824760000000002</v>
      </c>
      <c r="Q4238">
        <v>2.8368479999999999E-3</v>
      </c>
      <c r="R4238">
        <v>-0.47819780000000001</v>
      </c>
      <c r="S4238">
        <v>2.254578</v>
      </c>
      <c r="T4238">
        <v>-0.52539650000000004</v>
      </c>
      <c r="U4238">
        <v>-2.1590120000000002</v>
      </c>
      <c r="V4238">
        <v>0.17295050000000001</v>
      </c>
      <c r="W4238">
        <v>1.347198E-2</v>
      </c>
      <c r="X4238">
        <v>0.9848384</v>
      </c>
      <c r="Y4238">
        <v>0.42322460000000001</v>
      </c>
      <c r="Z4238">
        <v>1.821217E-2</v>
      </c>
      <c r="AA4238">
        <v>0.90584169999999997</v>
      </c>
      <c r="AB4238">
        <v>33</v>
      </c>
      <c r="AC4238">
        <v>4.4019000000000101</v>
      </c>
      <c r="AD4238">
        <v>-1.101502098389</v>
      </c>
      <c r="AE4238">
        <v>-4.4104999999999803</v>
      </c>
      <c r="AF4238">
        <v>2.6894134260989402</v>
      </c>
      <c r="AG4238">
        <v>-1.101502098389</v>
      </c>
      <c r="AH4238">
        <v>5.4109936981187303</v>
      </c>
      <c r="AI4238">
        <v>100.331149228708</v>
      </c>
      <c r="AJ4238">
        <v>63.571353704531198</v>
      </c>
      <c r="AK4238">
        <v>6.1420765422060102</v>
      </c>
      <c r="AL4238">
        <v>89.228089070458395</v>
      </c>
      <c r="AM4238">
        <v>80.0396752102981</v>
      </c>
      <c r="AN4238">
        <v>1.0000000219049601</v>
      </c>
    </row>
    <row r="4239" spans="1:40" x14ac:dyDescent="0.25">
      <c r="A4239" t="str">
        <f>"20190312154339059"</f>
        <v>20190312154339059</v>
      </c>
      <c r="B4239" t="str">
        <f>"1552376619051629"</f>
        <v>1552376619051629</v>
      </c>
      <c r="C4239" t="s">
        <v>40</v>
      </c>
      <c r="D4239">
        <v>4.8438129999999999</v>
      </c>
      <c r="E4239">
        <v>0.66199540000000001</v>
      </c>
      <c r="F4239" t="s">
        <v>49</v>
      </c>
      <c r="G4239">
        <v>-201.58510000000001</v>
      </c>
      <c r="H4239" s="1">
        <v>3.3380519999999998E-6</v>
      </c>
      <c r="I4239">
        <v>209.83320000000001</v>
      </c>
      <c r="J4239">
        <v>-204.67080000000001</v>
      </c>
      <c r="K4239">
        <v>1.1012980000000001</v>
      </c>
      <c r="L4239">
        <v>213.9787</v>
      </c>
      <c r="M4239">
        <v>0.94423789999999996</v>
      </c>
      <c r="N4239">
        <v>0</v>
      </c>
      <c r="O4239">
        <v>-0.32894240000000002</v>
      </c>
      <c r="P4239">
        <v>0.87261759999999999</v>
      </c>
      <c r="Q4239">
        <v>3.1522E-3</v>
      </c>
      <c r="R4239">
        <v>-0.48839399999999999</v>
      </c>
      <c r="S4239">
        <v>2.0293429999999999</v>
      </c>
      <c r="T4239">
        <v>-0.65986480000000003</v>
      </c>
      <c r="U4239">
        <v>-2.550446</v>
      </c>
      <c r="V4239">
        <v>0.17447489999999999</v>
      </c>
      <c r="W4239">
        <v>1.36994E-2</v>
      </c>
      <c r="X4239">
        <v>0.98456630000000001</v>
      </c>
      <c r="Y4239">
        <v>0.53019459999999996</v>
      </c>
      <c r="Z4239">
        <v>1.163287E-2</v>
      </c>
      <c r="AA4239">
        <v>0.8477962</v>
      </c>
      <c r="AB4239">
        <v>33</v>
      </c>
      <c r="AC4239">
        <v>3.0857000000000001</v>
      </c>
      <c r="AD4239">
        <v>-1.101294661948</v>
      </c>
      <c r="AE4239">
        <v>-4.1454999999999904</v>
      </c>
      <c r="AF4239">
        <v>2.7736652530905199</v>
      </c>
      <c r="AG4239">
        <v>-1.101294661948</v>
      </c>
      <c r="AH4239">
        <v>4.0918906261238304</v>
      </c>
      <c r="AI4239">
        <v>102.559406222484</v>
      </c>
      <c r="AJ4239">
        <v>55.868836375174503</v>
      </c>
      <c r="AK4239">
        <v>5.0645471431113096</v>
      </c>
      <c r="AL4239">
        <v>89.215057630307598</v>
      </c>
      <c r="AM4239">
        <v>79.950945020709696</v>
      </c>
      <c r="AN4239">
        <v>0.99999998169302895</v>
      </c>
    </row>
    <row r="4240" spans="1:40" x14ac:dyDescent="0.25">
      <c r="A4240" t="str">
        <f>"20190312154339081"</f>
        <v>20190312154339081</v>
      </c>
      <c r="B4240" t="str">
        <f>"1552376619071675"</f>
        <v>1552376619071675</v>
      </c>
      <c r="C4240" t="s">
        <v>40</v>
      </c>
      <c r="D4240">
        <v>4.8488069999999999</v>
      </c>
      <c r="E4240">
        <v>0.66252129999999998</v>
      </c>
      <c r="F4240" t="s">
        <v>49</v>
      </c>
      <c r="G4240">
        <v>-201.3639</v>
      </c>
      <c r="H4240" s="1">
        <v>3.251073E-6</v>
      </c>
      <c r="I4240">
        <v>209.70609999999999</v>
      </c>
      <c r="J4240">
        <v>-204.3631</v>
      </c>
      <c r="K4240">
        <v>1.1010799999999901</v>
      </c>
      <c r="L4240">
        <v>213.86080000000001</v>
      </c>
      <c r="M4240">
        <v>0.94068439999999998</v>
      </c>
      <c r="N4240">
        <v>0</v>
      </c>
      <c r="O4240">
        <v>-0.33896939999999998</v>
      </c>
      <c r="P4240">
        <v>0.86677899999999997</v>
      </c>
      <c r="Q4240">
        <v>4.0266340000000003E-3</v>
      </c>
      <c r="R4240">
        <v>-0.49867590000000001</v>
      </c>
      <c r="S4240">
        <v>1.9965360000000001</v>
      </c>
      <c r="T4240">
        <v>-0.66490050000000001</v>
      </c>
      <c r="U4240">
        <v>-2.5795750000000002</v>
      </c>
      <c r="V4240">
        <v>0.17566799999999999</v>
      </c>
      <c r="W4240">
        <v>1.4490400000000001E-2</v>
      </c>
      <c r="X4240">
        <v>0.98434279999999996</v>
      </c>
      <c r="Y4240">
        <v>0.53263839999999996</v>
      </c>
      <c r="Z4240">
        <v>1.364223E-2</v>
      </c>
      <c r="AA4240">
        <v>0.84623300000000001</v>
      </c>
      <c r="AB4240">
        <v>33</v>
      </c>
      <c r="AC4240">
        <v>2.9992000000000001</v>
      </c>
      <c r="AD4240">
        <v>-1.1010767489269999</v>
      </c>
      <c r="AE4240">
        <v>-4.1547000000000196</v>
      </c>
      <c r="AF4240">
        <v>2.7642942474107102</v>
      </c>
      <c r="AG4240">
        <v>-1.1010767489269999</v>
      </c>
      <c r="AH4240">
        <v>4.0433692665996102</v>
      </c>
      <c r="AI4240">
        <v>102.669609665523</v>
      </c>
      <c r="AJ4240">
        <v>55.641102994135103</v>
      </c>
      <c r="AK4240">
        <v>5.0202119197677204</v>
      </c>
      <c r="AL4240">
        <v>89.169732165171297</v>
      </c>
      <c r="AM4240">
        <v>79.881392362507697</v>
      </c>
      <c r="AN4240">
        <v>0.99999998291399905</v>
      </c>
    </row>
    <row r="4241" spans="1:40" x14ac:dyDescent="0.25">
      <c r="A4241" t="str">
        <f>"20190312154339107"</f>
        <v>20190312154339107</v>
      </c>
      <c r="B4241" t="str">
        <f>"1552376619101911"</f>
        <v>1552376619101911</v>
      </c>
      <c r="C4241" t="s">
        <v>40</v>
      </c>
      <c r="D4241">
        <v>4.8481730000000001</v>
      </c>
      <c r="E4241">
        <v>0.66330250000000002</v>
      </c>
      <c r="F4241" t="s">
        <v>49</v>
      </c>
      <c r="G4241">
        <v>-201.08850000000001</v>
      </c>
      <c r="H4241" s="1">
        <v>3.1554739999999998E-6</v>
      </c>
      <c r="I4241">
        <v>209.5104</v>
      </c>
      <c r="J4241">
        <v>-204.04140000000001</v>
      </c>
      <c r="K4241">
        <v>1.100833</v>
      </c>
      <c r="L4241">
        <v>213.73330000000001</v>
      </c>
      <c r="M4241">
        <v>0.93672080000000002</v>
      </c>
      <c r="N4241">
        <v>0</v>
      </c>
      <c r="O4241">
        <v>-0.34977219999999998</v>
      </c>
      <c r="P4241">
        <v>0.86042369999999901</v>
      </c>
      <c r="Q4241">
        <v>4.4654539999999998E-3</v>
      </c>
      <c r="R4241">
        <v>-0.50956040000000002</v>
      </c>
      <c r="S4241">
        <v>1.963425</v>
      </c>
      <c r="T4241">
        <v>-0.66019550000000005</v>
      </c>
      <c r="U4241">
        <v>-2.6084900000000002</v>
      </c>
      <c r="V4241">
        <v>0.1767657</v>
      </c>
      <c r="W4241">
        <v>1.484036E-2</v>
      </c>
      <c r="X4241">
        <v>0.98414109999999999</v>
      </c>
      <c r="Y4241">
        <v>0.53448830000000003</v>
      </c>
      <c r="Z4241">
        <v>1.570386E-2</v>
      </c>
      <c r="AA4241">
        <v>0.84502999999999995</v>
      </c>
      <c r="AB4241">
        <v>33</v>
      </c>
      <c r="AC4241">
        <v>2.9529000000000001</v>
      </c>
      <c r="AD4241">
        <v>-1.1008298445260001</v>
      </c>
      <c r="AE4241">
        <v>-4.2229000000000099</v>
      </c>
      <c r="AF4241">
        <v>2.79556178058664</v>
      </c>
      <c r="AG4241">
        <v>-1.1008298445260001</v>
      </c>
      <c r="AH4241">
        <v>4.0583313301871602</v>
      </c>
      <c r="AI4241">
        <v>102.59214376397701</v>
      </c>
      <c r="AJ4241">
        <v>55.439175605083697</v>
      </c>
      <c r="AK4241">
        <v>5.0494598920334601</v>
      </c>
      <c r="AL4241">
        <v>89.149678814495502</v>
      </c>
      <c r="AM4241">
        <v>79.817439635954202</v>
      </c>
      <c r="AN4241">
        <v>1.00000002684531</v>
      </c>
    </row>
    <row r="4242" spans="1:40" x14ac:dyDescent="0.25">
      <c r="A4242" t="str">
        <f>"20190312154339126"</f>
        <v>20190312154339126</v>
      </c>
      <c r="B4242" t="str">
        <f>"1552376619121431"</f>
        <v>1552376619121431</v>
      </c>
      <c r="C4242" t="s">
        <v>40</v>
      </c>
      <c r="D4242">
        <v>4.8775360000000001</v>
      </c>
      <c r="E4242">
        <v>0.6628288</v>
      </c>
      <c r="F4242" t="s">
        <v>49</v>
      </c>
      <c r="G4242">
        <v>-200.78899999999999</v>
      </c>
      <c r="H4242" s="1">
        <v>3.063502E-6</v>
      </c>
      <c r="I4242">
        <v>209.2783</v>
      </c>
      <c r="J4242">
        <v>-203.74250000000001</v>
      </c>
      <c r="K4242">
        <v>1.1005780000000001</v>
      </c>
      <c r="L4242">
        <v>213.61060000000001</v>
      </c>
      <c r="M4242">
        <v>0.93278859999999997</v>
      </c>
      <c r="N4242">
        <v>0</v>
      </c>
      <c r="O4242">
        <v>-0.36012539999999998</v>
      </c>
      <c r="P4242">
        <v>0.85395569999999899</v>
      </c>
      <c r="Q4242">
        <v>4.5804309999999899E-3</v>
      </c>
      <c r="R4242">
        <v>-0.5203255</v>
      </c>
      <c r="S4242">
        <v>1.9269259999999999</v>
      </c>
      <c r="T4242">
        <v>-0.65218509999999996</v>
      </c>
      <c r="U4242">
        <v>-2.6393740000000001</v>
      </c>
      <c r="V4242">
        <v>0.17823729999999999</v>
      </c>
      <c r="W4242">
        <v>1.4856090000000001E-2</v>
      </c>
      <c r="X4242">
        <v>0.98387539999999996</v>
      </c>
      <c r="Y4242">
        <v>0.5376765</v>
      </c>
      <c r="Z4242">
        <v>1.7394920000000001E-2</v>
      </c>
      <c r="AA4242">
        <v>0.84297180000000005</v>
      </c>
      <c r="AB4242">
        <v>33</v>
      </c>
      <c r="AC4242">
        <v>2.9534999999999898</v>
      </c>
      <c r="AD4242">
        <v>-1.100574936498</v>
      </c>
      <c r="AE4242">
        <v>-4.3323</v>
      </c>
      <c r="AF4242">
        <v>2.8521476612129799</v>
      </c>
      <c r="AG4242">
        <v>-1.100574936498</v>
      </c>
      <c r="AH4242">
        <v>4.1335089821344999</v>
      </c>
      <c r="AI4242">
        <v>102.36095903876701</v>
      </c>
      <c r="AJ4242">
        <v>55.394075943660503</v>
      </c>
      <c r="AK4242">
        <v>5.14119713467562</v>
      </c>
      <c r="AL4242">
        <v>89.1487774472442</v>
      </c>
      <c r="AM4242">
        <v>79.731750422896695</v>
      </c>
      <c r="AN4242">
        <v>1.00000002062326</v>
      </c>
    </row>
    <row r="4243" spans="1:40" x14ac:dyDescent="0.25">
      <c r="A4243" t="str">
        <f>"20190312154339146"</f>
        <v>20190312154339146</v>
      </c>
      <c r="B4243" t="str">
        <f>"1552376619141808"</f>
        <v>1552376619141808</v>
      </c>
      <c r="C4243" t="s">
        <v>40</v>
      </c>
      <c r="D4243">
        <v>4.9121370000000004</v>
      </c>
      <c r="E4243">
        <v>0.66230649999999902</v>
      </c>
      <c r="F4243" t="s">
        <v>49</v>
      </c>
      <c r="G4243">
        <v>-200.57210000000001</v>
      </c>
      <c r="H4243" s="1">
        <v>2.9877560000000001E-6</v>
      </c>
      <c r="I4243">
        <v>209.16229999999999</v>
      </c>
      <c r="J4243">
        <v>-203.4597</v>
      </c>
      <c r="K4243">
        <v>1.1003270000000001</v>
      </c>
      <c r="L4243">
        <v>213.4906</v>
      </c>
      <c r="M4243">
        <v>0.92882500000000001</v>
      </c>
      <c r="N4243">
        <v>0</v>
      </c>
      <c r="O4243">
        <v>-0.37022680000000002</v>
      </c>
      <c r="P4243">
        <v>0.84727169999999896</v>
      </c>
      <c r="Q4243">
        <v>4.470445E-3</v>
      </c>
      <c r="R4243">
        <v>-0.53114130000000004</v>
      </c>
      <c r="S4243">
        <v>1.8958440000000001</v>
      </c>
      <c r="T4243">
        <v>-0.65812219999999999</v>
      </c>
      <c r="U4243">
        <v>-2.6599879999999998</v>
      </c>
      <c r="V4243">
        <v>0.18007670000000001</v>
      </c>
      <c r="W4243">
        <v>1.4635820000000001E-2</v>
      </c>
      <c r="X4243">
        <v>0.98354370000000002</v>
      </c>
      <c r="Y4243">
        <v>0.53824110000000003</v>
      </c>
      <c r="Z4243">
        <v>1.973391E-2</v>
      </c>
      <c r="AA4243">
        <v>0.84255990000000003</v>
      </c>
      <c r="AB4243">
        <v>33</v>
      </c>
      <c r="AC4243">
        <v>2.8875999999999902</v>
      </c>
      <c r="AD4243">
        <v>-1.1003240122439999</v>
      </c>
      <c r="AE4243">
        <v>-4.3283000000000103</v>
      </c>
      <c r="AF4243">
        <v>2.8251415310782</v>
      </c>
      <c r="AG4243">
        <v>-1.1003240122439999</v>
      </c>
      <c r="AH4243">
        <v>4.10156386759623</v>
      </c>
      <c r="AI4243">
        <v>102.458312683939</v>
      </c>
      <c r="AJ4243">
        <v>55.441077734976901</v>
      </c>
      <c r="AK4243">
        <v>5.10048662016818</v>
      </c>
      <c r="AL4243">
        <v>89.161399358058901</v>
      </c>
      <c r="AM4243">
        <v>79.624649185652004</v>
      </c>
      <c r="AN4243">
        <v>1.00000001745982</v>
      </c>
    </row>
    <row r="4244" spans="1:40" x14ac:dyDescent="0.25">
      <c r="A4244" t="str">
        <f>"20190312154339169"</f>
        <v>20190312154339169</v>
      </c>
      <c r="B4244" t="str">
        <f>"1552376619161380"</f>
        <v>1552376619161380</v>
      </c>
      <c r="C4244" t="s">
        <v>40</v>
      </c>
      <c r="D4244">
        <v>4.8702300000000003</v>
      </c>
      <c r="E4244">
        <v>0.66190509999999902</v>
      </c>
      <c r="F4244" t="s">
        <v>49</v>
      </c>
      <c r="G4244">
        <v>-200.35890000000001</v>
      </c>
      <c r="H4244" s="1">
        <v>2.9322960000000002E-6</v>
      </c>
      <c r="I4244">
        <v>209.0325</v>
      </c>
      <c r="J4244">
        <v>-203.15639999999999</v>
      </c>
      <c r="K4244">
        <v>1.1000430000000001</v>
      </c>
      <c r="L4244">
        <v>213.35749999999999</v>
      </c>
      <c r="M4244">
        <v>0.92429079999999997</v>
      </c>
      <c r="N4244">
        <v>0</v>
      </c>
      <c r="O4244">
        <v>-0.38140289999999999</v>
      </c>
      <c r="P4244">
        <v>0.84004210000000001</v>
      </c>
      <c r="Q4244">
        <v>4.9111279999999998E-3</v>
      </c>
      <c r="R4244">
        <v>-0.54249919999999996</v>
      </c>
      <c r="S4244">
        <v>1.86412</v>
      </c>
      <c r="T4244">
        <v>-0.66149749999999996</v>
      </c>
      <c r="U4244">
        <v>-2.680161</v>
      </c>
      <c r="V4244">
        <v>0.18147669999999999</v>
      </c>
      <c r="W4244">
        <v>1.4969090000000001E-2</v>
      </c>
      <c r="X4244">
        <v>0.98328130000000002</v>
      </c>
      <c r="Y4244">
        <v>0.53792659999999903</v>
      </c>
      <c r="Z4244">
        <v>2.2385169999999999E-2</v>
      </c>
      <c r="AA4244">
        <v>0.84269450000000001</v>
      </c>
      <c r="AB4244">
        <v>33</v>
      </c>
      <c r="AC4244">
        <v>2.7974999999999799</v>
      </c>
      <c r="AD4244">
        <v>-1.1000400677040001</v>
      </c>
      <c r="AE4244">
        <v>-4.3249999999999797</v>
      </c>
      <c r="AF4244">
        <v>2.8030576927630899</v>
      </c>
      <c r="AG4244">
        <v>-1.1000400677040001</v>
      </c>
      <c r="AH4244">
        <v>4.0509716732469601</v>
      </c>
      <c r="AI4244">
        <v>102.587843184647</v>
      </c>
      <c r="AJ4244">
        <v>55.318819177131402</v>
      </c>
      <c r="AK4244">
        <v>5.04753326655326</v>
      </c>
      <c r="AL4244">
        <v>89.142302278520006</v>
      </c>
      <c r="AM4244">
        <v>79.543029861051807</v>
      </c>
      <c r="AN4244">
        <v>0.99999999061400402</v>
      </c>
    </row>
    <row r="4245" spans="1:40" x14ac:dyDescent="0.25">
      <c r="A4245" t="str">
        <f>"20190312154339191"</f>
        <v>20190312154339191</v>
      </c>
      <c r="B4245" t="str">
        <f>"1552376619181532"</f>
        <v>1552376619181532</v>
      </c>
      <c r="C4245" t="s">
        <v>40</v>
      </c>
      <c r="D4245">
        <v>4.8999230000000003</v>
      </c>
      <c r="E4245">
        <v>0.66171250000000004</v>
      </c>
      <c r="F4245" t="s">
        <v>49</v>
      </c>
      <c r="G4245">
        <v>-200.10579999999999</v>
      </c>
      <c r="H4245" s="1">
        <v>2.891646E-6</v>
      </c>
      <c r="I4245">
        <v>208.84690000000001</v>
      </c>
      <c r="J4245">
        <v>-202.86070000000001</v>
      </c>
      <c r="K4245">
        <v>1.099755</v>
      </c>
      <c r="L4245">
        <v>213.22300000000001</v>
      </c>
      <c r="M4245">
        <v>0.91956380000000004</v>
      </c>
      <c r="N4245">
        <v>0</v>
      </c>
      <c r="O4245">
        <v>-0.39266069999999997</v>
      </c>
      <c r="P4245">
        <v>0.8325844</v>
      </c>
      <c r="Q4245">
        <v>5.6105290000000004E-3</v>
      </c>
      <c r="R4245">
        <v>-0.55386990000000003</v>
      </c>
      <c r="S4245">
        <v>1.8287960000000001</v>
      </c>
      <c r="T4245">
        <v>-0.65946530000000003</v>
      </c>
      <c r="U4245">
        <v>-2.7041019999999998</v>
      </c>
      <c r="V4245">
        <v>0.18286920000000001</v>
      </c>
      <c r="W4245">
        <v>1.556364E-2</v>
      </c>
      <c r="X4245">
        <v>0.98301400000000005</v>
      </c>
      <c r="Y4245">
        <v>0.53883930000000002</v>
      </c>
      <c r="Z4245">
        <v>2.4734809999999999E-2</v>
      </c>
      <c r="AA4245">
        <v>0.84204539999999894</v>
      </c>
      <c r="AB4245">
        <v>33</v>
      </c>
      <c r="AC4245">
        <v>2.7549000000000201</v>
      </c>
      <c r="AD4245">
        <v>-1.0997521083540001</v>
      </c>
      <c r="AE4245">
        <v>-4.3760999999999797</v>
      </c>
      <c r="AF4245">
        <v>2.81534600280734</v>
      </c>
      <c r="AG4245">
        <v>-1.0997521083540001</v>
      </c>
      <c r="AH4245">
        <v>4.0680940718298899</v>
      </c>
      <c r="AI4245">
        <v>102.532746852825</v>
      </c>
      <c r="AJ4245">
        <v>55.314623845136701</v>
      </c>
      <c r="AK4245">
        <v>5.0680387915454901</v>
      </c>
      <c r="AL4245">
        <v>89.1082330633689</v>
      </c>
      <c r="AM4245">
        <v>79.461781058621199</v>
      </c>
      <c r="AN4245">
        <v>0.99999994769734302</v>
      </c>
    </row>
    <row r="4246" spans="1:40" x14ac:dyDescent="0.25">
      <c r="A4246" t="str">
        <f>"20190312154339215"</f>
        <v>20190312154339215</v>
      </c>
      <c r="B4246" t="str">
        <f>"1552376619202028"</f>
        <v>1552376619202028</v>
      </c>
      <c r="C4246" t="s">
        <v>40</v>
      </c>
      <c r="D4246">
        <v>4.8881649999999999</v>
      </c>
      <c r="E4246">
        <v>0.66143850000000004</v>
      </c>
      <c r="F4246" t="s">
        <v>49</v>
      </c>
      <c r="G4246">
        <v>-199.86600000000001</v>
      </c>
      <c r="H4246" s="1">
        <v>2.903775E-6</v>
      </c>
      <c r="I4246">
        <v>208.66419999999999</v>
      </c>
      <c r="J4246">
        <v>-202.54409999999999</v>
      </c>
      <c r="K4246">
        <v>1.0994569999999999</v>
      </c>
      <c r="L4246">
        <v>213.0737</v>
      </c>
      <c r="M4246">
        <v>0.91417079999999995</v>
      </c>
      <c r="N4246">
        <v>0</v>
      </c>
      <c r="O4246">
        <v>-0.40505540000000001</v>
      </c>
      <c r="P4246">
        <v>0.82428380000000001</v>
      </c>
      <c r="Q4246">
        <v>6.4497369999999997E-3</v>
      </c>
      <c r="R4246">
        <v>-0.56614069999999905</v>
      </c>
      <c r="S4246">
        <v>1.792465</v>
      </c>
      <c r="T4246">
        <v>-0.6582576</v>
      </c>
      <c r="U4246">
        <v>-2.7286380000000001</v>
      </c>
      <c r="V4246">
        <v>0.18417649999999999</v>
      </c>
      <c r="W4246">
        <v>1.6302649999999998E-2</v>
      </c>
      <c r="X4246">
        <v>0.98275800000000002</v>
      </c>
      <c r="Y4246">
        <v>0.53897349999999999</v>
      </c>
      <c r="Z4246">
        <v>2.7456399999999999E-2</v>
      </c>
      <c r="AA4246">
        <v>0.84187509999999999</v>
      </c>
      <c r="AB4246">
        <v>32</v>
      </c>
      <c r="AC4246">
        <v>2.6781000000000001</v>
      </c>
      <c r="AD4246">
        <v>-1.0994540962249999</v>
      </c>
      <c r="AE4246">
        <v>-4.4095000000000004</v>
      </c>
      <c r="AF4246">
        <v>2.8185746103085099</v>
      </c>
      <c r="AG4246">
        <v>-1.0994540962249999</v>
      </c>
      <c r="AH4246">
        <v>4.0508283075072802</v>
      </c>
      <c r="AI4246">
        <v>102.55980622265901</v>
      </c>
      <c r="AJ4246">
        <v>55.169724704351196</v>
      </c>
      <c r="AK4246">
        <v>5.0559244575531403</v>
      </c>
      <c r="AL4246">
        <v>89.065885600949997</v>
      </c>
      <c r="AM4246">
        <v>79.385448897111004</v>
      </c>
      <c r="AN4246">
        <v>1.0000000230566299</v>
      </c>
    </row>
    <row r="4247" spans="1:40" x14ac:dyDescent="0.25">
      <c r="A4247" t="str">
        <f>"20190312154339240"</f>
        <v>20190312154339240</v>
      </c>
      <c r="B4247" t="str">
        <f>"1552376619231308"</f>
        <v>1552376619231308</v>
      </c>
      <c r="C4247" t="s">
        <v>40</v>
      </c>
      <c r="D4247">
        <v>4.9317099999999998</v>
      </c>
      <c r="E4247">
        <v>0.66098480000000004</v>
      </c>
      <c r="F4247" t="s">
        <v>49</v>
      </c>
      <c r="G4247">
        <v>-199.61799999999999</v>
      </c>
      <c r="H4247" s="1">
        <v>2.9969620000000001E-6</v>
      </c>
      <c r="I4247">
        <v>208.47839999999999</v>
      </c>
      <c r="J4247">
        <v>-202.2244</v>
      </c>
      <c r="K4247">
        <v>1.0991740000000001</v>
      </c>
      <c r="L4247">
        <v>212.91730000000001</v>
      </c>
      <c r="M4247">
        <v>0.90835489999999997</v>
      </c>
      <c r="N4247">
        <v>0</v>
      </c>
      <c r="O4247">
        <v>-0.41793200000000003</v>
      </c>
      <c r="P4247">
        <v>0.81580140000000001</v>
      </c>
      <c r="Q4247">
        <v>7.0741950000000001E-3</v>
      </c>
      <c r="R4247">
        <v>-0.57828900000000005</v>
      </c>
      <c r="S4247">
        <v>1.7534029999999901</v>
      </c>
      <c r="T4247">
        <v>-0.65882249999999998</v>
      </c>
      <c r="U4247">
        <v>-2.7536010000000002</v>
      </c>
      <c r="V4247">
        <v>0.1848794</v>
      </c>
      <c r="W4247">
        <v>1.6845209999999999E-2</v>
      </c>
      <c r="X4247">
        <v>0.98261679999999996</v>
      </c>
      <c r="Y4247">
        <v>0.53922630000000005</v>
      </c>
      <c r="Z4247">
        <v>3.035815E-2</v>
      </c>
      <c r="AA4247">
        <v>0.84161350000000001</v>
      </c>
      <c r="AB4247">
        <v>32</v>
      </c>
      <c r="AC4247">
        <v>2.6063999999999998</v>
      </c>
      <c r="AD4247">
        <v>-1.099171003038</v>
      </c>
      <c r="AE4247">
        <v>-4.4389000000000101</v>
      </c>
      <c r="AF4247">
        <v>2.81478432200747</v>
      </c>
      <c r="AG4247">
        <v>-1.099171003038</v>
      </c>
      <c r="AH4247">
        <v>4.0390037083005597</v>
      </c>
      <c r="AI4247">
        <v>102.585985913079</v>
      </c>
      <c r="AJ4247">
        <v>55.127334289354401</v>
      </c>
      <c r="AK4247">
        <v>5.0442778104506001</v>
      </c>
      <c r="AL4247">
        <v>89.034794876245101</v>
      </c>
      <c r="AM4247">
        <v>79.344368774602799</v>
      </c>
      <c r="AN4247">
        <v>0.99999996464327101</v>
      </c>
    </row>
    <row r="4248" spans="1:40" x14ac:dyDescent="0.25">
      <c r="A4248" t="str">
        <f>"20190312154339260"</f>
        <v>20190312154339260</v>
      </c>
      <c r="B4248" t="str">
        <f>"1552376619252311"</f>
        <v>1552376619252311</v>
      </c>
      <c r="C4248" t="s">
        <v>40</v>
      </c>
      <c r="D4248">
        <v>4.9485839999999897</v>
      </c>
      <c r="E4248">
        <v>0.66062330000000002</v>
      </c>
      <c r="F4248" t="s">
        <v>49</v>
      </c>
      <c r="G4248">
        <v>-199.35550000000001</v>
      </c>
      <c r="H4248" s="1">
        <v>3.0987679999999998E-6</v>
      </c>
      <c r="I4248">
        <v>208.2698</v>
      </c>
      <c r="J4248">
        <v>-201.9539</v>
      </c>
      <c r="K4248">
        <v>1.0989310000000001</v>
      </c>
      <c r="L4248">
        <v>212.78030000000001</v>
      </c>
      <c r="M4248">
        <v>0.90312060000000005</v>
      </c>
      <c r="N4248">
        <v>0</v>
      </c>
      <c r="O4248">
        <v>-0.42912430000000001</v>
      </c>
      <c r="P4248">
        <v>0.80826659999999995</v>
      </c>
      <c r="Q4248">
        <v>7.1131619999999897E-3</v>
      </c>
      <c r="R4248">
        <v>-0.58877360000000001</v>
      </c>
      <c r="S4248">
        <v>1.714386</v>
      </c>
      <c r="T4248">
        <v>-0.65683619999999898</v>
      </c>
      <c r="U4248">
        <v>-2.7772220000000001</v>
      </c>
      <c r="V4248">
        <v>0.1854364</v>
      </c>
      <c r="W4248">
        <v>1.6817080000000002E-2</v>
      </c>
      <c r="X4248">
        <v>0.98251239999999995</v>
      </c>
      <c r="Y4248">
        <v>0.54074259999999996</v>
      </c>
      <c r="Z4248">
        <v>3.2628249999999998E-2</v>
      </c>
      <c r="AA4248">
        <v>0.8405551</v>
      </c>
      <c r="AB4248">
        <v>32</v>
      </c>
      <c r="AC4248">
        <v>2.5983999999999901</v>
      </c>
      <c r="AD4248">
        <v>-1.0989279012319999</v>
      </c>
      <c r="AE4248">
        <v>-4.5105000000000004</v>
      </c>
      <c r="AF4248">
        <v>2.8325786096465202</v>
      </c>
      <c r="AG4248">
        <v>-1.0989279012319999</v>
      </c>
      <c r="AH4248">
        <v>4.0999862138215803</v>
      </c>
      <c r="AI4248">
        <v>102.435923242416</v>
      </c>
      <c r="AJ4248">
        <v>55.360368646526098</v>
      </c>
      <c r="AK4248">
        <v>5.1030413544728601</v>
      </c>
      <c r="AL4248">
        <v>89.036406911769802</v>
      </c>
      <c r="AM4248">
        <v>79.311894698254605</v>
      </c>
      <c r="AN4248">
        <v>1.0000000443892201</v>
      </c>
    </row>
    <row r="4249" spans="1:40" x14ac:dyDescent="0.25">
      <c r="A4249" t="str">
        <f>"20190312154339283"</f>
        <v>20190312154339283</v>
      </c>
      <c r="B4249" t="str">
        <f>"1552376619271831"</f>
        <v>1552376619271831</v>
      </c>
      <c r="C4249" t="s">
        <v>40</v>
      </c>
      <c r="D4249">
        <v>4.9816129999999896</v>
      </c>
      <c r="E4249">
        <v>0.66023619999999905</v>
      </c>
      <c r="F4249" t="s">
        <v>49</v>
      </c>
      <c r="G4249">
        <v>-199.15289999999999</v>
      </c>
      <c r="H4249" s="1">
        <v>3.175612E-6</v>
      </c>
      <c r="I4249">
        <v>208.11529999999999</v>
      </c>
      <c r="J4249">
        <v>-201.6491</v>
      </c>
      <c r="K4249">
        <v>1.098651</v>
      </c>
      <c r="L4249">
        <v>212.6207</v>
      </c>
      <c r="M4249">
        <v>0.89685979999999998</v>
      </c>
      <c r="N4249">
        <v>0</v>
      </c>
      <c r="O4249">
        <v>-0.4420577</v>
      </c>
      <c r="P4249">
        <v>0.79875699999999905</v>
      </c>
      <c r="Q4249">
        <v>8.0546660000000003E-3</v>
      </c>
      <c r="R4249">
        <v>-0.60160029999999998</v>
      </c>
      <c r="S4249">
        <v>1.6796880000000001</v>
      </c>
      <c r="T4249">
        <v>-0.65900230000000004</v>
      </c>
      <c r="U4249">
        <v>-2.7974700000000001</v>
      </c>
      <c r="V4249">
        <v>0.18704280000000001</v>
      </c>
      <c r="W4249">
        <v>1.7654280000000001E-2</v>
      </c>
      <c r="X4249">
        <v>0.98219310000000004</v>
      </c>
      <c r="Y4249">
        <v>0.53921409999999903</v>
      </c>
      <c r="Z4249">
        <v>3.5861999999999998E-2</v>
      </c>
      <c r="AA4249">
        <v>0.84140479999999995</v>
      </c>
      <c r="AB4249">
        <v>32</v>
      </c>
      <c r="AC4249">
        <v>2.4962000000000102</v>
      </c>
      <c r="AD4249">
        <v>-1.098647824388</v>
      </c>
      <c r="AE4249">
        <v>-4.5053999999999998</v>
      </c>
      <c r="AF4249">
        <v>2.8097460192583501</v>
      </c>
      <c r="AG4249">
        <v>-1.098647824388</v>
      </c>
      <c r="AH4249">
        <v>4.04675313548631</v>
      </c>
      <c r="AI4249">
        <v>102.57157088381101</v>
      </c>
      <c r="AJ4249">
        <v>55.226937390367802</v>
      </c>
      <c r="AK4249">
        <v>5.0475648261650798</v>
      </c>
      <c r="AL4249">
        <v>88.988431698470805</v>
      </c>
      <c r="AM4249">
        <v>79.218043905760595</v>
      </c>
      <c r="AN4249">
        <v>0.99999998416088398</v>
      </c>
    </row>
    <row r="4250" spans="1:40" x14ac:dyDescent="0.25">
      <c r="A4250" t="str">
        <f>"20190312154339305"</f>
        <v>20190312154339305</v>
      </c>
      <c r="B4250" t="str">
        <f>"1552376619292328"</f>
        <v>1552376619292328</v>
      </c>
      <c r="C4250" t="s">
        <v>40</v>
      </c>
      <c r="D4250">
        <v>4.9959689999999997</v>
      </c>
      <c r="E4250">
        <v>0.65988549999999901</v>
      </c>
      <c r="F4250" t="s">
        <v>49</v>
      </c>
      <c r="G4250">
        <v>-198.8827</v>
      </c>
      <c r="H4250" s="1">
        <v>3.2926410000000001E-6</v>
      </c>
      <c r="I4250">
        <v>207.8544</v>
      </c>
      <c r="J4250">
        <v>-201.3775</v>
      </c>
      <c r="K4250">
        <v>1.098401</v>
      </c>
      <c r="L4250">
        <v>212.47329999999999</v>
      </c>
      <c r="M4250">
        <v>0.890928099999999</v>
      </c>
      <c r="N4250">
        <v>0</v>
      </c>
      <c r="O4250">
        <v>-0.45389160000000001</v>
      </c>
      <c r="P4250">
        <v>0.78934329999999997</v>
      </c>
      <c r="Q4250">
        <v>9.5935829999999993E-3</v>
      </c>
      <c r="R4250">
        <v>-0.61387729999999996</v>
      </c>
      <c r="S4250">
        <v>1.6375120000000001</v>
      </c>
      <c r="T4250">
        <v>-0.65032029999999996</v>
      </c>
      <c r="U4250">
        <v>-2.8212890000000002</v>
      </c>
      <c r="V4250">
        <v>0.1892886</v>
      </c>
      <c r="W4250">
        <v>1.9074540000000001E-2</v>
      </c>
      <c r="X4250">
        <v>0.98173619999999995</v>
      </c>
      <c r="Y4250">
        <v>0.54076150000000001</v>
      </c>
      <c r="Z4250">
        <v>3.7904790000000001E-2</v>
      </c>
      <c r="AA4250">
        <v>0.84032150000000005</v>
      </c>
      <c r="AB4250">
        <v>32</v>
      </c>
      <c r="AC4250">
        <v>2.4947999999999899</v>
      </c>
      <c r="AD4250">
        <v>-1.0983977073590001</v>
      </c>
      <c r="AE4250">
        <v>-4.6188999999999902</v>
      </c>
      <c r="AF4250">
        <v>2.8579622471198198</v>
      </c>
      <c r="AG4250">
        <v>-1.0983977073590001</v>
      </c>
      <c r="AH4250">
        <v>4.1384837989329304</v>
      </c>
      <c r="AI4250">
        <v>102.31966412773799</v>
      </c>
      <c r="AJ4250">
        <v>55.3717414957123</v>
      </c>
      <c r="AK4250">
        <v>5.1479582247259996</v>
      </c>
      <c r="AL4250">
        <v>88.907043066735895</v>
      </c>
      <c r="AM4250">
        <v>79.0867193813923</v>
      </c>
      <c r="AN4250">
        <v>0.99999998927830502</v>
      </c>
    </row>
    <row r="4251" spans="1:40" x14ac:dyDescent="0.25">
      <c r="A4251" t="str">
        <f>"20190312154339324"</f>
        <v>20190312154339324</v>
      </c>
      <c r="B4251" t="str">
        <f>"1552376619311848"</f>
        <v>1552376619311848</v>
      </c>
      <c r="C4251" t="s">
        <v>40</v>
      </c>
      <c r="D4251">
        <v>5.014958</v>
      </c>
      <c r="E4251">
        <v>0.65948339999999905</v>
      </c>
      <c r="F4251" t="s">
        <v>49</v>
      </c>
      <c r="G4251">
        <v>-198.65180000000001</v>
      </c>
      <c r="H4251" s="1">
        <v>3.3960129999999999E-6</v>
      </c>
      <c r="I4251">
        <v>207.61869999999999</v>
      </c>
      <c r="J4251">
        <v>-201.11859999999999</v>
      </c>
      <c r="K4251">
        <v>1.0981590000000001</v>
      </c>
      <c r="L4251">
        <v>212.32820000000001</v>
      </c>
      <c r="M4251">
        <v>0.88494629999999996</v>
      </c>
      <c r="N4251">
        <v>0</v>
      </c>
      <c r="O4251">
        <v>-0.46544410000000003</v>
      </c>
      <c r="P4251">
        <v>0.77957019999999899</v>
      </c>
      <c r="Q4251">
        <v>9.8922709999999994E-3</v>
      </c>
      <c r="R4251">
        <v>-0.62623700000000004</v>
      </c>
      <c r="S4251">
        <v>1.5967559999999901</v>
      </c>
      <c r="T4251">
        <v>-0.64344809999999997</v>
      </c>
      <c r="U4251">
        <v>-2.8438569999999999</v>
      </c>
      <c r="V4251">
        <v>0.19200500000000001</v>
      </c>
      <c r="W4251">
        <v>1.9239490000000001E-2</v>
      </c>
      <c r="X4251">
        <v>0.98120529999999995</v>
      </c>
      <c r="Y4251">
        <v>0.54200579999999998</v>
      </c>
      <c r="Z4251">
        <v>3.9972649999999998E-2</v>
      </c>
      <c r="AA4251">
        <v>0.83942349999999999</v>
      </c>
      <c r="AB4251">
        <v>32</v>
      </c>
      <c r="AC4251">
        <v>2.4667999999999699</v>
      </c>
      <c r="AD4251">
        <v>-1.098155603987</v>
      </c>
      <c r="AE4251">
        <v>-4.7095000000000198</v>
      </c>
      <c r="AF4251">
        <v>2.8962734446978802</v>
      </c>
      <c r="AG4251">
        <v>-1.098155603987</v>
      </c>
      <c r="AH4251">
        <v>4.1964539324987404</v>
      </c>
      <c r="AI4251">
        <v>102.15423592186001</v>
      </c>
      <c r="AJ4251">
        <v>55.387663109531402</v>
      </c>
      <c r="AK4251">
        <v>5.2158001499879498</v>
      </c>
      <c r="AL4251">
        <v>88.897590360139205</v>
      </c>
      <c r="AM4251">
        <v>78.9281074079787</v>
      </c>
      <c r="AN4251">
        <v>0.99999995937427399</v>
      </c>
    </row>
    <row r="4252" spans="1:40" x14ac:dyDescent="0.25">
      <c r="A4252" t="str">
        <f>"20190312154339351"</f>
        <v>20190312154339351</v>
      </c>
      <c r="B4252" t="str">
        <f>"1552376619342144"</f>
        <v>1552376619342144</v>
      </c>
      <c r="C4252" t="s">
        <v>40</v>
      </c>
      <c r="D4252">
        <v>4.9911329999999996</v>
      </c>
      <c r="E4252">
        <v>0.65885719999999903</v>
      </c>
      <c r="F4252" t="s">
        <v>49</v>
      </c>
      <c r="G4252">
        <v>-198.45339999999999</v>
      </c>
      <c r="H4252" s="1">
        <v>3.4853319999999999E-6</v>
      </c>
      <c r="I4252">
        <v>207.4143</v>
      </c>
      <c r="J4252">
        <v>-200.7784</v>
      </c>
      <c r="K4252">
        <v>1.0978239999999999</v>
      </c>
      <c r="L4252">
        <v>212.13030000000001</v>
      </c>
      <c r="M4252">
        <v>0.87657269999999898</v>
      </c>
      <c r="N4252">
        <v>0</v>
      </c>
      <c r="O4252">
        <v>-0.4810258</v>
      </c>
      <c r="P4252">
        <v>0.76754060000000002</v>
      </c>
      <c r="Q4252">
        <v>6.9732709999999996E-3</v>
      </c>
      <c r="R4252">
        <v>-0.6409627</v>
      </c>
      <c r="S4252">
        <v>1.5543209999999901</v>
      </c>
      <c r="T4252">
        <v>-0.64043439999999996</v>
      </c>
      <c r="U4252">
        <v>-2.8657379999999999</v>
      </c>
      <c r="V4252">
        <v>0.19323870000000001</v>
      </c>
      <c r="W4252">
        <v>1.6219210000000001E-2</v>
      </c>
      <c r="X4252">
        <v>0.98101769999999999</v>
      </c>
      <c r="Y4252">
        <v>0.5396938</v>
      </c>
      <c r="Z4252">
        <v>4.3557459999999999E-2</v>
      </c>
      <c r="AA4252">
        <v>0.84073379999999998</v>
      </c>
      <c r="AB4252">
        <v>32</v>
      </c>
      <c r="AC4252">
        <v>2.3250000000000099</v>
      </c>
      <c r="AD4252">
        <v>-1.097820514668</v>
      </c>
      <c r="AE4252">
        <v>-4.7160000000000002</v>
      </c>
      <c r="AF4252">
        <v>2.88990324973406</v>
      </c>
      <c r="AG4252">
        <v>-1.097820514668</v>
      </c>
      <c r="AH4252">
        <v>4.1271361315493298</v>
      </c>
      <c r="AI4252">
        <v>102.29225296705999</v>
      </c>
      <c r="AJ4252">
        <v>54.9995210108263</v>
      </c>
      <c r="AK4252">
        <v>5.1565495560102397</v>
      </c>
      <c r="AL4252">
        <v>89.070666964776905</v>
      </c>
      <c r="AM4252">
        <v>78.856663679522995</v>
      </c>
      <c r="AN4252">
        <v>0.99999999283200203</v>
      </c>
    </row>
    <row r="4253" spans="1:40" x14ac:dyDescent="0.25">
      <c r="A4253" t="str">
        <f>"20190312154339370"</f>
        <v>20190312154339370</v>
      </c>
      <c r="B4253" t="str">
        <f>"1552376619361663"</f>
        <v>1552376619361663</v>
      </c>
      <c r="C4253" t="s">
        <v>40</v>
      </c>
      <c r="D4253">
        <v>5.0146889999999997</v>
      </c>
      <c r="E4253">
        <v>0.65845359999999997</v>
      </c>
      <c r="F4253" t="s">
        <v>49</v>
      </c>
      <c r="G4253">
        <v>-198.22</v>
      </c>
      <c r="H4253" s="1">
        <v>3.584172E-6</v>
      </c>
      <c r="I4253">
        <v>207.19739999999999</v>
      </c>
      <c r="J4253">
        <v>-200.5461</v>
      </c>
      <c r="K4253">
        <v>1.097593</v>
      </c>
      <c r="L4253">
        <v>211.99019999999999</v>
      </c>
      <c r="M4253">
        <v>0.87050430000000001</v>
      </c>
      <c r="N4253">
        <v>0</v>
      </c>
      <c r="O4253">
        <v>-0.49192069999999999</v>
      </c>
      <c r="P4253">
        <v>0.75919150000000002</v>
      </c>
      <c r="Q4253">
        <v>5.3544309999999998E-3</v>
      </c>
      <c r="R4253">
        <v>-0.65084560000000002</v>
      </c>
      <c r="S4253">
        <v>1.4997100000000001</v>
      </c>
      <c r="T4253">
        <v>-0.6435244</v>
      </c>
      <c r="U4253">
        <v>-2.8915709999999999</v>
      </c>
      <c r="V4253">
        <v>0.1936581</v>
      </c>
      <c r="W4253">
        <v>1.454571E-2</v>
      </c>
      <c r="X4253">
        <v>0.98096130000000004</v>
      </c>
      <c r="Y4253">
        <v>0.54480589999999995</v>
      </c>
      <c r="Z4253">
        <v>4.5707350000000001E-2</v>
      </c>
      <c r="AA4253">
        <v>0.83731559999999905</v>
      </c>
      <c r="AB4253">
        <v>32</v>
      </c>
      <c r="AC4253">
        <v>2.3260999999999901</v>
      </c>
      <c r="AD4253">
        <v>-1.097589415828</v>
      </c>
      <c r="AE4253">
        <v>-4.7927999999999997</v>
      </c>
      <c r="AF4253">
        <v>2.9049491529449201</v>
      </c>
      <c r="AG4253">
        <v>-1.097589415828</v>
      </c>
      <c r="AH4253">
        <v>4.2046047185730702</v>
      </c>
      <c r="AI4253">
        <v>102.12131277039001</v>
      </c>
      <c r="AJ4253">
        <v>55.359518026022798</v>
      </c>
      <c r="AK4253">
        <v>5.2270577714790996</v>
      </c>
      <c r="AL4253">
        <v>89.1665628613884</v>
      </c>
      <c r="AM4253">
        <v>78.832459780390295</v>
      </c>
      <c r="AN4253">
        <v>1.0000000547363499</v>
      </c>
    </row>
    <row r="4254" spans="1:40" x14ac:dyDescent="0.25">
      <c r="A4254" t="str">
        <f>"20190312154339393"</f>
        <v>20190312154339393</v>
      </c>
      <c r="B4254" t="str">
        <f>"1552376619382159"</f>
        <v>1552376619382159</v>
      </c>
      <c r="C4254" t="s">
        <v>40</v>
      </c>
      <c r="D4254">
        <v>5.029515</v>
      </c>
      <c r="E4254">
        <v>0.64915900000000004</v>
      </c>
      <c r="F4254" t="s">
        <v>49</v>
      </c>
      <c r="G4254">
        <v>-198.07079999999999</v>
      </c>
      <c r="H4254" s="1">
        <v>3.6458759999999999E-6</v>
      </c>
      <c r="I4254">
        <v>207.0643</v>
      </c>
      <c r="J4254">
        <v>-200.2543</v>
      </c>
      <c r="K4254">
        <v>1.0973379999999999</v>
      </c>
      <c r="L4254">
        <v>211.80799999999999</v>
      </c>
      <c r="M4254">
        <v>0.86244789999999905</v>
      </c>
      <c r="N4254">
        <v>0</v>
      </c>
      <c r="O4254">
        <v>-0.50590999999999997</v>
      </c>
      <c r="P4254">
        <v>0.74849279999999996</v>
      </c>
      <c r="Q4254">
        <v>6.8813800000000003E-3</v>
      </c>
      <c r="R4254">
        <v>-0.66310740000000001</v>
      </c>
      <c r="S4254">
        <v>1.4619899999999999</v>
      </c>
      <c r="T4254">
        <v>-0.64827170000000001</v>
      </c>
      <c r="U4254">
        <v>-2.909424</v>
      </c>
      <c r="V4254">
        <v>0.19384129999999999</v>
      </c>
      <c r="W4254">
        <v>1.602611E-2</v>
      </c>
      <c r="X4254">
        <v>0.98090200000000005</v>
      </c>
      <c r="Y4254">
        <v>0.54219910000000004</v>
      </c>
      <c r="Z4254">
        <v>4.9553550000000002E-2</v>
      </c>
      <c r="AA4254">
        <v>0.83878759999999997</v>
      </c>
      <c r="AB4254">
        <v>32</v>
      </c>
      <c r="AC4254">
        <v>2.1835</v>
      </c>
      <c r="AD4254">
        <v>-1.0973343541239999</v>
      </c>
      <c r="AE4254">
        <v>-4.7436999999999898</v>
      </c>
      <c r="AF4254">
        <v>2.8605849041422098</v>
      </c>
      <c r="AG4254">
        <v>-1.0973343541239999</v>
      </c>
      <c r="AH4254">
        <v>4.1024067543653402</v>
      </c>
      <c r="AI4254">
        <v>102.37523643441899</v>
      </c>
      <c r="AJ4254">
        <v>55.112155315209399</v>
      </c>
      <c r="AK4254">
        <v>5.1202372852055804</v>
      </c>
      <c r="AL4254">
        <v>89.081732233629495</v>
      </c>
      <c r="AM4254">
        <v>78.821502488859807</v>
      </c>
      <c r="AN4254">
        <v>1.00000000969571</v>
      </c>
    </row>
    <row r="4255" spans="1:40" x14ac:dyDescent="0.25">
      <c r="A4255" t="str">
        <f>"20190312154339437"</f>
        <v>20190312154339437</v>
      </c>
      <c r="B4255" t="str">
        <f>"1552376619431936"</f>
        <v>1552376619431936</v>
      </c>
      <c r="C4255" t="s">
        <v>40</v>
      </c>
      <c r="D4255">
        <v>5.0729129999999998</v>
      </c>
      <c r="E4255">
        <v>0.6464183</v>
      </c>
      <c r="F4255" t="s">
        <v>49</v>
      </c>
      <c r="G4255">
        <v>-198.0027</v>
      </c>
      <c r="H4255" s="1">
        <v>3.5720260000000001E-6</v>
      </c>
      <c r="I4255">
        <v>207.3888</v>
      </c>
      <c r="J4255">
        <v>-199.72550000000001</v>
      </c>
      <c r="K4255">
        <v>1.096894</v>
      </c>
      <c r="L4255">
        <v>211.46</v>
      </c>
      <c r="M4255">
        <v>0.84656390000000004</v>
      </c>
      <c r="N4255">
        <v>0</v>
      </c>
      <c r="O4255">
        <v>-0.53205819999999904</v>
      </c>
      <c r="P4255">
        <v>0.72627929999999996</v>
      </c>
      <c r="Q4255">
        <v>1.0721710000000001E-2</v>
      </c>
      <c r="R4255">
        <v>-0.68731609999999999</v>
      </c>
      <c r="S4255">
        <v>1.4658359999999999</v>
      </c>
      <c r="T4255">
        <v>-0.71438279999999998</v>
      </c>
      <c r="U4255">
        <v>-2.8769680000000002</v>
      </c>
      <c r="V4255">
        <v>0.19619500000000001</v>
      </c>
      <c r="W4255">
        <v>1.971529E-2</v>
      </c>
      <c r="X4255">
        <v>0.98036670000000004</v>
      </c>
      <c r="Y4255">
        <v>0.51214839999999995</v>
      </c>
      <c r="Z4255">
        <v>6.5131519999999998E-2</v>
      </c>
      <c r="AA4255">
        <v>0.85642389999999902</v>
      </c>
      <c r="AB4255">
        <v>32</v>
      </c>
      <c r="AC4255">
        <v>1.7228000000000001</v>
      </c>
      <c r="AD4255">
        <v>-1.0968904279739999</v>
      </c>
      <c r="AE4255">
        <v>-4.0712000000000002</v>
      </c>
      <c r="AF4255">
        <v>2.3834684423515999</v>
      </c>
      <c r="AG4255">
        <v>-1.0968904279739999</v>
      </c>
      <c r="AH4255">
        <v>3.4147823770030299</v>
      </c>
      <c r="AI4255">
        <v>104.756604668268</v>
      </c>
      <c r="AJ4255">
        <v>55.085519406991203</v>
      </c>
      <c r="AK4255">
        <v>4.3063707584179802</v>
      </c>
      <c r="AL4255">
        <v>88.870323921249494</v>
      </c>
      <c r="AM4255">
        <v>78.683230957193899</v>
      </c>
      <c r="AN4255">
        <v>1.0000000185768301</v>
      </c>
    </row>
    <row r="4256" spans="1:40" x14ac:dyDescent="0.25">
      <c r="A4256" t="str">
        <f>"20190312154339460"</f>
        <v>20190312154339460</v>
      </c>
      <c r="B4256" t="str">
        <f>"1552376619451456"</f>
        <v>1552376619451456</v>
      </c>
      <c r="C4256" t="s">
        <v>40</v>
      </c>
      <c r="D4256">
        <v>5.0473699999999999</v>
      </c>
      <c r="E4256">
        <v>0.64538050000000002</v>
      </c>
      <c r="F4256" t="s">
        <v>49</v>
      </c>
      <c r="G4256">
        <v>-197.4939</v>
      </c>
      <c r="H4256" s="1">
        <v>3.8228820000000002E-6</v>
      </c>
      <c r="I4256">
        <v>206.78229999999999</v>
      </c>
      <c r="J4256">
        <v>-199.44380000000001</v>
      </c>
      <c r="K4256">
        <v>1.0966469999999999</v>
      </c>
      <c r="L4256">
        <v>211.2646</v>
      </c>
      <c r="M4256">
        <v>0.837368</v>
      </c>
      <c r="N4256">
        <v>0</v>
      </c>
      <c r="O4256">
        <v>-0.54641459999999997</v>
      </c>
      <c r="P4256">
        <v>0.71408149999999904</v>
      </c>
      <c r="Q4256">
        <v>9.0638569999999998E-3</v>
      </c>
      <c r="R4256">
        <v>-0.70000419999999997</v>
      </c>
      <c r="S4256">
        <v>1.3877870000000001</v>
      </c>
      <c r="T4256">
        <v>-0.68212450000000002</v>
      </c>
      <c r="U4256">
        <v>-2.9089360000000002</v>
      </c>
      <c r="V4256">
        <v>0.19669690000000001</v>
      </c>
      <c r="W4256">
        <v>1.8006609999999999E-2</v>
      </c>
      <c r="X4256">
        <v>0.98029900000000003</v>
      </c>
      <c r="Y4256">
        <v>0.51996169999999997</v>
      </c>
      <c r="Z4256">
        <v>6.5035629999999997E-2</v>
      </c>
      <c r="AA4256">
        <v>0.85171019999999897</v>
      </c>
      <c r="AB4256">
        <v>32</v>
      </c>
      <c r="AC4256">
        <v>1.94990000000001</v>
      </c>
      <c r="AD4256">
        <v>-1.0966431771180001</v>
      </c>
      <c r="AE4256">
        <v>-4.4823000000000004</v>
      </c>
      <c r="AF4256">
        <v>2.55938816697256</v>
      </c>
      <c r="AG4256">
        <v>-1.0966431771180001</v>
      </c>
      <c r="AH4256">
        <v>3.8868414173186201</v>
      </c>
      <c r="AI4256">
        <v>103.259505924877</v>
      </c>
      <c r="AJ4256">
        <v>56.6360925689646</v>
      </c>
      <c r="AK4256">
        <v>4.7812791437587103</v>
      </c>
      <c r="AL4256">
        <v>88.968241502192598</v>
      </c>
      <c r="AM4256">
        <v>78.6542674451929</v>
      </c>
      <c r="AN4256">
        <v>1.0000000189371501</v>
      </c>
    </row>
    <row r="4257" spans="1:40" x14ac:dyDescent="0.25">
      <c r="A4257" t="str">
        <f>"20190312154339482"</f>
        <v>20190312154339482</v>
      </c>
      <c r="B4257" t="str">
        <f>"1552376619471953"</f>
        <v>1552376619471953</v>
      </c>
      <c r="C4257" t="s">
        <v>40</v>
      </c>
      <c r="D4257">
        <v>5.0841289999999999</v>
      </c>
      <c r="E4257">
        <v>0.64413750000000003</v>
      </c>
      <c r="F4257" t="s">
        <v>49</v>
      </c>
      <c r="G4257">
        <v>-197.31049999999999</v>
      </c>
      <c r="H4257" s="1">
        <v>3.9047460000000001E-6</v>
      </c>
      <c r="I4257">
        <v>206.596</v>
      </c>
      <c r="J4257">
        <v>-199.18559999999999</v>
      </c>
      <c r="K4257">
        <v>1.096419</v>
      </c>
      <c r="L4257">
        <v>211.0789</v>
      </c>
      <c r="M4257">
        <v>0.82845249999999904</v>
      </c>
      <c r="N4257">
        <v>0</v>
      </c>
      <c r="O4257">
        <v>-0.55983739999999904</v>
      </c>
      <c r="P4257">
        <v>0.70255800000000002</v>
      </c>
      <c r="Q4257">
        <v>7.9144950000000006E-3</v>
      </c>
      <c r="R4257">
        <v>-0.71158259999999995</v>
      </c>
      <c r="S4257">
        <v>1.338516</v>
      </c>
      <c r="T4257">
        <v>-0.68806460000000003</v>
      </c>
      <c r="U4257">
        <v>-2.9291990000000001</v>
      </c>
      <c r="V4257">
        <v>0.1968887</v>
      </c>
      <c r="W4257">
        <v>1.682233E-2</v>
      </c>
      <c r="X4257">
        <v>0.98028150000000003</v>
      </c>
      <c r="Y4257">
        <v>0.52043629999999996</v>
      </c>
      <c r="Z4257">
        <v>6.8921330000000003E-2</v>
      </c>
      <c r="AA4257">
        <v>0.85111460000000005</v>
      </c>
      <c r="AB4257">
        <v>32</v>
      </c>
      <c r="AC4257">
        <v>1.8751</v>
      </c>
      <c r="AD4257">
        <v>-1.0964150952539999</v>
      </c>
      <c r="AE4257">
        <v>-4.4829000000000203</v>
      </c>
      <c r="AF4257">
        <v>2.5353718955072999</v>
      </c>
      <c r="AG4257">
        <v>-1.0964150952539999</v>
      </c>
      <c r="AH4257">
        <v>3.8667709371516001</v>
      </c>
      <c r="AI4257">
        <v>103.33968630114499</v>
      </c>
      <c r="AJ4257">
        <v>56.7478675584142</v>
      </c>
      <c r="AK4257">
        <v>4.7520684117581302</v>
      </c>
      <c r="AL4257">
        <v>89.036106009236804</v>
      </c>
      <c r="AM4257">
        <v>78.643294060491399</v>
      </c>
      <c r="AN4257">
        <v>0.99999998510828403</v>
      </c>
    </row>
    <row r="4258" spans="1:40" x14ac:dyDescent="0.25">
      <c r="A4258" t="str">
        <f>"20190312154339506"</f>
        <v>20190312154339506</v>
      </c>
      <c r="B4258" t="str">
        <f>"1552376619502208"</f>
        <v>1552376619502208</v>
      </c>
      <c r="C4258" t="s">
        <v>40</v>
      </c>
      <c r="D4258">
        <v>5.2147420000000002</v>
      </c>
      <c r="E4258">
        <v>0.64264480000000002</v>
      </c>
      <c r="F4258" t="s">
        <v>49</v>
      </c>
      <c r="G4258">
        <v>-197.04249999999999</v>
      </c>
      <c r="H4258" s="1">
        <v>4.0546360000000003E-6</v>
      </c>
      <c r="I4258">
        <v>206.20949999999999</v>
      </c>
      <c r="J4258">
        <v>-198.93340000000001</v>
      </c>
      <c r="K4258">
        <v>1.0961890000000001</v>
      </c>
      <c r="L4258">
        <v>210.89109999999999</v>
      </c>
      <c r="M4258">
        <v>0.81924959999999902</v>
      </c>
      <c r="N4258">
        <v>0</v>
      </c>
      <c r="O4258">
        <v>-0.57321829999999996</v>
      </c>
      <c r="P4258">
        <v>0.69068589999999996</v>
      </c>
      <c r="Q4258">
        <v>8.9076650000000004E-3</v>
      </c>
      <c r="R4258">
        <v>-0.72310019999999997</v>
      </c>
      <c r="S4258">
        <v>1.295715</v>
      </c>
      <c r="T4258">
        <v>-0.66289330000000002</v>
      </c>
      <c r="U4258">
        <v>-2.944061</v>
      </c>
      <c r="V4258">
        <v>0.19722529999999999</v>
      </c>
      <c r="W4258">
        <v>1.7774430000000001E-2</v>
      </c>
      <c r="X4258">
        <v>0.98019699999999998</v>
      </c>
      <c r="Y4258">
        <v>0.51873400000000003</v>
      </c>
      <c r="Z4258">
        <v>6.9957169999999999E-2</v>
      </c>
      <c r="AA4258">
        <v>0.85206870000000001</v>
      </c>
      <c r="AB4258">
        <v>32</v>
      </c>
      <c r="AC4258">
        <v>1.89090000000001</v>
      </c>
      <c r="AD4258">
        <v>-1.09618494536399</v>
      </c>
      <c r="AE4258">
        <v>-4.6816000000000004</v>
      </c>
      <c r="AF4258">
        <v>2.6279745746895999</v>
      </c>
      <c r="AG4258">
        <v>-1.09618494536399</v>
      </c>
      <c r="AH4258">
        <v>4.0426751113813699</v>
      </c>
      <c r="AI4258">
        <v>102.807971823195</v>
      </c>
      <c r="AJ4258">
        <v>56.973783645129402</v>
      </c>
      <c r="AK4258">
        <v>4.9448047338433998</v>
      </c>
      <c r="AL4258">
        <v>88.981546499432994</v>
      </c>
      <c r="AM4258">
        <v>78.623429401727293</v>
      </c>
      <c r="AN4258">
        <v>0.99999995406545605</v>
      </c>
    </row>
    <row r="4259" spans="1:40" x14ac:dyDescent="0.25">
      <c r="A4259" t="str">
        <f>"20190312154339526"</f>
        <v>20190312154339526</v>
      </c>
      <c r="B4259" t="str">
        <f>"1552376619521728"</f>
        <v>1552376619521728</v>
      </c>
      <c r="C4259" t="s">
        <v>40</v>
      </c>
      <c r="D4259">
        <v>5.112927</v>
      </c>
      <c r="E4259">
        <v>0.64125219999999905</v>
      </c>
      <c r="F4259" t="s">
        <v>49</v>
      </c>
      <c r="G4259">
        <v>-196.74039999999999</v>
      </c>
      <c r="H4259" s="1">
        <v>4.2782510000000003E-6</v>
      </c>
      <c r="I4259">
        <v>205.73240000000001</v>
      </c>
      <c r="J4259">
        <v>-198.67689999999999</v>
      </c>
      <c r="K4259">
        <v>1.095963</v>
      </c>
      <c r="L4259">
        <v>210.69319999999999</v>
      </c>
      <c r="M4259">
        <v>0.80935970000000002</v>
      </c>
      <c r="N4259">
        <v>0</v>
      </c>
      <c r="O4259">
        <v>-0.58709719999999999</v>
      </c>
      <c r="P4259">
        <v>0.67711540000000003</v>
      </c>
      <c r="Q4259">
        <v>1.2094270000000001E-2</v>
      </c>
      <c r="R4259">
        <v>-0.73577769999999898</v>
      </c>
      <c r="S4259">
        <v>1.2566679999999999</v>
      </c>
      <c r="T4259">
        <v>-0.6281738</v>
      </c>
      <c r="U4259">
        <v>-2.956223</v>
      </c>
      <c r="V4259">
        <v>0.19883780000000001</v>
      </c>
      <c r="W4259">
        <v>2.087615E-2</v>
      </c>
      <c r="X4259">
        <v>0.97981010000000002</v>
      </c>
      <c r="Y4259">
        <v>0.51517020000000002</v>
      </c>
      <c r="Z4259">
        <v>7.0023039999999995E-2</v>
      </c>
      <c r="AA4259">
        <v>0.854222699999999</v>
      </c>
      <c r="AB4259">
        <v>32</v>
      </c>
      <c r="AC4259">
        <v>1.9364999999999899</v>
      </c>
      <c r="AD4259">
        <v>-1.0959587217489899</v>
      </c>
      <c r="AE4259">
        <v>-4.9607999999999697</v>
      </c>
      <c r="AF4259">
        <v>2.7615614639466002</v>
      </c>
      <c r="AG4259">
        <v>-1.0959587217489899</v>
      </c>
      <c r="AH4259">
        <v>4.2983168034345702</v>
      </c>
      <c r="AI4259">
        <v>102.10736354867301</v>
      </c>
      <c r="AJ4259">
        <v>57.280265489888102</v>
      </c>
      <c r="AK4259">
        <v>5.2252152665340601</v>
      </c>
      <c r="AL4259">
        <v>88.803797884550406</v>
      </c>
      <c r="AM4259">
        <v>78.528461768685801</v>
      </c>
      <c r="AN4259">
        <v>1.0000000582048301</v>
      </c>
    </row>
    <row r="4260" spans="1:40" x14ac:dyDescent="0.25">
      <c r="A4260" t="str">
        <f>"20190312154339549"</f>
        <v>20190312154339549</v>
      </c>
      <c r="B4260" t="str">
        <f>"1552376619542224"</f>
        <v>1552376619542224</v>
      </c>
      <c r="C4260" t="s">
        <v>40</v>
      </c>
      <c r="D4260">
        <v>5.1899259999999998</v>
      </c>
      <c r="E4260">
        <v>0.63999649999999997</v>
      </c>
      <c r="F4260" t="s">
        <v>49</v>
      </c>
      <c r="G4260">
        <v>-196.53389999999999</v>
      </c>
      <c r="H4260" s="1">
        <v>4.4281890000000001E-6</v>
      </c>
      <c r="I4260">
        <v>205.43780000000001</v>
      </c>
      <c r="J4260">
        <v>-198.42330000000001</v>
      </c>
      <c r="K4260">
        <v>1.095742</v>
      </c>
      <c r="L4260">
        <v>210.49039999999999</v>
      </c>
      <c r="M4260">
        <v>0.79901469999999997</v>
      </c>
      <c r="N4260">
        <v>0</v>
      </c>
      <c r="O4260">
        <v>-0.60109820000000003</v>
      </c>
      <c r="P4260">
        <v>0.66379009999999905</v>
      </c>
      <c r="Q4260">
        <v>1.515617E-2</v>
      </c>
      <c r="R4260">
        <v>-0.74776549999999997</v>
      </c>
      <c r="S4260">
        <v>1.2119139999999999</v>
      </c>
      <c r="T4260">
        <v>-0.61981140000000001</v>
      </c>
      <c r="U4260">
        <v>-2.9721980000000001</v>
      </c>
      <c r="V4260">
        <v>0.1994562</v>
      </c>
      <c r="W4260">
        <v>2.3893290000000001E-2</v>
      </c>
      <c r="X4260">
        <v>0.97961540000000003</v>
      </c>
      <c r="Y4260">
        <v>0.51304919999999998</v>
      </c>
      <c r="Z4260">
        <v>7.2571099999999999E-2</v>
      </c>
      <c r="AA4260">
        <v>0.85528590000000004</v>
      </c>
      <c r="AB4260">
        <v>32</v>
      </c>
      <c r="AC4260">
        <v>1.88940000000002</v>
      </c>
      <c r="AD4260">
        <v>-1.0957375718110001</v>
      </c>
      <c r="AE4260">
        <v>-5.0525999999999804</v>
      </c>
      <c r="AF4260">
        <v>2.7867734575860998</v>
      </c>
      <c r="AG4260">
        <v>-1.0957375718110001</v>
      </c>
      <c r="AH4260">
        <v>4.3671565162578103</v>
      </c>
      <c r="AI4260">
        <v>101.94259654695</v>
      </c>
      <c r="AJ4260">
        <v>57.457205199206697</v>
      </c>
      <c r="AK4260">
        <v>5.2951679074112201</v>
      </c>
      <c r="AL4260">
        <v>88.630885032298096</v>
      </c>
      <c r="AM4260">
        <v>78.491508687633498</v>
      </c>
      <c r="AN4260">
        <v>0.99999999847131205</v>
      </c>
    </row>
    <row r="4261" spans="1:40" x14ac:dyDescent="0.25">
      <c r="A4261" t="str">
        <f>"20190312154339570"</f>
        <v>20190312154339570</v>
      </c>
      <c r="B4261" t="str">
        <f>"1552376619561743"</f>
        <v>1552376619561743</v>
      </c>
      <c r="C4261" t="s">
        <v>40</v>
      </c>
      <c r="D4261">
        <v>5.2162110000000004</v>
      </c>
      <c r="E4261">
        <v>0.6386944</v>
      </c>
      <c r="F4261" t="s">
        <v>49</v>
      </c>
      <c r="G4261">
        <v>-196.30510000000001</v>
      </c>
      <c r="H4261" s="1">
        <v>4.6117430000000004E-6</v>
      </c>
      <c r="I4261">
        <v>205.06200000000001</v>
      </c>
      <c r="J4261">
        <v>-198.17699999999999</v>
      </c>
      <c r="K4261">
        <v>1.0955159999999999</v>
      </c>
      <c r="L4261">
        <v>210.28550000000001</v>
      </c>
      <c r="M4261">
        <v>0.78836329999999999</v>
      </c>
      <c r="N4261">
        <v>0</v>
      </c>
      <c r="O4261">
        <v>-0.61499879999999996</v>
      </c>
      <c r="P4261">
        <v>0.65066519999999906</v>
      </c>
      <c r="Q4261">
        <v>1.481873E-2</v>
      </c>
      <c r="R4261">
        <v>-0.75922049999999996</v>
      </c>
      <c r="S4261">
        <v>1.16629</v>
      </c>
      <c r="T4261">
        <v>-0.60332180000000002</v>
      </c>
      <c r="U4261">
        <v>-2.9889070000000002</v>
      </c>
      <c r="V4261">
        <v>0.1993714</v>
      </c>
      <c r="W4261">
        <v>2.3542440000000001E-2</v>
      </c>
      <c r="X4261">
        <v>0.97964110000000004</v>
      </c>
      <c r="Y4261">
        <v>0.51111530000000005</v>
      </c>
      <c r="Z4261">
        <v>7.4008569999999996E-2</v>
      </c>
      <c r="AA4261">
        <v>0.85631999999999997</v>
      </c>
      <c r="AB4261">
        <v>32</v>
      </c>
      <c r="AC4261">
        <v>1.8719000000000099</v>
      </c>
      <c r="AD4261">
        <v>-1.095511388257</v>
      </c>
      <c r="AE4261">
        <v>-5.2234999999999996</v>
      </c>
      <c r="AF4261">
        <v>2.8558640903791002</v>
      </c>
      <c r="AG4261">
        <v>-1.095511388257</v>
      </c>
      <c r="AH4261">
        <v>4.5128816896643196</v>
      </c>
      <c r="AI4261">
        <v>101.592203083058</v>
      </c>
      <c r="AJ4261">
        <v>57.6733510053541</v>
      </c>
      <c r="AK4261">
        <v>5.4518075946813402</v>
      </c>
      <c r="AL4261">
        <v>88.650992838628596</v>
      </c>
      <c r="AM4261">
        <v>78.496564871753804</v>
      </c>
      <c r="AN4261">
        <v>0.99999994321415997</v>
      </c>
    </row>
    <row r="4262" spans="1:40" x14ac:dyDescent="0.25">
      <c r="A4262" t="str">
        <f>"20190312154339592"</f>
        <v>20190312154339592</v>
      </c>
      <c r="B4262" t="str">
        <f>"1552376619582239"</f>
        <v>1552376619582239</v>
      </c>
      <c r="C4262" t="s">
        <v>40</v>
      </c>
      <c r="D4262">
        <v>5.2212779999999999</v>
      </c>
      <c r="E4262">
        <v>0.63739630000000003</v>
      </c>
      <c r="F4262" t="s">
        <v>49</v>
      </c>
      <c r="G4262">
        <v>-196.1155</v>
      </c>
      <c r="H4262" s="1">
        <v>4.762119E-6</v>
      </c>
      <c r="I4262">
        <v>204.75559999999999</v>
      </c>
      <c r="J4262">
        <v>-197.93190000000001</v>
      </c>
      <c r="K4262">
        <v>1.0952959999999901</v>
      </c>
      <c r="L4262">
        <v>210.07390000000001</v>
      </c>
      <c r="M4262">
        <v>0.77717749999999997</v>
      </c>
      <c r="N4262">
        <v>0</v>
      </c>
      <c r="O4262">
        <v>-0.62907299999999999</v>
      </c>
      <c r="P4262">
        <v>0.63601960000000002</v>
      </c>
      <c r="Q4262">
        <v>1.38773E-2</v>
      </c>
      <c r="R4262">
        <v>-0.77154849999999997</v>
      </c>
      <c r="S4262">
        <v>1.119675</v>
      </c>
      <c r="T4262">
        <v>-0.59500010000000003</v>
      </c>
      <c r="U4262">
        <v>-3.0034179999999999</v>
      </c>
      <c r="V4262">
        <v>0.20049649999999999</v>
      </c>
      <c r="W4262">
        <v>2.2546589999999998E-2</v>
      </c>
      <c r="X4262">
        <v>0.97943500000000006</v>
      </c>
      <c r="Y4262">
        <v>0.50882099999999997</v>
      </c>
      <c r="Z4262">
        <v>7.6415259999999999E-2</v>
      </c>
      <c r="AA4262">
        <v>0.85747410000000002</v>
      </c>
      <c r="AB4262">
        <v>32</v>
      </c>
      <c r="AC4262">
        <v>1.81640000000001</v>
      </c>
      <c r="AD4262">
        <v>-1.09529123788099</v>
      </c>
      <c r="AE4262">
        <v>-5.3183000000000202</v>
      </c>
      <c r="AF4262">
        <v>2.8815550652761601</v>
      </c>
      <c r="AG4262">
        <v>-1.09529123788099</v>
      </c>
      <c r="AH4262">
        <v>4.5837792738020102</v>
      </c>
      <c r="AI4262">
        <v>101.43641589500299</v>
      </c>
      <c r="AJ4262">
        <v>57.844816535505203</v>
      </c>
      <c r="AK4262">
        <v>5.5239528347854696</v>
      </c>
      <c r="AL4262">
        <v>88.708066149940706</v>
      </c>
      <c r="AM4262">
        <v>78.431024651054003</v>
      </c>
      <c r="AN4262">
        <v>1.00000005722893</v>
      </c>
    </row>
    <row r="4263" spans="1:40" x14ac:dyDescent="0.25">
      <c r="A4263" t="str">
        <f>"20190312154339615"</f>
        <v>20190312154339615</v>
      </c>
      <c r="B4263" t="str">
        <f>"1552376619612495"</f>
        <v>1552376619612495</v>
      </c>
      <c r="C4263" t="s">
        <v>40</v>
      </c>
      <c r="D4263">
        <v>5.2439169999999997</v>
      </c>
      <c r="E4263">
        <v>0.61921559999999998</v>
      </c>
      <c r="F4263" t="s">
        <v>49</v>
      </c>
      <c r="G4263">
        <v>-195.9607</v>
      </c>
      <c r="H4263" s="1">
        <v>4.8724059999999999E-6</v>
      </c>
      <c r="I4263">
        <v>204.5153</v>
      </c>
      <c r="J4263">
        <v>-197.69040000000001</v>
      </c>
      <c r="K4263">
        <v>1.095092</v>
      </c>
      <c r="L4263">
        <v>209.85759999999999</v>
      </c>
      <c r="M4263">
        <v>0.7655535</v>
      </c>
      <c r="N4263">
        <v>0</v>
      </c>
      <c r="O4263">
        <v>-0.64316589999999996</v>
      </c>
      <c r="P4263">
        <v>0.62029889999999999</v>
      </c>
      <c r="Q4263">
        <v>1.411157E-2</v>
      </c>
      <c r="R4263">
        <v>-0.78423909999999997</v>
      </c>
      <c r="S4263">
        <v>1.069901</v>
      </c>
      <c r="T4263">
        <v>-0.59449719999999995</v>
      </c>
      <c r="U4263">
        <v>-3.0170590000000002</v>
      </c>
      <c r="V4263">
        <v>0.2024125</v>
      </c>
      <c r="W4263">
        <v>2.2698179999999998E-2</v>
      </c>
      <c r="X4263">
        <v>0.9790373</v>
      </c>
      <c r="Y4263">
        <v>0.50700469999999997</v>
      </c>
      <c r="Z4263">
        <v>7.9762699999999895E-2</v>
      </c>
      <c r="AA4263">
        <v>0.85824480000000003</v>
      </c>
      <c r="AB4263">
        <v>32</v>
      </c>
      <c r="AC4263">
        <v>1.7297</v>
      </c>
      <c r="AD4263">
        <v>-1.095087127594</v>
      </c>
      <c r="AE4263">
        <v>-5.3422999999999901</v>
      </c>
      <c r="AF4263">
        <v>2.8686289223819101</v>
      </c>
      <c r="AG4263">
        <v>-1.095087127594</v>
      </c>
      <c r="AH4263">
        <v>4.5863678002050099</v>
      </c>
      <c r="AI4263">
        <v>101.443959709293</v>
      </c>
      <c r="AJ4263">
        <v>57.975314973831601</v>
      </c>
      <c r="AK4263">
        <v>5.5193312375780996</v>
      </c>
      <c r="AL4263">
        <v>88.699378425959395</v>
      </c>
      <c r="AM4263">
        <v>78.318877460805098</v>
      </c>
      <c r="AN4263">
        <v>1.0000000311614201</v>
      </c>
    </row>
    <row r="4264" spans="1:40" x14ac:dyDescent="0.25">
      <c r="A4264" t="str">
        <f>"20190312154339640"</f>
        <v>20190312154339640</v>
      </c>
      <c r="B4264" t="str">
        <f>"1552376619632015"</f>
        <v>1552376619632015</v>
      </c>
      <c r="C4264" t="s">
        <v>40</v>
      </c>
      <c r="D4264">
        <v>5.2719719999999999</v>
      </c>
      <c r="E4264">
        <v>0.61897709999999995</v>
      </c>
      <c r="F4264" t="s">
        <v>49</v>
      </c>
      <c r="G4264">
        <v>-195.59710000000001</v>
      </c>
      <c r="H4264" s="1">
        <v>4.9908529999999997E-6</v>
      </c>
      <c r="I4264">
        <v>204.3725</v>
      </c>
      <c r="J4264">
        <v>-197.44579999999999</v>
      </c>
      <c r="K4264">
        <v>1.0948979999999999</v>
      </c>
      <c r="L4264">
        <v>209.6301</v>
      </c>
      <c r="M4264">
        <v>0.75313540000000001</v>
      </c>
      <c r="N4264">
        <v>0</v>
      </c>
      <c r="O4264">
        <v>-0.65766139999999995</v>
      </c>
      <c r="P4264">
        <v>0.60387250000000003</v>
      </c>
      <c r="Q4264">
        <v>1.506555E-2</v>
      </c>
      <c r="R4264">
        <v>-0.7969387</v>
      </c>
      <c r="S4264">
        <v>1.1244809999999901</v>
      </c>
      <c r="T4264">
        <v>-0.58826509999999999</v>
      </c>
      <c r="U4264">
        <v>-2.9465330000000001</v>
      </c>
      <c r="V4264">
        <v>0.20409749999999999</v>
      </c>
      <c r="W4264">
        <v>2.358058E-2</v>
      </c>
      <c r="X4264">
        <v>0.97866649999999999</v>
      </c>
      <c r="Y4264">
        <v>0.4701748</v>
      </c>
      <c r="Z4264">
        <v>8.6504529999999996E-2</v>
      </c>
      <c r="AA4264">
        <v>0.87832379999999999</v>
      </c>
      <c r="AB4264">
        <v>32</v>
      </c>
      <c r="AC4264">
        <v>1.84869999999998</v>
      </c>
      <c r="AD4264">
        <v>-1.0948930091469999</v>
      </c>
      <c r="AE4264">
        <v>-5.2575999999999903</v>
      </c>
      <c r="AF4264">
        <v>2.6422543618001799</v>
      </c>
      <c r="AG4264">
        <v>-1.0948930091469999</v>
      </c>
      <c r="AH4264">
        <v>4.6704337516599796</v>
      </c>
      <c r="AI4264">
        <v>101.532379795963</v>
      </c>
      <c r="AJ4264">
        <v>60.501393209599698</v>
      </c>
      <c r="AK4264">
        <v>5.4766093746565296</v>
      </c>
      <c r="AL4264">
        <v>88.648807014610796</v>
      </c>
      <c r="AM4264">
        <v>78.220004565946297</v>
      </c>
      <c r="AN4264">
        <v>0.999999975740817</v>
      </c>
    </row>
    <row r="4265" spans="1:40" x14ac:dyDescent="0.25">
      <c r="A4265" t="str">
        <f>"20190312154339661"</f>
        <v>20190312154339661</v>
      </c>
      <c r="B4265" t="str">
        <f>"1552376619651535"</f>
        <v>1552376619651535</v>
      </c>
      <c r="C4265" t="s">
        <v>40</v>
      </c>
      <c r="D4265">
        <v>5.237317</v>
      </c>
      <c r="E4265">
        <v>0.61733289999999996</v>
      </c>
      <c r="F4265" t="s">
        <v>49</v>
      </c>
      <c r="G4265">
        <v>-195.38399999999999</v>
      </c>
      <c r="H4265" s="1">
        <v>5.1668859999999996E-6</v>
      </c>
      <c r="I4265">
        <v>203.8861</v>
      </c>
      <c r="J4265">
        <v>-197.2176</v>
      </c>
      <c r="K4265">
        <v>1.0947279999999999</v>
      </c>
      <c r="L4265">
        <v>209.40969999999999</v>
      </c>
      <c r="M4265">
        <v>0.74093989999999998</v>
      </c>
      <c r="N4265">
        <v>0</v>
      </c>
      <c r="O4265">
        <v>-0.67136940000000001</v>
      </c>
      <c r="P4265">
        <v>0.58838330000000005</v>
      </c>
      <c r="Q4265">
        <v>1.4921449999999999E-2</v>
      </c>
      <c r="R4265">
        <v>-0.80844469999999902</v>
      </c>
      <c r="S4265">
        <v>1.0653079999999999</v>
      </c>
      <c r="T4265">
        <v>-0.56573119999999999</v>
      </c>
      <c r="U4265">
        <v>-2.9678960000000001</v>
      </c>
      <c r="V4265">
        <v>0.20503109999999999</v>
      </c>
      <c r="W4265">
        <v>2.3397999999999999E-2</v>
      </c>
      <c r="X4265">
        <v>0.97847569999999995</v>
      </c>
      <c r="Y4265">
        <v>0.47153260000000002</v>
      </c>
      <c r="Z4265">
        <v>8.6130429999999994E-2</v>
      </c>
      <c r="AA4265">
        <v>0.87763230000000003</v>
      </c>
      <c r="AB4265">
        <v>31</v>
      </c>
      <c r="AC4265">
        <v>1.8335999999999899</v>
      </c>
      <c r="AD4265">
        <v>-1.094722833114</v>
      </c>
      <c r="AE4265">
        <v>-5.5235999999999796</v>
      </c>
      <c r="AF4265">
        <v>2.7642211902628699</v>
      </c>
      <c r="AG4265">
        <v>-1.094722833114</v>
      </c>
      <c r="AH4265">
        <v>4.8944812703000302</v>
      </c>
      <c r="AI4265">
        <v>101.020525670162</v>
      </c>
      <c r="AJ4265">
        <v>60.543852536713302</v>
      </c>
      <c r="AK4265">
        <v>5.7267166662370501</v>
      </c>
      <c r="AL4265">
        <v>88.659270940202802</v>
      </c>
      <c r="AM4265">
        <v>78.165393038601493</v>
      </c>
      <c r="AN4265">
        <v>0.99999995693084898</v>
      </c>
    </row>
    <row r="4266" spans="1:40" x14ac:dyDescent="0.25">
      <c r="A4266" t="str">
        <f>"20190312154339682"</f>
        <v>20190312154339682</v>
      </c>
      <c r="B4266" t="str">
        <f>"1552376619672031"</f>
        <v>1552376619672031</v>
      </c>
      <c r="C4266" t="s">
        <v>40</v>
      </c>
      <c r="D4266">
        <v>5.2815300000000001</v>
      </c>
      <c r="E4266">
        <v>0.61586779999999997</v>
      </c>
      <c r="F4266" t="s">
        <v>49</v>
      </c>
      <c r="G4266">
        <v>-195.25739999999999</v>
      </c>
      <c r="H4266" s="1">
        <v>5.2528580000000003E-6</v>
      </c>
      <c r="I4266">
        <v>203.66749999999999</v>
      </c>
      <c r="J4266">
        <v>-196.995</v>
      </c>
      <c r="K4266">
        <v>1.094573</v>
      </c>
      <c r="L4266">
        <v>209.1865</v>
      </c>
      <c r="M4266">
        <v>0.72844069999999905</v>
      </c>
      <c r="N4266">
        <v>0</v>
      </c>
      <c r="O4266">
        <v>-0.68490930000000005</v>
      </c>
      <c r="P4266">
        <v>0.57318959999999997</v>
      </c>
      <c r="Q4266">
        <v>1.3549439999999999E-2</v>
      </c>
      <c r="R4266">
        <v>-0.81931100000000001</v>
      </c>
      <c r="S4266">
        <v>1.017517</v>
      </c>
      <c r="T4266">
        <v>-0.56826719999999997</v>
      </c>
      <c r="U4266">
        <v>-2.9807589999999999</v>
      </c>
      <c r="V4266">
        <v>0.20524039999999999</v>
      </c>
      <c r="W4266">
        <v>2.2019819999999999E-2</v>
      </c>
      <c r="X4266">
        <v>0.97846390000000005</v>
      </c>
      <c r="Y4266">
        <v>0.46915630000000003</v>
      </c>
      <c r="Z4266">
        <v>8.9747759999999996E-2</v>
      </c>
      <c r="AA4266">
        <v>0.87854299999999996</v>
      </c>
      <c r="AB4266">
        <v>31</v>
      </c>
      <c r="AC4266">
        <v>1.73760000000001</v>
      </c>
      <c r="AD4266">
        <v>-1.0945677471419999</v>
      </c>
      <c r="AE4266">
        <v>-5.5190000000000001</v>
      </c>
      <c r="AF4266">
        <v>2.7327572822705202</v>
      </c>
      <c r="AG4266">
        <v>-1.0945677471419999</v>
      </c>
      <c r="AH4266">
        <v>4.8720884496372898</v>
      </c>
      <c r="AI4266">
        <v>101.08623431688299</v>
      </c>
      <c r="AJ4266">
        <v>60.711907409064601</v>
      </c>
      <c r="AK4266">
        <v>5.6923884949970898</v>
      </c>
      <c r="AL4266">
        <v>88.738255331888595</v>
      </c>
      <c r="AM4266">
        <v>78.153514400570003</v>
      </c>
      <c r="AN4266">
        <v>1.0000000489341001</v>
      </c>
    </row>
    <row r="4267" spans="1:40" x14ac:dyDescent="0.25">
      <c r="A4267" t="str">
        <f>"20190312154339705"</f>
        <v>20190312154339705</v>
      </c>
      <c r="B4267" t="str">
        <f>"1552376619691552"</f>
        <v>1552376619691552</v>
      </c>
      <c r="C4267" t="s">
        <v>40</v>
      </c>
      <c r="D4267">
        <v>5.2859569999999998</v>
      </c>
      <c r="E4267">
        <v>0.61431150000000001</v>
      </c>
      <c r="F4267" t="s">
        <v>49</v>
      </c>
      <c r="G4267">
        <v>-195.10149999999999</v>
      </c>
      <c r="H4267" s="1">
        <v>5.3725099999999997E-6</v>
      </c>
      <c r="I4267">
        <v>203.34620000000001</v>
      </c>
      <c r="J4267">
        <v>-196.77279999999999</v>
      </c>
      <c r="K4267">
        <v>1.094436</v>
      </c>
      <c r="L4267">
        <v>208.95529999999999</v>
      </c>
      <c r="M4267">
        <v>0.71535059999999995</v>
      </c>
      <c r="N4267">
        <v>0</v>
      </c>
      <c r="O4267">
        <v>-0.69856839999999998</v>
      </c>
      <c r="P4267">
        <v>0.55776429999999999</v>
      </c>
      <c r="Q4267">
        <v>1.1212720000000001E-2</v>
      </c>
      <c r="R4267">
        <v>-0.8299242</v>
      </c>
      <c r="S4267">
        <v>0.97009279999999998</v>
      </c>
      <c r="T4267">
        <v>-0.56079999999999997</v>
      </c>
      <c r="U4267">
        <v>-2.9922789999999999</v>
      </c>
      <c r="V4267">
        <v>0.20497480000000001</v>
      </c>
      <c r="W4267">
        <v>1.96986E-2</v>
      </c>
      <c r="X4267">
        <v>0.97856900000000002</v>
      </c>
      <c r="Y4267">
        <v>0.4661188</v>
      </c>
      <c r="Z4267">
        <v>9.190226E-2</v>
      </c>
      <c r="AA4267">
        <v>0.87993600000000005</v>
      </c>
      <c r="AB4267">
        <v>31</v>
      </c>
      <c r="AC4267">
        <v>1.6713</v>
      </c>
      <c r="AD4267">
        <v>-1.09443062749</v>
      </c>
      <c r="AE4267">
        <v>-5.6090999999999802</v>
      </c>
      <c r="AF4267">
        <v>2.7492180391302301</v>
      </c>
      <c r="AG4267">
        <v>-1.09443062749</v>
      </c>
      <c r="AH4267">
        <v>4.9418137690080304</v>
      </c>
      <c r="AI4267">
        <v>100.953110960312</v>
      </c>
      <c r="AJ4267">
        <v>60.912041827209997</v>
      </c>
      <c r="AK4267">
        <v>5.7599914542145498</v>
      </c>
      <c r="AL4267">
        <v>88.871280347619205</v>
      </c>
      <c r="AM4267">
        <v>78.169647383095594</v>
      </c>
      <c r="AN4267">
        <v>0.99999999561899999</v>
      </c>
    </row>
    <row r="4268" spans="1:40" x14ac:dyDescent="0.25">
      <c r="A4268" t="str">
        <f>"20190312154339726"</f>
        <v>20190312154339726</v>
      </c>
      <c r="B4268" t="str">
        <f>"1552376619721809"</f>
        <v>1552376619721809</v>
      </c>
      <c r="C4268" t="s">
        <v>40</v>
      </c>
      <c r="D4268">
        <v>5.338457</v>
      </c>
      <c r="E4268">
        <v>0.61475829999999998</v>
      </c>
      <c r="F4268" t="s">
        <v>49</v>
      </c>
      <c r="G4268">
        <v>-194.97640000000001</v>
      </c>
      <c r="H4268" s="1">
        <v>5.4625789999999899E-6</v>
      </c>
      <c r="I4268">
        <v>203.11080000000001</v>
      </c>
      <c r="J4268">
        <v>-196.55879999999999</v>
      </c>
      <c r="K4268">
        <v>1.09432</v>
      </c>
      <c r="L4268">
        <v>208.72399999999999</v>
      </c>
      <c r="M4268">
        <v>0.70213249999999905</v>
      </c>
      <c r="N4268">
        <v>0</v>
      </c>
      <c r="O4268">
        <v>-0.71185109999999996</v>
      </c>
      <c r="P4268">
        <v>0.54292629999999997</v>
      </c>
      <c r="Q4268">
        <v>9.5681770000000006E-3</v>
      </c>
      <c r="R4268">
        <v>-0.83972619999999898</v>
      </c>
      <c r="S4268">
        <v>0.92274480000000003</v>
      </c>
      <c r="T4268">
        <v>-0.562199</v>
      </c>
      <c r="U4268">
        <v>-3.0022579999999999</v>
      </c>
      <c r="V4268">
        <v>0.20398659999999999</v>
      </c>
      <c r="W4268">
        <v>1.810148E-2</v>
      </c>
      <c r="X4268">
        <v>0.97880630000000002</v>
      </c>
      <c r="Y4268">
        <v>0.46313729999999997</v>
      </c>
      <c r="Z4268">
        <v>9.5394149999999997E-2</v>
      </c>
      <c r="AA4268">
        <v>0.88113779999999997</v>
      </c>
      <c r="AB4268">
        <v>31</v>
      </c>
      <c r="AC4268">
        <v>1.5823999999999701</v>
      </c>
      <c r="AD4268">
        <v>-1.0943145374209999</v>
      </c>
      <c r="AE4268">
        <v>-5.6132</v>
      </c>
      <c r="AF4268">
        <v>2.71942052305653</v>
      </c>
      <c r="AG4268">
        <v>-1.0943145374209999</v>
      </c>
      <c r="AH4268">
        <v>4.9338129746753996</v>
      </c>
      <c r="AI4268">
        <v>100.99263301721101</v>
      </c>
      <c r="AJ4268">
        <v>61.137311754619198</v>
      </c>
      <c r="AK4268">
        <v>5.7389269691386797</v>
      </c>
      <c r="AL4268">
        <v>88.962804930128996</v>
      </c>
      <c r="AM4268">
        <v>78.227861395380799</v>
      </c>
      <c r="AN4268">
        <v>0.99999998473871998</v>
      </c>
    </row>
    <row r="4269" spans="1:40" x14ac:dyDescent="0.25">
      <c r="A4269" t="str">
        <f>"20190312154339750"</f>
        <v>20190312154339750</v>
      </c>
      <c r="B4269" t="str">
        <f>"1552376619741327"</f>
        <v>1552376619741327</v>
      </c>
      <c r="C4269" t="s">
        <v>40</v>
      </c>
      <c r="D4269">
        <v>5.2792820000000003</v>
      </c>
      <c r="E4269">
        <v>0.63977479999999998</v>
      </c>
      <c r="F4269" t="s">
        <v>49</v>
      </c>
      <c r="G4269">
        <v>-194.88550000000001</v>
      </c>
      <c r="H4269" s="1">
        <v>5.5425010000000001E-6</v>
      </c>
      <c r="I4269">
        <v>202.88509999999999</v>
      </c>
      <c r="J4269">
        <v>-196.3407</v>
      </c>
      <c r="K4269">
        <v>1.0942160000000001</v>
      </c>
      <c r="L4269">
        <v>208.4786</v>
      </c>
      <c r="M4269">
        <v>0.68799909999999997</v>
      </c>
      <c r="N4269">
        <v>0</v>
      </c>
      <c r="O4269">
        <v>-0.72551860000000001</v>
      </c>
      <c r="P4269">
        <v>0.52714229999999995</v>
      </c>
      <c r="Q4269">
        <v>9.1079809999999994E-3</v>
      </c>
      <c r="R4269">
        <v>-0.84972829999999999</v>
      </c>
      <c r="S4269">
        <v>0.86529539999999905</v>
      </c>
      <c r="T4269">
        <v>-0.56591819999999904</v>
      </c>
      <c r="U4269">
        <v>-3.0195470000000002</v>
      </c>
      <c r="V4269">
        <v>0.20302029999999999</v>
      </c>
      <c r="W4269">
        <v>1.769051E-2</v>
      </c>
      <c r="X4269">
        <v>0.97901470000000002</v>
      </c>
      <c r="Y4269">
        <v>0.46264680000000002</v>
      </c>
      <c r="Z4269">
        <v>9.9070770000000002E-2</v>
      </c>
      <c r="AA4269">
        <v>0.88098980000000005</v>
      </c>
      <c r="AB4269">
        <v>31</v>
      </c>
      <c r="AC4269">
        <v>1.4551999999999901</v>
      </c>
      <c r="AD4269">
        <v>-1.0942104574989999</v>
      </c>
      <c r="AE4269">
        <v>-5.5934999999999997</v>
      </c>
      <c r="AF4269">
        <v>2.6962986091930401</v>
      </c>
      <c r="AG4269">
        <v>-1.0942104574989999</v>
      </c>
      <c r="AH4269">
        <v>4.8849854031676303</v>
      </c>
      <c r="AI4269">
        <v>101.095212610434</v>
      </c>
      <c r="AJ4269">
        <v>61.103220247038301</v>
      </c>
      <c r="AK4269">
        <v>5.6859832135170203</v>
      </c>
      <c r="AL4269">
        <v>88.986355553615596</v>
      </c>
      <c r="AM4269">
        <v>78.284506764338701</v>
      </c>
      <c r="AN4269">
        <v>0.99999998958612002</v>
      </c>
    </row>
    <row r="4270" spans="1:40" x14ac:dyDescent="0.25">
      <c r="A4270" t="str">
        <f>"20190312154339772"</f>
        <v>20190312154339772</v>
      </c>
      <c r="B4270" t="str">
        <f>"1552376619761823"</f>
        <v>1552376619761823</v>
      </c>
      <c r="C4270" t="s">
        <v>40</v>
      </c>
      <c r="D4270">
        <v>5.269145</v>
      </c>
      <c r="E4270">
        <v>0.63943479999999997</v>
      </c>
      <c r="F4270" t="s">
        <v>49</v>
      </c>
      <c r="G4270">
        <v>-195.2612</v>
      </c>
      <c r="H4270" s="1">
        <v>5.380279E-6</v>
      </c>
      <c r="I4270">
        <v>203.1832</v>
      </c>
      <c r="J4270">
        <v>-196.13149999999999</v>
      </c>
      <c r="K4270">
        <v>1.0941289999999999</v>
      </c>
      <c r="L4270">
        <v>208.23330000000001</v>
      </c>
      <c r="M4270">
        <v>0.67376709999999995</v>
      </c>
      <c r="N4270">
        <v>0</v>
      </c>
      <c r="O4270">
        <v>-0.738753199999999</v>
      </c>
      <c r="P4270">
        <v>0.51109589999999905</v>
      </c>
      <c r="Q4270">
        <v>1.0361260000000001E-2</v>
      </c>
      <c r="R4270">
        <v>-0.85946100000000003</v>
      </c>
      <c r="S4270">
        <v>0.64019780000000004</v>
      </c>
      <c r="T4270">
        <v>-0.64890429999999999</v>
      </c>
      <c r="U4270">
        <v>-3.1403810000000001</v>
      </c>
      <c r="V4270">
        <v>0.20241700000000001</v>
      </c>
      <c r="W4270">
        <v>1.8978709999999999E-2</v>
      </c>
      <c r="X4270">
        <v>0.97911550000000003</v>
      </c>
      <c r="Y4270">
        <v>0.5131445</v>
      </c>
      <c r="Z4270">
        <v>0.1101306</v>
      </c>
      <c r="AA4270">
        <v>0.85120739999999995</v>
      </c>
      <c r="AB4270">
        <v>31</v>
      </c>
      <c r="AC4270">
        <v>0.87029999999998597</v>
      </c>
      <c r="AD4270">
        <v>-1.094123619721</v>
      </c>
      <c r="AE4270">
        <v>-5.0501000000000102</v>
      </c>
      <c r="AF4270">
        <v>2.6397115277737</v>
      </c>
      <c r="AG4270">
        <v>-1.094123619721</v>
      </c>
      <c r="AH4270">
        <v>4.1295205426083799</v>
      </c>
      <c r="AI4270">
        <v>102.584329012252</v>
      </c>
      <c r="AJ4270">
        <v>57.412084538089303</v>
      </c>
      <c r="AK4270">
        <v>5.0217649643245297</v>
      </c>
      <c r="AL4270">
        <v>88.912534724762395</v>
      </c>
      <c r="AM4270">
        <v>78.319532236479404</v>
      </c>
      <c r="AN4270">
        <v>0.99999999783125704</v>
      </c>
    </row>
    <row r="4271" spans="1:40" x14ac:dyDescent="0.25">
      <c r="A4271" t="str">
        <f>"20190312154339795"</f>
        <v>20190312154339795</v>
      </c>
      <c r="B4271" t="str">
        <f>"1552376619782320"</f>
        <v>1552376619782320</v>
      </c>
      <c r="C4271" t="s">
        <v>40</v>
      </c>
      <c r="D4271">
        <v>5.2897749999999997</v>
      </c>
      <c r="E4271">
        <v>0.63809700000000003</v>
      </c>
      <c r="F4271" t="s">
        <v>49</v>
      </c>
      <c r="G4271">
        <v>-195.17019999999999</v>
      </c>
      <c r="H4271" s="1">
        <v>5.4328750000000001E-6</v>
      </c>
      <c r="I4271">
        <v>203.0607</v>
      </c>
      <c r="J4271">
        <v>-195.93170000000001</v>
      </c>
      <c r="K4271">
        <v>1.0940589999999999</v>
      </c>
      <c r="L4271">
        <v>207.9898</v>
      </c>
      <c r="M4271">
        <v>0.65954829999999998</v>
      </c>
      <c r="N4271">
        <v>0</v>
      </c>
      <c r="O4271">
        <v>-0.75147410000000003</v>
      </c>
      <c r="P4271">
        <v>0.49473660000000003</v>
      </c>
      <c r="Q4271">
        <v>1.092106E-2</v>
      </c>
      <c r="R4271">
        <v>-0.86897500000000005</v>
      </c>
      <c r="S4271">
        <v>0.58543400000000001</v>
      </c>
      <c r="T4271">
        <v>-0.66638660000000005</v>
      </c>
      <c r="U4271">
        <v>-3.1504210000000001</v>
      </c>
      <c r="V4271">
        <v>0.20228960000000001</v>
      </c>
      <c r="W4271">
        <v>1.95532E-2</v>
      </c>
      <c r="X4271">
        <v>0.97913050000000001</v>
      </c>
      <c r="Y4271">
        <v>0.51167819999999997</v>
      </c>
      <c r="Z4271">
        <v>0.1165211</v>
      </c>
      <c r="AA4271">
        <v>0.85123930000000003</v>
      </c>
      <c r="AB4271">
        <v>31</v>
      </c>
      <c r="AC4271">
        <v>0.76150000000001195</v>
      </c>
      <c r="AD4271">
        <v>-1.094053567125</v>
      </c>
      <c r="AE4271">
        <v>-4.9291</v>
      </c>
      <c r="AF4271">
        <v>2.5561180990046899</v>
      </c>
      <c r="AG4271">
        <v>-1.094053567125</v>
      </c>
      <c r="AH4271">
        <v>4.01379988201733</v>
      </c>
      <c r="AI4271">
        <v>102.94789553508301</v>
      </c>
      <c r="AJ4271">
        <v>57.509692149822598</v>
      </c>
      <c r="AK4271">
        <v>4.8827535711605003</v>
      </c>
      <c r="AL4271">
        <v>88.879612733495804</v>
      </c>
      <c r="AM4271">
        <v>78.326855956583302</v>
      </c>
      <c r="AN4271">
        <v>0.99999997296432397</v>
      </c>
    </row>
    <row r="4272" spans="1:40" x14ac:dyDescent="0.25">
      <c r="A4272" t="str">
        <f>"20190312154339817"</f>
        <v>20190312154339817</v>
      </c>
      <c r="B4272" t="str">
        <f>"1552376619811600"</f>
        <v>1552376619811600</v>
      </c>
      <c r="C4272" t="s">
        <v>40</v>
      </c>
      <c r="D4272">
        <v>5.3215519999999996</v>
      </c>
      <c r="E4272">
        <v>0.63615569999999999</v>
      </c>
      <c r="F4272" t="s">
        <v>49</v>
      </c>
      <c r="G4272">
        <v>-195.0264</v>
      </c>
      <c r="H4272" s="1">
        <v>5.5730190000000001E-6</v>
      </c>
      <c r="I4272">
        <v>202.65190000000001</v>
      </c>
      <c r="J4272">
        <v>-195.73419999999999</v>
      </c>
      <c r="K4272">
        <v>1.0939909999999999</v>
      </c>
      <c r="L4272">
        <v>207.73949999999999</v>
      </c>
      <c r="M4272">
        <v>0.64485309999999996</v>
      </c>
      <c r="N4272">
        <v>0</v>
      </c>
      <c r="O4272">
        <v>-0.76412080000000004</v>
      </c>
      <c r="P4272">
        <v>0.47784159999999998</v>
      </c>
      <c r="Q4272">
        <v>1.1326299999999999E-2</v>
      </c>
      <c r="R4272">
        <v>-0.87837339999999997</v>
      </c>
      <c r="S4272">
        <v>0.53518679999999996</v>
      </c>
      <c r="T4272">
        <v>-0.64681149999999998</v>
      </c>
      <c r="U4272">
        <v>-3.1557770000000001</v>
      </c>
      <c r="V4272">
        <v>0.2022535</v>
      </c>
      <c r="W4272">
        <v>1.9969870000000001E-2</v>
      </c>
      <c r="X4272">
        <v>0.97912960000000004</v>
      </c>
      <c r="Y4272">
        <v>0.50850340000000005</v>
      </c>
      <c r="Z4272">
        <v>0.1168762</v>
      </c>
      <c r="AA4272">
        <v>0.85309099999999904</v>
      </c>
      <c r="AB4272">
        <v>31</v>
      </c>
      <c r="AC4272">
        <v>0.70779999999999099</v>
      </c>
      <c r="AD4272">
        <v>-1.0939854269810001</v>
      </c>
      <c r="AE4272">
        <v>-5.0875999999999797</v>
      </c>
      <c r="AF4272">
        <v>2.6213929150090598</v>
      </c>
      <c r="AG4272">
        <v>-1.0939854269810001</v>
      </c>
      <c r="AH4272">
        <v>4.1560661658181202</v>
      </c>
      <c r="AI4272">
        <v>102.551572908548</v>
      </c>
      <c r="AJ4272">
        <v>57.758772283647801</v>
      </c>
      <c r="AK4272">
        <v>5.0340233316865604</v>
      </c>
      <c r="AL4272">
        <v>88.855734695513704</v>
      </c>
      <c r="AM4272">
        <v>78.3288715241207</v>
      </c>
      <c r="AN4272">
        <v>1.0000000237831099</v>
      </c>
    </row>
    <row r="4273" spans="1:40" x14ac:dyDescent="0.25">
      <c r="A4273" t="str">
        <f>"20190312154339839"</f>
        <v>20190312154339839</v>
      </c>
      <c r="B4273" t="str">
        <f>"1552376619832096"</f>
        <v>1552376619832096</v>
      </c>
      <c r="C4273" t="s">
        <v>40</v>
      </c>
      <c r="D4273">
        <v>5.2749139999999999</v>
      </c>
      <c r="E4273">
        <v>0.63431349999999997</v>
      </c>
      <c r="F4273" t="s">
        <v>49</v>
      </c>
      <c r="G4273">
        <v>-194.89279999999999</v>
      </c>
      <c r="H4273" s="1">
        <v>5.7014470000000004E-6</v>
      </c>
      <c r="I4273">
        <v>202.27879999999999</v>
      </c>
      <c r="J4273">
        <v>-195.53710000000001</v>
      </c>
      <c r="K4273">
        <v>1.093933</v>
      </c>
      <c r="L4273">
        <v>207.47929999999999</v>
      </c>
      <c r="M4273">
        <v>0.62949330000000003</v>
      </c>
      <c r="N4273">
        <v>0</v>
      </c>
      <c r="O4273">
        <v>-0.77682259999999903</v>
      </c>
      <c r="P4273">
        <v>0.45946429999999999</v>
      </c>
      <c r="Q4273">
        <v>1.1240429999999999E-2</v>
      </c>
      <c r="R4273">
        <v>-0.88812549999999901</v>
      </c>
      <c r="S4273">
        <v>0.48674010000000001</v>
      </c>
      <c r="T4273">
        <v>-0.63282550000000004</v>
      </c>
      <c r="U4273">
        <v>-3.158798</v>
      </c>
      <c r="V4273">
        <v>0.20310690000000001</v>
      </c>
      <c r="W4273">
        <v>1.9856889999999999E-2</v>
      </c>
      <c r="X4273">
        <v>0.97895520000000003</v>
      </c>
      <c r="Y4273">
        <v>0.50431029999999999</v>
      </c>
      <c r="Z4273">
        <v>0.1181816</v>
      </c>
      <c r="AA4273">
        <v>0.85539719999999997</v>
      </c>
      <c r="AB4273">
        <v>31</v>
      </c>
      <c r="AC4273">
        <v>0.64430000000001497</v>
      </c>
      <c r="AD4273">
        <v>-1.093927298553</v>
      </c>
      <c r="AE4273">
        <v>-5.2004999999999999</v>
      </c>
      <c r="AF4273">
        <v>2.6577477412503199</v>
      </c>
      <c r="AG4273">
        <v>-1.093927298553</v>
      </c>
      <c r="AH4273">
        <v>4.2604194422766399</v>
      </c>
      <c r="AI4273">
        <v>102.28995335563999</v>
      </c>
      <c r="AJ4273">
        <v>58.043135562394099</v>
      </c>
      <c r="AK4273">
        <v>5.13920945426137</v>
      </c>
      <c r="AL4273">
        <v>88.862209225057299</v>
      </c>
      <c r="AM4273">
        <v>78.278954995384396</v>
      </c>
      <c r="AN4273">
        <v>0.99999999625756097</v>
      </c>
    </row>
    <row r="4274" spans="1:40" x14ac:dyDescent="0.25">
      <c r="A4274" t="str">
        <f>"20190312154339863"</f>
        <v>20190312154339863</v>
      </c>
      <c r="B4274" t="str">
        <f>"1552376619851615"</f>
        <v>1552376619851615</v>
      </c>
      <c r="C4274" t="s">
        <v>40</v>
      </c>
      <c r="D4274">
        <v>5.2569869999999996</v>
      </c>
      <c r="E4274">
        <v>0.63242109999999996</v>
      </c>
      <c r="F4274" t="s">
        <v>49</v>
      </c>
      <c r="G4274">
        <v>-194.79079999999999</v>
      </c>
      <c r="H4274" s="1">
        <v>5.8008749999999998E-6</v>
      </c>
      <c r="I4274">
        <v>202.04169999999999</v>
      </c>
      <c r="J4274">
        <v>-195.3458</v>
      </c>
      <c r="K4274">
        <v>1.0938760000000001</v>
      </c>
      <c r="L4274">
        <v>207.21610000000001</v>
      </c>
      <c r="M4274">
        <v>0.61388379999999998</v>
      </c>
      <c r="N4274">
        <v>0</v>
      </c>
      <c r="O4274">
        <v>-0.78921529999999995</v>
      </c>
      <c r="P4274">
        <v>0.44053910000000002</v>
      </c>
      <c r="Q4274">
        <v>9.7781369999999992E-3</v>
      </c>
      <c r="R4274">
        <v>-0.89768049999999999</v>
      </c>
      <c r="S4274">
        <v>0.43391420000000003</v>
      </c>
      <c r="T4274">
        <v>-0.6360209</v>
      </c>
      <c r="U4274">
        <v>-3.1614840000000002</v>
      </c>
      <c r="V4274">
        <v>0.20429600000000001</v>
      </c>
      <c r="W4274">
        <v>1.8351309999999999E-2</v>
      </c>
      <c r="X4274">
        <v>0.97873710000000003</v>
      </c>
      <c r="Y4274">
        <v>0.50129230000000002</v>
      </c>
      <c r="Z4274">
        <v>0.1223958</v>
      </c>
      <c r="AA4274">
        <v>0.8565777</v>
      </c>
      <c r="AB4274">
        <v>31</v>
      </c>
      <c r="AC4274">
        <v>0.55500000000000604</v>
      </c>
      <c r="AD4274">
        <v>-1.0938701991249999</v>
      </c>
      <c r="AE4274">
        <v>-5.1744000000000199</v>
      </c>
      <c r="AF4274">
        <v>2.6229697510947299</v>
      </c>
      <c r="AG4274">
        <v>-1.0938701991249999</v>
      </c>
      <c r="AH4274">
        <v>4.2378191024315104</v>
      </c>
      <c r="AI4274">
        <v>102.37908207033399</v>
      </c>
      <c r="AJ4274">
        <v>58.244841115879602</v>
      </c>
      <c r="AK4274">
        <v>5.10251242748366</v>
      </c>
      <c r="AL4274">
        <v>88.948488330066198</v>
      </c>
      <c r="AM4274">
        <v>78.209694972298095</v>
      </c>
      <c r="AN4274">
        <v>0.99999996855556195</v>
      </c>
    </row>
    <row r="4275" spans="1:40" x14ac:dyDescent="0.25">
      <c r="A4275" t="str">
        <f>"20190312154339884"</f>
        <v>20190312154339884</v>
      </c>
      <c r="B4275" t="str">
        <f>"1552376619872111"</f>
        <v>1552376619872111</v>
      </c>
      <c r="C4275" t="s">
        <v>40</v>
      </c>
      <c r="D4275">
        <v>5.2640149999999997</v>
      </c>
      <c r="E4275">
        <v>0.63063669999999905</v>
      </c>
      <c r="F4275" t="s">
        <v>49</v>
      </c>
      <c r="G4275">
        <v>-194.69649999999999</v>
      </c>
      <c r="H4275" s="1">
        <v>5.9097759999999999E-6</v>
      </c>
      <c r="I4275">
        <v>201.80459999999999</v>
      </c>
      <c r="J4275">
        <v>-195.1705</v>
      </c>
      <c r="K4275">
        <v>1.0938399999999999</v>
      </c>
      <c r="L4275">
        <v>206.9648</v>
      </c>
      <c r="M4275">
        <v>0.59891919999999899</v>
      </c>
      <c r="N4275">
        <v>0</v>
      </c>
      <c r="O4275">
        <v>-0.80063030000000002</v>
      </c>
      <c r="P4275">
        <v>0.42340699999999998</v>
      </c>
      <c r="Q4275">
        <v>8.2270599999999996E-3</v>
      </c>
      <c r="R4275">
        <v>-0.9059024</v>
      </c>
      <c r="S4275">
        <v>0.37951659999999998</v>
      </c>
      <c r="T4275">
        <v>-0.63929720000000001</v>
      </c>
      <c r="U4275">
        <v>-3.1626590000000001</v>
      </c>
      <c r="V4275">
        <v>0.20441580000000001</v>
      </c>
      <c r="W4275">
        <v>1.680278E-2</v>
      </c>
      <c r="X4275">
        <v>0.9787399</v>
      </c>
      <c r="Y4275">
        <v>0.49961339999999999</v>
      </c>
      <c r="Z4275">
        <v>0.1263658</v>
      </c>
      <c r="AA4275">
        <v>0.85698200000000002</v>
      </c>
      <c r="AB4275">
        <v>31</v>
      </c>
      <c r="AC4275">
        <v>0.47400000000001802</v>
      </c>
      <c r="AD4275">
        <v>-1.093834090224</v>
      </c>
      <c r="AE4275">
        <v>-5.1601999999999997</v>
      </c>
      <c r="AF4275">
        <v>2.5957719976466702</v>
      </c>
      <c r="AG4275">
        <v>-1.093834090224</v>
      </c>
      <c r="AH4275">
        <v>4.2275640525336602</v>
      </c>
      <c r="AI4275">
        <v>102.43430106513</v>
      </c>
      <c r="AJ4275">
        <v>58.449605825249598</v>
      </c>
      <c r="AK4275">
        <v>5.0800396749412897</v>
      </c>
      <c r="AL4275">
        <v>89.037226287732807</v>
      </c>
      <c r="AM4275">
        <v>78.203007591519807</v>
      </c>
      <c r="AN4275">
        <v>0.99999997227868798</v>
      </c>
    </row>
    <row r="4276" spans="1:40" x14ac:dyDescent="0.25">
      <c r="A4276" t="str">
        <f>"20190312154339906"</f>
        <v>20190312154339906</v>
      </c>
      <c r="B4276" t="str">
        <f>"1552376619891632"</f>
        <v>1552376619891632</v>
      </c>
      <c r="C4276" t="s">
        <v>40</v>
      </c>
      <c r="D4276">
        <v>5.287477</v>
      </c>
      <c r="E4276">
        <v>0.62883290000000003</v>
      </c>
      <c r="F4276" t="s">
        <v>49</v>
      </c>
      <c r="G4276">
        <v>-194.59469999999999</v>
      </c>
      <c r="H4276" s="1">
        <v>6.0593380000000004E-6</v>
      </c>
      <c r="I4276">
        <v>201.4581</v>
      </c>
      <c r="J4276">
        <v>-194.99930000000001</v>
      </c>
      <c r="K4276">
        <v>1.0938139999999901</v>
      </c>
      <c r="L4276">
        <v>206.70920000000001</v>
      </c>
      <c r="M4276">
        <v>0.58364240000000001</v>
      </c>
      <c r="N4276">
        <v>0</v>
      </c>
      <c r="O4276">
        <v>-0.81183369999999999</v>
      </c>
      <c r="P4276">
        <v>0.40704230000000002</v>
      </c>
      <c r="Q4276">
        <v>8.1360029999999993E-3</v>
      </c>
      <c r="R4276">
        <v>-0.9133732</v>
      </c>
      <c r="S4276">
        <v>0.33073429999999998</v>
      </c>
      <c r="T4276">
        <v>-0.62823370000000001</v>
      </c>
      <c r="U4276">
        <v>-3.1627200000000002</v>
      </c>
      <c r="V4276">
        <v>0.2034774</v>
      </c>
      <c r="W4276">
        <v>1.6760339999999999E-2</v>
      </c>
      <c r="X4276">
        <v>0.97893620000000003</v>
      </c>
      <c r="Y4276">
        <v>0.49632039999999999</v>
      </c>
      <c r="Z4276">
        <v>0.1276322</v>
      </c>
      <c r="AA4276">
        <v>0.85870609999999903</v>
      </c>
      <c r="AB4276">
        <v>31</v>
      </c>
      <c r="AC4276">
        <v>0.404600000000016</v>
      </c>
      <c r="AD4276">
        <v>-1.0938079406619901</v>
      </c>
      <c r="AE4276">
        <v>-5.2511000000000001</v>
      </c>
      <c r="AF4276">
        <v>2.6235292430974999</v>
      </c>
      <c r="AG4276">
        <v>-1.0938079406619901</v>
      </c>
      <c r="AH4276">
        <v>4.3137435399459303</v>
      </c>
      <c r="AI4276">
        <v>102.223841459322</v>
      </c>
      <c r="AJ4276">
        <v>58.692901533251899</v>
      </c>
      <c r="AK4276">
        <v>5.1660144046322802</v>
      </c>
      <c r="AL4276">
        <v>89.039658311378105</v>
      </c>
      <c r="AM4276">
        <v>78.257945450724307</v>
      </c>
      <c r="AN4276">
        <v>1.00000002248905</v>
      </c>
    </row>
    <row r="4277" spans="1:40" x14ac:dyDescent="0.25">
      <c r="A4277" t="str">
        <f>"20190312154339928"</f>
        <v>20190312154339928</v>
      </c>
      <c r="B4277" t="str">
        <f>"1552376619921890"</f>
        <v>1552376619921890</v>
      </c>
      <c r="C4277" t="s">
        <v>40</v>
      </c>
      <c r="D4277">
        <v>5.3201989999999997</v>
      </c>
      <c r="E4277">
        <v>0.62608850000000005</v>
      </c>
      <c r="F4277" t="s">
        <v>49</v>
      </c>
      <c r="G4277">
        <v>-194.4984</v>
      </c>
      <c r="H4277" s="1">
        <v>6.186369E-6</v>
      </c>
      <c r="I4277">
        <v>201.1713</v>
      </c>
      <c r="J4277">
        <v>-194.82769999999999</v>
      </c>
      <c r="K4277">
        <v>1.0937920000000001</v>
      </c>
      <c r="L4277">
        <v>206.4418</v>
      </c>
      <c r="M4277">
        <v>0.56760790000000005</v>
      </c>
      <c r="N4277">
        <v>0</v>
      </c>
      <c r="O4277">
        <v>-0.82312419999999997</v>
      </c>
      <c r="P4277">
        <v>0.39022869999999998</v>
      </c>
      <c r="Q4277">
        <v>9.1217650000000004E-3</v>
      </c>
      <c r="R4277">
        <v>-0.92067310000000002</v>
      </c>
      <c r="S4277">
        <v>0.28608699999999998</v>
      </c>
      <c r="T4277">
        <v>-0.62465680000000001</v>
      </c>
      <c r="U4277">
        <v>-3.1626280000000002</v>
      </c>
      <c r="V4277">
        <v>0.20226040000000001</v>
      </c>
      <c r="W4277">
        <v>1.7807320000000001E-2</v>
      </c>
      <c r="X4277">
        <v>0.97916979999999998</v>
      </c>
      <c r="Y4277">
        <v>0.49136540000000001</v>
      </c>
      <c r="Z4277">
        <v>0.1304197</v>
      </c>
      <c r="AA4277">
        <v>0.86113340000000005</v>
      </c>
      <c r="AB4277">
        <v>31</v>
      </c>
      <c r="AC4277">
        <v>0.32929999999998899</v>
      </c>
      <c r="AD4277">
        <v>-1.0937858136309999</v>
      </c>
      <c r="AE4277">
        <v>-5.2704999999999904</v>
      </c>
      <c r="AF4277">
        <v>2.6089857643071102</v>
      </c>
      <c r="AG4277">
        <v>-1.0937858136309999</v>
      </c>
      <c r="AH4277">
        <v>4.33966418894809</v>
      </c>
      <c r="AI4277">
        <v>102.189281941814</v>
      </c>
      <c r="AJ4277">
        <v>58.985912441882</v>
      </c>
      <c r="AK4277">
        <v>5.1803339078959096</v>
      </c>
      <c r="AL4277">
        <v>88.979661722017298</v>
      </c>
      <c r="AM4277">
        <v>78.328950310901405</v>
      </c>
      <c r="AN4277">
        <v>0.99999993364288897</v>
      </c>
    </row>
    <row r="4278" spans="1:40" x14ac:dyDescent="0.25">
      <c r="A4278" t="str">
        <f>"20190312154339950"</f>
        <v>20190312154339950</v>
      </c>
      <c r="B4278" t="str">
        <f>"1552376619941408"</f>
        <v>1552376619941408</v>
      </c>
      <c r="C4278" t="s">
        <v>40</v>
      </c>
      <c r="D4278">
        <v>5.2985470000000001</v>
      </c>
      <c r="E4278">
        <v>0.62519060000000004</v>
      </c>
      <c r="F4278" t="s">
        <v>49</v>
      </c>
      <c r="G4278">
        <v>-194.38570000000001</v>
      </c>
      <c r="H4278" s="1">
        <v>6.3385569999999996E-6</v>
      </c>
      <c r="I4278">
        <v>200.82550000000001</v>
      </c>
      <c r="J4278">
        <v>-194.6669</v>
      </c>
      <c r="K4278">
        <v>1.0937809999999999</v>
      </c>
      <c r="L4278">
        <v>206.1797</v>
      </c>
      <c r="M4278">
        <v>0.55185340000000005</v>
      </c>
      <c r="N4278">
        <v>0</v>
      </c>
      <c r="O4278">
        <v>-0.83376799999999995</v>
      </c>
      <c r="P4278">
        <v>0.37337169999999997</v>
      </c>
      <c r="Q4278">
        <v>9.6926670000000003E-3</v>
      </c>
      <c r="R4278">
        <v>-0.92763119999999999</v>
      </c>
      <c r="S4278">
        <v>0.24859619999999999</v>
      </c>
      <c r="T4278">
        <v>-0.6152706</v>
      </c>
      <c r="U4278">
        <v>-3.1592410000000002</v>
      </c>
      <c r="V4278">
        <v>0.20152100000000001</v>
      </c>
      <c r="W4278">
        <v>1.8418529999999999E-2</v>
      </c>
      <c r="X4278">
        <v>0.97931100000000004</v>
      </c>
      <c r="Y4278">
        <v>0.48492540000000001</v>
      </c>
      <c r="Z4278">
        <v>0.13199640000000001</v>
      </c>
      <c r="AA4278">
        <v>0.864537</v>
      </c>
      <c r="AB4278">
        <v>31</v>
      </c>
      <c r="AC4278">
        <v>0.28119999999998402</v>
      </c>
      <c r="AD4278">
        <v>-1.093774661443</v>
      </c>
      <c r="AE4278">
        <v>-5.3541999999999899</v>
      </c>
      <c r="AF4278">
        <v>2.6119685630599001</v>
      </c>
      <c r="AG4278">
        <v>-1.093774661443</v>
      </c>
      <c r="AH4278">
        <v>4.4354201869505401</v>
      </c>
      <c r="AI4278">
        <v>101.99647659881801</v>
      </c>
      <c r="AJ4278">
        <v>59.506652173039797</v>
      </c>
      <c r="AK4278">
        <v>5.26228800230815</v>
      </c>
      <c r="AL4278">
        <v>88.944636284707599</v>
      </c>
      <c r="AM4278">
        <v>78.372082831104606</v>
      </c>
      <c r="AN4278">
        <v>0.99999999520467997</v>
      </c>
    </row>
    <row r="4279" spans="1:40" x14ac:dyDescent="0.25">
      <c r="A4279" t="str">
        <f>"20190312154339973"</f>
        <v>20190312154339973</v>
      </c>
      <c r="B4279" t="str">
        <f>"1552376619961904"</f>
        <v>1552376619961904</v>
      </c>
      <c r="C4279" t="s">
        <v>40</v>
      </c>
      <c r="D4279">
        <v>5.3331339999999896</v>
      </c>
      <c r="E4279">
        <v>0.60377169999999902</v>
      </c>
      <c r="F4279" t="s">
        <v>49</v>
      </c>
      <c r="G4279">
        <v>-194.3109</v>
      </c>
      <c r="H4279" s="1">
        <v>6.4691989999999996E-6</v>
      </c>
      <c r="I4279">
        <v>200.51230000000001</v>
      </c>
      <c r="J4279">
        <v>-194.50120000000001</v>
      </c>
      <c r="K4279">
        <v>1.0937760000000001</v>
      </c>
      <c r="L4279">
        <v>205.89689999999999</v>
      </c>
      <c r="M4279">
        <v>0.53480629999999996</v>
      </c>
      <c r="N4279">
        <v>0</v>
      </c>
      <c r="O4279">
        <v>-0.84480379999999999</v>
      </c>
      <c r="P4279">
        <v>0.35540620000000001</v>
      </c>
      <c r="Q4279">
        <v>9.4944690000000002E-3</v>
      </c>
      <c r="R4279">
        <v>-0.9346641</v>
      </c>
      <c r="S4279">
        <v>0.19854740000000001</v>
      </c>
      <c r="T4279">
        <v>-0.60995390000000005</v>
      </c>
      <c r="U4279">
        <v>-3.1604920000000001</v>
      </c>
      <c r="V4279">
        <v>0.20051920000000001</v>
      </c>
      <c r="W4279">
        <v>1.827264E-2</v>
      </c>
      <c r="X4279">
        <v>0.97951940000000004</v>
      </c>
      <c r="Y4279">
        <v>0.48086430000000002</v>
      </c>
      <c r="Z4279">
        <v>0.13413829999999999</v>
      </c>
      <c r="AA4279">
        <v>0.86647359999999896</v>
      </c>
      <c r="AB4279">
        <v>31</v>
      </c>
      <c r="AC4279">
        <v>0.19030000000000699</v>
      </c>
      <c r="AD4279">
        <v>-1.093769530801</v>
      </c>
      <c r="AE4279">
        <v>-5.3845999999999696</v>
      </c>
      <c r="AF4279">
        <v>2.6117156783887499</v>
      </c>
      <c r="AG4279">
        <v>-1.093769530801</v>
      </c>
      <c r="AH4279">
        <v>4.46727920864359</v>
      </c>
      <c r="AI4279">
        <v>101.93483954213301</v>
      </c>
      <c r="AJ4279">
        <v>59.6880648500739</v>
      </c>
      <c r="AK4279">
        <v>5.2890428339378701</v>
      </c>
      <c r="AL4279">
        <v>88.952996627210794</v>
      </c>
      <c r="AM4279">
        <v>78.430720209529397</v>
      </c>
      <c r="AN4279">
        <v>1.00000004695878</v>
      </c>
    </row>
    <row r="4280" spans="1:40" x14ac:dyDescent="0.25">
      <c r="A4280" t="str">
        <f>"20190312154339998"</f>
        <v>20190312154339998</v>
      </c>
      <c r="B4280" t="str">
        <f>"1552376619992160"</f>
        <v>1552376619992160</v>
      </c>
      <c r="C4280" t="s">
        <v>40</v>
      </c>
      <c r="D4280">
        <v>5.333342</v>
      </c>
      <c r="E4280">
        <v>0.60155619999999999</v>
      </c>
      <c r="F4280" t="s">
        <v>49</v>
      </c>
      <c r="G4280">
        <v>-193.95339999999999</v>
      </c>
      <c r="H4280" s="1">
        <v>6.6860110000000001E-6</v>
      </c>
      <c r="I4280">
        <v>200.16810000000001</v>
      </c>
      <c r="J4280">
        <v>-194.33619999999999</v>
      </c>
      <c r="K4280">
        <v>1.0937749999999999</v>
      </c>
      <c r="L4280">
        <v>205.60169999999999</v>
      </c>
      <c r="M4280">
        <v>0.5169494</v>
      </c>
      <c r="N4280">
        <v>0</v>
      </c>
      <c r="O4280">
        <v>-0.85584680000000002</v>
      </c>
      <c r="P4280">
        <v>0.33661540000000001</v>
      </c>
      <c r="Q4280">
        <v>9.2074949999999996E-3</v>
      </c>
      <c r="R4280">
        <v>-0.94159720000000002</v>
      </c>
      <c r="S4280">
        <v>0.29669190000000001</v>
      </c>
      <c r="T4280">
        <v>-0.59240899999999996</v>
      </c>
      <c r="U4280">
        <v>-3.1028899999999999</v>
      </c>
      <c r="V4280">
        <v>0.1995605</v>
      </c>
      <c r="W4280">
        <v>1.803664E-2</v>
      </c>
      <c r="X4280">
        <v>0.97971949999999997</v>
      </c>
      <c r="Y4280">
        <v>0.43376710000000002</v>
      </c>
      <c r="Z4280">
        <v>0.1380306</v>
      </c>
      <c r="AA4280">
        <v>0.8903896</v>
      </c>
      <c r="AB4280">
        <v>31</v>
      </c>
      <c r="AC4280">
        <v>0.38280000000000303</v>
      </c>
      <c r="AD4280">
        <v>-1.093768313989</v>
      </c>
      <c r="AE4280">
        <v>-5.4335999999999798</v>
      </c>
      <c r="AF4280">
        <v>2.3854548719442801</v>
      </c>
      <c r="AG4280">
        <v>-1.093768313989</v>
      </c>
      <c r="AH4280">
        <v>4.6609865300393301</v>
      </c>
      <c r="AI4280">
        <v>101.799171780362</v>
      </c>
      <c r="AJ4280">
        <v>62.897003921966203</v>
      </c>
      <c r="AK4280">
        <v>5.34897368697745</v>
      </c>
      <c r="AL4280">
        <v>88.966520617235702</v>
      </c>
      <c r="AM4280">
        <v>78.486842118684905</v>
      </c>
      <c r="AN4280">
        <v>1.00000000611149</v>
      </c>
    </row>
    <row r="4281" spans="1:40" x14ac:dyDescent="0.25">
      <c r="A4281" t="str">
        <f>"20190312154340018"</f>
        <v>20190312154340018</v>
      </c>
      <c r="B4281" t="str">
        <f>"1552376620011680"</f>
        <v>1552376620011680</v>
      </c>
      <c r="C4281" t="s">
        <v>40</v>
      </c>
      <c r="D4281">
        <v>5.1955429999999998</v>
      </c>
      <c r="E4281">
        <v>0.60132180000000002</v>
      </c>
      <c r="F4281" t="s">
        <v>49</v>
      </c>
      <c r="G4281">
        <v>-193.8544</v>
      </c>
      <c r="H4281" s="1">
        <v>6.906798E-6</v>
      </c>
      <c r="I4281">
        <v>199.61799999999999</v>
      </c>
      <c r="J4281">
        <v>-194.20189999999999</v>
      </c>
      <c r="K4281">
        <v>1.093785</v>
      </c>
      <c r="L4281">
        <v>205.3502</v>
      </c>
      <c r="M4281">
        <v>0.50170119999999996</v>
      </c>
      <c r="N4281">
        <v>0</v>
      </c>
      <c r="O4281">
        <v>-0.86487349999999996</v>
      </c>
      <c r="P4281">
        <v>0.319795099999999</v>
      </c>
      <c r="Q4281">
        <v>9.1313020000000009E-3</v>
      </c>
      <c r="R4281">
        <v>-0.94744289999999998</v>
      </c>
      <c r="S4281">
        <v>0.2497711</v>
      </c>
      <c r="T4281">
        <v>-0.5670809</v>
      </c>
      <c r="U4281">
        <v>-3.102325</v>
      </c>
      <c r="V4281">
        <v>0.1996415</v>
      </c>
      <c r="W4281">
        <v>1.796561E-2</v>
      </c>
      <c r="X4281">
        <v>0.97970429999999997</v>
      </c>
      <c r="Y4281">
        <v>0.4311489</v>
      </c>
      <c r="Z4281">
        <v>0.13486300000000001</v>
      </c>
      <c r="AA4281">
        <v>0.89214490000000002</v>
      </c>
      <c r="AB4281">
        <v>31</v>
      </c>
      <c r="AC4281">
        <v>0.34749999999999598</v>
      </c>
      <c r="AD4281">
        <v>-1.093778093202</v>
      </c>
      <c r="AE4281">
        <v>-5.7321999999999997</v>
      </c>
      <c r="AF4281">
        <v>2.4855159868332599</v>
      </c>
      <c r="AG4281">
        <v>-1.093778093202</v>
      </c>
      <c r="AH4281">
        <v>4.9530350228921503</v>
      </c>
      <c r="AI4281">
        <v>101.16511079567201</v>
      </c>
      <c r="AJ4281">
        <v>63.351735213642897</v>
      </c>
      <c r="AK4281">
        <v>5.64860125836198</v>
      </c>
      <c r="AL4281">
        <v>88.970590993332294</v>
      </c>
      <c r="AM4281">
        <v>78.482119954946995</v>
      </c>
      <c r="AN4281">
        <v>1.0000000035517</v>
      </c>
    </row>
    <row r="4282" spans="1:40" x14ac:dyDescent="0.25">
      <c r="A4282" t="str">
        <f>"20190312154340041"</f>
        <v>20190312154340041</v>
      </c>
      <c r="B4282" t="str">
        <f>"1552376620031706"</f>
        <v>1552376620031706</v>
      </c>
      <c r="C4282" t="s">
        <v>40</v>
      </c>
      <c r="D4282">
        <v>5.207281</v>
      </c>
      <c r="E4282">
        <v>0.59920390000000001</v>
      </c>
      <c r="F4282" t="s">
        <v>43</v>
      </c>
      <c r="G4282">
        <v>-193.70849999999999</v>
      </c>
      <c r="H4282" s="1">
        <v>-4.2430069999999998E-6</v>
      </c>
      <c r="I4282">
        <v>197.52199999999999</v>
      </c>
      <c r="J4282">
        <v>-194.05500000000001</v>
      </c>
      <c r="K4282">
        <v>1.0937950000000001</v>
      </c>
      <c r="L4282">
        <v>205.06200000000001</v>
      </c>
      <c r="M4282">
        <v>0.48418319999999998</v>
      </c>
      <c r="N4282">
        <v>0</v>
      </c>
      <c r="O4282">
        <v>-0.87480100000000005</v>
      </c>
      <c r="P4282">
        <v>0.30107529999999999</v>
      </c>
      <c r="Q4282">
        <v>9.6934940000000004E-3</v>
      </c>
      <c r="R4282">
        <v>-0.95355140000000005</v>
      </c>
      <c r="S4282">
        <v>0.19567870000000001</v>
      </c>
      <c r="T4282">
        <v>-0.43378420000000001</v>
      </c>
      <c r="U4282">
        <v>-3.104568</v>
      </c>
      <c r="V4282">
        <v>0.1992254</v>
      </c>
      <c r="W4282">
        <v>1.855679E-2</v>
      </c>
      <c r="X4282">
        <v>0.97977800000000004</v>
      </c>
      <c r="Y4282">
        <v>0.42841810000000002</v>
      </c>
      <c r="Z4282">
        <v>0.1058677</v>
      </c>
      <c r="AA4282">
        <v>0.89735719999999997</v>
      </c>
      <c r="AB4282">
        <v>31</v>
      </c>
      <c r="AC4282">
        <v>0.34650000000002001</v>
      </c>
      <c r="AD4282">
        <v>-1.093799243007</v>
      </c>
      <c r="AE4282">
        <v>-7.5399999999999903</v>
      </c>
      <c r="AF4282">
        <v>3.2792443592241201</v>
      </c>
      <c r="AG4282">
        <v>-1.093799243007</v>
      </c>
      <c r="AH4282">
        <v>6.6256125166099302</v>
      </c>
      <c r="AI4282">
        <v>98.416220196984199</v>
      </c>
      <c r="AJ4282">
        <v>63.6676033901105</v>
      </c>
      <c r="AK4282">
        <v>7.4731908561045097</v>
      </c>
      <c r="AL4282">
        <v>88.936713244403506</v>
      </c>
      <c r="AM4282">
        <v>78.506327964461406</v>
      </c>
      <c r="AN4282">
        <v>1.0000000218721301</v>
      </c>
    </row>
    <row r="4283" spans="1:40" x14ac:dyDescent="0.25">
      <c r="A4283" t="str">
        <f>"20190312154340064"</f>
        <v>20190312154340064</v>
      </c>
      <c r="B4283" t="str">
        <f>"1552376620052202"</f>
        <v>1552376620052202</v>
      </c>
      <c r="C4283" t="s">
        <v>40</v>
      </c>
      <c r="D4283">
        <v>5.2362960000000003</v>
      </c>
      <c r="E4283">
        <v>0.5973328</v>
      </c>
      <c r="F4283" t="s">
        <v>43</v>
      </c>
      <c r="G4283">
        <v>-193.67250000000001</v>
      </c>
      <c r="H4283" s="1">
        <v>-4.1227679999999997E-6</v>
      </c>
      <c r="I4283">
        <v>197.1874</v>
      </c>
      <c r="J4283">
        <v>-193.91579999999999</v>
      </c>
      <c r="K4283">
        <v>1.093804</v>
      </c>
      <c r="L4283">
        <v>204.7749</v>
      </c>
      <c r="M4283">
        <v>0.46668530000000003</v>
      </c>
      <c r="N4283">
        <v>0</v>
      </c>
      <c r="O4283">
        <v>-0.88425949999999998</v>
      </c>
      <c r="P4283">
        <v>0.28319670000000002</v>
      </c>
      <c r="Q4283">
        <v>1.003775E-2</v>
      </c>
      <c r="R4283">
        <v>-0.95900960000000002</v>
      </c>
      <c r="S4283">
        <v>0.15071109999999999</v>
      </c>
      <c r="T4283">
        <v>-0.43100500000000003</v>
      </c>
      <c r="U4283">
        <v>-3.1029360000000001</v>
      </c>
      <c r="V4283">
        <v>0.19806319999999999</v>
      </c>
      <c r="W4283">
        <v>1.8961550000000001E-2</v>
      </c>
      <c r="X4283">
        <v>0.98000580000000004</v>
      </c>
      <c r="Y4283">
        <v>0.42339139999999997</v>
      </c>
      <c r="Z4283">
        <v>0.1073607</v>
      </c>
      <c r="AA4283">
        <v>0.89956290000000005</v>
      </c>
      <c r="AB4283">
        <v>31</v>
      </c>
      <c r="AC4283">
        <v>0.24329999999997601</v>
      </c>
      <c r="AD4283">
        <v>-1.0938081227680001</v>
      </c>
      <c r="AE4283">
        <v>-7.5875000000000004</v>
      </c>
      <c r="AF4283">
        <v>3.2586650417333001</v>
      </c>
      <c r="AG4283">
        <v>-1.0938081227680001</v>
      </c>
      <c r="AH4283">
        <v>6.6850673291540197</v>
      </c>
      <c r="AI4283">
        <v>98.366874889079398</v>
      </c>
      <c r="AJ4283">
        <v>64.012880512247094</v>
      </c>
      <c r="AK4283">
        <v>7.5170099946036002</v>
      </c>
      <c r="AL4283">
        <v>88.9135180668423</v>
      </c>
      <c r="AM4283">
        <v>78.574194741140204</v>
      </c>
      <c r="AN4283">
        <v>0.99999996980313999</v>
      </c>
    </row>
    <row r="4284" spans="1:40" x14ac:dyDescent="0.25">
      <c r="A4284" t="str">
        <f>"20190312154340087"</f>
        <v>20190312154340087</v>
      </c>
      <c r="B4284" t="str">
        <f>"1552376620081483"</f>
        <v>1552376620081483</v>
      </c>
      <c r="C4284" t="s">
        <v>40</v>
      </c>
      <c r="D4284">
        <v>5.1569529999999997</v>
      </c>
      <c r="E4284">
        <v>0.59573140000000002</v>
      </c>
      <c r="F4284" t="s">
        <v>43</v>
      </c>
      <c r="G4284">
        <v>-193.64590000000001</v>
      </c>
      <c r="H4284" s="1">
        <v>-4.0325480000000004E-6</v>
      </c>
      <c r="I4284">
        <v>196.93620000000001</v>
      </c>
      <c r="J4284">
        <v>-193.78450000000001</v>
      </c>
      <c r="K4284">
        <v>1.093823</v>
      </c>
      <c r="L4284">
        <v>204.49010000000001</v>
      </c>
      <c r="M4284">
        <v>0.44928309999999999</v>
      </c>
      <c r="N4284">
        <v>0</v>
      </c>
      <c r="O4284">
        <v>-0.893227199999999</v>
      </c>
      <c r="P4284">
        <v>0.26573180000000002</v>
      </c>
      <c r="Q4284">
        <v>9.0822130000000004E-3</v>
      </c>
      <c r="R4284">
        <v>-0.96400450000000004</v>
      </c>
      <c r="S4284">
        <v>0.10676570000000001</v>
      </c>
      <c r="T4284">
        <v>-0.43273889999999998</v>
      </c>
      <c r="U4284">
        <v>-3.1011959999999998</v>
      </c>
      <c r="V4284">
        <v>0.19664190000000001</v>
      </c>
      <c r="W4284">
        <v>1.8077650000000001E-2</v>
      </c>
      <c r="X4284">
        <v>0.98030870000000003</v>
      </c>
      <c r="Y4284">
        <v>0.41836640000000003</v>
      </c>
      <c r="Z4284">
        <v>0.1098532</v>
      </c>
      <c r="AA4284">
        <v>0.90161069999999999</v>
      </c>
      <c r="AB4284">
        <v>30</v>
      </c>
      <c r="AC4284">
        <v>0.138599999999996</v>
      </c>
      <c r="AD4284">
        <v>-1.093827032548</v>
      </c>
      <c r="AE4284">
        <v>-7.5538999999999898</v>
      </c>
      <c r="AF4284">
        <v>3.2033670959039702</v>
      </c>
      <c r="AG4284">
        <v>-1.093827032548</v>
      </c>
      <c r="AH4284">
        <v>6.6707815569918898</v>
      </c>
      <c r="AI4284">
        <v>98.408192869463093</v>
      </c>
      <c r="AJ4284">
        <v>64.349278177685093</v>
      </c>
      <c r="AK4284">
        <v>7.48046421750389</v>
      </c>
      <c r="AL4284">
        <v>88.964170520356006</v>
      </c>
      <c r="AM4284">
        <v>78.657466989468105</v>
      </c>
      <c r="AN4284">
        <v>0.99999999278041096</v>
      </c>
    </row>
    <row r="4285" spans="1:40" x14ac:dyDescent="0.25">
      <c r="A4285" t="str">
        <f>"20190312154340108"</f>
        <v>20190312154340108</v>
      </c>
      <c r="B4285" t="str">
        <f>"1552376620101978"</f>
        <v>1552376620101978</v>
      </c>
      <c r="C4285" t="s">
        <v>40</v>
      </c>
      <c r="D4285">
        <v>5.4785469999999998</v>
      </c>
      <c r="E4285">
        <v>0.59450639999999999</v>
      </c>
      <c r="F4285" t="s">
        <v>43</v>
      </c>
      <c r="G4285">
        <v>-193.6268</v>
      </c>
      <c r="H4285" s="1">
        <v>-3.9198519999999999E-6</v>
      </c>
      <c r="I4285">
        <v>196.61500000000001</v>
      </c>
      <c r="J4285">
        <v>-193.6628</v>
      </c>
      <c r="K4285">
        <v>1.093842</v>
      </c>
      <c r="L4285">
        <v>204.2115</v>
      </c>
      <c r="M4285">
        <v>0.43222509999999997</v>
      </c>
      <c r="N4285">
        <v>0</v>
      </c>
      <c r="O4285">
        <v>-0.90160469999999904</v>
      </c>
      <c r="P4285">
        <v>0.2482173</v>
      </c>
      <c r="Q4285">
        <v>8.447998E-3</v>
      </c>
      <c r="R4285">
        <v>-0.96866770000000002</v>
      </c>
      <c r="S4285">
        <v>6.2072750000000003E-2</v>
      </c>
      <c r="T4285">
        <v>-0.43043759999999998</v>
      </c>
      <c r="U4285">
        <v>-3.0989689999999999</v>
      </c>
      <c r="V4285">
        <v>0.1957536</v>
      </c>
      <c r="W4285">
        <v>1.7491710000000001E-2</v>
      </c>
      <c r="X4285">
        <v>0.98049710000000001</v>
      </c>
      <c r="Y4285">
        <v>0.41408489999999998</v>
      </c>
      <c r="Z4285">
        <v>0.1112061</v>
      </c>
      <c r="AA4285">
        <v>0.90341959999999999</v>
      </c>
      <c r="AB4285">
        <v>30</v>
      </c>
      <c r="AC4285">
        <v>3.6000000000001302E-2</v>
      </c>
      <c r="AD4285">
        <v>-1.0938459198520001</v>
      </c>
      <c r="AE4285">
        <v>-7.59649999999999</v>
      </c>
      <c r="AF4285">
        <v>3.1853681251774799</v>
      </c>
      <c r="AG4285">
        <v>-1.0938459198520001</v>
      </c>
      <c r="AH4285">
        <v>6.7261399247209299</v>
      </c>
      <c r="AI4285">
        <v>98.361311969103298</v>
      </c>
      <c r="AJ4285">
        <v>64.658681537035804</v>
      </c>
      <c r="AK4285">
        <v>7.5222355238451799</v>
      </c>
      <c r="AL4285">
        <v>88.997747725395499</v>
      </c>
      <c r="AM4285">
        <v>78.709499750835107</v>
      </c>
      <c r="AN4285">
        <v>0.99999999747004698</v>
      </c>
    </row>
    <row r="4286" spans="1:40" x14ac:dyDescent="0.25">
      <c r="A4286" t="str">
        <f>"20190312154340130"</f>
        <v>20190312154340130</v>
      </c>
      <c r="B4286" t="str">
        <f>"1552376620121878"</f>
        <v>1552376620121878</v>
      </c>
      <c r="C4286" t="s">
        <v>40</v>
      </c>
      <c r="D4286">
        <v>5.3678359999999996</v>
      </c>
      <c r="E4286">
        <v>0.59473500000000001</v>
      </c>
      <c r="F4286" t="s">
        <v>43</v>
      </c>
      <c r="G4286">
        <v>-193.624</v>
      </c>
      <c r="H4286" s="1">
        <v>-3.8426679999999996E-6</v>
      </c>
      <c r="I4286">
        <v>196.3896</v>
      </c>
      <c r="J4286">
        <v>-193.5471</v>
      </c>
      <c r="K4286">
        <v>1.0938600000000001</v>
      </c>
      <c r="L4286">
        <v>203.93129999999999</v>
      </c>
      <c r="M4286">
        <v>0.41503980000000001</v>
      </c>
      <c r="N4286">
        <v>0</v>
      </c>
      <c r="O4286">
        <v>-0.9096438</v>
      </c>
      <c r="P4286">
        <v>0.2300625</v>
      </c>
      <c r="Q4286">
        <v>8.602373E-3</v>
      </c>
      <c r="R4286">
        <v>-0.97313830000000001</v>
      </c>
      <c r="S4286">
        <v>1.5350340000000001E-2</v>
      </c>
      <c r="T4286">
        <v>-0.433087</v>
      </c>
      <c r="U4286">
        <v>-3.0969090000000001</v>
      </c>
      <c r="V4286">
        <v>0.19548660000000001</v>
      </c>
      <c r="W4286">
        <v>1.766906E-2</v>
      </c>
      <c r="X4286">
        <v>0.98054719999999995</v>
      </c>
      <c r="Y4286">
        <v>0.4104352</v>
      </c>
      <c r="Z4286">
        <v>0.113715899999999</v>
      </c>
      <c r="AA4286">
        <v>0.90477160000000001</v>
      </c>
      <c r="AB4286">
        <v>30</v>
      </c>
      <c r="AC4286">
        <v>-7.69000000000232E-2</v>
      </c>
      <c r="AD4286">
        <v>-1.0938638426680001</v>
      </c>
      <c r="AE4286">
        <v>-7.5416999999999899</v>
      </c>
      <c r="AF4286">
        <v>3.13458551071508</v>
      </c>
      <c r="AG4286">
        <v>-1.0938638426680001</v>
      </c>
      <c r="AH4286">
        <v>6.6886391842077302</v>
      </c>
      <c r="AI4286">
        <v>98.423447797987293</v>
      </c>
      <c r="AJ4286">
        <v>64.890180488950705</v>
      </c>
      <c r="AK4286">
        <v>7.4672658026081002</v>
      </c>
      <c r="AL4286">
        <v>88.987584759821004</v>
      </c>
      <c r="AM4286">
        <v>78.725066094768707</v>
      </c>
      <c r="AN4286">
        <v>1.0000000089443399</v>
      </c>
    </row>
    <row r="4287" spans="1:40" x14ac:dyDescent="0.25">
      <c r="A4287" t="str">
        <f>"20190312154340152"</f>
        <v>20190312154340152</v>
      </c>
      <c r="B4287" t="str">
        <f>"1552376620141399"</f>
        <v>1552376620141399</v>
      </c>
      <c r="C4287" t="s">
        <v>40</v>
      </c>
      <c r="D4287">
        <v>5.2347839999999897</v>
      </c>
      <c r="E4287">
        <v>0.59460040000000003</v>
      </c>
      <c r="F4287" t="s">
        <v>43</v>
      </c>
      <c r="G4287">
        <v>-193.65719999999999</v>
      </c>
      <c r="H4287" s="1">
        <v>-3.7979230000000001E-6</v>
      </c>
      <c r="I4287">
        <v>196.24080000000001</v>
      </c>
      <c r="J4287">
        <v>-193.43600000000001</v>
      </c>
      <c r="K4287">
        <v>1.0938829999999999</v>
      </c>
      <c r="L4287">
        <v>203.64699999999999</v>
      </c>
      <c r="M4287">
        <v>0.39756599999999997</v>
      </c>
      <c r="N4287">
        <v>0</v>
      </c>
      <c r="O4287">
        <v>-0.91741539999999999</v>
      </c>
      <c r="P4287">
        <v>0.21201809999999999</v>
      </c>
      <c r="Q4287">
        <v>8.9946450000000008E-3</v>
      </c>
      <c r="R4287">
        <v>-0.9772246</v>
      </c>
      <c r="S4287">
        <v>-4.4357300000000002E-2</v>
      </c>
      <c r="T4287">
        <v>-0.44053550000000002</v>
      </c>
      <c r="U4287">
        <v>-3.0971980000000001</v>
      </c>
      <c r="V4287">
        <v>0.1948879</v>
      </c>
      <c r="W4287">
        <v>1.80991E-2</v>
      </c>
      <c r="X4287">
        <v>0.98065849999999999</v>
      </c>
      <c r="Y4287">
        <v>0.41043230000000003</v>
      </c>
      <c r="Z4287">
        <v>0.1172303</v>
      </c>
      <c r="AA4287">
        <v>0.90432429999999997</v>
      </c>
      <c r="AB4287">
        <v>30</v>
      </c>
      <c r="AC4287">
        <v>-0.22120000000001</v>
      </c>
      <c r="AD4287">
        <v>-1.093886797923</v>
      </c>
      <c r="AE4287">
        <v>-7.4062000000000099</v>
      </c>
      <c r="AF4287">
        <v>3.08069716668447</v>
      </c>
      <c r="AG4287">
        <v>-1.093886797923</v>
      </c>
      <c r="AH4287">
        <v>6.5645170062304699</v>
      </c>
      <c r="AI4287">
        <v>98.578428264769002</v>
      </c>
      <c r="AJ4287">
        <v>64.859554055335394</v>
      </c>
      <c r="AK4287">
        <v>7.3334962251696103</v>
      </c>
      <c r="AL4287">
        <v>88.962941313905105</v>
      </c>
      <c r="AM4287">
        <v>78.759959575318206</v>
      </c>
      <c r="AN4287">
        <v>0.99999998230473397</v>
      </c>
    </row>
    <row r="4288" spans="1:40" x14ac:dyDescent="0.25">
      <c r="A4288" t="str">
        <f>"20190312154340175"</f>
        <v>20190312154340175</v>
      </c>
      <c r="B4288" t="str">
        <f>"1552376620171654"</f>
        <v>1552376620171654</v>
      </c>
      <c r="C4288" t="s">
        <v>40</v>
      </c>
      <c r="D4288">
        <v>5.2820529999999897</v>
      </c>
      <c r="E4288">
        <v>0.59344200000000003</v>
      </c>
      <c r="F4288" t="s">
        <v>43</v>
      </c>
      <c r="G4288">
        <v>-193.68360000000001</v>
      </c>
      <c r="H4288" s="1">
        <v>-3.7279450000000001E-6</v>
      </c>
      <c r="I4288">
        <v>196.0214</v>
      </c>
      <c r="J4288">
        <v>-193.32560000000001</v>
      </c>
      <c r="K4288">
        <v>1.093909</v>
      </c>
      <c r="L4288">
        <v>203.34700000000001</v>
      </c>
      <c r="M4288">
        <v>0.37908510000000001</v>
      </c>
      <c r="N4288">
        <v>0</v>
      </c>
      <c r="O4288">
        <v>-0.92520500000000006</v>
      </c>
      <c r="P4288">
        <v>0.19371640000000001</v>
      </c>
      <c r="Q4288">
        <v>8.184986E-3</v>
      </c>
      <c r="R4288">
        <v>-0.98102339999999999</v>
      </c>
      <c r="S4288">
        <v>-0.1005249</v>
      </c>
      <c r="T4288">
        <v>-0.44409359999999998</v>
      </c>
      <c r="U4288">
        <v>-3.0958100000000002</v>
      </c>
      <c r="V4288">
        <v>0.19351769999999999</v>
      </c>
      <c r="W4288">
        <v>1.735917E-2</v>
      </c>
      <c r="X4288">
        <v>0.98094320000000002</v>
      </c>
      <c r="Y4288">
        <v>0.40854459999999998</v>
      </c>
      <c r="Z4288">
        <v>0.1198819</v>
      </c>
      <c r="AA4288">
        <v>0.90483130000000001</v>
      </c>
      <c r="AB4288">
        <v>30</v>
      </c>
      <c r="AC4288">
        <v>-0.35800000000000398</v>
      </c>
      <c r="AD4288">
        <v>-1.0939127279449901</v>
      </c>
      <c r="AE4288">
        <v>-7.3255999999999997</v>
      </c>
      <c r="AF4288">
        <v>3.04105048115427</v>
      </c>
      <c r="AG4288">
        <v>-1.0939127279449901</v>
      </c>
      <c r="AH4288">
        <v>6.4983733900112703</v>
      </c>
      <c r="AI4288">
        <v>98.668970579591203</v>
      </c>
      <c r="AJ4288">
        <v>64.921767677004695</v>
      </c>
      <c r="AK4288">
        <v>7.2576504325639197</v>
      </c>
      <c r="AL4288">
        <v>89.005342865061706</v>
      </c>
      <c r="AM4288">
        <v>78.840152092829797</v>
      </c>
      <c r="AN4288">
        <v>1.0000000013113</v>
      </c>
    </row>
    <row r="4289" spans="1:40" x14ac:dyDescent="0.25">
      <c r="A4289" t="str">
        <f>"20190312154340197"</f>
        <v>20190312154340197</v>
      </c>
      <c r="B4289" t="str">
        <f>"1552376620192151"</f>
        <v>1552376620192151</v>
      </c>
      <c r="C4289" t="s">
        <v>40</v>
      </c>
      <c r="D4289">
        <v>5.2776740000000002</v>
      </c>
      <c r="E4289">
        <v>0.59273160000000003</v>
      </c>
      <c r="F4289" t="s">
        <v>43</v>
      </c>
      <c r="G4289">
        <v>-193.77610000000001</v>
      </c>
      <c r="H4289" s="1">
        <v>-2.9171859999999998E-6</v>
      </c>
      <c r="I4289">
        <v>194.0471</v>
      </c>
      <c r="J4289">
        <v>-193.22819999999999</v>
      </c>
      <c r="K4289">
        <v>1.0939270000000001</v>
      </c>
      <c r="L4289">
        <v>203.06569999999999</v>
      </c>
      <c r="M4289">
        <v>0.3617204</v>
      </c>
      <c r="N4289">
        <v>0</v>
      </c>
      <c r="O4289">
        <v>-0.93213089999999998</v>
      </c>
      <c r="P4289">
        <v>0.17764639999999901</v>
      </c>
      <c r="Q4289">
        <v>6.7776299999999998E-3</v>
      </c>
      <c r="R4289">
        <v>-0.98407129999999998</v>
      </c>
      <c r="S4289">
        <v>-0.1497192</v>
      </c>
      <c r="T4289">
        <v>-0.3635372</v>
      </c>
      <c r="U4289">
        <v>-3.0906220000000002</v>
      </c>
      <c r="V4289">
        <v>0.19116810000000001</v>
      </c>
      <c r="W4289">
        <v>1.606235E-2</v>
      </c>
      <c r="X4289">
        <v>0.98142589999999996</v>
      </c>
      <c r="Y4289">
        <v>0.40608899999999998</v>
      </c>
      <c r="Z4289">
        <v>9.9848049999999994E-2</v>
      </c>
      <c r="AA4289">
        <v>0.90836229999999996</v>
      </c>
      <c r="AB4289">
        <v>30</v>
      </c>
      <c r="AC4289">
        <v>-0.54790000000002603</v>
      </c>
      <c r="AD4289">
        <v>-1.093929917186</v>
      </c>
      <c r="AE4289">
        <v>-9.0185999999999904</v>
      </c>
      <c r="AF4289">
        <v>3.7189581877441502</v>
      </c>
      <c r="AG4289">
        <v>-1.093929917186</v>
      </c>
      <c r="AH4289">
        <v>8.0909171951538497</v>
      </c>
      <c r="AI4289">
        <v>97.003618555904893</v>
      </c>
      <c r="AJ4289">
        <v>65.314309747914294</v>
      </c>
      <c r="AK4289">
        <v>8.9716371819607197</v>
      </c>
      <c r="AL4289">
        <v>89.079655576200395</v>
      </c>
      <c r="AM4289">
        <v>78.977599413297497</v>
      </c>
      <c r="AN4289">
        <v>1.0000000193679699</v>
      </c>
    </row>
    <row r="4290" spans="1:40" x14ac:dyDescent="0.25">
      <c r="A4290" t="str">
        <f>"20190312154340222"</f>
        <v>20190312154340222</v>
      </c>
      <c r="B4290" t="str">
        <f>"1552376620211670"</f>
        <v>1552376620211670</v>
      </c>
      <c r="C4290" t="s">
        <v>40</v>
      </c>
      <c r="D4290">
        <v>5.3519360000000002</v>
      </c>
      <c r="E4290">
        <v>0.5906015</v>
      </c>
      <c r="F4290" t="s">
        <v>43</v>
      </c>
      <c r="G4290">
        <v>-193.81399999999999</v>
      </c>
      <c r="H4290" s="1">
        <v>-2.8141299999999999E-6</v>
      </c>
      <c r="I4290">
        <v>193.7834</v>
      </c>
      <c r="J4290">
        <v>-193.1174</v>
      </c>
      <c r="K4290">
        <v>1.0939650000000001</v>
      </c>
      <c r="L4290">
        <v>202.72329999999999</v>
      </c>
      <c r="M4290">
        <v>0.3405493</v>
      </c>
      <c r="N4290">
        <v>0</v>
      </c>
      <c r="O4290">
        <v>-0.94007240000000003</v>
      </c>
      <c r="P4290">
        <v>0.15730459999999999</v>
      </c>
      <c r="Q4290">
        <v>6.0722830000000004E-3</v>
      </c>
      <c r="R4290">
        <v>-0.98753170000000001</v>
      </c>
      <c r="S4290">
        <v>-0.1947632</v>
      </c>
      <c r="T4290">
        <v>-0.36371419999999999</v>
      </c>
      <c r="U4290">
        <v>-3.0862270000000001</v>
      </c>
      <c r="V4290">
        <v>0.18919710000000001</v>
      </c>
      <c r="W4290">
        <v>1.545493E-2</v>
      </c>
      <c r="X4290">
        <v>0.98181750000000001</v>
      </c>
      <c r="Y4290">
        <v>0.39869320000000003</v>
      </c>
      <c r="Z4290">
        <v>0.1015727</v>
      </c>
      <c r="AA4290">
        <v>0.91144210000000003</v>
      </c>
      <c r="AB4290">
        <v>30</v>
      </c>
      <c r="AC4290">
        <v>-0.69660000000001698</v>
      </c>
      <c r="AD4290">
        <v>-1.09396781412999</v>
      </c>
      <c r="AE4290">
        <v>-8.9398999999999909</v>
      </c>
      <c r="AF4290">
        <v>3.64560712615783</v>
      </c>
      <c r="AG4290">
        <v>-1.09396781412999</v>
      </c>
      <c r="AH4290">
        <v>8.0483214024114798</v>
      </c>
      <c r="AI4290">
        <v>97.058163998939193</v>
      </c>
      <c r="AJ4290">
        <v>65.631142140040097</v>
      </c>
      <c r="AK4290">
        <v>8.9029598613697001</v>
      </c>
      <c r="AL4290">
        <v>89.114462483815004</v>
      </c>
      <c r="AM4290">
        <v>79.092749747495603</v>
      </c>
      <c r="AN4290">
        <v>1.0000000004079801</v>
      </c>
    </row>
    <row r="4291" spans="1:40" x14ac:dyDescent="0.25">
      <c r="A4291" t="str">
        <f>"20190312154340241"</f>
        <v>20190312154340241</v>
      </c>
      <c r="B4291" t="str">
        <f>"1552376620232166"</f>
        <v>1552376620232166</v>
      </c>
      <c r="C4291" t="s">
        <v>40</v>
      </c>
      <c r="D4291">
        <v>5.403124</v>
      </c>
      <c r="E4291">
        <v>0.58835150000000003</v>
      </c>
      <c r="F4291" t="s">
        <v>43</v>
      </c>
      <c r="G4291">
        <v>-193.8674</v>
      </c>
      <c r="H4291" s="1">
        <v>-2.5728420000000001E-6</v>
      </c>
      <c r="I4291">
        <v>193.18780000000001</v>
      </c>
      <c r="J4291">
        <v>-193.04050000000001</v>
      </c>
      <c r="K4291">
        <v>1.094007</v>
      </c>
      <c r="L4291">
        <v>202.46799999999999</v>
      </c>
      <c r="M4291">
        <v>0.3247428</v>
      </c>
      <c r="N4291">
        <v>0</v>
      </c>
      <c r="O4291">
        <v>-0.94564910000000002</v>
      </c>
      <c r="P4291">
        <v>0.14304739999999999</v>
      </c>
      <c r="Q4291">
        <v>5.6668980000000001E-3</v>
      </c>
      <c r="R4291">
        <v>-0.98970000000000002</v>
      </c>
      <c r="S4291">
        <v>-0.24214169999999999</v>
      </c>
      <c r="T4291">
        <v>-0.3531958</v>
      </c>
      <c r="U4291">
        <v>-3.0786289999999998</v>
      </c>
      <c r="V4291">
        <v>0.1868814</v>
      </c>
      <c r="W4291">
        <v>1.5158380000000001E-2</v>
      </c>
      <c r="X4291">
        <v>0.98226550000000001</v>
      </c>
      <c r="Y4291">
        <v>0.39744679999999999</v>
      </c>
      <c r="Z4291">
        <v>9.9836919999999996E-2</v>
      </c>
      <c r="AA4291">
        <v>0.91217800000000004</v>
      </c>
      <c r="AB4291">
        <v>30</v>
      </c>
      <c r="AC4291">
        <v>-0.82689999999999397</v>
      </c>
      <c r="AD4291">
        <v>-1.0940095728419901</v>
      </c>
      <c r="AE4291">
        <v>-9.2801999999999794</v>
      </c>
      <c r="AF4291">
        <v>3.7445566797448002</v>
      </c>
      <c r="AG4291">
        <v>-1.0940095728419901</v>
      </c>
      <c r="AH4291">
        <v>8.3927985930654092</v>
      </c>
      <c r="AI4291">
        <v>96.788554637140706</v>
      </c>
      <c r="AJ4291">
        <v>65.955336584143396</v>
      </c>
      <c r="AK4291">
        <v>9.2551407281062996</v>
      </c>
      <c r="AL4291">
        <v>89.131455514555597</v>
      </c>
      <c r="AM4291">
        <v>79.227905338431398</v>
      </c>
      <c r="AN4291">
        <v>0.99999997332021595</v>
      </c>
    </row>
    <row r="4292" spans="1:40" x14ac:dyDescent="0.25">
      <c r="A4292" t="str">
        <f>"20190312154340265"</f>
        <v>20190312154340265</v>
      </c>
      <c r="B4292" t="str">
        <f>"1552376620251686"</f>
        <v>1552376620251686</v>
      </c>
      <c r="C4292" t="s">
        <v>40</v>
      </c>
      <c r="D4292">
        <v>5.343547</v>
      </c>
      <c r="E4292">
        <v>0.57126540000000003</v>
      </c>
      <c r="F4292" t="s">
        <v>43</v>
      </c>
      <c r="G4292">
        <v>-193.89449999999999</v>
      </c>
      <c r="H4292" s="1">
        <v>-2.373101E-6</v>
      </c>
      <c r="I4292">
        <v>192.7054</v>
      </c>
      <c r="J4292">
        <v>-192.95490000000001</v>
      </c>
      <c r="K4292">
        <v>1.0940620000000001</v>
      </c>
      <c r="L4292">
        <v>202.16409999999999</v>
      </c>
      <c r="M4292">
        <v>0.30591099999999999</v>
      </c>
      <c r="N4292">
        <v>0</v>
      </c>
      <c r="O4292">
        <v>-0.95190810000000003</v>
      </c>
      <c r="P4292">
        <v>0.12570200000000001</v>
      </c>
      <c r="Q4292">
        <v>5.3625540000000003E-3</v>
      </c>
      <c r="R4292">
        <v>-0.99205390000000004</v>
      </c>
      <c r="S4292">
        <v>-0.26872249999999998</v>
      </c>
      <c r="T4292">
        <v>-0.34425280000000003</v>
      </c>
      <c r="U4292">
        <v>-3.0720209999999999</v>
      </c>
      <c r="V4292">
        <v>0.1845675</v>
      </c>
      <c r="W4292">
        <v>1.496433E-2</v>
      </c>
      <c r="X4292">
        <v>0.98270590000000002</v>
      </c>
      <c r="Y4292">
        <v>0.38723150000000001</v>
      </c>
      <c r="Z4292">
        <v>9.87981E-2</v>
      </c>
      <c r="AA4292">
        <v>0.91667370000000004</v>
      </c>
      <c r="AB4292">
        <v>30</v>
      </c>
      <c r="AC4292">
        <v>-0.939599999999984</v>
      </c>
      <c r="AD4292">
        <v>-1.094064373101</v>
      </c>
      <c r="AE4292">
        <v>-9.4586999999999897</v>
      </c>
      <c r="AF4292">
        <v>3.7389470345150499</v>
      </c>
      <c r="AG4292">
        <v>-1.094064373101</v>
      </c>
      <c r="AH4292">
        <v>8.6036574829887709</v>
      </c>
      <c r="AI4292">
        <v>96.652120643762998</v>
      </c>
      <c r="AJ4292">
        <v>66.511368582928796</v>
      </c>
      <c r="AK4292">
        <v>9.4445552496656209</v>
      </c>
      <c r="AL4292">
        <v>89.142575036081794</v>
      </c>
      <c r="AM4292">
        <v>79.362877199606999</v>
      </c>
      <c r="AN4292">
        <v>0.99999998956170399</v>
      </c>
    </row>
    <row r="4293" spans="1:40" x14ac:dyDescent="0.25">
      <c r="A4293" t="str">
        <f>"20190312154340286"</f>
        <v>20190312154340286</v>
      </c>
      <c r="B4293" t="str">
        <f>"1552376620281943"</f>
        <v>1552376620281943</v>
      </c>
      <c r="C4293" t="s">
        <v>40</v>
      </c>
      <c r="D4293">
        <v>5.2512759999999998</v>
      </c>
      <c r="E4293">
        <v>0.56763540000000001</v>
      </c>
      <c r="F4293" t="s">
        <v>43</v>
      </c>
      <c r="G4293">
        <v>-193.64169999999999</v>
      </c>
      <c r="H4293" s="1">
        <v>-1.56161399999999E-6</v>
      </c>
      <c r="I4293">
        <v>190.97059999999999</v>
      </c>
      <c r="J4293">
        <v>-192.87809999999999</v>
      </c>
      <c r="K4293">
        <v>1.0941190000000001</v>
      </c>
      <c r="L4293">
        <v>201.8698</v>
      </c>
      <c r="M4293">
        <v>0.28766799999999998</v>
      </c>
      <c r="N4293">
        <v>0</v>
      </c>
      <c r="O4293">
        <v>-0.95757939999999997</v>
      </c>
      <c r="P4293">
        <v>0.1083075</v>
      </c>
      <c r="Q4293">
        <v>5.5814940000000002E-3</v>
      </c>
      <c r="R4293">
        <v>-0.99410240000000005</v>
      </c>
      <c r="S4293">
        <v>-0.1871033</v>
      </c>
      <c r="T4293">
        <v>-0.298043</v>
      </c>
      <c r="U4293">
        <v>-3.0493320000000002</v>
      </c>
      <c r="V4293">
        <v>0.18300959999999999</v>
      </c>
      <c r="W4293">
        <v>1.526184E-2</v>
      </c>
      <c r="X4293">
        <v>0.98299259999999999</v>
      </c>
      <c r="Y4293">
        <v>0.34553279999999997</v>
      </c>
      <c r="Z4293">
        <v>8.8018620000000006E-2</v>
      </c>
      <c r="AA4293">
        <v>0.93426969999999998</v>
      </c>
      <c r="AB4293">
        <v>30</v>
      </c>
      <c r="AC4293">
        <v>-0.76359999999999595</v>
      </c>
      <c r="AD4293">
        <v>-1.094120561614</v>
      </c>
      <c r="AE4293">
        <v>-10.8992</v>
      </c>
      <c r="AF4293">
        <v>3.8287227174613001</v>
      </c>
      <c r="AG4293">
        <v>-1.094120561614</v>
      </c>
      <c r="AH4293">
        <v>10.117206450390499</v>
      </c>
      <c r="AI4293">
        <v>95.775491143406398</v>
      </c>
      <c r="AJ4293">
        <v>69.2715156537555</v>
      </c>
      <c r="AK4293">
        <v>10.8726300318908</v>
      </c>
      <c r="AL4293">
        <v>89.125526982076494</v>
      </c>
      <c r="AM4293">
        <v>79.4536472174658</v>
      </c>
      <c r="AN4293">
        <v>0.99999994455355101</v>
      </c>
    </row>
    <row r="4294" spans="1:40" x14ac:dyDescent="0.25">
      <c r="A4294" t="str">
        <f>"20190312154340310"</f>
        <v>20190312154340310</v>
      </c>
      <c r="B4294" t="str">
        <f>"1552376620301462"</f>
        <v>1552376620301462</v>
      </c>
      <c r="C4294" t="s">
        <v>40</v>
      </c>
      <c r="D4294">
        <v>5.2571320000000004</v>
      </c>
      <c r="E4294">
        <v>0.56572959999999906</v>
      </c>
      <c r="F4294" t="s">
        <v>43</v>
      </c>
      <c r="G4294">
        <v>-193.6568</v>
      </c>
      <c r="H4294" s="1">
        <v>-1.4339749999999999E-6</v>
      </c>
      <c r="I4294">
        <v>190.66370000000001</v>
      </c>
      <c r="J4294">
        <v>-192.80600000000001</v>
      </c>
      <c r="K4294">
        <v>1.0941879999999999</v>
      </c>
      <c r="L4294">
        <v>201.56899999999999</v>
      </c>
      <c r="M4294">
        <v>0.26904119999999998</v>
      </c>
      <c r="N4294">
        <v>0</v>
      </c>
      <c r="O4294">
        <v>-0.96297869999999997</v>
      </c>
      <c r="P4294">
        <v>9.1195949999999998E-2</v>
      </c>
      <c r="Q4294">
        <v>6.3140779999999999E-3</v>
      </c>
      <c r="R4294">
        <v>-0.99581299999999995</v>
      </c>
      <c r="S4294">
        <v>-0.2114258</v>
      </c>
      <c r="T4294">
        <v>-0.29705700000000002</v>
      </c>
      <c r="U4294">
        <v>-3.0424959999999999</v>
      </c>
      <c r="V4294">
        <v>0.18087300000000001</v>
      </c>
      <c r="W4294">
        <v>1.6098109999999999E-2</v>
      </c>
      <c r="X4294">
        <v>0.98337470000000005</v>
      </c>
      <c r="Y4294">
        <v>0.3348777</v>
      </c>
      <c r="Z4294">
        <v>8.887573E-2</v>
      </c>
      <c r="AA4294">
        <v>0.93806080000000003</v>
      </c>
      <c r="AB4294">
        <v>30</v>
      </c>
      <c r="AC4294">
        <v>-0.85080000000001998</v>
      </c>
      <c r="AD4294">
        <v>-1.094189433975</v>
      </c>
      <c r="AE4294">
        <v>-10.9053</v>
      </c>
      <c r="AF4294">
        <v>3.71662968483886</v>
      </c>
      <c r="AG4294">
        <v>-1.094189433975</v>
      </c>
      <c r="AH4294">
        <v>10.1723673802293</v>
      </c>
      <c r="AI4294">
        <v>95.769161860083202</v>
      </c>
      <c r="AJ4294">
        <v>69.929452346239103</v>
      </c>
      <c r="AK4294">
        <v>10.885203022911501</v>
      </c>
      <c r="AL4294">
        <v>89.077606392603599</v>
      </c>
      <c r="AM4294">
        <v>79.578020648223202</v>
      </c>
      <c r="AN4294">
        <v>0.99999999593733102</v>
      </c>
    </row>
    <row r="4295" spans="1:40" x14ac:dyDescent="0.25">
      <c r="A4295" t="str">
        <f>"20190312154340331"</f>
        <v>20190312154340331</v>
      </c>
      <c r="B4295" t="str">
        <f>"1552376620321959"</f>
        <v>1552376620321959</v>
      </c>
      <c r="C4295" t="s">
        <v>40</v>
      </c>
      <c r="D4295">
        <v>5.2532079999999999</v>
      </c>
      <c r="E4295">
        <v>0.56352679999999999</v>
      </c>
      <c r="F4295" t="s">
        <v>43</v>
      </c>
      <c r="G4295">
        <v>-193.7663</v>
      </c>
      <c r="H4295" s="1">
        <v>-1.1015749999999999E-6</v>
      </c>
      <c r="I4295">
        <v>189.82089999999999</v>
      </c>
      <c r="J4295">
        <v>-192.74019999999999</v>
      </c>
      <c r="K4295">
        <v>1.094271</v>
      </c>
      <c r="L4295">
        <v>201.26779999999999</v>
      </c>
      <c r="M4295">
        <v>0.25042370000000003</v>
      </c>
      <c r="N4295">
        <v>0</v>
      </c>
      <c r="O4295">
        <v>-0.96798729999999999</v>
      </c>
      <c r="P4295">
        <v>7.2795789999999999E-2</v>
      </c>
      <c r="Q4295">
        <v>7.1993530000000003E-3</v>
      </c>
      <c r="R4295">
        <v>-0.99732100000000001</v>
      </c>
      <c r="S4295">
        <v>-0.2482605</v>
      </c>
      <c r="T4295">
        <v>-0.2828735</v>
      </c>
      <c r="U4295">
        <v>-3.0371549999999998</v>
      </c>
      <c r="V4295">
        <v>0.18009600000000001</v>
      </c>
      <c r="W4295">
        <v>1.7030670000000001E-2</v>
      </c>
      <c r="X4295">
        <v>0.98350159999999998</v>
      </c>
      <c r="Y4295">
        <v>0.32816129999999999</v>
      </c>
      <c r="Z4295">
        <v>8.5582309999999995E-2</v>
      </c>
      <c r="AA4295">
        <v>0.94073689999999999</v>
      </c>
      <c r="AB4295">
        <v>30</v>
      </c>
      <c r="AC4295">
        <v>-1.02610000000001</v>
      </c>
      <c r="AD4295">
        <v>-1.0942721015749901</v>
      </c>
      <c r="AE4295">
        <v>-11.446899999999999</v>
      </c>
      <c r="AF4295">
        <v>3.8257013481864299</v>
      </c>
      <c r="AG4295">
        <v>-1.0942721015749901</v>
      </c>
      <c r="AH4295">
        <v>10.7278014714077</v>
      </c>
      <c r="AI4295">
        <v>95.487956274029798</v>
      </c>
      <c r="AJ4295">
        <v>70.372972696011701</v>
      </c>
      <c r="AK4295">
        <v>11.441990501994701</v>
      </c>
      <c r="AL4295">
        <v>89.024167315433004</v>
      </c>
      <c r="AM4295">
        <v>79.623126818400806</v>
      </c>
      <c r="AN4295">
        <v>1.0000000050696001</v>
      </c>
    </row>
    <row r="4296" spans="1:40" x14ac:dyDescent="0.25">
      <c r="A4296" t="str">
        <f>"20190312154340354"</f>
        <v>20190312154340354</v>
      </c>
      <c r="B4296" t="str">
        <f>"1552376620341478"</f>
        <v>1552376620341478</v>
      </c>
      <c r="C4296" t="s">
        <v>40</v>
      </c>
      <c r="D4296">
        <v>5.220866</v>
      </c>
      <c r="E4296">
        <v>0.56133659999999996</v>
      </c>
      <c r="F4296" t="s">
        <v>43</v>
      </c>
      <c r="G4296">
        <v>-193.89490000000001</v>
      </c>
      <c r="H4296" s="1">
        <v>-4.795284E-6</v>
      </c>
      <c r="I4296">
        <v>189.04769999999999</v>
      </c>
      <c r="J4296">
        <v>-192.6815</v>
      </c>
      <c r="K4296">
        <v>1.0943579999999999</v>
      </c>
      <c r="L4296">
        <v>200.97190000000001</v>
      </c>
      <c r="M4296">
        <v>0.23217299999999999</v>
      </c>
      <c r="N4296">
        <v>0</v>
      </c>
      <c r="O4296">
        <v>-0.97252669999999997</v>
      </c>
      <c r="P4296">
        <v>5.5739249999999997E-2</v>
      </c>
      <c r="Q4296">
        <v>8.0150120000000002E-3</v>
      </c>
      <c r="R4296">
        <v>-0.99841329999999995</v>
      </c>
      <c r="S4296">
        <v>-0.28637699999999999</v>
      </c>
      <c r="T4296">
        <v>-0.27140890000000001</v>
      </c>
      <c r="U4296">
        <v>-3.0308839999999999</v>
      </c>
      <c r="V4296">
        <v>0.17843329999999999</v>
      </c>
      <c r="W4296">
        <v>1.792794E-2</v>
      </c>
      <c r="X4296">
        <v>0.98378869999999896</v>
      </c>
      <c r="Y4296">
        <v>0.32231490000000002</v>
      </c>
      <c r="Z4296">
        <v>8.2960199999999998E-2</v>
      </c>
      <c r="AA4296">
        <v>0.94299029999999995</v>
      </c>
      <c r="AB4296">
        <v>30</v>
      </c>
      <c r="AC4296">
        <v>-1.2134</v>
      </c>
      <c r="AD4296">
        <v>-1.094362795284</v>
      </c>
      <c r="AE4296">
        <v>-11.924200000000001</v>
      </c>
      <c r="AF4296">
        <v>3.9164589006242201</v>
      </c>
      <c r="AG4296">
        <v>-1.094362795284</v>
      </c>
      <c r="AH4296">
        <v>11.222949616227501</v>
      </c>
      <c r="AI4296">
        <v>95.260180845593197</v>
      </c>
      <c r="AJ4296">
        <v>70.762607883784597</v>
      </c>
      <c r="AK4296">
        <v>11.9369543157524</v>
      </c>
      <c r="AL4296">
        <v>88.972749700092294</v>
      </c>
      <c r="AM4296">
        <v>79.719812892034099</v>
      </c>
      <c r="AN4296">
        <v>1.0000000299146099</v>
      </c>
    </row>
    <row r="4297" spans="1:40" x14ac:dyDescent="0.25">
      <c r="A4297" t="str">
        <f>"20190312154340375"</f>
        <v>20190312154340375</v>
      </c>
      <c r="B4297" t="str">
        <f>"1552376620371735"</f>
        <v>1552376620371735</v>
      </c>
      <c r="C4297" t="s">
        <v>40</v>
      </c>
      <c r="D4297">
        <v>5.2358560000000001</v>
      </c>
      <c r="E4297">
        <v>0.54491469999999997</v>
      </c>
      <c r="F4297" t="s">
        <v>43</v>
      </c>
      <c r="G4297">
        <v>-193.995</v>
      </c>
      <c r="H4297" s="1">
        <v>-4.6507140000000002E-6</v>
      </c>
      <c r="I4297">
        <v>188.57069999999999</v>
      </c>
      <c r="J4297">
        <v>-192.62870000000001</v>
      </c>
      <c r="K4297">
        <v>1.09444599999999</v>
      </c>
      <c r="L4297">
        <v>200.67830000000001</v>
      </c>
      <c r="M4297">
        <v>0.2141198</v>
      </c>
      <c r="N4297">
        <v>0</v>
      </c>
      <c r="O4297">
        <v>-0.9766608</v>
      </c>
      <c r="P4297">
        <v>3.8684870000000003E-2</v>
      </c>
      <c r="Q4297">
        <v>7.8978759999999999E-3</v>
      </c>
      <c r="R4297">
        <v>-0.99922069999999996</v>
      </c>
      <c r="S4297">
        <v>-0.32038879999999997</v>
      </c>
      <c r="T4297">
        <v>-0.2669281</v>
      </c>
      <c r="U4297">
        <v>-3.0247959999999998</v>
      </c>
      <c r="V4297">
        <v>0.17699879999999901</v>
      </c>
      <c r="W4297">
        <v>1.7883130000000001E-2</v>
      </c>
      <c r="X4297">
        <v>0.98404860000000005</v>
      </c>
      <c r="Y4297">
        <v>0.31545980000000001</v>
      </c>
      <c r="Z4297">
        <v>8.2363539999999999E-2</v>
      </c>
      <c r="AA4297">
        <v>0.94535780000000003</v>
      </c>
      <c r="AB4297">
        <v>30</v>
      </c>
      <c r="AC4297">
        <v>-1.3662999999999901</v>
      </c>
      <c r="AD4297">
        <v>-1.0944506507139899</v>
      </c>
      <c r="AE4297">
        <v>-12.1076</v>
      </c>
      <c r="AF4297">
        <v>3.8960168426344901</v>
      </c>
      <c r="AG4297">
        <v>-1.0944506507139899</v>
      </c>
      <c r="AH4297">
        <v>11.4418025701014</v>
      </c>
      <c r="AI4297">
        <v>95.173925885689101</v>
      </c>
      <c r="AJ4297">
        <v>71.195918585760595</v>
      </c>
      <c r="AK4297">
        <v>12.136375715926</v>
      </c>
      <c r="AL4297">
        <v>88.975317519613697</v>
      </c>
      <c r="AM4297">
        <v>79.803355159526504</v>
      </c>
      <c r="AN4297">
        <v>1.00000001435099</v>
      </c>
    </row>
    <row r="4298" spans="1:40" x14ac:dyDescent="0.25">
      <c r="A4298" t="str">
        <f>"20190312154340398"</f>
        <v>20190312154340398</v>
      </c>
      <c r="B4298" t="str">
        <f>"1552376620392230"</f>
        <v>1552376620392230</v>
      </c>
      <c r="C4298" t="s">
        <v>40</v>
      </c>
      <c r="D4298">
        <v>5.2382499999999999</v>
      </c>
      <c r="E4298">
        <v>0.54345299999999996</v>
      </c>
      <c r="F4298" t="s">
        <v>43</v>
      </c>
      <c r="G4298">
        <v>-193.6464</v>
      </c>
      <c r="H4298" s="1">
        <v>-4.3761990000000003E-6</v>
      </c>
      <c r="I4298">
        <v>187.94569999999999</v>
      </c>
      <c r="J4298">
        <v>-192.5795</v>
      </c>
      <c r="K4298">
        <v>1.09456</v>
      </c>
      <c r="L4298">
        <v>200.3716</v>
      </c>
      <c r="M4298">
        <v>0.19536129999999999</v>
      </c>
      <c r="N4298">
        <v>0</v>
      </c>
      <c r="O4298">
        <v>-0.98058590000000001</v>
      </c>
      <c r="P4298">
        <v>2.0261669999999999E-2</v>
      </c>
      <c r="Q4298">
        <v>6.2719200000000003E-3</v>
      </c>
      <c r="R4298">
        <v>-0.99977519999999998</v>
      </c>
      <c r="S4298">
        <v>-0.24089050000000001</v>
      </c>
      <c r="T4298">
        <v>-0.25905159999999999</v>
      </c>
      <c r="U4298">
        <v>-3.0137330000000002</v>
      </c>
      <c r="V4298">
        <v>0.17620999999999901</v>
      </c>
      <c r="W4298">
        <v>1.6305980000000001E-2</v>
      </c>
      <c r="X4298">
        <v>0.98421749999999997</v>
      </c>
      <c r="Y4298">
        <v>0.27262589999999998</v>
      </c>
      <c r="Z4298">
        <v>8.1409659999999995E-2</v>
      </c>
      <c r="AA4298">
        <v>0.95866969999999996</v>
      </c>
      <c r="AB4298">
        <v>30</v>
      </c>
      <c r="AC4298">
        <v>-1.0669</v>
      </c>
      <c r="AD4298">
        <v>-1.094564376199</v>
      </c>
      <c r="AE4298">
        <v>-12.4259</v>
      </c>
      <c r="AF4298">
        <v>3.4476666543921701</v>
      </c>
      <c r="AG4298">
        <v>-1.094564376199</v>
      </c>
      <c r="AH4298">
        <v>11.886383885172201</v>
      </c>
      <c r="AI4298">
        <v>95.054113770480896</v>
      </c>
      <c r="AJ4298">
        <v>73.825105060514801</v>
      </c>
      <c r="AK4298">
        <v>12.4245965085041</v>
      </c>
      <c r="AL4298">
        <v>89.065694729381903</v>
      </c>
      <c r="AM4298">
        <v>79.849555546620707</v>
      </c>
      <c r="AN4298">
        <v>0.99999996819500403</v>
      </c>
    </row>
    <row r="4299" spans="1:40" x14ac:dyDescent="0.25">
      <c r="A4299" t="str">
        <f>"20190312154340420"</f>
        <v>20190312154340420</v>
      </c>
      <c r="B4299" t="str">
        <f>"1552376620411751"</f>
        <v>1552376620411751</v>
      </c>
      <c r="C4299" t="s">
        <v>40</v>
      </c>
      <c r="D4299">
        <v>5.2329030000000003</v>
      </c>
      <c r="E4299">
        <v>0.54157869999999997</v>
      </c>
      <c r="F4299" t="s">
        <v>43</v>
      </c>
      <c r="G4299">
        <v>-193.739</v>
      </c>
      <c r="H4299" s="1">
        <v>-4.4394640000000003E-6</v>
      </c>
      <c r="I4299">
        <v>188.08340000000001</v>
      </c>
      <c r="J4299">
        <v>-192.5378</v>
      </c>
      <c r="K4299">
        <v>1.0946990000000001</v>
      </c>
      <c r="L4299">
        <v>200.07679999999999</v>
      </c>
      <c r="M4299">
        <v>0.1774715</v>
      </c>
      <c r="N4299">
        <v>0</v>
      </c>
      <c r="O4299">
        <v>-0.98398169999999996</v>
      </c>
      <c r="P4299">
        <v>3.084449E-3</v>
      </c>
      <c r="Q4299">
        <v>5.0258560000000004E-3</v>
      </c>
      <c r="R4299">
        <v>-0.9999827</v>
      </c>
      <c r="S4299">
        <v>-0.28382869999999999</v>
      </c>
      <c r="T4299">
        <v>-0.26794649999999998</v>
      </c>
      <c r="U4299">
        <v>-3.0081020000000001</v>
      </c>
      <c r="V4299">
        <v>0.1751414</v>
      </c>
      <c r="W4299">
        <v>1.512166E-2</v>
      </c>
      <c r="X4299">
        <v>0.98442719999999995</v>
      </c>
      <c r="Y4299">
        <v>0.26880120000000002</v>
      </c>
      <c r="Z4299">
        <v>8.4786299999999995E-2</v>
      </c>
      <c r="AA4299">
        <v>0.95945670000000005</v>
      </c>
      <c r="AB4299">
        <v>30</v>
      </c>
      <c r="AC4299">
        <v>-1.2012</v>
      </c>
      <c r="AD4299">
        <v>-1.0947034394640001</v>
      </c>
      <c r="AE4299">
        <v>-11.9933999999999</v>
      </c>
      <c r="AF4299">
        <v>3.2838289148155502</v>
      </c>
      <c r="AG4299">
        <v>-1.0947034394640001</v>
      </c>
      <c r="AH4299">
        <v>11.494936838468099</v>
      </c>
      <c r="AI4299">
        <v>95.231997509529506</v>
      </c>
      <c r="AJ4299">
        <v>74.056626005473305</v>
      </c>
      <c r="AK4299">
        <v>12.004810739138</v>
      </c>
      <c r="AL4299">
        <v>89.133559717484403</v>
      </c>
      <c r="AM4299">
        <v>79.911948102655302</v>
      </c>
      <c r="AN4299">
        <v>1.0000000433474701</v>
      </c>
    </row>
    <row r="4300" spans="1:40" x14ac:dyDescent="0.25">
      <c r="A4300" t="str">
        <f>"20190312154340442"</f>
        <v>20190312154340442</v>
      </c>
      <c r="B4300" t="str">
        <f>"1552376620432246"</f>
        <v>1552376620432246</v>
      </c>
      <c r="C4300" t="s">
        <v>40</v>
      </c>
      <c r="D4300">
        <v>5.2094620000000003</v>
      </c>
      <c r="E4300">
        <v>0.5300359</v>
      </c>
      <c r="F4300" t="s">
        <v>43</v>
      </c>
      <c r="G4300">
        <v>-193.8058</v>
      </c>
      <c r="H4300" s="1">
        <v>-4.4844090000000002E-6</v>
      </c>
      <c r="I4300">
        <v>188.1807</v>
      </c>
      <c r="J4300">
        <v>-192.50069999999999</v>
      </c>
      <c r="K4300">
        <v>1.094878</v>
      </c>
      <c r="L4300">
        <v>199.77590000000001</v>
      </c>
      <c r="M4300">
        <v>0.1594023</v>
      </c>
      <c r="N4300">
        <v>0</v>
      </c>
      <c r="O4300">
        <v>-0.98707069999999997</v>
      </c>
      <c r="P4300">
        <v>-1.4004610000000001E-2</v>
      </c>
      <c r="Q4300">
        <v>4.5291380000000003E-3</v>
      </c>
      <c r="R4300">
        <v>-0.99989170000000005</v>
      </c>
      <c r="S4300">
        <v>-0.32002259999999999</v>
      </c>
      <c r="T4300">
        <v>-0.27629219999999999</v>
      </c>
      <c r="U4300">
        <v>-3.0024570000000002</v>
      </c>
      <c r="V4300">
        <v>0.17389060000000001</v>
      </c>
      <c r="W4300">
        <v>1.469733E-2</v>
      </c>
      <c r="X4300">
        <v>0.98465530000000001</v>
      </c>
      <c r="Y4300">
        <v>0.26272960000000001</v>
      </c>
      <c r="Z4300">
        <v>8.8015940000000001E-2</v>
      </c>
      <c r="AA4300">
        <v>0.96084669999999905</v>
      </c>
      <c r="AB4300">
        <v>30</v>
      </c>
      <c r="AC4300">
        <v>-1.3051000000000099</v>
      </c>
      <c r="AD4300">
        <v>-1.0948824844089999</v>
      </c>
      <c r="AE4300">
        <v>-11.5952</v>
      </c>
      <c r="AF4300">
        <v>3.1095915906984302</v>
      </c>
      <c r="AG4300">
        <v>-1.0948824844089999</v>
      </c>
      <c r="AH4300">
        <v>11.1407428085815</v>
      </c>
      <c r="AI4300">
        <v>95.407457825990903</v>
      </c>
      <c r="AJ4300">
        <v>74.404578774347101</v>
      </c>
      <c r="AK4300">
        <v>11.618282052118101</v>
      </c>
      <c r="AL4300">
        <v>89.157874706000399</v>
      </c>
      <c r="AM4300">
        <v>79.984802796882605</v>
      </c>
      <c r="AN4300">
        <v>1.0000000060477801</v>
      </c>
    </row>
    <row r="4301" spans="1:40" x14ac:dyDescent="0.25">
      <c r="A4301" t="str">
        <f>"20190312154340465"</f>
        <v>20190312154340465</v>
      </c>
      <c r="B4301" t="str">
        <f>"1552376620451766"</f>
        <v>1552376620451766</v>
      </c>
      <c r="C4301" t="s">
        <v>40</v>
      </c>
      <c r="D4301">
        <v>5.1986080000000001</v>
      </c>
      <c r="E4301">
        <v>0.52778069999999999</v>
      </c>
      <c r="F4301" t="s">
        <v>43</v>
      </c>
      <c r="G4301">
        <v>-193.5976</v>
      </c>
      <c r="H4301" s="1">
        <v>-4.3860010000000003E-6</v>
      </c>
      <c r="I4301">
        <v>188</v>
      </c>
      <c r="J4301">
        <v>-192.46870000000001</v>
      </c>
      <c r="K4301">
        <v>1.095097</v>
      </c>
      <c r="L4301">
        <v>199.47219999999999</v>
      </c>
      <c r="M4301">
        <v>0.14141129999999999</v>
      </c>
      <c r="N4301">
        <v>0</v>
      </c>
      <c r="O4301">
        <v>-0.98980950000000001</v>
      </c>
      <c r="P4301">
        <v>-3.0265770000000001E-2</v>
      </c>
      <c r="Q4301">
        <v>4.346557E-3</v>
      </c>
      <c r="R4301">
        <v>-0.99953250000000005</v>
      </c>
      <c r="S4301">
        <v>-0.27922059999999999</v>
      </c>
      <c r="T4301">
        <v>-0.27871289999999999</v>
      </c>
      <c r="U4301">
        <v>-2.997665</v>
      </c>
      <c r="V4301">
        <v>0.17196879999999901</v>
      </c>
      <c r="W4301">
        <v>1.4617700000000001E-2</v>
      </c>
      <c r="X4301">
        <v>0.98499389999999998</v>
      </c>
      <c r="Y4301">
        <v>0.2322478</v>
      </c>
      <c r="Z4301">
        <v>8.9720930000000004E-2</v>
      </c>
      <c r="AA4301">
        <v>0.96850970000000003</v>
      </c>
      <c r="AB4301">
        <v>30</v>
      </c>
      <c r="AC4301">
        <v>-1.12889999999998</v>
      </c>
      <c r="AD4301">
        <v>-1.0951013860009999</v>
      </c>
      <c r="AE4301">
        <v>-11.4721999999999</v>
      </c>
      <c r="AF4301">
        <v>2.7155712294390502</v>
      </c>
      <c r="AG4301">
        <v>-1.0951013860009999</v>
      </c>
      <c r="AH4301">
        <v>11.097073887552201</v>
      </c>
      <c r="AI4301">
        <v>95.475384157323802</v>
      </c>
      <c r="AJ4301">
        <v>76.249344670747107</v>
      </c>
      <c r="AK4301">
        <v>11.4768733988649</v>
      </c>
      <c r="AL4301">
        <v>89.162437624013904</v>
      </c>
      <c r="AM4301">
        <v>80.096621841892897</v>
      </c>
      <c r="AN4301">
        <v>0.99999996418196901</v>
      </c>
    </row>
    <row r="4302" spans="1:40" x14ac:dyDescent="0.25">
      <c r="A4302" t="str">
        <f>"20190312154340488"</f>
        <v>20190312154340488</v>
      </c>
      <c r="B4302" t="str">
        <f>"1552376620482023"</f>
        <v>1552376620482023</v>
      </c>
      <c r="C4302" t="s">
        <v>40</v>
      </c>
      <c r="D4302">
        <v>5.1914170000000004</v>
      </c>
      <c r="E4302">
        <v>0.52604869999999904</v>
      </c>
      <c r="F4302" t="s">
        <v>43</v>
      </c>
      <c r="G4302">
        <v>-193.68260000000001</v>
      </c>
      <c r="H4302" s="1">
        <v>-4.3189250000000003E-6</v>
      </c>
      <c r="I4302">
        <v>187.7586</v>
      </c>
      <c r="J4302">
        <v>-192.44149999999999</v>
      </c>
      <c r="K4302">
        <v>1.0953599999999999</v>
      </c>
      <c r="L4302">
        <v>199.16329999999999</v>
      </c>
      <c r="M4302">
        <v>0.1234297</v>
      </c>
      <c r="N4302">
        <v>0</v>
      </c>
      <c r="O4302">
        <v>-0.99221349999999997</v>
      </c>
      <c r="P4302">
        <v>-4.6714890000000002E-2</v>
      </c>
      <c r="Q4302">
        <v>4.33754E-3</v>
      </c>
      <c r="R4302">
        <v>-0.99889870000000003</v>
      </c>
      <c r="S4302">
        <v>-0.31019590000000002</v>
      </c>
      <c r="T4302">
        <v>-0.27983770000000002</v>
      </c>
      <c r="U4302">
        <v>-2.9932400000000001</v>
      </c>
      <c r="V4302">
        <v>0.17029929999999999</v>
      </c>
      <c r="W4302">
        <v>1.470638E-2</v>
      </c>
      <c r="X4302">
        <v>0.98528269999999996</v>
      </c>
      <c r="Y4302">
        <v>0.22464700000000001</v>
      </c>
      <c r="Z4302">
        <v>9.0583940000000002E-2</v>
      </c>
      <c r="AA4302">
        <v>0.97022070000000005</v>
      </c>
      <c r="AB4302">
        <v>30</v>
      </c>
      <c r="AC4302">
        <v>-1.2411000000000101</v>
      </c>
      <c r="AD4302">
        <v>-1.095364318925</v>
      </c>
      <c r="AE4302">
        <v>-11.404699999999901</v>
      </c>
      <c r="AF4302">
        <v>2.6156352031774199</v>
      </c>
      <c r="AG4302">
        <v>-1.095364318925</v>
      </c>
      <c r="AH4302">
        <v>11.0633963411697</v>
      </c>
      <c r="AI4302">
        <v>95.503559870513698</v>
      </c>
      <c r="AJ4302">
        <v>76.698238558252001</v>
      </c>
      <c r="AK4302">
        <v>11.4210380048874</v>
      </c>
      <c r="AL4302">
        <v>89.157356172035506</v>
      </c>
      <c r="AM4302">
        <v>80.193708219184103</v>
      </c>
      <c r="AN4302">
        <v>1.0000000640562401</v>
      </c>
    </row>
    <row r="4303" spans="1:40" x14ac:dyDescent="0.25">
      <c r="A4303" t="str">
        <f>"20190312154340510"</f>
        <v>20190312154340510</v>
      </c>
      <c r="B4303" t="str">
        <f>"1552376620501542"</f>
        <v>1552376620501542</v>
      </c>
      <c r="C4303" t="s">
        <v>40</v>
      </c>
      <c r="D4303">
        <v>5.1834870000000004</v>
      </c>
      <c r="E4303">
        <v>0.51643629999999996</v>
      </c>
      <c r="F4303" t="s">
        <v>43</v>
      </c>
      <c r="G4303">
        <v>-193.80430000000001</v>
      </c>
      <c r="H4303" s="1">
        <v>-4.2122939999999997E-6</v>
      </c>
      <c r="I4303">
        <v>187.3818</v>
      </c>
      <c r="J4303">
        <v>-192.42060000000001</v>
      </c>
      <c r="K4303">
        <v>1.095675</v>
      </c>
      <c r="L4303">
        <v>198.8623</v>
      </c>
      <c r="M4303">
        <v>0.1063132</v>
      </c>
      <c r="N4303">
        <v>0</v>
      </c>
      <c r="O4303">
        <v>-0.99419460000000004</v>
      </c>
      <c r="P4303">
        <v>-6.2548729999999997E-2</v>
      </c>
      <c r="Q4303">
        <v>4.8292250000000004E-3</v>
      </c>
      <c r="R4303">
        <v>-0.99803039999999998</v>
      </c>
      <c r="S4303">
        <v>-0.345672599999999</v>
      </c>
      <c r="T4303">
        <v>-0.277835</v>
      </c>
      <c r="U4303">
        <v>-2.9883419999999998</v>
      </c>
      <c r="V4303">
        <v>0.16894729999999999</v>
      </c>
      <c r="W4303">
        <v>1.528758E-2</v>
      </c>
      <c r="X4303">
        <v>0.98550649999999995</v>
      </c>
      <c r="Y4303">
        <v>0.2194014</v>
      </c>
      <c r="Z4303">
        <v>9.0358350000000004E-2</v>
      </c>
      <c r="AA4303">
        <v>0.97144140000000001</v>
      </c>
      <c r="AB4303">
        <v>30</v>
      </c>
      <c r="AC4303">
        <v>-1.3836999999999999</v>
      </c>
      <c r="AD4303">
        <v>-1.095679212294</v>
      </c>
      <c r="AE4303">
        <v>-11.480499999999999</v>
      </c>
      <c r="AF4303">
        <v>2.5734477605378299</v>
      </c>
      <c r="AG4303">
        <v>-1.095679212294</v>
      </c>
      <c r="AH4303">
        <v>11.168025729688299</v>
      </c>
      <c r="AI4303">
        <v>95.461064739008407</v>
      </c>
      <c r="AJ4303">
        <v>77.023840315915507</v>
      </c>
      <c r="AK4303">
        <v>11.512946843074101</v>
      </c>
      <c r="AL4303">
        <v>89.124052048402504</v>
      </c>
      <c r="AM4303">
        <v>80.272233455555195</v>
      </c>
      <c r="AN4303">
        <v>0.99999998091089704</v>
      </c>
    </row>
    <row r="4304" spans="1:40" x14ac:dyDescent="0.25">
      <c r="A4304" t="str">
        <f>"20190312154340532"</f>
        <v>20190312154340532</v>
      </c>
      <c r="B4304" t="str">
        <f>"1552376620522038"</f>
        <v>1552376620522038</v>
      </c>
      <c r="C4304" t="s">
        <v>40</v>
      </c>
      <c r="D4304">
        <v>5.1991290000000001</v>
      </c>
      <c r="E4304">
        <v>0.51426240000000001</v>
      </c>
      <c r="F4304" t="s">
        <v>41</v>
      </c>
      <c r="G4304">
        <v>-192.5239</v>
      </c>
      <c r="H4304">
        <v>1.0040249999999999</v>
      </c>
      <c r="I4304">
        <v>197.88630000000001</v>
      </c>
      <c r="J4304">
        <v>-192.40440000000001</v>
      </c>
      <c r="K4304">
        <v>1.096034</v>
      </c>
      <c r="L4304">
        <v>198.5574</v>
      </c>
      <c r="M4304">
        <v>8.9410089999999998E-2</v>
      </c>
      <c r="N4304">
        <v>0</v>
      </c>
      <c r="O4304">
        <v>-0.99585889999999999</v>
      </c>
      <c r="P4304">
        <v>-7.7282390000000006E-2</v>
      </c>
      <c r="Q4304">
        <v>6.0254820000000004E-3</v>
      </c>
      <c r="R4304">
        <v>-0.99699130000000002</v>
      </c>
      <c r="S4304">
        <v>-0.3158569</v>
      </c>
      <c r="T4304">
        <v>-0.28008699999999997</v>
      </c>
      <c r="U4304">
        <v>-2.987473</v>
      </c>
      <c r="V4304">
        <v>0.166786299999999</v>
      </c>
      <c r="W4304">
        <v>1.6607299999999998E-2</v>
      </c>
      <c r="X4304">
        <v>0.98585319999999999</v>
      </c>
      <c r="Y4304">
        <v>0.1931985</v>
      </c>
      <c r="Z4304">
        <v>9.1650029999999993E-2</v>
      </c>
      <c r="AA4304">
        <v>0.97686980000000001</v>
      </c>
      <c r="AB4304">
        <v>30</v>
      </c>
      <c r="AC4304">
        <v>-0.11949999999998701</v>
      </c>
      <c r="AD4304">
        <v>-9.2008999999999994E-2</v>
      </c>
      <c r="AE4304">
        <v>-0.67109999999999503</v>
      </c>
      <c r="AF4304">
        <v>0.17582903403690001</v>
      </c>
      <c r="AG4304">
        <v>-9.2008999999999994E-2</v>
      </c>
      <c r="AH4304">
        <v>0.64595667155154901</v>
      </c>
      <c r="AI4304">
        <v>97.8255766835793</v>
      </c>
      <c r="AJ4304">
        <v>74.773034781040593</v>
      </c>
      <c r="AK4304">
        <v>0.67575256330502098</v>
      </c>
      <c r="AL4304">
        <v>89.048428058514006</v>
      </c>
      <c r="AM4304">
        <v>80.397643201116495</v>
      </c>
      <c r="AN4304">
        <v>1.0000000021156099</v>
      </c>
    </row>
    <row r="4305" spans="1:40" x14ac:dyDescent="0.25">
      <c r="A4305" t="str">
        <f>"20190312154340555"</f>
        <v>20190312154340555</v>
      </c>
      <c r="B4305" t="str">
        <f>"1552376620541558"</f>
        <v>1552376620541558</v>
      </c>
      <c r="C4305" t="s">
        <v>40</v>
      </c>
      <c r="D4305">
        <v>5.2047530000000002</v>
      </c>
      <c r="E4305">
        <v>0.50556659999999998</v>
      </c>
      <c r="F4305" t="s">
        <v>41</v>
      </c>
      <c r="G4305">
        <v>-192.51220000000001</v>
      </c>
      <c r="H4305">
        <v>1.009763</v>
      </c>
      <c r="I4305">
        <v>197.61750000000001</v>
      </c>
      <c r="J4305">
        <v>-192.39320000000001</v>
      </c>
      <c r="K4305">
        <v>1.0963860000000001</v>
      </c>
      <c r="L4305">
        <v>198.26050000000001</v>
      </c>
      <c r="M4305">
        <v>7.3345789999999994E-2</v>
      </c>
      <c r="N4305">
        <v>0</v>
      </c>
      <c r="O4305">
        <v>-0.99717230000000001</v>
      </c>
      <c r="P4305">
        <v>-9.1222549999999999E-2</v>
      </c>
      <c r="Q4305">
        <v>6.7291019999999998E-3</v>
      </c>
      <c r="R4305">
        <v>-0.99580809999999997</v>
      </c>
      <c r="S4305">
        <v>-0.34222409999999998</v>
      </c>
      <c r="T4305">
        <v>-0.27376499999999998</v>
      </c>
      <c r="U4305">
        <v>-2.9841769999999999</v>
      </c>
      <c r="V4305">
        <v>0.16469230000000001</v>
      </c>
      <c r="W4305">
        <v>1.742401E-2</v>
      </c>
      <c r="X4305">
        <v>0.98619109999999999</v>
      </c>
      <c r="Y4305">
        <v>0.1860387</v>
      </c>
      <c r="Z4305">
        <v>8.9895699999999995E-2</v>
      </c>
      <c r="AA4305">
        <v>0.9784214</v>
      </c>
      <c r="AB4305">
        <v>30</v>
      </c>
      <c r="AC4305">
        <v>-0.118999999999999</v>
      </c>
      <c r="AD4305">
        <v>-8.6623000000000103E-2</v>
      </c>
      <c r="AE4305">
        <v>-0.64300000000000002</v>
      </c>
      <c r="AF4305">
        <v>0.16298701833196499</v>
      </c>
      <c r="AG4305">
        <v>-8.6623000000000103E-2</v>
      </c>
      <c r="AH4305">
        <v>0.62163020240270705</v>
      </c>
      <c r="AI4305">
        <v>97.676741940091702</v>
      </c>
      <c r="AJ4305">
        <v>75.308159210039193</v>
      </c>
      <c r="AK4305">
        <v>0.64845386945639805</v>
      </c>
      <c r="AL4305">
        <v>89.001627261177902</v>
      </c>
      <c r="AM4305">
        <v>80.519187591165803</v>
      </c>
      <c r="AN4305">
        <v>1.0000000177614801</v>
      </c>
    </row>
    <row r="4306" spans="1:40" x14ac:dyDescent="0.25">
      <c r="A4306" t="str">
        <f>"20190312154340577"</f>
        <v>20190312154340577</v>
      </c>
      <c r="B4306" t="str">
        <f>"1552376620571814"</f>
        <v>1552376620571814</v>
      </c>
      <c r="C4306" t="s">
        <v>40</v>
      </c>
      <c r="D4306">
        <v>5.1821890000000002</v>
      </c>
      <c r="E4306">
        <v>0.50328499999999998</v>
      </c>
      <c r="F4306" t="s">
        <v>41</v>
      </c>
      <c r="G4306">
        <v>-192.4889</v>
      </c>
      <c r="H4306">
        <v>1.0140209999999901</v>
      </c>
      <c r="I4306">
        <v>197.35220000000001</v>
      </c>
      <c r="J4306">
        <v>-192.38640000000001</v>
      </c>
      <c r="K4306">
        <v>1.0967480000000001</v>
      </c>
      <c r="L4306">
        <v>197.9615</v>
      </c>
      <c r="M4306">
        <v>5.760875E-2</v>
      </c>
      <c r="N4306">
        <v>0</v>
      </c>
      <c r="O4306">
        <v>-0.99820699999999996</v>
      </c>
      <c r="P4306">
        <v>-0.1040132</v>
      </c>
      <c r="Q4306">
        <v>6.8961999999999999E-3</v>
      </c>
      <c r="R4306">
        <v>-0.9945524</v>
      </c>
      <c r="S4306">
        <v>-0.3145599</v>
      </c>
      <c r="T4306">
        <v>-0.27044770000000001</v>
      </c>
      <c r="U4306">
        <v>-2.9856569999999998</v>
      </c>
      <c r="V4306">
        <v>0.16179879999999999</v>
      </c>
      <c r="W4306">
        <v>1.773247E-2</v>
      </c>
      <c r="X4306">
        <v>0.9866644</v>
      </c>
      <c r="Y4306">
        <v>0.16148280000000001</v>
      </c>
      <c r="Z4306">
        <v>8.9150999999999994E-2</v>
      </c>
      <c r="AA4306">
        <v>0.98284050000000001</v>
      </c>
      <c r="AB4306">
        <v>29</v>
      </c>
      <c r="AC4306">
        <v>-0.102499999999992</v>
      </c>
      <c r="AD4306">
        <v>-8.2727000000000203E-2</v>
      </c>
      <c r="AE4306">
        <v>-0.60929999999998996</v>
      </c>
      <c r="AF4306">
        <v>0.13501493342211901</v>
      </c>
      <c r="AG4306">
        <v>-8.2727000000000203E-2</v>
      </c>
      <c r="AH4306">
        <v>0.591773316312043</v>
      </c>
      <c r="AI4306">
        <v>97.761181416323595</v>
      </c>
      <c r="AJ4306">
        <v>77.147777368487297</v>
      </c>
      <c r="AK4306">
        <v>0.61259158227560795</v>
      </c>
      <c r="AL4306">
        <v>88.983951020729606</v>
      </c>
      <c r="AM4306">
        <v>80.687201920135394</v>
      </c>
      <c r="AN4306">
        <v>0.99999996520054901</v>
      </c>
    </row>
    <row r="4307" spans="1:40" x14ac:dyDescent="0.25">
      <c r="A4307" t="str">
        <f>"20190312154340601"</f>
        <v>20190312154340601</v>
      </c>
      <c r="B4307" t="str">
        <f>"1552376620591336"</f>
        <v>1552376620591336</v>
      </c>
      <c r="C4307" t="s">
        <v>40</v>
      </c>
      <c r="D4307">
        <v>5.1877389999999997</v>
      </c>
      <c r="E4307">
        <v>0.50257609999999997</v>
      </c>
      <c r="F4307" t="s">
        <v>41</v>
      </c>
      <c r="G4307">
        <v>-192.48480000000001</v>
      </c>
      <c r="H4307">
        <v>1.018241</v>
      </c>
      <c r="I4307">
        <v>197.08330000000001</v>
      </c>
      <c r="J4307">
        <v>-192.38390000000001</v>
      </c>
      <c r="K4307">
        <v>1.0971569999999999</v>
      </c>
      <c r="L4307">
        <v>197.64410000000001</v>
      </c>
      <c r="M4307">
        <v>4.1436880000000002E-2</v>
      </c>
      <c r="N4307">
        <v>0</v>
      </c>
      <c r="O4307">
        <v>-0.99901090000000003</v>
      </c>
      <c r="P4307">
        <v>-0.1163719</v>
      </c>
      <c r="Q4307">
        <v>5.4768289999999999E-3</v>
      </c>
      <c r="R4307">
        <v>-0.99319100000000005</v>
      </c>
      <c r="S4307">
        <v>-0.33454899999999999</v>
      </c>
      <c r="T4307">
        <v>-0.26663969999999998</v>
      </c>
      <c r="U4307">
        <v>-2.983276</v>
      </c>
      <c r="V4307">
        <v>0.15802449999999901</v>
      </c>
      <c r="W4307">
        <v>1.6484769999999999E-2</v>
      </c>
      <c r="X4307">
        <v>0.9872976</v>
      </c>
      <c r="Y4307">
        <v>0.1520965</v>
      </c>
      <c r="Z4307">
        <v>8.8116360000000005E-2</v>
      </c>
      <c r="AA4307">
        <v>0.98442989999999997</v>
      </c>
      <c r="AB4307">
        <v>29</v>
      </c>
      <c r="AC4307">
        <v>-0.10089999999999499</v>
      </c>
      <c r="AD4307">
        <v>-7.8915999999999903E-2</v>
      </c>
      <c r="AE4307">
        <v>-0.56079999999999997</v>
      </c>
      <c r="AF4307">
        <v>0.121719406757471</v>
      </c>
      <c r="AG4307">
        <v>-7.8915999999999903E-2</v>
      </c>
      <c r="AH4307">
        <v>0.54567003175667095</v>
      </c>
      <c r="AI4307">
        <v>98.034398317373302</v>
      </c>
      <c r="AJ4307">
        <v>77.4252331590491</v>
      </c>
      <c r="AK4307">
        <v>0.56462300041241398</v>
      </c>
      <c r="AL4307">
        <v>89.055449489028504</v>
      </c>
      <c r="AM4307">
        <v>80.906504362408697</v>
      </c>
      <c r="AN4307">
        <v>1.0000000206039801</v>
      </c>
    </row>
    <row r="4308" spans="1:40" x14ac:dyDescent="0.25">
      <c r="A4308" t="str">
        <f>"20190312154340622"</f>
        <v>20190312154340622</v>
      </c>
      <c r="B4308" t="str">
        <f>"1552376620611831"</f>
        <v>1552376620611831</v>
      </c>
      <c r="C4308" t="s">
        <v>40</v>
      </c>
      <c r="D4308">
        <v>5.2073450000000001</v>
      </c>
      <c r="E4308">
        <v>0.49344470000000001</v>
      </c>
      <c r="F4308" t="s">
        <v>41</v>
      </c>
      <c r="G4308">
        <v>-192.48589999999999</v>
      </c>
      <c r="H4308">
        <v>1.022011</v>
      </c>
      <c r="I4308">
        <v>196.81469999999999</v>
      </c>
      <c r="J4308">
        <v>-192.38570000000001</v>
      </c>
      <c r="K4308">
        <v>1.0975629999999901</v>
      </c>
      <c r="L4308">
        <v>197.3527</v>
      </c>
      <c r="M4308">
        <v>2.7128719999999999E-2</v>
      </c>
      <c r="N4308">
        <v>0</v>
      </c>
      <c r="O4308">
        <v>-0.99950349999999999</v>
      </c>
      <c r="P4308">
        <v>-0.12541720000000001</v>
      </c>
      <c r="Q4308">
        <v>4.0020890000000003E-3</v>
      </c>
      <c r="R4308">
        <v>-0.99209599999999998</v>
      </c>
      <c r="S4308">
        <v>-0.36628719999999998</v>
      </c>
      <c r="T4308">
        <v>-0.26960149999999999</v>
      </c>
      <c r="U4308">
        <v>-2.9791409999999998</v>
      </c>
      <c r="V4308">
        <v>0.1528195</v>
      </c>
      <c r="W4308">
        <v>1.522274E-2</v>
      </c>
      <c r="X4308">
        <v>0.98813689999999998</v>
      </c>
      <c r="Y4308">
        <v>0.14842849999999999</v>
      </c>
      <c r="Z4308">
        <v>8.9245569999999996E-2</v>
      </c>
      <c r="AA4308">
        <v>0.98488790000000004</v>
      </c>
      <c r="AB4308">
        <v>29</v>
      </c>
      <c r="AC4308">
        <v>-0.10019999999997201</v>
      </c>
      <c r="AD4308">
        <v>-7.55519999999998E-2</v>
      </c>
      <c r="AE4308">
        <v>-0.53800000000001003</v>
      </c>
      <c r="AF4308">
        <v>0.112613840592296</v>
      </c>
      <c r="AG4308">
        <v>-7.55519999999998E-2</v>
      </c>
      <c r="AH4308">
        <v>0.52507545949020396</v>
      </c>
      <c r="AI4308">
        <v>98.0083000620549</v>
      </c>
      <c r="AJ4308">
        <v>77.895053469914103</v>
      </c>
      <c r="AK4308">
        <v>0.54230454539474005</v>
      </c>
      <c r="AL4308">
        <v>89.127767583975498</v>
      </c>
      <c r="AM4308">
        <v>81.208617302091398</v>
      </c>
      <c r="AN4308">
        <v>1.00000003226748</v>
      </c>
    </row>
    <row r="4309" spans="1:40" x14ac:dyDescent="0.25">
      <c r="A4309" t="str">
        <f>"20190312154340645"</f>
        <v>20190312154340645</v>
      </c>
      <c r="B4309" t="str">
        <f>"1552376620631353"</f>
        <v>1552376620631353</v>
      </c>
      <c r="C4309" t="s">
        <v>40</v>
      </c>
      <c r="D4309">
        <v>5.2041750000000002</v>
      </c>
      <c r="E4309">
        <v>0.49179079999999997</v>
      </c>
      <c r="F4309" t="s">
        <v>41</v>
      </c>
      <c r="G4309">
        <v>-192.4727</v>
      </c>
      <c r="H4309">
        <v>1.0272159999999999</v>
      </c>
      <c r="I4309">
        <v>196.5461</v>
      </c>
      <c r="J4309">
        <v>-192.3914</v>
      </c>
      <c r="K4309">
        <v>1.0980270000000001</v>
      </c>
      <c r="L4309">
        <v>197.05439999999999</v>
      </c>
      <c r="M4309">
        <v>1.3071599999999999E-2</v>
      </c>
      <c r="N4309">
        <v>0</v>
      </c>
      <c r="O4309">
        <v>-0.99978809999999996</v>
      </c>
      <c r="P4309">
        <v>-0.13453899999999999</v>
      </c>
      <c r="Q4309">
        <v>3.1004829999999998E-3</v>
      </c>
      <c r="R4309">
        <v>-0.9909036</v>
      </c>
      <c r="S4309">
        <v>-0.32171630000000001</v>
      </c>
      <c r="T4309">
        <v>-0.2601368</v>
      </c>
      <c r="U4309">
        <v>-2.984283</v>
      </c>
      <c r="V4309">
        <v>0.14796790000000001</v>
      </c>
      <c r="W4309">
        <v>1.452234E-2</v>
      </c>
      <c r="X4309">
        <v>0.98888549999999997</v>
      </c>
      <c r="Y4309">
        <v>0.1197715</v>
      </c>
      <c r="Z4309">
        <v>8.6267830000000004E-2</v>
      </c>
      <c r="AA4309">
        <v>0.98904630000000004</v>
      </c>
      <c r="AB4309">
        <v>29</v>
      </c>
      <c r="AC4309">
        <v>-8.1299999999998804E-2</v>
      </c>
      <c r="AD4309">
        <v>-7.0811000000000096E-2</v>
      </c>
      <c r="AE4309">
        <v>-0.50829999999999098</v>
      </c>
      <c r="AF4309">
        <v>8.6305034004570097E-2</v>
      </c>
      <c r="AG4309">
        <v>-7.0811000000000096E-2</v>
      </c>
      <c r="AH4309">
        <v>0.49777430755305102</v>
      </c>
      <c r="AI4309">
        <v>97.978830398553796</v>
      </c>
      <c r="AJ4309">
        <v>80.163736928037693</v>
      </c>
      <c r="AK4309">
        <v>0.51013921421064101</v>
      </c>
      <c r="AL4309">
        <v>89.167901930412299</v>
      </c>
      <c r="AM4309">
        <v>81.489913908255602</v>
      </c>
      <c r="AN4309">
        <v>0.99999996494986698</v>
      </c>
    </row>
    <row r="4310" spans="1:40" x14ac:dyDescent="0.25">
      <c r="A4310" t="str">
        <f>"20190312154340667"</f>
        <v>20190312154340667</v>
      </c>
      <c r="B4310" t="str">
        <f>"1552376620661607"</f>
        <v>1552376620661607</v>
      </c>
      <c r="C4310" t="s">
        <v>40</v>
      </c>
      <c r="D4310">
        <v>5.2123679999999997</v>
      </c>
      <c r="E4310">
        <v>0.484653</v>
      </c>
      <c r="F4310" t="s">
        <v>41</v>
      </c>
      <c r="G4310">
        <v>-192.47900000000001</v>
      </c>
      <c r="H4310">
        <v>1.028885</v>
      </c>
      <c r="I4310">
        <v>196.27889999999999</v>
      </c>
      <c r="J4310">
        <v>-192.40100000000001</v>
      </c>
      <c r="K4310">
        <v>1.0985480000000001</v>
      </c>
      <c r="L4310">
        <v>196.75120000000001</v>
      </c>
      <c r="M4310">
        <v>-5.7172050000000002E-4</v>
      </c>
      <c r="N4310">
        <v>0</v>
      </c>
      <c r="O4310">
        <v>-0.99987559999999998</v>
      </c>
      <c r="P4310">
        <v>-0.14393239999999999</v>
      </c>
      <c r="Q4310">
        <v>2.9901400000000001E-3</v>
      </c>
      <c r="R4310">
        <v>-0.98958360000000001</v>
      </c>
      <c r="S4310">
        <v>-0.33671570000000001</v>
      </c>
      <c r="T4310">
        <v>-0.26559670000000002</v>
      </c>
      <c r="U4310">
        <v>-2.9826350000000001</v>
      </c>
      <c r="V4310">
        <v>0.14382929999999999</v>
      </c>
      <c r="W4310">
        <v>1.4591959999999999E-2</v>
      </c>
      <c r="X4310">
        <v>0.98949489999999996</v>
      </c>
      <c r="Y4310">
        <v>0.1111746</v>
      </c>
      <c r="Z4310">
        <v>8.8144020000000003E-2</v>
      </c>
      <c r="AA4310">
        <v>0.98988430000000005</v>
      </c>
      <c r="AB4310">
        <v>29</v>
      </c>
      <c r="AC4310">
        <v>-7.8000000000031294E-2</v>
      </c>
      <c r="AD4310">
        <v>-6.9662999999999795E-2</v>
      </c>
      <c r="AE4310">
        <v>-0.47230000000001798</v>
      </c>
      <c r="AF4310">
        <v>7.6117915667261199E-2</v>
      </c>
      <c r="AG4310">
        <v>-6.9662999999999795E-2</v>
      </c>
      <c r="AH4310">
        <v>0.46254873100897498</v>
      </c>
      <c r="AI4310">
        <v>98.452753242617902</v>
      </c>
      <c r="AJ4310">
        <v>80.6550505037101</v>
      </c>
      <c r="AK4310">
        <v>0.47391792455291298</v>
      </c>
      <c r="AL4310">
        <v>89.163912583773296</v>
      </c>
      <c r="AM4310">
        <v>81.729620667691606</v>
      </c>
      <c r="AN4310">
        <v>0.99999997498057003</v>
      </c>
    </row>
    <row r="4311" spans="1:40" x14ac:dyDescent="0.25">
      <c r="A4311" t="str">
        <f>"20190312154340692"</f>
        <v>20190312154340692</v>
      </c>
      <c r="B4311" t="str">
        <f>"1552376620682102"</f>
        <v>1552376620682102</v>
      </c>
      <c r="C4311" t="s">
        <v>40</v>
      </c>
      <c r="D4311">
        <v>5.2156659999999997</v>
      </c>
      <c r="E4311">
        <v>0.48342750000000001</v>
      </c>
      <c r="F4311" t="s">
        <v>41</v>
      </c>
      <c r="G4311">
        <v>-192.4776</v>
      </c>
      <c r="H4311">
        <v>1.032327</v>
      </c>
      <c r="I4311">
        <v>196.0112</v>
      </c>
      <c r="J4311">
        <v>-192.4152</v>
      </c>
      <c r="K4311">
        <v>1.099162</v>
      </c>
      <c r="L4311">
        <v>196.43039999999999</v>
      </c>
      <c r="M4311">
        <v>-1.417448E-2</v>
      </c>
      <c r="N4311">
        <v>0</v>
      </c>
      <c r="O4311">
        <v>-0.99977760000000004</v>
      </c>
      <c r="P4311">
        <v>-0.1537085</v>
      </c>
      <c r="Q4311">
        <v>3.2124829999999999E-3</v>
      </c>
      <c r="R4311">
        <v>-0.98811139999999997</v>
      </c>
      <c r="S4311">
        <v>-0.30906679999999997</v>
      </c>
      <c r="T4311">
        <v>-0.26729370000000002</v>
      </c>
      <c r="U4311">
        <v>-2.9874269999999998</v>
      </c>
      <c r="V4311">
        <v>0.14013030000000001</v>
      </c>
      <c r="W4311">
        <v>1.498626E-2</v>
      </c>
      <c r="X4311">
        <v>0.99001969999999995</v>
      </c>
      <c r="Y4311">
        <v>8.8389809999999999E-2</v>
      </c>
      <c r="Z4311">
        <v>8.8694380000000003E-2</v>
      </c>
      <c r="AA4311">
        <v>0.99212929999999999</v>
      </c>
      <c r="AB4311">
        <v>29</v>
      </c>
      <c r="AC4311">
        <v>-6.2399999999996597E-2</v>
      </c>
      <c r="AD4311">
        <v>-6.6834999999999894E-2</v>
      </c>
      <c r="AE4311">
        <v>-0.41919999999998903</v>
      </c>
      <c r="AF4311">
        <v>5.5081281046600102E-2</v>
      </c>
      <c r="AG4311">
        <v>-6.6834999999999894E-2</v>
      </c>
      <c r="AH4311">
        <v>0.40985016343801001</v>
      </c>
      <c r="AI4311">
        <v>99.180687598874599</v>
      </c>
      <c r="AJ4311">
        <v>82.345671467779098</v>
      </c>
      <c r="AK4311">
        <v>0.41890096826923001</v>
      </c>
      <c r="AL4311">
        <v>89.141318448616303</v>
      </c>
      <c r="AM4311">
        <v>81.943703439075904</v>
      </c>
      <c r="AN4311">
        <v>1.00000004767748</v>
      </c>
    </row>
    <row r="4312" spans="1:40" x14ac:dyDescent="0.25">
      <c r="A4312" t="str">
        <f>"20190312154340714"</f>
        <v>20190312154340714</v>
      </c>
      <c r="B4312" t="str">
        <f>"1552376620701622"</f>
        <v>1552376620701622</v>
      </c>
      <c r="C4312" t="s">
        <v>40</v>
      </c>
      <c r="D4312">
        <v>5.2043660000000003</v>
      </c>
      <c r="E4312">
        <v>0.48174230000000001</v>
      </c>
      <c r="F4312" t="s">
        <v>41</v>
      </c>
      <c r="G4312">
        <v>-192.51900000000001</v>
      </c>
      <c r="H4312">
        <v>1.0157969999999901</v>
      </c>
      <c r="I4312">
        <v>195.48859999999999</v>
      </c>
      <c r="J4312">
        <v>-192.4314</v>
      </c>
      <c r="K4312">
        <v>1.0997440000000001</v>
      </c>
      <c r="L4312">
        <v>196.13730000000001</v>
      </c>
      <c r="M4312">
        <v>-2.5910510000000001E-2</v>
      </c>
      <c r="N4312">
        <v>0</v>
      </c>
      <c r="O4312">
        <v>-0.99954430000000005</v>
      </c>
      <c r="P4312">
        <v>-0.1602586</v>
      </c>
      <c r="Q4312">
        <v>3.298259E-3</v>
      </c>
      <c r="R4312">
        <v>-0.98706959999999999</v>
      </c>
      <c r="S4312">
        <v>-0.32887270000000002</v>
      </c>
      <c r="T4312">
        <v>-0.26429180000000002</v>
      </c>
      <c r="U4312">
        <v>-2.985779</v>
      </c>
      <c r="V4312">
        <v>0.135051</v>
      </c>
      <c r="W4312">
        <v>1.527185E-2</v>
      </c>
      <c r="X4312">
        <v>0.99072090000000002</v>
      </c>
      <c r="Y4312">
        <v>8.3267679999999997E-2</v>
      </c>
      <c r="Z4312">
        <v>8.7711750000000005E-2</v>
      </c>
      <c r="AA4312">
        <v>0.99265959999999998</v>
      </c>
      <c r="AB4312">
        <v>29</v>
      </c>
      <c r="AC4312">
        <v>-8.7600000000008907E-2</v>
      </c>
      <c r="AD4312">
        <v>-8.3947000000000202E-2</v>
      </c>
      <c r="AE4312">
        <v>-0.64870000000001904</v>
      </c>
      <c r="AF4312">
        <v>6.9615485689744794E-2</v>
      </c>
      <c r="AG4312">
        <v>-8.3947000000000202E-2</v>
      </c>
      <c r="AH4312">
        <v>0.64022274762837506</v>
      </c>
      <c r="AI4312">
        <v>97.426811464794696</v>
      </c>
      <c r="AJ4312">
        <v>83.794247440932494</v>
      </c>
      <c r="AK4312">
        <v>0.64944482539908299</v>
      </c>
      <c r="AL4312">
        <v>89.124953390827102</v>
      </c>
      <c r="AM4312">
        <v>82.237519792273105</v>
      </c>
      <c r="AN4312">
        <v>0.99999995185011503</v>
      </c>
    </row>
    <row r="4313" spans="1:40" x14ac:dyDescent="0.25">
      <c r="A4313" t="str">
        <f>"20190312154340734"</f>
        <v>20190312154340734</v>
      </c>
      <c r="B4313" t="str">
        <f>"1552376620722119"</f>
        <v>1552376620722119</v>
      </c>
      <c r="C4313" t="s">
        <v>40</v>
      </c>
      <c r="D4313">
        <v>5.2320070000000003</v>
      </c>
      <c r="E4313">
        <v>0.48105569999999997</v>
      </c>
      <c r="F4313" t="s">
        <v>41</v>
      </c>
      <c r="G4313">
        <v>-192.5343</v>
      </c>
      <c r="H4313">
        <v>1.018546</v>
      </c>
      <c r="I4313">
        <v>195.2225</v>
      </c>
      <c r="J4313">
        <v>-192.44980000000001</v>
      </c>
      <c r="K4313">
        <v>1.100276</v>
      </c>
      <c r="L4313">
        <v>195.85489999999999</v>
      </c>
      <c r="M4313">
        <v>-3.6665209999999997E-2</v>
      </c>
      <c r="N4313">
        <v>0</v>
      </c>
      <c r="O4313">
        <v>-0.99920949999999997</v>
      </c>
      <c r="P4313">
        <v>-0.1647226</v>
      </c>
      <c r="Q4313">
        <v>2.2104970000000001E-3</v>
      </c>
      <c r="R4313">
        <v>-0.98633769999999998</v>
      </c>
      <c r="S4313">
        <v>-0.3354645</v>
      </c>
      <c r="T4313">
        <v>-0.2648547</v>
      </c>
      <c r="U4313">
        <v>-2.9857330000000002</v>
      </c>
      <c r="V4313">
        <v>0.12882199999999999</v>
      </c>
      <c r="W4313">
        <v>1.439171E-2</v>
      </c>
      <c r="X4313">
        <v>0.99156330000000004</v>
      </c>
      <c r="Y4313">
        <v>7.4705930000000004E-2</v>
      </c>
      <c r="Z4313">
        <v>8.7873409999999999E-2</v>
      </c>
      <c r="AA4313">
        <v>0.99332640000000005</v>
      </c>
      <c r="AB4313">
        <v>29</v>
      </c>
      <c r="AC4313">
        <v>-8.4499999999991304E-2</v>
      </c>
      <c r="AD4313">
        <v>-8.1729999999999997E-2</v>
      </c>
      <c r="AE4313">
        <v>-0.63239999999998897</v>
      </c>
      <c r="AF4313">
        <v>6.0264447289092103E-2</v>
      </c>
      <c r="AG4313">
        <v>-8.1729999999999997E-2</v>
      </c>
      <c r="AH4313">
        <v>0.62482029874969602</v>
      </c>
      <c r="AI4313">
        <v>97.418259144576894</v>
      </c>
      <c r="AJ4313">
        <v>84.490814892039694</v>
      </c>
      <c r="AK4313">
        <v>0.63301816896256502</v>
      </c>
      <c r="AL4313">
        <v>89.175387292389601</v>
      </c>
      <c r="AM4313">
        <v>82.597703592984701</v>
      </c>
      <c r="AN4313">
        <v>1.0000000034537999</v>
      </c>
    </row>
    <row r="4314" spans="1:40" x14ac:dyDescent="0.25">
      <c r="A4314" t="str">
        <f>"20190312154340757"</f>
        <v>20190312154340757</v>
      </c>
      <c r="B4314" t="str">
        <f>"1552376620751399"</f>
        <v>1552376620751399</v>
      </c>
      <c r="C4314" t="s">
        <v>40</v>
      </c>
      <c r="D4314">
        <v>5.2260010000000001</v>
      </c>
      <c r="E4314">
        <v>0.4724814</v>
      </c>
      <c r="F4314" t="s">
        <v>41</v>
      </c>
      <c r="G4314">
        <v>-192.5532</v>
      </c>
      <c r="H4314">
        <v>1.019693</v>
      </c>
      <c r="I4314">
        <v>194.95760000000001</v>
      </c>
      <c r="J4314">
        <v>-192.471</v>
      </c>
      <c r="K4314">
        <v>1.1007990000000001</v>
      </c>
      <c r="L4314">
        <v>195.5694</v>
      </c>
      <c r="M4314">
        <v>-4.6941190000000001E-2</v>
      </c>
      <c r="N4314">
        <v>0</v>
      </c>
      <c r="O4314">
        <v>-0.99878120000000004</v>
      </c>
      <c r="P4314">
        <v>-0.1683578</v>
      </c>
      <c r="Q4314">
        <v>1.47522E-3</v>
      </c>
      <c r="R4314">
        <v>-0.98572479999999996</v>
      </c>
      <c r="S4314">
        <v>-0.3437347</v>
      </c>
      <c r="T4314">
        <v>-0.2679995</v>
      </c>
      <c r="U4314">
        <v>-2.9847260000000002</v>
      </c>
      <c r="V4314">
        <v>0.12223920000000001</v>
      </c>
      <c r="W4314">
        <v>1.3859130000000001E-2</v>
      </c>
      <c r="X4314">
        <v>0.99240390000000001</v>
      </c>
      <c r="Y4314">
        <v>6.7190680000000003E-2</v>
      </c>
      <c r="Z4314">
        <v>8.889097E-2</v>
      </c>
      <c r="AA4314">
        <v>0.99377249999999995</v>
      </c>
      <c r="AB4314">
        <v>29</v>
      </c>
      <c r="AC4314">
        <v>-8.2200000000028695E-2</v>
      </c>
      <c r="AD4314">
        <v>-8.1106000000000095E-2</v>
      </c>
      <c r="AE4314">
        <v>-0.61179999999998802</v>
      </c>
      <c r="AF4314">
        <v>5.2481416596146101E-2</v>
      </c>
      <c r="AG4314">
        <v>-8.1106000000000095E-2</v>
      </c>
      <c r="AH4314">
        <v>0.60454810962972105</v>
      </c>
      <c r="AI4314">
        <v>97.612864942466302</v>
      </c>
      <c r="AJ4314">
        <v>85.0385354641856</v>
      </c>
      <c r="AK4314">
        <v>0.61221801605376402</v>
      </c>
      <c r="AL4314">
        <v>89.205904920160094</v>
      </c>
      <c r="AM4314">
        <v>82.977971331824705</v>
      </c>
      <c r="AN4314">
        <v>0.999999999118103</v>
      </c>
    </row>
    <row r="4315" spans="1:40" x14ac:dyDescent="0.25">
      <c r="A4315" t="str">
        <f>"20190312154340778"</f>
        <v>20190312154340778</v>
      </c>
      <c r="B4315" t="str">
        <f>"1552376620771895"</f>
        <v>1552376620771895</v>
      </c>
      <c r="C4315" t="s">
        <v>40</v>
      </c>
      <c r="D4315">
        <v>5.2667380000000001</v>
      </c>
      <c r="E4315">
        <v>0.47094740000000002</v>
      </c>
      <c r="F4315" t="s">
        <v>41</v>
      </c>
      <c r="G4315">
        <v>-192.55549999999999</v>
      </c>
      <c r="H4315">
        <v>1.024311</v>
      </c>
      <c r="I4315">
        <v>194.69040000000001</v>
      </c>
      <c r="J4315">
        <v>-192.49539999999999</v>
      </c>
      <c r="K4315">
        <v>1.101361</v>
      </c>
      <c r="L4315">
        <v>195.27440000000001</v>
      </c>
      <c r="M4315">
        <v>-5.6877789999999998E-2</v>
      </c>
      <c r="N4315">
        <v>0</v>
      </c>
      <c r="O4315">
        <v>-0.9982666</v>
      </c>
      <c r="P4315">
        <v>-0.17327699999999999</v>
      </c>
      <c r="Q4315">
        <v>3.1397830000000002E-3</v>
      </c>
      <c r="R4315">
        <v>-0.98486819999999997</v>
      </c>
      <c r="S4315">
        <v>-0.2876282</v>
      </c>
      <c r="T4315">
        <v>-0.26041379999999997</v>
      </c>
      <c r="U4315">
        <v>-2.9947050000000002</v>
      </c>
      <c r="V4315">
        <v>0.117332199999999</v>
      </c>
      <c r="W4315">
        <v>1.5674730000000001E-2</v>
      </c>
      <c r="X4315">
        <v>0.99296899999999999</v>
      </c>
      <c r="Y4315">
        <v>3.8470799999999999E-2</v>
      </c>
      <c r="Z4315">
        <v>8.6192729999999995E-2</v>
      </c>
      <c r="AA4315">
        <v>0.99553539999999996</v>
      </c>
      <c r="AB4315">
        <v>29</v>
      </c>
      <c r="AC4315">
        <v>-6.0100000000005503E-2</v>
      </c>
      <c r="AD4315">
        <v>-7.7049999999999993E-2</v>
      </c>
      <c r="AE4315">
        <v>-0.58400000000000296</v>
      </c>
      <c r="AF4315">
        <v>2.6328758900368999E-2</v>
      </c>
      <c r="AG4315">
        <v>-7.7049999999999993E-2</v>
      </c>
      <c r="AH4315">
        <v>0.57654251657686495</v>
      </c>
      <c r="AI4315">
        <v>97.604158236253795</v>
      </c>
      <c r="AJ4315">
        <v>87.385310912308498</v>
      </c>
      <c r="AK4315">
        <v>0.58226384008112597</v>
      </c>
      <c r="AL4315">
        <v>89.101867335120801</v>
      </c>
      <c r="AM4315">
        <v>83.261007024380902</v>
      </c>
      <c r="AN4315">
        <v>0.99999998863920603</v>
      </c>
    </row>
    <row r="4316" spans="1:40" x14ac:dyDescent="0.25">
      <c r="A4316" t="str">
        <f>"20190312154340801"</f>
        <v>20190312154340801</v>
      </c>
      <c r="B4316" t="str">
        <f>"1552376620791414"</f>
        <v>1552376620791414</v>
      </c>
      <c r="C4316" t="s">
        <v>40</v>
      </c>
      <c r="D4316">
        <v>5.2008109999999999</v>
      </c>
      <c r="E4316">
        <v>0.46943800000000002</v>
      </c>
      <c r="F4316" t="s">
        <v>41</v>
      </c>
      <c r="G4316">
        <v>-192.578</v>
      </c>
      <c r="H4316">
        <v>1.029671</v>
      </c>
      <c r="I4316">
        <v>194.42429999999999</v>
      </c>
      <c r="J4316">
        <v>-192.52209999999999</v>
      </c>
      <c r="K4316">
        <v>1.1019669999999999</v>
      </c>
      <c r="L4316">
        <v>194.97989999999999</v>
      </c>
      <c r="M4316">
        <v>-6.6066719999999995E-2</v>
      </c>
      <c r="N4316">
        <v>0</v>
      </c>
      <c r="O4316">
        <v>-0.99770239999999999</v>
      </c>
      <c r="P4316">
        <v>-0.17589009999999999</v>
      </c>
      <c r="Q4316">
        <v>5.6782459999999996E-3</v>
      </c>
      <c r="R4316">
        <v>-0.98439350000000003</v>
      </c>
      <c r="S4316">
        <v>-0.29075620000000002</v>
      </c>
      <c r="T4316">
        <v>-0.2525328</v>
      </c>
      <c r="U4316">
        <v>-2.9957729999999998</v>
      </c>
      <c r="V4316">
        <v>0.1108489</v>
      </c>
      <c r="W4316">
        <v>1.8394210000000001E-2</v>
      </c>
      <c r="X4316">
        <v>0.99366699999999997</v>
      </c>
      <c r="Y4316">
        <v>3.0287209999999998E-2</v>
      </c>
      <c r="Z4316">
        <v>8.3510130000000002E-2</v>
      </c>
      <c r="AA4316">
        <v>0.99604649999999995</v>
      </c>
      <c r="AB4316">
        <v>29</v>
      </c>
      <c r="AC4316">
        <v>-5.59000000000082E-2</v>
      </c>
      <c r="AD4316">
        <v>-7.2295999999999902E-2</v>
      </c>
      <c r="AE4316">
        <v>-0.55559999999999798</v>
      </c>
      <c r="AF4316">
        <v>1.8752704949507801E-2</v>
      </c>
      <c r="AG4316">
        <v>-7.2295999999999902E-2</v>
      </c>
      <c r="AH4316">
        <v>0.54887900503244702</v>
      </c>
      <c r="AI4316">
        <v>97.499235588611398</v>
      </c>
      <c r="AJ4316">
        <v>88.043224336276396</v>
      </c>
      <c r="AK4316">
        <v>0.55393730486791803</v>
      </c>
      <c r="AL4316">
        <v>88.946029923645298</v>
      </c>
      <c r="AM4316">
        <v>83.634665160356505</v>
      </c>
      <c r="AN4316">
        <v>0.99999996624086596</v>
      </c>
    </row>
    <row r="4317" spans="1:40" x14ac:dyDescent="0.25">
      <c r="A4317" t="str">
        <f>"20190312154340824"</f>
        <v>20190312154340824</v>
      </c>
      <c r="B4317" t="str">
        <f>"1552376620811911"</f>
        <v>1552376620811911</v>
      </c>
      <c r="C4317" t="s">
        <v>40</v>
      </c>
      <c r="D4317">
        <v>5.239808</v>
      </c>
      <c r="E4317">
        <v>0.46836070000000002</v>
      </c>
      <c r="F4317" t="s">
        <v>41</v>
      </c>
      <c r="G4317">
        <v>-192.60079999999999</v>
      </c>
      <c r="H4317">
        <v>1.03536299999999</v>
      </c>
      <c r="I4317">
        <v>194.1568</v>
      </c>
      <c r="J4317">
        <v>-192.55199999999999</v>
      </c>
      <c r="K4317">
        <v>1.102654</v>
      </c>
      <c r="L4317">
        <v>194.67349999999999</v>
      </c>
      <c r="M4317">
        <v>-7.4820429999999993E-2</v>
      </c>
      <c r="N4317">
        <v>0</v>
      </c>
      <c r="O4317">
        <v>-0.99708620000000003</v>
      </c>
      <c r="P4317">
        <v>-0.17896010000000001</v>
      </c>
      <c r="Q4317">
        <v>4.8731699999999996E-3</v>
      </c>
      <c r="R4317">
        <v>-0.98384419999999995</v>
      </c>
      <c r="S4317">
        <v>-0.28637699999999999</v>
      </c>
      <c r="T4317">
        <v>-0.24258170000000001</v>
      </c>
      <c r="U4317">
        <v>-2.9978030000000002</v>
      </c>
      <c r="V4317">
        <v>0.10517849999999999</v>
      </c>
      <c r="W4317">
        <v>1.775297E-2</v>
      </c>
      <c r="X4317">
        <v>0.99429489999999998</v>
      </c>
      <c r="Y4317">
        <v>2.0033220000000001E-2</v>
      </c>
      <c r="Z4317">
        <v>8.0128950000000004E-2</v>
      </c>
      <c r="AA4317">
        <v>0.9965832</v>
      </c>
      <c r="AB4317">
        <v>29</v>
      </c>
      <c r="AC4317">
        <v>-4.8799999999971498E-2</v>
      </c>
      <c r="AD4317">
        <v>-6.7291000000000198E-2</v>
      </c>
      <c r="AE4317">
        <v>-0.51669999999998595</v>
      </c>
      <c r="AF4317">
        <v>9.8338830402657108E-3</v>
      </c>
      <c r="AG4317">
        <v>-6.7291000000000198E-2</v>
      </c>
      <c r="AH4317">
        <v>0.51032422247503895</v>
      </c>
      <c r="AI4317">
        <v>97.5102689651047</v>
      </c>
      <c r="AJ4317">
        <v>88.896054224345804</v>
      </c>
      <c r="AK4317">
        <v>0.51483550380816001</v>
      </c>
      <c r="AL4317">
        <v>88.982776324460602</v>
      </c>
      <c r="AM4317">
        <v>83.961594128055594</v>
      </c>
      <c r="AN4317">
        <v>1.0000000164860401</v>
      </c>
    </row>
    <row r="4318" spans="1:40" x14ac:dyDescent="0.25">
      <c r="A4318" t="str">
        <f>"20190312154340845"</f>
        <v>20190312154340845</v>
      </c>
      <c r="B4318" t="str">
        <f>"1552376620831430"</f>
        <v>1552376620831430</v>
      </c>
      <c r="C4318" t="s">
        <v>40</v>
      </c>
      <c r="D4318">
        <v>5.231465</v>
      </c>
      <c r="E4318">
        <v>0.46782319999999999</v>
      </c>
      <c r="F4318" t="s">
        <v>41</v>
      </c>
      <c r="G4318">
        <v>-192.62710000000001</v>
      </c>
      <c r="H4318">
        <v>1.0385850000000001</v>
      </c>
      <c r="I4318">
        <v>193.89099999999999</v>
      </c>
      <c r="J4318">
        <v>-192.58009999999999</v>
      </c>
      <c r="K4318">
        <v>1.103313</v>
      </c>
      <c r="L4318">
        <v>194.40199999999999</v>
      </c>
      <c r="M4318">
        <v>-8.180606E-2</v>
      </c>
      <c r="N4318">
        <v>0</v>
      </c>
      <c r="O4318">
        <v>-0.99653899999999995</v>
      </c>
      <c r="P4318">
        <v>-0.179638299999999</v>
      </c>
      <c r="Q4318">
        <v>9.1468669999999997E-4</v>
      </c>
      <c r="R4318">
        <v>-0.9837323</v>
      </c>
      <c r="S4318">
        <v>-0.28694150000000002</v>
      </c>
      <c r="T4318">
        <v>-0.24537239999999999</v>
      </c>
      <c r="U4318">
        <v>-2.9982600000000001</v>
      </c>
      <c r="V4318">
        <v>9.8796899999999993E-2</v>
      </c>
      <c r="W4318">
        <v>1.3964020000000001E-2</v>
      </c>
      <c r="X4318">
        <v>0.9950097</v>
      </c>
      <c r="Y4318">
        <v>1.3191309999999999E-2</v>
      </c>
      <c r="Z4318">
        <v>8.0969620000000006E-2</v>
      </c>
      <c r="AA4318">
        <v>0.99662930000000005</v>
      </c>
      <c r="AB4318">
        <v>29</v>
      </c>
      <c r="AC4318">
        <v>-4.7000000000025403E-2</v>
      </c>
      <c r="AD4318">
        <v>-6.4727999999999897E-2</v>
      </c>
      <c r="AE4318">
        <v>-0.51100000000002399</v>
      </c>
      <c r="AF4318">
        <v>4.9561301085085099E-3</v>
      </c>
      <c r="AG4318">
        <v>-6.4727999999999897E-2</v>
      </c>
      <c r="AH4318">
        <v>0.50509586280202601</v>
      </c>
      <c r="AI4318">
        <v>97.302300358516902</v>
      </c>
      <c r="AJ4318">
        <v>89.437817163148694</v>
      </c>
      <c r="AK4318">
        <v>0.50925053542374898</v>
      </c>
      <c r="AL4318">
        <v>89.1998946346895</v>
      </c>
      <c r="AM4318">
        <v>84.329550815936599</v>
      </c>
      <c r="AN4318">
        <v>1.0000000621991201</v>
      </c>
    </row>
    <row r="4319" spans="1:40" x14ac:dyDescent="0.25">
      <c r="A4319" t="str">
        <f>"20190312154340868"</f>
        <v>20190312154340868</v>
      </c>
      <c r="B4319" t="str">
        <f>"1552376620861688"</f>
        <v>1552376620861688</v>
      </c>
      <c r="C4319" t="s">
        <v>40</v>
      </c>
      <c r="D4319">
        <v>5.2505829999999998</v>
      </c>
      <c r="E4319">
        <v>0.4601325</v>
      </c>
      <c r="F4319" t="s">
        <v>41</v>
      </c>
      <c r="G4319">
        <v>-192.65360000000001</v>
      </c>
      <c r="H4319">
        <v>1.037085</v>
      </c>
      <c r="I4319">
        <v>193.62979999999999</v>
      </c>
      <c r="J4319">
        <v>-192.613</v>
      </c>
      <c r="K4319">
        <v>1.1041129999999999</v>
      </c>
      <c r="L4319">
        <v>194.0966</v>
      </c>
      <c r="M4319">
        <v>-8.8747759999999995E-2</v>
      </c>
      <c r="N4319">
        <v>0</v>
      </c>
      <c r="O4319">
        <v>-0.99594660000000002</v>
      </c>
      <c r="P4319">
        <v>-0.1773236</v>
      </c>
      <c r="Q4319">
        <v>-3.859379E-3</v>
      </c>
      <c r="R4319">
        <v>-0.98414500000000005</v>
      </c>
      <c r="S4319">
        <v>-0.28483579999999997</v>
      </c>
      <c r="T4319">
        <v>-0.2570192</v>
      </c>
      <c r="U4319">
        <v>-2.9978180000000001</v>
      </c>
      <c r="V4319">
        <v>8.942071E-2</v>
      </c>
      <c r="W4319">
        <v>9.4086380000000004E-3</v>
      </c>
      <c r="X4319">
        <v>0.99594950000000004</v>
      </c>
      <c r="Y4319">
        <v>5.5142589999999997E-3</v>
      </c>
      <c r="Z4319">
        <v>8.4728250000000005E-2</v>
      </c>
      <c r="AA4319">
        <v>0.99638890000000002</v>
      </c>
      <c r="AB4319">
        <v>29</v>
      </c>
      <c r="AC4319">
        <v>-4.0600000000011897E-2</v>
      </c>
      <c r="AD4319">
        <v>-6.7027999999999796E-2</v>
      </c>
      <c r="AE4319">
        <v>-0.46680000000000599</v>
      </c>
      <c r="AF4319">
        <v>-9.7223346626131696E-4</v>
      </c>
      <c r="AG4319">
        <v>-6.7027999999999796E-2</v>
      </c>
      <c r="AH4319">
        <v>0.45916513668713999</v>
      </c>
      <c r="AI4319">
        <v>98.305241606938395</v>
      </c>
      <c r="AJ4319">
        <v>90.121317553575594</v>
      </c>
      <c r="AK4319">
        <v>0.464032672094146</v>
      </c>
      <c r="AL4319">
        <v>89.460916795888494</v>
      </c>
      <c r="AM4319">
        <v>84.869490436427796</v>
      </c>
      <c r="AN4319">
        <v>0.999999996198084</v>
      </c>
    </row>
    <row r="4320" spans="1:40" x14ac:dyDescent="0.25">
      <c r="A4320" t="str">
        <f>"20190312154340901"</f>
        <v>20190312154340901</v>
      </c>
      <c r="B4320" t="str">
        <f>"1552376620891943"</f>
        <v>1552376620891943</v>
      </c>
      <c r="C4320" t="s">
        <v>40</v>
      </c>
      <c r="D4320">
        <v>5.2516119999999997</v>
      </c>
      <c r="E4320">
        <v>0.45938770000000001</v>
      </c>
      <c r="F4320" t="s">
        <v>41</v>
      </c>
      <c r="G4320">
        <v>-192.68379999999999</v>
      </c>
      <c r="H4320">
        <v>1.014173</v>
      </c>
      <c r="I4320">
        <v>193.11940000000001</v>
      </c>
      <c r="J4320">
        <v>-192.66239999999999</v>
      </c>
      <c r="K4320">
        <v>1.1053219999999999</v>
      </c>
      <c r="L4320">
        <v>193.65600000000001</v>
      </c>
      <c r="M4320">
        <v>-9.6827159999999995E-2</v>
      </c>
      <c r="N4320">
        <v>0</v>
      </c>
      <c r="O4320">
        <v>-0.99519630000000003</v>
      </c>
      <c r="P4320">
        <v>-0.17790159999999999</v>
      </c>
      <c r="Q4320">
        <v>-3.4797980000000001E-3</v>
      </c>
      <c r="R4320">
        <v>-0.98404199999999997</v>
      </c>
      <c r="S4320">
        <v>-0.2175598</v>
      </c>
      <c r="T4320">
        <v>-0.27682970000000001</v>
      </c>
      <c r="U4320">
        <v>-3.0080260000000001</v>
      </c>
      <c r="V4320">
        <v>8.1896159999999996E-2</v>
      </c>
      <c r="W4320">
        <v>9.9774770000000002E-3</v>
      </c>
      <c r="X4320">
        <v>0.99659089999999995</v>
      </c>
      <c r="Y4320">
        <v>-2.5085799999999998E-2</v>
      </c>
      <c r="Z4320">
        <v>9.086727E-2</v>
      </c>
      <c r="AA4320">
        <v>0.99554699999999996</v>
      </c>
      <c r="AB4320">
        <v>29</v>
      </c>
      <c r="AC4320">
        <v>-2.1399999999999801E-2</v>
      </c>
      <c r="AD4320">
        <v>-9.1148999999999897E-2</v>
      </c>
      <c r="AE4320">
        <v>-0.53659999999996399</v>
      </c>
      <c r="AF4320">
        <v>-2.9804838869064699E-2</v>
      </c>
      <c r="AG4320">
        <v>-9.1148999999999897E-2</v>
      </c>
      <c r="AH4320">
        <v>0.52113751816570497</v>
      </c>
      <c r="AI4320">
        <v>99.9050398804944</v>
      </c>
      <c r="AJ4320">
        <v>93.273288065904893</v>
      </c>
      <c r="AK4320">
        <v>0.52988751774402199</v>
      </c>
      <c r="AL4320">
        <v>89.428323178942605</v>
      </c>
      <c r="AM4320">
        <v>85.302200105204705</v>
      </c>
      <c r="AN4320">
        <v>0.99999997651642003</v>
      </c>
    </row>
    <row r="4321" spans="1:40" x14ac:dyDescent="0.25">
      <c r="A4321" t="str">
        <f>"20190312154340924"</f>
        <v>20190312154340924</v>
      </c>
      <c r="B4321" t="str">
        <f>"1552376620911463"</f>
        <v>1552376620911463</v>
      </c>
      <c r="C4321" t="s">
        <v>40</v>
      </c>
      <c r="D4321">
        <v>5.2334500000000004</v>
      </c>
      <c r="E4321">
        <v>0.4590515</v>
      </c>
      <c r="F4321" t="s">
        <v>43</v>
      </c>
      <c r="G4321">
        <v>-193.5181</v>
      </c>
      <c r="H4321" s="1">
        <v>-1.7838110000000001E-6</v>
      </c>
      <c r="I4321">
        <v>181.5652</v>
      </c>
      <c r="J4321">
        <v>-192.6952</v>
      </c>
      <c r="K4321">
        <v>1.106031</v>
      </c>
      <c r="L4321">
        <v>193.3708</v>
      </c>
      <c r="M4321">
        <v>-0.10110760000000001</v>
      </c>
      <c r="N4321">
        <v>0</v>
      </c>
      <c r="O4321">
        <v>-0.99477179999999998</v>
      </c>
      <c r="P4321">
        <v>-0.17866960000000001</v>
      </c>
      <c r="Q4321">
        <v>-1.7867670000000001E-3</v>
      </c>
      <c r="R4321">
        <v>-0.98390730000000004</v>
      </c>
      <c r="S4321">
        <v>-0.21296689999999999</v>
      </c>
      <c r="T4321">
        <v>-0.275091799999999</v>
      </c>
      <c r="U4321">
        <v>-3.0091549999999998</v>
      </c>
      <c r="V4321">
        <v>7.8385109999999994E-2</v>
      </c>
      <c r="W4321">
        <v>1.174978E-2</v>
      </c>
      <c r="X4321">
        <v>0.99685389999999996</v>
      </c>
      <c r="Y4321">
        <v>-3.0920349999999999E-2</v>
      </c>
      <c r="Z4321">
        <v>9.0207540000000003E-2</v>
      </c>
      <c r="AA4321">
        <v>0.99544290000000002</v>
      </c>
      <c r="AB4321">
        <v>29</v>
      </c>
      <c r="AC4321">
        <v>-0.82290000000000396</v>
      </c>
      <c r="AD4321">
        <v>-1.106032783811</v>
      </c>
      <c r="AE4321">
        <v>-11.805599999999901</v>
      </c>
      <c r="AF4321">
        <v>-0.371828996830601</v>
      </c>
      <c r="AG4321">
        <v>-1.106032783811</v>
      </c>
      <c r="AH4321">
        <v>11.7258760367737</v>
      </c>
      <c r="AI4321">
        <v>95.385739453097202</v>
      </c>
      <c r="AJ4321">
        <v>91.8162477380111</v>
      </c>
      <c r="AK4321">
        <v>11.7837911620807</v>
      </c>
      <c r="AL4321">
        <v>89.326771698021403</v>
      </c>
      <c r="AM4321">
        <v>85.503941115990997</v>
      </c>
      <c r="AN4321">
        <v>0.99999999037248499</v>
      </c>
    </row>
    <row r="4322" spans="1:40" x14ac:dyDescent="0.25">
      <c r="A4322" t="str">
        <f>"20190312154340945"</f>
        <v>20190312154340945</v>
      </c>
      <c r="B4322" t="str">
        <f>"1552376620931959"</f>
        <v>1552376620931959</v>
      </c>
      <c r="C4322" t="s">
        <v>40</v>
      </c>
      <c r="D4322">
        <v>5.2077660000000003</v>
      </c>
      <c r="E4322">
        <v>0.4585516</v>
      </c>
      <c r="F4322" t="s">
        <v>43</v>
      </c>
      <c r="G4322">
        <v>-193.56569999999999</v>
      </c>
      <c r="H4322" s="1">
        <v>-1.5697129999999999E-6</v>
      </c>
      <c r="I4322">
        <v>181.03659999999999</v>
      </c>
      <c r="J4322">
        <v>-192.727</v>
      </c>
      <c r="K4322">
        <v>1.1067229999999999</v>
      </c>
      <c r="L4322">
        <v>193.09700000000001</v>
      </c>
      <c r="M4322">
        <v>-0.1043124</v>
      </c>
      <c r="N4322">
        <v>0</v>
      </c>
      <c r="O4322">
        <v>-0.99444200000000005</v>
      </c>
      <c r="P4322">
        <v>-0.1790783</v>
      </c>
      <c r="Q4322">
        <v>-2.2327050000000002E-3</v>
      </c>
      <c r="R4322">
        <v>-0.98383240000000005</v>
      </c>
      <c r="S4322">
        <v>-0.21243290000000001</v>
      </c>
      <c r="T4322">
        <v>-0.26991379999999998</v>
      </c>
      <c r="U4322">
        <v>-3.0100099999999999</v>
      </c>
      <c r="V4322">
        <v>7.5563089999999999E-2</v>
      </c>
      <c r="W4322">
        <v>1.1368329999999999E-2</v>
      </c>
      <c r="X4322">
        <v>0.99707619999999997</v>
      </c>
      <c r="Y4322">
        <v>-3.4325309999999998E-2</v>
      </c>
      <c r="Z4322">
        <v>8.8449749999999994E-2</v>
      </c>
      <c r="AA4322">
        <v>0.99548910000000002</v>
      </c>
      <c r="AB4322">
        <v>29</v>
      </c>
      <c r="AC4322">
        <v>-0.83869999999998801</v>
      </c>
      <c r="AD4322">
        <v>-1.1067245697129999</v>
      </c>
      <c r="AE4322">
        <v>-12.0604</v>
      </c>
      <c r="AF4322">
        <v>-0.42052985232336199</v>
      </c>
      <c r="AG4322">
        <v>-1.1067245697129999</v>
      </c>
      <c r="AH4322">
        <v>11.981677472753599</v>
      </c>
      <c r="AI4322">
        <v>95.274097668035395</v>
      </c>
      <c r="AJ4322">
        <v>92.0101274972954</v>
      </c>
      <c r="AK4322">
        <v>12.0400282263371</v>
      </c>
      <c r="AL4322">
        <v>89.348628629562995</v>
      </c>
      <c r="AM4322">
        <v>85.6661425375204</v>
      </c>
      <c r="AN4322">
        <v>0.99999998405188795</v>
      </c>
    </row>
    <row r="4323" spans="1:40" x14ac:dyDescent="0.25">
      <c r="A4323" t="str">
        <f>"20190312154340967"</f>
        <v>20190312154340967</v>
      </c>
      <c r="B4323" t="str">
        <f>"1552376620962215"</f>
        <v>1552376620962215</v>
      </c>
      <c r="C4323" t="s">
        <v>40</v>
      </c>
      <c r="D4323">
        <v>5.2597389999999997</v>
      </c>
      <c r="E4323">
        <v>0.45785389999999998</v>
      </c>
      <c r="F4323" t="s">
        <v>43</v>
      </c>
      <c r="G4323">
        <v>-193.5813</v>
      </c>
      <c r="H4323" s="1">
        <v>-1.4875130000000001E-6</v>
      </c>
      <c r="I4323">
        <v>180.83529999999999</v>
      </c>
      <c r="J4323">
        <v>-192.76070000000001</v>
      </c>
      <c r="K4323">
        <v>1.1075109999999999</v>
      </c>
      <c r="L4323">
        <v>192.8073</v>
      </c>
      <c r="M4323">
        <v>-0.1066964</v>
      </c>
      <c r="N4323">
        <v>0</v>
      </c>
      <c r="O4323">
        <v>-0.99419049999999998</v>
      </c>
      <c r="P4323">
        <v>-0.17901199999999901</v>
      </c>
      <c r="Q4323">
        <v>-3.2455100000000001E-3</v>
      </c>
      <c r="R4323">
        <v>-0.98384179999999999</v>
      </c>
      <c r="S4323">
        <v>-0.20976259999999999</v>
      </c>
      <c r="T4323">
        <v>-0.27172180000000001</v>
      </c>
      <c r="U4323">
        <v>-3.0104829999999998</v>
      </c>
      <c r="V4323">
        <v>7.3076459999999996E-2</v>
      </c>
      <c r="W4323">
        <v>1.0429020000000001E-2</v>
      </c>
      <c r="X4323">
        <v>0.99727180000000004</v>
      </c>
      <c r="Y4323">
        <v>-3.761428E-2</v>
      </c>
      <c r="Z4323">
        <v>8.8987129999999998E-2</v>
      </c>
      <c r="AA4323">
        <v>0.99532229999999999</v>
      </c>
      <c r="AB4323">
        <v>29</v>
      </c>
      <c r="AC4323">
        <v>-0.82059999999998401</v>
      </c>
      <c r="AD4323">
        <v>-1.107512487513</v>
      </c>
      <c r="AE4323">
        <v>-11.972</v>
      </c>
      <c r="AF4323">
        <v>-0.45768452508396601</v>
      </c>
      <c r="AG4323">
        <v>-1.107512487513</v>
      </c>
      <c r="AH4323">
        <v>11.8899334162782</v>
      </c>
      <c r="AI4323">
        <v>95.3176632381834</v>
      </c>
      <c r="AJ4323">
        <v>92.204423699467995</v>
      </c>
      <c r="AK4323">
        <v>11.9501705292446</v>
      </c>
      <c r="AL4323">
        <v>89.402450330171405</v>
      </c>
      <c r="AM4323">
        <v>85.809063377639305</v>
      </c>
      <c r="AN4323">
        <v>0.99999998826976499</v>
      </c>
    </row>
    <row r="4324" spans="1:40" x14ac:dyDescent="0.25">
      <c r="A4324" t="str">
        <f>"20190312154340992"</f>
        <v>20190312154340992</v>
      </c>
      <c r="B4324" t="str">
        <f>"1552376620981735"</f>
        <v>1552376620981735</v>
      </c>
      <c r="C4324" t="s">
        <v>40</v>
      </c>
      <c r="D4324">
        <v>5.2273649999999998</v>
      </c>
      <c r="E4324">
        <v>0.4531153</v>
      </c>
      <c r="F4324" t="s">
        <v>43</v>
      </c>
      <c r="G4324">
        <v>-193.58500000000001</v>
      </c>
      <c r="H4324" s="1">
        <v>-1.390743E-6</v>
      </c>
      <c r="I4324">
        <v>180.60749999999999</v>
      </c>
      <c r="J4324">
        <v>-192.79580000000001</v>
      </c>
      <c r="K4324">
        <v>1.108403</v>
      </c>
      <c r="L4324">
        <v>192.5016</v>
      </c>
      <c r="M4324">
        <v>-0.10804809999999999</v>
      </c>
      <c r="N4324">
        <v>0</v>
      </c>
      <c r="O4324">
        <v>-0.99404570000000003</v>
      </c>
      <c r="P4324">
        <v>-0.17801</v>
      </c>
      <c r="Q4324">
        <v>-5.4300659999999999E-3</v>
      </c>
      <c r="R4324">
        <v>-0.98401400000000006</v>
      </c>
      <c r="S4324">
        <v>-0.20346069999999999</v>
      </c>
      <c r="T4324">
        <v>-0.2733718</v>
      </c>
      <c r="U4324">
        <v>-3.0113370000000002</v>
      </c>
      <c r="V4324">
        <v>7.0673340000000001E-2</v>
      </c>
      <c r="W4324">
        <v>8.3362729999999999E-3</v>
      </c>
      <c r="X4324">
        <v>0.99746469999999998</v>
      </c>
      <c r="Y4324">
        <v>-4.106841E-2</v>
      </c>
      <c r="Z4324">
        <v>8.9478429999999998E-2</v>
      </c>
      <c r="AA4324">
        <v>0.99514170000000002</v>
      </c>
      <c r="AB4324">
        <v>29</v>
      </c>
      <c r="AC4324">
        <v>-0.78919999999999302</v>
      </c>
      <c r="AD4324">
        <v>-1.1084043907429999</v>
      </c>
      <c r="AE4324">
        <v>-11.8941</v>
      </c>
      <c r="AF4324">
        <v>-0.496391893322642</v>
      </c>
      <c r="AG4324">
        <v>-1.1084043907429999</v>
      </c>
      <c r="AH4324">
        <v>11.8076428492729</v>
      </c>
      <c r="AI4324">
        <v>95.358036262609801</v>
      </c>
      <c r="AJ4324">
        <v>92.407290210536701</v>
      </c>
      <c r="AK4324">
        <v>11.8699365988686</v>
      </c>
      <c r="AL4324">
        <v>89.522361218068198</v>
      </c>
      <c r="AM4324">
        <v>85.947196480407101</v>
      </c>
      <c r="AN4324">
        <v>1.00000002109018</v>
      </c>
    </row>
    <row r="4325" spans="1:40" x14ac:dyDescent="0.25">
      <c r="A4325" t="str">
        <f>"20190312154341012"</f>
        <v>20190312154341012</v>
      </c>
      <c r="B4325" t="str">
        <f>"1552376621001259"</f>
        <v>1552376621001259</v>
      </c>
      <c r="C4325" t="s">
        <v>40</v>
      </c>
      <c r="D4325">
        <v>5.2431190000000001</v>
      </c>
      <c r="E4325">
        <v>0.45322519999999999</v>
      </c>
      <c r="F4325" t="s">
        <v>43</v>
      </c>
      <c r="G4325">
        <v>-193.41980000000001</v>
      </c>
      <c r="H4325" s="1">
        <v>-1.465898E-6</v>
      </c>
      <c r="I4325">
        <v>180.88509999999999</v>
      </c>
      <c r="J4325">
        <v>-192.8272</v>
      </c>
      <c r="K4325">
        <v>1.109226</v>
      </c>
      <c r="L4325">
        <v>192.22190000000001</v>
      </c>
      <c r="M4325">
        <v>-0.1083698</v>
      </c>
      <c r="N4325">
        <v>0</v>
      </c>
      <c r="O4325">
        <v>-0.99401150000000005</v>
      </c>
      <c r="P4325">
        <v>-0.1773711</v>
      </c>
      <c r="Q4325">
        <v>-6.9905159999999996E-3</v>
      </c>
      <c r="R4325">
        <v>-0.98411959999999998</v>
      </c>
      <c r="S4325">
        <v>-0.16209409999999999</v>
      </c>
      <c r="T4325">
        <v>-0.28794989999999998</v>
      </c>
      <c r="U4325">
        <v>-3.0178219999999998</v>
      </c>
      <c r="V4325">
        <v>6.9683590000000004E-2</v>
      </c>
      <c r="W4325">
        <v>6.8590750000000001E-3</v>
      </c>
      <c r="X4325">
        <v>0.99754549999999997</v>
      </c>
      <c r="Y4325">
        <v>-5.5143989999999997E-2</v>
      </c>
      <c r="Z4325">
        <v>9.4009060000000005E-2</v>
      </c>
      <c r="AA4325">
        <v>0.99404300000000001</v>
      </c>
      <c r="AB4325">
        <v>29</v>
      </c>
      <c r="AC4325">
        <v>-0.59260000000000401</v>
      </c>
      <c r="AD4325">
        <v>-1.1092274658979999</v>
      </c>
      <c r="AE4325">
        <v>-11.3368</v>
      </c>
      <c r="AF4325">
        <v>-0.63353014726318801</v>
      </c>
      <c r="AG4325">
        <v>-1.1092274658979999</v>
      </c>
      <c r="AH4325">
        <v>11.2270599115331</v>
      </c>
      <c r="AI4325">
        <v>95.633575948242694</v>
      </c>
      <c r="AJ4325">
        <v>93.22971016724</v>
      </c>
      <c r="AK4325">
        <v>11.299496461159199</v>
      </c>
      <c r="AL4325">
        <v>89.607000844808496</v>
      </c>
      <c r="AM4325">
        <v>86.004091714309297</v>
      </c>
      <c r="AN4325">
        <v>0.99999993709769397</v>
      </c>
    </row>
    <row r="4326" spans="1:40" x14ac:dyDescent="0.25">
      <c r="A4326" t="str">
        <f>"20190312154341034"</f>
        <v>20190312154341034</v>
      </c>
      <c r="B4326" t="str">
        <f>"1552376621031510"</f>
        <v>1552376621031510</v>
      </c>
      <c r="C4326" t="s">
        <v>40</v>
      </c>
      <c r="D4326">
        <v>5.3621749999999997</v>
      </c>
      <c r="E4326">
        <v>0.45296969999999998</v>
      </c>
      <c r="F4326" t="s">
        <v>43</v>
      </c>
      <c r="G4326">
        <v>-193.44399999999999</v>
      </c>
      <c r="H4326" s="1">
        <v>-1.3629370000000001E-6</v>
      </c>
      <c r="I4326">
        <v>180.6301</v>
      </c>
      <c r="J4326">
        <v>-192.85740000000001</v>
      </c>
      <c r="K4326">
        <v>1.1099669999999999</v>
      </c>
      <c r="L4326">
        <v>191.9461</v>
      </c>
      <c r="M4326">
        <v>-0.1079336</v>
      </c>
      <c r="N4326">
        <v>0</v>
      </c>
      <c r="O4326">
        <v>-0.99405969999999999</v>
      </c>
      <c r="P4326">
        <v>-0.1772561</v>
      </c>
      <c r="Q4326">
        <v>-6.3771059999999996E-3</v>
      </c>
      <c r="R4326">
        <v>-0.98414449999999998</v>
      </c>
      <c r="S4326">
        <v>-0.16053770000000001</v>
      </c>
      <c r="T4326">
        <v>-0.28873910000000003</v>
      </c>
      <c r="U4326">
        <v>-3.0174259999999999</v>
      </c>
      <c r="V4326">
        <v>6.9992620000000005E-2</v>
      </c>
      <c r="W4326">
        <v>7.5437949999999998E-3</v>
      </c>
      <c r="X4326">
        <v>0.99751900000000004</v>
      </c>
      <c r="Y4326">
        <v>-5.5211469999999999E-2</v>
      </c>
      <c r="Z4326">
        <v>9.4284510000000002E-2</v>
      </c>
      <c r="AA4326">
        <v>0.99401309999999998</v>
      </c>
      <c r="AB4326">
        <v>29</v>
      </c>
      <c r="AC4326">
        <v>-0.58660000000000401</v>
      </c>
      <c r="AD4326">
        <v>-1.1099683629370001</v>
      </c>
      <c r="AE4326">
        <v>-11.316000000000001</v>
      </c>
      <c r="AF4326">
        <v>-0.63225679345455699</v>
      </c>
      <c r="AG4326">
        <v>-1.1099683629370001</v>
      </c>
      <c r="AH4326">
        <v>11.205675571253201</v>
      </c>
      <c r="AI4326">
        <v>95.648004957975999</v>
      </c>
      <c r="AJ4326">
        <v>93.229370409760705</v>
      </c>
      <c r="AK4326">
        <v>11.278250902856</v>
      </c>
      <c r="AL4326">
        <v>89.567768291999897</v>
      </c>
      <c r="AM4326">
        <v>85.9863223312298</v>
      </c>
      <c r="AN4326">
        <v>1.0000000155292299</v>
      </c>
    </row>
    <row r="4327" spans="1:40" x14ac:dyDescent="0.25">
      <c r="A4327" t="str">
        <f>"20190312154341057"</f>
        <v>20190312154341057</v>
      </c>
      <c r="B4327" t="str">
        <f>"1552376621052007"</f>
        <v>1552376621052007</v>
      </c>
      <c r="C4327" t="s">
        <v>40</v>
      </c>
      <c r="D4327">
        <v>5.3164629999999997</v>
      </c>
      <c r="E4327">
        <v>0.45265549999999999</v>
      </c>
      <c r="F4327" t="s">
        <v>43</v>
      </c>
      <c r="G4327">
        <v>-193.4666</v>
      </c>
      <c r="H4327" s="1">
        <v>-1.2163929999999999E-6</v>
      </c>
      <c r="I4327">
        <v>180.27449999999999</v>
      </c>
      <c r="J4327">
        <v>-192.88820000000001</v>
      </c>
      <c r="K4327">
        <v>1.1106579999999999</v>
      </c>
      <c r="L4327">
        <v>191.6558</v>
      </c>
      <c r="M4327">
        <v>-0.1066747</v>
      </c>
      <c r="N4327">
        <v>0</v>
      </c>
      <c r="O4327">
        <v>-0.99419610000000003</v>
      </c>
      <c r="P4327">
        <v>-0.17780860000000001</v>
      </c>
      <c r="Q4327">
        <v>-2.7973379999999999E-3</v>
      </c>
      <c r="R4327">
        <v>-0.98406110000000002</v>
      </c>
      <c r="S4327">
        <v>-0.1575165</v>
      </c>
      <c r="T4327">
        <v>-0.28702440000000001</v>
      </c>
      <c r="U4327">
        <v>-3.0181269999999998</v>
      </c>
      <c r="V4327">
        <v>7.1798479999999998E-2</v>
      </c>
      <c r="W4327">
        <v>1.1186669999999999E-2</v>
      </c>
      <c r="X4327">
        <v>0.99735640000000003</v>
      </c>
      <c r="Y4327">
        <v>-5.494872E-2</v>
      </c>
      <c r="Z4327">
        <v>9.3730359999999999E-2</v>
      </c>
      <c r="AA4327">
        <v>0.99408010000000002</v>
      </c>
      <c r="AB4327">
        <v>29</v>
      </c>
      <c r="AC4327">
        <v>-0.57839999999998704</v>
      </c>
      <c r="AD4327">
        <v>-1.110659216393</v>
      </c>
      <c r="AE4327">
        <v>-11.3813</v>
      </c>
      <c r="AF4327">
        <v>-0.63310237528875501</v>
      </c>
      <c r="AG4327">
        <v>-1.110659216393</v>
      </c>
      <c r="AH4327">
        <v>11.270993794861999</v>
      </c>
      <c r="AI4327">
        <v>95.619034873208804</v>
      </c>
      <c r="AJ4327">
        <v>93.214979659367899</v>
      </c>
      <c r="AK4327">
        <v>11.343266003950299</v>
      </c>
      <c r="AL4327">
        <v>89.359037637808996</v>
      </c>
      <c r="AM4327">
        <v>85.882449294622205</v>
      </c>
      <c r="AN4327">
        <v>0.999999975968479</v>
      </c>
    </row>
    <row r="4328" spans="1:40" x14ac:dyDescent="0.25">
      <c r="A4328" t="str">
        <f>"20190312154341080"</f>
        <v>20190312154341080</v>
      </c>
      <c r="B4328" t="str">
        <f>"1552376621071526"</f>
        <v>1552376621071526</v>
      </c>
      <c r="C4328" t="s">
        <v>40</v>
      </c>
      <c r="D4328">
        <v>5.196364</v>
      </c>
      <c r="E4328">
        <v>0.45132299999999997</v>
      </c>
      <c r="F4328" t="s">
        <v>43</v>
      </c>
      <c r="G4328">
        <v>-193.51750000000001</v>
      </c>
      <c r="H4328" s="1">
        <v>-4.884194E-6</v>
      </c>
      <c r="I4328">
        <v>179.50569999999999</v>
      </c>
      <c r="J4328">
        <v>-192.91829999999999</v>
      </c>
      <c r="K4328">
        <v>1.1112850000000001</v>
      </c>
      <c r="L4328">
        <v>191.3603</v>
      </c>
      <c r="M4328">
        <v>-0.10460940000000001</v>
      </c>
      <c r="N4328">
        <v>0</v>
      </c>
      <c r="O4328">
        <v>-0.99441639999999998</v>
      </c>
      <c r="P4328">
        <v>-0.1772627</v>
      </c>
      <c r="Q4328">
        <v>4.3322569999999999E-4</v>
      </c>
      <c r="R4328">
        <v>-0.98416380000000003</v>
      </c>
      <c r="S4328">
        <v>-0.1564026</v>
      </c>
      <c r="T4328">
        <v>-0.27602490000000002</v>
      </c>
      <c r="U4328">
        <v>-3.0195620000000001</v>
      </c>
      <c r="V4328">
        <v>7.3292109999999994E-2</v>
      </c>
      <c r="W4328">
        <v>1.4481340000000001E-2</v>
      </c>
      <c r="X4328">
        <v>0.99720540000000002</v>
      </c>
      <c r="Y4328">
        <v>-5.324773E-2</v>
      </c>
      <c r="Z4328">
        <v>9.0161069999999996E-2</v>
      </c>
      <c r="AA4328">
        <v>0.99450269999999996</v>
      </c>
      <c r="AB4328">
        <v>29</v>
      </c>
      <c r="AC4328">
        <v>-0.59920000000002405</v>
      </c>
      <c r="AD4328">
        <v>-1.111289884194</v>
      </c>
      <c r="AE4328">
        <v>-11.8546</v>
      </c>
      <c r="AF4328">
        <v>-0.638711854044264</v>
      </c>
      <c r="AG4328">
        <v>-1.111289884194</v>
      </c>
      <c r="AH4328">
        <v>11.7492467033147</v>
      </c>
      <c r="AI4328">
        <v>95.395266423317196</v>
      </c>
      <c r="AJ4328">
        <v>93.111646986236195</v>
      </c>
      <c r="AK4328">
        <v>11.818955797132</v>
      </c>
      <c r="AL4328">
        <v>89.170251355328304</v>
      </c>
      <c r="AM4328">
        <v>85.796461230324695</v>
      </c>
      <c r="AN4328">
        <v>1.0000000261927999</v>
      </c>
    </row>
    <row r="4329" spans="1:40" x14ac:dyDescent="0.25">
      <c r="A4329" t="str">
        <f>"20190312154341102"</f>
        <v>20190312154341102</v>
      </c>
      <c r="B4329" t="str">
        <f>"1552376621092022"</f>
        <v>1552376621092022</v>
      </c>
      <c r="C4329" t="s">
        <v>40</v>
      </c>
      <c r="D4329">
        <v>5.2820159999999996</v>
      </c>
      <c r="E4329">
        <v>0.450739</v>
      </c>
      <c r="F4329" t="s">
        <v>43</v>
      </c>
      <c r="G4329">
        <v>-193.50800000000001</v>
      </c>
      <c r="H4329" s="1">
        <v>-4.7244080000000003E-6</v>
      </c>
      <c r="I4329">
        <v>179.0411</v>
      </c>
      <c r="J4329">
        <v>-192.9461</v>
      </c>
      <c r="K4329">
        <v>1.111836</v>
      </c>
      <c r="L4329">
        <v>191.07490000000001</v>
      </c>
      <c r="M4329">
        <v>-0.1019627</v>
      </c>
      <c r="N4329">
        <v>0</v>
      </c>
      <c r="O4329">
        <v>-0.99469160000000001</v>
      </c>
      <c r="P4329">
        <v>-0.176511</v>
      </c>
      <c r="Q4329">
        <v>8.5275879999999996E-4</v>
      </c>
      <c r="R4329">
        <v>-0.98429820000000001</v>
      </c>
      <c r="S4329">
        <v>-0.1446838</v>
      </c>
      <c r="T4329">
        <v>-0.27263999999999999</v>
      </c>
      <c r="U4329">
        <v>-3.0223390000000001</v>
      </c>
      <c r="V4329">
        <v>7.516391E-2</v>
      </c>
      <c r="W4329">
        <v>1.496862E-2</v>
      </c>
      <c r="X4329">
        <v>0.99705889999999997</v>
      </c>
      <c r="Y4329">
        <v>-5.4478949999999998E-2</v>
      </c>
      <c r="Z4329">
        <v>8.9025649999999998E-2</v>
      </c>
      <c r="AA4329">
        <v>0.99453829999999999</v>
      </c>
      <c r="AB4329">
        <v>29</v>
      </c>
      <c r="AC4329">
        <v>-0.56189999999997997</v>
      </c>
      <c r="AD4329">
        <v>-1.111840724408</v>
      </c>
      <c r="AE4329">
        <v>-12.033799999999999</v>
      </c>
      <c r="AF4329">
        <v>-0.66250260436225505</v>
      </c>
      <c r="AG4329">
        <v>-1.111840724408</v>
      </c>
      <c r="AH4329">
        <v>11.926777397098199</v>
      </c>
      <c r="AI4329">
        <v>95.317697226643602</v>
      </c>
      <c r="AJ4329">
        <v>93.179369688263506</v>
      </c>
      <c r="AK4329">
        <v>11.996796179696201</v>
      </c>
      <c r="AL4329">
        <v>89.142329271364304</v>
      </c>
      <c r="AM4329">
        <v>85.688876111630606</v>
      </c>
      <c r="AN4329">
        <v>1.0000000615101901</v>
      </c>
    </row>
    <row r="4330" spans="1:40" x14ac:dyDescent="0.25">
      <c r="A4330" t="str">
        <f>"20190312154341123"</f>
        <v>20190312154341123</v>
      </c>
      <c r="B4330" t="str">
        <f>"1552376621111543"</f>
        <v>1552376621111543</v>
      </c>
      <c r="C4330" t="s">
        <v>40</v>
      </c>
      <c r="D4330">
        <v>5.2874379999999999</v>
      </c>
      <c r="E4330">
        <v>0.45016519999999999</v>
      </c>
      <c r="F4330" t="s">
        <v>43</v>
      </c>
      <c r="G4330">
        <v>-193.50479999999999</v>
      </c>
      <c r="H4330" s="1">
        <v>-4.6598179999999999E-6</v>
      </c>
      <c r="I4330">
        <v>178.85299999999901</v>
      </c>
      <c r="J4330">
        <v>-192.97110000000001</v>
      </c>
      <c r="K4330">
        <v>1.1123099999999999</v>
      </c>
      <c r="L4330">
        <v>190.80539999999999</v>
      </c>
      <c r="M4330">
        <v>-9.8963220000000005E-2</v>
      </c>
      <c r="N4330">
        <v>0</v>
      </c>
      <c r="O4330">
        <v>-0.99499479999999996</v>
      </c>
      <c r="P4330">
        <v>-0.17574189999999901</v>
      </c>
      <c r="Q4330">
        <v>-3.1187959999999997E-4</v>
      </c>
      <c r="R4330">
        <v>-0.98443659999999999</v>
      </c>
      <c r="S4330">
        <v>-0.13821410000000001</v>
      </c>
      <c r="T4330">
        <v>-0.27503309999999997</v>
      </c>
      <c r="U4330">
        <v>-3.0233150000000002</v>
      </c>
      <c r="V4330">
        <v>7.7379569999999995E-2</v>
      </c>
      <c r="W4330">
        <v>1.387391E-2</v>
      </c>
      <c r="X4330">
        <v>0.99690509999999999</v>
      </c>
      <c r="Y4330">
        <v>-5.361051E-2</v>
      </c>
      <c r="Z4330">
        <v>8.9819540000000003E-2</v>
      </c>
      <c r="AA4330">
        <v>0.99451409999999996</v>
      </c>
      <c r="AB4330">
        <v>29</v>
      </c>
      <c r="AC4330">
        <v>-0.53369999999998097</v>
      </c>
      <c r="AD4330">
        <v>-1.112314659818</v>
      </c>
      <c r="AE4330">
        <v>-11.952400000000001</v>
      </c>
      <c r="AF4330">
        <v>-0.64629559608707898</v>
      </c>
      <c r="AG4330">
        <v>-1.112314659818</v>
      </c>
      <c r="AH4330">
        <v>11.8441644502046</v>
      </c>
      <c r="AI4330">
        <v>95.357129206099899</v>
      </c>
      <c r="AJ4330">
        <v>93.123337506336</v>
      </c>
      <c r="AK4330">
        <v>11.9138227879828</v>
      </c>
      <c r="AL4330">
        <v>89.205057952814499</v>
      </c>
      <c r="AM4330">
        <v>85.561612549141103</v>
      </c>
      <c r="AN4330">
        <v>0.99999993081903904</v>
      </c>
    </row>
    <row r="4331" spans="1:40" x14ac:dyDescent="0.25">
      <c r="A4331" t="str">
        <f>"20190312154341145"</f>
        <v>20190312154341145</v>
      </c>
      <c r="B4331" t="str">
        <f>"1552376621141799"</f>
        <v>1552376621141799</v>
      </c>
      <c r="C4331" t="s">
        <v>40</v>
      </c>
      <c r="D4331">
        <v>5.2882230000000003</v>
      </c>
      <c r="E4331">
        <v>0.44948900000000003</v>
      </c>
      <c r="F4331" t="s">
        <v>43</v>
      </c>
      <c r="G4331">
        <v>-193.4922</v>
      </c>
      <c r="H4331" s="1">
        <v>-4.6634600000000001E-6</v>
      </c>
      <c r="I4331">
        <v>178.87029999999999</v>
      </c>
      <c r="J4331">
        <v>-192.99600000000001</v>
      </c>
      <c r="K4331">
        <v>1.112743</v>
      </c>
      <c r="L4331">
        <v>190.52090000000001</v>
      </c>
      <c r="M4331">
        <v>-9.5371590000000006E-2</v>
      </c>
      <c r="N4331">
        <v>0</v>
      </c>
      <c r="O4331">
        <v>-0.99534579999999995</v>
      </c>
      <c r="P4331">
        <v>-0.17364540000000001</v>
      </c>
      <c r="Q4331">
        <v>-6.9761319999999999E-4</v>
      </c>
      <c r="R4331">
        <v>-0.98480820000000002</v>
      </c>
      <c r="S4331">
        <v>-0.13203429999999999</v>
      </c>
      <c r="T4331">
        <v>-0.2818058</v>
      </c>
      <c r="U4331">
        <v>-3.0237729999999998</v>
      </c>
      <c r="V4331">
        <v>7.8842270000000006E-2</v>
      </c>
      <c r="W4331">
        <v>1.3557319999999999E-2</v>
      </c>
      <c r="X4331">
        <v>0.99679490000000004</v>
      </c>
      <c r="Y4331">
        <v>-5.205075E-2</v>
      </c>
      <c r="Z4331">
        <v>9.2055399999999996E-2</v>
      </c>
      <c r="AA4331">
        <v>0.99439250000000001</v>
      </c>
      <c r="AB4331">
        <v>29</v>
      </c>
      <c r="AC4331">
        <v>-0.49620000000001602</v>
      </c>
      <c r="AD4331">
        <v>-1.11274766346</v>
      </c>
      <c r="AE4331">
        <v>-11.650600000000001</v>
      </c>
      <c r="AF4331">
        <v>-0.61173439167009902</v>
      </c>
      <c r="AG4331">
        <v>-1.11274766346</v>
      </c>
      <c r="AH4331">
        <v>11.5397347905204</v>
      </c>
      <c r="AI4331">
        <v>95.500183796575499</v>
      </c>
      <c r="AJ4331">
        <v>93.034473722983194</v>
      </c>
      <c r="AK4331">
        <v>11.609388673140099</v>
      </c>
      <c r="AL4331">
        <v>89.223198976244902</v>
      </c>
      <c r="AM4331">
        <v>85.477560960438595</v>
      </c>
      <c r="AN4331">
        <v>0.99999998856517203</v>
      </c>
    </row>
    <row r="4332" spans="1:40" x14ac:dyDescent="0.25">
      <c r="A4332" t="str">
        <f>"20190312154341168"</f>
        <v>20190312154341168</v>
      </c>
      <c r="B4332" t="str">
        <f>"1552376621161320"</f>
        <v>1552376621161320</v>
      </c>
      <c r="C4332" t="s">
        <v>40</v>
      </c>
      <c r="D4332">
        <v>5.3577450000000004</v>
      </c>
      <c r="E4332">
        <v>0.44885219999999998</v>
      </c>
      <c r="F4332" t="s">
        <v>43</v>
      </c>
      <c r="G4332">
        <v>-193.46100000000001</v>
      </c>
      <c r="H4332" s="1">
        <v>-4.6889299999999997E-6</v>
      </c>
      <c r="I4332">
        <v>178.9614</v>
      </c>
      <c r="J4332">
        <v>-193.01920000000001</v>
      </c>
      <c r="K4332">
        <v>1.1131009999999999</v>
      </c>
      <c r="L4332">
        <v>190.2381</v>
      </c>
      <c r="M4332">
        <v>-9.1447290000000001E-2</v>
      </c>
      <c r="N4332">
        <v>0</v>
      </c>
      <c r="O4332">
        <v>-0.99571410000000005</v>
      </c>
      <c r="P4332">
        <v>-0.16952210000000001</v>
      </c>
      <c r="Q4332">
        <v>-5.2765570000000005E-4</v>
      </c>
      <c r="R4332">
        <v>-0.98552600000000001</v>
      </c>
      <c r="S4332">
        <v>-0.1216888</v>
      </c>
      <c r="T4332">
        <v>-0.2911533</v>
      </c>
      <c r="U4332">
        <v>-3.0245820000000001</v>
      </c>
      <c r="V4332">
        <v>7.8586619999999996E-2</v>
      </c>
      <c r="W4332">
        <v>1.377665E-2</v>
      </c>
      <c r="X4332">
        <v>0.99681209999999998</v>
      </c>
      <c r="Y4332">
        <v>-5.1532559999999998E-2</v>
      </c>
      <c r="Z4332">
        <v>9.5116969999999995E-2</v>
      </c>
      <c r="AA4332">
        <v>0.9941314</v>
      </c>
      <c r="AB4332">
        <v>29</v>
      </c>
      <c r="AC4332">
        <v>-0.44179999999997199</v>
      </c>
      <c r="AD4332">
        <v>-1.1131056889299999</v>
      </c>
      <c r="AE4332">
        <v>-11.2767</v>
      </c>
      <c r="AF4332">
        <v>-0.58567588717372898</v>
      </c>
      <c r="AG4332">
        <v>-1.1131056889299999</v>
      </c>
      <c r="AH4332">
        <v>11.1612643824588</v>
      </c>
      <c r="AI4332">
        <v>95.687465916795702</v>
      </c>
      <c r="AJ4332">
        <v>93.003782226106907</v>
      </c>
      <c r="AK4332">
        <v>11.2319118201083</v>
      </c>
      <c r="AL4332">
        <v>89.2106311341457</v>
      </c>
      <c r="AM4332">
        <v>85.492242119933394</v>
      </c>
      <c r="AN4332">
        <v>1.0000000078173199</v>
      </c>
    </row>
    <row r="4333" spans="1:40" x14ac:dyDescent="0.25">
      <c r="A4333" t="str">
        <f>"20190312154341190"</f>
        <v>20190312154341190</v>
      </c>
      <c r="B4333" t="str">
        <f>"1552376621181819"</f>
        <v>1552376621181819</v>
      </c>
      <c r="C4333" t="s">
        <v>40</v>
      </c>
      <c r="D4333">
        <v>5.3236400000000001</v>
      </c>
      <c r="E4333">
        <v>0.44825199999999998</v>
      </c>
      <c r="F4333" t="s">
        <v>43</v>
      </c>
      <c r="G4333">
        <v>-193.4117</v>
      </c>
      <c r="H4333" s="1">
        <v>-4.6746729999999998E-6</v>
      </c>
      <c r="I4333">
        <v>178.9452</v>
      </c>
      <c r="J4333">
        <v>-193.04140000000001</v>
      </c>
      <c r="K4333">
        <v>1.1133569999999999</v>
      </c>
      <c r="L4333">
        <v>189.9485</v>
      </c>
      <c r="M4333">
        <v>-8.7140220000000004E-2</v>
      </c>
      <c r="N4333">
        <v>0</v>
      </c>
      <c r="O4333">
        <v>-0.99610050000000006</v>
      </c>
      <c r="P4333">
        <v>-0.16332530000000001</v>
      </c>
      <c r="Q4333">
        <v>-2.0067029999999999E-3</v>
      </c>
      <c r="R4333">
        <v>-0.98657010000000001</v>
      </c>
      <c r="S4333">
        <v>-0.1051636</v>
      </c>
      <c r="T4333">
        <v>-0.29824810000000002</v>
      </c>
      <c r="U4333">
        <v>-3.0258479999999999</v>
      </c>
      <c r="V4333">
        <v>7.6635519999999999E-2</v>
      </c>
      <c r="W4333">
        <v>1.2317170000000001E-2</v>
      </c>
      <c r="X4333">
        <v>0.99698310000000001</v>
      </c>
      <c r="Y4333">
        <v>-5.2659600000000001E-2</v>
      </c>
      <c r="Z4333">
        <v>9.7435949999999993E-2</v>
      </c>
      <c r="AA4333">
        <v>0.9938477</v>
      </c>
      <c r="AB4333">
        <v>29</v>
      </c>
      <c r="AC4333">
        <v>-0.37029999999998597</v>
      </c>
      <c r="AD4333">
        <v>-1.113361674673</v>
      </c>
      <c r="AE4333">
        <v>-11.0032999999999</v>
      </c>
      <c r="AF4333">
        <v>-0.58405716317656398</v>
      </c>
      <c r="AG4333">
        <v>-1.113361674673</v>
      </c>
      <c r="AH4333">
        <v>10.882416090948</v>
      </c>
      <c r="AI4333">
        <v>95.8331733122712</v>
      </c>
      <c r="AJ4333">
        <v>93.072105967331595</v>
      </c>
      <c r="AK4333">
        <v>10.954801548408501</v>
      </c>
      <c r="AL4333">
        <v>89.294260303845206</v>
      </c>
      <c r="AM4333">
        <v>85.604464731632206</v>
      </c>
      <c r="AN4333">
        <v>1.0000000086440399</v>
      </c>
    </row>
    <row r="4334" spans="1:40" x14ac:dyDescent="0.25">
      <c r="A4334" t="str">
        <f>"20190312154341213"</f>
        <v>20190312154341213</v>
      </c>
      <c r="B4334" t="str">
        <f>"1552376621201335"</f>
        <v>1552376621201335</v>
      </c>
      <c r="C4334" t="s">
        <v>40</v>
      </c>
      <c r="D4334">
        <v>5.3065790000000002</v>
      </c>
      <c r="E4334">
        <v>0.44734279999999998</v>
      </c>
      <c r="F4334" t="s">
        <v>43</v>
      </c>
      <c r="G4334">
        <v>-193.33940000000001</v>
      </c>
      <c r="H4334" s="1">
        <v>-4.6547100000000004E-6</v>
      </c>
      <c r="I4334">
        <v>178.92420000000001</v>
      </c>
      <c r="J4334">
        <v>-193.06139999999999</v>
      </c>
      <c r="K4334">
        <v>1.113505</v>
      </c>
      <c r="L4334">
        <v>189.6669</v>
      </c>
      <c r="M4334">
        <v>-8.2794919999999994E-2</v>
      </c>
      <c r="N4334">
        <v>0</v>
      </c>
      <c r="O4334">
        <v>-0.99647149999999995</v>
      </c>
      <c r="P4334">
        <v>-0.15638629999999901</v>
      </c>
      <c r="Q4334">
        <v>-6.0252169999999898E-3</v>
      </c>
      <c r="R4334">
        <v>-0.98767769999999999</v>
      </c>
      <c r="S4334">
        <v>-8.1817630000000002E-2</v>
      </c>
      <c r="T4334">
        <v>-0.30566739999999998</v>
      </c>
      <c r="U4334">
        <v>-3.0266570000000002</v>
      </c>
      <c r="V4334">
        <v>7.4003659999999999E-2</v>
      </c>
      <c r="W4334">
        <v>8.2947890000000003E-3</v>
      </c>
      <c r="X4334">
        <v>0.99722350000000004</v>
      </c>
      <c r="Y4334">
        <v>-5.597808E-2</v>
      </c>
      <c r="Z4334">
        <v>9.9867570000000003E-2</v>
      </c>
      <c r="AA4334">
        <v>0.9934248</v>
      </c>
      <c r="AB4334">
        <v>29</v>
      </c>
      <c r="AC4334">
        <v>-0.27800000000002001</v>
      </c>
      <c r="AD4334">
        <v>-1.1135096547100001</v>
      </c>
      <c r="AE4334">
        <v>-10.7426999999999</v>
      </c>
      <c r="AF4334">
        <v>-0.60597380906784104</v>
      </c>
      <c r="AG4334">
        <v>-1.1135096547100001</v>
      </c>
      <c r="AH4334">
        <v>10.6148598087217</v>
      </c>
      <c r="AI4334">
        <v>95.978820012986702</v>
      </c>
      <c r="AJ4334">
        <v>93.267315743795393</v>
      </c>
      <c r="AK4334">
        <v>10.6902926417954</v>
      </c>
      <c r="AL4334">
        <v>89.524738161166596</v>
      </c>
      <c r="AM4334">
        <v>85.755876705795899</v>
      </c>
      <c r="AN4334">
        <v>1.0000000270850899</v>
      </c>
    </row>
    <row r="4335" spans="1:40" x14ac:dyDescent="0.25">
      <c r="A4335" t="str">
        <f>"20190312154341234"</f>
        <v>20190312154341234</v>
      </c>
      <c r="B4335" t="str">
        <f>"1552376621231591"</f>
        <v>1552376621231591</v>
      </c>
      <c r="C4335" t="s">
        <v>40</v>
      </c>
      <c r="D4335">
        <v>5.3363329999999998</v>
      </c>
      <c r="E4335">
        <v>0.44631920000000003</v>
      </c>
      <c r="F4335" t="s">
        <v>43</v>
      </c>
      <c r="G4335">
        <v>-193.24680000000001</v>
      </c>
      <c r="H4335" s="1">
        <v>-4.697357E-6</v>
      </c>
      <c r="I4335">
        <v>179.09780000000001</v>
      </c>
      <c r="J4335">
        <v>-193.08</v>
      </c>
      <c r="K4335">
        <v>1.1135759999999999</v>
      </c>
      <c r="L4335">
        <v>189.38730000000001</v>
      </c>
      <c r="M4335">
        <v>-7.8401199999999893E-2</v>
      </c>
      <c r="N4335">
        <v>0</v>
      </c>
      <c r="O4335">
        <v>-0.99682689999999996</v>
      </c>
      <c r="P4335">
        <v>-0.148869</v>
      </c>
      <c r="Q4335">
        <v>-1.010877E-2</v>
      </c>
      <c r="R4335">
        <v>-0.98880539999999995</v>
      </c>
      <c r="S4335">
        <v>-5.3100590000000003E-2</v>
      </c>
      <c r="T4335">
        <v>-0.3189149</v>
      </c>
      <c r="U4335">
        <v>-3.0270540000000001</v>
      </c>
      <c r="V4335">
        <v>7.0848140000000004E-2</v>
      </c>
      <c r="W4335">
        <v>4.1893049999999999E-3</v>
      </c>
      <c r="X4335">
        <v>0.99747830000000004</v>
      </c>
      <c r="Y4335">
        <v>-6.1006600000000001E-2</v>
      </c>
      <c r="Z4335">
        <v>0.1041868</v>
      </c>
      <c r="AA4335">
        <v>0.99268489999999998</v>
      </c>
      <c r="AB4335">
        <v>29</v>
      </c>
      <c r="AC4335">
        <v>-0.16679999999999401</v>
      </c>
      <c r="AD4335">
        <v>-1.1135806973569999</v>
      </c>
      <c r="AE4335">
        <v>-10.2895</v>
      </c>
      <c r="AF4335">
        <v>-0.63308591308457696</v>
      </c>
      <c r="AG4335">
        <v>-1.1135806973569999</v>
      </c>
      <c r="AH4335">
        <v>10.152024538557701</v>
      </c>
      <c r="AI4335">
        <v>96.247736958577804</v>
      </c>
      <c r="AJ4335">
        <v>93.5683759441078</v>
      </c>
      <c r="AK4335">
        <v>10.2325198252605</v>
      </c>
      <c r="AL4335">
        <v>89.759969798486196</v>
      </c>
      <c r="AM4335">
        <v>85.937261207804696</v>
      </c>
      <c r="AN4335">
        <v>0.99999998409436597</v>
      </c>
    </row>
    <row r="4336" spans="1:40" x14ac:dyDescent="0.25">
      <c r="A4336" t="str">
        <f>"20190312154341256"</f>
        <v>20190312154341256</v>
      </c>
      <c r="B4336" t="str">
        <f>"1552376621252088"</f>
        <v>1552376621252088</v>
      </c>
      <c r="C4336" t="s">
        <v>40</v>
      </c>
      <c r="D4336">
        <v>5.3703479999999999</v>
      </c>
      <c r="E4336">
        <v>0.4460287</v>
      </c>
      <c r="F4336" t="s">
        <v>43</v>
      </c>
      <c r="G4336">
        <v>-193.15299999999999</v>
      </c>
      <c r="H4336" s="1">
        <v>-4.7435999999999998E-6</v>
      </c>
      <c r="I4336">
        <v>179.2826</v>
      </c>
      <c r="J4336">
        <v>-193.0976</v>
      </c>
      <c r="K4336">
        <v>1.1136060000000001</v>
      </c>
      <c r="L4336">
        <v>189.10409999999999</v>
      </c>
      <c r="M4336">
        <v>-7.3935870000000001E-2</v>
      </c>
      <c r="N4336">
        <v>0</v>
      </c>
      <c r="O4336">
        <v>-0.99716850000000001</v>
      </c>
      <c r="P4336">
        <v>-0.14104559999999999</v>
      </c>
      <c r="Q4336">
        <v>-1.191616E-2</v>
      </c>
      <c r="R4336">
        <v>-0.98993160000000002</v>
      </c>
      <c r="S4336">
        <v>-2.1865840000000001E-2</v>
      </c>
      <c r="T4336">
        <v>-0.33361819999999998</v>
      </c>
      <c r="U4336">
        <v>-3.0272670000000002</v>
      </c>
      <c r="V4336">
        <v>6.7444089999999998E-2</v>
      </c>
      <c r="W4336">
        <v>2.3501540000000001E-3</v>
      </c>
      <c r="X4336">
        <v>0.9977203</v>
      </c>
      <c r="Y4336">
        <v>-6.6780549999999994E-2</v>
      </c>
      <c r="Z4336">
        <v>0.1089688</v>
      </c>
      <c r="AA4336">
        <v>0.99179949999999995</v>
      </c>
      <c r="AB4336">
        <v>29</v>
      </c>
      <c r="AC4336">
        <v>-5.5399999999991602E-2</v>
      </c>
      <c r="AD4336">
        <v>-1.11361074359999</v>
      </c>
      <c r="AE4336">
        <v>-9.8214999999999808</v>
      </c>
      <c r="AF4336">
        <v>-0.66246476476920202</v>
      </c>
      <c r="AG4336">
        <v>-1.11361074359999</v>
      </c>
      <c r="AH4336">
        <v>9.6743390250822792</v>
      </c>
      <c r="AI4336">
        <v>96.5511948581144</v>
      </c>
      <c r="AJ4336">
        <v>93.917298646531506</v>
      </c>
      <c r="AK4336">
        <v>9.7607286626077308</v>
      </c>
      <c r="AL4336">
        <v>89.865345972358895</v>
      </c>
      <c r="AM4336">
        <v>86.132792065885795</v>
      </c>
      <c r="AN4336">
        <v>1.0000000127659201</v>
      </c>
    </row>
    <row r="4337" spans="1:40" x14ac:dyDescent="0.25">
      <c r="A4337" t="str">
        <f>"20190312154341282"</f>
        <v>20190312154341282</v>
      </c>
      <c r="B4337" t="str">
        <f>"1552376621271607"</f>
        <v>1552376621271607</v>
      </c>
      <c r="C4337" t="s">
        <v>40</v>
      </c>
      <c r="D4337">
        <v>5.3728999999999996</v>
      </c>
      <c r="E4337">
        <v>0.44586300000000001</v>
      </c>
      <c r="F4337" t="s">
        <v>43</v>
      </c>
      <c r="G4337">
        <v>-193.0838</v>
      </c>
      <c r="H4337" s="1">
        <v>-4.6996979999999996E-6</v>
      </c>
      <c r="I4337">
        <v>179.18969999999999</v>
      </c>
      <c r="J4337">
        <v>-193.11510000000001</v>
      </c>
      <c r="K4337">
        <v>1.1136029999999999</v>
      </c>
      <c r="L4337">
        <v>188.79669999999999</v>
      </c>
      <c r="M4337">
        <v>-6.9121699999999994E-2</v>
      </c>
      <c r="N4337">
        <v>0</v>
      </c>
      <c r="O4337">
        <v>-0.99751380000000001</v>
      </c>
      <c r="P4337">
        <v>-0.1333491</v>
      </c>
      <c r="Q4337">
        <v>-1.2397719999999999E-2</v>
      </c>
      <c r="R4337">
        <v>-0.99099190000000004</v>
      </c>
      <c r="S4337">
        <v>4.2114259999999999E-3</v>
      </c>
      <c r="T4337">
        <v>-0.3399992</v>
      </c>
      <c r="U4337">
        <v>-3.0270079999999999</v>
      </c>
      <c r="V4337">
        <v>6.4511719999999995E-2</v>
      </c>
      <c r="W4337">
        <v>1.834217E-3</v>
      </c>
      <c r="X4337">
        <v>0.99791529999999995</v>
      </c>
      <c r="Y4337">
        <v>-7.0506929999999995E-2</v>
      </c>
      <c r="Z4337">
        <v>0.11108129999999999</v>
      </c>
      <c r="AA4337">
        <v>0.9913071</v>
      </c>
      <c r="AB4337">
        <v>29</v>
      </c>
      <c r="AC4337">
        <v>3.1300000000015801E-2</v>
      </c>
      <c r="AD4337">
        <v>-1.113607699698</v>
      </c>
      <c r="AE4337">
        <v>-9.6069999999999993</v>
      </c>
      <c r="AF4337">
        <v>-0.68612083884010899</v>
      </c>
      <c r="AG4337">
        <v>-1.113607699698</v>
      </c>
      <c r="AH4337">
        <v>9.4548151963285392</v>
      </c>
      <c r="AI4337">
        <v>96.700008883117107</v>
      </c>
      <c r="AJ4337">
        <v>94.150587513612095</v>
      </c>
      <c r="AK4337">
        <v>9.5448632421340793</v>
      </c>
      <c r="AL4337">
        <v>89.894907052061896</v>
      </c>
      <c r="AM4337">
        <v>86.301175986370595</v>
      </c>
      <c r="AN4337">
        <v>1.0000000361717201</v>
      </c>
    </row>
    <row r="4338" spans="1:40" x14ac:dyDescent="0.25">
      <c r="A4338" t="str">
        <f>"20190312154341303"</f>
        <v>20190312154341303</v>
      </c>
      <c r="B4338" t="str">
        <f>"1552376621292103"</f>
        <v>1552376621292103</v>
      </c>
      <c r="C4338" t="s">
        <v>40</v>
      </c>
      <c r="D4338">
        <v>5.3127129999999996</v>
      </c>
      <c r="E4338">
        <v>0.44573620000000003</v>
      </c>
      <c r="F4338" t="s">
        <v>43</v>
      </c>
      <c r="G4338">
        <v>-193.02080000000001</v>
      </c>
      <c r="H4338" s="1">
        <v>-4.6054360000000001E-6</v>
      </c>
      <c r="I4338">
        <v>178.94550000000001</v>
      </c>
      <c r="J4338">
        <v>-193.13</v>
      </c>
      <c r="K4338">
        <v>1.1135870000000001</v>
      </c>
      <c r="L4338">
        <v>188.5154</v>
      </c>
      <c r="M4338">
        <v>-6.4773869999999997E-2</v>
      </c>
      <c r="N4338">
        <v>0</v>
      </c>
      <c r="O4338">
        <v>-0.99780579999999996</v>
      </c>
      <c r="P4338">
        <v>-0.12670590000000001</v>
      </c>
      <c r="Q4338">
        <v>-1.3041809999999999E-2</v>
      </c>
      <c r="R4338">
        <v>-0.99185500000000004</v>
      </c>
      <c r="S4338">
        <v>2.8991699999999999E-2</v>
      </c>
      <c r="T4338">
        <v>-0.34216580000000002</v>
      </c>
      <c r="U4338">
        <v>-3.0268860000000002</v>
      </c>
      <c r="V4338">
        <v>6.2180029999999997E-2</v>
      </c>
      <c r="W4338">
        <v>1.15997E-3</v>
      </c>
      <c r="X4338">
        <v>0.99806430000000002</v>
      </c>
      <c r="Y4338">
        <v>-7.4273729999999996E-2</v>
      </c>
      <c r="Z4338">
        <v>0.11181580000000001</v>
      </c>
      <c r="AA4338">
        <v>0.99094930000000003</v>
      </c>
      <c r="AB4338">
        <v>29</v>
      </c>
      <c r="AC4338">
        <v>0.109199999999987</v>
      </c>
      <c r="AD4338">
        <v>-1.113591605436</v>
      </c>
      <c r="AE4338">
        <v>-9.5698999999999899</v>
      </c>
      <c r="AF4338">
        <v>-0.71917161817826303</v>
      </c>
      <c r="AG4338">
        <v>-1.113591605436</v>
      </c>
      <c r="AH4338">
        <v>9.4152537991776803</v>
      </c>
      <c r="AI4338">
        <v>96.725923930636199</v>
      </c>
      <c r="AJ4338">
        <v>94.367980021944703</v>
      </c>
      <c r="AK4338">
        <v>9.5081174889154791</v>
      </c>
      <c r="AL4338">
        <v>89.933538601348701</v>
      </c>
      <c r="AM4338">
        <v>86.435044645029393</v>
      </c>
      <c r="AN4338">
        <v>1.00000002429784</v>
      </c>
    </row>
    <row r="4339" spans="1:40" x14ac:dyDescent="0.25">
      <c r="A4339" t="str">
        <f>"20190312154341326"</f>
        <v>20190312154341326</v>
      </c>
      <c r="B4339" t="str">
        <f>"1552376621321384"</f>
        <v>1552376621321384</v>
      </c>
      <c r="C4339" t="s">
        <v>40</v>
      </c>
      <c r="D4339">
        <v>5.3805420000000002</v>
      </c>
      <c r="E4339">
        <v>0.44583539999999999</v>
      </c>
      <c r="F4339" t="s">
        <v>43</v>
      </c>
      <c r="G4339">
        <v>-192.96850000000001</v>
      </c>
      <c r="H4339" s="1">
        <v>-4.5335260000000002E-6</v>
      </c>
      <c r="I4339">
        <v>178.76140000000001</v>
      </c>
      <c r="J4339">
        <v>-193.14359999999999</v>
      </c>
      <c r="K4339">
        <v>1.1135630000000001</v>
      </c>
      <c r="L4339">
        <v>188.2347</v>
      </c>
      <c r="M4339">
        <v>-6.0498669999999997E-2</v>
      </c>
      <c r="N4339">
        <v>0</v>
      </c>
      <c r="O4339">
        <v>-0.99807409999999996</v>
      </c>
      <c r="P4339">
        <v>-0.1201888</v>
      </c>
      <c r="Q4339">
        <v>-1.3084109999999999E-2</v>
      </c>
      <c r="R4339">
        <v>-0.99266500000000002</v>
      </c>
      <c r="S4339">
        <v>5.0109859999999999E-2</v>
      </c>
      <c r="T4339">
        <v>-0.34552539999999998</v>
      </c>
      <c r="U4339">
        <v>-3.0264739999999999</v>
      </c>
      <c r="V4339">
        <v>5.9901240000000001E-2</v>
      </c>
      <c r="W4339">
        <v>1.0870140000000001E-3</v>
      </c>
      <c r="X4339">
        <v>0.99820370000000003</v>
      </c>
      <c r="Y4339">
        <v>-7.6913949999999995E-2</v>
      </c>
      <c r="Z4339">
        <v>0.1129439</v>
      </c>
      <c r="AA4339">
        <v>0.99061999999999995</v>
      </c>
      <c r="AB4339">
        <v>29</v>
      </c>
      <c r="AC4339">
        <v>0.17509999999998599</v>
      </c>
      <c r="AD4339">
        <v>-1.11356753352599</v>
      </c>
      <c r="AE4339">
        <v>-9.4732999999999894</v>
      </c>
      <c r="AF4339">
        <v>-0.73776453227233796</v>
      </c>
      <c r="AG4339">
        <v>-1.11356753352599</v>
      </c>
      <c r="AH4339">
        <v>9.3166606585655192</v>
      </c>
      <c r="AI4339">
        <v>96.794833325845204</v>
      </c>
      <c r="AJ4339">
        <v>94.527670466438906</v>
      </c>
      <c r="AK4339">
        <v>9.4119336474321091</v>
      </c>
      <c r="AL4339">
        <v>89.937718672230702</v>
      </c>
      <c r="AM4339">
        <v>86.565853871440893</v>
      </c>
      <c r="AN4339">
        <v>0.99999998342333096</v>
      </c>
    </row>
    <row r="4340" spans="1:40" x14ac:dyDescent="0.25">
      <c r="A4340" t="str">
        <f>"20190312154341348"</f>
        <v>20190312154341348</v>
      </c>
      <c r="B4340" t="str">
        <f>"1552376621341880"</f>
        <v>1552376621341880</v>
      </c>
      <c r="C4340" t="s">
        <v>40</v>
      </c>
      <c r="D4340">
        <v>5.3490409999999997</v>
      </c>
      <c r="E4340">
        <v>0.44602839999999999</v>
      </c>
      <c r="F4340" t="s">
        <v>43</v>
      </c>
      <c r="G4340">
        <v>-192.9211</v>
      </c>
      <c r="H4340" s="1">
        <v>-4.430018E-6</v>
      </c>
      <c r="I4340">
        <v>178.482</v>
      </c>
      <c r="J4340">
        <v>-193.15610000000001</v>
      </c>
      <c r="K4340">
        <v>1.1135250000000001</v>
      </c>
      <c r="L4340">
        <v>187.95259999999999</v>
      </c>
      <c r="M4340">
        <v>-5.6261650000000003E-2</v>
      </c>
      <c r="N4340">
        <v>0</v>
      </c>
      <c r="O4340">
        <v>-0.99832209999999999</v>
      </c>
      <c r="P4340">
        <v>-0.1145962</v>
      </c>
      <c r="Q4340">
        <v>-1.2950150000000001E-2</v>
      </c>
      <c r="R4340">
        <v>-0.99332790000000004</v>
      </c>
      <c r="S4340">
        <v>6.904602E-2</v>
      </c>
      <c r="T4340">
        <v>-0.34550449999999999</v>
      </c>
      <c r="U4340">
        <v>-3.0259550000000002</v>
      </c>
      <c r="V4340">
        <v>5.8515409999999997E-2</v>
      </c>
      <c r="W4340">
        <v>1.19764E-3</v>
      </c>
      <c r="X4340">
        <v>0.9982858</v>
      </c>
      <c r="Y4340">
        <v>-7.8881270000000003E-2</v>
      </c>
      <c r="Z4340">
        <v>0.11298270000000001</v>
      </c>
      <c r="AA4340">
        <v>0.99046080000000003</v>
      </c>
      <c r="AB4340">
        <v>29</v>
      </c>
      <c r="AC4340">
        <v>0.235000000000013</v>
      </c>
      <c r="AD4340">
        <v>-1.1135294300180001</v>
      </c>
      <c r="AE4340">
        <v>-9.4705999999999904</v>
      </c>
      <c r="AF4340">
        <v>-0.75704990433515196</v>
      </c>
      <c r="AG4340">
        <v>-1.1135294300180001</v>
      </c>
      <c r="AH4340">
        <v>9.3136959250259395</v>
      </c>
      <c r="AI4340">
        <v>96.795620696367706</v>
      </c>
      <c r="AJ4340">
        <v>94.646985862352395</v>
      </c>
      <c r="AK4340">
        <v>9.4105262410247192</v>
      </c>
      <c r="AL4340">
        <v>89.931380267112999</v>
      </c>
      <c r="AM4340">
        <v>86.645395355688706</v>
      </c>
      <c r="AN4340">
        <v>1.0000000130153299</v>
      </c>
    </row>
    <row r="4341" spans="1:40" x14ac:dyDescent="0.25">
      <c r="A4341" t="str">
        <f>"20190312154341371"</f>
        <v>20190312154341371</v>
      </c>
      <c r="B4341" t="str">
        <f>"1552376621361399"</f>
        <v>1552376621361399</v>
      </c>
      <c r="C4341" t="s">
        <v>40</v>
      </c>
      <c r="D4341">
        <v>5.3757129999999904</v>
      </c>
      <c r="E4341">
        <v>0.44629790000000003</v>
      </c>
      <c r="F4341" t="s">
        <v>43</v>
      </c>
      <c r="G4341">
        <v>-192.88489999999999</v>
      </c>
      <c r="H4341" s="1">
        <v>-4.3274350000000002E-6</v>
      </c>
      <c r="I4341">
        <v>178.1994</v>
      </c>
      <c r="J4341">
        <v>-193.16749999999999</v>
      </c>
      <c r="K4341">
        <v>1.113489</v>
      </c>
      <c r="L4341">
        <v>187.6661</v>
      </c>
      <c r="M4341">
        <v>-5.2017189999999998E-2</v>
      </c>
      <c r="N4341">
        <v>0</v>
      </c>
      <c r="O4341">
        <v>-0.99855229999999995</v>
      </c>
      <c r="P4341">
        <v>-0.11047849999999999</v>
      </c>
      <c r="Q4341">
        <v>-1.217203E-2</v>
      </c>
      <c r="R4341">
        <v>-0.99380420000000003</v>
      </c>
      <c r="S4341">
        <v>8.4106449999999999E-2</v>
      </c>
      <c r="T4341">
        <v>-0.34540749999999998</v>
      </c>
      <c r="U4341">
        <v>-3.02536</v>
      </c>
      <c r="V4341">
        <v>5.8615420000000001E-2</v>
      </c>
      <c r="W4341">
        <v>1.963439E-3</v>
      </c>
      <c r="X4341">
        <v>0.99827869999999996</v>
      </c>
      <c r="Y4341">
        <v>-7.9575309999999996E-2</v>
      </c>
      <c r="Z4341">
        <v>0.1130022</v>
      </c>
      <c r="AA4341">
        <v>0.99040309999999998</v>
      </c>
      <c r="AB4341">
        <v>29</v>
      </c>
      <c r="AC4341">
        <v>0.28260000000000202</v>
      </c>
      <c r="AD4341">
        <v>-1.1134933274349901</v>
      </c>
      <c r="AE4341">
        <v>-9.4666999999999994</v>
      </c>
      <c r="AF4341">
        <v>-0.76413231982622598</v>
      </c>
      <c r="AG4341">
        <v>-1.1134933274349901</v>
      </c>
      <c r="AH4341">
        <v>9.3104845164144905</v>
      </c>
      <c r="AI4341">
        <v>96.797293463044895</v>
      </c>
      <c r="AJ4341">
        <v>94.691877225955494</v>
      </c>
      <c r="AK4341">
        <v>9.4079162157642209</v>
      </c>
      <c r="AL4341">
        <v>89.887503158867901</v>
      </c>
      <c r="AM4341">
        <v>86.639651208165205</v>
      </c>
      <c r="AN4341">
        <v>0.99999999271408602</v>
      </c>
    </row>
    <row r="4342" spans="1:40" x14ac:dyDescent="0.25">
      <c r="A4342" t="str">
        <f>"20190312154341391"</f>
        <v>20190312154341391</v>
      </c>
      <c r="B4342" t="str">
        <f>"1552376621381895"</f>
        <v>1552376621381895</v>
      </c>
      <c r="C4342" t="s">
        <v>40</v>
      </c>
      <c r="D4342">
        <v>5.3711409999999997</v>
      </c>
      <c r="E4342">
        <v>0.45647650000000001</v>
      </c>
      <c r="F4342" t="s">
        <v>43</v>
      </c>
      <c r="G4342">
        <v>-192.86109999999999</v>
      </c>
      <c r="H4342" s="1">
        <v>-4.2045460000000001E-6</v>
      </c>
      <c r="I4342">
        <v>177.85069999999999</v>
      </c>
      <c r="J4342">
        <v>-193.1773</v>
      </c>
      <c r="K4342">
        <v>1.113459</v>
      </c>
      <c r="L4342">
        <v>187.3938</v>
      </c>
      <c r="M4342">
        <v>-4.8023580000000003E-2</v>
      </c>
      <c r="N4342">
        <v>0</v>
      </c>
      <c r="O4342">
        <v>-0.99875259999999999</v>
      </c>
      <c r="P4342">
        <v>-0.1072359</v>
      </c>
      <c r="Q4342">
        <v>-1.185958E-2</v>
      </c>
      <c r="R4342">
        <v>-0.99416280000000001</v>
      </c>
      <c r="S4342">
        <v>9.4436649999999997E-2</v>
      </c>
      <c r="T4342">
        <v>-0.34316790000000003</v>
      </c>
      <c r="U4342">
        <v>-3.0250240000000002</v>
      </c>
      <c r="V4342">
        <v>5.9348430000000001E-2</v>
      </c>
      <c r="W4342">
        <v>2.268614E-3</v>
      </c>
      <c r="X4342">
        <v>0.99823470000000003</v>
      </c>
      <c r="Y4342">
        <v>-7.8973769999999999E-2</v>
      </c>
      <c r="Z4342">
        <v>0.11232200000000001</v>
      </c>
      <c r="AA4342">
        <v>0.99052859999999998</v>
      </c>
      <c r="AB4342">
        <v>29</v>
      </c>
      <c r="AC4342">
        <v>0.31620000000000897</v>
      </c>
      <c r="AD4342">
        <v>-1.113463204546</v>
      </c>
      <c r="AE4342">
        <v>-9.5431000000000097</v>
      </c>
      <c r="AF4342">
        <v>-0.763785318713609</v>
      </c>
      <c r="AG4342">
        <v>-1.113463204546</v>
      </c>
      <c r="AH4342">
        <v>9.3892198063056291</v>
      </c>
      <c r="AI4342">
        <v>96.741032475796402</v>
      </c>
      <c r="AJ4342">
        <v>94.650602383515604</v>
      </c>
      <c r="AK4342">
        <v>9.4858113460094806</v>
      </c>
      <c r="AL4342">
        <v>89.870017874399295</v>
      </c>
      <c r="AM4342">
        <v>86.597577154741799</v>
      </c>
      <c r="AN4342">
        <v>0.99999994951851601</v>
      </c>
    </row>
    <row r="4343" spans="1:40" x14ac:dyDescent="0.25">
      <c r="A4343" t="str">
        <f>"20190312154341414"</f>
        <v>20190312154341414</v>
      </c>
      <c r="B4343" t="str">
        <f>"1552376621401415"</f>
        <v>1552376621401415</v>
      </c>
      <c r="C4343" t="s">
        <v>40</v>
      </c>
      <c r="D4343">
        <v>5.4887110000000003</v>
      </c>
      <c r="E4343">
        <v>0.45839039999999998</v>
      </c>
      <c r="F4343" t="s">
        <v>41</v>
      </c>
      <c r="G4343">
        <v>-193.1703</v>
      </c>
      <c r="H4343">
        <v>1.0153509999999999</v>
      </c>
      <c r="I4343">
        <v>186.4718</v>
      </c>
      <c r="J4343">
        <v>-193.18610000000001</v>
      </c>
      <c r="K4343">
        <v>1.1134250000000001</v>
      </c>
      <c r="L4343">
        <v>187.11869999999999</v>
      </c>
      <c r="M4343">
        <v>-4.4024019999999997E-2</v>
      </c>
      <c r="N4343">
        <v>0</v>
      </c>
      <c r="O4343">
        <v>-0.99893679999999996</v>
      </c>
      <c r="P4343">
        <v>-0.1028871</v>
      </c>
      <c r="Q4343">
        <v>-1.2297489999999999E-2</v>
      </c>
      <c r="R4343">
        <v>-0.99461690000000003</v>
      </c>
      <c r="S4343">
        <v>2.3239139999999998E-2</v>
      </c>
      <c r="T4343">
        <v>-0.32118930000000001</v>
      </c>
      <c r="U4343">
        <v>-3.0162960000000001</v>
      </c>
      <c r="V4343">
        <v>5.8983830000000001E-2</v>
      </c>
      <c r="W4343">
        <v>1.816097E-3</v>
      </c>
      <c r="X4343">
        <v>0.99825730000000001</v>
      </c>
      <c r="Y4343">
        <v>-5.1680329999999997E-2</v>
      </c>
      <c r="Z4343">
        <v>0.1056599</v>
      </c>
      <c r="AA4343">
        <v>0.99305840000000001</v>
      </c>
      <c r="AB4343">
        <v>28</v>
      </c>
      <c r="AC4343">
        <v>1.5800000000012901E-2</v>
      </c>
      <c r="AD4343">
        <v>-9.8073999999999995E-2</v>
      </c>
      <c r="AE4343">
        <v>-0.64689999999998704</v>
      </c>
      <c r="AF4343">
        <v>-4.3272482737679301E-2</v>
      </c>
      <c r="AG4343">
        <v>-9.8073999999999995E-2</v>
      </c>
      <c r="AH4343">
        <v>0.63108067760430897</v>
      </c>
      <c r="AI4343">
        <v>98.813104454400204</v>
      </c>
      <c r="AJ4343">
        <v>93.922566420543305</v>
      </c>
      <c r="AK4343">
        <v>0.64012017534506505</v>
      </c>
      <c r="AL4343">
        <v>89.895945250940699</v>
      </c>
      <c r="AM4343">
        <v>86.618507257742195</v>
      </c>
      <c r="AN4343">
        <v>1.0000000137065299</v>
      </c>
    </row>
    <row r="4344" spans="1:40" x14ac:dyDescent="0.25">
      <c r="A4344" t="str">
        <f>"20190312154341427"</f>
        <v>20190312154341427</v>
      </c>
      <c r="B4344" t="str">
        <f>"1552376621421912"</f>
        <v>1552376621421912</v>
      </c>
      <c r="C4344" t="s">
        <v>40</v>
      </c>
      <c r="D4344">
        <v>5.4946890000000002</v>
      </c>
      <c r="E4344">
        <v>0.48968709999999999</v>
      </c>
      <c r="F4344" t="s">
        <v>41</v>
      </c>
      <c r="G4344">
        <v>-193.1799</v>
      </c>
      <c r="H4344">
        <v>1.0201629999999999</v>
      </c>
      <c r="I4344">
        <v>186.2165</v>
      </c>
      <c r="J4344">
        <v>-193.19120000000001</v>
      </c>
      <c r="K4344">
        <v>1.1134029999999999</v>
      </c>
      <c r="L4344">
        <v>186.94499999999999</v>
      </c>
      <c r="M4344">
        <v>-4.1513920000000003E-2</v>
      </c>
      <c r="N4344">
        <v>0</v>
      </c>
      <c r="O4344">
        <v>-0.99904440000000005</v>
      </c>
      <c r="P4344">
        <v>-9.9907599999999999E-2</v>
      </c>
      <c r="Q4344">
        <v>-1.2661210000000001E-2</v>
      </c>
      <c r="R4344">
        <v>-0.99491629999999998</v>
      </c>
      <c r="S4344">
        <v>2.0996089999999999E-2</v>
      </c>
      <c r="T4344">
        <v>-0.31176900000000002</v>
      </c>
      <c r="U4344">
        <v>-3.0145569999999999</v>
      </c>
      <c r="V4344">
        <v>5.850532E-2</v>
      </c>
      <c r="W4344">
        <v>1.442257E-3</v>
      </c>
      <c r="X4344">
        <v>0.99828609999999895</v>
      </c>
      <c r="Y4344">
        <v>-4.8438549999999997E-2</v>
      </c>
      <c r="Z4344">
        <v>0.10267800000000001</v>
      </c>
      <c r="AA4344">
        <v>0.99353460000000005</v>
      </c>
      <c r="AB4344">
        <v>28</v>
      </c>
      <c r="AC4344">
        <v>1.1300000000005601E-2</v>
      </c>
      <c r="AD4344">
        <v>-9.3240000000000198E-2</v>
      </c>
      <c r="AE4344">
        <v>-0.72849999999999604</v>
      </c>
      <c r="AF4344">
        <v>-4.0866689835266798E-2</v>
      </c>
      <c r="AG4344">
        <v>-9.3240000000000198E-2</v>
      </c>
      <c r="AH4344">
        <v>0.71568181139556097</v>
      </c>
      <c r="AI4344">
        <v>97.410826844920507</v>
      </c>
      <c r="AJ4344">
        <v>93.268140793233101</v>
      </c>
      <c r="AK4344">
        <v>0.72288604848933402</v>
      </c>
      <c r="AL4344">
        <v>89.917364735998106</v>
      </c>
      <c r="AM4344">
        <v>86.645973485888504</v>
      </c>
      <c r="AN4344">
        <v>1.0000000450133799</v>
      </c>
    </row>
    <row r="4345" spans="1:40" x14ac:dyDescent="0.25">
      <c r="A4345" t="str">
        <f>"20190312154341448"</f>
        <v>20190312154341448</v>
      </c>
      <c r="B4345" t="str">
        <f>"1552376621441432"</f>
        <v>1552376621441432</v>
      </c>
      <c r="C4345" t="s">
        <v>40</v>
      </c>
      <c r="D4345">
        <v>5.4690849999999998</v>
      </c>
      <c r="E4345">
        <v>0.49385630000000003</v>
      </c>
      <c r="F4345" t="s">
        <v>41</v>
      </c>
      <c r="G4345">
        <v>-193.24469999999999</v>
      </c>
      <c r="H4345">
        <v>1.040476</v>
      </c>
      <c r="I4345">
        <v>186.21459999999999</v>
      </c>
      <c r="J4345">
        <v>-193.1979</v>
      </c>
      <c r="K4345">
        <v>1.113361</v>
      </c>
      <c r="L4345">
        <v>186.6858</v>
      </c>
      <c r="M4345">
        <v>-3.780145E-2</v>
      </c>
      <c r="N4345">
        <v>0</v>
      </c>
      <c r="O4345">
        <v>-0.99919179999999996</v>
      </c>
      <c r="P4345">
        <v>-9.5611699999999994E-2</v>
      </c>
      <c r="Q4345">
        <v>-1.32362E-2</v>
      </c>
      <c r="R4345">
        <v>-0.99533110000000002</v>
      </c>
      <c r="S4345">
        <v>-0.21846009999999999</v>
      </c>
      <c r="T4345">
        <v>-0.29860890000000001</v>
      </c>
      <c r="U4345">
        <v>-2.9896090000000002</v>
      </c>
      <c r="V4345">
        <v>5.7910040000000003E-2</v>
      </c>
      <c r="W4345">
        <v>8.5288689999999995E-4</v>
      </c>
      <c r="X4345">
        <v>0.99832140000000003</v>
      </c>
      <c r="Y4345">
        <v>3.4763179999999998E-2</v>
      </c>
      <c r="Z4345">
        <v>9.912087E-2</v>
      </c>
      <c r="AA4345">
        <v>0.99446800000000002</v>
      </c>
      <c r="AB4345">
        <v>28</v>
      </c>
      <c r="AC4345">
        <v>-4.6799999999990398E-2</v>
      </c>
      <c r="AD4345">
        <v>-7.2885000000000005E-2</v>
      </c>
      <c r="AE4345">
        <v>-0.47120000000001</v>
      </c>
      <c r="AF4345">
        <v>2.8282760779395101E-2</v>
      </c>
      <c r="AG4345">
        <v>-7.2885000000000005E-2</v>
      </c>
      <c r="AH4345">
        <v>0.46169395436239902</v>
      </c>
      <c r="AI4345">
        <v>98.954413173466307</v>
      </c>
      <c r="AJ4345">
        <v>86.494516897142006</v>
      </c>
      <c r="AK4345">
        <v>0.46826642552834602</v>
      </c>
      <c r="AL4345">
        <v>89.951133172296295</v>
      </c>
      <c r="AM4345">
        <v>86.680140440737603</v>
      </c>
      <c r="AN4345">
        <v>0.99999995892341198</v>
      </c>
    </row>
    <row r="4346" spans="1:40" x14ac:dyDescent="0.25">
      <c r="A4346" t="str">
        <f>"20190312154341470"</f>
        <v>20190312154341470</v>
      </c>
      <c r="B4346" t="str">
        <f>"1552376621461927"</f>
        <v>1552376621461927</v>
      </c>
      <c r="C4346" t="s">
        <v>40</v>
      </c>
      <c r="D4346">
        <v>5.4529620000000003</v>
      </c>
      <c r="E4346">
        <v>0.4956834</v>
      </c>
      <c r="F4346" t="s">
        <v>41</v>
      </c>
      <c r="G4346">
        <v>-193.27500000000001</v>
      </c>
      <c r="H4346">
        <v>1.0148900000000001</v>
      </c>
      <c r="I4346">
        <v>185.72290000000001</v>
      </c>
      <c r="J4346">
        <v>-193.20410000000001</v>
      </c>
      <c r="K4346">
        <v>1.113308</v>
      </c>
      <c r="L4346">
        <v>186.40190000000001</v>
      </c>
      <c r="M4346">
        <v>-3.3802369999999998E-2</v>
      </c>
      <c r="N4346">
        <v>0</v>
      </c>
      <c r="O4346">
        <v>-0.99933530000000004</v>
      </c>
      <c r="P4346">
        <v>-9.0605389999999994E-2</v>
      </c>
      <c r="Q4346">
        <v>-1.3478510000000001E-2</v>
      </c>
      <c r="R4346">
        <v>-0.99579589999999996</v>
      </c>
      <c r="S4346">
        <v>-0.23895259999999999</v>
      </c>
      <c r="T4346">
        <v>-0.30558370000000001</v>
      </c>
      <c r="U4346">
        <v>-2.9870450000000002</v>
      </c>
      <c r="V4346">
        <v>5.6887380000000001E-2</v>
      </c>
      <c r="W4346">
        <v>5.9014949999999897E-4</v>
      </c>
      <c r="X4346">
        <v>0.99838039999999995</v>
      </c>
      <c r="Y4346">
        <v>4.5586399999999999E-2</v>
      </c>
      <c r="Z4346">
        <v>0.1014718</v>
      </c>
      <c r="AA4346">
        <v>0.99379340000000005</v>
      </c>
      <c r="AB4346">
        <v>28</v>
      </c>
      <c r="AC4346">
        <v>-7.0899999999994606E-2</v>
      </c>
      <c r="AD4346">
        <v>-9.8417999999999894E-2</v>
      </c>
      <c r="AE4346">
        <v>-0.67900000000000205</v>
      </c>
      <c r="AF4346">
        <v>4.6930195860710802E-2</v>
      </c>
      <c r="AG4346">
        <v>-9.8417999999999894E-2</v>
      </c>
      <c r="AH4346">
        <v>0.667143731416729</v>
      </c>
      <c r="AI4346">
        <v>98.371436074415001</v>
      </c>
      <c r="AJ4346">
        <v>85.976159432511295</v>
      </c>
      <c r="AK4346">
        <v>0.67599504759736295</v>
      </c>
      <c r="AL4346">
        <v>89.966186921482105</v>
      </c>
      <c r="AM4346">
        <v>86.738831994452099</v>
      </c>
      <c r="AN4346">
        <v>0.99999997269192797</v>
      </c>
    </row>
    <row r="4347" spans="1:40" x14ac:dyDescent="0.25">
      <c r="A4347" t="str">
        <f>"20190312154341493"</f>
        <v>20190312154341493</v>
      </c>
      <c r="B4347" t="str">
        <f>"1552376621481448"</f>
        <v>1552376621481448</v>
      </c>
      <c r="C4347" t="s">
        <v>40</v>
      </c>
      <c r="D4347">
        <v>5.4638739999999997</v>
      </c>
      <c r="E4347">
        <v>0.49706250000000002</v>
      </c>
      <c r="F4347" t="s">
        <v>41</v>
      </c>
      <c r="G4347">
        <v>-193.27869999999999</v>
      </c>
      <c r="H4347">
        <v>1.0168010000000001</v>
      </c>
      <c r="I4347">
        <v>185.46950000000001</v>
      </c>
      <c r="J4347">
        <v>-193.20939999999999</v>
      </c>
      <c r="K4347">
        <v>1.113248</v>
      </c>
      <c r="L4347">
        <v>186.11660000000001</v>
      </c>
      <c r="M4347">
        <v>-2.9841650000000001E-2</v>
      </c>
      <c r="N4347">
        <v>0</v>
      </c>
      <c r="O4347">
        <v>-0.9994613</v>
      </c>
      <c r="P4347">
        <v>-8.5744219999999996E-2</v>
      </c>
      <c r="Q4347">
        <v>-1.358033E-2</v>
      </c>
      <c r="R4347">
        <v>-0.99622469999999996</v>
      </c>
      <c r="S4347">
        <v>-0.23857120000000001</v>
      </c>
      <c r="T4347">
        <v>-0.3093188</v>
      </c>
      <c r="U4347">
        <v>-2.9867859999999999</v>
      </c>
      <c r="V4347">
        <v>5.5972349999999997E-2</v>
      </c>
      <c r="W4347">
        <v>4.6760239999999999E-4</v>
      </c>
      <c r="X4347">
        <v>0.99843219999999999</v>
      </c>
      <c r="Y4347">
        <v>4.9415550000000003E-2</v>
      </c>
      <c r="Z4347">
        <v>0.1027184</v>
      </c>
      <c r="AA4347">
        <v>0.99348230000000004</v>
      </c>
      <c r="AB4347">
        <v>28</v>
      </c>
      <c r="AC4347">
        <v>-6.9299999999998294E-2</v>
      </c>
      <c r="AD4347">
        <v>-9.6446999999999894E-2</v>
      </c>
      <c r="AE4347">
        <v>-0.64709999999999401</v>
      </c>
      <c r="AF4347">
        <v>4.8883199159566099E-2</v>
      </c>
      <c r="AG4347">
        <v>-9.6446999999999894E-2</v>
      </c>
      <c r="AH4347">
        <v>0.63493519780502605</v>
      </c>
      <c r="AI4347">
        <v>98.612130567559404</v>
      </c>
      <c r="AJ4347">
        <v>85.597524229500607</v>
      </c>
      <c r="AK4347">
        <v>0.64407631254439202</v>
      </c>
      <c r="AL4347">
        <v>89.973208354753694</v>
      </c>
      <c r="AM4347">
        <v>86.791343301683</v>
      </c>
      <c r="AN4347">
        <v>0.99999999030668296</v>
      </c>
    </row>
    <row r="4348" spans="1:40" x14ac:dyDescent="0.25">
      <c r="A4348" t="str">
        <f>"20190312154341516"</f>
        <v>20190312154341516</v>
      </c>
      <c r="B4348" t="str">
        <f>"1552376621511703"</f>
        <v>1552376621511703</v>
      </c>
      <c r="C4348" t="s">
        <v>40</v>
      </c>
      <c r="D4348">
        <v>5.4819559999999896</v>
      </c>
      <c r="E4348">
        <v>0.49871359999999898</v>
      </c>
      <c r="F4348" t="s">
        <v>41</v>
      </c>
      <c r="G4348">
        <v>-193.28030000000001</v>
      </c>
      <c r="H4348">
        <v>1.0199480000000001</v>
      </c>
      <c r="I4348">
        <v>185.2157</v>
      </c>
      <c r="J4348">
        <v>-193.21350000000001</v>
      </c>
      <c r="K4348">
        <v>1.1131819999999999</v>
      </c>
      <c r="L4348">
        <v>185.83260000000001</v>
      </c>
      <c r="M4348">
        <v>-2.596853E-2</v>
      </c>
      <c r="N4348">
        <v>0</v>
      </c>
      <c r="O4348">
        <v>-0.99956959999999995</v>
      </c>
      <c r="P4348">
        <v>-8.1530420000000006E-2</v>
      </c>
      <c r="Q4348">
        <v>-1.370014E-2</v>
      </c>
      <c r="R4348">
        <v>-0.99657680000000004</v>
      </c>
      <c r="S4348">
        <v>-0.2350922</v>
      </c>
      <c r="T4348">
        <v>-0.30939660000000002</v>
      </c>
      <c r="U4348">
        <v>-2.986923</v>
      </c>
      <c r="V4348">
        <v>5.5619950000000001E-2</v>
      </c>
      <c r="W4348">
        <v>3.3027330000000001E-4</v>
      </c>
      <c r="X4348">
        <v>0.99845189999999995</v>
      </c>
      <c r="Y4348">
        <v>5.2131770000000001E-2</v>
      </c>
      <c r="Z4348">
        <v>0.1027535</v>
      </c>
      <c r="AA4348">
        <v>0.99333979999999999</v>
      </c>
      <c r="AB4348">
        <v>28</v>
      </c>
      <c r="AC4348">
        <v>-6.6800000000000595E-2</v>
      </c>
      <c r="AD4348">
        <v>-9.3233999999999997E-2</v>
      </c>
      <c r="AE4348">
        <v>-0.61690000000001499</v>
      </c>
      <c r="AF4348">
        <v>4.9635396786560801E-2</v>
      </c>
      <c r="AG4348">
        <v>-9.3233999999999997E-2</v>
      </c>
      <c r="AH4348">
        <v>0.60477312133531103</v>
      </c>
      <c r="AI4348">
        <v>98.735014394901498</v>
      </c>
      <c r="AJ4348">
        <v>85.308093411117497</v>
      </c>
      <c r="AK4348">
        <v>0.613927340700684</v>
      </c>
      <c r="AL4348">
        <v>89.981076732387606</v>
      </c>
      <c r="AM4348">
        <v>86.811565861474193</v>
      </c>
      <c r="AN4348">
        <v>0.99999994226603095</v>
      </c>
    </row>
    <row r="4349" spans="1:40" x14ac:dyDescent="0.25">
      <c r="A4349" t="str">
        <f>"20190312154341536"</f>
        <v>20190312154341536</v>
      </c>
      <c r="B4349" t="str">
        <f>"1552376621532199"</f>
        <v>1552376621532199</v>
      </c>
      <c r="C4349" t="s">
        <v>40</v>
      </c>
      <c r="D4349">
        <v>5.4765730000000001</v>
      </c>
      <c r="E4349">
        <v>0.49992490000000001</v>
      </c>
      <c r="F4349" t="s">
        <v>41</v>
      </c>
      <c r="G4349">
        <v>-193.28219999999999</v>
      </c>
      <c r="H4349">
        <v>1.0229410000000001</v>
      </c>
      <c r="I4349">
        <v>184.9622</v>
      </c>
      <c r="J4349">
        <v>-193.2165</v>
      </c>
      <c r="K4349">
        <v>1.11312099999999</v>
      </c>
      <c r="L4349">
        <v>185.5753</v>
      </c>
      <c r="M4349">
        <v>-2.2532529999999999E-2</v>
      </c>
      <c r="N4349">
        <v>0</v>
      </c>
      <c r="O4349">
        <v>-0.99965300000000001</v>
      </c>
      <c r="P4349">
        <v>-7.7885969999999999E-2</v>
      </c>
      <c r="Q4349">
        <v>-1.357184E-2</v>
      </c>
      <c r="R4349">
        <v>-0.99686989999999998</v>
      </c>
      <c r="S4349">
        <v>-0.23535159999999999</v>
      </c>
      <c r="T4349">
        <v>-0.30975520000000001</v>
      </c>
      <c r="U4349">
        <v>-2.9868009999999998</v>
      </c>
      <c r="V4349">
        <v>5.5400339999999999E-2</v>
      </c>
      <c r="W4349">
        <v>4.428069E-4</v>
      </c>
      <c r="X4349">
        <v>0.99846409999999997</v>
      </c>
      <c r="Y4349">
        <v>5.5651939999999997E-2</v>
      </c>
      <c r="Z4349">
        <v>0.1028781</v>
      </c>
      <c r="AA4349">
        <v>0.99313589999999996</v>
      </c>
      <c r="AB4349">
        <v>28</v>
      </c>
      <c r="AC4349">
        <v>-6.5699999999992501E-2</v>
      </c>
      <c r="AD4349">
        <v>-9.0179999999999899E-2</v>
      </c>
      <c r="AE4349">
        <v>-0.61310000000000198</v>
      </c>
      <c r="AF4349">
        <v>5.0781156410313999E-2</v>
      </c>
      <c r="AG4349">
        <v>-9.0179999999999899E-2</v>
      </c>
      <c r="AH4349">
        <v>0.60155785993583799</v>
      </c>
      <c r="AI4349">
        <v>98.495990883172198</v>
      </c>
      <c r="AJ4349">
        <v>85.174754880670505</v>
      </c>
      <c r="AK4349">
        <v>0.61039578725360999</v>
      </c>
      <c r="AL4349">
        <v>89.974629032061998</v>
      </c>
      <c r="AM4349">
        <v>86.824167990162906</v>
      </c>
      <c r="AN4349">
        <v>0.99999997636943705</v>
      </c>
    </row>
    <row r="4350" spans="1:40" x14ac:dyDescent="0.25">
      <c r="A4350" t="str">
        <f>"20190312154341550"</f>
        <v>20190312154341550</v>
      </c>
      <c r="B4350" t="str">
        <f>"1552376621541960"</f>
        <v>1552376621541960</v>
      </c>
      <c r="C4350" t="s">
        <v>40</v>
      </c>
      <c r="D4350">
        <v>5.4939460000000002</v>
      </c>
      <c r="E4350">
        <v>0.50048519999999996</v>
      </c>
      <c r="F4350" t="s">
        <v>41</v>
      </c>
      <c r="G4350">
        <v>-193.2843</v>
      </c>
      <c r="H4350">
        <v>1.023541</v>
      </c>
      <c r="I4350">
        <v>184.71</v>
      </c>
      <c r="J4350">
        <v>-193.21799999999999</v>
      </c>
      <c r="K4350">
        <v>1.113073</v>
      </c>
      <c r="L4350">
        <v>185.3999</v>
      </c>
      <c r="M4350">
        <v>-2.0233770000000002E-2</v>
      </c>
      <c r="N4350">
        <v>0</v>
      </c>
      <c r="O4350">
        <v>-0.99970219999999999</v>
      </c>
      <c r="P4350">
        <v>-7.5823269999999998E-2</v>
      </c>
      <c r="Q4350">
        <v>-1.3152820000000001E-2</v>
      </c>
      <c r="R4350">
        <v>-0.99703459999999999</v>
      </c>
      <c r="S4350">
        <v>-0.23385619999999999</v>
      </c>
      <c r="T4350">
        <v>-0.30929709999999899</v>
      </c>
      <c r="U4350">
        <v>-2.9869690000000002</v>
      </c>
      <c r="V4350">
        <v>5.5627509999999998E-2</v>
      </c>
      <c r="W4350">
        <v>8.5288679999999905E-4</v>
      </c>
      <c r="X4350">
        <v>0.99845119999999998</v>
      </c>
      <c r="Y4350">
        <v>5.7450460000000002E-2</v>
      </c>
      <c r="Z4350">
        <v>0.1027262</v>
      </c>
      <c r="AA4350">
        <v>0.99304919999999997</v>
      </c>
      <c r="AB4350">
        <v>28</v>
      </c>
      <c r="AC4350">
        <v>-6.6300000000012405E-2</v>
      </c>
      <c r="AD4350">
        <v>-8.9531999999999903E-2</v>
      </c>
      <c r="AE4350">
        <v>-0.68989999999999396</v>
      </c>
      <c r="AF4350">
        <v>5.1466990767440698E-2</v>
      </c>
      <c r="AG4350">
        <v>-8.9531999999999903E-2</v>
      </c>
      <c r="AH4350">
        <v>0.67975690133102895</v>
      </c>
      <c r="AI4350">
        <v>97.482167692368705</v>
      </c>
      <c r="AJ4350">
        <v>85.6701788147912</v>
      </c>
      <c r="AK4350">
        <v>0.687556743163659</v>
      </c>
      <c r="AL4350">
        <v>89.951133178715295</v>
      </c>
      <c r="AM4350">
        <v>86.811131144979498</v>
      </c>
      <c r="AN4350">
        <v>0.99999997303306598</v>
      </c>
    </row>
    <row r="4351" spans="1:40" x14ac:dyDescent="0.25">
      <c r="A4351" t="str">
        <f>"20190312154341570"</f>
        <v>20190312154341570</v>
      </c>
      <c r="B4351" t="str">
        <f>"1552376621561479"</f>
        <v>1552376621561479</v>
      </c>
      <c r="C4351" t="s">
        <v>40</v>
      </c>
      <c r="D4351">
        <v>5.4946809999999999</v>
      </c>
      <c r="E4351">
        <v>0.50092919999999996</v>
      </c>
      <c r="F4351" t="s">
        <v>41</v>
      </c>
      <c r="G4351">
        <v>-193.2911</v>
      </c>
      <c r="H4351">
        <v>1.016292</v>
      </c>
      <c r="I4351">
        <v>184.46199999999999</v>
      </c>
      <c r="J4351">
        <v>-193.21960000000001</v>
      </c>
      <c r="K4351">
        <v>1.113002</v>
      </c>
      <c r="L4351">
        <v>185.14750000000001</v>
      </c>
      <c r="M4351">
        <v>-1.700666E-2</v>
      </c>
      <c r="N4351">
        <v>0</v>
      </c>
      <c r="O4351">
        <v>-0.9997625</v>
      </c>
      <c r="P4351">
        <v>-7.2540880000000002E-2</v>
      </c>
      <c r="Q4351">
        <v>-1.2600159999999999E-2</v>
      </c>
      <c r="R4351">
        <v>-0.99728600000000001</v>
      </c>
      <c r="S4351">
        <v>-0.23220830000000001</v>
      </c>
      <c r="T4351">
        <v>-0.3084191</v>
      </c>
      <c r="U4351">
        <v>-2.9871829999999999</v>
      </c>
      <c r="V4351">
        <v>5.5560159999999997E-2</v>
      </c>
      <c r="W4351">
        <v>1.38932799999999E-3</v>
      </c>
      <c r="X4351">
        <v>0.99845439999999996</v>
      </c>
      <c r="Y4351">
        <v>6.0125129999999999E-2</v>
      </c>
      <c r="Z4351">
        <v>0.1024337</v>
      </c>
      <c r="AA4351">
        <v>0.9929211</v>
      </c>
      <c r="AB4351">
        <v>28</v>
      </c>
      <c r="AC4351">
        <v>-7.1499999999986102E-2</v>
      </c>
      <c r="AD4351">
        <v>-9.6710000000000004E-2</v>
      </c>
      <c r="AE4351">
        <v>-0.68549999999999001</v>
      </c>
      <c r="AF4351">
        <v>5.8675239457638598E-2</v>
      </c>
      <c r="AG4351">
        <v>-9.6710000000000004E-2</v>
      </c>
      <c r="AH4351">
        <v>0.67335901511137197</v>
      </c>
      <c r="AI4351">
        <v>98.142674383913004</v>
      </c>
      <c r="AJ4351">
        <v>85.019932637636401</v>
      </c>
      <c r="AK4351">
        <v>0.68279423771526404</v>
      </c>
      <c r="AL4351">
        <v>89.920397345641604</v>
      </c>
      <c r="AM4351">
        <v>86.814994243362605</v>
      </c>
      <c r="AN4351">
        <v>1.00000002524543</v>
      </c>
    </row>
    <row r="4352" spans="1:40" x14ac:dyDescent="0.25">
      <c r="A4352" t="str">
        <f>"20190312154341592"</f>
        <v>20190312154341592</v>
      </c>
      <c r="B4352" t="str">
        <f>"1552376621581975"</f>
        <v>1552376621581975</v>
      </c>
      <c r="C4352" t="s">
        <v>40</v>
      </c>
      <c r="D4352">
        <v>5.5123490000000004</v>
      </c>
      <c r="E4352">
        <v>0.50957580000000002</v>
      </c>
      <c r="F4352" t="s">
        <v>41</v>
      </c>
      <c r="G4352">
        <v>-193.29040000000001</v>
      </c>
      <c r="H4352">
        <v>1.0167389999999901</v>
      </c>
      <c r="I4352">
        <v>184.21019999999999</v>
      </c>
      <c r="J4352">
        <v>-193.22040000000001</v>
      </c>
      <c r="K4352">
        <v>1.112914</v>
      </c>
      <c r="L4352">
        <v>184.86179999999999</v>
      </c>
      <c r="M4352">
        <v>-1.3467649999999999E-2</v>
      </c>
      <c r="N4352">
        <v>0</v>
      </c>
      <c r="O4352">
        <v>-0.99981640000000005</v>
      </c>
      <c r="P4352">
        <v>-6.8551390000000004E-2</v>
      </c>
      <c r="Q4352">
        <v>-1.1792540000000001E-2</v>
      </c>
      <c r="R4352">
        <v>-0.99757779999999996</v>
      </c>
      <c r="S4352">
        <v>-0.2256165</v>
      </c>
      <c r="T4352">
        <v>-0.30683759999999999</v>
      </c>
      <c r="U4352">
        <v>-2.9878689999999999</v>
      </c>
      <c r="V4352">
        <v>5.50958E-2</v>
      </c>
      <c r="W4352">
        <v>2.1741999999999998E-3</v>
      </c>
      <c r="X4352">
        <v>0.99847870000000005</v>
      </c>
      <c r="Y4352">
        <v>6.1467029999999999E-2</v>
      </c>
      <c r="Z4352">
        <v>0.1019033</v>
      </c>
      <c r="AA4352">
        <v>0.99289349999999998</v>
      </c>
      <c r="AB4352">
        <v>28</v>
      </c>
      <c r="AC4352">
        <v>-6.9999999999993096E-2</v>
      </c>
      <c r="AD4352">
        <v>-9.6175000000000094E-2</v>
      </c>
      <c r="AE4352">
        <v>-0.65160000000000196</v>
      </c>
      <c r="AF4352">
        <v>5.9926691976009097E-2</v>
      </c>
      <c r="AG4352">
        <v>-9.6175000000000094E-2</v>
      </c>
      <c r="AH4352">
        <v>0.63872764058274001</v>
      </c>
      <c r="AI4352">
        <v>98.525969823971494</v>
      </c>
      <c r="AJ4352">
        <v>84.640086760935901</v>
      </c>
      <c r="AK4352">
        <v>0.64870165552477299</v>
      </c>
      <c r="AL4352">
        <v>89.875427417331807</v>
      </c>
      <c r="AM4352">
        <v>86.841636434342405</v>
      </c>
      <c r="AN4352">
        <v>0.99999999433848497</v>
      </c>
    </row>
    <row r="4353" spans="1:40" x14ac:dyDescent="0.25">
      <c r="A4353" t="str">
        <f>"20190312154341604"</f>
        <v>20190312154341604</v>
      </c>
      <c r="B4353" t="str">
        <f>"1552376621591736"</f>
        <v>1552376621591736</v>
      </c>
      <c r="C4353" t="s">
        <v>40</v>
      </c>
      <c r="D4353">
        <v>5.4605389999999998</v>
      </c>
      <c r="E4353">
        <v>0.50972839999999997</v>
      </c>
      <c r="F4353" t="s">
        <v>41</v>
      </c>
      <c r="G4353">
        <v>-193.30619999999999</v>
      </c>
      <c r="H4353">
        <v>1.0219039999999999</v>
      </c>
      <c r="I4353">
        <v>183.9564</v>
      </c>
      <c r="J4353">
        <v>-193.22059999999999</v>
      </c>
      <c r="K4353">
        <v>1.1128670000000001</v>
      </c>
      <c r="L4353">
        <v>184.70920000000001</v>
      </c>
      <c r="M4353">
        <v>-1.1619020000000001E-2</v>
      </c>
      <c r="N4353">
        <v>0</v>
      </c>
      <c r="O4353">
        <v>-0.99983979999999995</v>
      </c>
      <c r="P4353">
        <v>-6.6545430000000003E-2</v>
      </c>
      <c r="Q4353">
        <v>-1.140626E-2</v>
      </c>
      <c r="R4353">
        <v>-0.99771810000000005</v>
      </c>
      <c r="S4353">
        <v>-0.28233340000000001</v>
      </c>
      <c r="T4353">
        <v>-0.30010679999999901</v>
      </c>
      <c r="U4353">
        <v>-2.9843139999999999</v>
      </c>
      <c r="V4353">
        <v>5.493207E-2</v>
      </c>
      <c r="W4353">
        <v>2.5485170000000001E-3</v>
      </c>
      <c r="X4353">
        <v>0.99848680000000001</v>
      </c>
      <c r="Y4353">
        <v>8.2141619999999999E-2</v>
      </c>
      <c r="Z4353">
        <v>9.9657430000000005E-2</v>
      </c>
      <c r="AA4353">
        <v>0.99162550000000005</v>
      </c>
      <c r="AB4353">
        <v>28</v>
      </c>
      <c r="AC4353">
        <v>-8.5599999999999399E-2</v>
      </c>
      <c r="AD4353">
        <v>-9.0962999999999905E-2</v>
      </c>
      <c r="AE4353">
        <v>-0.75280000000000702</v>
      </c>
      <c r="AF4353">
        <v>7.5754667446259902E-2</v>
      </c>
      <c r="AG4353">
        <v>-9.0962999999999905E-2</v>
      </c>
      <c r="AH4353">
        <v>0.74303360763876702</v>
      </c>
      <c r="AI4353">
        <v>96.943842939042497</v>
      </c>
      <c r="AJ4353">
        <v>84.178625302703196</v>
      </c>
      <c r="AK4353">
        <v>0.75240413282329499</v>
      </c>
      <c r="AL4353">
        <v>89.853980567760004</v>
      </c>
      <c r="AM4353">
        <v>86.851028823865207</v>
      </c>
      <c r="AN4353">
        <v>0.99999995851381096</v>
      </c>
    </row>
    <row r="4354" spans="1:40" x14ac:dyDescent="0.25">
      <c r="A4354" t="str">
        <f>"20190312154341625"</f>
        <v>20190312154341625</v>
      </c>
      <c r="B4354" t="str">
        <f>"1552376621621992"</f>
        <v>1552376621621992</v>
      </c>
      <c r="C4354" t="s">
        <v>40</v>
      </c>
      <c r="D4354">
        <v>5.4729859999999997</v>
      </c>
      <c r="E4354">
        <v>0.51083919999999905</v>
      </c>
      <c r="F4354" t="s">
        <v>41</v>
      </c>
      <c r="G4354">
        <v>-193.29130000000001</v>
      </c>
      <c r="H4354">
        <v>1.03643</v>
      </c>
      <c r="I4354">
        <v>183.94909999999999</v>
      </c>
      <c r="J4354">
        <v>-193.22020000000001</v>
      </c>
      <c r="K4354">
        <v>1.1127940000000001</v>
      </c>
      <c r="L4354">
        <v>184.45500000000001</v>
      </c>
      <c r="M4354">
        <v>-8.6179109999999903E-3</v>
      </c>
      <c r="N4354">
        <v>0</v>
      </c>
      <c r="O4354">
        <v>-0.99987020000000004</v>
      </c>
      <c r="P4354">
        <v>-6.3443009999999994E-2</v>
      </c>
      <c r="Q4354">
        <v>-1.070318E-2</v>
      </c>
      <c r="R4354">
        <v>-0.99792829999999999</v>
      </c>
      <c r="S4354">
        <v>-0.27738950000000001</v>
      </c>
      <c r="T4354">
        <v>-0.30033870000000001</v>
      </c>
      <c r="U4354">
        <v>-2.9849239999999999</v>
      </c>
      <c r="V4354">
        <v>5.4820649999999999E-2</v>
      </c>
      <c r="W4354">
        <v>3.2337289999999999E-3</v>
      </c>
      <c r="X4354">
        <v>0.99849100000000002</v>
      </c>
      <c r="Y4354">
        <v>8.3485160000000003E-2</v>
      </c>
      <c r="Z4354">
        <v>9.9720160000000002E-2</v>
      </c>
      <c r="AA4354">
        <v>0.99150700000000003</v>
      </c>
      <c r="AB4354">
        <v>28</v>
      </c>
      <c r="AC4354">
        <v>-7.1100000000001204E-2</v>
      </c>
      <c r="AD4354">
        <v>-7.6364000000000098E-2</v>
      </c>
      <c r="AE4354">
        <v>-0.505900000000025</v>
      </c>
      <c r="AF4354">
        <v>6.5278594251258301E-2</v>
      </c>
      <c r="AG4354">
        <v>-7.6364000000000098E-2</v>
      </c>
      <c r="AH4354">
        <v>0.49542442761821798</v>
      </c>
      <c r="AI4354">
        <v>98.688588757253399</v>
      </c>
      <c r="AJ4354">
        <v>82.493778294673803</v>
      </c>
      <c r="AK4354">
        <v>0.50550778316882505</v>
      </c>
      <c r="AL4354">
        <v>89.814720656795998</v>
      </c>
      <c r="AM4354">
        <v>86.8574163327837</v>
      </c>
      <c r="AN4354">
        <v>1.00000001887533</v>
      </c>
    </row>
    <row r="4355" spans="1:40" x14ac:dyDescent="0.25">
      <c r="A4355" t="str">
        <f>"20190312154341649"</f>
        <v>20190312154341649</v>
      </c>
      <c r="B4355" t="str">
        <f>"1552376621642488"</f>
        <v>1552376621642488</v>
      </c>
      <c r="C4355" t="s">
        <v>40</v>
      </c>
      <c r="D4355">
        <v>5.4991289999999999</v>
      </c>
      <c r="E4355">
        <v>0.51105329999999904</v>
      </c>
      <c r="F4355" t="s">
        <v>41</v>
      </c>
      <c r="G4355">
        <v>-193.29060000000001</v>
      </c>
      <c r="H4355">
        <v>1.03867</v>
      </c>
      <c r="I4355">
        <v>183.6968</v>
      </c>
      <c r="J4355">
        <v>-193.21899999999999</v>
      </c>
      <c r="K4355">
        <v>1.1127009999999999</v>
      </c>
      <c r="L4355">
        <v>184.16540000000001</v>
      </c>
      <c r="M4355">
        <v>-5.3290689999999996E-3</v>
      </c>
      <c r="N4355">
        <v>0</v>
      </c>
      <c r="O4355">
        <v>-0.99989309999999998</v>
      </c>
      <c r="P4355">
        <v>-6.010513E-2</v>
      </c>
      <c r="Q4355">
        <v>-9.9218410000000007E-3</v>
      </c>
      <c r="R4355">
        <v>-0.99814270000000005</v>
      </c>
      <c r="S4355">
        <v>-0.27700809999999998</v>
      </c>
      <c r="T4355">
        <v>-0.29185509999999998</v>
      </c>
      <c r="U4355">
        <v>-2.9855040000000002</v>
      </c>
      <c r="V4355">
        <v>5.4761619999999997E-2</v>
      </c>
      <c r="W4355">
        <v>3.9938029999999998E-3</v>
      </c>
      <c r="X4355">
        <v>0.99849149999999998</v>
      </c>
      <c r="Y4355">
        <v>8.6644700000000005E-2</v>
      </c>
      <c r="Z4355">
        <v>9.6902500000000003E-2</v>
      </c>
      <c r="AA4355">
        <v>0.99151529999999999</v>
      </c>
      <c r="AB4355">
        <v>28</v>
      </c>
      <c r="AC4355">
        <v>-7.1599999999989394E-2</v>
      </c>
      <c r="AD4355">
        <v>-7.4030999999999902E-2</v>
      </c>
      <c r="AE4355">
        <v>-0.46860000000000901</v>
      </c>
      <c r="AF4355">
        <v>6.7456334722658398E-2</v>
      </c>
      <c r="AG4355">
        <v>-7.4030999999999902E-2</v>
      </c>
      <c r="AH4355">
        <v>0.45780927764892498</v>
      </c>
      <c r="AI4355">
        <v>99.089145955159907</v>
      </c>
      <c r="AJ4355">
        <v>81.618012658655005</v>
      </c>
      <c r="AK4355">
        <v>0.468636619094844</v>
      </c>
      <c r="AL4355">
        <v>89.771171342556201</v>
      </c>
      <c r="AM4355">
        <v>86.860795013896293</v>
      </c>
      <c r="AN4355">
        <v>1.00000003052983</v>
      </c>
    </row>
    <row r="4356" spans="1:40" x14ac:dyDescent="0.25">
      <c r="A4356" t="str">
        <f>"20190312154341662"</f>
        <v>20190312154341662</v>
      </c>
      <c r="B4356" t="str">
        <f>"1552376621652248"</f>
        <v>1552376621652248</v>
      </c>
      <c r="C4356" t="s">
        <v>40</v>
      </c>
      <c r="D4356">
        <v>5.5421769999999997</v>
      </c>
      <c r="E4356">
        <v>0.49144310000000002</v>
      </c>
      <c r="F4356" t="s">
        <v>41</v>
      </c>
      <c r="G4356">
        <v>-193.3056</v>
      </c>
      <c r="H4356">
        <v>1.0202279999999999</v>
      </c>
      <c r="I4356">
        <v>183.20400000000001</v>
      </c>
      <c r="J4356">
        <v>-193.21789999999999</v>
      </c>
      <c r="K4356">
        <v>1.112638</v>
      </c>
      <c r="L4356">
        <v>183.99469999999999</v>
      </c>
      <c r="M4356">
        <v>-3.475508E-3</v>
      </c>
      <c r="N4356">
        <v>0</v>
      </c>
      <c r="O4356">
        <v>-0.99990140000000005</v>
      </c>
      <c r="P4356">
        <v>-5.7968800000000001E-2</v>
      </c>
      <c r="Q4356">
        <v>-9.5863790000000008E-3</v>
      </c>
      <c r="R4356">
        <v>-0.99827250000000001</v>
      </c>
      <c r="S4356">
        <v>-0.26885989999999999</v>
      </c>
      <c r="T4356">
        <v>-0.28729120000000002</v>
      </c>
      <c r="U4356">
        <v>-2.986526</v>
      </c>
      <c r="V4356">
        <v>5.4474309999999998E-2</v>
      </c>
      <c r="W4356">
        <v>4.3142340000000001E-3</v>
      </c>
      <c r="X4356">
        <v>0.9985058</v>
      </c>
      <c r="Y4356">
        <v>8.579051E-2</v>
      </c>
      <c r="Z4356">
        <v>9.5385289999999998E-2</v>
      </c>
      <c r="AA4356">
        <v>0.99173670000000003</v>
      </c>
      <c r="AB4356">
        <v>28</v>
      </c>
      <c r="AC4356">
        <v>-8.7700000000012296E-2</v>
      </c>
      <c r="AD4356">
        <v>-9.2409999999999798E-2</v>
      </c>
      <c r="AE4356">
        <v>-0.79069999999998597</v>
      </c>
      <c r="AF4356">
        <v>8.3820157101233098E-2</v>
      </c>
      <c r="AG4356">
        <v>-9.2409999999999798E-2</v>
      </c>
      <c r="AH4356">
        <v>0.78046928252729797</v>
      </c>
      <c r="AI4356">
        <v>96.714305584925697</v>
      </c>
      <c r="AJ4356">
        <v>83.870093688439098</v>
      </c>
      <c r="AK4356">
        <v>0.79037821820009102</v>
      </c>
      <c r="AL4356">
        <v>89.752811820269898</v>
      </c>
      <c r="AM4356">
        <v>86.877276985144803</v>
      </c>
      <c r="AN4356">
        <v>0.99999994784931001</v>
      </c>
    </row>
    <row r="4357" spans="1:40" x14ac:dyDescent="0.25">
      <c r="A4357" t="str">
        <f>"20190312154341683"</f>
        <v>20190312154341683</v>
      </c>
      <c r="B4357" t="str">
        <f>"1552376621671767"</f>
        <v>1552376621671767</v>
      </c>
      <c r="C4357" t="s">
        <v>40</v>
      </c>
      <c r="D4357">
        <v>5.4406439999999998</v>
      </c>
      <c r="E4357">
        <v>0.47665580000000002</v>
      </c>
      <c r="F4357" t="s">
        <v>41</v>
      </c>
      <c r="G4357">
        <v>-193.24619999999999</v>
      </c>
      <c r="H4357">
        <v>1.031299</v>
      </c>
      <c r="I4357">
        <v>183.19820000000001</v>
      </c>
      <c r="J4357">
        <v>-193.21559999999999</v>
      </c>
      <c r="K4357">
        <v>1.1125400000000001</v>
      </c>
      <c r="L4357">
        <v>183.72810000000001</v>
      </c>
      <c r="M4357">
        <v>-6.5368969999999996E-4</v>
      </c>
      <c r="N4357">
        <v>0</v>
      </c>
      <c r="O4357">
        <v>-0.99990760000000001</v>
      </c>
      <c r="P4357">
        <v>-5.5312939999999998E-2</v>
      </c>
      <c r="Q4357">
        <v>-9.3760839999999998E-3</v>
      </c>
      <c r="R4357">
        <v>-0.99842540000000002</v>
      </c>
      <c r="S4357">
        <v>-0.1062927</v>
      </c>
      <c r="T4357">
        <v>-0.30600929999999998</v>
      </c>
      <c r="U4357">
        <v>-2.9960779999999998</v>
      </c>
      <c r="V4357">
        <v>5.4635780000000002E-2</v>
      </c>
      <c r="W4357">
        <v>4.5044909999999898E-3</v>
      </c>
      <c r="X4357">
        <v>0.99849619999999994</v>
      </c>
      <c r="Y4357">
        <v>3.4618360000000001E-2</v>
      </c>
      <c r="Z4357">
        <v>0.10154589999999999</v>
      </c>
      <c r="AA4357">
        <v>0.99422840000000001</v>
      </c>
      <c r="AB4357">
        <v>28</v>
      </c>
      <c r="AC4357">
        <v>-3.0599999999992598E-2</v>
      </c>
      <c r="AD4357">
        <v>-8.1240999999999897E-2</v>
      </c>
      <c r="AE4357">
        <v>-0.52989999999999704</v>
      </c>
      <c r="AF4357">
        <v>2.95610444808578E-2</v>
      </c>
      <c r="AG4357">
        <v>-8.1240999999999897E-2</v>
      </c>
      <c r="AH4357">
        <v>0.51778962890798497</v>
      </c>
      <c r="AI4357">
        <v>98.902725374211698</v>
      </c>
      <c r="AJ4357">
        <v>86.732482789797999</v>
      </c>
      <c r="AK4357">
        <v>0.52495719371818095</v>
      </c>
      <c r="AL4357">
        <v>89.741910806670603</v>
      </c>
      <c r="AM4357">
        <v>86.868009115566906</v>
      </c>
      <c r="AN4357">
        <v>1.0000000101549</v>
      </c>
    </row>
    <row r="4358" spans="1:40" x14ac:dyDescent="0.25">
      <c r="A4358" t="str">
        <f>"20190312154341705"</f>
        <v>20190312154341705</v>
      </c>
      <c r="B4358" t="str">
        <f>"1552376621692263"</f>
        <v>1552376621692263</v>
      </c>
      <c r="C4358" t="s">
        <v>40</v>
      </c>
      <c r="D4358">
        <v>5.4457209999999998</v>
      </c>
      <c r="E4358">
        <v>0.47068579999999999</v>
      </c>
      <c r="F4358" t="s">
        <v>43</v>
      </c>
      <c r="G4358">
        <v>-193.1317</v>
      </c>
      <c r="H4358" s="1">
        <v>-1.351295E-6</v>
      </c>
      <c r="I4358">
        <v>170.79660000000001</v>
      </c>
      <c r="J4358">
        <v>-193.21270000000001</v>
      </c>
      <c r="K4358">
        <v>1.11243799999999</v>
      </c>
      <c r="L4358">
        <v>183.45070000000001</v>
      </c>
      <c r="M4358">
        <v>2.1586330000000001E-3</v>
      </c>
      <c r="N4358">
        <v>0</v>
      </c>
      <c r="O4358">
        <v>-0.9999053</v>
      </c>
      <c r="P4358">
        <v>-5.2533539999999997E-2</v>
      </c>
      <c r="Q4358">
        <v>-8.7387839999999994E-3</v>
      </c>
      <c r="R4358">
        <v>-0.9985811</v>
      </c>
      <c r="S4358">
        <v>1.9485470000000001E-2</v>
      </c>
      <c r="T4358">
        <v>-0.258389799999999</v>
      </c>
      <c r="U4358">
        <v>-3.0033720000000002</v>
      </c>
      <c r="V4358">
        <v>5.4662530000000001E-2</v>
      </c>
      <c r="W4358">
        <v>5.1205579999999999E-3</v>
      </c>
      <c r="X4358">
        <v>0.99849180000000004</v>
      </c>
      <c r="Y4358">
        <v>-4.3050520000000002E-3</v>
      </c>
      <c r="Z4358">
        <v>8.5715029999999998E-2</v>
      </c>
      <c r="AA4358">
        <v>0.99631040000000004</v>
      </c>
      <c r="AB4358">
        <v>28</v>
      </c>
      <c r="AC4358">
        <v>8.1000000000017197E-2</v>
      </c>
      <c r="AD4358">
        <v>-1.1124393512949899</v>
      </c>
      <c r="AE4358">
        <v>-12.6541</v>
      </c>
      <c r="AF4358">
        <v>-5.3270054074220599E-2</v>
      </c>
      <c r="AG4358">
        <v>-1.1124393512949899</v>
      </c>
      <c r="AH4358">
        <v>12.557202145599501</v>
      </c>
      <c r="AI4358">
        <v>95.062556845434202</v>
      </c>
      <c r="AJ4358">
        <v>90.243058201076806</v>
      </c>
      <c r="AK4358">
        <v>12.606493752603001</v>
      </c>
      <c r="AL4358">
        <v>89.706612368486603</v>
      </c>
      <c r="AM4358">
        <v>86.866464948696603</v>
      </c>
      <c r="AN4358">
        <v>1.00000004348373</v>
      </c>
    </row>
    <row r="4359" spans="1:40" x14ac:dyDescent="0.25">
      <c r="A4359" t="str">
        <f>"20190312154341727"</f>
        <v>20190312154341727</v>
      </c>
      <c r="B4359" t="str">
        <f>"1552376621721543"</f>
        <v>1552376621721543</v>
      </c>
      <c r="C4359" t="s">
        <v>40</v>
      </c>
      <c r="D4359">
        <v>5.4402010000000001</v>
      </c>
      <c r="E4359">
        <v>0.46746179999999898</v>
      </c>
      <c r="F4359" t="s">
        <v>43</v>
      </c>
      <c r="G4359">
        <v>-192.8689</v>
      </c>
      <c r="H4359" s="1">
        <v>-8.3867680000000003E-7</v>
      </c>
      <c r="I4359">
        <v>169.7647</v>
      </c>
      <c r="J4359">
        <v>-193.20930000000001</v>
      </c>
      <c r="K4359">
        <v>1.1123379999999901</v>
      </c>
      <c r="L4359">
        <v>183.18639999999999</v>
      </c>
      <c r="M4359">
        <v>4.7056900000000002E-3</v>
      </c>
      <c r="N4359">
        <v>0</v>
      </c>
      <c r="O4359">
        <v>-0.99989680000000003</v>
      </c>
      <c r="P4359">
        <v>-5.0224270000000001E-2</v>
      </c>
      <c r="Q4359">
        <v>-8.3187319999999901E-3</v>
      </c>
      <c r="R4359">
        <v>-0.99870349999999997</v>
      </c>
      <c r="S4359">
        <v>7.5515750000000006E-2</v>
      </c>
      <c r="T4359">
        <v>-0.24434510000000001</v>
      </c>
      <c r="U4359">
        <v>-3.0061040000000001</v>
      </c>
      <c r="V4359">
        <v>5.4896229999999997E-2</v>
      </c>
      <c r="W4359">
        <v>5.5206179999999997E-3</v>
      </c>
      <c r="X4359">
        <v>0.99847680000000005</v>
      </c>
      <c r="Y4359">
        <v>-2.032546E-2</v>
      </c>
      <c r="Z4359">
        <v>8.0993389999999998E-2</v>
      </c>
      <c r="AA4359">
        <v>0.99650729999999998</v>
      </c>
      <c r="AB4359">
        <v>28</v>
      </c>
      <c r="AC4359">
        <v>0.34040000000001602</v>
      </c>
      <c r="AD4359">
        <v>-1.1123388386767901</v>
      </c>
      <c r="AE4359">
        <v>-13.4216999999999</v>
      </c>
      <c r="AF4359">
        <v>-0.27534209235361701</v>
      </c>
      <c r="AG4359">
        <v>-1.1123388386767901</v>
      </c>
      <c r="AH4359">
        <v>13.331644376761499</v>
      </c>
      <c r="AI4359">
        <v>94.768470194139198</v>
      </c>
      <c r="AJ4359">
        <v>91.183177170509097</v>
      </c>
      <c r="AK4359">
        <v>13.380801648193099</v>
      </c>
      <c r="AL4359">
        <v>89.683690280535998</v>
      </c>
      <c r="AM4359">
        <v>86.853047760931403</v>
      </c>
      <c r="AN4359">
        <v>0.99999999671477702</v>
      </c>
    </row>
    <row r="4360" spans="1:40" x14ac:dyDescent="0.25">
      <c r="A4360" t="str">
        <f>"20190312154341750"</f>
        <v>20190312154341750</v>
      </c>
      <c r="B4360" t="str">
        <f>"1552376621741640"</f>
        <v>1552376621741640</v>
      </c>
      <c r="C4360" t="s">
        <v>40</v>
      </c>
      <c r="D4360">
        <v>5.4050710000000004</v>
      </c>
      <c r="E4360">
        <v>0.46653919999999999</v>
      </c>
      <c r="F4360" t="s">
        <v>43</v>
      </c>
      <c r="G4360">
        <v>-192.7165</v>
      </c>
      <c r="H4360" s="1">
        <v>-5.1614170000000001E-6</v>
      </c>
      <c r="I4360">
        <v>169.47190000000001</v>
      </c>
      <c r="J4360">
        <v>-193.20500000000001</v>
      </c>
      <c r="K4360">
        <v>1.112223</v>
      </c>
      <c r="L4360">
        <v>182.90119999999999</v>
      </c>
      <c r="M4360">
        <v>7.3061239999999998E-3</v>
      </c>
      <c r="N4360">
        <v>0</v>
      </c>
      <c r="O4360">
        <v>-0.99988129999999997</v>
      </c>
      <c r="P4360">
        <v>-4.8589460000000001E-2</v>
      </c>
      <c r="Q4360">
        <v>-8.2702469999999997E-3</v>
      </c>
      <c r="R4360">
        <v>-0.99878460000000002</v>
      </c>
      <c r="S4360">
        <v>0.1080475</v>
      </c>
      <c r="T4360">
        <v>-0.24391470000000001</v>
      </c>
      <c r="U4360">
        <v>-3.0073089999999998</v>
      </c>
      <c r="V4360">
        <v>5.5859890000000002E-2</v>
      </c>
      <c r="W4360">
        <v>5.5501810000000004E-3</v>
      </c>
      <c r="X4360">
        <v>0.99842319999999996</v>
      </c>
      <c r="Y4360">
        <v>-2.8484700000000002E-2</v>
      </c>
      <c r="Z4360">
        <v>8.0796320000000005E-2</v>
      </c>
      <c r="AA4360">
        <v>0.99632350000000003</v>
      </c>
      <c r="AB4360">
        <v>28</v>
      </c>
      <c r="AC4360">
        <v>0.48850000000001598</v>
      </c>
      <c r="AD4360">
        <v>-1.112228161417</v>
      </c>
      <c r="AE4360">
        <v>-13.4292999999999</v>
      </c>
      <c r="AF4360">
        <v>-0.38770591576712299</v>
      </c>
      <c r="AG4360">
        <v>-1.112228161417</v>
      </c>
      <c r="AH4360">
        <v>13.3411207934064</v>
      </c>
      <c r="AI4360">
        <v>94.763636282598497</v>
      </c>
      <c r="AJ4360">
        <v>91.664602447119606</v>
      </c>
      <c r="AK4360">
        <v>13.3930157688413</v>
      </c>
      <c r="AL4360">
        <v>89.681996423375494</v>
      </c>
      <c r="AM4360">
        <v>86.797747919502896</v>
      </c>
      <c r="AN4360">
        <v>1.0000000090590899</v>
      </c>
    </row>
    <row r="4361" spans="1:40" x14ac:dyDescent="0.25">
      <c r="A4361" t="str">
        <f>"20190312154341771"</f>
        <v>20190312154341771</v>
      </c>
      <c r="B4361" t="str">
        <f>"1552376621762136"</f>
        <v>1552376621762136</v>
      </c>
      <c r="C4361" t="s">
        <v>40</v>
      </c>
      <c r="D4361">
        <v>5.3874129999999996</v>
      </c>
      <c r="E4361">
        <v>0.46605410000000003</v>
      </c>
      <c r="F4361" t="s">
        <v>43</v>
      </c>
      <c r="G4361">
        <v>-192.6532</v>
      </c>
      <c r="H4361" s="1">
        <v>-5.0205289999999998E-6</v>
      </c>
      <c r="I4361">
        <v>169.1343</v>
      </c>
      <c r="J4361">
        <v>-193.2002</v>
      </c>
      <c r="K4361">
        <v>1.1121239999999999</v>
      </c>
      <c r="L4361">
        <v>182.62540000000001</v>
      </c>
      <c r="M4361">
        <v>9.6892709999999993E-3</v>
      </c>
      <c r="N4361">
        <v>0</v>
      </c>
      <c r="O4361">
        <v>-0.99986120000000001</v>
      </c>
      <c r="P4361">
        <v>-4.6984379999999999E-2</v>
      </c>
      <c r="Q4361">
        <v>-8.2542109999999991E-3</v>
      </c>
      <c r="R4361">
        <v>-0.99886169999999996</v>
      </c>
      <c r="S4361">
        <v>0.1205292</v>
      </c>
      <c r="T4361">
        <v>-0.2429742</v>
      </c>
      <c r="U4361">
        <v>-3.0074920000000001</v>
      </c>
      <c r="V4361">
        <v>5.6636499999999999E-2</v>
      </c>
      <c r="W4361">
        <v>5.5473199999999997E-3</v>
      </c>
      <c r="X4361">
        <v>0.99837949999999998</v>
      </c>
      <c r="Y4361">
        <v>-3.0230030000000001E-2</v>
      </c>
      <c r="Z4361">
        <v>8.0471119999999993E-2</v>
      </c>
      <c r="AA4361">
        <v>0.99629840000000003</v>
      </c>
      <c r="AB4361">
        <v>28</v>
      </c>
      <c r="AC4361">
        <v>0.54699999999999704</v>
      </c>
      <c r="AD4361">
        <v>-1.112129020529</v>
      </c>
      <c r="AE4361">
        <v>-13.491099999999999</v>
      </c>
      <c r="AF4361">
        <v>-0.41343851290125799</v>
      </c>
      <c r="AG4361">
        <v>-1.112129020529</v>
      </c>
      <c r="AH4361">
        <v>13.4048253265185</v>
      </c>
      <c r="AI4361">
        <v>94.740428958514599</v>
      </c>
      <c r="AJ4361">
        <v>91.766585863010604</v>
      </c>
      <c r="AK4361">
        <v>13.4572324196591</v>
      </c>
      <c r="AL4361">
        <v>89.682160360850105</v>
      </c>
      <c r="AM4361">
        <v>86.753180368580601</v>
      </c>
      <c r="AN4361">
        <v>1.00000004595584</v>
      </c>
    </row>
    <row r="4362" spans="1:40" x14ac:dyDescent="0.25">
      <c r="A4362" t="str">
        <f>"20190312154341793"</f>
        <v>20190312154341793</v>
      </c>
      <c r="B4362" t="str">
        <f>"1552376621781656"</f>
        <v>1552376621781656</v>
      </c>
      <c r="C4362" t="s">
        <v>40</v>
      </c>
      <c r="D4362">
        <v>5.3962159999999999</v>
      </c>
      <c r="E4362">
        <v>0.46583829999999998</v>
      </c>
      <c r="F4362" t="s">
        <v>43</v>
      </c>
      <c r="G4362">
        <v>-192.6071</v>
      </c>
      <c r="H4362" s="1">
        <v>-4.8942630000000003E-6</v>
      </c>
      <c r="I4362">
        <v>168.82679999999999</v>
      </c>
      <c r="J4362">
        <v>-193.1951</v>
      </c>
      <c r="K4362">
        <v>1.1120380000000001</v>
      </c>
      <c r="L4362">
        <v>182.35509999999999</v>
      </c>
      <c r="M4362">
        <v>1.1930029999999999E-2</v>
      </c>
      <c r="N4362">
        <v>0</v>
      </c>
      <c r="O4362">
        <v>-0.99983699999999998</v>
      </c>
      <c r="P4362">
        <v>-4.604014E-2</v>
      </c>
      <c r="Q4362">
        <v>-7.7395930000000003E-3</v>
      </c>
      <c r="R4362">
        <v>-0.99890970000000001</v>
      </c>
      <c r="S4362">
        <v>0.12927249999999901</v>
      </c>
      <c r="T4362">
        <v>-0.2423941</v>
      </c>
      <c r="U4362">
        <v>-3.0074770000000002</v>
      </c>
      <c r="V4362">
        <v>5.7929139999999997E-2</v>
      </c>
      <c r="W4362">
        <v>6.0475149999999998E-3</v>
      </c>
      <c r="X4362">
        <v>0.99830240000000003</v>
      </c>
      <c r="Y4362">
        <v>-3.088229E-2</v>
      </c>
      <c r="Z4362">
        <v>8.0272140000000006E-2</v>
      </c>
      <c r="AA4362">
        <v>0.99629449999999997</v>
      </c>
      <c r="AB4362">
        <v>28</v>
      </c>
      <c r="AC4362">
        <v>0.58799999999999297</v>
      </c>
      <c r="AD4362">
        <v>-1.1120428942629901</v>
      </c>
      <c r="AE4362">
        <v>-13.5283</v>
      </c>
      <c r="AF4362">
        <v>-0.42369278872453803</v>
      </c>
      <c r="AG4362">
        <v>-1.1120428942629901</v>
      </c>
      <c r="AH4362">
        <v>13.443684323995299</v>
      </c>
      <c r="AI4362">
        <v>94.726325796978003</v>
      </c>
      <c r="AJ4362">
        <v>91.805143245063306</v>
      </c>
      <c r="AK4362">
        <v>13.4962514492408</v>
      </c>
      <c r="AL4362">
        <v>89.653500808733796</v>
      </c>
      <c r="AM4362">
        <v>86.678984864730694</v>
      </c>
      <c r="AN4362">
        <v>1.00000001977228</v>
      </c>
    </row>
    <row r="4363" spans="1:40" x14ac:dyDescent="0.25">
      <c r="A4363" t="str">
        <f>"20190312154341815"</f>
        <v>20190312154341815</v>
      </c>
      <c r="B4363" t="str">
        <f>"1552376621811911"</f>
        <v>1552376621811911</v>
      </c>
      <c r="C4363" t="s">
        <v>40</v>
      </c>
      <c r="D4363">
        <v>5.3905399999999997</v>
      </c>
      <c r="E4363">
        <v>0.46562480000000001</v>
      </c>
      <c r="F4363" t="s">
        <v>43</v>
      </c>
      <c r="G4363">
        <v>-192.5752</v>
      </c>
      <c r="H4363" s="1">
        <v>-4.7306049999999996E-6</v>
      </c>
      <c r="I4363">
        <v>168.4153</v>
      </c>
      <c r="J4363">
        <v>-193.1891</v>
      </c>
      <c r="K4363">
        <v>1.111964</v>
      </c>
      <c r="L4363">
        <v>182.07400000000001</v>
      </c>
      <c r="M4363">
        <v>1.4163490000000001E-2</v>
      </c>
      <c r="N4363">
        <v>0</v>
      </c>
      <c r="O4363">
        <v>-0.99980800000000003</v>
      </c>
      <c r="P4363">
        <v>-4.4663790000000002E-2</v>
      </c>
      <c r="Q4363">
        <v>-6.4185290000000001E-3</v>
      </c>
      <c r="R4363">
        <v>-0.99898180000000003</v>
      </c>
      <c r="S4363">
        <v>0.13372800000000001</v>
      </c>
      <c r="T4363">
        <v>-0.23993120000000001</v>
      </c>
      <c r="U4363">
        <v>-3.0075989999999999</v>
      </c>
      <c r="V4363">
        <v>5.8779489999999997E-2</v>
      </c>
      <c r="W4363">
        <v>7.3535409999999999E-3</v>
      </c>
      <c r="X4363">
        <v>0.99824389999999996</v>
      </c>
      <c r="Y4363">
        <v>-3.0123799999999999E-2</v>
      </c>
      <c r="Z4363">
        <v>7.9453389999999999E-2</v>
      </c>
      <c r="AA4363">
        <v>0.99638329999999997</v>
      </c>
      <c r="AB4363">
        <v>28</v>
      </c>
      <c r="AC4363">
        <v>0.613900000000001</v>
      </c>
      <c r="AD4363">
        <v>-1.1119687306049999</v>
      </c>
      <c r="AE4363">
        <v>-13.6587</v>
      </c>
      <c r="AF4363">
        <v>-0.41760361664847201</v>
      </c>
      <c r="AG4363">
        <v>-1.1119687306049999</v>
      </c>
      <c r="AH4363">
        <v>13.576226949251501</v>
      </c>
      <c r="AI4363">
        <v>94.680188253265399</v>
      </c>
      <c r="AJ4363">
        <v>91.761857899192293</v>
      </c>
      <c r="AK4363">
        <v>13.628088839454501</v>
      </c>
      <c r="AL4363">
        <v>89.578669336192903</v>
      </c>
      <c r="AM4363">
        <v>86.630149722463003</v>
      </c>
      <c r="AN4363">
        <v>0.99999999344855395</v>
      </c>
    </row>
    <row r="4364" spans="1:40" x14ac:dyDescent="0.25">
      <c r="A4364" t="str">
        <f>"20190312154341830"</f>
        <v>20190312154341830</v>
      </c>
      <c r="B4364" t="str">
        <f>"1552376621821671"</f>
        <v>1552376621821671</v>
      </c>
      <c r="C4364" t="s">
        <v>40</v>
      </c>
      <c r="D4364">
        <v>5.392442</v>
      </c>
      <c r="E4364">
        <v>0.4655493</v>
      </c>
      <c r="F4364" t="s">
        <v>43</v>
      </c>
      <c r="G4364">
        <v>-192.52680000000001</v>
      </c>
      <c r="H4364" s="1">
        <v>-4.5023229999999997E-6</v>
      </c>
      <c r="I4364">
        <v>167.8432</v>
      </c>
      <c r="J4364">
        <v>-193.18520000000001</v>
      </c>
      <c r="K4364">
        <v>1.1119209999999999</v>
      </c>
      <c r="L4364">
        <v>181.8998</v>
      </c>
      <c r="M4364">
        <v>1.5508839999999999E-2</v>
      </c>
      <c r="N4364">
        <v>0</v>
      </c>
      <c r="O4364">
        <v>-0.99978829999999996</v>
      </c>
      <c r="P4364">
        <v>-4.36403E-2</v>
      </c>
      <c r="Q4364">
        <v>-5.8792609999999898E-3</v>
      </c>
      <c r="R4364">
        <v>-0.99903039999999999</v>
      </c>
      <c r="S4364">
        <v>0.1399841</v>
      </c>
      <c r="T4364">
        <v>-0.23502490000000001</v>
      </c>
      <c r="U4364">
        <v>-3.0078130000000001</v>
      </c>
      <c r="V4364">
        <v>5.9098690000000002E-2</v>
      </c>
      <c r="W4364">
        <v>7.8837690000000005E-3</v>
      </c>
      <c r="X4364">
        <v>0.99822100000000002</v>
      </c>
      <c r="Y4364">
        <v>-3.0849769999999999E-2</v>
      </c>
      <c r="Z4364">
        <v>7.7826309999999996E-2</v>
      </c>
      <c r="AA4364">
        <v>0.99648950000000003</v>
      </c>
      <c r="AB4364">
        <v>28</v>
      </c>
      <c r="AC4364">
        <v>0.65839999999999999</v>
      </c>
      <c r="AD4364">
        <v>-1.1119255023229999</v>
      </c>
      <c r="AE4364">
        <v>-14.0566</v>
      </c>
      <c r="AF4364">
        <v>-0.43756728827234698</v>
      </c>
      <c r="AG4364">
        <v>-1.1119255023229999</v>
      </c>
      <c r="AH4364">
        <v>13.977848175281601</v>
      </c>
      <c r="AI4364">
        <v>94.546033441730202</v>
      </c>
      <c r="AJ4364">
        <v>91.793020921979206</v>
      </c>
      <c r="AK4364">
        <v>14.0288304240127</v>
      </c>
      <c r="AL4364">
        <v>89.548288624383105</v>
      </c>
      <c r="AM4364">
        <v>86.611814837433997</v>
      </c>
      <c r="AN4364">
        <v>0.99999998690717995</v>
      </c>
    </row>
    <row r="4365" spans="1:40" x14ac:dyDescent="0.25">
      <c r="A4365" t="str">
        <f>"20190312154341849"</f>
        <v>20190312154341849</v>
      </c>
      <c r="B4365" t="str">
        <f>"1552376621842171"</f>
        <v>1552376621842171</v>
      </c>
      <c r="C4365" t="s">
        <v>40</v>
      </c>
      <c r="D4365">
        <v>5.3542769999999997</v>
      </c>
      <c r="E4365">
        <v>0.46591149999999998</v>
      </c>
      <c r="F4365" t="s">
        <v>43</v>
      </c>
      <c r="G4365">
        <v>-192.49629999999999</v>
      </c>
      <c r="H4365" s="1">
        <v>-4.3587359999999996E-6</v>
      </c>
      <c r="I4365">
        <v>167.48339999999999</v>
      </c>
      <c r="J4365">
        <v>-193.17930000000001</v>
      </c>
      <c r="K4365">
        <v>1.111869</v>
      </c>
      <c r="L4365">
        <v>181.65</v>
      </c>
      <c r="M4365">
        <v>1.737551E-2</v>
      </c>
      <c r="N4365">
        <v>0</v>
      </c>
      <c r="O4365">
        <v>-0.99975740000000002</v>
      </c>
      <c r="P4365">
        <v>-4.243972E-2</v>
      </c>
      <c r="Q4365">
        <v>-5.2731660000000001E-3</v>
      </c>
      <c r="R4365">
        <v>-0.99908529999999995</v>
      </c>
      <c r="S4365">
        <v>0.1437378</v>
      </c>
      <c r="T4365">
        <v>-0.23199139999999999</v>
      </c>
      <c r="U4365">
        <v>-3.0078279999999999</v>
      </c>
      <c r="V4365">
        <v>5.9761679999999998E-2</v>
      </c>
      <c r="W4365">
        <v>8.4778890000000006E-3</v>
      </c>
      <c r="X4365">
        <v>0.99817670000000003</v>
      </c>
      <c r="Y4365">
        <v>-3.0227859999999999E-2</v>
      </c>
      <c r="Z4365">
        <v>7.6822329999999994E-2</v>
      </c>
      <c r="AA4365">
        <v>0.99658650000000004</v>
      </c>
      <c r="AB4365">
        <v>28</v>
      </c>
      <c r="AC4365">
        <v>0.68300000000002103</v>
      </c>
      <c r="AD4365">
        <v>-1.1118733587359999</v>
      </c>
      <c r="AE4365">
        <v>-14.166600000000001</v>
      </c>
      <c r="AF4365">
        <v>-0.43405484779474901</v>
      </c>
      <c r="AG4365">
        <v>-1.1118733587359999</v>
      </c>
      <c r="AH4365">
        <v>14.089738249797801</v>
      </c>
      <c r="AI4365">
        <v>94.509940557037794</v>
      </c>
      <c r="AJ4365">
        <v>91.764521634523703</v>
      </c>
      <c r="AK4365">
        <v>14.1402047341818</v>
      </c>
      <c r="AL4365">
        <v>89.514246936062804</v>
      </c>
      <c r="AM4365">
        <v>86.573743328595995</v>
      </c>
      <c r="AN4365">
        <v>1.0000000287105999</v>
      </c>
    </row>
    <row r="4366" spans="1:40" x14ac:dyDescent="0.25">
      <c r="A4366" t="str">
        <f>"20190312154341872"</f>
        <v>20190312154341872</v>
      </c>
      <c r="B4366" t="str">
        <f>"1552376621861688"</f>
        <v>1552376621861688</v>
      </c>
      <c r="C4366" t="s">
        <v>40</v>
      </c>
      <c r="D4366">
        <v>5.3407809999999998</v>
      </c>
      <c r="E4366">
        <v>0.46627410000000002</v>
      </c>
      <c r="F4366" t="s">
        <v>43</v>
      </c>
      <c r="G4366">
        <v>-192.47020000000001</v>
      </c>
      <c r="H4366" s="1">
        <v>-4.1104069999999996E-6</v>
      </c>
      <c r="I4366">
        <v>166.89670000000001</v>
      </c>
      <c r="J4366">
        <v>-193.17230000000001</v>
      </c>
      <c r="K4366">
        <v>1.1118129999999999</v>
      </c>
      <c r="L4366">
        <v>181.37889999999999</v>
      </c>
      <c r="M4366">
        <v>1.933617E-2</v>
      </c>
      <c r="N4366">
        <v>0</v>
      </c>
      <c r="O4366">
        <v>-0.99972150000000004</v>
      </c>
      <c r="P4366">
        <v>-4.11276E-2</v>
      </c>
      <c r="Q4366">
        <v>-5.6021830000000002E-3</v>
      </c>
      <c r="R4366">
        <v>-0.99913850000000004</v>
      </c>
      <c r="S4366">
        <v>0.14454649999999999</v>
      </c>
      <c r="T4366">
        <v>-0.22667129999999999</v>
      </c>
      <c r="U4366">
        <v>-3.0076749999999999</v>
      </c>
      <c r="V4366">
        <v>6.041084E-2</v>
      </c>
      <c r="W4366">
        <v>8.1364850000000006E-3</v>
      </c>
      <c r="X4366">
        <v>0.99814049999999999</v>
      </c>
      <c r="Y4366">
        <v>-2.8543720000000002E-2</v>
      </c>
      <c r="Z4366">
        <v>7.5071789999999999E-2</v>
      </c>
      <c r="AA4366">
        <v>0.99676949999999997</v>
      </c>
      <c r="AB4366">
        <v>28</v>
      </c>
      <c r="AC4366">
        <v>0.70210000000000095</v>
      </c>
      <c r="AD4366">
        <v>-1.111817110407</v>
      </c>
      <c r="AE4366">
        <v>-14.482199999999899</v>
      </c>
      <c r="AF4366">
        <v>-0.41944644869900999</v>
      </c>
      <c r="AG4366">
        <v>-1.111817110407</v>
      </c>
      <c r="AH4366">
        <v>14.4083478284274</v>
      </c>
      <c r="AI4366">
        <v>94.410611520516994</v>
      </c>
      <c r="AJ4366">
        <v>91.667486517456894</v>
      </c>
      <c r="AK4366">
        <v>14.4572666764942</v>
      </c>
      <c r="AL4366">
        <v>89.533808635738694</v>
      </c>
      <c r="AM4366">
        <v>86.536490493270804</v>
      </c>
      <c r="AN4366">
        <v>1.00000006485895</v>
      </c>
    </row>
    <row r="4367" spans="1:40" x14ac:dyDescent="0.25">
      <c r="A4367" t="str">
        <f>"20190312154341894"</f>
        <v>20190312154341894</v>
      </c>
      <c r="B4367" t="str">
        <f>"1552376621882184"</f>
        <v>1552376621882184</v>
      </c>
      <c r="C4367" t="s">
        <v>40</v>
      </c>
      <c r="D4367">
        <v>5.3317439999999996</v>
      </c>
      <c r="E4367">
        <v>0.46605079999999999</v>
      </c>
      <c r="F4367" t="s">
        <v>43</v>
      </c>
      <c r="G4367">
        <v>-192.4503</v>
      </c>
      <c r="H4367" s="1">
        <v>-3.9171210000000001E-6</v>
      </c>
      <c r="I4367">
        <v>166.499</v>
      </c>
      <c r="J4367">
        <v>-193.1643</v>
      </c>
      <c r="K4367">
        <v>1.111753</v>
      </c>
      <c r="L4367">
        <v>181.08949999999999</v>
      </c>
      <c r="M4367">
        <v>2.1371970000000001E-2</v>
      </c>
      <c r="N4367">
        <v>0</v>
      </c>
      <c r="O4367">
        <v>-0.99968020000000002</v>
      </c>
      <c r="P4367">
        <v>-3.9954730000000001E-2</v>
      </c>
      <c r="Q4367">
        <v>-5.7859030000000002E-3</v>
      </c>
      <c r="R4367">
        <v>-0.99918499999999999</v>
      </c>
      <c r="S4367">
        <v>0.14591979999999999</v>
      </c>
      <c r="T4367">
        <v>-0.2247074</v>
      </c>
      <c r="U4367">
        <v>-3.007355</v>
      </c>
      <c r="V4367">
        <v>6.1273569999999999E-2</v>
      </c>
      <c r="W4367">
        <v>7.9409890000000007E-3</v>
      </c>
      <c r="X4367">
        <v>0.99808940000000002</v>
      </c>
      <c r="Y4367">
        <v>-2.6969650000000001E-2</v>
      </c>
      <c r="Z4367">
        <v>7.4429019999999999E-2</v>
      </c>
      <c r="AA4367">
        <v>0.99686160000000001</v>
      </c>
      <c r="AB4367">
        <v>28</v>
      </c>
      <c r="AC4367">
        <v>0.71399999999999797</v>
      </c>
      <c r="AD4367">
        <v>-1.111756917121</v>
      </c>
      <c r="AE4367">
        <v>-14.590499999999899</v>
      </c>
      <c r="AF4367">
        <v>-0.39966573655888998</v>
      </c>
      <c r="AG4367">
        <v>-1.111756917121</v>
      </c>
      <c r="AH4367">
        <v>14.5183352826089</v>
      </c>
      <c r="AI4367">
        <v>94.3772873832161</v>
      </c>
      <c r="AJ4367">
        <v>91.576859722659407</v>
      </c>
      <c r="AK4367">
        <v>14.566324022278</v>
      </c>
      <c r="AL4367">
        <v>89.545010054081104</v>
      </c>
      <c r="AM4367">
        <v>86.486971545845705</v>
      </c>
      <c r="AN4367">
        <v>0.999999980039601</v>
      </c>
    </row>
    <row r="4368" spans="1:40" x14ac:dyDescent="0.25">
      <c r="A4368" t="str">
        <f>"20190312154341918"</f>
        <v>20190312154341918</v>
      </c>
      <c r="B4368" t="str">
        <f>"1552376621912440"</f>
        <v>1552376621912440</v>
      </c>
      <c r="C4368" t="s">
        <v>40</v>
      </c>
      <c r="D4368">
        <v>5.3317170000000003</v>
      </c>
      <c r="E4368">
        <v>0.45184740000000001</v>
      </c>
      <c r="F4368" t="s">
        <v>43</v>
      </c>
      <c r="G4368">
        <v>-192.41470000000001</v>
      </c>
      <c r="H4368" s="1">
        <v>-3.77077E-6</v>
      </c>
      <c r="I4368">
        <v>166.20939999999999</v>
      </c>
      <c r="J4368">
        <v>-193.15620000000001</v>
      </c>
      <c r="K4368">
        <v>1.111712</v>
      </c>
      <c r="L4368">
        <v>180.80840000000001</v>
      </c>
      <c r="M4368">
        <v>2.330167E-2</v>
      </c>
      <c r="N4368">
        <v>0</v>
      </c>
      <c r="O4368">
        <v>-0.99963709999999995</v>
      </c>
      <c r="P4368">
        <v>-3.9435789999999998E-2</v>
      </c>
      <c r="Q4368">
        <v>-5.9701329999999999E-3</v>
      </c>
      <c r="R4368">
        <v>-0.9992046</v>
      </c>
      <c r="S4368">
        <v>0.15148929999999999</v>
      </c>
      <c r="T4368">
        <v>-0.22468089999999999</v>
      </c>
      <c r="U4368">
        <v>-3.0072019999999999</v>
      </c>
      <c r="V4368">
        <v>6.2683409999999995E-2</v>
      </c>
      <c r="W4368">
        <v>7.7483519999999896E-3</v>
      </c>
      <c r="X4368">
        <v>0.99800339999999998</v>
      </c>
      <c r="Y4368">
        <v>-2.6884209999999999E-2</v>
      </c>
      <c r="Z4368">
        <v>7.4415960000000003E-2</v>
      </c>
      <c r="AA4368">
        <v>0.99686490000000005</v>
      </c>
      <c r="AB4368">
        <v>28</v>
      </c>
      <c r="AC4368">
        <v>0.74150000000000205</v>
      </c>
      <c r="AD4368">
        <v>-1.1117157707700001</v>
      </c>
      <c r="AE4368">
        <v>-14.599</v>
      </c>
      <c r="AF4368">
        <v>-0.39877995835632002</v>
      </c>
      <c r="AG4368">
        <v>-1.1117157707700001</v>
      </c>
      <c r="AH4368">
        <v>14.528284652429701</v>
      </c>
      <c r="AI4368">
        <v>94.374149622625893</v>
      </c>
      <c r="AJ4368">
        <v>91.5722897470052</v>
      </c>
      <c r="AK4368">
        <v>14.5762132377442</v>
      </c>
      <c r="AL4368">
        <v>89.5560476972679</v>
      </c>
      <c r="AM4368">
        <v>86.406041068320206</v>
      </c>
      <c r="AN4368">
        <v>1.00000001662975</v>
      </c>
    </row>
    <row r="4369" spans="1:40" x14ac:dyDescent="0.25">
      <c r="A4369" t="str">
        <f>"20190312154341951"</f>
        <v>20190312154341951</v>
      </c>
      <c r="B4369" t="str">
        <f>"1552376621941592"</f>
        <v>1552376621941592</v>
      </c>
      <c r="C4369" t="s">
        <v>40</v>
      </c>
      <c r="D4369">
        <v>5.3788900000000002</v>
      </c>
      <c r="E4369">
        <v>0.4518375</v>
      </c>
      <c r="F4369" t="s">
        <v>43</v>
      </c>
      <c r="G4369">
        <v>-191.72980000000001</v>
      </c>
      <c r="H4369" s="1">
        <v>-2.8679219999999999E-6</v>
      </c>
      <c r="I4369">
        <v>164.685</v>
      </c>
      <c r="J4369">
        <v>-193.14349999999999</v>
      </c>
      <c r="K4369">
        <v>1.1116569999999999</v>
      </c>
      <c r="L4369">
        <v>180.40199999999999</v>
      </c>
      <c r="M4369">
        <v>2.6015529999999999E-2</v>
      </c>
      <c r="N4369">
        <v>0</v>
      </c>
      <c r="O4369">
        <v>-0.99957030000000002</v>
      </c>
      <c r="P4369">
        <v>-3.8358440000000001E-2</v>
      </c>
      <c r="Q4369">
        <v>-6.3412579999999998E-3</v>
      </c>
      <c r="R4369">
        <v>-0.99924429999999997</v>
      </c>
      <c r="S4369">
        <v>0.2664337</v>
      </c>
      <c r="T4369">
        <v>-0.20765500000000001</v>
      </c>
      <c r="U4369">
        <v>-3.0116580000000002</v>
      </c>
      <c r="V4369">
        <v>6.4319109999999999E-2</v>
      </c>
      <c r="W4369">
        <v>7.3649859999999996E-3</v>
      </c>
      <c r="X4369">
        <v>0.99790219999999996</v>
      </c>
      <c r="Y4369">
        <v>-6.1969459999999997E-2</v>
      </c>
      <c r="Z4369">
        <v>6.8552929999999998E-2</v>
      </c>
      <c r="AA4369">
        <v>0.99572099999999997</v>
      </c>
      <c r="AB4369">
        <v>28</v>
      </c>
      <c r="AC4369">
        <v>1.41369999999997</v>
      </c>
      <c r="AD4369">
        <v>-1.111659867922</v>
      </c>
      <c r="AE4369">
        <v>-15.717000000000001</v>
      </c>
      <c r="AF4369">
        <v>-0.99933877789178105</v>
      </c>
      <c r="AG4369">
        <v>-1.111659867922</v>
      </c>
      <c r="AH4369">
        <v>15.6706943167493</v>
      </c>
      <c r="AI4369">
        <v>94.049496660005005</v>
      </c>
      <c r="AJ4369">
        <v>93.648878846434002</v>
      </c>
      <c r="AK4369">
        <v>15.741827277160199</v>
      </c>
      <c r="AL4369">
        <v>89.578013569246394</v>
      </c>
      <c r="AM4369">
        <v>86.312140614930797</v>
      </c>
      <c r="AN4369">
        <v>0.99999999584740595</v>
      </c>
    </row>
    <row r="4370" spans="1:40" x14ac:dyDescent="0.25">
      <c r="A4370" t="str">
        <f>"20190312154341972"</f>
        <v>20190312154341972</v>
      </c>
      <c r="B4370" t="str">
        <f>"1552376621962088"</f>
        <v>1552376621962088</v>
      </c>
      <c r="C4370" t="s">
        <v>40</v>
      </c>
      <c r="D4370">
        <v>5.3182330000000002</v>
      </c>
      <c r="E4370">
        <v>0.45193090000000002</v>
      </c>
      <c r="F4370" t="s">
        <v>43</v>
      </c>
      <c r="G4370">
        <v>-191.68790000000001</v>
      </c>
      <c r="H4370" s="1">
        <v>-2.6125820000000001E-6</v>
      </c>
      <c r="I4370">
        <v>164.16839999999999</v>
      </c>
      <c r="J4370">
        <v>-193.13419999999999</v>
      </c>
      <c r="K4370">
        <v>1.1116239999999999</v>
      </c>
      <c r="L4370">
        <v>180.125</v>
      </c>
      <c r="M4370">
        <v>2.781631E-2</v>
      </c>
      <c r="N4370">
        <v>0</v>
      </c>
      <c r="O4370">
        <v>-0.99952189999999996</v>
      </c>
      <c r="P4370">
        <v>-3.744277E-2</v>
      </c>
      <c r="Q4370">
        <v>-6.7301319999999998E-3</v>
      </c>
      <c r="R4370">
        <v>-0.99927650000000001</v>
      </c>
      <c r="S4370">
        <v>0.27000429999999997</v>
      </c>
      <c r="T4370">
        <v>-0.2062117</v>
      </c>
      <c r="U4370">
        <v>-3.0113219999999998</v>
      </c>
      <c r="V4370">
        <v>6.5204289999999998E-2</v>
      </c>
      <c r="W4370">
        <v>6.9687439999999998E-3</v>
      </c>
      <c r="X4370">
        <v>0.99784759999999995</v>
      </c>
      <c r="Y4370">
        <v>-6.1355310000000003E-2</v>
      </c>
      <c r="Z4370">
        <v>6.8079000000000001E-2</v>
      </c>
      <c r="AA4370">
        <v>0.9957916</v>
      </c>
      <c r="AB4370">
        <v>28</v>
      </c>
      <c r="AC4370">
        <v>1.4462999999999699</v>
      </c>
      <c r="AD4370">
        <v>-1.111626612582</v>
      </c>
      <c r="AE4370">
        <v>-15.9566</v>
      </c>
      <c r="AF4370">
        <v>-0.99704654094895695</v>
      </c>
      <c r="AG4370">
        <v>-1.111626612582</v>
      </c>
      <c r="AH4370">
        <v>15.914052576338101</v>
      </c>
      <c r="AI4370">
        <v>93.987934134602</v>
      </c>
      <c r="AJ4370">
        <v>93.585006921862899</v>
      </c>
      <c r="AK4370">
        <v>15.983957111212201</v>
      </c>
      <c r="AL4370">
        <v>89.600717147625502</v>
      </c>
      <c r="AM4370">
        <v>86.261326099436502</v>
      </c>
      <c r="AN4370">
        <v>0.99999999782655002</v>
      </c>
    </row>
    <row r="4371" spans="1:40" x14ac:dyDescent="0.25">
      <c r="A4371" t="str">
        <f>"20190312154341995"</f>
        <v>20190312154341995</v>
      </c>
      <c r="B4371" t="str">
        <f>"1552376621981608"</f>
        <v>1552376621981608</v>
      </c>
      <c r="C4371" t="s">
        <v>40</v>
      </c>
      <c r="D4371">
        <v>5.3254669999999997</v>
      </c>
      <c r="E4371">
        <v>0.45234489999999999</v>
      </c>
      <c r="F4371" t="s">
        <v>43</v>
      </c>
      <c r="G4371">
        <v>-191.67150000000001</v>
      </c>
      <c r="H4371" s="1">
        <v>-2.504014E-6</v>
      </c>
      <c r="I4371">
        <v>163.94799999999901</v>
      </c>
      <c r="J4371">
        <v>-193.12440000000001</v>
      </c>
      <c r="K4371">
        <v>1.111602</v>
      </c>
      <c r="L4371">
        <v>179.84549999999999</v>
      </c>
      <c r="M4371">
        <v>2.9606650000000002E-2</v>
      </c>
      <c r="N4371">
        <v>0</v>
      </c>
      <c r="O4371">
        <v>-0.99947039999999998</v>
      </c>
      <c r="P4371">
        <v>-3.7213669999999997E-2</v>
      </c>
      <c r="Q4371">
        <v>-7.0390380000000001E-3</v>
      </c>
      <c r="R4371">
        <v>-0.99928269999999997</v>
      </c>
      <c r="S4371">
        <v>0.27224730000000003</v>
      </c>
      <c r="T4371">
        <v>-0.20690239999999999</v>
      </c>
      <c r="U4371">
        <v>-3.0109710000000001</v>
      </c>
      <c r="V4371">
        <v>6.6764240000000002E-2</v>
      </c>
      <c r="W4371">
        <v>6.6559459999999898E-3</v>
      </c>
      <c r="X4371">
        <v>0.99774660000000004</v>
      </c>
      <c r="Y4371">
        <v>-6.031218E-2</v>
      </c>
      <c r="Z4371">
        <v>6.8308510000000003E-2</v>
      </c>
      <c r="AA4371">
        <v>0.99583949999999999</v>
      </c>
      <c r="AB4371">
        <v>28</v>
      </c>
      <c r="AC4371">
        <v>1.4528999999999901</v>
      </c>
      <c r="AD4371">
        <v>-1.1116045040139999</v>
      </c>
      <c r="AE4371">
        <v>-15.897500000000001</v>
      </c>
      <c r="AF4371">
        <v>-0.97681200458948403</v>
      </c>
      <c r="AG4371">
        <v>-1.1116045040139999</v>
      </c>
      <c r="AH4371">
        <v>15.8566639819063</v>
      </c>
      <c r="AI4371">
        <v>94.002500219226604</v>
      </c>
      <c r="AJ4371">
        <v>93.525115354970097</v>
      </c>
      <c r="AK4371">
        <v>15.9255649476162</v>
      </c>
      <c r="AL4371">
        <v>89.618639577915701</v>
      </c>
      <c r="AM4371">
        <v>86.171758403993394</v>
      </c>
      <c r="AN4371">
        <v>1.0000000215857401</v>
      </c>
    </row>
    <row r="4372" spans="1:40" x14ac:dyDescent="0.25">
      <c r="A4372" t="str">
        <f>"20190312154342018"</f>
        <v>20190312154342018</v>
      </c>
      <c r="B4372" t="str">
        <f>"1552376622011864"</f>
        <v>1552376622011864</v>
      </c>
      <c r="C4372" t="s">
        <v>40</v>
      </c>
      <c r="D4372">
        <v>5.3661409999999998</v>
      </c>
      <c r="E4372">
        <v>0.4525264</v>
      </c>
      <c r="F4372" t="s">
        <v>43</v>
      </c>
      <c r="G4372">
        <v>-191.6808</v>
      </c>
      <c r="H4372" s="1">
        <v>-2.40591E-6</v>
      </c>
      <c r="I4372">
        <v>163.73519999999999</v>
      </c>
      <c r="J4372">
        <v>-193.11369999999999</v>
      </c>
      <c r="K4372">
        <v>1.1115740000000001</v>
      </c>
      <c r="L4372">
        <v>179.5556</v>
      </c>
      <c r="M4372">
        <v>3.1433320000000001E-2</v>
      </c>
      <c r="N4372">
        <v>0</v>
      </c>
      <c r="O4372">
        <v>-0.99941480000000005</v>
      </c>
      <c r="P4372">
        <v>-3.5823760000000003E-2</v>
      </c>
      <c r="Q4372">
        <v>-6.6818429999999998E-3</v>
      </c>
      <c r="R4372">
        <v>-0.99933590000000005</v>
      </c>
      <c r="S4372">
        <v>0.2697754</v>
      </c>
      <c r="T4372">
        <v>-0.20773990000000001</v>
      </c>
      <c r="U4372">
        <v>-3.010742</v>
      </c>
      <c r="V4372">
        <v>6.7199419999999996E-2</v>
      </c>
      <c r="W4372">
        <v>7.0059359999999999E-3</v>
      </c>
      <c r="X4372">
        <v>0.99771500000000002</v>
      </c>
      <c r="Y4372">
        <v>-5.7681650000000001E-2</v>
      </c>
      <c r="Z4372">
        <v>6.8591009999999994E-2</v>
      </c>
      <c r="AA4372">
        <v>0.99597599999999997</v>
      </c>
      <c r="AB4372">
        <v>28</v>
      </c>
      <c r="AC4372">
        <v>1.4328999999999801</v>
      </c>
      <c r="AD4372">
        <v>-1.11157640591</v>
      </c>
      <c r="AE4372">
        <v>-15.820399999999999</v>
      </c>
      <c r="AF4372">
        <v>-0.930303515318744</v>
      </c>
      <c r="AG4372">
        <v>-1.11157640591</v>
      </c>
      <c r="AH4372">
        <v>15.7803555958312</v>
      </c>
      <c r="AI4372">
        <v>94.022328128504597</v>
      </c>
      <c r="AJ4372">
        <v>93.373868385485693</v>
      </c>
      <c r="AK4372">
        <v>15.8467879858245</v>
      </c>
      <c r="AL4372">
        <v>89.598586165169905</v>
      </c>
      <c r="AM4372">
        <v>86.146758566394098</v>
      </c>
      <c r="AN4372">
        <v>1.0000000332062799</v>
      </c>
    </row>
    <row r="4373" spans="1:40" x14ac:dyDescent="0.25">
      <c r="A4373" t="str">
        <f>"20190312154342040"</f>
        <v>20190312154342040</v>
      </c>
      <c r="B4373" t="str">
        <f>"1552376622032360"</f>
        <v>1552376622032360</v>
      </c>
      <c r="C4373" t="s">
        <v>40</v>
      </c>
      <c r="D4373">
        <v>5.3559929999999998</v>
      </c>
      <c r="E4373">
        <v>0.45259260000000001</v>
      </c>
      <c r="F4373" t="s">
        <v>43</v>
      </c>
      <c r="G4373">
        <v>-191.66030000000001</v>
      </c>
      <c r="H4373" s="1">
        <v>-2.2957439999999998E-6</v>
      </c>
      <c r="I4373">
        <v>163.5137</v>
      </c>
      <c r="J4373">
        <v>-193.10380000000001</v>
      </c>
      <c r="K4373">
        <v>1.1115520000000001</v>
      </c>
      <c r="L4373">
        <v>179.29750000000001</v>
      </c>
      <c r="M4373">
        <v>3.3031539999999998E-2</v>
      </c>
      <c r="N4373">
        <v>0</v>
      </c>
      <c r="O4373">
        <v>-0.99936309999999995</v>
      </c>
      <c r="P4373">
        <v>-3.4455609999999998E-2</v>
      </c>
      <c r="Q4373">
        <v>-5.9246350000000001E-3</v>
      </c>
      <c r="R4373">
        <v>-0.99938870000000002</v>
      </c>
      <c r="S4373">
        <v>0.27273560000000002</v>
      </c>
      <c r="T4373">
        <v>-0.20859440000000001</v>
      </c>
      <c r="U4373">
        <v>-3.0103759999999999</v>
      </c>
      <c r="V4373">
        <v>6.7427269999999997E-2</v>
      </c>
      <c r="W4373">
        <v>7.7559809999999899E-3</v>
      </c>
      <c r="X4373">
        <v>0.99769399999999997</v>
      </c>
      <c r="Y4373">
        <v>-5.7065610000000003E-2</v>
      </c>
      <c r="Z4373">
        <v>6.887298E-2</v>
      </c>
      <c r="AA4373">
        <v>0.99599199999999999</v>
      </c>
      <c r="AB4373">
        <v>28</v>
      </c>
      <c r="AC4373">
        <v>1.4435</v>
      </c>
      <c r="AD4373">
        <v>-1.1115542957439899</v>
      </c>
      <c r="AE4373">
        <v>-15.783799999999999</v>
      </c>
      <c r="AF4373">
        <v>-0.91679227886488601</v>
      </c>
      <c r="AG4373">
        <v>-1.1115542957439899</v>
      </c>
      <c r="AH4373">
        <v>15.745428942641199</v>
      </c>
      <c r="AI4373">
        <v>94.031311824988094</v>
      </c>
      <c r="AJ4373">
        <v>93.332337745138801</v>
      </c>
      <c r="AK4373">
        <v>15.811217335257201</v>
      </c>
      <c r="AL4373">
        <v>89.555610547165102</v>
      </c>
      <c r="AM4373">
        <v>86.133651982100304</v>
      </c>
      <c r="AN4373">
        <v>0.99999995480846104</v>
      </c>
    </row>
    <row r="4374" spans="1:40" x14ac:dyDescent="0.25">
      <c r="A4374" t="str">
        <f>"20190312154342061"</f>
        <v>20190312154342061</v>
      </c>
      <c r="B4374" t="str">
        <f>"1552376622051880"</f>
        <v>1552376622051880</v>
      </c>
      <c r="C4374" t="s">
        <v>40</v>
      </c>
      <c r="D4374">
        <v>5.3769309999999999</v>
      </c>
      <c r="E4374">
        <v>0.45272230000000002</v>
      </c>
      <c r="F4374" t="s">
        <v>43</v>
      </c>
      <c r="G4374">
        <v>-191.62</v>
      </c>
      <c r="H4374" s="1">
        <v>-2.1082009999999998E-6</v>
      </c>
      <c r="I4374">
        <v>163.1396</v>
      </c>
      <c r="J4374">
        <v>-193.09280000000001</v>
      </c>
      <c r="K4374">
        <v>1.111524</v>
      </c>
      <c r="L4374">
        <v>179.02250000000001</v>
      </c>
      <c r="M4374">
        <v>3.4702129999999998E-2</v>
      </c>
      <c r="N4374">
        <v>0</v>
      </c>
      <c r="O4374">
        <v>-0.99930669999999999</v>
      </c>
      <c r="P4374">
        <v>-3.347311E-2</v>
      </c>
      <c r="Q4374">
        <v>-5.1324760000000004E-3</v>
      </c>
      <c r="R4374">
        <v>-0.9994265</v>
      </c>
      <c r="S4374">
        <v>0.27642820000000001</v>
      </c>
      <c r="T4374">
        <v>-0.2070756</v>
      </c>
      <c r="U4374">
        <v>-3.0101170000000002</v>
      </c>
      <c r="V4374">
        <v>6.8112560000000003E-2</v>
      </c>
      <c r="W4374">
        <v>8.5417819999999995E-3</v>
      </c>
      <c r="X4374">
        <v>0.99764109999999995</v>
      </c>
      <c r="Y4374">
        <v>-5.6619259999999998E-2</v>
      </c>
      <c r="Z4374">
        <v>6.8370990000000006E-2</v>
      </c>
      <c r="AA4374">
        <v>0.99605200000000005</v>
      </c>
      <c r="AB4374">
        <v>28</v>
      </c>
      <c r="AC4374">
        <v>1.4728000000000001</v>
      </c>
      <c r="AD4374">
        <v>-1.111526108201</v>
      </c>
      <c r="AE4374">
        <v>-15.882899999999999</v>
      </c>
      <c r="AF4374">
        <v>-0.91624308034400304</v>
      </c>
      <c r="AG4374">
        <v>-1.111526108201</v>
      </c>
      <c r="AH4374">
        <v>15.8474935674998</v>
      </c>
      <c r="AI4374">
        <v>94.005426568607405</v>
      </c>
      <c r="AJ4374">
        <v>93.308944988083994</v>
      </c>
      <c r="AK4374">
        <v>15.9128264002169</v>
      </c>
      <c r="AL4374">
        <v>89.510586001885102</v>
      </c>
      <c r="AM4374">
        <v>86.094271307122</v>
      </c>
      <c r="AN4374">
        <v>1.00000002363934</v>
      </c>
    </row>
    <row r="4375" spans="1:40" x14ac:dyDescent="0.25">
      <c r="A4375" t="str">
        <f>"20190312154342085"</f>
        <v>20190312154342085</v>
      </c>
      <c r="B4375" t="str">
        <f>"1552376622072376"</f>
        <v>1552376622072376</v>
      </c>
      <c r="C4375" t="s">
        <v>40</v>
      </c>
      <c r="D4375">
        <v>5.3769679999999997</v>
      </c>
      <c r="E4375">
        <v>0.45280520000000002</v>
      </c>
      <c r="F4375" t="s">
        <v>43</v>
      </c>
      <c r="G4375">
        <v>-191.59209999999999</v>
      </c>
      <c r="H4375" s="1">
        <v>-1.93756E-6</v>
      </c>
      <c r="I4375">
        <v>162.79429999999999</v>
      </c>
      <c r="J4375">
        <v>-193.0812</v>
      </c>
      <c r="K4375">
        <v>1.1114919999999999</v>
      </c>
      <c r="L4375">
        <v>178.7431</v>
      </c>
      <c r="M4375">
        <v>3.6358439999999999E-2</v>
      </c>
      <c r="N4375">
        <v>0</v>
      </c>
      <c r="O4375">
        <v>-0.99924780000000002</v>
      </c>
      <c r="P4375">
        <v>-3.1925580000000002E-2</v>
      </c>
      <c r="Q4375">
        <v>-4.7471019999999996E-3</v>
      </c>
      <c r="R4375">
        <v>-0.99947909999999995</v>
      </c>
      <c r="S4375">
        <v>0.27835079999999901</v>
      </c>
      <c r="T4375">
        <v>-0.20616470000000001</v>
      </c>
      <c r="U4375">
        <v>-3.009979</v>
      </c>
      <c r="V4375">
        <v>6.8221050000000005E-2</v>
      </c>
      <c r="W4375">
        <v>8.9184709999999903E-3</v>
      </c>
      <c r="X4375">
        <v>0.99763040000000003</v>
      </c>
      <c r="Y4375">
        <v>-5.5601299999999999E-2</v>
      </c>
      <c r="Z4375">
        <v>6.8068680000000006E-2</v>
      </c>
      <c r="AA4375">
        <v>0.99613010000000002</v>
      </c>
      <c r="AB4375">
        <v>28</v>
      </c>
      <c r="AC4375">
        <v>1.4891000000000001</v>
      </c>
      <c r="AD4375">
        <v>-1.1114939375599999</v>
      </c>
      <c r="AE4375">
        <v>-15.9488</v>
      </c>
      <c r="AF4375">
        <v>-0.90383711493446794</v>
      </c>
      <c r="AG4375">
        <v>-1.1114939375599999</v>
      </c>
      <c r="AH4375">
        <v>15.9157661644934</v>
      </c>
      <c r="AI4375">
        <v>93.988418613146294</v>
      </c>
      <c r="AJ4375">
        <v>93.250267034458204</v>
      </c>
      <c r="AK4375">
        <v>15.9801111668974</v>
      </c>
      <c r="AL4375">
        <v>89.489002494598495</v>
      </c>
      <c r="AM4375">
        <v>86.088027717817596</v>
      </c>
      <c r="AN4375">
        <v>1.0000000328961101</v>
      </c>
    </row>
    <row r="4376" spans="1:40" x14ac:dyDescent="0.25">
      <c r="A4376" t="str">
        <f>"20190312154342107"</f>
        <v>20190312154342107</v>
      </c>
      <c r="B4376" t="str">
        <f>"1552376622101655"</f>
        <v>1552376622101655</v>
      </c>
      <c r="C4376" t="s">
        <v>40</v>
      </c>
      <c r="D4376">
        <v>5.4595359999999999</v>
      </c>
      <c r="E4376">
        <v>0.4526559</v>
      </c>
      <c r="F4376" t="s">
        <v>43</v>
      </c>
      <c r="G4376">
        <v>-191.5635</v>
      </c>
      <c r="H4376" s="1">
        <v>-1.822197E-6</v>
      </c>
      <c r="I4376">
        <v>162.56639999999999</v>
      </c>
      <c r="J4376">
        <v>-193.06950000000001</v>
      </c>
      <c r="K4376">
        <v>1.1114599999999999</v>
      </c>
      <c r="L4376">
        <v>178.46899999999999</v>
      </c>
      <c r="M4376">
        <v>3.7937480000000003E-2</v>
      </c>
      <c r="N4376">
        <v>0</v>
      </c>
      <c r="O4376">
        <v>-0.99918910000000005</v>
      </c>
      <c r="P4376">
        <v>-3.0657750000000001E-2</v>
      </c>
      <c r="Q4376">
        <v>-5.369553E-3</v>
      </c>
      <c r="R4376">
        <v>-0.99951570000000001</v>
      </c>
      <c r="S4376">
        <v>0.2823639</v>
      </c>
      <c r="T4376">
        <v>-0.206786</v>
      </c>
      <c r="U4376">
        <v>-3.0095670000000001</v>
      </c>
      <c r="V4376">
        <v>6.8534629999999999E-2</v>
      </c>
      <c r="W4376">
        <v>8.2866850000000002E-3</v>
      </c>
      <c r="X4376">
        <v>0.99761429999999995</v>
      </c>
      <c r="Y4376">
        <v>-5.5351520000000001E-2</v>
      </c>
      <c r="Z4376">
        <v>6.8272399999999997E-2</v>
      </c>
      <c r="AA4376">
        <v>0.99612999999999996</v>
      </c>
      <c r="AB4376">
        <v>28</v>
      </c>
      <c r="AC4376">
        <v>1.506</v>
      </c>
      <c r="AD4376">
        <v>-1.1114618221969901</v>
      </c>
      <c r="AE4376">
        <v>-15.9026</v>
      </c>
      <c r="AF4376">
        <v>-0.89721240369671995</v>
      </c>
      <c r="AG4376">
        <v>-1.1114618221969901</v>
      </c>
      <c r="AH4376">
        <v>15.8714481185984</v>
      </c>
      <c r="AI4376">
        <v>93.999462519756094</v>
      </c>
      <c r="AJ4376">
        <v>93.235484853676297</v>
      </c>
      <c r="AK4376">
        <v>15.935595466154</v>
      </c>
      <c r="AL4376">
        <v>89.525202478856698</v>
      </c>
      <c r="AM4376">
        <v>86.070039216982394</v>
      </c>
      <c r="AN4376">
        <v>0.99999997811100705</v>
      </c>
    </row>
    <row r="4377" spans="1:40" x14ac:dyDescent="0.25">
      <c r="A4377" t="str">
        <f>"20190312154342130"</f>
        <v>20190312154342130</v>
      </c>
      <c r="B4377" t="str">
        <f>"1552376622122152"</f>
        <v>1552376622122152</v>
      </c>
      <c r="C4377" t="s">
        <v>40</v>
      </c>
      <c r="D4377">
        <v>5.4405419999999998</v>
      </c>
      <c r="E4377">
        <v>0.45243559999999999</v>
      </c>
      <c r="F4377" t="s">
        <v>43</v>
      </c>
      <c r="G4377">
        <v>-191.5675</v>
      </c>
      <c r="H4377" s="1">
        <v>-1.905524E-6</v>
      </c>
      <c r="I4377">
        <v>162.74039999999999</v>
      </c>
      <c r="J4377">
        <v>-193.05680000000001</v>
      </c>
      <c r="K4377">
        <v>1.1114269999999999</v>
      </c>
      <c r="L4377">
        <v>178.184</v>
      </c>
      <c r="M4377">
        <v>3.9524179999999999E-2</v>
      </c>
      <c r="N4377">
        <v>0</v>
      </c>
      <c r="O4377">
        <v>-0.9991276</v>
      </c>
      <c r="P4377">
        <v>-2.9548720000000001E-2</v>
      </c>
      <c r="Q4377">
        <v>-5.4313269999999997E-3</v>
      </c>
      <c r="R4377">
        <v>-0.99954860000000001</v>
      </c>
      <c r="S4377">
        <v>0.28735349999999998</v>
      </c>
      <c r="T4377">
        <v>-0.21264140000000001</v>
      </c>
      <c r="U4377">
        <v>-3.0091399999999999</v>
      </c>
      <c r="V4377">
        <v>6.9012980000000002E-2</v>
      </c>
      <c r="W4377">
        <v>8.2151610000000003E-3</v>
      </c>
      <c r="X4377">
        <v>0.99758199999999997</v>
      </c>
      <c r="Y4377">
        <v>-5.5403460000000002E-2</v>
      </c>
      <c r="Z4377">
        <v>7.0194039999999999E-2</v>
      </c>
      <c r="AA4377">
        <v>0.99599360000000003</v>
      </c>
      <c r="AB4377">
        <v>28</v>
      </c>
      <c r="AC4377">
        <v>1.4893000000000101</v>
      </c>
      <c r="AD4377">
        <v>-1.1114289055240001</v>
      </c>
      <c r="AE4377">
        <v>-15.4436</v>
      </c>
      <c r="AF4377">
        <v>-0.87320406243850501</v>
      </c>
      <c r="AG4377">
        <v>-1.1114289055240001</v>
      </c>
      <c r="AH4377">
        <v>15.411315612820401</v>
      </c>
      <c r="AI4377">
        <v>94.118317042630693</v>
      </c>
      <c r="AJ4377">
        <v>93.242907530369607</v>
      </c>
      <c r="AK4377">
        <v>15.475994587252099</v>
      </c>
      <c r="AL4377">
        <v>89.529300681974405</v>
      </c>
      <c r="AM4377">
        <v>86.042568462816604</v>
      </c>
      <c r="AN4377">
        <v>1.0000000635013599</v>
      </c>
    </row>
    <row r="4378" spans="1:40" x14ac:dyDescent="0.25">
      <c r="A4378" t="str">
        <f>"20190312154342150"</f>
        <v>20190312154342150</v>
      </c>
      <c r="B4378" t="str">
        <f>"1552376622142181"</f>
        <v>1552376622142181</v>
      </c>
      <c r="C4378" t="s">
        <v>40</v>
      </c>
      <c r="D4378">
        <v>5.4632120000000004</v>
      </c>
      <c r="E4378">
        <v>0.45227859999999998</v>
      </c>
      <c r="F4378" t="s">
        <v>43</v>
      </c>
      <c r="G4378">
        <v>-191.55690000000001</v>
      </c>
      <c r="H4378" s="1">
        <v>-1.9093909999999998E-6</v>
      </c>
      <c r="I4378">
        <v>162.75460000000001</v>
      </c>
      <c r="J4378">
        <v>-193.04509999999999</v>
      </c>
      <c r="K4378">
        <v>1.111391</v>
      </c>
      <c r="L4378">
        <v>177.9273</v>
      </c>
      <c r="M4378">
        <v>4.0908449999999999E-2</v>
      </c>
      <c r="N4378">
        <v>0</v>
      </c>
      <c r="O4378">
        <v>-0.99907199999999996</v>
      </c>
      <c r="P4378">
        <v>-2.8361979999999998E-2</v>
      </c>
      <c r="Q4378">
        <v>-5.3003869999999897E-3</v>
      </c>
      <c r="R4378">
        <v>-0.99958380000000002</v>
      </c>
      <c r="S4378">
        <v>0.29249570000000003</v>
      </c>
      <c r="T4378">
        <v>-0.2167335</v>
      </c>
      <c r="U4378">
        <v>-3.008804</v>
      </c>
      <c r="V4378">
        <v>6.9211140000000004E-2</v>
      </c>
      <c r="W4378">
        <v>8.3377030000000001E-3</v>
      </c>
      <c r="X4378">
        <v>0.99756719999999999</v>
      </c>
      <c r="Y4378">
        <v>-5.5707930000000003E-2</v>
      </c>
      <c r="Z4378">
        <v>7.1533490000000005E-2</v>
      </c>
      <c r="AA4378">
        <v>0.99588129999999997</v>
      </c>
      <c r="AB4378">
        <v>28</v>
      </c>
      <c r="AC4378">
        <v>1.48819999999997</v>
      </c>
      <c r="AD4378">
        <v>-1.111392909391</v>
      </c>
      <c r="AE4378">
        <v>-15.172699999999899</v>
      </c>
      <c r="AF4378">
        <v>-0.86162698245802505</v>
      </c>
      <c r="AG4378">
        <v>-1.111392909391</v>
      </c>
      <c r="AH4378">
        <v>15.140420379679901</v>
      </c>
      <c r="AI4378">
        <v>94.191548221447803</v>
      </c>
      <c r="AJ4378">
        <v>93.257135341920602</v>
      </c>
      <c r="AK4378">
        <v>15.2055885952952</v>
      </c>
      <c r="AL4378">
        <v>89.522279276411894</v>
      </c>
      <c r="AM4378">
        <v>86.0311828838163</v>
      </c>
      <c r="AN4378">
        <v>1.0000000088536201</v>
      </c>
    </row>
    <row r="4379" spans="1:40" x14ac:dyDescent="0.25">
      <c r="A4379" t="str">
        <f>"20190312154342173"</f>
        <v>20190312154342173</v>
      </c>
      <c r="B4379" t="str">
        <f>"1552376622161701"</f>
        <v>1552376622161701</v>
      </c>
      <c r="C4379" t="s">
        <v>40</v>
      </c>
      <c r="D4379">
        <v>5.468731</v>
      </c>
      <c r="E4379">
        <v>0.45216200000000001</v>
      </c>
      <c r="F4379" t="s">
        <v>43</v>
      </c>
      <c r="G4379">
        <v>-191.54060000000001</v>
      </c>
      <c r="H4379" s="1">
        <v>-1.882134E-6</v>
      </c>
      <c r="I4379">
        <v>162.70609999999999</v>
      </c>
      <c r="J4379">
        <v>-193.03200000000001</v>
      </c>
      <c r="K4379">
        <v>1.111359</v>
      </c>
      <c r="L4379">
        <v>177.64830000000001</v>
      </c>
      <c r="M4379">
        <v>4.2373040000000001E-2</v>
      </c>
      <c r="N4379">
        <v>0</v>
      </c>
      <c r="O4379">
        <v>-0.99901130000000005</v>
      </c>
      <c r="P4379">
        <v>-2.7309070000000001E-2</v>
      </c>
      <c r="Q4379">
        <v>-5.266705E-3</v>
      </c>
      <c r="R4379">
        <v>-0.99961350000000004</v>
      </c>
      <c r="S4379">
        <v>0.29737849999999999</v>
      </c>
      <c r="T4379">
        <v>-0.21967339999999999</v>
      </c>
      <c r="U4379">
        <v>-3.0085600000000001</v>
      </c>
      <c r="V4379">
        <v>6.9623379999999999E-2</v>
      </c>
      <c r="W4379">
        <v>8.3634520000000004E-3</v>
      </c>
      <c r="X4379">
        <v>0.99753829999999999</v>
      </c>
      <c r="Y4379">
        <v>-5.5846119999999999E-2</v>
      </c>
      <c r="Z4379">
        <v>7.2491970000000003E-2</v>
      </c>
      <c r="AA4379">
        <v>0.99580429999999998</v>
      </c>
      <c r="AB4379">
        <v>28</v>
      </c>
      <c r="AC4379">
        <v>1.4913999999999901</v>
      </c>
      <c r="AD4379">
        <v>-1.111360882134</v>
      </c>
      <c r="AE4379">
        <v>-14.9422</v>
      </c>
      <c r="AF4379">
        <v>-0.85218874642579401</v>
      </c>
      <c r="AG4379">
        <v>-1.111360882134</v>
      </c>
      <c r="AH4379">
        <v>14.910308238313901</v>
      </c>
      <c r="AI4379">
        <v>94.255819550637</v>
      </c>
      <c r="AJ4379">
        <v>93.271143393771197</v>
      </c>
      <c r="AK4379">
        <v>14.9759353775116</v>
      </c>
      <c r="AL4379">
        <v>89.520803917066999</v>
      </c>
      <c r="AM4379">
        <v>86.007504478982796</v>
      </c>
      <c r="AN4379">
        <v>1.00000001116943</v>
      </c>
    </row>
    <row r="4380" spans="1:40" x14ac:dyDescent="0.25">
      <c r="A4380" t="str">
        <f>"20190312154342194"</f>
        <v>20190312154342194</v>
      </c>
      <c r="B4380" t="str">
        <f>"1552376622191958"</f>
        <v>1552376622191958</v>
      </c>
      <c r="C4380" t="s">
        <v>40</v>
      </c>
      <c r="D4380">
        <v>5.5000299999999998</v>
      </c>
      <c r="E4380">
        <v>0.45204879999999997</v>
      </c>
      <c r="F4380" t="s">
        <v>43</v>
      </c>
      <c r="G4380">
        <v>-191.5284</v>
      </c>
      <c r="H4380" s="1">
        <v>-1.8541749999999999E-6</v>
      </c>
      <c r="I4380">
        <v>162.65379999999999</v>
      </c>
      <c r="J4380">
        <v>-193.01920000000001</v>
      </c>
      <c r="K4380">
        <v>1.1113280000000001</v>
      </c>
      <c r="L4380">
        <v>177.38399999999999</v>
      </c>
      <c r="M4380">
        <v>4.3728980000000001E-2</v>
      </c>
      <c r="N4380">
        <v>0</v>
      </c>
      <c r="O4380">
        <v>-0.99895270000000003</v>
      </c>
      <c r="P4380">
        <v>-2.6593789999999999E-2</v>
      </c>
      <c r="Q4380">
        <v>-4.7048369999999999E-3</v>
      </c>
      <c r="R4380">
        <v>-0.99963559999999996</v>
      </c>
      <c r="S4380">
        <v>0.301651</v>
      </c>
      <c r="T4380">
        <v>-0.2229614</v>
      </c>
      <c r="U4380">
        <v>-3.0082089999999999</v>
      </c>
      <c r="V4380">
        <v>7.02628E-2</v>
      </c>
      <c r="W4380">
        <v>8.918947E-3</v>
      </c>
      <c r="X4380">
        <v>0.99748859999999995</v>
      </c>
      <c r="Y4380">
        <v>-5.5894859999999998E-2</v>
      </c>
      <c r="Z4380">
        <v>7.3567999999999995E-2</v>
      </c>
      <c r="AA4380">
        <v>0.99572260000000001</v>
      </c>
      <c r="AB4380">
        <v>28</v>
      </c>
      <c r="AC4380">
        <v>1.4907999999999999</v>
      </c>
      <c r="AD4380">
        <v>-1.1113298541750001</v>
      </c>
      <c r="AE4380">
        <v>-14.7302</v>
      </c>
      <c r="AF4380">
        <v>-0.84044333254808201</v>
      </c>
      <c r="AG4380">
        <v>-1.1113298541750001</v>
      </c>
      <c r="AH4380">
        <v>14.6984878132609</v>
      </c>
      <c r="AI4380">
        <v>94.316794021392298</v>
      </c>
      <c r="AJ4380">
        <v>93.272546175894007</v>
      </c>
      <c r="AK4380">
        <v>14.7643808890377</v>
      </c>
      <c r="AL4380">
        <v>89.488975182400097</v>
      </c>
      <c r="AM4380">
        <v>85.970757588706803</v>
      </c>
      <c r="AN4380">
        <v>0.99999995790469298</v>
      </c>
    </row>
    <row r="4381" spans="1:40" x14ac:dyDescent="0.25">
      <c r="A4381" t="str">
        <f>"20190312154342218"</f>
        <v>20190312154342218</v>
      </c>
      <c r="B4381" t="str">
        <f>"1552376622212454"</f>
        <v>1552376622212454</v>
      </c>
      <c r="C4381" t="s">
        <v>40</v>
      </c>
      <c r="D4381">
        <v>5.460388</v>
      </c>
      <c r="E4381">
        <v>0.45199119999999998</v>
      </c>
      <c r="F4381" t="s">
        <v>43</v>
      </c>
      <c r="G4381">
        <v>-191.5179</v>
      </c>
      <c r="H4381" s="1">
        <v>-1.812414E-6</v>
      </c>
      <c r="I4381">
        <v>162.57130000000001</v>
      </c>
      <c r="J4381">
        <v>-193.00530000000001</v>
      </c>
      <c r="K4381">
        <v>1.111313</v>
      </c>
      <c r="L4381">
        <v>177.10390000000001</v>
      </c>
      <c r="M4381">
        <v>4.5139289999999999E-2</v>
      </c>
      <c r="N4381">
        <v>0</v>
      </c>
      <c r="O4381">
        <v>-0.99888980000000005</v>
      </c>
      <c r="P4381">
        <v>-2.6122280000000001E-2</v>
      </c>
      <c r="Q4381">
        <v>-4.3423969999999996E-3</v>
      </c>
      <c r="R4381">
        <v>-0.99964949999999997</v>
      </c>
      <c r="S4381">
        <v>0.30488589999999999</v>
      </c>
      <c r="T4381">
        <v>-0.22568859999999999</v>
      </c>
      <c r="U4381">
        <v>-3.0081479999999998</v>
      </c>
      <c r="V4381">
        <v>7.1200239999999998E-2</v>
      </c>
      <c r="W4381">
        <v>9.2760829999999992E-3</v>
      </c>
      <c r="X4381">
        <v>0.9974189</v>
      </c>
      <c r="Y4381">
        <v>-5.5540579999999999E-2</v>
      </c>
      <c r="Z4381">
        <v>7.4454110000000004E-2</v>
      </c>
      <c r="AA4381">
        <v>0.99567660000000002</v>
      </c>
      <c r="AB4381">
        <v>28</v>
      </c>
      <c r="AC4381">
        <v>1.4874000000000001</v>
      </c>
      <c r="AD4381">
        <v>-1.111314812414</v>
      </c>
      <c r="AE4381">
        <v>-14.5326</v>
      </c>
      <c r="AF4381">
        <v>-0.82505809679303699</v>
      </c>
      <c r="AG4381">
        <v>-1.111314812414</v>
      </c>
      <c r="AH4381">
        <v>14.501011577806601</v>
      </c>
      <c r="AI4381">
        <v>94.3753647659412</v>
      </c>
      <c r="AJ4381">
        <v>93.256423528703493</v>
      </c>
      <c r="AK4381">
        <v>14.5669172529762</v>
      </c>
      <c r="AL4381">
        <v>89.468511966664707</v>
      </c>
      <c r="AM4381">
        <v>85.916896058013407</v>
      </c>
      <c r="AN4381">
        <v>0.99999999098454495</v>
      </c>
    </row>
    <row r="4382" spans="1:40" x14ac:dyDescent="0.25">
      <c r="A4382" t="str">
        <f>"20190312154342240"</f>
        <v>20190312154342240</v>
      </c>
      <c r="B4382" t="str">
        <f>"1552376622231977"</f>
        <v>1552376622231977</v>
      </c>
      <c r="C4382" t="s">
        <v>40</v>
      </c>
      <c r="D4382">
        <v>5.4944819999999996</v>
      </c>
      <c r="E4382">
        <v>0.45184220000000003</v>
      </c>
      <c r="F4382" t="s">
        <v>43</v>
      </c>
      <c r="G4382">
        <v>-191.50040000000001</v>
      </c>
      <c r="H4382" s="1">
        <v>-1.7060869999999999E-6</v>
      </c>
      <c r="I4382">
        <v>162.3563</v>
      </c>
      <c r="J4382">
        <v>-192.9915</v>
      </c>
      <c r="K4382">
        <v>1.111299</v>
      </c>
      <c r="L4382">
        <v>176.8322</v>
      </c>
      <c r="M4382">
        <v>4.6491230000000001E-2</v>
      </c>
      <c r="N4382">
        <v>0</v>
      </c>
      <c r="O4382">
        <v>-0.99882800000000005</v>
      </c>
      <c r="P4382">
        <v>-2.6198809999999999E-2</v>
      </c>
      <c r="Q4382">
        <v>-4.4121799999999999E-3</v>
      </c>
      <c r="R4382">
        <v>-0.99964710000000001</v>
      </c>
      <c r="S4382">
        <v>0.30696109999999999</v>
      </c>
      <c r="T4382">
        <v>-0.22667609999999999</v>
      </c>
      <c r="U4382">
        <v>-3.0080870000000002</v>
      </c>
      <c r="V4382">
        <v>7.2627070000000002E-2</v>
      </c>
      <c r="W4382">
        <v>9.2031300000000003E-3</v>
      </c>
      <c r="X4382">
        <v>0.99731669999999994</v>
      </c>
      <c r="Y4382">
        <v>-5.486866E-2</v>
      </c>
      <c r="Z4382">
        <v>7.477143E-2</v>
      </c>
      <c r="AA4382">
        <v>0.99568999999999996</v>
      </c>
      <c r="AB4382">
        <v>28</v>
      </c>
      <c r="AC4382">
        <v>1.4910999999999801</v>
      </c>
      <c r="AD4382">
        <v>-1.1113007060869999</v>
      </c>
      <c r="AE4382">
        <v>-14.4758999999999</v>
      </c>
      <c r="AF4382">
        <v>-0.811690540989911</v>
      </c>
      <c r="AG4382">
        <v>-1.1113007060869999</v>
      </c>
      <c r="AH4382">
        <v>14.4453341639651</v>
      </c>
      <c r="AI4382">
        <v>94.392281683013607</v>
      </c>
      <c r="AJ4382">
        <v>93.216096506201296</v>
      </c>
      <c r="AK4382">
        <v>14.5107377449356</v>
      </c>
      <c r="AL4382">
        <v>89.4726920459903</v>
      </c>
      <c r="AM4382">
        <v>85.834931780570599</v>
      </c>
      <c r="AN4382">
        <v>0.999999994498735</v>
      </c>
    </row>
    <row r="4383" spans="1:40" x14ac:dyDescent="0.25">
      <c r="A4383" t="str">
        <f>"20190312154342263"</f>
        <v>20190312154342263</v>
      </c>
      <c r="B4383" t="str">
        <f>"1552376622251493"</f>
        <v>1552376622251493</v>
      </c>
      <c r="C4383" t="s">
        <v>40</v>
      </c>
      <c r="D4383">
        <v>5.5068140000000003</v>
      </c>
      <c r="E4383">
        <v>0.45173679999999999</v>
      </c>
      <c r="F4383" t="s">
        <v>43</v>
      </c>
      <c r="G4383">
        <v>-191.48830000000001</v>
      </c>
      <c r="H4383" s="1">
        <v>-1.611588E-6</v>
      </c>
      <c r="I4383">
        <v>162.16319999999999</v>
      </c>
      <c r="J4383">
        <v>-192.97710000000001</v>
      </c>
      <c r="K4383">
        <v>1.1112869999999999</v>
      </c>
      <c r="L4383">
        <v>176.55549999999999</v>
      </c>
      <c r="M4383">
        <v>4.7861260000000003E-2</v>
      </c>
      <c r="N4383">
        <v>0</v>
      </c>
      <c r="O4383">
        <v>-0.99876339999999997</v>
      </c>
      <c r="P4383">
        <v>-2.7215969999999999E-2</v>
      </c>
      <c r="Q4383">
        <v>-4.635353E-3</v>
      </c>
      <c r="R4383">
        <v>-0.99961929999999999</v>
      </c>
      <c r="S4383">
        <v>0.30827329999999997</v>
      </c>
      <c r="T4383">
        <v>-0.22789239999999999</v>
      </c>
      <c r="U4383">
        <v>-3.0081479999999998</v>
      </c>
      <c r="V4383">
        <v>7.5010460000000001E-2</v>
      </c>
      <c r="W4383">
        <v>8.9790249999999999E-3</v>
      </c>
      <c r="X4383">
        <v>0.99714230000000004</v>
      </c>
      <c r="Y4383">
        <v>-5.3923850000000002E-2</v>
      </c>
      <c r="Z4383">
        <v>7.5161850000000002E-2</v>
      </c>
      <c r="AA4383">
        <v>0.99571229999999999</v>
      </c>
      <c r="AB4383">
        <v>27</v>
      </c>
      <c r="AC4383">
        <v>1.4887999999999899</v>
      </c>
      <c r="AD4383">
        <v>-1.1112886115880001</v>
      </c>
      <c r="AE4383">
        <v>-14.392300000000001</v>
      </c>
      <c r="AF4383">
        <v>-0.79351669344009901</v>
      </c>
      <c r="AG4383">
        <v>-1.1112886115880001</v>
      </c>
      <c r="AH4383">
        <v>14.362343657706999</v>
      </c>
      <c r="AI4383">
        <v>94.417743639614102</v>
      </c>
      <c r="AJ4383">
        <v>93.162365538323897</v>
      </c>
      <c r="AK4383">
        <v>14.4271115079593</v>
      </c>
      <c r="AL4383">
        <v>89.485532839539502</v>
      </c>
      <c r="AM4383">
        <v>85.698002849144103</v>
      </c>
      <c r="AN4383">
        <v>0.99999997922432504</v>
      </c>
    </row>
    <row r="4384" spans="1:40" x14ac:dyDescent="0.25">
      <c r="A4384" t="str">
        <f>"20190312154342284"</f>
        <v>20190312154342284</v>
      </c>
      <c r="B4384" t="str">
        <f>"1552376622281749"</f>
        <v>1552376622281749</v>
      </c>
      <c r="C4384" t="s">
        <v>40</v>
      </c>
      <c r="D4384">
        <v>5.5167289999999998</v>
      </c>
      <c r="E4384">
        <v>0.48091030000000001</v>
      </c>
      <c r="F4384" t="s">
        <v>43</v>
      </c>
      <c r="G4384">
        <v>-191.49940000000001</v>
      </c>
      <c r="H4384" s="1">
        <v>-1.5509999999999901E-6</v>
      </c>
      <c r="I4384">
        <v>162.02869999999999</v>
      </c>
      <c r="J4384">
        <v>-192.96270000000001</v>
      </c>
      <c r="K4384">
        <v>1.1112850000000001</v>
      </c>
      <c r="L4384">
        <v>176.2859</v>
      </c>
      <c r="M4384">
        <v>4.9194050000000003E-2</v>
      </c>
      <c r="N4384">
        <v>0</v>
      </c>
      <c r="O4384">
        <v>-0.9986988</v>
      </c>
      <c r="P4384">
        <v>-2.772633E-2</v>
      </c>
      <c r="Q4384">
        <v>-4.7501490000000004E-3</v>
      </c>
      <c r="R4384">
        <v>-0.99960459999999995</v>
      </c>
      <c r="S4384">
        <v>0.30601499999999998</v>
      </c>
      <c r="T4384">
        <v>-0.23014190000000001</v>
      </c>
      <c r="U4384">
        <v>-3.0084080000000002</v>
      </c>
      <c r="V4384">
        <v>7.6850550000000004E-2</v>
      </c>
      <c r="W4384">
        <v>8.8636369999999902E-3</v>
      </c>
      <c r="X4384">
        <v>0.99700319999999998</v>
      </c>
      <c r="Y4384">
        <v>-5.1837139999999997E-2</v>
      </c>
      <c r="Z4384">
        <v>7.5892719999999997E-2</v>
      </c>
      <c r="AA4384">
        <v>0.99576770000000003</v>
      </c>
      <c r="AB4384">
        <v>27</v>
      </c>
      <c r="AC4384">
        <v>1.4633</v>
      </c>
      <c r="AD4384">
        <v>-1.1112865509999901</v>
      </c>
      <c r="AE4384">
        <v>-14.257199999999999</v>
      </c>
      <c r="AF4384">
        <v>-0.75555267818383598</v>
      </c>
      <c r="AG4384">
        <v>-1.1112865509999901</v>
      </c>
      <c r="AH4384">
        <v>14.2263952025497</v>
      </c>
      <c r="AI4384">
        <v>94.460295830641897</v>
      </c>
      <c r="AJ4384">
        <v>93.040077736515698</v>
      </c>
      <c r="AK4384">
        <v>14.289721414606801</v>
      </c>
      <c r="AL4384">
        <v>89.492144346536406</v>
      </c>
      <c r="AM4384">
        <v>85.592268441688503</v>
      </c>
      <c r="AN4384">
        <v>0.999999975953204</v>
      </c>
    </row>
    <row r="4385" spans="1:40" x14ac:dyDescent="0.25">
      <c r="A4385" t="str">
        <f>"20190312154342309"</f>
        <v>20190312154342309</v>
      </c>
      <c r="B4385" t="str">
        <f>"1552376622302247"</f>
        <v>1552376622302247</v>
      </c>
      <c r="C4385" t="s">
        <v>40</v>
      </c>
      <c r="D4385">
        <v>5.4032900000000001</v>
      </c>
      <c r="E4385">
        <v>0.49303639999999999</v>
      </c>
      <c r="F4385" t="s">
        <v>41</v>
      </c>
      <c r="G4385">
        <v>-192.9444</v>
      </c>
      <c r="H4385">
        <v>1.039968</v>
      </c>
      <c r="I4385">
        <v>175.51820000000001</v>
      </c>
      <c r="J4385">
        <v>-192.94710000000001</v>
      </c>
      <c r="K4385">
        <v>1.111278</v>
      </c>
      <c r="L4385">
        <v>176.0016</v>
      </c>
      <c r="M4385">
        <v>5.0601880000000002E-2</v>
      </c>
      <c r="N4385">
        <v>0</v>
      </c>
      <c r="O4385">
        <v>-0.99862839999999997</v>
      </c>
      <c r="P4385">
        <v>-2.875577E-2</v>
      </c>
      <c r="Q4385">
        <v>-4.8220479999999998E-3</v>
      </c>
      <c r="R4385">
        <v>-0.99957499999999999</v>
      </c>
      <c r="S4385">
        <v>7.2448730000000003E-2</v>
      </c>
      <c r="T4385">
        <v>-0.27911059999999999</v>
      </c>
      <c r="U4385">
        <v>-3.0018769999999999</v>
      </c>
      <c r="V4385">
        <v>7.928288E-2</v>
      </c>
      <c r="W4385">
        <v>8.7921119999999995E-3</v>
      </c>
      <c r="X4385">
        <v>0.99681339999999996</v>
      </c>
      <c r="Y4385">
        <v>2.6598440000000001E-2</v>
      </c>
      <c r="Z4385">
        <v>9.2372109999999993E-2</v>
      </c>
      <c r="AA4385">
        <v>0.99536930000000001</v>
      </c>
      <c r="AB4385">
        <v>27</v>
      </c>
      <c r="AC4385">
        <v>2.7000000000043599E-3</v>
      </c>
      <c r="AD4385">
        <v>-7.1309999999999901E-2</v>
      </c>
      <c r="AE4385">
        <v>-0.48339999999998901</v>
      </c>
      <c r="AF4385">
        <v>2.1303049051039601E-2</v>
      </c>
      <c r="AG4385">
        <v>-7.1309999999999901E-2</v>
      </c>
      <c r="AH4385">
        <v>0.47263240403507201</v>
      </c>
      <c r="AI4385">
        <v>98.571404985178404</v>
      </c>
      <c r="AJ4385">
        <v>87.419243312641996</v>
      </c>
      <c r="AK4385">
        <v>0.47845618957522401</v>
      </c>
      <c r="AL4385">
        <v>89.496242606809801</v>
      </c>
      <c r="AM4385">
        <v>85.452477075201898</v>
      </c>
      <c r="AN4385">
        <v>1.0000000153570301</v>
      </c>
    </row>
    <row r="4386" spans="1:40" x14ac:dyDescent="0.25">
      <c r="A4386" t="str">
        <f>"20190312154342330"</f>
        <v>20190312154342330</v>
      </c>
      <c r="B4386" t="str">
        <f>"1552376622321765"</f>
        <v>1552376622321765</v>
      </c>
      <c r="C4386" t="s">
        <v>40</v>
      </c>
      <c r="D4386">
        <v>5.6134019999999998</v>
      </c>
      <c r="E4386">
        <v>0.55970580000000003</v>
      </c>
      <c r="F4386" t="s">
        <v>41</v>
      </c>
      <c r="G4386">
        <v>-192.95609999999999</v>
      </c>
      <c r="H4386">
        <v>1.0232730000000001</v>
      </c>
      <c r="I4386">
        <v>175.03720000000001</v>
      </c>
      <c r="J4386">
        <v>-192.93170000000001</v>
      </c>
      <c r="K4386">
        <v>1.11127</v>
      </c>
      <c r="L4386">
        <v>175.72900000000001</v>
      </c>
      <c r="M4386">
        <v>5.1954920000000002E-2</v>
      </c>
      <c r="N4386">
        <v>0</v>
      </c>
      <c r="O4386">
        <v>-0.99855899999999997</v>
      </c>
      <c r="P4386">
        <v>-2.9699E-2</v>
      </c>
      <c r="Q4386">
        <v>-5.0916729999999997E-3</v>
      </c>
      <c r="R4386">
        <v>-0.99954620000000005</v>
      </c>
      <c r="S4386">
        <v>-2.7511600000000001E-2</v>
      </c>
      <c r="T4386">
        <v>-0.27376329999999999</v>
      </c>
      <c r="U4386">
        <v>-2.9991759999999998</v>
      </c>
      <c r="V4386">
        <v>8.1574629999999995E-2</v>
      </c>
      <c r="W4386">
        <v>8.5227110000000005E-3</v>
      </c>
      <c r="X4386">
        <v>0.99663080000000004</v>
      </c>
      <c r="Y4386">
        <v>6.1079700000000001E-2</v>
      </c>
      <c r="Z4386">
        <v>9.0630859999999994E-2</v>
      </c>
      <c r="AA4386">
        <v>0.9940097</v>
      </c>
      <c r="AB4386">
        <v>27</v>
      </c>
      <c r="AC4386">
        <v>-2.43999999999857E-2</v>
      </c>
      <c r="AD4386">
        <v>-8.7997000000000103E-2</v>
      </c>
      <c r="AE4386">
        <v>-0.69179999999999997</v>
      </c>
      <c r="AF4386">
        <v>5.9353561201399799E-2</v>
      </c>
      <c r="AG4386">
        <v>-8.7997000000000103E-2</v>
      </c>
      <c r="AH4386">
        <v>0.678631181383615</v>
      </c>
      <c r="AI4386">
        <v>97.360438300497293</v>
      </c>
      <c r="AJ4386">
        <v>85.001589771068296</v>
      </c>
      <c r="AK4386">
        <v>0.68688179302002905</v>
      </c>
      <c r="AL4386">
        <v>89.511678719946005</v>
      </c>
      <c r="AM4386">
        <v>85.320748434201207</v>
      </c>
      <c r="AN4386">
        <v>1.0000000041855299</v>
      </c>
    </row>
    <row r="4387" spans="1:40" x14ac:dyDescent="0.25">
      <c r="A4387" t="str">
        <f>"20190312154342353"</f>
        <v>20190312154342353</v>
      </c>
      <c r="B4387" t="str">
        <f>"1552376622342261"</f>
        <v>1552376622342261</v>
      </c>
      <c r="C4387" t="s">
        <v>40</v>
      </c>
      <c r="D4387">
        <v>5.5920300000000003</v>
      </c>
      <c r="E4387">
        <v>0.56435219999999997</v>
      </c>
      <c r="F4387" t="s">
        <v>43</v>
      </c>
      <c r="G4387">
        <v>-195.10239999999999</v>
      </c>
      <c r="H4387" s="1">
        <v>-3.5349529999999998E-6</v>
      </c>
      <c r="I4387">
        <v>164.1977</v>
      </c>
      <c r="J4387">
        <v>-192.91560000000001</v>
      </c>
      <c r="K4387">
        <v>1.111275</v>
      </c>
      <c r="L4387">
        <v>175.44909999999999</v>
      </c>
      <c r="M4387">
        <v>5.3347989999999998E-2</v>
      </c>
      <c r="N4387">
        <v>0</v>
      </c>
      <c r="O4387">
        <v>-0.99848530000000002</v>
      </c>
      <c r="P4387">
        <v>-3.046548E-2</v>
      </c>
      <c r="Q4387">
        <v>-4.8603140000000001E-3</v>
      </c>
      <c r="R4387">
        <v>-0.99952419999999997</v>
      </c>
      <c r="S4387">
        <v>-0.561554</v>
      </c>
      <c r="T4387">
        <v>-0.28749409999999997</v>
      </c>
      <c r="U4387">
        <v>-2.983215</v>
      </c>
      <c r="V4387">
        <v>8.372868E-2</v>
      </c>
      <c r="W4387">
        <v>8.7549210000000006E-3</v>
      </c>
      <c r="X4387">
        <v>0.99645010000000001</v>
      </c>
      <c r="Y4387">
        <v>0.23634179999999999</v>
      </c>
      <c r="Z4387">
        <v>9.3547309999999995E-2</v>
      </c>
      <c r="AA4387">
        <v>0.96715640000000003</v>
      </c>
      <c r="AB4387">
        <v>27</v>
      </c>
      <c r="AC4387">
        <v>-2.1867999999999701</v>
      </c>
      <c r="AD4387">
        <v>-1.1112785349529899</v>
      </c>
      <c r="AE4387">
        <v>-11.251399999999901</v>
      </c>
      <c r="AF4387">
        <v>2.7580535248516602</v>
      </c>
      <c r="AG4387">
        <v>-1.1112785349529899</v>
      </c>
      <c r="AH4387">
        <v>11.0151600542127</v>
      </c>
      <c r="AI4387">
        <v>95.589460874439894</v>
      </c>
      <c r="AJ4387">
        <v>75.942886134120698</v>
      </c>
      <c r="AK4387">
        <v>11.409450041440101</v>
      </c>
      <c r="AL4387">
        <v>89.498373553950501</v>
      </c>
      <c r="AM4387">
        <v>85.196892365246299</v>
      </c>
      <c r="AN4387">
        <v>0.99999997114313299</v>
      </c>
    </row>
    <row r="4388" spans="1:40" x14ac:dyDescent="0.25">
      <c r="A4388" t="str">
        <f>"20190312154342375"</f>
        <v>20190312154342375</v>
      </c>
      <c r="B4388" t="str">
        <f>"1552376622361782"</f>
        <v>1552376622361782</v>
      </c>
      <c r="C4388" t="s">
        <v>40</v>
      </c>
      <c r="D4388">
        <v>5.517881</v>
      </c>
      <c r="E4388">
        <v>0.56653920000000002</v>
      </c>
      <c r="F4388" t="s">
        <v>43</v>
      </c>
      <c r="G4388">
        <v>-195.10679999999999</v>
      </c>
      <c r="H4388" s="1">
        <v>-3.7053419999999998E-6</v>
      </c>
      <c r="I4388">
        <v>164.5761</v>
      </c>
      <c r="J4388">
        <v>-192.8999</v>
      </c>
      <c r="K4388">
        <v>1.111281</v>
      </c>
      <c r="L4388">
        <v>175.18430000000001</v>
      </c>
      <c r="M4388">
        <v>5.4669040000000002E-2</v>
      </c>
      <c r="N4388">
        <v>0</v>
      </c>
      <c r="O4388">
        <v>-0.99841409999999997</v>
      </c>
      <c r="P4388">
        <v>-3.1086269999999999E-2</v>
      </c>
      <c r="Q4388">
        <v>-4.0478110000000001E-3</v>
      </c>
      <c r="R4388">
        <v>-0.99950870000000003</v>
      </c>
      <c r="S4388">
        <v>-0.60089110000000001</v>
      </c>
      <c r="T4388">
        <v>-0.30473719999999999</v>
      </c>
      <c r="U4388">
        <v>-2.9816280000000002</v>
      </c>
      <c r="V4388">
        <v>8.5664130000000005E-2</v>
      </c>
      <c r="W4388">
        <v>9.5674160000000005E-3</v>
      </c>
      <c r="X4388">
        <v>0.99627810000000006</v>
      </c>
      <c r="Y4388">
        <v>0.24988679999999999</v>
      </c>
      <c r="Z4388">
        <v>9.8849389999999995E-2</v>
      </c>
      <c r="AA4388">
        <v>0.96321619999999997</v>
      </c>
      <c r="AB4388">
        <v>27</v>
      </c>
      <c r="AC4388">
        <v>-2.2068999999999899</v>
      </c>
      <c r="AD4388">
        <v>-1.1112847053420001</v>
      </c>
      <c r="AE4388">
        <v>-10.6082</v>
      </c>
      <c r="AF4388">
        <v>2.7546162453526502</v>
      </c>
      <c r="AG4388">
        <v>-1.1112847053420001</v>
      </c>
      <c r="AH4388">
        <v>10.362669929021999</v>
      </c>
      <c r="AI4388">
        <v>95.917013707852405</v>
      </c>
      <c r="AJ4388">
        <v>75.113823695308398</v>
      </c>
      <c r="AK4388">
        <v>10.779971818764</v>
      </c>
      <c r="AL4388">
        <v>89.4518190602696</v>
      </c>
      <c r="AM4388">
        <v>85.085558333252393</v>
      </c>
      <c r="AN4388">
        <v>0.99999996557859105</v>
      </c>
    </row>
    <row r="4389" spans="1:40" x14ac:dyDescent="0.25">
      <c r="A4389" t="str">
        <f>"20190312154342396"</f>
        <v>20190312154342396</v>
      </c>
      <c r="B4389" t="str">
        <f>"1552376622392038"</f>
        <v>1552376622392038</v>
      </c>
      <c r="C4389" t="s">
        <v>40</v>
      </c>
      <c r="D4389">
        <v>5.5135639999999997</v>
      </c>
      <c r="E4389">
        <v>0.56838630000000001</v>
      </c>
      <c r="F4389" t="s">
        <v>43</v>
      </c>
      <c r="G4389">
        <v>-195.12629999999999</v>
      </c>
      <c r="H4389" s="1">
        <v>-3.6693819999999999E-6</v>
      </c>
      <c r="I4389">
        <v>164.4735</v>
      </c>
      <c r="J4389">
        <v>-192.8844</v>
      </c>
      <c r="K4389">
        <v>1.111291</v>
      </c>
      <c r="L4389">
        <v>174.92580000000001</v>
      </c>
      <c r="M4389">
        <v>5.5960650000000001E-2</v>
      </c>
      <c r="N4389">
        <v>0</v>
      </c>
      <c r="O4389">
        <v>-0.99834250000000002</v>
      </c>
      <c r="P4389">
        <v>-3.091789E-2</v>
      </c>
      <c r="Q4389">
        <v>-3.54623E-3</v>
      </c>
      <c r="R4389">
        <v>-0.99951599999999996</v>
      </c>
      <c r="S4389">
        <v>-0.61961359999999999</v>
      </c>
      <c r="T4389">
        <v>-0.30928220000000001</v>
      </c>
      <c r="U4389">
        <v>-2.9809420000000002</v>
      </c>
      <c r="V4389">
        <v>8.6784070000000005E-2</v>
      </c>
      <c r="W4389">
        <v>1.006807E-2</v>
      </c>
      <c r="X4389">
        <v>0.99617619999999896</v>
      </c>
      <c r="Y4389">
        <v>0.25695430000000002</v>
      </c>
      <c r="Z4389">
        <v>0.1001633</v>
      </c>
      <c r="AA4389">
        <v>0.96121900000000005</v>
      </c>
      <c r="AB4389">
        <v>27</v>
      </c>
      <c r="AC4389">
        <v>-2.2418999999999798</v>
      </c>
      <c r="AD4389">
        <v>-1.1112946693820001</v>
      </c>
      <c r="AE4389">
        <v>-10.452299999999999</v>
      </c>
      <c r="AF4389">
        <v>2.7931710976933899</v>
      </c>
      <c r="AG4389">
        <v>-1.1112946693820001</v>
      </c>
      <c r="AH4389">
        <v>10.2002158777898</v>
      </c>
      <c r="AI4389">
        <v>95.998606479957402</v>
      </c>
      <c r="AJ4389">
        <v>74.685849988370904</v>
      </c>
      <c r="AK4389">
        <v>10.6339637283894</v>
      </c>
      <c r="AL4389">
        <v>89.423132295357107</v>
      </c>
      <c r="AM4389">
        <v>85.021122944255694</v>
      </c>
      <c r="AN4389">
        <v>0.99999993114286201</v>
      </c>
    </row>
    <row r="4390" spans="1:40" x14ac:dyDescent="0.25">
      <c r="A4390" t="str">
        <f>"20190312154342419"</f>
        <v>20190312154342419</v>
      </c>
      <c r="B4390" t="str">
        <f>"1552376622411557"</f>
        <v>1552376622411557</v>
      </c>
      <c r="C4390" t="s">
        <v>40</v>
      </c>
      <c r="D4390">
        <v>5.5165749999999996</v>
      </c>
      <c r="E4390">
        <v>0.5690655</v>
      </c>
      <c r="F4390" t="s">
        <v>43</v>
      </c>
      <c r="G4390">
        <v>-195.13570000000001</v>
      </c>
      <c r="H4390" s="1">
        <v>-3.6074579999999999E-6</v>
      </c>
      <c r="I4390">
        <v>164.33240000000001</v>
      </c>
      <c r="J4390">
        <v>-192.8673</v>
      </c>
      <c r="K4390">
        <v>1.111291</v>
      </c>
      <c r="L4390">
        <v>174.64949999999999</v>
      </c>
      <c r="M4390">
        <v>5.7342589999999999E-2</v>
      </c>
      <c r="N4390">
        <v>0</v>
      </c>
      <c r="O4390">
        <v>-0.99826409999999999</v>
      </c>
      <c r="P4390">
        <v>-3.0800279999999999E-2</v>
      </c>
      <c r="Q4390">
        <v>-3.6393039999999999E-3</v>
      </c>
      <c r="R4390">
        <v>-0.99951909999999999</v>
      </c>
      <c r="S4390">
        <v>-0.63346859999999905</v>
      </c>
      <c r="T4390">
        <v>-0.31268990000000002</v>
      </c>
      <c r="U4390">
        <v>-2.980728</v>
      </c>
      <c r="V4390">
        <v>8.8046070000000004E-2</v>
      </c>
      <c r="W4390">
        <v>9.9750919999999996E-3</v>
      </c>
      <c r="X4390">
        <v>0.99606649999999997</v>
      </c>
      <c r="Y4390">
        <v>0.26255909999999999</v>
      </c>
      <c r="Z4390">
        <v>0.1011248</v>
      </c>
      <c r="AA4390">
        <v>0.95960219999999896</v>
      </c>
      <c r="AB4390">
        <v>27</v>
      </c>
      <c r="AC4390">
        <v>-2.26840000000001</v>
      </c>
      <c r="AD4390">
        <v>-1.1112946074579999</v>
      </c>
      <c r="AE4390">
        <v>-10.3170999999999</v>
      </c>
      <c r="AF4390">
        <v>2.8250637582159301</v>
      </c>
      <c r="AG4390">
        <v>-1.1112946074579999</v>
      </c>
      <c r="AH4390">
        <v>10.058710698734901</v>
      </c>
      <c r="AI4390">
        <v>96.071457145091301</v>
      </c>
      <c r="AJ4390">
        <v>74.312207482522695</v>
      </c>
      <c r="AK4390">
        <v>10.506836910478601</v>
      </c>
      <c r="AL4390">
        <v>89.428459873986995</v>
      </c>
      <c r="AM4390">
        <v>84.948539379879307</v>
      </c>
      <c r="AN4390">
        <v>1.0000000426625499</v>
      </c>
    </row>
    <row r="4391" spans="1:40" x14ac:dyDescent="0.25">
      <c r="A4391" t="str">
        <f>"20190312154342441"</f>
        <v>20190312154342441</v>
      </c>
      <c r="B4391" t="str">
        <f>"1552376622432057"</f>
        <v>1552376622432057</v>
      </c>
      <c r="C4391" t="s">
        <v>40</v>
      </c>
      <c r="D4391">
        <v>5.5359669999999896</v>
      </c>
      <c r="E4391">
        <v>0.56967119999999905</v>
      </c>
      <c r="F4391" t="s">
        <v>43</v>
      </c>
      <c r="G4391">
        <v>-195.12899999999999</v>
      </c>
      <c r="H4391" s="1">
        <v>-3.4897709999999999E-6</v>
      </c>
      <c r="I4391">
        <v>164.08709999999999</v>
      </c>
      <c r="J4391">
        <v>-192.8502</v>
      </c>
      <c r="K4391">
        <v>1.1112899999999999</v>
      </c>
      <c r="L4391">
        <v>174.3785</v>
      </c>
      <c r="M4391">
        <v>5.8698760000000003E-2</v>
      </c>
      <c r="N4391">
        <v>0</v>
      </c>
      <c r="O4391">
        <v>-0.99818519999999999</v>
      </c>
      <c r="P4391">
        <v>-2.9793E-2</v>
      </c>
      <c r="Q4391">
        <v>-3.570143E-3</v>
      </c>
      <c r="R4391">
        <v>-0.99955020000000006</v>
      </c>
      <c r="S4391">
        <v>-0.63824459999999905</v>
      </c>
      <c r="T4391">
        <v>-0.31360090000000002</v>
      </c>
      <c r="U4391">
        <v>-2.9806370000000002</v>
      </c>
      <c r="V4391">
        <v>8.8395399999999999E-2</v>
      </c>
      <c r="W4391">
        <v>1.004232E-2</v>
      </c>
      <c r="X4391">
        <v>0.99603489999999995</v>
      </c>
      <c r="Y4391">
        <v>0.26533990000000002</v>
      </c>
      <c r="Z4391">
        <v>0.101351</v>
      </c>
      <c r="AA4391">
        <v>0.95881320000000003</v>
      </c>
      <c r="AB4391">
        <v>27</v>
      </c>
      <c r="AC4391">
        <v>-2.2788000000000102</v>
      </c>
      <c r="AD4391">
        <v>-1.1112934897709901</v>
      </c>
      <c r="AE4391">
        <v>-10.291399999999999</v>
      </c>
      <c r="AF4391">
        <v>2.8473677658052199</v>
      </c>
      <c r="AG4391">
        <v>-1.1112934897709901</v>
      </c>
      <c r="AH4391">
        <v>10.028408301092499</v>
      </c>
      <c r="AI4391">
        <v>96.0848041004881</v>
      </c>
      <c r="AJ4391">
        <v>74.149155496625497</v>
      </c>
      <c r="AK4391">
        <v>10.483866150785</v>
      </c>
      <c r="AL4391">
        <v>89.424607809640193</v>
      </c>
      <c r="AM4391">
        <v>84.928441551552595</v>
      </c>
      <c r="AN4391">
        <v>1.0000000584750699</v>
      </c>
    </row>
    <row r="4392" spans="1:40" x14ac:dyDescent="0.25">
      <c r="A4392" t="str">
        <f>"20190312154342464"</f>
        <v>20190312154342464</v>
      </c>
      <c r="B4392" t="str">
        <f>"1552376622451573"</f>
        <v>1552376622451573</v>
      </c>
      <c r="C4392" t="s">
        <v>40</v>
      </c>
      <c r="D4392">
        <v>5.6029929999999997</v>
      </c>
      <c r="E4392">
        <v>0.56975369999999903</v>
      </c>
      <c r="F4392" t="s">
        <v>43</v>
      </c>
      <c r="G4392">
        <v>-195.125</v>
      </c>
      <c r="H4392" s="1">
        <v>-3.3449590000000001E-6</v>
      </c>
      <c r="I4392">
        <v>163.78309999999999</v>
      </c>
      <c r="J4392">
        <v>-192.8329</v>
      </c>
      <c r="K4392">
        <v>1.111294</v>
      </c>
      <c r="L4392">
        <v>174.11009999999999</v>
      </c>
      <c r="M4392">
        <v>6.0041440000000001E-2</v>
      </c>
      <c r="N4392">
        <v>0</v>
      </c>
      <c r="O4392">
        <v>-0.99810560000000004</v>
      </c>
      <c r="P4392">
        <v>-2.9209160000000001E-2</v>
      </c>
      <c r="Q4392">
        <v>-3.1558950000000001E-3</v>
      </c>
      <c r="R4392">
        <v>-0.99956860000000003</v>
      </c>
      <c r="S4392">
        <v>-0.64004519999999998</v>
      </c>
      <c r="T4392">
        <v>-0.31267879999999998</v>
      </c>
      <c r="U4392">
        <v>-2.9811709999999998</v>
      </c>
      <c r="V4392">
        <v>8.915257E-2</v>
      </c>
      <c r="W4392">
        <v>1.0455239999999999E-2</v>
      </c>
      <c r="X4392">
        <v>0.99596309999999999</v>
      </c>
      <c r="Y4392">
        <v>0.26716200000000001</v>
      </c>
      <c r="Z4392">
        <v>0.100994</v>
      </c>
      <c r="AA4392">
        <v>0.9583448</v>
      </c>
      <c r="AB4392">
        <v>27</v>
      </c>
      <c r="AC4392">
        <v>-2.2921</v>
      </c>
      <c r="AD4392">
        <v>-1.111297344959</v>
      </c>
      <c r="AE4392">
        <v>-10.3269999999999</v>
      </c>
      <c r="AF4392">
        <v>2.8763235841638002</v>
      </c>
      <c r="AG4392">
        <v>-1.111297344959</v>
      </c>
      <c r="AH4392">
        <v>10.0597090551964</v>
      </c>
      <c r="AI4392">
        <v>96.062868986014195</v>
      </c>
      <c r="AJ4392">
        <v>74.043436153800897</v>
      </c>
      <c r="AK4392">
        <v>10.521690236123201</v>
      </c>
      <c r="AL4392">
        <v>89.4009479567395</v>
      </c>
      <c r="AM4392">
        <v>84.884862697284703</v>
      </c>
      <c r="AN4392">
        <v>0.99999999467133605</v>
      </c>
    </row>
    <row r="4393" spans="1:40" x14ac:dyDescent="0.25">
      <c r="A4393" t="str">
        <f>"20190312154342476"</f>
        <v>20190312154342476</v>
      </c>
      <c r="B4393" t="str">
        <f>"1552376622472071"</f>
        <v>1552376622472071</v>
      </c>
      <c r="C4393" t="s">
        <v>40</v>
      </c>
      <c r="D4393">
        <v>5.5848319999999996</v>
      </c>
      <c r="E4393">
        <v>0.56941640000000004</v>
      </c>
      <c r="F4393" t="s">
        <v>43</v>
      </c>
      <c r="G4393">
        <v>-195.04429999999999</v>
      </c>
      <c r="H4393" s="1">
        <v>-3.323252E-6</v>
      </c>
      <c r="I4393">
        <v>163.7826</v>
      </c>
      <c r="J4393">
        <v>-192.8228</v>
      </c>
      <c r="K4393">
        <v>1.1112959999999901</v>
      </c>
      <c r="L4393">
        <v>173.95650000000001</v>
      </c>
      <c r="M4393">
        <v>6.0810210000000003E-2</v>
      </c>
      <c r="N4393">
        <v>0</v>
      </c>
      <c r="O4393">
        <v>-0.99805889999999997</v>
      </c>
      <c r="P4393">
        <v>-2.8240919999999999E-2</v>
      </c>
      <c r="Q4393">
        <v>-2.9426669999999999E-3</v>
      </c>
      <c r="R4393">
        <v>-0.99959679999999995</v>
      </c>
      <c r="S4393">
        <v>-0.63844299999999998</v>
      </c>
      <c r="T4393">
        <v>-0.32083640000000002</v>
      </c>
      <c r="U4393">
        <v>-2.9816129999999998</v>
      </c>
      <c r="V4393">
        <v>8.8954519999999995E-2</v>
      </c>
      <c r="W4393">
        <v>1.066742E-2</v>
      </c>
      <c r="X4393">
        <v>0.99597849999999999</v>
      </c>
      <c r="Y4393">
        <v>0.26732610000000001</v>
      </c>
      <c r="Z4393">
        <v>0.1035807</v>
      </c>
      <c r="AA4393">
        <v>0.95802279999999995</v>
      </c>
      <c r="AB4393">
        <v>27</v>
      </c>
      <c r="AC4393">
        <v>-2.22149999999999</v>
      </c>
      <c r="AD4393">
        <v>-1.1112993232520001</v>
      </c>
      <c r="AE4393">
        <v>-10.1739</v>
      </c>
      <c r="AF4393">
        <v>2.8041859402379901</v>
      </c>
      <c r="AG4393">
        <v>-1.1112993232520001</v>
      </c>
      <c r="AH4393">
        <v>9.9071405482658896</v>
      </c>
      <c r="AI4393">
        <v>96.160164433082898</v>
      </c>
      <c r="AJ4393">
        <v>74.195996261193699</v>
      </c>
      <c r="AK4393">
        <v>10.356151737802101</v>
      </c>
      <c r="AL4393">
        <v>89.388790224516399</v>
      </c>
      <c r="AM4393">
        <v>84.896244252701507</v>
      </c>
      <c r="AN4393">
        <v>0.99999993647006602</v>
      </c>
    </row>
    <row r="4394" spans="1:40" x14ac:dyDescent="0.25">
      <c r="A4394" t="str">
        <f>"20190312154342498"</f>
        <v>20190312154342498</v>
      </c>
      <c r="B4394" t="str">
        <f>"1552376622491591"</f>
        <v>1552376622491591</v>
      </c>
      <c r="C4394" t="s">
        <v>40</v>
      </c>
      <c r="D4394">
        <v>5.4998040000000001</v>
      </c>
      <c r="E4394">
        <v>0.5695363</v>
      </c>
      <c r="F4394" t="s">
        <v>43</v>
      </c>
      <c r="G4394">
        <v>-194.90639999999999</v>
      </c>
      <c r="H4394" s="1">
        <v>-3.4513520000000001E-6</v>
      </c>
      <c r="I4394">
        <v>164.13120000000001</v>
      </c>
      <c r="J4394">
        <v>-192.80529999999999</v>
      </c>
      <c r="K4394">
        <v>1.1112930000000001</v>
      </c>
      <c r="L4394">
        <v>173.69319999999999</v>
      </c>
      <c r="M4394">
        <v>6.212761E-2</v>
      </c>
      <c r="N4394">
        <v>0</v>
      </c>
      <c r="O4394">
        <v>-0.99797780000000003</v>
      </c>
      <c r="P4394">
        <v>-2.7228530000000001E-2</v>
      </c>
      <c r="Q4394">
        <v>-2.6207980000000001E-3</v>
      </c>
      <c r="R4394">
        <v>-0.99962620000000002</v>
      </c>
      <c r="S4394">
        <v>-0.63243099999999997</v>
      </c>
      <c r="T4394">
        <v>-0.33732250000000003</v>
      </c>
      <c r="U4394">
        <v>-2.982361</v>
      </c>
      <c r="V4394">
        <v>8.9259839999999993E-2</v>
      </c>
      <c r="W4394">
        <v>1.098736E-2</v>
      </c>
      <c r="X4394">
        <v>0.99594780000000005</v>
      </c>
      <c r="Y4394">
        <v>0.26658369999999998</v>
      </c>
      <c r="Z4394">
        <v>0.1088327</v>
      </c>
      <c r="AA4394">
        <v>0.95764740000000004</v>
      </c>
      <c r="AB4394">
        <v>27</v>
      </c>
      <c r="AC4394">
        <v>-2.1011000000000002</v>
      </c>
      <c r="AD4394">
        <v>-1.1112964513519901</v>
      </c>
      <c r="AE4394">
        <v>-9.5619999999999798</v>
      </c>
      <c r="AF4394">
        <v>2.6569238006101599</v>
      </c>
      <c r="AG4394">
        <v>-1.1112964513519901</v>
      </c>
      <c r="AH4394">
        <v>9.2932336924389496</v>
      </c>
      <c r="AI4394">
        <v>96.558761589670695</v>
      </c>
      <c r="AJ4394">
        <v>74.044833756886803</v>
      </c>
      <c r="AK4394">
        <v>9.7292556933878007</v>
      </c>
      <c r="AL4394">
        <v>89.370457996312894</v>
      </c>
      <c r="AM4394">
        <v>84.878662523890995</v>
      </c>
      <c r="AN4394">
        <v>1.00000003072071</v>
      </c>
    </row>
    <row r="4395" spans="1:40" x14ac:dyDescent="0.25">
      <c r="A4395" t="str">
        <f>"20190312154342520"</f>
        <v>20190312154342520</v>
      </c>
      <c r="B4395" t="str">
        <f>"1552376622512086"</f>
        <v>1552376622512086</v>
      </c>
      <c r="C4395" t="s">
        <v>40</v>
      </c>
      <c r="D4395">
        <v>5.4404859999999999</v>
      </c>
      <c r="E4395">
        <v>0.569994</v>
      </c>
      <c r="F4395" t="s">
        <v>43</v>
      </c>
      <c r="G4395">
        <v>-194.84729999999999</v>
      </c>
      <c r="H4395" s="1">
        <v>-3.3886780000000001E-6</v>
      </c>
      <c r="I4395">
        <v>164.03190000000001</v>
      </c>
      <c r="J4395">
        <v>-192.7868</v>
      </c>
      <c r="K4395">
        <v>1.111291</v>
      </c>
      <c r="L4395">
        <v>173.4213</v>
      </c>
      <c r="M4395">
        <v>6.3487050000000003E-2</v>
      </c>
      <c r="N4395">
        <v>0</v>
      </c>
      <c r="O4395">
        <v>-0.99789229999999995</v>
      </c>
      <c r="P4395">
        <v>-2.5637920000000002E-2</v>
      </c>
      <c r="Q4395">
        <v>-2.595506E-3</v>
      </c>
      <c r="R4395">
        <v>-0.99966790000000005</v>
      </c>
      <c r="S4395">
        <v>-0.63047790000000004</v>
      </c>
      <c r="T4395">
        <v>-0.34312569999999998</v>
      </c>
      <c r="U4395">
        <v>-2.9830320000000001</v>
      </c>
      <c r="V4395">
        <v>8.9031819999999998E-2</v>
      </c>
      <c r="W4395">
        <v>1.1010249999999999E-2</v>
      </c>
      <c r="X4395">
        <v>0.99596790000000002</v>
      </c>
      <c r="Y4395">
        <v>0.26721040000000001</v>
      </c>
      <c r="Z4395">
        <v>0.11064010000000001</v>
      </c>
      <c r="AA4395">
        <v>0.95726560000000005</v>
      </c>
      <c r="AB4395">
        <v>27</v>
      </c>
      <c r="AC4395">
        <v>-2.06049999999999</v>
      </c>
      <c r="AD4395">
        <v>-1.111294388678</v>
      </c>
      <c r="AE4395">
        <v>-9.3893999999999895</v>
      </c>
      <c r="AF4395">
        <v>2.6175195098507</v>
      </c>
      <c r="AG4395">
        <v>-1.111294388678</v>
      </c>
      <c r="AH4395">
        <v>9.1177727979142809</v>
      </c>
      <c r="AI4395">
        <v>96.681764609191603</v>
      </c>
      <c r="AJ4395">
        <v>73.982348344805601</v>
      </c>
      <c r="AK4395">
        <v>9.5509247927696492</v>
      </c>
      <c r="AL4395">
        <v>89.369146380969099</v>
      </c>
      <c r="AM4395">
        <v>84.891778549639099</v>
      </c>
      <c r="AN4395">
        <v>0.999999974203992</v>
      </c>
    </row>
    <row r="4396" spans="1:40" x14ac:dyDescent="0.25">
      <c r="A4396" t="str">
        <f>"20190312154342542"</f>
        <v>20190312154342542</v>
      </c>
      <c r="B4396" t="str">
        <f>"1552376622531605"</f>
        <v>1552376622531605</v>
      </c>
      <c r="C4396" t="s">
        <v>40</v>
      </c>
      <c r="D4396">
        <v>5.545604</v>
      </c>
      <c r="E4396">
        <v>0.57006069999999998</v>
      </c>
      <c r="F4396" t="s">
        <v>43</v>
      </c>
      <c r="G4396">
        <v>-194.82560000000001</v>
      </c>
      <c r="H4396" s="1">
        <v>-3.2518430000000001E-6</v>
      </c>
      <c r="I4396">
        <v>163.75460000000001</v>
      </c>
      <c r="J4396">
        <v>-192.76859999999999</v>
      </c>
      <c r="K4396">
        <v>1.1112879999999901</v>
      </c>
      <c r="L4396">
        <v>173.1574</v>
      </c>
      <c r="M4396">
        <v>6.4804429999999996E-2</v>
      </c>
      <c r="N4396">
        <v>0</v>
      </c>
      <c r="O4396">
        <v>-0.99780740000000001</v>
      </c>
      <c r="P4396">
        <v>-2.4250339999999999E-2</v>
      </c>
      <c r="Q4396">
        <v>-2.391935E-3</v>
      </c>
      <c r="R4396">
        <v>-0.99970300000000001</v>
      </c>
      <c r="S4396">
        <v>-0.62934880000000004</v>
      </c>
      <c r="T4396">
        <v>-0.34304010000000001</v>
      </c>
      <c r="U4396">
        <v>-2.9839630000000001</v>
      </c>
      <c r="V4396">
        <v>8.8963929999999997E-2</v>
      </c>
      <c r="W4396">
        <v>1.121194E-2</v>
      </c>
      <c r="X4396">
        <v>0.99597170000000002</v>
      </c>
      <c r="Y4396">
        <v>0.2680765</v>
      </c>
      <c r="Z4396">
        <v>0.11055570000000001</v>
      </c>
      <c r="AA4396">
        <v>0.95703320000000003</v>
      </c>
      <c r="AB4396">
        <v>27</v>
      </c>
      <c r="AC4396">
        <v>-2.0570000000000102</v>
      </c>
      <c r="AD4396">
        <v>-1.11129125184299</v>
      </c>
      <c r="AE4396">
        <v>-9.4027999999999796</v>
      </c>
      <c r="AF4396">
        <v>2.6270542053729899</v>
      </c>
      <c r="AG4396">
        <v>-1.11129125184299</v>
      </c>
      <c r="AH4396">
        <v>9.1280376058111194</v>
      </c>
      <c r="AI4396">
        <v>96.673032614672707</v>
      </c>
      <c r="AJ4396">
        <v>73.944152630822103</v>
      </c>
      <c r="AK4396">
        <v>9.5633389868545802</v>
      </c>
      <c r="AL4396">
        <v>89.357589670959399</v>
      </c>
      <c r="AM4396">
        <v>84.895672541411699</v>
      </c>
      <c r="AN4396">
        <v>0.99999995782024798</v>
      </c>
    </row>
    <row r="4397" spans="1:40" x14ac:dyDescent="0.25">
      <c r="A4397" t="str">
        <f>"20190312154342563"</f>
        <v>20190312154342563</v>
      </c>
      <c r="B4397" t="str">
        <f>"1552376622552105"</f>
        <v>1552376622552105</v>
      </c>
      <c r="C4397" t="s">
        <v>40</v>
      </c>
      <c r="D4397">
        <v>5.4785709999999996</v>
      </c>
      <c r="E4397">
        <v>0.57040970000000002</v>
      </c>
      <c r="F4397" t="s">
        <v>43</v>
      </c>
      <c r="G4397">
        <v>-194.76490000000001</v>
      </c>
      <c r="H4397" s="1">
        <v>-3.1794750000000002E-6</v>
      </c>
      <c r="I4397">
        <v>163.63570000000001</v>
      </c>
      <c r="J4397">
        <v>-192.75</v>
      </c>
      <c r="K4397">
        <v>1.111291</v>
      </c>
      <c r="L4397">
        <v>172.8947</v>
      </c>
      <c r="M4397">
        <v>6.6113199999999997E-2</v>
      </c>
      <c r="N4397">
        <v>0</v>
      </c>
      <c r="O4397">
        <v>-0.99772169999999905</v>
      </c>
      <c r="P4397">
        <v>-2.290913E-2</v>
      </c>
      <c r="Q4397">
        <v>-1.803551E-3</v>
      </c>
      <c r="R4397">
        <v>-0.99973599999999996</v>
      </c>
      <c r="S4397">
        <v>-0.6258087</v>
      </c>
      <c r="T4397">
        <v>-0.34837030000000002</v>
      </c>
      <c r="U4397">
        <v>-2.9848789999999998</v>
      </c>
      <c r="V4397">
        <v>8.8932960000000005E-2</v>
      </c>
      <c r="W4397">
        <v>1.1797459999999999E-2</v>
      </c>
      <c r="X4397">
        <v>0.99596770000000001</v>
      </c>
      <c r="Y4397">
        <v>0.26815470000000002</v>
      </c>
      <c r="Z4397">
        <v>0.1122151</v>
      </c>
      <c r="AA4397">
        <v>0.95681799999999995</v>
      </c>
      <c r="AB4397">
        <v>27</v>
      </c>
      <c r="AC4397">
        <v>-2.0149000000000101</v>
      </c>
      <c r="AD4397">
        <v>-1.111294179475</v>
      </c>
      <c r="AE4397">
        <v>-9.2589999999999808</v>
      </c>
      <c r="AF4397">
        <v>2.58710465893222</v>
      </c>
      <c r="AG4397">
        <v>-1.111294179475</v>
      </c>
      <c r="AH4397">
        <v>8.9819754258674696</v>
      </c>
      <c r="AI4397">
        <v>96.780147769340402</v>
      </c>
      <c r="AJ4397">
        <v>73.9318574751277</v>
      </c>
      <c r="AK4397">
        <v>9.4129680664756794</v>
      </c>
      <c r="AL4397">
        <v>89.324039622251107</v>
      </c>
      <c r="AM4397">
        <v>84.897419686204699</v>
      </c>
      <c r="AN4397">
        <v>0.99999995544005005</v>
      </c>
    </row>
    <row r="4398" spans="1:40" x14ac:dyDescent="0.25">
      <c r="A4398" t="str">
        <f>"20190312154342586"</f>
        <v>20190312154342586</v>
      </c>
      <c r="B4398" t="str">
        <f>"1552376622571622"</f>
        <v>1552376622571622</v>
      </c>
      <c r="C4398" t="s">
        <v>40</v>
      </c>
      <c r="D4398">
        <v>5.4629750000000001</v>
      </c>
      <c r="E4398">
        <v>0.57069950000000003</v>
      </c>
      <c r="F4398" t="s">
        <v>43</v>
      </c>
      <c r="G4398">
        <v>-194.75219999999999</v>
      </c>
      <c r="H4398" s="1">
        <v>-3.0283400000000001E-6</v>
      </c>
      <c r="I4398">
        <v>163.32310000000001</v>
      </c>
      <c r="J4398">
        <v>-192.73070000000001</v>
      </c>
      <c r="K4398">
        <v>1.1113</v>
      </c>
      <c r="L4398">
        <v>172.62639999999999</v>
      </c>
      <c r="M4398">
        <v>6.7444820000000003E-2</v>
      </c>
      <c r="N4398">
        <v>0</v>
      </c>
      <c r="O4398">
        <v>-0.99763259999999998</v>
      </c>
      <c r="P4398">
        <v>-2.0844580000000001E-2</v>
      </c>
      <c r="Q4398">
        <v>5.7933949999999996E-4</v>
      </c>
      <c r="R4398">
        <v>-0.99978259999999997</v>
      </c>
      <c r="S4398">
        <v>-0.62457280000000004</v>
      </c>
      <c r="T4398">
        <v>-0.34667229999999999</v>
      </c>
      <c r="U4398">
        <v>-2.9858699999999998</v>
      </c>
      <c r="V4398">
        <v>8.8200109999999998E-2</v>
      </c>
      <c r="W4398">
        <v>1.4176670000000001E-2</v>
      </c>
      <c r="X4398">
        <v>0.9960019</v>
      </c>
      <c r="Y4398">
        <v>0.26901029999999998</v>
      </c>
      <c r="Z4398">
        <v>0.1116152</v>
      </c>
      <c r="AA4398">
        <v>0.9566481</v>
      </c>
      <c r="AB4398">
        <v>27</v>
      </c>
      <c r="AC4398">
        <v>-2.0214999999999699</v>
      </c>
      <c r="AD4398">
        <v>-1.1113030283399901</v>
      </c>
      <c r="AE4398">
        <v>-9.3032999999999806</v>
      </c>
      <c r="AF4398">
        <v>2.60886489153236</v>
      </c>
      <c r="AG4398">
        <v>-1.1113030283399901</v>
      </c>
      <c r="AH4398">
        <v>9.0228193540636497</v>
      </c>
      <c r="AI4398">
        <v>96.747819489966304</v>
      </c>
      <c r="AJ4398">
        <v>73.873262845961094</v>
      </c>
      <c r="AK4398">
        <v>9.4579299817208096</v>
      </c>
      <c r="AL4398">
        <v>89.187709440157704</v>
      </c>
      <c r="AM4398">
        <v>84.939420999377901</v>
      </c>
      <c r="AN4398">
        <v>1.0000000110899501</v>
      </c>
    </row>
    <row r="4399" spans="1:40" x14ac:dyDescent="0.25">
      <c r="A4399" t="str">
        <f>"20190312154342610"</f>
        <v>20190312154342610</v>
      </c>
      <c r="B4399" t="str">
        <f>"1552376622601878"</f>
        <v>1552376622601878</v>
      </c>
      <c r="C4399" t="s">
        <v>40</v>
      </c>
      <c r="D4399">
        <v>5.436966</v>
      </c>
      <c r="E4399">
        <v>0.57109840000000001</v>
      </c>
      <c r="F4399" t="s">
        <v>43</v>
      </c>
      <c r="G4399">
        <v>-194.7653</v>
      </c>
      <c r="H4399" s="1">
        <v>-2.7999769999999999E-6</v>
      </c>
      <c r="I4399">
        <v>162.83260000000001</v>
      </c>
      <c r="J4399">
        <v>-192.71039999999999</v>
      </c>
      <c r="K4399">
        <v>1.1113040000000001</v>
      </c>
      <c r="L4399">
        <v>172.3484</v>
      </c>
      <c r="M4399">
        <v>6.881408E-2</v>
      </c>
      <c r="N4399">
        <v>0</v>
      </c>
      <c r="O4399">
        <v>-0.99753919999999996</v>
      </c>
      <c r="P4399">
        <v>-1.8799590000000001E-2</v>
      </c>
      <c r="Q4399">
        <v>1.7265290000000001E-3</v>
      </c>
      <c r="R4399">
        <v>-0.99982199999999999</v>
      </c>
      <c r="S4399">
        <v>-0.62072749999999999</v>
      </c>
      <c r="T4399">
        <v>-0.33903840000000002</v>
      </c>
      <c r="U4399">
        <v>-2.9878999999999998</v>
      </c>
      <c r="V4399">
        <v>8.7527419999999995E-2</v>
      </c>
      <c r="W4399">
        <v>1.531953E-2</v>
      </c>
      <c r="X4399">
        <v>0.99604429999999999</v>
      </c>
      <c r="Y4399">
        <v>0.26907829999999999</v>
      </c>
      <c r="Z4399">
        <v>0.109114</v>
      </c>
      <c r="AA4399">
        <v>0.95691749999999998</v>
      </c>
      <c r="AB4399">
        <v>27</v>
      </c>
      <c r="AC4399">
        <v>-2.0548999999999999</v>
      </c>
      <c r="AD4399">
        <v>-1.1113067999770001</v>
      </c>
      <c r="AE4399">
        <v>-9.5157999999999792</v>
      </c>
      <c r="AF4399">
        <v>2.6701133331395002</v>
      </c>
      <c r="AG4399">
        <v>-1.1113067999770001</v>
      </c>
      <c r="AH4399">
        <v>9.2315225162167796</v>
      </c>
      <c r="AI4399">
        <v>96.596478270133304</v>
      </c>
      <c r="AJ4399">
        <v>73.868086012656903</v>
      </c>
      <c r="AK4399">
        <v>9.6739607184907292</v>
      </c>
      <c r="AL4399">
        <v>89.122221243903894</v>
      </c>
      <c r="AM4399">
        <v>84.978031883001506</v>
      </c>
      <c r="AN4399">
        <v>0.99999999240688298</v>
      </c>
    </row>
    <row r="4400" spans="1:40" x14ac:dyDescent="0.25">
      <c r="A4400" t="str">
        <f>"20190312154342632"</f>
        <v>20190312154342632</v>
      </c>
      <c r="B4400" t="str">
        <f>"1552376622622374"</f>
        <v>1552376622622374</v>
      </c>
      <c r="C4400" t="s">
        <v>40</v>
      </c>
      <c r="D4400">
        <v>5.454053</v>
      </c>
      <c r="E4400">
        <v>0.57075569999999998</v>
      </c>
      <c r="F4400" t="s">
        <v>43</v>
      </c>
      <c r="G4400">
        <v>-194.75540000000001</v>
      </c>
      <c r="H4400" s="1">
        <v>-2.6217600000000002E-6</v>
      </c>
      <c r="I4400">
        <v>162.46119999999999</v>
      </c>
      <c r="J4400">
        <v>-192.69030000000001</v>
      </c>
      <c r="K4400">
        <v>1.111302</v>
      </c>
      <c r="L4400">
        <v>172.07980000000001</v>
      </c>
      <c r="M4400">
        <v>7.0122399999999904E-2</v>
      </c>
      <c r="N4400">
        <v>0</v>
      </c>
      <c r="O4400">
        <v>-0.99744809999999995</v>
      </c>
      <c r="P4400">
        <v>-1.64189E-2</v>
      </c>
      <c r="Q4400">
        <v>1.785926E-3</v>
      </c>
      <c r="R4400">
        <v>-0.99986399999999998</v>
      </c>
      <c r="S4400">
        <v>-0.61831669999999905</v>
      </c>
      <c r="T4400">
        <v>-0.33601150000000002</v>
      </c>
      <c r="U4400">
        <v>-2.989471</v>
      </c>
      <c r="V4400">
        <v>8.6462300000000006E-2</v>
      </c>
      <c r="W4400">
        <v>1.5373410000000001E-2</v>
      </c>
      <c r="X4400">
        <v>0.99613649999999998</v>
      </c>
      <c r="Y4400">
        <v>0.26952369999999998</v>
      </c>
      <c r="Z4400">
        <v>0.108083399999999</v>
      </c>
      <c r="AA4400">
        <v>0.95690909999999996</v>
      </c>
      <c r="AB4400">
        <v>27</v>
      </c>
      <c r="AC4400">
        <v>-2.0651000000000002</v>
      </c>
      <c r="AD4400">
        <v>-1.11130462176</v>
      </c>
      <c r="AE4400">
        <v>-9.6186000000000096</v>
      </c>
      <c r="AF4400">
        <v>2.7001007832036099</v>
      </c>
      <c r="AG4400">
        <v>-1.11130462176</v>
      </c>
      <c r="AH4400">
        <v>9.33102620314585</v>
      </c>
      <c r="AI4400">
        <v>96.526509138311596</v>
      </c>
      <c r="AJ4400">
        <v>73.861246240567894</v>
      </c>
      <c r="AK4400">
        <v>9.7771975640055597</v>
      </c>
      <c r="AL4400">
        <v>89.119133789359196</v>
      </c>
      <c r="AM4400">
        <v>85.039294178584299</v>
      </c>
      <c r="AN4400">
        <v>0.99999999884428403</v>
      </c>
    </row>
    <row r="4401" spans="1:40" x14ac:dyDescent="0.25">
      <c r="A4401" t="str">
        <f>"20190312154342653"</f>
        <v>20190312154342653</v>
      </c>
      <c r="B4401" t="str">
        <f>"1552376622641894"</f>
        <v>1552376622641894</v>
      </c>
      <c r="C4401" t="s">
        <v>40</v>
      </c>
      <c r="D4401">
        <v>5.2139889999999998</v>
      </c>
      <c r="E4401">
        <v>0.49316840000000001</v>
      </c>
      <c r="F4401" t="s">
        <v>43</v>
      </c>
      <c r="G4401">
        <v>-194.72819999999999</v>
      </c>
      <c r="H4401" s="1">
        <v>-2.4273809999999999E-6</v>
      </c>
      <c r="I4401">
        <v>162.06530000000001</v>
      </c>
      <c r="J4401">
        <v>-192.67060000000001</v>
      </c>
      <c r="K4401">
        <v>1.1112869999999999</v>
      </c>
      <c r="L4401">
        <v>171.81970000000001</v>
      </c>
      <c r="M4401">
        <v>7.1375460000000002E-2</v>
      </c>
      <c r="N4401">
        <v>0</v>
      </c>
      <c r="O4401">
        <v>-0.99735910000000005</v>
      </c>
      <c r="P4401">
        <v>-1.5121809999999999E-2</v>
      </c>
      <c r="Q4401">
        <v>2.168494E-3</v>
      </c>
      <c r="R4401">
        <v>-0.99988359999999998</v>
      </c>
      <c r="S4401">
        <v>-0.60864259999999903</v>
      </c>
      <c r="T4401">
        <v>-0.33190940000000002</v>
      </c>
      <c r="U4401">
        <v>-2.9910130000000001</v>
      </c>
      <c r="V4401">
        <v>8.6421070000000003E-2</v>
      </c>
      <c r="W4401">
        <v>1.575149E-2</v>
      </c>
      <c r="X4401">
        <v>0.99613419999999997</v>
      </c>
      <c r="Y4401">
        <v>0.26769310000000002</v>
      </c>
      <c r="Z4401">
        <v>0.1067738</v>
      </c>
      <c r="AA4401">
        <v>0.95756969999999997</v>
      </c>
      <c r="AB4401">
        <v>27</v>
      </c>
      <c r="AC4401">
        <v>-2.0575999999999701</v>
      </c>
      <c r="AD4401">
        <v>-1.1112894273809999</v>
      </c>
      <c r="AE4401">
        <v>-9.7544000000000004</v>
      </c>
      <c r="AF4401">
        <v>2.7149022178901498</v>
      </c>
      <c r="AG4401">
        <v>-1.1112894273809999</v>
      </c>
      <c r="AH4401">
        <v>9.4650252066674199</v>
      </c>
      <c r="AI4401">
        <v>96.439105566963704</v>
      </c>
      <c r="AJ4401">
        <v>73.995246114991104</v>
      </c>
      <c r="AK4401">
        <v>9.9092058413862496</v>
      </c>
      <c r="AL4401">
        <v>89.097468803153902</v>
      </c>
      <c r="AM4401">
        <v>85.041636530097307</v>
      </c>
      <c r="AN4401">
        <v>1.0000000275934</v>
      </c>
    </row>
    <row r="4402" spans="1:40" x14ac:dyDescent="0.25">
      <c r="A4402" t="str">
        <f>"20190312154342676"</f>
        <v>20190312154342676</v>
      </c>
      <c r="B4402" t="str">
        <f>"1552376622661415"</f>
        <v>1552376622661415</v>
      </c>
      <c r="C4402" t="s">
        <v>40</v>
      </c>
      <c r="D4402">
        <v>5.2979180000000001</v>
      </c>
      <c r="E4402">
        <v>0.48440810000000001</v>
      </c>
      <c r="F4402" t="s">
        <v>69</v>
      </c>
      <c r="G4402">
        <v>-192.59909999999999</v>
      </c>
      <c r="H4402" s="1">
        <v>-1.279195E-5</v>
      </c>
      <c r="I4402">
        <v>153.524</v>
      </c>
      <c r="J4402">
        <v>-192.65010000000001</v>
      </c>
      <c r="K4402">
        <v>1.111278</v>
      </c>
      <c r="L4402">
        <v>171.55369999999999</v>
      </c>
      <c r="M4402">
        <v>7.2634180000000007E-2</v>
      </c>
      <c r="N4402">
        <v>0</v>
      </c>
      <c r="O4402">
        <v>-0.9972683</v>
      </c>
      <c r="P4402">
        <v>-1.37187E-2</v>
      </c>
      <c r="Q4402">
        <v>3.1563720000000002E-3</v>
      </c>
      <c r="R4402">
        <v>-0.99990089999999998</v>
      </c>
      <c r="S4402">
        <v>1.171875E-2</v>
      </c>
      <c r="T4402">
        <v>-0.1822801</v>
      </c>
      <c r="U4402">
        <v>-3.000931</v>
      </c>
      <c r="V4402">
        <v>8.6278670000000002E-2</v>
      </c>
      <c r="W4402">
        <v>1.6733640000000001E-2</v>
      </c>
      <c r="X4402">
        <v>0.99613050000000003</v>
      </c>
      <c r="Y4402">
        <v>6.8752460000000001E-2</v>
      </c>
      <c r="Z4402">
        <v>6.0317379999999997E-2</v>
      </c>
      <c r="AA4402">
        <v>0.99580869999999999</v>
      </c>
      <c r="AB4402">
        <v>27</v>
      </c>
      <c r="AC4402">
        <v>5.1000000000016102E-2</v>
      </c>
      <c r="AD4402">
        <v>-1.1112907919499999</v>
      </c>
      <c r="AE4402">
        <v>-18.029699999999899</v>
      </c>
      <c r="AF4402">
        <v>1.2540609859387799</v>
      </c>
      <c r="AG4402">
        <v>-1.1112907919499999</v>
      </c>
      <c r="AH4402">
        <v>17.917703084686099</v>
      </c>
      <c r="AI4402">
        <v>93.540410761074497</v>
      </c>
      <c r="AJ4402">
        <v>85.9963942100689</v>
      </c>
      <c r="AK4402">
        <v>17.995880640071299</v>
      </c>
      <c r="AL4402">
        <v>89.041188300048404</v>
      </c>
      <c r="AM4402">
        <v>85.0497477292474</v>
      </c>
      <c r="AN4402">
        <v>0.99999999831743402</v>
      </c>
    </row>
    <row r="4403" spans="1:40" x14ac:dyDescent="0.25">
      <c r="A4403" t="str">
        <f>"20190312154342699"</f>
        <v>20190312154342699</v>
      </c>
      <c r="B4403" t="str">
        <f>"1552376622691671"</f>
        <v>1552376622691671</v>
      </c>
      <c r="C4403" t="s">
        <v>40</v>
      </c>
      <c r="D4403">
        <v>5.223077</v>
      </c>
      <c r="E4403">
        <v>0.48067500000000002</v>
      </c>
      <c r="F4403" t="s">
        <v>69</v>
      </c>
      <c r="G4403">
        <v>-192.09350000000001</v>
      </c>
      <c r="H4403" s="1">
        <v>-1.21048E-5</v>
      </c>
      <c r="I4403">
        <v>152.0369</v>
      </c>
      <c r="J4403">
        <v>-192.6283</v>
      </c>
      <c r="K4403">
        <v>1.1112660000000001</v>
      </c>
      <c r="L4403">
        <v>171.27539999999999</v>
      </c>
      <c r="M4403">
        <v>7.3912199999999997E-2</v>
      </c>
      <c r="N4403">
        <v>0</v>
      </c>
      <c r="O4403">
        <v>-0.99717429999999996</v>
      </c>
      <c r="P4403">
        <v>-1.292571E-2</v>
      </c>
      <c r="Q4403">
        <v>4.4869489999999996E-3</v>
      </c>
      <c r="R4403">
        <v>-0.99990650000000003</v>
      </c>
      <c r="S4403">
        <v>8.5617070000000003E-2</v>
      </c>
      <c r="T4403">
        <v>-0.1709359</v>
      </c>
      <c r="U4403">
        <v>-3.0020289999999998</v>
      </c>
      <c r="V4403">
        <v>8.6763140000000002E-2</v>
      </c>
      <c r="W4403">
        <v>1.805762E-2</v>
      </c>
      <c r="X4403">
        <v>0.99606530000000004</v>
      </c>
      <c r="Y4403">
        <v>4.5504389999999999E-2</v>
      </c>
      <c r="Z4403">
        <v>5.6574100000000002E-2</v>
      </c>
      <c r="AA4403">
        <v>0.99736089999999999</v>
      </c>
      <c r="AB4403">
        <v>27</v>
      </c>
      <c r="AC4403">
        <v>0.53479999999998995</v>
      </c>
      <c r="AD4403">
        <v>-1.1112781048</v>
      </c>
      <c r="AE4403">
        <v>-19.238499999999899</v>
      </c>
      <c r="AF4403">
        <v>0.88579794979110005</v>
      </c>
      <c r="AG4403">
        <v>-1.1112781048</v>
      </c>
      <c r="AH4403">
        <v>19.161515453296801</v>
      </c>
      <c r="AI4403">
        <v>93.315635765249596</v>
      </c>
      <c r="AJ4403">
        <v>87.353216799487996</v>
      </c>
      <c r="AK4403">
        <v>19.214141966296399</v>
      </c>
      <c r="AL4403">
        <v>88.9653183506788</v>
      </c>
      <c r="AM4403">
        <v>85.021766262127997</v>
      </c>
      <c r="AN4403">
        <v>1.0000000009834</v>
      </c>
    </row>
    <row r="4404" spans="1:40" x14ac:dyDescent="0.25">
      <c r="A4404" t="str">
        <f>"20190312154342721"</f>
        <v>20190312154342721</v>
      </c>
      <c r="B4404" t="str">
        <f>"1552376622712166"</f>
        <v>1552376622712166</v>
      </c>
      <c r="C4404" t="s">
        <v>40</v>
      </c>
      <c r="D4404">
        <v>5.2086329999999998</v>
      </c>
      <c r="E4404">
        <v>0.47971249999999999</v>
      </c>
      <c r="F4404" t="s">
        <v>69</v>
      </c>
      <c r="G4404">
        <v>-191.85919999999999</v>
      </c>
      <c r="H4404" s="1">
        <v>-1.1920509999999999E-5</v>
      </c>
      <c r="I4404">
        <v>151.70419999999999</v>
      </c>
      <c r="J4404">
        <v>-192.6069</v>
      </c>
      <c r="K4404">
        <v>1.11124</v>
      </c>
      <c r="L4404">
        <v>171.00540000000001</v>
      </c>
      <c r="M4404">
        <v>7.5093160000000006E-2</v>
      </c>
      <c r="N4404">
        <v>0</v>
      </c>
      <c r="O4404">
        <v>-0.99708620000000003</v>
      </c>
      <c r="P4404">
        <v>-1.298652E-2</v>
      </c>
      <c r="Q4404">
        <v>6.3542769999999898E-3</v>
      </c>
      <c r="R4404">
        <v>-0.9998956</v>
      </c>
      <c r="S4404">
        <v>0.1179962</v>
      </c>
      <c r="T4404">
        <v>-0.17049010000000001</v>
      </c>
      <c r="U4404">
        <v>-3.0025789999999999</v>
      </c>
      <c r="V4404">
        <v>8.8000610000000007E-2</v>
      </c>
      <c r="W4404">
        <v>1.9915039999999998E-2</v>
      </c>
      <c r="X4404">
        <v>0.99592130000000001</v>
      </c>
      <c r="Y4404">
        <v>3.594758E-2</v>
      </c>
      <c r="Z4404">
        <v>5.6410090000000003E-2</v>
      </c>
      <c r="AA4404">
        <v>0.99776039999999999</v>
      </c>
      <c r="AB4404">
        <v>27</v>
      </c>
      <c r="AC4404">
        <v>0.74770000000000802</v>
      </c>
      <c r="AD4404">
        <v>-1.11125192051</v>
      </c>
      <c r="AE4404">
        <v>-19.301200000000001</v>
      </c>
      <c r="AF4404">
        <v>0.70160794902202495</v>
      </c>
      <c r="AG4404">
        <v>-1.11125192051</v>
      </c>
      <c r="AH4404">
        <v>19.239167580421</v>
      </c>
      <c r="AI4404">
        <v>93.303533082875504</v>
      </c>
      <c r="AJ4404">
        <v>87.911480930767596</v>
      </c>
      <c r="AK4404">
        <v>19.284001237619002</v>
      </c>
      <c r="AL4404">
        <v>88.8588767933621</v>
      </c>
      <c r="AM4404">
        <v>84.950401776701298</v>
      </c>
      <c r="AN4404">
        <v>0.999999975986131</v>
      </c>
    </row>
    <row r="4405" spans="1:40" x14ac:dyDescent="0.25">
      <c r="A4405" t="str">
        <f>"20190312154342744"</f>
        <v>20190312154342744</v>
      </c>
      <c r="B4405" t="str">
        <f>"1552376622731686"</f>
        <v>1552376622731686</v>
      </c>
      <c r="C4405" t="s">
        <v>40</v>
      </c>
      <c r="D4405">
        <v>5.1995019999999998</v>
      </c>
      <c r="E4405">
        <v>0.47924050000000001</v>
      </c>
      <c r="F4405" t="s">
        <v>69</v>
      </c>
      <c r="G4405">
        <v>-191.76990000000001</v>
      </c>
      <c r="H4405" s="1">
        <v>-1.1616370000000001E-5</v>
      </c>
      <c r="I4405">
        <v>151.03219999999999</v>
      </c>
      <c r="J4405">
        <v>-192.58529999999999</v>
      </c>
      <c r="K4405">
        <v>1.1111879999999901</v>
      </c>
      <c r="L4405">
        <v>170.7355</v>
      </c>
      <c r="M4405">
        <v>7.6185879999999997E-2</v>
      </c>
      <c r="N4405">
        <v>0</v>
      </c>
      <c r="O4405">
        <v>-0.99700330000000004</v>
      </c>
      <c r="P4405">
        <v>-1.4195309999999999E-2</v>
      </c>
      <c r="Q4405">
        <v>9.3732490000000002E-3</v>
      </c>
      <c r="R4405">
        <v>-0.99985559999999996</v>
      </c>
      <c r="S4405">
        <v>0.12585450000000001</v>
      </c>
      <c r="T4405">
        <v>-0.16707720000000001</v>
      </c>
      <c r="U4405">
        <v>-3.0029910000000002</v>
      </c>
      <c r="V4405">
        <v>9.0291490000000002E-2</v>
      </c>
      <c r="W4405">
        <v>2.291986E-2</v>
      </c>
      <c r="X4405">
        <v>0.99565159999999997</v>
      </c>
      <c r="Y4405">
        <v>3.4438839999999998E-2</v>
      </c>
      <c r="Z4405">
        <v>5.5268459999999998E-2</v>
      </c>
      <c r="AA4405">
        <v>0.99787740000000003</v>
      </c>
      <c r="AB4405">
        <v>27</v>
      </c>
      <c r="AC4405">
        <v>0.81539999999998203</v>
      </c>
      <c r="AD4405">
        <v>-1.11119961636999</v>
      </c>
      <c r="AE4405">
        <v>-19.703299999999999</v>
      </c>
      <c r="AF4405">
        <v>0.68604047077638997</v>
      </c>
      <c r="AG4405">
        <v>-1.11119961636999</v>
      </c>
      <c r="AH4405">
        <v>19.645774085229998</v>
      </c>
      <c r="AI4405">
        <v>93.235333088098301</v>
      </c>
      <c r="AJ4405">
        <v>88.000014790322197</v>
      </c>
      <c r="AK4405">
        <v>19.689130390214199</v>
      </c>
      <c r="AL4405">
        <v>88.6866737397647</v>
      </c>
      <c r="AM4405">
        <v>84.818258502704396</v>
      </c>
      <c r="AN4405">
        <v>0.99999999086569902</v>
      </c>
    </row>
    <row r="4406" spans="1:40" x14ac:dyDescent="0.25">
      <c r="A4406" t="str">
        <f>"20190312154342764"</f>
        <v>20190312154342764</v>
      </c>
      <c r="B4406" t="str">
        <f>"1552376622752182"</f>
        <v>1552376622752182</v>
      </c>
      <c r="C4406" t="s">
        <v>40</v>
      </c>
      <c r="D4406">
        <v>5.2283580000000001</v>
      </c>
      <c r="E4406">
        <v>0.47886679999999998</v>
      </c>
      <c r="F4406" t="s">
        <v>69</v>
      </c>
      <c r="G4406">
        <v>-191.71090000000001</v>
      </c>
      <c r="H4406" s="1">
        <v>-1.114877E-5</v>
      </c>
      <c r="I4406">
        <v>149.9666</v>
      </c>
      <c r="J4406">
        <v>-192.565</v>
      </c>
      <c r="K4406">
        <v>1.111111</v>
      </c>
      <c r="L4406">
        <v>170.48410000000001</v>
      </c>
      <c r="M4406">
        <v>7.7082399999999995E-2</v>
      </c>
      <c r="N4406">
        <v>0</v>
      </c>
      <c r="O4406">
        <v>-0.9969344</v>
      </c>
      <c r="P4406">
        <v>-1.6107799999999999E-2</v>
      </c>
      <c r="Q4406">
        <v>1.0931990000000001E-2</v>
      </c>
      <c r="R4406">
        <v>-0.99981039999999999</v>
      </c>
      <c r="S4406">
        <v>0.12646479999999999</v>
      </c>
      <c r="T4406">
        <v>-0.16070970000000001</v>
      </c>
      <c r="U4406">
        <v>-3.0037539999999998</v>
      </c>
      <c r="V4406">
        <v>9.3092289999999994E-2</v>
      </c>
      <c r="W4406">
        <v>2.445866E-2</v>
      </c>
      <c r="X4406">
        <v>0.99535700000000005</v>
      </c>
      <c r="Y4406">
        <v>3.5140890000000001E-2</v>
      </c>
      <c r="Z4406">
        <v>5.3148399999999998E-2</v>
      </c>
      <c r="AA4406">
        <v>0.99796810000000002</v>
      </c>
      <c r="AB4406">
        <v>27</v>
      </c>
      <c r="AC4406">
        <v>0.85409999999998798</v>
      </c>
      <c r="AD4406">
        <v>-1.11112214877</v>
      </c>
      <c r="AE4406">
        <v>-20.517499999999998</v>
      </c>
      <c r="AF4406">
        <v>0.72799090307630598</v>
      </c>
      <c r="AG4406">
        <v>-1.11112214877</v>
      </c>
      <c r="AH4406">
        <v>20.462378618497901</v>
      </c>
      <c r="AI4406">
        <v>93.106189013837707</v>
      </c>
      <c r="AJ4406">
        <v>87.962445019192501</v>
      </c>
      <c r="AK4406">
        <v>20.5054505415319</v>
      </c>
      <c r="AL4406">
        <v>88.598482218888606</v>
      </c>
      <c r="AM4406">
        <v>84.656867344738004</v>
      </c>
      <c r="AN4406">
        <v>0.99999997897771897</v>
      </c>
    </row>
    <row r="4407" spans="1:40" x14ac:dyDescent="0.25">
      <c r="A4407" t="str">
        <f>"20190312154342787"</f>
        <v>20190312154342787</v>
      </c>
      <c r="B4407" t="str">
        <f>"1552376622781462"</f>
        <v>1552376622781462</v>
      </c>
      <c r="C4407" t="s">
        <v>40</v>
      </c>
      <c r="D4407">
        <v>5.1945169999999896</v>
      </c>
      <c r="E4407">
        <v>0.47846880000000003</v>
      </c>
      <c r="F4407" t="s">
        <v>69</v>
      </c>
      <c r="G4407">
        <v>-191.70400000000001</v>
      </c>
      <c r="H4407" s="1">
        <v>-1.0996409999999999E-5</v>
      </c>
      <c r="I4407">
        <v>149.613</v>
      </c>
      <c r="J4407">
        <v>-192.54320000000001</v>
      </c>
      <c r="K4407">
        <v>1.1109739999999999</v>
      </c>
      <c r="L4407">
        <v>170.215</v>
      </c>
      <c r="M4407">
        <v>7.7854690000000004E-2</v>
      </c>
      <c r="N4407">
        <v>0</v>
      </c>
      <c r="O4407">
        <v>-0.9968745</v>
      </c>
      <c r="P4407">
        <v>-1.7773540000000001E-2</v>
      </c>
      <c r="Q4407">
        <v>1.06736E-2</v>
      </c>
      <c r="R4407">
        <v>-0.99978540000000005</v>
      </c>
      <c r="S4407">
        <v>0.1239319</v>
      </c>
      <c r="T4407">
        <v>-0.1599411</v>
      </c>
      <c r="U4407">
        <v>-3.0043030000000002</v>
      </c>
      <c r="V4407">
        <v>9.5530420000000005E-2</v>
      </c>
      <c r="W4407">
        <v>2.4167870000000001E-2</v>
      </c>
      <c r="X4407">
        <v>0.99513309999999999</v>
      </c>
      <c r="Y4407">
        <v>3.6762059999999999E-2</v>
      </c>
      <c r="Z4407">
        <v>5.2879879999999997E-2</v>
      </c>
      <c r="AA4407">
        <v>0.99792400000000003</v>
      </c>
      <c r="AB4407">
        <v>27</v>
      </c>
      <c r="AC4407">
        <v>0.83920000000000505</v>
      </c>
      <c r="AD4407">
        <v>-1.11098499640999</v>
      </c>
      <c r="AE4407">
        <v>-20.602</v>
      </c>
      <c r="AF4407">
        <v>0.76523264355437104</v>
      </c>
      <c r="AG4407">
        <v>-1.11098499640999</v>
      </c>
      <c r="AH4407">
        <v>20.545150596239399</v>
      </c>
      <c r="AI4407">
        <v>93.0931306708421</v>
      </c>
      <c r="AJ4407">
        <v>87.866925220748499</v>
      </c>
      <c r="AK4407">
        <v>20.589392455416601</v>
      </c>
      <c r="AL4407">
        <v>88.615148238195502</v>
      </c>
      <c r="AM4407">
        <v>84.516544057167494</v>
      </c>
      <c r="AN4407">
        <v>1.00000001690066</v>
      </c>
    </row>
    <row r="4408" spans="1:40" x14ac:dyDescent="0.25">
      <c r="A4408" t="str">
        <f>"20190312154342810"</f>
        <v>20190312154342810</v>
      </c>
      <c r="B4408" t="str">
        <f>"1552376622801958"</f>
        <v>1552376622801958</v>
      </c>
      <c r="C4408" t="s">
        <v>40</v>
      </c>
      <c r="D4408">
        <v>5.2065429999999999</v>
      </c>
      <c r="E4408">
        <v>0.47816619999999999</v>
      </c>
      <c r="F4408" t="s">
        <v>69</v>
      </c>
      <c r="G4408">
        <v>-191.72540000000001</v>
      </c>
      <c r="H4408" s="1">
        <v>-1.1206779999999999E-5</v>
      </c>
      <c r="I4408">
        <v>150.0958</v>
      </c>
      <c r="J4408">
        <v>-192.52099999999999</v>
      </c>
      <c r="K4408">
        <v>1.1107860000000001</v>
      </c>
      <c r="L4408">
        <v>169.9408</v>
      </c>
      <c r="M4408">
        <v>7.8351240000000003E-2</v>
      </c>
      <c r="N4408">
        <v>0</v>
      </c>
      <c r="O4408">
        <v>-0.99683569999999999</v>
      </c>
      <c r="P4408">
        <v>-1.9397319999999999E-2</v>
      </c>
      <c r="Q4408">
        <v>1.037503E-2</v>
      </c>
      <c r="R4408">
        <v>-0.99975809999999998</v>
      </c>
      <c r="S4408">
        <v>0.1221313</v>
      </c>
      <c r="T4408">
        <v>-0.16591549999999999</v>
      </c>
      <c r="U4408">
        <v>-3.004623</v>
      </c>
      <c r="V4408">
        <v>9.7654260000000007E-2</v>
      </c>
      <c r="W4408">
        <v>2.3822739999999999E-2</v>
      </c>
      <c r="X4408">
        <v>0.99493520000000002</v>
      </c>
      <c r="Y4408">
        <v>3.7865500000000003E-2</v>
      </c>
      <c r="Z4408">
        <v>5.4839760000000001E-2</v>
      </c>
      <c r="AA4408">
        <v>0.99777689999999997</v>
      </c>
      <c r="AB4408">
        <v>27</v>
      </c>
      <c r="AC4408">
        <v>0.79559999999997899</v>
      </c>
      <c r="AD4408">
        <v>-1.1107972067799901</v>
      </c>
      <c r="AE4408">
        <v>-19.844999999999999</v>
      </c>
      <c r="AF4408">
        <v>0.75949061653360395</v>
      </c>
      <c r="AG4408">
        <v>-1.1107972067799901</v>
      </c>
      <c r="AH4408">
        <v>19.784437523338699</v>
      </c>
      <c r="AI4408">
        <v>93.211137433393006</v>
      </c>
      <c r="AJ4408">
        <v>87.801592792603401</v>
      </c>
      <c r="AK4408">
        <v>19.830145348586999</v>
      </c>
      <c r="AL4408">
        <v>88.634928354518294</v>
      </c>
      <c r="AM4408">
        <v>84.394295537771796</v>
      </c>
      <c r="AN4408">
        <v>0.99999996481814701</v>
      </c>
    </row>
    <row r="4409" spans="1:40" x14ac:dyDescent="0.25">
      <c r="A4409" t="str">
        <f>"20190312154342832"</f>
        <v>20190312154342832</v>
      </c>
      <c r="B4409" t="str">
        <f>"1552376622821478"</f>
        <v>1552376622821478</v>
      </c>
      <c r="C4409" t="s">
        <v>40</v>
      </c>
      <c r="D4409">
        <v>5.2293779999999996</v>
      </c>
      <c r="E4409">
        <v>0.47793360000000001</v>
      </c>
      <c r="F4409" t="s">
        <v>69</v>
      </c>
      <c r="G4409">
        <v>-191.7422</v>
      </c>
      <c r="H4409" s="1">
        <v>-1.1337250000000001E-5</v>
      </c>
      <c r="I4409">
        <v>150.393</v>
      </c>
      <c r="J4409">
        <v>-192.5001</v>
      </c>
      <c r="K4409">
        <v>1.110557</v>
      </c>
      <c r="L4409">
        <v>169.67910000000001</v>
      </c>
      <c r="M4409">
        <v>7.8504649999999995E-2</v>
      </c>
      <c r="N4409">
        <v>0</v>
      </c>
      <c r="O4409">
        <v>-0.99682340000000003</v>
      </c>
      <c r="P4409">
        <v>-2.044081E-2</v>
      </c>
      <c r="Q4409">
        <v>9.9954109999999992E-3</v>
      </c>
      <c r="R4409">
        <v>-0.99974130000000005</v>
      </c>
      <c r="S4409">
        <v>0.11972049999999999</v>
      </c>
      <c r="T4409">
        <v>-0.17074700000000001</v>
      </c>
      <c r="U4409">
        <v>-3.004807</v>
      </c>
      <c r="V4409">
        <v>9.8859699999999995E-2</v>
      </c>
      <c r="W4409">
        <v>2.3386560000000001E-2</v>
      </c>
      <c r="X4409">
        <v>0.99482660000000001</v>
      </c>
      <c r="Y4409">
        <v>3.8824549999999999E-2</v>
      </c>
      <c r="Z4409">
        <v>5.6427079999999998E-2</v>
      </c>
      <c r="AA4409">
        <v>0.99765159999999997</v>
      </c>
      <c r="AB4409">
        <v>27</v>
      </c>
      <c r="AC4409">
        <v>0.75790000000000601</v>
      </c>
      <c r="AD4409">
        <v>-1.1105683372499999</v>
      </c>
      <c r="AE4409">
        <v>-19.286100000000001</v>
      </c>
      <c r="AF4409">
        <v>0.75612104609510999</v>
      </c>
      <c r="AG4409">
        <v>-1.1105683372499999</v>
      </c>
      <c r="AH4409">
        <v>19.2224300979986</v>
      </c>
      <c r="AI4409">
        <v>93.304015943986201</v>
      </c>
      <c r="AJ4409">
        <v>87.747411677282997</v>
      </c>
      <c r="AK4409">
        <v>19.269325362879101</v>
      </c>
      <c r="AL4409">
        <v>88.659926731916599</v>
      </c>
      <c r="AM4409">
        <v>84.324932420055006</v>
      </c>
      <c r="AN4409">
        <v>1.00000006777013</v>
      </c>
    </row>
    <row r="4410" spans="1:40" x14ac:dyDescent="0.25">
      <c r="A4410" t="str">
        <f>"20190312154342853"</f>
        <v>20190312154342853</v>
      </c>
      <c r="B4410" t="str">
        <f>"1552376622841974"</f>
        <v>1552376622841974</v>
      </c>
      <c r="C4410" t="s">
        <v>40</v>
      </c>
      <c r="D4410">
        <v>5.2383860000000002</v>
      </c>
      <c r="E4410">
        <v>0.47766950000000002</v>
      </c>
      <c r="F4410" t="s">
        <v>69</v>
      </c>
      <c r="G4410">
        <v>-191.75219999999999</v>
      </c>
      <c r="H4410" s="1">
        <v>-1.1443709999999999E-5</v>
      </c>
      <c r="I4410">
        <v>150.637</v>
      </c>
      <c r="J4410">
        <v>-192.47989999999999</v>
      </c>
      <c r="K4410">
        <v>1.1103209999999999</v>
      </c>
      <c r="L4410">
        <v>169.42349999999999</v>
      </c>
      <c r="M4410">
        <v>7.8362470000000004E-2</v>
      </c>
      <c r="N4410">
        <v>0</v>
      </c>
      <c r="O4410">
        <v>-0.99683460000000002</v>
      </c>
      <c r="P4410">
        <v>-2.1316680000000001E-2</v>
      </c>
      <c r="Q4410">
        <v>9.4927580000000004E-3</v>
      </c>
      <c r="R4410">
        <v>-0.9997279</v>
      </c>
      <c r="S4410">
        <v>0.1180267</v>
      </c>
      <c r="T4410">
        <v>-0.17525350000000001</v>
      </c>
      <c r="U4410">
        <v>-3.0049440000000001</v>
      </c>
      <c r="V4410">
        <v>9.9603170000000005E-2</v>
      </c>
      <c r="W4410">
        <v>2.2825950000000001E-2</v>
      </c>
      <c r="X4410">
        <v>0.99476540000000002</v>
      </c>
      <c r="Y4410">
        <v>3.9248619999999998E-2</v>
      </c>
      <c r="Z4410">
        <v>5.7909870000000002E-2</v>
      </c>
      <c r="AA4410">
        <v>0.99755000000000005</v>
      </c>
      <c r="AB4410">
        <v>27</v>
      </c>
      <c r="AC4410">
        <v>0.72769999999999802</v>
      </c>
      <c r="AD4410">
        <v>-1.1103324437099999</v>
      </c>
      <c r="AE4410">
        <v>-18.786499999999901</v>
      </c>
      <c r="AF4410">
        <v>0.74423146057632295</v>
      </c>
      <c r="AG4410">
        <v>-1.1103324437099999</v>
      </c>
      <c r="AH4410">
        <v>18.720454404035902</v>
      </c>
      <c r="AI4410">
        <v>93.391631610720196</v>
      </c>
      <c r="AJ4410">
        <v>87.723405760284294</v>
      </c>
      <c r="AK4410">
        <v>18.768114761372601</v>
      </c>
      <c r="AL4410">
        <v>88.692055817262897</v>
      </c>
      <c r="AM4410">
        <v>84.282185623510898</v>
      </c>
      <c r="AN4410">
        <v>1.0000000082523</v>
      </c>
    </row>
    <row r="4411" spans="1:40" x14ac:dyDescent="0.25">
      <c r="A4411" t="str">
        <f>"20190312154342876"</f>
        <v>20190312154342876</v>
      </c>
      <c r="B4411" t="str">
        <f>"1552376622872231"</f>
        <v>1552376622872231</v>
      </c>
      <c r="C4411" t="s">
        <v>40</v>
      </c>
      <c r="D4411">
        <v>5.2211040000000004</v>
      </c>
      <c r="E4411">
        <v>0.4772671</v>
      </c>
      <c r="F4411" t="s">
        <v>69</v>
      </c>
      <c r="G4411">
        <v>-191.75829999999999</v>
      </c>
      <c r="H4411" s="1">
        <v>-1.15542699999999E-5</v>
      </c>
      <c r="I4411">
        <v>150.8922</v>
      </c>
      <c r="J4411">
        <v>-192.45930000000001</v>
      </c>
      <c r="K4411">
        <v>1.110047</v>
      </c>
      <c r="L4411">
        <v>169.15530000000001</v>
      </c>
      <c r="M4411">
        <v>7.7819739999999998E-2</v>
      </c>
      <c r="N4411">
        <v>0</v>
      </c>
      <c r="O4411">
        <v>-0.99687740000000002</v>
      </c>
      <c r="P4411">
        <v>-2.2161810000000001E-2</v>
      </c>
      <c r="Q4411">
        <v>7.4818910000000001E-3</v>
      </c>
      <c r="R4411">
        <v>-0.99972649999999996</v>
      </c>
      <c r="S4411">
        <v>0.1170197</v>
      </c>
      <c r="T4411">
        <v>-0.18005070000000001</v>
      </c>
      <c r="U4411">
        <v>-3.00502</v>
      </c>
      <c r="V4411">
        <v>9.9917210000000006E-2</v>
      </c>
      <c r="W4411">
        <v>2.074981E-2</v>
      </c>
      <c r="X4411">
        <v>0.99477930000000003</v>
      </c>
      <c r="Y4411">
        <v>3.9043000000000001E-2</v>
      </c>
      <c r="Z4411">
        <v>5.9492379999999997E-2</v>
      </c>
      <c r="AA4411">
        <v>0.99746500000000005</v>
      </c>
      <c r="AB4411">
        <v>27</v>
      </c>
      <c r="AC4411">
        <v>0.70100000000002105</v>
      </c>
      <c r="AD4411">
        <v>-1.1100585542700001</v>
      </c>
      <c r="AE4411">
        <v>-18.263100000000001</v>
      </c>
      <c r="AF4411">
        <v>0.71982808178435698</v>
      </c>
      <c r="AG4411">
        <v>-1.1100585542700001</v>
      </c>
      <c r="AH4411">
        <v>18.1951416678417</v>
      </c>
      <c r="AI4411">
        <v>93.488481064476403</v>
      </c>
      <c r="AJ4411">
        <v>87.734471363940202</v>
      </c>
      <c r="AK4411">
        <v>18.2431785271664</v>
      </c>
      <c r="AL4411">
        <v>88.811038048326495</v>
      </c>
      <c r="AM4411">
        <v>84.264357485184604</v>
      </c>
      <c r="AN4411">
        <v>0.99999992958885198</v>
      </c>
    </row>
    <row r="4412" spans="1:40" x14ac:dyDescent="0.25">
      <c r="A4412" t="str">
        <f>"20190312154342900"</f>
        <v>20190312154342900</v>
      </c>
      <c r="B4412" t="str">
        <f>"1552376622891752"</f>
        <v>1552376622891752</v>
      </c>
      <c r="C4412" t="s">
        <v>40</v>
      </c>
      <c r="D4412">
        <v>5.2430640000000004</v>
      </c>
      <c r="E4412">
        <v>0.47700609999999999</v>
      </c>
      <c r="F4412" t="s">
        <v>69</v>
      </c>
      <c r="G4412">
        <v>-191.77279999999999</v>
      </c>
      <c r="H4412" s="1">
        <v>-1.184513E-5</v>
      </c>
      <c r="I4412">
        <v>151.5642</v>
      </c>
      <c r="J4412">
        <v>-192.43819999999999</v>
      </c>
      <c r="K4412">
        <v>1.109707</v>
      </c>
      <c r="L4412">
        <v>168.87360000000001</v>
      </c>
      <c r="M4412">
        <v>7.6724990000000007E-2</v>
      </c>
      <c r="N4412">
        <v>0</v>
      </c>
      <c r="O4412">
        <v>-0.99696200000000001</v>
      </c>
      <c r="P4412">
        <v>-2.3659240000000002E-2</v>
      </c>
      <c r="Q4412">
        <v>6.0342039999999996E-3</v>
      </c>
      <c r="R4412">
        <v>-0.99970199999999998</v>
      </c>
      <c r="S4412">
        <v>0.1172638</v>
      </c>
      <c r="T4412">
        <v>-0.1896166</v>
      </c>
      <c r="U4412">
        <v>-3.0048520000000001</v>
      </c>
      <c r="V4412">
        <v>0.10033010000000001</v>
      </c>
      <c r="W4412">
        <v>1.922281E-2</v>
      </c>
      <c r="X4412">
        <v>0.99476849999999994</v>
      </c>
      <c r="Y4412">
        <v>3.787016E-2</v>
      </c>
      <c r="Z4412">
        <v>6.2653749999999994E-2</v>
      </c>
      <c r="AA4412">
        <v>0.9973166</v>
      </c>
      <c r="AB4412">
        <v>27</v>
      </c>
      <c r="AC4412">
        <v>0.66540000000000499</v>
      </c>
      <c r="AD4412">
        <v>-1.10971884513</v>
      </c>
      <c r="AE4412">
        <v>-17.3094</v>
      </c>
      <c r="AF4412">
        <v>0.66202782727044296</v>
      </c>
      <c r="AG4412">
        <v>-1.10971884513</v>
      </c>
      <c r="AH4412">
        <v>17.238675491215901</v>
      </c>
      <c r="AI4412">
        <v>93.680558538938797</v>
      </c>
      <c r="AJ4412">
        <v>87.800714483385306</v>
      </c>
      <c r="AK4412">
        <v>17.287038191973899</v>
      </c>
      <c r="AL4412">
        <v>88.898546283009296</v>
      </c>
      <c r="AM4412">
        <v>84.240752863046595</v>
      </c>
      <c r="AN4412">
        <v>1.00000000699127</v>
      </c>
    </row>
    <row r="4413" spans="1:40" x14ac:dyDescent="0.25">
      <c r="A4413" t="str">
        <f>"20190312154342922"</f>
        <v>20190312154342922</v>
      </c>
      <c r="B4413" t="str">
        <f>"1552376622912246"</f>
        <v>1552376622912246</v>
      </c>
      <c r="C4413" t="s">
        <v>40</v>
      </c>
      <c r="D4413">
        <v>5.2437569999999996</v>
      </c>
      <c r="E4413">
        <v>0.47683059999999999</v>
      </c>
      <c r="F4413" t="s">
        <v>69</v>
      </c>
      <c r="G4413">
        <v>-191.7903</v>
      </c>
      <c r="H4413" s="1">
        <v>-1.197868E-5</v>
      </c>
      <c r="I4413">
        <v>151.8683</v>
      </c>
      <c r="J4413">
        <v>-192.41900000000001</v>
      </c>
      <c r="K4413">
        <v>1.109329</v>
      </c>
      <c r="L4413">
        <v>168.6063</v>
      </c>
      <c r="M4413">
        <v>7.5138159999999996E-2</v>
      </c>
      <c r="N4413">
        <v>0</v>
      </c>
      <c r="O4413">
        <v>-0.99708289999999999</v>
      </c>
      <c r="P4413">
        <v>-2.6344820000000001E-2</v>
      </c>
      <c r="Q4413">
        <v>4.4257690000000004E-3</v>
      </c>
      <c r="R4413">
        <v>-0.99964350000000002</v>
      </c>
      <c r="S4413">
        <v>0.1144714</v>
      </c>
      <c r="T4413">
        <v>-0.1960856</v>
      </c>
      <c r="U4413">
        <v>-3.0048219999999999</v>
      </c>
      <c r="V4413">
        <v>0.10143340000000001</v>
      </c>
      <c r="W4413">
        <v>1.7525550000000001E-2</v>
      </c>
      <c r="X4413">
        <v>0.99468800000000002</v>
      </c>
      <c r="Y4413">
        <v>3.720996E-2</v>
      </c>
      <c r="Z4413">
        <v>6.4796779999999998E-2</v>
      </c>
      <c r="AA4413">
        <v>0.99720450000000005</v>
      </c>
      <c r="AB4413">
        <v>27</v>
      </c>
      <c r="AC4413">
        <v>0.62870000000000903</v>
      </c>
      <c r="AD4413">
        <v>-1.1093409786799999</v>
      </c>
      <c r="AE4413">
        <v>-16.738</v>
      </c>
      <c r="AF4413">
        <v>0.62809816023653198</v>
      </c>
      <c r="AG4413">
        <v>-1.1093409786799999</v>
      </c>
      <c r="AH4413">
        <v>16.664820001304101</v>
      </c>
      <c r="AI4413">
        <v>93.805742984964098</v>
      </c>
      <c r="AJ4413">
        <v>87.841539980982603</v>
      </c>
      <c r="AK4413">
        <v>16.713508619728401</v>
      </c>
      <c r="AL4413">
        <v>88.995808590148101</v>
      </c>
      <c r="AM4413">
        <v>84.177384933524095</v>
      </c>
      <c r="AN4413">
        <v>1.00000004844118</v>
      </c>
    </row>
    <row r="4414" spans="1:40" x14ac:dyDescent="0.25">
      <c r="A4414" t="str">
        <f>"20190312154342945"</f>
        <v>20190312154342945</v>
      </c>
      <c r="B4414" t="str">
        <f>"1552376622931767"</f>
        <v>1552376622931767</v>
      </c>
      <c r="C4414" t="s">
        <v>40</v>
      </c>
      <c r="D4414">
        <v>5.2547389999999998</v>
      </c>
      <c r="E4414">
        <v>0.47665980000000002</v>
      </c>
      <c r="F4414" t="s">
        <v>69</v>
      </c>
      <c r="G4414">
        <v>-191.83160000000001</v>
      </c>
      <c r="H4414" s="1">
        <v>-1.212565E-5</v>
      </c>
      <c r="I4414">
        <v>152.19380000000001</v>
      </c>
      <c r="J4414">
        <v>-192.40100000000001</v>
      </c>
      <c r="K4414">
        <v>1.1089059999999999</v>
      </c>
      <c r="L4414">
        <v>168.34010000000001</v>
      </c>
      <c r="M4414">
        <v>7.2999229999999998E-2</v>
      </c>
      <c r="N4414">
        <v>0</v>
      </c>
      <c r="O4414">
        <v>-0.99724159999999995</v>
      </c>
      <c r="P4414">
        <v>-3.064366E-2</v>
      </c>
      <c r="Q4414">
        <v>2.31701E-3</v>
      </c>
      <c r="R4414">
        <v>-0.99952790000000002</v>
      </c>
      <c r="S4414">
        <v>0.107543899999999</v>
      </c>
      <c r="T4414">
        <v>-0.20309930000000001</v>
      </c>
      <c r="U4414">
        <v>-3.0048219999999999</v>
      </c>
      <c r="V4414">
        <v>0.1035884</v>
      </c>
      <c r="W4414">
        <v>1.531476E-2</v>
      </c>
      <c r="X4414">
        <v>0.99450240000000001</v>
      </c>
      <c r="Y4414">
        <v>3.7367820000000003E-2</v>
      </c>
      <c r="Z4414">
        <v>6.7122799999999996E-2</v>
      </c>
      <c r="AA4414">
        <v>0.99704470000000001</v>
      </c>
      <c r="AB4414">
        <v>27</v>
      </c>
      <c r="AC4414">
        <v>0.56939999999997304</v>
      </c>
      <c r="AD4414">
        <v>-1.10891812565</v>
      </c>
      <c r="AE4414">
        <v>-16.146299999999901</v>
      </c>
      <c r="AF4414">
        <v>0.60802875206571505</v>
      </c>
      <c r="AG4414">
        <v>-1.10891812565</v>
      </c>
      <c r="AH4414">
        <v>16.069081899283201</v>
      </c>
      <c r="AI4414">
        <v>93.944876027129794</v>
      </c>
      <c r="AJ4414">
        <v>87.833051716584706</v>
      </c>
      <c r="AK4414">
        <v>16.118771400407802</v>
      </c>
      <c r="AL4414">
        <v>89.122494637076997</v>
      </c>
      <c r="AM4414">
        <v>84.053456113085701</v>
      </c>
      <c r="AN4414">
        <v>1.0000000610470801</v>
      </c>
    </row>
    <row r="4415" spans="1:40" x14ac:dyDescent="0.25">
      <c r="A4415" t="str">
        <f>"20190312154342966"</f>
        <v>20190312154342966</v>
      </c>
      <c r="B4415" t="str">
        <f>"1552376622962022"</f>
        <v>1552376622962022</v>
      </c>
      <c r="C4415" t="s">
        <v>40</v>
      </c>
      <c r="D4415">
        <v>5.2683049999999998</v>
      </c>
      <c r="E4415">
        <v>0.47641929999999999</v>
      </c>
      <c r="F4415" t="s">
        <v>69</v>
      </c>
      <c r="G4415">
        <v>-191.89660000000001</v>
      </c>
      <c r="H4415" s="1">
        <v>-1.2305520000000001E-5</v>
      </c>
      <c r="I4415">
        <v>152.58619999999999</v>
      </c>
      <c r="J4415">
        <v>-192.3845</v>
      </c>
      <c r="K4415">
        <v>1.108484</v>
      </c>
      <c r="L4415">
        <v>168.0806</v>
      </c>
      <c r="M4415">
        <v>7.0359459999999999E-2</v>
      </c>
      <c r="N4415">
        <v>0</v>
      </c>
      <c r="O4415">
        <v>-0.99743130000000002</v>
      </c>
      <c r="P4415">
        <v>-3.6218130000000001E-2</v>
      </c>
      <c r="Q4415">
        <v>1.33758799999999E-3</v>
      </c>
      <c r="R4415">
        <v>-0.99934339999999999</v>
      </c>
      <c r="S4415">
        <v>9.6191410000000005E-2</v>
      </c>
      <c r="T4415">
        <v>-0.21151159999999999</v>
      </c>
      <c r="U4415">
        <v>-3.0048520000000001</v>
      </c>
      <c r="V4415">
        <v>0.10651430000000001</v>
      </c>
      <c r="W4415">
        <v>1.422578E-2</v>
      </c>
      <c r="X4415">
        <v>0.99420940000000002</v>
      </c>
      <c r="Y4415">
        <v>3.8491860000000003E-2</v>
      </c>
      <c r="Z4415">
        <v>6.9911780000000007E-2</v>
      </c>
      <c r="AA4415">
        <v>0.99681030000000004</v>
      </c>
      <c r="AB4415">
        <v>27</v>
      </c>
      <c r="AC4415">
        <v>0.487899999999996</v>
      </c>
      <c r="AD4415">
        <v>-1.1084963055199999</v>
      </c>
      <c r="AE4415">
        <v>-15.494400000000001</v>
      </c>
      <c r="AF4415">
        <v>0.60051479352666504</v>
      </c>
      <c r="AG4415">
        <v>-1.1084963055199999</v>
      </c>
      <c r="AH4415">
        <v>15.411523367785501</v>
      </c>
      <c r="AI4415">
        <v>94.110888949497493</v>
      </c>
      <c r="AJ4415">
        <v>87.768581020972206</v>
      </c>
      <c r="AK4415">
        <v>15.4630021209465</v>
      </c>
      <c r="AL4415">
        <v>89.1848953516254</v>
      </c>
      <c r="AM4415">
        <v>83.884959969969501</v>
      </c>
      <c r="AN4415">
        <v>0.99999999998472899</v>
      </c>
    </row>
    <row r="4416" spans="1:40" x14ac:dyDescent="0.25">
      <c r="A4416" t="str">
        <f>"20190312154342990"</f>
        <v>20190312154342990</v>
      </c>
      <c r="B4416" t="str">
        <f>"1552376622981542"</f>
        <v>1552376622981542</v>
      </c>
      <c r="C4416" t="s">
        <v>40</v>
      </c>
      <c r="D4416">
        <v>5.3947289999999999</v>
      </c>
      <c r="E4416">
        <v>0.47637679999999999</v>
      </c>
      <c r="F4416" t="s">
        <v>69</v>
      </c>
      <c r="G4416">
        <v>-191.96340000000001</v>
      </c>
      <c r="H4416" s="1">
        <v>-1.2334899999999999E-5</v>
      </c>
      <c r="I4416">
        <v>152.62710000000001</v>
      </c>
      <c r="J4416">
        <v>-192.36840000000001</v>
      </c>
      <c r="K4416">
        <v>1.108044</v>
      </c>
      <c r="L4416">
        <v>167.8021</v>
      </c>
      <c r="M4416">
        <v>6.6909549999999998E-2</v>
      </c>
      <c r="N4416">
        <v>0</v>
      </c>
      <c r="O4416">
        <v>-0.99766829999999995</v>
      </c>
      <c r="P4416">
        <v>-4.361483E-2</v>
      </c>
      <c r="Q4416">
        <v>1.5650149999999999E-3</v>
      </c>
      <c r="R4416">
        <v>-0.99904749999999998</v>
      </c>
      <c r="S4416">
        <v>8.1893919999999995E-2</v>
      </c>
      <c r="T4416">
        <v>-0.2155678</v>
      </c>
      <c r="U4416">
        <v>-3.0052340000000002</v>
      </c>
      <c r="V4416">
        <v>0.1104518</v>
      </c>
      <c r="W4416">
        <v>1.4329720000000001E-2</v>
      </c>
      <c r="X4416">
        <v>0.99377819999999994</v>
      </c>
      <c r="Y4416">
        <v>3.978085E-2</v>
      </c>
      <c r="Z4416">
        <v>7.1265300000000004E-2</v>
      </c>
      <c r="AA4416">
        <v>0.99666379999999999</v>
      </c>
      <c r="AB4416">
        <v>27</v>
      </c>
      <c r="AC4416">
        <v>0.40500000000000103</v>
      </c>
      <c r="AD4416">
        <v>-1.1080563348999899</v>
      </c>
      <c r="AE4416">
        <v>-15.174999999999899</v>
      </c>
      <c r="AF4416">
        <v>0.608112144578555</v>
      </c>
      <c r="AG4416">
        <v>-1.1080563348999899</v>
      </c>
      <c r="AH4416">
        <v>15.087702214102199</v>
      </c>
      <c r="AI4416">
        <v>94.196924697375806</v>
      </c>
      <c r="AJ4416">
        <v>87.691934127289898</v>
      </c>
      <c r="AK4416">
        <v>15.1405530719033</v>
      </c>
      <c r="AL4416">
        <v>89.178939442475496</v>
      </c>
      <c r="AM4416">
        <v>83.657985816030504</v>
      </c>
      <c r="AN4416">
        <v>1.00000002589687</v>
      </c>
    </row>
    <row r="4417" spans="1:40" x14ac:dyDescent="0.25">
      <c r="A4417" t="str">
        <f>"20190312154343022"</f>
        <v>20190312154343022</v>
      </c>
      <c r="B4417" t="str">
        <f>"1552376623011798"</f>
        <v>1552376623011798</v>
      </c>
      <c r="C4417" t="s">
        <v>40</v>
      </c>
      <c r="D4417">
        <v>5.4156839999999997</v>
      </c>
      <c r="E4417">
        <v>0.54322680000000001</v>
      </c>
      <c r="F4417" t="s">
        <v>41</v>
      </c>
      <c r="G4417">
        <v>-192.34950000000001</v>
      </c>
      <c r="H4417">
        <v>1.040119</v>
      </c>
      <c r="I4417">
        <v>166.85310000000001</v>
      </c>
      <c r="J4417">
        <v>-192.3485</v>
      </c>
      <c r="K4417">
        <v>1.107518</v>
      </c>
      <c r="L4417">
        <v>167.4093</v>
      </c>
      <c r="M4417">
        <v>6.1081749999999997E-2</v>
      </c>
      <c r="N4417">
        <v>0</v>
      </c>
      <c r="O4417">
        <v>-0.99804159999999997</v>
      </c>
      <c r="P4417">
        <v>-5.2251819999999997E-2</v>
      </c>
      <c r="Q4417">
        <v>2.618572E-3</v>
      </c>
      <c r="R4417">
        <v>-0.99863049999999998</v>
      </c>
      <c r="S4417">
        <v>6.0241699999999898E-2</v>
      </c>
      <c r="T4417">
        <v>-0.21507180000000001</v>
      </c>
      <c r="U4417">
        <v>-3.0058590000000001</v>
      </c>
      <c r="V4417">
        <v>0.1132668</v>
      </c>
      <c r="W4417">
        <v>1.5242769999999999E-2</v>
      </c>
      <c r="X4417">
        <v>0.99344770000000004</v>
      </c>
      <c r="Y4417">
        <v>4.112586E-2</v>
      </c>
      <c r="Z4417">
        <v>7.1131449999999999E-2</v>
      </c>
      <c r="AA4417">
        <v>0.99661869999999997</v>
      </c>
      <c r="AB4417">
        <v>27</v>
      </c>
      <c r="AC4417">
        <v>-1.0000000000047701E-3</v>
      </c>
      <c r="AD4417">
        <v>-6.7398999999999903E-2</v>
      </c>
      <c r="AE4417">
        <v>-0.55619999999998904</v>
      </c>
      <c r="AF4417">
        <v>3.4468755318007097E-2</v>
      </c>
      <c r="AG4417">
        <v>-6.7398999999999903E-2</v>
      </c>
      <c r="AH4417">
        <v>0.54706705128663602</v>
      </c>
      <c r="AI4417">
        <v>97.009722034942797</v>
      </c>
      <c r="AJ4417">
        <v>86.394761738344101</v>
      </c>
      <c r="AK4417">
        <v>0.55227989180996595</v>
      </c>
      <c r="AL4417">
        <v>89.126619806823399</v>
      </c>
      <c r="AM4417">
        <v>83.495574400401793</v>
      </c>
      <c r="AN4417">
        <v>1.0000000213274001</v>
      </c>
    </row>
    <row r="4418" spans="1:40" x14ac:dyDescent="0.25">
      <c r="A4418" t="str">
        <f>"20190312154343044"</f>
        <v>20190312154343044</v>
      </c>
      <c r="B4418" t="str">
        <f>"1552376623032294"</f>
        <v>1552376623032294</v>
      </c>
      <c r="C4418" t="s">
        <v>40</v>
      </c>
      <c r="D4418">
        <v>5.4041090000000001</v>
      </c>
      <c r="E4418">
        <v>0.55484109999999998</v>
      </c>
      <c r="F4418" t="s">
        <v>69</v>
      </c>
      <c r="G4418">
        <v>-195.4212</v>
      </c>
      <c r="H4418" s="1">
        <v>-1.150695E-5</v>
      </c>
      <c r="I4418">
        <v>149.04859999999999</v>
      </c>
      <c r="J4418">
        <v>-192.33690000000001</v>
      </c>
      <c r="K4418">
        <v>1.1072360000000001</v>
      </c>
      <c r="L4418">
        <v>167.14709999999999</v>
      </c>
      <c r="M4418">
        <v>5.6736719999999997E-2</v>
      </c>
      <c r="N4418">
        <v>0</v>
      </c>
      <c r="O4418">
        <v>-0.99829780000000001</v>
      </c>
      <c r="P4418">
        <v>-5.841288E-2</v>
      </c>
      <c r="Q4418">
        <v>3.3225559999999999E-3</v>
      </c>
      <c r="R4418">
        <v>-0.99828709999999998</v>
      </c>
      <c r="S4418">
        <v>-0.49845889999999998</v>
      </c>
      <c r="T4418">
        <v>-0.17966409999999999</v>
      </c>
      <c r="U4418">
        <v>-2.978485</v>
      </c>
      <c r="V4418">
        <v>0.1150881</v>
      </c>
      <c r="W4418">
        <v>1.5868779999999999E-2</v>
      </c>
      <c r="X4418">
        <v>0.99322860000000002</v>
      </c>
      <c r="Y4418">
        <v>0.220467</v>
      </c>
      <c r="Z4418">
        <v>5.8916339999999998E-2</v>
      </c>
      <c r="AA4418">
        <v>0.97361339999999996</v>
      </c>
      <c r="AB4418">
        <v>27</v>
      </c>
      <c r="AC4418">
        <v>-3.0842999999999798</v>
      </c>
      <c r="AD4418">
        <v>-1.1072475069499901</v>
      </c>
      <c r="AE4418">
        <v>-18.098500000000001</v>
      </c>
      <c r="AF4418">
        <v>4.0913926892827801</v>
      </c>
      <c r="AG4418">
        <v>-1.1072475069499901</v>
      </c>
      <c r="AH4418">
        <v>17.829482147436501</v>
      </c>
      <c r="AI4418">
        <v>93.463820778861404</v>
      </c>
      <c r="AJ4418">
        <v>77.075892389043005</v>
      </c>
      <c r="AK4418">
        <v>18.326372385862999</v>
      </c>
      <c r="AL4418">
        <v>89.090747780228895</v>
      </c>
      <c r="AM4418">
        <v>83.390457956757501</v>
      </c>
      <c r="AN4418">
        <v>1.0000000703991201</v>
      </c>
    </row>
    <row r="4419" spans="1:40" x14ac:dyDescent="0.25">
      <c r="A4419" t="str">
        <f>"20190312154343066"</f>
        <v>20190312154343066</v>
      </c>
      <c r="B4419" t="str">
        <f>"1552376623061575"</f>
        <v>1552376623061575</v>
      </c>
      <c r="C4419" t="s">
        <v>40</v>
      </c>
      <c r="D4419">
        <v>5.5253889999999997</v>
      </c>
      <c r="E4419">
        <v>0.59937910000000005</v>
      </c>
      <c r="F4419" t="s">
        <v>69</v>
      </c>
      <c r="G4419">
        <v>-195.34</v>
      </c>
      <c r="H4419" s="1">
        <v>-1.277497E-5</v>
      </c>
      <c r="I4419">
        <v>152.49039999999999</v>
      </c>
      <c r="J4419">
        <v>-192.327</v>
      </c>
      <c r="K4419">
        <v>1.106997</v>
      </c>
      <c r="L4419">
        <v>166.8879</v>
      </c>
      <c r="M4419">
        <v>5.2109959999999997E-2</v>
      </c>
      <c r="N4419">
        <v>0</v>
      </c>
      <c r="O4419">
        <v>-0.99854980000000004</v>
      </c>
      <c r="P4419">
        <v>-6.48725E-2</v>
      </c>
      <c r="Q4419">
        <v>3.383531E-3</v>
      </c>
      <c r="R4419">
        <v>-0.99788809999999994</v>
      </c>
      <c r="S4419">
        <v>-0.60859680000000005</v>
      </c>
      <c r="T4419">
        <v>-0.22439419999999999</v>
      </c>
      <c r="U4419">
        <v>-2.9703059999999999</v>
      </c>
      <c r="V4419">
        <v>0.1169231</v>
      </c>
      <c r="W4419">
        <v>1.586019E-2</v>
      </c>
      <c r="X4419">
        <v>0.99301430000000002</v>
      </c>
      <c r="Y4419">
        <v>0.2509632</v>
      </c>
      <c r="Z4419">
        <v>7.3215240000000001E-2</v>
      </c>
      <c r="AA4419">
        <v>0.96522379999999997</v>
      </c>
      <c r="AB4419">
        <v>27</v>
      </c>
      <c r="AC4419">
        <v>-3.0129999999999999</v>
      </c>
      <c r="AD4419">
        <v>-1.1070097749700001</v>
      </c>
      <c r="AE4419">
        <v>-14.397500000000001</v>
      </c>
      <c r="AF4419">
        <v>3.7380555241278102</v>
      </c>
      <c r="AG4419">
        <v>-1.1070097749700001</v>
      </c>
      <c r="AH4419">
        <v>14.140821809668999</v>
      </c>
      <c r="AI4419">
        <v>94.328177475929806</v>
      </c>
      <c r="AJ4419">
        <v>75.192844901728606</v>
      </c>
      <c r="AK4419">
        <v>14.668379978585</v>
      </c>
      <c r="AL4419">
        <v>89.091239929340901</v>
      </c>
      <c r="AM4419">
        <v>83.284592324062601</v>
      </c>
      <c r="AN4419">
        <v>0.99999997847246702</v>
      </c>
    </row>
    <row r="4420" spans="1:40" x14ac:dyDescent="0.25">
      <c r="A4420" t="str">
        <f>"20190312154343089"</f>
        <v>20190312154343089</v>
      </c>
      <c r="B4420" t="str">
        <f>"1552376623082073"</f>
        <v>1552376623082073</v>
      </c>
      <c r="C4420" t="s">
        <v>40</v>
      </c>
      <c r="D4420">
        <v>5.4814759999999998</v>
      </c>
      <c r="E4420">
        <v>0.59929849999999996</v>
      </c>
      <c r="F4420" t="s">
        <v>43</v>
      </c>
      <c r="G4420">
        <v>-194.6129</v>
      </c>
      <c r="H4420" s="1">
        <v>-1.4253159999999999E-6</v>
      </c>
      <c r="I4420">
        <v>160.0104</v>
      </c>
      <c r="J4420">
        <v>-192.31819999999999</v>
      </c>
      <c r="K4420">
        <v>1.1067720000000001</v>
      </c>
      <c r="L4420">
        <v>166.61449999999999</v>
      </c>
      <c r="M4420">
        <v>4.6910359999999998E-2</v>
      </c>
      <c r="N4420">
        <v>0</v>
      </c>
      <c r="O4420">
        <v>-0.99880740000000001</v>
      </c>
      <c r="P4420">
        <v>-7.2724910000000004E-2</v>
      </c>
      <c r="Q4420">
        <v>2.957496E-3</v>
      </c>
      <c r="R4420">
        <v>-0.99734780000000001</v>
      </c>
      <c r="S4420">
        <v>-0.97859189999999996</v>
      </c>
      <c r="T4420">
        <v>-0.47391610000000001</v>
      </c>
      <c r="U4420">
        <v>-2.944321</v>
      </c>
      <c r="V4420">
        <v>0.1195739</v>
      </c>
      <c r="W4420">
        <v>1.5360530000000001E-2</v>
      </c>
      <c r="X4420">
        <v>0.99270650000000005</v>
      </c>
      <c r="Y4420">
        <v>0.35600739999999997</v>
      </c>
      <c r="Z4420">
        <v>0.1495165</v>
      </c>
      <c r="AA4420">
        <v>0.92244429999999999</v>
      </c>
      <c r="AB4420">
        <v>27</v>
      </c>
      <c r="AC4420">
        <v>-2.2947000000000002</v>
      </c>
      <c r="AD4420">
        <v>-1.10677342531599</v>
      </c>
      <c r="AE4420">
        <v>-6.6040999999999803</v>
      </c>
      <c r="AF4420">
        <v>2.53838932283145</v>
      </c>
      <c r="AG4420">
        <v>-1.10677342531599</v>
      </c>
      <c r="AH4420">
        <v>6.3305275576681401</v>
      </c>
      <c r="AI4420">
        <v>99.217157406937503</v>
      </c>
      <c r="AJ4420">
        <v>68.150401561582498</v>
      </c>
      <c r="AK4420">
        <v>6.9096994817174302</v>
      </c>
      <c r="AL4420">
        <v>89.119871872949602</v>
      </c>
      <c r="AM4420">
        <v>83.131674190145802</v>
      </c>
      <c r="AN4420">
        <v>1.0000000292926701</v>
      </c>
    </row>
    <row r="4421" spans="1:40" x14ac:dyDescent="0.25">
      <c r="A4421" t="str">
        <f>"20190312154343112"</f>
        <v>20190312154343112</v>
      </c>
      <c r="B4421" t="str">
        <f>"1552376623101590"</f>
        <v>1552376623101590</v>
      </c>
      <c r="C4421" t="s">
        <v>40</v>
      </c>
      <c r="D4421">
        <v>5.5156229999999997</v>
      </c>
      <c r="E4421">
        <v>0.59907849999999996</v>
      </c>
      <c r="F4421" t="s">
        <v>43</v>
      </c>
      <c r="G4421">
        <v>-194.63990000000001</v>
      </c>
      <c r="H4421" s="1">
        <v>-1.334651E-6</v>
      </c>
      <c r="I4421">
        <v>159.80340000000001</v>
      </c>
      <c r="J4421">
        <v>-192.31120000000001</v>
      </c>
      <c r="K4421">
        <v>1.1065579999999999</v>
      </c>
      <c r="L4421">
        <v>166.33770000000001</v>
      </c>
      <c r="M4421">
        <v>4.1367309999999997E-2</v>
      </c>
      <c r="N4421">
        <v>0</v>
      </c>
      <c r="O4421">
        <v>-0.9990521</v>
      </c>
      <c r="P4421">
        <v>-8.1805509999999998E-2</v>
      </c>
      <c r="Q4421">
        <v>1.9588679999999999E-3</v>
      </c>
      <c r="R4421">
        <v>-0.99664649999999999</v>
      </c>
      <c r="S4421">
        <v>-1.0009159999999999</v>
      </c>
      <c r="T4421">
        <v>-0.47715829999999998</v>
      </c>
      <c r="U4421">
        <v>-2.9364319999999999</v>
      </c>
      <c r="V4421">
        <v>0.1231049</v>
      </c>
      <c r="W4421">
        <v>1.428252E-2</v>
      </c>
      <c r="X4421">
        <v>0.99229089999999998</v>
      </c>
      <c r="Y4421">
        <v>0.3578113</v>
      </c>
      <c r="Z4421">
        <v>0.15071909999999999</v>
      </c>
      <c r="AA4421">
        <v>0.92155019999999999</v>
      </c>
      <c r="AB4421">
        <v>26</v>
      </c>
      <c r="AC4421">
        <v>-2.3286999999999898</v>
      </c>
      <c r="AD4421">
        <v>-1.1065593346510001</v>
      </c>
      <c r="AE4421">
        <v>-6.5343</v>
      </c>
      <c r="AF4421">
        <v>2.5325924315747201</v>
      </c>
      <c r="AG4421">
        <v>-1.1065593346510001</v>
      </c>
      <c r="AH4421">
        <v>6.2727466074986298</v>
      </c>
      <c r="AI4421">
        <v>99.290057717832696</v>
      </c>
      <c r="AJ4421">
        <v>68.013834783567106</v>
      </c>
      <c r="AK4421">
        <v>6.8546223810986504</v>
      </c>
      <c r="AL4421">
        <v>89.181644073933398</v>
      </c>
      <c r="AM4421">
        <v>82.927945808851106</v>
      </c>
      <c r="AN4421">
        <v>1.00000001850218</v>
      </c>
    </row>
    <row r="4422" spans="1:40" x14ac:dyDescent="0.25">
      <c r="A4422" t="str">
        <f>"20190312154343134"</f>
        <v>20190312154343134</v>
      </c>
      <c r="B4422" t="str">
        <f>"1552376623122086"</f>
        <v>1552376623122086</v>
      </c>
      <c r="C4422" t="s">
        <v>40</v>
      </c>
      <c r="D4422">
        <v>5.5071059999999896</v>
      </c>
      <c r="E4422">
        <v>0.59877279999999999</v>
      </c>
      <c r="F4422" t="s">
        <v>43</v>
      </c>
      <c r="G4422">
        <v>-194.65090000000001</v>
      </c>
      <c r="H4422" s="1">
        <v>-1.26942E-6</v>
      </c>
      <c r="I4422">
        <v>159.6592</v>
      </c>
      <c r="J4422">
        <v>-192.30619999999999</v>
      </c>
      <c r="K4422">
        <v>1.106393</v>
      </c>
      <c r="L4422">
        <v>166.07079999999999</v>
      </c>
      <c r="M4422">
        <v>3.5839490000000002E-2</v>
      </c>
      <c r="N4422">
        <v>0</v>
      </c>
      <c r="O4422">
        <v>-0.99926539999999997</v>
      </c>
      <c r="P4422">
        <v>-9.1732110000000006E-2</v>
      </c>
      <c r="Q4422">
        <v>1.257155E-3</v>
      </c>
      <c r="R4422">
        <v>-0.99578310000000003</v>
      </c>
      <c r="S4422">
        <v>-1.02536</v>
      </c>
      <c r="T4422">
        <v>-0.48495759999999999</v>
      </c>
      <c r="U4422">
        <v>-2.9269099999999999</v>
      </c>
      <c r="V4422">
        <v>0.12750069999999999</v>
      </c>
      <c r="W4422">
        <v>1.3498680000000001E-2</v>
      </c>
      <c r="X4422">
        <v>0.99174660000000003</v>
      </c>
      <c r="Y4422">
        <v>0.36030770000000001</v>
      </c>
      <c r="Z4422">
        <v>0.15335699999999999</v>
      </c>
      <c r="AA4422">
        <v>0.92014130000000005</v>
      </c>
      <c r="AB4422">
        <v>26</v>
      </c>
      <c r="AC4422">
        <v>-2.3447000000000102</v>
      </c>
      <c r="AD4422">
        <v>-1.10639426942</v>
      </c>
      <c r="AE4422">
        <v>-6.4115999999999902</v>
      </c>
      <c r="AF4422">
        <v>2.5071528977612298</v>
      </c>
      <c r="AG4422">
        <v>-1.10639426942</v>
      </c>
      <c r="AH4422">
        <v>6.1616055883183103</v>
      </c>
      <c r="AI4422">
        <v>99.443057751360001</v>
      </c>
      <c r="AJ4422">
        <v>67.858627604480006</v>
      </c>
      <c r="AK4422">
        <v>6.7435381928297398</v>
      </c>
      <c r="AL4422">
        <v>89.226559102216996</v>
      </c>
      <c r="AM4422">
        <v>82.674137639344394</v>
      </c>
      <c r="AN4422">
        <v>0.999999980736896</v>
      </c>
    </row>
    <row r="4423" spans="1:40" x14ac:dyDescent="0.25">
      <c r="A4423" t="str">
        <f>"20190312154343156"</f>
        <v>20190312154343156</v>
      </c>
      <c r="B4423" t="str">
        <f>"1552376623141606"</f>
        <v>1552376623141606</v>
      </c>
      <c r="C4423" t="s">
        <v>40</v>
      </c>
      <c r="D4423">
        <v>5.4996609999999997</v>
      </c>
      <c r="E4423">
        <v>0.59843669999999904</v>
      </c>
      <c r="F4423" t="s">
        <v>69</v>
      </c>
      <c r="G4423">
        <v>-194.68719999999999</v>
      </c>
      <c r="H4423" s="1">
        <v>-1.49413899999999E-5</v>
      </c>
      <c r="I4423">
        <v>159.47280000000001</v>
      </c>
      <c r="J4423">
        <v>-192.30289999999999</v>
      </c>
      <c r="K4423">
        <v>1.106271</v>
      </c>
      <c r="L4423">
        <v>165.81530000000001</v>
      </c>
      <c r="M4423">
        <v>3.038341E-2</v>
      </c>
      <c r="N4423">
        <v>0</v>
      </c>
      <c r="O4423">
        <v>-0.99944599999999995</v>
      </c>
      <c r="P4423">
        <v>-0.1019221</v>
      </c>
      <c r="Q4423">
        <v>1.220584E-3</v>
      </c>
      <c r="R4423">
        <v>-0.99479189999999995</v>
      </c>
      <c r="S4423">
        <v>-1.0524290000000001</v>
      </c>
      <c r="T4423">
        <v>-0.4890448</v>
      </c>
      <c r="U4423">
        <v>-2.9163670000000002</v>
      </c>
      <c r="V4423">
        <v>0.13224259999999999</v>
      </c>
      <c r="W4423">
        <v>1.3379E-2</v>
      </c>
      <c r="X4423">
        <v>0.99112710000000004</v>
      </c>
      <c r="Y4423">
        <v>0.3637609</v>
      </c>
      <c r="Z4423">
        <v>0.15483839999999999</v>
      </c>
      <c r="AA4423">
        <v>0.91853309999999999</v>
      </c>
      <c r="AB4423">
        <v>26</v>
      </c>
      <c r="AC4423">
        <v>-2.3842999999999899</v>
      </c>
      <c r="AD4423">
        <v>-1.1062859413899999</v>
      </c>
      <c r="AE4423">
        <v>-6.3425000000000002</v>
      </c>
      <c r="AF4423">
        <v>2.5090407654823998</v>
      </c>
      <c r="AG4423">
        <v>-1.1062859413899999</v>
      </c>
      <c r="AH4423">
        <v>6.1043981414790096</v>
      </c>
      <c r="AI4423">
        <v>99.515519802511704</v>
      </c>
      <c r="AJ4423">
        <v>67.656268687719006</v>
      </c>
      <c r="AK4423">
        <v>6.6919975206706503</v>
      </c>
      <c r="AL4423">
        <v>89.233416907285203</v>
      </c>
      <c r="AM4423">
        <v>82.4001130162262</v>
      </c>
      <c r="AN4423">
        <v>1.0000000156250799</v>
      </c>
    </row>
    <row r="4424" spans="1:40" x14ac:dyDescent="0.25">
      <c r="A4424" t="str">
        <f>"20190312154343179"</f>
        <v>20190312154343179</v>
      </c>
      <c r="B4424" t="str">
        <f>"1552376623171862"</f>
        <v>1552376623171862</v>
      </c>
      <c r="C4424" t="s">
        <v>40</v>
      </c>
      <c r="D4424">
        <v>5.562138</v>
      </c>
      <c r="E4424">
        <v>0.5974931</v>
      </c>
      <c r="F4424" t="s">
        <v>69</v>
      </c>
      <c r="G4424">
        <v>-194.73390000000001</v>
      </c>
      <c r="H4424" s="1">
        <v>-1.489054E-5</v>
      </c>
      <c r="I4424">
        <v>159.27070000000001</v>
      </c>
      <c r="J4424">
        <v>-192.30119999999999</v>
      </c>
      <c r="K4424">
        <v>1.1061510000000001</v>
      </c>
      <c r="L4424">
        <v>165.54509999999999</v>
      </c>
      <c r="M4424">
        <v>2.4418909999999999E-2</v>
      </c>
      <c r="N4424">
        <v>0</v>
      </c>
      <c r="O4424">
        <v>-0.99960919999999998</v>
      </c>
      <c r="P4424">
        <v>-0.11297310000000001</v>
      </c>
      <c r="Q4424">
        <v>2.5077020000000001E-3</v>
      </c>
      <c r="R4424">
        <v>-0.99359520000000001</v>
      </c>
      <c r="S4424">
        <v>-1.0793299999999999</v>
      </c>
      <c r="T4424">
        <v>-0.49118050000000002</v>
      </c>
      <c r="U4424">
        <v>-2.9057460000000002</v>
      </c>
      <c r="V4424">
        <v>0.13736089999999901</v>
      </c>
      <c r="W4424">
        <v>1.457718E-2</v>
      </c>
      <c r="X4424">
        <v>0.99041380000000001</v>
      </c>
      <c r="Y4424">
        <v>0.36673080000000002</v>
      </c>
      <c r="Z4424">
        <v>0.15572939999999999</v>
      </c>
      <c r="AA4424">
        <v>0.91720060000000003</v>
      </c>
      <c r="AB4424">
        <v>26</v>
      </c>
      <c r="AC4424">
        <v>-2.4327000000000099</v>
      </c>
      <c r="AD4424">
        <v>-1.10616589053999</v>
      </c>
      <c r="AE4424">
        <v>-6.2743999999999804</v>
      </c>
      <c r="AF4424">
        <v>2.5171897594061798</v>
      </c>
      <c r="AG4424">
        <v>-1.10616589053999</v>
      </c>
      <c r="AH4424">
        <v>6.0496612406185903</v>
      </c>
      <c r="AI4424">
        <v>99.582158524748095</v>
      </c>
      <c r="AJ4424">
        <v>67.408405021896002</v>
      </c>
      <c r="AK4424">
        <v>6.6451672957493297</v>
      </c>
      <c r="AL4424">
        <v>89.164759529006304</v>
      </c>
      <c r="AM4424">
        <v>82.103994157993895</v>
      </c>
      <c r="AN4424">
        <v>1.0000000031280001</v>
      </c>
    </row>
    <row r="4425" spans="1:40" x14ac:dyDescent="0.25">
      <c r="A4425" t="str">
        <f>"20190312154343201"</f>
        <v>20190312154343201</v>
      </c>
      <c r="B4425" t="str">
        <f>"1552376623192359"</f>
        <v>1552376623192359</v>
      </c>
      <c r="C4425" t="s">
        <v>40</v>
      </c>
      <c r="D4425">
        <v>5.5187609999999996</v>
      </c>
      <c r="E4425">
        <v>0.59688249999999998</v>
      </c>
      <c r="F4425" t="s">
        <v>69</v>
      </c>
      <c r="G4425">
        <v>-194.75290000000001</v>
      </c>
      <c r="H4425" s="1">
        <v>-1.485216E-5</v>
      </c>
      <c r="I4425">
        <v>159.1182</v>
      </c>
      <c r="J4425">
        <v>-192.3013</v>
      </c>
      <c r="K4425">
        <v>1.1060299999999901</v>
      </c>
      <c r="L4425">
        <v>165.2824</v>
      </c>
      <c r="M4425">
        <v>1.8419700000000001E-2</v>
      </c>
      <c r="N4425">
        <v>0</v>
      </c>
      <c r="O4425">
        <v>-0.99973769999999995</v>
      </c>
      <c r="P4425">
        <v>-0.12323679999999999</v>
      </c>
      <c r="Q4425">
        <v>4.2486850000000003E-3</v>
      </c>
      <c r="R4425">
        <v>-0.99236860000000005</v>
      </c>
      <c r="S4425">
        <v>-1.104355</v>
      </c>
      <c r="T4425">
        <v>-0.49828139999999999</v>
      </c>
      <c r="U4425">
        <v>-2.8950499999999999</v>
      </c>
      <c r="V4425">
        <v>0.14167630000000001</v>
      </c>
      <c r="W4425">
        <v>1.6237330000000001E-2</v>
      </c>
      <c r="X4425">
        <v>0.98977990000000005</v>
      </c>
      <c r="Y4425">
        <v>0.36906699999999998</v>
      </c>
      <c r="Z4425">
        <v>0.15818209999999999</v>
      </c>
      <c r="AA4425">
        <v>0.91584279999999996</v>
      </c>
      <c r="AB4425">
        <v>26</v>
      </c>
      <c r="AC4425">
        <v>-2.4516000000000102</v>
      </c>
      <c r="AD4425">
        <v>-1.1060448521599999</v>
      </c>
      <c r="AE4425">
        <v>-6.1641999999999904</v>
      </c>
      <c r="AF4425">
        <v>2.4953704046496501</v>
      </c>
      <c r="AG4425">
        <v>-1.1060448521599999</v>
      </c>
      <c r="AH4425">
        <v>5.9525226375087303</v>
      </c>
      <c r="AI4425">
        <v>99.723910813140805</v>
      </c>
      <c r="AJ4425">
        <v>67.255971924823399</v>
      </c>
      <c r="AK4425">
        <v>6.5484910033873396</v>
      </c>
      <c r="AL4425">
        <v>89.069628670215494</v>
      </c>
      <c r="AM4425">
        <v>81.854060975119694</v>
      </c>
      <c r="AN4425">
        <v>1.00000003765561</v>
      </c>
    </row>
    <row r="4426" spans="1:40" x14ac:dyDescent="0.25">
      <c r="A4426" t="str">
        <f>"20190312154343223"</f>
        <v>20190312154343223</v>
      </c>
      <c r="B4426" t="str">
        <f>"1552376623211879"</f>
        <v>1552376623211879</v>
      </c>
      <c r="C4426" t="s">
        <v>40</v>
      </c>
      <c r="D4426">
        <v>5.5322230000000001</v>
      </c>
      <c r="E4426">
        <v>0.59631009999999995</v>
      </c>
      <c r="F4426" t="s">
        <v>69</v>
      </c>
      <c r="G4426">
        <v>-194.82589999999999</v>
      </c>
      <c r="H4426" s="1">
        <v>-1.478081E-5</v>
      </c>
      <c r="I4426">
        <v>158.83459999999999</v>
      </c>
      <c r="J4426">
        <v>-192.3032</v>
      </c>
      <c r="K4426">
        <v>1.1058920000000001</v>
      </c>
      <c r="L4426">
        <v>165.0188</v>
      </c>
      <c r="M4426">
        <v>1.217966E-2</v>
      </c>
      <c r="N4426">
        <v>0</v>
      </c>
      <c r="O4426">
        <v>-0.99983290000000002</v>
      </c>
      <c r="P4426">
        <v>-0.13259070000000001</v>
      </c>
      <c r="Q4426">
        <v>5.9659739999999998E-3</v>
      </c>
      <c r="R4426">
        <v>-0.99115319999999996</v>
      </c>
      <c r="S4426">
        <v>-1.1295470000000001</v>
      </c>
      <c r="T4426">
        <v>-0.49486609999999998</v>
      </c>
      <c r="U4426">
        <v>-2.8848880000000001</v>
      </c>
      <c r="V4426">
        <v>0.14485799999999999</v>
      </c>
      <c r="W4426">
        <v>1.7882169999999999E-2</v>
      </c>
      <c r="X4426">
        <v>0.98929080000000003</v>
      </c>
      <c r="Y4426">
        <v>0.3713572</v>
      </c>
      <c r="Z4426">
        <v>0.1573466</v>
      </c>
      <c r="AA4426">
        <v>0.9150606</v>
      </c>
      <c r="AB4426">
        <v>26</v>
      </c>
      <c r="AC4426">
        <v>-2.52269999999998</v>
      </c>
      <c r="AD4426">
        <v>-1.10590678081</v>
      </c>
      <c r="AE4426">
        <v>-6.1841999999999997</v>
      </c>
      <c r="AF4426">
        <v>2.52851679272894</v>
      </c>
      <c r="AG4426">
        <v>-1.10590678081</v>
      </c>
      <c r="AH4426">
        <v>5.9888169472096804</v>
      </c>
      <c r="AI4426">
        <v>99.654768255757304</v>
      </c>
      <c r="AJ4426">
        <v>67.110218147434495</v>
      </c>
      <c r="AK4426">
        <v>6.59411521025676</v>
      </c>
      <c r="AL4426">
        <v>88.975372465970906</v>
      </c>
      <c r="AM4426">
        <v>81.669601720415002</v>
      </c>
      <c r="AN4426">
        <v>0.99999994956627303</v>
      </c>
    </row>
    <row r="4427" spans="1:40" x14ac:dyDescent="0.25">
      <c r="A4427" t="str">
        <f>"20190312154343246"</f>
        <v>20190312154343246</v>
      </c>
      <c r="B4427" t="str">
        <f>"1552376623231400"</f>
        <v>1552376623231400</v>
      </c>
      <c r="C4427" t="s">
        <v>40</v>
      </c>
      <c r="D4427">
        <v>5.5077040000000004</v>
      </c>
      <c r="E4427">
        <v>0.5956534</v>
      </c>
      <c r="F4427" t="s">
        <v>69</v>
      </c>
      <c r="G4427">
        <v>-194.89869999999999</v>
      </c>
      <c r="H4427" s="1">
        <v>-1.470644E-5</v>
      </c>
      <c r="I4427">
        <v>158.53899999999999</v>
      </c>
      <c r="J4427">
        <v>-192.30709999999999</v>
      </c>
      <c r="K4427">
        <v>1.105726</v>
      </c>
      <c r="L4427">
        <v>164.7499</v>
      </c>
      <c r="M4427">
        <v>5.5710450000000002E-3</v>
      </c>
      <c r="N4427">
        <v>0</v>
      </c>
      <c r="O4427">
        <v>-0.99989130000000004</v>
      </c>
      <c r="P4427">
        <v>-0.14162149999999901</v>
      </c>
      <c r="Q4427">
        <v>6.8306089999999996E-3</v>
      </c>
      <c r="R4427">
        <v>-0.98989769999999999</v>
      </c>
      <c r="S4427">
        <v>-1.1518550000000001</v>
      </c>
      <c r="T4427">
        <v>-0.49079260000000002</v>
      </c>
      <c r="U4427">
        <v>-2.8756560000000002</v>
      </c>
      <c r="V4427">
        <v>0.14735570000000001</v>
      </c>
      <c r="W4427">
        <v>1.8675500000000001E-2</v>
      </c>
      <c r="X4427">
        <v>0.98890719999999999</v>
      </c>
      <c r="Y4427">
        <v>0.37242720000000001</v>
      </c>
      <c r="Z4427">
        <v>0.15631049999999999</v>
      </c>
      <c r="AA4427">
        <v>0.91480329999999999</v>
      </c>
      <c r="AB4427">
        <v>26</v>
      </c>
      <c r="AC4427">
        <v>-2.5916000000000001</v>
      </c>
      <c r="AD4427">
        <v>-1.10574070644</v>
      </c>
      <c r="AE4427">
        <v>-6.2108999999999996</v>
      </c>
      <c r="AF4427">
        <v>2.5571335969137401</v>
      </c>
      <c r="AG4427">
        <v>-1.10574070644</v>
      </c>
      <c r="AH4427">
        <v>6.0334884611324302</v>
      </c>
      <c r="AI4427">
        <v>99.577747813548996</v>
      </c>
      <c r="AJ4427">
        <v>67.031632586026006</v>
      </c>
      <c r="AK4427">
        <v>6.6456435168433199</v>
      </c>
      <c r="AL4427">
        <v>88.929910421115693</v>
      </c>
      <c r="AM4427">
        <v>81.5247942637195</v>
      </c>
      <c r="AN4427">
        <v>0.99999996341728903</v>
      </c>
    </row>
    <row r="4428" spans="1:40" x14ac:dyDescent="0.25">
      <c r="A4428" t="str">
        <f>"20190312154343268"</f>
        <v>20190312154343268</v>
      </c>
      <c r="B4428" t="str">
        <f>"1552376623261657"</f>
        <v>1552376623261657</v>
      </c>
      <c r="C4428" t="s">
        <v>40</v>
      </c>
      <c r="D4428">
        <v>5.4779070000000001</v>
      </c>
      <c r="E4428">
        <v>0.59466450000000004</v>
      </c>
      <c r="F4428" t="s">
        <v>69</v>
      </c>
      <c r="G4428">
        <v>-194.9562</v>
      </c>
      <c r="H4428" s="1">
        <v>-1.46402799999999E-5</v>
      </c>
      <c r="I4428">
        <v>158.27610000000001</v>
      </c>
      <c r="J4428">
        <v>-192.31299999999999</v>
      </c>
      <c r="K4428">
        <v>1.10554</v>
      </c>
      <c r="L4428">
        <v>164.48169999999999</v>
      </c>
      <c r="M4428">
        <v>-1.2977139999999999E-3</v>
      </c>
      <c r="N4428">
        <v>0</v>
      </c>
      <c r="O4428">
        <v>-0.9999055</v>
      </c>
      <c r="P4428">
        <v>-0.150097799999999</v>
      </c>
      <c r="Q4428">
        <v>6.9790449999999997E-3</v>
      </c>
      <c r="R4428">
        <v>-0.98864660000000004</v>
      </c>
      <c r="S4428">
        <v>-1.172852</v>
      </c>
      <c r="T4428">
        <v>-0.48955609999999999</v>
      </c>
      <c r="U4428">
        <v>-2.866196</v>
      </c>
      <c r="V4428">
        <v>0.14904600000000001</v>
      </c>
      <c r="W4428">
        <v>1.8758449999999999E-2</v>
      </c>
      <c r="X4428">
        <v>0.98865230000000004</v>
      </c>
      <c r="Y4428">
        <v>0.37287209999999898</v>
      </c>
      <c r="Z4428">
        <v>0.15618089999999901</v>
      </c>
      <c r="AA4428">
        <v>0.91464409999999896</v>
      </c>
      <c r="AB4428">
        <v>26</v>
      </c>
      <c r="AC4428">
        <v>-2.6432000000000002</v>
      </c>
      <c r="AD4428">
        <v>-1.1055546402800001</v>
      </c>
      <c r="AE4428">
        <v>-6.2055999999999703</v>
      </c>
      <c r="AF4428">
        <v>2.5662027958844602</v>
      </c>
      <c r="AG4428">
        <v>-1.1055546402800001</v>
      </c>
      <c r="AH4428">
        <v>6.0465835302141997</v>
      </c>
      <c r="AI4428">
        <v>99.553847653695797</v>
      </c>
      <c r="AJ4428">
        <v>67.003369373431696</v>
      </c>
      <c r="AK4428">
        <v>6.6609924365748601</v>
      </c>
      <c r="AL4428">
        <v>88.925156921067796</v>
      </c>
      <c r="AM4428">
        <v>81.426835056695694</v>
      </c>
      <c r="AN4428">
        <v>0.99999997992884604</v>
      </c>
    </row>
    <row r="4429" spans="1:40" x14ac:dyDescent="0.25">
      <c r="A4429" t="str">
        <f>"20190312154343302"</f>
        <v>20190312154343302</v>
      </c>
      <c r="B4429" t="str">
        <f>"1552376623291910"</f>
        <v>1552376623291910</v>
      </c>
      <c r="C4429" t="s">
        <v>40</v>
      </c>
      <c r="D4429">
        <v>5.311375</v>
      </c>
      <c r="E4429">
        <v>0.59442280000000003</v>
      </c>
      <c r="F4429" t="s">
        <v>69</v>
      </c>
      <c r="G4429">
        <v>-194.9922</v>
      </c>
      <c r="H4429" s="1">
        <v>-1.4582779999999901E-5</v>
      </c>
      <c r="I4429">
        <v>158.04750000000001</v>
      </c>
      <c r="J4429">
        <v>-192.3262</v>
      </c>
      <c r="K4429">
        <v>1.1052409999999999</v>
      </c>
      <c r="L4429">
        <v>164.083</v>
      </c>
      <c r="M4429">
        <v>-1.2094560000000001E-2</v>
      </c>
      <c r="N4429">
        <v>0</v>
      </c>
      <c r="O4429">
        <v>-0.99983259999999996</v>
      </c>
      <c r="P4429">
        <v>-0.16224769999999999</v>
      </c>
      <c r="Q4429">
        <v>8.0821209999999994E-3</v>
      </c>
      <c r="R4429">
        <v>-0.98671699999999996</v>
      </c>
      <c r="S4429">
        <v>-1.1897740000000001</v>
      </c>
      <c r="T4429">
        <v>-0.49095729999999999</v>
      </c>
      <c r="U4429">
        <v>-2.8572850000000001</v>
      </c>
      <c r="V4429">
        <v>0.15055969999999999</v>
      </c>
      <c r="W4429">
        <v>1.9773929999999999E-2</v>
      </c>
      <c r="X4429">
        <v>0.98840309999999998</v>
      </c>
      <c r="Y4429">
        <v>0.36844779999999999</v>
      </c>
      <c r="Z4429">
        <v>0.1570184</v>
      </c>
      <c r="AA4429">
        <v>0.9162922</v>
      </c>
      <c r="AB4429">
        <v>26</v>
      </c>
      <c r="AC4429">
        <v>-2.6659999999999902</v>
      </c>
      <c r="AD4429">
        <v>-1.1052555827799999</v>
      </c>
      <c r="AE4429">
        <v>-6.0354999999999803</v>
      </c>
      <c r="AF4429">
        <v>2.5220329533557102</v>
      </c>
      <c r="AG4429">
        <v>-1.1052555827799999</v>
      </c>
      <c r="AH4429">
        <v>5.9017034065750904</v>
      </c>
      <c r="AI4429">
        <v>99.771166163829207</v>
      </c>
      <c r="AJ4429">
        <v>66.861051469568096</v>
      </c>
      <c r="AK4429">
        <v>6.5124759669620698</v>
      </c>
      <c r="AL4429">
        <v>88.866963375125906</v>
      </c>
      <c r="AM4429">
        <v>81.338929819053206</v>
      </c>
      <c r="AN4429">
        <v>0.99999995983067103</v>
      </c>
    </row>
    <row r="4430" spans="1:40" x14ac:dyDescent="0.25">
      <c r="A4430" t="str">
        <f>"20190312154343325"</f>
        <v>20190312154343325</v>
      </c>
      <c r="B4430" t="str">
        <f>"1552376623322169"</f>
        <v>1552376623322169</v>
      </c>
      <c r="C4430" t="s">
        <v>40</v>
      </c>
      <c r="D4430">
        <v>5.2411979999999998</v>
      </c>
      <c r="E4430">
        <v>0.59453919999999905</v>
      </c>
      <c r="F4430" t="s">
        <v>69</v>
      </c>
      <c r="G4430">
        <v>-195.09989999999999</v>
      </c>
      <c r="H4430" s="1">
        <v>-1.4477220000000001E-5</v>
      </c>
      <c r="I4430">
        <v>157.62809999999999</v>
      </c>
      <c r="J4430">
        <v>-192.33760000000001</v>
      </c>
      <c r="K4430">
        <v>1.1050500000000001</v>
      </c>
      <c r="L4430">
        <v>163.8176</v>
      </c>
      <c r="M4430">
        <v>-1.9599129999999999E-2</v>
      </c>
      <c r="N4430">
        <v>0</v>
      </c>
      <c r="O4430">
        <v>-0.99971330000000003</v>
      </c>
      <c r="P4430">
        <v>-0.1706057</v>
      </c>
      <c r="Q4430">
        <v>7.3367989999999998E-3</v>
      </c>
      <c r="R4430">
        <v>-0.98531199999999997</v>
      </c>
      <c r="S4430">
        <v>-1.221832</v>
      </c>
      <c r="T4430">
        <v>-0.48687269999999999</v>
      </c>
      <c r="U4430">
        <v>-2.843445</v>
      </c>
      <c r="V4430">
        <v>0.15151789999999901</v>
      </c>
      <c r="W4430">
        <v>1.8975369999999998E-2</v>
      </c>
      <c r="X4430">
        <v>0.98827240000000005</v>
      </c>
      <c r="Y4430">
        <v>0.37188769999999999</v>
      </c>
      <c r="Z4430">
        <v>0.1559682</v>
      </c>
      <c r="AA4430">
        <v>0.91508109999999998</v>
      </c>
      <c r="AB4430">
        <v>26</v>
      </c>
      <c r="AC4430">
        <v>-2.7622999999999802</v>
      </c>
      <c r="AD4430">
        <v>-1.10506447722</v>
      </c>
      <c r="AE4430">
        <v>-6.1894999999999998</v>
      </c>
      <c r="AF4430">
        <v>2.57207887174674</v>
      </c>
      <c r="AG4430">
        <v>-1.10506447722</v>
      </c>
      <c r="AH4430">
        <v>6.0808164360332597</v>
      </c>
      <c r="AI4430">
        <v>99.501677243275395</v>
      </c>
      <c r="AJ4430">
        <v>67.072488943257</v>
      </c>
      <c r="AK4430">
        <v>6.6942576698265599</v>
      </c>
      <c r="AL4430">
        <v>88.912726170427106</v>
      </c>
      <c r="AM4430">
        <v>81.283517389121698</v>
      </c>
      <c r="AN4430">
        <v>1.0000000376444</v>
      </c>
    </row>
    <row r="4431" spans="1:40" x14ac:dyDescent="0.25">
      <c r="A4431" t="str">
        <f>"20190312154343348"</f>
        <v>20190312154343348</v>
      </c>
      <c r="B4431" t="str">
        <f>"1552376623341688"</f>
        <v>1552376623341688</v>
      </c>
      <c r="C4431" t="s">
        <v>40</v>
      </c>
      <c r="D4431">
        <v>5.2935129999999999</v>
      </c>
      <c r="E4431">
        <v>0.59476329999999999</v>
      </c>
      <c r="F4431" t="s">
        <v>69</v>
      </c>
      <c r="G4431">
        <v>-195.16300000000001</v>
      </c>
      <c r="H4431" s="1">
        <v>-1.4418549999999999E-5</v>
      </c>
      <c r="I4431">
        <v>157.39490000000001</v>
      </c>
      <c r="J4431">
        <v>-192.35149999999999</v>
      </c>
      <c r="K4431">
        <v>1.104857</v>
      </c>
      <c r="L4431">
        <v>163.54640000000001</v>
      </c>
      <c r="M4431">
        <v>-2.7579090000000001E-2</v>
      </c>
      <c r="N4431">
        <v>0</v>
      </c>
      <c r="O4431">
        <v>-0.99952470000000004</v>
      </c>
      <c r="P4431">
        <v>-0.17879389999999901</v>
      </c>
      <c r="Q4431">
        <v>5.7358690000000002E-3</v>
      </c>
      <c r="R4431">
        <v>-0.98387020000000003</v>
      </c>
      <c r="S4431">
        <v>-1.246094</v>
      </c>
      <c r="T4431">
        <v>-0.48736109999999999</v>
      </c>
      <c r="U4431">
        <v>-2.8325650000000002</v>
      </c>
      <c r="V4431">
        <v>0.15183469999999999</v>
      </c>
      <c r="W4431">
        <v>1.7327220000000001E-2</v>
      </c>
      <c r="X4431">
        <v>0.98825399999999997</v>
      </c>
      <c r="Y4431">
        <v>0.37233300000000003</v>
      </c>
      <c r="Z4431">
        <v>0.15634909999999999</v>
      </c>
      <c r="AA4431">
        <v>0.91483499999999995</v>
      </c>
      <c r="AB4431">
        <v>26</v>
      </c>
      <c r="AC4431">
        <v>-2.8114999999999899</v>
      </c>
      <c r="AD4431">
        <v>-1.1048714185499999</v>
      </c>
      <c r="AE4431">
        <v>-6.1514999999999898</v>
      </c>
      <c r="AF4431">
        <v>2.5721231235204001</v>
      </c>
      <c r="AG4431">
        <v>-1.1048714185499999</v>
      </c>
      <c r="AH4431">
        <v>6.0648618125690197</v>
      </c>
      <c r="AI4431">
        <v>99.5208215840603</v>
      </c>
      <c r="AJ4431">
        <v>67.018077237623601</v>
      </c>
      <c r="AK4431">
        <v>6.6797535148862304</v>
      </c>
      <c r="AL4431">
        <v>89.007173727961998</v>
      </c>
      <c r="AM4431">
        <v>81.265413243913997</v>
      </c>
      <c r="AN4431">
        <v>0.99999998859650896</v>
      </c>
    </row>
    <row r="4432" spans="1:40" x14ac:dyDescent="0.25">
      <c r="A4432" t="str">
        <f>"20190312154343370"</f>
        <v>20190312154343370</v>
      </c>
      <c r="B4432" t="str">
        <f>"1552376623362184"</f>
        <v>1552376623362184</v>
      </c>
      <c r="C4432" t="s">
        <v>40</v>
      </c>
      <c r="D4432">
        <v>5.401662</v>
      </c>
      <c r="E4432">
        <v>0.59500330000000001</v>
      </c>
      <c r="F4432" t="s">
        <v>69</v>
      </c>
      <c r="G4432">
        <v>-195.22470000000001</v>
      </c>
      <c r="H4432" s="1">
        <v>-1.436187E-5</v>
      </c>
      <c r="I4432">
        <v>157.1696</v>
      </c>
      <c r="J4432">
        <v>-192.36760000000001</v>
      </c>
      <c r="K4432">
        <v>1.1046549999999999</v>
      </c>
      <c r="L4432">
        <v>163.2834</v>
      </c>
      <c r="M4432">
        <v>-3.5681549999999999E-2</v>
      </c>
      <c r="N4432">
        <v>0</v>
      </c>
      <c r="O4432">
        <v>-0.99926780000000004</v>
      </c>
      <c r="P4432">
        <v>-0.18724579999999999</v>
      </c>
      <c r="Q4432">
        <v>5.0691740000000001E-3</v>
      </c>
      <c r="R4432">
        <v>-0.9822999</v>
      </c>
      <c r="S4432">
        <v>-1.271072</v>
      </c>
      <c r="T4432">
        <v>-0.48878339999999998</v>
      </c>
      <c r="U4432">
        <v>-2.8210449999999998</v>
      </c>
      <c r="V4432">
        <v>0.1523186</v>
      </c>
      <c r="W4432">
        <v>1.6610159999999999E-2</v>
      </c>
      <c r="X4432">
        <v>0.98819179999999995</v>
      </c>
      <c r="Y4432">
        <v>0.37291530000000001</v>
      </c>
      <c r="Z4432">
        <v>0.15702060000000001</v>
      </c>
      <c r="AA4432">
        <v>0.91448280000000004</v>
      </c>
      <c r="AB4432">
        <v>26</v>
      </c>
      <c r="AC4432">
        <v>-2.8571</v>
      </c>
      <c r="AD4432">
        <v>-1.1046693618700001</v>
      </c>
      <c r="AE4432">
        <v>-6.1137999999999897</v>
      </c>
      <c r="AF4432">
        <v>2.5682917892385899</v>
      </c>
      <c r="AG4432">
        <v>-1.1046693618700001</v>
      </c>
      <c r="AH4432">
        <v>6.0497572244012696</v>
      </c>
      <c r="AI4432">
        <v>99.541009135769201</v>
      </c>
      <c r="AJ4432">
        <v>66.997414416824</v>
      </c>
      <c r="AK4432">
        <v>6.6645314604944303</v>
      </c>
      <c r="AL4432">
        <v>89.048264114143805</v>
      </c>
      <c r="AM4432">
        <v>81.237464316842804</v>
      </c>
      <c r="AN4432">
        <v>0.99999994345421095</v>
      </c>
    </row>
    <row r="4433" spans="1:40" x14ac:dyDescent="0.25">
      <c r="A4433" t="str">
        <f>"20190312154343391"</f>
        <v>20190312154343391</v>
      </c>
      <c r="B4433" t="str">
        <f>"1552376623381702"</f>
        <v>1552376623381702</v>
      </c>
      <c r="C4433" t="s">
        <v>40</v>
      </c>
      <c r="D4433">
        <v>5.2608509999999997</v>
      </c>
      <c r="E4433">
        <v>0.59502630000000001</v>
      </c>
      <c r="F4433" t="s">
        <v>69</v>
      </c>
      <c r="G4433">
        <v>-195.30529999999999</v>
      </c>
      <c r="H4433" s="1">
        <v>-1.42953E-5</v>
      </c>
      <c r="I4433">
        <v>156.9205</v>
      </c>
      <c r="J4433">
        <v>-192.38550000000001</v>
      </c>
      <c r="K4433">
        <v>1.1044419999999999</v>
      </c>
      <c r="L4433">
        <v>163.02959999999999</v>
      </c>
      <c r="M4433">
        <v>-4.380821E-2</v>
      </c>
      <c r="N4433">
        <v>0</v>
      </c>
      <c r="O4433">
        <v>-0.9989439</v>
      </c>
      <c r="P4433">
        <v>-0.19485640000000001</v>
      </c>
      <c r="Q4433">
        <v>6.2024510000000003E-3</v>
      </c>
      <c r="R4433">
        <v>-0.98081240000000003</v>
      </c>
      <c r="S4433">
        <v>-1.297058</v>
      </c>
      <c r="T4433">
        <v>-0.48773149999999998</v>
      </c>
      <c r="U4433">
        <v>-2.8092959999999998</v>
      </c>
      <c r="V4433">
        <v>0.1519684</v>
      </c>
      <c r="W4433">
        <v>1.7705769999999999E-2</v>
      </c>
      <c r="X4433">
        <v>0.98822679999999996</v>
      </c>
      <c r="Y4433">
        <v>0.3738242</v>
      </c>
      <c r="Z4433">
        <v>0.15688650000000001</v>
      </c>
      <c r="AA4433">
        <v>0.91413460000000002</v>
      </c>
      <c r="AB4433">
        <v>26</v>
      </c>
      <c r="AC4433">
        <v>-2.91979999999998</v>
      </c>
      <c r="AD4433">
        <v>-1.1044562952999999</v>
      </c>
      <c r="AE4433">
        <v>-6.1090999999999802</v>
      </c>
      <c r="AF4433">
        <v>2.5806783520960699</v>
      </c>
      <c r="AG4433">
        <v>-1.1044562952999999</v>
      </c>
      <c r="AH4433">
        <v>6.0696631385267503</v>
      </c>
      <c r="AI4433">
        <v>99.506312041217598</v>
      </c>
      <c r="AJ4433">
        <v>66.965941203309598</v>
      </c>
      <c r="AK4433">
        <v>6.6873414059995104</v>
      </c>
      <c r="AL4433">
        <v>88.985481142888204</v>
      </c>
      <c r="AM4433">
        <v>81.257603755548203</v>
      </c>
      <c r="AN4433">
        <v>1.0000000485640399</v>
      </c>
    </row>
    <row r="4434" spans="1:40" x14ac:dyDescent="0.25">
      <c r="A4434" t="str">
        <f>"20190312154343412"</f>
        <v>20190312154343412</v>
      </c>
      <c r="B4434" t="str">
        <f>"1552376623402198"</f>
        <v>1552376623402198</v>
      </c>
      <c r="C4434" t="s">
        <v>40</v>
      </c>
      <c r="D4434">
        <v>5.2666079999999997</v>
      </c>
      <c r="E4434">
        <v>0.59504679999999999</v>
      </c>
      <c r="F4434" t="s">
        <v>69</v>
      </c>
      <c r="G4434">
        <v>-195.40639999999999</v>
      </c>
      <c r="H4434" s="1">
        <v>-1.41743799999999E-5</v>
      </c>
      <c r="I4434">
        <v>156.61779999999999</v>
      </c>
      <c r="J4434">
        <v>-192.40610000000001</v>
      </c>
      <c r="K4434">
        <v>1.1042419999999999</v>
      </c>
      <c r="L4434">
        <v>162.77199999999999</v>
      </c>
      <c r="M4434">
        <v>-5.2326919999999999E-2</v>
      </c>
      <c r="N4434">
        <v>0</v>
      </c>
      <c r="O4434">
        <v>-0.99853340000000002</v>
      </c>
      <c r="P4434">
        <v>-0.20335619999999999</v>
      </c>
      <c r="Q4434">
        <v>6.1594700000000002E-3</v>
      </c>
      <c r="R4434">
        <v>-0.97908550000000005</v>
      </c>
      <c r="S4434">
        <v>-1.3190919999999999</v>
      </c>
      <c r="T4434">
        <v>-0.48225249999999997</v>
      </c>
      <c r="U4434">
        <v>-2.7996829999999999</v>
      </c>
      <c r="V4434">
        <v>0.1521197</v>
      </c>
      <c r="W4434">
        <v>1.7621390000000001E-2</v>
      </c>
      <c r="X4434">
        <v>0.988205</v>
      </c>
      <c r="Y4434">
        <v>0.37313639999999998</v>
      </c>
      <c r="Z4434">
        <v>0.1553272</v>
      </c>
      <c r="AA4434">
        <v>0.91468170000000004</v>
      </c>
      <c r="AB4434">
        <v>26</v>
      </c>
      <c r="AC4434">
        <v>-3.0002999999999802</v>
      </c>
      <c r="AD4434">
        <v>-1.1042561743799999</v>
      </c>
      <c r="AE4434">
        <v>-6.1542000000000296</v>
      </c>
      <c r="AF4434">
        <v>2.6063291505781501</v>
      </c>
      <c r="AG4434">
        <v>-1.1042561743799999</v>
      </c>
      <c r="AH4434">
        <v>6.1429817968043103</v>
      </c>
      <c r="AI4434">
        <v>99.396198390811804</v>
      </c>
      <c r="AJ4434">
        <v>67.009578551388699</v>
      </c>
      <c r="AK4434">
        <v>6.7637680841139796</v>
      </c>
      <c r="AL4434">
        <v>88.990316485330496</v>
      </c>
      <c r="AM4434">
        <v>81.248844416017107</v>
      </c>
      <c r="AN4434">
        <v>1.0000000192693099</v>
      </c>
    </row>
    <row r="4435" spans="1:40" x14ac:dyDescent="0.25">
      <c r="A4435" t="str">
        <f>"20190312154343434"</f>
        <v>20190312154343434</v>
      </c>
      <c r="B4435" t="str">
        <f>"1552376623431478"</f>
        <v>1552376623431478</v>
      </c>
      <c r="C4435" t="s">
        <v>40</v>
      </c>
      <c r="D4435">
        <v>5.2207290000000004</v>
      </c>
      <c r="E4435">
        <v>0.5949643</v>
      </c>
      <c r="F4435" t="s">
        <v>69</v>
      </c>
      <c r="G4435">
        <v>-195.4949</v>
      </c>
      <c r="H4435" s="1">
        <v>-1.4073079999999999E-5</v>
      </c>
      <c r="I4435">
        <v>156.36330000000001</v>
      </c>
      <c r="J4435">
        <v>-192.42869999999999</v>
      </c>
      <c r="K4435">
        <v>1.1040559999999999</v>
      </c>
      <c r="L4435">
        <v>162.51929999999999</v>
      </c>
      <c r="M4435">
        <v>-6.0939550000000002E-2</v>
      </c>
      <c r="N4435">
        <v>0</v>
      </c>
      <c r="O4435">
        <v>-0.99804440000000005</v>
      </c>
      <c r="P4435">
        <v>-0.21101719999999999</v>
      </c>
      <c r="Q4435">
        <v>6.3379860000000003E-3</v>
      </c>
      <c r="R4435">
        <v>-0.97746219999999995</v>
      </c>
      <c r="S4435">
        <v>-1.3437650000000001</v>
      </c>
      <c r="T4435">
        <v>-0.48039320000000002</v>
      </c>
      <c r="U4435">
        <v>-2.7880099999999999</v>
      </c>
      <c r="V4435">
        <v>0.15134410000000001</v>
      </c>
      <c r="W4435">
        <v>1.7776810000000001E-2</v>
      </c>
      <c r="X4435">
        <v>0.98832129999999996</v>
      </c>
      <c r="Y4435">
        <v>0.37324600000000002</v>
      </c>
      <c r="Z4435">
        <v>0.15492259999999999</v>
      </c>
      <c r="AA4435">
        <v>0.91470560000000001</v>
      </c>
      <c r="AB4435">
        <v>26</v>
      </c>
      <c r="AC4435">
        <v>-3.0661999999999998</v>
      </c>
      <c r="AD4435">
        <v>-1.1040700730799999</v>
      </c>
      <c r="AE4435">
        <v>-6.1559999999999704</v>
      </c>
      <c r="AF4435">
        <v>2.6178522446845802</v>
      </c>
      <c r="AG4435">
        <v>-1.1040700730799999</v>
      </c>
      <c r="AH4435">
        <v>6.1723525371124204</v>
      </c>
      <c r="AI4435">
        <v>99.351232657751794</v>
      </c>
      <c r="AJ4435">
        <v>67.016959777426607</v>
      </c>
      <c r="AK4435">
        <v>6.79485518194973</v>
      </c>
      <c r="AL4435">
        <v>88.981410182930006</v>
      </c>
      <c r="AM4435">
        <v>81.293786600273194</v>
      </c>
      <c r="AN4435">
        <v>1.00000002180613</v>
      </c>
    </row>
    <row r="4436" spans="1:40" x14ac:dyDescent="0.25">
      <c r="A4436" t="str">
        <f>"20190312154343458"</f>
        <v>20190312154343458</v>
      </c>
      <c r="B4436" t="str">
        <f>"1552376623451975"</f>
        <v>1552376623451975</v>
      </c>
      <c r="C4436" t="s">
        <v>40</v>
      </c>
      <c r="D4436">
        <v>5.2454519999999896</v>
      </c>
      <c r="E4436">
        <v>0.5948793</v>
      </c>
      <c r="F4436" t="s">
        <v>69</v>
      </c>
      <c r="G4436">
        <v>-195.59389999999999</v>
      </c>
      <c r="H4436" s="1">
        <v>-1.3960399999999999E-5</v>
      </c>
      <c r="I4436">
        <v>156.08019999999999</v>
      </c>
      <c r="J4436">
        <v>-192.45670000000001</v>
      </c>
      <c r="K4436">
        <v>1.103869</v>
      </c>
      <c r="L4436">
        <v>162.23849999999999</v>
      </c>
      <c r="M4436">
        <v>-7.0828530000000001E-2</v>
      </c>
      <c r="N4436">
        <v>0</v>
      </c>
      <c r="O4436">
        <v>-0.99739089999999997</v>
      </c>
      <c r="P4436">
        <v>-0.22053880000000001</v>
      </c>
      <c r="Q4436">
        <v>6.6906099999999996E-3</v>
      </c>
      <c r="R4436">
        <v>-0.97535519999999998</v>
      </c>
      <c r="S4436">
        <v>-1.365326</v>
      </c>
      <c r="T4436">
        <v>-0.47624149999999998</v>
      </c>
      <c r="U4436">
        <v>-2.7775270000000001</v>
      </c>
      <c r="V4436">
        <v>0.151200799999999</v>
      </c>
      <c r="W4436">
        <v>1.809672E-2</v>
      </c>
      <c r="X4436">
        <v>0.98833740000000003</v>
      </c>
      <c r="Y4436">
        <v>0.37123420000000001</v>
      </c>
      <c r="Z4436">
        <v>0.15379699999999999</v>
      </c>
      <c r="AA4436">
        <v>0.91571369999999996</v>
      </c>
      <c r="AB4436">
        <v>26</v>
      </c>
      <c r="AC4436">
        <v>-3.1371999999999698</v>
      </c>
      <c r="AD4436">
        <v>-1.1038829604</v>
      </c>
      <c r="AE4436">
        <v>-6.1582999999999899</v>
      </c>
      <c r="AF4436">
        <v>2.6261001590208499</v>
      </c>
      <c r="AG4436">
        <v>-1.1038829604</v>
      </c>
      <c r="AH4436">
        <v>6.2067181354669003</v>
      </c>
      <c r="AI4436">
        <v>99.302160740072594</v>
      </c>
      <c r="AJ4436">
        <v>67.066482797161399</v>
      </c>
      <c r="AK4436">
        <v>6.8292246740464302</v>
      </c>
      <c r="AL4436">
        <v>88.963077713072295</v>
      </c>
      <c r="AM4436">
        <v>81.302043463436505</v>
      </c>
      <c r="AN4436">
        <v>0.99999999471707901</v>
      </c>
    </row>
    <row r="4437" spans="1:40" x14ac:dyDescent="0.25">
      <c r="A4437" t="str">
        <f>"20190312154343480"</f>
        <v>20190312154343480</v>
      </c>
      <c r="B4437" t="str">
        <f>"1552376623471494"</f>
        <v>1552376623471494</v>
      </c>
      <c r="C4437" t="s">
        <v>40</v>
      </c>
      <c r="D4437">
        <v>5.2809480000000004</v>
      </c>
      <c r="E4437">
        <v>0.59475409999999995</v>
      </c>
      <c r="F4437" t="s">
        <v>69</v>
      </c>
      <c r="G4437">
        <v>-195.7079</v>
      </c>
      <c r="H4437" s="1">
        <v>-1.384259E-5</v>
      </c>
      <c r="I4437">
        <v>155.78200000000001</v>
      </c>
      <c r="J4437">
        <v>-192.48439999999999</v>
      </c>
      <c r="K4437">
        <v>1.103702</v>
      </c>
      <c r="L4437">
        <v>161.98849999999999</v>
      </c>
      <c r="M4437">
        <v>-7.9907530000000004E-2</v>
      </c>
      <c r="N4437">
        <v>0</v>
      </c>
      <c r="O4437">
        <v>-0.99670420000000004</v>
      </c>
      <c r="P4437">
        <v>-0.22951959999999999</v>
      </c>
      <c r="Q4437">
        <v>7.2494609999999996E-3</v>
      </c>
      <c r="R4437">
        <v>-0.97327730000000001</v>
      </c>
      <c r="S4437">
        <v>-1.391937</v>
      </c>
      <c r="T4437">
        <v>-0.47261920000000002</v>
      </c>
      <c r="U4437">
        <v>-2.7642820000000001</v>
      </c>
      <c r="V4437">
        <v>0.15132860000000001</v>
      </c>
      <c r="W4437">
        <v>1.8624959999999999E-2</v>
      </c>
      <c r="X4437">
        <v>0.98830799999999996</v>
      </c>
      <c r="Y4437">
        <v>0.37166149999999998</v>
      </c>
      <c r="Z4437">
        <v>0.15282009999999999</v>
      </c>
      <c r="AA4437">
        <v>0.91570399999999996</v>
      </c>
      <c r="AB4437">
        <v>26</v>
      </c>
      <c r="AC4437">
        <v>-3.2235</v>
      </c>
      <c r="AD4437">
        <v>-1.10371584259</v>
      </c>
      <c r="AE4437">
        <v>-6.2064999999999699</v>
      </c>
      <c r="AF4437">
        <v>2.6511658103490698</v>
      </c>
      <c r="AG4437">
        <v>-1.10371584259</v>
      </c>
      <c r="AH4437">
        <v>6.2876566504611402</v>
      </c>
      <c r="AI4437">
        <v>99.187829521048201</v>
      </c>
      <c r="AJ4437">
        <v>67.137469935932202</v>
      </c>
      <c r="AK4437">
        <v>6.9124160008810396</v>
      </c>
      <c r="AL4437">
        <v>88.932806659181495</v>
      </c>
      <c r="AM4437">
        <v>81.294549236637195</v>
      </c>
      <c r="AN4437">
        <v>0.99999996858847995</v>
      </c>
    </row>
    <row r="4438" spans="1:40" x14ac:dyDescent="0.25">
      <c r="A4438" t="str">
        <f>"20190312154343502"</f>
        <v>20190312154343502</v>
      </c>
      <c r="B4438" t="str">
        <f>"1552376623491991"</f>
        <v>1552376623491991</v>
      </c>
      <c r="C4438" t="s">
        <v>40</v>
      </c>
      <c r="D4438">
        <v>5.2817759999999998</v>
      </c>
      <c r="E4438">
        <v>0.59457490000000002</v>
      </c>
      <c r="F4438" t="s">
        <v>69</v>
      </c>
      <c r="G4438">
        <v>-195.8185</v>
      </c>
      <c r="H4438" s="1">
        <v>-1.3736179999999999E-5</v>
      </c>
      <c r="I4438">
        <v>155.5111</v>
      </c>
      <c r="J4438">
        <v>-192.5163</v>
      </c>
      <c r="K4438">
        <v>1.103518</v>
      </c>
      <c r="L4438">
        <v>161.72479999999999</v>
      </c>
      <c r="M4438">
        <v>-8.9765410000000004E-2</v>
      </c>
      <c r="N4438">
        <v>0</v>
      </c>
      <c r="O4438">
        <v>-0.99586399999999997</v>
      </c>
      <c r="P4438">
        <v>-0.23954990000000001</v>
      </c>
      <c r="Q4438">
        <v>7.2674890000000002E-3</v>
      </c>
      <c r="R4438">
        <v>-0.97085690000000002</v>
      </c>
      <c r="S4438">
        <v>-1.416458</v>
      </c>
      <c r="T4438">
        <v>-0.46890159999999997</v>
      </c>
      <c r="U4438">
        <v>-2.7518310000000001</v>
      </c>
      <c r="V4438">
        <v>0.1517568</v>
      </c>
      <c r="W4438">
        <v>1.8606850000000001E-2</v>
      </c>
      <c r="X4438">
        <v>0.98824270000000003</v>
      </c>
      <c r="Y4438">
        <v>0.3707046</v>
      </c>
      <c r="Z4438">
        <v>0.1517984</v>
      </c>
      <c r="AA4438">
        <v>0.91626160000000001</v>
      </c>
      <c r="AB4438">
        <v>26</v>
      </c>
      <c r="AC4438">
        <v>-3.3021999999999898</v>
      </c>
      <c r="AD4438">
        <v>-1.1035317361799999</v>
      </c>
      <c r="AE4438">
        <v>-6.2136999999999798</v>
      </c>
      <c r="AF4438">
        <v>2.6654799685433002</v>
      </c>
      <c r="AG4438">
        <v>-1.1035317361799999</v>
      </c>
      <c r="AH4438">
        <v>6.3293947508094499</v>
      </c>
      <c r="AI4438">
        <v>99.128434733747596</v>
      </c>
      <c r="AJ4438">
        <v>67.162719309341796</v>
      </c>
      <c r="AK4438">
        <v>6.9558467253840703</v>
      </c>
      <c r="AL4438">
        <v>88.933844485957195</v>
      </c>
      <c r="AM4438">
        <v>81.269727249019695</v>
      </c>
      <c r="AN4438">
        <v>0.99999998765822595</v>
      </c>
    </row>
    <row r="4439" spans="1:40" x14ac:dyDescent="0.25">
      <c r="A4439" t="str">
        <f>"20190312154343527"</f>
        <v>20190312154343527</v>
      </c>
      <c r="B4439" t="str">
        <f>"1552376623522248"</f>
        <v>1552376623522248</v>
      </c>
      <c r="C4439" t="s">
        <v>40</v>
      </c>
      <c r="D4439">
        <v>5.2894100000000002</v>
      </c>
      <c r="E4439">
        <v>0.59426000000000001</v>
      </c>
      <c r="F4439" t="s">
        <v>69</v>
      </c>
      <c r="G4439">
        <v>-195.92410000000001</v>
      </c>
      <c r="H4439" s="1">
        <v>-1.3638539999999999E-5</v>
      </c>
      <c r="I4439">
        <v>155.26169999999999</v>
      </c>
      <c r="J4439">
        <v>-192.55279999999999</v>
      </c>
      <c r="K4439">
        <v>1.103324</v>
      </c>
      <c r="L4439">
        <v>161.44839999999999</v>
      </c>
      <c r="M4439">
        <v>-0.10039240000000001</v>
      </c>
      <c r="N4439">
        <v>0</v>
      </c>
      <c r="O4439">
        <v>-0.99484850000000002</v>
      </c>
      <c r="P4439">
        <v>-0.2501736</v>
      </c>
      <c r="Q4439">
        <v>6.4483369999999898E-3</v>
      </c>
      <c r="R4439">
        <v>-0.96818009999999999</v>
      </c>
      <c r="S4439">
        <v>-1.4433590000000001</v>
      </c>
      <c r="T4439">
        <v>-0.46739510000000001</v>
      </c>
      <c r="U4439">
        <v>-2.7374109999999998</v>
      </c>
      <c r="V4439">
        <v>0.15202950000000001</v>
      </c>
      <c r="W4439">
        <v>1.7753930000000001E-2</v>
      </c>
      <c r="X4439">
        <v>0.98821650000000005</v>
      </c>
      <c r="Y4439">
        <v>0.36986829999999998</v>
      </c>
      <c r="Z4439">
        <v>0.15148889999999901</v>
      </c>
      <c r="AA4439">
        <v>0.91665070000000004</v>
      </c>
      <c r="AB4439">
        <v>26</v>
      </c>
      <c r="AC4439">
        <v>-3.3713000000000202</v>
      </c>
      <c r="AD4439">
        <v>-1.10333763854</v>
      </c>
      <c r="AE4439">
        <v>-6.1867000000000001</v>
      </c>
      <c r="AF4439">
        <v>2.6676852782051901</v>
      </c>
      <c r="AG4439">
        <v>-1.10333763854</v>
      </c>
      <c r="AH4439">
        <v>6.3384845953055597</v>
      </c>
      <c r="AI4439">
        <v>99.114807856975304</v>
      </c>
      <c r="AJ4439">
        <v>67.175178862178299</v>
      </c>
      <c r="AK4439">
        <v>6.96493256629938</v>
      </c>
      <c r="AL4439">
        <v>88.982721306146004</v>
      </c>
      <c r="AM4439">
        <v>81.254053399247397</v>
      </c>
      <c r="AN4439">
        <v>1.0000000108864699</v>
      </c>
    </row>
    <row r="4440" spans="1:40" x14ac:dyDescent="0.25">
      <c r="A4440" t="str">
        <f>"20190312154343547"</f>
        <v>20190312154343547</v>
      </c>
      <c r="B4440" t="str">
        <f>"1552376623541767"</f>
        <v>1552376623541767</v>
      </c>
      <c r="C4440" t="s">
        <v>40</v>
      </c>
      <c r="D4440">
        <v>5.2770449999999904</v>
      </c>
      <c r="E4440">
        <v>0.59414820000000002</v>
      </c>
      <c r="F4440" t="s">
        <v>69</v>
      </c>
      <c r="G4440">
        <v>-196.0266</v>
      </c>
      <c r="H4440" s="1">
        <v>-1.35444899999999E-5</v>
      </c>
      <c r="I4440">
        <v>155.0213</v>
      </c>
      <c r="J4440">
        <v>-192.58869999999999</v>
      </c>
      <c r="K4440">
        <v>1.1031470000000001</v>
      </c>
      <c r="L4440">
        <v>161.19899999999899</v>
      </c>
      <c r="M4440">
        <v>-0.1102403</v>
      </c>
      <c r="N4440">
        <v>0</v>
      </c>
      <c r="O4440">
        <v>-0.99380480000000004</v>
      </c>
      <c r="P4440">
        <v>-0.26050309999999999</v>
      </c>
      <c r="Q4440">
        <v>6.4882849999999999E-3</v>
      </c>
      <c r="R4440">
        <v>-0.96545139999999996</v>
      </c>
      <c r="S4440">
        <v>-1.4710080000000001</v>
      </c>
      <c r="T4440">
        <v>-0.46721550000000001</v>
      </c>
      <c r="U4440">
        <v>-2.721619</v>
      </c>
      <c r="V4440">
        <v>0.1528089</v>
      </c>
      <c r="W4440">
        <v>1.77544E-2</v>
      </c>
      <c r="X4440">
        <v>0.98809619999999998</v>
      </c>
      <c r="Y4440">
        <v>0.37010710000000002</v>
      </c>
      <c r="Z4440">
        <v>0.15160779999999999</v>
      </c>
      <c r="AA4440">
        <v>0.91653470000000004</v>
      </c>
      <c r="AB4440">
        <v>26</v>
      </c>
      <c r="AC4440">
        <v>-3.4379000000000102</v>
      </c>
      <c r="AD4440">
        <v>-1.1031605444899999</v>
      </c>
      <c r="AE4440">
        <v>-6.1776999999999802</v>
      </c>
      <c r="AF4440">
        <v>2.6708147806240201</v>
      </c>
      <c r="AG4440">
        <v>-1.1031605444899999</v>
      </c>
      <c r="AH4440">
        <v>6.3641217264807102</v>
      </c>
      <c r="AI4440">
        <v>99.081108136993393</v>
      </c>
      <c r="AJ4440">
        <v>67.233792480647594</v>
      </c>
      <c r="AK4440">
        <v>6.9894391855701103</v>
      </c>
      <c r="AL4440">
        <v>88.982694300302597</v>
      </c>
      <c r="AM4440">
        <v>81.208861133530505</v>
      </c>
      <c r="AN4440">
        <v>0.99999993954650301</v>
      </c>
    </row>
    <row r="4441" spans="1:40" x14ac:dyDescent="0.25">
      <c r="A4441" t="str">
        <f>"20190312154343571"</f>
        <v>20190312154343571</v>
      </c>
      <c r="B4441" t="str">
        <f>"1552376623562266"</f>
        <v>1552376623562266</v>
      </c>
      <c r="C4441" t="s">
        <v>40</v>
      </c>
      <c r="D4441">
        <v>5.4767150000000004</v>
      </c>
      <c r="E4441">
        <v>0.59429600000000005</v>
      </c>
      <c r="F4441" t="s">
        <v>69</v>
      </c>
      <c r="G4441">
        <v>-196.14490000000001</v>
      </c>
      <c r="H4441" s="1">
        <v>-1.345129E-5</v>
      </c>
      <c r="I4441">
        <v>154.77950000000001</v>
      </c>
      <c r="J4441">
        <v>-192.62870000000001</v>
      </c>
      <c r="K4441">
        <v>1.102981</v>
      </c>
      <c r="L4441">
        <v>160.94229999999999</v>
      </c>
      <c r="M4441">
        <v>-0.1206212</v>
      </c>
      <c r="N4441">
        <v>0</v>
      </c>
      <c r="O4441">
        <v>-0.99259759999999997</v>
      </c>
      <c r="P4441">
        <v>-0.27210800000000002</v>
      </c>
      <c r="Q4441">
        <v>6.920303E-3</v>
      </c>
      <c r="R4441">
        <v>-0.96224189999999998</v>
      </c>
      <c r="S4441">
        <v>-1.499069</v>
      </c>
      <c r="T4441">
        <v>-0.46501740000000003</v>
      </c>
      <c r="U4441">
        <v>-2.7060089999999999</v>
      </c>
      <c r="V4441">
        <v>0.15439359999999999</v>
      </c>
      <c r="W4441">
        <v>1.8133900000000001E-2</v>
      </c>
      <c r="X4441">
        <v>0.98784300000000003</v>
      </c>
      <c r="Y4441">
        <v>0.3699732</v>
      </c>
      <c r="Z4441">
        <v>0.15104020000000001</v>
      </c>
      <c r="AA4441">
        <v>0.91668240000000001</v>
      </c>
      <c r="AB4441">
        <v>26</v>
      </c>
      <c r="AC4441">
        <v>-3.5161999999999898</v>
      </c>
      <c r="AD4441">
        <v>-1.1029944512899901</v>
      </c>
      <c r="AE4441">
        <v>-6.1627999999999696</v>
      </c>
      <c r="AF4441">
        <v>2.6822637839181001</v>
      </c>
      <c r="AG4441">
        <v>-1.1029944512899901</v>
      </c>
      <c r="AH4441">
        <v>6.3876032545130297</v>
      </c>
      <c r="AI4441">
        <v>99.046145805517298</v>
      </c>
      <c r="AJ4441">
        <v>67.221632364728706</v>
      </c>
      <c r="AK4441">
        <v>7.01517006943957</v>
      </c>
      <c r="AL4441">
        <v>88.960947119482498</v>
      </c>
      <c r="AM4441">
        <v>81.116898834484502</v>
      </c>
      <c r="AN4441">
        <v>1.0000000073495801</v>
      </c>
    </row>
    <row r="4442" spans="1:40" x14ac:dyDescent="0.25">
      <c r="A4442" t="str">
        <f>"20190312154343591"</f>
        <v>20190312154343591</v>
      </c>
      <c r="B4442" t="str">
        <f>"1552376623581783"</f>
        <v>1552376623581783</v>
      </c>
      <c r="C4442" t="s">
        <v>40</v>
      </c>
      <c r="D4442">
        <v>5.4720259999999996</v>
      </c>
      <c r="E4442">
        <v>0.59452299999999902</v>
      </c>
      <c r="F4442" t="s">
        <v>69</v>
      </c>
      <c r="G4442">
        <v>-196.26259999999999</v>
      </c>
      <c r="H4442" s="1">
        <v>-1.337992E-5</v>
      </c>
      <c r="I4442">
        <v>154.56950000000001</v>
      </c>
      <c r="J4442">
        <v>-192.6711</v>
      </c>
      <c r="K4442">
        <v>1.10284</v>
      </c>
      <c r="L4442">
        <v>160.68879999999999</v>
      </c>
      <c r="M4442">
        <v>-0.1310732</v>
      </c>
      <c r="N4442">
        <v>0</v>
      </c>
      <c r="O4442">
        <v>-0.99127109999999996</v>
      </c>
      <c r="P4442">
        <v>-0.28414050000000002</v>
      </c>
      <c r="Q4442">
        <v>6.4205180000000001E-3</v>
      </c>
      <c r="R4442">
        <v>-0.95876099999999997</v>
      </c>
      <c r="S4442">
        <v>-1.532578</v>
      </c>
      <c r="T4442">
        <v>-0.4651747</v>
      </c>
      <c r="U4442">
        <v>-2.6876679999999999</v>
      </c>
      <c r="V4442">
        <v>0.15635639999999901</v>
      </c>
      <c r="W4442">
        <v>1.7579910000000001E-2</v>
      </c>
      <c r="X4442">
        <v>0.98754419999999998</v>
      </c>
      <c r="Y4442">
        <v>0.37151089999999998</v>
      </c>
      <c r="Z4442">
        <v>0.15119170000000001</v>
      </c>
      <c r="AA4442">
        <v>0.9160353</v>
      </c>
      <c r="AB4442">
        <v>26</v>
      </c>
      <c r="AC4442">
        <v>-3.5914999999999901</v>
      </c>
      <c r="AD4442">
        <v>-1.10285337992</v>
      </c>
      <c r="AE4442">
        <v>-6.1192999999999804</v>
      </c>
      <c r="AF4442">
        <v>2.6932842593144901</v>
      </c>
      <c r="AG4442">
        <v>-1.10285337992</v>
      </c>
      <c r="AH4442">
        <v>6.3830831504456196</v>
      </c>
      <c r="AI4442">
        <v>99.044867437656904</v>
      </c>
      <c r="AJ4442">
        <v>67.123126445948301</v>
      </c>
      <c r="AK4442">
        <v>7.0152559600185</v>
      </c>
      <c r="AL4442">
        <v>88.992693424735506</v>
      </c>
      <c r="AM4442">
        <v>81.003126275881897</v>
      </c>
      <c r="AN4442">
        <v>0.99999996200510299</v>
      </c>
    </row>
    <row r="4443" spans="1:40" x14ac:dyDescent="0.25">
      <c r="A4443" t="str">
        <f>"20190312154343613"</f>
        <v>20190312154343613</v>
      </c>
      <c r="B4443" t="str">
        <f>"1552376623602282"</f>
        <v>1552376623602282</v>
      </c>
      <c r="C4443" t="s">
        <v>40</v>
      </c>
      <c r="D4443">
        <v>5.4832809999999998</v>
      </c>
      <c r="E4443">
        <v>0.59471600000000002</v>
      </c>
      <c r="F4443" t="s">
        <v>69</v>
      </c>
      <c r="G4443">
        <v>-196.36529999999999</v>
      </c>
      <c r="H4443" s="1">
        <v>-1.334749E-5</v>
      </c>
      <c r="I4443">
        <v>154.40440000000001</v>
      </c>
      <c r="J4443">
        <v>-192.7174</v>
      </c>
      <c r="K4443">
        <v>1.102725</v>
      </c>
      <c r="L4443">
        <v>160.4307</v>
      </c>
      <c r="M4443">
        <v>-0.141876799999999</v>
      </c>
      <c r="N4443">
        <v>0</v>
      </c>
      <c r="O4443">
        <v>-0.98978219999999995</v>
      </c>
      <c r="P4443">
        <v>-0.29632269999999999</v>
      </c>
      <c r="Q4443">
        <v>4.9251770000000002E-3</v>
      </c>
      <c r="R4443">
        <v>-0.95507540000000002</v>
      </c>
      <c r="S4443">
        <v>-1.5680240000000001</v>
      </c>
      <c r="T4443">
        <v>-0.46811059999999999</v>
      </c>
      <c r="U4443">
        <v>-2.667465</v>
      </c>
      <c r="V4443">
        <v>0.15813289999999999</v>
      </c>
      <c r="W4443">
        <v>1.604185E-2</v>
      </c>
      <c r="X4443">
        <v>0.98728749999999998</v>
      </c>
      <c r="Y4443">
        <v>0.37340380000000001</v>
      </c>
      <c r="Z4443">
        <v>0.152228</v>
      </c>
      <c r="AA4443">
        <v>0.9150935</v>
      </c>
      <c r="AB4443">
        <v>26</v>
      </c>
      <c r="AC4443">
        <v>-3.6478999999999902</v>
      </c>
      <c r="AD4443">
        <v>-1.1027383474900001</v>
      </c>
      <c r="AE4443">
        <v>-6.0262999999999902</v>
      </c>
      <c r="AF4443">
        <v>2.6899941385159698</v>
      </c>
      <c r="AG4443">
        <v>-1.1027383474900001</v>
      </c>
      <c r="AH4443">
        <v>6.3278667122225096</v>
      </c>
      <c r="AI4443">
        <v>99.111357686217602</v>
      </c>
      <c r="AJ4443">
        <v>66.969517132045098</v>
      </c>
      <c r="AK4443">
        <v>6.9637631677081702</v>
      </c>
      <c r="AL4443">
        <v>89.080830256050106</v>
      </c>
      <c r="AM4443">
        <v>80.900279299181193</v>
      </c>
      <c r="AN4443">
        <v>0.99999998133504098</v>
      </c>
    </row>
    <row r="4444" spans="1:40" x14ac:dyDescent="0.25">
      <c r="A4444" t="str">
        <f>"20190312154343635"</f>
        <v>20190312154343635</v>
      </c>
      <c r="B4444" t="str">
        <f>"1552376623631558"</f>
        <v>1552376623631558</v>
      </c>
      <c r="C4444" t="s">
        <v>40</v>
      </c>
      <c r="D4444">
        <v>5.5000609999999996</v>
      </c>
      <c r="E4444">
        <v>0.5948116</v>
      </c>
      <c r="F4444" t="s">
        <v>69</v>
      </c>
      <c r="G4444">
        <v>-196.43049999999999</v>
      </c>
      <c r="H4444" s="1">
        <v>-1.33264E-5</v>
      </c>
      <c r="I4444">
        <v>154.29759999999999</v>
      </c>
      <c r="J4444">
        <v>-192.7645</v>
      </c>
      <c r="K4444">
        <v>1.1026469999999999</v>
      </c>
      <c r="L4444">
        <v>160.18350000000001</v>
      </c>
      <c r="M4444">
        <v>-0.1523349</v>
      </c>
      <c r="N4444">
        <v>0</v>
      </c>
      <c r="O4444">
        <v>-0.98822619999999906</v>
      </c>
      <c r="P4444">
        <v>-0.30856309999999998</v>
      </c>
      <c r="Q4444">
        <v>2.2332789999999999E-3</v>
      </c>
      <c r="R4444">
        <v>-0.95120159999999998</v>
      </c>
      <c r="S4444">
        <v>-1.6022190000000001</v>
      </c>
      <c r="T4444">
        <v>-0.47583039999999999</v>
      </c>
      <c r="U4444">
        <v>-2.646439</v>
      </c>
      <c r="V4444">
        <v>0.16032249999999901</v>
      </c>
      <c r="W4444">
        <v>1.330605E-2</v>
      </c>
      <c r="X4444">
        <v>0.98697500000000005</v>
      </c>
      <c r="Y4444">
        <v>0.37527870000000002</v>
      </c>
      <c r="Z4444">
        <v>0.1548099</v>
      </c>
      <c r="AA4444">
        <v>0.9138927</v>
      </c>
      <c r="AB4444">
        <v>26</v>
      </c>
      <c r="AC4444">
        <v>-3.6659999999999902</v>
      </c>
      <c r="AD4444">
        <v>-1.1026603263999999</v>
      </c>
      <c r="AE4444">
        <v>-5.8859000000000199</v>
      </c>
      <c r="AF4444">
        <v>2.6592431631440099</v>
      </c>
      <c r="AG4444">
        <v>-1.1026603263999999</v>
      </c>
      <c r="AH4444">
        <v>6.2184645355306198</v>
      </c>
      <c r="AI4444">
        <v>99.259929897773802</v>
      </c>
      <c r="AJ4444">
        <v>66.846674198858096</v>
      </c>
      <c r="AK4444">
        <v>6.8524984622980201</v>
      </c>
      <c r="AL4444">
        <v>89.237596996650396</v>
      </c>
      <c r="AM4444">
        <v>80.773560318071404</v>
      </c>
      <c r="AN4444">
        <v>1.00000000279892</v>
      </c>
    </row>
    <row r="4445" spans="1:40" x14ac:dyDescent="0.25">
      <c r="A4445" t="str">
        <f>"20190312154343659"</f>
        <v>20190312154343659</v>
      </c>
      <c r="B4445" t="str">
        <f>"1552376623651639"</f>
        <v>1552376623651639</v>
      </c>
      <c r="C4445" t="s">
        <v>40</v>
      </c>
      <c r="D4445">
        <v>5.5231820000000003</v>
      </c>
      <c r="E4445">
        <v>0.59476969999999996</v>
      </c>
      <c r="F4445" t="s">
        <v>69</v>
      </c>
      <c r="G4445">
        <v>-196.4641</v>
      </c>
      <c r="H4445" s="1">
        <v>-1.331661E-5</v>
      </c>
      <c r="I4445">
        <v>154.24680000000001</v>
      </c>
      <c r="J4445">
        <v>-192.8202</v>
      </c>
      <c r="K4445">
        <v>1.1025969999999901</v>
      </c>
      <c r="L4445">
        <v>159.9085</v>
      </c>
      <c r="M4445">
        <v>-0.16406099999999901</v>
      </c>
      <c r="N4445">
        <v>0</v>
      </c>
      <c r="O4445">
        <v>-0.98634690000000003</v>
      </c>
      <c r="P4445">
        <v>-0.32210909999999998</v>
      </c>
      <c r="Q4445">
        <v>-3.8859110000000001E-4</v>
      </c>
      <c r="R4445">
        <v>-0.94670259999999995</v>
      </c>
      <c r="S4445">
        <v>-1.635513</v>
      </c>
      <c r="T4445">
        <v>-0.4874638</v>
      </c>
      <c r="U4445">
        <v>-2.6244960000000002</v>
      </c>
      <c r="V4445">
        <v>0.16264010000000001</v>
      </c>
      <c r="W4445">
        <v>1.0645490000000001E-2</v>
      </c>
      <c r="X4445">
        <v>0.98662810000000001</v>
      </c>
      <c r="Y4445">
        <v>0.37574669999999999</v>
      </c>
      <c r="Z4445">
        <v>0.1586467</v>
      </c>
      <c r="AA4445">
        <v>0.91304200000000002</v>
      </c>
      <c r="AB4445">
        <v>26</v>
      </c>
      <c r="AC4445">
        <v>-3.6438999999999999</v>
      </c>
      <c r="AD4445">
        <v>-1.1026103166100001</v>
      </c>
      <c r="AE4445">
        <v>-5.66169999999999</v>
      </c>
      <c r="AF4445">
        <v>2.5959382948741498</v>
      </c>
      <c r="AG4445">
        <v>-1.1026103166100001</v>
      </c>
      <c r="AH4445">
        <v>6.0213693151671501</v>
      </c>
      <c r="AI4445">
        <v>99.545258152990797</v>
      </c>
      <c r="AJ4445">
        <v>66.678115086805093</v>
      </c>
      <c r="AK4445">
        <v>6.6491754053209799</v>
      </c>
      <c r="AL4445">
        <v>89.390046872710997</v>
      </c>
      <c r="AM4445">
        <v>80.639295030132402</v>
      </c>
      <c r="AN4445">
        <v>1.0000000681474699</v>
      </c>
    </row>
    <row r="4446" spans="1:40" x14ac:dyDescent="0.25">
      <c r="A4446" t="str">
        <f>"20190312154343681"</f>
        <v>20190312154343681</v>
      </c>
      <c r="B4446" t="str">
        <f>"1552376623672135"</f>
        <v>1552376623672135</v>
      </c>
      <c r="C4446" t="s">
        <v>40</v>
      </c>
      <c r="D4446">
        <v>5.5360009999999997</v>
      </c>
      <c r="E4446">
        <v>0.59461719999999996</v>
      </c>
      <c r="F4446" t="s">
        <v>69</v>
      </c>
      <c r="G4446">
        <v>-196.5154</v>
      </c>
      <c r="H4446" s="1">
        <v>-1.329863E-5</v>
      </c>
      <c r="I4446">
        <v>154.15729999999999</v>
      </c>
      <c r="J4446">
        <v>-192.87450000000001</v>
      </c>
      <c r="K4446">
        <v>1.1025750000000001</v>
      </c>
      <c r="L4446">
        <v>159.65549999999999</v>
      </c>
      <c r="M4446">
        <v>-0.17489289999999999</v>
      </c>
      <c r="N4446">
        <v>0</v>
      </c>
      <c r="O4446">
        <v>-0.98448369999999996</v>
      </c>
      <c r="P4446">
        <v>-0.33502120000000002</v>
      </c>
      <c r="Q4446">
        <v>-1.5577480000000001E-3</v>
      </c>
      <c r="R4446">
        <v>-0.94220939999999997</v>
      </c>
      <c r="S4446">
        <v>-1.6706540000000001</v>
      </c>
      <c r="T4446">
        <v>-0.49851570000000001</v>
      </c>
      <c r="U4446">
        <v>-2.60025</v>
      </c>
      <c r="V4446">
        <v>0.1652612</v>
      </c>
      <c r="W4446">
        <v>9.4353389999999992E-3</v>
      </c>
      <c r="X4446">
        <v>0.98620469999999905</v>
      </c>
      <c r="Y4446">
        <v>0.3778572</v>
      </c>
      <c r="Z4446">
        <v>0.162323</v>
      </c>
      <c r="AA4446">
        <v>0.91152350000000004</v>
      </c>
      <c r="AB4446">
        <v>26</v>
      </c>
      <c r="AC4446">
        <v>-3.6408999999999798</v>
      </c>
      <c r="AD4446">
        <v>-1.10258829863</v>
      </c>
      <c r="AE4446">
        <v>-5.49819999999999</v>
      </c>
      <c r="AF4446">
        <v>2.5517422509403098</v>
      </c>
      <c r="AG4446">
        <v>-1.10258829863</v>
      </c>
      <c r="AH4446">
        <v>5.8857329004575103</v>
      </c>
      <c r="AI4446">
        <v>99.752395207897493</v>
      </c>
      <c r="AJ4446">
        <v>66.560997833407598</v>
      </c>
      <c r="AK4446">
        <v>6.5091428964985596</v>
      </c>
      <c r="AL4446">
        <v>89.4593868754596</v>
      </c>
      <c r="AM4446">
        <v>80.487164175290701</v>
      </c>
      <c r="AN4446">
        <v>1.00000000007478</v>
      </c>
    </row>
    <row r="4447" spans="1:40" x14ac:dyDescent="0.25">
      <c r="A4447" t="str">
        <f>"20190312154343703"</f>
        <v>20190312154343703</v>
      </c>
      <c r="B4447" t="str">
        <f>"1552376623691655"</f>
        <v>1552376623691655</v>
      </c>
      <c r="C4447" t="s">
        <v>40</v>
      </c>
      <c r="D4447">
        <v>5.5293449999999904</v>
      </c>
      <c r="E4447">
        <v>0.59437510000000005</v>
      </c>
      <c r="F4447" t="s">
        <v>69</v>
      </c>
      <c r="G4447">
        <v>-196.60220000000001</v>
      </c>
      <c r="H4447" s="1">
        <v>-1.327114E-5</v>
      </c>
      <c r="I4447">
        <v>154.01750000000001</v>
      </c>
      <c r="J4447">
        <v>-192.93029999999999</v>
      </c>
      <c r="K4447">
        <v>1.102579</v>
      </c>
      <c r="L4447">
        <v>159.4084</v>
      </c>
      <c r="M4447">
        <v>-0.18549119999999999</v>
      </c>
      <c r="N4447">
        <v>0</v>
      </c>
      <c r="O4447">
        <v>-0.98254180000000002</v>
      </c>
      <c r="P4447">
        <v>-0.34601690000000002</v>
      </c>
      <c r="Q4447">
        <v>-1.459384E-3</v>
      </c>
      <c r="R4447">
        <v>-0.9382277</v>
      </c>
      <c r="S4447">
        <v>-1.70400999999999</v>
      </c>
      <c r="T4447">
        <v>-0.50401929999999995</v>
      </c>
      <c r="U4447">
        <v>-2.577286</v>
      </c>
      <c r="V4447">
        <v>0.16616909999999999</v>
      </c>
      <c r="W4447">
        <v>9.5316559999999995E-3</v>
      </c>
      <c r="X4447">
        <v>0.98605120000000002</v>
      </c>
      <c r="Y4447">
        <v>0.37967459999999997</v>
      </c>
      <c r="Z4447">
        <v>0.16418369999999999</v>
      </c>
      <c r="AA4447">
        <v>0.91043450000000004</v>
      </c>
      <c r="AB4447">
        <v>26</v>
      </c>
      <c r="AC4447">
        <v>-3.6719000000000199</v>
      </c>
      <c r="AD4447">
        <v>-1.10259227114</v>
      </c>
      <c r="AE4447">
        <v>-5.3908999999999798</v>
      </c>
      <c r="AF4447">
        <v>2.5356418378308798</v>
      </c>
      <c r="AG4447">
        <v>-1.10259227114</v>
      </c>
      <c r="AH4447">
        <v>5.81241226517517</v>
      </c>
      <c r="AI4447">
        <v>99.863496105797097</v>
      </c>
      <c r="AJ4447">
        <v>66.430954037092405</v>
      </c>
      <c r="AK4447">
        <v>6.4365616276467703</v>
      </c>
      <c r="AL4447">
        <v>89.453868067263898</v>
      </c>
      <c r="AM4447">
        <v>80.434404743651399</v>
      </c>
      <c r="AN4447">
        <v>0.99999999564117603</v>
      </c>
    </row>
    <row r="4448" spans="1:40" x14ac:dyDescent="0.25">
      <c r="A4448" t="str">
        <f>"20190312154343725"</f>
        <v>20190312154343725</v>
      </c>
      <c r="B4448" t="str">
        <f>"1552376623721910"</f>
        <v>1552376623721910</v>
      </c>
      <c r="C4448" t="s">
        <v>40</v>
      </c>
      <c r="D4448">
        <v>5.3896990000000002</v>
      </c>
      <c r="E4448">
        <v>0.59425719999999904</v>
      </c>
      <c r="F4448" t="s">
        <v>69</v>
      </c>
      <c r="G4448">
        <v>-196.72450000000001</v>
      </c>
      <c r="H4448" s="1">
        <v>-1.322895E-5</v>
      </c>
      <c r="I4448">
        <v>153.80670000000001</v>
      </c>
      <c r="J4448">
        <v>-192.99109999999999</v>
      </c>
      <c r="K4448">
        <v>1.102581</v>
      </c>
      <c r="L4448">
        <v>159.1525</v>
      </c>
      <c r="M4448">
        <v>-0.1964678</v>
      </c>
      <c r="N4448">
        <v>0</v>
      </c>
      <c r="O4448">
        <v>-0.98040559999999999</v>
      </c>
      <c r="P4448">
        <v>-0.35820649999999998</v>
      </c>
      <c r="Q4448">
        <v>-2.0038199999999999E-3</v>
      </c>
      <c r="R4448">
        <v>-0.93364049999999998</v>
      </c>
      <c r="S4448">
        <v>-1.7324679999999999</v>
      </c>
      <c r="T4448">
        <v>-0.50345099999999998</v>
      </c>
      <c r="U4448">
        <v>-2.5577999999999999</v>
      </c>
      <c r="V4448">
        <v>0.16797290000000001</v>
      </c>
      <c r="W4448">
        <v>8.9685349999999997E-3</v>
      </c>
      <c r="X4448">
        <v>0.98575080000000004</v>
      </c>
      <c r="Y4448">
        <v>0.37953019999999998</v>
      </c>
      <c r="Z4448">
        <v>0.1640317</v>
      </c>
      <c r="AA4448">
        <v>0.9105221</v>
      </c>
      <c r="AB4448">
        <v>26</v>
      </c>
      <c r="AC4448">
        <v>-3.7334000000000098</v>
      </c>
      <c r="AD4448">
        <v>-1.1025942289499999</v>
      </c>
      <c r="AE4448">
        <v>-5.3457999999999899</v>
      </c>
      <c r="AF4448">
        <v>2.5376734351818802</v>
      </c>
      <c r="AG4448">
        <v>-1.1025942289499999</v>
      </c>
      <c r="AH4448">
        <v>5.8090522239420999</v>
      </c>
      <c r="AI4448">
        <v>99.866970711769198</v>
      </c>
      <c r="AJ4448">
        <v>66.401980150839904</v>
      </c>
      <c r="AK4448">
        <v>6.4343288879127298</v>
      </c>
      <c r="AL4448">
        <v>89.486133899308697</v>
      </c>
      <c r="AM4448">
        <v>80.329627148091205</v>
      </c>
      <c r="AN4448">
        <v>0.99999998472754803</v>
      </c>
    </row>
    <row r="4449" spans="1:40" x14ac:dyDescent="0.25">
      <c r="A4449" t="str">
        <f>"20190312154343749"</f>
        <v>20190312154343749</v>
      </c>
      <c r="B4449" t="str">
        <f>"1552376623742035"</f>
        <v>1552376623742035</v>
      </c>
      <c r="C4449" t="s">
        <v>40</v>
      </c>
      <c r="D4449">
        <v>5.3998670000000004</v>
      </c>
      <c r="E4449">
        <v>0.59417600000000004</v>
      </c>
      <c r="F4449" t="s">
        <v>69</v>
      </c>
      <c r="G4449">
        <v>-196.86070000000001</v>
      </c>
      <c r="H4449" s="1">
        <v>-1.3187720000000001E-5</v>
      </c>
      <c r="I4449">
        <v>153.59479999999999</v>
      </c>
      <c r="J4449">
        <v>-193.0558</v>
      </c>
      <c r="K4449">
        <v>1.1025959999999999</v>
      </c>
      <c r="L4449">
        <v>158.89330000000001</v>
      </c>
      <c r="M4449">
        <v>-0.20757800000000001</v>
      </c>
      <c r="N4449">
        <v>0</v>
      </c>
      <c r="O4449">
        <v>-0.97811349999999997</v>
      </c>
      <c r="P4449">
        <v>-0.37014390000000003</v>
      </c>
      <c r="Q4449">
        <v>-2.3307649999999998E-3</v>
      </c>
      <c r="R4449">
        <v>-0.92897180000000001</v>
      </c>
      <c r="S4449">
        <v>-1.764999</v>
      </c>
      <c r="T4449">
        <v>-0.50291560000000002</v>
      </c>
      <c r="U4449">
        <v>-2.5349879999999998</v>
      </c>
      <c r="V4449">
        <v>0.1694176</v>
      </c>
      <c r="W4449">
        <v>8.6295179999999992E-3</v>
      </c>
      <c r="X4449">
        <v>0.98550660000000001</v>
      </c>
      <c r="Y4449">
        <v>0.38078190000000001</v>
      </c>
      <c r="Z4449">
        <v>0.16389690000000001</v>
      </c>
      <c r="AA4449">
        <v>0.91002360000000004</v>
      </c>
      <c r="AB4449">
        <v>26</v>
      </c>
      <c r="AC4449">
        <v>-3.8048999999999999</v>
      </c>
      <c r="AD4449">
        <v>-1.1026091877199999</v>
      </c>
      <c r="AE4449">
        <v>-5.2985000000000104</v>
      </c>
      <c r="AF4449">
        <v>2.5492071491613402</v>
      </c>
      <c r="AG4449">
        <v>-1.1026091877199999</v>
      </c>
      <c r="AH4449">
        <v>5.8070464784842803</v>
      </c>
      <c r="AI4449">
        <v>99.862847421676804</v>
      </c>
      <c r="AJ4449">
        <v>66.299239227796093</v>
      </c>
      <c r="AK4449">
        <v>6.4370795329447699</v>
      </c>
      <c r="AL4449">
        <v>89.505558914980895</v>
      </c>
      <c r="AM4449">
        <v>80.245674669972004</v>
      </c>
      <c r="AN4449">
        <v>1.00000002520711</v>
      </c>
    </row>
    <row r="4450" spans="1:40" x14ac:dyDescent="0.25">
      <c r="A4450" t="str">
        <f>"20190312154343763"</f>
        <v>20190312154343763</v>
      </c>
      <c r="B4450" t="str">
        <f>"1552376623751793"</f>
        <v>1552376623751793</v>
      </c>
      <c r="C4450" t="s">
        <v>40</v>
      </c>
      <c r="D4450">
        <v>5.4361309999999996</v>
      </c>
      <c r="E4450">
        <v>0.59414840000000002</v>
      </c>
      <c r="F4450" t="s">
        <v>69</v>
      </c>
      <c r="G4450">
        <v>-197.0059</v>
      </c>
      <c r="H4450" s="1">
        <v>-1.3144760000000001E-5</v>
      </c>
      <c r="I4450">
        <v>153.37289999999999</v>
      </c>
      <c r="J4450">
        <v>-193.10059999999999</v>
      </c>
      <c r="K4450">
        <v>1.102606</v>
      </c>
      <c r="L4450">
        <v>158.72120000000001</v>
      </c>
      <c r="M4450">
        <v>-0.21494830000000001</v>
      </c>
      <c r="N4450">
        <v>0</v>
      </c>
      <c r="O4450">
        <v>-0.97652019999999995</v>
      </c>
      <c r="P4450">
        <v>-0.37763679999999999</v>
      </c>
      <c r="Q4450">
        <v>-1.6741849999999999E-3</v>
      </c>
      <c r="R4450">
        <v>-0.92595260000000001</v>
      </c>
      <c r="S4450">
        <v>-1.797409</v>
      </c>
      <c r="T4450">
        <v>-0.50171179999999904</v>
      </c>
      <c r="U4450">
        <v>-2.511917</v>
      </c>
      <c r="V4450">
        <v>0.1699591</v>
      </c>
      <c r="W4450">
        <v>9.2870479999999991E-3</v>
      </c>
      <c r="X4450">
        <v>0.98540740000000004</v>
      </c>
      <c r="Y4450">
        <v>0.38557180000000002</v>
      </c>
      <c r="Z4450">
        <v>0.1636002</v>
      </c>
      <c r="AA4450">
        <v>0.90805800000000003</v>
      </c>
      <c r="AB4450">
        <v>26</v>
      </c>
      <c r="AC4450">
        <v>-3.9053000000000102</v>
      </c>
      <c r="AD4450">
        <v>-1.10261914476</v>
      </c>
      <c r="AE4450">
        <v>-5.3483000000000196</v>
      </c>
      <c r="AF4450">
        <v>2.5924034345507798</v>
      </c>
      <c r="AG4450">
        <v>-1.10261914476</v>
      </c>
      <c r="AH4450">
        <v>5.8992445492879302</v>
      </c>
      <c r="AI4450">
        <v>99.710128368813898</v>
      </c>
      <c r="AJ4450">
        <v>66.277071641932196</v>
      </c>
      <c r="AK4450">
        <v>6.5373856240981603</v>
      </c>
      <c r="AL4450">
        <v>89.467883719826702</v>
      </c>
      <c r="AM4450">
        <v>80.214133212884605</v>
      </c>
      <c r="AN4450">
        <v>1.00000004445406</v>
      </c>
    </row>
    <row r="4451" spans="1:40" x14ac:dyDescent="0.25">
      <c r="A4451" t="str">
        <f>"20190312154343782"</f>
        <v>20190312154343782</v>
      </c>
      <c r="B4451" t="str">
        <f>"1552376623772293"</f>
        <v>1552376623772293</v>
      </c>
      <c r="C4451" t="s">
        <v>40</v>
      </c>
      <c r="D4451">
        <v>5.3499600000000003</v>
      </c>
      <c r="E4451">
        <v>0.59408249999999996</v>
      </c>
      <c r="F4451" t="s">
        <v>69</v>
      </c>
      <c r="G4451">
        <v>-197.1208</v>
      </c>
      <c r="H4451" s="1">
        <v>-1.3111129999999899E-5</v>
      </c>
      <c r="I4451">
        <v>153.1987</v>
      </c>
      <c r="J4451">
        <v>-193.15360000000001</v>
      </c>
      <c r="K4451">
        <v>1.102624</v>
      </c>
      <c r="L4451">
        <v>158.5241</v>
      </c>
      <c r="M4451">
        <v>-0.22338569999999999</v>
      </c>
      <c r="N4451">
        <v>0</v>
      </c>
      <c r="O4451">
        <v>-0.9746245</v>
      </c>
      <c r="P4451">
        <v>-0.38668160000000001</v>
      </c>
      <c r="Q4451">
        <v>-1.1354150000000001E-3</v>
      </c>
      <c r="R4451">
        <v>-0.9222127</v>
      </c>
      <c r="S4451">
        <v>-1.8181</v>
      </c>
      <c r="T4451">
        <v>-0.49865710000000002</v>
      </c>
      <c r="U4451">
        <v>-2.497528</v>
      </c>
      <c r="V4451">
        <v>0.17109099999999999</v>
      </c>
      <c r="W4451">
        <v>9.8144080000000002E-3</v>
      </c>
      <c r="X4451">
        <v>0.98520640000000004</v>
      </c>
      <c r="Y4451">
        <v>0.38511879999999998</v>
      </c>
      <c r="Z4451">
        <v>0.1625701</v>
      </c>
      <c r="AA4451">
        <v>0.9084352</v>
      </c>
      <c r="AB4451">
        <v>26</v>
      </c>
      <c r="AC4451">
        <v>-3.9671999999999898</v>
      </c>
      <c r="AD4451">
        <v>-1.10263711113</v>
      </c>
      <c r="AE4451">
        <v>-5.3254000000000001</v>
      </c>
      <c r="AF4451">
        <v>2.60535738857843</v>
      </c>
      <c r="AG4451">
        <v>-1.10263711113</v>
      </c>
      <c r="AH4451">
        <v>5.9140547696078398</v>
      </c>
      <c r="AI4451">
        <v>99.682610747828093</v>
      </c>
      <c r="AJ4451">
        <v>66.224754020025898</v>
      </c>
      <c r="AK4451">
        <v>6.5558934966168101</v>
      </c>
      <c r="AL4451">
        <v>89.437666844465795</v>
      </c>
      <c r="AM4451">
        <v>80.148263148349798</v>
      </c>
      <c r="AN4451">
        <v>1.00000005174317</v>
      </c>
    </row>
    <row r="4452" spans="1:40" x14ac:dyDescent="0.25">
      <c r="A4452" t="str">
        <f>"20190312154343794"</f>
        <v>20190312154343794</v>
      </c>
      <c r="B4452" t="str">
        <f>"1552376623782051"</f>
        <v>1552376623782051</v>
      </c>
      <c r="C4452" t="s">
        <v>40</v>
      </c>
      <c r="D4452">
        <v>5.3889050000000003</v>
      </c>
      <c r="E4452">
        <v>0.58763030000000005</v>
      </c>
      <c r="F4452" t="s">
        <v>69</v>
      </c>
      <c r="G4452">
        <v>-197.25059999999999</v>
      </c>
      <c r="H4452" s="1">
        <v>-1.307498E-5</v>
      </c>
      <c r="I4452">
        <v>153.0093</v>
      </c>
      <c r="J4452">
        <v>-193.19220000000001</v>
      </c>
      <c r="K4452">
        <v>1.1026359999999999</v>
      </c>
      <c r="L4452">
        <v>158.38460000000001</v>
      </c>
      <c r="M4452">
        <v>-0.22935140000000001</v>
      </c>
      <c r="N4452">
        <v>0</v>
      </c>
      <c r="O4452">
        <v>-0.97323780000000004</v>
      </c>
      <c r="P4452">
        <v>-0.39235819999999999</v>
      </c>
      <c r="Q4452">
        <v>-8.5052779999999996E-4</v>
      </c>
      <c r="R4452">
        <v>-0.91981250000000003</v>
      </c>
      <c r="S4452">
        <v>-1.842346</v>
      </c>
      <c r="T4452">
        <v>-0.4958398</v>
      </c>
      <c r="U4452">
        <v>-2.4799190000000002</v>
      </c>
      <c r="V4452">
        <v>0.17113349999999999</v>
      </c>
      <c r="W4452">
        <v>1.010669E-2</v>
      </c>
      <c r="X4452">
        <v>0.98519599999999996</v>
      </c>
      <c r="Y4452">
        <v>0.38837539999999998</v>
      </c>
      <c r="Z4452">
        <v>0.16170590000000001</v>
      </c>
      <c r="AA4452">
        <v>0.90720210000000001</v>
      </c>
      <c r="AB4452">
        <v>26</v>
      </c>
      <c r="AC4452">
        <v>-4.0583999999999696</v>
      </c>
      <c r="AD4452">
        <v>-1.10264907498</v>
      </c>
      <c r="AE4452">
        <v>-5.37530000000001</v>
      </c>
      <c r="AF4452">
        <v>2.6463106991619498</v>
      </c>
      <c r="AG4452">
        <v>-1.10264907498</v>
      </c>
      <c r="AH4452">
        <v>6.0020170673723996</v>
      </c>
      <c r="AI4452">
        <v>99.542169514999003</v>
      </c>
      <c r="AJ4452">
        <v>66.207146766136304</v>
      </c>
      <c r="AK4452">
        <v>6.6515414887139404</v>
      </c>
      <c r="AL4452">
        <v>89.420919453238099</v>
      </c>
      <c r="AM4452">
        <v>80.145761904035794</v>
      </c>
      <c r="AN4452">
        <v>0.99999998921050204</v>
      </c>
    </row>
    <row r="4453" spans="1:40" x14ac:dyDescent="0.25">
      <c r="A4453" t="str">
        <f>"20190312154343806"</f>
        <v>20190312154343806</v>
      </c>
      <c r="B4453" t="str">
        <f>"1552376623801570"</f>
        <v>1552376623801570</v>
      </c>
      <c r="C4453" t="s">
        <v>40</v>
      </c>
      <c r="D4453">
        <v>5.440753</v>
      </c>
      <c r="E4453">
        <v>0.58607569999999998</v>
      </c>
      <c r="F4453" t="s">
        <v>69</v>
      </c>
      <c r="G4453">
        <v>-197.77770000000001</v>
      </c>
      <c r="H4453" s="1">
        <v>-1.288964E-5</v>
      </c>
      <c r="I4453">
        <v>152.08690000000001</v>
      </c>
      <c r="J4453">
        <v>-193.23179999999999</v>
      </c>
      <c r="K4453">
        <v>1.1026469999999999</v>
      </c>
      <c r="L4453">
        <v>158.2441</v>
      </c>
      <c r="M4453">
        <v>-0.2353613</v>
      </c>
      <c r="N4453">
        <v>0</v>
      </c>
      <c r="O4453">
        <v>-0.9718019</v>
      </c>
      <c r="P4453">
        <v>-0.39812419999999998</v>
      </c>
      <c r="Q4453">
        <v>-1.172572E-3</v>
      </c>
      <c r="R4453">
        <v>-0.9173308</v>
      </c>
      <c r="S4453">
        <v>-1.8117829999999999</v>
      </c>
      <c r="T4453">
        <v>-0.43566569999999999</v>
      </c>
      <c r="U4453">
        <v>-2.4882970000000002</v>
      </c>
      <c r="V4453">
        <v>0.17122329999999999</v>
      </c>
      <c r="W4453">
        <v>9.7905649999999993E-3</v>
      </c>
      <c r="X4453">
        <v>0.98518360000000005</v>
      </c>
      <c r="Y4453">
        <v>0.3756796</v>
      </c>
      <c r="Z4453">
        <v>0.14271800000000001</v>
      </c>
      <c r="AA4453">
        <v>0.91569449999999997</v>
      </c>
      <c r="AB4453">
        <v>26</v>
      </c>
      <c r="AC4453">
        <v>-4.5459000000000103</v>
      </c>
      <c r="AD4453">
        <v>-1.1026598896399999</v>
      </c>
      <c r="AE4453">
        <v>-6.15719999999998</v>
      </c>
      <c r="AF4453">
        <v>2.9084827655461298</v>
      </c>
      <c r="AG4453">
        <v>-1.1026598896399999</v>
      </c>
      <c r="AH4453">
        <v>6.9107885783866596</v>
      </c>
      <c r="AI4453">
        <v>98.366109231615695</v>
      </c>
      <c r="AJ4453">
        <v>67.175663056180795</v>
      </c>
      <c r="AK4453">
        <v>7.5785308341959796</v>
      </c>
      <c r="AL4453">
        <v>89.439032984090701</v>
      </c>
      <c r="AM4453">
        <v>80.140570813196902</v>
      </c>
      <c r="AN4453">
        <v>0.99999999966743403</v>
      </c>
    </row>
    <row r="4454" spans="1:40" x14ac:dyDescent="0.25">
      <c r="A4454" t="str">
        <f>"20190312154343820"</f>
        <v>20190312154343820</v>
      </c>
      <c r="B4454" t="str">
        <f>"1552376623812306"</f>
        <v>1552376623812306</v>
      </c>
      <c r="C4454" t="s">
        <v>40</v>
      </c>
      <c r="D4454">
        <v>5.404433</v>
      </c>
      <c r="E4454">
        <v>0.58566339999999995</v>
      </c>
      <c r="F4454" t="s">
        <v>69</v>
      </c>
      <c r="G4454">
        <v>-197.8494</v>
      </c>
      <c r="H4454" s="1">
        <v>-1.285757E-5</v>
      </c>
      <c r="I4454">
        <v>151.9342</v>
      </c>
      <c r="J4454">
        <v>-193.2748</v>
      </c>
      <c r="K4454">
        <v>1.102665</v>
      </c>
      <c r="L4454">
        <v>158.09649999999999</v>
      </c>
      <c r="M4454">
        <v>-0.24167420000000001</v>
      </c>
      <c r="N4454">
        <v>0</v>
      </c>
      <c r="O4454">
        <v>-0.97025139999999999</v>
      </c>
      <c r="P4454">
        <v>-0.40420679999999998</v>
      </c>
      <c r="Q4454">
        <v>-1.2536260000000001E-3</v>
      </c>
      <c r="R4454">
        <v>-0.91466729999999996</v>
      </c>
      <c r="S4454">
        <v>-1.816055</v>
      </c>
      <c r="T4454">
        <v>-0.43366470000000001</v>
      </c>
      <c r="U4454">
        <v>-2.4816280000000002</v>
      </c>
      <c r="V4454">
        <v>0.1713585</v>
      </c>
      <c r="W4454">
        <v>9.7147520000000001E-3</v>
      </c>
      <c r="X4454">
        <v>0.98516079999999995</v>
      </c>
      <c r="Y4454">
        <v>0.37191000000000002</v>
      </c>
      <c r="Z4454">
        <v>0.142091299999999</v>
      </c>
      <c r="AA4454">
        <v>0.91732930000000001</v>
      </c>
      <c r="AB4454">
        <v>26</v>
      </c>
      <c r="AC4454">
        <v>-4.5746000000000002</v>
      </c>
      <c r="AD4454">
        <v>-1.10267785757</v>
      </c>
      <c r="AE4454">
        <v>-6.1622999999999797</v>
      </c>
      <c r="AF4454">
        <v>2.8898903071805502</v>
      </c>
      <c r="AG4454">
        <v>-1.10267785757</v>
      </c>
      <c r="AH4454">
        <v>6.9419682354360202</v>
      </c>
      <c r="AI4454">
        <v>98.342568680521893</v>
      </c>
      <c r="AJ4454">
        <v>67.398397318998704</v>
      </c>
      <c r="AK4454">
        <v>7.5998873298828604</v>
      </c>
      <c r="AL4454">
        <v>89.443376931807194</v>
      </c>
      <c r="AM4454">
        <v>80.132714773319407</v>
      </c>
      <c r="AN4454">
        <v>0.99999995689265397</v>
      </c>
    </row>
    <row r="4455" spans="1:40" x14ac:dyDescent="0.25">
      <c r="A4455" t="str">
        <f>"20190312154343832"</f>
        <v>20190312154343832</v>
      </c>
      <c r="B4455" t="str">
        <f>"1552376623822066"</f>
        <v>1552376623822066</v>
      </c>
      <c r="C4455" t="s">
        <v>40</v>
      </c>
      <c r="D4455">
        <v>5.4156789999999999</v>
      </c>
      <c r="E4455">
        <v>0.58524160000000003</v>
      </c>
      <c r="F4455" t="s">
        <v>69</v>
      </c>
      <c r="G4455">
        <v>-197.88200000000001</v>
      </c>
      <c r="H4455" s="1">
        <v>-1.284568E-5</v>
      </c>
      <c r="I4455">
        <v>151.87540000000001</v>
      </c>
      <c r="J4455">
        <v>-193.31819999999999</v>
      </c>
      <c r="K4455">
        <v>1.102676</v>
      </c>
      <c r="L4455">
        <v>157.95009999999999</v>
      </c>
      <c r="M4455">
        <v>-0.2479346</v>
      </c>
      <c r="N4455">
        <v>0</v>
      </c>
      <c r="O4455">
        <v>-0.96867040000000004</v>
      </c>
      <c r="P4455">
        <v>-0.40979670000000001</v>
      </c>
      <c r="Q4455">
        <v>-2.1265920000000001E-3</v>
      </c>
      <c r="R4455">
        <v>-0.91217440000000005</v>
      </c>
      <c r="S4455">
        <v>-1.8297270000000001</v>
      </c>
      <c r="T4455">
        <v>-0.4379267</v>
      </c>
      <c r="U4455">
        <v>-2.470688</v>
      </c>
      <c r="V4455">
        <v>0.17100969999999999</v>
      </c>
      <c r="W4455">
        <v>8.8564830000000001E-3</v>
      </c>
      <c r="X4455">
        <v>0.98522960000000004</v>
      </c>
      <c r="Y4455">
        <v>0.37102659999999998</v>
      </c>
      <c r="Z4455">
        <v>0.14342729999999901</v>
      </c>
      <c r="AA4455">
        <v>0.91747909999999999</v>
      </c>
      <c r="AB4455">
        <v>26</v>
      </c>
      <c r="AC4455">
        <v>-4.5638000000000103</v>
      </c>
      <c r="AD4455">
        <v>-1.1026888456799999</v>
      </c>
      <c r="AE4455">
        <v>-6.0746999999999698</v>
      </c>
      <c r="AF4455">
        <v>2.8548605713750099</v>
      </c>
      <c r="AG4455">
        <v>-1.1026888456799999</v>
      </c>
      <c r="AH4455">
        <v>6.87189230682384</v>
      </c>
      <c r="AI4455">
        <v>98.429019618013896</v>
      </c>
      <c r="AJ4455">
        <v>67.440035477314595</v>
      </c>
      <c r="AK4455">
        <v>7.5225697370621596</v>
      </c>
      <c r="AL4455">
        <v>89.492554299166102</v>
      </c>
      <c r="AM4455">
        <v>80.153080229627093</v>
      </c>
      <c r="AN4455">
        <v>1.00000005975068</v>
      </c>
    </row>
    <row r="4456" spans="1:40" x14ac:dyDescent="0.25">
      <c r="A4456" t="str">
        <f>"20190312154343849"</f>
        <v>20190312154343849</v>
      </c>
      <c r="B4456" t="str">
        <f>"1552376623841564"</f>
        <v>1552376623841564</v>
      </c>
      <c r="C4456" t="s">
        <v>40</v>
      </c>
      <c r="D4456">
        <v>5.3851570000000004</v>
      </c>
      <c r="E4456">
        <v>0.58402749999999903</v>
      </c>
      <c r="F4456" t="s">
        <v>69</v>
      </c>
      <c r="G4456">
        <v>-197.9272</v>
      </c>
      <c r="H4456" s="1">
        <v>-1.282934E-5</v>
      </c>
      <c r="I4456">
        <v>151.7945</v>
      </c>
      <c r="J4456">
        <v>-193.3733</v>
      </c>
      <c r="K4456">
        <v>1.102684</v>
      </c>
      <c r="L4456">
        <v>157.76900000000001</v>
      </c>
      <c r="M4456">
        <v>-0.2556736</v>
      </c>
      <c r="N4456">
        <v>0</v>
      </c>
      <c r="O4456">
        <v>-0.96665639999999997</v>
      </c>
      <c r="P4456">
        <v>-0.41669800000000001</v>
      </c>
      <c r="Q4456">
        <v>-3.0400879999999998E-3</v>
      </c>
      <c r="R4456">
        <v>-0.90904019999999996</v>
      </c>
      <c r="S4456">
        <v>-1.842087</v>
      </c>
      <c r="T4456">
        <v>-0.4407218</v>
      </c>
      <c r="U4456">
        <v>-2.4602360000000001</v>
      </c>
      <c r="V4456">
        <v>0.17058039999999999</v>
      </c>
      <c r="W4456">
        <v>7.9605379999999996E-3</v>
      </c>
      <c r="X4456">
        <v>0.98531159999999995</v>
      </c>
      <c r="Y4456">
        <v>0.36835659999999998</v>
      </c>
      <c r="Z4456">
        <v>0.14424679999999901</v>
      </c>
      <c r="AA4456">
        <v>0.91842599999999996</v>
      </c>
      <c r="AB4456">
        <v>25</v>
      </c>
      <c r="AC4456">
        <v>-4.5538999999999898</v>
      </c>
      <c r="AD4456">
        <v>-1.1026968293399999</v>
      </c>
      <c r="AE4456">
        <v>-5.9744999999999999</v>
      </c>
      <c r="AF4456">
        <v>2.8141946286224799</v>
      </c>
      <c r="AG4456">
        <v>-1.1026968293399999</v>
      </c>
      <c r="AH4456">
        <v>6.7939298909156003</v>
      </c>
      <c r="AI4456">
        <v>98.5280152792607</v>
      </c>
      <c r="AJ4456">
        <v>67.499591668305897</v>
      </c>
      <c r="AK4456">
        <v>7.4359340413885198</v>
      </c>
      <c r="AL4456">
        <v>89.5438899507689</v>
      </c>
      <c r="AM4456">
        <v>80.178119220840401</v>
      </c>
      <c r="AN4456">
        <v>0.99999999606198398</v>
      </c>
    </row>
    <row r="4457" spans="1:40" x14ac:dyDescent="0.25">
      <c r="A4457" t="str">
        <f>"20190312154343862"</f>
        <v>20190312154343862</v>
      </c>
      <c r="B4457" t="str">
        <f>"1552376623852300"</f>
        <v>1552376623852300</v>
      </c>
      <c r="C4457" t="s">
        <v>40</v>
      </c>
      <c r="D4457">
        <v>5.4139470000000003</v>
      </c>
      <c r="E4457">
        <v>0.58352059999999994</v>
      </c>
      <c r="F4457" t="s">
        <v>69</v>
      </c>
      <c r="G4457">
        <v>-197.94200000000001</v>
      </c>
      <c r="H4457" s="1">
        <v>-1.2813020000000001E-5</v>
      </c>
      <c r="I4457">
        <v>151.7244</v>
      </c>
      <c r="J4457">
        <v>-193.4196</v>
      </c>
      <c r="K4457">
        <v>1.102697</v>
      </c>
      <c r="L4457">
        <v>157.62139999999999</v>
      </c>
      <c r="M4457">
        <v>-0.26198850000000001</v>
      </c>
      <c r="N4457">
        <v>0</v>
      </c>
      <c r="O4457">
        <v>-0.96496420000000005</v>
      </c>
      <c r="P4457">
        <v>-0.42197639999999997</v>
      </c>
      <c r="Q4457">
        <v>-3.441604E-3</v>
      </c>
      <c r="R4457">
        <v>-0.90660030000000003</v>
      </c>
      <c r="S4457">
        <v>-1.8516999999999999</v>
      </c>
      <c r="T4457">
        <v>-0.44692769999999998</v>
      </c>
      <c r="U4457">
        <v>-2.4498899999999999</v>
      </c>
      <c r="V4457">
        <v>0.16985989999999901</v>
      </c>
      <c r="W4457">
        <v>7.5809869999999904E-3</v>
      </c>
      <c r="X4457">
        <v>0.98543910000000001</v>
      </c>
      <c r="Y4457">
        <v>0.36625940000000001</v>
      </c>
      <c r="Z4457">
        <v>0.14624409999999999</v>
      </c>
      <c r="AA4457">
        <v>0.91894869999999995</v>
      </c>
      <c r="AB4457">
        <v>25</v>
      </c>
      <c r="AC4457">
        <v>-4.5224000000000002</v>
      </c>
      <c r="AD4457">
        <v>-1.1027098130199999</v>
      </c>
      <c r="AE4457">
        <v>-5.8969999999999896</v>
      </c>
      <c r="AF4457">
        <v>2.7585611232964502</v>
      </c>
      <c r="AG4457">
        <v>-1.1027098130199999</v>
      </c>
      <c r="AH4457">
        <v>6.7277884550821696</v>
      </c>
      <c r="AI4457">
        <v>98.623253348021294</v>
      </c>
      <c r="AJ4457">
        <v>67.705147055119895</v>
      </c>
      <c r="AK4457">
        <v>7.3545065027525798</v>
      </c>
      <c r="AL4457">
        <v>89.565637296399004</v>
      </c>
      <c r="AM4457">
        <v>80.220043130528595</v>
      </c>
      <c r="AN4457">
        <v>1.00000003840035</v>
      </c>
    </row>
    <row r="4458" spans="1:40" x14ac:dyDescent="0.25">
      <c r="A4458" t="str">
        <f>"20190312154343882"</f>
        <v>20190312154343882</v>
      </c>
      <c r="B4458" t="str">
        <f>"1552376623871824"</f>
        <v>1552376623871824</v>
      </c>
      <c r="C4458" t="s">
        <v>40</v>
      </c>
      <c r="D4458">
        <v>5.3899970000000001</v>
      </c>
      <c r="E4458">
        <v>0.58285520000000002</v>
      </c>
      <c r="F4458" t="s">
        <v>69</v>
      </c>
      <c r="G4458">
        <v>-197.97970000000001</v>
      </c>
      <c r="H4458" s="1">
        <v>-1.2796480000000001E-5</v>
      </c>
      <c r="I4458">
        <v>151.6454</v>
      </c>
      <c r="J4458">
        <v>-193.49119999999999</v>
      </c>
      <c r="K4458">
        <v>1.1027169999999999</v>
      </c>
      <c r="L4458">
        <v>157.39930000000001</v>
      </c>
      <c r="M4458">
        <v>-0.27148990000000001</v>
      </c>
      <c r="N4458">
        <v>0</v>
      </c>
      <c r="O4458">
        <v>-0.96233400000000002</v>
      </c>
      <c r="P4458">
        <v>-0.4299346</v>
      </c>
      <c r="Q4458">
        <v>-3.7490409999999998E-3</v>
      </c>
      <c r="R4458">
        <v>-0.90285249999999995</v>
      </c>
      <c r="S4458">
        <v>-1.8623050000000001</v>
      </c>
      <c r="T4458">
        <v>-0.45034249999999998</v>
      </c>
      <c r="U4458">
        <v>-2.4405519999999998</v>
      </c>
      <c r="V4458">
        <v>0.16880619999999999</v>
      </c>
      <c r="W4458">
        <v>7.3049069999999898E-3</v>
      </c>
      <c r="X4458">
        <v>0.9856222</v>
      </c>
      <c r="Y4458">
        <v>0.36122189999999998</v>
      </c>
      <c r="Z4458">
        <v>0.14716199999999999</v>
      </c>
      <c r="AA4458">
        <v>0.92079420000000001</v>
      </c>
      <c r="AB4458">
        <v>25</v>
      </c>
      <c r="AC4458">
        <v>-4.4885000000000099</v>
      </c>
      <c r="AD4458">
        <v>-1.10272979647999</v>
      </c>
      <c r="AE4458">
        <v>-5.7539000000000096</v>
      </c>
      <c r="AF4458">
        <v>2.6960333745470502</v>
      </c>
      <c r="AG4458">
        <v>-1.10272979647999</v>
      </c>
      <c r="AH4458">
        <v>6.6056195712828201</v>
      </c>
      <c r="AI4458">
        <v>98.786135360658605</v>
      </c>
      <c r="AJ4458">
        <v>67.797546622958095</v>
      </c>
      <c r="AK4458">
        <v>7.2193364571289402</v>
      </c>
      <c r="AL4458">
        <v>89.581455940079493</v>
      </c>
      <c r="AM4458">
        <v>80.281321995211698</v>
      </c>
      <c r="AN4458">
        <v>1.0000000079787701</v>
      </c>
    </row>
    <row r="4459" spans="1:40" x14ac:dyDescent="0.25">
      <c r="A4459" t="str">
        <f>"20190312154343904"</f>
        <v>20190312154343904</v>
      </c>
      <c r="B4459" t="str">
        <f>"1552376623892317"</f>
        <v>1552376623892317</v>
      </c>
      <c r="C4459" t="s">
        <v>40</v>
      </c>
      <c r="D4459">
        <v>5.2956589999999997</v>
      </c>
      <c r="E4459">
        <v>0.58256109999999905</v>
      </c>
      <c r="F4459" t="s">
        <v>69</v>
      </c>
      <c r="G4459">
        <v>-198.04159999999999</v>
      </c>
      <c r="H4459" s="1">
        <v>-1.2771179999999999E-5</v>
      </c>
      <c r="I4459">
        <v>151.523</v>
      </c>
      <c r="J4459">
        <v>-193.56880000000001</v>
      </c>
      <c r="K4459">
        <v>1.102738</v>
      </c>
      <c r="L4459">
        <v>157.16630000000001</v>
      </c>
      <c r="M4459">
        <v>-0.28146120000000002</v>
      </c>
      <c r="N4459">
        <v>0</v>
      </c>
      <c r="O4459">
        <v>-0.95946529999999997</v>
      </c>
      <c r="P4459">
        <v>-0.43787939999999997</v>
      </c>
      <c r="Q4459">
        <v>-3.657712E-3</v>
      </c>
      <c r="R4459">
        <v>-0.8990264</v>
      </c>
      <c r="S4459">
        <v>-1.8788149999999999</v>
      </c>
      <c r="T4459">
        <v>-0.4552987</v>
      </c>
      <c r="U4459">
        <v>-2.4262079999999999</v>
      </c>
      <c r="V4459">
        <v>0.16727110000000001</v>
      </c>
      <c r="W4459">
        <v>7.4374619999999997E-3</v>
      </c>
      <c r="X4459">
        <v>0.98588290000000001</v>
      </c>
      <c r="Y4459">
        <v>0.35796800000000001</v>
      </c>
      <c r="Z4459">
        <v>0.148595</v>
      </c>
      <c r="AA4459">
        <v>0.9218343</v>
      </c>
      <c r="AB4459">
        <v>25</v>
      </c>
      <c r="AC4459">
        <v>-4.4727999999999701</v>
      </c>
      <c r="AD4459">
        <v>-1.10275077117999</v>
      </c>
      <c r="AE4459">
        <v>-5.6433000000000098</v>
      </c>
      <c r="AF4459">
        <v>2.641456920874</v>
      </c>
      <c r="AG4459">
        <v>-1.10275077117999</v>
      </c>
      <c r="AH4459">
        <v>6.5212207521754397</v>
      </c>
      <c r="AI4459">
        <v>98.907640563012606</v>
      </c>
      <c r="AJ4459">
        <v>67.949316319716502</v>
      </c>
      <c r="AK4459">
        <v>7.1217746402687299</v>
      </c>
      <c r="AL4459">
        <v>89.573860894574295</v>
      </c>
      <c r="AM4459">
        <v>80.370538492319</v>
      </c>
      <c r="AN4459">
        <v>1.00000001462431</v>
      </c>
    </row>
    <row r="4460" spans="1:40" x14ac:dyDescent="0.25">
      <c r="A4460" t="str">
        <f>"20190312154343916"</f>
        <v>20190312154343916</v>
      </c>
      <c r="B4460" t="str">
        <f>"1552376623911838"</f>
        <v>1552376623911838</v>
      </c>
      <c r="C4460" t="s">
        <v>40</v>
      </c>
      <c r="D4460">
        <v>5.2544760000000004</v>
      </c>
      <c r="E4460">
        <v>0.5822001</v>
      </c>
      <c r="F4460" t="s">
        <v>69</v>
      </c>
      <c r="G4460">
        <v>-198.17339999999999</v>
      </c>
      <c r="H4460" s="1">
        <v>-1.27316899999999E-5</v>
      </c>
      <c r="I4460">
        <v>151.31960000000001</v>
      </c>
      <c r="J4460">
        <v>-193.6148</v>
      </c>
      <c r="K4460">
        <v>1.1027469999999999</v>
      </c>
      <c r="L4460">
        <v>157.03200000000001</v>
      </c>
      <c r="M4460">
        <v>-0.2872092</v>
      </c>
      <c r="N4460">
        <v>0</v>
      </c>
      <c r="O4460">
        <v>-0.95776039999999996</v>
      </c>
      <c r="P4460">
        <v>-0.44245400000000001</v>
      </c>
      <c r="Q4460">
        <v>-3.3065080000000001E-3</v>
      </c>
      <c r="R4460">
        <v>-0.89678549999999901</v>
      </c>
      <c r="S4460">
        <v>-1.8984220000000001</v>
      </c>
      <c r="T4460">
        <v>-0.4546441</v>
      </c>
      <c r="U4460">
        <v>-2.4104610000000002</v>
      </c>
      <c r="V4460">
        <v>0.16638839999999999</v>
      </c>
      <c r="W4460">
        <v>7.8122469999999996E-3</v>
      </c>
      <c r="X4460">
        <v>0.9860293</v>
      </c>
      <c r="Y4460">
        <v>0.35995290000000002</v>
      </c>
      <c r="Z4460">
        <v>0.1483583</v>
      </c>
      <c r="AA4460">
        <v>0.92109920000000001</v>
      </c>
      <c r="AB4460">
        <v>25</v>
      </c>
      <c r="AC4460">
        <v>-4.5585999999999798</v>
      </c>
      <c r="AD4460">
        <v>-1.10275973169</v>
      </c>
      <c r="AE4460">
        <v>-5.7123999999999997</v>
      </c>
      <c r="AF4460">
        <v>2.6649973409573402</v>
      </c>
      <c r="AG4460">
        <v>-1.10275973169</v>
      </c>
      <c r="AH4460">
        <v>6.6301273990596998</v>
      </c>
      <c r="AI4460">
        <v>98.772977855114306</v>
      </c>
      <c r="AJ4460">
        <v>68.102207959833393</v>
      </c>
      <c r="AK4460">
        <v>7.2302751801649201</v>
      </c>
      <c r="AL4460">
        <v>89.5523866453957</v>
      </c>
      <c r="AM4460">
        <v>80.421805582600598</v>
      </c>
      <c r="AN4460">
        <v>0.99999995565811794</v>
      </c>
    </row>
    <row r="4461" spans="1:40" x14ac:dyDescent="0.25">
      <c r="A4461" t="str">
        <f>"20190312154343929"</f>
        <v>20190312154343929</v>
      </c>
      <c r="B4461" t="str">
        <f>"1552376623922572"</f>
        <v>1552376623922572</v>
      </c>
      <c r="C4461" t="s">
        <v>40</v>
      </c>
      <c r="D4461">
        <v>5.2297989999999999</v>
      </c>
      <c r="E4461">
        <v>0.5822252</v>
      </c>
      <c r="F4461" t="s">
        <v>69</v>
      </c>
      <c r="G4461">
        <v>-198.2997</v>
      </c>
      <c r="H4461" s="1">
        <v>-1.2696229999999999E-5</v>
      </c>
      <c r="I4461">
        <v>151.13419999999999</v>
      </c>
      <c r="J4461">
        <v>-193.66380000000001</v>
      </c>
      <c r="K4461">
        <v>1.10276</v>
      </c>
      <c r="L4461">
        <v>156.89109999999999</v>
      </c>
      <c r="M4461">
        <v>-0.29324099999999997</v>
      </c>
      <c r="N4461">
        <v>0</v>
      </c>
      <c r="O4461">
        <v>-0.95593070000000002</v>
      </c>
      <c r="P4461">
        <v>-0.44750600000000001</v>
      </c>
      <c r="Q4461">
        <v>-3.0878899999999998E-3</v>
      </c>
      <c r="R4461">
        <v>-0.89427570000000001</v>
      </c>
      <c r="S4461">
        <v>-1.9081570000000001</v>
      </c>
      <c r="T4461">
        <v>-0.44915680000000002</v>
      </c>
      <c r="U4461">
        <v>-2.4021910000000002</v>
      </c>
      <c r="V4461">
        <v>0.16573879999999999</v>
      </c>
      <c r="W4461">
        <v>8.0497039999999995E-3</v>
      </c>
      <c r="X4461">
        <v>0.98613689999999998</v>
      </c>
      <c r="Y4461">
        <v>0.35808800000000002</v>
      </c>
      <c r="Z4461">
        <v>0.14648079999999999</v>
      </c>
      <c r="AA4461">
        <v>0.92212609999999995</v>
      </c>
      <c r="AB4461">
        <v>25</v>
      </c>
      <c r="AC4461">
        <v>-4.6358999999999897</v>
      </c>
      <c r="AD4461">
        <v>-1.10277269623</v>
      </c>
      <c r="AE4461">
        <v>-5.7568999999999999</v>
      </c>
      <c r="AF4461">
        <v>2.6839791903576402</v>
      </c>
      <c r="AG4461">
        <v>-1.10277269623</v>
      </c>
      <c r="AH4461">
        <v>6.7138939084275702</v>
      </c>
      <c r="AI4461">
        <v>98.671743128419706</v>
      </c>
      <c r="AJ4461">
        <v>68.2102032620692</v>
      </c>
      <c r="AK4461">
        <v>7.3141112465865703</v>
      </c>
      <c r="AL4461">
        <v>89.538780984082507</v>
      </c>
      <c r="AM4461">
        <v>80.459533105048493</v>
      </c>
      <c r="AN4461">
        <v>1.00000006655076</v>
      </c>
    </row>
    <row r="4462" spans="1:40" x14ac:dyDescent="0.25">
      <c r="A4462" t="str">
        <f>"20190312154343943"</f>
        <v>20190312154343943</v>
      </c>
      <c r="B4462" t="str">
        <f>"1552376623932333"</f>
        <v>1552376623932333</v>
      </c>
      <c r="C4462" t="s">
        <v>40</v>
      </c>
      <c r="D4462">
        <v>5.2422209999999998</v>
      </c>
      <c r="E4462">
        <v>0.58221979999999995</v>
      </c>
      <c r="F4462" t="s">
        <v>69</v>
      </c>
      <c r="G4462">
        <v>-198.42089999999999</v>
      </c>
      <c r="H4462" s="1">
        <v>-1.2666220000000001E-5</v>
      </c>
      <c r="I4462">
        <v>150.97219999999999</v>
      </c>
      <c r="J4462">
        <v>-193.7201</v>
      </c>
      <c r="K4462">
        <v>1.1027720000000001</v>
      </c>
      <c r="L4462">
        <v>156.7337</v>
      </c>
      <c r="M4462">
        <v>-0.29998079999999999</v>
      </c>
      <c r="N4462">
        <v>0</v>
      </c>
      <c r="O4462">
        <v>-0.95383700000000005</v>
      </c>
      <c r="P4462">
        <v>-0.45316879999999998</v>
      </c>
      <c r="Q4462">
        <v>-2.4413849999999999E-3</v>
      </c>
      <c r="R4462">
        <v>-0.89142160000000004</v>
      </c>
      <c r="S4462">
        <v>-1.9219360000000001</v>
      </c>
      <c r="T4462">
        <v>-0.44554359999999998</v>
      </c>
      <c r="U4462">
        <v>-2.3913419999999999</v>
      </c>
      <c r="V4462">
        <v>0.16504389999999999</v>
      </c>
      <c r="W4462">
        <v>8.7153449999999993E-3</v>
      </c>
      <c r="X4462">
        <v>0.98624769999999995</v>
      </c>
      <c r="Y4462">
        <v>0.35689900000000002</v>
      </c>
      <c r="Z4462">
        <v>0.1451732</v>
      </c>
      <c r="AA4462">
        <v>0.92279350000000004</v>
      </c>
      <c r="AB4462">
        <v>25</v>
      </c>
      <c r="AC4462">
        <v>-4.7007999999999797</v>
      </c>
      <c r="AD4462">
        <v>-1.1027846662199901</v>
      </c>
      <c r="AE4462">
        <v>-5.7615000000000096</v>
      </c>
      <c r="AF4462">
        <v>2.6964351321609898</v>
      </c>
      <c r="AG4462">
        <v>-1.1027846662199901</v>
      </c>
      <c r="AH4462">
        <v>6.7577605247631398</v>
      </c>
      <c r="AI4462">
        <v>98.618589944900293</v>
      </c>
      <c r="AJ4462">
        <v>68.247351820602802</v>
      </c>
      <c r="AK4462">
        <v>7.3589553438004396</v>
      </c>
      <c r="AL4462">
        <v>89.500641185699806</v>
      </c>
      <c r="AM4462">
        <v>80.499850995463802</v>
      </c>
      <c r="AN4462">
        <v>0.99999998596048401</v>
      </c>
    </row>
    <row r="4463" spans="1:40" x14ac:dyDescent="0.25">
      <c r="A4463" t="str">
        <f>"20190312154343962"</f>
        <v>20190312154343962</v>
      </c>
      <c r="B4463" t="str">
        <f>"1552376623951853"</f>
        <v>1552376623951853</v>
      </c>
      <c r="C4463" t="s">
        <v>40</v>
      </c>
      <c r="D4463">
        <v>5.2053919999999998</v>
      </c>
      <c r="E4463">
        <v>0.58210090000000003</v>
      </c>
      <c r="F4463" t="s">
        <v>69</v>
      </c>
      <c r="G4463">
        <v>-198.55410000000001</v>
      </c>
      <c r="H4463" s="1">
        <v>-1.263389E-5</v>
      </c>
      <c r="I4463">
        <v>150.79679999999999</v>
      </c>
      <c r="J4463">
        <v>-193.79239999999999</v>
      </c>
      <c r="K4463">
        <v>1.1027929999999999</v>
      </c>
      <c r="L4463">
        <v>156.5361</v>
      </c>
      <c r="M4463">
        <v>-0.30844369999999999</v>
      </c>
      <c r="N4463">
        <v>0</v>
      </c>
      <c r="O4463">
        <v>-0.95113419999999904</v>
      </c>
      <c r="P4463">
        <v>-0.46073170000000002</v>
      </c>
      <c r="Q4463">
        <v>-1.9986689999999998E-3</v>
      </c>
      <c r="R4463">
        <v>-0.88753749999999998</v>
      </c>
      <c r="S4463">
        <v>-1.937317</v>
      </c>
      <c r="T4463">
        <v>-0.44196220000000003</v>
      </c>
      <c r="U4463">
        <v>-2.3793489999999999</v>
      </c>
      <c r="V4463">
        <v>0.16467409999999999</v>
      </c>
      <c r="W4463">
        <v>9.1716590000000004E-3</v>
      </c>
      <c r="X4463">
        <v>0.9863054</v>
      </c>
      <c r="Y4463">
        <v>0.35460069999999999</v>
      </c>
      <c r="Z4463">
        <v>0.14379810000000001</v>
      </c>
      <c r="AA4463">
        <v>0.9238942</v>
      </c>
      <c r="AB4463">
        <v>25</v>
      </c>
      <c r="AC4463">
        <v>-4.76170000000001</v>
      </c>
      <c r="AD4463">
        <v>-1.1028056338900001</v>
      </c>
      <c r="AE4463">
        <v>-5.7393000000000098</v>
      </c>
      <c r="AF4463">
        <v>2.7000042613389001</v>
      </c>
      <c r="AG4463">
        <v>-1.1028056338900001</v>
      </c>
      <c r="AH4463">
        <v>6.78000674320635</v>
      </c>
      <c r="AI4463">
        <v>98.5931735013354</v>
      </c>
      <c r="AJ4463">
        <v>68.286053422996702</v>
      </c>
      <c r="AK4463">
        <v>7.38069744098153</v>
      </c>
      <c r="AL4463">
        <v>89.474495285889006</v>
      </c>
      <c r="AM4463">
        <v>80.521294937798402</v>
      </c>
      <c r="AN4463">
        <v>1.00000001030439</v>
      </c>
    </row>
    <row r="4464" spans="1:40" x14ac:dyDescent="0.25">
      <c r="A4464" t="str">
        <f>"20190312154343984"</f>
        <v>20190312154343984</v>
      </c>
      <c r="B4464" t="str">
        <f>"1552376623972349"</f>
        <v>1552376623972349</v>
      </c>
      <c r="C4464" t="s">
        <v>40</v>
      </c>
      <c r="D4464">
        <v>5.2167770000000004</v>
      </c>
      <c r="E4464">
        <v>0.58189150000000001</v>
      </c>
      <c r="F4464" t="s">
        <v>69</v>
      </c>
      <c r="G4464">
        <v>-198.72980000000001</v>
      </c>
      <c r="H4464" s="1">
        <v>-1.259363E-5</v>
      </c>
      <c r="I4464">
        <v>150.57480000000001</v>
      </c>
      <c r="J4464">
        <v>-193.881</v>
      </c>
      <c r="K4464">
        <v>1.1028199999999999</v>
      </c>
      <c r="L4464">
        <v>156.30090000000001</v>
      </c>
      <c r="M4464">
        <v>-0.31852029999999998</v>
      </c>
      <c r="N4464">
        <v>0</v>
      </c>
      <c r="O4464">
        <v>-0.94780730000000002</v>
      </c>
      <c r="P4464">
        <v>-0.4696342</v>
      </c>
      <c r="Q4464">
        <v>-2.639363E-3</v>
      </c>
      <c r="R4464">
        <v>-0.88285740000000001</v>
      </c>
      <c r="S4464">
        <v>-1.95723</v>
      </c>
      <c r="T4464">
        <v>-0.43716840000000001</v>
      </c>
      <c r="U4464">
        <v>-2.363159</v>
      </c>
      <c r="V4464">
        <v>0.16411429999999999</v>
      </c>
      <c r="W4464">
        <v>8.5498880000000003E-3</v>
      </c>
      <c r="X4464">
        <v>0.98640430000000001</v>
      </c>
      <c r="Y4464">
        <v>0.3525819</v>
      </c>
      <c r="Z4464">
        <v>0.142008</v>
      </c>
      <c r="AA4464">
        <v>0.92494310000000002</v>
      </c>
      <c r="AB4464">
        <v>25</v>
      </c>
      <c r="AC4464">
        <v>-4.8488000000000397</v>
      </c>
      <c r="AD4464">
        <v>-1.1028325936299901</v>
      </c>
      <c r="AE4464">
        <v>-5.7260999999999997</v>
      </c>
      <c r="AF4464">
        <v>2.7135141269719898</v>
      </c>
      <c r="AG4464">
        <v>-1.1028325936299901</v>
      </c>
      <c r="AH4464">
        <v>6.8249584277122697</v>
      </c>
      <c r="AI4464">
        <v>98.539477482268595</v>
      </c>
      <c r="AJ4464">
        <v>68.317879184392098</v>
      </c>
      <c r="AK4464">
        <v>7.4269412402987198</v>
      </c>
      <c r="AL4464">
        <v>89.510121545305196</v>
      </c>
      <c r="AM4464">
        <v>80.553865567616498</v>
      </c>
      <c r="AN4464">
        <v>1.0000000235538899</v>
      </c>
    </row>
    <row r="4465" spans="1:40" x14ac:dyDescent="0.25">
      <c r="A4465" t="str">
        <f>"20190312154344004"</f>
        <v>20190312154344004</v>
      </c>
      <c r="B4465" t="str">
        <f>"1552376623991871"</f>
        <v>1552376623991871</v>
      </c>
      <c r="C4465" t="s">
        <v>40</v>
      </c>
      <c r="D4465">
        <v>5.1869769999999997</v>
      </c>
      <c r="E4465">
        <v>0.58142559999999999</v>
      </c>
      <c r="F4465" t="s">
        <v>69</v>
      </c>
      <c r="G4465">
        <v>-198.8741</v>
      </c>
      <c r="H4465" s="1">
        <v>-1.2559749999999999E-5</v>
      </c>
      <c r="I4465">
        <v>150.38929999999999</v>
      </c>
      <c r="J4465">
        <v>-193.9674</v>
      </c>
      <c r="K4465">
        <v>1.10284</v>
      </c>
      <c r="L4465">
        <v>156.0788</v>
      </c>
      <c r="M4465">
        <v>-0.32803330000000003</v>
      </c>
      <c r="N4465">
        <v>0</v>
      </c>
      <c r="O4465">
        <v>-0.94455710000000004</v>
      </c>
      <c r="P4465">
        <v>-0.47836889999999999</v>
      </c>
      <c r="Q4465">
        <v>-3.1760769999999998E-3</v>
      </c>
      <c r="R4465">
        <v>-0.87815359999999998</v>
      </c>
      <c r="S4465">
        <v>-1.979568</v>
      </c>
      <c r="T4465">
        <v>-0.43722939999999999</v>
      </c>
      <c r="U4465">
        <v>-2.3437190000000001</v>
      </c>
      <c r="V4465">
        <v>0.16397249999999999</v>
      </c>
      <c r="W4465">
        <v>8.0215709999999999E-3</v>
      </c>
      <c r="X4465">
        <v>0.98643230000000004</v>
      </c>
      <c r="Y4465">
        <v>0.35212209999999899</v>
      </c>
      <c r="Z4465">
        <v>0.1418335</v>
      </c>
      <c r="AA4465">
        <v>0.925145</v>
      </c>
      <c r="AB4465">
        <v>25</v>
      </c>
      <c r="AC4465">
        <v>-4.9066999999999998</v>
      </c>
      <c r="AD4465">
        <v>-1.1028525597499901</v>
      </c>
      <c r="AE4465">
        <v>-5.6894999999999998</v>
      </c>
      <c r="AF4465">
        <v>2.7101995387692499</v>
      </c>
      <c r="AG4465">
        <v>-1.1028525597499901</v>
      </c>
      <c r="AH4465">
        <v>6.8370162215814601</v>
      </c>
      <c r="AI4465">
        <v>98.528207733706907</v>
      </c>
      <c r="AJ4465">
        <v>68.376579750491501</v>
      </c>
      <c r="AK4465">
        <v>7.4368176071932997</v>
      </c>
      <c r="AL4465">
        <v>89.540392909628096</v>
      </c>
      <c r="AM4465">
        <v>80.562143504593806</v>
      </c>
      <c r="AN4465">
        <v>1.00000000442042</v>
      </c>
    </row>
    <row r="4466" spans="1:40" x14ac:dyDescent="0.25">
      <c r="A4466" t="str">
        <f>"20190312154344018"</f>
        <v>20190312154344018</v>
      </c>
      <c r="B4466" t="str">
        <f>"1552376624012365"</f>
        <v>1552376624012365</v>
      </c>
      <c r="C4466" t="s">
        <v>40</v>
      </c>
      <c r="D4466">
        <v>5.2264030000000004</v>
      </c>
      <c r="E4466">
        <v>0.58085779999999998</v>
      </c>
      <c r="F4466" t="s">
        <v>69</v>
      </c>
      <c r="G4466">
        <v>-199.02959999999999</v>
      </c>
      <c r="H4466" s="1">
        <v>-1.252397E-5</v>
      </c>
      <c r="I4466">
        <v>150.19229999999999</v>
      </c>
      <c r="J4466">
        <v>-194.02330000000001</v>
      </c>
      <c r="K4466">
        <v>1.1028480000000001</v>
      </c>
      <c r="L4466">
        <v>155.93860000000001</v>
      </c>
      <c r="M4466">
        <v>-0.33403919999999998</v>
      </c>
      <c r="N4466">
        <v>0</v>
      </c>
      <c r="O4466">
        <v>-0.94244969999999995</v>
      </c>
      <c r="P4466">
        <v>-0.48409540000000001</v>
      </c>
      <c r="Q4466">
        <v>-3.1915099999999998E-3</v>
      </c>
      <c r="R4466">
        <v>-0.87500990000000001</v>
      </c>
      <c r="S4466">
        <v>-1.999725</v>
      </c>
      <c r="T4466">
        <v>-0.43565310000000002</v>
      </c>
      <c r="U4466">
        <v>-2.3253170000000001</v>
      </c>
      <c r="V4466">
        <v>0.16413699999999901</v>
      </c>
      <c r="W4466">
        <v>8.0058349999999993E-3</v>
      </c>
      <c r="X4466">
        <v>0.98640510000000003</v>
      </c>
      <c r="Y4466">
        <v>0.35444799999999999</v>
      </c>
      <c r="Z4466">
        <v>0.14129539999999999</v>
      </c>
      <c r="AA4466">
        <v>0.92433880000000002</v>
      </c>
      <c r="AB4466">
        <v>25</v>
      </c>
      <c r="AC4466">
        <v>-5.00629999999998</v>
      </c>
      <c r="AD4466">
        <v>-1.10286052397</v>
      </c>
      <c r="AE4466">
        <v>-5.7463000000000104</v>
      </c>
      <c r="AF4466">
        <v>2.7415746991310899</v>
      </c>
      <c r="AG4466">
        <v>-1.10286052397</v>
      </c>
      <c r="AH4466">
        <v>6.9432341639999802</v>
      </c>
      <c r="AI4466">
        <v>98.404056140088301</v>
      </c>
      <c r="AJ4466">
        <v>68.453138669122296</v>
      </c>
      <c r="AK4466">
        <v>7.54592829427789</v>
      </c>
      <c r="AL4466">
        <v>89.541294558867804</v>
      </c>
      <c r="AM4466">
        <v>80.552590071206396</v>
      </c>
      <c r="AN4466">
        <v>1.0000000347345199</v>
      </c>
    </row>
    <row r="4467" spans="1:40" x14ac:dyDescent="0.25">
      <c r="A4467" t="str">
        <f>"20190312154344030"</f>
        <v>20190312154344030</v>
      </c>
      <c r="B4467" t="str">
        <f>"1552376624022125"</f>
        <v>1552376624022125</v>
      </c>
      <c r="C4467" t="s">
        <v>40</v>
      </c>
      <c r="D4467">
        <v>5.1884600000000001</v>
      </c>
      <c r="E4467">
        <v>0.58085779999999998</v>
      </c>
      <c r="F4467" t="s">
        <v>69</v>
      </c>
      <c r="G4467">
        <v>-199.13030000000001</v>
      </c>
      <c r="H4467" s="1">
        <v>-1.2499959999999999E-5</v>
      </c>
      <c r="I4467">
        <v>150.06139999999999</v>
      </c>
      <c r="J4467">
        <v>-194.0771</v>
      </c>
      <c r="K4467">
        <v>1.102862</v>
      </c>
      <c r="L4467">
        <v>155.80539999999999</v>
      </c>
      <c r="M4467">
        <v>-0.33974359999999998</v>
      </c>
      <c r="N4467">
        <v>0</v>
      </c>
      <c r="O4467">
        <v>-0.94040849999999998</v>
      </c>
      <c r="P4467">
        <v>-0.48946010000000001</v>
      </c>
      <c r="Q4467">
        <v>-3.254355E-3</v>
      </c>
      <c r="R4467">
        <v>-0.87201960000000001</v>
      </c>
      <c r="S4467">
        <v>-2.011047</v>
      </c>
      <c r="T4467">
        <v>-0.4342897</v>
      </c>
      <c r="U4467">
        <v>-2.3143769999999999</v>
      </c>
      <c r="V4467">
        <v>0.1642169</v>
      </c>
      <c r="W4467">
        <v>7.9448030000000003E-3</v>
      </c>
      <c r="X4467">
        <v>0.9863923</v>
      </c>
      <c r="Y4467">
        <v>0.35357749999999999</v>
      </c>
      <c r="Z4467">
        <v>0.14074110000000001</v>
      </c>
      <c r="AA4467">
        <v>0.92475660000000004</v>
      </c>
      <c r="AB4467">
        <v>25</v>
      </c>
      <c r="AC4467">
        <v>-5.0532000000000004</v>
      </c>
      <c r="AD4467">
        <v>-1.10287449996</v>
      </c>
      <c r="AE4467">
        <v>-5.7439999999999998</v>
      </c>
      <c r="AF4467">
        <v>2.74385118227667</v>
      </c>
      <c r="AG4467">
        <v>-1.10287449996</v>
      </c>
      <c r="AH4467">
        <v>6.9742933517236496</v>
      </c>
      <c r="AI4467">
        <v>98.371295930753007</v>
      </c>
      <c r="AJ4467">
        <v>68.524155815612204</v>
      </c>
      <c r="AK4467">
        <v>7.57534284564335</v>
      </c>
      <c r="AL4467">
        <v>89.544791548293006</v>
      </c>
      <c r="AM4467">
        <v>80.547953704624305</v>
      </c>
      <c r="AN4467">
        <v>1.0000000398197999</v>
      </c>
    </row>
    <row r="4468" spans="1:40" x14ac:dyDescent="0.25">
      <c r="A4468" t="str">
        <f>"20190312154344050"</f>
        <v>20190312154344050</v>
      </c>
      <c r="B4468" t="str">
        <f>"1552376624042621"</f>
        <v>1552376624042621</v>
      </c>
      <c r="C4468" t="s">
        <v>40</v>
      </c>
      <c r="D4468">
        <v>5.2028220000000003</v>
      </c>
      <c r="E4468">
        <v>0.57078809999999902</v>
      </c>
      <c r="F4468" t="s">
        <v>69</v>
      </c>
      <c r="G4468">
        <v>-199.21639999999999</v>
      </c>
      <c r="H4468" s="1">
        <v>-1.2478479999999999E-5</v>
      </c>
      <c r="I4468">
        <v>149.96270000000001</v>
      </c>
      <c r="J4468">
        <v>-194.1652</v>
      </c>
      <c r="K4468">
        <v>1.1028849999999999</v>
      </c>
      <c r="L4468">
        <v>155.59299999999999</v>
      </c>
      <c r="M4468">
        <v>-0.34884270000000001</v>
      </c>
      <c r="N4468">
        <v>0</v>
      </c>
      <c r="O4468">
        <v>-0.93707149999999995</v>
      </c>
      <c r="P4468">
        <v>-0.49812810000000002</v>
      </c>
      <c r="Q4468">
        <v>-2.7375210000000001E-3</v>
      </c>
      <c r="R4468">
        <v>-0.86709919999999996</v>
      </c>
      <c r="S4468">
        <v>-2.0249630000000001</v>
      </c>
      <c r="T4468">
        <v>-0.43455060000000001</v>
      </c>
      <c r="U4468">
        <v>-2.3020939999999999</v>
      </c>
      <c r="V4468">
        <v>0.1644968</v>
      </c>
      <c r="W4468">
        <v>8.4602459999999994E-3</v>
      </c>
      <c r="X4468">
        <v>0.98634140000000003</v>
      </c>
      <c r="Y4468">
        <v>0.35013260000000002</v>
      </c>
      <c r="Z4468">
        <v>0.14050480000000001</v>
      </c>
      <c r="AA4468">
        <v>0.92610230000000004</v>
      </c>
      <c r="AB4468">
        <v>25</v>
      </c>
      <c r="AC4468">
        <v>-5.0511999999999899</v>
      </c>
      <c r="AD4468">
        <v>-1.1028974784799901</v>
      </c>
      <c r="AE4468">
        <v>-5.6302999999999699</v>
      </c>
      <c r="AF4468">
        <v>2.7118772414414498</v>
      </c>
      <c r="AG4468">
        <v>-1.1028974784799901</v>
      </c>
      <c r="AH4468">
        <v>6.8922633459918901</v>
      </c>
      <c r="AI4468">
        <v>98.469542968179994</v>
      </c>
      <c r="AJ4468">
        <v>68.522006322596496</v>
      </c>
      <c r="AK4468">
        <v>7.4882544729188396</v>
      </c>
      <c r="AL4468">
        <v>89.515257859396598</v>
      </c>
      <c r="AM4468">
        <v>80.531654832821403</v>
      </c>
      <c r="AN4468">
        <v>1.0000000651632801</v>
      </c>
    </row>
    <row r="4469" spans="1:40" x14ac:dyDescent="0.25">
      <c r="A4469" t="str">
        <f>"20190312154344072"</f>
        <v>20190312154344072</v>
      </c>
      <c r="B4469" t="str">
        <f>"1552376624062141"</f>
        <v>1552376624062141</v>
      </c>
      <c r="C4469" t="s">
        <v>40</v>
      </c>
      <c r="D4469">
        <v>5.2172650000000003</v>
      </c>
      <c r="E4469">
        <v>0.571115699999999</v>
      </c>
      <c r="F4469" t="s">
        <v>69</v>
      </c>
      <c r="G4469">
        <v>-199.40770000000001</v>
      </c>
      <c r="H4469" s="1">
        <v>-1.231757E-5</v>
      </c>
      <c r="I4469">
        <v>149.441</v>
      </c>
      <c r="J4469">
        <v>-194.26609999999999</v>
      </c>
      <c r="K4469">
        <v>1.102905</v>
      </c>
      <c r="L4469">
        <v>155.35669999999999</v>
      </c>
      <c r="M4469">
        <v>-0.3589658</v>
      </c>
      <c r="N4469">
        <v>0</v>
      </c>
      <c r="O4469">
        <v>-0.93324039999999997</v>
      </c>
      <c r="P4469">
        <v>-0.50733209999999995</v>
      </c>
      <c r="Q4469">
        <v>-2.605975E-3</v>
      </c>
      <c r="R4469">
        <v>-0.86174680000000003</v>
      </c>
      <c r="S4469">
        <v>-1.9785919999999999</v>
      </c>
      <c r="T4469">
        <v>-0.41625020000000001</v>
      </c>
      <c r="U4469">
        <v>-2.3218380000000001</v>
      </c>
      <c r="V4469">
        <v>0.16432349999999901</v>
      </c>
      <c r="W4469">
        <v>8.6004310000000004E-3</v>
      </c>
      <c r="X4469">
        <v>0.98636900000000005</v>
      </c>
      <c r="Y4469">
        <v>0.32590540000000001</v>
      </c>
      <c r="Z4469">
        <v>0.13444200000000001</v>
      </c>
      <c r="AA4469">
        <v>0.93579440000000003</v>
      </c>
      <c r="AB4469">
        <v>25</v>
      </c>
      <c r="AC4469">
        <v>-5.1416000000000102</v>
      </c>
      <c r="AD4469">
        <v>-1.10291731757</v>
      </c>
      <c r="AE4469">
        <v>-5.9156999999999798</v>
      </c>
      <c r="AF4469">
        <v>2.6231484545719801</v>
      </c>
      <c r="AG4469">
        <v>-1.10291731757</v>
      </c>
      <c r="AH4469">
        <v>7.2241397364516704</v>
      </c>
      <c r="AI4469">
        <v>98.166397039723805</v>
      </c>
      <c r="AJ4469">
        <v>70.043596784756403</v>
      </c>
      <c r="AK4469">
        <v>7.76437565782975</v>
      </c>
      <c r="AL4469">
        <v>89.507225522817194</v>
      </c>
      <c r="AM4469">
        <v>80.541709430676306</v>
      </c>
      <c r="AN4469">
        <v>0.99999999211331703</v>
      </c>
    </row>
    <row r="4470" spans="1:40" x14ac:dyDescent="0.25">
      <c r="A4470" t="str">
        <f>"20190312154344084"</f>
        <v>20190312154344084</v>
      </c>
      <c r="B4470" t="str">
        <f>"1552376624071901"</f>
        <v>1552376624071901</v>
      </c>
      <c r="C4470" t="s">
        <v>40</v>
      </c>
      <c r="D4470">
        <v>5.4149039999999999</v>
      </c>
      <c r="E4470">
        <v>0.571115699999999</v>
      </c>
      <c r="F4470" t="s">
        <v>69</v>
      </c>
      <c r="G4470">
        <v>-199.50389999999999</v>
      </c>
      <c r="H4470" s="1">
        <v>-1.2311139999999999E-5</v>
      </c>
      <c r="I4470">
        <v>149.352</v>
      </c>
      <c r="J4470">
        <v>-194.32089999999999</v>
      </c>
      <c r="K4470">
        <v>1.1029150000000001</v>
      </c>
      <c r="L4470">
        <v>155.23099999999999</v>
      </c>
      <c r="M4470">
        <v>-0.36435010000000001</v>
      </c>
      <c r="N4470">
        <v>0</v>
      </c>
      <c r="O4470">
        <v>-0.93115159999999997</v>
      </c>
      <c r="P4470">
        <v>-0.51225329999999902</v>
      </c>
      <c r="Q4470">
        <v>-2.6771329999999999E-3</v>
      </c>
      <c r="R4470">
        <v>-0.85883029999999905</v>
      </c>
      <c r="S4470">
        <v>-2.005585</v>
      </c>
      <c r="T4470">
        <v>-0.42231550000000001</v>
      </c>
      <c r="U4470">
        <v>-2.2992710000000001</v>
      </c>
      <c r="V4470">
        <v>0.16426729999999901</v>
      </c>
      <c r="W4470">
        <v>8.5322460000000003E-3</v>
      </c>
      <c r="X4470">
        <v>0.98637900000000001</v>
      </c>
      <c r="Y4470">
        <v>0.3310553</v>
      </c>
      <c r="Z4470">
        <v>0.13632629999999901</v>
      </c>
      <c r="AA4470">
        <v>0.93371170000000003</v>
      </c>
      <c r="AB4470">
        <v>25</v>
      </c>
      <c r="AC4470">
        <v>-5.1829999999999901</v>
      </c>
      <c r="AD4470">
        <v>-1.10292731114</v>
      </c>
      <c r="AE4470">
        <v>-5.8789999999999898</v>
      </c>
      <c r="AF4470">
        <v>2.63229217599919</v>
      </c>
      <c r="AG4470">
        <v>-1.10292731114</v>
      </c>
      <c r="AH4470">
        <v>7.2204347574307102</v>
      </c>
      <c r="AI4470">
        <v>98.166842576895405</v>
      </c>
      <c r="AJ4470">
        <v>69.970093965187004</v>
      </c>
      <c r="AK4470">
        <v>7.76402529876085</v>
      </c>
      <c r="AL4470">
        <v>89.511132401531398</v>
      </c>
      <c r="AM4470">
        <v>80.544979951688106</v>
      </c>
      <c r="AN4470">
        <v>1.0000000383560399</v>
      </c>
    </row>
    <row r="4471" spans="1:40" x14ac:dyDescent="0.25">
      <c r="A4471" t="str">
        <f>"20190312154344096"</f>
        <v>20190312154344096</v>
      </c>
      <c r="B4471" t="str">
        <f>"1552376624092396"</f>
        <v>1552376624092396</v>
      </c>
      <c r="C4471" t="s">
        <v>40</v>
      </c>
      <c r="D4471">
        <v>5.3949980000000002</v>
      </c>
      <c r="E4471">
        <v>0.58735130000000002</v>
      </c>
      <c r="F4471" t="s">
        <v>69</v>
      </c>
      <c r="G4471">
        <v>-199.5925</v>
      </c>
      <c r="H4471" s="1">
        <v>-1.230185E-5</v>
      </c>
      <c r="I4471">
        <v>149.25710000000001</v>
      </c>
      <c r="J4471">
        <v>-194.37540000000001</v>
      </c>
      <c r="K4471">
        <v>1.1029260000000001</v>
      </c>
      <c r="L4471">
        <v>155.10839999999999</v>
      </c>
      <c r="M4471">
        <v>-0.36960609999999999</v>
      </c>
      <c r="N4471">
        <v>0</v>
      </c>
      <c r="O4471">
        <v>-0.92907779999999995</v>
      </c>
      <c r="P4471">
        <v>-0.51682039999999996</v>
      </c>
      <c r="Q4471">
        <v>-2.7815650000000002E-3</v>
      </c>
      <c r="R4471">
        <v>-0.85608969999999995</v>
      </c>
      <c r="S4471">
        <v>-2.0187529999999998</v>
      </c>
      <c r="T4471">
        <v>-0.4223635</v>
      </c>
      <c r="U4471">
        <v>-2.2877040000000002</v>
      </c>
      <c r="V4471">
        <v>0.16394510000000001</v>
      </c>
      <c r="W4471">
        <v>8.4368810000000002E-3</v>
      </c>
      <c r="X4471">
        <v>0.98643340000000002</v>
      </c>
      <c r="Y4471">
        <v>0.33110079999999997</v>
      </c>
      <c r="Z4471">
        <v>0.13618469999999999</v>
      </c>
      <c r="AA4471">
        <v>0.9337162</v>
      </c>
      <c r="AB4471">
        <v>25</v>
      </c>
      <c r="AC4471">
        <v>-5.2170999999999799</v>
      </c>
      <c r="AD4471">
        <v>-1.1029383018500001</v>
      </c>
      <c r="AE4471">
        <v>-5.8512999999999797</v>
      </c>
      <c r="AF4471">
        <v>2.6325818424543099</v>
      </c>
      <c r="AG4471">
        <v>-1.1029383018500001</v>
      </c>
      <c r="AH4471">
        <v>7.2223810648380997</v>
      </c>
      <c r="AI4471">
        <v>98.164902372377398</v>
      </c>
      <c r="AJ4471">
        <v>69.973034215514801</v>
      </c>
      <c r="AK4471">
        <v>7.76593512081062</v>
      </c>
      <c r="AL4471">
        <v>89.516596598585707</v>
      </c>
      <c r="AM4471">
        <v>80.563702549002898</v>
      </c>
      <c r="AN4471">
        <v>1.0000000147052801</v>
      </c>
    </row>
    <row r="4472" spans="1:40" x14ac:dyDescent="0.25">
      <c r="A4472" t="str">
        <f>"20190312154344108"</f>
        <v>20190312154344108</v>
      </c>
      <c r="B4472" t="str">
        <f>"1552376624102157"</f>
        <v>1552376624102157</v>
      </c>
      <c r="C4472" t="s">
        <v>40</v>
      </c>
      <c r="D4472">
        <v>5.3807720000000003</v>
      </c>
      <c r="E4472">
        <v>0.61027540000000002</v>
      </c>
      <c r="F4472" t="s">
        <v>69</v>
      </c>
      <c r="G4472">
        <v>-199.22049999999999</v>
      </c>
      <c r="H4472" s="1">
        <v>-1.2519520000000001E-5</v>
      </c>
      <c r="I4472">
        <v>150.10730000000001</v>
      </c>
      <c r="J4472">
        <v>-194.43549999999999</v>
      </c>
      <c r="K4472">
        <v>1.1029370000000001</v>
      </c>
      <c r="L4472">
        <v>154.97450000000001</v>
      </c>
      <c r="M4472">
        <v>-0.3753436</v>
      </c>
      <c r="N4472">
        <v>0</v>
      </c>
      <c r="O4472">
        <v>-0.92677489999999996</v>
      </c>
      <c r="P4472">
        <v>-0.52201370000000002</v>
      </c>
      <c r="Q4472">
        <v>-2.8076199999999998E-3</v>
      </c>
      <c r="R4472">
        <v>-0.85293280000000005</v>
      </c>
      <c r="S4472">
        <v>-2.141159</v>
      </c>
      <c r="T4472">
        <v>-0.48741079999999998</v>
      </c>
      <c r="U4472">
        <v>-2.2100979999999999</v>
      </c>
      <c r="V4472">
        <v>0.16384019999999999</v>
      </c>
      <c r="W4472">
        <v>8.4149489999999997E-3</v>
      </c>
      <c r="X4472">
        <v>0.98645099999999997</v>
      </c>
      <c r="Y4472">
        <v>0.36625750000000001</v>
      </c>
      <c r="Z4472">
        <v>0.15636900000000001</v>
      </c>
      <c r="AA4472">
        <v>0.91728089999999995</v>
      </c>
      <c r="AB4472">
        <v>25</v>
      </c>
      <c r="AC4472">
        <v>-4.7849999999999904</v>
      </c>
      <c r="AD4472">
        <v>-1.1029495195200001</v>
      </c>
      <c r="AE4472">
        <v>-4.8671999999999898</v>
      </c>
      <c r="AF4472">
        <v>2.5416434764150901</v>
      </c>
      <c r="AG4472">
        <v>-1.1029495195200001</v>
      </c>
      <c r="AH4472">
        <v>6.1469504819737502</v>
      </c>
      <c r="AI4472">
        <v>99.414836685241497</v>
      </c>
      <c r="AJ4472">
        <v>67.5358651412607</v>
      </c>
      <c r="AK4472">
        <v>6.7425106178374099</v>
      </c>
      <c r="AL4472">
        <v>89.517853246617506</v>
      </c>
      <c r="AM4472">
        <v>80.569797092361796</v>
      </c>
      <c r="AN4472">
        <v>0.99999999895185598</v>
      </c>
    </row>
    <row r="4473" spans="1:40" x14ac:dyDescent="0.25">
      <c r="A4473" t="str">
        <f>"20190312154344128"</f>
        <v>20190312154344128</v>
      </c>
      <c r="B4473" t="str">
        <f>"1552376624121678"</f>
        <v>1552376624121678</v>
      </c>
      <c r="C4473" t="s">
        <v>40</v>
      </c>
      <c r="D4473">
        <v>5.5289679999999999</v>
      </c>
      <c r="E4473">
        <v>0.61995880000000003</v>
      </c>
      <c r="F4473" t="s">
        <v>69</v>
      </c>
      <c r="G4473">
        <v>-198.33179999999999</v>
      </c>
      <c r="H4473" s="1">
        <v>-1.2772779999999999E-5</v>
      </c>
      <c r="I4473">
        <v>151.4271</v>
      </c>
      <c r="J4473">
        <v>-194.5264</v>
      </c>
      <c r="K4473">
        <v>1.1029549999999999</v>
      </c>
      <c r="L4473">
        <v>154.7766</v>
      </c>
      <c r="M4473">
        <v>-0.38382440000000001</v>
      </c>
      <c r="N4473">
        <v>0</v>
      </c>
      <c r="O4473">
        <v>-0.92329470000000002</v>
      </c>
      <c r="P4473">
        <v>-0.52941169999999904</v>
      </c>
      <c r="Q4473">
        <v>-2.53513E-3</v>
      </c>
      <c r="R4473">
        <v>-0.84836129999999998</v>
      </c>
      <c r="S4473">
        <v>-2.3088229999999998</v>
      </c>
      <c r="T4473">
        <v>-0.65357540000000003</v>
      </c>
      <c r="U4473">
        <v>-2.1020660000000002</v>
      </c>
      <c r="V4473">
        <v>0.16337979999999899</v>
      </c>
      <c r="W4473">
        <v>8.70008699999999E-3</v>
      </c>
      <c r="X4473">
        <v>0.98652490000000004</v>
      </c>
      <c r="Y4473">
        <v>0.4074759</v>
      </c>
      <c r="Z4473">
        <v>0.20650060000000001</v>
      </c>
      <c r="AA4473">
        <v>0.88956219999999997</v>
      </c>
      <c r="AB4473">
        <v>25</v>
      </c>
      <c r="AC4473">
        <v>-3.8053999999999899</v>
      </c>
      <c r="AD4473">
        <v>-1.10296777277999</v>
      </c>
      <c r="AE4473">
        <v>-3.3494999999999999</v>
      </c>
      <c r="AF4473">
        <v>2.12741246607776</v>
      </c>
      <c r="AG4473">
        <v>-1.10296777277999</v>
      </c>
      <c r="AH4473">
        <v>4.3478412816800702</v>
      </c>
      <c r="AI4473">
        <v>102.836606876747</v>
      </c>
      <c r="AJ4473">
        <v>63.927350768202601</v>
      </c>
      <c r="AK4473">
        <v>4.9644884448748297</v>
      </c>
      <c r="AL4473">
        <v>89.501515452058797</v>
      </c>
      <c r="AM4473">
        <v>80.596514343490199</v>
      </c>
      <c r="AN4473">
        <v>1.00000001444092</v>
      </c>
    </row>
    <row r="4474" spans="1:40" x14ac:dyDescent="0.25">
      <c r="A4474" t="str">
        <f>"20190312154344151"</f>
        <v>20190312154344151</v>
      </c>
      <c r="B4474" t="str">
        <f>"1552376624142173"</f>
        <v>1552376624142173</v>
      </c>
      <c r="C4474" t="s">
        <v>40</v>
      </c>
      <c r="D4474">
        <v>5.4266779999999999</v>
      </c>
      <c r="E4474">
        <v>0.6239285</v>
      </c>
      <c r="F4474" t="s">
        <v>69</v>
      </c>
      <c r="G4474">
        <v>-198.3355</v>
      </c>
      <c r="H4474" s="1">
        <v>-1.279821E-5</v>
      </c>
      <c r="I4474">
        <v>151.52690000000001</v>
      </c>
      <c r="J4474">
        <v>-194.6414</v>
      </c>
      <c r="K4474">
        <v>1.1029719999999901</v>
      </c>
      <c r="L4474">
        <v>154.5334</v>
      </c>
      <c r="M4474">
        <v>-0.39425260000000001</v>
      </c>
      <c r="N4474">
        <v>0</v>
      </c>
      <c r="O4474">
        <v>-0.91889010000000004</v>
      </c>
      <c r="P4474">
        <v>-0.53853649999999997</v>
      </c>
      <c r="Q4474">
        <v>-1.8912099999999999E-3</v>
      </c>
      <c r="R4474">
        <v>-0.84260020000000002</v>
      </c>
      <c r="S4474">
        <v>-2.3924560000000001</v>
      </c>
      <c r="T4474">
        <v>-0.6927778</v>
      </c>
      <c r="U4474">
        <v>-2.0411679999999999</v>
      </c>
      <c r="V4474">
        <v>0.16286809999999999</v>
      </c>
      <c r="W4474">
        <v>9.3580950000000003E-3</v>
      </c>
      <c r="X4474">
        <v>0.98660340000000002</v>
      </c>
      <c r="Y4474">
        <v>0.42388239999999999</v>
      </c>
      <c r="Z4474">
        <v>0.21727769999999999</v>
      </c>
      <c r="AA4474">
        <v>0.87926909999999903</v>
      </c>
      <c r="AB4474">
        <v>25</v>
      </c>
      <c r="AC4474">
        <v>-3.6940999999999899</v>
      </c>
      <c r="AD4474">
        <v>-1.1029847982099901</v>
      </c>
      <c r="AE4474">
        <v>-3.00649999999998</v>
      </c>
      <c r="AF4474">
        <v>2.0969248491183401</v>
      </c>
      <c r="AG4474">
        <v>-1.1029847982099901</v>
      </c>
      <c r="AH4474">
        <v>4.0047204847323803</v>
      </c>
      <c r="AI4474">
        <v>103.712044082262</v>
      </c>
      <c r="AJ4474">
        <v>62.3628482096697</v>
      </c>
      <c r="AK4474">
        <v>4.65311244746648</v>
      </c>
      <c r="AL4474">
        <v>89.463812788707898</v>
      </c>
      <c r="AM4474">
        <v>80.626174788115506</v>
      </c>
      <c r="AN4474">
        <v>0.99999993041559698</v>
      </c>
    </row>
    <row r="4475" spans="1:40" x14ac:dyDescent="0.25">
      <c r="A4475" t="str">
        <f>"20190312154344175"</f>
        <v>20190312154344175</v>
      </c>
      <c r="B4475" t="str">
        <f>"1552376624161693"</f>
        <v>1552376624161693</v>
      </c>
      <c r="C4475" t="s">
        <v>40</v>
      </c>
      <c r="D4475">
        <v>5.3572379999999997</v>
      </c>
      <c r="E4475">
        <v>0.62517860000000003</v>
      </c>
      <c r="F4475" t="s">
        <v>69</v>
      </c>
      <c r="G4475">
        <v>-198.4717</v>
      </c>
      <c r="H4475" s="1">
        <v>-1.2777980000000001E-5</v>
      </c>
      <c r="I4475">
        <v>151.39850000000001</v>
      </c>
      <c r="J4475">
        <v>-194.7542</v>
      </c>
      <c r="K4475">
        <v>1.1029910000000001</v>
      </c>
      <c r="L4475">
        <v>154.30160000000001</v>
      </c>
      <c r="M4475">
        <v>-0.40420030000000001</v>
      </c>
      <c r="N4475">
        <v>0</v>
      </c>
      <c r="O4475">
        <v>-0.91455810000000004</v>
      </c>
      <c r="P4475">
        <v>-0.54675430000000003</v>
      </c>
      <c r="Q4475">
        <v>-1.2369999999999901E-3</v>
      </c>
      <c r="R4475">
        <v>-0.83729229999999999</v>
      </c>
      <c r="S4475">
        <v>-2.4415589999999998</v>
      </c>
      <c r="T4475">
        <v>-0.70308289999999996</v>
      </c>
      <c r="U4475">
        <v>-1.9983519999999999</v>
      </c>
      <c r="V4475">
        <v>0.16182569999999999</v>
      </c>
      <c r="W4475">
        <v>1.00366E-2</v>
      </c>
      <c r="X4475">
        <v>0.98676830000000004</v>
      </c>
      <c r="Y4475">
        <v>0.4315987</v>
      </c>
      <c r="Z4475">
        <v>0.2196661</v>
      </c>
      <c r="AA4475">
        <v>0.87491109999999905</v>
      </c>
      <c r="AB4475">
        <v>25</v>
      </c>
      <c r="AC4475">
        <v>-3.7174999999999998</v>
      </c>
      <c r="AD4475">
        <v>-1.1030037779799999</v>
      </c>
      <c r="AE4475">
        <v>-2.90309999999999</v>
      </c>
      <c r="AF4475">
        <v>2.11121337537636</v>
      </c>
      <c r="AG4475">
        <v>-1.1030037779799999</v>
      </c>
      <c r="AH4475">
        <v>3.9425006587767202</v>
      </c>
      <c r="AI4475">
        <v>103.854687314137</v>
      </c>
      <c r="AJ4475">
        <v>61.830902318078103</v>
      </c>
      <c r="AK4475">
        <v>4.6062078432329798</v>
      </c>
      <c r="AL4475">
        <v>89.424935515284304</v>
      </c>
      <c r="AM4475">
        <v>80.686644294810804</v>
      </c>
      <c r="AN4475">
        <v>0.99999998420246905</v>
      </c>
    </row>
    <row r="4476" spans="1:40" x14ac:dyDescent="0.25">
      <c r="A4476" t="str">
        <f>"20190312154344194"</f>
        <v>20190312154344194</v>
      </c>
      <c r="B4476" t="str">
        <f>"1552376624182189"</f>
        <v>1552376624182189</v>
      </c>
      <c r="C4476" t="s">
        <v>40</v>
      </c>
      <c r="D4476">
        <v>5.3171480000000004</v>
      </c>
      <c r="E4476">
        <v>0.62547949999999997</v>
      </c>
      <c r="F4476" t="s">
        <v>69</v>
      </c>
      <c r="G4476">
        <v>-198.62960000000001</v>
      </c>
      <c r="H4476" s="1">
        <v>-1.2745099999999999E-5</v>
      </c>
      <c r="I4476">
        <v>151.21209999999999</v>
      </c>
      <c r="J4476">
        <v>-194.85650000000001</v>
      </c>
      <c r="K4476">
        <v>1.1030120000000001</v>
      </c>
      <c r="L4476">
        <v>154.09639999999999</v>
      </c>
      <c r="M4476">
        <v>-0.4130028</v>
      </c>
      <c r="N4476">
        <v>0</v>
      </c>
      <c r="O4476">
        <v>-0.91061689999999995</v>
      </c>
      <c r="P4476">
        <v>-0.55426419999999998</v>
      </c>
      <c r="Q4476">
        <v>-1.0840450000000001E-3</v>
      </c>
      <c r="R4476">
        <v>-0.83234010000000003</v>
      </c>
      <c r="S4476">
        <v>-2.4699710000000001</v>
      </c>
      <c r="T4476">
        <v>-0.70299429999999996</v>
      </c>
      <c r="U4476">
        <v>-1.9690399999999999</v>
      </c>
      <c r="V4476">
        <v>0.16118660000000001</v>
      </c>
      <c r="W4476">
        <v>1.0205870000000001E-2</v>
      </c>
      <c r="X4476">
        <v>0.98687119999999995</v>
      </c>
      <c r="Y4476">
        <v>0.43429240000000002</v>
      </c>
      <c r="Z4476">
        <v>0.21914210000000001</v>
      </c>
      <c r="AA4476">
        <v>0.8737087</v>
      </c>
      <c r="AB4476">
        <v>25</v>
      </c>
      <c r="AC4476">
        <v>-3.7730999999999999</v>
      </c>
      <c r="AD4476">
        <v>-1.1030247450999999</v>
      </c>
      <c r="AE4476">
        <v>-2.8842999999999899</v>
      </c>
      <c r="AF4476">
        <v>2.1299631302028899</v>
      </c>
      <c r="AG4476">
        <v>-1.1030247450999999</v>
      </c>
      <c r="AH4476">
        <v>3.9710225954351901</v>
      </c>
      <c r="AI4476">
        <v>103.75439855784499</v>
      </c>
      <c r="AJ4476">
        <v>61.791937549689997</v>
      </c>
      <c r="AK4476">
        <v>4.6392269806276403</v>
      </c>
      <c r="AL4476">
        <v>89.415236584182907</v>
      </c>
      <c r="AM4476">
        <v>80.723735396396705</v>
      </c>
      <c r="AN4476">
        <v>1.00000002259572</v>
      </c>
    </row>
    <row r="4477" spans="1:40" x14ac:dyDescent="0.25">
      <c r="A4477" t="str">
        <f>"20190312154344206"</f>
        <v>20190312154344206</v>
      </c>
      <c r="B4477" t="str">
        <f>"1552376624201709"</f>
        <v>1552376624201709</v>
      </c>
      <c r="C4477" t="s">
        <v>40</v>
      </c>
      <c r="D4477">
        <v>5.2954059999999998</v>
      </c>
      <c r="E4477">
        <v>0.62579819999999997</v>
      </c>
      <c r="F4477" t="s">
        <v>69</v>
      </c>
      <c r="G4477">
        <v>-198.79839999999999</v>
      </c>
      <c r="H4477" s="1">
        <v>-1.2710830000000001E-5</v>
      </c>
      <c r="I4477">
        <v>151.0164</v>
      </c>
      <c r="J4477">
        <v>-194.91909999999999</v>
      </c>
      <c r="K4477">
        <v>1.103024</v>
      </c>
      <c r="L4477">
        <v>153.97299999999899</v>
      </c>
      <c r="M4477">
        <v>-0.4182961</v>
      </c>
      <c r="N4477">
        <v>0</v>
      </c>
      <c r="O4477">
        <v>-0.90819780000000006</v>
      </c>
      <c r="P4477">
        <v>-0.55888719999999903</v>
      </c>
      <c r="Q4477">
        <v>-7.7743530000000003E-4</v>
      </c>
      <c r="R4477">
        <v>-0.82924349999999902</v>
      </c>
      <c r="S4477">
        <v>-2.4898069999999999</v>
      </c>
      <c r="T4477">
        <v>-0.69670669999999901</v>
      </c>
      <c r="U4477">
        <v>-1.9454039999999999</v>
      </c>
      <c r="V4477">
        <v>0.160939</v>
      </c>
      <c r="W4477">
        <v>1.051914E-2</v>
      </c>
      <c r="X4477">
        <v>0.98690829999999996</v>
      </c>
      <c r="Y4477">
        <v>0.43797550000000002</v>
      </c>
      <c r="Z4477">
        <v>0.2171524</v>
      </c>
      <c r="AA4477">
        <v>0.87236589999999903</v>
      </c>
      <c r="AB4477">
        <v>25</v>
      </c>
      <c r="AC4477">
        <v>-3.8793000000000002</v>
      </c>
      <c r="AD4477">
        <v>-1.1030367108299901</v>
      </c>
      <c r="AE4477">
        <v>-2.9565999999999799</v>
      </c>
      <c r="AF4477">
        <v>2.1754169651117499</v>
      </c>
      <c r="AG4477">
        <v>-1.1030367108299901</v>
      </c>
      <c r="AH4477">
        <v>4.0987000851790896</v>
      </c>
      <c r="AI4477">
        <v>103.37168279161401</v>
      </c>
      <c r="AJ4477">
        <v>62.0425246735469</v>
      </c>
      <c r="AK4477">
        <v>4.7695357578889901</v>
      </c>
      <c r="AL4477">
        <v>89.397286560272093</v>
      </c>
      <c r="AM4477">
        <v>80.738079751056006</v>
      </c>
      <c r="AN4477">
        <v>1.00000000331811</v>
      </c>
    </row>
    <row r="4478" spans="1:40" x14ac:dyDescent="0.25">
      <c r="A4478" t="str">
        <f>"20190312154344218"</f>
        <v>20190312154344218</v>
      </c>
      <c r="B4478" t="str">
        <f>"1552376624212445"</f>
        <v>1552376624212445</v>
      </c>
      <c r="C4478" t="s">
        <v>40</v>
      </c>
      <c r="D4478">
        <v>5.2824600000000004</v>
      </c>
      <c r="E4478">
        <v>0.62561549999999999</v>
      </c>
      <c r="F4478" t="s">
        <v>69</v>
      </c>
      <c r="G4478">
        <v>-198.9581</v>
      </c>
      <c r="H4478" s="1">
        <v>-1.268513E-5</v>
      </c>
      <c r="I4478">
        <v>150.858</v>
      </c>
      <c r="J4478">
        <v>-194.97489999999999</v>
      </c>
      <c r="K4478">
        <v>1.1030329999999999</v>
      </c>
      <c r="L4478">
        <v>153.86500000000001</v>
      </c>
      <c r="M4478">
        <v>-0.42293229999999998</v>
      </c>
      <c r="N4478">
        <v>0</v>
      </c>
      <c r="O4478">
        <v>-0.90604790000000002</v>
      </c>
      <c r="P4478">
        <v>-0.56305740000000004</v>
      </c>
      <c r="Q4478">
        <v>-4.754348E-4</v>
      </c>
      <c r="R4478">
        <v>-0.82641769999999903</v>
      </c>
      <c r="S4478">
        <v>-2.502869</v>
      </c>
      <c r="T4478">
        <v>-0.6835234</v>
      </c>
      <c r="U4478">
        <v>-1.9302520000000001</v>
      </c>
      <c r="V4478">
        <v>0.1608716</v>
      </c>
      <c r="W4478">
        <v>1.082429E-2</v>
      </c>
      <c r="X4478">
        <v>0.98691600000000002</v>
      </c>
      <c r="Y4478">
        <v>0.43968869999999999</v>
      </c>
      <c r="Z4478">
        <v>0.2130097</v>
      </c>
      <c r="AA4478">
        <v>0.87252549999999995</v>
      </c>
      <c r="AB4478">
        <v>25</v>
      </c>
      <c r="AC4478">
        <v>-3.9832000000000001</v>
      </c>
      <c r="AD4478">
        <v>-1.1030456851299999</v>
      </c>
      <c r="AE4478">
        <v>-3.0070000000000001</v>
      </c>
      <c r="AF4478">
        <v>2.2285899217020599</v>
      </c>
      <c r="AG4478">
        <v>-1.1030456851299999</v>
      </c>
      <c r="AH4478">
        <v>4.2041952787347698</v>
      </c>
      <c r="AI4478">
        <v>103.05137073023</v>
      </c>
      <c r="AJ4478">
        <v>62.072511827908201</v>
      </c>
      <c r="AK4478">
        <v>4.8845246200967898</v>
      </c>
      <c r="AL4478">
        <v>89.379801764106801</v>
      </c>
      <c r="AM4478">
        <v>80.741962374778794</v>
      </c>
      <c r="AN4478">
        <v>1.0000000139982801</v>
      </c>
    </row>
    <row r="4479" spans="1:40" x14ac:dyDescent="0.25">
      <c r="A4479" t="str">
        <f>"20190312154344240"</f>
        <v>20190312154344240</v>
      </c>
      <c r="B4479" t="str">
        <f>"1552376624231965"</f>
        <v>1552376624231965</v>
      </c>
      <c r="C4479" t="s">
        <v>40</v>
      </c>
      <c r="D4479">
        <v>5.2922760000000002</v>
      </c>
      <c r="E4479">
        <v>0.62509780000000004</v>
      </c>
      <c r="F4479" t="s">
        <v>69</v>
      </c>
      <c r="G4479">
        <v>-199.04599999999999</v>
      </c>
      <c r="H4479" s="1">
        <v>-1.266691E-5</v>
      </c>
      <c r="I4479">
        <v>150.75460000000001</v>
      </c>
      <c r="J4479">
        <v>-195.09870000000001</v>
      </c>
      <c r="K4479">
        <v>1.103059</v>
      </c>
      <c r="L4479">
        <v>153.62960000000001</v>
      </c>
      <c r="M4479">
        <v>-0.43303659999999999</v>
      </c>
      <c r="N4479">
        <v>0</v>
      </c>
      <c r="O4479">
        <v>-0.90126249999999997</v>
      </c>
      <c r="P4479">
        <v>-0.57224900000000001</v>
      </c>
      <c r="Q4479">
        <v>4.2492430000000002E-4</v>
      </c>
      <c r="R4479">
        <v>-0.82007989999999997</v>
      </c>
      <c r="S4479">
        <v>-2.5113219999999998</v>
      </c>
      <c r="T4479">
        <v>-0.68043229999999999</v>
      </c>
      <c r="U4479">
        <v>-1.9187160000000001</v>
      </c>
      <c r="V4479">
        <v>0.16087070000000001</v>
      </c>
      <c r="W4479">
        <v>1.172832E-2</v>
      </c>
      <c r="X4479">
        <v>0.98690580000000006</v>
      </c>
      <c r="Y4479">
        <v>0.43391049999999998</v>
      </c>
      <c r="Z4479">
        <v>0.2112986</v>
      </c>
      <c r="AA4479">
        <v>0.87582800000000005</v>
      </c>
      <c r="AB4479">
        <v>25</v>
      </c>
      <c r="AC4479">
        <v>-3.9472999999999798</v>
      </c>
      <c r="AD4479">
        <v>-1.10307166691</v>
      </c>
      <c r="AE4479">
        <v>-2.875</v>
      </c>
      <c r="AF4479">
        <v>2.20052999061835</v>
      </c>
      <c r="AG4479">
        <v>-1.10307166691</v>
      </c>
      <c r="AH4479">
        <v>4.0920997273222204</v>
      </c>
      <c r="AI4479">
        <v>103.35540868034001</v>
      </c>
      <c r="AJ4479">
        <v>61.730821771160201</v>
      </c>
      <c r="AK4479">
        <v>4.7753931273038601</v>
      </c>
      <c r="AL4479">
        <v>89.328001354537903</v>
      </c>
      <c r="AM4479">
        <v>80.741919244705699</v>
      </c>
      <c r="AN4479">
        <v>0.99999999684107599</v>
      </c>
    </row>
    <row r="4480" spans="1:40" x14ac:dyDescent="0.25">
      <c r="A4480" t="str">
        <f>"20190312154344253"</f>
        <v>20190312154344253</v>
      </c>
      <c r="B4480" t="str">
        <f>"1552376624241725"</f>
        <v>1552376624241725</v>
      </c>
      <c r="C4480" t="s">
        <v>40</v>
      </c>
      <c r="D4480">
        <v>5.3039699999999996</v>
      </c>
      <c r="E4480">
        <v>0.62483669999999902</v>
      </c>
      <c r="F4480" t="s">
        <v>69</v>
      </c>
      <c r="G4480">
        <v>-199.24529999999999</v>
      </c>
      <c r="H4480" s="1">
        <v>-1.262689E-5</v>
      </c>
      <c r="I4480">
        <v>150.52529999999999</v>
      </c>
      <c r="J4480">
        <v>-195.16460000000001</v>
      </c>
      <c r="K4480">
        <v>1.103073</v>
      </c>
      <c r="L4480">
        <v>153.5067</v>
      </c>
      <c r="M4480">
        <v>-0.43831520000000002</v>
      </c>
      <c r="N4480">
        <v>0</v>
      </c>
      <c r="O4480">
        <v>-0.89870740000000005</v>
      </c>
      <c r="P4480">
        <v>-0.57712379999999996</v>
      </c>
      <c r="Q4480">
        <v>8.3777489999999999E-4</v>
      </c>
      <c r="R4480">
        <v>-0.81665669999999901</v>
      </c>
      <c r="S4480">
        <v>-2.529312</v>
      </c>
      <c r="T4480">
        <v>-0.67284449999999996</v>
      </c>
      <c r="U4480">
        <v>-1.8935390000000001</v>
      </c>
      <c r="V4480">
        <v>0.1609679</v>
      </c>
      <c r="W4480">
        <v>1.2141229999999999E-2</v>
      </c>
      <c r="X4480">
        <v>0.98688500000000001</v>
      </c>
      <c r="Y4480">
        <v>0.43764120000000001</v>
      </c>
      <c r="Z4480">
        <v>0.20901890000000001</v>
      </c>
      <c r="AA4480">
        <v>0.87451769999999995</v>
      </c>
      <c r="AB4480">
        <v>25</v>
      </c>
      <c r="AC4480">
        <v>-4.08069999999997</v>
      </c>
      <c r="AD4480">
        <v>-1.10308562689</v>
      </c>
      <c r="AE4480">
        <v>-2.9813999999999998</v>
      </c>
      <c r="AF4480">
        <v>2.2534471111875098</v>
      </c>
      <c r="AG4480">
        <v>-1.10308562689</v>
      </c>
      <c r="AH4480">
        <v>4.2652928678931499</v>
      </c>
      <c r="AI4480">
        <v>102.88022170145101</v>
      </c>
      <c r="AJ4480">
        <v>62.151530751222602</v>
      </c>
      <c r="AK4480">
        <v>4.9484891666114503</v>
      </c>
      <c r="AL4480">
        <v>89.304341698050195</v>
      </c>
      <c r="AM4480">
        <v>80.736230490135995</v>
      </c>
      <c r="AN4480">
        <v>1.00000003876066</v>
      </c>
    </row>
    <row r="4481" spans="1:40" x14ac:dyDescent="0.25">
      <c r="A4481" t="str">
        <f>"20190312154344266"</f>
        <v>20190312154344266</v>
      </c>
      <c r="B4481" t="str">
        <f>"1552376624262221"</f>
        <v>1552376624262221</v>
      </c>
      <c r="C4481" t="s">
        <v>40</v>
      </c>
      <c r="D4481">
        <v>5.3030169999999996</v>
      </c>
      <c r="E4481">
        <v>0.62450019999999995</v>
      </c>
      <c r="F4481" t="s">
        <v>69</v>
      </c>
      <c r="G4481">
        <v>-199.3314</v>
      </c>
      <c r="H4481" s="1">
        <v>-1.260839E-5</v>
      </c>
      <c r="I4481">
        <v>150.42140000000001</v>
      </c>
      <c r="J4481">
        <v>-195.2337</v>
      </c>
      <c r="K4481">
        <v>1.1030879999999901</v>
      </c>
      <c r="L4481">
        <v>153.37950000000001</v>
      </c>
      <c r="M4481">
        <v>-0.44377299999999997</v>
      </c>
      <c r="N4481">
        <v>0</v>
      </c>
      <c r="O4481">
        <v>-0.89602490000000001</v>
      </c>
      <c r="P4481">
        <v>-0.58238919999999905</v>
      </c>
      <c r="Q4481">
        <v>8.9606359999999999E-4</v>
      </c>
      <c r="R4481">
        <v>-0.81291009999999997</v>
      </c>
      <c r="S4481">
        <v>-2.5389249999999999</v>
      </c>
      <c r="T4481">
        <v>-0.67213800000000001</v>
      </c>
      <c r="U4481">
        <v>-1.879929</v>
      </c>
      <c r="V4481">
        <v>0.16134389999999901</v>
      </c>
      <c r="W4481">
        <v>1.219368E-2</v>
      </c>
      <c r="X4481">
        <v>0.98682289999999995</v>
      </c>
      <c r="Y4481">
        <v>0.43688640000000001</v>
      </c>
      <c r="Z4481">
        <v>0.2085098</v>
      </c>
      <c r="AA4481">
        <v>0.87501649999999997</v>
      </c>
      <c r="AB4481">
        <v>25</v>
      </c>
      <c r="AC4481">
        <v>-4.0976999999999997</v>
      </c>
      <c r="AD4481">
        <v>-1.1031006083899999</v>
      </c>
      <c r="AE4481">
        <v>-2.9581</v>
      </c>
      <c r="AF4481">
        <v>2.2518756908969402</v>
      </c>
      <c r="AG4481">
        <v>-1.1031006083899999</v>
      </c>
      <c r="AH4481">
        <v>4.2661908185255699</v>
      </c>
      <c r="AI4481">
        <v>102.880235347057</v>
      </c>
      <c r="AJ4481">
        <v>62.173015223509303</v>
      </c>
      <c r="AK4481">
        <v>4.9485512202618303</v>
      </c>
      <c r="AL4481">
        <v>89.301336276539502</v>
      </c>
      <c r="AM4481">
        <v>80.714393848750504</v>
      </c>
      <c r="AN4481">
        <v>0.99999998793178102</v>
      </c>
    </row>
    <row r="4482" spans="1:40" x14ac:dyDescent="0.25">
      <c r="A4482" t="str">
        <f>"20190312154344284"</f>
        <v>20190312154344284</v>
      </c>
      <c r="B4482" t="str">
        <f>"1552376624271981"</f>
        <v>1552376624271981</v>
      </c>
      <c r="C4482" t="s">
        <v>40</v>
      </c>
      <c r="D4482">
        <v>5.295566</v>
      </c>
      <c r="E4482">
        <v>0.62036329999999995</v>
      </c>
      <c r="F4482" t="s">
        <v>69</v>
      </c>
      <c r="G4482">
        <v>-199.42619999999999</v>
      </c>
      <c r="H4482" s="1">
        <v>-1.258925E-5</v>
      </c>
      <c r="I4482">
        <v>150.31190000000001</v>
      </c>
      <c r="J4482">
        <v>-195.33510000000001</v>
      </c>
      <c r="K4482">
        <v>1.103105</v>
      </c>
      <c r="L4482">
        <v>153.19649999999999</v>
      </c>
      <c r="M4482">
        <v>-0.45163439999999999</v>
      </c>
      <c r="N4482">
        <v>0</v>
      </c>
      <c r="O4482">
        <v>-0.8920882</v>
      </c>
      <c r="P4482">
        <v>-0.59002679999999996</v>
      </c>
      <c r="Q4482">
        <v>1.115186E-3</v>
      </c>
      <c r="R4482">
        <v>-0.80738310000000002</v>
      </c>
      <c r="S4482">
        <v>-2.54895</v>
      </c>
      <c r="T4482">
        <v>-0.67066380000000003</v>
      </c>
      <c r="U4482">
        <v>-1.8650359999999999</v>
      </c>
      <c r="V4482">
        <v>0.16197349999999999</v>
      </c>
      <c r="W4482">
        <v>1.240252E-2</v>
      </c>
      <c r="X4482">
        <v>0.98671719999999896</v>
      </c>
      <c r="Y4482">
        <v>0.43413089999999999</v>
      </c>
      <c r="Z4482">
        <v>0.2075399</v>
      </c>
      <c r="AA4482">
        <v>0.87661710000000004</v>
      </c>
      <c r="AB4482">
        <v>25</v>
      </c>
      <c r="AC4482">
        <v>-4.0910999999999804</v>
      </c>
      <c r="AD4482">
        <v>-1.10311758925</v>
      </c>
      <c r="AE4482">
        <v>-2.8845999999999701</v>
      </c>
      <c r="AF4482">
        <v>2.2383778501798401</v>
      </c>
      <c r="AG4482">
        <v>-1.10311758925</v>
      </c>
      <c r="AH4482">
        <v>4.21668169559217</v>
      </c>
      <c r="AI4482">
        <v>103.010949201716</v>
      </c>
      <c r="AJ4482">
        <v>62.038907300679398</v>
      </c>
      <c r="AK4482">
        <v>4.8997559467620899</v>
      </c>
      <c r="AL4482">
        <v>89.289369754257905</v>
      </c>
      <c r="AM4482">
        <v>80.677813109330899</v>
      </c>
      <c r="AN4482">
        <v>1.0000000349902101</v>
      </c>
    </row>
    <row r="4483" spans="1:40" x14ac:dyDescent="0.25">
      <c r="A4483" t="str">
        <f>"20190312154344296"</f>
        <v>20190312154344296</v>
      </c>
      <c r="B4483" t="str">
        <f>"1552376624292477"</f>
        <v>1552376624292477</v>
      </c>
      <c r="C4483" t="s">
        <v>40</v>
      </c>
      <c r="D4483">
        <v>5.2989230000000003</v>
      </c>
      <c r="E4483">
        <v>0.61934279999999997</v>
      </c>
      <c r="F4483" t="s">
        <v>69</v>
      </c>
      <c r="G4483">
        <v>-200.46469999999999</v>
      </c>
      <c r="H4483" s="1">
        <v>-1.2185020000000001E-5</v>
      </c>
      <c r="I4483">
        <v>149.44309999999999</v>
      </c>
      <c r="J4483">
        <v>-195.39949999999999</v>
      </c>
      <c r="K4483">
        <v>1.1031150000000001</v>
      </c>
      <c r="L4483">
        <v>153.08240000000001</v>
      </c>
      <c r="M4483">
        <v>-0.45653860000000002</v>
      </c>
      <c r="N4483">
        <v>0</v>
      </c>
      <c r="O4483">
        <v>-0.8895883</v>
      </c>
      <c r="P4483">
        <v>-0.59447969999999895</v>
      </c>
      <c r="Q4483">
        <v>8.692045E-4</v>
      </c>
      <c r="R4483">
        <v>-0.80411049999999995</v>
      </c>
      <c r="S4483">
        <v>-2.5411220000000001</v>
      </c>
      <c r="T4483">
        <v>-0.54647139999999905</v>
      </c>
      <c r="U4483">
        <v>-1.859421</v>
      </c>
      <c r="V4483">
        <v>0.16198959999999901</v>
      </c>
      <c r="W4483">
        <v>1.215744E-2</v>
      </c>
      <c r="X4483">
        <v>0.98671759999999997</v>
      </c>
      <c r="Y4483">
        <v>0.43544660000000002</v>
      </c>
      <c r="Z4483">
        <v>0.1704695</v>
      </c>
      <c r="AA4483">
        <v>0.88392669999999995</v>
      </c>
      <c r="AB4483">
        <v>25</v>
      </c>
      <c r="AC4483">
        <v>-5.0651999999999999</v>
      </c>
      <c r="AD4483">
        <v>-1.10312718502</v>
      </c>
      <c r="AE4483">
        <v>-3.63930000000002</v>
      </c>
      <c r="AF4483">
        <v>2.7584635797136001</v>
      </c>
      <c r="AG4483">
        <v>-1.10312718502</v>
      </c>
      <c r="AH4483">
        <v>5.38214373808625</v>
      </c>
      <c r="AI4483">
        <v>100.337091909821</v>
      </c>
      <c r="AJ4483">
        <v>62.863891539897601</v>
      </c>
      <c r="AK4483">
        <v>6.1476403704476397</v>
      </c>
      <c r="AL4483">
        <v>89.303412857452599</v>
      </c>
      <c r="AM4483">
        <v>80.676906475643904</v>
      </c>
      <c r="AN4483">
        <v>1.00000002800263</v>
      </c>
    </row>
    <row r="4484" spans="1:40" x14ac:dyDescent="0.25">
      <c r="A4484" t="str">
        <f>"20190312154344309"</f>
        <v>20190312154344309</v>
      </c>
      <c r="B4484" t="str">
        <f>"1552376624302238"</f>
        <v>1552376624302238</v>
      </c>
      <c r="C4484" t="s">
        <v>40</v>
      </c>
      <c r="D4484">
        <v>5.2725929999999996</v>
      </c>
      <c r="E4484">
        <v>0.61891209999999997</v>
      </c>
      <c r="F4484" t="s">
        <v>69</v>
      </c>
      <c r="G4484">
        <v>-200.5461</v>
      </c>
      <c r="H4484" s="1">
        <v>-1.211849E-5</v>
      </c>
      <c r="I4484">
        <v>149.3408</v>
      </c>
      <c r="J4484">
        <v>-195.47370000000001</v>
      </c>
      <c r="K4484">
        <v>1.1031260000000001</v>
      </c>
      <c r="L4484">
        <v>152.95230000000001</v>
      </c>
      <c r="M4484">
        <v>-0.46212979999999998</v>
      </c>
      <c r="N4484">
        <v>0</v>
      </c>
      <c r="O4484">
        <v>-0.88669699999999996</v>
      </c>
      <c r="P4484">
        <v>-0.59982950000000002</v>
      </c>
      <c r="Q4484">
        <v>1.379445E-3</v>
      </c>
      <c r="R4484">
        <v>-0.80012709999999998</v>
      </c>
      <c r="S4484">
        <v>-2.5447389999999999</v>
      </c>
      <c r="T4484">
        <v>-0.545446599999999</v>
      </c>
      <c r="U4484">
        <v>-1.850098</v>
      </c>
      <c r="V4484">
        <v>0.16236779999999901</v>
      </c>
      <c r="W4484">
        <v>1.26619E-2</v>
      </c>
      <c r="X4484">
        <v>0.98664909999999995</v>
      </c>
      <c r="Y4484">
        <v>0.4325792</v>
      </c>
      <c r="Z4484">
        <v>0.16989170000000001</v>
      </c>
      <c r="AA4484">
        <v>0.88544449999999997</v>
      </c>
      <c r="AB4484">
        <v>25</v>
      </c>
      <c r="AC4484">
        <v>-5.0723999999999796</v>
      </c>
      <c r="AD4484">
        <v>-1.10313811849</v>
      </c>
      <c r="AE4484">
        <v>-3.6114999999999999</v>
      </c>
      <c r="AF4484">
        <v>2.7428999546735402</v>
      </c>
      <c r="AG4484">
        <v>-1.10313811849</v>
      </c>
      <c r="AH4484">
        <v>5.3781795929576797</v>
      </c>
      <c r="AI4484">
        <v>100.35497375687901</v>
      </c>
      <c r="AJ4484">
        <v>62.978178623660597</v>
      </c>
      <c r="AK4484">
        <v>6.1372004695887403</v>
      </c>
      <c r="AL4484">
        <v>89.274507209265806</v>
      </c>
      <c r="AM4484">
        <v>80.654885869516505</v>
      </c>
      <c r="AN4484">
        <v>1.00000003635962</v>
      </c>
    </row>
    <row r="4485" spans="1:40" x14ac:dyDescent="0.25">
      <c r="A4485" t="str">
        <f>"20190312154344322"</f>
        <v>20190312154344322</v>
      </c>
      <c r="B4485" t="str">
        <f>"1552376624311997"</f>
        <v>1552376624311997</v>
      </c>
      <c r="C4485" t="s">
        <v>40</v>
      </c>
      <c r="D4485">
        <v>5.2631319999999997</v>
      </c>
      <c r="E4485">
        <v>0.61845450000000002</v>
      </c>
      <c r="F4485" t="s">
        <v>69</v>
      </c>
      <c r="G4485">
        <v>-200.66650000000001</v>
      </c>
      <c r="H4485" s="1">
        <v>-1.202942E-5</v>
      </c>
      <c r="I4485">
        <v>149.2208</v>
      </c>
      <c r="J4485">
        <v>-195.55179999999999</v>
      </c>
      <c r="K4485">
        <v>1.1031359999999999</v>
      </c>
      <c r="L4485">
        <v>152.81790000000001</v>
      </c>
      <c r="M4485">
        <v>-0.46791050000000001</v>
      </c>
      <c r="N4485">
        <v>0</v>
      </c>
      <c r="O4485">
        <v>-0.8836598</v>
      </c>
      <c r="P4485">
        <v>-0.60510079999999999</v>
      </c>
      <c r="Q4485">
        <v>1.939166E-3</v>
      </c>
      <c r="R4485">
        <v>-0.79614659999999904</v>
      </c>
      <c r="S4485">
        <v>-2.5542760000000002</v>
      </c>
      <c r="T4485">
        <v>-0.5426183</v>
      </c>
      <c r="U4485">
        <v>-1.8354490000000001</v>
      </c>
      <c r="V4485">
        <v>0.16245079999999901</v>
      </c>
      <c r="W4485">
        <v>1.322166E-2</v>
      </c>
      <c r="X4485">
        <v>0.98662810000000001</v>
      </c>
      <c r="Y4485">
        <v>0.431782</v>
      </c>
      <c r="Z4485">
        <v>0.16875419999999999</v>
      </c>
      <c r="AA4485">
        <v>0.88605089999999997</v>
      </c>
      <c r="AB4485">
        <v>25</v>
      </c>
      <c r="AC4485">
        <v>-5.1147000000000196</v>
      </c>
      <c r="AD4485">
        <v>-1.10314802942</v>
      </c>
      <c r="AE4485">
        <v>-3.59710000000001</v>
      </c>
      <c r="AF4485">
        <v>2.7511959932046999</v>
      </c>
      <c r="AG4485">
        <v>-1.10314802942</v>
      </c>
      <c r="AH4485">
        <v>5.4042042819661997</v>
      </c>
      <c r="AI4485">
        <v>100.310027385259</v>
      </c>
      <c r="AJ4485">
        <v>63.020066315416997</v>
      </c>
      <c r="AK4485">
        <v>6.1637195660624204</v>
      </c>
      <c r="AL4485">
        <v>89.242432641956697</v>
      </c>
      <c r="AM4485">
        <v>80.649997629162797</v>
      </c>
      <c r="AN4485">
        <v>1.0000000412117001</v>
      </c>
    </row>
    <row r="4486" spans="1:40" x14ac:dyDescent="0.25">
      <c r="A4486" t="str">
        <f>"20190312154344342"</f>
        <v>20190312154344342</v>
      </c>
      <c r="B4486" t="str">
        <f>"1552376624332493"</f>
        <v>1552376624332493</v>
      </c>
      <c r="C4486" t="s">
        <v>40</v>
      </c>
      <c r="D4486">
        <v>5.2596189999999998</v>
      </c>
      <c r="E4486">
        <v>0.61770449999999999</v>
      </c>
      <c r="F4486" t="s">
        <v>69</v>
      </c>
      <c r="G4486">
        <v>-200.79599999999999</v>
      </c>
      <c r="H4486" s="1">
        <v>-1.19336E-5</v>
      </c>
      <c r="I4486">
        <v>149.09180000000001</v>
      </c>
      <c r="J4486">
        <v>-195.66059999999999</v>
      </c>
      <c r="K4486">
        <v>1.1031500000000001</v>
      </c>
      <c r="L4486">
        <v>152.6336</v>
      </c>
      <c r="M4486">
        <v>-0.47584019999999999</v>
      </c>
      <c r="N4486">
        <v>0</v>
      </c>
      <c r="O4486">
        <v>-0.87941559999999896</v>
      </c>
      <c r="P4486">
        <v>-0.61228439999999995</v>
      </c>
      <c r="Q4486">
        <v>2.555435E-3</v>
      </c>
      <c r="R4486">
        <v>-0.79063369999999999</v>
      </c>
      <c r="S4486">
        <v>-2.5633240000000002</v>
      </c>
      <c r="T4486">
        <v>-0.53920330000000005</v>
      </c>
      <c r="U4486">
        <v>-1.821259</v>
      </c>
      <c r="V4486">
        <v>0.1625202</v>
      </c>
      <c r="W4486">
        <v>1.3838629999999999E-2</v>
      </c>
      <c r="X4486">
        <v>0.98660809999999999</v>
      </c>
      <c r="Y4486">
        <v>0.42863600000000002</v>
      </c>
      <c r="Z4486">
        <v>0.1672112</v>
      </c>
      <c r="AA4486">
        <v>0.88786909999999897</v>
      </c>
      <c r="AB4486">
        <v>25</v>
      </c>
      <c r="AC4486">
        <v>-5.1353999999999997</v>
      </c>
      <c r="AD4486">
        <v>-1.1031619336</v>
      </c>
      <c r="AE4486">
        <v>-3.5417999999999901</v>
      </c>
      <c r="AF4486">
        <v>2.7452619927377002</v>
      </c>
      <c r="AG4486">
        <v>-1.1031619336</v>
      </c>
      <c r="AH4486">
        <v>5.3903498166988699</v>
      </c>
      <c r="AI4486">
        <v>100.33523462457001</v>
      </c>
      <c r="AJ4486">
        <v>63.010620238283501</v>
      </c>
      <c r="AK4486">
        <v>6.1489268012312399</v>
      </c>
      <c r="AL4486">
        <v>89.207079543892505</v>
      </c>
      <c r="AM4486">
        <v>80.645887565299802</v>
      </c>
      <c r="AN4486">
        <v>0.999999933036961</v>
      </c>
    </row>
    <row r="4487" spans="1:40" x14ac:dyDescent="0.25">
      <c r="A4487" t="str">
        <f>"20190312154344364"</f>
        <v>20190312154344364</v>
      </c>
      <c r="B4487" t="str">
        <f>"1552376624352013"</f>
        <v>1552376624352013</v>
      </c>
      <c r="C4487" t="s">
        <v>40</v>
      </c>
      <c r="D4487">
        <v>5.2514779999999996</v>
      </c>
      <c r="E4487">
        <v>0.61693209999999998</v>
      </c>
      <c r="F4487" t="s">
        <v>69</v>
      </c>
      <c r="G4487">
        <v>-200.9188</v>
      </c>
      <c r="H4487" s="1">
        <v>-1.1837950000000001E-5</v>
      </c>
      <c r="I4487">
        <v>148.95330000000001</v>
      </c>
      <c r="J4487">
        <v>-195.7919</v>
      </c>
      <c r="K4487">
        <v>1.1031629999999999</v>
      </c>
      <c r="L4487">
        <v>152.41589999999999</v>
      </c>
      <c r="M4487">
        <v>-0.48520950000000002</v>
      </c>
      <c r="N4487">
        <v>0</v>
      </c>
      <c r="O4487">
        <v>-0.87428099999999997</v>
      </c>
      <c r="P4487">
        <v>-0.62099300000000002</v>
      </c>
      <c r="Q4487">
        <v>2.4476440000000001E-3</v>
      </c>
      <c r="R4487">
        <v>-0.78381259999999997</v>
      </c>
      <c r="S4487">
        <v>-2.5748440000000001</v>
      </c>
      <c r="T4487">
        <v>-0.54019499999999998</v>
      </c>
      <c r="U4487">
        <v>-1.8021389999999999</v>
      </c>
      <c r="V4487">
        <v>0.1628898</v>
      </c>
      <c r="W4487">
        <v>1.372611E-2</v>
      </c>
      <c r="X4487">
        <v>0.9865488</v>
      </c>
      <c r="Y4487">
        <v>0.42530630000000003</v>
      </c>
      <c r="Z4487">
        <v>0.1669341</v>
      </c>
      <c r="AA4487">
        <v>0.88952089999999995</v>
      </c>
      <c r="AB4487">
        <v>25</v>
      </c>
      <c r="AC4487">
        <v>-5.1269</v>
      </c>
      <c r="AD4487">
        <v>-1.1031748379499999</v>
      </c>
      <c r="AE4487">
        <v>-3.4625999999999801</v>
      </c>
      <c r="AF4487">
        <v>2.7161866411400202</v>
      </c>
      <c r="AG4487">
        <v>-1.1031748379499999</v>
      </c>
      <c r="AH4487">
        <v>5.3455025746641001</v>
      </c>
      <c r="AI4487">
        <v>100.42497709804699</v>
      </c>
      <c r="AJ4487">
        <v>63.0637111069789</v>
      </c>
      <c r="AK4487">
        <v>6.0966435329888</v>
      </c>
      <c r="AL4487">
        <v>89.213527141443095</v>
      </c>
      <c r="AM4487">
        <v>80.624438377884005</v>
      </c>
      <c r="AN4487">
        <v>1.0000000139106</v>
      </c>
    </row>
    <row r="4488" spans="1:40" x14ac:dyDescent="0.25">
      <c r="A4488" t="str">
        <f>"20190312154344387"</f>
        <v>20190312154344387</v>
      </c>
      <c r="B4488" t="str">
        <f>"1552376624372509"</f>
        <v>1552376624372509</v>
      </c>
      <c r="C4488" t="s">
        <v>40</v>
      </c>
      <c r="D4488">
        <v>5.226515</v>
      </c>
      <c r="E4488">
        <v>0.61608419999999997</v>
      </c>
      <c r="F4488" t="s">
        <v>69</v>
      </c>
      <c r="G4488">
        <v>-201.0812</v>
      </c>
      <c r="H4488" s="1">
        <v>-1.171598E-5</v>
      </c>
      <c r="I4488">
        <v>148.78540000000001</v>
      </c>
      <c r="J4488">
        <v>-195.92679999999999</v>
      </c>
      <c r="K4488">
        <v>1.1031789999999999</v>
      </c>
      <c r="L4488">
        <v>152.19749999999999</v>
      </c>
      <c r="M4488">
        <v>-0.4946142</v>
      </c>
      <c r="N4488">
        <v>0</v>
      </c>
      <c r="O4488">
        <v>-0.86899519999999997</v>
      </c>
      <c r="P4488">
        <v>-0.62942640000000005</v>
      </c>
      <c r="Q4488">
        <v>2.0997260000000001E-3</v>
      </c>
      <c r="R4488">
        <v>-0.77705760000000001</v>
      </c>
      <c r="S4488">
        <v>-2.5895999999999999</v>
      </c>
      <c r="T4488">
        <v>-0.54010440000000004</v>
      </c>
      <c r="U4488">
        <v>-1.7774509999999999</v>
      </c>
      <c r="V4488">
        <v>0.16289890000000001</v>
      </c>
      <c r="W4488">
        <v>1.337995E-2</v>
      </c>
      <c r="X4488">
        <v>0.98655210000000004</v>
      </c>
      <c r="Y4488">
        <v>0.42374440000000002</v>
      </c>
      <c r="Z4488">
        <v>0.1664033</v>
      </c>
      <c r="AA4488">
        <v>0.89036539999999997</v>
      </c>
      <c r="AB4488">
        <v>25</v>
      </c>
      <c r="AC4488">
        <v>-5.1544000000000096</v>
      </c>
      <c r="AD4488">
        <v>-1.1031907159799901</v>
      </c>
      <c r="AE4488">
        <v>-3.4120999999999801</v>
      </c>
      <c r="AF4488">
        <v>2.7055854906473198</v>
      </c>
      <c r="AG4488">
        <v>-1.1031907159799901</v>
      </c>
      <c r="AH4488">
        <v>5.3448624415821602</v>
      </c>
      <c r="AI4488">
        <v>100.434256943847</v>
      </c>
      <c r="AJ4488">
        <v>63.151329531241899</v>
      </c>
      <c r="AK4488">
        <v>6.0913690679896701</v>
      </c>
      <c r="AL4488">
        <v>89.233362505711995</v>
      </c>
      <c r="AM4488">
        <v>80.623954709375596</v>
      </c>
      <c r="AN4488">
        <v>1.0000000603488</v>
      </c>
    </row>
    <row r="4489" spans="1:40" x14ac:dyDescent="0.25">
      <c r="A4489" t="str">
        <f>"20190312154344409"</f>
        <v>20190312154344409</v>
      </c>
      <c r="B4489" t="str">
        <f>"1552376624401790"</f>
        <v>1552376624401790</v>
      </c>
      <c r="C4489" t="s">
        <v>40</v>
      </c>
      <c r="D4489">
        <v>5.1985799999999998</v>
      </c>
      <c r="E4489">
        <v>0.6092476</v>
      </c>
      <c r="F4489" t="s">
        <v>69</v>
      </c>
      <c r="G4489">
        <v>-201.23339999999999</v>
      </c>
      <c r="H4489" s="1">
        <v>-1.160011E-5</v>
      </c>
      <c r="I4489">
        <v>148.62280000000001</v>
      </c>
      <c r="J4489">
        <v>-196.05670000000001</v>
      </c>
      <c r="K4489">
        <v>1.103197</v>
      </c>
      <c r="L4489">
        <v>151.9924</v>
      </c>
      <c r="M4489">
        <v>-0.50345779999999996</v>
      </c>
      <c r="N4489">
        <v>0</v>
      </c>
      <c r="O4489">
        <v>-0.86390169999999999</v>
      </c>
      <c r="P4489">
        <v>-0.63797569999999904</v>
      </c>
      <c r="Q4489">
        <v>2.3245119999999999E-3</v>
      </c>
      <c r="R4489">
        <v>-0.77005330000000005</v>
      </c>
      <c r="S4489">
        <v>-2.6031339999999998</v>
      </c>
      <c r="T4489">
        <v>-0.54117040000000005</v>
      </c>
      <c r="U4489">
        <v>-1.75360099999999</v>
      </c>
      <c r="V4489">
        <v>0.163736299999999</v>
      </c>
      <c r="W4489">
        <v>1.359022E-2</v>
      </c>
      <c r="X4489">
        <v>0.98641060000000003</v>
      </c>
      <c r="Y4489">
        <v>0.42226900000000001</v>
      </c>
      <c r="Z4489">
        <v>0.16624610000000001</v>
      </c>
      <c r="AA4489">
        <v>0.89109550000000004</v>
      </c>
      <c r="AB4489">
        <v>25</v>
      </c>
      <c r="AC4489">
        <v>-5.1766999999999799</v>
      </c>
      <c r="AD4489">
        <v>-1.1032086001100001</v>
      </c>
      <c r="AE4489">
        <v>-3.3695999999999899</v>
      </c>
      <c r="AF4489">
        <v>2.69017477268088</v>
      </c>
      <c r="AG4489">
        <v>-1.1032086001100001</v>
      </c>
      <c r="AH4489">
        <v>5.3472384159481603</v>
      </c>
      <c r="AI4489">
        <v>100.44264290981999</v>
      </c>
      <c r="AJ4489">
        <v>63.2932100495577</v>
      </c>
      <c r="AK4489">
        <v>6.0866302828344203</v>
      </c>
      <c r="AL4489">
        <v>89.221313835518103</v>
      </c>
      <c r="AM4489">
        <v>80.575290918694606</v>
      </c>
      <c r="AN4489">
        <v>1.00000007090484</v>
      </c>
    </row>
    <row r="4490" spans="1:40" x14ac:dyDescent="0.25">
      <c r="A4490" t="str">
        <f>"20190312154344422"</f>
        <v>20190312154344422</v>
      </c>
      <c r="B4490" t="str">
        <f>"1552376624412524"</f>
        <v>1552376624412524</v>
      </c>
      <c r="C4490" t="s">
        <v>40</v>
      </c>
      <c r="D4490">
        <v>5.2089089999999896</v>
      </c>
      <c r="E4490">
        <v>0.60890669999999902</v>
      </c>
      <c r="F4490" t="s">
        <v>69</v>
      </c>
      <c r="G4490">
        <v>-201.41120000000001</v>
      </c>
      <c r="H4490" s="1">
        <v>-1.1437559999999999E-5</v>
      </c>
      <c r="I4490">
        <v>148.34139999999999</v>
      </c>
      <c r="J4490">
        <v>-196.14359999999999</v>
      </c>
      <c r="K4490">
        <v>1.103208</v>
      </c>
      <c r="L4490">
        <v>151.858</v>
      </c>
      <c r="M4490">
        <v>-0.50926119999999997</v>
      </c>
      <c r="N4490">
        <v>0</v>
      </c>
      <c r="O4490">
        <v>-0.86049339999999996</v>
      </c>
      <c r="P4490">
        <v>-0.64335120000000001</v>
      </c>
      <c r="Q4490">
        <v>2.8370940000000001E-3</v>
      </c>
      <c r="R4490">
        <v>-0.76556599999999997</v>
      </c>
      <c r="S4490">
        <v>-2.5805359999999999</v>
      </c>
      <c r="T4490">
        <v>-0.53167359999999997</v>
      </c>
      <c r="U4490">
        <v>-1.7595369999999999</v>
      </c>
      <c r="V4490">
        <v>0.1640122</v>
      </c>
      <c r="W4490">
        <v>1.4098960000000001E-2</v>
      </c>
      <c r="X4490">
        <v>0.98635759999999995</v>
      </c>
      <c r="Y4490">
        <v>0.41156619999999999</v>
      </c>
      <c r="Z4490">
        <v>0.16329569999999999</v>
      </c>
      <c r="AA4490">
        <v>0.89663139999999997</v>
      </c>
      <c r="AB4490">
        <v>25</v>
      </c>
      <c r="AC4490">
        <v>-5.2676000000000096</v>
      </c>
      <c r="AD4490">
        <v>-1.10321943756</v>
      </c>
      <c r="AE4490">
        <v>-3.5166000000000102</v>
      </c>
      <c r="AF4490">
        <v>2.66139807541437</v>
      </c>
      <c r="AG4490">
        <v>-1.10321943756</v>
      </c>
      <c r="AH4490">
        <v>5.5410580583198001</v>
      </c>
      <c r="AI4490">
        <v>100.174614356257</v>
      </c>
      <c r="AJ4490">
        <v>64.344791442550402</v>
      </c>
      <c r="AK4490">
        <v>6.2452747937060602</v>
      </c>
      <c r="AL4490">
        <v>89.192162370600599</v>
      </c>
      <c r="AM4490">
        <v>80.559197534945298</v>
      </c>
      <c r="AN4490">
        <v>1.00000004874983</v>
      </c>
    </row>
    <row r="4491" spans="1:40" x14ac:dyDescent="0.25">
      <c r="A4491" t="str">
        <f>"20190312154344438"</f>
        <v>20190312154344438</v>
      </c>
      <c r="B4491" t="str">
        <f>"1552376624432046"</f>
        <v>1552376624432046</v>
      </c>
      <c r="C4491" t="s">
        <v>40</v>
      </c>
      <c r="D4491">
        <v>5.208526</v>
      </c>
      <c r="E4491">
        <v>0.6085351</v>
      </c>
      <c r="F4491" t="s">
        <v>69</v>
      </c>
      <c r="G4491">
        <v>-201.59280000000001</v>
      </c>
      <c r="H4491" s="1">
        <v>-1.131234E-5</v>
      </c>
      <c r="I4491">
        <v>148.19110000000001</v>
      </c>
      <c r="J4491">
        <v>-196.23820000000001</v>
      </c>
      <c r="K4491">
        <v>1.1032219999999999</v>
      </c>
      <c r="L4491">
        <v>151.71379999999999</v>
      </c>
      <c r="M4491">
        <v>-0.51549040000000002</v>
      </c>
      <c r="N4491">
        <v>0</v>
      </c>
      <c r="O4491">
        <v>-0.85677619999999899</v>
      </c>
      <c r="P4491">
        <v>-0.64926719999999905</v>
      </c>
      <c r="Q4491">
        <v>3.4231959999999999E-3</v>
      </c>
      <c r="R4491">
        <v>-0.76055280000000003</v>
      </c>
      <c r="S4491">
        <v>-2.5907749999999998</v>
      </c>
      <c r="T4491">
        <v>-0.5245187</v>
      </c>
      <c r="U4491">
        <v>-1.7434080000000001</v>
      </c>
      <c r="V4491">
        <v>0.16451459999999901</v>
      </c>
      <c r="W4491">
        <v>1.467682E-2</v>
      </c>
      <c r="X4491">
        <v>0.98626550000000002</v>
      </c>
      <c r="Y4491">
        <v>0.41082289999999999</v>
      </c>
      <c r="Z4491">
        <v>0.1607526</v>
      </c>
      <c r="AA4491">
        <v>0.89743139999999999</v>
      </c>
      <c r="AB4491">
        <v>25</v>
      </c>
      <c r="AC4491">
        <v>-5.3545999999999996</v>
      </c>
      <c r="AD4491">
        <v>-1.10323331234</v>
      </c>
      <c r="AE4491">
        <v>-3.52269999999998</v>
      </c>
      <c r="AF4491">
        <v>2.6922934516469001</v>
      </c>
      <c r="AG4491">
        <v>-1.10323331234</v>
      </c>
      <c r="AH4491">
        <v>5.6127109831260302</v>
      </c>
      <c r="AI4491">
        <v>100.049918503077</v>
      </c>
      <c r="AJ4491">
        <v>64.373994941903902</v>
      </c>
      <c r="AK4491">
        <v>6.3220322959742203</v>
      </c>
      <c r="AL4491">
        <v>89.159050005802399</v>
      </c>
      <c r="AM4491">
        <v>80.529933295633796</v>
      </c>
      <c r="AN4491">
        <v>1.00000004957436</v>
      </c>
    </row>
    <row r="4492" spans="1:40" x14ac:dyDescent="0.25">
      <c r="A4492" t="str">
        <f>"20190312154344454"</f>
        <v>20190312154344454</v>
      </c>
      <c r="B4492" t="str">
        <f>"1552376624441806"</f>
        <v>1552376624441806</v>
      </c>
      <c r="C4492" t="s">
        <v>40</v>
      </c>
      <c r="D4492">
        <v>5.2306100000000004</v>
      </c>
      <c r="E4492">
        <v>0.60833319999999902</v>
      </c>
      <c r="F4492" t="s">
        <v>69</v>
      </c>
      <c r="G4492">
        <v>-201.75749999999999</v>
      </c>
      <c r="H4492" s="1">
        <v>-1.119841E-5</v>
      </c>
      <c r="I4492">
        <v>148.05369999999999</v>
      </c>
      <c r="J4492">
        <v>-196.33590000000001</v>
      </c>
      <c r="K4492">
        <v>1.1032379999999999</v>
      </c>
      <c r="L4492">
        <v>151.5669</v>
      </c>
      <c r="M4492">
        <v>-0.52183579999999996</v>
      </c>
      <c r="N4492">
        <v>0</v>
      </c>
      <c r="O4492">
        <v>-0.85292619999999897</v>
      </c>
      <c r="P4492">
        <v>-0.65557619999999905</v>
      </c>
      <c r="Q4492">
        <v>5.0251200000000001E-3</v>
      </c>
      <c r="R4492">
        <v>-0.75511249999999996</v>
      </c>
      <c r="S4492">
        <v>-2.6020660000000002</v>
      </c>
      <c r="T4492">
        <v>-0.52011629999999998</v>
      </c>
      <c r="U4492">
        <v>-1.725525</v>
      </c>
      <c r="V4492">
        <v>0.1654361</v>
      </c>
      <c r="W4492">
        <v>1.626259E-2</v>
      </c>
      <c r="X4492">
        <v>0.98608640000000003</v>
      </c>
      <c r="Y4492">
        <v>0.4103887</v>
      </c>
      <c r="Z4492">
        <v>0.15903719999999999</v>
      </c>
      <c r="AA4492">
        <v>0.89793559999999994</v>
      </c>
      <c r="AB4492">
        <v>25</v>
      </c>
      <c r="AC4492">
        <v>-5.4215999999999802</v>
      </c>
      <c r="AD4492">
        <v>-1.1032491984099999</v>
      </c>
      <c r="AE4492">
        <v>-3.5132000000000101</v>
      </c>
      <c r="AF4492">
        <v>2.7121030598540701</v>
      </c>
      <c r="AG4492">
        <v>-1.1032491984099999</v>
      </c>
      <c r="AH4492">
        <v>5.6611830535948098</v>
      </c>
      <c r="AI4492">
        <v>99.968056465179004</v>
      </c>
      <c r="AJ4492">
        <v>64.402316224072095</v>
      </c>
      <c r="AK4492">
        <v>6.3735120120206199</v>
      </c>
      <c r="AL4492">
        <v>89.068181135554696</v>
      </c>
      <c r="AM4492">
        <v>80.476159285777399</v>
      </c>
      <c r="AN4492">
        <v>0.99999998164083803</v>
      </c>
    </row>
    <row r="4493" spans="1:40" x14ac:dyDescent="0.25">
      <c r="A4493" t="str">
        <f>"20190312154344467"</f>
        <v>20190312154344467</v>
      </c>
      <c r="B4493" t="str">
        <f>"1552376624462302"</f>
        <v>1552376624462302</v>
      </c>
      <c r="C4493" t="s">
        <v>40</v>
      </c>
      <c r="D4493">
        <v>5.2196429999999996</v>
      </c>
      <c r="E4493">
        <v>0.60815949999999996</v>
      </c>
      <c r="F4493" t="s">
        <v>69</v>
      </c>
      <c r="G4493">
        <v>-201.94110000000001</v>
      </c>
      <c r="H4493" s="1">
        <v>-1.107456E-5</v>
      </c>
      <c r="I4493">
        <v>147.9111</v>
      </c>
      <c r="J4493">
        <v>-196.42060000000001</v>
      </c>
      <c r="K4493">
        <v>1.1032500000000001</v>
      </c>
      <c r="L4493">
        <v>151.44120000000001</v>
      </c>
      <c r="M4493">
        <v>-0.52726219999999901</v>
      </c>
      <c r="N4493">
        <v>0</v>
      </c>
      <c r="O4493">
        <v>-0.84958279999999997</v>
      </c>
      <c r="P4493">
        <v>-0.66068090000000002</v>
      </c>
      <c r="Q4493">
        <v>5.42911E-3</v>
      </c>
      <c r="R4493">
        <v>-0.75064770000000003</v>
      </c>
      <c r="S4493">
        <v>-2.6153409999999999</v>
      </c>
      <c r="T4493">
        <v>-0.5147697</v>
      </c>
      <c r="U4493">
        <v>-1.7057800000000001</v>
      </c>
      <c r="V4493">
        <v>0.1658443</v>
      </c>
      <c r="W4493">
        <v>1.666022E-2</v>
      </c>
      <c r="X4493">
        <v>0.98601119999999998</v>
      </c>
      <c r="Y4493">
        <v>0.41170469999999998</v>
      </c>
      <c r="Z4493">
        <v>0.15714259999999999</v>
      </c>
      <c r="AA4493">
        <v>0.89766669999999904</v>
      </c>
      <c r="AB4493">
        <v>25</v>
      </c>
      <c r="AC4493">
        <v>-5.5204999999999904</v>
      </c>
      <c r="AD4493">
        <v>-1.10326107456</v>
      </c>
      <c r="AE4493">
        <v>-3.5301</v>
      </c>
      <c r="AF4493">
        <v>2.7511330221420698</v>
      </c>
      <c r="AG4493">
        <v>-1.10326107456</v>
      </c>
      <c r="AH4493">
        <v>5.7475349950882402</v>
      </c>
      <c r="AI4493">
        <v>99.822862790258895</v>
      </c>
      <c r="AJ4493">
        <v>64.421280936082198</v>
      </c>
      <c r="AK4493">
        <v>6.4668443945964702</v>
      </c>
      <c r="AL4493">
        <v>89.045395535371597</v>
      </c>
      <c r="AM4493">
        <v>80.452377310063596</v>
      </c>
      <c r="AN4493">
        <v>0.99999999064918899</v>
      </c>
    </row>
    <row r="4494" spans="1:40" x14ac:dyDescent="0.25">
      <c r="A4494" t="str">
        <f>"20190312154344486"</f>
        <v>20190312154344486</v>
      </c>
      <c r="B4494" t="str">
        <f>"1552376624481821"</f>
        <v>1552376624481821</v>
      </c>
      <c r="C4494" t="s">
        <v>40</v>
      </c>
      <c r="D4494">
        <v>5.231592</v>
      </c>
      <c r="E4494">
        <v>0.60416139999999996</v>
      </c>
      <c r="F4494" t="s">
        <v>69</v>
      </c>
      <c r="G4494">
        <v>-202.10159999999999</v>
      </c>
      <c r="H4494" s="1">
        <v>-1.0966500000000001E-5</v>
      </c>
      <c r="I4494">
        <v>147.78720000000001</v>
      </c>
      <c r="J4494">
        <v>-196.5437</v>
      </c>
      <c r="K4494">
        <v>1.103264</v>
      </c>
      <c r="L4494">
        <v>151.262</v>
      </c>
      <c r="M4494">
        <v>-0.53501480000000001</v>
      </c>
      <c r="N4494">
        <v>0</v>
      </c>
      <c r="O4494">
        <v>-0.84472219999999998</v>
      </c>
      <c r="P4494">
        <v>-0.66782810000000004</v>
      </c>
      <c r="Q4494">
        <v>5.8599969999999996E-3</v>
      </c>
      <c r="R4494">
        <v>-0.74429290000000004</v>
      </c>
      <c r="S4494">
        <v>-2.6259920000000001</v>
      </c>
      <c r="T4494">
        <v>-0.50996589999999997</v>
      </c>
      <c r="U4494">
        <v>-1.6890259999999999</v>
      </c>
      <c r="V4494">
        <v>0.16625760000000001</v>
      </c>
      <c r="W4494">
        <v>1.7085030000000001E-2</v>
      </c>
      <c r="X4494">
        <v>0.98593430000000004</v>
      </c>
      <c r="Y4494">
        <v>0.40937040000000002</v>
      </c>
      <c r="Z4494">
        <v>0.15509189999999901</v>
      </c>
      <c r="AA4494">
        <v>0.89908980000000005</v>
      </c>
      <c r="AB4494">
        <v>25</v>
      </c>
      <c r="AC4494">
        <v>-5.5578999999999796</v>
      </c>
      <c r="AD4494">
        <v>-1.1032749664999999</v>
      </c>
      <c r="AE4494">
        <v>-3.4747999999999801</v>
      </c>
      <c r="AF4494">
        <v>2.75796557259783</v>
      </c>
      <c r="AG4494">
        <v>-1.1032749664999999</v>
      </c>
      <c r="AH4494">
        <v>5.7465956739940101</v>
      </c>
      <c r="AI4494">
        <v>99.819801649375506</v>
      </c>
      <c r="AJ4494">
        <v>64.362238455487997</v>
      </c>
      <c r="AK4494">
        <v>6.4689219806477203</v>
      </c>
      <c r="AL4494">
        <v>89.021052225261599</v>
      </c>
      <c r="AM4494">
        <v>80.428290646520594</v>
      </c>
      <c r="AN4494">
        <v>0.99999996586217499</v>
      </c>
    </row>
    <row r="4495" spans="1:40" x14ac:dyDescent="0.25">
      <c r="A4495" t="str">
        <f>"20190312154344512"</f>
        <v>20190312154344512</v>
      </c>
      <c r="B4495" t="str">
        <f>"1552376624502318"</f>
        <v>1552376624502318</v>
      </c>
      <c r="C4495" t="s">
        <v>40</v>
      </c>
      <c r="D4495">
        <v>5.1654489999999997</v>
      </c>
      <c r="E4495">
        <v>0.62988599999999995</v>
      </c>
      <c r="F4495" t="s">
        <v>69</v>
      </c>
      <c r="G4495">
        <v>-202.6181</v>
      </c>
      <c r="H4495" s="1">
        <v>-1.060848E-5</v>
      </c>
      <c r="I4495">
        <v>147.3535</v>
      </c>
      <c r="J4495">
        <v>-196.70650000000001</v>
      </c>
      <c r="K4495">
        <v>1.1032850000000001</v>
      </c>
      <c r="L4495">
        <v>151.03059999999999</v>
      </c>
      <c r="M4495">
        <v>-0.54503489999999999</v>
      </c>
      <c r="N4495">
        <v>0</v>
      </c>
      <c r="O4495">
        <v>-0.83829189999999998</v>
      </c>
      <c r="P4495">
        <v>-0.67685360000000006</v>
      </c>
      <c r="Q4495">
        <v>6.9368859999999997E-3</v>
      </c>
      <c r="R4495">
        <v>-0.73608530000000005</v>
      </c>
      <c r="S4495">
        <v>-2.6185610000000001</v>
      </c>
      <c r="T4495">
        <v>-0.47560720000000001</v>
      </c>
      <c r="U4495">
        <v>-1.6848749999999999</v>
      </c>
      <c r="V4495">
        <v>0.1665625</v>
      </c>
      <c r="W4495">
        <v>1.8158219999999999E-2</v>
      </c>
      <c r="X4495">
        <v>0.98586370000000001</v>
      </c>
      <c r="Y4495">
        <v>0.39990930000000002</v>
      </c>
      <c r="Z4495">
        <v>0.1441335</v>
      </c>
      <c r="AA4495">
        <v>0.90515089999999998</v>
      </c>
      <c r="AB4495">
        <v>25</v>
      </c>
      <c r="AC4495">
        <v>-5.9115999999999902</v>
      </c>
      <c r="AD4495">
        <v>-1.1032956084799901</v>
      </c>
      <c r="AE4495">
        <v>-3.67709999999999</v>
      </c>
      <c r="AF4495">
        <v>2.8794818263419901</v>
      </c>
      <c r="AG4495">
        <v>-1.1032956084799901</v>
      </c>
      <c r="AH4495">
        <v>6.1506810092070499</v>
      </c>
      <c r="AI4495">
        <v>99.227444500198203</v>
      </c>
      <c r="AJ4495">
        <v>64.913046640002406</v>
      </c>
      <c r="AK4495">
        <v>6.8803745294093801</v>
      </c>
      <c r="AL4495">
        <v>88.959553460637807</v>
      </c>
      <c r="AM4495">
        <v>80.410388793452398</v>
      </c>
      <c r="AN4495">
        <v>1.0000000111687499</v>
      </c>
    </row>
    <row r="4496" spans="1:40" x14ac:dyDescent="0.25">
      <c r="A4496" t="str">
        <f>"20190312154344532"</f>
        <v>20190312154344532</v>
      </c>
      <c r="B4496" t="str">
        <f>"1552376624521837"</f>
        <v>1552376624521837</v>
      </c>
      <c r="C4496" t="s">
        <v>40</v>
      </c>
      <c r="D4496">
        <v>5.2728760000000001</v>
      </c>
      <c r="E4496">
        <v>0.68890680000000004</v>
      </c>
      <c r="F4496" t="s">
        <v>69</v>
      </c>
      <c r="G4496">
        <v>-201.87639999999999</v>
      </c>
      <c r="H4496" s="1">
        <v>-1.1195390000000001E-5</v>
      </c>
      <c r="I4496">
        <v>148.2208</v>
      </c>
      <c r="J4496">
        <v>-196.84350000000001</v>
      </c>
      <c r="K4496">
        <v>1.1033040000000001</v>
      </c>
      <c r="L4496">
        <v>150.84010000000001</v>
      </c>
      <c r="M4496">
        <v>-0.55328669999999902</v>
      </c>
      <c r="N4496">
        <v>0</v>
      </c>
      <c r="O4496">
        <v>-0.83286849999999901</v>
      </c>
      <c r="P4496">
        <v>-0.68433959999999905</v>
      </c>
      <c r="Q4496">
        <v>8.3849449999999996E-3</v>
      </c>
      <c r="R4496">
        <v>-0.72911539999999997</v>
      </c>
      <c r="S4496">
        <v>-2.789612</v>
      </c>
      <c r="T4496">
        <v>-0.59532359999999995</v>
      </c>
      <c r="U4496">
        <v>-1.5160979999999999</v>
      </c>
      <c r="V4496">
        <v>0.1669331</v>
      </c>
      <c r="W4496">
        <v>1.960135E-2</v>
      </c>
      <c r="X4496">
        <v>0.98577340000000002</v>
      </c>
      <c r="Y4496">
        <v>0.4512369</v>
      </c>
      <c r="Z4496">
        <v>0.178588</v>
      </c>
      <c r="AA4496">
        <v>0.87435209999999997</v>
      </c>
      <c r="AB4496">
        <v>25</v>
      </c>
      <c r="AC4496">
        <v>-5.0328999999999802</v>
      </c>
      <c r="AD4496">
        <v>-1.10331519539</v>
      </c>
      <c r="AE4496">
        <v>-2.6193</v>
      </c>
      <c r="AF4496">
        <v>2.64285920860724</v>
      </c>
      <c r="AG4496">
        <v>-1.10331519539</v>
      </c>
      <c r="AH4496">
        <v>4.7857027936007901</v>
      </c>
      <c r="AI4496">
        <v>101.40989549901199</v>
      </c>
      <c r="AJ4496">
        <v>61.090739172655198</v>
      </c>
      <c r="AK4496">
        <v>5.5771821241176003</v>
      </c>
      <c r="AL4496">
        <v>88.876853481896205</v>
      </c>
      <c r="AM4496">
        <v>80.388585600054995</v>
      </c>
      <c r="AN4496">
        <v>1.00000003447249</v>
      </c>
    </row>
    <row r="4497" spans="1:40" x14ac:dyDescent="0.25">
      <c r="A4497" t="str">
        <f>"20190312154344547"</f>
        <v>20190312154344547</v>
      </c>
      <c r="B4497" t="str">
        <f>"1552376624542333"</f>
        <v>1552376624542333</v>
      </c>
      <c r="C4497" t="s">
        <v>40</v>
      </c>
      <c r="D4497">
        <v>5.330419</v>
      </c>
      <c r="E4497">
        <v>0.69675659999999995</v>
      </c>
      <c r="F4497" t="s">
        <v>69</v>
      </c>
      <c r="G4497">
        <v>-201.3954</v>
      </c>
      <c r="H4497" s="1">
        <v>-1.168502E-5</v>
      </c>
      <c r="I4497">
        <v>149.14959999999999</v>
      </c>
      <c r="J4497">
        <v>-196.9418</v>
      </c>
      <c r="K4497">
        <v>1.103315</v>
      </c>
      <c r="L4497">
        <v>150.7054</v>
      </c>
      <c r="M4497">
        <v>-0.55912209999999996</v>
      </c>
      <c r="N4497">
        <v>0</v>
      </c>
      <c r="O4497">
        <v>-0.82896259999999999</v>
      </c>
      <c r="P4497">
        <v>-0.68973949999999995</v>
      </c>
      <c r="Q4497">
        <v>8.9873319999999902E-3</v>
      </c>
      <c r="R4497">
        <v>-0.72400209999999998</v>
      </c>
      <c r="S4497">
        <v>-3.1476289999999998</v>
      </c>
      <c r="T4497">
        <v>-0.76294469999999903</v>
      </c>
      <c r="U4497">
        <v>-1.168976</v>
      </c>
      <c r="V4497">
        <v>0.16735050000000001</v>
      </c>
      <c r="W4497">
        <v>2.0196800000000001E-2</v>
      </c>
      <c r="X4497">
        <v>0.98569050000000002</v>
      </c>
      <c r="Y4497">
        <v>0.55532799999999904</v>
      </c>
      <c r="Z4497">
        <v>0.22295619999999999</v>
      </c>
      <c r="AA4497">
        <v>0.80118750000000005</v>
      </c>
      <c r="AB4497">
        <v>25</v>
      </c>
      <c r="AC4497">
        <v>-4.45359999999999</v>
      </c>
      <c r="AD4497">
        <v>-1.1033266850200001</v>
      </c>
      <c r="AE4497">
        <v>-1.5558000000000001</v>
      </c>
      <c r="AF4497">
        <v>2.67590359498758</v>
      </c>
      <c r="AG4497">
        <v>-1.1033266850200001</v>
      </c>
      <c r="AH4497">
        <v>3.5841418658967998</v>
      </c>
      <c r="AI4497">
        <v>103.856588938412</v>
      </c>
      <c r="AJ4497">
        <v>53.255153218647997</v>
      </c>
      <c r="AK4497">
        <v>4.6069363722998098</v>
      </c>
      <c r="AL4497">
        <v>88.842729834439595</v>
      </c>
      <c r="AM4497">
        <v>80.364208015698907</v>
      </c>
      <c r="AN4497">
        <v>0.99999993118536701</v>
      </c>
    </row>
    <row r="4498" spans="1:40" x14ac:dyDescent="0.25">
      <c r="A4498" t="str">
        <f>"20190312154344566"</f>
        <v>20190312154344566</v>
      </c>
      <c r="B4498" t="str">
        <f>"1552376624561854"</f>
        <v>1552376624561854</v>
      </c>
      <c r="C4498" t="s">
        <v>40</v>
      </c>
      <c r="D4498">
        <v>5.3286040000000003</v>
      </c>
      <c r="E4498">
        <v>0.69851619999999903</v>
      </c>
      <c r="F4498" t="s">
        <v>69</v>
      </c>
      <c r="G4498">
        <v>-201.1782</v>
      </c>
      <c r="H4498" s="1">
        <v>-1.180941E-5</v>
      </c>
      <c r="I4498">
        <v>149.2441</v>
      </c>
      <c r="J4498">
        <v>-197.06649999999999</v>
      </c>
      <c r="K4498">
        <v>1.1033269999999999</v>
      </c>
      <c r="L4498">
        <v>150.53809999999999</v>
      </c>
      <c r="M4498">
        <v>-0.56638440000000001</v>
      </c>
      <c r="N4498">
        <v>0</v>
      </c>
      <c r="O4498">
        <v>-0.82401769999999996</v>
      </c>
      <c r="P4498">
        <v>-0.69672730000000005</v>
      </c>
      <c r="Q4498">
        <v>9.9600839999999993E-3</v>
      </c>
      <c r="R4498">
        <v>-0.71726730000000005</v>
      </c>
      <c r="S4498">
        <v>-3.2011720000000001</v>
      </c>
      <c r="T4498">
        <v>-0.83371879999999998</v>
      </c>
      <c r="U4498">
        <v>-1.104279</v>
      </c>
      <c r="V4498">
        <v>0.16827039999999999</v>
      </c>
      <c r="W4498">
        <v>2.115361E-2</v>
      </c>
      <c r="X4498">
        <v>0.98551390000000005</v>
      </c>
      <c r="Y4498">
        <v>0.56211869999999997</v>
      </c>
      <c r="Z4498">
        <v>0.2408959</v>
      </c>
      <c r="AA4498">
        <v>0.79119640000000002</v>
      </c>
      <c r="AB4498">
        <v>25</v>
      </c>
      <c r="AC4498">
        <v>-4.1117000000000097</v>
      </c>
      <c r="AD4498">
        <v>-1.1033388094099901</v>
      </c>
      <c r="AE4498">
        <v>-1.2939999999999801</v>
      </c>
      <c r="AF4498">
        <v>2.4921987530409702</v>
      </c>
      <c r="AG4498">
        <v>-1.1033388094099901</v>
      </c>
      <c r="AH4498">
        <v>3.1866448750177598</v>
      </c>
      <c r="AI4498">
        <v>105.25552840242599</v>
      </c>
      <c r="AJ4498">
        <v>51.971887447109999</v>
      </c>
      <c r="AK4498">
        <v>4.1932227120063903</v>
      </c>
      <c r="AL4498">
        <v>88.787897046597706</v>
      </c>
      <c r="AM4498">
        <v>80.310539541237304</v>
      </c>
      <c r="AN4498">
        <v>1.0000000249126999</v>
      </c>
    </row>
    <row r="4499" spans="1:40" x14ac:dyDescent="0.25">
      <c r="A4499" t="str">
        <f>"20190312154344589"</f>
        <v>20190312154344589</v>
      </c>
      <c r="B4499" t="str">
        <f>"1552376624582349"</f>
        <v>1552376624582349</v>
      </c>
      <c r="C4499" t="s">
        <v>40</v>
      </c>
      <c r="D4499">
        <v>5.3118319999999999</v>
      </c>
      <c r="E4499">
        <v>0.69794860000000003</v>
      </c>
      <c r="F4499" t="s">
        <v>69</v>
      </c>
      <c r="G4499">
        <v>-201.18289999999999</v>
      </c>
      <c r="H4499" s="1">
        <v>-1.178762E-5</v>
      </c>
      <c r="I4499">
        <v>149.17779999999999</v>
      </c>
      <c r="J4499">
        <v>-197.21850000000001</v>
      </c>
      <c r="K4499">
        <v>1.1033459999999999</v>
      </c>
      <c r="L4499">
        <v>150.33789999999999</v>
      </c>
      <c r="M4499">
        <v>-0.57508130000000002</v>
      </c>
      <c r="N4499">
        <v>0</v>
      </c>
      <c r="O4499">
        <v>-0.81797180000000003</v>
      </c>
      <c r="P4499">
        <v>-0.70457009999999998</v>
      </c>
      <c r="Q4499">
        <v>1.0474829999999999E-2</v>
      </c>
      <c r="R4499">
        <v>-0.70955729999999995</v>
      </c>
      <c r="S4499">
        <v>-3.2220309999999999</v>
      </c>
      <c r="T4499">
        <v>-0.86360990000000004</v>
      </c>
      <c r="U4499">
        <v>-1.0647279999999999</v>
      </c>
      <c r="V4499">
        <v>0.1686773</v>
      </c>
      <c r="W4499">
        <v>2.1662279999999999E-2</v>
      </c>
      <c r="X4499">
        <v>0.98543329999999996</v>
      </c>
      <c r="Y4499">
        <v>0.56176819999999905</v>
      </c>
      <c r="Z4499">
        <v>0.24786449999999999</v>
      </c>
      <c r="AA4499">
        <v>0.78929059999999995</v>
      </c>
      <c r="AB4499">
        <v>25</v>
      </c>
      <c r="AC4499">
        <v>-3.9643999999999799</v>
      </c>
      <c r="AD4499">
        <v>-1.10335778762</v>
      </c>
      <c r="AE4499">
        <v>-1.1600999999999999</v>
      </c>
      <c r="AF4499">
        <v>2.40432855373377</v>
      </c>
      <c r="AG4499">
        <v>-1.10335778762</v>
      </c>
      <c r="AH4499">
        <v>3.0140566506534401</v>
      </c>
      <c r="AI4499">
        <v>105.9697051358</v>
      </c>
      <c r="AJ4499">
        <v>51.420454980548499</v>
      </c>
      <c r="AK4499">
        <v>4.0103281281148897</v>
      </c>
      <c r="AL4499">
        <v>88.7587457374661</v>
      </c>
      <c r="AM4499">
        <v>80.286775641309902</v>
      </c>
      <c r="AN4499">
        <v>1.00000003732948</v>
      </c>
    </row>
    <row r="4500" spans="1:40" x14ac:dyDescent="0.25">
      <c r="A4500" t="str">
        <f>"20190312154344611"</f>
        <v>20190312154344611</v>
      </c>
      <c r="B4500" t="str">
        <f>"1552376624601887"</f>
        <v>1552376624601887</v>
      </c>
      <c r="C4500" t="s">
        <v>40</v>
      </c>
      <c r="D4500">
        <v>5.3079980000000004</v>
      </c>
      <c r="E4500">
        <v>0.69755100000000003</v>
      </c>
      <c r="F4500" t="s">
        <v>69</v>
      </c>
      <c r="G4500">
        <v>-201.36879999999999</v>
      </c>
      <c r="H4500" s="1">
        <v>-1.165573E-5</v>
      </c>
      <c r="I4500">
        <v>149.01159999999999</v>
      </c>
      <c r="J4500">
        <v>-197.3724</v>
      </c>
      <c r="K4500">
        <v>1.103359</v>
      </c>
      <c r="L4500">
        <v>150.13980000000001</v>
      </c>
      <c r="M4500">
        <v>-0.58370230000000001</v>
      </c>
      <c r="N4500">
        <v>0</v>
      </c>
      <c r="O4500">
        <v>-0.81184259999999997</v>
      </c>
      <c r="P4500">
        <v>-0.71239049999999904</v>
      </c>
      <c r="Q4500">
        <v>1.123268E-2</v>
      </c>
      <c r="R4500">
        <v>-0.70169380000000003</v>
      </c>
      <c r="S4500">
        <v>-3.2308810000000001</v>
      </c>
      <c r="T4500">
        <v>-0.85892440000000003</v>
      </c>
      <c r="U4500">
        <v>-1.0324709999999999</v>
      </c>
      <c r="V4500">
        <v>0.1691927</v>
      </c>
      <c r="W4500">
        <v>2.2411199999999999E-2</v>
      </c>
      <c r="X4500">
        <v>0.98532810000000004</v>
      </c>
      <c r="Y4500">
        <v>0.56141240000000003</v>
      </c>
      <c r="Z4500">
        <v>0.24584120000000001</v>
      </c>
      <c r="AA4500">
        <v>0.79017599999999999</v>
      </c>
      <c r="AB4500">
        <v>25</v>
      </c>
      <c r="AC4500">
        <v>-3.9963999999999902</v>
      </c>
      <c r="AD4500">
        <v>-1.10337065573</v>
      </c>
      <c r="AE4500">
        <v>-1.1282000000000201</v>
      </c>
      <c r="AF4500">
        <v>2.4156342648136802</v>
      </c>
      <c r="AG4500">
        <v>-1.10337065573</v>
      </c>
      <c r="AH4500">
        <v>3.0347089115702301</v>
      </c>
      <c r="AI4500">
        <v>105.879202487139</v>
      </c>
      <c r="AJ4500">
        <v>51.480141467887201</v>
      </c>
      <c r="AK4500">
        <v>4.0326385758249899</v>
      </c>
      <c r="AL4500">
        <v>88.715825245591901</v>
      </c>
      <c r="AM4500">
        <v>80.256644211222294</v>
      </c>
      <c r="AN4500">
        <v>0.99999994813416804</v>
      </c>
    </row>
    <row r="4501" spans="1:40" x14ac:dyDescent="0.25">
      <c r="A4501" t="str">
        <f>"20190312154344632"</f>
        <v>20190312154344632</v>
      </c>
      <c r="B4501" t="str">
        <f>"1552376624622369"</f>
        <v>1552376624622369</v>
      </c>
      <c r="C4501" t="s">
        <v>40</v>
      </c>
      <c r="D4501">
        <v>5.279433</v>
      </c>
      <c r="E4501">
        <v>0.69704429999999995</v>
      </c>
      <c r="F4501" t="s">
        <v>69</v>
      </c>
      <c r="G4501">
        <v>-201.5598</v>
      </c>
      <c r="H4501" s="1">
        <v>-1.152296E-5</v>
      </c>
      <c r="I4501">
        <v>148.84989999999999</v>
      </c>
      <c r="J4501">
        <v>-197.51480000000001</v>
      </c>
      <c r="K4501">
        <v>1.103372</v>
      </c>
      <c r="L4501">
        <v>149.96039999999999</v>
      </c>
      <c r="M4501">
        <v>-0.59152419999999895</v>
      </c>
      <c r="N4501">
        <v>0</v>
      </c>
      <c r="O4501">
        <v>-0.80616109999999996</v>
      </c>
      <c r="P4501">
        <v>-0.71932790000000002</v>
      </c>
      <c r="Q4501">
        <v>1.126081E-2</v>
      </c>
      <c r="R4501">
        <v>-0.69457979999999997</v>
      </c>
      <c r="S4501">
        <v>-3.2412109999999998</v>
      </c>
      <c r="T4501">
        <v>-0.85406209999999905</v>
      </c>
      <c r="U4501">
        <v>-0.99844359999999999</v>
      </c>
      <c r="V4501">
        <v>0.16945760000000001</v>
      </c>
      <c r="W4501">
        <v>2.243552E-2</v>
      </c>
      <c r="X4501">
        <v>0.98528210000000005</v>
      </c>
      <c r="Y4501">
        <v>0.56230599999999997</v>
      </c>
      <c r="Z4501">
        <v>0.24386070000000001</v>
      </c>
      <c r="AA4501">
        <v>0.79015429999999998</v>
      </c>
      <c r="AB4501">
        <v>25</v>
      </c>
      <c r="AC4501">
        <v>-4.0449999999999804</v>
      </c>
      <c r="AD4501">
        <v>-1.10338352296</v>
      </c>
      <c r="AE4501">
        <v>-1.1105</v>
      </c>
      <c r="AF4501">
        <v>2.4357628113076601</v>
      </c>
      <c r="AG4501">
        <v>-1.10338352296</v>
      </c>
      <c r="AH4501">
        <v>3.07549133973371</v>
      </c>
      <c r="AI4501">
        <v>105.70837155384</v>
      </c>
      <c r="AJ4501">
        <v>51.621077520899</v>
      </c>
      <c r="AK4501">
        <v>4.0754193222864901</v>
      </c>
      <c r="AL4501">
        <v>88.714431558835699</v>
      </c>
      <c r="AM4501">
        <v>80.241235570754597</v>
      </c>
      <c r="AN4501">
        <v>1.0000000236679101</v>
      </c>
    </row>
    <row r="4502" spans="1:40" x14ac:dyDescent="0.25">
      <c r="A4502" t="str">
        <f>"20190312154344644"</f>
        <v>20190312154344644</v>
      </c>
      <c r="B4502" t="str">
        <f>"1552376624641886"</f>
        <v>1552376624641886</v>
      </c>
      <c r="C4502" t="s">
        <v>40</v>
      </c>
      <c r="D4502">
        <v>5.3159140000000003</v>
      </c>
      <c r="E4502">
        <v>0.69638719999999998</v>
      </c>
      <c r="F4502" t="s">
        <v>69</v>
      </c>
      <c r="G4502">
        <v>-201.72110000000001</v>
      </c>
      <c r="H4502" s="1">
        <v>-1.1408350000000001E-5</v>
      </c>
      <c r="I4502">
        <v>148.70509999999999</v>
      </c>
      <c r="J4502">
        <v>-197.6052</v>
      </c>
      <c r="K4502">
        <v>1.103378</v>
      </c>
      <c r="L4502">
        <v>149.84809999999999</v>
      </c>
      <c r="M4502">
        <v>-0.59642430000000002</v>
      </c>
      <c r="N4502">
        <v>0</v>
      </c>
      <c r="O4502">
        <v>-0.8025428</v>
      </c>
      <c r="P4502">
        <v>-0.72369879999999998</v>
      </c>
      <c r="Q4502">
        <v>1.116787E-2</v>
      </c>
      <c r="R4502">
        <v>-0.69002629999999998</v>
      </c>
      <c r="S4502">
        <v>-3.2479550000000001</v>
      </c>
      <c r="T4502">
        <v>-0.85199519999999995</v>
      </c>
      <c r="U4502">
        <v>-0.96928409999999998</v>
      </c>
      <c r="V4502">
        <v>0.16967309999999999</v>
      </c>
      <c r="W4502">
        <v>2.2338739999999999E-2</v>
      </c>
      <c r="X4502">
        <v>0.98524719999999999</v>
      </c>
      <c r="Y4502">
        <v>0.56446280000000004</v>
      </c>
      <c r="Z4502">
        <v>0.2431651</v>
      </c>
      <c r="AA4502">
        <v>0.78882980000000003</v>
      </c>
      <c r="AB4502">
        <v>24</v>
      </c>
      <c r="AC4502">
        <v>-4.1159000000000097</v>
      </c>
      <c r="AD4502">
        <v>-1.10338940835</v>
      </c>
      <c r="AE4502">
        <v>-1.143</v>
      </c>
      <c r="AF4502">
        <v>2.45775472015253</v>
      </c>
      <c r="AG4502">
        <v>-1.10338940835</v>
      </c>
      <c r="AH4502">
        <v>3.1615304273074498</v>
      </c>
      <c r="AI4502">
        <v>105.40495747979099</v>
      </c>
      <c r="AJ4502">
        <v>52.1387203729278</v>
      </c>
      <c r="AK4502">
        <v>4.1537093174272401</v>
      </c>
      <c r="AL4502">
        <v>88.719978020202504</v>
      </c>
      <c r="AM4502">
        <v>80.228724934655801</v>
      </c>
      <c r="AN4502">
        <v>1.0000000126381099</v>
      </c>
    </row>
    <row r="4503" spans="1:40" x14ac:dyDescent="0.25">
      <c r="A4503" t="str">
        <f>"20190312154344670"</f>
        <v>20190312154344670</v>
      </c>
      <c r="B4503" t="str">
        <f>"1552376624662381"</f>
        <v>1552376624662381</v>
      </c>
      <c r="C4503" t="s">
        <v>40</v>
      </c>
      <c r="D4503">
        <v>5.088387</v>
      </c>
      <c r="E4503">
        <v>0.696040199999999</v>
      </c>
      <c r="F4503" t="s">
        <v>69</v>
      </c>
      <c r="G4503">
        <v>-201.8115</v>
      </c>
      <c r="H4503" s="1">
        <v>-1.134153E-5</v>
      </c>
      <c r="I4503">
        <v>148.61529999999999</v>
      </c>
      <c r="J4503">
        <v>-197.78039999999999</v>
      </c>
      <c r="K4503">
        <v>1.103383</v>
      </c>
      <c r="L4503">
        <v>149.63460000000001</v>
      </c>
      <c r="M4503">
        <v>-0.60576030000000003</v>
      </c>
      <c r="N4503">
        <v>0</v>
      </c>
      <c r="O4503">
        <v>-0.79551919999999898</v>
      </c>
      <c r="P4503">
        <v>-0.73189689999999996</v>
      </c>
      <c r="Q4503">
        <v>1.1680980000000001E-2</v>
      </c>
      <c r="R4503">
        <v>-0.68131509999999995</v>
      </c>
      <c r="S4503">
        <v>-3.2502589999999998</v>
      </c>
      <c r="T4503">
        <v>-0.85261180000000003</v>
      </c>
      <c r="U4503">
        <v>-0.95257570000000003</v>
      </c>
      <c r="V4503">
        <v>0.16995499999999999</v>
      </c>
      <c r="W4503">
        <v>2.2846439999999999E-2</v>
      </c>
      <c r="X4503">
        <v>0.98518689999999998</v>
      </c>
      <c r="Y4503">
        <v>0.55902719999999995</v>
      </c>
      <c r="Z4503">
        <v>0.2419856</v>
      </c>
      <c r="AA4503">
        <v>0.79305209999999904</v>
      </c>
      <c r="AB4503">
        <v>24</v>
      </c>
      <c r="AC4503">
        <v>-4.0311000000000003</v>
      </c>
      <c r="AD4503">
        <v>-1.10339434153</v>
      </c>
      <c r="AE4503">
        <v>-1.0193000000000101</v>
      </c>
      <c r="AF4503">
        <v>2.4192642585895499</v>
      </c>
      <c r="AG4503">
        <v>-1.10339434153</v>
      </c>
      <c r="AH4503">
        <v>3.0390718482351899</v>
      </c>
      <c r="AI4503">
        <v>105.85749723206401</v>
      </c>
      <c r="AJ4503">
        <v>51.478328618031803</v>
      </c>
      <c r="AK4503">
        <v>4.0381030601688401</v>
      </c>
      <c r="AL4503">
        <v>88.690881437552406</v>
      </c>
      <c r="AM4503">
        <v>80.212216899191603</v>
      </c>
      <c r="AN4503">
        <v>0.99999994488863997</v>
      </c>
    </row>
    <row r="4504" spans="1:40" x14ac:dyDescent="0.25">
      <c r="A4504" t="str">
        <f>"20190312154344686"</f>
        <v>20190312154344686</v>
      </c>
      <c r="B4504" t="str">
        <f>"1552376624681901"</f>
        <v>1552376624681901</v>
      </c>
      <c r="C4504" t="s">
        <v>40</v>
      </c>
      <c r="D4504">
        <v>5.0905360000000002</v>
      </c>
      <c r="E4504">
        <v>0.69591650000000005</v>
      </c>
      <c r="F4504" t="s">
        <v>69</v>
      </c>
      <c r="G4504">
        <v>-202.0951</v>
      </c>
      <c r="H4504" s="1">
        <v>-1.11584E-5</v>
      </c>
      <c r="I4504">
        <v>148.42240000000001</v>
      </c>
      <c r="J4504">
        <v>-197.90479999999999</v>
      </c>
      <c r="K4504">
        <v>1.1033839999999999</v>
      </c>
      <c r="L4504">
        <v>149.48609999999999</v>
      </c>
      <c r="M4504">
        <v>-0.61227799999999999</v>
      </c>
      <c r="N4504">
        <v>0</v>
      </c>
      <c r="O4504">
        <v>-0.79051400000000005</v>
      </c>
      <c r="P4504">
        <v>-0.73785129999999999</v>
      </c>
      <c r="Q4504">
        <v>1.2402460000000001E-2</v>
      </c>
      <c r="R4504">
        <v>-0.674849699999999</v>
      </c>
      <c r="S4504">
        <v>-3.2597499999999999</v>
      </c>
      <c r="T4504">
        <v>-0.83362649999999905</v>
      </c>
      <c r="U4504">
        <v>-0.91578669999999995</v>
      </c>
      <c r="V4504">
        <v>0.17052909999999999</v>
      </c>
      <c r="W4504">
        <v>2.3555309999999999E-2</v>
      </c>
      <c r="X4504">
        <v>0.98507109999999998</v>
      </c>
      <c r="Y4504">
        <v>0.56269999999999998</v>
      </c>
      <c r="Z4504">
        <v>0.2365553</v>
      </c>
      <c r="AA4504">
        <v>0.79209240000000003</v>
      </c>
      <c r="AB4504">
        <v>24</v>
      </c>
      <c r="AC4504">
        <v>-4.1902999999999997</v>
      </c>
      <c r="AD4504">
        <v>-1.1033951583999999</v>
      </c>
      <c r="AE4504">
        <v>-1.0636999999999801</v>
      </c>
      <c r="AF4504">
        <v>2.4987137192653699</v>
      </c>
      <c r="AG4504">
        <v>-1.1033951583999999</v>
      </c>
      <c r="AH4504">
        <v>3.19849303252201</v>
      </c>
      <c r="AI4504">
        <v>105.20842947817501</v>
      </c>
      <c r="AJ4504">
        <v>52.0024796627456</v>
      </c>
      <c r="AK4504">
        <v>4.2061156433837299</v>
      </c>
      <c r="AL4504">
        <v>88.650255380594103</v>
      </c>
      <c r="AM4504">
        <v>80.178664954143201</v>
      </c>
      <c r="AN4504">
        <v>1.0000000493156</v>
      </c>
    </row>
    <row r="4505" spans="1:40" x14ac:dyDescent="0.25">
      <c r="A4505" t="str">
        <f>"20190312154344710"</f>
        <v>20190312154344710</v>
      </c>
      <c r="B4505" t="str">
        <f>"1552376624702397"</f>
        <v>1552376624702397</v>
      </c>
      <c r="C4505" t="s">
        <v>40</v>
      </c>
      <c r="D4505">
        <v>5.0921430000000001</v>
      </c>
      <c r="E4505">
        <v>0.6930693</v>
      </c>
      <c r="F4505" t="s">
        <v>69</v>
      </c>
      <c r="G4505">
        <v>-202.3304</v>
      </c>
      <c r="H4505" s="1">
        <v>-1.101293E-5</v>
      </c>
      <c r="I4505">
        <v>148.2843</v>
      </c>
      <c r="J4505">
        <v>-198.06790000000001</v>
      </c>
      <c r="K4505">
        <v>1.1033729999999999</v>
      </c>
      <c r="L4505">
        <v>149.29509999999999</v>
      </c>
      <c r="M4505">
        <v>-0.62068900000000005</v>
      </c>
      <c r="N4505">
        <v>0</v>
      </c>
      <c r="O4505">
        <v>-0.78392729999999999</v>
      </c>
      <c r="P4505">
        <v>-0.74513079999999998</v>
      </c>
      <c r="Q4505">
        <v>1.2173710000000001E-2</v>
      </c>
      <c r="R4505">
        <v>-0.66680729999999999</v>
      </c>
      <c r="S4505">
        <v>-3.2679140000000002</v>
      </c>
      <c r="T4505">
        <v>-0.81475969999999998</v>
      </c>
      <c r="U4505">
        <v>-0.88742069999999995</v>
      </c>
      <c r="V4505">
        <v>0.1706879</v>
      </c>
      <c r="W4505">
        <v>2.332029E-2</v>
      </c>
      <c r="X4505">
        <v>0.98504910000000001</v>
      </c>
      <c r="Y4505">
        <v>0.56250540000000004</v>
      </c>
      <c r="Z4505">
        <v>0.2304543</v>
      </c>
      <c r="AA4505">
        <v>0.79402680000000003</v>
      </c>
      <c r="AB4505">
        <v>24</v>
      </c>
      <c r="AC4505">
        <v>-4.2624999999999797</v>
      </c>
      <c r="AD4505">
        <v>-1.1033840129300001</v>
      </c>
      <c r="AE4505">
        <v>-1.0107999999999799</v>
      </c>
      <c r="AF4505">
        <v>2.5524458226168401</v>
      </c>
      <c r="AG4505">
        <v>-1.1033840129300001</v>
      </c>
      <c r="AH4505">
        <v>3.2333082512551301</v>
      </c>
      <c r="AI4505">
        <v>104.994814643615</v>
      </c>
      <c r="AJ4505">
        <v>51.711648504396699</v>
      </c>
      <c r="AK4505">
        <v>4.2645888670560197</v>
      </c>
      <c r="AL4505">
        <v>88.6637246177972</v>
      </c>
      <c r="AM4505">
        <v>80.169482218428996</v>
      </c>
      <c r="AN4505">
        <v>0.99999996227145105</v>
      </c>
    </row>
    <row r="4506" spans="1:40" x14ac:dyDescent="0.25">
      <c r="A4506" t="str">
        <f>"20190312154344747"</f>
        <v>20190312154344747</v>
      </c>
      <c r="B4506" t="str">
        <f>"1552376624742413"</f>
        <v>1552376624742413</v>
      </c>
      <c r="C4506" t="s">
        <v>40</v>
      </c>
      <c r="D4506">
        <v>5.1022299999999996</v>
      </c>
      <c r="E4506">
        <v>0.69020389999999998</v>
      </c>
      <c r="F4506" t="s">
        <v>69</v>
      </c>
      <c r="G4506">
        <v>-204.1405</v>
      </c>
      <c r="H4506" s="1">
        <v>-1.004246E-5</v>
      </c>
      <c r="I4506">
        <v>147.68719999999999</v>
      </c>
      <c r="J4506">
        <v>-198.33930000000001</v>
      </c>
      <c r="K4506">
        <v>1.1033379999999999</v>
      </c>
      <c r="L4506">
        <v>148.98660000000001</v>
      </c>
      <c r="M4506">
        <v>-0.63438499999999998</v>
      </c>
      <c r="N4506">
        <v>0</v>
      </c>
      <c r="O4506">
        <v>-0.77288559999999995</v>
      </c>
      <c r="P4506">
        <v>-0.75705500000000003</v>
      </c>
      <c r="Q4506">
        <v>1.17085E-2</v>
      </c>
      <c r="R4506">
        <v>-0.65324669999999996</v>
      </c>
      <c r="S4506">
        <v>-3.2626949999999999</v>
      </c>
      <c r="T4506">
        <v>-0.59282819999999903</v>
      </c>
      <c r="U4506">
        <v>-0.86392209999999903</v>
      </c>
      <c r="V4506">
        <v>0.1711404</v>
      </c>
      <c r="W4506">
        <v>2.283644E-2</v>
      </c>
      <c r="X4506">
        <v>0.98498200000000002</v>
      </c>
      <c r="Y4506">
        <v>0.56783919999999999</v>
      </c>
      <c r="Z4506">
        <v>0.16886409999999999</v>
      </c>
      <c r="AA4506">
        <v>0.80563240000000003</v>
      </c>
      <c r="AB4506">
        <v>24</v>
      </c>
      <c r="AC4506">
        <v>-5.8011999999999899</v>
      </c>
      <c r="AD4506">
        <v>-1.10334804246</v>
      </c>
      <c r="AE4506">
        <v>-1.2994000000000201</v>
      </c>
      <c r="AF4506">
        <v>3.5378541937034602</v>
      </c>
      <c r="AG4506">
        <v>-1.10334804246</v>
      </c>
      <c r="AH4506">
        <v>4.5289574539113202</v>
      </c>
      <c r="AI4506">
        <v>100.867817648364</v>
      </c>
      <c r="AJ4506">
        <v>52.004361531459402</v>
      </c>
      <c r="AK4506">
        <v>5.8519436786459602</v>
      </c>
      <c r="AL4506">
        <v>88.691454669269305</v>
      </c>
      <c r="AM4506">
        <v>80.1432733211618</v>
      </c>
      <c r="AN4506">
        <v>1.0000000399140101</v>
      </c>
    </row>
    <row r="4507" spans="1:40" x14ac:dyDescent="0.25">
      <c r="A4507" t="str">
        <f>"20190312154344766"</f>
        <v>20190312154344766</v>
      </c>
      <c r="B4507" t="str">
        <f>"1552376624761935"</f>
        <v>1552376624761935</v>
      </c>
      <c r="C4507" t="s">
        <v>40</v>
      </c>
      <c r="D4507">
        <v>5.129823</v>
      </c>
      <c r="E4507">
        <v>0.68904719999999997</v>
      </c>
      <c r="F4507" t="s">
        <v>69</v>
      </c>
      <c r="G4507">
        <v>-204.3811</v>
      </c>
      <c r="H4507" s="1">
        <v>-9.8934129999999997E-6</v>
      </c>
      <c r="I4507">
        <v>147.4657</v>
      </c>
      <c r="J4507">
        <v>-198.48589999999999</v>
      </c>
      <c r="K4507">
        <v>1.103315</v>
      </c>
      <c r="L4507">
        <v>148.8244</v>
      </c>
      <c r="M4507">
        <v>-0.64164580000000004</v>
      </c>
      <c r="N4507">
        <v>0</v>
      </c>
      <c r="O4507">
        <v>-0.76686849999999995</v>
      </c>
      <c r="P4507">
        <v>-0.76313469999999906</v>
      </c>
      <c r="Q4507">
        <v>1.1295339999999999E-2</v>
      </c>
      <c r="R4507">
        <v>-0.64614110000000002</v>
      </c>
      <c r="S4507">
        <v>-3.2631380000000001</v>
      </c>
      <c r="T4507">
        <v>-0.59590459999999901</v>
      </c>
      <c r="U4507">
        <v>-0.82144169999999905</v>
      </c>
      <c r="V4507">
        <v>0.17105789999999901</v>
      </c>
      <c r="W4507">
        <v>2.2418359999999998E-2</v>
      </c>
      <c r="X4507">
        <v>0.98500589999999999</v>
      </c>
      <c r="Y4507">
        <v>0.56976759999999904</v>
      </c>
      <c r="Z4507">
        <v>0.16973529999999901</v>
      </c>
      <c r="AA4507">
        <v>0.80408639999999998</v>
      </c>
      <c r="AB4507">
        <v>24</v>
      </c>
      <c r="AC4507">
        <v>-5.8952000000000098</v>
      </c>
      <c r="AD4507">
        <v>-1.103324893413</v>
      </c>
      <c r="AE4507">
        <v>-1.35869999999999</v>
      </c>
      <c r="AF4507">
        <v>3.5319352599599099</v>
      </c>
      <c r="AG4507">
        <v>-1.103324893413</v>
      </c>
      <c r="AH4507">
        <v>4.6697458751422296</v>
      </c>
      <c r="AI4507">
        <v>100.671747076844</v>
      </c>
      <c r="AJ4507">
        <v>52.8981721307348</v>
      </c>
      <c r="AK4507">
        <v>5.9580549711613697</v>
      </c>
      <c r="AL4507">
        <v>88.715414978431397</v>
      </c>
      <c r="AM4507">
        <v>80.148166093834405</v>
      </c>
      <c r="AN4507">
        <v>1.00000000552615</v>
      </c>
    </row>
    <row r="4508" spans="1:40" x14ac:dyDescent="0.25">
      <c r="A4508" t="str">
        <f>"20190312154344789"</f>
        <v>20190312154344789</v>
      </c>
      <c r="B4508" t="str">
        <f>"1552376624782429"</f>
        <v>1552376624782429</v>
      </c>
      <c r="C4508" t="s">
        <v>40</v>
      </c>
      <c r="D4508">
        <v>5.1188949999999904</v>
      </c>
      <c r="E4508">
        <v>0.68798210000000004</v>
      </c>
      <c r="F4508" t="s">
        <v>69</v>
      </c>
      <c r="G4508">
        <v>-204.4443</v>
      </c>
      <c r="H4508" s="1">
        <v>-9.8438349999999996E-6</v>
      </c>
      <c r="I4508">
        <v>147.36789999999999</v>
      </c>
      <c r="J4508">
        <v>-198.64879999999999</v>
      </c>
      <c r="K4508">
        <v>1.1032839999999999</v>
      </c>
      <c r="L4508">
        <v>148.64789999999999</v>
      </c>
      <c r="M4508">
        <v>-0.64961630000000004</v>
      </c>
      <c r="N4508">
        <v>0</v>
      </c>
      <c r="O4508">
        <v>-0.76012829999999998</v>
      </c>
      <c r="P4508">
        <v>-0.7697775</v>
      </c>
      <c r="Q4508">
        <v>1.149643E-2</v>
      </c>
      <c r="R4508">
        <v>-0.63820889999999997</v>
      </c>
      <c r="S4508">
        <v>-3.2644350000000002</v>
      </c>
      <c r="T4508">
        <v>-0.60448419999999903</v>
      </c>
      <c r="U4508">
        <v>-0.7979889</v>
      </c>
      <c r="V4508">
        <v>0.17097200000000001</v>
      </c>
      <c r="W4508">
        <v>2.2610470000000001E-2</v>
      </c>
      <c r="X4508">
        <v>0.98501640000000001</v>
      </c>
      <c r="Y4508">
        <v>0.56635729999999995</v>
      </c>
      <c r="Z4508">
        <v>0.17134669999999999</v>
      </c>
      <c r="AA4508">
        <v>0.80615119999999996</v>
      </c>
      <c r="AB4508">
        <v>24</v>
      </c>
      <c r="AC4508">
        <v>-5.7954999999999997</v>
      </c>
      <c r="AD4508">
        <v>-1.103293843835</v>
      </c>
      <c r="AE4508">
        <v>-1.28</v>
      </c>
      <c r="AF4508">
        <v>3.45479662813023</v>
      </c>
      <c r="AG4508">
        <v>-1.103293843835</v>
      </c>
      <c r="AH4508">
        <v>4.5800329233588499</v>
      </c>
      <c r="AI4508">
        <v>100.885900935154</v>
      </c>
      <c r="AJ4508">
        <v>52.972129268963997</v>
      </c>
      <c r="AK4508">
        <v>5.8420526038914797</v>
      </c>
      <c r="AL4508">
        <v>88.704405066544297</v>
      </c>
      <c r="AM4508">
        <v>80.153119425071694</v>
      </c>
      <c r="AN4508">
        <v>0.99999998320328998</v>
      </c>
    </row>
    <row r="4509" spans="1:40" x14ac:dyDescent="0.25">
      <c r="A4509" t="str">
        <f>"20190312154344810"</f>
        <v>20190312154344810</v>
      </c>
      <c r="B4509" t="str">
        <f>"1552376624801949"</f>
        <v>1552376624801949</v>
      </c>
      <c r="C4509" t="s">
        <v>40</v>
      </c>
      <c r="D4509">
        <v>5.0787909999999998</v>
      </c>
      <c r="E4509">
        <v>0.6868609</v>
      </c>
      <c r="F4509" t="s">
        <v>69</v>
      </c>
      <c r="G4509">
        <v>-204.53440000000001</v>
      </c>
      <c r="H4509" s="1">
        <v>-9.7814450000000007E-6</v>
      </c>
      <c r="I4509">
        <v>147.26009999999999</v>
      </c>
      <c r="J4509">
        <v>-198.81909999999999</v>
      </c>
      <c r="K4509">
        <v>1.103237</v>
      </c>
      <c r="L4509">
        <v>148.46770000000001</v>
      </c>
      <c r="M4509">
        <v>-0.65784629999999999</v>
      </c>
      <c r="N4509">
        <v>0</v>
      </c>
      <c r="O4509">
        <v>-0.75301680000000004</v>
      </c>
      <c r="P4509">
        <v>-0.77637279999999997</v>
      </c>
      <c r="Q4509">
        <v>1.1327500000000001E-2</v>
      </c>
      <c r="R4509">
        <v>-0.63017239999999997</v>
      </c>
      <c r="S4509">
        <v>-3.2676090000000002</v>
      </c>
      <c r="T4509">
        <v>-0.612537</v>
      </c>
      <c r="U4509">
        <v>-0.77046199999999998</v>
      </c>
      <c r="V4509">
        <v>0.1704986</v>
      </c>
      <c r="W4509">
        <v>2.24379E-2</v>
      </c>
      <c r="X4509">
        <v>0.98510240000000004</v>
      </c>
      <c r="Y4509">
        <v>0.56368589999999996</v>
      </c>
      <c r="Z4509">
        <v>0.17273649999999999</v>
      </c>
      <c r="AA4509">
        <v>0.80772540000000004</v>
      </c>
      <c r="AB4509">
        <v>24</v>
      </c>
      <c r="AC4509">
        <v>-5.7153000000000098</v>
      </c>
      <c r="AD4509">
        <v>-1.103246781445</v>
      </c>
      <c r="AE4509">
        <v>-1.20760000000001</v>
      </c>
      <c r="AF4509">
        <v>3.3887829579228699</v>
      </c>
      <c r="AG4509">
        <v>-1.103246781445</v>
      </c>
      <c r="AH4509">
        <v>4.5087816167451997</v>
      </c>
      <c r="AI4509">
        <v>101.067367360356</v>
      </c>
      <c r="AJ4509">
        <v>53.0716170462223</v>
      </c>
      <c r="AK4509">
        <v>5.7471832286935802</v>
      </c>
      <c r="AL4509">
        <v>88.714295111109195</v>
      </c>
      <c r="AM4509">
        <v>80.180693279788201</v>
      </c>
      <c r="AN4509">
        <v>0.99999998522206501</v>
      </c>
    </row>
    <row r="4510" spans="1:40" x14ac:dyDescent="0.25">
      <c r="A4510" t="str">
        <f>"20190312154344833"</f>
        <v>20190312154344833</v>
      </c>
      <c r="B4510" t="str">
        <f>"1552376624822446"</f>
        <v>1552376624822446</v>
      </c>
      <c r="C4510" t="s">
        <v>40</v>
      </c>
      <c r="D4510">
        <v>5.0588879999999996</v>
      </c>
      <c r="E4510">
        <v>0.68625700000000001</v>
      </c>
      <c r="F4510" t="s">
        <v>69</v>
      </c>
      <c r="G4510">
        <v>-204.6634</v>
      </c>
      <c r="H4510" s="1">
        <v>-9.7009640000000007E-6</v>
      </c>
      <c r="I4510">
        <v>147.13919999999999</v>
      </c>
      <c r="J4510">
        <v>-198.9933</v>
      </c>
      <c r="K4510">
        <v>1.1031869999999999</v>
      </c>
      <c r="L4510">
        <v>148.28729999999999</v>
      </c>
      <c r="M4510">
        <v>-0.66616059999999999</v>
      </c>
      <c r="N4510">
        <v>0</v>
      </c>
      <c r="O4510">
        <v>-0.74567150000000004</v>
      </c>
      <c r="P4510">
        <v>-0.78328199999999903</v>
      </c>
      <c r="Q4510">
        <v>1.128094E-2</v>
      </c>
      <c r="R4510">
        <v>-0.62156440000000002</v>
      </c>
      <c r="S4510">
        <v>-3.2698360000000002</v>
      </c>
      <c r="T4510">
        <v>-0.617255</v>
      </c>
      <c r="U4510">
        <v>-0.74325559999999902</v>
      </c>
      <c r="V4510">
        <v>0.17044500000000001</v>
      </c>
      <c r="W4510">
        <v>2.2381169999999999E-2</v>
      </c>
      <c r="X4510">
        <v>0.98511300000000002</v>
      </c>
      <c r="Y4510">
        <v>0.56091179999999996</v>
      </c>
      <c r="Z4510">
        <v>0.17316519999999999</v>
      </c>
      <c r="AA4510">
        <v>0.80956269999999997</v>
      </c>
      <c r="AB4510">
        <v>24</v>
      </c>
      <c r="AC4510">
        <v>-5.6700999999999899</v>
      </c>
      <c r="AD4510">
        <v>-1.103196700964</v>
      </c>
      <c r="AE4510">
        <v>-1.1480999999999899</v>
      </c>
      <c r="AF4510">
        <v>3.3420359625724898</v>
      </c>
      <c r="AG4510">
        <v>-1.103196700964</v>
      </c>
      <c r="AH4510">
        <v>4.4711844741076003</v>
      </c>
      <c r="AI4510">
        <v>101.179217479239</v>
      </c>
      <c r="AJ4510">
        <v>53.223319684490399</v>
      </c>
      <c r="AK4510">
        <v>5.6901439294315397</v>
      </c>
      <c r="AL4510">
        <v>88.717546360235701</v>
      </c>
      <c r="AM4510">
        <v>80.183823704101997</v>
      </c>
      <c r="AN4510">
        <v>1.00000001878228</v>
      </c>
    </row>
    <row r="4511" spans="1:40" x14ac:dyDescent="0.25">
      <c r="A4511" t="str">
        <f>"20190312154344855"</f>
        <v>20190312154344855</v>
      </c>
      <c r="B4511" t="str">
        <f>"1552376624851726"</f>
        <v>1552376624851726</v>
      </c>
      <c r="C4511" t="s">
        <v>40</v>
      </c>
      <c r="D4511">
        <v>5.094347</v>
      </c>
      <c r="E4511">
        <v>0.67588210000000004</v>
      </c>
      <c r="F4511" t="s">
        <v>69</v>
      </c>
      <c r="G4511">
        <v>-204.8312</v>
      </c>
      <c r="H4511" s="1">
        <v>-9.606216E-6</v>
      </c>
      <c r="I4511">
        <v>147.01949999999999</v>
      </c>
      <c r="J4511">
        <v>-199.1619</v>
      </c>
      <c r="K4511">
        <v>1.103138</v>
      </c>
      <c r="L4511">
        <v>148.11670000000001</v>
      </c>
      <c r="M4511">
        <v>-0.67410530000000002</v>
      </c>
      <c r="N4511">
        <v>0</v>
      </c>
      <c r="O4511">
        <v>-0.73849679999999995</v>
      </c>
      <c r="P4511">
        <v>-0.78987779999999996</v>
      </c>
      <c r="Q4511">
        <v>1.1318129999999999E-2</v>
      </c>
      <c r="R4511">
        <v>-0.61316000000000004</v>
      </c>
      <c r="S4511">
        <v>-3.274597</v>
      </c>
      <c r="T4511">
        <v>-0.61881019999999998</v>
      </c>
      <c r="U4511">
        <v>-0.71115109999999904</v>
      </c>
      <c r="V4511">
        <v>0.17042679999999999</v>
      </c>
      <c r="W4511">
        <v>2.2408339999999999E-2</v>
      </c>
      <c r="X4511">
        <v>0.98511550000000003</v>
      </c>
      <c r="Y4511">
        <v>0.55993760000000004</v>
      </c>
      <c r="Z4511">
        <v>0.17278450000000001</v>
      </c>
      <c r="AA4511">
        <v>0.81031809999999904</v>
      </c>
      <c r="AB4511">
        <v>24</v>
      </c>
      <c r="AC4511">
        <v>-5.66929999999999</v>
      </c>
      <c r="AD4511">
        <v>-1.1031476062159999</v>
      </c>
      <c r="AE4511">
        <v>-1.0972000000000099</v>
      </c>
      <c r="AF4511">
        <v>3.3260966599434898</v>
      </c>
      <c r="AG4511">
        <v>-1.1031476062159999</v>
      </c>
      <c r="AH4511">
        <v>4.4693466842870597</v>
      </c>
      <c r="AI4511">
        <v>101.200252017553</v>
      </c>
      <c r="AJ4511">
        <v>53.343303984530898</v>
      </c>
      <c r="AK4511">
        <v>5.6793409315461103</v>
      </c>
      <c r="AL4511">
        <v>88.715989204017106</v>
      </c>
      <c r="AM4511">
        <v>80.184875905522105</v>
      </c>
      <c r="AN4511">
        <v>0.999999988100022</v>
      </c>
    </row>
    <row r="4512" spans="1:40" x14ac:dyDescent="0.25">
      <c r="A4512" t="str">
        <f>"20190312154344878"</f>
        <v>20190312154344878</v>
      </c>
      <c r="B4512" t="str">
        <f>"1552376624872222"</f>
        <v>1552376624872222</v>
      </c>
      <c r="C4512" t="s">
        <v>40</v>
      </c>
      <c r="D4512">
        <v>5.0609289999999998</v>
      </c>
      <c r="E4512">
        <v>0.674566</v>
      </c>
      <c r="F4512" t="s">
        <v>69</v>
      </c>
      <c r="G4512">
        <v>-204.874</v>
      </c>
      <c r="H4512" s="1">
        <v>-9.5334730000000006E-6</v>
      </c>
      <c r="I4512">
        <v>146.80500000000001</v>
      </c>
      <c r="J4512">
        <v>-199.33770000000001</v>
      </c>
      <c r="K4512">
        <v>1.103091</v>
      </c>
      <c r="L4512">
        <v>147.9427</v>
      </c>
      <c r="M4512">
        <v>-0.68228659999999997</v>
      </c>
      <c r="N4512">
        <v>0</v>
      </c>
      <c r="O4512">
        <v>-0.73094479999999995</v>
      </c>
      <c r="P4512">
        <v>-0.79683110000000001</v>
      </c>
      <c r="Q4512">
        <v>1.203253E-2</v>
      </c>
      <c r="R4512">
        <v>-0.60408269999999997</v>
      </c>
      <c r="S4512">
        <v>-3.2310180000000002</v>
      </c>
      <c r="T4512">
        <v>-0.62399740000000004</v>
      </c>
      <c r="U4512">
        <v>-0.74195859999999902</v>
      </c>
      <c r="V4512">
        <v>0.17073640000000001</v>
      </c>
      <c r="W4512">
        <v>2.3105770000000001E-2</v>
      </c>
      <c r="X4512">
        <v>0.98504579999999997</v>
      </c>
      <c r="Y4512">
        <v>0.54068930000000004</v>
      </c>
      <c r="Z4512">
        <v>0.17349319999999999</v>
      </c>
      <c r="AA4512">
        <v>0.82313740000000002</v>
      </c>
      <c r="AB4512">
        <v>24</v>
      </c>
      <c r="AC4512">
        <v>-5.5363000000000104</v>
      </c>
      <c r="AD4512">
        <v>-1.103100533473</v>
      </c>
      <c r="AE4512">
        <v>-1.1376999999999899</v>
      </c>
      <c r="AF4512">
        <v>3.1508081371579499</v>
      </c>
      <c r="AG4512">
        <v>-1.103100533473</v>
      </c>
      <c r="AH4512">
        <v>4.4402744649615196</v>
      </c>
      <c r="AI4512">
        <v>101.453355949303</v>
      </c>
      <c r="AJ4512">
        <v>54.640579430132298</v>
      </c>
      <c r="AK4512">
        <v>5.5552191701424798</v>
      </c>
      <c r="AL4512">
        <v>88.676019086922395</v>
      </c>
      <c r="AM4512">
        <v>80.166711153083398</v>
      </c>
      <c r="AN4512">
        <v>1.0000000114949401</v>
      </c>
    </row>
    <row r="4513" spans="1:40" x14ac:dyDescent="0.25">
      <c r="A4513" t="str">
        <f>"20190312154344900"</f>
        <v>20190312154344900</v>
      </c>
      <c r="B4513" t="str">
        <f>"1552376624891741"</f>
        <v>1552376624891741</v>
      </c>
      <c r="C4513" t="s">
        <v>40</v>
      </c>
      <c r="D4513">
        <v>5.0917199999999996</v>
      </c>
      <c r="E4513">
        <v>0.67374869999999898</v>
      </c>
      <c r="F4513" t="s">
        <v>69</v>
      </c>
      <c r="G4513">
        <v>-205.03899999999999</v>
      </c>
      <c r="H4513" s="1">
        <v>-9.4340919999999998E-6</v>
      </c>
      <c r="I4513">
        <v>146.68450000000001</v>
      </c>
      <c r="J4513">
        <v>-199.52099999999999</v>
      </c>
      <c r="K4513">
        <v>1.1030420000000001</v>
      </c>
      <c r="L4513">
        <v>147.7655</v>
      </c>
      <c r="M4513">
        <v>-0.69071009999999999</v>
      </c>
      <c r="N4513">
        <v>0</v>
      </c>
      <c r="O4513">
        <v>-0.72298999999999902</v>
      </c>
      <c r="P4513">
        <v>-0.80413380000000001</v>
      </c>
      <c r="Q4513">
        <v>1.1861210000000001E-2</v>
      </c>
      <c r="R4513">
        <v>-0.59433019999999903</v>
      </c>
      <c r="S4513">
        <v>-3.2334139999999998</v>
      </c>
      <c r="T4513">
        <v>-0.62560300000000002</v>
      </c>
      <c r="U4513">
        <v>-0.71353149999999999</v>
      </c>
      <c r="V4513">
        <v>0.17132530000000001</v>
      </c>
      <c r="W4513">
        <v>2.2913179999999998E-2</v>
      </c>
      <c r="X4513">
        <v>0.98494800000000005</v>
      </c>
      <c r="Y4513">
        <v>0.53805349999999996</v>
      </c>
      <c r="Z4513">
        <v>0.172905</v>
      </c>
      <c r="AA4513">
        <v>0.82498629999999995</v>
      </c>
      <c r="AB4513">
        <v>24</v>
      </c>
      <c r="AC4513">
        <v>-5.5180000000000202</v>
      </c>
      <c r="AD4513">
        <v>-1.1030514340919999</v>
      </c>
      <c r="AE4513">
        <v>-1.08099999999998</v>
      </c>
      <c r="AF4513">
        <v>3.1229521261320299</v>
      </c>
      <c r="AG4513">
        <v>-1.1030514340919999</v>
      </c>
      <c r="AH4513">
        <v>4.4231441667601699</v>
      </c>
      <c r="AI4513">
        <v>101.51478132691101</v>
      </c>
      <c r="AJ4513">
        <v>54.776072678877199</v>
      </c>
      <c r="AK4513">
        <v>5.5257358576310498</v>
      </c>
      <c r="AL4513">
        <v>88.687056545393602</v>
      </c>
      <c r="AM4513">
        <v>80.132499403369906</v>
      </c>
      <c r="AN4513">
        <v>0.99999996747090003</v>
      </c>
    </row>
    <row r="4514" spans="1:40" x14ac:dyDescent="0.25">
      <c r="A4514" t="str">
        <f>"20190312154344933"</f>
        <v>20190312154344933</v>
      </c>
      <c r="B4514" t="str">
        <f>"1552376624922001"</f>
        <v>1552376624922001</v>
      </c>
      <c r="C4514" t="s">
        <v>40</v>
      </c>
      <c r="D4514">
        <v>5.0302949999999997</v>
      </c>
      <c r="E4514">
        <v>0.66596880000000003</v>
      </c>
      <c r="F4514" t="s">
        <v>69</v>
      </c>
      <c r="G4514">
        <v>-205.2064</v>
      </c>
      <c r="H4514" s="1">
        <v>-9.3304729999999993E-6</v>
      </c>
      <c r="I4514">
        <v>146.57320000000001</v>
      </c>
      <c r="J4514">
        <v>-199.78139999999999</v>
      </c>
      <c r="K4514">
        <v>1.1029690000000001</v>
      </c>
      <c r="L4514">
        <v>147.52080000000001</v>
      </c>
      <c r="M4514">
        <v>-0.70249910000000004</v>
      </c>
      <c r="N4514">
        <v>0</v>
      </c>
      <c r="O4514">
        <v>-0.71154019999999996</v>
      </c>
      <c r="P4514">
        <v>-0.81427609999999995</v>
      </c>
      <c r="Q4514">
        <v>1.186662E-2</v>
      </c>
      <c r="R4514">
        <v>-0.58035669999999995</v>
      </c>
      <c r="S4514">
        <v>-3.2380680000000002</v>
      </c>
      <c r="T4514">
        <v>-0.62822509999999998</v>
      </c>
      <c r="U4514">
        <v>-0.67907709999999999</v>
      </c>
      <c r="V4514">
        <v>0.1721492</v>
      </c>
      <c r="W4514">
        <v>2.28884E-2</v>
      </c>
      <c r="X4514">
        <v>0.98480489999999998</v>
      </c>
      <c r="Y4514">
        <v>0.53299929999999995</v>
      </c>
      <c r="Z4514">
        <v>0.17184269999999999</v>
      </c>
      <c r="AA4514">
        <v>0.82848159999999904</v>
      </c>
      <c r="AB4514">
        <v>24</v>
      </c>
      <c r="AC4514">
        <v>-5.4250000000000096</v>
      </c>
      <c r="AD4514">
        <v>-1.1029783304729901</v>
      </c>
      <c r="AE4514">
        <v>-0.947599999999994</v>
      </c>
      <c r="AF4514">
        <v>3.0715380879403802</v>
      </c>
      <c r="AG4514">
        <v>-1.1029783304729901</v>
      </c>
      <c r="AH4514">
        <v>4.3127770007891799</v>
      </c>
      <c r="AI4514">
        <v>101.767305083708</v>
      </c>
      <c r="AJ4514">
        <v>54.541721612377799</v>
      </c>
      <c r="AK4514">
        <v>5.4084150064226399</v>
      </c>
      <c r="AL4514">
        <v>88.688476695522994</v>
      </c>
      <c r="AM4514">
        <v>80.0845741112566</v>
      </c>
      <c r="AN4514">
        <v>0.99999995848960399</v>
      </c>
    </row>
    <row r="4515" spans="1:40" x14ac:dyDescent="0.25">
      <c r="A4515" t="str">
        <f>"20190312154344958"</f>
        <v>20190312154344958</v>
      </c>
      <c r="B4515" t="str">
        <f>"1552376624952253"</f>
        <v>1552376624952253</v>
      </c>
      <c r="C4515" t="s">
        <v>40</v>
      </c>
      <c r="D4515">
        <v>5.0116889999999996</v>
      </c>
      <c r="E4515">
        <v>0.66258930000000005</v>
      </c>
      <c r="F4515" t="s">
        <v>69</v>
      </c>
      <c r="G4515">
        <v>-205.5958</v>
      </c>
      <c r="H4515" s="1">
        <v>-9.0863050000000001E-6</v>
      </c>
      <c r="I4515">
        <v>146.3023</v>
      </c>
      <c r="J4515">
        <v>-199.9787</v>
      </c>
      <c r="K4515">
        <v>1.1029119999999999</v>
      </c>
      <c r="L4515">
        <v>147.34119999999999</v>
      </c>
      <c r="M4515">
        <v>-0.71127089999999904</v>
      </c>
      <c r="N4515">
        <v>0</v>
      </c>
      <c r="O4515">
        <v>-0.70277149999999999</v>
      </c>
      <c r="P4515">
        <v>-0.8219204</v>
      </c>
      <c r="Q4515">
        <v>1.1927159999999999E-2</v>
      </c>
      <c r="R4515">
        <v>-0.56947769999999898</v>
      </c>
      <c r="S4515">
        <v>-3.2131959999999999</v>
      </c>
      <c r="T4515">
        <v>-0.60954209999999998</v>
      </c>
      <c r="U4515">
        <v>-0.67338560000000003</v>
      </c>
      <c r="V4515">
        <v>0.17303270000000001</v>
      </c>
      <c r="W4515">
        <v>2.2922720000000001E-2</v>
      </c>
      <c r="X4515">
        <v>0.98464929999999995</v>
      </c>
      <c r="Y4515">
        <v>0.52376460000000002</v>
      </c>
      <c r="Z4515">
        <v>0.166191899999999</v>
      </c>
      <c r="AA4515">
        <v>0.83549439999999997</v>
      </c>
      <c r="AB4515">
        <v>24</v>
      </c>
      <c r="AC4515">
        <v>-5.61709999999999</v>
      </c>
      <c r="AD4515">
        <v>-1.1029210863050001</v>
      </c>
      <c r="AE4515">
        <v>-1.03889999999998</v>
      </c>
      <c r="AF4515">
        <v>3.09360436757476</v>
      </c>
      <c r="AG4515">
        <v>-1.1029210863050001</v>
      </c>
      <c r="AH4515">
        <v>4.55603420453191</v>
      </c>
      <c r="AI4515">
        <v>101.325005548216</v>
      </c>
      <c r="AJ4515">
        <v>55.823003519537103</v>
      </c>
      <c r="AK4515">
        <v>5.6164286320186196</v>
      </c>
      <c r="AL4515">
        <v>88.686509849570101</v>
      </c>
      <c r="AM4515">
        <v>80.033160746383501</v>
      </c>
      <c r="AN4515">
        <v>1.0000000051759801</v>
      </c>
    </row>
    <row r="4516" spans="1:40" x14ac:dyDescent="0.25">
      <c r="A4516" t="str">
        <f>"20190312154344979"</f>
        <v>20190312154344979</v>
      </c>
      <c r="B4516" t="str">
        <f>"1552376624971773"</f>
        <v>1552376624971773</v>
      </c>
      <c r="C4516" t="s">
        <v>40</v>
      </c>
      <c r="D4516">
        <v>5.022716</v>
      </c>
      <c r="E4516">
        <v>0.6606088</v>
      </c>
      <c r="F4516" t="s">
        <v>69</v>
      </c>
      <c r="G4516">
        <v>-205.858</v>
      </c>
      <c r="H4516" s="1">
        <v>-8.9281390000000001E-6</v>
      </c>
      <c r="I4516">
        <v>146.14359999999999</v>
      </c>
      <c r="J4516">
        <v>-200.1551</v>
      </c>
      <c r="K4516">
        <v>1.1028709999999999</v>
      </c>
      <c r="L4516">
        <v>147.18430000000001</v>
      </c>
      <c r="M4516">
        <v>-0.71899089999999999</v>
      </c>
      <c r="N4516">
        <v>0</v>
      </c>
      <c r="O4516">
        <v>-0.69487080000000001</v>
      </c>
      <c r="P4516">
        <v>-0.82907240000000004</v>
      </c>
      <c r="Q4516">
        <v>1.177782E-2</v>
      </c>
      <c r="R4516">
        <v>-0.55901719999999999</v>
      </c>
      <c r="S4516">
        <v>-3.2062379999999999</v>
      </c>
      <c r="T4516">
        <v>-0.60147349999999999</v>
      </c>
      <c r="U4516">
        <v>-0.65306090000000006</v>
      </c>
      <c r="V4516">
        <v>0.1746328</v>
      </c>
      <c r="W4516">
        <v>2.2734420000000002E-2</v>
      </c>
      <c r="X4516">
        <v>0.98437110000000005</v>
      </c>
      <c r="Y4516">
        <v>0.51966029999999996</v>
      </c>
      <c r="Z4516">
        <v>0.16320209999999999</v>
      </c>
      <c r="AA4516">
        <v>0.83864069999999902</v>
      </c>
      <c r="AB4516">
        <v>24</v>
      </c>
      <c r="AC4516">
        <v>-5.7028999999999996</v>
      </c>
      <c r="AD4516">
        <v>-1.102879928139</v>
      </c>
      <c r="AE4516">
        <v>-1.04070000000001</v>
      </c>
      <c r="AF4516">
        <v>3.10256253677704</v>
      </c>
      <c r="AG4516">
        <v>-1.102879928139</v>
      </c>
      <c r="AH4516">
        <v>4.6554826265759504</v>
      </c>
      <c r="AI4516">
        <v>101.15191690411299</v>
      </c>
      <c r="AJ4516">
        <v>56.3192423627018</v>
      </c>
      <c r="AK4516">
        <v>5.7022589310601202</v>
      </c>
      <c r="AL4516">
        <v>88.6973014056056</v>
      </c>
      <c r="AM4516">
        <v>79.940082467557502</v>
      </c>
      <c r="AN4516">
        <v>0.99999996560189197</v>
      </c>
    </row>
    <row r="4517" spans="1:40" x14ac:dyDescent="0.25">
      <c r="A4517" t="str">
        <f>"20190312154345001"</f>
        <v>20190312154345001</v>
      </c>
      <c r="B4517" t="str">
        <f>"1552376624992270"</f>
        <v>1552376624992270</v>
      </c>
      <c r="C4517" t="s">
        <v>40</v>
      </c>
      <c r="D4517">
        <v>5.0070290000000002</v>
      </c>
      <c r="E4517">
        <v>0.66041249999999996</v>
      </c>
      <c r="F4517" t="s">
        <v>69</v>
      </c>
      <c r="G4517">
        <v>-206.03280000000001</v>
      </c>
      <c r="H4517" s="1">
        <v>-8.8226489999999999E-6</v>
      </c>
      <c r="I4517">
        <v>146.0378</v>
      </c>
      <c r="J4517">
        <v>-200.334</v>
      </c>
      <c r="K4517">
        <v>1.102843</v>
      </c>
      <c r="L4517">
        <v>147.02869999999999</v>
      </c>
      <c r="M4517">
        <v>-0.72670939999999995</v>
      </c>
      <c r="N4517">
        <v>0</v>
      </c>
      <c r="O4517">
        <v>-0.68679480000000004</v>
      </c>
      <c r="P4517">
        <v>-0.8358276</v>
      </c>
      <c r="Q4517">
        <v>1.1700260000000001E-2</v>
      </c>
      <c r="R4517">
        <v>-0.54886759999999901</v>
      </c>
      <c r="S4517">
        <v>-3.20546</v>
      </c>
      <c r="T4517">
        <v>-0.6014581</v>
      </c>
      <c r="U4517">
        <v>-0.62525940000000002</v>
      </c>
      <c r="V4517">
        <v>0.17563799999999999</v>
      </c>
      <c r="W4517">
        <v>2.2632880000000001E-2</v>
      </c>
      <c r="X4517">
        <v>0.98419460000000003</v>
      </c>
      <c r="Y4517">
        <v>0.51722250000000003</v>
      </c>
      <c r="Z4517">
        <v>0.1622342</v>
      </c>
      <c r="AA4517">
        <v>0.84033380000000002</v>
      </c>
      <c r="AB4517">
        <v>24</v>
      </c>
      <c r="AC4517">
        <v>-5.6988000000000003</v>
      </c>
      <c r="AD4517">
        <v>-1.1028518226490001</v>
      </c>
      <c r="AE4517">
        <v>-0.99089999999998202</v>
      </c>
      <c r="AF4517">
        <v>3.0820981286867801</v>
      </c>
      <c r="AG4517">
        <v>-1.1028518226490001</v>
      </c>
      <c r="AH4517">
        <v>4.6532575363913198</v>
      </c>
      <c r="AI4517">
        <v>101.177307404611</v>
      </c>
      <c r="AJ4517">
        <v>56.481388756432501</v>
      </c>
      <c r="AK4517">
        <v>5.6893248033099102</v>
      </c>
      <c r="AL4517">
        <v>88.703120738509398</v>
      </c>
      <c r="AM4517">
        <v>79.881592757336094</v>
      </c>
      <c r="AN4517">
        <v>0.999999982485127</v>
      </c>
    </row>
    <row r="4518" spans="1:40" x14ac:dyDescent="0.25">
      <c r="A4518" t="str">
        <f>"20190312154345022"</f>
        <v>20190312154345022</v>
      </c>
      <c r="B4518" t="str">
        <f>"1552376625011790"</f>
        <v>1552376625011790</v>
      </c>
      <c r="C4518" t="s">
        <v>40</v>
      </c>
      <c r="D4518">
        <v>5.1670099999999897</v>
      </c>
      <c r="E4518">
        <v>0.68470569999999997</v>
      </c>
      <c r="F4518" t="s">
        <v>69</v>
      </c>
      <c r="G4518">
        <v>-206.28710000000001</v>
      </c>
      <c r="H4518" s="1">
        <v>-8.6842400000000001E-6</v>
      </c>
      <c r="I4518">
        <v>145.94059999999999</v>
      </c>
      <c r="J4518">
        <v>-200.51929999999999</v>
      </c>
      <c r="K4518">
        <v>1.102814</v>
      </c>
      <c r="L4518">
        <v>146.87139999999999</v>
      </c>
      <c r="M4518">
        <v>-0.73457469999999903</v>
      </c>
      <c r="N4518">
        <v>0</v>
      </c>
      <c r="O4518">
        <v>-0.67837519999999996</v>
      </c>
      <c r="P4518">
        <v>-0.84240559999999998</v>
      </c>
      <c r="Q4518">
        <v>1.123066E-2</v>
      </c>
      <c r="R4518">
        <v>-0.53872699999999996</v>
      </c>
      <c r="S4518">
        <v>-3.2120820000000001</v>
      </c>
      <c r="T4518">
        <v>-0.59505839999999999</v>
      </c>
      <c r="U4518">
        <v>-0.58709719999999999</v>
      </c>
      <c r="V4518">
        <v>0.17618829999999999</v>
      </c>
      <c r="W4518">
        <v>2.215044E-2</v>
      </c>
      <c r="X4518">
        <v>0.98410730000000002</v>
      </c>
      <c r="Y4518">
        <v>0.51787640000000001</v>
      </c>
      <c r="Z4518">
        <v>0.15951770000000001</v>
      </c>
      <c r="AA4518">
        <v>0.84045119999999895</v>
      </c>
      <c r="AB4518">
        <v>24</v>
      </c>
      <c r="AC4518">
        <v>-5.7678000000000198</v>
      </c>
      <c r="AD4518">
        <v>-1.10282268424</v>
      </c>
      <c r="AE4518">
        <v>-0.93080000000000496</v>
      </c>
      <c r="AF4518">
        <v>3.1182201254940298</v>
      </c>
      <c r="AG4518">
        <v>-1.10282268424</v>
      </c>
      <c r="AH4518">
        <v>4.7013046013016604</v>
      </c>
      <c r="AI4518">
        <v>101.061081728484</v>
      </c>
      <c r="AJ4518">
        <v>56.4449970000909</v>
      </c>
      <c r="AK4518">
        <v>5.7481979418014602</v>
      </c>
      <c r="AL4518">
        <v>88.730769556510197</v>
      </c>
      <c r="AM4518">
        <v>79.849666695361606</v>
      </c>
      <c r="AN4518">
        <v>1.0000000684811801</v>
      </c>
    </row>
    <row r="4519" spans="1:40" x14ac:dyDescent="0.25">
      <c r="A4519" t="str">
        <f>"20190312154345044"</f>
        <v>20190312154345044</v>
      </c>
      <c r="B4519" t="str">
        <f>"1552376625042046"</f>
        <v>1552376625042046</v>
      </c>
      <c r="C4519" t="s">
        <v>40</v>
      </c>
      <c r="D4519">
        <v>5.222696</v>
      </c>
      <c r="E4519">
        <v>0.69541229999999998</v>
      </c>
      <c r="F4519" t="s">
        <v>69</v>
      </c>
      <c r="G4519">
        <v>-206.24189999999999</v>
      </c>
      <c r="H4519" s="1">
        <v>-8.7748939999999999E-6</v>
      </c>
      <c r="I4519">
        <v>146.208</v>
      </c>
      <c r="J4519">
        <v>-200.70679999999999</v>
      </c>
      <c r="K4519">
        <v>1.102787</v>
      </c>
      <c r="L4519">
        <v>146.7159</v>
      </c>
      <c r="M4519">
        <v>-0.74239869999999997</v>
      </c>
      <c r="N4519">
        <v>0</v>
      </c>
      <c r="O4519">
        <v>-0.66980360000000005</v>
      </c>
      <c r="P4519">
        <v>-0.84877039999999904</v>
      </c>
      <c r="Q4519">
        <v>1.1146649999999999E-2</v>
      </c>
      <c r="R4519">
        <v>-0.52864409999999995</v>
      </c>
      <c r="S4519">
        <v>-3.3233799999999998</v>
      </c>
      <c r="T4519">
        <v>-0.64046879999999995</v>
      </c>
      <c r="U4519">
        <v>-0.38523859999999999</v>
      </c>
      <c r="V4519">
        <v>0.17650099999999999</v>
      </c>
      <c r="W4519">
        <v>2.2060819999999998E-2</v>
      </c>
      <c r="X4519">
        <v>0.98405319999999996</v>
      </c>
      <c r="Y4519">
        <v>0.55981359999999902</v>
      </c>
      <c r="Z4519">
        <v>0.1701204</v>
      </c>
      <c r="AA4519">
        <v>0.8109672</v>
      </c>
      <c r="AB4519">
        <v>24</v>
      </c>
      <c r="AC4519">
        <v>-5.5350999999999999</v>
      </c>
      <c r="AD4519">
        <v>-1.102795774894</v>
      </c>
      <c r="AE4519">
        <v>-0.50790000000000601</v>
      </c>
      <c r="AF4519">
        <v>3.2045667010241599</v>
      </c>
      <c r="AG4519">
        <v>-1.102795774894</v>
      </c>
      <c r="AH4519">
        <v>4.2813740901045403</v>
      </c>
      <c r="AI4519">
        <v>101.651820233642</v>
      </c>
      <c r="AJ4519">
        <v>53.185504491310503</v>
      </c>
      <c r="AK4519">
        <v>5.4603635741455401</v>
      </c>
      <c r="AL4519">
        <v>88.7359055617801</v>
      </c>
      <c r="AM4519">
        <v>79.831480027429507</v>
      </c>
      <c r="AN4519">
        <v>0.99999999160515596</v>
      </c>
    </row>
    <row r="4520" spans="1:40" x14ac:dyDescent="0.25">
      <c r="A4520" t="str">
        <f>"20190312154345067"</f>
        <v>20190312154345067</v>
      </c>
      <c r="B4520" t="str">
        <f>"1552376625061565"</f>
        <v>1552376625061565</v>
      </c>
      <c r="C4520" t="s">
        <v>40</v>
      </c>
      <c r="D4520">
        <v>5.2021309999999996</v>
      </c>
      <c r="E4520">
        <v>0.69659799999999905</v>
      </c>
      <c r="F4520" t="s">
        <v>69</v>
      </c>
      <c r="G4520">
        <v>-205.50569999999999</v>
      </c>
      <c r="H4520" s="1">
        <v>-9.1323120000000001E-6</v>
      </c>
      <c r="I4520">
        <v>146.3252</v>
      </c>
      <c r="J4520">
        <v>-200.89349999999999</v>
      </c>
      <c r="K4520">
        <v>1.1027720000000001</v>
      </c>
      <c r="L4520">
        <v>146.56469999999999</v>
      </c>
      <c r="M4520">
        <v>-0.75005100000000002</v>
      </c>
      <c r="N4520">
        <v>0</v>
      </c>
      <c r="O4520">
        <v>-0.66122289999999995</v>
      </c>
      <c r="P4520">
        <v>-0.85456799999999999</v>
      </c>
      <c r="Q4520">
        <v>1.1687100000000001E-2</v>
      </c>
      <c r="R4520">
        <v>-0.51920790000000006</v>
      </c>
      <c r="S4520">
        <v>-3.3736269999999902</v>
      </c>
      <c r="T4520">
        <v>-0.77527579999999996</v>
      </c>
      <c r="U4520">
        <v>-0.27462769999999997</v>
      </c>
      <c r="V4520">
        <v>0.17609520000000001</v>
      </c>
      <c r="W4520">
        <v>2.261142E-2</v>
      </c>
      <c r="X4520">
        <v>0.98411340000000003</v>
      </c>
      <c r="Y4520">
        <v>0.56926469999999996</v>
      </c>
      <c r="Z4520">
        <v>0.20247789999999999</v>
      </c>
      <c r="AA4520">
        <v>0.79683149999999903</v>
      </c>
      <c r="AB4520">
        <v>24</v>
      </c>
      <c r="AC4520">
        <v>-4.6121999999999996</v>
      </c>
      <c r="AD4520">
        <v>-1.10278113231199</v>
      </c>
      <c r="AE4520">
        <v>-0.239499999999992</v>
      </c>
      <c r="AF4520">
        <v>2.7155261803272102</v>
      </c>
      <c r="AG4520">
        <v>-1.10278113231199</v>
      </c>
      <c r="AH4520">
        <v>3.4229621188744601</v>
      </c>
      <c r="AI4520">
        <v>104.165229927542</v>
      </c>
      <c r="AJ4520">
        <v>51.574104187541899</v>
      </c>
      <c r="AK4520">
        <v>4.5063153827795297</v>
      </c>
      <c r="AL4520">
        <v>88.704350630335497</v>
      </c>
      <c r="AM4520">
        <v>79.854980397210497</v>
      </c>
      <c r="AN4520">
        <v>0.99999998991850803</v>
      </c>
    </row>
    <row r="4521" spans="1:40" x14ac:dyDescent="0.25">
      <c r="A4521" t="str">
        <f>"20190312154345089"</f>
        <v>20190312154345089</v>
      </c>
      <c r="B4521" t="str">
        <f>"1552376625082062"</f>
        <v>1552376625082062</v>
      </c>
      <c r="C4521" t="s">
        <v>40</v>
      </c>
      <c r="D4521">
        <v>5.1803919999999897</v>
      </c>
      <c r="E4521">
        <v>0.69672290000000003</v>
      </c>
      <c r="F4521" t="s">
        <v>69</v>
      </c>
      <c r="G4521">
        <v>-205.64060000000001</v>
      </c>
      <c r="H4521" s="1">
        <v>-9.0503280000000003E-6</v>
      </c>
      <c r="I4521">
        <v>146.2413</v>
      </c>
      <c r="J4521">
        <v>-201.0847</v>
      </c>
      <c r="K4521">
        <v>1.1027579999999999</v>
      </c>
      <c r="L4521">
        <v>146.41380000000001</v>
      </c>
      <c r="M4521">
        <v>-0.75774079999999999</v>
      </c>
      <c r="N4521">
        <v>0</v>
      </c>
      <c r="O4521">
        <v>-0.65239639999999999</v>
      </c>
      <c r="P4521">
        <v>-0.86020289999999999</v>
      </c>
      <c r="Q4521">
        <v>1.192736E-2</v>
      </c>
      <c r="R4521">
        <v>-0.50981270000000001</v>
      </c>
      <c r="S4521">
        <v>-3.3813170000000001</v>
      </c>
      <c r="T4521">
        <v>-0.78550089999999995</v>
      </c>
      <c r="U4521">
        <v>-0.2303772</v>
      </c>
      <c r="V4521">
        <v>0.1753605</v>
      </c>
      <c r="W4521">
        <v>2.2869799999999999E-2</v>
      </c>
      <c r="X4521">
        <v>0.98423859999999996</v>
      </c>
      <c r="Y4521">
        <v>0.56980050000000004</v>
      </c>
      <c r="Z4521">
        <v>0.20345769999999999</v>
      </c>
      <c r="AA4521">
        <v>0.79619869999999904</v>
      </c>
      <c r="AB4521">
        <v>24</v>
      </c>
      <c r="AC4521">
        <v>-4.5559000000000003</v>
      </c>
      <c r="AD4521">
        <v>-1.1027670503279901</v>
      </c>
      <c r="AE4521">
        <v>-0.172500000000013</v>
      </c>
      <c r="AF4521">
        <v>2.6847641836469101</v>
      </c>
      <c r="AG4521">
        <v>-1.1027670503279901</v>
      </c>
      <c r="AH4521">
        <v>3.3680505196824901</v>
      </c>
      <c r="AI4521">
        <v>104.360975021854</v>
      </c>
      <c r="AJ4521">
        <v>51.440703090385497</v>
      </c>
      <c r="AK4521">
        <v>4.4461014599552096</v>
      </c>
      <c r="AL4521">
        <v>88.689542700649397</v>
      </c>
      <c r="AM4521">
        <v>79.897692157371296</v>
      </c>
      <c r="AN4521">
        <v>0.99999997722112399</v>
      </c>
    </row>
    <row r="4522" spans="1:40" x14ac:dyDescent="0.25">
      <c r="A4522" t="str">
        <f>"20190312154345112"</f>
        <v>20190312154345112</v>
      </c>
      <c r="B4522" t="str">
        <f>"1552376625101581"</f>
        <v>1552376625101581</v>
      </c>
      <c r="C4522" t="s">
        <v>40</v>
      </c>
      <c r="D4522">
        <v>5.2024920000000003</v>
      </c>
      <c r="E4522">
        <v>0.69609009999999905</v>
      </c>
      <c r="F4522" t="s">
        <v>69</v>
      </c>
      <c r="G4522">
        <v>-205.8869</v>
      </c>
      <c r="H4522" s="1">
        <v>-8.9145629999999998E-6</v>
      </c>
      <c r="I4522">
        <v>146.14089999999999</v>
      </c>
      <c r="J4522">
        <v>-201.28030000000001</v>
      </c>
      <c r="K4522">
        <v>1.1027530000000001</v>
      </c>
      <c r="L4522">
        <v>146.26329999999999</v>
      </c>
      <c r="M4522">
        <v>-0.76545059999999998</v>
      </c>
      <c r="N4522">
        <v>0</v>
      </c>
      <c r="O4522">
        <v>-0.64333309999999999</v>
      </c>
      <c r="P4522">
        <v>-0.86580440000000003</v>
      </c>
      <c r="Q4522">
        <v>1.1727400000000001E-2</v>
      </c>
      <c r="R4522">
        <v>-0.50024550000000001</v>
      </c>
      <c r="S4522">
        <v>-3.384293</v>
      </c>
      <c r="T4522">
        <v>-0.77715040000000002</v>
      </c>
      <c r="U4522">
        <v>-0.1923676</v>
      </c>
      <c r="V4522">
        <v>0.174557399999999</v>
      </c>
      <c r="W4522">
        <v>2.2691510000000002E-2</v>
      </c>
      <c r="X4522">
        <v>0.98438550000000002</v>
      </c>
      <c r="Y4522">
        <v>0.56995989999999996</v>
      </c>
      <c r="Z4522">
        <v>0.1998656</v>
      </c>
      <c r="AA4522">
        <v>0.79699399999999998</v>
      </c>
      <c r="AB4522">
        <v>24</v>
      </c>
      <c r="AC4522">
        <v>-4.6065999999999798</v>
      </c>
      <c r="AD4522">
        <v>-1.1027619145630001</v>
      </c>
      <c r="AE4522">
        <v>-0.122399999999998</v>
      </c>
      <c r="AF4522">
        <v>2.7147243729643602</v>
      </c>
      <c r="AG4522">
        <v>-1.1027619145630001</v>
      </c>
      <c r="AH4522">
        <v>3.4099686077434299</v>
      </c>
      <c r="AI4522">
        <v>104.198272406252</v>
      </c>
      <c r="AJ4522">
        <v>51.4762059557819</v>
      </c>
      <c r="AK4522">
        <v>4.4959646536836804</v>
      </c>
      <c r="AL4522">
        <v>88.699760648764197</v>
      </c>
      <c r="AM4522">
        <v>79.944481402764893</v>
      </c>
      <c r="AN4522">
        <v>1.0000000015655399</v>
      </c>
    </row>
    <row r="4523" spans="1:40" x14ac:dyDescent="0.25">
      <c r="A4523" t="str">
        <f>"20190312154345134"</f>
        <v>20190312154345134</v>
      </c>
      <c r="B4523" t="str">
        <f>"1552376625131838"</f>
        <v>1552376625131838</v>
      </c>
      <c r="C4523" t="s">
        <v>40</v>
      </c>
      <c r="D4523">
        <v>4.9952350000000001</v>
      </c>
      <c r="E4523">
        <v>0.69498819999999994</v>
      </c>
      <c r="F4523" t="s">
        <v>69</v>
      </c>
      <c r="G4523">
        <v>-206.1044</v>
      </c>
      <c r="H4523" s="1">
        <v>-8.7906190000000005E-6</v>
      </c>
      <c r="I4523">
        <v>146.0367</v>
      </c>
      <c r="J4523">
        <v>-201.47819999999999</v>
      </c>
      <c r="K4523">
        <v>1.102752</v>
      </c>
      <c r="L4523">
        <v>146.1147</v>
      </c>
      <c r="M4523">
        <v>-0.77308739999999998</v>
      </c>
      <c r="N4523">
        <v>0</v>
      </c>
      <c r="O4523">
        <v>-0.63413549999999996</v>
      </c>
      <c r="P4523">
        <v>-0.87173089999999998</v>
      </c>
      <c r="Q4523">
        <v>1.2233020000000001E-2</v>
      </c>
      <c r="R4523">
        <v>-0.48983270000000001</v>
      </c>
      <c r="S4523">
        <v>-3.3836059999999999</v>
      </c>
      <c r="T4523">
        <v>-0.77347529999999998</v>
      </c>
      <c r="U4523">
        <v>-0.1589661</v>
      </c>
      <c r="V4523">
        <v>0.17459149999999901</v>
      </c>
      <c r="W4523">
        <v>2.3202549999999999E-2</v>
      </c>
      <c r="X4523">
        <v>0.98436749999999995</v>
      </c>
      <c r="Y4523">
        <v>0.56859559999999998</v>
      </c>
      <c r="Z4523">
        <v>0.19741900000000001</v>
      </c>
      <c r="AA4523">
        <v>0.79857670000000003</v>
      </c>
      <c r="AB4523">
        <v>24</v>
      </c>
      <c r="AC4523">
        <v>-4.6262000000000096</v>
      </c>
      <c r="AD4523">
        <v>-1.102760790619</v>
      </c>
      <c r="AE4523">
        <v>-7.80000000000029E-2</v>
      </c>
      <c r="AF4523">
        <v>2.7191718488637</v>
      </c>
      <c r="AG4523">
        <v>-1.102760790619</v>
      </c>
      <c r="AH4523">
        <v>3.4313757143639401</v>
      </c>
      <c r="AI4523">
        <v>104.137471206645</v>
      </c>
      <c r="AJ4523">
        <v>51.605159068619699</v>
      </c>
      <c r="AK4523">
        <v>4.5148993563651096</v>
      </c>
      <c r="AL4523">
        <v>88.670472449460405</v>
      </c>
      <c r="AM4523">
        <v>79.942376990509104</v>
      </c>
      <c r="AN4523">
        <v>0.99999996262750002</v>
      </c>
    </row>
    <row r="4524" spans="1:40" x14ac:dyDescent="0.25">
      <c r="A4524" t="str">
        <f>"20190312154345157"</f>
        <v>20190312154345157</v>
      </c>
      <c r="B4524" t="str">
        <f>"1552376625152334"</f>
        <v>1552376625152334</v>
      </c>
      <c r="C4524" t="s">
        <v>40</v>
      </c>
      <c r="D4524">
        <v>4.9792290000000001</v>
      </c>
      <c r="E4524">
        <v>0.69231219999999905</v>
      </c>
      <c r="F4524" t="s">
        <v>69</v>
      </c>
      <c r="G4524">
        <v>-206.30160000000001</v>
      </c>
      <c r="H4524" s="1">
        <v>-8.6760929999999905E-6</v>
      </c>
      <c r="I4524">
        <v>145.934</v>
      </c>
      <c r="J4524">
        <v>-201.66929999999999</v>
      </c>
      <c r="K4524">
        <v>1.1027579999999999</v>
      </c>
      <c r="L4524">
        <v>145.97470000000001</v>
      </c>
      <c r="M4524">
        <v>-0.78030290000000002</v>
      </c>
      <c r="N4524">
        <v>0</v>
      </c>
      <c r="O4524">
        <v>-0.6252354</v>
      </c>
      <c r="P4524">
        <v>-0.87749179999999904</v>
      </c>
      <c r="Q4524">
        <v>1.2185680000000001E-2</v>
      </c>
      <c r="R4524">
        <v>-0.4794368</v>
      </c>
      <c r="S4524">
        <v>-3.381119</v>
      </c>
      <c r="T4524">
        <v>-0.77302340000000003</v>
      </c>
      <c r="U4524">
        <v>-0.1266632</v>
      </c>
      <c r="V4524">
        <v>0.17501120000000001</v>
      </c>
      <c r="W4524">
        <v>2.3154399999999999E-2</v>
      </c>
      <c r="X4524">
        <v>0.98429409999999895</v>
      </c>
      <c r="Y4524">
        <v>0.56710890000000003</v>
      </c>
      <c r="Z4524">
        <v>0.195879</v>
      </c>
      <c r="AA4524">
        <v>0.80001180000000005</v>
      </c>
      <c r="AB4524">
        <v>24</v>
      </c>
      <c r="AC4524">
        <v>-4.6323000000000096</v>
      </c>
      <c r="AD4524">
        <v>-1.1027666760929999</v>
      </c>
      <c r="AE4524">
        <v>-4.0700000000015203E-2</v>
      </c>
      <c r="AF4524">
        <v>2.7111796699692401</v>
      </c>
      <c r="AG4524">
        <v>-1.1027666760929999</v>
      </c>
      <c r="AH4524">
        <v>3.4451898293426901</v>
      </c>
      <c r="AI4524">
        <v>104.119315530656</v>
      </c>
      <c r="AJ4524">
        <v>51.7991515730385</v>
      </c>
      <c r="AK4524">
        <v>4.5206108552895898</v>
      </c>
      <c r="AL4524">
        <v>88.673231980329604</v>
      </c>
      <c r="AM4524">
        <v>79.917958499588707</v>
      </c>
      <c r="AN4524">
        <v>0.99999996082980402</v>
      </c>
    </row>
    <row r="4525" spans="1:40" x14ac:dyDescent="0.25">
      <c r="A4525" t="str">
        <f>"20190312154345180"</f>
        <v>20190312154345180</v>
      </c>
      <c r="B4525" t="str">
        <f>"1552376625171854"</f>
        <v>1552376625171854</v>
      </c>
      <c r="C4525" t="s">
        <v>40</v>
      </c>
      <c r="D4525">
        <v>4.997001</v>
      </c>
      <c r="E4525">
        <v>0.69015439999999995</v>
      </c>
      <c r="F4525" t="s">
        <v>69</v>
      </c>
      <c r="G4525">
        <v>-208.9597</v>
      </c>
      <c r="H4525" s="1">
        <v>-7.450238E-6</v>
      </c>
      <c r="I4525">
        <v>145.75569999999999</v>
      </c>
      <c r="J4525">
        <v>-201.87459999999999</v>
      </c>
      <c r="K4525">
        <v>1.1027720000000001</v>
      </c>
      <c r="L4525">
        <v>145.828</v>
      </c>
      <c r="M4525">
        <v>-0.7878851</v>
      </c>
      <c r="N4525">
        <v>0</v>
      </c>
      <c r="O4525">
        <v>-0.61565329999999996</v>
      </c>
      <c r="P4525">
        <v>-0.88388359999999899</v>
      </c>
      <c r="Q4525">
        <v>1.181022E-2</v>
      </c>
      <c r="R4525">
        <v>-0.46755839999999999</v>
      </c>
      <c r="S4525">
        <v>-3.3705750000000001</v>
      </c>
      <c r="T4525">
        <v>-0.5098395</v>
      </c>
      <c r="U4525">
        <v>-0.1012726</v>
      </c>
      <c r="V4525">
        <v>0.17625389999999999</v>
      </c>
      <c r="W4525">
        <v>2.2761590000000002E-2</v>
      </c>
      <c r="X4525">
        <v>0.98408150000000005</v>
      </c>
      <c r="Y4525">
        <v>0.57909129999999998</v>
      </c>
      <c r="Z4525">
        <v>0.13040160000000001</v>
      </c>
      <c r="AA4525">
        <v>0.80476619999999999</v>
      </c>
      <c r="AB4525">
        <v>24</v>
      </c>
      <c r="AC4525">
        <v>-7.0851000000000104</v>
      </c>
      <c r="AD4525">
        <v>-1.1027794502379999</v>
      </c>
      <c r="AE4525">
        <v>-7.2300000000012604E-2</v>
      </c>
      <c r="AF4525">
        <v>4.2036218771606197</v>
      </c>
      <c r="AG4525">
        <v>-1.1027794502379999</v>
      </c>
      <c r="AH4525">
        <v>5.4942509810700901</v>
      </c>
      <c r="AI4525">
        <v>99.057299241379496</v>
      </c>
      <c r="AJ4525">
        <v>52.580591557868701</v>
      </c>
      <c r="AK4525">
        <v>7.0052375580704096</v>
      </c>
      <c r="AL4525">
        <v>88.695744272817294</v>
      </c>
      <c r="AM4525">
        <v>79.845705381720194</v>
      </c>
      <c r="AN4525">
        <v>0.99999996294339299</v>
      </c>
    </row>
    <row r="4526" spans="1:40" x14ac:dyDescent="0.25">
      <c r="A4526" t="str">
        <f>"20190312154345202"</f>
        <v>20190312154345202</v>
      </c>
      <c r="B4526" t="str">
        <f>"1552376625192352"</f>
        <v>1552376625192352</v>
      </c>
      <c r="C4526" t="s">
        <v>40</v>
      </c>
      <c r="D4526">
        <v>5.0311190000000003</v>
      </c>
      <c r="E4526">
        <v>0.68871400000000005</v>
      </c>
      <c r="F4526" t="s">
        <v>69</v>
      </c>
      <c r="G4526">
        <v>-209.18109999999999</v>
      </c>
      <c r="H4526" s="1">
        <v>-7.3306859999999898E-6</v>
      </c>
      <c r="I4526">
        <v>145.6746</v>
      </c>
      <c r="J4526">
        <v>-202.07329999999999</v>
      </c>
      <c r="K4526">
        <v>1.1027929999999999</v>
      </c>
      <c r="L4526">
        <v>145.68950000000001</v>
      </c>
      <c r="M4526">
        <v>-0.79505400000000004</v>
      </c>
      <c r="N4526">
        <v>0</v>
      </c>
      <c r="O4526">
        <v>-0.60636679999999998</v>
      </c>
      <c r="P4526">
        <v>-0.88975079999999995</v>
      </c>
      <c r="Q4526">
        <v>1.1354889999999999E-2</v>
      </c>
      <c r="R4526">
        <v>-0.45630569999999998</v>
      </c>
      <c r="S4526">
        <v>-3.3635559999999902</v>
      </c>
      <c r="T4526">
        <v>-0.50766869999999997</v>
      </c>
      <c r="U4526">
        <v>-7.0587159999999996E-2</v>
      </c>
      <c r="V4526">
        <v>0.1771885</v>
      </c>
      <c r="W4526">
        <v>2.2295840000000001E-2</v>
      </c>
      <c r="X4526">
        <v>0.98392440000000003</v>
      </c>
      <c r="Y4526">
        <v>0.57704449999999996</v>
      </c>
      <c r="Z4526">
        <v>0.1289419</v>
      </c>
      <c r="AA4526">
        <v>0.80646980000000001</v>
      </c>
      <c r="AB4526">
        <v>24</v>
      </c>
      <c r="AC4526">
        <v>-7.1077999999999903</v>
      </c>
      <c r="AD4526">
        <v>-1.1028003306859999</v>
      </c>
      <c r="AE4526">
        <v>-1.4900000000011401E-2</v>
      </c>
      <c r="AF4526">
        <v>4.1974914780046397</v>
      </c>
      <c r="AG4526">
        <v>-1.1028003306859999</v>
      </c>
      <c r="AH4526">
        <v>5.52764535260442</v>
      </c>
      <c r="AI4526">
        <v>99.028150677812107</v>
      </c>
      <c r="AJ4526">
        <v>52.788293949373902</v>
      </c>
      <c r="AK4526">
        <v>7.0277995433458402</v>
      </c>
      <c r="AL4526">
        <v>88.722436665317602</v>
      </c>
      <c r="AM4526">
        <v>79.791395094015101</v>
      </c>
      <c r="AN4526">
        <v>1.0000000469644501</v>
      </c>
    </row>
    <row r="4527" spans="1:40" x14ac:dyDescent="0.25">
      <c r="A4527" t="str">
        <f>"20190312154345224"</f>
        <v>20190312154345224</v>
      </c>
      <c r="B4527" t="str">
        <f>"1552376625221630"</f>
        <v>1552376625221630</v>
      </c>
      <c r="C4527" t="s">
        <v>40</v>
      </c>
      <c r="D4527">
        <v>4.99648</v>
      </c>
      <c r="E4527">
        <v>0.68609949999999997</v>
      </c>
      <c r="F4527" t="s">
        <v>69</v>
      </c>
      <c r="G4527">
        <v>-209.1317</v>
      </c>
      <c r="H4527" s="1">
        <v>-7.3353680000000001E-6</v>
      </c>
      <c r="I4527">
        <v>145.60939999999999</v>
      </c>
      <c r="J4527">
        <v>-202.27440000000001</v>
      </c>
      <c r="K4527">
        <v>1.102811</v>
      </c>
      <c r="L4527">
        <v>145.55279999999999</v>
      </c>
      <c r="M4527">
        <v>-0.80214019999999897</v>
      </c>
      <c r="N4527">
        <v>0</v>
      </c>
      <c r="O4527">
        <v>-0.59696139999999998</v>
      </c>
      <c r="P4527">
        <v>-0.89502380000000004</v>
      </c>
      <c r="Q4527">
        <v>1.101946E-2</v>
      </c>
      <c r="R4527">
        <v>-0.44588280000000002</v>
      </c>
      <c r="S4527">
        <v>-3.3588710000000002</v>
      </c>
      <c r="T4527">
        <v>-0.52479370000000003</v>
      </c>
      <c r="U4527">
        <v>-3.8116459999999998E-2</v>
      </c>
      <c r="V4527">
        <v>0.17708779999999999</v>
      </c>
      <c r="W4527">
        <v>2.1972140000000001E-2</v>
      </c>
      <c r="X4527">
        <v>0.98394979999999999</v>
      </c>
      <c r="Y4527">
        <v>0.57449380000000005</v>
      </c>
      <c r="Z4527">
        <v>0.13213069999999999</v>
      </c>
      <c r="AA4527">
        <v>0.80777369999999904</v>
      </c>
      <c r="AB4527">
        <v>24</v>
      </c>
      <c r="AC4527">
        <v>-6.85729999999998</v>
      </c>
      <c r="AD4527">
        <v>-1.1028183353679999</v>
      </c>
      <c r="AE4527">
        <v>5.6600000000003002E-2</v>
      </c>
      <c r="AF4527">
        <v>4.0350193818437399</v>
      </c>
      <c r="AG4527">
        <v>-1.1028183353679999</v>
      </c>
      <c r="AH4527">
        <v>5.3294633729300598</v>
      </c>
      <c r="AI4527">
        <v>99.368140927010899</v>
      </c>
      <c r="AJ4527">
        <v>52.870071488457903</v>
      </c>
      <c r="AK4527">
        <v>6.7750106668610899</v>
      </c>
      <c r="AL4527">
        <v>88.740987839826204</v>
      </c>
      <c r="AM4527">
        <v>79.797332801190294</v>
      </c>
      <c r="AN4527">
        <v>1.0000000363825201</v>
      </c>
    </row>
    <row r="4528" spans="1:40" x14ac:dyDescent="0.25">
      <c r="A4528" t="str">
        <f>"20190312154345246"</f>
        <v>20190312154345246</v>
      </c>
      <c r="B4528" t="str">
        <f>"1552376625242125"</f>
        <v>1552376625242125</v>
      </c>
      <c r="C4528" t="s">
        <v>40</v>
      </c>
      <c r="D4528">
        <v>4.9981210000000003</v>
      </c>
      <c r="E4528">
        <v>0.68445769999999995</v>
      </c>
      <c r="F4528" t="s">
        <v>69</v>
      </c>
      <c r="G4528">
        <v>-209.221</v>
      </c>
      <c r="H4528" s="1">
        <v>-7.2716909999999997E-6</v>
      </c>
      <c r="I4528">
        <v>145.51820000000001</v>
      </c>
      <c r="J4528">
        <v>-202.46420000000001</v>
      </c>
      <c r="K4528">
        <v>1.1028260000000001</v>
      </c>
      <c r="L4528">
        <v>145.42699999999999</v>
      </c>
      <c r="M4528">
        <v>-0.80867339999999999</v>
      </c>
      <c r="N4528">
        <v>0</v>
      </c>
      <c r="O4528">
        <v>-0.58808070000000001</v>
      </c>
      <c r="P4528">
        <v>-0.899371699999999</v>
      </c>
      <c r="Q4528">
        <v>1.0797309999999999E-2</v>
      </c>
      <c r="R4528">
        <v>-0.43705129999999998</v>
      </c>
      <c r="S4528">
        <v>-3.3501280000000002</v>
      </c>
      <c r="T4528">
        <v>-0.53186009999999995</v>
      </c>
      <c r="U4528">
        <v>-1.670837E-2</v>
      </c>
      <c r="V4528">
        <v>0.17591989999999999</v>
      </c>
      <c r="W4528">
        <v>2.1782880000000001E-2</v>
      </c>
      <c r="X4528">
        <v>0.98416349999999997</v>
      </c>
      <c r="Y4528">
        <v>0.57038619999999995</v>
      </c>
      <c r="Z4528">
        <v>0.1328194</v>
      </c>
      <c r="AA4528">
        <v>0.81056680000000003</v>
      </c>
      <c r="AB4528">
        <v>24</v>
      </c>
      <c r="AC4528">
        <v>-6.7567999999999699</v>
      </c>
      <c r="AD4528">
        <v>-1.1028332716910001</v>
      </c>
      <c r="AE4528">
        <v>9.1199999999986403E-2</v>
      </c>
      <c r="AF4528">
        <v>3.9427012817415701</v>
      </c>
      <c r="AG4528">
        <v>-1.1028332716910001</v>
      </c>
      <c r="AH4528">
        <v>5.2705913159153104</v>
      </c>
      <c r="AI4528">
        <v>99.511580534755893</v>
      </c>
      <c r="AJ4528">
        <v>53.201427357211998</v>
      </c>
      <c r="AK4528">
        <v>6.6738495219473704</v>
      </c>
      <c r="AL4528">
        <v>88.751834251549894</v>
      </c>
      <c r="AM4528">
        <v>79.865375390861701</v>
      </c>
      <c r="AN4528">
        <v>1.00000004990467</v>
      </c>
    </row>
    <row r="4529" spans="1:40" x14ac:dyDescent="0.25">
      <c r="A4529" t="str">
        <f>"20190312154345268"</f>
        <v>20190312154345268</v>
      </c>
      <c r="B4529" t="str">
        <f>"1552376625261646"</f>
        <v>1552376625261646</v>
      </c>
      <c r="C4529" t="s">
        <v>40</v>
      </c>
      <c r="D4529">
        <v>5.011482</v>
      </c>
      <c r="E4529">
        <v>0.68286499999999895</v>
      </c>
      <c r="F4529" t="s">
        <v>69</v>
      </c>
      <c r="G4529">
        <v>-209.34309999999999</v>
      </c>
      <c r="H4529" s="1">
        <v>-7.1961289999999998E-6</v>
      </c>
      <c r="I4529">
        <v>145.43709999999999</v>
      </c>
      <c r="J4529">
        <v>-202.6704</v>
      </c>
      <c r="K4529">
        <v>1.1028469999999999</v>
      </c>
      <c r="L4529">
        <v>145.2937</v>
      </c>
      <c r="M4529">
        <v>-0.81560829999999995</v>
      </c>
      <c r="N4529">
        <v>0</v>
      </c>
      <c r="O4529">
        <v>-0.5784243</v>
      </c>
      <c r="P4529">
        <v>-0.90413370000000004</v>
      </c>
      <c r="Q4529">
        <v>1.057046E-2</v>
      </c>
      <c r="R4529">
        <v>-0.42711900000000003</v>
      </c>
      <c r="S4529">
        <v>-3.3444980000000002</v>
      </c>
      <c r="T4529">
        <v>-0.53619130000000004</v>
      </c>
      <c r="U4529">
        <v>4.9285889999999997E-3</v>
      </c>
      <c r="V4529">
        <v>0.1750546</v>
      </c>
      <c r="W4529">
        <v>2.158266E-2</v>
      </c>
      <c r="X4529">
        <v>0.98432209999999998</v>
      </c>
      <c r="Y4529">
        <v>0.56582440000000001</v>
      </c>
      <c r="Z4529">
        <v>0.13252910000000001</v>
      </c>
      <c r="AA4529">
        <v>0.81380509999999995</v>
      </c>
      <c r="AB4529">
        <v>24</v>
      </c>
      <c r="AC4529">
        <v>-6.6726999999999901</v>
      </c>
      <c r="AD4529">
        <v>-1.1028541961289999</v>
      </c>
      <c r="AE4529">
        <v>0.14339999999998501</v>
      </c>
      <c r="AF4529">
        <v>3.8713205014792802</v>
      </c>
      <c r="AG4529">
        <v>-1.1028541961289999</v>
      </c>
      <c r="AH4529">
        <v>5.2174624457475902</v>
      </c>
      <c r="AI4529">
        <v>99.634244945402799</v>
      </c>
      <c r="AJ4529">
        <v>53.424844423619298</v>
      </c>
      <c r="AK4529">
        <v>6.5897893878241396</v>
      </c>
      <c r="AL4529">
        <v>88.763308598860206</v>
      </c>
      <c r="AM4529">
        <v>79.915790598691601</v>
      </c>
      <c r="AN4529">
        <v>0.99999996037112104</v>
      </c>
    </row>
    <row r="4530" spans="1:40" x14ac:dyDescent="0.25">
      <c r="A4530" t="str">
        <f>"20190312154345290"</f>
        <v>20190312154345290</v>
      </c>
      <c r="B4530" t="str">
        <f>"1552376625282145"</f>
        <v>1552376625282145</v>
      </c>
      <c r="C4530" t="s">
        <v>40</v>
      </c>
      <c r="D4530">
        <v>5.0313840000000001</v>
      </c>
      <c r="E4530">
        <v>0.68137099999999995</v>
      </c>
      <c r="F4530" t="s">
        <v>69</v>
      </c>
      <c r="G4530">
        <v>-209.46960000000001</v>
      </c>
      <c r="H4530" s="1">
        <v>-7.1182659999999996E-6</v>
      </c>
      <c r="I4530">
        <v>145.3546</v>
      </c>
      <c r="J4530">
        <v>-202.87540000000001</v>
      </c>
      <c r="K4530">
        <v>1.102867</v>
      </c>
      <c r="L4530">
        <v>145.16470000000001</v>
      </c>
      <c r="M4530">
        <v>-0.82233179999999995</v>
      </c>
      <c r="N4530">
        <v>0</v>
      </c>
      <c r="O4530">
        <v>-0.56882509999999997</v>
      </c>
      <c r="P4530">
        <v>-0.90843430000000003</v>
      </c>
      <c r="Q4530">
        <v>1.0496200000000001E-2</v>
      </c>
      <c r="R4530">
        <v>-0.41789670000000001</v>
      </c>
      <c r="S4530">
        <v>-3.3385769999999901</v>
      </c>
      <c r="T4530">
        <v>-0.54153300000000004</v>
      </c>
      <c r="U4530">
        <v>2.9937740000000001E-2</v>
      </c>
      <c r="V4530">
        <v>0.17353180000000001</v>
      </c>
      <c r="W4530">
        <v>2.1547380000000001E-2</v>
      </c>
      <c r="X4530">
        <v>0.98459249999999998</v>
      </c>
      <c r="Y4530">
        <v>0.56216449999999996</v>
      </c>
      <c r="Z4530">
        <v>0.1325356</v>
      </c>
      <c r="AA4530">
        <v>0.81633650000000002</v>
      </c>
      <c r="AB4530">
        <v>24</v>
      </c>
      <c r="AC4530">
        <v>-6.5941999999999998</v>
      </c>
      <c r="AD4530">
        <v>-1.102874118266</v>
      </c>
      <c r="AE4530">
        <v>0.18989999999999399</v>
      </c>
      <c r="AF4530">
        <v>3.80127240338678</v>
      </c>
      <c r="AG4530">
        <v>-1.102874118266</v>
      </c>
      <c r="AH4530">
        <v>5.1706397172051499</v>
      </c>
      <c r="AI4530">
        <v>99.751163296393003</v>
      </c>
      <c r="AJ4530">
        <v>53.677982915274697</v>
      </c>
      <c r="AK4530">
        <v>6.5116448222112302</v>
      </c>
      <c r="AL4530">
        <v>88.765330492329994</v>
      </c>
      <c r="AM4530">
        <v>80.004426057247002</v>
      </c>
      <c r="AN4530">
        <v>0.99999998312617699</v>
      </c>
    </row>
    <row r="4531" spans="1:40" x14ac:dyDescent="0.25">
      <c r="A4531" t="str">
        <f>"20190312154345315"</f>
        <v>20190312154345315</v>
      </c>
      <c r="B4531" t="str">
        <f>"1552376625312400"</f>
        <v>1552376625312400</v>
      </c>
      <c r="C4531" t="s">
        <v>40</v>
      </c>
      <c r="D4531">
        <v>4.8936449999999896</v>
      </c>
      <c r="E4531">
        <v>0.66223290000000001</v>
      </c>
      <c r="F4531" t="s">
        <v>69</v>
      </c>
      <c r="G4531">
        <v>-209.60059999999999</v>
      </c>
      <c r="H4531" s="1">
        <v>-7.0381070000000004E-6</v>
      </c>
      <c r="I4531">
        <v>145.27119999999999</v>
      </c>
      <c r="J4531">
        <v>-203.0992</v>
      </c>
      <c r="K4531">
        <v>1.102881</v>
      </c>
      <c r="L4531">
        <v>145.02770000000001</v>
      </c>
      <c r="M4531">
        <v>-0.829489699999999</v>
      </c>
      <c r="N4531">
        <v>0</v>
      </c>
      <c r="O4531">
        <v>-0.55833529999999998</v>
      </c>
      <c r="P4531">
        <v>-0.9131939</v>
      </c>
      <c r="Q4531">
        <v>1.019076E-2</v>
      </c>
      <c r="R4531">
        <v>-0.40739819999999999</v>
      </c>
      <c r="S4531">
        <v>-3.3329770000000001</v>
      </c>
      <c r="T4531">
        <v>-0.54657339999999999</v>
      </c>
      <c r="U4531">
        <v>5.2749629999999999E-2</v>
      </c>
      <c r="V4531">
        <v>0.17237040000000001</v>
      </c>
      <c r="W4531">
        <v>2.1273259999999999E-2</v>
      </c>
      <c r="X4531">
        <v>0.98480250000000003</v>
      </c>
      <c r="Y4531">
        <v>0.55721949999999998</v>
      </c>
      <c r="Z4531">
        <v>0.13217799999999999</v>
      </c>
      <c r="AA4531">
        <v>0.81977770000000005</v>
      </c>
      <c r="AB4531">
        <v>24</v>
      </c>
      <c r="AC4531">
        <v>-6.5013999999999896</v>
      </c>
      <c r="AD4531">
        <v>-1.1028880381070001</v>
      </c>
      <c r="AE4531">
        <v>0.24349999999998301</v>
      </c>
      <c r="AF4531">
        <v>3.7252881363836998</v>
      </c>
      <c r="AG4531">
        <v>-1.1028880381070001</v>
      </c>
      <c r="AH4531">
        <v>5.1105756572061196</v>
      </c>
      <c r="AI4531">
        <v>99.892394823175295</v>
      </c>
      <c r="AJ4531">
        <v>53.910304840621599</v>
      </c>
      <c r="AK4531">
        <v>6.4196664455179002</v>
      </c>
      <c r="AL4531">
        <v>88.781040076254996</v>
      </c>
      <c r="AM4531">
        <v>80.072063084413898</v>
      </c>
      <c r="AN4531">
        <v>1.00000003519671</v>
      </c>
    </row>
    <row r="4532" spans="1:40" x14ac:dyDescent="0.25">
      <c r="A4532" t="str">
        <f>"20190312154345335"</f>
        <v>20190312154345335</v>
      </c>
      <c r="B4532" t="str">
        <f>"1552376625331918"</f>
        <v>1552376625331918</v>
      </c>
      <c r="C4532" t="s">
        <v>40</v>
      </c>
      <c r="D4532">
        <v>4.9002429999999997</v>
      </c>
      <c r="E4532">
        <v>0.66028929999999997</v>
      </c>
      <c r="F4532" t="s">
        <v>43</v>
      </c>
      <c r="G4532">
        <v>-210.63749999999999</v>
      </c>
      <c r="H4532" s="1">
        <v>-5.4070470000000003E-6</v>
      </c>
      <c r="I4532">
        <v>144.9188</v>
      </c>
      <c r="J4532">
        <v>-203.2885</v>
      </c>
      <c r="K4532">
        <v>1.102897</v>
      </c>
      <c r="L4532">
        <v>144.91480000000001</v>
      </c>
      <c r="M4532">
        <v>-0.83539719999999995</v>
      </c>
      <c r="N4532">
        <v>0</v>
      </c>
      <c r="O4532">
        <v>-0.54945730000000004</v>
      </c>
      <c r="P4532">
        <v>-0.91729269999999996</v>
      </c>
      <c r="Q4532">
        <v>1.018705E-2</v>
      </c>
      <c r="R4532">
        <v>-0.39808349999999998</v>
      </c>
      <c r="S4532">
        <v>-3.2694399999999999</v>
      </c>
      <c r="T4532">
        <v>-0.47833300000000001</v>
      </c>
      <c r="U4532">
        <v>-4.7241209999999999E-2</v>
      </c>
      <c r="V4532">
        <v>0.17188889999999901</v>
      </c>
      <c r="W4532">
        <v>2.1285180000000001E-2</v>
      </c>
      <c r="X4532">
        <v>0.98488629999999999</v>
      </c>
      <c r="Y4532">
        <v>0.52648300000000003</v>
      </c>
      <c r="Z4532">
        <v>0.114595</v>
      </c>
      <c r="AA4532">
        <v>0.84242719999999904</v>
      </c>
      <c r="AB4532">
        <v>24</v>
      </c>
      <c r="AC4532">
        <v>-7.3489999999999798</v>
      </c>
      <c r="AD4532">
        <v>-1.1029024070469999</v>
      </c>
      <c r="AE4532">
        <v>3.9999999999906699E-3</v>
      </c>
      <c r="AF4532">
        <v>3.95269917718305</v>
      </c>
      <c r="AG4532">
        <v>-1.1029024070469999</v>
      </c>
      <c r="AH4532">
        <v>6.00258170767286</v>
      </c>
      <c r="AI4532">
        <v>98.724280026632798</v>
      </c>
      <c r="AJ4532">
        <v>56.635101977001902</v>
      </c>
      <c r="AK4532">
        <v>7.2712592899760198</v>
      </c>
      <c r="AL4532">
        <v>88.780356837808995</v>
      </c>
      <c r="AM4532">
        <v>80.100072036204494</v>
      </c>
      <c r="AN4532">
        <v>0.99999993837926404</v>
      </c>
    </row>
    <row r="4533" spans="1:40" x14ac:dyDescent="0.25">
      <c r="A4533" t="str">
        <f>"20190312154345358"</f>
        <v>20190312154345358</v>
      </c>
      <c r="B4533" t="str">
        <f>"1552376625352037"</f>
        <v>1552376625352037</v>
      </c>
      <c r="C4533" t="s">
        <v>40</v>
      </c>
      <c r="D4533">
        <v>4.9572440000000002</v>
      </c>
      <c r="E4533">
        <v>0.6585993</v>
      </c>
      <c r="F4533" t="s">
        <v>43</v>
      </c>
      <c r="G4533">
        <v>-210.88480000000001</v>
      </c>
      <c r="H4533" s="1">
        <v>-5.2999059999999996E-6</v>
      </c>
      <c r="I4533">
        <v>144.8502</v>
      </c>
      <c r="J4533">
        <v>-203.4992</v>
      </c>
      <c r="K4533">
        <v>1.102922</v>
      </c>
      <c r="L4533">
        <v>144.79230000000001</v>
      </c>
      <c r="M4533">
        <v>-0.84182060000000003</v>
      </c>
      <c r="N4533">
        <v>0</v>
      </c>
      <c r="O4533">
        <v>-0.53956440000000006</v>
      </c>
      <c r="P4533">
        <v>-0.92182310000000001</v>
      </c>
      <c r="Q4533">
        <v>1.060764E-2</v>
      </c>
      <c r="R4533">
        <v>-0.38746599999999998</v>
      </c>
      <c r="S4533">
        <v>-3.2637330000000002</v>
      </c>
      <c r="T4533">
        <v>-0.47385480000000002</v>
      </c>
      <c r="U4533">
        <v>-2.7755740000000001E-2</v>
      </c>
      <c r="V4533">
        <v>0.1716463</v>
      </c>
      <c r="W4533">
        <v>2.1716619999999999E-2</v>
      </c>
      <c r="X4533">
        <v>0.98491930000000005</v>
      </c>
      <c r="Y4533">
        <v>0.52181390000000005</v>
      </c>
      <c r="Z4533">
        <v>0.1122141</v>
      </c>
      <c r="AA4533">
        <v>0.84564660000000003</v>
      </c>
      <c r="AB4533">
        <v>24</v>
      </c>
      <c r="AC4533">
        <v>-7.3856000000000099</v>
      </c>
      <c r="AD4533">
        <v>-1.102927299906</v>
      </c>
      <c r="AE4533">
        <v>5.7899999999989397E-2</v>
      </c>
      <c r="AF4533">
        <v>3.9461707831132502</v>
      </c>
      <c r="AG4533">
        <v>-1.102927299906</v>
      </c>
      <c r="AH4533">
        <v>6.0518016659519702</v>
      </c>
      <c r="AI4533">
        <v>98.679773152041903</v>
      </c>
      <c r="AJ4533">
        <v>56.8930182355219</v>
      </c>
      <c r="AK4533">
        <v>7.3084208884268298</v>
      </c>
      <c r="AL4533">
        <v>88.755631562748405</v>
      </c>
      <c r="AM4533">
        <v>80.114093396261197</v>
      </c>
      <c r="AN4533">
        <v>1.0000000457002001</v>
      </c>
    </row>
    <row r="4534" spans="1:40" x14ac:dyDescent="0.25">
      <c r="A4534" t="str">
        <f>"20190312154345382"</f>
        <v>20190312154345382</v>
      </c>
      <c r="B4534" t="str">
        <f>"1552376625372531"</f>
        <v>1552376625372531</v>
      </c>
      <c r="C4534" t="s">
        <v>40</v>
      </c>
      <c r="D4534">
        <v>5.2970819999999996</v>
      </c>
      <c r="E4534">
        <v>0.65803440000000002</v>
      </c>
      <c r="F4534" t="s">
        <v>43</v>
      </c>
      <c r="G4534">
        <v>-210.92410000000001</v>
      </c>
      <c r="H4534" s="1">
        <v>-5.2733799999999996E-6</v>
      </c>
      <c r="I4534">
        <v>144.78579999999999</v>
      </c>
      <c r="J4534">
        <v>-203.71889999999999</v>
      </c>
      <c r="K4534">
        <v>1.1029420000000001</v>
      </c>
      <c r="L4534">
        <v>144.66800000000001</v>
      </c>
      <c r="M4534">
        <v>-0.8483503</v>
      </c>
      <c r="N4534">
        <v>0</v>
      </c>
      <c r="O4534">
        <v>-0.52923880000000001</v>
      </c>
      <c r="P4534">
        <v>-0.92652829999999997</v>
      </c>
      <c r="Q4534">
        <v>1.060756E-2</v>
      </c>
      <c r="R4534">
        <v>-0.37607580000000002</v>
      </c>
      <c r="S4534">
        <v>-3.2587739999999998</v>
      </c>
      <c r="T4534">
        <v>-0.48406919999999998</v>
      </c>
      <c r="U4534">
        <v>-2.8839109999999999E-3</v>
      </c>
      <c r="V4534">
        <v>0.17174979999999901</v>
      </c>
      <c r="W4534">
        <v>2.1719479999999999E-2</v>
      </c>
      <c r="X4534">
        <v>0.98490109999999997</v>
      </c>
      <c r="Y4534">
        <v>0.51753660000000001</v>
      </c>
      <c r="Z4534">
        <v>0.1131964</v>
      </c>
      <c r="AA4534">
        <v>0.84814059999999902</v>
      </c>
      <c r="AB4534">
        <v>24</v>
      </c>
      <c r="AC4534">
        <v>-7.2052000000000103</v>
      </c>
      <c r="AD4534">
        <v>-1.1029472733800001</v>
      </c>
      <c r="AE4534">
        <v>0.117799999999988</v>
      </c>
      <c r="AF4534">
        <v>3.82403179236701</v>
      </c>
      <c r="AG4534">
        <v>-1.1029472733800001</v>
      </c>
      <c r="AH4534">
        <v>5.91231581887667</v>
      </c>
      <c r="AI4534">
        <v>98.902561846023701</v>
      </c>
      <c r="AJ4534">
        <v>57.105580796958598</v>
      </c>
      <c r="AK4534">
        <v>7.1270744474173497</v>
      </c>
      <c r="AL4534">
        <v>88.755467543025105</v>
      </c>
      <c r="AM4534">
        <v>80.108070882784702</v>
      </c>
      <c r="AN4534">
        <v>0.99999995319635904</v>
      </c>
    </row>
    <row r="4535" spans="1:40" x14ac:dyDescent="0.25">
      <c r="A4535" t="str">
        <f>"20190312154345403"</f>
        <v>20190312154345403</v>
      </c>
      <c r="B4535" t="str">
        <f>"1552376625392053"</f>
        <v>1552376625392053</v>
      </c>
      <c r="C4535" t="s">
        <v>40</v>
      </c>
      <c r="D4535">
        <v>5.0095470000000004</v>
      </c>
      <c r="E4535">
        <v>0.65700329999999996</v>
      </c>
      <c r="F4535" t="s">
        <v>43</v>
      </c>
      <c r="G4535">
        <v>-211.13220000000001</v>
      </c>
      <c r="H4535" s="1">
        <v>-5.185947E-6</v>
      </c>
      <c r="I4535">
        <v>144.7432</v>
      </c>
      <c r="J4535">
        <v>-203.92519999999999</v>
      </c>
      <c r="K4535">
        <v>1.1029610000000001</v>
      </c>
      <c r="L4535">
        <v>144.55449999999999</v>
      </c>
      <c r="M4535">
        <v>-0.8543288</v>
      </c>
      <c r="N4535">
        <v>0</v>
      </c>
      <c r="O4535">
        <v>-0.51953260000000001</v>
      </c>
      <c r="P4535">
        <v>-0.93084279999999997</v>
      </c>
      <c r="Q4535">
        <v>1.0688599999999999E-2</v>
      </c>
      <c r="R4535">
        <v>-0.36526389999999997</v>
      </c>
      <c r="S4535">
        <v>-3.2568510000000002</v>
      </c>
      <c r="T4535">
        <v>-0.48455379999999998</v>
      </c>
      <c r="U4535">
        <v>3.3020019999999997E-2</v>
      </c>
      <c r="V4535">
        <v>0.17198759999999999</v>
      </c>
      <c r="W4535">
        <v>2.1800529999999999E-2</v>
      </c>
      <c r="X4535">
        <v>0.98485789999999995</v>
      </c>
      <c r="Y4535">
        <v>0.51724700000000001</v>
      </c>
      <c r="Z4535">
        <v>0.1121625</v>
      </c>
      <c r="AA4535">
        <v>0.8484545</v>
      </c>
      <c r="AB4535">
        <v>24</v>
      </c>
      <c r="AC4535">
        <v>-7.2070000000000203</v>
      </c>
      <c r="AD4535">
        <v>-1.1029661859469999</v>
      </c>
      <c r="AE4535">
        <v>0.188700000000011</v>
      </c>
      <c r="AF4535">
        <v>3.8165613888776799</v>
      </c>
      <c r="AG4535">
        <v>-1.1029661859469999</v>
      </c>
      <c r="AH4535">
        <v>5.92115511505569</v>
      </c>
      <c r="AI4535">
        <v>98.898516736459499</v>
      </c>
      <c r="AJ4535">
        <v>57.195642960244498</v>
      </c>
      <c r="AK4535">
        <v>7.1304104467389999</v>
      </c>
      <c r="AL4535">
        <v>88.750822729050199</v>
      </c>
      <c r="AM4535">
        <v>80.094219998087993</v>
      </c>
      <c r="AN4535">
        <v>1.00000004042722</v>
      </c>
    </row>
    <row r="4536" spans="1:40" x14ac:dyDescent="0.25">
      <c r="A4536" t="str">
        <f>"20190312154345425"</f>
        <v>20190312154345425</v>
      </c>
      <c r="B4536" t="str">
        <f>"1552376625422308"</f>
        <v>1552376625422308</v>
      </c>
      <c r="C4536" t="s">
        <v>40</v>
      </c>
      <c r="D4536">
        <v>5.0266219999999997</v>
      </c>
      <c r="E4536">
        <v>0.64200550000000001</v>
      </c>
      <c r="F4536" t="s">
        <v>43</v>
      </c>
      <c r="G4536">
        <v>-211.4126</v>
      </c>
      <c r="H4536" s="1">
        <v>-5.0705879999999999E-6</v>
      </c>
      <c r="I4536">
        <v>144.70009999999999</v>
      </c>
      <c r="J4536">
        <v>-204.12629999999999</v>
      </c>
      <c r="K4536">
        <v>1.102981</v>
      </c>
      <c r="L4536">
        <v>144.4468</v>
      </c>
      <c r="M4536">
        <v>-0.86001510000000003</v>
      </c>
      <c r="N4536">
        <v>0</v>
      </c>
      <c r="O4536">
        <v>-0.51006479999999998</v>
      </c>
      <c r="P4536">
        <v>-0.93489270000000002</v>
      </c>
      <c r="Q4536">
        <v>1.112229E-2</v>
      </c>
      <c r="R4536">
        <v>-0.35475709999999999</v>
      </c>
      <c r="S4536">
        <v>-3.2531889999999999</v>
      </c>
      <c r="T4536">
        <v>-0.4792247</v>
      </c>
      <c r="U4536">
        <v>6.3232419999999998E-2</v>
      </c>
      <c r="V4536">
        <v>0.1722062</v>
      </c>
      <c r="W4536">
        <v>2.2233860000000001E-2</v>
      </c>
      <c r="X4536">
        <v>0.98480999999999996</v>
      </c>
      <c r="Y4536">
        <v>0.51605459999999903</v>
      </c>
      <c r="Z4536">
        <v>0.1098045</v>
      </c>
      <c r="AA4536">
        <v>0.84948849999999998</v>
      </c>
      <c r="AB4536">
        <v>24</v>
      </c>
      <c r="AC4536">
        <v>-7.2863000000000104</v>
      </c>
      <c r="AD4536">
        <v>-1.1029860705879999</v>
      </c>
      <c r="AE4536">
        <v>0.25329999999999497</v>
      </c>
      <c r="AF4536">
        <v>3.8466942334583201</v>
      </c>
      <c r="AG4536">
        <v>-1.1029860705879999</v>
      </c>
      <c r="AH4536">
        <v>6.0004309171397896</v>
      </c>
      <c r="AI4536">
        <v>98.796704529326504</v>
      </c>
      <c r="AJ4536">
        <v>57.3372995752961</v>
      </c>
      <c r="AK4536">
        <v>7.2124063937773002</v>
      </c>
      <c r="AL4536">
        <v>88.725988713900307</v>
      </c>
      <c r="AM4536">
        <v>80.081406567662</v>
      </c>
      <c r="AN4536">
        <v>1.0000000279744601</v>
      </c>
    </row>
    <row r="4537" spans="1:40" x14ac:dyDescent="0.25">
      <c r="A4537" t="str">
        <f>"20190312154345447"</f>
        <v>20190312154345447</v>
      </c>
      <c r="B4537" t="str">
        <f>"1552376625441828"</f>
        <v>1552376625441828</v>
      </c>
      <c r="C4537" t="s">
        <v>40</v>
      </c>
      <c r="D4537">
        <v>5.0000720000000003</v>
      </c>
      <c r="E4537">
        <v>0.63922730000000005</v>
      </c>
      <c r="F4537" t="s">
        <v>43</v>
      </c>
      <c r="G4537">
        <v>-211.10749999999999</v>
      </c>
      <c r="H4537" s="1">
        <v>-5.1381150000000002E-6</v>
      </c>
      <c r="I4537">
        <v>144.42019999999999</v>
      </c>
      <c r="J4537">
        <v>-204.33920000000001</v>
      </c>
      <c r="K4537">
        <v>1.1030009999999999</v>
      </c>
      <c r="L4537">
        <v>144.33580000000001</v>
      </c>
      <c r="M4537">
        <v>-0.86588809999999905</v>
      </c>
      <c r="N4537">
        <v>0</v>
      </c>
      <c r="O4537">
        <v>-0.50002970000000002</v>
      </c>
      <c r="P4537">
        <v>-0.93906210000000001</v>
      </c>
      <c r="Q4537">
        <v>1.110951E-2</v>
      </c>
      <c r="R4537">
        <v>-0.3435687</v>
      </c>
      <c r="S4537">
        <v>-3.2103269999999999</v>
      </c>
      <c r="T4537">
        <v>-0.50720909999999997</v>
      </c>
      <c r="U4537">
        <v>-1.223755E-2</v>
      </c>
      <c r="V4537">
        <v>0.17251240000000001</v>
      </c>
      <c r="W4537">
        <v>2.221909E-2</v>
      </c>
      <c r="X4537">
        <v>0.98475670000000004</v>
      </c>
      <c r="Y4537">
        <v>0.4850121</v>
      </c>
      <c r="Z4537">
        <v>0.1137456</v>
      </c>
      <c r="AA4537">
        <v>0.86707849999999997</v>
      </c>
      <c r="AB4537">
        <v>23</v>
      </c>
      <c r="AC4537">
        <v>-6.7682999999999804</v>
      </c>
      <c r="AD4537">
        <v>-1.103006138115</v>
      </c>
      <c r="AE4537">
        <v>8.4399999999987999E-2</v>
      </c>
      <c r="AF4537">
        <v>3.3683488062228801</v>
      </c>
      <c r="AG4537">
        <v>-1.103006138115</v>
      </c>
      <c r="AH4537">
        <v>5.6684730611784602</v>
      </c>
      <c r="AI4537">
        <v>99.496560342987905</v>
      </c>
      <c r="AJ4537">
        <v>59.2801568647672</v>
      </c>
      <c r="AK4537">
        <v>6.6853558668487096</v>
      </c>
      <c r="AL4537">
        <v>88.726835129671201</v>
      </c>
      <c r="AM4537">
        <v>80.063594398830901</v>
      </c>
      <c r="AN4537">
        <v>0.99999998715453897</v>
      </c>
    </row>
    <row r="4538" spans="1:40" x14ac:dyDescent="0.25">
      <c r="A4538" t="str">
        <f>"20190312154345471"</f>
        <v>20190312154345471</v>
      </c>
      <c r="B4538" t="str">
        <f>"1552376625462330"</f>
        <v>1552376625462330</v>
      </c>
      <c r="C4538" t="s">
        <v>40</v>
      </c>
      <c r="D4538">
        <v>5.0123569999999997</v>
      </c>
      <c r="E4538">
        <v>0.63791940000000003</v>
      </c>
      <c r="F4538" t="s">
        <v>43</v>
      </c>
      <c r="G4538">
        <v>-211.58340000000001</v>
      </c>
      <c r="H4538" s="1">
        <v>-4.9424950000000002E-6</v>
      </c>
      <c r="I4538">
        <v>144.3477</v>
      </c>
      <c r="J4538">
        <v>-204.55449999999999</v>
      </c>
      <c r="K4538">
        <v>1.1030169999999999</v>
      </c>
      <c r="L4538">
        <v>144.227</v>
      </c>
      <c r="M4538">
        <v>-0.87167190000000006</v>
      </c>
      <c r="N4538">
        <v>0</v>
      </c>
      <c r="O4538">
        <v>-0.48987750000000002</v>
      </c>
      <c r="P4538">
        <v>-0.94311630000000002</v>
      </c>
      <c r="Q4538">
        <v>1.1297150000000001E-2</v>
      </c>
      <c r="R4538">
        <v>-0.33227089999999998</v>
      </c>
      <c r="S4538">
        <v>-3.2023619999999999</v>
      </c>
      <c r="T4538">
        <v>-0.48759259999999899</v>
      </c>
      <c r="U4538">
        <v>5.2337649999999996E-3</v>
      </c>
      <c r="V4538">
        <v>0.17282819999999999</v>
      </c>
      <c r="W4538">
        <v>2.2404049999999998E-2</v>
      </c>
      <c r="X4538">
        <v>0.98469720000000005</v>
      </c>
      <c r="Y4538">
        <v>0.48055429999999999</v>
      </c>
      <c r="Z4538">
        <v>0.1079973</v>
      </c>
      <c r="AA4538">
        <v>0.87028969999999894</v>
      </c>
      <c r="AB4538">
        <v>23</v>
      </c>
      <c r="AC4538">
        <v>-7.0289000000000197</v>
      </c>
      <c r="AD4538">
        <v>-1.1030219424950001</v>
      </c>
      <c r="AE4538">
        <v>0.120699999999999</v>
      </c>
      <c r="AF4538">
        <v>3.4636104307034401</v>
      </c>
      <c r="AG4538">
        <v>-1.1030219424950001</v>
      </c>
      <c r="AH4538">
        <v>5.9225913177617304</v>
      </c>
      <c r="AI4538">
        <v>99.133082369245002</v>
      </c>
      <c r="AJ4538">
        <v>59.680334365965699</v>
      </c>
      <c r="AK4538">
        <v>6.9491253074419204</v>
      </c>
      <c r="AL4538">
        <v>88.716235146593604</v>
      </c>
      <c r="AM4538">
        <v>80.045178925119401</v>
      </c>
      <c r="AN4538">
        <v>1.0000000519297301</v>
      </c>
    </row>
    <row r="4539" spans="1:40" x14ac:dyDescent="0.25">
      <c r="A4539" t="str">
        <f>"20190312154345492"</f>
        <v>20190312154345492</v>
      </c>
      <c r="B4539" t="str">
        <f>"1552376625481850"</f>
        <v>1552376625481850</v>
      </c>
      <c r="C4539" t="s">
        <v>40</v>
      </c>
      <c r="D4539">
        <v>5.021077</v>
      </c>
      <c r="E4539">
        <v>0.63547159999999903</v>
      </c>
      <c r="F4539" t="s">
        <v>43</v>
      </c>
      <c r="G4539">
        <v>-211.6994</v>
      </c>
      <c r="H4539" s="1">
        <v>-4.889902E-6</v>
      </c>
      <c r="I4539">
        <v>144.3023</v>
      </c>
      <c r="J4539">
        <v>-204.7664</v>
      </c>
      <c r="K4539">
        <v>1.103029</v>
      </c>
      <c r="L4539">
        <v>144.12289999999999</v>
      </c>
      <c r="M4539">
        <v>-0.87721939999999998</v>
      </c>
      <c r="N4539">
        <v>0</v>
      </c>
      <c r="O4539">
        <v>-0.47987299999999999</v>
      </c>
      <c r="P4539">
        <v>-0.94686859999999995</v>
      </c>
      <c r="Q4539">
        <v>1.0862439999999999E-2</v>
      </c>
      <c r="R4539">
        <v>-0.32143729999999998</v>
      </c>
      <c r="S4539">
        <v>-3.1987299999999999</v>
      </c>
      <c r="T4539">
        <v>-0.49381629999999899</v>
      </c>
      <c r="U4539">
        <v>3.3721920000000002E-2</v>
      </c>
      <c r="V4539">
        <v>0.17284479999999999</v>
      </c>
      <c r="W4539">
        <v>2.1972620000000002E-2</v>
      </c>
      <c r="X4539">
        <v>0.98470400000000002</v>
      </c>
      <c r="Y4539">
        <v>0.47815550000000001</v>
      </c>
      <c r="Z4539">
        <v>0.1079681</v>
      </c>
      <c r="AA4539">
        <v>0.87161359999999999</v>
      </c>
      <c r="AB4539">
        <v>23</v>
      </c>
      <c r="AC4539">
        <v>-6.9329999999999901</v>
      </c>
      <c r="AD4539">
        <v>-1.103033889902</v>
      </c>
      <c r="AE4539">
        <v>0.17940000000001499</v>
      </c>
      <c r="AF4539">
        <v>3.3987224942596899</v>
      </c>
      <c r="AG4539">
        <v>-1.103033889902</v>
      </c>
      <c r="AH4539">
        <v>5.8483589923164701</v>
      </c>
      <c r="AI4539">
        <v>99.261645602891804</v>
      </c>
      <c r="AJ4539">
        <v>59.8373631932431</v>
      </c>
      <c r="AK4539">
        <v>6.8535612099307999</v>
      </c>
      <c r="AL4539">
        <v>88.740960341139498</v>
      </c>
      <c r="AM4539">
        <v>80.044309277540805</v>
      </c>
      <c r="AN4539">
        <v>1.0000000442663499</v>
      </c>
    </row>
    <row r="4540" spans="1:40" x14ac:dyDescent="0.25">
      <c r="A4540" t="str">
        <f>"20190312154345515"</f>
        <v>20190312154345515</v>
      </c>
      <c r="B4540" t="str">
        <f>"1552376625512107"</f>
        <v>1552376625512107</v>
      </c>
      <c r="C4540" t="s">
        <v>40</v>
      </c>
      <c r="D4540">
        <v>5.0942730000000003</v>
      </c>
      <c r="E4540">
        <v>0.63274240000000004</v>
      </c>
      <c r="F4540" t="s">
        <v>43</v>
      </c>
      <c r="G4540">
        <v>-212.03649999999999</v>
      </c>
      <c r="H4540" s="1">
        <v>-4.7496259999999997E-6</v>
      </c>
      <c r="I4540">
        <v>144.24119999999999</v>
      </c>
      <c r="J4540">
        <v>-204.9829</v>
      </c>
      <c r="K4540">
        <v>1.103046</v>
      </c>
      <c r="L4540">
        <v>144.0196</v>
      </c>
      <c r="M4540">
        <v>-0.88273659999999998</v>
      </c>
      <c r="N4540">
        <v>0</v>
      </c>
      <c r="O4540">
        <v>-0.46964739999999999</v>
      </c>
      <c r="P4540">
        <v>-0.95057619999999998</v>
      </c>
      <c r="Q4540">
        <v>1.104978E-2</v>
      </c>
      <c r="R4540">
        <v>-0.31029489999999998</v>
      </c>
      <c r="S4540">
        <v>-3.1915279999999999</v>
      </c>
      <c r="T4540">
        <v>-0.4842283</v>
      </c>
      <c r="U4540">
        <v>5.1956179999999998E-2</v>
      </c>
      <c r="V4540">
        <v>0.17296829999999999</v>
      </c>
      <c r="W4540">
        <v>2.2160920000000001E-2</v>
      </c>
      <c r="X4540">
        <v>0.98467800000000005</v>
      </c>
      <c r="Y4540">
        <v>0.47352759999999999</v>
      </c>
      <c r="Z4540">
        <v>0.1044201</v>
      </c>
      <c r="AA4540">
        <v>0.87456730000000005</v>
      </c>
      <c r="AB4540">
        <v>23</v>
      </c>
      <c r="AC4540">
        <v>-7.0535999999999799</v>
      </c>
      <c r="AD4540">
        <v>-1.103050749626</v>
      </c>
      <c r="AE4540">
        <v>0.221599999999995</v>
      </c>
      <c r="AF4540">
        <v>3.4250069487783601</v>
      </c>
      <c r="AG4540">
        <v>-1.103050749626</v>
      </c>
      <c r="AH4540">
        <v>5.9770078918054201</v>
      </c>
      <c r="AI4540">
        <v>99.097136577663804</v>
      </c>
      <c r="AJ4540">
        <v>60.185981918025298</v>
      </c>
      <c r="AK4540">
        <v>6.9765333005823802</v>
      </c>
      <c r="AL4540">
        <v>88.730168800695694</v>
      </c>
      <c r="AM4540">
        <v>80.037080478367898</v>
      </c>
      <c r="AN4540">
        <v>0.99999995143206699</v>
      </c>
    </row>
    <row r="4541" spans="1:40" x14ac:dyDescent="0.25">
      <c r="A4541" t="str">
        <f>"20190312154345537"</f>
        <v>20190312154345537</v>
      </c>
      <c r="B4541" t="str">
        <f>"1552376625531626"</f>
        <v>1552376625531626</v>
      </c>
      <c r="C4541" t="s">
        <v>40</v>
      </c>
      <c r="D4541">
        <v>5.1042920000000001</v>
      </c>
      <c r="E4541">
        <v>0.63074249999999998</v>
      </c>
      <c r="F4541" t="s">
        <v>43</v>
      </c>
      <c r="G4541">
        <v>-212.4589</v>
      </c>
      <c r="H4541" s="1">
        <v>-4.57666999999999E-6</v>
      </c>
      <c r="I4541">
        <v>144.1806</v>
      </c>
      <c r="J4541">
        <v>-205.19749999999999</v>
      </c>
      <c r="K4541">
        <v>1.103065</v>
      </c>
      <c r="L4541">
        <v>143.9203</v>
      </c>
      <c r="M4541">
        <v>-0.88806030000000002</v>
      </c>
      <c r="N4541">
        <v>0</v>
      </c>
      <c r="O4541">
        <v>-0.45950099999999999</v>
      </c>
      <c r="P4541">
        <v>-0.95417350000000001</v>
      </c>
      <c r="Q4541">
        <v>1.1270799999999999E-2</v>
      </c>
      <c r="R4541">
        <v>-0.29904219999999998</v>
      </c>
      <c r="S4541">
        <v>-3.1838229999999998</v>
      </c>
      <c r="T4541">
        <v>-0.46976079999999998</v>
      </c>
      <c r="U4541">
        <v>6.8557740000000006E-2</v>
      </c>
      <c r="V4541">
        <v>0.173320899999999</v>
      </c>
      <c r="W4541">
        <v>2.2378309999999998E-2</v>
      </c>
      <c r="X4541">
        <v>0.98461120000000002</v>
      </c>
      <c r="Y4541">
        <v>0.46878779999999998</v>
      </c>
      <c r="Z4541">
        <v>9.9901169999999997E-2</v>
      </c>
      <c r="AA4541">
        <v>0.87764330000000002</v>
      </c>
      <c r="AB4541">
        <v>23</v>
      </c>
      <c r="AC4541">
        <v>-7.2614000000000001</v>
      </c>
      <c r="AD4541">
        <v>-1.1030695766700001</v>
      </c>
      <c r="AE4541">
        <v>0.26029999999999998</v>
      </c>
      <c r="AF4541">
        <v>3.4877719123104498</v>
      </c>
      <c r="AG4541">
        <v>-1.1030695766700001</v>
      </c>
      <c r="AH4541">
        <v>6.1870204717761199</v>
      </c>
      <c r="AI4541">
        <v>98.828071068152695</v>
      </c>
      <c r="AJ4541">
        <v>60.589000580462198</v>
      </c>
      <c r="AK4541">
        <v>7.1875265370956001</v>
      </c>
      <c r="AL4541">
        <v>88.717710331811105</v>
      </c>
      <c r="AM4541">
        <v>80.016515318213195</v>
      </c>
      <c r="AN4541">
        <v>1.0000000691503499</v>
      </c>
    </row>
    <row r="4542" spans="1:40" x14ac:dyDescent="0.25">
      <c r="A4542" t="str">
        <f>"20190312154345559"</f>
        <v>20190312154345559</v>
      </c>
      <c r="B4542" t="str">
        <f>"1552376625552122"</f>
        <v>1552376625552122</v>
      </c>
      <c r="C4542" t="s">
        <v>40</v>
      </c>
      <c r="D4542">
        <v>5.1275230000000001</v>
      </c>
      <c r="E4542">
        <v>0.62982890000000002</v>
      </c>
      <c r="F4542" t="s">
        <v>43</v>
      </c>
      <c r="G4542">
        <v>-212.6746</v>
      </c>
      <c r="H4542" s="1">
        <v>-4.4854409999999999E-6</v>
      </c>
      <c r="I4542">
        <v>144.13329999999999</v>
      </c>
      <c r="J4542">
        <v>-205.4222</v>
      </c>
      <c r="K4542">
        <v>1.103084</v>
      </c>
      <c r="L4542">
        <v>143.8194</v>
      </c>
      <c r="M4542">
        <v>-0.893482</v>
      </c>
      <c r="N4542">
        <v>0</v>
      </c>
      <c r="O4542">
        <v>-0.44886779999999998</v>
      </c>
      <c r="P4542">
        <v>-0.95753659999999996</v>
      </c>
      <c r="Q4542">
        <v>1.1272880000000001E-2</v>
      </c>
      <c r="R4542">
        <v>-0.28809170000000001</v>
      </c>
      <c r="S4542">
        <v>-3.1779790000000001</v>
      </c>
      <c r="T4542">
        <v>-0.468835</v>
      </c>
      <c r="U4542">
        <v>9.0560909999999994E-2</v>
      </c>
      <c r="V4542">
        <v>0.17284630000000001</v>
      </c>
      <c r="W4542">
        <v>2.2393090000000001E-2</v>
      </c>
      <c r="X4542">
        <v>0.98469419999999996</v>
      </c>
      <c r="Y4542">
        <v>0.46454909999999999</v>
      </c>
      <c r="Z4542">
        <v>9.8176869999999999E-2</v>
      </c>
      <c r="AA4542">
        <v>0.88008829999999905</v>
      </c>
      <c r="AB4542">
        <v>23</v>
      </c>
      <c r="AC4542">
        <v>-7.25239999999999</v>
      </c>
      <c r="AD4542">
        <v>-1.1030884854409999</v>
      </c>
      <c r="AE4542">
        <v>0.31389999999998902</v>
      </c>
      <c r="AF4542">
        <v>3.4563881732163102</v>
      </c>
      <c r="AG4542">
        <v>-1.1030884854409999</v>
      </c>
      <c r="AH4542">
        <v>6.1965620341188599</v>
      </c>
      <c r="AI4542">
        <v>98.836825914818903</v>
      </c>
      <c r="AJ4542">
        <v>60.847603604146499</v>
      </c>
      <c r="AK4542">
        <v>7.1805852444870704</v>
      </c>
      <c r="AL4542">
        <v>88.7168631744848</v>
      </c>
      <c r="AM4542">
        <v>80.0441275068968</v>
      </c>
      <c r="AN4542">
        <v>0.99999998070853802</v>
      </c>
    </row>
    <row r="4543" spans="1:40" x14ac:dyDescent="0.25">
      <c r="A4543" t="str">
        <f>"20190312154345583"</f>
        <v>20190312154345583</v>
      </c>
      <c r="B4543" t="str">
        <f>"1552376625571642"</f>
        <v>1552376625571642</v>
      </c>
      <c r="C4543" t="s">
        <v>40</v>
      </c>
      <c r="D4543">
        <v>5.121696</v>
      </c>
      <c r="E4543">
        <v>0.61237889999999995</v>
      </c>
      <c r="F4543" t="s">
        <v>43</v>
      </c>
      <c r="G4543">
        <v>-212.91050000000001</v>
      </c>
      <c r="H4543" s="1">
        <v>-4.3893259999999999E-6</v>
      </c>
      <c r="I4543">
        <v>144.10220000000001</v>
      </c>
      <c r="J4543">
        <v>-205.64580000000001</v>
      </c>
      <c r="K4543">
        <v>1.103108</v>
      </c>
      <c r="L4543">
        <v>143.72210000000001</v>
      </c>
      <c r="M4543">
        <v>-0.89872549999999995</v>
      </c>
      <c r="N4543">
        <v>0</v>
      </c>
      <c r="O4543">
        <v>-0.43827509999999997</v>
      </c>
      <c r="P4543">
        <v>-0.96059570000000005</v>
      </c>
      <c r="Q4543">
        <v>1.11542E-2</v>
      </c>
      <c r="R4543">
        <v>-0.27772639999999998</v>
      </c>
      <c r="S4543">
        <v>-3.1746219999999998</v>
      </c>
      <c r="T4543">
        <v>-0.46764299999999998</v>
      </c>
      <c r="U4543">
        <v>0.11991880000000001</v>
      </c>
      <c r="V4543">
        <v>0.171846</v>
      </c>
      <c r="W4543">
        <v>2.2298220000000001E-2</v>
      </c>
      <c r="X4543">
        <v>0.98487139999999995</v>
      </c>
      <c r="Y4543">
        <v>0.46244180000000001</v>
      </c>
      <c r="Z4543">
        <v>9.6477270000000004E-2</v>
      </c>
      <c r="AA4543">
        <v>0.88138510000000003</v>
      </c>
      <c r="AB4543">
        <v>23</v>
      </c>
      <c r="AC4543">
        <v>-7.2647000000000004</v>
      </c>
      <c r="AD4543">
        <v>-1.103112389326</v>
      </c>
      <c r="AE4543">
        <v>0.380099999999998</v>
      </c>
      <c r="AF4543">
        <v>3.4466555320112602</v>
      </c>
      <c r="AG4543">
        <v>-1.103112389326</v>
      </c>
      <c r="AH4543">
        <v>6.2200188075719698</v>
      </c>
      <c r="AI4543">
        <v>98.817722514462602</v>
      </c>
      <c r="AJ4543">
        <v>61.008154730175796</v>
      </c>
      <c r="AK4543">
        <v>7.1961743493593398</v>
      </c>
      <c r="AL4543">
        <v>88.722300164548798</v>
      </c>
      <c r="AM4543">
        <v>80.102347214295193</v>
      </c>
      <c r="AN4543">
        <v>0.99999996643456301</v>
      </c>
    </row>
    <row r="4544" spans="1:40" x14ac:dyDescent="0.25">
      <c r="A4544" t="str">
        <f>"20190312154345605"</f>
        <v>20190312154345605</v>
      </c>
      <c r="B4544" t="str">
        <f>"1552376625601898"</f>
        <v>1552376625601898</v>
      </c>
      <c r="C4544" t="s">
        <v>40</v>
      </c>
      <c r="D4544">
        <v>5.2186329999999996</v>
      </c>
      <c r="E4544">
        <v>0.61031089999999999</v>
      </c>
      <c r="F4544" t="s">
        <v>43</v>
      </c>
      <c r="G4544">
        <v>-213.44280000000001</v>
      </c>
      <c r="H4544" s="1">
        <v>-4.1265929999999996E-6</v>
      </c>
      <c r="I4544">
        <v>143.77330000000001</v>
      </c>
      <c r="J4544">
        <v>-205.86170000000001</v>
      </c>
      <c r="K4544">
        <v>1.103124</v>
      </c>
      <c r="L4544">
        <v>143.6311</v>
      </c>
      <c r="M4544">
        <v>-0.90364690000000003</v>
      </c>
      <c r="N4544">
        <v>0</v>
      </c>
      <c r="O4544">
        <v>-0.42803639999999998</v>
      </c>
      <c r="P4544">
        <v>-0.96347079999999996</v>
      </c>
      <c r="Q4544">
        <v>1.0879990000000001E-2</v>
      </c>
      <c r="R4544">
        <v>-0.26759309999999997</v>
      </c>
      <c r="S4544">
        <v>-3.1341549999999998</v>
      </c>
      <c r="T4544">
        <v>-0.44341839999999999</v>
      </c>
      <c r="U4544">
        <v>2.056885E-2</v>
      </c>
      <c r="V4544">
        <v>0.17102590000000001</v>
      </c>
      <c r="W4544">
        <v>2.2044129999999999E-2</v>
      </c>
      <c r="X4544">
        <v>0.98501989999999995</v>
      </c>
      <c r="Y4544">
        <v>0.4257107</v>
      </c>
      <c r="Z4544">
        <v>8.8719270000000003E-2</v>
      </c>
      <c r="AA4544">
        <v>0.90049950000000001</v>
      </c>
      <c r="AB4544">
        <v>23</v>
      </c>
      <c r="AC4544">
        <v>-7.5810999999999904</v>
      </c>
      <c r="AD4544">
        <v>-1.103128126593</v>
      </c>
      <c r="AE4544">
        <v>0.14220000000000199</v>
      </c>
      <c r="AF4544">
        <v>3.3039049617594198</v>
      </c>
      <c r="AG4544">
        <v>-1.103128126593</v>
      </c>
      <c r="AH4544">
        <v>6.6497271989791802</v>
      </c>
      <c r="AI4544">
        <v>98.450282925845997</v>
      </c>
      <c r="AJ4544">
        <v>63.579598939683599</v>
      </c>
      <c r="AK4544">
        <v>7.5067670458635298</v>
      </c>
      <c r="AL4544">
        <v>88.736862075056294</v>
      </c>
      <c r="AM4544">
        <v>80.150110241067097</v>
      </c>
      <c r="AN4544">
        <v>1.0000000027671301</v>
      </c>
    </row>
    <row r="4545" spans="1:40" x14ac:dyDescent="0.25">
      <c r="A4545" t="str">
        <f>"20190312154345627"</f>
        <v>20190312154345627</v>
      </c>
      <c r="B4545" t="str">
        <f>"1552376625622395"</f>
        <v>1552376625622395</v>
      </c>
      <c r="C4545" t="s">
        <v>40</v>
      </c>
      <c r="D4545">
        <v>5.1532720000000003</v>
      </c>
      <c r="E4545">
        <v>0.60834250000000001</v>
      </c>
      <c r="F4545" t="s">
        <v>43</v>
      </c>
      <c r="G4545">
        <v>-213.47450000000001</v>
      </c>
      <c r="H4545" s="1">
        <v>-4.1053780000000004E-6</v>
      </c>
      <c r="I4545">
        <v>143.72239999999999</v>
      </c>
      <c r="J4545">
        <v>-206.0762</v>
      </c>
      <c r="K4545">
        <v>1.1031420000000001</v>
      </c>
      <c r="L4545">
        <v>143.5436</v>
      </c>
      <c r="M4545">
        <v>-0.90839619999999999</v>
      </c>
      <c r="N4545">
        <v>0</v>
      </c>
      <c r="O4545">
        <v>-0.41786240000000002</v>
      </c>
      <c r="P4545">
        <v>-0.96616939999999996</v>
      </c>
      <c r="Q4545">
        <v>1.078817E-2</v>
      </c>
      <c r="R4545">
        <v>-0.25768229999999998</v>
      </c>
      <c r="S4545">
        <v>-3.1292879999999998</v>
      </c>
      <c r="T4545">
        <v>-0.45345000000000002</v>
      </c>
      <c r="U4545">
        <v>3.7521359999999997E-2</v>
      </c>
      <c r="V4545">
        <v>0.1700806</v>
      </c>
      <c r="W4545">
        <v>2.1974049999999998E-2</v>
      </c>
      <c r="X4545">
        <v>0.98518510000000004</v>
      </c>
      <c r="Y4545">
        <v>0.42021510000000001</v>
      </c>
      <c r="Z4545">
        <v>8.9112520000000001E-2</v>
      </c>
      <c r="AA4545">
        <v>0.90303840000000002</v>
      </c>
      <c r="AB4545">
        <v>23</v>
      </c>
      <c r="AC4545">
        <v>-7.3982999999999999</v>
      </c>
      <c r="AD4545">
        <v>-1.1031461053780001</v>
      </c>
      <c r="AE4545">
        <v>0.17879999999999499</v>
      </c>
      <c r="AF4545">
        <v>3.1834921116630501</v>
      </c>
      <c r="AG4545">
        <v>-1.1031461053780001</v>
      </c>
      <c r="AH4545">
        <v>6.5020851096775996</v>
      </c>
      <c r="AI4545">
        <v>98.663901504082403</v>
      </c>
      <c r="AJ4545">
        <v>63.913123541480601</v>
      </c>
      <c r="AK4545">
        <v>7.3231594362216903</v>
      </c>
      <c r="AL4545">
        <v>88.740878301560599</v>
      </c>
      <c r="AM4545">
        <v>80.205106048523206</v>
      </c>
      <c r="AN4545">
        <v>0.99999997531588503</v>
      </c>
    </row>
    <row r="4546" spans="1:40" x14ac:dyDescent="0.25">
      <c r="A4546" t="str">
        <f>"20190312154345649"</f>
        <v>20190312154345649</v>
      </c>
      <c r="B4546" t="str">
        <f>"1552376625641914"</f>
        <v>1552376625641914</v>
      </c>
      <c r="C4546" t="s">
        <v>40</v>
      </c>
      <c r="D4546">
        <v>5.1921569999999999</v>
      </c>
      <c r="E4546">
        <v>0.60738340000000002</v>
      </c>
      <c r="F4546" t="s">
        <v>43</v>
      </c>
      <c r="G4546">
        <v>-213.7792</v>
      </c>
      <c r="H4546" s="1">
        <v>-3.9803130000000004E-6</v>
      </c>
      <c r="I4546">
        <v>143.67699999999999</v>
      </c>
      <c r="J4546">
        <v>-206.2971</v>
      </c>
      <c r="K4546">
        <v>1.103167</v>
      </c>
      <c r="L4546">
        <v>143.45650000000001</v>
      </c>
      <c r="M4546">
        <v>-0.91314949999999995</v>
      </c>
      <c r="N4546">
        <v>0</v>
      </c>
      <c r="O4546">
        <v>-0.40737030000000002</v>
      </c>
      <c r="P4546">
        <v>-0.96888980000000002</v>
      </c>
      <c r="Q4546">
        <v>1.137824E-2</v>
      </c>
      <c r="R4546">
        <v>-0.2472317</v>
      </c>
      <c r="S4546">
        <v>-3.1244809999999998</v>
      </c>
      <c r="T4546">
        <v>-0.44745489999999999</v>
      </c>
      <c r="U4546">
        <v>5.409241E-2</v>
      </c>
      <c r="V4546">
        <v>0.16937959999999999</v>
      </c>
      <c r="W4546">
        <v>2.258139E-2</v>
      </c>
      <c r="X4546">
        <v>0.9852921</v>
      </c>
      <c r="Y4546">
        <v>0.4149466</v>
      </c>
      <c r="Z4546">
        <v>8.6332500000000006E-2</v>
      </c>
      <c r="AA4546">
        <v>0.90574060000000001</v>
      </c>
      <c r="AB4546">
        <v>23</v>
      </c>
      <c r="AC4546">
        <v>-7.4821</v>
      </c>
      <c r="AD4546">
        <v>-1.1031709803129901</v>
      </c>
      <c r="AE4546">
        <v>0.22050000000001499</v>
      </c>
      <c r="AF4546">
        <v>3.1805891597961602</v>
      </c>
      <c r="AG4546">
        <v>-1.1031709803129901</v>
      </c>
      <c r="AH4546">
        <v>6.5998018330664703</v>
      </c>
      <c r="AI4546">
        <v>98.563174752290195</v>
      </c>
      <c r="AJ4546">
        <v>64.269563733290497</v>
      </c>
      <c r="AK4546">
        <v>7.40881352518507</v>
      </c>
      <c r="AL4546">
        <v>88.706071604168102</v>
      </c>
      <c r="AM4546">
        <v>80.245738239630697</v>
      </c>
      <c r="AN4546">
        <v>0.99999994519644897</v>
      </c>
    </row>
    <row r="4547" spans="1:40" x14ac:dyDescent="0.25">
      <c r="A4547" t="str">
        <f>"20190312154345672"</f>
        <v>20190312154345672</v>
      </c>
      <c r="B4547" t="str">
        <f>"1552376625661941"</f>
        <v>1552376625661941</v>
      </c>
      <c r="C4547" t="s">
        <v>40</v>
      </c>
      <c r="D4547">
        <v>5.048921</v>
      </c>
      <c r="E4547">
        <v>0.58943279999999998</v>
      </c>
      <c r="F4547" t="s">
        <v>43</v>
      </c>
      <c r="G4547">
        <v>-214.04169999999999</v>
      </c>
      <c r="H4547" s="1">
        <v>-3.8716579999999998E-6</v>
      </c>
      <c r="I4547">
        <v>143.65520000000001</v>
      </c>
      <c r="J4547">
        <v>-206.52529999999999</v>
      </c>
      <c r="K4547">
        <v>1.103189</v>
      </c>
      <c r="L4547">
        <v>143.36959999999999</v>
      </c>
      <c r="M4547">
        <v>-0.91790720000000003</v>
      </c>
      <c r="N4547">
        <v>0</v>
      </c>
      <c r="O4547">
        <v>-0.396534</v>
      </c>
      <c r="P4547">
        <v>-0.97153590000000001</v>
      </c>
      <c r="Q4547">
        <v>1.1751070000000001E-2</v>
      </c>
      <c r="R4547">
        <v>-0.2366009</v>
      </c>
      <c r="S4547">
        <v>-3.1219939999999999</v>
      </c>
      <c r="T4547">
        <v>-0.44471240000000001</v>
      </c>
      <c r="U4547">
        <v>8.0123899999999998E-2</v>
      </c>
      <c r="V4547">
        <v>0.1685171</v>
      </c>
      <c r="W4547">
        <v>2.2974680000000001E-2</v>
      </c>
      <c r="X4547">
        <v>0.98543099999999995</v>
      </c>
      <c r="Y4547">
        <v>0.4119911</v>
      </c>
      <c r="Z4547">
        <v>8.4252389999999996E-2</v>
      </c>
      <c r="AA4547">
        <v>0.90728430000000004</v>
      </c>
      <c r="AB4547">
        <v>23</v>
      </c>
      <c r="AC4547">
        <v>-7.5164</v>
      </c>
      <c r="AD4547">
        <v>-1.103192871658</v>
      </c>
      <c r="AE4547">
        <v>0.28560000000001601</v>
      </c>
      <c r="AF4547">
        <v>3.1747078739164101</v>
      </c>
      <c r="AG4547">
        <v>-1.103192871658</v>
      </c>
      <c r="AH4547">
        <v>6.6438950814363196</v>
      </c>
      <c r="AI4547">
        <v>98.520707062423796</v>
      </c>
      <c r="AJ4547">
        <v>64.459740059568503</v>
      </c>
      <c r="AK4547">
        <v>7.4456125637799397</v>
      </c>
      <c r="AL4547">
        <v>88.683532038737894</v>
      </c>
      <c r="AM4547">
        <v>80.295802992026395</v>
      </c>
      <c r="AN4547">
        <v>1.0000000523372501</v>
      </c>
    </row>
    <row r="4548" spans="1:40" x14ac:dyDescent="0.25">
      <c r="A4548" t="str">
        <f>"20190312154345694"</f>
        <v>20190312154345694</v>
      </c>
      <c r="B4548" t="str">
        <f>"1552376625682436"</f>
        <v>1552376625682436</v>
      </c>
      <c r="C4548" t="s">
        <v>40</v>
      </c>
      <c r="D4548">
        <v>5.0509839999999997</v>
      </c>
      <c r="E4548">
        <v>0.58867040000000004</v>
      </c>
      <c r="F4548" t="s">
        <v>43</v>
      </c>
      <c r="G4548">
        <v>-217.60380000000001</v>
      </c>
      <c r="H4548" s="1">
        <v>-2.0902549999999999E-6</v>
      </c>
      <c r="I4548">
        <v>143.2886</v>
      </c>
      <c r="J4548">
        <v>-206.73830000000001</v>
      </c>
      <c r="K4548">
        <v>1.10321</v>
      </c>
      <c r="L4548">
        <v>143.29130000000001</v>
      </c>
      <c r="M4548">
        <v>-0.92221549999999997</v>
      </c>
      <c r="N4548">
        <v>0</v>
      </c>
      <c r="O4548">
        <v>-0.3864088</v>
      </c>
      <c r="P4548">
        <v>-0.9740529</v>
      </c>
      <c r="Q4548">
        <v>1.161442E-2</v>
      </c>
      <c r="R4548">
        <v>-0.22602240000000001</v>
      </c>
      <c r="S4548">
        <v>-3.08609</v>
      </c>
      <c r="T4548">
        <v>-0.30730990000000002</v>
      </c>
      <c r="U4548">
        <v>-2.2583010000000001E-2</v>
      </c>
      <c r="V4548">
        <v>0.16838549999999999</v>
      </c>
      <c r="W4548">
        <v>2.2844059999999999E-2</v>
      </c>
      <c r="X4548">
        <v>0.98545649999999996</v>
      </c>
      <c r="Y4548">
        <v>0.37599880000000002</v>
      </c>
      <c r="Z4548">
        <v>5.6270109999999998E-2</v>
      </c>
      <c r="AA4548">
        <v>0.92491000000000001</v>
      </c>
      <c r="AB4548">
        <v>23</v>
      </c>
      <c r="AC4548">
        <v>-10.8654999999999</v>
      </c>
      <c r="AD4548">
        <v>-1.103212090255</v>
      </c>
      <c r="AE4548">
        <v>-2.7000000000043599E-3</v>
      </c>
      <c r="AF4548">
        <v>4.1536486310513796</v>
      </c>
      <c r="AG4548">
        <v>-1.103212090255</v>
      </c>
      <c r="AH4548">
        <v>9.9201449923964695</v>
      </c>
      <c r="AI4548">
        <v>95.8569260852545</v>
      </c>
      <c r="AJ4548">
        <v>67.280526867847996</v>
      </c>
      <c r="AK4548">
        <v>10.811066114703401</v>
      </c>
      <c r="AL4548">
        <v>88.691017936156996</v>
      </c>
      <c r="AM4548">
        <v>80.303483505690707</v>
      </c>
      <c r="AN4548">
        <v>1.00000002053989</v>
      </c>
    </row>
    <row r="4549" spans="1:40" x14ac:dyDescent="0.25">
      <c r="A4549" t="str">
        <f>"20190312154345715"</f>
        <v>20190312154345715</v>
      </c>
      <c r="B4549" t="str">
        <f>"1552376625701957"</f>
        <v>1552376625701957</v>
      </c>
      <c r="C4549" t="s">
        <v>40</v>
      </c>
      <c r="D4549">
        <v>5.0487590000000004</v>
      </c>
      <c r="E4549">
        <v>0.58732209999999996</v>
      </c>
      <c r="F4549" t="s">
        <v>43</v>
      </c>
      <c r="G4549">
        <v>-218.2158</v>
      </c>
      <c r="H4549" s="1">
        <v>-1.806622E-6</v>
      </c>
      <c r="I4549">
        <v>143.3098</v>
      </c>
      <c r="J4549">
        <v>-206.95760000000001</v>
      </c>
      <c r="K4549">
        <v>1.103224</v>
      </c>
      <c r="L4549">
        <v>143.21340000000001</v>
      </c>
      <c r="M4549">
        <v>-0.9265158</v>
      </c>
      <c r="N4549">
        <v>0</v>
      </c>
      <c r="O4549">
        <v>-0.37598100000000001</v>
      </c>
      <c r="P4549">
        <v>-0.97673180000000004</v>
      </c>
      <c r="Q4549">
        <v>1.098828E-2</v>
      </c>
      <c r="R4549">
        <v>-0.21418319999999999</v>
      </c>
      <c r="S4549">
        <v>-3.0845950000000002</v>
      </c>
      <c r="T4549">
        <v>-0.29648940000000001</v>
      </c>
      <c r="U4549">
        <v>4.9743649999999997E-3</v>
      </c>
      <c r="V4549">
        <v>0.1692205</v>
      </c>
      <c r="W4549">
        <v>2.2205260000000001E-2</v>
      </c>
      <c r="X4549">
        <v>0.98532799999999998</v>
      </c>
      <c r="Y4549">
        <v>0.37412210000000001</v>
      </c>
      <c r="Z4549">
        <v>5.3312930000000001E-2</v>
      </c>
      <c r="AA4549">
        <v>0.92584580000000005</v>
      </c>
      <c r="AB4549">
        <v>23</v>
      </c>
      <c r="AC4549">
        <v>-11.258199999999899</v>
      </c>
      <c r="AD4549">
        <v>-1.103225806622</v>
      </c>
      <c r="AE4549">
        <v>9.6399999999988495E-2</v>
      </c>
      <c r="AF4549">
        <v>4.2815213953135496</v>
      </c>
      <c r="AG4549">
        <v>-1.103225806622</v>
      </c>
      <c r="AH4549">
        <v>10.2968605228633</v>
      </c>
      <c r="AI4549">
        <v>95.649909217560506</v>
      </c>
      <c r="AJ4549">
        <v>67.4220470512102</v>
      </c>
      <c r="AK4549">
        <v>11.2059747129031</v>
      </c>
      <c r="AL4549">
        <v>88.727627690526703</v>
      </c>
      <c r="AM4549">
        <v>80.255073006800799</v>
      </c>
      <c r="AN4549">
        <v>0.99999995938795805</v>
      </c>
    </row>
    <row r="4550" spans="1:40" x14ac:dyDescent="0.25">
      <c r="A4550" t="str">
        <f>"20190312154345738"</f>
        <v>20190312154345738</v>
      </c>
      <c r="B4550" t="str">
        <f>"1552376625732213"</f>
        <v>1552376625732213</v>
      </c>
      <c r="C4550" t="s">
        <v>40</v>
      </c>
      <c r="D4550">
        <v>5.0772820000000003</v>
      </c>
      <c r="E4550">
        <v>0.58523349999999996</v>
      </c>
      <c r="F4550" t="s">
        <v>43</v>
      </c>
      <c r="G4550">
        <v>-218.7441</v>
      </c>
      <c r="H4550" s="1">
        <v>-1.56412999999999E-6</v>
      </c>
      <c r="I4550">
        <v>143.33699999999999</v>
      </c>
      <c r="J4550">
        <v>-207.1815</v>
      </c>
      <c r="K4550">
        <v>1.103245</v>
      </c>
      <c r="L4550">
        <v>143.13669999999999</v>
      </c>
      <c r="M4550">
        <v>-0.93076369999999997</v>
      </c>
      <c r="N4550">
        <v>0</v>
      </c>
      <c r="O4550">
        <v>-0.36533860000000001</v>
      </c>
      <c r="P4550">
        <v>-0.97925859999999998</v>
      </c>
      <c r="Q4550">
        <v>1.07457E-2</v>
      </c>
      <c r="R4550">
        <v>-0.20232900000000001</v>
      </c>
      <c r="S4550">
        <v>-3.0818180000000002</v>
      </c>
      <c r="T4550">
        <v>-0.28846090000000002</v>
      </c>
      <c r="U4550">
        <v>3.2318119999999999E-2</v>
      </c>
      <c r="V4550">
        <v>0.16986679999999901</v>
      </c>
      <c r="W4550">
        <v>2.1954499999999998E-2</v>
      </c>
      <c r="X4550">
        <v>0.9852225</v>
      </c>
      <c r="Y4550">
        <v>0.37194909999999998</v>
      </c>
      <c r="Z4550">
        <v>5.0897039999999998E-2</v>
      </c>
      <c r="AA4550">
        <v>0.92685669999999998</v>
      </c>
      <c r="AB4550">
        <v>23</v>
      </c>
      <c r="AC4550">
        <v>-11.5626</v>
      </c>
      <c r="AD4550">
        <v>-1.10324656412999</v>
      </c>
      <c r="AE4550">
        <v>0.20030000000002601</v>
      </c>
      <c r="AF4550">
        <v>4.3713666951634798</v>
      </c>
      <c r="AG4550">
        <v>-1.10324656412999</v>
      </c>
      <c r="AH4550">
        <v>10.593560327504299</v>
      </c>
      <c r="AI4550">
        <v>95.4988648537975</v>
      </c>
      <c r="AJ4550">
        <v>67.576813182135396</v>
      </c>
      <c r="AK4550">
        <v>11.5130152513285</v>
      </c>
      <c r="AL4550">
        <v>88.741998801052702</v>
      </c>
      <c r="AM4550">
        <v>80.217544865951993</v>
      </c>
      <c r="AN4550">
        <v>1.0000000521593599</v>
      </c>
    </row>
    <row r="4551" spans="1:40" x14ac:dyDescent="0.25">
      <c r="A4551" t="str">
        <f>"20190312154345761"</f>
        <v>20190312154345761</v>
      </c>
      <c r="B4551" t="str">
        <f>"1552376625751733"</f>
        <v>1552376625751733</v>
      </c>
      <c r="C4551" t="s">
        <v>40</v>
      </c>
      <c r="D4551">
        <v>5.0535610000000002</v>
      </c>
      <c r="E4551">
        <v>0.58404679999999998</v>
      </c>
      <c r="F4551" t="s">
        <v>43</v>
      </c>
      <c r="G4551">
        <v>-218.9384</v>
      </c>
      <c r="H4551" s="1">
        <v>-1.473234E-6</v>
      </c>
      <c r="I4551">
        <v>143.34049999999999</v>
      </c>
      <c r="J4551">
        <v>-207.41130000000001</v>
      </c>
      <c r="K4551">
        <v>1.10327</v>
      </c>
      <c r="L4551">
        <v>143.0609</v>
      </c>
      <c r="M4551">
        <v>-0.93497620000000004</v>
      </c>
      <c r="N4551">
        <v>0</v>
      </c>
      <c r="O4551">
        <v>-0.3544195</v>
      </c>
      <c r="P4551">
        <v>-0.9816956</v>
      </c>
      <c r="Q4551">
        <v>1.0050720000000001E-2</v>
      </c>
      <c r="R4551">
        <v>-0.1901919</v>
      </c>
      <c r="S4551">
        <v>-3.077744</v>
      </c>
      <c r="T4551">
        <v>-0.2888095</v>
      </c>
      <c r="U4551">
        <v>5.3359990000000003E-2</v>
      </c>
      <c r="V4551">
        <v>0.1705198</v>
      </c>
      <c r="W4551">
        <v>2.1251329999999999E-2</v>
      </c>
      <c r="X4551">
        <v>0.98512509999999998</v>
      </c>
      <c r="Y4551">
        <v>0.36748890000000001</v>
      </c>
      <c r="Z4551">
        <v>4.985676E-2</v>
      </c>
      <c r="AA4551">
        <v>0.92869060000000003</v>
      </c>
      <c r="AB4551">
        <v>23</v>
      </c>
      <c r="AC4551">
        <v>-11.5270999999999</v>
      </c>
      <c r="AD4551">
        <v>-1.1032714732340001</v>
      </c>
      <c r="AE4551">
        <v>0.27959999999998703</v>
      </c>
      <c r="AF4551">
        <v>4.3078574400739598</v>
      </c>
      <c r="AG4551">
        <v>-1.1032714732340001</v>
      </c>
      <c r="AH4551">
        <v>10.5826833522532</v>
      </c>
      <c r="AI4551">
        <v>95.515322384793905</v>
      </c>
      <c r="AJ4551">
        <v>67.850400932879694</v>
      </c>
      <c r="AK4551">
        <v>11.4790256817253</v>
      </c>
      <c r="AL4551">
        <v>88.782296864979301</v>
      </c>
      <c r="AM4551">
        <v>80.179717992125504</v>
      </c>
      <c r="AN4551">
        <v>1.0000000419344</v>
      </c>
    </row>
    <row r="4552" spans="1:40" x14ac:dyDescent="0.25">
      <c r="A4552" t="str">
        <f>"20190312154345784"</f>
        <v>20190312154345784</v>
      </c>
      <c r="B4552" t="str">
        <f>"1552376625772229"</f>
        <v>1552376625772229</v>
      </c>
      <c r="C4552" t="s">
        <v>40</v>
      </c>
      <c r="D4552">
        <v>5.0129419999999998</v>
      </c>
      <c r="E4552">
        <v>0.58266430000000002</v>
      </c>
      <c r="F4552" t="s">
        <v>43</v>
      </c>
      <c r="G4552">
        <v>-219.2877</v>
      </c>
      <c r="H4552" s="1">
        <v>-1.3182149999999999E-6</v>
      </c>
      <c r="I4552">
        <v>143.3785</v>
      </c>
      <c r="J4552">
        <v>-207.64510000000001</v>
      </c>
      <c r="K4552">
        <v>1.1032979999999999</v>
      </c>
      <c r="L4552">
        <v>142.98670000000001</v>
      </c>
      <c r="M4552">
        <v>-0.93911029999999995</v>
      </c>
      <c r="N4552">
        <v>0</v>
      </c>
      <c r="O4552">
        <v>-0.3433155</v>
      </c>
      <c r="P4552">
        <v>-0.98390080000000002</v>
      </c>
      <c r="Q4552">
        <v>1.0147639999999999E-2</v>
      </c>
      <c r="R4552">
        <v>-0.17842710000000001</v>
      </c>
      <c r="S4552">
        <v>-3.0748139999999999</v>
      </c>
      <c r="T4552">
        <v>-0.28563769999999999</v>
      </c>
      <c r="U4552">
        <v>8.221436E-2</v>
      </c>
      <c r="V4552">
        <v>0.1706384</v>
      </c>
      <c r="W4552">
        <v>2.1352400000000001E-2</v>
      </c>
      <c r="X4552">
        <v>0.98510240000000004</v>
      </c>
      <c r="Y4552">
        <v>0.36532209999999898</v>
      </c>
      <c r="Z4552">
        <v>4.8287400000000001E-2</v>
      </c>
      <c r="AA4552">
        <v>0.92962800000000001</v>
      </c>
      <c r="AB4552">
        <v>23</v>
      </c>
      <c r="AC4552">
        <v>-11.6425999999999</v>
      </c>
      <c r="AD4552">
        <v>-1.1032993182149999</v>
      </c>
      <c r="AE4552">
        <v>0.39179999999998899</v>
      </c>
      <c r="AF4552">
        <v>4.3266683430936297</v>
      </c>
      <c r="AG4552">
        <v>-1.1032993182149999</v>
      </c>
      <c r="AH4552">
        <v>10.7042708194083</v>
      </c>
      <c r="AI4552">
        <v>95.458606161202098</v>
      </c>
      <c r="AJ4552">
        <v>67.991431630530002</v>
      </c>
      <c r="AK4552">
        <v>11.598221506418</v>
      </c>
      <c r="AL4552">
        <v>88.7765046928793</v>
      </c>
      <c r="AM4552">
        <v>80.172798872315099</v>
      </c>
      <c r="AN4552">
        <v>1.0000000635130299</v>
      </c>
    </row>
    <row r="4553" spans="1:40" x14ac:dyDescent="0.25">
      <c r="A4553" t="str">
        <f>"20190312154345817"</f>
        <v>20190312154345817</v>
      </c>
      <c r="B4553" t="str">
        <f>"1552376625812245"</f>
        <v>1552376625812245</v>
      </c>
      <c r="C4553" t="s">
        <v>40</v>
      </c>
      <c r="D4553">
        <v>4.9840159999999996</v>
      </c>
      <c r="E4553">
        <v>0.5665017</v>
      </c>
      <c r="F4553" t="s">
        <v>43</v>
      </c>
      <c r="G4553">
        <v>-220.10910000000001</v>
      </c>
      <c r="H4553" s="1">
        <v>-4.9147389999999997E-6</v>
      </c>
      <c r="I4553">
        <v>143.4264</v>
      </c>
      <c r="J4553">
        <v>-207.97</v>
      </c>
      <c r="K4553">
        <v>1.10334</v>
      </c>
      <c r="L4553">
        <v>142.88890000000001</v>
      </c>
      <c r="M4553">
        <v>-0.9446021</v>
      </c>
      <c r="N4553">
        <v>0</v>
      </c>
      <c r="O4553">
        <v>-0.32790340000000001</v>
      </c>
      <c r="P4553">
        <v>-0.98642149999999995</v>
      </c>
      <c r="Q4553">
        <v>1.0478350000000001E-2</v>
      </c>
      <c r="R4553">
        <v>-0.1638984</v>
      </c>
      <c r="S4553">
        <v>-3.0715479999999999</v>
      </c>
      <c r="T4553">
        <v>-0.27189029999999997</v>
      </c>
      <c r="U4553">
        <v>0.1083679</v>
      </c>
      <c r="V4553">
        <v>0.16904849999999999</v>
      </c>
      <c r="W4553">
        <v>2.172234E-2</v>
      </c>
      <c r="X4553">
        <v>0.98536829999999997</v>
      </c>
      <c r="Y4553">
        <v>0.35839110000000002</v>
      </c>
      <c r="Z4553">
        <v>4.441871E-2</v>
      </c>
      <c r="AA4553">
        <v>0.93251430000000002</v>
      </c>
      <c r="AB4553">
        <v>23</v>
      </c>
      <c r="AC4553">
        <v>-12.139099999999999</v>
      </c>
      <c r="AD4553">
        <v>-1.103344914739</v>
      </c>
      <c r="AE4553">
        <v>0.53749999999999398</v>
      </c>
      <c r="AF4553">
        <v>4.4519317870976396</v>
      </c>
      <c r="AG4553">
        <v>-1.103344914739</v>
      </c>
      <c r="AH4553">
        <v>11.1991965329512</v>
      </c>
      <c r="AI4553">
        <v>95.230934481717597</v>
      </c>
      <c r="AJ4553">
        <v>68.321069510133896</v>
      </c>
      <c r="AK4553">
        <v>12.102027500444599</v>
      </c>
      <c r="AL4553">
        <v>88.755303660614601</v>
      </c>
      <c r="AM4553">
        <v>80.2651789001834</v>
      </c>
      <c r="AN4553">
        <v>0.99999997102610705</v>
      </c>
    </row>
    <row r="4554" spans="1:40" x14ac:dyDescent="0.25">
      <c r="A4554" t="str">
        <f>"20190312154345839"</f>
        <v>20190312154345839</v>
      </c>
      <c r="B4554" t="str">
        <f>"1552376625831765"</f>
        <v>1552376625831765</v>
      </c>
      <c r="C4554" t="s">
        <v>40</v>
      </c>
      <c r="D4554">
        <v>4.9917150000000001</v>
      </c>
      <c r="E4554">
        <v>0.56457060000000003</v>
      </c>
      <c r="F4554" t="s">
        <v>43</v>
      </c>
      <c r="G4554">
        <v>-223.29650000000001</v>
      </c>
      <c r="H4554" s="1">
        <v>-3.7590459999999999E-6</v>
      </c>
      <c r="I4554">
        <v>143.02610000000001</v>
      </c>
      <c r="J4554">
        <v>-208.19069999999999</v>
      </c>
      <c r="K4554">
        <v>1.103369</v>
      </c>
      <c r="L4554">
        <v>142.82570000000001</v>
      </c>
      <c r="M4554">
        <v>-0.94816909999999999</v>
      </c>
      <c r="N4554">
        <v>0</v>
      </c>
      <c r="O4554">
        <v>-0.31744250000000002</v>
      </c>
      <c r="P4554">
        <v>-0.98797670000000004</v>
      </c>
      <c r="Q4554">
        <v>1.135741E-2</v>
      </c>
      <c r="R4554">
        <v>-0.1541855</v>
      </c>
      <c r="S4554">
        <v>-3.0481720000000001</v>
      </c>
      <c r="T4554">
        <v>-0.21943570000000001</v>
      </c>
      <c r="U4554">
        <v>2.7297970000000001E-2</v>
      </c>
      <c r="V4554">
        <v>0.16786180000000001</v>
      </c>
      <c r="W4554">
        <v>2.2629059999999999E-2</v>
      </c>
      <c r="X4554">
        <v>0.98555079999999995</v>
      </c>
      <c r="Y4554">
        <v>0.32431409999999899</v>
      </c>
      <c r="Z4554">
        <v>3.4187750000000003E-2</v>
      </c>
      <c r="AA4554">
        <v>0.94533149999999999</v>
      </c>
      <c r="AB4554">
        <v>23</v>
      </c>
      <c r="AC4554">
        <v>-15.1058</v>
      </c>
      <c r="AD4554">
        <v>-1.1033727590459901</v>
      </c>
      <c r="AE4554">
        <v>0.20040000000000099</v>
      </c>
      <c r="AF4554">
        <v>4.9592940512884898</v>
      </c>
      <c r="AG4554">
        <v>-1.1033727590459901</v>
      </c>
      <c r="AH4554">
        <v>14.185035718953699</v>
      </c>
      <c r="AI4554">
        <v>94.199473011843494</v>
      </c>
      <c r="AJ4554">
        <v>70.729633654722406</v>
      </c>
      <c r="AK4554">
        <v>15.067424042633901</v>
      </c>
      <c r="AL4554">
        <v>88.703339711580497</v>
      </c>
      <c r="AM4554">
        <v>80.333978466581101</v>
      </c>
      <c r="AN4554">
        <v>1.0000000188181799</v>
      </c>
    </row>
    <row r="4555" spans="1:40" x14ac:dyDescent="0.25">
      <c r="A4555" t="str">
        <f>"20190312154345862"</f>
        <v>20190312154345862</v>
      </c>
      <c r="B4555" t="str">
        <f>"1552376625852265"</f>
        <v>1552376625852265</v>
      </c>
      <c r="C4555" t="s">
        <v>40</v>
      </c>
      <c r="D4555">
        <v>4.9812919999999998</v>
      </c>
      <c r="E4555">
        <v>0.56284069999999997</v>
      </c>
      <c r="F4555" t="s">
        <v>43</v>
      </c>
      <c r="G4555">
        <v>-222.57390000000001</v>
      </c>
      <c r="H4555" s="1">
        <v>-4.0044969999999997E-6</v>
      </c>
      <c r="I4555">
        <v>143.02340000000001</v>
      </c>
      <c r="J4555">
        <v>-208.43289999999999</v>
      </c>
      <c r="K4555">
        <v>1.103399</v>
      </c>
      <c r="L4555">
        <v>142.7593</v>
      </c>
      <c r="M4555">
        <v>-0.95193519999999998</v>
      </c>
      <c r="N4555">
        <v>0</v>
      </c>
      <c r="O4555">
        <v>-0.3059636</v>
      </c>
      <c r="P4555">
        <v>-0.98954279999999994</v>
      </c>
      <c r="Q4555">
        <v>1.194688E-2</v>
      </c>
      <c r="R4555">
        <v>-0.14374419999999999</v>
      </c>
      <c r="S4555">
        <v>-3.045731</v>
      </c>
      <c r="T4555">
        <v>-0.23364689999999999</v>
      </c>
      <c r="U4555">
        <v>4.188538E-2</v>
      </c>
      <c r="V4555">
        <v>0.16636770000000001</v>
      </c>
      <c r="W4555">
        <v>2.3251649999999999E-2</v>
      </c>
      <c r="X4555">
        <v>0.98578960000000004</v>
      </c>
      <c r="Y4555">
        <v>0.3172468</v>
      </c>
      <c r="Z4555">
        <v>3.5312209999999997E-2</v>
      </c>
      <c r="AA4555">
        <v>0.94768540000000001</v>
      </c>
      <c r="AB4555">
        <v>23</v>
      </c>
      <c r="AC4555">
        <v>-14.141</v>
      </c>
      <c r="AD4555">
        <v>-1.103403004497</v>
      </c>
      <c r="AE4555">
        <v>0.26410000000001299</v>
      </c>
      <c r="AF4555">
        <v>4.55081035875269</v>
      </c>
      <c r="AG4555">
        <v>-1.103403004497</v>
      </c>
      <c r="AH4555">
        <v>13.3009326670531</v>
      </c>
      <c r="AI4555">
        <v>94.487936720776801</v>
      </c>
      <c r="AJ4555">
        <v>71.112018084964106</v>
      </c>
      <c r="AK4555">
        <v>14.1011411922987</v>
      </c>
      <c r="AL4555">
        <v>88.667658508082596</v>
      </c>
      <c r="AM4555">
        <v>80.420689555107202</v>
      </c>
      <c r="AN4555">
        <v>0.99999999314958599</v>
      </c>
    </row>
    <row r="4556" spans="1:40" x14ac:dyDescent="0.25">
      <c r="A4556" t="str">
        <f>"20190312154345883"</f>
        <v>20190312154345883</v>
      </c>
      <c r="B4556" t="str">
        <f>"1552376625871781"</f>
        <v>1552376625871781</v>
      </c>
      <c r="C4556" t="s">
        <v>40</v>
      </c>
      <c r="D4556">
        <v>4.8738729999999997</v>
      </c>
      <c r="E4556">
        <v>0.56186630000000004</v>
      </c>
      <c r="F4556" t="s">
        <v>43</v>
      </c>
      <c r="G4556">
        <v>-222.3477</v>
      </c>
      <c r="H4556" s="1">
        <v>-4.0832280000000001E-6</v>
      </c>
      <c r="I4556">
        <v>143.0333</v>
      </c>
      <c r="J4556">
        <v>-208.6454</v>
      </c>
      <c r="K4556">
        <v>1.1034250000000001</v>
      </c>
      <c r="L4556">
        <v>142.70359999999999</v>
      </c>
      <c r="M4556">
        <v>-0.95511440000000003</v>
      </c>
      <c r="N4556">
        <v>0</v>
      </c>
      <c r="O4556">
        <v>-0.29589009999999999</v>
      </c>
      <c r="P4556">
        <v>-0.99090579999999995</v>
      </c>
      <c r="Q4556">
        <v>1.191443E-2</v>
      </c>
      <c r="R4556">
        <v>-0.1340297</v>
      </c>
      <c r="S4556">
        <v>-3.0433500000000002</v>
      </c>
      <c r="T4556">
        <v>-0.24132919999999999</v>
      </c>
      <c r="U4556">
        <v>5.9951780000000003E-2</v>
      </c>
      <c r="V4556">
        <v>0.16562279999999999</v>
      </c>
      <c r="W4556">
        <v>2.323544E-2</v>
      </c>
      <c r="X4556">
        <v>0.9859154</v>
      </c>
      <c r="Y4556">
        <v>0.31278489999999998</v>
      </c>
      <c r="Z4556">
        <v>3.5555820000000002E-2</v>
      </c>
      <c r="AA4556">
        <v>0.94915830000000001</v>
      </c>
      <c r="AB4556">
        <v>23</v>
      </c>
      <c r="AC4556">
        <v>-13.702299999999999</v>
      </c>
      <c r="AD4556">
        <v>-1.103429083228</v>
      </c>
      <c r="AE4556">
        <v>0.32970000000000199</v>
      </c>
      <c r="AF4556">
        <v>4.3415868400278796</v>
      </c>
      <c r="AG4556">
        <v>-1.103429083228</v>
      </c>
      <c r="AH4556">
        <v>12.9073897469075</v>
      </c>
      <c r="AI4556">
        <v>94.632397214534706</v>
      </c>
      <c r="AJ4556">
        <v>71.408891243490501</v>
      </c>
      <c r="AK4556">
        <v>13.6626367187959</v>
      </c>
      <c r="AL4556">
        <v>88.668587515148801</v>
      </c>
      <c r="AM4556">
        <v>80.463985229337993</v>
      </c>
      <c r="AN4556">
        <v>0.99999998675449597</v>
      </c>
    </row>
    <row r="4557" spans="1:40" x14ac:dyDescent="0.25">
      <c r="A4557" t="str">
        <f>"20190312154345905"</f>
        <v>20190312154345905</v>
      </c>
      <c r="B4557" t="str">
        <f>"1552376625902037"</f>
        <v>1552376625902037</v>
      </c>
      <c r="C4557" t="s">
        <v>40</v>
      </c>
      <c r="D4557">
        <v>4.9402410000000003</v>
      </c>
      <c r="E4557">
        <v>0.56113449999999998</v>
      </c>
      <c r="F4557" t="s">
        <v>43</v>
      </c>
      <c r="G4557">
        <v>-222.9393</v>
      </c>
      <c r="H4557" s="1">
        <v>-3.8919069999999999E-6</v>
      </c>
      <c r="I4557">
        <v>143.0898</v>
      </c>
      <c r="J4557">
        <v>-208.8698</v>
      </c>
      <c r="K4557">
        <v>1.1034469999999901</v>
      </c>
      <c r="L4557">
        <v>142.6473</v>
      </c>
      <c r="M4557">
        <v>-0.95834770000000002</v>
      </c>
      <c r="N4557">
        <v>0</v>
      </c>
      <c r="O4557">
        <v>-0.28524460000000001</v>
      </c>
      <c r="P4557">
        <v>-0.99227960000000004</v>
      </c>
      <c r="Q4557">
        <v>1.1700169999999999E-2</v>
      </c>
      <c r="R4557">
        <v>-0.12346940000000001</v>
      </c>
      <c r="S4557">
        <v>-3.0414729999999999</v>
      </c>
      <c r="T4557">
        <v>-0.23478879999999999</v>
      </c>
      <c r="U4557">
        <v>8.2199099999999997E-2</v>
      </c>
      <c r="V4557">
        <v>0.1651484</v>
      </c>
      <c r="W4557">
        <v>2.3032839999999999E-2</v>
      </c>
      <c r="X4557">
        <v>0.98599979999999998</v>
      </c>
      <c r="Y4557">
        <v>0.30931019999999998</v>
      </c>
      <c r="Z4557">
        <v>3.369163E-2</v>
      </c>
      <c r="AA4557">
        <v>0.95036419999999999</v>
      </c>
      <c r="AB4557">
        <v>23</v>
      </c>
      <c r="AC4557">
        <v>-14.0695</v>
      </c>
      <c r="AD4557">
        <v>-1.1034508919070001</v>
      </c>
      <c r="AE4557">
        <v>0.44249999999999501</v>
      </c>
      <c r="AF4557">
        <v>4.4106697000695503</v>
      </c>
      <c r="AG4557">
        <v>-1.1034508919070001</v>
      </c>
      <c r="AH4557">
        <v>13.277036018713799</v>
      </c>
      <c r="AI4557">
        <v>94.509669605336498</v>
      </c>
      <c r="AJ4557">
        <v>71.623363741240695</v>
      </c>
      <c r="AK4557">
        <v>14.0339337505985</v>
      </c>
      <c r="AL4557">
        <v>88.680198838737994</v>
      </c>
      <c r="AM4557">
        <v>80.491599203566594</v>
      </c>
      <c r="AN4557">
        <v>1.00000005567053</v>
      </c>
    </row>
    <row r="4558" spans="1:40" x14ac:dyDescent="0.25">
      <c r="A4558" t="str">
        <f>"20190312154345929"</f>
        <v>20190312154345929</v>
      </c>
      <c r="B4558" t="str">
        <f>"1552376625921557"</f>
        <v>1552376625921557</v>
      </c>
      <c r="C4558" t="s">
        <v>40</v>
      </c>
      <c r="D4558">
        <v>4.8192370000000002</v>
      </c>
      <c r="E4558">
        <v>0.55990930000000005</v>
      </c>
      <c r="F4558" t="s">
        <v>43</v>
      </c>
      <c r="G4558">
        <v>-225.2852</v>
      </c>
      <c r="H4558" s="1">
        <v>-2.9688930000000001E-6</v>
      </c>
      <c r="I4558">
        <v>143.23910000000001</v>
      </c>
      <c r="J4558">
        <v>-209.09889999999999</v>
      </c>
      <c r="K4558">
        <v>1.103464</v>
      </c>
      <c r="L4558">
        <v>142.5926</v>
      </c>
      <c r="M4558">
        <v>-0.96151350000000002</v>
      </c>
      <c r="N4558">
        <v>0</v>
      </c>
      <c r="O4558">
        <v>-0.27438380000000001</v>
      </c>
      <c r="P4558">
        <v>-0.99345680000000003</v>
      </c>
      <c r="Q4558">
        <v>1.2265160000000001E-2</v>
      </c>
      <c r="R4558">
        <v>-0.1135475</v>
      </c>
      <c r="S4558">
        <v>-3.0393829999999999</v>
      </c>
      <c r="T4558">
        <v>-0.2043093</v>
      </c>
      <c r="U4558">
        <v>0.10958859999999999</v>
      </c>
      <c r="V4558">
        <v>0.1638522</v>
      </c>
      <c r="W4558">
        <v>2.3624909999999999E-2</v>
      </c>
      <c r="X4558">
        <v>0.98620189999999996</v>
      </c>
      <c r="Y4558">
        <v>0.30758049999999998</v>
      </c>
      <c r="Z4558">
        <v>2.8584660000000001E-2</v>
      </c>
      <c r="AA4558">
        <v>0.95109259999999995</v>
      </c>
      <c r="AB4558">
        <v>23</v>
      </c>
      <c r="AC4558">
        <v>-16.186299999999999</v>
      </c>
      <c r="AD4558">
        <v>-1.1034669688930001</v>
      </c>
      <c r="AE4558">
        <v>0.64650000000000296</v>
      </c>
      <c r="AF4558">
        <v>5.0400104519188504</v>
      </c>
      <c r="AG4558">
        <v>-1.1034669688930001</v>
      </c>
      <c r="AH4558">
        <v>15.316466030901699</v>
      </c>
      <c r="AI4558">
        <v>93.9149134680586</v>
      </c>
      <c r="AJ4558">
        <v>71.785779804414702</v>
      </c>
      <c r="AK4558">
        <v>16.162099999154002</v>
      </c>
      <c r="AL4558">
        <v>88.646266327929794</v>
      </c>
      <c r="AM4558">
        <v>80.566779519994995</v>
      </c>
      <c r="AN4558">
        <v>0.99999993369047602</v>
      </c>
    </row>
    <row r="4559" spans="1:40" x14ac:dyDescent="0.25">
      <c r="A4559" t="str">
        <f>"20190312154345950"</f>
        <v>20190312154345950</v>
      </c>
      <c r="B4559" t="str">
        <f>"1552376625942057"</f>
        <v>1552376625942057</v>
      </c>
      <c r="C4559" t="s">
        <v>40</v>
      </c>
      <c r="D4559">
        <v>4.8186239999999998</v>
      </c>
      <c r="E4559">
        <v>0.56032740000000003</v>
      </c>
      <c r="F4559" t="s">
        <v>43</v>
      </c>
      <c r="G4559">
        <v>-225.965</v>
      </c>
      <c r="H4559" s="1">
        <v>-2.6980089999999999E-6</v>
      </c>
      <c r="I4559">
        <v>143.31710000000001</v>
      </c>
      <c r="J4559">
        <v>-209.32669999999999</v>
      </c>
      <c r="K4559">
        <v>1.103488</v>
      </c>
      <c r="L4559">
        <v>142.5411</v>
      </c>
      <c r="M4559">
        <v>-0.96452919999999998</v>
      </c>
      <c r="N4559">
        <v>0</v>
      </c>
      <c r="O4559">
        <v>-0.26358730000000002</v>
      </c>
      <c r="P4559">
        <v>-0.99444160000000004</v>
      </c>
      <c r="Q4559">
        <v>1.18455E-2</v>
      </c>
      <c r="R4559">
        <v>-0.104620699999999</v>
      </c>
      <c r="S4559">
        <v>-3.03714</v>
      </c>
      <c r="T4559">
        <v>-0.19870499999999999</v>
      </c>
      <c r="U4559">
        <v>0.13047790000000001</v>
      </c>
      <c r="V4559">
        <v>0.16164529999999999</v>
      </c>
      <c r="W4559">
        <v>2.3251170000000002E-2</v>
      </c>
      <c r="X4559">
        <v>0.98657490000000003</v>
      </c>
      <c r="Y4559">
        <v>0.30357079999999997</v>
      </c>
      <c r="Z4559">
        <v>2.700526E-2</v>
      </c>
      <c r="AA4559">
        <v>0.95242610000000005</v>
      </c>
      <c r="AB4559">
        <v>23</v>
      </c>
      <c r="AC4559">
        <v>-16.638300000000001</v>
      </c>
      <c r="AD4559">
        <v>-1.103490698009</v>
      </c>
      <c r="AE4559">
        <v>0.77600000000001002</v>
      </c>
      <c r="AF4559">
        <v>5.11220795768818</v>
      </c>
      <c r="AG4559">
        <v>-1.103490698009</v>
      </c>
      <c r="AH4559">
        <v>15.7759655695103</v>
      </c>
      <c r="AI4559">
        <v>93.806911378780498</v>
      </c>
      <c r="AJ4559">
        <v>72.045062347941396</v>
      </c>
      <c r="AK4559">
        <v>16.6202723074448</v>
      </c>
      <c r="AL4559">
        <v>88.6676859288321</v>
      </c>
      <c r="AM4559">
        <v>80.695053194803805</v>
      </c>
      <c r="AN4559">
        <v>0.99999992661423098</v>
      </c>
    </row>
    <row r="4560" spans="1:40" x14ac:dyDescent="0.25">
      <c r="A4560" t="str">
        <f>"20190312154346085"</f>
        <v>20190312154346085</v>
      </c>
      <c r="B4560" t="str">
        <f>"1552376626081621"</f>
        <v>1552376626081621</v>
      </c>
      <c r="C4560" t="s">
        <v>40</v>
      </c>
      <c r="D4560">
        <v>4.6227150000000004</v>
      </c>
      <c r="E4560">
        <v>0.54208959999999995</v>
      </c>
      <c r="F4560" t="s">
        <v>43</v>
      </c>
      <c r="G4560">
        <v>-226.1489</v>
      </c>
      <c r="H4560" s="1">
        <v>-2.6505049999999998E-6</v>
      </c>
      <c r="I4560">
        <v>143.43510000000001</v>
      </c>
      <c r="J4560">
        <v>-210.69749999999999</v>
      </c>
      <c r="K4560">
        <v>1.1038289999999999</v>
      </c>
      <c r="L4560">
        <v>142.2851</v>
      </c>
      <c r="M4560">
        <v>-0.97979640000000001</v>
      </c>
      <c r="N4560">
        <v>0</v>
      </c>
      <c r="O4560">
        <v>-0.19948979999999999</v>
      </c>
      <c r="P4560">
        <v>-0.99848490000000001</v>
      </c>
      <c r="Q4560">
        <v>6.7117030000000003E-3</v>
      </c>
      <c r="R4560">
        <v>-5.4619519999999998E-2</v>
      </c>
      <c r="S4560">
        <v>-3.0361180000000001</v>
      </c>
      <c r="T4560">
        <v>-0.19916110000000001</v>
      </c>
      <c r="U4560">
        <v>0.1613617</v>
      </c>
      <c r="V4560">
        <v>0.1460004</v>
      </c>
      <c r="W4560">
        <v>1.8480980000000001E-2</v>
      </c>
      <c r="X4560">
        <v>0.98911190000000004</v>
      </c>
      <c r="Y4560">
        <v>0.2502722</v>
      </c>
      <c r="Z4560">
        <v>2.1209019999999999E-2</v>
      </c>
      <c r="AA4560">
        <v>0.9679432</v>
      </c>
      <c r="AB4560">
        <v>23</v>
      </c>
      <c r="AC4560">
        <v>-15.4514</v>
      </c>
      <c r="AD4560">
        <v>-1.1038316505050001</v>
      </c>
      <c r="AE4560">
        <v>1.1499999999999999</v>
      </c>
      <c r="AF4560">
        <v>4.1883320091626901</v>
      </c>
      <c r="AG4560">
        <v>-1.1038316505050001</v>
      </c>
      <c r="AH4560">
        <v>14.8360262828391</v>
      </c>
      <c r="AI4560">
        <v>94.095587169367903</v>
      </c>
      <c r="AJ4560">
        <v>74.235191207304894</v>
      </c>
      <c r="AK4560">
        <v>15.455362991425501</v>
      </c>
      <c r="AL4560">
        <v>88.941057566687107</v>
      </c>
      <c r="AM4560">
        <v>81.603341236430893</v>
      </c>
      <c r="AN4560">
        <v>1.0000000070717601</v>
      </c>
    </row>
    <row r="4561" spans="1:40" x14ac:dyDescent="0.25">
      <c r="A4561" t="str">
        <f>"20190312154346106"</f>
        <v>20190312154346106</v>
      </c>
      <c r="B4561" t="str">
        <f>"1552376626102117"</f>
        <v>1552376626102117</v>
      </c>
      <c r="C4561" t="s">
        <v>40</v>
      </c>
      <c r="D4561">
        <v>4.9503959999999996</v>
      </c>
      <c r="E4561">
        <v>0.53881449999999997</v>
      </c>
      <c r="F4561" t="s">
        <v>41</v>
      </c>
      <c r="G4561">
        <v>-211.4034</v>
      </c>
      <c r="H4561">
        <v>0.87468239999999997</v>
      </c>
      <c r="I4561">
        <v>142.3211</v>
      </c>
      <c r="J4561">
        <v>-210.9153</v>
      </c>
      <c r="K4561">
        <v>1.1039509999999999</v>
      </c>
      <c r="L4561">
        <v>142.25239999999999</v>
      </c>
      <c r="M4561">
        <v>-0.98174139999999999</v>
      </c>
      <c r="N4561">
        <v>0</v>
      </c>
      <c r="O4561">
        <v>-0.18968789999999999</v>
      </c>
      <c r="P4561">
        <v>-0.99896910000000005</v>
      </c>
      <c r="Q4561">
        <v>6.0053090000000003E-3</v>
      </c>
      <c r="R4561">
        <v>-4.5001550000000001E-2</v>
      </c>
      <c r="S4561">
        <v>-3.0195470000000002</v>
      </c>
      <c r="T4561">
        <v>-0.97996320000000003</v>
      </c>
      <c r="U4561">
        <v>0.15382390000000001</v>
      </c>
      <c r="V4561">
        <v>0.14562420000000001</v>
      </c>
      <c r="W4561">
        <v>1.7804939999999998E-2</v>
      </c>
      <c r="X4561">
        <v>0.9891797</v>
      </c>
      <c r="Y4561">
        <v>0.21854480000000001</v>
      </c>
      <c r="Z4561">
        <v>9.4334329999999994E-2</v>
      </c>
      <c r="AA4561">
        <v>0.97125649999999997</v>
      </c>
      <c r="AB4561">
        <v>23</v>
      </c>
      <c r="AC4561">
        <v>-0.48810000000000198</v>
      </c>
      <c r="AD4561">
        <v>-0.22926859999999999</v>
      </c>
      <c r="AE4561">
        <v>6.8700000000006797E-2</v>
      </c>
      <c r="AF4561">
        <v>0.13158121211240301</v>
      </c>
      <c r="AG4561">
        <v>-0.22926859999999999</v>
      </c>
      <c r="AH4561">
        <v>0.38328154563849498</v>
      </c>
      <c r="AI4561">
        <v>119.49952944140399</v>
      </c>
      <c r="AJ4561">
        <v>71.052565879593899</v>
      </c>
      <c r="AK4561">
        <v>0.46559902228630501</v>
      </c>
      <c r="AL4561">
        <v>88.979798125521199</v>
      </c>
      <c r="AM4561">
        <v>81.625235591121296</v>
      </c>
      <c r="AN4561">
        <v>0.99999995120306495</v>
      </c>
    </row>
    <row r="4562" spans="1:40" x14ac:dyDescent="0.25">
      <c r="A4562" t="str">
        <f>"20190312154346129"</f>
        <v>20190312154346129</v>
      </c>
      <c r="B4562" t="str">
        <f>"1552376626121637"</f>
        <v>1552376626121637</v>
      </c>
      <c r="C4562" t="s">
        <v>40</v>
      </c>
      <c r="D4562">
        <v>4.9797129999999896</v>
      </c>
      <c r="E4562">
        <v>0.53796730000000004</v>
      </c>
      <c r="F4562" t="s">
        <v>41</v>
      </c>
      <c r="G4562">
        <v>-211.6234</v>
      </c>
      <c r="H4562">
        <v>0.91412760000000004</v>
      </c>
      <c r="I4562">
        <v>142.28989999999999</v>
      </c>
      <c r="J4562">
        <v>-211.14869999999999</v>
      </c>
      <c r="K4562">
        <v>1.1041129999999999</v>
      </c>
      <c r="L4562">
        <v>142.21969999999999</v>
      </c>
      <c r="M4562">
        <v>-0.98367249999999995</v>
      </c>
      <c r="N4562">
        <v>0</v>
      </c>
      <c r="O4562">
        <v>-0.17940690000000001</v>
      </c>
      <c r="P4562">
        <v>-0.99933760000000005</v>
      </c>
      <c r="Q4562">
        <v>6.1367969999999899E-3</v>
      </c>
      <c r="R4562">
        <v>-3.587742E-2</v>
      </c>
      <c r="S4562">
        <v>-3.0151370000000002</v>
      </c>
      <c r="T4562">
        <v>-0.8079385</v>
      </c>
      <c r="U4562">
        <v>0.15933229999999901</v>
      </c>
      <c r="V4562">
        <v>0.1443025</v>
      </c>
      <c r="W4562">
        <v>1.7989450000000001E-2</v>
      </c>
      <c r="X4562">
        <v>0.98937010000000003</v>
      </c>
      <c r="Y4562">
        <v>0.21715509999999999</v>
      </c>
      <c r="Z4562">
        <v>7.5644119999999995E-2</v>
      </c>
      <c r="AA4562">
        <v>0.97320180000000001</v>
      </c>
      <c r="AB4562">
        <v>23</v>
      </c>
      <c r="AC4562">
        <v>-0.474700000000012</v>
      </c>
      <c r="AD4562">
        <v>-0.1899854</v>
      </c>
      <c r="AE4562">
        <v>7.0199999999999804E-2</v>
      </c>
      <c r="AF4562">
        <v>0.13333378464410101</v>
      </c>
      <c r="AG4562">
        <v>-0.1899854</v>
      </c>
      <c r="AH4562">
        <v>0.39282550566966301</v>
      </c>
      <c r="AI4562">
        <v>114.606641725629</v>
      </c>
      <c r="AJ4562">
        <v>71.251635648527497</v>
      </c>
      <c r="AK4562">
        <v>0.45627209891171999</v>
      </c>
      <c r="AL4562">
        <v>88.969224851216296</v>
      </c>
      <c r="AM4562">
        <v>81.701757193109302</v>
      </c>
      <c r="AN4562">
        <v>1.00000001329578</v>
      </c>
    </row>
    <row r="4563" spans="1:40" x14ac:dyDescent="0.25">
      <c r="A4563" t="str">
        <f>"20190312154346151"</f>
        <v>20190312154346151</v>
      </c>
      <c r="B4563" t="str">
        <f>"1552376626142137"</f>
        <v>1552376626142137</v>
      </c>
      <c r="C4563" t="s">
        <v>40</v>
      </c>
      <c r="D4563">
        <v>5.1398429999999999</v>
      </c>
      <c r="E4563">
        <v>0.53192150000000005</v>
      </c>
      <c r="F4563" t="s">
        <v>41</v>
      </c>
      <c r="G4563">
        <v>-212.02610000000001</v>
      </c>
      <c r="H4563">
        <v>0.88986160000000003</v>
      </c>
      <c r="I4563">
        <v>142.2723</v>
      </c>
      <c r="J4563">
        <v>-211.38310000000001</v>
      </c>
      <c r="K4563">
        <v>1.1043080000000001</v>
      </c>
      <c r="L4563">
        <v>142.1892</v>
      </c>
      <c r="M4563">
        <v>-0.9854562</v>
      </c>
      <c r="N4563">
        <v>0</v>
      </c>
      <c r="O4563">
        <v>-0.16933799999999999</v>
      </c>
      <c r="P4563">
        <v>-0.99958530000000001</v>
      </c>
      <c r="Q4563">
        <v>6.9478169999999898E-3</v>
      </c>
      <c r="R4563">
        <v>-2.794317E-2</v>
      </c>
      <c r="S4563">
        <v>-3.012985</v>
      </c>
      <c r="T4563">
        <v>-0.73543760000000002</v>
      </c>
      <c r="U4563">
        <v>0.18035889999999999</v>
      </c>
      <c r="V4563">
        <v>0.14204049999999999</v>
      </c>
      <c r="W4563">
        <v>1.8869540000000001E-2</v>
      </c>
      <c r="X4563">
        <v>0.98968100000000003</v>
      </c>
      <c r="Y4563">
        <v>0.2166573</v>
      </c>
      <c r="Z4563">
        <v>6.6642569999999998E-2</v>
      </c>
      <c r="AA4563">
        <v>0.97397040000000001</v>
      </c>
      <c r="AB4563">
        <v>23</v>
      </c>
      <c r="AC4563">
        <v>-0.64300000000000002</v>
      </c>
      <c r="AD4563">
        <v>-0.21444640000000001</v>
      </c>
      <c r="AE4563">
        <v>8.31000000000017E-2</v>
      </c>
      <c r="AF4563">
        <v>0.171980082412342</v>
      </c>
      <c r="AG4563">
        <v>-0.21444640000000001</v>
      </c>
      <c r="AH4563">
        <v>0.55853427259853194</v>
      </c>
      <c r="AI4563">
        <v>110.15029435997199</v>
      </c>
      <c r="AJ4563">
        <v>72.885709464806496</v>
      </c>
      <c r="AK4563">
        <v>0.62251501257936503</v>
      </c>
      <c r="AL4563">
        <v>88.9187908519974</v>
      </c>
      <c r="AM4563">
        <v>81.832597650341199</v>
      </c>
      <c r="AN4563">
        <v>1.0000000224705301</v>
      </c>
    </row>
    <row r="4564" spans="1:40" x14ac:dyDescent="0.25">
      <c r="A4564" t="str">
        <f>"20190312154346176"</f>
        <v>20190312154346176</v>
      </c>
      <c r="B4564" t="str">
        <f>"1552376626172389"</f>
        <v>1552376626172389</v>
      </c>
      <c r="C4564" t="s">
        <v>40</v>
      </c>
      <c r="D4564">
        <v>4.8340269999999999</v>
      </c>
      <c r="E4564">
        <v>0.53225599999999995</v>
      </c>
      <c r="F4564" t="s">
        <v>43</v>
      </c>
      <c r="G4564">
        <v>-238.48480000000001</v>
      </c>
      <c r="H4564" s="1">
        <v>-1.7191749999999999E-6</v>
      </c>
      <c r="I4564">
        <v>143.70089999999999</v>
      </c>
      <c r="J4564">
        <v>-211.62469999999999</v>
      </c>
      <c r="K4564">
        <v>1.1044940000000001</v>
      </c>
      <c r="L4564">
        <v>142.15989999999999</v>
      </c>
      <c r="M4564">
        <v>-0.98714460000000004</v>
      </c>
      <c r="N4564">
        <v>0</v>
      </c>
      <c r="O4564">
        <v>-0.1592027</v>
      </c>
      <c r="P4564">
        <v>-0.99976240000000005</v>
      </c>
      <c r="Q4564">
        <v>7.437384E-3</v>
      </c>
      <c r="R4564">
        <v>-2.048521E-2</v>
      </c>
      <c r="S4564">
        <v>-3.0067750000000002</v>
      </c>
      <c r="T4564">
        <v>-0.122516899999999</v>
      </c>
      <c r="U4564">
        <v>0.1677246</v>
      </c>
      <c r="V4564">
        <v>0.13925070000000001</v>
      </c>
      <c r="W4564">
        <v>1.943305E-2</v>
      </c>
      <c r="X4564">
        <v>0.99006649999999996</v>
      </c>
      <c r="Y4564">
        <v>0.21364839999999999</v>
      </c>
      <c r="Z4564">
        <v>1.0813919999999999E-2</v>
      </c>
      <c r="AA4564">
        <v>0.97685069999999996</v>
      </c>
      <c r="AB4564">
        <v>23</v>
      </c>
      <c r="AC4564">
        <v>-26.860099999999999</v>
      </c>
      <c r="AD4564">
        <v>-1.104495719175</v>
      </c>
      <c r="AE4564">
        <v>1.5409999999999899</v>
      </c>
      <c r="AF4564">
        <v>5.78821514046024</v>
      </c>
      <c r="AG4564">
        <v>-1.104495719175</v>
      </c>
      <c r="AH4564">
        <v>26.227896426269101</v>
      </c>
      <c r="AI4564">
        <v>92.354789973363296</v>
      </c>
      <c r="AJ4564">
        <v>77.554918212663395</v>
      </c>
      <c r="AK4564">
        <v>26.881701885353699</v>
      </c>
      <c r="AL4564">
        <v>88.886498201921498</v>
      </c>
      <c r="AM4564">
        <v>81.993988721224994</v>
      </c>
      <c r="AN4564">
        <v>1.00000003765252</v>
      </c>
    </row>
    <row r="4565" spans="1:40" x14ac:dyDescent="0.25">
      <c r="A4565" t="str">
        <f>"20190312154346197"</f>
        <v>20190312154346197</v>
      </c>
      <c r="B4565" t="str">
        <f>"1552376626191909"</f>
        <v>1552376626191909</v>
      </c>
      <c r="C4565" t="s">
        <v>40</v>
      </c>
      <c r="D4565">
        <v>4.854355</v>
      </c>
      <c r="E4565">
        <v>0.5307965</v>
      </c>
      <c r="F4565" t="s">
        <v>43</v>
      </c>
      <c r="G4565">
        <v>-256.57690000000002</v>
      </c>
      <c r="H4565" s="1">
        <v>-2.8994210000000001E-6</v>
      </c>
      <c r="I4565">
        <v>145.06049999999999</v>
      </c>
      <c r="J4565">
        <v>-211.8459</v>
      </c>
      <c r="K4565">
        <v>1.104671</v>
      </c>
      <c r="L4565">
        <v>142.13499999999999</v>
      </c>
      <c r="M4565">
        <v>-0.98856149999999998</v>
      </c>
      <c r="N4565">
        <v>0</v>
      </c>
      <c r="O4565">
        <v>-0.15015800000000001</v>
      </c>
      <c r="P4565">
        <v>-0.99986280000000005</v>
      </c>
      <c r="Q4565">
        <v>8.5033460000000002E-3</v>
      </c>
      <c r="R4565">
        <v>-1.421271E-2</v>
      </c>
      <c r="S4565">
        <v>-3.0052189999999999</v>
      </c>
      <c r="T4565">
        <v>-7.3839660000000001E-2</v>
      </c>
      <c r="U4565">
        <v>0.19392400000000001</v>
      </c>
      <c r="V4565">
        <v>0.13640139999999901</v>
      </c>
      <c r="W4565">
        <v>2.0568179999999998E-2</v>
      </c>
      <c r="X4565">
        <v>0.99044010000000005</v>
      </c>
      <c r="Y4565">
        <v>0.21341679999999999</v>
      </c>
      <c r="Z4565">
        <v>6.2981519999999996E-3</v>
      </c>
      <c r="AA4565">
        <v>0.9769409</v>
      </c>
      <c r="AB4565">
        <v>23</v>
      </c>
      <c r="AC4565">
        <v>-44.731000000000002</v>
      </c>
      <c r="AD4565">
        <v>-1.1046738994209999</v>
      </c>
      <c r="AE4565">
        <v>2.9254999999999902</v>
      </c>
      <c r="AF4565">
        <v>9.6038767564851799</v>
      </c>
      <c r="AG4565">
        <v>-1.1046738994209999</v>
      </c>
      <c r="AH4565">
        <v>43.757834442430102</v>
      </c>
      <c r="AI4565">
        <v>91.412527565347304</v>
      </c>
      <c r="AJ4565">
        <v>77.6211187886489</v>
      </c>
      <c r="AK4565">
        <v>44.8129761148369</v>
      </c>
      <c r="AL4565">
        <v>88.821446976314803</v>
      </c>
      <c r="AM4565">
        <v>82.158666822788703</v>
      </c>
      <c r="AN4565">
        <v>0.99999999181924104</v>
      </c>
    </row>
    <row r="4566" spans="1:40" x14ac:dyDescent="0.25">
      <c r="A4566" t="str">
        <f>"20190312154346220"</f>
        <v>20190312154346220</v>
      </c>
      <c r="B4566" t="str">
        <f>"1552376626212405"</f>
        <v>1552376626212405</v>
      </c>
      <c r="C4566" t="s">
        <v>40</v>
      </c>
      <c r="D4566">
        <v>4.8787440000000002</v>
      </c>
      <c r="E4566">
        <v>0.52799439999999997</v>
      </c>
      <c r="F4566" t="s">
        <v>43</v>
      </c>
      <c r="G4566">
        <v>-261.21710000000002</v>
      </c>
      <c r="H4566" s="1">
        <v>-4.8947239999999997E-6</v>
      </c>
      <c r="I4566">
        <v>145.4392</v>
      </c>
      <c r="J4566">
        <v>-212.07660000000001</v>
      </c>
      <c r="K4566">
        <v>1.104859</v>
      </c>
      <c r="L4566">
        <v>142.11099999999999</v>
      </c>
      <c r="M4566">
        <v>-0.98990909999999999</v>
      </c>
      <c r="N4566">
        <v>0</v>
      </c>
      <c r="O4566">
        <v>-0.1410053</v>
      </c>
      <c r="P4566">
        <v>-0.99992729999999996</v>
      </c>
      <c r="Q4566">
        <v>9.075339E-3</v>
      </c>
      <c r="R4566">
        <v>-7.9596049999999998E-3</v>
      </c>
      <c r="S4566">
        <v>-3.0038450000000001</v>
      </c>
      <c r="T4566">
        <v>-6.721067E-2</v>
      </c>
      <c r="U4566">
        <v>0.2010345</v>
      </c>
      <c r="V4566">
        <v>0.13342780000000001</v>
      </c>
      <c r="W4566">
        <v>2.1211290000000001E-2</v>
      </c>
      <c r="X4566">
        <v>0.99083160000000003</v>
      </c>
      <c r="Y4566">
        <v>0.20672679999999999</v>
      </c>
      <c r="Z4566">
        <v>5.4570499999999997E-3</v>
      </c>
      <c r="AA4566">
        <v>0.97838349999999996</v>
      </c>
      <c r="AB4566">
        <v>23</v>
      </c>
      <c r="AC4566">
        <v>-49.140500000000003</v>
      </c>
      <c r="AD4566">
        <v>-1.1048638947239999</v>
      </c>
      <c r="AE4566">
        <v>3.3281999999999998</v>
      </c>
      <c r="AF4566">
        <v>10.2195534431553</v>
      </c>
      <c r="AG4566">
        <v>-1.1048638947239999</v>
      </c>
      <c r="AH4566">
        <v>48.155859208133599</v>
      </c>
      <c r="AI4566">
        <v>91.285711781390503</v>
      </c>
      <c r="AJ4566">
        <v>78.018545744830803</v>
      </c>
      <c r="AK4566">
        <v>49.240702400320799</v>
      </c>
      <c r="AL4566">
        <v>88.784591549088404</v>
      </c>
      <c r="AM4566">
        <v>82.330547716795806</v>
      </c>
      <c r="AN4566">
        <v>1.0000000780974201</v>
      </c>
    </row>
    <row r="4567" spans="1:40" x14ac:dyDescent="0.25">
      <c r="A4567" t="str">
        <f>"20190312154346242"</f>
        <v>20190312154346242</v>
      </c>
      <c r="B4567" t="str">
        <f>"1552376626231925"</f>
        <v>1552376626231925</v>
      </c>
      <c r="C4567" t="s">
        <v>40</v>
      </c>
      <c r="D4567">
        <v>4.8882089999999998</v>
      </c>
      <c r="E4567">
        <v>0.52560779999999996</v>
      </c>
      <c r="F4567" t="s">
        <v>43</v>
      </c>
      <c r="G4567">
        <v>-260.74279999999999</v>
      </c>
      <c r="H4567" s="1">
        <v>-5.033124E-6</v>
      </c>
      <c r="I4567">
        <v>145.30940000000001</v>
      </c>
      <c r="J4567">
        <v>-212.303</v>
      </c>
      <c r="K4567">
        <v>1.105062</v>
      </c>
      <c r="L4567">
        <v>142.0891</v>
      </c>
      <c r="M4567">
        <v>-0.99110589999999998</v>
      </c>
      <c r="N4567">
        <v>0</v>
      </c>
      <c r="O4567">
        <v>-0.13233589999999901</v>
      </c>
      <c r="P4567">
        <v>-0.99995319999999999</v>
      </c>
      <c r="Q4567">
        <v>9.2671739999999996E-3</v>
      </c>
      <c r="R4567">
        <v>-2.823037E-3</v>
      </c>
      <c r="S4567">
        <v>-3.0024109999999999</v>
      </c>
      <c r="T4567">
        <v>-6.8163509999999997E-2</v>
      </c>
      <c r="U4567">
        <v>0.19732669999999999</v>
      </c>
      <c r="V4567">
        <v>0.12983510000000001</v>
      </c>
      <c r="W4567">
        <v>2.148255E-2</v>
      </c>
      <c r="X4567">
        <v>0.99130280000000004</v>
      </c>
      <c r="Y4567">
        <v>0.19698379999999999</v>
      </c>
      <c r="Z4567">
        <v>5.2310789999999996E-3</v>
      </c>
      <c r="AA4567">
        <v>0.98039279999999995</v>
      </c>
      <c r="AB4567">
        <v>23</v>
      </c>
      <c r="AC4567">
        <v>-48.439799999999899</v>
      </c>
      <c r="AD4567">
        <v>-1.105067033124</v>
      </c>
      <c r="AE4567">
        <v>3.2202999999999999</v>
      </c>
      <c r="AF4567">
        <v>9.5979522536027808</v>
      </c>
      <c r="AG4567">
        <v>-1.105067033124</v>
      </c>
      <c r="AH4567">
        <v>47.562836535705998</v>
      </c>
      <c r="AI4567">
        <v>91.3046716183607</v>
      </c>
      <c r="AJ4567">
        <v>78.591200261204193</v>
      </c>
      <c r="AK4567">
        <v>48.534166109375199</v>
      </c>
      <c r="AL4567">
        <v>88.769045793574705</v>
      </c>
      <c r="AM4567">
        <v>82.538204313812898</v>
      </c>
      <c r="AN4567">
        <v>0.999999947217174</v>
      </c>
    </row>
    <row r="4568" spans="1:40" x14ac:dyDescent="0.25">
      <c r="A4568" t="str">
        <f>"20190312154346264"</f>
        <v>20190312154346264</v>
      </c>
      <c r="B4568" t="str">
        <f>"1552376626252422"</f>
        <v>1552376626252422</v>
      </c>
      <c r="C4568" t="s">
        <v>40</v>
      </c>
      <c r="D4568">
        <v>4.9091750000000003</v>
      </c>
      <c r="E4568">
        <v>0.52303469999999996</v>
      </c>
      <c r="F4568" t="s">
        <v>43</v>
      </c>
      <c r="G4568">
        <v>-257.4495</v>
      </c>
      <c r="H4568" s="1">
        <v>-2.5090879999999999E-6</v>
      </c>
      <c r="I4568">
        <v>145.00049999999999</v>
      </c>
      <c r="J4568">
        <v>-212.5264</v>
      </c>
      <c r="K4568">
        <v>1.105289</v>
      </c>
      <c r="L4568">
        <v>142.06909999999999</v>
      </c>
      <c r="M4568">
        <v>-0.99217029999999995</v>
      </c>
      <c r="N4568">
        <v>0</v>
      </c>
      <c r="O4568">
        <v>-0.1241077</v>
      </c>
      <c r="P4568">
        <v>-0.99996189999999996</v>
      </c>
      <c r="Q4568">
        <v>8.3854610000000003E-3</v>
      </c>
      <c r="R4568">
        <v>2.4842649999999998E-3</v>
      </c>
      <c r="S4568">
        <v>-3.001404</v>
      </c>
      <c r="T4568">
        <v>-7.3466299999999998E-2</v>
      </c>
      <c r="U4568">
        <v>0.1935577</v>
      </c>
      <c r="V4568">
        <v>0.1268473</v>
      </c>
      <c r="W4568">
        <v>2.0674970000000001E-2</v>
      </c>
      <c r="X4568">
        <v>0.9917068</v>
      </c>
      <c r="Y4568">
        <v>0.1876273</v>
      </c>
      <c r="Z4568">
        <v>5.3252450000000002E-3</v>
      </c>
      <c r="AA4568">
        <v>0.98222580000000004</v>
      </c>
      <c r="AB4568">
        <v>23</v>
      </c>
      <c r="AC4568">
        <v>-44.923099999999998</v>
      </c>
      <c r="AD4568">
        <v>-1.105291509088</v>
      </c>
      <c r="AE4568">
        <v>2.9313999999999898</v>
      </c>
      <c r="AF4568">
        <v>8.4794681390439504</v>
      </c>
      <c r="AG4568">
        <v>-1.105291509088</v>
      </c>
      <c r="AH4568">
        <v>44.185240844418601</v>
      </c>
      <c r="AI4568">
        <v>91.407283037405506</v>
      </c>
      <c r="AJ4568">
        <v>79.1365998967525</v>
      </c>
      <c r="AK4568">
        <v>45.005094797371598</v>
      </c>
      <c r="AL4568">
        <v>88.815327109193902</v>
      </c>
      <c r="AM4568">
        <v>82.710986204561394</v>
      </c>
      <c r="AN4568">
        <v>1.0000000345340101</v>
      </c>
    </row>
    <row r="4569" spans="1:40" x14ac:dyDescent="0.25">
      <c r="A4569" t="str">
        <f>"20190312154346285"</f>
        <v>20190312154346285</v>
      </c>
      <c r="B4569" t="str">
        <f>"1552376626271942"</f>
        <v>1552376626271942</v>
      </c>
      <c r="C4569" t="s">
        <v>40</v>
      </c>
      <c r="D4569">
        <v>5.0212500000000002</v>
      </c>
      <c r="E4569">
        <v>0.5208064</v>
      </c>
      <c r="F4569" t="s">
        <v>43</v>
      </c>
      <c r="G4569">
        <v>-253.0659</v>
      </c>
      <c r="H4569" s="1">
        <v>-4.1197209999999997E-6</v>
      </c>
      <c r="I4569">
        <v>144.61689999999999</v>
      </c>
      <c r="J4569">
        <v>-212.7448</v>
      </c>
      <c r="K4569">
        <v>1.1055440000000001</v>
      </c>
      <c r="L4569">
        <v>142.05099999999999</v>
      </c>
      <c r="M4569">
        <v>-0.99310399999999999</v>
      </c>
      <c r="N4569">
        <v>0</v>
      </c>
      <c r="O4569">
        <v>-0.11640689999999999</v>
      </c>
      <c r="P4569">
        <v>-0.99994119999999997</v>
      </c>
      <c r="Q4569">
        <v>7.8696400000000007E-3</v>
      </c>
      <c r="R4569">
        <v>7.4881469999999997E-3</v>
      </c>
      <c r="S4569">
        <v>-3.0003510000000002</v>
      </c>
      <c r="T4569">
        <v>-8.1803440000000005E-2</v>
      </c>
      <c r="U4569">
        <v>0.18856809999999999</v>
      </c>
      <c r="V4569">
        <v>0.1240962</v>
      </c>
      <c r="W4569">
        <v>2.0231119999999998E-2</v>
      </c>
      <c r="X4569">
        <v>0.9920639</v>
      </c>
      <c r="Y4569">
        <v>0.17837819999999999</v>
      </c>
      <c r="Z4569">
        <v>5.5967359999999997E-3</v>
      </c>
      <c r="AA4569">
        <v>0.98394610000000005</v>
      </c>
      <c r="AB4569">
        <v>23</v>
      </c>
      <c r="AC4569">
        <v>-40.321100000000001</v>
      </c>
      <c r="AD4569">
        <v>-1.105548119721</v>
      </c>
      <c r="AE4569">
        <v>2.5658999999999699</v>
      </c>
      <c r="AF4569">
        <v>7.2371431401302102</v>
      </c>
      <c r="AG4569">
        <v>-1.105548119721</v>
      </c>
      <c r="AH4569">
        <v>39.7184714786558</v>
      </c>
      <c r="AI4569">
        <v>91.568580667036997</v>
      </c>
      <c r="AJ4569">
        <v>79.673367408696905</v>
      </c>
      <c r="AK4569">
        <v>40.387565587400097</v>
      </c>
      <c r="AL4569">
        <v>88.840763090207005</v>
      </c>
      <c r="AM4569">
        <v>82.869967449527607</v>
      </c>
      <c r="AN4569">
        <v>0.99999997337705104</v>
      </c>
    </row>
    <row r="4570" spans="1:40" x14ac:dyDescent="0.25">
      <c r="A4570" t="str">
        <f>"20190312154346309"</f>
        <v>20190312154346309</v>
      </c>
      <c r="B4570" t="str">
        <f>"1552376626302198"</f>
        <v>1552376626302198</v>
      </c>
      <c r="C4570" t="s">
        <v>40</v>
      </c>
      <c r="D4570">
        <v>5.1538529999999998</v>
      </c>
      <c r="E4570">
        <v>0.51912950000000002</v>
      </c>
      <c r="F4570" t="s">
        <v>43</v>
      </c>
      <c r="G4570">
        <v>-248.6788</v>
      </c>
      <c r="H4570" s="1">
        <v>-1.78793E-6</v>
      </c>
      <c r="I4570">
        <v>144.27209999999999</v>
      </c>
      <c r="J4570">
        <v>-212.9761</v>
      </c>
      <c r="K4570">
        <v>1.105834</v>
      </c>
      <c r="L4570">
        <v>142.03319999999999</v>
      </c>
      <c r="M4570">
        <v>-0.99398339999999996</v>
      </c>
      <c r="N4570">
        <v>0</v>
      </c>
      <c r="O4570">
        <v>-0.1086477</v>
      </c>
      <c r="P4570">
        <v>-0.99989779999999995</v>
      </c>
      <c r="Q4570">
        <v>6.3566250000000003E-3</v>
      </c>
      <c r="R4570">
        <v>1.280836E-2</v>
      </c>
      <c r="S4570">
        <v>-2.9995419999999999</v>
      </c>
      <c r="T4570">
        <v>-9.2284080000000004E-2</v>
      </c>
      <c r="U4570">
        <v>0.1854095</v>
      </c>
      <c r="V4570">
        <v>0.1215957</v>
      </c>
      <c r="W4570">
        <v>1.8789440000000001E-2</v>
      </c>
      <c r="X4570">
        <v>0.9924018</v>
      </c>
      <c r="Y4570">
        <v>0.16964960000000001</v>
      </c>
      <c r="Z4570">
        <v>5.943477E-3</v>
      </c>
      <c r="AA4570">
        <v>0.98548650000000004</v>
      </c>
      <c r="AB4570">
        <v>23</v>
      </c>
      <c r="AC4570">
        <v>-35.702699999999901</v>
      </c>
      <c r="AD4570">
        <v>-1.10583578793</v>
      </c>
      <c r="AE4570">
        <v>2.2389000000000001</v>
      </c>
      <c r="AF4570">
        <v>6.0992054728882001</v>
      </c>
      <c r="AG4570">
        <v>-1.10583578793</v>
      </c>
      <c r="AH4570">
        <v>35.214384969470103</v>
      </c>
      <c r="AI4570">
        <v>91.772295876017495</v>
      </c>
      <c r="AJ4570">
        <v>80.173735922112499</v>
      </c>
      <c r="AK4570">
        <v>35.755783993200502</v>
      </c>
      <c r="AL4570">
        <v>88.923380974195496</v>
      </c>
      <c r="AM4570">
        <v>83.014556367274693</v>
      </c>
      <c r="AN4570">
        <v>0.99999994497861999</v>
      </c>
    </row>
    <row r="4571" spans="1:40" x14ac:dyDescent="0.25">
      <c r="A4571" t="str">
        <f>"20190312154346358"</f>
        <v>20190312154346358</v>
      </c>
      <c r="B4571" t="str">
        <f>"1552376626351974"</f>
        <v>1552376626351974</v>
      </c>
      <c r="C4571" t="s">
        <v>40</v>
      </c>
      <c r="D4571">
        <v>5.0899850000000004</v>
      </c>
      <c r="E4571">
        <v>0.4961777</v>
      </c>
      <c r="F4571" t="s">
        <v>43</v>
      </c>
      <c r="G4571">
        <v>-245.9419</v>
      </c>
      <c r="H4571" s="1">
        <v>-2.9162799999999998E-6</v>
      </c>
      <c r="I4571">
        <v>144.1002</v>
      </c>
      <c r="J4571">
        <v>-213.48099999999999</v>
      </c>
      <c r="K4571">
        <v>1.106436</v>
      </c>
      <c r="L4571">
        <v>141.999</v>
      </c>
      <c r="M4571">
        <v>-0.99555009999999999</v>
      </c>
      <c r="N4571">
        <v>0</v>
      </c>
      <c r="O4571">
        <v>-9.3221250000000005E-2</v>
      </c>
      <c r="P4571">
        <v>-0.99965749999999998</v>
      </c>
      <c r="Q4571">
        <v>4.7830169999999997E-3</v>
      </c>
      <c r="R4571">
        <v>2.5734819999999999E-2</v>
      </c>
      <c r="S4571">
        <v>-2.998535</v>
      </c>
      <c r="T4571">
        <v>-0.1005858</v>
      </c>
      <c r="U4571">
        <v>0.18801880000000001</v>
      </c>
      <c r="V4571">
        <v>0.11899319999999999</v>
      </c>
      <c r="W4571">
        <v>1.7317679999999998E-2</v>
      </c>
      <c r="X4571">
        <v>0.99274399999999996</v>
      </c>
      <c r="Y4571">
        <v>0.1552162</v>
      </c>
      <c r="Z4571">
        <v>5.7224110000000002E-3</v>
      </c>
      <c r="AA4571">
        <v>0.98786399999999996</v>
      </c>
      <c r="AB4571">
        <v>22</v>
      </c>
      <c r="AC4571">
        <v>-32.460900000000002</v>
      </c>
      <c r="AD4571">
        <v>-1.1064389162799999</v>
      </c>
      <c r="AE4571">
        <v>2.1012</v>
      </c>
      <c r="AF4571">
        <v>5.1124663810491899</v>
      </c>
      <c r="AG4571">
        <v>-1.1064389162799999</v>
      </c>
      <c r="AH4571">
        <v>32.086501618715701</v>
      </c>
      <c r="AI4571">
        <v>91.950365260756001</v>
      </c>
      <c r="AJ4571">
        <v>80.946940875096203</v>
      </c>
      <c r="AK4571">
        <v>32.510076986999898</v>
      </c>
      <c r="AL4571">
        <v>89.007720389914297</v>
      </c>
      <c r="AM4571">
        <v>83.164969020465506</v>
      </c>
      <c r="AN4571">
        <v>0.99999996661141</v>
      </c>
    </row>
    <row r="4572" spans="1:40" x14ac:dyDescent="0.25">
      <c r="A4572" t="str">
        <f>"20190312154346377"</f>
        <v>20190312154346377</v>
      </c>
      <c r="B4572" t="str">
        <f>"1552376626372470"</f>
        <v>1552376626372470</v>
      </c>
      <c r="C4572" t="s">
        <v>40</v>
      </c>
      <c r="D4572">
        <v>5.0833250000000003</v>
      </c>
      <c r="E4572">
        <v>0.49582769999999998</v>
      </c>
      <c r="F4572" t="s">
        <v>43</v>
      </c>
      <c r="G4572">
        <v>-231.83449999999999</v>
      </c>
      <c r="H4572" s="1">
        <v>-4.119871E-6</v>
      </c>
      <c r="I4572">
        <v>142.25540000000001</v>
      </c>
      <c r="J4572">
        <v>-213.66630000000001</v>
      </c>
      <c r="K4572">
        <v>1.1065969999999901</v>
      </c>
      <c r="L4572">
        <v>141.98779999999999</v>
      </c>
      <c r="M4572">
        <v>-0.99602869999999999</v>
      </c>
      <c r="N4572">
        <v>0</v>
      </c>
      <c r="O4572">
        <v>-8.796619E-2</v>
      </c>
      <c r="P4572">
        <v>-0.99959120000000001</v>
      </c>
      <c r="Q4572">
        <v>4.6812579999999998E-3</v>
      </c>
      <c r="R4572">
        <v>2.8207909999999999E-2</v>
      </c>
      <c r="S4572">
        <v>-3.0007929999999998</v>
      </c>
      <c r="T4572">
        <v>-0.1809026</v>
      </c>
      <c r="U4572">
        <v>4.193115E-2</v>
      </c>
      <c r="V4572">
        <v>0.1162009</v>
      </c>
      <c r="W4572">
        <v>1.7260000000000001E-2</v>
      </c>
      <c r="X4572">
        <v>0.99307570000000001</v>
      </c>
      <c r="Y4572">
        <v>0.1015399</v>
      </c>
      <c r="Z4572">
        <v>8.3518710000000003E-3</v>
      </c>
      <c r="AA4572">
        <v>0.99479640000000003</v>
      </c>
      <c r="AB4572">
        <v>22</v>
      </c>
      <c r="AC4572">
        <v>-18.168199999999899</v>
      </c>
      <c r="AD4572">
        <v>-1.10660111987099</v>
      </c>
      <c r="AE4572">
        <v>0.26760000000001499</v>
      </c>
      <c r="AF4572">
        <v>1.8580091749629399</v>
      </c>
      <c r="AG4572">
        <v>-1.10660111987099</v>
      </c>
      <c r="AH4572">
        <v>18.007424294747398</v>
      </c>
      <c r="AI4572">
        <v>93.498021859474903</v>
      </c>
      <c r="AJ4572">
        <v>84.109057751872697</v>
      </c>
      <c r="AK4572">
        <v>18.136815979212098</v>
      </c>
      <c r="AL4572">
        <v>89.0110256895113</v>
      </c>
      <c r="AM4572">
        <v>83.326105016749807</v>
      </c>
      <c r="AN4572">
        <v>0.99999995134564801</v>
      </c>
    </row>
    <row r="4573" spans="1:40" x14ac:dyDescent="0.25">
      <c r="A4573" t="str">
        <f>"20190312154346399"</f>
        <v>20190312154346399</v>
      </c>
      <c r="B4573" t="str">
        <f>"1552376626391991"</f>
        <v>1552376626391991</v>
      </c>
      <c r="C4573" t="s">
        <v>40</v>
      </c>
      <c r="D4573">
        <v>5.2297510000000003</v>
      </c>
      <c r="E4573">
        <v>0.49499149999999997</v>
      </c>
      <c r="F4573" t="s">
        <v>43</v>
      </c>
      <c r="G4573">
        <v>-232.0478</v>
      </c>
      <c r="H4573" s="1">
        <v>-4.0501999999999998E-6</v>
      </c>
      <c r="I4573">
        <v>142.27180000000001</v>
      </c>
      <c r="J4573">
        <v>-213.8981</v>
      </c>
      <c r="K4573">
        <v>1.1067910000000001</v>
      </c>
      <c r="L4573">
        <v>141.97489999999999</v>
      </c>
      <c r="M4573">
        <v>-0.99656140000000004</v>
      </c>
      <c r="N4573">
        <v>0</v>
      </c>
      <c r="O4573">
        <v>-8.1718840000000001E-2</v>
      </c>
      <c r="P4573">
        <v>-0.99947209999999997</v>
      </c>
      <c r="Q4573">
        <v>3.4074000000000001E-3</v>
      </c>
      <c r="R4573">
        <v>3.2312559999999997E-2</v>
      </c>
      <c r="S4573">
        <v>-3.0007779999999999</v>
      </c>
      <c r="T4573">
        <v>-0.18065300000000001</v>
      </c>
      <c r="U4573">
        <v>4.6371460000000003E-2</v>
      </c>
      <c r="V4573">
        <v>0.11403190000000001</v>
      </c>
      <c r="W4573">
        <v>1.6021339999999998E-2</v>
      </c>
      <c r="X4573">
        <v>0.99334789999999995</v>
      </c>
      <c r="Y4573">
        <v>9.679335E-2</v>
      </c>
      <c r="Z4573">
        <v>7.8227839999999993E-3</v>
      </c>
      <c r="AA4573">
        <v>0.99527379999999999</v>
      </c>
      <c r="AB4573">
        <v>22</v>
      </c>
      <c r="AC4573">
        <v>-18.149699999999999</v>
      </c>
      <c r="AD4573">
        <v>-1.1067950501999999</v>
      </c>
      <c r="AE4573">
        <v>0.29690000000002198</v>
      </c>
      <c r="AF4573">
        <v>1.77262806218484</v>
      </c>
      <c r="AG4573">
        <v>-1.1067950501999999</v>
      </c>
      <c r="AH4573">
        <v>17.997809703569501</v>
      </c>
      <c r="AI4573">
        <v>93.502132402810801</v>
      </c>
      <c r="AJ4573">
        <v>84.3750046438293</v>
      </c>
      <c r="AK4573">
        <v>18.118729526539401</v>
      </c>
      <c r="AL4573">
        <v>89.082005564353395</v>
      </c>
      <c r="AM4573">
        <v>83.451366146911298</v>
      </c>
      <c r="AN4573">
        <v>1.0000000039937</v>
      </c>
    </row>
    <row r="4574" spans="1:40" x14ac:dyDescent="0.25">
      <c r="A4574" t="str">
        <f>"20190312154346421"</f>
        <v>20190312154346421</v>
      </c>
      <c r="B4574" t="str">
        <f>"1552376626412486"</f>
        <v>1552376626412486</v>
      </c>
      <c r="C4574" t="s">
        <v>40</v>
      </c>
      <c r="D4574">
        <v>5.1900789999999999</v>
      </c>
      <c r="E4574">
        <v>0.49467709999999998</v>
      </c>
      <c r="F4574" t="s">
        <v>43</v>
      </c>
      <c r="G4574">
        <v>-232.2688</v>
      </c>
      <c r="H4574" s="1">
        <v>-3.9786819999999996E-6</v>
      </c>
      <c r="I4574">
        <v>142.29249999999999</v>
      </c>
      <c r="J4574">
        <v>-214.11850000000001</v>
      </c>
      <c r="K4574">
        <v>1.107019</v>
      </c>
      <c r="L4574">
        <v>141.96360000000001</v>
      </c>
      <c r="M4574">
        <v>-0.99699930000000003</v>
      </c>
      <c r="N4574">
        <v>0</v>
      </c>
      <c r="O4574">
        <v>-7.6196819999999998E-2</v>
      </c>
      <c r="P4574">
        <v>-0.99940070000000003</v>
      </c>
      <c r="Q4574">
        <v>2.2585349999999999E-3</v>
      </c>
      <c r="R4574">
        <v>3.4546649999999998E-2</v>
      </c>
      <c r="S4574">
        <v>-3.000534</v>
      </c>
      <c r="T4574">
        <v>-0.18077660000000001</v>
      </c>
      <c r="U4574">
        <v>5.1895139999999999E-2</v>
      </c>
      <c r="V4574">
        <v>0.11073040000000001</v>
      </c>
      <c r="W4574">
        <v>1.4925229999999999E-2</v>
      </c>
      <c r="X4574">
        <v>0.99373840000000002</v>
      </c>
      <c r="Y4574">
        <v>9.312811E-2</v>
      </c>
      <c r="Z4574">
        <v>7.3867059999999998E-3</v>
      </c>
      <c r="AA4574">
        <v>0.99562669999999998</v>
      </c>
      <c r="AB4574">
        <v>22</v>
      </c>
      <c r="AC4574">
        <v>-18.150299999999898</v>
      </c>
      <c r="AD4574">
        <v>-1.1070229786820001</v>
      </c>
      <c r="AE4574">
        <v>0.32889999999997599</v>
      </c>
      <c r="AF4574">
        <v>1.7047281785617201</v>
      </c>
      <c r="AG4574">
        <v>-1.1070229786820001</v>
      </c>
      <c r="AH4574">
        <v>18.0055011616667</v>
      </c>
      <c r="AI4574">
        <v>93.502633869693398</v>
      </c>
      <c r="AJ4574">
        <v>84.5914617484556</v>
      </c>
      <c r="AK4574">
        <v>18.1198694841021</v>
      </c>
      <c r="AL4574">
        <v>89.144815556642996</v>
      </c>
      <c r="AM4574">
        <v>83.641867206715105</v>
      </c>
      <c r="AN4574">
        <v>0.99999999580463605</v>
      </c>
    </row>
    <row r="4575" spans="1:40" x14ac:dyDescent="0.25">
      <c r="A4575" t="str">
        <f>"20190312154346445"</f>
        <v>20190312154346445</v>
      </c>
      <c r="B4575" t="str">
        <f>"1552376626432007"</f>
        <v>1552376626432007</v>
      </c>
      <c r="C4575" t="s">
        <v>40</v>
      </c>
      <c r="D4575">
        <v>5.0895250000000001</v>
      </c>
      <c r="E4575">
        <v>0.4942414</v>
      </c>
      <c r="F4575" t="s">
        <v>43</v>
      </c>
      <c r="G4575">
        <v>-232.98089999999999</v>
      </c>
      <c r="H4575" s="1">
        <v>-3.7127909999999998E-6</v>
      </c>
      <c r="I4575">
        <v>142.31970000000001</v>
      </c>
      <c r="J4575">
        <v>-214.35220000000001</v>
      </c>
      <c r="K4575">
        <v>1.1073249999999999</v>
      </c>
      <c r="L4575">
        <v>141.95240000000001</v>
      </c>
      <c r="M4575">
        <v>-0.99739730000000004</v>
      </c>
      <c r="N4575">
        <v>0</v>
      </c>
      <c r="O4575">
        <v>-7.0805789999999993E-2</v>
      </c>
      <c r="P4575">
        <v>-0.99934659999999997</v>
      </c>
      <c r="Q4575">
        <v>1.654782E-3</v>
      </c>
      <c r="R4575">
        <v>3.6105669999999999E-2</v>
      </c>
      <c r="S4575">
        <v>-3.0002439999999999</v>
      </c>
      <c r="T4575">
        <v>-0.1760823</v>
      </c>
      <c r="U4575">
        <v>5.6655879999999999E-2</v>
      </c>
      <c r="V4575">
        <v>0.106890899999999</v>
      </c>
      <c r="W4575">
        <v>1.4390750000000001E-2</v>
      </c>
      <c r="X4575">
        <v>0.99416660000000001</v>
      </c>
      <c r="Y4575">
        <v>8.9357270000000003E-2</v>
      </c>
      <c r="Z4575">
        <v>6.7697390000000003E-3</v>
      </c>
      <c r="AA4575">
        <v>0.99597659999999999</v>
      </c>
      <c r="AB4575">
        <v>22</v>
      </c>
      <c r="AC4575">
        <v>-18.628699999999899</v>
      </c>
      <c r="AD4575">
        <v>-1.1073287127910001</v>
      </c>
      <c r="AE4575">
        <v>0.36730000000000002</v>
      </c>
      <c r="AF4575">
        <v>1.6795876228425499</v>
      </c>
      <c r="AG4575">
        <v>-1.1073287127910001</v>
      </c>
      <c r="AH4575">
        <v>18.490617519436402</v>
      </c>
      <c r="AI4575">
        <v>93.413102496440303</v>
      </c>
      <c r="AJ4575">
        <v>84.809804837892898</v>
      </c>
      <c r="AK4575">
        <v>18.599734613995601</v>
      </c>
      <c r="AL4575">
        <v>89.175442293720806</v>
      </c>
      <c r="AM4575">
        <v>83.863241678790601</v>
      </c>
      <c r="AN4575">
        <v>0.99999999337196599</v>
      </c>
    </row>
    <row r="4576" spans="1:40" x14ac:dyDescent="0.25">
      <c r="A4576" t="str">
        <f>"20190312154346465"</f>
        <v>20190312154346465</v>
      </c>
      <c r="B4576" t="str">
        <f>"1552376626462262"</f>
        <v>1552376626462262</v>
      </c>
      <c r="C4576" t="s">
        <v>40</v>
      </c>
      <c r="D4576">
        <v>5.1598319999999998</v>
      </c>
      <c r="E4576">
        <v>0.49347239999999998</v>
      </c>
      <c r="F4576" t="s">
        <v>43</v>
      </c>
      <c r="G4576">
        <v>-232.9034</v>
      </c>
      <c r="H4576" s="1">
        <v>-3.7441939999999999E-6</v>
      </c>
      <c r="I4576">
        <v>142.31270000000001</v>
      </c>
      <c r="J4576">
        <v>-214.56290000000001</v>
      </c>
      <c r="K4576">
        <v>1.10764</v>
      </c>
      <c r="L4576">
        <v>141.94290000000001</v>
      </c>
      <c r="M4576">
        <v>-0.99770239999999999</v>
      </c>
      <c r="N4576">
        <v>0</v>
      </c>
      <c r="O4576">
        <v>-6.6378030000000005E-2</v>
      </c>
      <c r="P4576">
        <v>-0.99930200000000002</v>
      </c>
      <c r="Q4576">
        <v>1.384747E-3</v>
      </c>
      <c r="R4576">
        <v>3.733591E-2</v>
      </c>
      <c r="S4576">
        <v>-3.0001530000000001</v>
      </c>
      <c r="T4576">
        <v>-0.17908060000000001</v>
      </c>
      <c r="U4576">
        <v>5.8273320000000003E-2</v>
      </c>
      <c r="V4576">
        <v>0.1036876</v>
      </c>
      <c r="W4576">
        <v>1.418954E-2</v>
      </c>
      <c r="X4576">
        <v>0.99450870000000002</v>
      </c>
      <c r="Y4576">
        <v>8.5478419999999999E-2</v>
      </c>
      <c r="Z4576">
        <v>6.5056749999999998E-3</v>
      </c>
      <c r="AA4576">
        <v>0.99631879999999995</v>
      </c>
      <c r="AB4576">
        <v>22</v>
      </c>
      <c r="AC4576">
        <v>-18.340499999999899</v>
      </c>
      <c r="AD4576">
        <v>-1.1076437441939999</v>
      </c>
      <c r="AE4576">
        <v>0.36979999999999702</v>
      </c>
      <c r="AF4576">
        <v>1.5807393030193</v>
      </c>
      <c r="AG4576">
        <v>-1.1076437441939999</v>
      </c>
      <c r="AH4576">
        <v>18.209106522910702</v>
      </c>
      <c r="AI4576">
        <v>93.467951334792602</v>
      </c>
      <c r="AJ4576">
        <v>85.038570322442595</v>
      </c>
      <c r="AK4576">
        <v>18.311121532305702</v>
      </c>
      <c r="AL4576">
        <v>89.186971966717095</v>
      </c>
      <c r="AM4576">
        <v>84.047839786658002</v>
      </c>
      <c r="AN4576">
        <v>1.00000000790743</v>
      </c>
    </row>
    <row r="4577" spans="1:40" x14ac:dyDescent="0.25">
      <c r="A4577" t="str">
        <f>"20190312154346488"</f>
        <v>20190312154346488</v>
      </c>
      <c r="B4577" t="str">
        <f>"1552376626482757"</f>
        <v>1552376626482757</v>
      </c>
      <c r="C4577" t="s">
        <v>40</v>
      </c>
      <c r="D4577">
        <v>5.1504370000000002</v>
      </c>
      <c r="E4577">
        <v>0.49288340000000003</v>
      </c>
      <c r="F4577" t="s">
        <v>43</v>
      </c>
      <c r="G4577">
        <v>-232.9376</v>
      </c>
      <c r="H4577" s="1">
        <v>-3.7216819999999998E-6</v>
      </c>
      <c r="I4577">
        <v>142.2833</v>
      </c>
      <c r="J4577">
        <v>-214.79</v>
      </c>
      <c r="K4577">
        <v>1.108006</v>
      </c>
      <c r="L4577">
        <v>141.9331</v>
      </c>
      <c r="M4577">
        <v>-0.99797930000000001</v>
      </c>
      <c r="N4577">
        <v>0</v>
      </c>
      <c r="O4577">
        <v>-6.2086240000000001E-2</v>
      </c>
      <c r="P4577">
        <v>-0.99925240000000004</v>
      </c>
      <c r="Q4577">
        <v>4.1287859999999997E-4</v>
      </c>
      <c r="R4577">
        <v>3.8663330000000003E-2</v>
      </c>
      <c r="S4577">
        <v>-3.0002749999999998</v>
      </c>
      <c r="T4577">
        <v>-0.18085960000000001</v>
      </c>
      <c r="U4577">
        <v>5.5587770000000002E-2</v>
      </c>
      <c r="V4577">
        <v>0.1007118</v>
      </c>
      <c r="W4577">
        <v>1.329079E-2</v>
      </c>
      <c r="X4577">
        <v>0.99482689999999996</v>
      </c>
      <c r="Y4577">
        <v>8.0311510000000003E-2</v>
      </c>
      <c r="Z4577">
        <v>6.1562049999999997E-3</v>
      </c>
      <c r="AA4577">
        <v>0.99675080000000005</v>
      </c>
      <c r="AB4577">
        <v>22</v>
      </c>
      <c r="AC4577">
        <v>-18.147600000000001</v>
      </c>
      <c r="AD4577">
        <v>-1.108009721682</v>
      </c>
      <c r="AE4577">
        <v>0.35020000000000001</v>
      </c>
      <c r="AF4577">
        <v>1.47086241653431</v>
      </c>
      <c r="AG4577">
        <v>-1.108009721682</v>
      </c>
      <c r="AH4577">
        <v>18.023675403668001</v>
      </c>
      <c r="AI4577">
        <v>93.506217888745297</v>
      </c>
      <c r="AJ4577">
        <v>85.334588015415505</v>
      </c>
      <c r="AK4577">
        <v>18.117505260065499</v>
      </c>
      <c r="AL4577">
        <v>89.238471433125596</v>
      </c>
      <c r="AM4577">
        <v>84.219327337182307</v>
      </c>
      <c r="AN4577">
        <v>1.0000000363608299</v>
      </c>
    </row>
    <row r="4578" spans="1:40" x14ac:dyDescent="0.25">
      <c r="A4578" t="str">
        <f>"20190312154346510"</f>
        <v>20190312154346510</v>
      </c>
      <c r="B4578" t="str">
        <f>"1552376626502278"</f>
        <v>1552376626502278</v>
      </c>
      <c r="C4578" t="s">
        <v>40</v>
      </c>
      <c r="D4578">
        <v>5.1703970000000004</v>
      </c>
      <c r="E4578">
        <v>0.49216530000000003</v>
      </c>
      <c r="F4578" t="s">
        <v>41</v>
      </c>
      <c r="G4578">
        <v>-215.7296</v>
      </c>
      <c r="H4578">
        <v>1.04976</v>
      </c>
      <c r="I4578">
        <v>141.95009999999999</v>
      </c>
      <c r="J4578">
        <v>-215.0128</v>
      </c>
      <c r="K4578">
        <v>1.108358</v>
      </c>
      <c r="L4578">
        <v>141.9238</v>
      </c>
      <c r="M4578">
        <v>-0.99819910000000001</v>
      </c>
      <c r="N4578">
        <v>0</v>
      </c>
      <c r="O4578">
        <v>-5.845235E-2</v>
      </c>
      <c r="P4578">
        <v>-0.99924500000000005</v>
      </c>
      <c r="Q4578">
        <v>-1.3548270000000001E-3</v>
      </c>
      <c r="R4578">
        <v>3.8823870000000003E-2</v>
      </c>
      <c r="S4578">
        <v>-3.000229</v>
      </c>
      <c r="T4578">
        <v>-0.1859837</v>
      </c>
      <c r="U4578">
        <v>5.4397580000000001E-2</v>
      </c>
      <c r="V4578">
        <v>9.7228159999999994E-2</v>
      </c>
      <c r="W4578">
        <v>1.159291E-2</v>
      </c>
      <c r="X4578">
        <v>0.99519460000000004</v>
      </c>
      <c r="Y4578">
        <v>7.6286690000000004E-2</v>
      </c>
      <c r="Z4578">
        <v>5.9809759999999998E-3</v>
      </c>
      <c r="AA4578">
        <v>0.99706799999999995</v>
      </c>
      <c r="AB4578">
        <v>22</v>
      </c>
      <c r="AC4578">
        <v>-0.71680000000000599</v>
      </c>
      <c r="AD4578">
        <v>-5.85979999999999E-2</v>
      </c>
      <c r="AE4578">
        <v>2.6299999999992E-2</v>
      </c>
      <c r="AF4578">
        <v>6.7705612962405404E-2</v>
      </c>
      <c r="AG4578">
        <v>-5.85979999999999E-2</v>
      </c>
      <c r="AH4578">
        <v>0.70930287745323894</v>
      </c>
      <c r="AI4578">
        <v>94.7014075913862</v>
      </c>
      <c r="AJ4578">
        <v>84.547423703278994</v>
      </c>
      <c r="AK4578">
        <v>0.71493240771002897</v>
      </c>
      <c r="AL4578">
        <v>89.335760306520299</v>
      </c>
      <c r="AM4578">
        <v>84.420046047378705</v>
      </c>
      <c r="AN4578">
        <v>1.0000000012642001</v>
      </c>
    </row>
    <row r="4579" spans="1:40" x14ac:dyDescent="0.25">
      <c r="A4579" t="str">
        <f>"20190312154346533"</f>
        <v>20190312154346533</v>
      </c>
      <c r="B4579" t="str">
        <f>"1552376626521797"</f>
        <v>1552376626521797</v>
      </c>
      <c r="C4579" t="s">
        <v>40</v>
      </c>
      <c r="D4579">
        <v>5.1651300000000004</v>
      </c>
      <c r="E4579">
        <v>0.49143239999999999</v>
      </c>
      <c r="F4579" t="s">
        <v>41</v>
      </c>
      <c r="G4579">
        <v>-215.92789999999999</v>
      </c>
      <c r="H4579">
        <v>1.048103</v>
      </c>
      <c r="I4579">
        <v>141.93889999999999</v>
      </c>
      <c r="J4579">
        <v>-215.24369999999999</v>
      </c>
      <c r="K4579">
        <v>1.1086510000000001</v>
      </c>
      <c r="L4579">
        <v>141.9144</v>
      </c>
      <c r="M4579">
        <v>-0.99838640000000001</v>
      </c>
      <c r="N4579">
        <v>0</v>
      </c>
      <c r="O4579">
        <v>-5.5170480000000001E-2</v>
      </c>
      <c r="P4579">
        <v>-0.99924389999999996</v>
      </c>
      <c r="Q4579">
        <v>-3.0678300000000001E-3</v>
      </c>
      <c r="R4579">
        <v>3.8759589999999997E-2</v>
      </c>
      <c r="S4579">
        <v>-3.000092</v>
      </c>
      <c r="T4579">
        <v>-0.19754450000000001</v>
      </c>
      <c r="U4579">
        <v>4.9133299999999998E-2</v>
      </c>
      <c r="V4579">
        <v>9.3875819999999999E-2</v>
      </c>
      <c r="W4579">
        <v>9.9317039999999995E-3</v>
      </c>
      <c r="X4579">
        <v>0.99553440000000004</v>
      </c>
      <c r="Y4579">
        <v>7.1244550000000004E-2</v>
      </c>
      <c r="Z4579">
        <v>5.9708419999999996E-3</v>
      </c>
      <c r="AA4579">
        <v>0.99744100000000002</v>
      </c>
      <c r="AB4579">
        <v>22</v>
      </c>
      <c r="AC4579">
        <v>-0.68420000000000403</v>
      </c>
      <c r="AD4579">
        <v>-6.0547999999999998E-2</v>
      </c>
      <c r="AE4579">
        <v>2.4499999999988999E-2</v>
      </c>
      <c r="AF4579">
        <v>6.1730920205053302E-2</v>
      </c>
      <c r="AG4579">
        <v>-6.0547999999999998E-2</v>
      </c>
      <c r="AH4579">
        <v>0.67651474056824501</v>
      </c>
      <c r="AI4579">
        <v>95.093291624514805</v>
      </c>
      <c r="AJ4579">
        <v>84.786287322162806</v>
      </c>
      <c r="AK4579">
        <v>0.682018299622145</v>
      </c>
      <c r="AL4579">
        <v>89.4309459362361</v>
      </c>
      <c r="AM4579">
        <v>84.613113785326902</v>
      </c>
      <c r="AN4579">
        <v>1.0000000249541801</v>
      </c>
    </row>
    <row r="4580" spans="1:40" x14ac:dyDescent="0.25">
      <c r="A4580" t="str">
        <f>"20190312154346554"</f>
        <v>20190312154346554</v>
      </c>
      <c r="B4580" t="str">
        <f>"1552376626542297"</f>
        <v>1552376626542297</v>
      </c>
      <c r="C4580" t="s">
        <v>40</v>
      </c>
      <c r="D4580">
        <v>5.1221189999999996</v>
      </c>
      <c r="E4580">
        <v>0.4911778</v>
      </c>
      <c r="F4580" t="s">
        <v>41</v>
      </c>
      <c r="G4580">
        <v>-216.12729999999999</v>
      </c>
      <c r="H4580">
        <v>1.0479000000000001</v>
      </c>
      <c r="I4580">
        <v>141.92699999999999</v>
      </c>
      <c r="J4580">
        <v>-215.45760000000001</v>
      </c>
      <c r="K4580">
        <v>1.1088880000000001</v>
      </c>
      <c r="L4580">
        <v>141.9059</v>
      </c>
      <c r="M4580">
        <v>-0.99852850000000004</v>
      </c>
      <c r="N4580">
        <v>0</v>
      </c>
      <c r="O4580">
        <v>-5.2547179999999999E-2</v>
      </c>
      <c r="P4580">
        <v>-0.99924650000000004</v>
      </c>
      <c r="Q4580">
        <v>-4.8685309999999997E-3</v>
      </c>
      <c r="R4580">
        <v>3.8508689999999998E-2</v>
      </c>
      <c r="S4580">
        <v>-2.9999690000000001</v>
      </c>
      <c r="T4580">
        <v>-0.20628569999999999</v>
      </c>
      <c r="U4580">
        <v>4.3075559999999999E-2</v>
      </c>
      <c r="V4580">
        <v>9.0997250000000002E-2</v>
      </c>
      <c r="W4580">
        <v>8.1655719999999994E-3</v>
      </c>
      <c r="X4580">
        <v>0.99581770000000003</v>
      </c>
      <c r="Y4580">
        <v>6.6602549999999996E-2</v>
      </c>
      <c r="Z4580">
        <v>5.8953149999999999E-3</v>
      </c>
      <c r="AA4580">
        <v>0.99776209999999999</v>
      </c>
      <c r="AB4580">
        <v>22</v>
      </c>
      <c r="AC4580">
        <v>-0.66969999999997698</v>
      </c>
      <c r="AD4580">
        <v>-6.0987999999999799E-2</v>
      </c>
      <c r="AE4580">
        <v>2.1100000000018299E-2</v>
      </c>
      <c r="AF4580">
        <v>5.5802522427624901E-2</v>
      </c>
      <c r="AG4580">
        <v>-6.0987999999999799E-2</v>
      </c>
      <c r="AH4580">
        <v>0.66217954173037097</v>
      </c>
      <c r="AI4580">
        <v>95.243722539233204</v>
      </c>
      <c r="AJ4580">
        <v>85.183009471010706</v>
      </c>
      <c r="AK4580">
        <v>0.66731941612658696</v>
      </c>
      <c r="AL4580">
        <v>89.532142003636196</v>
      </c>
      <c r="AM4580">
        <v>84.778844889044095</v>
      </c>
      <c r="AN4580">
        <v>1.00000003385346</v>
      </c>
    </row>
    <row r="4581" spans="1:40" x14ac:dyDescent="0.25">
      <c r="A4581" t="str">
        <f>"20190312154346577"</f>
        <v>20190312154346577</v>
      </c>
      <c r="B4581" t="str">
        <f>"1552376626572549"</f>
        <v>1552376626572549</v>
      </c>
      <c r="C4581" t="s">
        <v>40</v>
      </c>
      <c r="D4581">
        <v>5.1092879999999896</v>
      </c>
      <c r="E4581">
        <v>0.49075649999999998</v>
      </c>
      <c r="F4581" t="s">
        <v>41</v>
      </c>
      <c r="G4581">
        <v>-216.32669999999999</v>
      </c>
      <c r="H4581">
        <v>1.0480039999999999</v>
      </c>
      <c r="I4581">
        <v>141.9179</v>
      </c>
      <c r="J4581">
        <v>-215.67779999999999</v>
      </c>
      <c r="K4581">
        <v>1.1091150000000001</v>
      </c>
      <c r="L4581">
        <v>141.8973</v>
      </c>
      <c r="M4581">
        <v>-0.99864620000000004</v>
      </c>
      <c r="N4581">
        <v>0</v>
      </c>
      <c r="O4581">
        <v>-5.0265770000000001E-2</v>
      </c>
      <c r="P4581">
        <v>-0.99925220000000003</v>
      </c>
      <c r="Q4581">
        <v>-6.0403969999999899E-3</v>
      </c>
      <c r="R4581">
        <v>3.8192820000000002E-2</v>
      </c>
      <c r="S4581">
        <v>-2.9996800000000001</v>
      </c>
      <c r="T4581">
        <v>-0.21008109999999999</v>
      </c>
      <c r="U4581">
        <v>4.0649409999999997E-2</v>
      </c>
      <c r="V4581">
        <v>8.8398539999999998E-2</v>
      </c>
      <c r="W4581">
        <v>7.0216719999999996E-3</v>
      </c>
      <c r="X4581">
        <v>0.99606039999999996</v>
      </c>
      <c r="Y4581">
        <v>6.3519900000000004E-2</v>
      </c>
      <c r="Z4581">
        <v>5.7368430000000002E-3</v>
      </c>
      <c r="AA4581">
        <v>0.99796410000000002</v>
      </c>
      <c r="AB4581">
        <v>22</v>
      </c>
      <c r="AC4581">
        <v>-0.64889999999999703</v>
      </c>
      <c r="AD4581">
        <v>-6.1110999999999902E-2</v>
      </c>
      <c r="AE4581">
        <v>2.06000000000017E-2</v>
      </c>
      <c r="AF4581">
        <v>5.27271585788281E-2</v>
      </c>
      <c r="AG4581">
        <v>-6.1110999999999902E-2</v>
      </c>
      <c r="AH4581">
        <v>0.64136137664763304</v>
      </c>
      <c r="AI4581">
        <v>95.424704879234497</v>
      </c>
      <c r="AJ4581">
        <v>85.300208086863194</v>
      </c>
      <c r="AK4581">
        <v>0.64642023717404196</v>
      </c>
      <c r="AL4581">
        <v>89.597684508430703</v>
      </c>
      <c r="AM4581">
        <v>84.928391501830006</v>
      </c>
      <c r="AN4581">
        <v>0.99999996309998196</v>
      </c>
    </row>
    <row r="4582" spans="1:40" x14ac:dyDescent="0.25">
      <c r="A4582" t="str">
        <f>"20190312154346598"</f>
        <v>20190312154346598</v>
      </c>
      <c r="B4582" t="str">
        <f>"1552376626592069"</f>
        <v>1552376626592069</v>
      </c>
      <c r="C4582" t="s">
        <v>40</v>
      </c>
      <c r="D4582">
        <v>5.1725339999999997</v>
      </c>
      <c r="E4582">
        <v>0.49037190000000003</v>
      </c>
      <c r="F4582" t="s">
        <v>41</v>
      </c>
      <c r="G4582">
        <v>-216.52629999999999</v>
      </c>
      <c r="H4582">
        <v>1.048522</v>
      </c>
      <c r="I4582">
        <v>141.90770000000001</v>
      </c>
      <c r="J4582">
        <v>-215.89619999999999</v>
      </c>
      <c r="K4582">
        <v>1.1093459999999999</v>
      </c>
      <c r="L4582">
        <v>141.88890000000001</v>
      </c>
      <c r="M4582">
        <v>-0.99873920000000005</v>
      </c>
      <c r="N4582">
        <v>0</v>
      </c>
      <c r="O4582">
        <v>-4.8394649999999997E-2</v>
      </c>
      <c r="P4582">
        <v>-0.99927250000000001</v>
      </c>
      <c r="Q4582">
        <v>-7.1198019999999997E-3</v>
      </c>
      <c r="R4582">
        <v>3.7469250000000003E-2</v>
      </c>
      <c r="S4582">
        <v>-2.9995569999999998</v>
      </c>
      <c r="T4582">
        <v>-0.21421399999999999</v>
      </c>
      <c r="U4582">
        <v>3.6376949999999998E-2</v>
      </c>
      <c r="V4582">
        <v>8.5803840000000006E-2</v>
      </c>
      <c r="W4582">
        <v>5.9716980000000001E-3</v>
      </c>
      <c r="X4582">
        <v>0.99629409999999896</v>
      </c>
      <c r="Y4582">
        <v>6.0231149999999997E-2</v>
      </c>
      <c r="Z4582">
        <v>5.5990340000000001E-3</v>
      </c>
      <c r="AA4582">
        <v>0.99816879999999997</v>
      </c>
      <c r="AB4582">
        <v>22</v>
      </c>
      <c r="AC4582">
        <v>-0.630099999999998</v>
      </c>
      <c r="AD4582">
        <v>-6.0823999999999899E-2</v>
      </c>
      <c r="AE4582">
        <v>1.87999999999988E-2</v>
      </c>
      <c r="AF4582">
        <v>4.88196452091606E-2</v>
      </c>
      <c r="AG4582">
        <v>-6.0823999999999899E-2</v>
      </c>
      <c r="AH4582">
        <v>0.62265482724342602</v>
      </c>
      <c r="AI4582">
        <v>95.562270308237402</v>
      </c>
      <c r="AJ4582">
        <v>85.516859804869299</v>
      </c>
      <c r="AK4582">
        <v>0.62752047825062096</v>
      </c>
      <c r="AL4582">
        <v>89.657844856280207</v>
      </c>
      <c r="AM4582">
        <v>85.077661361073496</v>
      </c>
      <c r="AN4582">
        <v>0.99999994691527705</v>
      </c>
    </row>
    <row r="4583" spans="1:40" x14ac:dyDescent="0.25">
      <c r="A4583" t="str">
        <f>"20190312154346623"</f>
        <v>20190312154346623</v>
      </c>
      <c r="B4583" t="str">
        <f>"1552376626612566"</f>
        <v>1552376626612566</v>
      </c>
      <c r="C4583" t="s">
        <v>40</v>
      </c>
      <c r="D4583">
        <v>5.1933959999999999</v>
      </c>
      <c r="E4583">
        <v>0.48997089999999999</v>
      </c>
      <c r="F4583" t="s">
        <v>41</v>
      </c>
      <c r="G4583">
        <v>-216.72559999999999</v>
      </c>
      <c r="H4583">
        <v>1.0491629999999901</v>
      </c>
      <c r="I4583">
        <v>141.89789999999999</v>
      </c>
      <c r="J4583">
        <v>-216.13489999999999</v>
      </c>
      <c r="K4583">
        <v>1.1096109999999999</v>
      </c>
      <c r="L4583">
        <v>141.87970000000001</v>
      </c>
      <c r="M4583">
        <v>-0.99881790000000004</v>
      </c>
      <c r="N4583">
        <v>0</v>
      </c>
      <c r="O4583">
        <v>-4.6751540000000001E-2</v>
      </c>
      <c r="P4583">
        <v>-0.99931130000000001</v>
      </c>
      <c r="Q4583">
        <v>-7.8168079999999997E-3</v>
      </c>
      <c r="R4583">
        <v>3.6279810000000003E-2</v>
      </c>
      <c r="S4583">
        <v>-2.999466</v>
      </c>
      <c r="T4583">
        <v>-0.21769740000000001</v>
      </c>
      <c r="U4583">
        <v>3.1387329999999998E-2</v>
      </c>
      <c r="V4583">
        <v>8.2973320000000003E-2</v>
      </c>
      <c r="W4583">
        <v>5.3103359999999997E-3</v>
      </c>
      <c r="X4583">
        <v>0.99653760000000002</v>
      </c>
      <c r="Y4583">
        <v>5.6932749999999997E-2</v>
      </c>
      <c r="Z4583">
        <v>5.4514809999999898E-3</v>
      </c>
      <c r="AA4583">
        <v>0.99836309999999995</v>
      </c>
      <c r="AB4583">
        <v>22</v>
      </c>
      <c r="AC4583">
        <v>-0.590699999999998</v>
      </c>
      <c r="AD4583">
        <v>-6.0448000000000203E-2</v>
      </c>
      <c r="AE4583">
        <v>1.81999999999789E-2</v>
      </c>
      <c r="AF4583">
        <v>4.53244878132774E-2</v>
      </c>
      <c r="AG4583">
        <v>-6.0448000000000203E-2</v>
      </c>
      <c r="AH4583">
        <v>0.58310256757963497</v>
      </c>
      <c r="AI4583">
        <v>95.900818929748297</v>
      </c>
      <c r="AJ4583">
        <v>85.555343466854694</v>
      </c>
      <c r="AK4583">
        <v>0.58797693340597901</v>
      </c>
      <c r="AL4583">
        <v>89.695738723252205</v>
      </c>
      <c r="AM4583">
        <v>85.240439722371605</v>
      </c>
      <c r="AN4583">
        <v>0.99999997985700695</v>
      </c>
    </row>
    <row r="4584" spans="1:40" x14ac:dyDescent="0.25">
      <c r="A4584" t="str">
        <f>"20190312154346645"</f>
        <v>20190312154346645</v>
      </c>
      <c r="B4584" t="str">
        <f>"1552376626632086"</f>
        <v>1552376626632086</v>
      </c>
      <c r="C4584" t="s">
        <v>40</v>
      </c>
      <c r="D4584">
        <v>5.1250679999999997</v>
      </c>
      <c r="E4584">
        <v>0.48962850000000002</v>
      </c>
      <c r="F4584" t="s">
        <v>41</v>
      </c>
      <c r="G4584">
        <v>-216.92769999999999</v>
      </c>
      <c r="H4584">
        <v>1.0521910000000001</v>
      </c>
      <c r="I4584">
        <v>141.88630000000001</v>
      </c>
      <c r="J4584">
        <v>-216.3605</v>
      </c>
      <c r="K4584">
        <v>1.1098699999999999</v>
      </c>
      <c r="L4584">
        <v>141.8708</v>
      </c>
      <c r="M4584">
        <v>-0.99887289999999995</v>
      </c>
      <c r="N4584">
        <v>0</v>
      </c>
      <c r="O4584">
        <v>-4.5565050000000003E-2</v>
      </c>
      <c r="P4584">
        <v>-0.99936970000000003</v>
      </c>
      <c r="Q4584">
        <v>-8.1704220000000001E-3</v>
      </c>
      <c r="R4584">
        <v>3.4552819999999998E-2</v>
      </c>
      <c r="S4584">
        <v>-2.9994350000000001</v>
      </c>
      <c r="T4584">
        <v>-0.2172424</v>
      </c>
      <c r="U4584">
        <v>2.5070189999999999E-2</v>
      </c>
      <c r="V4584">
        <v>8.0063309999999999E-2</v>
      </c>
      <c r="W4584">
        <v>4.9913359999999999E-3</v>
      </c>
      <c r="X4584">
        <v>0.99677729999999998</v>
      </c>
      <c r="Y4584">
        <v>5.3656959999999997E-2</v>
      </c>
      <c r="Z4584">
        <v>5.2359420000000004E-3</v>
      </c>
      <c r="AA4584">
        <v>0.99854569999999998</v>
      </c>
      <c r="AB4584">
        <v>22</v>
      </c>
      <c r="AC4584">
        <v>-0.56719999999998505</v>
      </c>
      <c r="AD4584">
        <v>-5.7679000000000202E-2</v>
      </c>
      <c r="AE4584">
        <v>1.55000000000029E-2</v>
      </c>
      <c r="AF4584">
        <v>4.0907965146864102E-2</v>
      </c>
      <c r="AG4584">
        <v>-5.7679000000000202E-2</v>
      </c>
      <c r="AH4584">
        <v>0.56011661642212696</v>
      </c>
      <c r="AI4584">
        <v>95.863901406162995</v>
      </c>
      <c r="AJ4584">
        <v>85.822834849241104</v>
      </c>
      <c r="AK4584">
        <v>0.56456262065924001</v>
      </c>
      <c r="AL4584">
        <v>89.714016330282902</v>
      </c>
      <c r="AM4584">
        <v>85.407737943341601</v>
      </c>
      <c r="AN4584">
        <v>1.00000001641925</v>
      </c>
    </row>
    <row r="4585" spans="1:40" x14ac:dyDescent="0.25">
      <c r="A4585" t="str">
        <f>"20190312154346667"</f>
        <v>20190312154346667</v>
      </c>
      <c r="B4585" t="str">
        <f>"1552376626662342"</f>
        <v>1552376626662342</v>
      </c>
      <c r="C4585" t="s">
        <v>40</v>
      </c>
      <c r="D4585">
        <v>5.1517910000000002</v>
      </c>
      <c r="E4585">
        <v>0.4891431</v>
      </c>
      <c r="F4585" t="s">
        <v>43</v>
      </c>
      <c r="G4585">
        <v>-231.73009999999999</v>
      </c>
      <c r="H4585" s="1">
        <v>-4.103179E-6</v>
      </c>
      <c r="I4585">
        <v>141.96090000000001</v>
      </c>
      <c r="J4585">
        <v>-216.57660000000001</v>
      </c>
      <c r="K4585">
        <v>1.1101000000000001</v>
      </c>
      <c r="L4585">
        <v>141.8621</v>
      </c>
      <c r="M4585">
        <v>-0.99890959999999995</v>
      </c>
      <c r="N4585">
        <v>0</v>
      </c>
      <c r="O4585">
        <v>-4.4762209999999997E-2</v>
      </c>
      <c r="P4585">
        <v>-0.99941679999999999</v>
      </c>
      <c r="Q4585">
        <v>-8.6454219999999998E-3</v>
      </c>
      <c r="R4585">
        <v>3.3044240000000002E-2</v>
      </c>
      <c r="S4585">
        <v>-2.9994960000000002</v>
      </c>
      <c r="T4585">
        <v>-0.21660109999999999</v>
      </c>
      <c r="U4585">
        <v>1.7593379999999999E-2</v>
      </c>
      <c r="V4585">
        <v>7.775398E-2</v>
      </c>
      <c r="W4585">
        <v>4.5450209999999998E-3</v>
      </c>
      <c r="X4585">
        <v>0.99696220000000002</v>
      </c>
      <c r="Y4585">
        <v>5.0377150000000002E-2</v>
      </c>
      <c r="Z4585">
        <v>5.0442880000000001E-3</v>
      </c>
      <c r="AA4585">
        <v>0.99871750000000004</v>
      </c>
      <c r="AB4585">
        <v>22</v>
      </c>
      <c r="AC4585">
        <v>-15.1534999999999</v>
      </c>
      <c r="AD4585">
        <v>-1.110104103179</v>
      </c>
      <c r="AE4585">
        <v>9.8800000000011295E-2</v>
      </c>
      <c r="AF4585">
        <v>0.77291700329389901</v>
      </c>
      <c r="AG4585">
        <v>-1.110104103179</v>
      </c>
      <c r="AH4585">
        <v>15.0531046396395</v>
      </c>
      <c r="AI4585">
        <v>94.212162683846202</v>
      </c>
      <c r="AJ4585">
        <v>87.060671074089399</v>
      </c>
      <c r="AK4585">
        <v>15.113758338209999</v>
      </c>
      <c r="AL4585">
        <v>89.739588578017603</v>
      </c>
      <c r="AM4585">
        <v>85.540477727893304</v>
      </c>
      <c r="AN4585">
        <v>0.99999998342528496</v>
      </c>
    </row>
    <row r="4586" spans="1:40" x14ac:dyDescent="0.25">
      <c r="A4586" t="str">
        <f>"20190312154346688"</f>
        <v>20190312154346688</v>
      </c>
      <c r="B4586" t="str">
        <f>"1552376626681862"</f>
        <v>1552376626681862</v>
      </c>
      <c r="C4586" t="s">
        <v>40</v>
      </c>
      <c r="D4586">
        <v>5.1412940000000003</v>
      </c>
      <c r="E4586">
        <v>0.4888498</v>
      </c>
      <c r="F4586" t="s">
        <v>43</v>
      </c>
      <c r="G4586">
        <v>-232.11940000000001</v>
      </c>
      <c r="H4586" s="1">
        <v>-3.9616469999999997E-6</v>
      </c>
      <c r="I4586">
        <v>141.9101</v>
      </c>
      <c r="J4586">
        <v>-216.7816</v>
      </c>
      <c r="K4586">
        <v>1.1102879999999999</v>
      </c>
      <c r="L4586">
        <v>141.8537</v>
      </c>
      <c r="M4586">
        <v>-0.99893050000000005</v>
      </c>
      <c r="N4586">
        <v>0</v>
      </c>
      <c r="O4586">
        <v>-4.4297879999999998E-2</v>
      </c>
      <c r="P4586">
        <v>-0.99946809999999997</v>
      </c>
      <c r="Q4586">
        <v>-9.3488370000000005E-3</v>
      </c>
      <c r="R4586">
        <v>3.1246949999999999E-2</v>
      </c>
      <c r="S4586">
        <v>-2.9995880000000001</v>
      </c>
      <c r="T4586">
        <v>-0.2142376</v>
      </c>
      <c r="U4586">
        <v>9.2620849999999998E-3</v>
      </c>
      <c r="V4586">
        <v>7.5495099999999996E-2</v>
      </c>
      <c r="W4586">
        <v>3.863151E-3</v>
      </c>
      <c r="X4586">
        <v>0.99713870000000004</v>
      </c>
      <c r="Y4586">
        <v>4.7153380000000002E-2</v>
      </c>
      <c r="Z4586">
        <v>4.8411369999999997E-3</v>
      </c>
      <c r="AA4586">
        <v>0.99887590000000004</v>
      </c>
      <c r="AB4586">
        <v>22</v>
      </c>
      <c r="AC4586">
        <v>-15.3378</v>
      </c>
      <c r="AD4586">
        <v>-1.1102919616469999</v>
      </c>
      <c r="AE4586">
        <v>5.6399999999996397E-2</v>
      </c>
      <c r="AF4586">
        <v>0.73200051574109004</v>
      </c>
      <c r="AG4586">
        <v>-1.1102919616469999</v>
      </c>
      <c r="AH4586">
        <v>15.240381010434</v>
      </c>
      <c r="AI4586">
        <v>94.161968949958805</v>
      </c>
      <c r="AJ4586">
        <v>87.250178086811502</v>
      </c>
      <c r="AK4586">
        <v>15.298293576028</v>
      </c>
      <c r="AL4586">
        <v>89.778657203859794</v>
      </c>
      <c r="AM4586">
        <v>85.670297577707601</v>
      </c>
      <c r="AN4586">
        <v>1.0000000105486699</v>
      </c>
    </row>
    <row r="4587" spans="1:40" x14ac:dyDescent="0.25">
      <c r="A4587" t="str">
        <f>"20190312154346711"</f>
        <v>20190312154346711</v>
      </c>
      <c r="B4587" t="str">
        <f>"1552376626702358"</f>
        <v>1552376626702358</v>
      </c>
      <c r="C4587" t="s">
        <v>40</v>
      </c>
      <c r="D4587">
        <v>5.1039329999999996</v>
      </c>
      <c r="E4587">
        <v>0.48859019999999997</v>
      </c>
      <c r="F4587" t="s">
        <v>43</v>
      </c>
      <c r="G4587">
        <v>-232.2937</v>
      </c>
      <c r="H4587" s="1">
        <v>-3.8861260000000002E-6</v>
      </c>
      <c r="I4587">
        <v>141.8631</v>
      </c>
      <c r="J4587">
        <v>-217.00559999999999</v>
      </c>
      <c r="K4587">
        <v>1.1104510000000001</v>
      </c>
      <c r="L4587">
        <v>141.8442</v>
      </c>
      <c r="M4587">
        <v>-0.99893960000000004</v>
      </c>
      <c r="N4587">
        <v>0</v>
      </c>
      <c r="O4587">
        <v>-4.409453E-2</v>
      </c>
      <c r="P4587">
        <v>-0.99952969999999997</v>
      </c>
      <c r="Q4587">
        <v>-1.0290870000000001E-2</v>
      </c>
      <c r="R4587">
        <v>2.8891500000000001E-2</v>
      </c>
      <c r="S4587">
        <v>-2.9995270000000001</v>
      </c>
      <c r="T4587">
        <v>-0.214695</v>
      </c>
      <c r="U4587">
        <v>1.8310550000000001E-3</v>
      </c>
      <c r="V4587">
        <v>7.2940420000000006E-2</v>
      </c>
      <c r="W4587">
        <v>2.9371380000000002E-3</v>
      </c>
      <c r="X4587">
        <v>0.997332</v>
      </c>
      <c r="Y4587">
        <v>4.4481689999999997E-2</v>
      </c>
      <c r="Z4587">
        <v>4.7414930000000003E-3</v>
      </c>
      <c r="AA4587">
        <v>0.99899890000000002</v>
      </c>
      <c r="AB4587">
        <v>22</v>
      </c>
      <c r="AC4587">
        <v>-15.2881</v>
      </c>
      <c r="AD4587">
        <v>-1.110454886126</v>
      </c>
      <c r="AE4587">
        <v>1.8900000000002099E-2</v>
      </c>
      <c r="AF4587">
        <v>0.68942499160326698</v>
      </c>
      <c r="AG4587">
        <v>-1.110454886126</v>
      </c>
      <c r="AH4587">
        <v>15.1922418584816</v>
      </c>
      <c r="AI4587">
        <v>94.176234725971298</v>
      </c>
      <c r="AJ4587">
        <v>87.401696170715496</v>
      </c>
      <c r="AK4587">
        <v>15.248364815932501</v>
      </c>
      <c r="AL4587">
        <v>89.831714150987494</v>
      </c>
      <c r="AM4587">
        <v>85.817089157248105</v>
      </c>
      <c r="AN4587">
        <v>1.0000000249367</v>
      </c>
    </row>
    <row r="4588" spans="1:40" x14ac:dyDescent="0.25">
      <c r="A4588" t="str">
        <f>"20190312154346734"</f>
        <v>20190312154346734</v>
      </c>
      <c r="B4588" t="str">
        <f>"1552376626721878"</f>
        <v>1552376626721878</v>
      </c>
      <c r="C4588" t="s">
        <v>40</v>
      </c>
      <c r="D4588">
        <v>5.1535219999999997</v>
      </c>
      <c r="E4588">
        <v>0.4883749</v>
      </c>
      <c r="F4588" t="s">
        <v>41</v>
      </c>
      <c r="G4588">
        <v>-217.90950000000001</v>
      </c>
      <c r="H4588">
        <v>1.045302</v>
      </c>
      <c r="I4588">
        <v>141.84209999999999</v>
      </c>
      <c r="J4588">
        <v>-217.2347</v>
      </c>
      <c r="K4588">
        <v>1.1105670000000001</v>
      </c>
      <c r="L4588">
        <v>141.83420000000001</v>
      </c>
      <c r="M4588">
        <v>-0.99893869999999896</v>
      </c>
      <c r="N4588">
        <v>0</v>
      </c>
      <c r="O4588">
        <v>-4.4121300000000002E-2</v>
      </c>
      <c r="P4588">
        <v>-0.99961109999999997</v>
      </c>
      <c r="Q4588">
        <v>-1.044287E-2</v>
      </c>
      <c r="R4588">
        <v>2.586598E-2</v>
      </c>
      <c r="S4588">
        <v>-2.99939</v>
      </c>
      <c r="T4588">
        <v>-0.21623590000000001</v>
      </c>
      <c r="U4588">
        <v>-7.019043E-3</v>
      </c>
      <c r="V4588">
        <v>6.9947220000000004E-2</v>
      </c>
      <c r="W4588">
        <v>2.792657E-3</v>
      </c>
      <c r="X4588">
        <v>0.99754679999999996</v>
      </c>
      <c r="Y4588">
        <v>4.1564829999999997E-2</v>
      </c>
      <c r="Z4588">
        <v>4.6725129999999997E-3</v>
      </c>
      <c r="AA4588">
        <v>0.99912489999999998</v>
      </c>
      <c r="AB4588">
        <v>22</v>
      </c>
      <c r="AC4588">
        <v>-0.67480000000000395</v>
      </c>
      <c r="AD4588">
        <v>-6.5265000000000101E-2</v>
      </c>
      <c r="AE4588">
        <v>7.8999999999780305E-3</v>
      </c>
      <c r="AF4588">
        <v>3.7318917103769E-2</v>
      </c>
      <c r="AG4588">
        <v>-6.5265000000000101E-2</v>
      </c>
      <c r="AH4588">
        <v>0.66755056186094297</v>
      </c>
      <c r="AI4588">
        <v>95.5752898570654</v>
      </c>
      <c r="AJ4588">
        <v>86.800252710031003</v>
      </c>
      <c r="AK4588">
        <v>0.67177077521998396</v>
      </c>
      <c r="AL4588">
        <v>89.839992334747194</v>
      </c>
      <c r="AM4588">
        <v>85.989028679283095</v>
      </c>
      <c r="AN4588">
        <v>1.0000000153545401</v>
      </c>
    </row>
    <row r="4589" spans="1:40" x14ac:dyDescent="0.25">
      <c r="A4589" t="str">
        <f>"20190312154346756"</f>
        <v>20190312154346756</v>
      </c>
      <c r="B4589" t="str">
        <f>"1552376626752134"</f>
        <v>1552376626752134</v>
      </c>
      <c r="C4589" t="s">
        <v>40</v>
      </c>
      <c r="D4589">
        <v>5.1381959999999998</v>
      </c>
      <c r="E4589">
        <v>0.48802760000000001</v>
      </c>
      <c r="F4589" t="s">
        <v>41</v>
      </c>
      <c r="G4589">
        <v>-218.1088</v>
      </c>
      <c r="H4589">
        <v>1.0478320000000001</v>
      </c>
      <c r="I4589">
        <v>141.82919999999999</v>
      </c>
      <c r="J4589">
        <v>-217.446</v>
      </c>
      <c r="K4589">
        <v>1.11063</v>
      </c>
      <c r="L4589">
        <v>141.82490000000001</v>
      </c>
      <c r="M4589">
        <v>-0.99893209999999999</v>
      </c>
      <c r="N4589">
        <v>0</v>
      </c>
      <c r="O4589">
        <v>-4.4273409999999999E-2</v>
      </c>
      <c r="P4589">
        <v>-0.99968979999999996</v>
      </c>
      <c r="Q4589">
        <v>-1.026877E-2</v>
      </c>
      <c r="R4589">
        <v>2.2692919999999998E-2</v>
      </c>
      <c r="S4589">
        <v>-2.999374</v>
      </c>
      <c r="T4589">
        <v>-0.2152483</v>
      </c>
      <c r="U4589">
        <v>-1.748657E-2</v>
      </c>
      <c r="V4589">
        <v>6.6932190000000003E-2</v>
      </c>
      <c r="W4589">
        <v>2.9662249999999999E-3</v>
      </c>
      <c r="X4589">
        <v>0.99775309999999995</v>
      </c>
      <c r="Y4589">
        <v>3.8240129999999997E-2</v>
      </c>
      <c r="Z4589">
        <v>4.5429099999999998E-3</v>
      </c>
      <c r="AA4589">
        <v>0.99925830000000004</v>
      </c>
      <c r="AB4589">
        <v>22</v>
      </c>
      <c r="AC4589">
        <v>-0.66280000000000405</v>
      </c>
      <c r="AD4589">
        <v>-6.2798000000000104E-2</v>
      </c>
      <c r="AE4589">
        <v>4.2999999999722097E-3</v>
      </c>
      <c r="AF4589">
        <v>3.3343451655696202E-2</v>
      </c>
      <c r="AG4589">
        <v>-6.2798000000000104E-2</v>
      </c>
      <c r="AH4589">
        <v>0.65607035359223698</v>
      </c>
      <c r="AI4589">
        <v>95.460597405381606</v>
      </c>
      <c r="AJ4589">
        <v>87.090560919401696</v>
      </c>
      <c r="AK4589">
        <v>0.65991187550684305</v>
      </c>
      <c r="AL4589">
        <v>89.830047574227393</v>
      </c>
      <c r="AM4589">
        <v>86.162181872146405</v>
      </c>
      <c r="AN4589">
        <v>0.99999998255427802</v>
      </c>
    </row>
    <row r="4590" spans="1:40" x14ac:dyDescent="0.25">
      <c r="A4590" t="str">
        <f>"20190312154346777"</f>
        <v>20190312154346777</v>
      </c>
      <c r="B4590" t="str">
        <f>"1552376626772633"</f>
        <v>1552376626772633</v>
      </c>
      <c r="C4590" t="s">
        <v>40</v>
      </c>
      <c r="D4590">
        <v>5.1557029999999999</v>
      </c>
      <c r="E4590">
        <v>0.48780899999999999</v>
      </c>
      <c r="F4590" t="s">
        <v>41</v>
      </c>
      <c r="G4590">
        <v>-218.30709999999999</v>
      </c>
      <c r="H4590">
        <v>1.049488</v>
      </c>
      <c r="I4590">
        <v>141.8167</v>
      </c>
      <c r="J4590">
        <v>-217.6619</v>
      </c>
      <c r="K4590">
        <v>1.110649</v>
      </c>
      <c r="L4590">
        <v>141.8152</v>
      </c>
      <c r="M4590">
        <v>-0.99892219999999998</v>
      </c>
      <c r="N4590">
        <v>0</v>
      </c>
      <c r="O4590">
        <v>-4.4496170000000002E-2</v>
      </c>
      <c r="P4590">
        <v>-0.99975999999999998</v>
      </c>
      <c r="Q4590">
        <v>-1.0440410000000001E-2</v>
      </c>
      <c r="R4590">
        <v>1.9261199999999999E-2</v>
      </c>
      <c r="S4590">
        <v>-2.9994200000000002</v>
      </c>
      <c r="T4590">
        <v>-0.21308389999999999</v>
      </c>
      <c r="U4590">
        <v>-2.9418949999999999E-2</v>
      </c>
      <c r="V4590">
        <v>6.3729560000000005E-2</v>
      </c>
      <c r="W4590">
        <v>2.7883650000000001E-3</v>
      </c>
      <c r="X4590">
        <v>0.9979633</v>
      </c>
      <c r="Y4590">
        <v>3.4500870000000003E-2</v>
      </c>
      <c r="Z4590">
        <v>4.3802770000000001E-3</v>
      </c>
      <c r="AA4590">
        <v>0.99939509999999998</v>
      </c>
      <c r="AB4590">
        <v>22</v>
      </c>
      <c r="AC4590">
        <v>-0.64519999999998801</v>
      </c>
      <c r="AD4590">
        <v>-6.1161E-2</v>
      </c>
      <c r="AE4590">
        <v>1.4999999999929499E-3</v>
      </c>
      <c r="AF4590">
        <v>2.9940904744694401E-2</v>
      </c>
      <c r="AG4590">
        <v>-6.1161E-2</v>
      </c>
      <c r="AH4590">
        <v>0.63875436643308603</v>
      </c>
      <c r="AI4590">
        <v>95.463458510945202</v>
      </c>
      <c r="AJ4590">
        <v>87.316288045629804</v>
      </c>
      <c r="AK4590">
        <v>0.64237393030482104</v>
      </c>
      <c r="AL4590">
        <v>89.840238245131403</v>
      </c>
      <c r="AM4590">
        <v>86.346074702013397</v>
      </c>
      <c r="AN4590">
        <v>0.99999998997202799</v>
      </c>
    </row>
    <row r="4591" spans="1:40" x14ac:dyDescent="0.25">
      <c r="A4591" t="str">
        <f>"20190312154346799"</f>
        <v>20190312154346799</v>
      </c>
      <c r="B4591" t="str">
        <f>"1552376626792150"</f>
        <v>1552376626792150</v>
      </c>
      <c r="C4591" t="s">
        <v>40</v>
      </c>
      <c r="D4591">
        <v>5.0814370000000002</v>
      </c>
      <c r="E4591">
        <v>0.48768489999999998</v>
      </c>
      <c r="F4591" t="s">
        <v>41</v>
      </c>
      <c r="G4591">
        <v>-218.51259999999999</v>
      </c>
      <c r="H4591">
        <v>1.050325</v>
      </c>
      <c r="I4591">
        <v>141.80359999999999</v>
      </c>
      <c r="J4591">
        <v>-217.8826</v>
      </c>
      <c r="K4591">
        <v>1.1106469999999999</v>
      </c>
      <c r="L4591">
        <v>141.80520000000001</v>
      </c>
      <c r="M4591">
        <v>-0.99891090000000005</v>
      </c>
      <c r="N4591">
        <v>0</v>
      </c>
      <c r="O4591">
        <v>-4.4754200000000001E-2</v>
      </c>
      <c r="P4591">
        <v>-0.9998146</v>
      </c>
      <c r="Q4591">
        <v>-1.1053739999999999E-2</v>
      </c>
      <c r="R4591">
        <v>1.5772209999999998E-2</v>
      </c>
      <c r="S4591">
        <v>-2.9993129999999999</v>
      </c>
      <c r="T4591">
        <v>-0.2126856</v>
      </c>
      <c r="U4591">
        <v>-4.1213989999999999E-2</v>
      </c>
      <c r="V4591">
        <v>6.050473E-2</v>
      </c>
      <c r="W4591">
        <v>2.1656179999999998E-3</v>
      </c>
      <c r="X4591">
        <v>0.99816550000000004</v>
      </c>
      <c r="Y4591">
        <v>3.08381E-2</v>
      </c>
      <c r="Z4591">
        <v>4.2606579999999996E-3</v>
      </c>
      <c r="AA4591">
        <v>0.9995153</v>
      </c>
      <c r="AB4591">
        <v>22</v>
      </c>
      <c r="AC4591">
        <v>-0.62999999999999501</v>
      </c>
      <c r="AD4591">
        <v>-6.0321999999999897E-2</v>
      </c>
      <c r="AE4591">
        <v>-1.60000000002469E-3</v>
      </c>
      <c r="AF4591">
        <v>2.6357561587358299E-2</v>
      </c>
      <c r="AG4591">
        <v>-6.0321999999999897E-2</v>
      </c>
      <c r="AH4591">
        <v>0.62372206990887902</v>
      </c>
      <c r="AI4591">
        <v>95.519168208142602</v>
      </c>
      <c r="AJ4591">
        <v>87.580205794492301</v>
      </c>
      <c r="AK4591">
        <v>0.62718632417189102</v>
      </c>
      <c r="AL4591">
        <v>89.875919123983394</v>
      </c>
      <c r="AM4591">
        <v>86.531207340610294</v>
      </c>
      <c r="AN4591">
        <v>0.99999993882197002</v>
      </c>
    </row>
    <row r="4592" spans="1:40" x14ac:dyDescent="0.25">
      <c r="A4592" t="str">
        <f>"20190312154346824"</f>
        <v>20190312154346824</v>
      </c>
      <c r="B4592" t="str">
        <f>"1552376626812646"</f>
        <v>1552376626812646</v>
      </c>
      <c r="C4592" t="s">
        <v>40</v>
      </c>
      <c r="D4592">
        <v>5.1421089999999996</v>
      </c>
      <c r="E4592">
        <v>0.4876064</v>
      </c>
      <c r="F4592" t="s">
        <v>43</v>
      </c>
      <c r="G4592">
        <v>-233.5822</v>
      </c>
      <c r="H4592" s="1">
        <v>-3.244567E-6</v>
      </c>
      <c r="I4592">
        <v>141.52940000000001</v>
      </c>
      <c r="J4592">
        <v>-218.1242</v>
      </c>
      <c r="K4592">
        <v>1.11063</v>
      </c>
      <c r="L4592">
        <v>141.79399999999899</v>
      </c>
      <c r="M4592">
        <v>-0.9988977</v>
      </c>
      <c r="N4592">
        <v>0</v>
      </c>
      <c r="O4592">
        <v>-4.5050460000000001E-2</v>
      </c>
      <c r="P4592">
        <v>-0.99983529999999998</v>
      </c>
      <c r="Q4592">
        <v>-1.2399769999999999E-2</v>
      </c>
      <c r="R4592">
        <v>1.325846E-2</v>
      </c>
      <c r="S4592">
        <v>-2.9990230000000002</v>
      </c>
      <c r="T4592">
        <v>-0.21216299999999999</v>
      </c>
      <c r="U4592">
        <v>-5.2673339999999999E-2</v>
      </c>
      <c r="V4592">
        <v>5.8291410000000002E-2</v>
      </c>
      <c r="W4592">
        <v>8.094946E-4</v>
      </c>
      <c r="X4592">
        <v>0.9982993</v>
      </c>
      <c r="Y4592">
        <v>2.7323730000000001E-2</v>
      </c>
      <c r="Z4592">
        <v>4.147197E-3</v>
      </c>
      <c r="AA4592">
        <v>0.99961809999999995</v>
      </c>
      <c r="AB4592">
        <v>22</v>
      </c>
      <c r="AC4592">
        <v>-15.457999999999901</v>
      </c>
      <c r="AD4592">
        <v>-1.110633244567</v>
      </c>
      <c r="AE4592">
        <v>-0.26459999999997302</v>
      </c>
      <c r="AF4592">
        <v>0.42990065826707702</v>
      </c>
      <c r="AG4592">
        <v>-1.110633244567</v>
      </c>
      <c r="AH4592">
        <v>15.3748794086244</v>
      </c>
      <c r="AI4592">
        <v>94.130082819448205</v>
      </c>
      <c r="AJ4592">
        <v>88.398356405697697</v>
      </c>
      <c r="AK4592">
        <v>15.4209350432994</v>
      </c>
      <c r="AL4592">
        <v>89.953619371654099</v>
      </c>
      <c r="AM4592">
        <v>86.6582528842237</v>
      </c>
      <c r="AN4592">
        <v>1.0000000180708899</v>
      </c>
    </row>
    <row r="4593" spans="1:40" x14ac:dyDescent="0.25">
      <c r="A4593" t="str">
        <f>"20190312154346846"</f>
        <v>20190312154346846</v>
      </c>
      <c r="B4593" t="str">
        <f>"1552376626841926"</f>
        <v>1552376626841926</v>
      </c>
      <c r="C4593" t="s">
        <v>40</v>
      </c>
      <c r="D4593">
        <v>5.1539609999999998</v>
      </c>
      <c r="E4593">
        <v>0.48740810000000001</v>
      </c>
      <c r="F4593" t="s">
        <v>43</v>
      </c>
      <c r="G4593">
        <v>-233.727</v>
      </c>
      <c r="H4593" s="1">
        <v>-3.1683990000000002E-6</v>
      </c>
      <c r="I4593">
        <v>141.47659999999999</v>
      </c>
      <c r="J4593">
        <v>-218.3424</v>
      </c>
      <c r="K4593">
        <v>1.1106240000000001</v>
      </c>
      <c r="L4593">
        <v>141.78389999999999</v>
      </c>
      <c r="M4593">
        <v>-0.99888529999999998</v>
      </c>
      <c r="N4593">
        <v>0</v>
      </c>
      <c r="O4593">
        <v>-4.5326499999999999E-2</v>
      </c>
      <c r="P4593">
        <v>-0.99983659999999996</v>
      </c>
      <c r="Q4593">
        <v>-1.4214589999999999E-2</v>
      </c>
      <c r="R4593">
        <v>1.1177080000000001E-2</v>
      </c>
      <c r="S4593">
        <v>-2.9986570000000001</v>
      </c>
      <c r="T4593">
        <v>-0.21345020000000001</v>
      </c>
      <c r="U4593">
        <v>-6.0989380000000003E-2</v>
      </c>
      <c r="V4593">
        <v>5.648939E-2</v>
      </c>
      <c r="W4593">
        <v>-1.013185E-3</v>
      </c>
      <c r="X4593">
        <v>0.99840269999999998</v>
      </c>
      <c r="Y4593">
        <v>2.482993E-2</v>
      </c>
      <c r="Z4593">
        <v>4.1036120000000004E-3</v>
      </c>
      <c r="AA4593">
        <v>0.99968330000000005</v>
      </c>
      <c r="AB4593">
        <v>22</v>
      </c>
      <c r="AC4593">
        <v>-15.384600000000001</v>
      </c>
      <c r="AD4593">
        <v>-1.1106271683990001</v>
      </c>
      <c r="AE4593">
        <v>-0.30729999999999702</v>
      </c>
      <c r="AF4593">
        <v>0.388383262047439</v>
      </c>
      <c r="AG4593">
        <v>-1.1106271683990001</v>
      </c>
      <c r="AH4593">
        <v>15.302995388428901</v>
      </c>
      <c r="AI4593">
        <v>94.149677682675403</v>
      </c>
      <c r="AJ4593">
        <v>88.546170523650503</v>
      </c>
      <c r="AK4593">
        <v>15.348159567964499</v>
      </c>
      <c r="AL4593">
        <v>90.058051233453497</v>
      </c>
      <c r="AM4593">
        <v>86.761670911130395</v>
      </c>
      <c r="AN4593">
        <v>1.0000000145468499</v>
      </c>
    </row>
    <row r="4594" spans="1:40" x14ac:dyDescent="0.25">
      <c r="A4594" t="str">
        <f>"20190312154346869"</f>
        <v>20190312154346869</v>
      </c>
      <c r="B4594" t="str">
        <f>"1552376626862422"</f>
        <v>1552376626862422</v>
      </c>
      <c r="C4594" t="s">
        <v>40</v>
      </c>
      <c r="D4594">
        <v>5.1363130000000004</v>
      </c>
      <c r="E4594">
        <v>0.48748710000000001</v>
      </c>
      <c r="F4594" t="s">
        <v>43</v>
      </c>
      <c r="G4594">
        <v>-233.66139999999999</v>
      </c>
      <c r="H4594" s="1">
        <v>-3.1843889999999999E-6</v>
      </c>
      <c r="I4594">
        <v>141.43090000000001</v>
      </c>
      <c r="J4594">
        <v>-218.55539999999999</v>
      </c>
      <c r="K4594">
        <v>1.110619</v>
      </c>
      <c r="L4594">
        <v>141.7739</v>
      </c>
      <c r="M4594">
        <v>-0.99887230000000005</v>
      </c>
      <c r="N4594">
        <v>0</v>
      </c>
      <c r="O4594">
        <v>-4.5613000000000001E-2</v>
      </c>
      <c r="P4594">
        <v>-0.99982519999999997</v>
      </c>
      <c r="Q4594">
        <v>-1.5580510000000001E-2</v>
      </c>
      <c r="R4594">
        <v>1.033326E-2</v>
      </c>
      <c r="S4594">
        <v>-2.998154</v>
      </c>
      <c r="T4594">
        <v>-0.21736739999999999</v>
      </c>
      <c r="U4594">
        <v>-6.9076540000000006E-2</v>
      </c>
      <c r="V4594">
        <v>5.5933190000000001E-2</v>
      </c>
      <c r="W4594">
        <v>-2.3852629999999999E-3</v>
      </c>
      <c r="X4594">
        <v>0.99843170000000003</v>
      </c>
      <c r="Y4594">
        <v>2.2416889999999998E-2</v>
      </c>
      <c r="Z4594">
        <v>4.1126299999999999E-3</v>
      </c>
      <c r="AA4594">
        <v>0.99974019999999997</v>
      </c>
      <c r="AB4594">
        <v>22</v>
      </c>
      <c r="AC4594">
        <v>-15.1059999999999</v>
      </c>
      <c r="AD4594">
        <v>-1.1106221843889901</v>
      </c>
      <c r="AE4594">
        <v>-0.34299999999998898</v>
      </c>
      <c r="AF4594">
        <v>0.34458516289518398</v>
      </c>
      <c r="AG4594">
        <v>-1.1106221843889901</v>
      </c>
      <c r="AH4594">
        <v>15.0247473220376</v>
      </c>
      <c r="AI4594">
        <v>94.226480636225702</v>
      </c>
      <c r="AJ4594">
        <v>88.686179901280795</v>
      </c>
      <c r="AK4594">
        <v>15.069679912394299</v>
      </c>
      <c r="AL4594">
        <v>90.136665627684494</v>
      </c>
      <c r="AM4594">
        <v>86.793581889797906</v>
      </c>
      <c r="AN4594">
        <v>1.0000000353940199</v>
      </c>
    </row>
    <row r="4595" spans="1:40" x14ac:dyDescent="0.25">
      <c r="A4595" t="str">
        <f>"20190312154346889"</f>
        <v>20190312154346889</v>
      </c>
      <c r="B4595" t="str">
        <f>"1552376626881942"</f>
        <v>1552376626881942</v>
      </c>
      <c r="C4595" t="s">
        <v>40</v>
      </c>
      <c r="D4595">
        <v>5.0479320000000003</v>
      </c>
      <c r="E4595">
        <v>0.51658549999999903</v>
      </c>
      <c r="F4595" t="s">
        <v>41</v>
      </c>
      <c r="G4595">
        <v>-219.47819999999999</v>
      </c>
      <c r="H4595">
        <v>1.0421640000000001</v>
      </c>
      <c r="I4595">
        <v>141.75210000000001</v>
      </c>
      <c r="J4595">
        <v>-218.76249999999999</v>
      </c>
      <c r="K4595">
        <v>1.1106279999999999</v>
      </c>
      <c r="L4595">
        <v>141.76400000000001</v>
      </c>
      <c r="M4595">
        <v>-0.99885829999999998</v>
      </c>
      <c r="N4595">
        <v>0</v>
      </c>
      <c r="O4595">
        <v>-4.5923310000000002E-2</v>
      </c>
      <c r="P4595">
        <v>-0.99981220000000004</v>
      </c>
      <c r="Q4595">
        <v>-1.679874E-2</v>
      </c>
      <c r="R4595">
        <v>9.6877070000000003E-3</v>
      </c>
      <c r="S4595">
        <v>-2.9977870000000002</v>
      </c>
      <c r="T4595">
        <v>-0.22252669999999999</v>
      </c>
      <c r="U4595">
        <v>-7.1426390000000006E-2</v>
      </c>
      <c r="V4595">
        <v>5.5598849999999998E-2</v>
      </c>
      <c r="W4595">
        <v>-3.6082190000000002E-3</v>
      </c>
      <c r="X4595">
        <v>0.99844659999999996</v>
      </c>
      <c r="Y4595">
        <v>2.1933310000000001E-2</v>
      </c>
      <c r="Z4595">
        <v>4.2154929999999998E-3</v>
      </c>
      <c r="AA4595">
        <v>0.99975060000000004</v>
      </c>
      <c r="AB4595">
        <v>22</v>
      </c>
      <c r="AC4595">
        <v>-0.715699999999998</v>
      </c>
      <c r="AD4595">
        <v>-6.8464000000000302E-2</v>
      </c>
      <c r="AE4595">
        <v>-1.18999999999971E-2</v>
      </c>
      <c r="AF4595">
        <v>2.07924988947382E-2</v>
      </c>
      <c r="AG4595">
        <v>-6.8464000000000302E-2</v>
      </c>
      <c r="AH4595">
        <v>0.70900509560773195</v>
      </c>
      <c r="AI4595">
        <v>95.513223329339695</v>
      </c>
      <c r="AJ4595">
        <v>88.320208006226295</v>
      </c>
      <c r="AK4595">
        <v>0.71260639409425497</v>
      </c>
      <c r="AL4595">
        <v>90.206736182867004</v>
      </c>
      <c r="AM4595">
        <v>86.812756048844093</v>
      </c>
      <c r="AN4595">
        <v>0.99999993220861405</v>
      </c>
    </row>
    <row r="4596" spans="1:40" x14ac:dyDescent="0.25">
      <c r="A4596" t="str">
        <f>"20190312154346923"</f>
        <v>20190312154346923</v>
      </c>
      <c r="B4596" t="str">
        <f>"1552376626912201"</f>
        <v>1552376626912201</v>
      </c>
      <c r="C4596" t="s">
        <v>40</v>
      </c>
      <c r="D4596">
        <v>5.0648269999999904</v>
      </c>
      <c r="E4596">
        <v>0.534779</v>
      </c>
      <c r="F4596" t="s">
        <v>41</v>
      </c>
      <c r="G4596">
        <v>-219.63130000000001</v>
      </c>
      <c r="H4596">
        <v>0.95357919999999996</v>
      </c>
      <c r="I4596">
        <v>141.80840000000001</v>
      </c>
      <c r="J4596">
        <v>-219.09119999999999</v>
      </c>
      <c r="K4596">
        <v>1.1106240000000001</v>
      </c>
      <c r="L4596">
        <v>141.7482</v>
      </c>
      <c r="M4596">
        <v>-0.99883219999999995</v>
      </c>
      <c r="N4596">
        <v>0</v>
      </c>
      <c r="O4596">
        <v>-4.648803E-2</v>
      </c>
      <c r="P4596">
        <v>-0.99978029999999996</v>
      </c>
      <c r="Q4596">
        <v>-1.7421820000000001E-2</v>
      </c>
      <c r="R4596">
        <v>1.167373E-2</v>
      </c>
      <c r="S4596">
        <v>-2.990005</v>
      </c>
      <c r="T4596">
        <v>-0.54054209999999903</v>
      </c>
      <c r="U4596">
        <v>0.15252689999999999</v>
      </c>
      <c r="V4596">
        <v>5.8146120000000003E-2</v>
      </c>
      <c r="W4596">
        <v>-4.237434E-3</v>
      </c>
      <c r="X4596">
        <v>0.99829909999999999</v>
      </c>
      <c r="Y4596">
        <v>9.5033419999999993E-2</v>
      </c>
      <c r="Z4596">
        <v>1.6848040000000002E-2</v>
      </c>
      <c r="AA4596">
        <v>0.99533150000000004</v>
      </c>
      <c r="AB4596">
        <v>22</v>
      </c>
      <c r="AC4596">
        <v>-0.54010000000002301</v>
      </c>
      <c r="AD4596">
        <v>-0.15704480000000001</v>
      </c>
      <c r="AE4596">
        <v>6.0200000000008899E-2</v>
      </c>
      <c r="AF4596">
        <v>7.8675130908486296E-2</v>
      </c>
      <c r="AG4596">
        <v>-0.15704480000000001</v>
      </c>
      <c r="AH4596">
        <v>0.49535060266303099</v>
      </c>
      <c r="AI4596">
        <v>107.38601456046101</v>
      </c>
      <c r="AJ4596">
        <v>80.975256307285306</v>
      </c>
      <c r="AK4596">
        <v>0.52557117975506895</v>
      </c>
      <c r="AL4596">
        <v>90.2427878082961</v>
      </c>
      <c r="AM4596">
        <v>86.666562639697602</v>
      </c>
      <c r="AN4596">
        <v>1.00000001008938</v>
      </c>
    </row>
    <row r="4597" spans="1:40" x14ac:dyDescent="0.25">
      <c r="A4597" t="str">
        <f>"20190312154346944"</f>
        <v>20190312154346944</v>
      </c>
      <c r="B4597" t="str">
        <f>"1552376626932693"</f>
        <v>1552376626932693</v>
      </c>
      <c r="C4597" t="s">
        <v>40</v>
      </c>
      <c r="D4597">
        <v>5.047892</v>
      </c>
      <c r="E4597">
        <v>0.53502119999999997</v>
      </c>
      <c r="F4597" t="s">
        <v>41</v>
      </c>
      <c r="G4597">
        <v>-219.80269999999999</v>
      </c>
      <c r="H4597">
        <v>0.89938469999999904</v>
      </c>
      <c r="I4597">
        <v>141.81880000000001</v>
      </c>
      <c r="J4597">
        <v>-219.2988</v>
      </c>
      <c r="K4597">
        <v>1.1106320000000001</v>
      </c>
      <c r="L4597">
        <v>141.738</v>
      </c>
      <c r="M4597">
        <v>-0.99881299999999995</v>
      </c>
      <c r="N4597">
        <v>0</v>
      </c>
      <c r="O4597">
        <v>-4.690068E-2</v>
      </c>
      <c r="P4597">
        <v>-0.99974779999999996</v>
      </c>
      <c r="Q4597">
        <v>-1.7726499999999999E-2</v>
      </c>
      <c r="R4597">
        <v>1.38007999999999E-2</v>
      </c>
      <c r="S4597">
        <v>-2.9817499999999999</v>
      </c>
      <c r="T4597">
        <v>-0.88527269999999902</v>
      </c>
      <c r="U4597">
        <v>0.29595949999999999</v>
      </c>
      <c r="V4597">
        <v>6.0681850000000002E-2</v>
      </c>
      <c r="W4597">
        <v>-4.5449430000000001E-3</v>
      </c>
      <c r="X4597">
        <v>0.9981468</v>
      </c>
      <c r="Y4597">
        <v>0.1374522</v>
      </c>
      <c r="Z4597">
        <v>3.3532119999999999E-2</v>
      </c>
      <c r="AA4597">
        <v>0.98994059999999995</v>
      </c>
      <c r="AB4597">
        <v>22</v>
      </c>
      <c r="AC4597">
        <v>-0.50389999999998702</v>
      </c>
      <c r="AD4597">
        <v>-0.2112473</v>
      </c>
      <c r="AE4597">
        <v>8.0800000000010599E-2</v>
      </c>
      <c r="AF4597">
        <v>8.9082616874940707E-2</v>
      </c>
      <c r="AG4597">
        <v>-0.2112473</v>
      </c>
      <c r="AH4597">
        <v>0.42648069392538901</v>
      </c>
      <c r="AI4597">
        <v>115.867000524603</v>
      </c>
      <c r="AJ4597">
        <v>78.201781862428206</v>
      </c>
      <c r="AK4597">
        <v>0.48419718780436899</v>
      </c>
      <c r="AL4597">
        <v>90.260406951442704</v>
      </c>
      <c r="AM4597">
        <v>86.521012772431106</v>
      </c>
      <c r="AN4597">
        <v>0.99999998888826702</v>
      </c>
    </row>
    <row r="4598" spans="1:40" x14ac:dyDescent="0.25">
      <c r="A4598" t="str">
        <f>"20190312154346966"</f>
        <v>20190312154346966</v>
      </c>
      <c r="B4598" t="str">
        <f>"1552376626961750"</f>
        <v>1552376626961750</v>
      </c>
      <c r="C4598" t="s">
        <v>40</v>
      </c>
      <c r="D4598">
        <v>5.0754330000000003</v>
      </c>
      <c r="E4598">
        <v>0.53413089999999996</v>
      </c>
      <c r="F4598" t="s">
        <v>41</v>
      </c>
      <c r="G4598">
        <v>-219.9975</v>
      </c>
      <c r="H4598">
        <v>0.89873080000000005</v>
      </c>
      <c r="I4598">
        <v>141.8091</v>
      </c>
      <c r="J4598">
        <v>-219.5147</v>
      </c>
      <c r="K4598">
        <v>1.1106510000000001</v>
      </c>
      <c r="L4598">
        <v>141.72730000000001</v>
      </c>
      <c r="M4598">
        <v>-0.99879019999999996</v>
      </c>
      <c r="N4598">
        <v>0</v>
      </c>
      <c r="O4598">
        <v>-4.7383309999999998E-2</v>
      </c>
      <c r="P4598">
        <v>-0.99972930000000004</v>
      </c>
      <c r="Q4598">
        <v>-1.7311050000000001E-2</v>
      </c>
      <c r="R4598">
        <v>1.5545150000000001E-2</v>
      </c>
      <c r="S4598">
        <v>-2.9805600000000001</v>
      </c>
      <c r="T4598">
        <v>-0.90388809999999997</v>
      </c>
      <c r="U4598">
        <v>0.30354309999999901</v>
      </c>
      <c r="V4598">
        <v>6.2905440000000007E-2</v>
      </c>
      <c r="W4598">
        <v>-4.1307879999999998E-3</v>
      </c>
      <c r="X4598">
        <v>0.99801090000000003</v>
      </c>
      <c r="Y4598">
        <v>0.13999519999999999</v>
      </c>
      <c r="Z4598">
        <v>3.4735589999999997E-2</v>
      </c>
      <c r="AA4598">
        <v>0.9895427</v>
      </c>
      <c r="AB4598">
        <v>22</v>
      </c>
      <c r="AC4598">
        <v>-0.48279999999999701</v>
      </c>
      <c r="AD4598">
        <v>-0.2119202</v>
      </c>
      <c r="AE4598">
        <v>8.1799999999986994E-2</v>
      </c>
      <c r="AF4598">
        <v>8.8088487618217998E-2</v>
      </c>
      <c r="AG4598">
        <v>-0.2119202</v>
      </c>
      <c r="AH4598">
        <v>0.402918049692646</v>
      </c>
      <c r="AI4598">
        <v>117.195324797137</v>
      </c>
      <c r="AJ4598">
        <v>77.667676017321497</v>
      </c>
      <c r="AK4598">
        <v>0.46369462751581503</v>
      </c>
      <c r="AL4598">
        <v>90.236677401694195</v>
      </c>
      <c r="AM4598">
        <v>86.393371533266205</v>
      </c>
      <c r="AN4598">
        <v>0.99999995715495105</v>
      </c>
    </row>
    <row r="4599" spans="1:40" x14ac:dyDescent="0.25">
      <c r="A4599" t="str">
        <f>"20190312154346992"</f>
        <v>20190312154346992</v>
      </c>
      <c r="B4599" t="str">
        <f>"1552376626982247"</f>
        <v>1552376626982247</v>
      </c>
      <c r="C4599" t="s">
        <v>40</v>
      </c>
      <c r="D4599">
        <v>5.0958870000000003</v>
      </c>
      <c r="E4599">
        <v>0.53344550000000002</v>
      </c>
      <c r="F4599" t="s">
        <v>41</v>
      </c>
      <c r="G4599">
        <v>-220.19630000000001</v>
      </c>
      <c r="H4599">
        <v>0.90825299999999998</v>
      </c>
      <c r="I4599">
        <v>141.79650000000001</v>
      </c>
      <c r="J4599">
        <v>-219.76130000000001</v>
      </c>
      <c r="K4599">
        <v>1.1106819999999999</v>
      </c>
      <c r="L4599">
        <v>141.7149</v>
      </c>
      <c r="M4599">
        <v>-0.9987606</v>
      </c>
      <c r="N4599">
        <v>0</v>
      </c>
      <c r="O4599">
        <v>-4.8002999999999997E-2</v>
      </c>
      <c r="P4599">
        <v>-0.99970720000000002</v>
      </c>
      <c r="Q4599">
        <v>-1.6700449999999999E-2</v>
      </c>
      <c r="R4599">
        <v>1.7524390000000001E-2</v>
      </c>
      <c r="S4599">
        <v>-2.980804</v>
      </c>
      <c r="T4599">
        <v>-0.88523269999999998</v>
      </c>
      <c r="U4599">
        <v>0.30137629999999999</v>
      </c>
      <c r="V4599">
        <v>6.5500450000000002E-2</v>
      </c>
      <c r="W4599">
        <v>-3.5191189999999998E-3</v>
      </c>
      <c r="X4599">
        <v>0.99784629999999996</v>
      </c>
      <c r="Y4599">
        <v>0.1401886</v>
      </c>
      <c r="Z4599">
        <v>3.4254720000000002E-2</v>
      </c>
      <c r="AA4599">
        <v>0.98953210000000003</v>
      </c>
      <c r="AB4599">
        <v>22</v>
      </c>
      <c r="AC4599">
        <v>-0.435000000000002</v>
      </c>
      <c r="AD4599">
        <v>-0.202428999999999</v>
      </c>
      <c r="AE4599">
        <v>8.1600000000008693E-2</v>
      </c>
      <c r="AF4599">
        <v>8.4675492320688397E-2</v>
      </c>
      <c r="AG4599">
        <v>-0.202428999999999</v>
      </c>
      <c r="AH4599">
        <v>0.356089559302388</v>
      </c>
      <c r="AI4599">
        <v>118.945068064418</v>
      </c>
      <c r="AJ4599">
        <v>76.623908402716395</v>
      </c>
      <c r="AK4599">
        <v>0.41826691631650698</v>
      </c>
      <c r="AL4599">
        <v>90.2016310893775</v>
      </c>
      <c r="AM4599">
        <v>86.244388531117096</v>
      </c>
      <c r="AN4599">
        <v>0.99999996578621297</v>
      </c>
    </row>
    <row r="4600" spans="1:40" x14ac:dyDescent="0.25">
      <c r="A4600" t="str">
        <f>"20190312154347014"</f>
        <v>20190312154347014</v>
      </c>
      <c r="B4600" t="str">
        <f>"1552376627001766"</f>
        <v>1552376627001766</v>
      </c>
      <c r="C4600" t="s">
        <v>40</v>
      </c>
      <c r="D4600">
        <v>5.0307870000000001</v>
      </c>
      <c r="E4600">
        <v>0.53288040000000003</v>
      </c>
      <c r="F4600" t="s">
        <v>41</v>
      </c>
      <c r="G4600">
        <v>-220.57210000000001</v>
      </c>
      <c r="H4600">
        <v>0.87284450000000002</v>
      </c>
      <c r="I4600">
        <v>141.797</v>
      </c>
      <c r="J4600">
        <v>-219.97329999999999</v>
      </c>
      <c r="K4600">
        <v>1.110716</v>
      </c>
      <c r="L4600">
        <v>141.70410000000001</v>
      </c>
      <c r="M4600">
        <v>-0.99873279999999998</v>
      </c>
      <c r="N4600">
        <v>0</v>
      </c>
      <c r="O4600">
        <v>-4.8580020000000002E-2</v>
      </c>
      <c r="P4600">
        <v>-0.9996893</v>
      </c>
      <c r="Q4600">
        <v>-1.5663050000000001E-2</v>
      </c>
      <c r="R4600">
        <v>1.940018E-2</v>
      </c>
      <c r="S4600">
        <v>-2.9810029999999998</v>
      </c>
      <c r="T4600">
        <v>-0.87447980000000003</v>
      </c>
      <c r="U4600">
        <v>0.30090329999999998</v>
      </c>
      <c r="V4600">
        <v>6.7948670000000003E-2</v>
      </c>
      <c r="W4600">
        <v>-2.4797930000000001E-3</v>
      </c>
      <c r="X4600">
        <v>0.99768570000000001</v>
      </c>
      <c r="Y4600">
        <v>0.14074200000000001</v>
      </c>
      <c r="Z4600">
        <v>3.4098280000000002E-2</v>
      </c>
      <c r="AA4600">
        <v>0.98945890000000003</v>
      </c>
      <c r="AB4600">
        <v>22</v>
      </c>
      <c r="AC4600">
        <v>-0.59880000000001099</v>
      </c>
      <c r="AD4600">
        <v>-0.23787150000000001</v>
      </c>
      <c r="AE4600">
        <v>9.2899999999985994E-2</v>
      </c>
      <c r="AF4600">
        <v>0.10560863815064001</v>
      </c>
      <c r="AG4600">
        <v>-0.23787150000000001</v>
      </c>
      <c r="AH4600">
        <v>0.51432404217837302</v>
      </c>
      <c r="AI4600">
        <v>114.372494325584</v>
      </c>
      <c r="AJ4600">
        <v>78.396464522310794</v>
      </c>
      <c r="AK4600">
        <v>0.57642454434816004</v>
      </c>
      <c r="AL4600">
        <v>90.142081823763306</v>
      </c>
      <c r="AM4600">
        <v>86.103813793777505</v>
      </c>
      <c r="AN4600">
        <v>0.99999996355628995</v>
      </c>
    </row>
    <row r="4601" spans="1:40" x14ac:dyDescent="0.25">
      <c r="A4601" t="str">
        <f>"20190312154347036"</f>
        <v>20190312154347036</v>
      </c>
      <c r="B4601" t="str">
        <f>"1552376627032023"</f>
        <v>1552376627032023</v>
      </c>
      <c r="C4601" t="s">
        <v>40</v>
      </c>
      <c r="D4601">
        <v>5.0430720000000004</v>
      </c>
      <c r="E4601">
        <v>0.53162500000000001</v>
      </c>
      <c r="F4601" t="s">
        <v>41</v>
      </c>
      <c r="G4601">
        <v>-220.76920000000001</v>
      </c>
      <c r="H4601">
        <v>0.87993140000000003</v>
      </c>
      <c r="I4601">
        <v>141.78440000000001</v>
      </c>
      <c r="J4601">
        <v>-220.19460000000001</v>
      </c>
      <c r="K4601">
        <v>1.1107370000000001</v>
      </c>
      <c r="L4601">
        <v>141.6926</v>
      </c>
      <c r="M4601">
        <v>-0.99870179999999997</v>
      </c>
      <c r="N4601">
        <v>0</v>
      </c>
      <c r="O4601">
        <v>-4.9215599999999998E-2</v>
      </c>
      <c r="P4601">
        <v>-0.99966080000000002</v>
      </c>
      <c r="Q4601">
        <v>-1.5040039999999999E-2</v>
      </c>
      <c r="R4601">
        <v>2.1271149999999999E-2</v>
      </c>
      <c r="S4601">
        <v>-2.9815520000000002</v>
      </c>
      <c r="T4601">
        <v>-0.86455539999999997</v>
      </c>
      <c r="U4601">
        <v>0.30067440000000001</v>
      </c>
      <c r="V4601">
        <v>7.0450360000000004E-2</v>
      </c>
      <c r="W4601">
        <v>-1.855305E-3</v>
      </c>
      <c r="X4601">
        <v>0.99751350000000005</v>
      </c>
      <c r="Y4601">
        <v>0.14140259999999999</v>
      </c>
      <c r="Z4601">
        <v>3.39946E-2</v>
      </c>
      <c r="AA4601">
        <v>0.98936829999999998</v>
      </c>
      <c r="AB4601">
        <v>22</v>
      </c>
      <c r="AC4601">
        <v>-0.574600000000003</v>
      </c>
      <c r="AD4601">
        <v>-0.2308056</v>
      </c>
      <c r="AE4601">
        <v>9.1800000000006293E-2</v>
      </c>
      <c r="AF4601">
        <v>0.10366128198652901</v>
      </c>
      <c r="AG4601">
        <v>-0.2308056</v>
      </c>
      <c r="AH4601">
        <v>0.49198109755645097</v>
      </c>
      <c r="AI4601">
        <v>114.65776391508901</v>
      </c>
      <c r="AJ4601">
        <v>78.101716836028402</v>
      </c>
      <c r="AK4601">
        <v>0.553228964107358</v>
      </c>
      <c r="AL4601">
        <v>90.106301213674797</v>
      </c>
      <c r="AM4601">
        <v>85.96013798045</v>
      </c>
      <c r="AN4601">
        <v>0.99999993903150897</v>
      </c>
    </row>
    <row r="4602" spans="1:40" x14ac:dyDescent="0.25">
      <c r="A4602" t="str">
        <f>"20190312154347068"</f>
        <v>20190312154347068</v>
      </c>
      <c r="B4602" t="str">
        <f>"1552376627062279"</f>
        <v>1552376627062279</v>
      </c>
      <c r="C4602" t="s">
        <v>40</v>
      </c>
      <c r="D4602">
        <v>5.0625920000000004</v>
      </c>
      <c r="E4602">
        <v>0.53116180000000002</v>
      </c>
      <c r="F4602" t="s">
        <v>41</v>
      </c>
      <c r="G4602">
        <v>-220.9666</v>
      </c>
      <c r="H4602">
        <v>0.88838819999999996</v>
      </c>
      <c r="I4602">
        <v>141.76929999999999</v>
      </c>
      <c r="J4602">
        <v>-220.4956</v>
      </c>
      <c r="K4602">
        <v>1.1107579999999999</v>
      </c>
      <c r="L4602">
        <v>141.67670000000001</v>
      </c>
      <c r="M4602">
        <v>-0.99865669999999995</v>
      </c>
      <c r="N4602">
        <v>0</v>
      </c>
      <c r="O4602">
        <v>-5.011902E-2</v>
      </c>
      <c r="P4602">
        <v>-0.99964109999999995</v>
      </c>
      <c r="Q4602">
        <v>-1.487667E-2</v>
      </c>
      <c r="R4602">
        <v>2.2282110000000001E-2</v>
      </c>
      <c r="S4602">
        <v>-2.9818120000000001</v>
      </c>
      <c r="T4602">
        <v>-0.8589618</v>
      </c>
      <c r="U4602">
        <v>0.29557800000000001</v>
      </c>
      <c r="V4602">
        <v>7.2361339999999996E-2</v>
      </c>
      <c r="W4602">
        <v>-1.6925429999999999E-3</v>
      </c>
      <c r="X4602">
        <v>0.99737699999999996</v>
      </c>
      <c r="Y4602">
        <v>0.1407041</v>
      </c>
      <c r="Z4602">
        <v>3.3939160000000003E-2</v>
      </c>
      <c r="AA4602">
        <v>0.98946979999999995</v>
      </c>
      <c r="AB4602">
        <v>22</v>
      </c>
      <c r="AC4602">
        <v>-0.47100000000000303</v>
      </c>
      <c r="AD4602">
        <v>-0.22236979999999901</v>
      </c>
      <c r="AE4602">
        <v>9.2599999999975993E-2</v>
      </c>
      <c r="AF4602">
        <v>9.5579816795157105E-2</v>
      </c>
      <c r="AG4602">
        <v>-0.22236979999999901</v>
      </c>
      <c r="AH4602">
        <v>0.38347168324737002</v>
      </c>
      <c r="AI4602">
        <v>119.365205578436</v>
      </c>
      <c r="AJ4602">
        <v>76.004278116187805</v>
      </c>
      <c r="AK4602">
        <v>0.453469250537682</v>
      </c>
      <c r="AL4602">
        <v>90.096975621289005</v>
      </c>
      <c r="AM4602">
        <v>85.850367732899699</v>
      </c>
      <c r="AN4602">
        <v>0.99999995417870002</v>
      </c>
    </row>
    <row r="4603" spans="1:40" x14ac:dyDescent="0.25">
      <c r="A4603" t="str">
        <f>"20190312154347090"</f>
        <v>20190312154347090</v>
      </c>
      <c r="B4603" t="str">
        <f>"1552376627081799"</f>
        <v>1552376627081799</v>
      </c>
      <c r="C4603" t="s">
        <v>40</v>
      </c>
      <c r="D4603">
        <v>5.0563549999999999</v>
      </c>
      <c r="E4603">
        <v>0.53127899999999995</v>
      </c>
      <c r="F4603" t="s">
        <v>41</v>
      </c>
      <c r="G4603">
        <v>-221.17179999999999</v>
      </c>
      <c r="H4603">
        <v>0.91740500000000003</v>
      </c>
      <c r="I4603">
        <v>141.74369999999999</v>
      </c>
      <c r="J4603">
        <v>-220.71369999999999</v>
      </c>
      <c r="K4603">
        <v>1.1107579999999999</v>
      </c>
      <c r="L4603">
        <v>141.66489999999999</v>
      </c>
      <c r="M4603">
        <v>-0.99862300000000004</v>
      </c>
      <c r="N4603">
        <v>0</v>
      </c>
      <c r="O4603">
        <v>-5.0789969999999997E-2</v>
      </c>
      <c r="P4603">
        <v>-0.99964359999999997</v>
      </c>
      <c r="Q4603">
        <v>-1.50192999999999E-2</v>
      </c>
      <c r="R4603">
        <v>2.2081779999999999E-2</v>
      </c>
      <c r="S4603">
        <v>-2.981827</v>
      </c>
      <c r="T4603">
        <v>-0.85259769999999901</v>
      </c>
      <c r="U4603">
        <v>0.29539490000000002</v>
      </c>
      <c r="V4603">
        <v>7.2831510000000002E-2</v>
      </c>
      <c r="W4603">
        <v>-1.837558E-3</v>
      </c>
      <c r="X4603">
        <v>0.99734259999999997</v>
      </c>
      <c r="Y4603">
        <v>0.1413662</v>
      </c>
      <c r="Z4603">
        <v>3.397758E-2</v>
      </c>
      <c r="AA4603">
        <v>0.98937410000000003</v>
      </c>
      <c r="AB4603">
        <v>22</v>
      </c>
      <c r="AC4603">
        <v>-0.45810000000000101</v>
      </c>
      <c r="AD4603">
        <v>-0.193353</v>
      </c>
      <c r="AE4603">
        <v>7.8800000000000994E-2</v>
      </c>
      <c r="AF4603">
        <v>8.6926433120517205E-2</v>
      </c>
      <c r="AG4603">
        <v>-0.193353</v>
      </c>
      <c r="AH4603">
        <v>0.38661133216694299</v>
      </c>
      <c r="AI4603">
        <v>116.009638108456</v>
      </c>
      <c r="AJ4603">
        <v>77.328237839367404</v>
      </c>
      <c r="AK4603">
        <v>0.44091939120881701</v>
      </c>
      <c r="AL4603">
        <v>90.105284373721602</v>
      </c>
      <c r="AM4603">
        <v>85.823356928604397</v>
      </c>
      <c r="AN4603">
        <v>1.00000003362152</v>
      </c>
    </row>
    <row r="4604" spans="1:40" x14ac:dyDescent="0.25">
      <c r="A4604" t="str">
        <f>"20190312154347113"</f>
        <v>20190312154347113</v>
      </c>
      <c r="B4604" t="str">
        <f>"1552376627102299"</f>
        <v>1552376627102299</v>
      </c>
      <c r="C4604" t="s">
        <v>40</v>
      </c>
      <c r="D4604">
        <v>4.9945449999999996</v>
      </c>
      <c r="E4604">
        <v>0.53133790000000003</v>
      </c>
      <c r="F4604" t="s">
        <v>41</v>
      </c>
      <c r="G4604">
        <v>-221.5427</v>
      </c>
      <c r="H4604">
        <v>0.87459739999999997</v>
      </c>
      <c r="I4604">
        <v>141.74680000000001</v>
      </c>
      <c r="J4604">
        <v>-220.9384</v>
      </c>
      <c r="K4604">
        <v>1.1107549999999999</v>
      </c>
      <c r="L4604">
        <v>141.65270000000001</v>
      </c>
      <c r="M4604">
        <v>-0.99858760000000002</v>
      </c>
      <c r="N4604">
        <v>0</v>
      </c>
      <c r="O4604">
        <v>-5.1479299999999999E-2</v>
      </c>
      <c r="P4604">
        <v>-0.99964980000000003</v>
      </c>
      <c r="Q4604">
        <v>-1.5006210000000001E-2</v>
      </c>
      <c r="R4604">
        <v>2.1796929999999999E-2</v>
      </c>
      <c r="S4604">
        <v>-2.9817960000000001</v>
      </c>
      <c r="T4604">
        <v>-0.84936590000000001</v>
      </c>
      <c r="U4604">
        <v>0.29426570000000002</v>
      </c>
      <c r="V4604">
        <v>7.3235529999999993E-2</v>
      </c>
      <c r="W4604">
        <v>-1.82771E-3</v>
      </c>
      <c r="X4604">
        <v>0.99731300000000001</v>
      </c>
      <c r="Y4604">
        <v>0.14169479999999901</v>
      </c>
      <c r="Z4604">
        <v>3.4092509999999999E-2</v>
      </c>
      <c r="AA4604">
        <v>0.98932310000000001</v>
      </c>
      <c r="AB4604">
        <v>22</v>
      </c>
      <c r="AC4604">
        <v>-0.60429999999999495</v>
      </c>
      <c r="AD4604">
        <v>-0.2361576</v>
      </c>
      <c r="AE4604">
        <v>9.4099999999997394E-2</v>
      </c>
      <c r="AF4604">
        <v>0.108855834386111</v>
      </c>
      <c r="AG4604">
        <v>-0.2361576</v>
      </c>
      <c r="AH4604">
        <v>0.52097391473076204</v>
      </c>
      <c r="AI4604">
        <v>113.927705233919</v>
      </c>
      <c r="AJ4604">
        <v>78.198028040884594</v>
      </c>
      <c r="AK4604">
        <v>0.58226611145381901</v>
      </c>
      <c r="AL4604">
        <v>90.104720127302002</v>
      </c>
      <c r="AM4604">
        <v>85.800146206224298</v>
      </c>
      <c r="AN4604">
        <v>1.0000000016736099</v>
      </c>
    </row>
    <row r="4605" spans="1:40" x14ac:dyDescent="0.25">
      <c r="A4605" t="str">
        <f>"20190312154347134"</f>
        <v>20190312154347134</v>
      </c>
      <c r="B4605" t="str">
        <f>"1552376627121814"</f>
        <v>1552376627121814</v>
      </c>
      <c r="C4605" t="s">
        <v>40</v>
      </c>
      <c r="D4605">
        <v>5.0197830000000003</v>
      </c>
      <c r="E4605">
        <v>0.53122049999999998</v>
      </c>
      <c r="F4605" t="s">
        <v>41</v>
      </c>
      <c r="G4605">
        <v>-221.73949999999999</v>
      </c>
      <c r="H4605">
        <v>0.88342049999999905</v>
      </c>
      <c r="I4605">
        <v>141.73150000000001</v>
      </c>
      <c r="J4605">
        <v>-221.1429</v>
      </c>
      <c r="K4605">
        <v>1.1107450000000001</v>
      </c>
      <c r="L4605">
        <v>141.6414</v>
      </c>
      <c r="M4605">
        <v>-0.99855559999999999</v>
      </c>
      <c r="N4605">
        <v>0</v>
      </c>
      <c r="O4605">
        <v>-5.2096990000000003E-2</v>
      </c>
      <c r="P4605">
        <v>-0.99965680000000001</v>
      </c>
      <c r="Q4605">
        <v>-1.496653E-2</v>
      </c>
      <c r="R4605">
        <v>2.1511929999999999E-2</v>
      </c>
      <c r="S4605">
        <v>-2.9819640000000001</v>
      </c>
      <c r="T4605">
        <v>-0.84629650000000001</v>
      </c>
      <c r="U4605">
        <v>0.2928925</v>
      </c>
      <c r="V4605">
        <v>7.3568250000000002E-2</v>
      </c>
      <c r="W4605">
        <v>-1.791167E-3</v>
      </c>
      <c r="X4605">
        <v>0.99728859999999997</v>
      </c>
      <c r="Y4605">
        <v>0.1418729</v>
      </c>
      <c r="Z4605">
        <v>3.4169100000000001E-2</v>
      </c>
      <c r="AA4605">
        <v>0.98929500000000004</v>
      </c>
      <c r="AB4605">
        <v>22</v>
      </c>
      <c r="AC4605">
        <v>-0.59659999999999502</v>
      </c>
      <c r="AD4605">
        <v>-0.22732450000000001</v>
      </c>
      <c r="AE4605">
        <v>9.0100000000006703E-2</v>
      </c>
      <c r="AF4605">
        <v>0.10601295306240199</v>
      </c>
      <c r="AG4605">
        <v>-0.22732450000000001</v>
      </c>
      <c r="AH4605">
        <v>0.51761980065355595</v>
      </c>
      <c r="AI4605">
        <v>113.279398115302</v>
      </c>
      <c r="AJ4605">
        <v>78.425401880650099</v>
      </c>
      <c r="AK4605">
        <v>0.57519164853628402</v>
      </c>
      <c r="AL4605">
        <v>90.102626361947699</v>
      </c>
      <c r="AM4605">
        <v>85.781031530983299</v>
      </c>
      <c r="AN4605">
        <v>1.00000002368862</v>
      </c>
    </row>
    <row r="4606" spans="1:40" x14ac:dyDescent="0.25">
      <c r="A4606" t="str">
        <f>"20190312154347156"</f>
        <v>20190312154347156</v>
      </c>
      <c r="B4606" t="str">
        <f>"1552376627152072"</f>
        <v>1552376627152072</v>
      </c>
      <c r="C4606" t="s">
        <v>40</v>
      </c>
      <c r="D4606">
        <v>5.0035179999999997</v>
      </c>
      <c r="E4606">
        <v>0.53099540000000001</v>
      </c>
      <c r="F4606" t="s">
        <v>41</v>
      </c>
      <c r="G4606">
        <v>-221.9342</v>
      </c>
      <c r="H4606">
        <v>0.88740779999999997</v>
      </c>
      <c r="I4606">
        <v>141.7184</v>
      </c>
      <c r="J4606">
        <v>-221.3571</v>
      </c>
      <c r="K4606">
        <v>1.110735</v>
      </c>
      <c r="L4606">
        <v>141.62950000000001</v>
      </c>
      <c r="M4606">
        <v>-0.99852229999999997</v>
      </c>
      <c r="N4606">
        <v>0</v>
      </c>
      <c r="O4606">
        <v>-5.2732179999999997E-2</v>
      </c>
      <c r="P4606">
        <v>-0.99966560000000004</v>
      </c>
      <c r="Q4606">
        <v>-1.4915670000000001E-2</v>
      </c>
      <c r="R4606">
        <v>2.1117940000000002E-2</v>
      </c>
      <c r="S4606">
        <v>-2.9821620000000002</v>
      </c>
      <c r="T4606">
        <v>-0.84167029999999998</v>
      </c>
      <c r="U4606">
        <v>0.29026790000000002</v>
      </c>
      <c r="V4606">
        <v>7.3809100000000002E-2</v>
      </c>
      <c r="W4606">
        <v>-1.7436439999999999E-3</v>
      </c>
      <c r="X4606">
        <v>0.99727089999999996</v>
      </c>
      <c r="Y4606">
        <v>0.14169670000000001</v>
      </c>
      <c r="Z4606">
        <v>3.4139610000000001E-2</v>
      </c>
      <c r="AA4606">
        <v>0.98932120000000001</v>
      </c>
      <c r="AB4606">
        <v>22</v>
      </c>
      <c r="AC4606">
        <v>-0.57710000000000095</v>
      </c>
      <c r="AD4606">
        <v>-0.223327199999999</v>
      </c>
      <c r="AE4606">
        <v>8.8899999999995302E-2</v>
      </c>
      <c r="AF4606">
        <v>0.103997527357163</v>
      </c>
      <c r="AG4606">
        <v>-0.223327199999999</v>
      </c>
      <c r="AH4606">
        <v>0.49866250528903999</v>
      </c>
      <c r="AI4606">
        <v>113.673582270198</v>
      </c>
      <c r="AJ4606">
        <v>78.219652922927196</v>
      </c>
      <c r="AK4606">
        <v>0.55619674409096098</v>
      </c>
      <c r="AL4606">
        <v>90.099903489223195</v>
      </c>
      <c r="AM4606">
        <v>85.767194608261406</v>
      </c>
      <c r="AN4606">
        <v>1.000000035762</v>
      </c>
    </row>
    <row r="4607" spans="1:40" x14ac:dyDescent="0.25">
      <c r="A4607" t="str">
        <f>"20190312154347180"</f>
        <v>20190312154347180</v>
      </c>
      <c r="B4607" t="str">
        <f>"1552376627172098"</f>
        <v>1552376627172098</v>
      </c>
      <c r="C4607" t="s">
        <v>40</v>
      </c>
      <c r="D4607">
        <v>5.0006399999999998</v>
      </c>
      <c r="E4607">
        <v>0.530914</v>
      </c>
      <c r="F4607" t="s">
        <v>41</v>
      </c>
      <c r="G4607">
        <v>-222.12979999999999</v>
      </c>
      <c r="H4607">
        <v>0.89408580000000004</v>
      </c>
      <c r="I4607">
        <v>141.70400000000001</v>
      </c>
      <c r="J4607">
        <v>-221.5821</v>
      </c>
      <c r="K4607">
        <v>1.110719</v>
      </c>
      <c r="L4607">
        <v>141.61680000000001</v>
      </c>
      <c r="M4607">
        <v>-0.99848760000000003</v>
      </c>
      <c r="N4607">
        <v>0</v>
      </c>
      <c r="O4607">
        <v>-5.3386320000000001E-2</v>
      </c>
      <c r="P4607">
        <v>-0.99967189999999995</v>
      </c>
      <c r="Q4607">
        <v>-1.544924E-2</v>
      </c>
      <c r="R4607">
        <v>2.0429969999999999E-2</v>
      </c>
      <c r="S4607">
        <v>-2.9824679999999999</v>
      </c>
      <c r="T4607">
        <v>-0.83626389999999995</v>
      </c>
      <c r="U4607">
        <v>0.28704829999999998</v>
      </c>
      <c r="V4607">
        <v>7.3776300000000003E-2</v>
      </c>
      <c r="W4607">
        <v>-2.2807119999999998E-3</v>
      </c>
      <c r="X4607">
        <v>0.99727220000000005</v>
      </c>
      <c r="Y4607">
        <v>0.14135980000000001</v>
      </c>
      <c r="Z4607">
        <v>3.406004E-2</v>
      </c>
      <c r="AA4607">
        <v>0.98937220000000003</v>
      </c>
      <c r="AB4607">
        <v>22</v>
      </c>
      <c r="AC4607">
        <v>-0.54769999999999097</v>
      </c>
      <c r="AD4607">
        <v>-0.2166332</v>
      </c>
      <c r="AE4607">
        <v>8.7199999999995698E-2</v>
      </c>
      <c r="AF4607">
        <v>0.100919668563624</v>
      </c>
      <c r="AG4607">
        <v>-0.2166332</v>
      </c>
      <c r="AH4607">
        <v>0.47047827904609801</v>
      </c>
      <c r="AI4607">
        <v>114.237846080564</v>
      </c>
      <c r="AJ4607">
        <v>77.893262893528998</v>
      </c>
      <c r="AK4607">
        <v>0.52769738856603199</v>
      </c>
      <c r="AL4607">
        <v>90.130675286154002</v>
      </c>
      <c r="AM4607">
        <v>85.769074286355803</v>
      </c>
      <c r="AN4607">
        <v>0.99999999249087801</v>
      </c>
    </row>
    <row r="4608" spans="1:40" x14ac:dyDescent="0.25">
      <c r="A4608" t="str">
        <f>"20190312154347202"</f>
        <v>20190312154347202</v>
      </c>
      <c r="B4608" t="str">
        <f>"1552376627192593"</f>
        <v>1552376627192593</v>
      </c>
      <c r="C4608" t="s">
        <v>40</v>
      </c>
      <c r="D4608">
        <v>4.9369779999999999</v>
      </c>
      <c r="E4608">
        <v>0.53072109999999995</v>
      </c>
      <c r="F4608" t="s">
        <v>41</v>
      </c>
      <c r="G4608">
        <v>-222.32570000000001</v>
      </c>
      <c r="H4608">
        <v>0.90234910000000002</v>
      </c>
      <c r="I4608">
        <v>141.68780000000001</v>
      </c>
      <c r="J4608">
        <v>-221.79589999999999</v>
      </c>
      <c r="K4608">
        <v>1.1107039999999999</v>
      </c>
      <c r="L4608">
        <v>141.6046</v>
      </c>
      <c r="M4608">
        <v>-0.99845479999999998</v>
      </c>
      <c r="N4608">
        <v>0</v>
      </c>
      <c r="O4608">
        <v>-5.3996160000000001E-2</v>
      </c>
      <c r="P4608">
        <v>-0.99968330000000005</v>
      </c>
      <c r="Q4608">
        <v>-1.6086240000000002E-2</v>
      </c>
      <c r="R4608">
        <v>1.9368750000000001E-2</v>
      </c>
      <c r="S4608">
        <v>-2.9822389999999999</v>
      </c>
      <c r="T4608">
        <v>-0.83571269999999998</v>
      </c>
      <c r="U4608">
        <v>0.2842865</v>
      </c>
      <c r="V4608">
        <v>7.332698E-2</v>
      </c>
      <c r="W4608">
        <v>-2.9157829999999999E-3</v>
      </c>
      <c r="X4608">
        <v>0.99730370000000002</v>
      </c>
      <c r="Y4608">
        <v>0.14105899999999999</v>
      </c>
      <c r="Z4608">
        <v>3.4168339999999998E-2</v>
      </c>
      <c r="AA4608">
        <v>0.98941140000000005</v>
      </c>
      <c r="AB4608">
        <v>22</v>
      </c>
      <c r="AC4608">
        <v>-0.52980000000002203</v>
      </c>
      <c r="AD4608">
        <v>-0.20835490000000001</v>
      </c>
      <c r="AE4608">
        <v>8.3200000000005006E-2</v>
      </c>
      <c r="AF4608">
        <v>9.7040921928566004E-2</v>
      </c>
      <c r="AG4608">
        <v>-0.20835490000000001</v>
      </c>
      <c r="AH4608">
        <v>0.45574426510972399</v>
      </c>
      <c r="AI4608">
        <v>114.09184498145601</v>
      </c>
      <c r="AJ4608">
        <v>77.979614745597104</v>
      </c>
      <c r="AK4608">
        <v>0.51042290315302097</v>
      </c>
      <c r="AL4608">
        <v>90.167062295109403</v>
      </c>
      <c r="AM4608">
        <v>85.794881531527395</v>
      </c>
      <c r="AN4608">
        <v>1.00000000891005</v>
      </c>
    </row>
    <row r="4609" spans="1:40" x14ac:dyDescent="0.25">
      <c r="A4609" t="str">
        <f>"20190312154347225"</f>
        <v>20190312154347225</v>
      </c>
      <c r="B4609" t="str">
        <f>"1552376627212113"</f>
        <v>1552376627212113</v>
      </c>
      <c r="C4609" t="s">
        <v>40</v>
      </c>
      <c r="D4609">
        <v>4.9242589999999904</v>
      </c>
      <c r="E4609">
        <v>0.53063559999999999</v>
      </c>
      <c r="F4609" t="s">
        <v>41</v>
      </c>
      <c r="G4609">
        <v>-222.52029999999999</v>
      </c>
      <c r="H4609">
        <v>0.90783829999999999</v>
      </c>
      <c r="I4609">
        <v>141.67269999999999</v>
      </c>
      <c r="J4609">
        <v>-222.01990000000001</v>
      </c>
      <c r="K4609">
        <v>1.110638</v>
      </c>
      <c r="L4609">
        <v>141.5917</v>
      </c>
      <c r="M4609">
        <v>-0.99842260000000005</v>
      </c>
      <c r="N4609">
        <v>0</v>
      </c>
      <c r="O4609">
        <v>-5.4627149999999999E-2</v>
      </c>
      <c r="P4609">
        <v>-0.99969909999999995</v>
      </c>
      <c r="Q4609">
        <v>-1.6553849999999998E-2</v>
      </c>
      <c r="R4609">
        <v>1.8113750000000001E-2</v>
      </c>
      <c r="S4609">
        <v>-2.9820859999999998</v>
      </c>
      <c r="T4609">
        <v>-0.83510280000000003</v>
      </c>
      <c r="U4609">
        <v>0.27978520000000001</v>
      </c>
      <c r="V4609">
        <v>7.2705279999999997E-2</v>
      </c>
      <c r="W4609">
        <v>-3.5521390000000002E-3</v>
      </c>
      <c r="X4609">
        <v>0.99734710000000004</v>
      </c>
      <c r="Y4609">
        <v>0.14022479999999901</v>
      </c>
      <c r="Z4609">
        <v>3.4206779999999999E-2</v>
      </c>
      <c r="AA4609">
        <v>0.98952870000000004</v>
      </c>
      <c r="AB4609">
        <v>22</v>
      </c>
      <c r="AC4609">
        <v>-0.50039999999998397</v>
      </c>
      <c r="AD4609">
        <v>-0.2027997</v>
      </c>
      <c r="AE4609">
        <v>8.0999999999988803E-2</v>
      </c>
      <c r="AF4609">
        <v>9.3285947467517796E-2</v>
      </c>
      <c r="AG4609">
        <v>-0.2027997</v>
      </c>
      <c r="AH4609">
        <v>0.42690031885401097</v>
      </c>
      <c r="AI4609">
        <v>114.89602892723001</v>
      </c>
      <c r="AJ4609">
        <v>77.673529298756904</v>
      </c>
      <c r="AK4609">
        <v>0.48174045766642798</v>
      </c>
      <c r="AL4609">
        <v>90.203523009765505</v>
      </c>
      <c r="AM4609">
        <v>85.830588991496796</v>
      </c>
      <c r="AN4609">
        <v>0.99999995665488095</v>
      </c>
    </row>
    <row r="4610" spans="1:40" x14ac:dyDescent="0.25">
      <c r="A4610" t="str">
        <f>"20190312154347248"</f>
        <v>20190312154347248</v>
      </c>
      <c r="B4610" t="str">
        <f>"1552376627242369"</f>
        <v>1552376627242369</v>
      </c>
      <c r="C4610" t="s">
        <v>40</v>
      </c>
      <c r="D4610">
        <v>4.8938090000000001</v>
      </c>
      <c r="E4610">
        <v>0.53051359999999903</v>
      </c>
      <c r="F4610" t="s">
        <v>41</v>
      </c>
      <c r="G4610">
        <v>-222.7166</v>
      </c>
      <c r="H4610">
        <v>0.9158849</v>
      </c>
      <c r="I4610">
        <v>141.65629999999999</v>
      </c>
      <c r="J4610">
        <v>-222.23140000000001</v>
      </c>
      <c r="K4610">
        <v>1.1105689999999999</v>
      </c>
      <c r="L4610">
        <v>141.57939999999999</v>
      </c>
      <c r="M4610">
        <v>-0.99839330000000004</v>
      </c>
      <c r="N4610">
        <v>0</v>
      </c>
      <c r="O4610">
        <v>-5.5213810000000002E-2</v>
      </c>
      <c r="P4610">
        <v>-0.99971290000000002</v>
      </c>
      <c r="Q4610">
        <v>-1.699032E-2</v>
      </c>
      <c r="R4610">
        <v>1.689266E-2</v>
      </c>
      <c r="S4610">
        <v>-2.9820859999999998</v>
      </c>
      <c r="T4610">
        <v>-0.83368349999999902</v>
      </c>
      <c r="U4610">
        <v>0.27589419999999998</v>
      </c>
      <c r="V4610">
        <v>7.2072709999999998E-2</v>
      </c>
      <c r="W4610">
        <v>-4.225052E-3</v>
      </c>
      <c r="X4610">
        <v>0.99739040000000001</v>
      </c>
      <c r="Y4610">
        <v>0.13955279999999901</v>
      </c>
      <c r="Z4610">
        <v>3.4221210000000002E-2</v>
      </c>
      <c r="AA4610">
        <v>0.98962309999999998</v>
      </c>
      <c r="AB4610">
        <v>22</v>
      </c>
      <c r="AC4610">
        <v>-0.48519999999999103</v>
      </c>
      <c r="AD4610">
        <v>-0.1946841</v>
      </c>
      <c r="AE4610">
        <v>7.6899999999994806E-2</v>
      </c>
      <c r="AF4610">
        <v>8.9515892642988704E-2</v>
      </c>
      <c r="AG4610">
        <v>-0.1946841</v>
      </c>
      <c r="AH4610">
        <v>0.41503167935519603</v>
      </c>
      <c r="AI4610">
        <v>114.633263822747</v>
      </c>
      <c r="AJ4610">
        <v>77.828639946723897</v>
      </c>
      <c r="AK4610">
        <v>0.46708274288061102</v>
      </c>
      <c r="AL4610">
        <v>90.242078375726507</v>
      </c>
      <c r="AM4610">
        <v>85.866917365777297</v>
      </c>
      <c r="AN4610">
        <v>0.99999996830165205</v>
      </c>
    </row>
    <row r="4611" spans="1:40" x14ac:dyDescent="0.25">
      <c r="A4611" t="str">
        <f>"20190312154347272"</f>
        <v>20190312154347272</v>
      </c>
      <c r="B4611" t="str">
        <f>"1552376627262363"</f>
        <v>1552376627262363</v>
      </c>
      <c r="C4611" t="s">
        <v>40</v>
      </c>
      <c r="D4611">
        <v>4.8867789999999998</v>
      </c>
      <c r="E4611">
        <v>0.53049569999999902</v>
      </c>
      <c r="F4611" t="s">
        <v>41</v>
      </c>
      <c r="G4611">
        <v>-222.91210000000001</v>
      </c>
      <c r="H4611">
        <v>0.92084770000000005</v>
      </c>
      <c r="I4611">
        <v>141.64179999999999</v>
      </c>
      <c r="J4611">
        <v>-222.4606</v>
      </c>
      <c r="K4611">
        <v>1.1105499999999999</v>
      </c>
      <c r="L4611">
        <v>141.566</v>
      </c>
      <c r="M4611">
        <v>-0.99835960000000001</v>
      </c>
      <c r="N4611">
        <v>0</v>
      </c>
      <c r="O4611">
        <v>-5.5843429999999999E-2</v>
      </c>
      <c r="P4611">
        <v>-0.99973259999999997</v>
      </c>
      <c r="Q4611">
        <v>-1.6794610000000001E-2</v>
      </c>
      <c r="R4611">
        <v>1.5906770000000001E-2</v>
      </c>
      <c r="S4611">
        <v>-2.9821469999999999</v>
      </c>
      <c r="T4611">
        <v>-0.83114650000000001</v>
      </c>
      <c r="U4611">
        <v>0.27252199999999999</v>
      </c>
      <c r="V4611">
        <v>7.1718210000000004E-2</v>
      </c>
      <c r="W4611">
        <v>-4.1311009999999999E-3</v>
      </c>
      <c r="X4611">
        <v>0.99741639999999998</v>
      </c>
      <c r="Y4611">
        <v>0.139101799999999</v>
      </c>
      <c r="Z4611">
        <v>3.4232079999999998E-2</v>
      </c>
      <c r="AA4611">
        <v>0.98968630000000002</v>
      </c>
      <c r="AB4611">
        <v>22</v>
      </c>
      <c r="AC4611">
        <v>-0.45150000000001</v>
      </c>
      <c r="AD4611">
        <v>-0.18970229999999999</v>
      </c>
      <c r="AE4611">
        <v>7.5799999999986697E-2</v>
      </c>
      <c r="AF4611">
        <v>8.6111998023356798E-2</v>
      </c>
      <c r="AG4611">
        <v>-0.18970229999999999</v>
      </c>
      <c r="AH4611">
        <v>0.38112475759046099</v>
      </c>
      <c r="AI4611">
        <v>115.896810476798</v>
      </c>
      <c r="AJ4611">
        <v>77.268268115298795</v>
      </c>
      <c r="AK4611">
        <v>0.43434815491406398</v>
      </c>
      <c r="AL4611">
        <v>90.2366953202405</v>
      </c>
      <c r="AM4611">
        <v>85.887283437322296</v>
      </c>
      <c r="AN4611">
        <v>1.00000002131501</v>
      </c>
    </row>
    <row r="4612" spans="1:40" x14ac:dyDescent="0.25">
      <c r="A4612" t="str">
        <f>"20190312154347292"</f>
        <v>20190312154347292</v>
      </c>
      <c r="B4612" t="str">
        <f>"1552376627281882"</f>
        <v>1552376627281882</v>
      </c>
      <c r="C4612" t="s">
        <v>40</v>
      </c>
      <c r="D4612">
        <v>4.8697589999999904</v>
      </c>
      <c r="E4612">
        <v>0.53051519999999996</v>
      </c>
      <c r="F4612" t="s">
        <v>41</v>
      </c>
      <c r="G4612">
        <v>-223.2834</v>
      </c>
      <c r="H4612">
        <v>0.88203120000000002</v>
      </c>
      <c r="I4612">
        <v>141.64060000000001</v>
      </c>
      <c r="J4612">
        <v>-222.66390000000001</v>
      </c>
      <c r="K4612">
        <v>1.1105590000000001</v>
      </c>
      <c r="L4612">
        <v>141.554</v>
      </c>
      <c r="M4612">
        <v>-0.99832900000000002</v>
      </c>
      <c r="N4612">
        <v>0</v>
      </c>
      <c r="O4612">
        <v>-5.6389090000000003E-2</v>
      </c>
      <c r="P4612">
        <v>-0.99976220000000005</v>
      </c>
      <c r="Q4612">
        <v>-1.618787E-2</v>
      </c>
      <c r="R4612">
        <v>1.4615599999999999E-2</v>
      </c>
      <c r="S4612">
        <v>-2.9825740000000001</v>
      </c>
      <c r="T4612">
        <v>-0.82836749999999904</v>
      </c>
      <c r="U4612">
        <v>0.26986690000000002</v>
      </c>
      <c r="V4612">
        <v>7.0975200000000002E-2</v>
      </c>
      <c r="W4612">
        <v>-3.5282159999999998E-3</v>
      </c>
      <c r="X4612">
        <v>0.99747189999999997</v>
      </c>
      <c r="Y4612">
        <v>0.13879649999999999</v>
      </c>
      <c r="Z4612">
        <v>3.4225220000000001E-2</v>
      </c>
      <c r="AA4612">
        <v>0.98972930000000003</v>
      </c>
      <c r="AB4612">
        <v>22</v>
      </c>
      <c r="AC4612">
        <v>-0.61949999999998795</v>
      </c>
      <c r="AD4612">
        <v>-0.2285278</v>
      </c>
      <c r="AE4612">
        <v>8.6600000000004201E-2</v>
      </c>
      <c r="AF4612">
        <v>0.107102776009784</v>
      </c>
      <c r="AG4612">
        <v>-0.2285278</v>
      </c>
      <c r="AH4612">
        <v>0.54137232710697702</v>
      </c>
      <c r="AI4612">
        <v>112.494489867493</v>
      </c>
      <c r="AJ4612">
        <v>78.809352547703995</v>
      </c>
      <c r="AK4612">
        <v>0.59731060308608797</v>
      </c>
      <c r="AL4612">
        <v>90.202152293431993</v>
      </c>
      <c r="AM4612">
        <v>85.929973475509797</v>
      </c>
      <c r="AN4612">
        <v>1.00000005930639</v>
      </c>
    </row>
    <row r="4613" spans="1:40" x14ac:dyDescent="0.25">
      <c r="A4613" t="str">
        <f>"20190312154347315"</f>
        <v>20190312154347315</v>
      </c>
      <c r="B4613" t="str">
        <f>"1552376627302378"</f>
        <v>1552376627302378</v>
      </c>
      <c r="C4613" t="s">
        <v>40</v>
      </c>
      <c r="D4613">
        <v>4.8904079999999999</v>
      </c>
      <c r="E4613">
        <v>0.53043499999999999</v>
      </c>
      <c r="F4613" t="s">
        <v>41</v>
      </c>
      <c r="G4613">
        <v>-223.4776</v>
      </c>
      <c r="H4613">
        <v>0.88544460000000003</v>
      </c>
      <c r="I4613">
        <v>141.6268</v>
      </c>
      <c r="J4613">
        <v>-222.8811</v>
      </c>
      <c r="K4613">
        <v>1.1105659999999999</v>
      </c>
      <c r="L4613">
        <v>141.541</v>
      </c>
      <c r="M4613">
        <v>-0.99829659999999998</v>
      </c>
      <c r="N4613">
        <v>0</v>
      </c>
      <c r="O4613">
        <v>-5.696325E-2</v>
      </c>
      <c r="P4613">
        <v>-0.99979530000000005</v>
      </c>
      <c r="Q4613">
        <v>-1.545564E-2</v>
      </c>
      <c r="R4613">
        <v>1.30687999999999E-2</v>
      </c>
      <c r="S4613">
        <v>-2.9834589999999999</v>
      </c>
      <c r="T4613">
        <v>-0.8254049</v>
      </c>
      <c r="U4613">
        <v>0.26628109999999999</v>
      </c>
      <c r="V4613">
        <v>7.0005919999999999E-2</v>
      </c>
      <c r="W4613">
        <v>-2.8126710000000001E-3</v>
      </c>
      <c r="X4613">
        <v>0.99754259999999995</v>
      </c>
      <c r="Y4613">
        <v>0.13821420000000001</v>
      </c>
      <c r="Z4613">
        <v>3.4175839999999999E-2</v>
      </c>
      <c r="AA4613">
        <v>0.98981260000000004</v>
      </c>
      <c r="AB4613">
        <v>22</v>
      </c>
      <c r="AC4613">
        <v>-0.59649999999999104</v>
      </c>
      <c r="AD4613">
        <v>-0.225121399999999</v>
      </c>
      <c r="AE4613">
        <v>8.5800000000006094E-2</v>
      </c>
      <c r="AF4613">
        <v>0.104990839902227</v>
      </c>
      <c r="AG4613">
        <v>-0.225121399999999</v>
      </c>
      <c r="AH4613">
        <v>0.51831448682412995</v>
      </c>
      <c r="AI4613">
        <v>113.058877888089</v>
      </c>
      <c r="AJ4613">
        <v>78.548989158197102</v>
      </c>
      <c r="AK4613">
        <v>0.57476310637783301</v>
      </c>
      <c r="AL4613">
        <v>90.161154391655302</v>
      </c>
      <c r="AM4613">
        <v>85.985656809050397</v>
      </c>
      <c r="AN4613">
        <v>0.99999998938398005</v>
      </c>
    </row>
    <row r="4614" spans="1:40" x14ac:dyDescent="0.25">
      <c r="A4614" t="str">
        <f>"20190312154347337"</f>
        <v>20190312154347337</v>
      </c>
      <c r="B4614" t="str">
        <f>"1552376627331659"</f>
        <v>1552376627331659</v>
      </c>
      <c r="C4614" t="s">
        <v>40</v>
      </c>
      <c r="D4614">
        <v>4.88164</v>
      </c>
      <c r="E4614">
        <v>0.50268740000000001</v>
      </c>
      <c r="F4614" t="s">
        <v>41</v>
      </c>
      <c r="G4614">
        <v>-223.67320000000001</v>
      </c>
      <c r="H4614">
        <v>0.89264480000000002</v>
      </c>
      <c r="I4614">
        <v>141.6104</v>
      </c>
      <c r="J4614">
        <v>-223.1028</v>
      </c>
      <c r="K4614">
        <v>1.1105670000000001</v>
      </c>
      <c r="L4614">
        <v>141.52770000000001</v>
      </c>
      <c r="M4614">
        <v>-0.99826380000000003</v>
      </c>
      <c r="N4614">
        <v>0</v>
      </c>
      <c r="O4614">
        <v>-5.7545550000000001E-2</v>
      </c>
      <c r="P4614">
        <v>-0.99980199999999997</v>
      </c>
      <c r="Q4614">
        <v>-1.5835040000000002E-2</v>
      </c>
      <c r="R4614">
        <v>1.2062359999999999E-2</v>
      </c>
      <c r="S4614">
        <v>-2.9845120000000001</v>
      </c>
      <c r="T4614">
        <v>-0.821133</v>
      </c>
      <c r="U4614">
        <v>0.26077270000000002</v>
      </c>
      <c r="V4614">
        <v>6.9583619999999999E-2</v>
      </c>
      <c r="W4614">
        <v>-3.2402540000000001E-3</v>
      </c>
      <c r="X4614">
        <v>0.99757090000000004</v>
      </c>
      <c r="Y4614">
        <v>0.13704659999999999</v>
      </c>
      <c r="Z4614">
        <v>3.3995770000000002E-2</v>
      </c>
      <c r="AA4614">
        <v>0.98998109999999995</v>
      </c>
      <c r="AB4614">
        <v>22</v>
      </c>
      <c r="AC4614">
        <v>-0.57040000000000601</v>
      </c>
      <c r="AD4614">
        <v>-0.21792220000000001</v>
      </c>
      <c r="AE4614">
        <v>8.2699999999988394E-2</v>
      </c>
      <c r="AF4614">
        <v>0.100956886684689</v>
      </c>
      <c r="AG4614">
        <v>-0.21792220000000001</v>
      </c>
      <c r="AH4614">
        <v>0.49406461707831301</v>
      </c>
      <c r="AI4614">
        <v>113.37161032344299</v>
      </c>
      <c r="AJ4614">
        <v>78.451199459508004</v>
      </c>
      <c r="AK4614">
        <v>0.54934708888884198</v>
      </c>
      <c r="AL4614">
        <v>90.185653196199993</v>
      </c>
      <c r="AM4614">
        <v>86.009907093248202</v>
      </c>
      <c r="AN4614">
        <v>1.0000000399725399</v>
      </c>
    </row>
    <row r="4615" spans="1:40" x14ac:dyDescent="0.25">
      <c r="A4615" t="str">
        <f>"20190312154347359"</f>
        <v>20190312154347359</v>
      </c>
      <c r="B4615" t="str">
        <f>"1552376627352155"</f>
        <v>1552376627352155</v>
      </c>
      <c r="C4615" t="s">
        <v>40</v>
      </c>
      <c r="D4615">
        <v>4.9057219999999999</v>
      </c>
      <c r="E4615">
        <v>0.49619920000000001</v>
      </c>
      <c r="F4615" t="s">
        <v>41</v>
      </c>
      <c r="G4615">
        <v>-223.9</v>
      </c>
      <c r="H4615">
        <v>0.9743077</v>
      </c>
      <c r="I4615">
        <v>141.53970000000001</v>
      </c>
      <c r="J4615">
        <v>-223.31229999999999</v>
      </c>
      <c r="K4615">
        <v>1.110576</v>
      </c>
      <c r="L4615">
        <v>141.51490000000001</v>
      </c>
      <c r="M4615">
        <v>-0.99823300000000004</v>
      </c>
      <c r="N4615">
        <v>0</v>
      </c>
      <c r="O4615">
        <v>-5.8087420000000001E-2</v>
      </c>
      <c r="P4615">
        <v>-0.99979779999999996</v>
      </c>
      <c r="Q4615">
        <v>-1.6270320000000001E-2</v>
      </c>
      <c r="R4615">
        <v>1.1835180000000001E-2</v>
      </c>
      <c r="S4615">
        <v>-2.9919739999999999</v>
      </c>
      <c r="T4615">
        <v>-0.51135810000000004</v>
      </c>
      <c r="U4615">
        <v>4.4891359999999998E-2</v>
      </c>
      <c r="V4615">
        <v>6.9898310000000005E-2</v>
      </c>
      <c r="W4615">
        <v>-3.7154760000000001E-3</v>
      </c>
      <c r="X4615">
        <v>0.99754719999999997</v>
      </c>
      <c r="Y4615">
        <v>7.1188500000000002E-2</v>
      </c>
      <c r="Z4615">
        <v>1.5892650000000001E-2</v>
      </c>
      <c r="AA4615">
        <v>0.99733629999999995</v>
      </c>
      <c r="AB4615">
        <v>22</v>
      </c>
      <c r="AC4615">
        <v>-0.58770000000001199</v>
      </c>
      <c r="AD4615">
        <v>-0.13626830000000001</v>
      </c>
      <c r="AE4615">
        <v>2.4799999999999E-2</v>
      </c>
      <c r="AF4615">
        <v>5.5898858510647298E-2</v>
      </c>
      <c r="AG4615">
        <v>-0.13626830000000001</v>
      </c>
      <c r="AH4615">
        <v>0.55545722501941697</v>
      </c>
      <c r="AI4615">
        <v>103.717289656774</v>
      </c>
      <c r="AJ4615">
        <v>84.253343580417706</v>
      </c>
      <c r="AK4615">
        <v>0.57465333967006105</v>
      </c>
      <c r="AL4615">
        <v>90.212881584041497</v>
      </c>
      <c r="AM4615">
        <v>85.991825774418501</v>
      </c>
      <c r="AN4615">
        <v>0.99999999736530099</v>
      </c>
    </row>
    <row r="4616" spans="1:40" x14ac:dyDescent="0.25">
      <c r="A4616" t="str">
        <f>"20190312154347381"</f>
        <v>20190312154347381</v>
      </c>
      <c r="B4616" t="str">
        <f>"1552376627372182"</f>
        <v>1552376627372182</v>
      </c>
      <c r="C4616" t="s">
        <v>40</v>
      </c>
      <c r="D4616">
        <v>4.9307949999999998</v>
      </c>
      <c r="E4616">
        <v>0.49358429999999998</v>
      </c>
      <c r="F4616" t="s">
        <v>41</v>
      </c>
      <c r="G4616">
        <v>-224.10919999999999</v>
      </c>
      <c r="H4616">
        <v>1.0087839999999999</v>
      </c>
      <c r="I4616">
        <v>141.51410000000001</v>
      </c>
      <c r="J4616">
        <v>-223.53290000000001</v>
      </c>
      <c r="K4616">
        <v>1.1105780000000001</v>
      </c>
      <c r="L4616">
        <v>141.50139999999999</v>
      </c>
      <c r="M4616">
        <v>-0.99819990000000003</v>
      </c>
      <c r="N4616">
        <v>0</v>
      </c>
      <c r="O4616">
        <v>-5.8657140000000003E-2</v>
      </c>
      <c r="P4616">
        <v>-0.9997876</v>
      </c>
      <c r="Q4616">
        <v>-1.6571969999999998E-2</v>
      </c>
      <c r="R4616">
        <v>1.2280070000000001E-2</v>
      </c>
      <c r="S4616">
        <v>-2.994415</v>
      </c>
      <c r="T4616">
        <v>-0.38259179999999998</v>
      </c>
      <c r="U4616">
        <v>-3.9367680000000002E-3</v>
      </c>
      <c r="V4616">
        <v>7.0911600000000005E-2</v>
      </c>
      <c r="W4616">
        <v>-4.0374010000000004E-3</v>
      </c>
      <c r="X4616">
        <v>0.99747439999999998</v>
      </c>
      <c r="Y4616">
        <v>5.6414180000000001E-2</v>
      </c>
      <c r="Z4616">
        <v>1.1050859999999999E-2</v>
      </c>
      <c r="AA4616">
        <v>0.99834630000000002</v>
      </c>
      <c r="AB4616">
        <v>22</v>
      </c>
      <c r="AC4616">
        <v>-0.57629999999997406</v>
      </c>
      <c r="AD4616">
        <v>-0.101793999999999</v>
      </c>
      <c r="AE4616">
        <v>1.27000000000236E-2</v>
      </c>
      <c r="AF4616">
        <v>4.5079119787159103E-2</v>
      </c>
      <c r="AG4616">
        <v>-0.101793999999999</v>
      </c>
      <c r="AH4616">
        <v>0.55718706134059304</v>
      </c>
      <c r="AI4616">
        <v>100.32034777315999</v>
      </c>
      <c r="AJ4616">
        <v>85.374569682529199</v>
      </c>
      <c r="AK4616">
        <v>0.568200287576617</v>
      </c>
      <c r="AL4616">
        <v>90.231326673567395</v>
      </c>
      <c r="AM4616">
        <v>85.933618493410904</v>
      </c>
      <c r="AN4616">
        <v>0.99999996713837602</v>
      </c>
    </row>
    <row r="4617" spans="1:40" x14ac:dyDescent="0.25">
      <c r="A4617" t="str">
        <f>"20190312154347403"</f>
        <v>20190312154347403</v>
      </c>
      <c r="B4617" t="str">
        <f>"1552376627391703"</f>
        <v>1552376627391703</v>
      </c>
      <c r="C4617" t="s">
        <v>40</v>
      </c>
      <c r="D4617">
        <v>4.9274019999999998</v>
      </c>
      <c r="E4617">
        <v>0.49277189999999998</v>
      </c>
      <c r="F4617" t="s">
        <v>41</v>
      </c>
      <c r="G4617">
        <v>-224.31100000000001</v>
      </c>
      <c r="H4617">
        <v>1.027549</v>
      </c>
      <c r="I4617">
        <v>141.4958</v>
      </c>
      <c r="J4617">
        <v>-223.73849999999999</v>
      </c>
      <c r="K4617">
        <v>1.110579</v>
      </c>
      <c r="L4617">
        <v>141.48869999999999</v>
      </c>
      <c r="M4617">
        <v>-0.99816819999999895</v>
      </c>
      <c r="N4617">
        <v>0</v>
      </c>
      <c r="O4617">
        <v>-5.9194579999999997E-2</v>
      </c>
      <c r="P4617">
        <v>-0.99977579999999999</v>
      </c>
      <c r="Q4617">
        <v>-1.717695E-2</v>
      </c>
      <c r="R4617">
        <v>1.239492E-2</v>
      </c>
      <c r="S4617">
        <v>-2.99559</v>
      </c>
      <c r="T4617">
        <v>-0.31970880000000002</v>
      </c>
      <c r="U4617">
        <v>-2.182007E-2</v>
      </c>
      <c r="V4617">
        <v>7.1562829999999994E-2</v>
      </c>
      <c r="W4617">
        <v>-4.6514959999999998E-3</v>
      </c>
      <c r="X4617">
        <v>0.99742529999999996</v>
      </c>
      <c r="Y4617">
        <v>5.1299400000000002E-2</v>
      </c>
      <c r="Z4617">
        <v>9.0267569999999998E-3</v>
      </c>
      <c r="AA4617">
        <v>0.99864249999999999</v>
      </c>
      <c r="AB4617">
        <v>22</v>
      </c>
      <c r="AC4617">
        <v>-0.57249999999999002</v>
      </c>
      <c r="AD4617">
        <v>-8.3029999999999896E-2</v>
      </c>
      <c r="AE4617">
        <v>7.1000000000083201E-3</v>
      </c>
      <c r="AF4617">
        <v>4.0135027848833299E-2</v>
      </c>
      <c r="AG4617">
        <v>-8.3029999999999896E-2</v>
      </c>
      <c r="AH4617">
        <v>0.559312925192056</v>
      </c>
      <c r="AI4617">
        <v>98.422546405527498</v>
      </c>
      <c r="AJ4617">
        <v>85.895619794125295</v>
      </c>
      <c r="AK4617">
        <v>0.56686484248656699</v>
      </c>
      <c r="AL4617">
        <v>90.266512036412294</v>
      </c>
      <c r="AM4617">
        <v>85.896199798104306</v>
      </c>
      <c r="AN4617">
        <v>1.0000000520663599</v>
      </c>
    </row>
    <row r="4618" spans="1:40" x14ac:dyDescent="0.25">
      <c r="A4618" t="str">
        <f>"20190312154347426"</f>
        <v>20190312154347426</v>
      </c>
      <c r="B4618" t="str">
        <f>"1552376627421960"</f>
        <v>1552376627421960</v>
      </c>
      <c r="C4618" t="s">
        <v>40</v>
      </c>
      <c r="D4618">
        <v>5.188987</v>
      </c>
      <c r="E4618">
        <v>0.4923457</v>
      </c>
      <c r="F4618" t="s">
        <v>41</v>
      </c>
      <c r="G4618">
        <v>-224.5077</v>
      </c>
      <c r="H4618">
        <v>1.035847</v>
      </c>
      <c r="I4618">
        <v>141.482</v>
      </c>
      <c r="J4618">
        <v>-223.96170000000001</v>
      </c>
      <c r="K4618">
        <v>1.1105849999999999</v>
      </c>
      <c r="L4618">
        <v>141.47470000000001</v>
      </c>
      <c r="M4618">
        <v>-0.99813339999999995</v>
      </c>
      <c r="N4618">
        <v>0</v>
      </c>
      <c r="O4618">
        <v>-5.9781000000000001E-2</v>
      </c>
      <c r="P4618">
        <v>-0.9997644</v>
      </c>
      <c r="Q4618">
        <v>-1.780201E-2</v>
      </c>
      <c r="R4618">
        <v>1.2424040000000001E-2</v>
      </c>
      <c r="S4618">
        <v>-2.995987</v>
      </c>
      <c r="T4618">
        <v>-0.29129369999999999</v>
      </c>
      <c r="U4618">
        <v>-2.7175899999999999E-2</v>
      </c>
      <c r="V4618">
        <v>7.2177599999999995E-2</v>
      </c>
      <c r="W4618">
        <v>-5.2874799999999998E-3</v>
      </c>
      <c r="X4618">
        <v>0.99737779999999998</v>
      </c>
      <c r="Y4618">
        <v>5.0210709999999999E-2</v>
      </c>
      <c r="Z4618">
        <v>8.2312059999999996E-3</v>
      </c>
      <c r="AA4618">
        <v>0.9987047</v>
      </c>
      <c r="AB4618">
        <v>22</v>
      </c>
      <c r="AC4618">
        <v>-0.54599999999999205</v>
      </c>
      <c r="AD4618">
        <v>-7.4737999999999902E-2</v>
      </c>
      <c r="AE4618">
        <v>7.2999999999865299E-3</v>
      </c>
      <c r="AF4618">
        <v>3.9195640037487399E-2</v>
      </c>
      <c r="AG4618">
        <v>-7.4737999999999902E-2</v>
      </c>
      <c r="AH4618">
        <v>0.53457246157535099</v>
      </c>
      <c r="AI4618">
        <v>97.937836883504104</v>
      </c>
      <c r="AJ4618">
        <v>85.806493153164496</v>
      </c>
      <c r="AK4618">
        <v>0.54119292633651295</v>
      </c>
      <c r="AL4618">
        <v>90.302951693940898</v>
      </c>
      <c r="AM4618">
        <v>85.860871124727794</v>
      </c>
      <c r="AN4618">
        <v>1.0000000196596699</v>
      </c>
    </row>
    <row r="4619" spans="1:40" x14ac:dyDescent="0.25">
      <c r="A4619" t="str">
        <f>"20190312154347449"</f>
        <v>20190312154347449</v>
      </c>
      <c r="B4619" t="str">
        <f>"1552376627442455"</f>
        <v>1552376627442455</v>
      </c>
      <c r="C4619" t="s">
        <v>40</v>
      </c>
      <c r="D4619">
        <v>4.9265230000000004</v>
      </c>
      <c r="E4619">
        <v>0.49210130000000002</v>
      </c>
      <c r="F4619" t="s">
        <v>41</v>
      </c>
      <c r="G4619">
        <v>-224.70570000000001</v>
      </c>
      <c r="H4619">
        <v>1.0448839999999999</v>
      </c>
      <c r="I4619">
        <v>141.4675</v>
      </c>
      <c r="J4619">
        <v>-224.17519999999999</v>
      </c>
      <c r="K4619">
        <v>1.110579</v>
      </c>
      <c r="L4619">
        <v>141.46129999999999</v>
      </c>
      <c r="M4619">
        <v>-0.99809999999999999</v>
      </c>
      <c r="N4619">
        <v>0</v>
      </c>
      <c r="O4619">
        <v>-6.034084E-2</v>
      </c>
      <c r="P4619">
        <v>-0.99976220000000005</v>
      </c>
      <c r="Q4619">
        <v>-1.8020029999999999E-2</v>
      </c>
      <c r="R4619">
        <v>1.228607E-2</v>
      </c>
      <c r="S4619">
        <v>-2.996353</v>
      </c>
      <c r="T4619">
        <v>-0.2646676</v>
      </c>
      <c r="U4619">
        <v>-2.944946E-2</v>
      </c>
      <c r="V4619">
        <v>7.2599159999999996E-2</v>
      </c>
      <c r="W4619">
        <v>-5.5171969999999997E-3</v>
      </c>
      <c r="X4619">
        <v>0.99734590000000001</v>
      </c>
      <c r="Y4619">
        <v>5.0102849999999997E-2</v>
      </c>
      <c r="Z4619">
        <v>7.5254440000000001E-3</v>
      </c>
      <c r="AA4619">
        <v>0.99871569999999998</v>
      </c>
      <c r="AB4619">
        <v>22</v>
      </c>
      <c r="AC4619">
        <v>-0.53050000000001696</v>
      </c>
      <c r="AD4619">
        <v>-6.5695000000000003E-2</v>
      </c>
      <c r="AE4619">
        <v>6.2000000000068597E-3</v>
      </c>
      <c r="AF4619">
        <v>3.7625088199828002E-2</v>
      </c>
      <c r="AG4619">
        <v>-6.5695000000000003E-2</v>
      </c>
      <c r="AH4619">
        <v>0.52116784407727801</v>
      </c>
      <c r="AI4619">
        <v>97.165982303118199</v>
      </c>
      <c r="AJ4619">
        <v>85.870763673193494</v>
      </c>
      <c r="AK4619">
        <v>0.52663782810125104</v>
      </c>
      <c r="AL4619">
        <v>90.316113718947193</v>
      </c>
      <c r="AM4619">
        <v>85.836648221492595</v>
      </c>
      <c r="AN4619">
        <v>0.99999996087112497</v>
      </c>
    </row>
    <row r="4620" spans="1:40" x14ac:dyDescent="0.25">
      <c r="A4620" t="str">
        <f>"20190312154347471"</f>
        <v>20190312154347471</v>
      </c>
      <c r="B4620" t="str">
        <f>"1552376627461975"</f>
        <v>1552376627461975</v>
      </c>
      <c r="C4620" t="s">
        <v>40</v>
      </c>
      <c r="D4620">
        <v>4.9441850000000001</v>
      </c>
      <c r="E4620">
        <v>0.49203609999999998</v>
      </c>
      <c r="F4620" t="s">
        <v>41</v>
      </c>
      <c r="G4620">
        <v>-225.08539999999999</v>
      </c>
      <c r="H4620">
        <v>1.0348539999999999</v>
      </c>
      <c r="I4620">
        <v>141.45189999999999</v>
      </c>
      <c r="J4620">
        <v>-224.3914</v>
      </c>
      <c r="K4620">
        <v>1.1105799999999999</v>
      </c>
      <c r="L4620">
        <v>141.44749999999999</v>
      </c>
      <c r="M4620">
        <v>-0.9980656</v>
      </c>
      <c r="N4620">
        <v>0</v>
      </c>
      <c r="O4620">
        <v>-6.0907120000000002E-2</v>
      </c>
      <c r="P4620">
        <v>-0.99976030000000005</v>
      </c>
      <c r="Q4620">
        <v>-1.8397469999999999E-2</v>
      </c>
      <c r="R4620">
        <v>1.186881E-2</v>
      </c>
      <c r="S4620">
        <v>-2.9965820000000001</v>
      </c>
      <c r="T4620">
        <v>-0.24936910000000001</v>
      </c>
      <c r="U4620">
        <v>-3.132629E-2</v>
      </c>
      <c r="V4620">
        <v>7.2748679999999996E-2</v>
      </c>
      <c r="W4620">
        <v>-5.9040009999999999E-3</v>
      </c>
      <c r="X4620">
        <v>0.99733280000000002</v>
      </c>
      <c r="Y4620">
        <v>5.00911E-2</v>
      </c>
      <c r="Z4620">
        <v>7.1378980000000002E-3</v>
      </c>
      <c r="AA4620">
        <v>0.99871920000000003</v>
      </c>
      <c r="AB4620">
        <v>22</v>
      </c>
      <c r="AC4620">
        <v>-0.69399999999998796</v>
      </c>
      <c r="AD4620">
        <v>-7.5725999999999696E-2</v>
      </c>
      <c r="AE4620">
        <v>4.4000000000039502E-3</v>
      </c>
      <c r="AF4620">
        <v>4.6115618380925198E-2</v>
      </c>
      <c r="AG4620">
        <v>-7.5725999999999696E-2</v>
      </c>
      <c r="AH4620">
        <v>0.68429633090112896</v>
      </c>
      <c r="AI4620">
        <v>96.300629271217801</v>
      </c>
      <c r="AJ4620">
        <v>86.144592517624105</v>
      </c>
      <c r="AK4620">
        <v>0.69001633735687895</v>
      </c>
      <c r="AL4620">
        <v>90.338276314662906</v>
      </c>
      <c r="AM4620">
        <v>85.828049321402901</v>
      </c>
      <c r="AN4620">
        <v>0.99999997081269398</v>
      </c>
    </row>
    <row r="4621" spans="1:40" x14ac:dyDescent="0.25">
      <c r="A4621" t="str">
        <f>"20190312154347493"</f>
        <v>20190312154347493</v>
      </c>
      <c r="B4621" t="str">
        <f>"1552376627482471"</f>
        <v>1552376627482471</v>
      </c>
      <c r="C4621" t="s">
        <v>40</v>
      </c>
      <c r="D4621">
        <v>4.9562169999999997</v>
      </c>
      <c r="E4621">
        <v>0.49198570000000003</v>
      </c>
      <c r="F4621" t="s">
        <v>41</v>
      </c>
      <c r="G4621">
        <v>-225.28049999999999</v>
      </c>
      <c r="H4621">
        <v>1.040133</v>
      </c>
      <c r="I4621">
        <v>141.43809999999999</v>
      </c>
      <c r="J4621">
        <v>-224.6</v>
      </c>
      <c r="K4621">
        <v>1.110579</v>
      </c>
      <c r="L4621">
        <v>141.4341</v>
      </c>
      <c r="M4621">
        <v>-0.99803209999999998</v>
      </c>
      <c r="N4621">
        <v>0</v>
      </c>
      <c r="O4621">
        <v>-6.1455269999999999E-2</v>
      </c>
      <c r="P4621">
        <v>-0.99976690000000001</v>
      </c>
      <c r="Q4621">
        <v>-1.8346999999999999E-2</v>
      </c>
      <c r="R4621">
        <v>1.137925E-2</v>
      </c>
      <c r="S4621">
        <v>-2.9967350000000001</v>
      </c>
      <c r="T4621">
        <v>-0.23767050000000001</v>
      </c>
      <c r="U4621">
        <v>-3.2821660000000002E-2</v>
      </c>
      <c r="V4621">
        <v>7.2808079999999997E-2</v>
      </c>
      <c r="W4621">
        <v>-5.8602339999999998E-3</v>
      </c>
      <c r="X4621">
        <v>0.99732880000000002</v>
      </c>
      <c r="Y4621">
        <v>5.0174980000000001E-2</v>
      </c>
      <c r="Z4621">
        <v>6.8503909999999999E-3</v>
      </c>
      <c r="AA4621">
        <v>0.99871699999999997</v>
      </c>
      <c r="AB4621">
        <v>22</v>
      </c>
      <c r="AC4621">
        <v>-0.680499999999994</v>
      </c>
      <c r="AD4621">
        <v>-7.0445999999999995E-2</v>
      </c>
      <c r="AE4621">
        <v>3.9999999999906699E-3</v>
      </c>
      <c r="AF4621">
        <v>4.5330226127986303E-2</v>
      </c>
      <c r="AG4621">
        <v>-7.0445999999999995E-2</v>
      </c>
      <c r="AH4621">
        <v>0.67176888544070101</v>
      </c>
      <c r="AI4621">
        <v>95.973038052907697</v>
      </c>
      <c r="AJ4621">
        <v>86.139595991631197</v>
      </c>
      <c r="AK4621">
        <v>0.67697186334666504</v>
      </c>
      <c r="AL4621">
        <v>90.335768581215405</v>
      </c>
      <c r="AM4621">
        <v>85.824638238833401</v>
      </c>
      <c r="AN4621">
        <v>1.00000004708262</v>
      </c>
    </row>
    <row r="4622" spans="1:40" x14ac:dyDescent="0.25">
      <c r="A4622" t="str">
        <f>"20190312154347515"</f>
        <v>20190312154347515</v>
      </c>
      <c r="B4622" t="str">
        <f>"1552376627501991"</f>
        <v>1552376627501991</v>
      </c>
      <c r="C4622" t="s">
        <v>40</v>
      </c>
      <c r="D4622">
        <v>4.9279979999999997</v>
      </c>
      <c r="E4622">
        <v>0.4919191</v>
      </c>
      <c r="F4622" t="s">
        <v>41</v>
      </c>
      <c r="G4622">
        <v>-225.47460000000001</v>
      </c>
      <c r="H4622">
        <v>1.043555</v>
      </c>
      <c r="I4622">
        <v>141.42400000000001</v>
      </c>
      <c r="J4622">
        <v>-224.81110000000001</v>
      </c>
      <c r="K4622">
        <v>1.110584</v>
      </c>
      <c r="L4622">
        <v>141.4204</v>
      </c>
      <c r="M4622">
        <v>-0.99799789999999999</v>
      </c>
      <c r="N4622">
        <v>0</v>
      </c>
      <c r="O4622">
        <v>-6.201139E-2</v>
      </c>
      <c r="P4622">
        <v>-0.99977760000000004</v>
      </c>
      <c r="Q4622">
        <v>-1.7850209999999998E-2</v>
      </c>
      <c r="R4622">
        <v>1.1243059999999999E-2</v>
      </c>
      <c r="S4622">
        <v>-2.9968720000000002</v>
      </c>
      <c r="T4622">
        <v>-0.22964329999999999</v>
      </c>
      <c r="U4622">
        <v>-3.4515379999999998E-2</v>
      </c>
      <c r="V4622">
        <v>7.3228080000000001E-2</v>
      </c>
      <c r="W4622">
        <v>-5.3717519999999996E-3</v>
      </c>
      <c r="X4622">
        <v>0.99730070000000004</v>
      </c>
      <c r="Y4622">
        <v>5.0189209999999998E-2</v>
      </c>
      <c r="Z4622">
        <v>6.6623960000000001E-3</v>
      </c>
      <c r="AA4622">
        <v>0.99871750000000004</v>
      </c>
      <c r="AB4622">
        <v>22</v>
      </c>
      <c r="AC4622">
        <v>-0.66349999999999898</v>
      </c>
      <c r="AD4622">
        <v>-6.7028999999999894E-2</v>
      </c>
      <c r="AE4622">
        <v>3.6000000000058199E-3</v>
      </c>
      <c r="AF4622">
        <v>4.4288826280223299E-2</v>
      </c>
      <c r="AG4622">
        <v>-6.7028999999999894E-2</v>
      </c>
      <c r="AH4622">
        <v>0.65531186728509006</v>
      </c>
      <c r="AI4622">
        <v>95.827024092620206</v>
      </c>
      <c r="AJ4622">
        <v>86.133581666260696</v>
      </c>
      <c r="AK4622">
        <v>0.66021816877373996</v>
      </c>
      <c r="AL4622">
        <v>90.307780214773999</v>
      </c>
      <c r="AM4622">
        <v>85.800520307000397</v>
      </c>
      <c r="AN4622">
        <v>0.99999994682026105</v>
      </c>
    </row>
    <row r="4623" spans="1:40" x14ac:dyDescent="0.25">
      <c r="A4623" t="str">
        <f>"20190312154347536"</f>
        <v>20190312154347536</v>
      </c>
      <c r="B4623" t="str">
        <f>"1552376627532248"</f>
        <v>1552376627532248</v>
      </c>
      <c r="C4623" t="s">
        <v>40</v>
      </c>
      <c r="D4623">
        <v>4.9541729999999999</v>
      </c>
      <c r="E4623">
        <v>0.49175279999999999</v>
      </c>
      <c r="F4623" t="s">
        <v>41</v>
      </c>
      <c r="G4623">
        <v>-225.67019999999999</v>
      </c>
      <c r="H4623">
        <v>1.047064</v>
      </c>
      <c r="I4623">
        <v>141.41040000000001</v>
      </c>
      <c r="J4623">
        <v>-225.01499999999999</v>
      </c>
      <c r="K4623">
        <v>1.1106819999999999</v>
      </c>
      <c r="L4623">
        <v>141.40710000000001</v>
      </c>
      <c r="M4623">
        <v>-0.99796070000000003</v>
      </c>
      <c r="N4623">
        <v>0</v>
      </c>
      <c r="O4623">
        <v>-6.2523969999999998E-2</v>
      </c>
      <c r="P4623">
        <v>-0.99979669999999998</v>
      </c>
      <c r="Q4623">
        <v>-1.709536E-2</v>
      </c>
      <c r="R4623">
        <v>1.0695339999999999E-2</v>
      </c>
      <c r="S4623">
        <v>-2.997131</v>
      </c>
      <c r="T4623">
        <v>-0.22167539999999999</v>
      </c>
      <c r="U4623">
        <v>-3.5537720000000002E-2</v>
      </c>
      <c r="V4623">
        <v>7.3193980000000006E-2</v>
      </c>
      <c r="W4623">
        <v>-4.228608E-3</v>
      </c>
      <c r="X4623">
        <v>0.99730870000000005</v>
      </c>
      <c r="Y4623">
        <v>5.0383369999999997E-2</v>
      </c>
      <c r="Z4623">
        <v>6.4762839999999997E-3</v>
      </c>
      <c r="AA4623">
        <v>0.99870899999999996</v>
      </c>
      <c r="AB4623">
        <v>22</v>
      </c>
      <c r="AC4623">
        <v>-0.655200000000007</v>
      </c>
      <c r="AD4623">
        <v>-6.3617999999999897E-2</v>
      </c>
      <c r="AE4623">
        <v>3.2999999999958601E-3</v>
      </c>
      <c r="AF4623">
        <v>4.3849238417469301E-2</v>
      </c>
      <c r="AG4623">
        <v>-6.3617999999999897E-2</v>
      </c>
      <c r="AH4623">
        <v>0.64760614567610797</v>
      </c>
      <c r="AI4623">
        <v>95.597750508831496</v>
      </c>
      <c r="AJ4623">
        <v>86.126430516691897</v>
      </c>
      <c r="AK4623">
        <v>0.65219914562291204</v>
      </c>
      <c r="AL4623">
        <v>90.242282127847204</v>
      </c>
      <c r="AM4623">
        <v>85.802502431047401</v>
      </c>
      <c r="AN4623">
        <v>0.999999941464772</v>
      </c>
    </row>
    <row r="4624" spans="1:40" x14ac:dyDescent="0.25">
      <c r="A4624" t="str">
        <f>"20190312154347560"</f>
        <v>20190312154347560</v>
      </c>
      <c r="B4624" t="str">
        <f>"1552376627551767"</f>
        <v>1552376627551767</v>
      </c>
      <c r="C4624" t="s">
        <v>40</v>
      </c>
      <c r="D4624">
        <v>5.1374919999999999</v>
      </c>
      <c r="E4624">
        <v>0.49169869999999999</v>
      </c>
      <c r="F4624" t="s">
        <v>41</v>
      </c>
      <c r="G4624">
        <v>-225.86240000000001</v>
      </c>
      <c r="H4624">
        <v>1.050406</v>
      </c>
      <c r="I4624">
        <v>141.3964</v>
      </c>
      <c r="J4624">
        <v>-225.23570000000001</v>
      </c>
      <c r="K4624">
        <v>1.1109990000000001</v>
      </c>
      <c r="L4624">
        <v>141.39259999999999</v>
      </c>
      <c r="M4624">
        <v>-0.99791059999999998</v>
      </c>
      <c r="N4624">
        <v>0</v>
      </c>
      <c r="O4624">
        <v>-6.3023490000000001E-2</v>
      </c>
      <c r="P4624">
        <v>-0.99979260000000003</v>
      </c>
      <c r="Q4624">
        <v>-1.7808850000000001E-2</v>
      </c>
      <c r="R4624">
        <v>9.9027390000000007E-3</v>
      </c>
      <c r="S4624">
        <v>-2.9973749999999999</v>
      </c>
      <c r="T4624">
        <v>-0.21326539999999999</v>
      </c>
      <c r="U4624">
        <v>-3.8452149999999997E-2</v>
      </c>
      <c r="V4624">
        <v>7.2902149999999999E-2</v>
      </c>
      <c r="W4624">
        <v>-3.5557119999999999E-3</v>
      </c>
      <c r="X4624">
        <v>0.99733280000000002</v>
      </c>
      <c r="Y4624">
        <v>4.9937330000000002E-2</v>
      </c>
      <c r="Z4624">
        <v>6.2503159999999997E-3</v>
      </c>
      <c r="AA4624">
        <v>0.99873279999999998</v>
      </c>
      <c r="AB4624">
        <v>22</v>
      </c>
      <c r="AC4624">
        <v>-0.62669999999999904</v>
      </c>
      <c r="AD4624">
        <v>-6.0593000000000098E-2</v>
      </c>
      <c r="AE4624">
        <v>3.8000000000124601E-3</v>
      </c>
      <c r="AF4624">
        <v>4.2892315648182799E-2</v>
      </c>
      <c r="AG4624">
        <v>-6.0593000000000098E-2</v>
      </c>
      <c r="AH4624">
        <v>0.61942412707666406</v>
      </c>
      <c r="AI4624">
        <v>95.573721402294893</v>
      </c>
      <c r="AJ4624">
        <v>86.038849818847893</v>
      </c>
      <c r="AK4624">
        <v>0.62385696405133595</v>
      </c>
      <c r="AL4624">
        <v>90.203727711854796</v>
      </c>
      <c r="AM4624">
        <v>85.819279383074402</v>
      </c>
      <c r="AN4624">
        <v>1.00000004025914</v>
      </c>
    </row>
    <row r="4625" spans="1:40" x14ac:dyDescent="0.25">
      <c r="A4625" t="str">
        <f>"20190312154347582"</f>
        <v>20190312154347582</v>
      </c>
      <c r="B4625" t="str">
        <f>"1552376627572267"</f>
        <v>1552376627572267</v>
      </c>
      <c r="C4625" t="s">
        <v>40</v>
      </c>
      <c r="D4625">
        <v>4.9707819999999998</v>
      </c>
      <c r="E4625">
        <v>0.49162479999999997</v>
      </c>
      <c r="F4625" t="s">
        <v>43</v>
      </c>
      <c r="G4625">
        <v>-241.1207</v>
      </c>
      <c r="H4625" s="1">
        <v>-4.1712680000000002E-6</v>
      </c>
      <c r="I4625">
        <v>141.17570000000001</v>
      </c>
      <c r="J4625">
        <v>-225.44049999999999</v>
      </c>
      <c r="K4625">
        <v>1.111343</v>
      </c>
      <c r="L4625">
        <v>141.37909999999999</v>
      </c>
      <c r="M4625">
        <v>-0.99785749999999995</v>
      </c>
      <c r="N4625">
        <v>0</v>
      </c>
      <c r="O4625">
        <v>-6.3452430000000004E-2</v>
      </c>
      <c r="P4625">
        <v>-0.99977709999999997</v>
      </c>
      <c r="Q4625">
        <v>-1.9277269999999999E-2</v>
      </c>
      <c r="R4625">
        <v>8.6268890000000004E-3</v>
      </c>
      <c r="S4625">
        <v>-2.9972840000000001</v>
      </c>
      <c r="T4625">
        <v>-0.2096314</v>
      </c>
      <c r="U4625">
        <v>-4.0908809999999997E-2</v>
      </c>
      <c r="V4625">
        <v>7.2057679999999999E-2</v>
      </c>
      <c r="W4625">
        <v>-3.3276909999999998E-3</v>
      </c>
      <c r="X4625">
        <v>0.99739489999999997</v>
      </c>
      <c r="Y4625">
        <v>4.9558919999999999E-2</v>
      </c>
      <c r="Z4625">
        <v>6.1610120000000004E-3</v>
      </c>
      <c r="AA4625">
        <v>0.99875219999999998</v>
      </c>
      <c r="AB4625">
        <v>21</v>
      </c>
      <c r="AC4625">
        <v>-15.680199999999999</v>
      </c>
      <c r="AD4625">
        <v>-1.1113471712680001</v>
      </c>
      <c r="AE4625">
        <v>-0.20339999999998701</v>
      </c>
      <c r="AF4625">
        <v>0.78812487000238096</v>
      </c>
      <c r="AG4625">
        <v>-1.1113471712680001</v>
      </c>
      <c r="AH4625">
        <v>15.583234701727999</v>
      </c>
      <c r="AI4625">
        <v>94.074058390726705</v>
      </c>
      <c r="AJ4625">
        <v>87.104722627152896</v>
      </c>
      <c r="AK4625">
        <v>15.6426799850582</v>
      </c>
      <c r="AL4625">
        <v>90.1906630046348</v>
      </c>
      <c r="AM4625">
        <v>85.867794869383303</v>
      </c>
      <c r="AN4625">
        <v>0.99999998466019102</v>
      </c>
    </row>
    <row r="4626" spans="1:40" x14ac:dyDescent="0.25">
      <c r="A4626" t="str">
        <f>"20190312154347605"</f>
        <v>20190312154347605</v>
      </c>
      <c r="B4626" t="str">
        <f>"1552376627591783"</f>
        <v>1552376627591783</v>
      </c>
      <c r="C4626" t="s">
        <v>40</v>
      </c>
      <c r="D4626">
        <v>4.9608089999999896</v>
      </c>
      <c r="E4626">
        <v>0.49100899999999997</v>
      </c>
      <c r="F4626" t="s">
        <v>43</v>
      </c>
      <c r="G4626">
        <v>-241.32400000000001</v>
      </c>
      <c r="H4626" s="1">
        <v>-4.0956939999999999E-6</v>
      </c>
      <c r="I4626">
        <v>141.1396</v>
      </c>
      <c r="J4626">
        <v>-225.6387</v>
      </c>
      <c r="K4626">
        <v>1.111653</v>
      </c>
      <c r="L4626">
        <v>141.36600000000001</v>
      </c>
      <c r="M4626">
        <v>-0.99780349999999995</v>
      </c>
      <c r="N4626">
        <v>0</v>
      </c>
      <c r="O4626">
        <v>-6.3827320000000007E-2</v>
      </c>
      <c r="P4626">
        <v>-0.99974770000000002</v>
      </c>
      <c r="Q4626">
        <v>-2.110894E-2</v>
      </c>
      <c r="R4626">
        <v>7.6780249999999998E-3</v>
      </c>
      <c r="S4626">
        <v>-2.9969939999999999</v>
      </c>
      <c r="T4626">
        <v>-0.2096962</v>
      </c>
      <c r="U4626">
        <v>-4.5181270000000003E-2</v>
      </c>
      <c r="V4626">
        <v>7.1485240000000005E-2</v>
      </c>
      <c r="W4626">
        <v>-3.3936830000000002E-3</v>
      </c>
      <c r="X4626">
        <v>0.99743590000000004</v>
      </c>
      <c r="Y4626">
        <v>4.8512630000000001E-2</v>
      </c>
      <c r="Z4626">
        <v>6.1531210000000001E-3</v>
      </c>
      <c r="AA4626">
        <v>0.99880360000000001</v>
      </c>
      <c r="AB4626">
        <v>21</v>
      </c>
      <c r="AC4626">
        <v>-15.6853</v>
      </c>
      <c r="AD4626">
        <v>-1.111657095694</v>
      </c>
      <c r="AE4626">
        <v>-0.22640000000001201</v>
      </c>
      <c r="AF4626">
        <v>0.77149543837690304</v>
      </c>
      <c r="AG4626">
        <v>-1.111657095694</v>
      </c>
      <c r="AH4626">
        <v>15.589471407462201</v>
      </c>
      <c r="AI4626">
        <v>94.073786116418304</v>
      </c>
      <c r="AJ4626">
        <v>87.166844319661493</v>
      </c>
      <c r="AK4626">
        <v>15.6480863198643</v>
      </c>
      <c r="AL4626">
        <v>90.194444083108294</v>
      </c>
      <c r="AM4626">
        <v>85.900677468160097</v>
      </c>
      <c r="AN4626">
        <v>1.00000001561548</v>
      </c>
    </row>
    <row r="4627" spans="1:40" x14ac:dyDescent="0.25">
      <c r="A4627" t="str">
        <f>"20190312154347628"</f>
        <v>20190312154347628</v>
      </c>
      <c r="B4627" t="str">
        <f>"1552376627622039"</f>
        <v>1552376627622039</v>
      </c>
      <c r="C4627" t="s">
        <v>40</v>
      </c>
      <c r="D4627">
        <v>4.9077029999999997</v>
      </c>
      <c r="E4627">
        <v>0.48255569999999998</v>
      </c>
      <c r="F4627" t="s">
        <v>43</v>
      </c>
      <c r="G4627">
        <v>-241.1371</v>
      </c>
      <c r="H4627" s="1">
        <v>-4.1509560000000002E-6</v>
      </c>
      <c r="I4627">
        <v>141.0926</v>
      </c>
      <c r="J4627">
        <v>-225.8553</v>
      </c>
      <c r="K4627">
        <v>1.111683</v>
      </c>
      <c r="L4627">
        <v>141.35159999999999</v>
      </c>
      <c r="M4627">
        <v>-0.99775820000000004</v>
      </c>
      <c r="N4627">
        <v>0</v>
      </c>
      <c r="O4627">
        <v>-6.4264699999999994E-2</v>
      </c>
      <c r="P4627">
        <v>-0.99973710000000005</v>
      </c>
      <c r="Q4627">
        <v>-2.201384E-2</v>
      </c>
      <c r="R4627">
        <v>6.4279690000000004E-3</v>
      </c>
      <c r="S4627">
        <v>-2.9966279999999998</v>
      </c>
      <c r="T4627">
        <v>-0.2149413</v>
      </c>
      <c r="U4627">
        <v>-5.2856449999999999E-2</v>
      </c>
      <c r="V4627">
        <v>7.0675160000000001E-2</v>
      </c>
      <c r="W4627">
        <v>-3.3491340000000001E-3</v>
      </c>
      <c r="X4627">
        <v>0.99749370000000004</v>
      </c>
      <c r="Y4627">
        <v>4.6382529999999998E-2</v>
      </c>
      <c r="Z4627">
        <v>6.2622509999999999E-3</v>
      </c>
      <c r="AA4627">
        <v>0.99890409999999996</v>
      </c>
      <c r="AB4627">
        <v>20</v>
      </c>
      <c r="AC4627">
        <v>-15.2818</v>
      </c>
      <c r="AD4627">
        <v>-1.111687150956</v>
      </c>
      <c r="AE4627">
        <v>-0.25899999999998602</v>
      </c>
      <c r="AF4627">
        <v>0.71997809631862597</v>
      </c>
      <c r="AG4627">
        <v>-1.111687150956</v>
      </c>
      <c r="AH4627">
        <v>15.1865040155689</v>
      </c>
      <c r="AI4627">
        <v>94.182035216669604</v>
      </c>
      <c r="AJ4627">
        <v>87.285692495575702</v>
      </c>
      <c r="AK4627">
        <v>15.2441503861537</v>
      </c>
      <c r="AL4627">
        <v>90.191891613807897</v>
      </c>
      <c r="AM4627">
        <v>85.947209896246306</v>
      </c>
      <c r="AN4627">
        <v>0.99999993823962996</v>
      </c>
    </row>
    <row r="4628" spans="1:40" x14ac:dyDescent="0.25">
      <c r="A4628" t="str">
        <f>"20190312154347650"</f>
        <v>20190312154347650</v>
      </c>
      <c r="B4628" t="str">
        <f>"1552376627642535"</f>
        <v>1552376627642535</v>
      </c>
      <c r="C4628" t="s">
        <v>40</v>
      </c>
      <c r="D4628">
        <v>4.9376290000000003</v>
      </c>
      <c r="E4628">
        <v>0.48259570000000002</v>
      </c>
      <c r="F4628" t="s">
        <v>43</v>
      </c>
      <c r="G4628">
        <v>-253.3562</v>
      </c>
      <c r="H4628" s="1">
        <v>-2.99817E-6</v>
      </c>
      <c r="I4628">
        <v>140.2389</v>
      </c>
      <c r="J4628">
        <v>-226.05250000000001</v>
      </c>
      <c r="K4628">
        <v>1.111232</v>
      </c>
      <c r="L4628">
        <v>141.33850000000001</v>
      </c>
      <c r="M4628">
        <v>-0.99775420000000004</v>
      </c>
      <c r="N4628">
        <v>0</v>
      </c>
      <c r="O4628">
        <v>-6.4624790000000001E-2</v>
      </c>
      <c r="P4628">
        <v>-0.9997682</v>
      </c>
      <c r="Q4628">
        <v>-2.090966E-2</v>
      </c>
      <c r="R4628">
        <v>5.2025200000000004E-3</v>
      </c>
      <c r="S4628">
        <v>-2.998901</v>
      </c>
      <c r="T4628">
        <v>-0.12122670000000001</v>
      </c>
      <c r="U4628">
        <v>-0.121337899999999</v>
      </c>
      <c r="V4628">
        <v>6.9813029999999998E-2</v>
      </c>
      <c r="W4628">
        <v>-3.292742E-3</v>
      </c>
      <c r="X4628">
        <v>0.99755470000000002</v>
      </c>
      <c r="Y4628">
        <v>2.4166509999999999E-2</v>
      </c>
      <c r="Z4628">
        <v>3.0964769999999998E-3</v>
      </c>
      <c r="AA4628">
        <v>0.99970320000000001</v>
      </c>
      <c r="AB4628">
        <v>20</v>
      </c>
      <c r="AC4628">
        <v>-27.3036999999999</v>
      </c>
      <c r="AD4628">
        <v>-1.11123499817</v>
      </c>
      <c r="AE4628">
        <v>-1.0995999999999999</v>
      </c>
      <c r="AF4628">
        <v>0.66636689855508702</v>
      </c>
      <c r="AG4628">
        <v>-1.11123499817</v>
      </c>
      <c r="AH4628">
        <v>27.272578451278299</v>
      </c>
      <c r="AI4628">
        <v>92.332559460204095</v>
      </c>
      <c r="AJ4628">
        <v>88.600337116672804</v>
      </c>
      <c r="AK4628">
        <v>27.303340884327302</v>
      </c>
      <c r="AL4628">
        <v>90.188660552918904</v>
      </c>
      <c r="AM4628">
        <v>85.996730070507894</v>
      </c>
      <c r="AN4628">
        <v>1.0000000403998699</v>
      </c>
    </row>
    <row r="4629" spans="1:40" x14ac:dyDescent="0.25">
      <c r="A4629" t="str">
        <f>"20190312154347672"</f>
        <v>20190312154347672</v>
      </c>
      <c r="B4629" t="str">
        <f>"1552376627662055"</f>
        <v>1552376627662055</v>
      </c>
      <c r="C4629" t="s">
        <v>40</v>
      </c>
      <c r="D4629">
        <v>4.9048619999999996</v>
      </c>
      <c r="E4629">
        <v>0.48295729999999998</v>
      </c>
      <c r="F4629" t="s">
        <v>43</v>
      </c>
      <c r="G4629">
        <v>-254.31829999999999</v>
      </c>
      <c r="H4629" s="1">
        <v>-2.5649880000000001E-6</v>
      </c>
      <c r="I4629">
        <v>140.16210000000001</v>
      </c>
      <c r="J4629">
        <v>-226.26060000000001</v>
      </c>
      <c r="K4629">
        <v>1.110744</v>
      </c>
      <c r="L4629">
        <v>141.3245</v>
      </c>
      <c r="M4629">
        <v>-0.99775780000000003</v>
      </c>
      <c r="N4629">
        <v>0</v>
      </c>
      <c r="O4629">
        <v>-6.4951629999999996E-2</v>
      </c>
      <c r="P4629">
        <v>-0.99981209999999998</v>
      </c>
      <c r="Q4629">
        <v>-1.892568E-2</v>
      </c>
      <c r="R4629">
        <v>4.2200680000000004E-3</v>
      </c>
      <c r="S4629">
        <v>-2.9988860000000002</v>
      </c>
      <c r="T4629">
        <v>-0.11789769999999899</v>
      </c>
      <c r="U4629">
        <v>-0.1248016</v>
      </c>
      <c r="V4629">
        <v>6.9160230000000003E-2</v>
      </c>
      <c r="W4629">
        <v>-2.7866990000000001E-3</v>
      </c>
      <c r="X4629">
        <v>0.99760170000000004</v>
      </c>
      <c r="Y4629">
        <v>2.334375E-2</v>
      </c>
      <c r="Z4629">
        <v>3.0080229999999999E-3</v>
      </c>
      <c r="AA4629">
        <v>0.99972300000000003</v>
      </c>
      <c r="AB4629">
        <v>21</v>
      </c>
      <c r="AC4629">
        <v>-28.057699999999901</v>
      </c>
      <c r="AD4629">
        <v>-1.110746564988</v>
      </c>
      <c r="AE4629">
        <v>-1.1623999999999901</v>
      </c>
      <c r="AF4629">
        <v>0.66165088936527205</v>
      </c>
      <c r="AG4629">
        <v>-1.110746564988</v>
      </c>
      <c r="AH4629">
        <v>28.0300942550573</v>
      </c>
      <c r="AI4629">
        <v>92.268637208258596</v>
      </c>
      <c r="AJ4629">
        <v>88.647783185994498</v>
      </c>
      <c r="AK4629">
        <v>28.059895291651099</v>
      </c>
      <c r="AL4629">
        <v>90.159666293740301</v>
      </c>
      <c r="AM4629">
        <v>86.0342296432366</v>
      </c>
      <c r="AN4629">
        <v>1.00000002747392</v>
      </c>
    </row>
    <row r="4630" spans="1:40" x14ac:dyDescent="0.25">
      <c r="A4630" t="str">
        <f>"20190312154347693"</f>
        <v>20190312154347693</v>
      </c>
      <c r="B4630" t="str">
        <f>"1552376627682551"</f>
        <v>1552376627682551</v>
      </c>
      <c r="C4630" t="s">
        <v>40</v>
      </c>
      <c r="D4630">
        <v>4.8946870000000002</v>
      </c>
      <c r="E4630">
        <v>0.48319089999999998</v>
      </c>
      <c r="F4630" t="s">
        <v>43</v>
      </c>
      <c r="G4630">
        <v>-256.59500000000003</v>
      </c>
      <c r="H4630" s="1">
        <v>-1.5617809999999999E-6</v>
      </c>
      <c r="I4630">
        <v>140.0624</v>
      </c>
      <c r="J4630">
        <v>-226.4564</v>
      </c>
      <c r="K4630">
        <v>1.11046</v>
      </c>
      <c r="L4630">
        <v>141.31139999999999</v>
      </c>
      <c r="M4630">
        <v>-0.99775619999999998</v>
      </c>
      <c r="N4630">
        <v>0</v>
      </c>
      <c r="O4630">
        <v>-6.5209489999999995E-2</v>
      </c>
      <c r="P4630">
        <v>-0.99983770000000005</v>
      </c>
      <c r="Q4630">
        <v>-1.774071E-2</v>
      </c>
      <c r="R4630">
        <v>3.2086530000000001E-3</v>
      </c>
      <c r="S4630">
        <v>-2.9990079999999999</v>
      </c>
      <c r="T4630">
        <v>-0.1098138</v>
      </c>
      <c r="U4630">
        <v>-0.1247711</v>
      </c>
      <c r="V4630">
        <v>6.8409289999999998E-2</v>
      </c>
      <c r="W4630">
        <v>-2.5750650000000001E-3</v>
      </c>
      <c r="X4630">
        <v>0.99765400000000004</v>
      </c>
      <c r="Y4630">
        <v>2.36216E-2</v>
      </c>
      <c r="Z4630">
        <v>2.8162619999999999E-3</v>
      </c>
      <c r="AA4630">
        <v>0.99971699999999997</v>
      </c>
      <c r="AB4630">
        <v>21</v>
      </c>
      <c r="AC4630">
        <v>-30.1386</v>
      </c>
      <c r="AD4630">
        <v>-1.1104615617810001</v>
      </c>
      <c r="AE4630">
        <v>-1.2489999999999899</v>
      </c>
      <c r="AF4630">
        <v>0.718234679515527</v>
      </c>
      <c r="AG4630">
        <v>-1.1104615617810001</v>
      </c>
      <c r="AH4630">
        <v>30.115081016578099</v>
      </c>
      <c r="AI4630">
        <v>92.111164331726599</v>
      </c>
      <c r="AJ4630">
        <v>88.633773689677</v>
      </c>
      <c r="AK4630">
        <v>30.1441054033805</v>
      </c>
      <c r="AL4630">
        <v>90.147540522063196</v>
      </c>
      <c r="AM4630">
        <v>86.077359704898896</v>
      </c>
      <c r="AN4630">
        <v>0.99999998281702895</v>
      </c>
    </row>
    <row r="4631" spans="1:40" x14ac:dyDescent="0.25">
      <c r="A4631" t="str">
        <f>"20190312154347715"</f>
        <v>20190312154347715</v>
      </c>
      <c r="B4631" t="str">
        <f>"1552376627711831"</f>
        <v>1552376627711831</v>
      </c>
      <c r="C4631" t="s">
        <v>40</v>
      </c>
      <c r="D4631">
        <v>4.8539629999999896</v>
      </c>
      <c r="E4631">
        <v>0.48349399999999998</v>
      </c>
      <c r="F4631" t="s">
        <v>43</v>
      </c>
      <c r="G4631">
        <v>-258.13159999999999</v>
      </c>
      <c r="H4631" s="1">
        <v>-8.8089879999999999E-7</v>
      </c>
      <c r="I4631">
        <v>139.98089999999999</v>
      </c>
      <c r="J4631">
        <v>-226.6592</v>
      </c>
      <c r="K4631">
        <v>1.110301</v>
      </c>
      <c r="L4631">
        <v>141.2978</v>
      </c>
      <c r="M4631">
        <v>-0.99775139999999995</v>
      </c>
      <c r="N4631">
        <v>0</v>
      </c>
      <c r="O4631">
        <v>-6.5418699999999996E-2</v>
      </c>
      <c r="P4631">
        <v>-0.99985440000000003</v>
      </c>
      <c r="Q4631">
        <v>-1.697282E-2</v>
      </c>
      <c r="R4631">
        <v>1.8516520000000001E-3</v>
      </c>
      <c r="S4631">
        <v>-2.9990230000000002</v>
      </c>
      <c r="T4631">
        <v>-0.1051391</v>
      </c>
      <c r="U4631">
        <v>-0.1259613</v>
      </c>
      <c r="V4631">
        <v>6.7264299999999999E-2</v>
      </c>
      <c r="W4631">
        <v>-2.4035509999999999E-3</v>
      </c>
      <c r="X4631">
        <v>0.99773230000000002</v>
      </c>
      <c r="Y4631">
        <v>2.3439740000000001E-2</v>
      </c>
      <c r="Z4631">
        <v>2.7005150000000001E-3</v>
      </c>
      <c r="AA4631">
        <v>0.99972159999999999</v>
      </c>
      <c r="AB4631">
        <v>21</v>
      </c>
      <c r="AC4631">
        <v>-31.4724</v>
      </c>
      <c r="AD4631">
        <v>-1.1103018808988001</v>
      </c>
      <c r="AE4631">
        <v>-1.3169</v>
      </c>
      <c r="AF4631">
        <v>0.74409938040382995</v>
      </c>
      <c r="AG4631">
        <v>-1.1103018808988001</v>
      </c>
      <c r="AH4631">
        <v>31.452051604684598</v>
      </c>
      <c r="AI4631">
        <v>92.021217344521105</v>
      </c>
      <c r="AJ4631">
        <v>88.644736977857306</v>
      </c>
      <c r="AK4631">
        <v>31.480438438789101</v>
      </c>
      <c r="AL4631">
        <v>90.137713460357205</v>
      </c>
      <c r="AM4631">
        <v>86.143116219788794</v>
      </c>
      <c r="AN4631">
        <v>1.0000000027875899</v>
      </c>
    </row>
    <row r="4632" spans="1:40" x14ac:dyDescent="0.25">
      <c r="A4632" t="str">
        <f>"20190312154347739"</f>
        <v>20190312154347739</v>
      </c>
      <c r="B4632" t="str">
        <f>"1552376627732328"</f>
        <v>1552376627732328</v>
      </c>
      <c r="C4632" t="s">
        <v>40</v>
      </c>
      <c r="D4632">
        <v>4.8240230000000004</v>
      </c>
      <c r="E4632">
        <v>0.48377930000000002</v>
      </c>
      <c r="F4632" t="s">
        <v>43</v>
      </c>
      <c r="G4632">
        <v>-259.43830000000003</v>
      </c>
      <c r="H4632" s="1">
        <v>-2.9939300000000001E-7</v>
      </c>
      <c r="I4632">
        <v>139.9023</v>
      </c>
      <c r="J4632">
        <v>-226.87469999999999</v>
      </c>
      <c r="K4632">
        <v>1.1101490000000001</v>
      </c>
      <c r="L4632">
        <v>141.2835</v>
      </c>
      <c r="M4632">
        <v>-0.99774969999999996</v>
      </c>
      <c r="N4632">
        <v>0</v>
      </c>
      <c r="O4632">
        <v>-6.5578029999999995E-2</v>
      </c>
      <c r="P4632">
        <v>-0.99988089999999996</v>
      </c>
      <c r="Q4632">
        <v>-1.542236E-2</v>
      </c>
      <c r="R4632">
        <v>6.4890399999999995E-4</v>
      </c>
      <c r="S4632">
        <v>-2.9989620000000001</v>
      </c>
      <c r="T4632">
        <v>-0.10158159999999999</v>
      </c>
      <c r="U4632">
        <v>-0.12767029999999999</v>
      </c>
      <c r="V4632">
        <v>6.6224080000000005E-2</v>
      </c>
      <c r="W4632">
        <v>-1.485636E-3</v>
      </c>
      <c r="X4632">
        <v>0.99780369999999996</v>
      </c>
      <c r="Y4632">
        <v>2.3033029999999999E-2</v>
      </c>
      <c r="Z4632">
        <v>2.6076820000000001E-3</v>
      </c>
      <c r="AA4632">
        <v>0.99973129999999999</v>
      </c>
      <c r="AB4632">
        <v>21</v>
      </c>
      <c r="AC4632">
        <v>-32.563600000000001</v>
      </c>
      <c r="AD4632">
        <v>-1.110149299393</v>
      </c>
      <c r="AE4632">
        <v>-1.3812</v>
      </c>
      <c r="AF4632">
        <v>0.75656099728084203</v>
      </c>
      <c r="AG4632">
        <v>-1.110149299393</v>
      </c>
      <c r="AH4632">
        <v>32.546317667985697</v>
      </c>
      <c r="AI4632">
        <v>91.953064566879306</v>
      </c>
      <c r="AJ4632">
        <v>88.668360972625507</v>
      </c>
      <c r="AK4632">
        <v>32.574032752408598</v>
      </c>
      <c r="AL4632">
        <v>90.085120701467105</v>
      </c>
      <c r="AM4632">
        <v>86.202856700290795</v>
      </c>
      <c r="AN4632">
        <v>1.0000000298099301</v>
      </c>
    </row>
    <row r="4633" spans="1:40" x14ac:dyDescent="0.25">
      <c r="A4633" t="str">
        <f>"20190312154347760"</f>
        <v>20190312154347760</v>
      </c>
      <c r="B4633" t="str">
        <f>"1552376627751847"</f>
        <v>1552376627751847</v>
      </c>
      <c r="C4633" t="s">
        <v>40</v>
      </c>
      <c r="D4633">
        <v>4.8122249999999998</v>
      </c>
      <c r="E4633">
        <v>0.48392469999999999</v>
      </c>
      <c r="F4633" t="s">
        <v>43</v>
      </c>
      <c r="G4633">
        <v>-261.78149999999999</v>
      </c>
      <c r="H4633" s="1">
        <v>-3.55206E-6</v>
      </c>
      <c r="I4633">
        <v>139.7817</v>
      </c>
      <c r="J4633">
        <v>-227.07910000000001</v>
      </c>
      <c r="K4633">
        <v>1.1099889999999999</v>
      </c>
      <c r="L4633">
        <v>141.26990000000001</v>
      </c>
      <c r="M4633">
        <v>-0.99775429999999998</v>
      </c>
      <c r="N4633">
        <v>0</v>
      </c>
      <c r="O4633">
        <v>-6.5663100000000002E-2</v>
      </c>
      <c r="P4633">
        <v>-0.99990250000000003</v>
      </c>
      <c r="Q4633">
        <v>-1.396729E-2</v>
      </c>
      <c r="R4633">
        <v>2.365682E-4</v>
      </c>
      <c r="S4633">
        <v>-2.9989620000000001</v>
      </c>
      <c r="T4633">
        <v>-9.5376970000000005E-2</v>
      </c>
      <c r="U4633">
        <v>-0.12901309999999999</v>
      </c>
      <c r="V4633">
        <v>6.5898490000000004E-2</v>
      </c>
      <c r="W4633">
        <v>-7.8452190000000003E-4</v>
      </c>
      <c r="X4633">
        <v>0.99782599999999999</v>
      </c>
      <c r="Y4633">
        <v>2.2676930000000001E-2</v>
      </c>
      <c r="Z4633">
        <v>2.445474E-3</v>
      </c>
      <c r="AA4633">
        <v>0.99973979999999996</v>
      </c>
      <c r="AB4633">
        <v>21</v>
      </c>
      <c r="AC4633">
        <v>-34.702399999999898</v>
      </c>
      <c r="AD4633">
        <v>-1.10999255205999</v>
      </c>
      <c r="AE4633">
        <v>-1.4882</v>
      </c>
      <c r="AF4633">
        <v>0.79306866140714105</v>
      </c>
      <c r="AG4633">
        <v>-1.10999255205999</v>
      </c>
      <c r="AH4633">
        <v>34.689796046558499</v>
      </c>
      <c r="AI4633">
        <v>91.832227562160995</v>
      </c>
      <c r="AJ4633">
        <v>88.6903476417842</v>
      </c>
      <c r="AK4633">
        <v>34.716609729625901</v>
      </c>
      <c r="AL4633">
        <v>90.044949799478701</v>
      </c>
      <c r="AM4633">
        <v>86.221555302153504</v>
      </c>
      <c r="AN4633">
        <v>0.99999997636744498</v>
      </c>
    </row>
    <row r="4634" spans="1:40" x14ac:dyDescent="0.25">
      <c r="A4634" t="str">
        <f>"20190312154347783"</f>
        <v>20190312154347783</v>
      </c>
      <c r="B4634" t="str">
        <f>"1552376627772347"</f>
        <v>1552376627772347</v>
      </c>
      <c r="C4634" t="s">
        <v>40</v>
      </c>
      <c r="D4634">
        <v>4.8205910000000003</v>
      </c>
      <c r="E4634">
        <v>0.48412850000000002</v>
      </c>
      <c r="F4634" t="s">
        <v>43</v>
      </c>
      <c r="G4634">
        <v>-264.0052</v>
      </c>
      <c r="H4634" s="1">
        <v>-2.5709900000000002E-6</v>
      </c>
      <c r="I4634">
        <v>139.6799</v>
      </c>
      <c r="J4634">
        <v>-227.29050000000001</v>
      </c>
      <c r="K4634">
        <v>1.1098520000000001</v>
      </c>
      <c r="L4634">
        <v>141.256</v>
      </c>
      <c r="M4634">
        <v>-0.99776330000000002</v>
      </c>
      <c r="N4634">
        <v>0</v>
      </c>
      <c r="O4634">
        <v>-6.5678920000000002E-2</v>
      </c>
      <c r="P4634">
        <v>-0.99992210000000004</v>
      </c>
      <c r="Q4634">
        <v>-1.249421E-2</v>
      </c>
      <c r="R4634">
        <v>-1.666181E-4</v>
      </c>
      <c r="S4634">
        <v>-2.9990839999999999</v>
      </c>
      <c r="T4634">
        <v>-9.0151910000000002E-2</v>
      </c>
      <c r="U4634">
        <v>-0.1291351</v>
      </c>
      <c r="V4634">
        <v>6.5512630000000002E-2</v>
      </c>
      <c r="W4634" s="1">
        <v>-8.5125209999999997E-5</v>
      </c>
      <c r="X4634">
        <v>0.99785170000000001</v>
      </c>
      <c r="Y4634">
        <v>2.2657989999999999E-2</v>
      </c>
      <c r="Z4634">
        <v>2.3116389999999999E-3</v>
      </c>
      <c r="AA4634">
        <v>0.99974059999999998</v>
      </c>
      <c r="AB4634">
        <v>21</v>
      </c>
      <c r="AC4634">
        <v>-36.714699999999901</v>
      </c>
      <c r="AD4634">
        <v>-1.1098545709899901</v>
      </c>
      <c r="AE4634">
        <v>-1.5760999999999901</v>
      </c>
      <c r="AF4634">
        <v>0.83810753074724897</v>
      </c>
      <c r="AG4634">
        <v>-1.1098545709899901</v>
      </c>
      <c r="AH4634">
        <v>36.705458384624002</v>
      </c>
      <c r="AI4634">
        <v>91.7314607106984</v>
      </c>
      <c r="AJ4634">
        <v>88.691974333971103</v>
      </c>
      <c r="AK4634">
        <v>36.731796534163699</v>
      </c>
      <c r="AL4634">
        <v>90.004877315446706</v>
      </c>
      <c r="AM4634">
        <v>86.243712432929001</v>
      </c>
      <c r="AN4634">
        <v>0.99999996356435294</v>
      </c>
    </row>
    <row r="4635" spans="1:40" x14ac:dyDescent="0.25">
      <c r="A4635" t="str">
        <f>"20190312154347805"</f>
        <v>20190312154347805</v>
      </c>
      <c r="B4635" t="str">
        <f>"1552376627802600"</f>
        <v>1552376627802600</v>
      </c>
      <c r="C4635" t="s">
        <v>40</v>
      </c>
      <c r="D4635">
        <v>4.815512</v>
      </c>
      <c r="E4635">
        <v>0.4844407</v>
      </c>
      <c r="F4635" t="s">
        <v>43</v>
      </c>
      <c r="G4635">
        <v>-266.17899999999997</v>
      </c>
      <c r="H4635" s="1">
        <v>-1.626707E-6</v>
      </c>
      <c r="I4635">
        <v>139.58690000000001</v>
      </c>
      <c r="J4635">
        <v>-227.4999</v>
      </c>
      <c r="K4635">
        <v>1.1097760000000001</v>
      </c>
      <c r="L4635">
        <v>141.2423</v>
      </c>
      <c r="M4635">
        <v>-0.99777499999999997</v>
      </c>
      <c r="N4635">
        <v>0</v>
      </c>
      <c r="O4635">
        <v>-6.5617930000000005E-2</v>
      </c>
      <c r="P4635">
        <v>-0.99993600000000005</v>
      </c>
      <c r="Q4635">
        <v>-1.133252E-2</v>
      </c>
      <c r="R4635">
        <v>4.7845299999999999E-4</v>
      </c>
      <c r="S4635">
        <v>-2.999161</v>
      </c>
      <c r="T4635">
        <v>-8.5594299999999998E-2</v>
      </c>
      <c r="U4635">
        <v>-0.12872310000000001</v>
      </c>
      <c r="V4635">
        <v>6.6096070000000007E-2</v>
      </c>
      <c r="W4635">
        <v>4.45191E-4</v>
      </c>
      <c r="X4635">
        <v>0.99781319999999996</v>
      </c>
      <c r="Y4635">
        <v>2.273847E-2</v>
      </c>
      <c r="Z4635">
        <v>2.1941740000000001E-3</v>
      </c>
      <c r="AA4635">
        <v>0.99973909999999999</v>
      </c>
      <c r="AB4635">
        <v>21</v>
      </c>
      <c r="AC4635">
        <v>-38.679099999999998</v>
      </c>
      <c r="AD4635">
        <v>-1.1097776267070001</v>
      </c>
      <c r="AE4635">
        <v>-1.65539999999998</v>
      </c>
      <c r="AF4635">
        <v>0.88565973124633901</v>
      </c>
      <c r="AG4635">
        <v>-1.1097776267070001</v>
      </c>
      <c r="AH4635">
        <v>38.672581409013901</v>
      </c>
      <c r="AI4635">
        <v>91.643321232616799</v>
      </c>
      <c r="AJ4635">
        <v>88.688070613494602</v>
      </c>
      <c r="AK4635">
        <v>38.698637603630203</v>
      </c>
      <c r="AL4635">
        <v>89.974492434682602</v>
      </c>
      <c r="AM4635">
        <v>86.210211079219903</v>
      </c>
      <c r="AN4635">
        <v>1.0000000353793499</v>
      </c>
    </row>
    <row r="4636" spans="1:40" x14ac:dyDescent="0.25">
      <c r="A4636" t="str">
        <f>"20190312154347828"</f>
        <v>20190312154347828</v>
      </c>
      <c r="B4636" t="str">
        <f>"1552376627822120"</f>
        <v>1552376627822120</v>
      </c>
      <c r="C4636" t="s">
        <v>40</v>
      </c>
      <c r="D4636">
        <v>4.7945650000000004</v>
      </c>
      <c r="E4636">
        <v>0.48464970000000002</v>
      </c>
      <c r="F4636" t="s">
        <v>43</v>
      </c>
      <c r="G4636">
        <v>-268.18270000000001</v>
      </c>
      <c r="H4636" s="1">
        <v>-7.7255939999999897E-7</v>
      </c>
      <c r="I4636">
        <v>139.55629999999999</v>
      </c>
      <c r="J4636">
        <v>-227.7176</v>
      </c>
      <c r="K4636">
        <v>1.109731</v>
      </c>
      <c r="L4636">
        <v>141.22810000000001</v>
      </c>
      <c r="M4636">
        <v>-0.99779059999999997</v>
      </c>
      <c r="N4636">
        <v>0</v>
      </c>
      <c r="O4636">
        <v>-6.5471089999999996E-2</v>
      </c>
      <c r="P4636">
        <v>-0.99993869999999896</v>
      </c>
      <c r="Q4636">
        <v>-1.100072E-2</v>
      </c>
      <c r="R4636">
        <v>1.242169E-3</v>
      </c>
      <c r="S4636">
        <v>-2.9993289999999999</v>
      </c>
      <c r="T4636">
        <v>-8.1818100000000005E-2</v>
      </c>
      <c r="U4636">
        <v>-0.12429809999999999</v>
      </c>
      <c r="V4636">
        <v>6.6710820000000004E-2</v>
      </c>
      <c r="W4636">
        <v>2.3585939999999999E-4</v>
      </c>
      <c r="X4636">
        <v>0.99777229999999995</v>
      </c>
      <c r="Y4636">
        <v>2.4068320000000001E-2</v>
      </c>
      <c r="Z4636">
        <v>2.1115019999999999E-3</v>
      </c>
      <c r="AA4636">
        <v>0.99970809999999999</v>
      </c>
      <c r="AB4636">
        <v>21</v>
      </c>
      <c r="AC4636">
        <v>-40.4651</v>
      </c>
      <c r="AD4636">
        <v>-1.10973177255939</v>
      </c>
      <c r="AE4636">
        <v>-1.6718000000000099</v>
      </c>
      <c r="AF4636">
        <v>0.98051422664735199</v>
      </c>
      <c r="AG4636">
        <v>-1.10973177255939</v>
      </c>
      <c r="AH4636">
        <v>40.457355165865998</v>
      </c>
      <c r="AI4636">
        <v>91.570749160972795</v>
      </c>
      <c r="AJ4636">
        <v>88.611665759992206</v>
      </c>
      <c r="AK4636">
        <v>40.484447628351198</v>
      </c>
      <c r="AL4636">
        <v>89.986486251370394</v>
      </c>
      <c r="AM4636">
        <v>86.1749106278303</v>
      </c>
      <c r="AN4636">
        <v>0.99999997589100897</v>
      </c>
    </row>
    <row r="4637" spans="1:40" x14ac:dyDescent="0.25">
      <c r="A4637" t="str">
        <f>"20190312154347851"</f>
        <v>20190312154347851</v>
      </c>
      <c r="B4637" t="str">
        <f>"1552376627842616"</f>
        <v>1552376627842616</v>
      </c>
      <c r="C4637" t="s">
        <v>40</v>
      </c>
      <c r="D4637">
        <v>4.8357910000000004</v>
      </c>
      <c r="E4637">
        <v>0.48462729999999998</v>
      </c>
      <c r="F4637" t="s">
        <v>43</v>
      </c>
      <c r="G4637">
        <v>-269.10149999999999</v>
      </c>
      <c r="H4637" s="1">
        <v>-3.762939E-7</v>
      </c>
      <c r="I4637">
        <v>139.56809999999999</v>
      </c>
      <c r="J4637">
        <v>-227.93199999999999</v>
      </c>
      <c r="K4637">
        <v>1.109686</v>
      </c>
      <c r="L4637">
        <v>141.21430000000001</v>
      </c>
      <c r="M4637">
        <v>-0.9978108</v>
      </c>
      <c r="N4637">
        <v>0</v>
      </c>
      <c r="O4637">
        <v>-6.5244300000000005E-2</v>
      </c>
      <c r="P4637">
        <v>-0.99994289999999997</v>
      </c>
      <c r="Q4637">
        <v>-1.056928E-2</v>
      </c>
      <c r="R4637">
        <v>1.6191879999999999E-3</v>
      </c>
      <c r="S4637">
        <v>-2.9994510000000001</v>
      </c>
      <c r="T4637">
        <v>-8.0431939999999993E-2</v>
      </c>
      <c r="U4637">
        <v>-0.12031559999999999</v>
      </c>
      <c r="V4637">
        <v>6.6860299999999998E-2</v>
      </c>
      <c r="W4637">
        <v>1.8579149999999999E-4</v>
      </c>
      <c r="X4637">
        <v>0.99776229999999999</v>
      </c>
      <c r="Y4637">
        <v>2.5168380000000001E-2</v>
      </c>
      <c r="Z4637">
        <v>2.0843989999999998E-3</v>
      </c>
      <c r="AA4637">
        <v>0.99968109999999999</v>
      </c>
      <c r="AB4637">
        <v>21</v>
      </c>
      <c r="AC4637">
        <v>-41.1694999999999</v>
      </c>
      <c r="AD4637">
        <v>-1.10968637629389</v>
      </c>
      <c r="AE4637">
        <v>-1.6462000000000201</v>
      </c>
      <c r="AF4637">
        <v>1.0427836117025799</v>
      </c>
      <c r="AG4637">
        <v>-1.10968637629389</v>
      </c>
      <c r="AH4637">
        <v>41.159326724053699</v>
      </c>
      <c r="AI4637">
        <v>91.543867983832001</v>
      </c>
      <c r="AJ4637">
        <v>88.548705089710893</v>
      </c>
      <c r="AK4637">
        <v>41.187485695195903</v>
      </c>
      <c r="AL4637">
        <v>89.989354930808105</v>
      </c>
      <c r="AM4637">
        <v>86.166326910647001</v>
      </c>
      <c r="AN4637">
        <v>0.99999997076793001</v>
      </c>
    </row>
    <row r="4638" spans="1:40" x14ac:dyDescent="0.25">
      <c r="A4638" t="str">
        <f>"20190312154347873"</f>
        <v>20190312154347873</v>
      </c>
      <c r="B4638" t="str">
        <f>"1552376627862136"</f>
        <v>1552376627862136</v>
      </c>
      <c r="C4638" t="s">
        <v>40</v>
      </c>
      <c r="D4638">
        <v>4.8597720000000004</v>
      </c>
      <c r="E4638">
        <v>0.48463010000000001</v>
      </c>
      <c r="F4638" t="s">
        <v>43</v>
      </c>
      <c r="G4638">
        <v>-269.43720000000002</v>
      </c>
      <c r="H4638" s="1">
        <v>-2.3324229999999999E-7</v>
      </c>
      <c r="I4638">
        <v>139.56270000000001</v>
      </c>
      <c r="J4638">
        <v>-228.14699999999999</v>
      </c>
      <c r="K4638">
        <v>1.109632</v>
      </c>
      <c r="L4638">
        <v>141.20050000000001</v>
      </c>
      <c r="M4638">
        <v>-0.99783379999999999</v>
      </c>
      <c r="N4638">
        <v>0</v>
      </c>
      <c r="O4638">
        <v>-6.4962720000000002E-2</v>
      </c>
      <c r="P4638">
        <v>-0.99994229999999995</v>
      </c>
      <c r="Q4638">
        <v>-1.0558440000000001E-2</v>
      </c>
      <c r="R4638">
        <v>2.0432470000000002E-3</v>
      </c>
      <c r="S4638">
        <v>-2.9995120000000002</v>
      </c>
      <c r="T4638">
        <v>-8.019519E-2</v>
      </c>
      <c r="U4638">
        <v>-0.11935419999999999</v>
      </c>
      <c r="V4638">
        <v>6.7001420000000006E-2</v>
      </c>
      <c r="W4638">
        <v>-2.4774539999999998E-4</v>
      </c>
      <c r="X4638">
        <v>0.9977528</v>
      </c>
      <c r="Y4638">
        <v>2.520696E-2</v>
      </c>
      <c r="Z4638">
        <v>2.0712410000000001E-3</v>
      </c>
      <c r="AA4638">
        <v>0.99968009999999996</v>
      </c>
      <c r="AB4638">
        <v>21</v>
      </c>
      <c r="AC4638">
        <v>-41.290199999999999</v>
      </c>
      <c r="AD4638">
        <v>-1.1096322332423001</v>
      </c>
      <c r="AE4638">
        <v>-1.6377999999999899</v>
      </c>
      <c r="AF4638">
        <v>1.0473726337743801</v>
      </c>
      <c r="AG4638">
        <v>-1.1096322332423001</v>
      </c>
      <c r="AH4638">
        <v>41.279608877154999</v>
      </c>
      <c r="AI4638">
        <v>91.539295040371499</v>
      </c>
      <c r="AJ4638">
        <v>88.546566682019304</v>
      </c>
      <c r="AK4638">
        <v>41.307800500364699</v>
      </c>
      <c r="AL4638">
        <v>90.014194766657596</v>
      </c>
      <c r="AM4638">
        <v>86.158223029570493</v>
      </c>
      <c r="AN4638">
        <v>0.99999995078381798</v>
      </c>
    </row>
    <row r="4639" spans="1:40" x14ac:dyDescent="0.25">
      <c r="A4639" t="str">
        <f>"20190312154347894"</f>
        <v>20190312154347894</v>
      </c>
      <c r="B4639" t="str">
        <f>"1552376627881657"</f>
        <v>1552376627881657</v>
      </c>
      <c r="C4639" t="s">
        <v>40</v>
      </c>
      <c r="D4639">
        <v>4.8639159999999997</v>
      </c>
      <c r="E4639">
        <v>0.48460829999999999</v>
      </c>
      <c r="F4639" t="s">
        <v>43</v>
      </c>
      <c r="G4639">
        <v>-268.25200000000001</v>
      </c>
      <c r="H4639" s="1">
        <v>-7.3343640000000005E-7</v>
      </c>
      <c r="I4639">
        <v>139.6207</v>
      </c>
      <c r="J4639">
        <v>-228.34549999999999</v>
      </c>
      <c r="K4639">
        <v>1.109583</v>
      </c>
      <c r="L4639">
        <v>141.18790000000001</v>
      </c>
      <c r="M4639">
        <v>-0.99785749999999995</v>
      </c>
      <c r="N4639">
        <v>0</v>
      </c>
      <c r="O4639">
        <v>-6.4657419999999993E-2</v>
      </c>
      <c r="P4639">
        <v>-0.99994090000000002</v>
      </c>
      <c r="Q4639">
        <v>-1.06249E-2</v>
      </c>
      <c r="R4639">
        <v>2.3196309999999999E-3</v>
      </c>
      <c r="S4639">
        <v>-2.9995419999999999</v>
      </c>
      <c r="T4639">
        <v>-8.2992079999999996E-2</v>
      </c>
      <c r="U4639">
        <v>-0.1181488</v>
      </c>
      <c r="V4639">
        <v>6.6971219999999998E-2</v>
      </c>
      <c r="W4639">
        <v>-6.8290500000000004E-4</v>
      </c>
      <c r="X4639">
        <v>0.99775469999999999</v>
      </c>
      <c r="Y4639">
        <v>2.5300159999999999E-2</v>
      </c>
      <c r="Z4639">
        <v>2.1363100000000002E-3</v>
      </c>
      <c r="AA4639">
        <v>0.99967760000000006</v>
      </c>
      <c r="AB4639">
        <v>21</v>
      </c>
      <c r="AC4639">
        <v>-39.906500000000001</v>
      </c>
      <c r="AD4639">
        <v>-1.1095837334363901</v>
      </c>
      <c r="AE4639">
        <v>-1.5672000000000099</v>
      </c>
      <c r="AF4639">
        <v>1.0156757891764201</v>
      </c>
      <c r="AG4639">
        <v>-1.1095837334363901</v>
      </c>
      <c r="AH4639">
        <v>39.8935302621612</v>
      </c>
      <c r="AI4639">
        <v>91.592676809027694</v>
      </c>
      <c r="AJ4639">
        <v>88.541583887959703</v>
      </c>
      <c r="AK4639">
        <v>39.921880343342998</v>
      </c>
      <c r="AL4639">
        <v>90.039127576331495</v>
      </c>
      <c r="AM4639">
        <v>86.159956768113801</v>
      </c>
      <c r="AN4639">
        <v>1.0000000260198001</v>
      </c>
    </row>
    <row r="4640" spans="1:40" x14ac:dyDescent="0.25">
      <c r="A4640" t="str">
        <f>"20190312154347916"</f>
        <v>20190312154347916</v>
      </c>
      <c r="B4640" t="str">
        <f>"1552376627911912"</f>
        <v>1552376627911912</v>
      </c>
      <c r="C4640" t="s">
        <v>40</v>
      </c>
      <c r="D4640">
        <v>4.7574519999999998</v>
      </c>
      <c r="E4640">
        <v>0.48469760000000001</v>
      </c>
      <c r="F4640" t="s">
        <v>43</v>
      </c>
      <c r="G4640">
        <v>-267.28730000000002</v>
      </c>
      <c r="H4640" s="1">
        <v>-1.157947E-6</v>
      </c>
      <c r="I4640">
        <v>139.6609</v>
      </c>
      <c r="J4640">
        <v>-228.55690000000001</v>
      </c>
      <c r="K4640">
        <v>1.1095280000000001</v>
      </c>
      <c r="L4640">
        <v>141.17449999999999</v>
      </c>
      <c r="M4640">
        <v>-0.99788549999999998</v>
      </c>
      <c r="N4640">
        <v>0</v>
      </c>
      <c r="O4640">
        <v>-6.4274499999999998E-2</v>
      </c>
      <c r="P4640">
        <v>-0.99994090000000002</v>
      </c>
      <c r="Q4640">
        <v>-1.0568360000000001E-2</v>
      </c>
      <c r="R4640">
        <v>2.5265510000000001E-3</v>
      </c>
      <c r="S4640">
        <v>-2.9995569999999998</v>
      </c>
      <c r="T4640">
        <v>-8.5467699999999994E-2</v>
      </c>
      <c r="U4640">
        <v>-0.1176147</v>
      </c>
      <c r="V4640">
        <v>6.6794359999999997E-2</v>
      </c>
      <c r="W4640">
        <v>-9.7780080000000008E-4</v>
      </c>
      <c r="X4640">
        <v>0.99776629999999999</v>
      </c>
      <c r="Y4640">
        <v>2.5092420000000001E-2</v>
      </c>
      <c r="Z4640">
        <v>2.186164E-3</v>
      </c>
      <c r="AA4640">
        <v>0.99968270000000004</v>
      </c>
      <c r="AB4640">
        <v>21</v>
      </c>
      <c r="AC4640">
        <v>-38.730400000000003</v>
      </c>
      <c r="AD4640">
        <v>-1.1095291579469999</v>
      </c>
      <c r="AE4640">
        <v>-1.5135999999999901</v>
      </c>
      <c r="AF4640">
        <v>0.97822170103411499</v>
      </c>
      <c r="AG4640">
        <v>-1.1095291579469999</v>
      </c>
      <c r="AH4640">
        <v>38.7158735468781</v>
      </c>
      <c r="AI4640">
        <v>91.641023986961002</v>
      </c>
      <c r="AJ4640">
        <v>88.552633655841703</v>
      </c>
      <c r="AK4640">
        <v>38.7441200331942</v>
      </c>
      <c r="AL4640">
        <v>90.056023867074401</v>
      </c>
      <c r="AM4640">
        <v>86.170111865309707</v>
      </c>
      <c r="AN4640">
        <v>1.0000000160189499</v>
      </c>
    </row>
    <row r="4641" spans="1:40" x14ac:dyDescent="0.25">
      <c r="A4641" t="str">
        <f>"20190312154347940"</f>
        <v>20190312154347940</v>
      </c>
      <c r="B4641" t="str">
        <f>"1552376627932407"</f>
        <v>1552376627932407</v>
      </c>
      <c r="C4641" t="s">
        <v>40</v>
      </c>
      <c r="D4641">
        <v>4.7771299999999997</v>
      </c>
      <c r="E4641">
        <v>0.48462440000000001</v>
      </c>
      <c r="F4641" t="s">
        <v>43</v>
      </c>
      <c r="G4641">
        <v>-266.85570000000001</v>
      </c>
      <c r="H4641" s="1">
        <v>-1.3504560000000001E-6</v>
      </c>
      <c r="I4641">
        <v>139.68860000000001</v>
      </c>
      <c r="J4641">
        <v>-228.77979999999999</v>
      </c>
      <c r="K4641">
        <v>1.1094710000000001</v>
      </c>
      <c r="L4641">
        <v>141.16069999999999</v>
      </c>
      <c r="M4641">
        <v>-0.99791929999999995</v>
      </c>
      <c r="N4641">
        <v>0</v>
      </c>
      <c r="O4641">
        <v>-6.3797030000000005E-2</v>
      </c>
      <c r="P4641">
        <v>-0.99993290000000001</v>
      </c>
      <c r="Q4641">
        <v>-1.118443E-2</v>
      </c>
      <c r="R4641">
        <v>3.0388030000000001E-3</v>
      </c>
      <c r="S4641">
        <v>-2.9995729999999998</v>
      </c>
      <c r="T4641">
        <v>-8.6898680000000006E-2</v>
      </c>
      <c r="U4641">
        <v>-0.1163788</v>
      </c>
      <c r="V4641">
        <v>6.6826800000000006E-2</v>
      </c>
      <c r="W4641">
        <v>-1.9310760000000001E-3</v>
      </c>
      <c r="X4641">
        <v>0.9977627</v>
      </c>
      <c r="Y4641">
        <v>2.5024379999999999E-2</v>
      </c>
      <c r="Z4641">
        <v>2.2079790000000001E-3</v>
      </c>
      <c r="AA4641">
        <v>0.99968440000000003</v>
      </c>
      <c r="AB4641">
        <v>22</v>
      </c>
      <c r="AC4641">
        <v>-38.075899999999997</v>
      </c>
      <c r="AD4641">
        <v>-1.10947235045599</v>
      </c>
      <c r="AE4641">
        <v>-1.47209999999998</v>
      </c>
      <c r="AF4641">
        <v>0.95932081000359803</v>
      </c>
      <c r="AG4641">
        <v>-1.10947235045599</v>
      </c>
      <c r="AH4641">
        <v>38.059981767621998</v>
      </c>
      <c r="AI4641">
        <v>91.669205221356293</v>
      </c>
      <c r="AJ4641">
        <v>88.5561370389849</v>
      </c>
      <c r="AK4641">
        <v>38.088232270146797</v>
      </c>
      <c r="AL4641">
        <v>90.110642575931607</v>
      </c>
      <c r="AM4641">
        <v>86.168243560230806</v>
      </c>
      <c r="AN4641">
        <v>0.99999997788202299</v>
      </c>
    </row>
    <row r="4642" spans="1:40" x14ac:dyDescent="0.25">
      <c r="A4642" t="str">
        <f>"20190312154347962"</f>
        <v>20190312154347962</v>
      </c>
      <c r="B4642" t="str">
        <f>"1552376627951927"</f>
        <v>1552376627951927</v>
      </c>
      <c r="C4642" t="s">
        <v>40</v>
      </c>
      <c r="D4642">
        <v>4.612247</v>
      </c>
      <c r="E4642">
        <v>0.44623230000000003</v>
      </c>
      <c r="F4642" t="s">
        <v>43</v>
      </c>
      <c r="G4642">
        <v>-266.46050000000002</v>
      </c>
      <c r="H4642" s="1">
        <v>-1.5259089999999999E-6</v>
      </c>
      <c r="I4642">
        <v>139.71080000000001</v>
      </c>
      <c r="J4642">
        <v>-229.0025</v>
      </c>
      <c r="K4642">
        <v>1.109407</v>
      </c>
      <c r="L4642">
        <v>141.14699999999999</v>
      </c>
      <c r="M4642">
        <v>-0.99795750000000005</v>
      </c>
      <c r="N4642">
        <v>0</v>
      </c>
      <c r="O4642">
        <v>-6.32437E-2</v>
      </c>
      <c r="P4642">
        <v>-0.99992809999999999</v>
      </c>
      <c r="Q4642">
        <v>-1.1545440000000001E-2</v>
      </c>
      <c r="R4642">
        <v>3.2874559999999998E-3</v>
      </c>
      <c r="S4642">
        <v>-2.9995729999999998</v>
      </c>
      <c r="T4642">
        <v>-8.8319659999999994E-2</v>
      </c>
      <c r="U4642">
        <v>-0.11541750000000001</v>
      </c>
      <c r="V4642">
        <v>6.6520289999999996E-2</v>
      </c>
      <c r="W4642">
        <v>-2.6006079999999999E-3</v>
      </c>
      <c r="X4642">
        <v>0.99778169999999999</v>
      </c>
      <c r="Y4642">
        <v>2.4788919999999999E-2</v>
      </c>
      <c r="Z4642">
        <v>2.224368E-3</v>
      </c>
      <c r="AA4642">
        <v>0.99969019999999997</v>
      </c>
      <c r="AB4642">
        <v>22</v>
      </c>
      <c r="AC4642">
        <v>-37.457999999999998</v>
      </c>
      <c r="AD4642">
        <v>-1.1094085259090001</v>
      </c>
      <c r="AE4642">
        <v>-1.4362000000000099</v>
      </c>
      <c r="AF4642">
        <v>0.93493496915776397</v>
      </c>
      <c r="AG4642">
        <v>-1.1094085259090001</v>
      </c>
      <c r="AH4642">
        <v>37.441046818503501</v>
      </c>
      <c r="AI4642">
        <v>91.696695142132597</v>
      </c>
      <c r="AJ4642">
        <v>88.569572631982098</v>
      </c>
      <c r="AK4642">
        <v>37.469145673998</v>
      </c>
      <c r="AL4642">
        <v>90.149004028066201</v>
      </c>
      <c r="AM4642">
        <v>86.1858388404127</v>
      </c>
      <c r="AN4642">
        <v>1.00000001649927</v>
      </c>
    </row>
    <row r="4643" spans="1:40" x14ac:dyDescent="0.25">
      <c r="A4643" t="str">
        <f>"20190312154347985"</f>
        <v>20190312154347985</v>
      </c>
      <c r="B4643" t="str">
        <f>"1552376627982185"</f>
        <v>1552376627982185</v>
      </c>
      <c r="C4643" t="s">
        <v>40</v>
      </c>
      <c r="D4643">
        <v>4.6303519999999896</v>
      </c>
      <c r="E4643">
        <v>0.43345129999999998</v>
      </c>
      <c r="F4643" t="s">
        <v>69</v>
      </c>
      <c r="G4643">
        <v>-312.51229999999998</v>
      </c>
      <c r="H4643">
        <v>3.2590679999999997E-2</v>
      </c>
      <c r="I4643">
        <v>129.4794</v>
      </c>
      <c r="J4643">
        <v>-229.22040000000001</v>
      </c>
      <c r="K4643">
        <v>1.109348</v>
      </c>
      <c r="L4643">
        <v>141.13390000000001</v>
      </c>
      <c r="M4643">
        <v>-0.99799859999999896</v>
      </c>
      <c r="N4643">
        <v>0</v>
      </c>
      <c r="O4643">
        <v>-6.2629279999999996E-2</v>
      </c>
      <c r="P4643">
        <v>-0.99992590000000003</v>
      </c>
      <c r="Q4643">
        <v>-1.168132E-2</v>
      </c>
      <c r="R4643">
        <v>3.4604990000000001E-3</v>
      </c>
      <c r="S4643">
        <v>-3.00116</v>
      </c>
      <c r="T4643">
        <v>-3.8698429999999999E-2</v>
      </c>
      <c r="U4643">
        <v>-0.4193115</v>
      </c>
      <c r="V4643">
        <v>6.6077739999999996E-2</v>
      </c>
      <c r="W4643">
        <v>-3.0198849999999999E-3</v>
      </c>
      <c r="X4643">
        <v>0.99780990000000003</v>
      </c>
      <c r="Y4643">
        <v>-7.6070529999999997E-2</v>
      </c>
      <c r="Z4643">
        <v>3.1434460000000003E-4</v>
      </c>
      <c r="AA4643">
        <v>0.99710240000000006</v>
      </c>
      <c r="AB4643">
        <v>22</v>
      </c>
      <c r="AC4643">
        <v>-83.291899999999899</v>
      </c>
      <c r="AD4643">
        <v>-1.07675732</v>
      </c>
      <c r="AE4643">
        <v>-11.654500000000001</v>
      </c>
      <c r="AF4643">
        <v>-6.4138566025465797</v>
      </c>
      <c r="AG4643">
        <v>-1.07675732</v>
      </c>
      <c r="AH4643">
        <v>83.844571539755194</v>
      </c>
      <c r="AI4643">
        <v>90.733626118501405</v>
      </c>
      <c r="AJ4643">
        <v>94.374434680795503</v>
      </c>
      <c r="AK4643">
        <v>84.096427626441596</v>
      </c>
      <c r="AL4643">
        <v>90.173026929494995</v>
      </c>
      <c r="AM4643">
        <v>86.211246521822304</v>
      </c>
      <c r="AN4643">
        <v>0.99999999198346501</v>
      </c>
    </row>
    <row r="4644" spans="1:40" x14ac:dyDescent="0.25">
      <c r="A4644" t="str">
        <f>"20190312154348018"</f>
        <v>20190312154348018</v>
      </c>
      <c r="B4644" t="str">
        <f>"1552376628012440"</f>
        <v>1552376628012440</v>
      </c>
      <c r="C4644" t="s">
        <v>40</v>
      </c>
      <c r="D4644">
        <v>4.5759119999999998</v>
      </c>
      <c r="E4644">
        <v>0.42948930000000002</v>
      </c>
      <c r="F4644" t="s">
        <v>42</v>
      </c>
      <c r="G4644">
        <v>-351.17700000000002</v>
      </c>
      <c r="H4644">
        <v>-0.05</v>
      </c>
      <c r="I4644">
        <v>119.9884</v>
      </c>
      <c r="J4644">
        <v>-229.54179999999999</v>
      </c>
      <c r="K4644">
        <v>1.1092660000000001</v>
      </c>
      <c r="L4644">
        <v>141.11490000000001</v>
      </c>
      <c r="M4644">
        <v>-0.99806589999999995</v>
      </c>
      <c r="N4644">
        <v>0</v>
      </c>
      <c r="O4644">
        <v>-6.1600050000000003E-2</v>
      </c>
      <c r="P4644">
        <v>-0.99991890000000005</v>
      </c>
      <c r="Q4644">
        <v>-1.1462730000000001E-2</v>
      </c>
      <c r="R4644">
        <v>5.6016640000000001E-3</v>
      </c>
      <c r="S4644">
        <v>-3.0016780000000001</v>
      </c>
      <c r="T4644">
        <v>-2.8534650000000002E-2</v>
      </c>
      <c r="U4644">
        <v>-0.52044679999999999</v>
      </c>
      <c r="V4644">
        <v>6.718462E-2</v>
      </c>
      <c r="W4644">
        <v>-3.1994609999999998E-3</v>
      </c>
      <c r="X4644">
        <v>0.99773540000000005</v>
      </c>
      <c r="Y4644">
        <v>-0.1098132</v>
      </c>
      <c r="Z4644" s="1">
        <v>6.2132659999999999E-5</v>
      </c>
      <c r="AA4644">
        <v>0.99395219999999995</v>
      </c>
      <c r="AB4644">
        <v>22</v>
      </c>
      <c r="AC4644">
        <v>-121.635199999999</v>
      </c>
      <c r="AD4644">
        <v>-1.1592659999999999</v>
      </c>
      <c r="AE4644">
        <v>-21.1265</v>
      </c>
      <c r="AF4644">
        <v>-13.592181409409299</v>
      </c>
      <c r="AG4644">
        <v>-1.1592659999999999</v>
      </c>
      <c r="AH4644">
        <v>122.69480855339501</v>
      </c>
      <c r="AI4644">
        <v>90.538044382131901</v>
      </c>
      <c r="AJ4644">
        <v>96.321474457973693</v>
      </c>
      <c r="AK4644">
        <v>123.450829641114</v>
      </c>
      <c r="AL4644">
        <v>90.183315930442404</v>
      </c>
      <c r="AM4644">
        <v>86.147683178684503</v>
      </c>
      <c r="AN4644">
        <v>0.99999996906419697</v>
      </c>
    </row>
    <row r="4645" spans="1:40" x14ac:dyDescent="0.25">
      <c r="A4645" t="str">
        <f>"20190312154348041"</f>
        <v>20190312154348041</v>
      </c>
      <c r="B4645" t="str">
        <f>"1552376628031960"</f>
        <v>1552376628031960</v>
      </c>
      <c r="C4645" t="s">
        <v>40</v>
      </c>
      <c r="D4645">
        <v>4.5857859999999997</v>
      </c>
      <c r="E4645">
        <v>0.4277765</v>
      </c>
      <c r="F4645" t="s">
        <v>62</v>
      </c>
      <c r="G4645">
        <v>-347.03289999999998</v>
      </c>
      <c r="H4645">
        <v>0.1179689</v>
      </c>
      <c r="I4645">
        <v>119.7688</v>
      </c>
      <c r="J4645">
        <v>-229.77430000000001</v>
      </c>
      <c r="K4645">
        <v>1.109208</v>
      </c>
      <c r="L4645">
        <v>141.10149999999999</v>
      </c>
      <c r="M4645">
        <v>-0.99811799999999995</v>
      </c>
      <c r="N4645">
        <v>0</v>
      </c>
      <c r="O4645">
        <v>-6.0788519999999999E-2</v>
      </c>
      <c r="P4645">
        <v>-0.99991200000000002</v>
      </c>
      <c r="Q4645">
        <v>-1.1328970000000001E-2</v>
      </c>
      <c r="R4645">
        <v>6.9537100000000001E-3</v>
      </c>
      <c r="S4645">
        <v>-3.0030060000000001</v>
      </c>
      <c r="T4645">
        <v>-2.5336620000000001E-2</v>
      </c>
      <c r="U4645">
        <v>-0.54559329999999995</v>
      </c>
      <c r="V4645">
        <v>6.7721980000000001E-2</v>
      </c>
      <c r="W4645">
        <v>-3.33935E-3</v>
      </c>
      <c r="X4645">
        <v>0.99769870000000005</v>
      </c>
      <c r="Y4645">
        <v>-0.1186121</v>
      </c>
      <c r="Z4645" s="1">
        <v>1.1492289999999999E-5</v>
      </c>
      <c r="AA4645">
        <v>0.99294070000000001</v>
      </c>
      <c r="AB4645">
        <v>22</v>
      </c>
      <c r="AC4645">
        <v>-117.25859999999901</v>
      </c>
      <c r="AD4645">
        <v>-0.99123909999999904</v>
      </c>
      <c r="AE4645">
        <v>-21.3326999999999</v>
      </c>
      <c r="AF4645">
        <v>-14.1640572474221</v>
      </c>
      <c r="AG4645">
        <v>-0.99123909999999904</v>
      </c>
      <c r="AH4645">
        <v>118.330376233281</v>
      </c>
      <c r="AI4645">
        <v>90.476546856622207</v>
      </c>
      <c r="AJ4645">
        <v>96.825785698119802</v>
      </c>
      <c r="AK4645">
        <v>119.17919706127999</v>
      </c>
      <c r="AL4645">
        <v>90.1913310060268</v>
      </c>
      <c r="AM4645">
        <v>86.116822838640999</v>
      </c>
      <c r="AN4645">
        <v>1.00000005690761</v>
      </c>
    </row>
    <row r="4646" spans="1:40" x14ac:dyDescent="0.25">
      <c r="A4646" t="str">
        <f>"20190312154348064"</f>
        <v>20190312154348064</v>
      </c>
      <c r="B4646" t="str">
        <f>"1552376628052455"</f>
        <v>1552376628052455</v>
      </c>
      <c r="C4646" t="s">
        <v>40</v>
      </c>
      <c r="D4646">
        <v>4.5471360000000001</v>
      </c>
      <c r="E4646">
        <v>0.42662119999999998</v>
      </c>
      <c r="F4646" t="s">
        <v>62</v>
      </c>
      <c r="G4646">
        <v>-345.36520000000002</v>
      </c>
      <c r="H4646">
        <v>0.1606794</v>
      </c>
      <c r="I4646">
        <v>119.7389</v>
      </c>
      <c r="J4646">
        <v>-229.99860000000001</v>
      </c>
      <c r="K4646">
        <v>1.109159</v>
      </c>
      <c r="L4646">
        <v>141.08869999999999</v>
      </c>
      <c r="M4646">
        <v>-0.99816959999999999</v>
      </c>
      <c r="N4646">
        <v>0</v>
      </c>
      <c r="O4646">
        <v>-5.996754E-2</v>
      </c>
      <c r="P4646">
        <v>-0.99990990000000002</v>
      </c>
      <c r="Q4646">
        <v>-1.0468730000000001E-2</v>
      </c>
      <c r="R4646">
        <v>8.4329980000000006E-3</v>
      </c>
      <c r="S4646">
        <v>-3.0038450000000001</v>
      </c>
      <c r="T4646">
        <v>-2.4648900000000001E-2</v>
      </c>
      <c r="U4646">
        <v>-0.55514529999999995</v>
      </c>
      <c r="V4646">
        <v>6.8378400000000006E-2</v>
      </c>
      <c r="W4646">
        <v>-2.7342299999999998E-3</v>
      </c>
      <c r="X4646">
        <v>0.99765570000000003</v>
      </c>
      <c r="Y4646">
        <v>-0.12243420000000001</v>
      </c>
      <c r="Z4646" s="1">
        <v>-1.104045E-5</v>
      </c>
      <c r="AA4646">
        <v>0.99247660000000004</v>
      </c>
      <c r="AB4646">
        <v>22</v>
      </c>
      <c r="AC4646">
        <v>-115.36660000000001</v>
      </c>
      <c r="AD4646">
        <v>-0.94847959999999998</v>
      </c>
      <c r="AE4646">
        <v>-21.349799999999899</v>
      </c>
      <c r="AF4646">
        <v>-14.3919710193708</v>
      </c>
      <c r="AG4646">
        <v>-0.94847959999999998</v>
      </c>
      <c r="AH4646">
        <v>116.43169016654601</v>
      </c>
      <c r="AI4646">
        <v>90.463209264727496</v>
      </c>
      <c r="AJ4646">
        <v>97.046514293354505</v>
      </c>
      <c r="AK4646">
        <v>117.321638747558</v>
      </c>
      <c r="AL4646">
        <v>90.156660036191894</v>
      </c>
      <c r="AM4646">
        <v>86.079132095231401</v>
      </c>
      <c r="AN4646">
        <v>0.99999998867137097</v>
      </c>
    </row>
    <row r="4647" spans="1:40" x14ac:dyDescent="0.25">
      <c r="A4647" t="str">
        <f>"20190312154348086"</f>
        <v>20190312154348086</v>
      </c>
      <c r="B4647" t="str">
        <f>"1552376628071977"</f>
        <v>1552376628071977</v>
      </c>
      <c r="C4647" t="s">
        <v>40</v>
      </c>
      <c r="D4647">
        <v>4.5535550000000002</v>
      </c>
      <c r="E4647">
        <v>0.42573090000000002</v>
      </c>
      <c r="F4647" t="s">
        <v>62</v>
      </c>
      <c r="G4647">
        <v>-345.36520000000002</v>
      </c>
      <c r="H4647">
        <v>0.25519180000000002</v>
      </c>
      <c r="I4647">
        <v>119.5937</v>
      </c>
      <c r="J4647">
        <v>-230.2176</v>
      </c>
      <c r="K4647">
        <v>1.109111</v>
      </c>
      <c r="L4647">
        <v>141.07640000000001</v>
      </c>
      <c r="M4647">
        <v>-0.99822060000000001</v>
      </c>
      <c r="N4647">
        <v>0</v>
      </c>
      <c r="O4647">
        <v>-5.9143460000000002E-2</v>
      </c>
      <c r="P4647">
        <v>-0.9999036</v>
      </c>
      <c r="Q4647">
        <v>-9.8430710000000001E-3</v>
      </c>
      <c r="R4647">
        <v>9.7903490000000003E-3</v>
      </c>
      <c r="S4647">
        <v>-3.0047609999999998</v>
      </c>
      <c r="T4647">
        <v>-2.2241469999999999E-2</v>
      </c>
      <c r="U4647">
        <v>-0.55984500000000004</v>
      </c>
      <c r="V4647">
        <v>6.8909499999999999E-2</v>
      </c>
      <c r="W4647">
        <v>-2.3600539999999999E-3</v>
      </c>
      <c r="X4647">
        <v>0.99762010000000001</v>
      </c>
      <c r="Y4647">
        <v>-0.1247002</v>
      </c>
      <c r="Z4647" s="1">
        <v>-2.4301809999999999E-5</v>
      </c>
      <c r="AA4647">
        <v>0.99219449999999998</v>
      </c>
      <c r="AB4647">
        <v>22</v>
      </c>
      <c r="AC4647">
        <v>-115.1476</v>
      </c>
      <c r="AD4647">
        <v>-0.85391919999999899</v>
      </c>
      <c r="AE4647">
        <v>-21.482700000000001</v>
      </c>
      <c r="AF4647">
        <v>-14.6338905928885</v>
      </c>
      <c r="AG4647">
        <v>-0.85391919999999899</v>
      </c>
      <c r="AH4647">
        <v>116.210443555705</v>
      </c>
      <c r="AI4647">
        <v>90.417705510551301</v>
      </c>
      <c r="AJ4647">
        <v>97.177237544710295</v>
      </c>
      <c r="AK4647">
        <v>117.13132426169599</v>
      </c>
      <c r="AL4647">
        <v>90.135221262330006</v>
      </c>
      <c r="AM4647">
        <v>86.048633968388202</v>
      </c>
      <c r="AN4647">
        <v>0.99999997648457095</v>
      </c>
    </row>
    <row r="4648" spans="1:40" x14ac:dyDescent="0.25">
      <c r="A4648" t="str">
        <f>"20190312154348107"</f>
        <v>20190312154348107</v>
      </c>
      <c r="B4648" t="str">
        <f>"1552376628102232"</f>
        <v>1552376628102232</v>
      </c>
      <c r="C4648" t="s">
        <v>40</v>
      </c>
      <c r="D4648">
        <v>4.5349300000000001</v>
      </c>
      <c r="E4648">
        <v>0.4246297</v>
      </c>
      <c r="F4648" t="s">
        <v>62</v>
      </c>
      <c r="G4648">
        <v>-345.36520000000002</v>
      </c>
      <c r="H4648">
        <v>0.43091030000000002</v>
      </c>
      <c r="I4648">
        <v>119.51309999999999</v>
      </c>
      <c r="J4648">
        <v>-230.4332</v>
      </c>
      <c r="K4648">
        <v>1.1090719999999901</v>
      </c>
      <c r="L4648">
        <v>141.06450000000001</v>
      </c>
      <c r="M4648">
        <v>-0.99827089999999996</v>
      </c>
      <c r="N4648">
        <v>0</v>
      </c>
      <c r="O4648">
        <v>-5.8321709999999999E-2</v>
      </c>
      <c r="P4648">
        <v>-0.99988429999999995</v>
      </c>
      <c r="Q4648">
        <v>-9.4274119999999996E-3</v>
      </c>
      <c r="R4648">
        <v>1.194424E-2</v>
      </c>
      <c r="S4648">
        <v>-3.0056150000000001</v>
      </c>
      <c r="T4648">
        <v>-1.7702220000000001E-2</v>
      </c>
      <c r="U4648">
        <v>-0.56285099999999999</v>
      </c>
      <c r="V4648">
        <v>7.0237549999999996E-2</v>
      </c>
      <c r="W4648">
        <v>-2.2088170000000001E-3</v>
      </c>
      <c r="X4648">
        <v>0.99752779999999996</v>
      </c>
      <c r="Y4648">
        <v>-0.1264256</v>
      </c>
      <c r="Z4648" s="1">
        <v>-2.9154120000000001E-5</v>
      </c>
      <c r="AA4648">
        <v>0.99197610000000003</v>
      </c>
      <c r="AB4648">
        <v>22</v>
      </c>
      <c r="AC4648">
        <v>-114.932</v>
      </c>
      <c r="AD4648">
        <v>-0.67816169999999898</v>
      </c>
      <c r="AE4648">
        <v>-21.551400000000001</v>
      </c>
      <c r="AF4648">
        <v>-14.8110048981628</v>
      </c>
      <c r="AG4648">
        <v>-0.67816169999999898</v>
      </c>
      <c r="AH4648">
        <v>115.989403997463</v>
      </c>
      <c r="AI4648">
        <v>90.332292531907598</v>
      </c>
      <c r="AJ4648">
        <v>97.276874767582001</v>
      </c>
      <c r="AK4648">
        <v>116.933175827356</v>
      </c>
      <c r="AL4648">
        <v>90.126556000795205</v>
      </c>
      <c r="AM4648">
        <v>85.972358551444501</v>
      </c>
      <c r="AN4648">
        <v>0.99999995203768899</v>
      </c>
    </row>
    <row r="4649" spans="1:40" x14ac:dyDescent="0.25">
      <c r="A4649" t="str">
        <f>"20190312154348129"</f>
        <v>20190312154348129</v>
      </c>
      <c r="B4649" t="str">
        <f>"1552376628121752"</f>
        <v>1552376628121752</v>
      </c>
      <c r="C4649" t="s">
        <v>40</v>
      </c>
      <c r="D4649">
        <v>4.6084120000000004</v>
      </c>
      <c r="E4649">
        <v>0.42403170000000001</v>
      </c>
      <c r="F4649" t="s">
        <v>62</v>
      </c>
      <c r="G4649">
        <v>-345.36520000000002</v>
      </c>
      <c r="H4649">
        <v>0.63846389999999997</v>
      </c>
      <c r="I4649">
        <v>119.4676</v>
      </c>
      <c r="J4649">
        <v>-230.65369999999999</v>
      </c>
      <c r="K4649">
        <v>1.109029</v>
      </c>
      <c r="L4649">
        <v>141.05260000000001</v>
      </c>
      <c r="M4649">
        <v>-0.99832180000000004</v>
      </c>
      <c r="N4649">
        <v>0</v>
      </c>
      <c r="O4649">
        <v>-5.748064E-2</v>
      </c>
      <c r="P4649">
        <v>-0.99986609999999998</v>
      </c>
      <c r="Q4649">
        <v>-8.7517319999999999E-3</v>
      </c>
      <c r="R4649">
        <v>1.382797E-2</v>
      </c>
      <c r="S4649">
        <v>-3.0070039999999998</v>
      </c>
      <c r="T4649">
        <v>-1.231229E-2</v>
      </c>
      <c r="U4649">
        <v>-0.5650482</v>
      </c>
      <c r="V4649">
        <v>7.1276989999999998E-2</v>
      </c>
      <c r="W4649">
        <v>-1.8232789999999999E-3</v>
      </c>
      <c r="X4649">
        <v>0.99745490000000003</v>
      </c>
      <c r="Y4649">
        <v>-0.1278792</v>
      </c>
      <c r="Z4649" s="1">
        <v>-2.6619210000000002E-5</v>
      </c>
      <c r="AA4649">
        <v>0.99178980000000005</v>
      </c>
      <c r="AB4649">
        <v>22</v>
      </c>
      <c r="AC4649">
        <v>-114.7115</v>
      </c>
      <c r="AD4649">
        <v>-0.47056510000000001</v>
      </c>
      <c r="AE4649">
        <v>-21.585000000000001</v>
      </c>
      <c r="AF4649">
        <v>-14.955213159611199</v>
      </c>
      <c r="AG4649">
        <v>-0.47056510000000001</v>
      </c>
      <c r="AH4649">
        <v>115.760698012624</v>
      </c>
      <c r="AI4649">
        <v>90.230985398175207</v>
      </c>
      <c r="AJ4649">
        <v>97.361312242177107</v>
      </c>
      <c r="AK4649">
        <v>116.72368669868401</v>
      </c>
      <c r="AL4649">
        <v>90.104466248871006</v>
      </c>
      <c r="AM4649">
        <v>85.912656628772794</v>
      </c>
      <c r="AN4649">
        <v>1.0000000055918901</v>
      </c>
    </row>
    <row r="4650" spans="1:40" x14ac:dyDescent="0.25">
      <c r="A4650" t="str">
        <f>"20190312154348152"</f>
        <v>20190312154348152</v>
      </c>
      <c r="B4650" t="str">
        <f>"1552376628142248"</f>
        <v>1552376628142248</v>
      </c>
      <c r="C4650" t="s">
        <v>40</v>
      </c>
      <c r="D4650">
        <v>4.5710790000000001</v>
      </c>
      <c r="E4650">
        <v>0.42330010000000001</v>
      </c>
      <c r="F4650" t="s">
        <v>62</v>
      </c>
      <c r="G4650">
        <v>-345.36520000000002</v>
      </c>
      <c r="H4650">
        <v>0.75745150000000006</v>
      </c>
      <c r="I4650">
        <v>119.5406</v>
      </c>
      <c r="J4650">
        <v>-230.88659999999999</v>
      </c>
      <c r="K4650">
        <v>1.1089770000000001</v>
      </c>
      <c r="L4650">
        <v>141.0402</v>
      </c>
      <c r="M4650">
        <v>-0.99837430000000005</v>
      </c>
      <c r="N4650">
        <v>0</v>
      </c>
      <c r="O4650">
        <v>-5.6601029999999997E-2</v>
      </c>
      <c r="P4650">
        <v>-0.99984059999999997</v>
      </c>
      <c r="Q4650">
        <v>-7.8957190000000007E-3</v>
      </c>
      <c r="R4650">
        <v>1.6027070000000001E-2</v>
      </c>
      <c r="S4650">
        <v>-3.0081180000000001</v>
      </c>
      <c r="T4650">
        <v>-9.2191700000000005E-3</v>
      </c>
      <c r="U4650">
        <v>-0.56411739999999999</v>
      </c>
      <c r="V4650">
        <v>7.2593099999999994E-2</v>
      </c>
      <c r="W4650">
        <v>-1.288846E-3</v>
      </c>
      <c r="X4650">
        <v>0.99736080000000005</v>
      </c>
      <c r="Y4650">
        <v>-0.12839030000000001</v>
      </c>
      <c r="Z4650" s="1">
        <v>-2.3363700000000001E-5</v>
      </c>
      <c r="AA4650">
        <v>0.99172369999999999</v>
      </c>
      <c r="AB4650">
        <v>23</v>
      </c>
      <c r="AC4650">
        <v>-114.4786</v>
      </c>
      <c r="AD4650">
        <v>-0.35152549999999999</v>
      </c>
      <c r="AE4650">
        <v>-21.499600000000001</v>
      </c>
      <c r="AF4650">
        <v>-14.985242723467399</v>
      </c>
      <c r="AG4650">
        <v>-0.35152549999999999</v>
      </c>
      <c r="AH4650">
        <v>115.51094329829</v>
      </c>
      <c r="AI4650">
        <v>90.172914282097096</v>
      </c>
      <c r="AJ4650">
        <v>97.391702765568994</v>
      </c>
      <c r="AK4650">
        <v>116.479436345301</v>
      </c>
      <c r="AL4650">
        <v>90.073845457252801</v>
      </c>
      <c r="AM4650">
        <v>85.837056497371506</v>
      </c>
      <c r="AN4650">
        <v>0.99999999233412995</v>
      </c>
    </row>
    <row r="4651" spans="1:40" x14ac:dyDescent="0.25">
      <c r="A4651" t="str">
        <f>"20190312154348173"</f>
        <v>20190312154348173</v>
      </c>
      <c r="B4651" t="str">
        <f>"1552376628161768"</f>
        <v>1552376628161768</v>
      </c>
      <c r="C4651" t="s">
        <v>40</v>
      </c>
      <c r="D4651">
        <v>4.5351889999999999</v>
      </c>
      <c r="E4651">
        <v>0.42273699999999997</v>
      </c>
      <c r="F4651" t="s">
        <v>62</v>
      </c>
      <c r="G4651">
        <v>-345.36520000000002</v>
      </c>
      <c r="H4651">
        <v>0.78863909999999904</v>
      </c>
      <c r="I4651">
        <v>119.6084</v>
      </c>
      <c r="J4651">
        <v>-231.10550000000001</v>
      </c>
      <c r="K4651">
        <v>1.1089310000000001</v>
      </c>
      <c r="L4651">
        <v>141.02860000000001</v>
      </c>
      <c r="M4651">
        <v>-0.99842229999999998</v>
      </c>
      <c r="N4651">
        <v>0</v>
      </c>
      <c r="O4651">
        <v>-5.5783979999999997E-2</v>
      </c>
      <c r="P4651">
        <v>-0.99982179999999998</v>
      </c>
      <c r="Q4651">
        <v>-7.5166769999999898E-3</v>
      </c>
      <c r="R4651">
        <v>1.7323939999999999E-2</v>
      </c>
      <c r="S4651">
        <v>-3.00943</v>
      </c>
      <c r="T4651">
        <v>-8.420706E-3</v>
      </c>
      <c r="U4651">
        <v>-0.56340029999999997</v>
      </c>
      <c r="V4651">
        <v>7.3070650000000001E-2</v>
      </c>
      <c r="W4651">
        <v>-1.207227E-3</v>
      </c>
      <c r="X4651">
        <v>0.99732600000000005</v>
      </c>
      <c r="Y4651">
        <v>-0.12889539999999999</v>
      </c>
      <c r="Z4651" s="1">
        <v>-2.4290039999999999E-5</v>
      </c>
      <c r="AA4651">
        <v>0.99165820000000005</v>
      </c>
      <c r="AB4651">
        <v>23</v>
      </c>
      <c r="AC4651">
        <v>-114.2597</v>
      </c>
      <c r="AD4651">
        <v>-0.32029190000000002</v>
      </c>
      <c r="AE4651">
        <v>-21.420200000000001</v>
      </c>
      <c r="AF4651">
        <v>-15.0127387729737</v>
      </c>
      <c r="AG4651">
        <v>-0.32029190000000002</v>
      </c>
      <c r="AH4651">
        <v>115.27582797446399</v>
      </c>
      <c r="AI4651">
        <v>90.157861838856505</v>
      </c>
      <c r="AJ4651">
        <v>97.420050477783093</v>
      </c>
      <c r="AK4651">
        <v>116.24973732256301</v>
      </c>
      <c r="AL4651">
        <v>90.069169031320499</v>
      </c>
      <c r="AM4651">
        <v>85.809622322685996</v>
      </c>
      <c r="AN4651">
        <v>0.999999963782225</v>
      </c>
    </row>
    <row r="4652" spans="1:40" x14ac:dyDescent="0.25">
      <c r="A4652" t="str">
        <f>"20190312154348195"</f>
        <v>20190312154348195</v>
      </c>
      <c r="B4652" t="str">
        <f>"1552376628192024"</f>
        <v>1552376628192024</v>
      </c>
      <c r="C4652" t="s">
        <v>40</v>
      </c>
      <c r="D4652">
        <v>8.991422</v>
      </c>
      <c r="E4652">
        <v>0.42194870000000001</v>
      </c>
      <c r="F4652" t="s">
        <v>62</v>
      </c>
      <c r="G4652">
        <v>-345.36520000000002</v>
      </c>
      <c r="H4652">
        <v>0.84533860000000005</v>
      </c>
      <c r="I4652">
        <v>119.6241</v>
      </c>
      <c r="J4652">
        <v>-231.3398</v>
      </c>
      <c r="K4652">
        <v>1.108887</v>
      </c>
      <c r="L4652">
        <v>141.01650000000001</v>
      </c>
      <c r="M4652">
        <v>-0.99847209999999997</v>
      </c>
      <c r="N4652">
        <v>0</v>
      </c>
      <c r="O4652">
        <v>-5.4920440000000001E-2</v>
      </c>
      <c r="P4652">
        <v>-0.99980380000000002</v>
      </c>
      <c r="Q4652">
        <v>-7.4649249999999999E-3</v>
      </c>
      <c r="R4652">
        <v>1.835347E-2</v>
      </c>
      <c r="S4652">
        <v>-3.0102690000000001</v>
      </c>
      <c r="T4652">
        <v>-6.9441800000000003E-3</v>
      </c>
      <c r="U4652">
        <v>-0.56391910000000001</v>
      </c>
      <c r="V4652">
        <v>7.3234709999999995E-2</v>
      </c>
      <c r="W4652">
        <v>-1.4682600000000001E-3</v>
      </c>
      <c r="X4652">
        <v>0.99731369999999997</v>
      </c>
      <c r="Y4652">
        <v>-0.12986829999999999</v>
      </c>
      <c r="Z4652" s="1">
        <v>-2.3105500000000001E-5</v>
      </c>
      <c r="AA4652">
        <v>0.9915313</v>
      </c>
      <c r="AB4652">
        <v>23</v>
      </c>
      <c r="AC4652">
        <v>-114.0254</v>
      </c>
      <c r="AD4652">
        <v>-0.26354840000000002</v>
      </c>
      <c r="AE4652">
        <v>-21.392399999999999</v>
      </c>
      <c r="AF4652">
        <v>-15.0975924020496</v>
      </c>
      <c r="AG4652">
        <v>-0.26354840000000002</v>
      </c>
      <c r="AH4652">
        <v>115.027607173837</v>
      </c>
      <c r="AI4652">
        <v>90.130158109171006</v>
      </c>
      <c r="AJ4652">
        <v>97.477437524855702</v>
      </c>
      <c r="AK4652">
        <v>116.014469641662</v>
      </c>
      <c r="AL4652">
        <v>90.084125127468695</v>
      </c>
      <c r="AM4652">
        <v>85.800195999916596</v>
      </c>
      <c r="AN4652">
        <v>1.0000000473719399</v>
      </c>
    </row>
    <row r="4653" spans="1:40" x14ac:dyDescent="0.25">
      <c r="A4653" t="str">
        <f>"20190312154348218"</f>
        <v>20190312154348218</v>
      </c>
      <c r="B4653" t="str">
        <f>"1552376628212520"</f>
        <v>1552376628212520</v>
      </c>
      <c r="C4653" t="s">
        <v>40</v>
      </c>
      <c r="D4653">
        <v>4.5899150000000004</v>
      </c>
      <c r="E4653">
        <v>0.42141299999999998</v>
      </c>
      <c r="F4653" t="s">
        <v>62</v>
      </c>
      <c r="G4653">
        <v>-345.36520000000002</v>
      </c>
      <c r="H4653">
        <v>0.89343309999999998</v>
      </c>
      <c r="I4653">
        <v>119.5423</v>
      </c>
      <c r="J4653">
        <v>-231.5658</v>
      </c>
      <c r="K4653">
        <v>1.1088420000000001</v>
      </c>
      <c r="L4653">
        <v>141.005</v>
      </c>
      <c r="M4653">
        <v>-0.99851889999999999</v>
      </c>
      <c r="N4653">
        <v>0</v>
      </c>
      <c r="O4653">
        <v>-5.4095339999999999E-2</v>
      </c>
      <c r="P4653">
        <v>-0.99980469999999999</v>
      </c>
      <c r="Q4653">
        <v>-6.6424630000000004E-3</v>
      </c>
      <c r="R4653">
        <v>1.8613270000000001E-2</v>
      </c>
      <c r="S4653">
        <v>-3.0109560000000002</v>
      </c>
      <c r="T4653">
        <v>-5.6889059999999997E-3</v>
      </c>
      <c r="U4653">
        <v>-0.56704709999999903</v>
      </c>
      <c r="V4653">
        <v>7.2670559999999995E-2</v>
      </c>
      <c r="W4653">
        <v>-9.4891349999999997E-4</v>
      </c>
      <c r="X4653">
        <v>0.99735549999999995</v>
      </c>
      <c r="Y4653">
        <v>-0.1316416</v>
      </c>
      <c r="Z4653" s="1">
        <v>-2.2124079999999999E-5</v>
      </c>
      <c r="AA4653">
        <v>0.9912974</v>
      </c>
      <c r="AB4653">
        <v>23</v>
      </c>
      <c r="AC4653">
        <v>-113.79940000000001</v>
      </c>
      <c r="AD4653">
        <v>-0.21540889999999999</v>
      </c>
      <c r="AE4653">
        <v>-21.462700000000002</v>
      </c>
      <c r="AF4653">
        <v>-15.2750989019593</v>
      </c>
      <c r="AG4653">
        <v>-0.21540889999999999</v>
      </c>
      <c r="AH4653">
        <v>114.793420907639</v>
      </c>
      <c r="AI4653">
        <v>90.106575527377004</v>
      </c>
      <c r="AJ4653">
        <v>97.579592118347506</v>
      </c>
      <c r="AK4653">
        <v>115.805459850291</v>
      </c>
      <c r="AL4653">
        <v>90.054368749439007</v>
      </c>
      <c r="AM4653">
        <v>85.832608029281801</v>
      </c>
      <c r="AN4653">
        <v>0.99999995205389502</v>
      </c>
    </row>
    <row r="4654" spans="1:40" x14ac:dyDescent="0.25">
      <c r="A4654" t="str">
        <f>"20190312154348242"</f>
        <v>20190312154348242</v>
      </c>
      <c r="B4654" t="str">
        <f>"1552376628232039"</f>
        <v>1552376628232039</v>
      </c>
      <c r="C4654" t="s">
        <v>40</v>
      </c>
      <c r="D4654">
        <v>4.6273939999999998</v>
      </c>
      <c r="E4654">
        <v>0.42078080000000001</v>
      </c>
      <c r="F4654" t="s">
        <v>62</v>
      </c>
      <c r="G4654">
        <v>-345.36520000000002</v>
      </c>
      <c r="H4654">
        <v>0.96173909999999996</v>
      </c>
      <c r="I4654">
        <v>119.4372</v>
      </c>
      <c r="J4654">
        <v>-231.8176</v>
      </c>
      <c r="K4654">
        <v>1.1087880000000001</v>
      </c>
      <c r="L4654">
        <v>140.9923</v>
      </c>
      <c r="M4654">
        <v>-0.99856990000000001</v>
      </c>
      <c r="N4654">
        <v>0</v>
      </c>
      <c r="O4654">
        <v>-5.3182819999999999E-2</v>
      </c>
      <c r="P4654">
        <v>-0.99980869999999999</v>
      </c>
      <c r="Q4654">
        <v>-5.3642239999999999E-3</v>
      </c>
      <c r="R4654">
        <v>1.8811100000000001E-2</v>
      </c>
      <c r="S4654">
        <v>-3.0112000000000001</v>
      </c>
      <c r="T4654">
        <v>-3.8920640000000002E-3</v>
      </c>
      <c r="U4654">
        <v>-0.57069399999999904</v>
      </c>
      <c r="V4654">
        <v>7.195812E-2</v>
      </c>
      <c r="W4654" s="1">
        <v>-1.067924E-5</v>
      </c>
      <c r="X4654">
        <v>0.99740770000000001</v>
      </c>
      <c r="Y4654">
        <v>-0.13369200000000001</v>
      </c>
      <c r="Z4654" s="1">
        <v>-1.7612229999999999E-5</v>
      </c>
      <c r="AA4654">
        <v>0.99102290000000004</v>
      </c>
      <c r="AB4654">
        <v>23</v>
      </c>
      <c r="AC4654">
        <v>-113.5476</v>
      </c>
      <c r="AD4654">
        <v>-0.14704889999999901</v>
      </c>
      <c r="AE4654">
        <v>-21.555099999999999</v>
      </c>
      <c r="AF4654">
        <v>-15.4856977045902</v>
      </c>
      <c r="AG4654">
        <v>-0.14704889999999901</v>
      </c>
      <c r="AH4654">
        <v>114.533094438765</v>
      </c>
      <c r="AI4654">
        <v>90.0728986300401</v>
      </c>
      <c r="AJ4654">
        <v>97.700106006566998</v>
      </c>
      <c r="AK4654">
        <v>115.575335511068</v>
      </c>
      <c r="AL4654">
        <v>90.000611875352504</v>
      </c>
      <c r="AM4654">
        <v>85.873537254465703</v>
      </c>
      <c r="AN4654">
        <v>1.00000004558363</v>
      </c>
    </row>
    <row r="4655" spans="1:40" x14ac:dyDescent="0.25">
      <c r="A4655" t="str">
        <f>"20190312154348266"</f>
        <v>20190312154348266</v>
      </c>
      <c r="B4655" t="str">
        <f>"1552376628252536"</f>
        <v>1552376628252536</v>
      </c>
      <c r="C4655" t="s">
        <v>40</v>
      </c>
      <c r="D4655">
        <v>4.5837629999999896</v>
      </c>
      <c r="E4655">
        <v>0.42016399999999998</v>
      </c>
      <c r="F4655" t="s">
        <v>62</v>
      </c>
      <c r="G4655">
        <v>-345.36520000000002</v>
      </c>
      <c r="H4655">
        <v>1.0837460000000001</v>
      </c>
      <c r="I4655">
        <v>119.3079</v>
      </c>
      <c r="J4655">
        <v>-232.05869999999999</v>
      </c>
      <c r="K4655">
        <v>1.108741</v>
      </c>
      <c r="L4655">
        <v>140.9804</v>
      </c>
      <c r="M4655">
        <v>-0.99861759999999999</v>
      </c>
      <c r="N4655">
        <v>0</v>
      </c>
      <c r="O4655">
        <v>-5.231305E-2</v>
      </c>
      <c r="P4655">
        <v>-0.99980590000000003</v>
      </c>
      <c r="Q4655">
        <v>-4.1294690000000002E-3</v>
      </c>
      <c r="R4655">
        <v>1.9262979999999999E-2</v>
      </c>
      <c r="S4655">
        <v>-3.0113829999999999</v>
      </c>
      <c r="T4655">
        <v>-6.6375729999999995E-4</v>
      </c>
      <c r="U4655">
        <v>-0.5750885</v>
      </c>
      <c r="V4655">
        <v>7.1541359999999998E-2</v>
      </c>
      <c r="W4655">
        <v>8.9818609999999996E-4</v>
      </c>
      <c r="X4655">
        <v>0.99743720000000002</v>
      </c>
      <c r="Y4655">
        <v>-0.1359397</v>
      </c>
      <c r="Z4655" s="1">
        <v>-3.4379749999999999E-6</v>
      </c>
      <c r="AA4655">
        <v>0.99071710000000002</v>
      </c>
      <c r="AB4655">
        <v>23</v>
      </c>
      <c r="AC4655">
        <v>-113.3065</v>
      </c>
      <c r="AD4655">
        <v>-2.49950000000001E-2</v>
      </c>
      <c r="AE4655">
        <v>-21.672499999999999</v>
      </c>
      <c r="AF4655">
        <v>-15.7153367360406</v>
      </c>
      <c r="AG4655">
        <v>-2.49950000000001E-2</v>
      </c>
      <c r="AH4655">
        <v>114.28511337997099</v>
      </c>
      <c r="AI4655">
        <v>90.012414190592395</v>
      </c>
      <c r="AJ4655">
        <v>97.829634306494398</v>
      </c>
      <c r="AK4655">
        <v>115.360563338387</v>
      </c>
      <c r="AL4655">
        <v>89.948537718811806</v>
      </c>
      <c r="AM4655">
        <v>85.897475578488496</v>
      </c>
      <c r="AN4655">
        <v>0.999999970436379</v>
      </c>
    </row>
    <row r="4656" spans="1:40" x14ac:dyDescent="0.25">
      <c r="A4656" t="str">
        <f>"20190312154348286"</f>
        <v>20190312154348286</v>
      </c>
      <c r="B4656" t="str">
        <f>"1552376628281816"</f>
        <v>1552376628281816</v>
      </c>
      <c r="C4656" t="s">
        <v>40</v>
      </c>
      <c r="D4656">
        <v>4.6382490000000001</v>
      </c>
      <c r="E4656">
        <v>0.41939510000000002</v>
      </c>
      <c r="F4656" t="s">
        <v>62</v>
      </c>
      <c r="G4656">
        <v>-345.36520000000002</v>
      </c>
      <c r="H4656">
        <v>1.2171299999999901</v>
      </c>
      <c r="I4656">
        <v>119.20869999999999</v>
      </c>
      <c r="J4656">
        <v>-232.28460000000001</v>
      </c>
      <c r="K4656">
        <v>1.1086879999999999</v>
      </c>
      <c r="L4656">
        <v>140.96950000000001</v>
      </c>
      <c r="M4656">
        <v>-0.99866149999999998</v>
      </c>
      <c r="N4656">
        <v>0</v>
      </c>
      <c r="O4656">
        <v>-5.1499639999999999E-2</v>
      </c>
      <c r="P4656">
        <v>-0.99979260000000003</v>
      </c>
      <c r="Q4656">
        <v>-3.0324309999999999E-3</v>
      </c>
      <c r="R4656">
        <v>2.0151519999999999E-2</v>
      </c>
      <c r="S4656">
        <v>-3.011749</v>
      </c>
      <c r="T4656">
        <v>2.8814079999999998E-3</v>
      </c>
      <c r="U4656">
        <v>-0.57870480000000002</v>
      </c>
      <c r="V4656">
        <v>7.1616849999999996E-2</v>
      </c>
      <c r="W4656">
        <v>1.6897349999999999E-3</v>
      </c>
      <c r="X4656">
        <v>0.99743079999999995</v>
      </c>
      <c r="Y4656">
        <v>-0.13787170000000001</v>
      </c>
      <c r="Z4656" s="1">
        <v>1.660576E-5</v>
      </c>
      <c r="AA4656">
        <v>0.9904501</v>
      </c>
      <c r="AB4656">
        <v>23</v>
      </c>
      <c r="AC4656">
        <v>-113.0806</v>
      </c>
      <c r="AD4656">
        <v>0.108441999999999</v>
      </c>
      <c r="AE4656">
        <v>-21.7608</v>
      </c>
      <c r="AF4656">
        <v>-15.908231780826499</v>
      </c>
      <c r="AG4656">
        <v>0.108441999999999</v>
      </c>
      <c r="AH4656">
        <v>114.051125182104</v>
      </c>
      <c r="AI4656">
        <v>89.946044429342507</v>
      </c>
      <c r="AJ4656">
        <v>97.940574909328703</v>
      </c>
      <c r="AK4656">
        <v>115.155298416373</v>
      </c>
      <c r="AL4656">
        <v>89.9031852713468</v>
      </c>
      <c r="AM4656">
        <v>85.893135163133806</v>
      </c>
      <c r="AN4656">
        <v>1.00000001459846</v>
      </c>
    </row>
    <row r="4657" spans="1:40" x14ac:dyDescent="0.25">
      <c r="A4657" t="str">
        <f>"20190312154348308"</f>
        <v>20190312154348308</v>
      </c>
      <c r="B4657" t="str">
        <f>"1552376628302312"</f>
        <v>1552376628302312</v>
      </c>
      <c r="C4657" t="s">
        <v>40</v>
      </c>
      <c r="D4657">
        <v>4.5977959999999998</v>
      </c>
      <c r="E4657">
        <v>0.4188713</v>
      </c>
      <c r="F4657" t="s">
        <v>62</v>
      </c>
      <c r="G4657">
        <v>-345.36520000000002</v>
      </c>
      <c r="H4657">
        <v>1.33318</v>
      </c>
      <c r="I4657">
        <v>119.1109</v>
      </c>
      <c r="J4657">
        <v>-232.51599999999999</v>
      </c>
      <c r="K4657">
        <v>1.108643</v>
      </c>
      <c r="L4657">
        <v>140.95840000000001</v>
      </c>
      <c r="M4657">
        <v>-0.99870539999999997</v>
      </c>
      <c r="N4657">
        <v>0</v>
      </c>
      <c r="O4657">
        <v>-5.0667660000000003E-2</v>
      </c>
      <c r="P4657">
        <v>-0.99977579999999999</v>
      </c>
      <c r="Q4657">
        <v>-2.1921319999999998E-3</v>
      </c>
      <c r="R4657">
        <v>2.1061659999999999E-2</v>
      </c>
      <c r="S4657">
        <v>-3.0123600000000001</v>
      </c>
      <c r="T4657">
        <v>5.9806109999999899E-3</v>
      </c>
      <c r="U4657">
        <v>-0.58229059999999999</v>
      </c>
      <c r="V4657">
        <v>7.1694439999999998E-2</v>
      </c>
      <c r="W4657">
        <v>2.2199770000000001E-3</v>
      </c>
      <c r="X4657">
        <v>0.99742419999999998</v>
      </c>
      <c r="Y4657">
        <v>-0.13979610000000001</v>
      </c>
      <c r="Z4657" s="1">
        <v>3.7980630000000002E-5</v>
      </c>
      <c r="AA4657">
        <v>0.99018030000000001</v>
      </c>
      <c r="AB4657">
        <v>24</v>
      </c>
      <c r="AC4657">
        <v>-112.8492</v>
      </c>
      <c r="AD4657">
        <v>0.22453699999999999</v>
      </c>
      <c r="AE4657">
        <v>-21.8475</v>
      </c>
      <c r="AF4657">
        <v>-16.101513417959701</v>
      </c>
      <c r="AG4657">
        <v>0.22453699999999999</v>
      </c>
      <c r="AH4657">
        <v>113.810788721411</v>
      </c>
      <c r="AI4657">
        <v>89.888076011998294</v>
      </c>
      <c r="AJ4657">
        <v>98.052545438468499</v>
      </c>
      <c r="AK4657">
        <v>114.944355148927</v>
      </c>
      <c r="AL4657">
        <v>89.872804586354405</v>
      </c>
      <c r="AM4657">
        <v>85.888673905941801</v>
      </c>
      <c r="AN4657">
        <v>1.0000000278852099</v>
      </c>
    </row>
    <row r="4658" spans="1:40" x14ac:dyDescent="0.25">
      <c r="A4658" t="str">
        <f>"20190312154348331"</f>
        <v>20190312154348331</v>
      </c>
      <c r="B4658" t="str">
        <f>"1552376628321832"</f>
        <v>1552376628321832</v>
      </c>
      <c r="C4658" t="s">
        <v>40</v>
      </c>
      <c r="D4658">
        <v>4.5817399999999999</v>
      </c>
      <c r="E4658">
        <v>0.41835909999999898</v>
      </c>
      <c r="F4658" t="s">
        <v>62</v>
      </c>
      <c r="G4658">
        <v>-345.36520000000002</v>
      </c>
      <c r="H4658">
        <v>1.426974</v>
      </c>
      <c r="I4658">
        <v>119.1022</v>
      </c>
      <c r="J4658">
        <v>-232.76830000000001</v>
      </c>
      <c r="K4658">
        <v>1.1085959999999999</v>
      </c>
      <c r="L4658">
        <v>140.94659999999999</v>
      </c>
      <c r="M4658">
        <v>-0.99875250000000004</v>
      </c>
      <c r="N4658">
        <v>0</v>
      </c>
      <c r="O4658">
        <v>-4.9761560000000003E-2</v>
      </c>
      <c r="P4658">
        <v>-0.99974549999999995</v>
      </c>
      <c r="Q4658">
        <v>-1.312314E-3</v>
      </c>
      <c r="R4658">
        <v>2.253024E-2</v>
      </c>
      <c r="S4658">
        <v>-3.0129700000000001</v>
      </c>
      <c r="T4658">
        <v>8.4995030000000003E-3</v>
      </c>
      <c r="U4658">
        <v>-0.58354189999999995</v>
      </c>
      <c r="V4658">
        <v>7.2255539999999993E-2</v>
      </c>
      <c r="W4658">
        <v>2.7702460000000001E-3</v>
      </c>
      <c r="X4658">
        <v>0.99738230000000005</v>
      </c>
      <c r="Y4658">
        <v>-0.14105319999999999</v>
      </c>
      <c r="Z4658" s="1">
        <v>5.8245770000000002E-5</v>
      </c>
      <c r="AA4658">
        <v>0.99000200000000005</v>
      </c>
      <c r="AB4658">
        <v>24</v>
      </c>
      <c r="AC4658">
        <v>-112.59690000000001</v>
      </c>
      <c r="AD4658">
        <v>0.31837799999999999</v>
      </c>
      <c r="AE4658">
        <v>-21.8444</v>
      </c>
      <c r="AF4658">
        <v>-16.214166475395501</v>
      </c>
      <c r="AG4658">
        <v>0.31837799999999999</v>
      </c>
      <c r="AH4658">
        <v>113.543550145833</v>
      </c>
      <c r="AI4658">
        <v>89.840955545589395</v>
      </c>
      <c r="AJ4658">
        <v>98.126966715296504</v>
      </c>
      <c r="AK4658">
        <v>114.695851445299</v>
      </c>
      <c r="AL4658">
        <v>89.841276392152807</v>
      </c>
      <c r="AM4658">
        <v>85.8564357321182</v>
      </c>
      <c r="AN4658">
        <v>0.99999999483844104</v>
      </c>
    </row>
    <row r="4659" spans="1:40" x14ac:dyDescent="0.25">
      <c r="A4659" t="str">
        <f>"20190312154348354"</f>
        <v>20190312154348354</v>
      </c>
      <c r="B4659" t="str">
        <f>"1552376628342328"</f>
        <v>1552376628342328</v>
      </c>
      <c r="C4659" t="s">
        <v>40</v>
      </c>
      <c r="D4659">
        <v>4.6015610000000002</v>
      </c>
      <c r="E4659">
        <v>0.41792750000000001</v>
      </c>
      <c r="F4659" t="s">
        <v>62</v>
      </c>
      <c r="G4659">
        <v>-345.36520000000002</v>
      </c>
      <c r="H4659">
        <v>1.491751</v>
      </c>
      <c r="I4659">
        <v>119.1541</v>
      </c>
      <c r="J4659">
        <v>-233.01130000000001</v>
      </c>
      <c r="K4659">
        <v>1.108549</v>
      </c>
      <c r="L4659">
        <v>140.93539999999999</v>
      </c>
      <c r="M4659">
        <v>-0.99879669999999998</v>
      </c>
      <c r="N4659">
        <v>0</v>
      </c>
      <c r="O4659">
        <v>-4.889081E-2</v>
      </c>
      <c r="P4659">
        <v>-0.99972159999999999</v>
      </c>
      <c r="Q4659">
        <v>-6.2864829999999998E-4</v>
      </c>
      <c r="R4659">
        <v>2.359443E-2</v>
      </c>
      <c r="S4659">
        <v>-3.013916</v>
      </c>
      <c r="T4659">
        <v>1.0256410000000001E-2</v>
      </c>
      <c r="U4659">
        <v>-0.58332819999999996</v>
      </c>
      <c r="V4659">
        <v>7.2448219999999994E-2</v>
      </c>
      <c r="W4659">
        <v>3.1459919999999998E-3</v>
      </c>
      <c r="X4659">
        <v>0.99736720000000001</v>
      </c>
      <c r="Y4659">
        <v>-0.14179050000000001</v>
      </c>
      <c r="Z4659" s="1">
        <v>7.4433660000000003E-5</v>
      </c>
      <c r="AA4659">
        <v>0.98989669999999996</v>
      </c>
      <c r="AB4659">
        <v>24</v>
      </c>
      <c r="AC4659">
        <v>-112.3539</v>
      </c>
      <c r="AD4659">
        <v>0.38320199999999999</v>
      </c>
      <c r="AE4659">
        <v>-21.781299999999899</v>
      </c>
      <c r="AF4659">
        <v>-16.261955737958601</v>
      </c>
      <c r="AG4659">
        <v>0.38320199999999999</v>
      </c>
      <c r="AH4659">
        <v>113.283180516217</v>
      </c>
      <c r="AI4659">
        <v>89.808153415238905</v>
      </c>
      <c r="AJ4659">
        <v>98.169079308055998</v>
      </c>
      <c r="AK4659">
        <v>114.445083057622</v>
      </c>
      <c r="AL4659">
        <v>89.819747636293002</v>
      </c>
      <c r="AM4659">
        <v>85.8453622694595</v>
      </c>
      <c r="AN4659">
        <v>0.99999998674133606</v>
      </c>
    </row>
    <row r="4660" spans="1:40" x14ac:dyDescent="0.25">
      <c r="A4660" t="str">
        <f>"20190312154348376"</f>
        <v>20190312154348376</v>
      </c>
      <c r="B4660" t="str">
        <f>"1552376628372584"</f>
        <v>1552376628372584</v>
      </c>
      <c r="C4660" t="s">
        <v>40</v>
      </c>
      <c r="D4660">
        <v>4.5764269999999998</v>
      </c>
      <c r="E4660">
        <v>0.41727500000000001</v>
      </c>
      <c r="F4660" t="s">
        <v>62</v>
      </c>
      <c r="G4660">
        <v>-345.36520000000002</v>
      </c>
      <c r="H4660">
        <v>1.5192920000000001</v>
      </c>
      <c r="I4660">
        <v>119.18819999999999</v>
      </c>
      <c r="J4660">
        <v>-233.2611</v>
      </c>
      <c r="K4660">
        <v>1.1085</v>
      </c>
      <c r="L4660">
        <v>140.92420000000001</v>
      </c>
      <c r="M4660">
        <v>-0.99884119999999998</v>
      </c>
      <c r="N4660">
        <v>0</v>
      </c>
      <c r="O4660">
        <v>-4.7996879999999999E-2</v>
      </c>
      <c r="P4660">
        <v>-0.99968389999999996</v>
      </c>
      <c r="Q4660">
        <v>-2.298038E-4</v>
      </c>
      <c r="R4660">
        <v>2.5149049999999999E-2</v>
      </c>
      <c r="S4660">
        <v>-3.0146329999999999</v>
      </c>
      <c r="T4660">
        <v>1.102126E-2</v>
      </c>
      <c r="U4660">
        <v>-0.58351140000000001</v>
      </c>
      <c r="V4660">
        <v>7.310672E-2</v>
      </c>
      <c r="W4660">
        <v>3.2408810000000001E-3</v>
      </c>
      <c r="X4660">
        <v>0.99731890000000001</v>
      </c>
      <c r="Y4660">
        <v>-0.1426904</v>
      </c>
      <c r="Z4660" s="1">
        <v>8.4823009999999998E-5</v>
      </c>
      <c r="AA4660">
        <v>0.98976739999999996</v>
      </c>
      <c r="AB4660">
        <v>24</v>
      </c>
      <c r="AC4660">
        <v>-112.1041</v>
      </c>
      <c r="AD4660">
        <v>0.41079199999999999</v>
      </c>
      <c r="AE4660">
        <v>-21.736000000000001</v>
      </c>
      <c r="AF4660">
        <v>-16.330056485330601</v>
      </c>
      <c r="AG4660">
        <v>0.41079199999999999</v>
      </c>
      <c r="AH4660">
        <v>113.016700953499</v>
      </c>
      <c r="AI4660">
        <v>89.793883302431695</v>
      </c>
      <c r="AJ4660">
        <v>98.221901780701501</v>
      </c>
      <c r="AK4660">
        <v>114.191130081517</v>
      </c>
      <c r="AL4660">
        <v>89.814310879546198</v>
      </c>
      <c r="AM4660">
        <v>85.807531452529204</v>
      </c>
      <c r="AN4660">
        <v>1.00000004205801</v>
      </c>
    </row>
    <row r="4661" spans="1:40" x14ac:dyDescent="0.25">
      <c r="A4661" t="str">
        <f>"20190312154348396"</f>
        <v>20190312154348396</v>
      </c>
      <c r="B4661" t="str">
        <f>"1552376628392104"</f>
        <v>1552376628392104</v>
      </c>
      <c r="C4661" t="s">
        <v>40</v>
      </c>
      <c r="D4661">
        <v>4.7534530000000004</v>
      </c>
      <c r="E4661">
        <v>0.4173617</v>
      </c>
      <c r="F4661" t="s">
        <v>62</v>
      </c>
      <c r="G4661">
        <v>-345.36520000000002</v>
      </c>
      <c r="H4661">
        <v>1.5255430000000001</v>
      </c>
      <c r="I4661">
        <v>119.2081</v>
      </c>
      <c r="J4661">
        <v>-233.4871</v>
      </c>
      <c r="K4661">
        <v>1.10846</v>
      </c>
      <c r="L4661">
        <v>140.91409999999999</v>
      </c>
      <c r="M4661">
        <v>-0.9988804</v>
      </c>
      <c r="N4661">
        <v>0</v>
      </c>
      <c r="O4661">
        <v>-4.7189689999999999E-2</v>
      </c>
      <c r="P4661">
        <v>-0.99964770000000003</v>
      </c>
      <c r="Q4661">
        <v>-1.78642599999999E-4</v>
      </c>
      <c r="R4661">
        <v>2.6539549999999999E-2</v>
      </c>
      <c r="S4661">
        <v>-3.015625</v>
      </c>
      <c r="T4661">
        <v>1.121891E-2</v>
      </c>
      <c r="U4661">
        <v>-0.58416749999999995</v>
      </c>
      <c r="V4661">
        <v>7.3687600000000006E-2</v>
      </c>
      <c r="W4661">
        <v>3.0310739999999999E-3</v>
      </c>
      <c r="X4661">
        <v>0.99727679999999996</v>
      </c>
      <c r="Y4661">
        <v>-0.14363699999999999</v>
      </c>
      <c r="Z4661" s="1">
        <v>9.1025459999999995E-5</v>
      </c>
      <c r="AA4661">
        <v>0.98963049999999997</v>
      </c>
      <c r="AB4661">
        <v>24</v>
      </c>
      <c r="AC4661">
        <v>-111.8781</v>
      </c>
      <c r="AD4661">
        <v>0.41708299999999998</v>
      </c>
      <c r="AE4661">
        <v>-21.7059999999999</v>
      </c>
      <c r="AF4661">
        <v>-16.402076283801101</v>
      </c>
      <c r="AG4661">
        <v>0.41708299999999998</v>
      </c>
      <c r="AH4661">
        <v>112.77625494634199</v>
      </c>
      <c r="AI4661">
        <v>89.790308800146406</v>
      </c>
      <c r="AJ4661">
        <v>98.275025834341207</v>
      </c>
      <c r="AK4661">
        <v>113.963528132341</v>
      </c>
      <c r="AL4661">
        <v>89.826331992179107</v>
      </c>
      <c r="AM4661">
        <v>85.774162039955797</v>
      </c>
      <c r="AN4661">
        <v>1.0000000328107901</v>
      </c>
    </row>
    <row r="4662" spans="1:40" x14ac:dyDescent="0.25">
      <c r="A4662" t="str">
        <f>"20190312154348419"</f>
        <v>20190312154348419</v>
      </c>
      <c r="B4662" t="str">
        <f>"1552376628412601"</f>
        <v>1552376628412601</v>
      </c>
      <c r="C4662" t="s">
        <v>40</v>
      </c>
      <c r="D4662">
        <v>4.737152</v>
      </c>
      <c r="E4662">
        <v>0.46324729999999997</v>
      </c>
      <c r="F4662" t="s">
        <v>62</v>
      </c>
      <c r="G4662">
        <v>-345.36520000000002</v>
      </c>
      <c r="H4662">
        <v>1.4785010000000001</v>
      </c>
      <c r="I4662">
        <v>119.4265</v>
      </c>
      <c r="J4662">
        <v>-233.739</v>
      </c>
      <c r="K4662">
        <v>1.1084160000000001</v>
      </c>
      <c r="L4662">
        <v>140.9032</v>
      </c>
      <c r="M4662">
        <v>-0.99892340000000002</v>
      </c>
      <c r="N4662">
        <v>0</v>
      </c>
      <c r="O4662">
        <v>-4.6291690000000003E-2</v>
      </c>
      <c r="P4662">
        <v>-0.99963040000000003</v>
      </c>
      <c r="Q4662">
        <v>-3.8978640000000001E-4</v>
      </c>
      <c r="R4662">
        <v>2.718746E-2</v>
      </c>
      <c r="S4662">
        <v>-3.0164339999999998</v>
      </c>
      <c r="T4662">
        <v>9.9773410000000007E-3</v>
      </c>
      <c r="U4662">
        <v>-0.57934569999999996</v>
      </c>
      <c r="V4662">
        <v>7.3436870000000001E-2</v>
      </c>
      <c r="W4662">
        <v>2.5437490000000001E-3</v>
      </c>
      <c r="X4662">
        <v>0.99729659999999998</v>
      </c>
      <c r="Y4662">
        <v>-0.1429521</v>
      </c>
      <c r="Z4662" s="1">
        <v>8.2753419999999906E-5</v>
      </c>
      <c r="AA4662">
        <v>0.98972959999999999</v>
      </c>
      <c r="AB4662">
        <v>25</v>
      </c>
      <c r="AC4662">
        <v>-111.6262</v>
      </c>
      <c r="AD4662">
        <v>0.370085</v>
      </c>
      <c r="AE4662">
        <v>-21.476699999999902</v>
      </c>
      <c r="AF4662">
        <v>-16.286114382728101</v>
      </c>
      <c r="AG4662">
        <v>0.370085</v>
      </c>
      <c r="AH4662">
        <v>112.49953655986</v>
      </c>
      <c r="AI4662">
        <v>89.813461673174402</v>
      </c>
      <c r="AJ4662">
        <v>98.237258891432404</v>
      </c>
      <c r="AK4662">
        <v>113.672864883304</v>
      </c>
      <c r="AL4662">
        <v>89.854253757548094</v>
      </c>
      <c r="AM4662">
        <v>85.788572398095596</v>
      </c>
      <c r="AN4662">
        <v>0.99999997645296501</v>
      </c>
    </row>
    <row r="4663" spans="1:40" x14ac:dyDescent="0.25">
      <c r="A4663" t="str">
        <f>"20190312154348443"</f>
        <v>20190312154348443</v>
      </c>
      <c r="B4663" t="str">
        <f>"1552376628432120"</f>
        <v>1552376628432120</v>
      </c>
      <c r="C4663" t="s">
        <v>40</v>
      </c>
      <c r="D4663">
        <v>4.7414149999999999</v>
      </c>
      <c r="E4663">
        <v>0.47263860000000002</v>
      </c>
      <c r="F4663" t="s">
        <v>69</v>
      </c>
      <c r="G4663">
        <v>-284.06760000000003</v>
      </c>
      <c r="H4663" s="1">
        <v>-4.549453E-6</v>
      </c>
      <c r="I4663">
        <v>137.31870000000001</v>
      </c>
      <c r="J4663">
        <v>-234.00579999999999</v>
      </c>
      <c r="K4663">
        <v>1.108371</v>
      </c>
      <c r="L4663">
        <v>140.89179999999999</v>
      </c>
      <c r="M4663">
        <v>-0.99896759999999996</v>
      </c>
      <c r="N4663">
        <v>0</v>
      </c>
      <c r="O4663">
        <v>-4.53427E-2</v>
      </c>
      <c r="P4663">
        <v>-0.99959560000000003</v>
      </c>
      <c r="Q4663">
        <v>3.6926569999999999E-4</v>
      </c>
      <c r="R4663">
        <v>2.843408E-2</v>
      </c>
      <c r="S4663">
        <v>-3.0069119999999998</v>
      </c>
      <c r="T4663">
        <v>-6.6223260000000006E-2</v>
      </c>
      <c r="U4663">
        <v>-0.21415709999999999</v>
      </c>
      <c r="V4663">
        <v>7.3733919999999994E-2</v>
      </c>
      <c r="W4663">
        <v>3.0263059999999999E-3</v>
      </c>
      <c r="X4663">
        <v>0.99727339999999998</v>
      </c>
      <c r="Y4663">
        <v>-2.5744989999999999E-2</v>
      </c>
      <c r="Z4663">
        <v>7.1346829999999997E-4</v>
      </c>
      <c r="AA4663">
        <v>0.99966829999999995</v>
      </c>
      <c r="AB4663">
        <v>25</v>
      </c>
      <c r="AC4663">
        <v>-50.061799999999998</v>
      </c>
      <c r="AD4663">
        <v>-1.1083755494529901</v>
      </c>
      <c r="AE4663">
        <v>-3.5730999999999802</v>
      </c>
      <c r="AF4663">
        <v>-1.29884555454304</v>
      </c>
      <c r="AG4663">
        <v>-1.1083755494529901</v>
      </c>
      <c r="AH4663">
        <v>50.147868016586798</v>
      </c>
      <c r="AI4663">
        <v>91.265729259791996</v>
      </c>
      <c r="AJ4663">
        <v>91.483647013372106</v>
      </c>
      <c r="AK4663">
        <v>50.176928590161701</v>
      </c>
      <c r="AL4663">
        <v>89.826605181278794</v>
      </c>
      <c r="AM4663">
        <v>85.771500947686505</v>
      </c>
      <c r="AN4663">
        <v>1.00000004191706</v>
      </c>
    </row>
    <row r="4664" spans="1:40" x14ac:dyDescent="0.25">
      <c r="A4664" t="str">
        <f>"20190312154348465"</f>
        <v>20190312154348465</v>
      </c>
      <c r="B4664" t="str">
        <f>"1552376628452615"</f>
        <v>1552376628452615</v>
      </c>
      <c r="C4664" t="s">
        <v>40</v>
      </c>
      <c r="D4664">
        <v>4.7043819999999998</v>
      </c>
      <c r="E4664">
        <v>0.47690529999999998</v>
      </c>
      <c r="F4664" t="s">
        <v>69</v>
      </c>
      <c r="G4664">
        <v>-281.16340000000002</v>
      </c>
      <c r="H4664" s="1">
        <v>-3.8089359999999998E-6</v>
      </c>
      <c r="I4664">
        <v>138.7612</v>
      </c>
      <c r="J4664">
        <v>-234.2577</v>
      </c>
      <c r="K4664">
        <v>1.108344</v>
      </c>
      <c r="L4664">
        <v>140.88130000000001</v>
      </c>
      <c r="M4664">
        <v>-0.99900849999999997</v>
      </c>
      <c r="N4664">
        <v>0</v>
      </c>
      <c r="O4664">
        <v>-4.4448849999999998E-2</v>
      </c>
      <c r="P4664">
        <v>-0.99955079999999996</v>
      </c>
      <c r="Q4664">
        <v>5.0545859999999996E-4</v>
      </c>
      <c r="R4664">
        <v>2.996739E-2</v>
      </c>
      <c r="S4664">
        <v>-3.0050810000000001</v>
      </c>
      <c r="T4664">
        <v>-7.0630429999999994E-2</v>
      </c>
      <c r="U4664">
        <v>-0.1357727</v>
      </c>
      <c r="V4664">
        <v>7.4371220000000002E-2</v>
      </c>
      <c r="W4664">
        <v>2.9204489999999999E-3</v>
      </c>
      <c r="X4664">
        <v>0.99722639999999996</v>
      </c>
      <c r="Y4664">
        <v>-6.9874289999999903E-4</v>
      </c>
      <c r="Z4664">
        <v>1.035312E-3</v>
      </c>
      <c r="AA4664">
        <v>0.99999919999999998</v>
      </c>
      <c r="AB4664">
        <v>25</v>
      </c>
      <c r="AC4664">
        <v>-46.905700000000003</v>
      </c>
      <c r="AD4664">
        <v>-1.1083478089359999</v>
      </c>
      <c r="AE4664">
        <v>-2.1200999999999999</v>
      </c>
      <c r="AF4664">
        <v>-3.3075172293779799E-2</v>
      </c>
      <c r="AG4664">
        <v>-1.1083478089359999</v>
      </c>
      <c r="AH4664">
        <v>46.927429129937103</v>
      </c>
      <c r="AI4664">
        <v>91.352979122355507</v>
      </c>
      <c r="AJ4664">
        <v>90.040382938090502</v>
      </c>
      <c r="AK4664">
        <v>46.940527623556399</v>
      </c>
      <c r="AL4664">
        <v>89.832670368543404</v>
      </c>
      <c r="AM4664">
        <v>85.734887026990705</v>
      </c>
      <c r="AN4664">
        <v>1.0000000501218</v>
      </c>
    </row>
    <row r="4665" spans="1:40" x14ac:dyDescent="0.25">
      <c r="A4665" t="str">
        <f>"20190312154348486"</f>
        <v>20190312154348486</v>
      </c>
      <c r="B4665" t="str">
        <f>"1552376628472136"</f>
        <v>1552376628472136</v>
      </c>
      <c r="C4665" t="s">
        <v>40</v>
      </c>
      <c r="D4665">
        <v>4.7029430000000003</v>
      </c>
      <c r="E4665">
        <v>0.4791475</v>
      </c>
      <c r="F4665" t="s">
        <v>69</v>
      </c>
      <c r="G4665">
        <v>-284.14210000000003</v>
      </c>
      <c r="H4665" s="1">
        <v>-5.3227199999999996E-6</v>
      </c>
      <c r="I4665">
        <v>139.26939999999999</v>
      </c>
      <c r="J4665">
        <v>-234.50219999999999</v>
      </c>
      <c r="K4665">
        <v>1.1083179999999999</v>
      </c>
      <c r="L4665">
        <v>140.87129999999999</v>
      </c>
      <c r="M4665">
        <v>-0.99904720000000002</v>
      </c>
      <c r="N4665">
        <v>0</v>
      </c>
      <c r="O4665">
        <v>-4.3583299999999998E-2</v>
      </c>
      <c r="P4665">
        <v>-0.99947220000000003</v>
      </c>
      <c r="Q4665">
        <v>1.9891E-4</v>
      </c>
      <c r="R4665">
        <v>3.2488099999999999E-2</v>
      </c>
      <c r="S4665">
        <v>-3.0042719999999998</v>
      </c>
      <c r="T4665">
        <v>-6.6750050000000005E-2</v>
      </c>
      <c r="U4665">
        <v>-9.7076419999999997E-2</v>
      </c>
      <c r="V4665">
        <v>7.6021480000000002E-2</v>
      </c>
      <c r="W4665">
        <v>2.4016520000000002E-3</v>
      </c>
      <c r="X4665">
        <v>0.99710330000000003</v>
      </c>
      <c r="Y4665">
        <v>1.1281920000000001E-2</v>
      </c>
      <c r="Z4665">
        <v>1.0928649999999999E-3</v>
      </c>
      <c r="AA4665">
        <v>0.99993569999999998</v>
      </c>
      <c r="AB4665">
        <v>25</v>
      </c>
      <c r="AC4665">
        <v>-49.639899999999997</v>
      </c>
      <c r="AD4665">
        <v>-1.10832332272</v>
      </c>
      <c r="AE4665">
        <v>-1.6019000000000001</v>
      </c>
      <c r="AF4665">
        <v>0.56281812787729102</v>
      </c>
      <c r="AG4665">
        <v>-1.10832332272</v>
      </c>
      <c r="AH4665">
        <v>49.637828962790003</v>
      </c>
      <c r="AI4665">
        <v>91.279016844313901</v>
      </c>
      <c r="AJ4665">
        <v>89.350380098600795</v>
      </c>
      <c r="AK4665">
        <v>49.653390709718401</v>
      </c>
      <c r="AL4665">
        <v>89.862395345924895</v>
      </c>
      <c r="AM4665">
        <v>85.640071082312502</v>
      </c>
      <c r="AN4665">
        <v>1.0000000121123001</v>
      </c>
    </row>
    <row r="4666" spans="1:40" x14ac:dyDescent="0.25">
      <c r="A4666" t="str">
        <f>"20190312154348509"</f>
        <v>20190312154348509</v>
      </c>
      <c r="B4666" t="str">
        <f>"1552376628502393"</f>
        <v>1552376628502393</v>
      </c>
      <c r="C4666" t="s">
        <v>40</v>
      </c>
      <c r="D4666">
        <v>4.7389049999999999</v>
      </c>
      <c r="E4666">
        <v>0.48084100000000002</v>
      </c>
      <c r="F4666" t="s">
        <v>69</v>
      </c>
      <c r="G4666">
        <v>-284.58629999999999</v>
      </c>
      <c r="H4666" s="1">
        <v>-5.6716239999999999E-6</v>
      </c>
      <c r="I4666">
        <v>139.6789</v>
      </c>
      <c r="J4666">
        <v>-234.75200000000001</v>
      </c>
      <c r="K4666">
        <v>1.1082959999999999</v>
      </c>
      <c r="L4666">
        <v>140.8613</v>
      </c>
      <c r="M4666">
        <v>-0.99908560000000002</v>
      </c>
      <c r="N4666">
        <v>0</v>
      </c>
      <c r="O4666">
        <v>-4.2702150000000001E-2</v>
      </c>
      <c r="P4666">
        <v>-0.99938039999999995</v>
      </c>
      <c r="Q4666">
        <v>4.6402029999999999E-4</v>
      </c>
      <c r="R4666">
        <v>3.5199469999999997E-2</v>
      </c>
      <c r="S4666">
        <v>-3.0039370000000001</v>
      </c>
      <c r="T4666">
        <v>-6.6474909999999998E-2</v>
      </c>
      <c r="U4666">
        <v>-7.1517940000000002E-2</v>
      </c>
      <c r="V4666">
        <v>7.7847150000000004E-2</v>
      </c>
      <c r="W4666">
        <v>2.48176E-3</v>
      </c>
      <c r="X4666">
        <v>0.99696220000000002</v>
      </c>
      <c r="Y4666">
        <v>1.8895470000000001E-2</v>
      </c>
      <c r="Z4666">
        <v>1.1534010000000001E-3</v>
      </c>
      <c r="AA4666">
        <v>0.99982079999999995</v>
      </c>
      <c r="AB4666">
        <v>25</v>
      </c>
      <c r="AC4666">
        <v>-49.834299999999899</v>
      </c>
      <c r="AD4666">
        <v>-1.108301671624</v>
      </c>
      <c r="AE4666">
        <v>-1.1823999999999999</v>
      </c>
      <c r="AF4666">
        <v>0.94624730967116399</v>
      </c>
      <c r="AG4666">
        <v>-1.108301671624</v>
      </c>
      <c r="AH4666">
        <v>49.814709649705001</v>
      </c>
      <c r="AI4666">
        <v>91.274304049232398</v>
      </c>
      <c r="AJ4666">
        <v>88.911778102826204</v>
      </c>
      <c r="AK4666">
        <v>49.836021250204098</v>
      </c>
      <c r="AL4666">
        <v>89.857805477861106</v>
      </c>
      <c r="AM4666">
        <v>85.535155625099307</v>
      </c>
      <c r="AN4666">
        <v>0.99999998306232996</v>
      </c>
    </row>
    <row r="4667" spans="1:40" x14ac:dyDescent="0.25">
      <c r="A4667" t="str">
        <f>"20190312154348531"</f>
        <v>20190312154348531</v>
      </c>
      <c r="B4667" t="str">
        <f>"1552376628521916"</f>
        <v>1552376628521916</v>
      </c>
      <c r="C4667" t="s">
        <v>40</v>
      </c>
      <c r="D4667">
        <v>4.7728820000000001</v>
      </c>
      <c r="E4667">
        <v>0.48147400000000001</v>
      </c>
      <c r="F4667" t="s">
        <v>69</v>
      </c>
      <c r="G4667">
        <v>-286.85750000000002</v>
      </c>
      <c r="H4667" s="1">
        <v>-7.1222439999999997E-6</v>
      </c>
      <c r="I4667">
        <v>139.99780000000001</v>
      </c>
      <c r="J4667">
        <v>-235.02160000000001</v>
      </c>
      <c r="K4667">
        <v>1.108274</v>
      </c>
      <c r="L4667">
        <v>140.85079999999999</v>
      </c>
      <c r="M4667">
        <v>-0.99912599999999996</v>
      </c>
      <c r="N4667">
        <v>0</v>
      </c>
      <c r="O4667">
        <v>-4.1753810000000002E-2</v>
      </c>
      <c r="P4667">
        <v>-0.99927160000000004</v>
      </c>
      <c r="Q4667">
        <v>5.1747260000000004E-4</v>
      </c>
      <c r="R4667">
        <v>3.8158600000000001E-2</v>
      </c>
      <c r="S4667">
        <v>-3.0036619999999998</v>
      </c>
      <c r="T4667">
        <v>-6.3888909999999993E-2</v>
      </c>
      <c r="U4667">
        <v>-4.977417E-2</v>
      </c>
      <c r="V4667">
        <v>7.9852560000000003E-2</v>
      </c>
      <c r="W4667">
        <v>2.3797169999999999E-3</v>
      </c>
      <c r="X4667">
        <v>0.99680380000000002</v>
      </c>
      <c r="Y4667">
        <v>2.5178590000000001E-2</v>
      </c>
      <c r="Z4667">
        <v>1.1554169999999999E-3</v>
      </c>
      <c r="AA4667">
        <v>0.99968230000000002</v>
      </c>
      <c r="AB4667">
        <v>26</v>
      </c>
      <c r="AC4667">
        <v>-51.835900000000002</v>
      </c>
      <c r="AD4667">
        <v>-1.1082811222440001</v>
      </c>
      <c r="AE4667">
        <v>-0.85299999999998</v>
      </c>
      <c r="AF4667">
        <v>1.31149501131429</v>
      </c>
      <c r="AG4667">
        <v>-1.1082811222440001</v>
      </c>
      <c r="AH4667">
        <v>51.802637264216997</v>
      </c>
      <c r="AI4667">
        <v>91.225223603524398</v>
      </c>
      <c r="AJ4667">
        <v>88.549744093914896</v>
      </c>
      <c r="AK4667">
        <v>51.831086557573499</v>
      </c>
      <c r="AL4667">
        <v>89.863652124643593</v>
      </c>
      <c r="AM4667">
        <v>85.419895863986397</v>
      </c>
      <c r="AN4667">
        <v>0.99999995504299499</v>
      </c>
    </row>
    <row r="4668" spans="1:40" x14ac:dyDescent="0.25">
      <c r="A4668" t="str">
        <f>"20190312154348554"</f>
        <v>20190312154348554</v>
      </c>
      <c r="B4668" t="str">
        <f>"1552376628542412"</f>
        <v>1552376628542412</v>
      </c>
      <c r="C4668" t="s">
        <v>40</v>
      </c>
      <c r="D4668">
        <v>4.7390349999999897</v>
      </c>
      <c r="E4668">
        <v>0.4816126</v>
      </c>
      <c r="F4668" t="s">
        <v>69</v>
      </c>
      <c r="G4668">
        <v>-286.64139999999998</v>
      </c>
      <c r="H4668" s="1">
        <v>-7.0645860000000001E-6</v>
      </c>
      <c r="I4668">
        <v>140.2355</v>
      </c>
      <c r="J4668">
        <v>-235.2784</v>
      </c>
      <c r="K4668">
        <v>1.10826</v>
      </c>
      <c r="L4668">
        <v>140.84100000000001</v>
      </c>
      <c r="M4668">
        <v>-0.99916340000000003</v>
      </c>
      <c r="N4668">
        <v>0</v>
      </c>
      <c r="O4668">
        <v>-4.0852800000000002E-2</v>
      </c>
      <c r="P4668">
        <v>-0.99920189999999998</v>
      </c>
      <c r="Q4668">
        <v>3.2620130000000002E-4</v>
      </c>
      <c r="R4668">
        <v>3.9945509999999997E-2</v>
      </c>
      <c r="S4668">
        <v>-3.003571</v>
      </c>
      <c r="T4668">
        <v>-6.4486979999999999E-2</v>
      </c>
      <c r="U4668">
        <v>-3.5797120000000002E-2</v>
      </c>
      <c r="V4668">
        <v>8.0735890000000005E-2</v>
      </c>
      <c r="W4668">
        <v>2.0778799999999998E-3</v>
      </c>
      <c r="X4668">
        <v>0.99673339999999999</v>
      </c>
      <c r="Y4668">
        <v>2.8926509999999999E-2</v>
      </c>
      <c r="Z4668">
        <v>1.187228E-3</v>
      </c>
      <c r="AA4668">
        <v>0.99958089999999999</v>
      </c>
      <c r="AB4668">
        <v>26</v>
      </c>
      <c r="AC4668">
        <v>-51.3629999999999</v>
      </c>
      <c r="AD4668">
        <v>-1.108267064586</v>
      </c>
      <c r="AE4668">
        <v>-0.60550000000000603</v>
      </c>
      <c r="AF4668">
        <v>1.49263674220468</v>
      </c>
      <c r="AG4668">
        <v>-1.108267064586</v>
      </c>
      <c r="AH4668">
        <v>51.320966838710802</v>
      </c>
      <c r="AI4668">
        <v>91.236577057233205</v>
      </c>
      <c r="AJ4668">
        <v>88.334059373712094</v>
      </c>
      <c r="AK4668">
        <v>51.354628395020796</v>
      </c>
      <c r="AL4668">
        <v>89.880946164291899</v>
      </c>
      <c r="AM4668">
        <v>85.369124190631894</v>
      </c>
      <c r="AN4668">
        <v>1.0000000360974699</v>
      </c>
    </row>
    <row r="4669" spans="1:40" x14ac:dyDescent="0.25">
      <c r="A4669" t="str">
        <f>"20190312154348576"</f>
        <v>20190312154348576</v>
      </c>
      <c r="B4669" t="str">
        <f>"1552376628571688"</f>
        <v>1552376628571688</v>
      </c>
      <c r="C4669" t="s">
        <v>40</v>
      </c>
      <c r="D4669">
        <v>4.7665649999999999</v>
      </c>
      <c r="E4669">
        <v>0.48184919999999998</v>
      </c>
      <c r="F4669" t="s">
        <v>69</v>
      </c>
      <c r="G4669">
        <v>-282.85910000000001</v>
      </c>
      <c r="H4669" s="1">
        <v>-5.1299980000000004E-6</v>
      </c>
      <c r="I4669">
        <v>140.37200000000001</v>
      </c>
      <c r="J4669">
        <v>-235.54660000000001</v>
      </c>
      <c r="K4669">
        <v>1.108247</v>
      </c>
      <c r="L4669">
        <v>140.83099999999999</v>
      </c>
      <c r="M4669">
        <v>-0.99920149999999996</v>
      </c>
      <c r="N4669">
        <v>0</v>
      </c>
      <c r="O4669">
        <v>-3.9913900000000002E-2</v>
      </c>
      <c r="P4669">
        <v>-0.99916360000000004</v>
      </c>
      <c r="Q4669">
        <v>-2.9110909999999999E-4</v>
      </c>
      <c r="R4669">
        <v>4.0891730000000001E-2</v>
      </c>
      <c r="S4669">
        <v>-3.0036010000000002</v>
      </c>
      <c r="T4669">
        <v>-6.9960830000000002E-2</v>
      </c>
      <c r="U4669">
        <v>-2.9602050000000001E-2</v>
      </c>
      <c r="V4669">
        <v>8.0742069999999999E-2</v>
      </c>
      <c r="W4669">
        <v>1.391712E-3</v>
      </c>
      <c r="X4669">
        <v>0.99673409999999996</v>
      </c>
      <c r="Y4669">
        <v>3.0045869999999999E-2</v>
      </c>
      <c r="Z4669">
        <v>1.2791720000000001E-3</v>
      </c>
      <c r="AA4669">
        <v>0.99954770000000004</v>
      </c>
      <c r="AB4669">
        <v>26</v>
      </c>
      <c r="AC4669">
        <v>-47.3125</v>
      </c>
      <c r="AD4669">
        <v>-1.1082521299979999</v>
      </c>
      <c r="AE4669">
        <v>-0.45900000000000302</v>
      </c>
      <c r="AF4669">
        <v>1.42901121632912</v>
      </c>
      <c r="AG4669">
        <v>-1.1082521299979999</v>
      </c>
      <c r="AH4669">
        <v>47.267185643859598</v>
      </c>
      <c r="AI4669">
        <v>91.342528724470696</v>
      </c>
      <c r="AJ4669">
        <v>88.268325502676007</v>
      </c>
      <c r="AK4669">
        <v>47.301766716805901</v>
      </c>
      <c r="AL4669">
        <v>89.920260753743804</v>
      </c>
      <c r="AM4669">
        <v>85.368774496390003</v>
      </c>
      <c r="AN4669">
        <v>1.0000000424164901</v>
      </c>
    </row>
    <row r="4670" spans="1:40" x14ac:dyDescent="0.25">
      <c r="A4670" t="str">
        <f>"20190312154348598"</f>
        <v>20190312154348598</v>
      </c>
      <c r="B4670" t="str">
        <f>"1552376628592185"</f>
        <v>1552376628592185</v>
      </c>
      <c r="C4670" t="s">
        <v>40</v>
      </c>
      <c r="D4670">
        <v>4.812703</v>
      </c>
      <c r="E4670">
        <v>0.48165829999999998</v>
      </c>
      <c r="F4670" t="s">
        <v>69</v>
      </c>
      <c r="G4670">
        <v>-280.64789999999999</v>
      </c>
      <c r="H4670" s="1">
        <v>-4.1768420000000003E-6</v>
      </c>
      <c r="I4670">
        <v>140.45679999999999</v>
      </c>
      <c r="J4670">
        <v>-235.79949999999999</v>
      </c>
      <c r="K4670">
        <v>1.1082419999999999</v>
      </c>
      <c r="L4670">
        <v>140.8218</v>
      </c>
      <c r="M4670">
        <v>-0.99923649999999997</v>
      </c>
      <c r="N4670">
        <v>0</v>
      </c>
      <c r="O4670">
        <v>-3.9029599999999998E-2</v>
      </c>
      <c r="P4670">
        <v>-0.9991584</v>
      </c>
      <c r="Q4670">
        <v>-1.0275670000000001E-3</v>
      </c>
      <c r="R4670">
        <v>4.1009280000000002E-2</v>
      </c>
      <c r="S4670">
        <v>-3.0034939999999999</v>
      </c>
      <c r="T4670">
        <v>-7.3803309999999997E-2</v>
      </c>
      <c r="U4670">
        <v>-2.4917600000000002E-2</v>
      </c>
      <c r="V4670">
        <v>7.9976080000000005E-2</v>
      </c>
      <c r="W4670">
        <v>6.4021759999999999E-4</v>
      </c>
      <c r="X4670">
        <v>0.99679649999999997</v>
      </c>
      <c r="Y4670">
        <v>3.0717669999999999E-2</v>
      </c>
      <c r="Z4670">
        <v>1.336014E-3</v>
      </c>
      <c r="AA4670">
        <v>0.99952719999999995</v>
      </c>
      <c r="AB4670">
        <v>26</v>
      </c>
      <c r="AC4670">
        <v>-44.848399999999998</v>
      </c>
      <c r="AD4670">
        <v>-1.108246176842</v>
      </c>
      <c r="AE4670">
        <v>-0.36500000000000898</v>
      </c>
      <c r="AF4670">
        <v>1.3848503670652601</v>
      </c>
      <c r="AG4670">
        <v>-1.108246176842</v>
      </c>
      <c r="AH4670">
        <v>44.801118577684797</v>
      </c>
      <c r="AI4670">
        <v>91.416361641137499</v>
      </c>
      <c r="AJ4670">
        <v>88.229490094958294</v>
      </c>
      <c r="AK4670">
        <v>44.836215785226798</v>
      </c>
      <c r="AL4670">
        <v>89.963318228213396</v>
      </c>
      <c r="AM4670">
        <v>85.412807887893507</v>
      </c>
      <c r="AN4670">
        <v>0.99999992283149197</v>
      </c>
    </row>
    <row r="4671" spans="1:40" x14ac:dyDescent="0.25">
      <c r="A4671" t="str">
        <f>"20190312154348621"</f>
        <v>20190312154348621</v>
      </c>
      <c r="B4671" t="str">
        <f>"1552376628612680"</f>
        <v>1552376628612680</v>
      </c>
      <c r="C4671" t="s">
        <v>40</v>
      </c>
      <c r="D4671">
        <v>4.8459009999999996</v>
      </c>
      <c r="E4671">
        <v>0.48156359999999898</v>
      </c>
      <c r="F4671" t="s">
        <v>43</v>
      </c>
      <c r="G4671">
        <v>-277.7088</v>
      </c>
      <c r="H4671" s="1">
        <v>-1.1881779999999999E-6</v>
      </c>
      <c r="I4671">
        <v>140.45400000000001</v>
      </c>
      <c r="J4671">
        <v>-236.0771</v>
      </c>
      <c r="K4671">
        <v>1.1082449999999999</v>
      </c>
      <c r="L4671">
        <v>140.81190000000001</v>
      </c>
      <c r="M4671">
        <v>-0.999274</v>
      </c>
      <c r="N4671">
        <v>0</v>
      </c>
      <c r="O4671">
        <v>-3.8059120000000002E-2</v>
      </c>
      <c r="P4671">
        <v>-0.9991717</v>
      </c>
      <c r="Q4671">
        <v>-1.067976E-3</v>
      </c>
      <c r="R4671">
        <v>4.0682790000000003E-2</v>
      </c>
      <c r="S4671">
        <v>-3.0035099999999999</v>
      </c>
      <c r="T4671">
        <v>-7.9424380000000003E-2</v>
      </c>
      <c r="U4671">
        <v>-2.6351929999999999E-2</v>
      </c>
      <c r="V4671">
        <v>7.8682059999999998E-2</v>
      </c>
      <c r="W4671">
        <v>6.4164810000000001E-4</v>
      </c>
      <c r="X4671">
        <v>0.99689950000000005</v>
      </c>
      <c r="Y4671">
        <v>2.9267169999999999E-2</v>
      </c>
      <c r="Z4671">
        <v>1.3929050000000001E-3</v>
      </c>
      <c r="AA4671">
        <v>0.99957070000000003</v>
      </c>
      <c r="AB4671">
        <v>26</v>
      </c>
      <c r="AC4671">
        <v>-41.631700000000002</v>
      </c>
      <c r="AD4671">
        <v>-1.1082461881779999</v>
      </c>
      <c r="AE4671">
        <v>-0.3579</v>
      </c>
      <c r="AF4671">
        <v>1.2259588308724301</v>
      </c>
      <c r="AG4671">
        <v>-1.1082461881779999</v>
      </c>
      <c r="AH4671">
        <v>41.585691667049403</v>
      </c>
      <c r="AI4671">
        <v>91.525891378386802</v>
      </c>
      <c r="AJ4671">
        <v>88.311392073957805</v>
      </c>
      <c r="AK4671">
        <v>41.6185167455005</v>
      </c>
      <c r="AL4671">
        <v>89.963236267417997</v>
      </c>
      <c r="AM4671">
        <v>85.487184296252806</v>
      </c>
      <c r="AN4671">
        <v>0.99999994568918704</v>
      </c>
    </row>
    <row r="4672" spans="1:40" x14ac:dyDescent="0.25">
      <c r="A4672" t="str">
        <f>"20190312154348643"</f>
        <v>20190312154348643</v>
      </c>
      <c r="B4672" t="str">
        <f>"1552376628632204"</f>
        <v>1552376628632204</v>
      </c>
      <c r="C4672" t="s">
        <v>40</v>
      </c>
      <c r="D4672">
        <v>4.8648379999999998</v>
      </c>
      <c r="E4672">
        <v>0.4814561</v>
      </c>
      <c r="F4672" t="s">
        <v>43</v>
      </c>
      <c r="G4672">
        <v>-276.75360000000001</v>
      </c>
      <c r="H4672" s="1">
        <v>-1.5915050000000001E-6</v>
      </c>
      <c r="I4672">
        <v>140.4298</v>
      </c>
      <c r="J4672">
        <v>-236.3527</v>
      </c>
      <c r="K4672">
        <v>1.108257</v>
      </c>
      <c r="L4672">
        <v>140.80240000000001</v>
      </c>
      <c r="M4672">
        <v>-0.99930989999999997</v>
      </c>
      <c r="N4672">
        <v>0</v>
      </c>
      <c r="O4672">
        <v>-3.7094490000000001E-2</v>
      </c>
      <c r="P4672">
        <v>-0.99915639999999994</v>
      </c>
      <c r="Q4672">
        <v>-1.1901839999999999E-3</v>
      </c>
      <c r="R4672">
        <v>4.1049830000000002E-2</v>
      </c>
      <c r="S4672">
        <v>-3.003555</v>
      </c>
      <c r="T4672">
        <v>-8.1833119999999995E-2</v>
      </c>
      <c r="U4672">
        <v>-2.8213499999999999E-2</v>
      </c>
      <c r="V4672">
        <v>7.8086119999999995E-2</v>
      </c>
      <c r="W4672">
        <v>6.2019019999999905E-4</v>
      </c>
      <c r="X4672">
        <v>0.99694649999999996</v>
      </c>
      <c r="Y4672">
        <v>2.7682399999999999E-2</v>
      </c>
      <c r="Z4672">
        <v>1.38726E-3</v>
      </c>
      <c r="AA4672">
        <v>0.99961580000000005</v>
      </c>
      <c r="AB4672">
        <v>27</v>
      </c>
      <c r="AC4672">
        <v>-40.4009</v>
      </c>
      <c r="AD4672">
        <v>-1.1082585915050001</v>
      </c>
      <c r="AE4672">
        <v>-0.37260000000000498</v>
      </c>
      <c r="AF4672">
        <v>1.12546318209483</v>
      </c>
      <c r="AG4672">
        <v>-1.1082585915050001</v>
      </c>
      <c r="AH4672">
        <v>40.356550641431397</v>
      </c>
      <c r="AI4672">
        <v>91.572431837529095</v>
      </c>
      <c r="AJ4672">
        <v>88.402549777832206</v>
      </c>
      <c r="AK4672">
        <v>40.387449587146698</v>
      </c>
      <c r="AL4672">
        <v>89.964465719442998</v>
      </c>
      <c r="AM4672">
        <v>85.521435175004697</v>
      </c>
      <c r="AN4672">
        <v>1.0000000753173901</v>
      </c>
    </row>
    <row r="4673" spans="1:40" x14ac:dyDescent="0.25">
      <c r="A4673" t="str">
        <f>"20190312154348667"</f>
        <v>20190312154348667</v>
      </c>
      <c r="B4673" t="str">
        <f>"1552376628652696"</f>
        <v>1552376628652696</v>
      </c>
      <c r="C4673" t="s">
        <v>40</v>
      </c>
      <c r="D4673">
        <v>4.8021229999999999</v>
      </c>
      <c r="E4673">
        <v>0.48146070000000002</v>
      </c>
      <c r="F4673" t="s">
        <v>43</v>
      </c>
      <c r="G4673">
        <v>-275.9119</v>
      </c>
      <c r="H4673" s="1">
        <v>-1.9535079999999998E-6</v>
      </c>
      <c r="I4673">
        <v>140.4332</v>
      </c>
      <c r="J4673">
        <v>-236.62880000000001</v>
      </c>
      <c r="K4673">
        <v>1.108274</v>
      </c>
      <c r="L4673">
        <v>140.79320000000001</v>
      </c>
      <c r="M4673">
        <v>-0.99934489999999998</v>
      </c>
      <c r="N4673">
        <v>0</v>
      </c>
      <c r="O4673">
        <v>-3.6126640000000002E-2</v>
      </c>
      <c r="P4673">
        <v>-0.99914729999999996</v>
      </c>
      <c r="Q4673">
        <v>-1.775375E-3</v>
      </c>
      <c r="R4673">
        <v>4.1252030000000002E-2</v>
      </c>
      <c r="S4673">
        <v>-3.003555</v>
      </c>
      <c r="T4673">
        <v>-8.4145429999999993E-2</v>
      </c>
      <c r="U4673">
        <v>-2.80304E-2</v>
      </c>
      <c r="V4673">
        <v>7.7321639999999997E-2</v>
      </c>
      <c r="W4673">
        <v>1.919906E-4</v>
      </c>
      <c r="X4673">
        <v>0.99700619999999995</v>
      </c>
      <c r="Y4673">
        <v>2.6774570000000001E-2</v>
      </c>
      <c r="Z4673">
        <v>1.3866379999999999E-3</v>
      </c>
      <c r="AA4673">
        <v>0.99964050000000004</v>
      </c>
      <c r="AB4673">
        <v>27</v>
      </c>
      <c r="AC4673">
        <v>-39.283099999999898</v>
      </c>
      <c r="AD4673">
        <v>-1.108275953508</v>
      </c>
      <c r="AE4673">
        <v>-0.36000000000001298</v>
      </c>
      <c r="AF4673">
        <v>1.05856221488646</v>
      </c>
      <c r="AG4673">
        <v>-1.108275953508</v>
      </c>
      <c r="AH4673">
        <v>39.239232536348098</v>
      </c>
      <c r="AI4673">
        <v>91.617248303123603</v>
      </c>
      <c r="AJ4673">
        <v>88.454698614476996</v>
      </c>
      <c r="AK4673">
        <v>39.269150736850797</v>
      </c>
      <c r="AL4673">
        <v>89.988999749042605</v>
      </c>
      <c r="AM4673">
        <v>85.565370012291794</v>
      </c>
      <c r="AN4673">
        <v>1.0000000178555599</v>
      </c>
    </row>
    <row r="4674" spans="1:40" x14ac:dyDescent="0.25">
      <c r="A4674" t="str">
        <f>"20190312154348688"</f>
        <v>20190312154348688</v>
      </c>
      <c r="B4674" t="str">
        <f>"1552376628672216"</f>
        <v>1552376628672216</v>
      </c>
      <c r="C4674" t="s">
        <v>40</v>
      </c>
      <c r="D4674">
        <v>4.84809</v>
      </c>
      <c r="E4674">
        <v>0.48158269999999997</v>
      </c>
      <c r="F4674" t="s">
        <v>43</v>
      </c>
      <c r="G4674">
        <v>-274.61840000000001</v>
      </c>
      <c r="H4674" s="1">
        <v>-2.5117699999999998E-6</v>
      </c>
      <c r="I4674">
        <v>140.44589999999999</v>
      </c>
      <c r="J4674">
        <v>-236.88679999999999</v>
      </c>
      <c r="K4674">
        <v>1.1082939999999999</v>
      </c>
      <c r="L4674">
        <v>140.78479999999999</v>
      </c>
      <c r="M4674">
        <v>-0.99937690000000001</v>
      </c>
      <c r="N4674">
        <v>0</v>
      </c>
      <c r="O4674">
        <v>-3.5219729999999998E-2</v>
      </c>
      <c r="P4674">
        <v>-0.999112</v>
      </c>
      <c r="Q4674">
        <v>-2.2790079999999999E-3</v>
      </c>
      <c r="R4674">
        <v>4.2071070000000002E-2</v>
      </c>
      <c r="S4674">
        <v>-3.0035400000000001</v>
      </c>
      <c r="T4674">
        <v>-8.7622759999999994E-2</v>
      </c>
      <c r="U4674">
        <v>-2.7450559999999999E-2</v>
      </c>
      <c r="V4674">
        <v>7.7233430000000006E-2</v>
      </c>
      <c r="W4674">
        <v>-1.2751059999999999E-4</v>
      </c>
      <c r="X4674">
        <v>0.99701300000000004</v>
      </c>
      <c r="Y4674">
        <v>2.6058939999999999E-2</v>
      </c>
      <c r="Z4674">
        <v>1.4070549999999999E-3</v>
      </c>
      <c r="AA4674">
        <v>0.99965939999999998</v>
      </c>
      <c r="AB4674">
        <v>27</v>
      </c>
      <c r="AC4674">
        <v>-37.7316</v>
      </c>
      <c r="AD4674">
        <v>-1.1082965117700001</v>
      </c>
      <c r="AE4674">
        <v>-0.33889999999999498</v>
      </c>
      <c r="AF4674">
        <v>0.98935706647598298</v>
      </c>
      <c r="AG4674">
        <v>-1.1082965117700001</v>
      </c>
      <c r="AH4674">
        <v>37.6876133160861</v>
      </c>
      <c r="AI4674">
        <v>91.683857402146899</v>
      </c>
      <c r="AJ4674">
        <v>88.496244172358203</v>
      </c>
      <c r="AK4674">
        <v>37.716884097520797</v>
      </c>
      <c r="AL4674">
        <v>90.007305819457997</v>
      </c>
      <c r="AM4674">
        <v>85.570439067740296</v>
      </c>
      <c r="AN4674">
        <v>0.999999970568758</v>
      </c>
    </row>
    <row r="4675" spans="1:40" x14ac:dyDescent="0.25">
      <c r="A4675" t="str">
        <f>"20190312154348711"</f>
        <v>20190312154348711</v>
      </c>
      <c r="B4675" t="str">
        <f>"1552376628702473"</f>
        <v>1552376628702473</v>
      </c>
      <c r="C4675" t="s">
        <v>40</v>
      </c>
      <c r="D4675">
        <v>4.8542100000000001</v>
      </c>
      <c r="E4675">
        <v>0.48165540000000001</v>
      </c>
      <c r="F4675" t="s">
        <v>43</v>
      </c>
      <c r="G4675">
        <v>-274.32650000000001</v>
      </c>
      <c r="H4675" s="1">
        <v>-2.6476580000000002E-6</v>
      </c>
      <c r="I4675">
        <v>140.48589999999999</v>
      </c>
      <c r="J4675">
        <v>-237.1636</v>
      </c>
      <c r="K4675">
        <v>1.1083160000000001</v>
      </c>
      <c r="L4675">
        <v>140.77610000000001</v>
      </c>
      <c r="M4675">
        <v>-0.99941029999999997</v>
      </c>
      <c r="N4675">
        <v>0</v>
      </c>
      <c r="O4675">
        <v>-3.424323E-2</v>
      </c>
      <c r="P4675">
        <v>-0.99907080000000004</v>
      </c>
      <c r="Q4675">
        <v>-2.6414099999999999E-3</v>
      </c>
      <c r="R4675">
        <v>4.3018559999999997E-2</v>
      </c>
      <c r="S4675">
        <v>-3.003479</v>
      </c>
      <c r="T4675">
        <v>-8.8909630000000003E-2</v>
      </c>
      <c r="U4675">
        <v>-2.3971559999999999E-2</v>
      </c>
      <c r="V4675">
        <v>7.7204510000000004E-2</v>
      </c>
      <c r="W4675">
        <v>-2.6809920000000001E-4</v>
      </c>
      <c r="X4675">
        <v>0.99701519999999999</v>
      </c>
      <c r="Y4675">
        <v>2.6239439999999999E-2</v>
      </c>
      <c r="Z4675">
        <v>1.401539E-3</v>
      </c>
      <c r="AA4675">
        <v>0.99965470000000001</v>
      </c>
      <c r="AB4675">
        <v>27</v>
      </c>
      <c r="AC4675">
        <v>-37.1629</v>
      </c>
      <c r="AD4675">
        <v>-1.108318647658</v>
      </c>
      <c r="AE4675">
        <v>-0.29020000000002699</v>
      </c>
      <c r="AF4675">
        <v>0.98167895545514505</v>
      </c>
      <c r="AG4675">
        <v>-1.108318647658</v>
      </c>
      <c r="AH4675">
        <v>37.118030550962203</v>
      </c>
      <c r="AI4675">
        <v>91.709706582776107</v>
      </c>
      <c r="AJ4675">
        <v>88.485023275587807</v>
      </c>
      <c r="AK4675">
        <v>37.147547103119599</v>
      </c>
      <c r="AL4675">
        <v>90.015360953470207</v>
      </c>
      <c r="AM4675">
        <v>85.572100847763096</v>
      </c>
      <c r="AN4675">
        <v>0.999999958636279</v>
      </c>
    </row>
    <row r="4676" spans="1:40" x14ac:dyDescent="0.25">
      <c r="A4676" t="str">
        <f>"20190312154348733"</f>
        <v>20190312154348733</v>
      </c>
      <c r="B4676" t="str">
        <f>"1552376628721992"</f>
        <v>1552376628721992</v>
      </c>
      <c r="C4676" t="s">
        <v>40</v>
      </c>
      <c r="D4676">
        <v>4.86768</v>
      </c>
      <c r="E4676">
        <v>0.4816993</v>
      </c>
      <c r="F4676" t="s">
        <v>43</v>
      </c>
      <c r="G4676">
        <v>-274.1157</v>
      </c>
      <c r="H4676" s="1">
        <v>-2.7484689999999998E-6</v>
      </c>
      <c r="I4676">
        <v>140.52500000000001</v>
      </c>
      <c r="J4676">
        <v>-237.4418</v>
      </c>
      <c r="K4676">
        <v>1.1083419999999999</v>
      </c>
      <c r="L4676">
        <v>140.76759999999999</v>
      </c>
      <c r="M4676">
        <v>-0.99944299999999997</v>
      </c>
      <c r="N4676">
        <v>0</v>
      </c>
      <c r="O4676">
        <v>-3.3259730000000001E-2</v>
      </c>
      <c r="P4676">
        <v>-0.99902990000000003</v>
      </c>
      <c r="Q4676">
        <v>-2.5907080000000002E-3</v>
      </c>
      <c r="R4676">
        <v>4.3962630000000003E-2</v>
      </c>
      <c r="S4676">
        <v>-3.0034179999999999</v>
      </c>
      <c r="T4676">
        <v>-9.008265E-2</v>
      </c>
      <c r="U4676">
        <v>-2.0400999999999999E-2</v>
      </c>
      <c r="V4676">
        <v>7.7166070000000003E-2</v>
      </c>
      <c r="W4676" s="1">
        <v>2.1506219999999999E-5</v>
      </c>
      <c r="X4676">
        <v>0.99701830000000002</v>
      </c>
      <c r="Y4676">
        <v>2.644357E-2</v>
      </c>
      <c r="Z4676">
        <v>1.3936459999999999E-3</v>
      </c>
      <c r="AA4676">
        <v>0.99964929999999996</v>
      </c>
      <c r="AB4676">
        <v>27</v>
      </c>
      <c r="AC4676">
        <v>-36.673900000000003</v>
      </c>
      <c r="AD4676">
        <v>-1.1083447484690001</v>
      </c>
      <c r="AE4676">
        <v>-0.242599999999981</v>
      </c>
      <c r="AF4676">
        <v>0.97641103289737896</v>
      </c>
      <c r="AG4676">
        <v>-1.1083447484690001</v>
      </c>
      <c r="AH4676">
        <v>36.628225769232998</v>
      </c>
      <c r="AI4676">
        <v>91.732586639281195</v>
      </c>
      <c r="AJ4676">
        <v>88.473008611580696</v>
      </c>
      <c r="AK4676">
        <v>36.657996802724</v>
      </c>
      <c r="AL4676">
        <v>89.998767784418106</v>
      </c>
      <c r="AM4676">
        <v>85.574310436551301</v>
      </c>
      <c r="AN4676">
        <v>1.0000000466783201</v>
      </c>
    </row>
    <row r="4677" spans="1:40" x14ac:dyDescent="0.25">
      <c r="A4677" t="str">
        <f>"20190312154348755"</f>
        <v>20190312154348755</v>
      </c>
      <c r="B4677" t="str">
        <f>"1552376628742488"</f>
        <v>1552376628742488</v>
      </c>
      <c r="C4677" t="s">
        <v>40</v>
      </c>
      <c r="D4677">
        <v>4.9005359999999998</v>
      </c>
      <c r="E4677">
        <v>0.49394709999999997</v>
      </c>
      <c r="F4677" t="s">
        <v>43</v>
      </c>
      <c r="G4677">
        <v>-274.37700000000001</v>
      </c>
      <c r="H4677" s="1">
        <v>-2.644621E-6</v>
      </c>
      <c r="I4677">
        <v>140.55590000000001</v>
      </c>
      <c r="J4677">
        <v>-237.70410000000001</v>
      </c>
      <c r="K4677">
        <v>1.108358</v>
      </c>
      <c r="L4677">
        <v>140.75980000000001</v>
      </c>
      <c r="M4677">
        <v>-0.9994729</v>
      </c>
      <c r="N4677">
        <v>0</v>
      </c>
      <c r="O4677">
        <v>-3.2331079999999998E-2</v>
      </c>
      <c r="P4677">
        <v>-0.99897029999999998</v>
      </c>
      <c r="Q4677">
        <v>-2.4208200000000002E-3</v>
      </c>
      <c r="R4677">
        <v>4.5306300000000001E-2</v>
      </c>
      <c r="S4677">
        <v>-3.0034179999999999</v>
      </c>
      <c r="T4677">
        <v>-9.0126159999999997E-2</v>
      </c>
      <c r="U4677">
        <v>-1.721191E-2</v>
      </c>
      <c r="V4677">
        <v>7.7581299999999895E-2</v>
      </c>
      <c r="W4677">
        <v>4.2039550000000001E-4</v>
      </c>
      <c r="X4677">
        <v>0.99698589999999998</v>
      </c>
      <c r="Y4677">
        <v>2.6576490000000001E-2</v>
      </c>
      <c r="Z4677">
        <v>1.3684739999999999E-3</v>
      </c>
      <c r="AA4677">
        <v>0.99964580000000003</v>
      </c>
      <c r="AB4677">
        <v>27</v>
      </c>
      <c r="AC4677">
        <v>-36.672899999999998</v>
      </c>
      <c r="AD4677">
        <v>-1.1083606446209999</v>
      </c>
      <c r="AE4677">
        <v>-0.20390000000000399</v>
      </c>
      <c r="AF4677">
        <v>0.98099014231852399</v>
      </c>
      <c r="AG4677">
        <v>-1.1083606446209999</v>
      </c>
      <c r="AH4677">
        <v>36.626865323728801</v>
      </c>
      <c r="AI4677">
        <v>91.732669962855795</v>
      </c>
      <c r="AJ4677">
        <v>88.465793884051607</v>
      </c>
      <c r="AK4677">
        <v>36.656760200820301</v>
      </c>
      <c r="AL4677">
        <v>89.975913110446399</v>
      </c>
      <c r="AM4677">
        <v>85.550447194980293</v>
      </c>
      <c r="AN4677">
        <v>0.99999995982043699</v>
      </c>
    </row>
    <row r="4678" spans="1:40" x14ac:dyDescent="0.25">
      <c r="A4678" t="str">
        <f>"20190312154348777"</f>
        <v>20190312154348777</v>
      </c>
      <c r="B4678" t="str">
        <f>"1552376628762008"</f>
        <v>1552376628762008</v>
      </c>
      <c r="C4678" t="s">
        <v>40</v>
      </c>
      <c r="D4678">
        <v>4.9252739999999999</v>
      </c>
      <c r="E4678">
        <v>0.50152129999999995</v>
      </c>
      <c r="F4678" t="s">
        <v>41</v>
      </c>
      <c r="G4678">
        <v>-238.59350000000001</v>
      </c>
      <c r="H4678">
        <v>1.029528</v>
      </c>
      <c r="I4678">
        <v>140.78290000000001</v>
      </c>
      <c r="J4678">
        <v>-237.97790000000001</v>
      </c>
      <c r="K4678">
        <v>1.1083769999999999</v>
      </c>
      <c r="L4678">
        <v>140.75200000000001</v>
      </c>
      <c r="M4678">
        <v>-0.99950300000000003</v>
      </c>
      <c r="N4678">
        <v>0</v>
      </c>
      <c r="O4678">
        <v>-3.1361090000000001E-2</v>
      </c>
      <c r="P4678">
        <v>-0.99893299999999996</v>
      </c>
      <c r="Q4678">
        <v>-2.6210140000000001E-3</v>
      </c>
      <c r="R4678">
        <v>4.6108879999999998E-2</v>
      </c>
      <c r="S4678">
        <v>-2.9989469999999998</v>
      </c>
      <c r="T4678">
        <v>-0.26584259999999998</v>
      </c>
      <c r="U4678">
        <v>7.7667239999999999E-2</v>
      </c>
      <c r="V4678">
        <v>7.7414739999999996E-2</v>
      </c>
      <c r="W4678">
        <v>4.6235710000000003E-4</v>
      </c>
      <c r="X4678">
        <v>0.99699879999999996</v>
      </c>
      <c r="Y4678">
        <v>5.6881660000000001E-2</v>
      </c>
      <c r="Z4678">
        <v>5.2898569999999898E-3</v>
      </c>
      <c r="AA4678">
        <v>0.99836689999999995</v>
      </c>
      <c r="AB4678">
        <v>28</v>
      </c>
      <c r="AC4678">
        <v>-0.61560000000000004</v>
      </c>
      <c r="AD4678">
        <v>-7.8848999999999905E-2</v>
      </c>
      <c r="AE4678">
        <v>3.0900000000002498E-2</v>
      </c>
      <c r="AF4678">
        <v>4.9382664731487301E-2</v>
      </c>
      <c r="AG4678">
        <v>-7.8848999999999905E-2</v>
      </c>
      <c r="AH4678">
        <v>0.60443683604755605</v>
      </c>
      <c r="AI4678">
        <v>97.407878351628995</v>
      </c>
      <c r="AJ4678">
        <v>85.329291997920393</v>
      </c>
      <c r="AK4678">
        <v>0.61155514971927305</v>
      </c>
      <c r="AL4678">
        <v>89.973508886782795</v>
      </c>
      <c r="AM4678">
        <v>85.560018960401607</v>
      </c>
      <c r="AN4678">
        <v>0.99999993147239497</v>
      </c>
    </row>
    <row r="4679" spans="1:40" x14ac:dyDescent="0.25">
      <c r="A4679" t="str">
        <f>"20190312154348799"</f>
        <v>20190312154348799</v>
      </c>
      <c r="B4679" t="str">
        <f>"1552376628792264"</f>
        <v>1552376628792264</v>
      </c>
      <c r="C4679" t="s">
        <v>40</v>
      </c>
      <c r="D4679">
        <v>4.930625</v>
      </c>
      <c r="E4679">
        <v>0.50559229999999999</v>
      </c>
      <c r="F4679" t="s">
        <v>41</v>
      </c>
      <c r="G4679">
        <v>-238.82339999999999</v>
      </c>
      <c r="H4679">
        <v>0.99070599999999998</v>
      </c>
      <c r="I4679">
        <v>140.78989999999999</v>
      </c>
      <c r="J4679">
        <v>-238.26089999999999</v>
      </c>
      <c r="K4679">
        <v>1.1083970000000001</v>
      </c>
      <c r="L4679">
        <v>140.7441</v>
      </c>
      <c r="M4679">
        <v>-0.99953320000000001</v>
      </c>
      <c r="N4679">
        <v>0</v>
      </c>
      <c r="O4679">
        <v>-3.0358469999999999E-2</v>
      </c>
      <c r="P4679">
        <v>-0.99888270000000001</v>
      </c>
      <c r="Q4679">
        <v>-1.891539E-3</v>
      </c>
      <c r="R4679">
        <v>4.7223660000000001E-2</v>
      </c>
      <c r="S4679">
        <v>-2.9959259999999999</v>
      </c>
      <c r="T4679">
        <v>-0.4169388</v>
      </c>
      <c r="U4679">
        <v>0.13421629999999901</v>
      </c>
      <c r="V4679">
        <v>7.7529379999999995E-2</v>
      </c>
      <c r="W4679">
        <v>1.433197E-3</v>
      </c>
      <c r="X4679">
        <v>0.99698900000000001</v>
      </c>
      <c r="Y4679">
        <v>7.4057739999999997E-2</v>
      </c>
      <c r="Z4679">
        <v>9.3288650000000004E-3</v>
      </c>
      <c r="AA4679">
        <v>0.99721029999999999</v>
      </c>
      <c r="AB4679">
        <v>28</v>
      </c>
      <c r="AC4679">
        <v>-0.5625</v>
      </c>
      <c r="AD4679">
        <v>-0.117690999999999</v>
      </c>
      <c r="AE4679">
        <v>4.5799999999985602E-2</v>
      </c>
      <c r="AF4679">
        <v>6.02360688518426E-2</v>
      </c>
      <c r="AG4679">
        <v>-0.117690999999999</v>
      </c>
      <c r="AH4679">
        <v>0.53747640163135202</v>
      </c>
      <c r="AI4679">
        <v>102.27658977583199</v>
      </c>
      <c r="AJ4679">
        <v>83.605429099864693</v>
      </c>
      <c r="AK4679">
        <v>0.55349836294456201</v>
      </c>
      <c r="AL4679">
        <v>89.917883829495395</v>
      </c>
      <c r="AM4679">
        <v>85.553426808824995</v>
      </c>
      <c r="AN4679">
        <v>0.99999996246891198</v>
      </c>
    </row>
    <row r="4680" spans="1:40" x14ac:dyDescent="0.25">
      <c r="A4680" t="str">
        <f>"20190312154348822"</f>
        <v>20190312154348822</v>
      </c>
      <c r="B4680" t="str">
        <f>"1552376628812760"</f>
        <v>1552376628812760</v>
      </c>
      <c r="C4680" t="s">
        <v>40</v>
      </c>
      <c r="D4680">
        <v>4.8903869999999996</v>
      </c>
      <c r="E4680">
        <v>0.50596209999999997</v>
      </c>
      <c r="F4680" t="s">
        <v>41</v>
      </c>
      <c r="G4680">
        <v>-239.06190000000001</v>
      </c>
      <c r="H4680">
        <v>0.96819949999999999</v>
      </c>
      <c r="I4680">
        <v>140.78870000000001</v>
      </c>
      <c r="J4680">
        <v>-238.5488</v>
      </c>
      <c r="K4680">
        <v>1.108403</v>
      </c>
      <c r="L4680">
        <v>140.7364</v>
      </c>
      <c r="M4680">
        <v>-0.99956259999999997</v>
      </c>
      <c r="N4680">
        <v>0</v>
      </c>
      <c r="O4680">
        <v>-2.9338340000000001E-2</v>
      </c>
      <c r="P4680">
        <v>-0.99882789999999999</v>
      </c>
      <c r="Q4680">
        <v>-1.342067E-3</v>
      </c>
      <c r="R4680">
        <v>4.8381739999999999E-2</v>
      </c>
      <c r="S4680">
        <v>-2.994507</v>
      </c>
      <c r="T4680">
        <v>-0.52406189999999997</v>
      </c>
      <c r="U4680">
        <v>0.16578670000000001</v>
      </c>
      <c r="V4680">
        <v>7.7669169999999996E-2</v>
      </c>
      <c r="W4680">
        <v>2.2109170000000002E-3</v>
      </c>
      <c r="X4680">
        <v>0.99697670000000005</v>
      </c>
      <c r="Y4680">
        <v>8.2848359999999996E-2</v>
      </c>
      <c r="Z4680">
        <v>1.228191E-2</v>
      </c>
      <c r="AA4680">
        <v>0.99648650000000005</v>
      </c>
      <c r="AB4680">
        <v>28</v>
      </c>
      <c r="AC4680">
        <v>-0.51310000000000799</v>
      </c>
      <c r="AD4680">
        <v>-0.14020349999999901</v>
      </c>
      <c r="AE4680">
        <v>5.23000000000024E-2</v>
      </c>
      <c r="AF4680">
        <v>6.2697925889198494E-2</v>
      </c>
      <c r="AG4680">
        <v>-0.14020349999999901</v>
      </c>
      <c r="AH4680">
        <v>0.47615821922069701</v>
      </c>
      <c r="AI4680">
        <v>106.27397275151699</v>
      </c>
      <c r="AJ4680">
        <v>82.498757234003406</v>
      </c>
      <c r="AK4680">
        <v>0.50031460208001399</v>
      </c>
      <c r="AL4680">
        <v>89.873323679313003</v>
      </c>
      <c r="AM4680">
        <v>85.545386881610895</v>
      </c>
      <c r="AN4680">
        <v>0.99999996423267901</v>
      </c>
    </row>
    <row r="4681" spans="1:40" x14ac:dyDescent="0.25">
      <c r="A4681" t="str">
        <f>"20190312154348843"</f>
        <v>20190312154348843</v>
      </c>
      <c r="B4681" t="str">
        <f>"1552376628832284"</f>
        <v>1552376628832284</v>
      </c>
      <c r="C4681" t="s">
        <v>40</v>
      </c>
      <c r="D4681">
        <v>4.9239860000000002</v>
      </c>
      <c r="E4681">
        <v>0.50675930000000002</v>
      </c>
      <c r="F4681" t="s">
        <v>41</v>
      </c>
      <c r="G4681">
        <v>-239.31120000000001</v>
      </c>
      <c r="H4681">
        <v>0.96647380000000005</v>
      </c>
      <c r="I4681">
        <v>140.7799</v>
      </c>
      <c r="J4681">
        <v>-238.8169</v>
      </c>
      <c r="K4681">
        <v>1.1084080000000001</v>
      </c>
      <c r="L4681">
        <v>140.7295</v>
      </c>
      <c r="M4681">
        <v>-0.99958939999999996</v>
      </c>
      <c r="N4681">
        <v>0</v>
      </c>
      <c r="O4681">
        <v>-2.838889E-2</v>
      </c>
      <c r="P4681">
        <v>-0.99877179999999999</v>
      </c>
      <c r="Q4681">
        <v>-1.1964499999999999E-3</v>
      </c>
      <c r="R4681">
        <v>4.9534809999999999E-2</v>
      </c>
      <c r="S4681">
        <v>-2.9944920000000002</v>
      </c>
      <c r="T4681">
        <v>-0.55741859999999999</v>
      </c>
      <c r="U4681">
        <v>0.17086789999999999</v>
      </c>
      <c r="V4681">
        <v>7.7874059999999995E-2</v>
      </c>
      <c r="W4681">
        <v>2.5499469999999999E-3</v>
      </c>
      <c r="X4681">
        <v>0.99695990000000001</v>
      </c>
      <c r="Y4681">
        <v>8.3373760000000005E-2</v>
      </c>
      <c r="Z4681">
        <v>1.292369E-2</v>
      </c>
      <c r="AA4681">
        <v>0.99643459999999995</v>
      </c>
      <c r="AB4681">
        <v>28</v>
      </c>
      <c r="AC4681">
        <v>-0.49430000000000901</v>
      </c>
      <c r="AD4681">
        <v>-0.14193419999999901</v>
      </c>
      <c r="AE4681">
        <v>5.0399999999996198E-2</v>
      </c>
      <c r="AF4681">
        <v>5.9552790050747401E-2</v>
      </c>
      <c r="AG4681">
        <v>-0.14193419999999901</v>
      </c>
      <c r="AH4681">
        <v>0.45550020494435101</v>
      </c>
      <c r="AI4681">
        <v>107.169645367412</v>
      </c>
      <c r="AJ4681">
        <v>82.551311841922598</v>
      </c>
      <c r="AK4681">
        <v>0.48080379432447701</v>
      </c>
      <c r="AL4681">
        <v>89.853898634279503</v>
      </c>
      <c r="AM4681">
        <v>85.533608210832497</v>
      </c>
      <c r="AN4681">
        <v>0.99999995682929699</v>
      </c>
    </row>
    <row r="4682" spans="1:40" x14ac:dyDescent="0.25">
      <c r="A4682" t="str">
        <f>"20190312154348867"</f>
        <v>20190312154348867</v>
      </c>
      <c r="B4682" t="str">
        <f>"1552376628852776"</f>
        <v>1552376628852776</v>
      </c>
      <c r="C4682" t="s">
        <v>40</v>
      </c>
      <c r="D4682">
        <v>4.9415449999999996</v>
      </c>
      <c r="E4682">
        <v>0.50730209999999998</v>
      </c>
      <c r="F4682" t="s">
        <v>41</v>
      </c>
      <c r="G4682">
        <v>-239.56180000000001</v>
      </c>
      <c r="H4682">
        <v>0.96526460000000003</v>
      </c>
      <c r="I4682">
        <v>140.77449999999999</v>
      </c>
      <c r="J4682">
        <v>-239.114</v>
      </c>
      <c r="K4682">
        <v>1.108414</v>
      </c>
      <c r="L4682">
        <v>140.72219999999999</v>
      </c>
      <c r="M4682">
        <v>-0.99961800000000001</v>
      </c>
      <c r="N4682">
        <v>0</v>
      </c>
      <c r="O4682">
        <v>-2.7337299999999998E-2</v>
      </c>
      <c r="P4682">
        <v>-0.99869430000000003</v>
      </c>
      <c r="Q4682">
        <v>-2.0937080000000001E-3</v>
      </c>
      <c r="R4682">
        <v>5.1046830000000001E-2</v>
      </c>
      <c r="S4682">
        <v>-2.9940950000000002</v>
      </c>
      <c r="T4682">
        <v>-0.57531549999999998</v>
      </c>
      <c r="U4682">
        <v>0.17956539999999999</v>
      </c>
      <c r="V4682">
        <v>7.833321E-2</v>
      </c>
      <c r="W4682">
        <v>1.846138E-3</v>
      </c>
      <c r="X4682">
        <v>0.99692550000000002</v>
      </c>
      <c r="Y4682">
        <v>8.5081760000000006E-2</v>
      </c>
      <c r="Z4682">
        <v>1.329438E-2</v>
      </c>
      <c r="AA4682">
        <v>0.99628530000000004</v>
      </c>
      <c r="AB4682">
        <v>28</v>
      </c>
      <c r="AC4682">
        <v>-0.44779999999999998</v>
      </c>
      <c r="AD4682">
        <v>-0.14314939999999901</v>
      </c>
      <c r="AE4682">
        <v>5.23000000000024E-2</v>
      </c>
      <c r="AF4682">
        <v>5.8613095040760899E-2</v>
      </c>
      <c r="AG4682">
        <v>-0.14314939999999901</v>
      </c>
      <c r="AH4682">
        <v>0.40533852251603902</v>
      </c>
      <c r="AI4682">
        <v>109.265784196307</v>
      </c>
      <c r="AJ4682">
        <v>81.771901931256593</v>
      </c>
      <c r="AK4682">
        <v>0.433850853941885</v>
      </c>
      <c r="AL4682">
        <v>89.894224021607698</v>
      </c>
      <c r="AM4682">
        <v>85.507227209433907</v>
      </c>
      <c r="AN4682">
        <v>0.99999997628233395</v>
      </c>
    </row>
    <row r="4683" spans="1:40" x14ac:dyDescent="0.25">
      <c r="A4683" t="str">
        <f>"20190312154348891"</f>
        <v>20190312154348891</v>
      </c>
      <c r="B4683" t="str">
        <f>"1552376628882057"</f>
        <v>1552376628882057</v>
      </c>
      <c r="C4683" t="s">
        <v>40</v>
      </c>
      <c r="D4683">
        <v>4.9781789999999999</v>
      </c>
      <c r="E4683">
        <v>0.50783929999999999</v>
      </c>
      <c r="F4683" t="s">
        <v>41</v>
      </c>
      <c r="G4683">
        <v>-239.81610000000001</v>
      </c>
      <c r="H4683">
        <v>0.96986530000000004</v>
      </c>
      <c r="I4683">
        <v>140.7664</v>
      </c>
      <c r="J4683">
        <v>-239.40979999999999</v>
      </c>
      <c r="K4683">
        <v>1.1084050000000001</v>
      </c>
      <c r="L4683">
        <v>140.71520000000001</v>
      </c>
      <c r="M4683">
        <v>-0.99964529999999996</v>
      </c>
      <c r="N4683">
        <v>0</v>
      </c>
      <c r="O4683">
        <v>-2.6291169999999999E-2</v>
      </c>
      <c r="P4683">
        <v>-0.99865199999999998</v>
      </c>
      <c r="Q4683">
        <v>-2.849346E-3</v>
      </c>
      <c r="R4683">
        <v>5.1831229999999999E-2</v>
      </c>
      <c r="S4683">
        <v>-2.9930729999999999</v>
      </c>
      <c r="T4683">
        <v>-0.59065469999999998</v>
      </c>
      <c r="U4683">
        <v>0.18788150000000001</v>
      </c>
      <c r="V4683">
        <v>7.8071810000000005E-2</v>
      </c>
      <c r="W4683">
        <v>1.2558139999999901E-3</v>
      </c>
      <c r="X4683">
        <v>0.99694689999999997</v>
      </c>
      <c r="Y4683">
        <v>8.6695530000000007E-2</v>
      </c>
      <c r="Z4683">
        <v>1.359898E-2</v>
      </c>
      <c r="AA4683">
        <v>0.99614199999999997</v>
      </c>
      <c r="AB4683">
        <v>28</v>
      </c>
      <c r="AC4683">
        <v>-0.40630000000001498</v>
      </c>
      <c r="AD4683">
        <v>-0.13853969999999899</v>
      </c>
      <c r="AE4683">
        <v>5.1199999999994299E-2</v>
      </c>
      <c r="AF4683">
        <v>5.5511282063258303E-2</v>
      </c>
      <c r="AG4683">
        <v>-0.13853969999999899</v>
      </c>
      <c r="AH4683">
        <v>0.36324083320950901</v>
      </c>
      <c r="AI4683">
        <v>110.6575380853</v>
      </c>
      <c r="AJ4683">
        <v>81.311155384068996</v>
      </c>
      <c r="AK4683">
        <v>0.39270682935637202</v>
      </c>
      <c r="AL4683">
        <v>89.928047135652506</v>
      </c>
      <c r="AM4683">
        <v>85.522254364419297</v>
      </c>
      <c r="AN4683">
        <v>0.99999995300254296</v>
      </c>
    </row>
    <row r="4684" spans="1:40" x14ac:dyDescent="0.25">
      <c r="A4684" t="str">
        <f>"20190312154348911"</f>
        <v>20190312154348911</v>
      </c>
      <c r="B4684" t="str">
        <f>"1552376628902553"</f>
        <v>1552376628902553</v>
      </c>
      <c r="C4684" t="s">
        <v>40</v>
      </c>
      <c r="D4684">
        <v>5.0040620000000002</v>
      </c>
      <c r="E4684">
        <v>0.50850340000000005</v>
      </c>
      <c r="F4684" t="s">
        <v>41</v>
      </c>
      <c r="G4684">
        <v>-240.30350000000001</v>
      </c>
      <c r="H4684">
        <v>0.9273863</v>
      </c>
      <c r="I4684">
        <v>140.7732</v>
      </c>
      <c r="J4684">
        <v>-239.6677</v>
      </c>
      <c r="K4684">
        <v>1.108393</v>
      </c>
      <c r="L4684">
        <v>140.70930000000001</v>
      </c>
      <c r="M4684">
        <v>-0.99966829999999995</v>
      </c>
      <c r="N4684">
        <v>0</v>
      </c>
      <c r="O4684">
        <v>-2.5379229999999999E-2</v>
      </c>
      <c r="P4684">
        <v>-0.99864399999999998</v>
      </c>
      <c r="Q4684">
        <v>-3.5793629999999999E-3</v>
      </c>
      <c r="R4684">
        <v>5.193569E-2</v>
      </c>
      <c r="S4684">
        <v>-2.9922330000000001</v>
      </c>
      <c r="T4684">
        <v>-0.6060818</v>
      </c>
      <c r="U4684">
        <v>0.19438169999999999</v>
      </c>
      <c r="V4684">
        <v>7.7265340000000002E-2</v>
      </c>
      <c r="W4684">
        <v>6.4498579999999999E-4</v>
      </c>
      <c r="X4684">
        <v>0.99701039999999996</v>
      </c>
      <c r="Y4684">
        <v>8.7840150000000006E-2</v>
      </c>
      <c r="Z4684">
        <v>1.388207E-2</v>
      </c>
      <c r="AA4684">
        <v>0.99603779999999997</v>
      </c>
      <c r="AB4684">
        <v>28</v>
      </c>
      <c r="AC4684">
        <v>-0.63580000000001702</v>
      </c>
      <c r="AD4684">
        <v>-0.18100669999999899</v>
      </c>
      <c r="AE4684">
        <v>6.3899999999989604E-2</v>
      </c>
      <c r="AF4684">
        <v>7.4072232120254905E-2</v>
      </c>
      <c r="AG4684">
        <v>-0.18100669999999899</v>
      </c>
      <c r="AH4684">
        <v>0.58688278464538501</v>
      </c>
      <c r="AI4684">
        <v>107.013742363218</v>
      </c>
      <c r="AJ4684">
        <v>82.806563804262595</v>
      </c>
      <c r="AK4684">
        <v>0.61861257983433204</v>
      </c>
      <c r="AL4684">
        <v>89.963045034849799</v>
      </c>
      <c r="AM4684">
        <v>85.568604714812693</v>
      </c>
      <c r="AN4684">
        <v>1.00000004324007</v>
      </c>
    </row>
    <row r="4685" spans="1:40" x14ac:dyDescent="0.25">
      <c r="A4685" t="str">
        <f>"20190312154348933"</f>
        <v>20190312154348933</v>
      </c>
      <c r="B4685" t="str">
        <f>"1552376628922072"</f>
        <v>1552376628922072</v>
      </c>
      <c r="C4685" t="s">
        <v>40</v>
      </c>
      <c r="D4685">
        <v>5.0248679999999997</v>
      </c>
      <c r="E4685">
        <v>0.52338499999999999</v>
      </c>
      <c r="F4685" t="s">
        <v>41</v>
      </c>
      <c r="G4685">
        <v>-240.5574</v>
      </c>
      <c r="H4685">
        <v>0.92459709999999995</v>
      </c>
      <c r="I4685">
        <v>140.76900000000001</v>
      </c>
      <c r="J4685">
        <v>-239.9537</v>
      </c>
      <c r="K4685">
        <v>1.108382</v>
      </c>
      <c r="L4685">
        <v>140.70310000000001</v>
      </c>
      <c r="M4685">
        <v>-0.99969300000000005</v>
      </c>
      <c r="N4685">
        <v>0</v>
      </c>
      <c r="O4685">
        <v>-2.4368689999999998E-2</v>
      </c>
      <c r="P4685">
        <v>-0.99865999999999999</v>
      </c>
      <c r="Q4685">
        <v>-4.2709540000000004E-3</v>
      </c>
      <c r="R4685">
        <v>5.1574299999999997E-2</v>
      </c>
      <c r="S4685">
        <v>-2.9914550000000002</v>
      </c>
      <c r="T4685">
        <v>-0.61795349999999905</v>
      </c>
      <c r="U4685">
        <v>0.19987489999999999</v>
      </c>
      <c r="V4685">
        <v>7.5895379999999998E-2</v>
      </c>
      <c r="W4685" s="1">
        <v>6.1677069999999896E-5</v>
      </c>
      <c r="X4685">
        <v>0.9971158</v>
      </c>
      <c r="Y4685">
        <v>8.8586289999999998E-2</v>
      </c>
      <c r="Z4685">
        <v>1.402103E-2</v>
      </c>
      <c r="AA4685">
        <v>0.99596980000000002</v>
      </c>
      <c r="AB4685">
        <v>28</v>
      </c>
      <c r="AC4685">
        <v>-0.60370000000000301</v>
      </c>
      <c r="AD4685">
        <v>-0.1837849</v>
      </c>
      <c r="AE4685">
        <v>6.5899999999999098E-2</v>
      </c>
      <c r="AF4685">
        <v>7.3830094015489095E-2</v>
      </c>
      <c r="AG4685">
        <v>-0.1837849</v>
      </c>
      <c r="AH4685">
        <v>0.55141268766268503</v>
      </c>
      <c r="AI4685">
        <v>108.280987664889</v>
      </c>
      <c r="AJ4685">
        <v>82.373873443854606</v>
      </c>
      <c r="AK4685">
        <v>0.58590419384548897</v>
      </c>
      <c r="AL4685">
        <v>89.996466164249</v>
      </c>
      <c r="AM4685">
        <v>85.647329618598206</v>
      </c>
      <c r="AN4685">
        <v>1.0000000155595199</v>
      </c>
    </row>
    <row r="4686" spans="1:40" x14ac:dyDescent="0.25">
      <c r="A4686" t="str">
        <f>"20190312154348955"</f>
        <v>20190312154348955</v>
      </c>
      <c r="B4686" t="str">
        <f>"1552376628942568"</f>
        <v>1552376628942568</v>
      </c>
      <c r="C4686" t="s">
        <v>40</v>
      </c>
      <c r="D4686">
        <v>4.9950219999999996</v>
      </c>
      <c r="E4686">
        <v>0.52371639999999997</v>
      </c>
      <c r="F4686" t="s">
        <v>41</v>
      </c>
      <c r="G4686">
        <v>-240.803</v>
      </c>
      <c r="H4686">
        <v>0.89602469999999901</v>
      </c>
      <c r="I4686">
        <v>140.79220000000001</v>
      </c>
      <c r="J4686">
        <v>-240.22819999999999</v>
      </c>
      <c r="K4686">
        <v>1.1083670000000001</v>
      </c>
      <c r="L4686">
        <v>140.69730000000001</v>
      </c>
      <c r="M4686">
        <v>-0.99971569999999998</v>
      </c>
      <c r="N4686">
        <v>0</v>
      </c>
      <c r="O4686">
        <v>-2.3400199999999999E-2</v>
      </c>
      <c r="P4686">
        <v>-0.99867110000000003</v>
      </c>
      <c r="Q4686">
        <v>-3.80021E-3</v>
      </c>
      <c r="R4686">
        <v>5.1398289999999999E-2</v>
      </c>
      <c r="S4686">
        <v>-2.9846949999999999</v>
      </c>
      <c r="T4686">
        <v>-0.74631519999999996</v>
      </c>
      <c r="U4686">
        <v>0.31289670000000003</v>
      </c>
      <c r="V4686">
        <v>7.4754890000000004E-2</v>
      </c>
      <c r="W4686">
        <v>6.1542209999999897E-4</v>
      </c>
      <c r="X4686">
        <v>0.99720169999999997</v>
      </c>
      <c r="Y4686">
        <v>0.1230436</v>
      </c>
      <c r="Z4686">
        <v>2.085938E-2</v>
      </c>
      <c r="AA4686">
        <v>0.99218200000000001</v>
      </c>
      <c r="AB4686">
        <v>29</v>
      </c>
      <c r="AC4686">
        <v>-0.57480000000000997</v>
      </c>
      <c r="AD4686">
        <v>-0.21234230000000001</v>
      </c>
      <c r="AE4686">
        <v>9.4899999999995502E-2</v>
      </c>
      <c r="AF4686">
        <v>9.5621343944757298E-2</v>
      </c>
      <c r="AG4686">
        <v>-0.21234230000000001</v>
      </c>
      <c r="AH4686">
        <v>0.50529387401256798</v>
      </c>
      <c r="AI4686">
        <v>112.436067924188</v>
      </c>
      <c r="AJ4686">
        <v>79.284117675369799</v>
      </c>
      <c r="AK4686">
        <v>0.55637630512245995</v>
      </c>
      <c r="AL4686">
        <v>89.964738907111496</v>
      </c>
      <c r="AM4686">
        <v>85.712859977209703</v>
      </c>
      <c r="AN4686">
        <v>0.99999995140307996</v>
      </c>
    </row>
    <row r="4687" spans="1:40" x14ac:dyDescent="0.25">
      <c r="A4687" t="str">
        <f>"20190312154348977"</f>
        <v>20190312154348977</v>
      </c>
      <c r="B4687" t="str">
        <f>"1552376628972525"</f>
        <v>1552376628972525</v>
      </c>
      <c r="C4687" t="s">
        <v>40</v>
      </c>
      <c r="D4687">
        <v>5.0266830000000002</v>
      </c>
      <c r="E4687">
        <v>0.52396169999999997</v>
      </c>
      <c r="F4687" t="s">
        <v>41</v>
      </c>
      <c r="G4687">
        <v>-241.06129999999999</v>
      </c>
      <c r="H4687">
        <v>0.89894390000000002</v>
      </c>
      <c r="I4687">
        <v>140.7852</v>
      </c>
      <c r="J4687">
        <v>-240.5146</v>
      </c>
      <c r="K4687">
        <v>1.1083590000000001</v>
      </c>
      <c r="L4687">
        <v>140.6917</v>
      </c>
      <c r="M4687">
        <v>-0.99973860000000003</v>
      </c>
      <c r="N4687">
        <v>0</v>
      </c>
      <c r="O4687">
        <v>-2.23901E-2</v>
      </c>
      <c r="P4687">
        <v>-0.99864810000000004</v>
      </c>
      <c r="Q4687">
        <v>-3.2264160000000002E-3</v>
      </c>
      <c r="R4687">
        <v>5.1881440000000001E-2</v>
      </c>
      <c r="S4687">
        <v>-2.9849399999999999</v>
      </c>
      <c r="T4687">
        <v>-0.75030450000000004</v>
      </c>
      <c r="U4687">
        <v>0.3147278</v>
      </c>
      <c r="V4687">
        <v>7.4231169999999999E-2</v>
      </c>
      <c r="W4687">
        <v>1.254383E-3</v>
      </c>
      <c r="X4687">
        <v>0.99724020000000002</v>
      </c>
      <c r="Y4687">
        <v>0.1226329</v>
      </c>
      <c r="Z4687">
        <v>2.066511E-2</v>
      </c>
      <c r="AA4687">
        <v>0.99223689999999998</v>
      </c>
      <c r="AB4687">
        <v>29</v>
      </c>
      <c r="AC4687">
        <v>-0.54669999999998697</v>
      </c>
      <c r="AD4687">
        <v>-0.20941509999999999</v>
      </c>
      <c r="AE4687">
        <v>9.3500000000005898E-2</v>
      </c>
      <c r="AF4687">
        <v>9.2526764479595902E-2</v>
      </c>
      <c r="AG4687">
        <v>-0.20941509999999999</v>
      </c>
      <c r="AH4687">
        <v>0.47653476211344498</v>
      </c>
      <c r="AI4687">
        <v>113.33523684855101</v>
      </c>
      <c r="AJ4687">
        <v>79.011842177914303</v>
      </c>
      <c r="AK4687">
        <v>0.52867879261002204</v>
      </c>
      <c r="AL4687">
        <v>89.928129124205</v>
      </c>
      <c r="AM4687">
        <v>85.742947889670404</v>
      </c>
      <c r="AN4687">
        <v>0.99999992828615702</v>
      </c>
    </row>
    <row r="4688" spans="1:40" x14ac:dyDescent="0.25">
      <c r="A4688" t="str">
        <f>"20190312154349000"</f>
        <v>20190312154349000</v>
      </c>
      <c r="B4688" t="str">
        <f>"1552376628992046"</f>
        <v>1552376628992046</v>
      </c>
      <c r="C4688" t="s">
        <v>40</v>
      </c>
      <c r="D4688">
        <v>4.9941839999999997</v>
      </c>
      <c r="E4688">
        <v>0.5239973</v>
      </c>
      <c r="F4688" t="s">
        <v>41</v>
      </c>
      <c r="G4688">
        <v>-241.32249999999999</v>
      </c>
      <c r="H4688">
        <v>0.90653379999999995</v>
      </c>
      <c r="I4688">
        <v>140.77799999999999</v>
      </c>
      <c r="J4688">
        <v>-240.81389999999999</v>
      </c>
      <c r="K4688">
        <v>1.1083459999999901</v>
      </c>
      <c r="L4688">
        <v>140.68600000000001</v>
      </c>
      <c r="M4688">
        <v>-0.99976149999999997</v>
      </c>
      <c r="N4688">
        <v>0</v>
      </c>
      <c r="O4688">
        <v>-2.1336819999999999E-2</v>
      </c>
      <c r="P4688">
        <v>-0.99857289999999999</v>
      </c>
      <c r="Q4688">
        <v>-2.656771E-3</v>
      </c>
      <c r="R4688">
        <v>5.3340209999999999E-2</v>
      </c>
      <c r="S4688">
        <v>-2.9850919999999999</v>
      </c>
      <c r="T4688">
        <v>-0.74564350000000001</v>
      </c>
      <c r="U4688">
        <v>0.31878659999999998</v>
      </c>
      <c r="V4688">
        <v>7.463844E-2</v>
      </c>
      <c r="W4688">
        <v>1.8752249999999999E-3</v>
      </c>
      <c r="X4688">
        <v>0.99720889999999995</v>
      </c>
      <c r="Y4688">
        <v>0.12299350000000001</v>
      </c>
      <c r="Z4688">
        <v>2.0323870000000001E-2</v>
      </c>
      <c r="AA4688">
        <v>0.99219939999999995</v>
      </c>
      <c r="AB4688">
        <v>29</v>
      </c>
      <c r="AC4688">
        <v>-0.50860000000000105</v>
      </c>
      <c r="AD4688">
        <v>-0.201812199999999</v>
      </c>
      <c r="AE4688">
        <v>9.1999999999984497E-2</v>
      </c>
      <c r="AF4688">
        <v>8.9227370789126695E-2</v>
      </c>
      <c r="AG4688">
        <v>-0.201812199999999</v>
      </c>
      <c r="AH4688">
        <v>0.43951260072797899</v>
      </c>
      <c r="AI4688">
        <v>114.227419444155</v>
      </c>
      <c r="AJ4688">
        <v>78.524096611264298</v>
      </c>
      <c r="AK4688">
        <v>0.49179367011527497</v>
      </c>
      <c r="AL4688">
        <v>89.892557459077196</v>
      </c>
      <c r="AM4688">
        <v>85.719544252167296</v>
      </c>
      <c r="AN4688">
        <v>1.00000000171682</v>
      </c>
    </row>
    <row r="4689" spans="1:40" x14ac:dyDescent="0.25">
      <c r="A4689" t="str">
        <f>"20190312154349022"</f>
        <v>20190312154349022</v>
      </c>
      <c r="B4689" t="str">
        <f>"1552376629012541"</f>
        <v>1552376629012541</v>
      </c>
      <c r="C4689" t="s">
        <v>40</v>
      </c>
      <c r="D4689">
        <v>4.9446680000000001</v>
      </c>
      <c r="E4689">
        <v>0.52425710000000003</v>
      </c>
      <c r="F4689" t="s">
        <v>41</v>
      </c>
      <c r="G4689">
        <v>-241.58580000000001</v>
      </c>
      <c r="H4689">
        <v>0.91608440000000002</v>
      </c>
      <c r="I4689">
        <v>140.76990000000001</v>
      </c>
      <c r="J4689">
        <v>-241.10720000000001</v>
      </c>
      <c r="K4689">
        <v>1.1083369999999999</v>
      </c>
      <c r="L4689">
        <v>140.6808</v>
      </c>
      <c r="M4689">
        <v>-0.99978259999999997</v>
      </c>
      <c r="N4689">
        <v>0</v>
      </c>
      <c r="O4689">
        <v>-2.0307849999999999E-2</v>
      </c>
      <c r="P4689">
        <v>-0.99848689999999996</v>
      </c>
      <c r="Q4689">
        <v>-3.2361299999999998E-3</v>
      </c>
      <c r="R4689">
        <v>5.4894940000000003E-2</v>
      </c>
      <c r="S4689">
        <v>-2.9850310000000002</v>
      </c>
      <c r="T4689">
        <v>-0.74358059999999904</v>
      </c>
      <c r="U4689">
        <v>0.32386779999999998</v>
      </c>
      <c r="V4689">
        <v>7.5163629999999995E-2</v>
      </c>
      <c r="W4689">
        <v>1.3368760000000001E-3</v>
      </c>
      <c r="X4689">
        <v>0.99717029999999995</v>
      </c>
      <c r="Y4689">
        <v>0.1236795</v>
      </c>
      <c r="Z4689">
        <v>2.0100030000000001E-2</v>
      </c>
      <c r="AA4689">
        <v>0.99211859999999996</v>
      </c>
      <c r="AB4689">
        <v>29</v>
      </c>
      <c r="AC4689">
        <v>-0.47860000000000003</v>
      </c>
      <c r="AD4689">
        <v>-0.1922526</v>
      </c>
      <c r="AE4689">
        <v>8.91000000000019E-2</v>
      </c>
      <c r="AF4689">
        <v>8.5471309170811097E-2</v>
      </c>
      <c r="AG4689">
        <v>-0.1922526</v>
      </c>
      <c r="AH4689">
        <v>0.41237889598248401</v>
      </c>
      <c r="AI4689">
        <v>114.53677350058599</v>
      </c>
      <c r="AJ4689">
        <v>78.290441987915898</v>
      </c>
      <c r="AK4689">
        <v>0.462950062911611</v>
      </c>
      <c r="AL4689">
        <v>89.923402623338205</v>
      </c>
      <c r="AM4689">
        <v>85.689371915668701</v>
      </c>
      <c r="AN4689">
        <v>0.99999998285715297</v>
      </c>
    </row>
    <row r="4690" spans="1:40" x14ac:dyDescent="0.25">
      <c r="A4690" t="str">
        <f>"20190312154349043"</f>
        <v>20190312154349043</v>
      </c>
      <c r="B4690" t="str">
        <f>"1552376629042798"</f>
        <v>1552376629042798</v>
      </c>
      <c r="C4690" t="s">
        <v>40</v>
      </c>
      <c r="D4690">
        <v>4.1453959999999999</v>
      </c>
      <c r="E4690">
        <v>0.52482890000000004</v>
      </c>
      <c r="F4690" t="s">
        <v>41</v>
      </c>
      <c r="G4690">
        <v>-241.84889999999999</v>
      </c>
      <c r="H4690">
        <v>0.92250650000000001</v>
      </c>
      <c r="I4690">
        <v>140.76310000000001</v>
      </c>
      <c r="J4690">
        <v>-241.3904</v>
      </c>
      <c r="K4690">
        <v>1.108328</v>
      </c>
      <c r="L4690">
        <v>140.67599999999999</v>
      </c>
      <c r="M4690">
        <v>-0.99980210000000003</v>
      </c>
      <c r="N4690">
        <v>0</v>
      </c>
      <c r="O4690">
        <v>-1.931809E-2</v>
      </c>
      <c r="P4690">
        <v>-0.99841729999999995</v>
      </c>
      <c r="Q4690">
        <v>-3.8999740000000001E-3</v>
      </c>
      <c r="R4690">
        <v>5.6106299999999998E-2</v>
      </c>
      <c r="S4690">
        <v>-2.9839020000000001</v>
      </c>
      <c r="T4690">
        <v>-0.74760780000000004</v>
      </c>
      <c r="U4690">
        <v>0.33143620000000001</v>
      </c>
      <c r="V4690">
        <v>7.5385209999999994E-2</v>
      </c>
      <c r="W4690">
        <v>7.0697449999999895E-4</v>
      </c>
      <c r="X4690">
        <v>0.99715419999999999</v>
      </c>
      <c r="Y4690">
        <v>0.12516099999999999</v>
      </c>
      <c r="Z4690">
        <v>2.0149050000000002E-2</v>
      </c>
      <c r="AA4690">
        <v>0.99193180000000003</v>
      </c>
      <c r="AB4690">
        <v>29</v>
      </c>
      <c r="AC4690">
        <v>-0.45849999999998597</v>
      </c>
      <c r="AD4690">
        <v>-0.1858215</v>
      </c>
      <c r="AE4690">
        <v>8.7099999999992406E-2</v>
      </c>
      <c r="AF4690">
        <v>8.2812727472955094E-2</v>
      </c>
      <c r="AG4690">
        <v>-0.1858215</v>
      </c>
      <c r="AH4690">
        <v>0.39423324933606202</v>
      </c>
      <c r="AI4690">
        <v>114.76302035035</v>
      </c>
      <c r="AJ4690">
        <v>78.136915690385905</v>
      </c>
      <c r="AK4690">
        <v>0.44362983733719902</v>
      </c>
      <c r="AL4690">
        <v>89.959493340099698</v>
      </c>
      <c r="AM4690">
        <v>85.676642890648594</v>
      </c>
      <c r="AN4690">
        <v>0.99999996413866299</v>
      </c>
    </row>
    <row r="4691" spans="1:40" x14ac:dyDescent="0.25">
      <c r="A4691" t="str">
        <f>"20190312154349201"</f>
        <v>20190312154349201</v>
      </c>
      <c r="B4691" t="str">
        <f>"1552376629192129"</f>
        <v>1552376629192129</v>
      </c>
      <c r="C4691" t="s">
        <v>40</v>
      </c>
      <c r="D4691">
        <v>5.2166139999999999</v>
      </c>
      <c r="E4691">
        <v>0.51742330000000003</v>
      </c>
      <c r="F4691" t="s">
        <v>41</v>
      </c>
      <c r="G4691">
        <v>-243.96129999999999</v>
      </c>
      <c r="H4691">
        <v>0.90317289999999995</v>
      </c>
      <c r="I4691">
        <v>140.74109999999999</v>
      </c>
      <c r="J4691">
        <v>-243.4803</v>
      </c>
      <c r="K4691">
        <v>1.108341</v>
      </c>
      <c r="L4691">
        <v>140.649</v>
      </c>
      <c r="M4691">
        <v>-0.99991300000000005</v>
      </c>
      <c r="N4691">
        <v>0</v>
      </c>
      <c r="O4691">
        <v>-1.2246969999999999E-2</v>
      </c>
      <c r="P4691">
        <v>-0.99832339999999997</v>
      </c>
      <c r="Q4691">
        <v>-2.1468290000000001E-4</v>
      </c>
      <c r="R4691">
        <v>5.7884390000000001E-2</v>
      </c>
      <c r="S4691">
        <v>-2.9851070000000002</v>
      </c>
      <c r="T4691">
        <v>-0.77080879999999996</v>
      </c>
      <c r="U4691">
        <v>0.333847</v>
      </c>
      <c r="V4691">
        <v>7.0115780000000003E-2</v>
      </c>
      <c r="W4691">
        <v>4.5722009999999997E-3</v>
      </c>
      <c r="X4691">
        <v>0.99752839999999998</v>
      </c>
      <c r="Y4691">
        <v>0.1190518</v>
      </c>
      <c r="Z4691">
        <v>1.818051E-2</v>
      </c>
      <c r="AA4691">
        <v>0.99272159999999998</v>
      </c>
      <c r="AB4691">
        <v>30</v>
      </c>
      <c r="AC4691">
        <v>-0.48099999999999399</v>
      </c>
      <c r="AD4691">
        <v>-0.20516809999999999</v>
      </c>
      <c r="AE4691">
        <v>9.2099999999987803E-2</v>
      </c>
      <c r="AF4691">
        <v>8.3354707469024403E-2</v>
      </c>
      <c r="AG4691">
        <v>-0.20516809999999999</v>
      </c>
      <c r="AH4691">
        <v>0.40819526244925602</v>
      </c>
      <c r="AI4691">
        <v>116.21839225259799</v>
      </c>
      <c r="AJ4691">
        <v>78.4587023239513</v>
      </c>
      <c r="AK4691">
        <v>0.46439781308795303</v>
      </c>
      <c r="AL4691">
        <v>89.738031271637595</v>
      </c>
      <c r="AM4691">
        <v>85.979320714775497</v>
      </c>
      <c r="AN4691">
        <v>1.0000000182167701</v>
      </c>
    </row>
    <row r="4692" spans="1:40" x14ac:dyDescent="0.25">
      <c r="A4692" t="str">
        <f>"20190312154349222"</f>
        <v>20190312154349222</v>
      </c>
      <c r="B4692" t="str">
        <f>"1552376629212622"</f>
        <v>1552376629212622</v>
      </c>
      <c r="C4692" t="s">
        <v>40</v>
      </c>
      <c r="D4692">
        <v>5.1485729999999998</v>
      </c>
      <c r="E4692">
        <v>0.51489439999999997</v>
      </c>
      <c r="F4692" t="s">
        <v>41</v>
      </c>
      <c r="G4692">
        <v>-244.2354</v>
      </c>
      <c r="H4692">
        <v>0.91511010000000004</v>
      </c>
      <c r="I4692">
        <v>140.72229999999999</v>
      </c>
      <c r="J4692">
        <v>-243.76740000000001</v>
      </c>
      <c r="K4692">
        <v>1.108347</v>
      </c>
      <c r="L4692">
        <v>140.6464</v>
      </c>
      <c r="M4692">
        <v>-0.99992369999999997</v>
      </c>
      <c r="N4692">
        <v>0</v>
      </c>
      <c r="O4692">
        <v>-1.13142E-2</v>
      </c>
      <c r="P4692">
        <v>-0.99835030000000002</v>
      </c>
      <c r="Q4692">
        <v>2.432317E-4</v>
      </c>
      <c r="R4692">
        <v>5.741462E-2</v>
      </c>
      <c r="S4692">
        <v>-2.9881289999999998</v>
      </c>
      <c r="T4692">
        <v>-0.76466579999999995</v>
      </c>
      <c r="U4692">
        <v>0.28913879999999997</v>
      </c>
      <c r="V4692">
        <v>6.8716589999999994E-2</v>
      </c>
      <c r="W4692">
        <v>5.0514160000000004E-3</v>
      </c>
      <c r="X4692">
        <v>0.99762340000000005</v>
      </c>
      <c r="Y4692">
        <v>0.10388890000000001</v>
      </c>
      <c r="Z4692">
        <v>1.5896259999999999E-2</v>
      </c>
      <c r="AA4692">
        <v>0.99446190000000001</v>
      </c>
      <c r="AB4692">
        <v>30</v>
      </c>
      <c r="AC4692">
        <v>-0.46799999999998898</v>
      </c>
      <c r="AD4692">
        <v>-0.19323689999999999</v>
      </c>
      <c r="AE4692">
        <v>7.5899999999990003E-2</v>
      </c>
      <c r="AF4692">
        <v>6.9624468885848903E-2</v>
      </c>
      <c r="AG4692">
        <v>-0.19323689999999999</v>
      </c>
      <c r="AH4692">
        <v>0.40056994771575699</v>
      </c>
      <c r="AI4692">
        <v>115.42075700659301</v>
      </c>
      <c r="AJ4692">
        <v>80.139728537179806</v>
      </c>
      <c r="AK4692">
        <v>0.45016035943011601</v>
      </c>
      <c r="AL4692">
        <v>89.710573942315605</v>
      </c>
      <c r="AM4692">
        <v>86.0596737937705</v>
      </c>
      <c r="AN4692">
        <v>0.99999996738619601</v>
      </c>
    </row>
    <row r="4693" spans="1:40" x14ac:dyDescent="0.25">
      <c r="A4693" t="str">
        <f>"20190312154349245"</f>
        <v>20190312154349245</v>
      </c>
      <c r="B4693" t="str">
        <f>"1552376629241902"</f>
        <v>1552376629241902</v>
      </c>
      <c r="C4693" t="s">
        <v>40</v>
      </c>
      <c r="D4693">
        <v>4.697705</v>
      </c>
      <c r="E4693">
        <v>0.48178019999999999</v>
      </c>
      <c r="F4693" t="s">
        <v>41</v>
      </c>
      <c r="G4693">
        <v>-244.50970000000001</v>
      </c>
      <c r="H4693">
        <v>0.9233017</v>
      </c>
      <c r="I4693">
        <v>140.7131</v>
      </c>
      <c r="J4693">
        <v>-244.0752</v>
      </c>
      <c r="K4693">
        <v>1.1083510000000001</v>
      </c>
      <c r="L4693">
        <v>140.6439</v>
      </c>
      <c r="M4693">
        <v>-0.9999344</v>
      </c>
      <c r="N4693">
        <v>0</v>
      </c>
      <c r="O4693">
        <v>-1.0327670000000001E-2</v>
      </c>
      <c r="P4693">
        <v>-0.99832710000000002</v>
      </c>
      <c r="Q4693" s="1">
        <v>8.8517549999999896E-5</v>
      </c>
      <c r="R4693">
        <v>5.7821419999999998E-2</v>
      </c>
      <c r="S4693">
        <v>-2.9896850000000001</v>
      </c>
      <c r="T4693">
        <v>-0.74536480000000005</v>
      </c>
      <c r="U4693">
        <v>0.268814099999999</v>
      </c>
      <c r="V4693">
        <v>6.8138679999999993E-2</v>
      </c>
      <c r="W4693">
        <v>4.9174270000000003E-3</v>
      </c>
      <c r="X4693">
        <v>0.99766370000000004</v>
      </c>
      <c r="Y4693">
        <v>9.6586580000000005E-2</v>
      </c>
      <c r="Z4693">
        <v>1.43672E-2</v>
      </c>
      <c r="AA4693">
        <v>0.99522089999999996</v>
      </c>
      <c r="AB4693">
        <v>30</v>
      </c>
      <c r="AC4693">
        <v>-0.43450000000001399</v>
      </c>
      <c r="AD4693">
        <v>-0.1850493</v>
      </c>
      <c r="AE4693">
        <v>6.9199999999995002E-2</v>
      </c>
      <c r="AF4693">
        <v>6.2608561368832194E-2</v>
      </c>
      <c r="AG4693">
        <v>-0.1850493</v>
      </c>
      <c r="AH4693">
        <v>0.36856469099904898</v>
      </c>
      <c r="AI4693">
        <v>116.33494681375301</v>
      </c>
      <c r="AJ4693">
        <v>80.359121957062001</v>
      </c>
      <c r="AK4693">
        <v>0.417136676448366</v>
      </c>
      <c r="AL4693">
        <v>89.718251039931999</v>
      </c>
      <c r="AM4693">
        <v>86.092866401253602</v>
      </c>
      <c r="AN4693">
        <v>0.99999995954906495</v>
      </c>
    </row>
    <row r="4694" spans="1:40" x14ac:dyDescent="0.25">
      <c r="A4694" t="str">
        <f>"20190312154349269"</f>
        <v>20190312154349269</v>
      </c>
      <c r="B4694" t="str">
        <f>"1552376629262398"</f>
        <v>1552376629262398</v>
      </c>
      <c r="C4694" t="s">
        <v>40</v>
      </c>
      <c r="D4694">
        <v>4.7066929999999996</v>
      </c>
      <c r="E4694">
        <v>0.4816259</v>
      </c>
      <c r="F4694" t="s">
        <v>43</v>
      </c>
      <c r="G4694">
        <v>-261.49720000000002</v>
      </c>
      <c r="H4694" s="1">
        <v>-3.9382520000000004E-6</v>
      </c>
      <c r="I4694">
        <v>140.7748</v>
      </c>
      <c r="J4694">
        <v>-244.39259999999999</v>
      </c>
      <c r="K4694">
        <v>1.1083529999999999</v>
      </c>
      <c r="L4694">
        <v>140.64160000000001</v>
      </c>
      <c r="M4694">
        <v>-0.99994400000000006</v>
      </c>
      <c r="N4694">
        <v>0</v>
      </c>
      <c r="O4694">
        <v>-9.3291069999999997E-3</v>
      </c>
      <c r="P4694">
        <v>-0.99832069999999995</v>
      </c>
      <c r="Q4694" s="1">
        <v>-3.7973750000000002E-5</v>
      </c>
      <c r="R4694">
        <v>5.7927949999999999E-2</v>
      </c>
      <c r="S4694">
        <v>-3.0037379999999998</v>
      </c>
      <c r="T4694">
        <v>-0.1910924</v>
      </c>
      <c r="U4694">
        <v>2.2583010000000001E-2</v>
      </c>
      <c r="V4694">
        <v>6.7248390000000005E-2</v>
      </c>
      <c r="W4694">
        <v>4.8125240000000003E-3</v>
      </c>
      <c r="X4694">
        <v>0.99772470000000002</v>
      </c>
      <c r="Y4694">
        <v>1.6793909999999999E-2</v>
      </c>
      <c r="Z4694">
        <v>1.1265509999999999E-3</v>
      </c>
      <c r="AA4694">
        <v>0.99985829999999998</v>
      </c>
      <c r="AB4694">
        <v>30</v>
      </c>
      <c r="AC4694">
        <v>-17.104600000000001</v>
      </c>
      <c r="AD4694">
        <v>-1.108356938252</v>
      </c>
      <c r="AE4694">
        <v>0.13319999999998799</v>
      </c>
      <c r="AF4694">
        <v>0.29154276004492702</v>
      </c>
      <c r="AG4694">
        <v>-1.108356938252</v>
      </c>
      <c r="AH4694">
        <v>17.031105757138601</v>
      </c>
      <c r="AI4694">
        <v>93.722922557420205</v>
      </c>
      <c r="AJ4694">
        <v>89.019292194517206</v>
      </c>
      <c r="AK4694">
        <v>17.069622596716801</v>
      </c>
      <c r="AL4694">
        <v>89.724261633108995</v>
      </c>
      <c r="AM4694">
        <v>86.143996451057305</v>
      </c>
      <c r="AN4694">
        <v>1.0000000416674599</v>
      </c>
    </row>
    <row r="4695" spans="1:40" x14ac:dyDescent="0.25">
      <c r="A4695" t="str">
        <f>"20190312154349292"</f>
        <v>20190312154349292</v>
      </c>
      <c r="B4695" t="str">
        <f>"1552376629281917"</f>
        <v>1552376629281917</v>
      </c>
      <c r="C4695" t="s">
        <v>40</v>
      </c>
      <c r="D4695">
        <v>4.7601889999999996</v>
      </c>
      <c r="E4695">
        <v>0.48242649999999998</v>
      </c>
      <c r="F4695" t="s">
        <v>43</v>
      </c>
      <c r="G4695">
        <v>-264.86540000000002</v>
      </c>
      <c r="H4695" s="1">
        <v>-2.4989010000000001E-6</v>
      </c>
      <c r="I4695">
        <v>140.79580000000001</v>
      </c>
      <c r="J4695">
        <v>-244.71100000000001</v>
      </c>
      <c r="K4695">
        <v>1.1083639999999999</v>
      </c>
      <c r="L4695">
        <v>140.6396</v>
      </c>
      <c r="M4695">
        <v>-0.99995259999999997</v>
      </c>
      <c r="N4695">
        <v>0</v>
      </c>
      <c r="O4695">
        <v>-8.3509429999999996E-3</v>
      </c>
      <c r="P4695">
        <v>-0.99826769999999998</v>
      </c>
      <c r="Q4695">
        <v>-3.3551639999999998E-4</v>
      </c>
      <c r="R4695">
        <v>5.883559E-2</v>
      </c>
      <c r="S4695">
        <v>-3.0037229999999999</v>
      </c>
      <c r="T4695">
        <v>-0.16261579999999901</v>
      </c>
      <c r="U4695">
        <v>2.2628780000000001E-2</v>
      </c>
      <c r="V4695">
        <v>6.7179039999999995E-2</v>
      </c>
      <c r="W4695">
        <v>4.5345309999999996E-3</v>
      </c>
      <c r="X4695">
        <v>0.99773060000000002</v>
      </c>
      <c r="Y4695">
        <v>1.584847E-2</v>
      </c>
      <c r="Z4695">
        <v>8.8045500000000004E-4</v>
      </c>
      <c r="AA4695">
        <v>0.99987400000000004</v>
      </c>
      <c r="AB4695">
        <v>30</v>
      </c>
      <c r="AC4695">
        <v>-20.154399999999999</v>
      </c>
      <c r="AD4695">
        <v>-1.10836649890099</v>
      </c>
      <c r="AE4695">
        <v>0.156200000000012</v>
      </c>
      <c r="AF4695">
        <v>0.32352652034644203</v>
      </c>
      <c r="AG4695">
        <v>-1.10836649890099</v>
      </c>
      <c r="AH4695">
        <v>20.091632991304301</v>
      </c>
      <c r="AI4695">
        <v>93.157145729422496</v>
      </c>
      <c r="AJ4695">
        <v>89.077471587637504</v>
      </c>
      <c r="AK4695">
        <v>20.124782283605501</v>
      </c>
      <c r="AL4695">
        <v>89.740189612883896</v>
      </c>
      <c r="AM4695">
        <v>86.147983692667694</v>
      </c>
      <c r="AN4695">
        <v>0.99999996778153499</v>
      </c>
    </row>
    <row r="4696" spans="1:40" x14ac:dyDescent="0.25">
      <c r="A4696" t="str">
        <f>"20190312154349314"</f>
        <v>20190312154349314</v>
      </c>
      <c r="B4696" t="str">
        <f>"1552376629302413"</f>
        <v>1552376629302413</v>
      </c>
      <c r="C4696" t="s">
        <v>40</v>
      </c>
      <c r="D4696">
        <v>4.7746890000000004</v>
      </c>
      <c r="E4696">
        <v>0.48293609999999998</v>
      </c>
      <c r="F4696" t="s">
        <v>43</v>
      </c>
      <c r="G4696">
        <v>-267.65839999999997</v>
      </c>
      <c r="H4696" s="1">
        <v>-1.3248950000000001E-6</v>
      </c>
      <c r="I4696">
        <v>140.88669999999999</v>
      </c>
      <c r="J4696">
        <v>-245.01599999999999</v>
      </c>
      <c r="K4696">
        <v>1.1083689999999999</v>
      </c>
      <c r="L4696">
        <v>140.6379</v>
      </c>
      <c r="M4696">
        <v>-0.99995990000000001</v>
      </c>
      <c r="N4696">
        <v>0</v>
      </c>
      <c r="O4696">
        <v>-7.4333359999999996E-3</v>
      </c>
      <c r="P4696">
        <v>-0.9982086</v>
      </c>
      <c r="Q4696">
        <v>-1.479369E-4</v>
      </c>
      <c r="R4696">
        <v>5.983231E-2</v>
      </c>
      <c r="S4696">
        <v>-3.0032649999999999</v>
      </c>
      <c r="T4696">
        <v>-0.145058299999999</v>
      </c>
      <c r="U4696">
        <v>3.2348630000000003E-2</v>
      </c>
      <c r="V4696">
        <v>6.7259890000000003E-2</v>
      </c>
      <c r="W4696">
        <v>4.740523E-3</v>
      </c>
      <c r="X4696">
        <v>0.99772419999999995</v>
      </c>
      <c r="Y4696">
        <v>1.8173379999999999E-2</v>
      </c>
      <c r="Z4696">
        <v>7.9743809999999996E-4</v>
      </c>
      <c r="AA4696">
        <v>0.99983449999999996</v>
      </c>
      <c r="AB4696">
        <v>31</v>
      </c>
      <c r="AC4696">
        <v>-22.642399999999899</v>
      </c>
      <c r="AD4696">
        <v>-1.1083703248950001</v>
      </c>
      <c r="AE4696">
        <v>0.248799999999988</v>
      </c>
      <c r="AF4696">
        <v>0.41610683334862297</v>
      </c>
      <c r="AG4696">
        <v>-1.1083703248950001</v>
      </c>
      <c r="AH4696">
        <v>22.585811180499999</v>
      </c>
      <c r="AI4696">
        <v>92.808988693844597</v>
      </c>
      <c r="AJ4696">
        <v>88.944537863121298</v>
      </c>
      <c r="AK4696">
        <v>22.616818882306799</v>
      </c>
      <c r="AL4696">
        <v>89.728387014582296</v>
      </c>
      <c r="AM4696">
        <v>86.143337107232199</v>
      </c>
      <c r="AN4696">
        <v>0.999999972313382</v>
      </c>
    </row>
    <row r="4697" spans="1:40" x14ac:dyDescent="0.25">
      <c r="A4697" t="str">
        <f>"20190312154349336"</f>
        <v>20190312154349336</v>
      </c>
      <c r="B4697" t="str">
        <f>"1552376629332670"</f>
        <v>1552376629332670</v>
      </c>
      <c r="C4697" t="s">
        <v>40</v>
      </c>
      <c r="D4697">
        <v>4.7685320000000004</v>
      </c>
      <c r="E4697">
        <v>0.48276720000000001</v>
      </c>
      <c r="F4697" t="s">
        <v>43</v>
      </c>
      <c r="G4697">
        <v>-270.0095</v>
      </c>
      <c r="H4697" s="1">
        <v>-4.5127040000000001E-6</v>
      </c>
      <c r="I4697">
        <v>140.96870000000001</v>
      </c>
      <c r="J4697">
        <v>-245.3193</v>
      </c>
      <c r="K4697">
        <v>1.108379</v>
      </c>
      <c r="L4697">
        <v>140.63659999999999</v>
      </c>
      <c r="M4697">
        <v>-0.99996589999999996</v>
      </c>
      <c r="N4697">
        <v>0</v>
      </c>
      <c r="O4697">
        <v>-6.5426750000000004E-3</v>
      </c>
      <c r="P4697">
        <v>-0.99814000000000003</v>
      </c>
      <c r="Q4697">
        <v>2.3223180000000001E-4</v>
      </c>
      <c r="R4697">
        <v>6.0962929999999999E-2</v>
      </c>
      <c r="S4697">
        <v>-3.0029910000000002</v>
      </c>
      <c r="T4697">
        <v>-0.13317200000000001</v>
      </c>
      <c r="U4697">
        <v>3.9749149999999997E-2</v>
      </c>
      <c r="V4697">
        <v>6.750196E-2</v>
      </c>
      <c r="W4697">
        <v>5.1381999999999999E-3</v>
      </c>
      <c r="X4697">
        <v>0.99770590000000003</v>
      </c>
      <c r="Y4697">
        <v>1.975143E-2</v>
      </c>
      <c r="Z4697">
        <v>7.2771350000000001E-4</v>
      </c>
      <c r="AA4697">
        <v>0.99980469999999999</v>
      </c>
      <c r="AB4697">
        <v>31</v>
      </c>
      <c r="AC4697">
        <v>-24.690200000000001</v>
      </c>
      <c r="AD4697">
        <v>-1.108383512704</v>
      </c>
      <c r="AE4697">
        <v>0.33210000000002499</v>
      </c>
      <c r="AF4697">
        <v>0.49264227470518601</v>
      </c>
      <c r="AG4697">
        <v>-1.108383512704</v>
      </c>
      <c r="AH4697">
        <v>24.637855996321498</v>
      </c>
      <c r="AI4697">
        <v>92.575315073141297</v>
      </c>
      <c r="AJ4697">
        <v>88.8545041297007</v>
      </c>
      <c r="AK4697">
        <v>24.667694633214801</v>
      </c>
      <c r="AL4697">
        <v>89.705601527138498</v>
      </c>
      <c r="AM4697">
        <v>86.129428218884001</v>
      </c>
      <c r="AN4697">
        <v>0.99999998929894496</v>
      </c>
    </row>
    <row r="4698" spans="1:40" x14ac:dyDescent="0.25">
      <c r="A4698" t="str">
        <f>"20190312154349359"</f>
        <v>20190312154349359</v>
      </c>
      <c r="B4698" t="str">
        <f>"1552376629352191"</f>
        <v>1552376629352191</v>
      </c>
      <c r="C4698" t="s">
        <v>40</v>
      </c>
      <c r="D4698">
        <v>4.7533969999999997</v>
      </c>
      <c r="E4698">
        <v>0.48227759999999997</v>
      </c>
      <c r="F4698" t="s">
        <v>43</v>
      </c>
      <c r="G4698">
        <v>-272.56670000000003</v>
      </c>
      <c r="H4698" s="1">
        <v>-3.5441129999999998E-6</v>
      </c>
      <c r="I4698">
        <v>141.01779999999999</v>
      </c>
      <c r="J4698">
        <v>-245.6328</v>
      </c>
      <c r="K4698">
        <v>1.108392</v>
      </c>
      <c r="L4698">
        <v>140.6354</v>
      </c>
      <c r="M4698">
        <v>-0.99997130000000001</v>
      </c>
      <c r="N4698">
        <v>0</v>
      </c>
      <c r="O4698">
        <v>-5.6492840000000001E-3</v>
      </c>
      <c r="P4698">
        <v>-0.99807020000000002</v>
      </c>
      <c r="Q4698" s="1">
        <v>4.8221089999999997E-5</v>
      </c>
      <c r="R4698">
        <v>6.2098010000000002E-2</v>
      </c>
      <c r="S4698">
        <v>-3.0030519999999998</v>
      </c>
      <c r="T4698">
        <v>-0.1221598</v>
      </c>
      <c r="U4698">
        <v>4.2022709999999998E-2</v>
      </c>
      <c r="V4698">
        <v>6.7744570000000004E-2</v>
      </c>
      <c r="W4698">
        <v>4.9732170000000003E-3</v>
      </c>
      <c r="X4698">
        <v>0.99769030000000003</v>
      </c>
      <c r="Y4698">
        <v>1.9619649999999999E-2</v>
      </c>
      <c r="Z4698">
        <v>6.2856800000000003E-4</v>
      </c>
      <c r="AA4698">
        <v>0.99980729999999995</v>
      </c>
      <c r="AB4698">
        <v>31</v>
      </c>
      <c r="AC4698">
        <v>-26.933900000000001</v>
      </c>
      <c r="AD4698">
        <v>-1.108395544113</v>
      </c>
      <c r="AE4698">
        <v>0.38239999999998903</v>
      </c>
      <c r="AF4698">
        <v>0.53364952145985201</v>
      </c>
      <c r="AG4698">
        <v>-1.108395544113</v>
      </c>
      <c r="AH4698">
        <v>26.885787363633401</v>
      </c>
      <c r="AI4698">
        <v>92.360279029043099</v>
      </c>
      <c r="AJ4698">
        <v>88.862899178044799</v>
      </c>
      <c r="AK4698">
        <v>26.913916189519401</v>
      </c>
      <c r="AL4698">
        <v>89.715054479898697</v>
      </c>
      <c r="AM4698">
        <v>86.115498888355702</v>
      </c>
      <c r="AN4698">
        <v>0.99999999718295196</v>
      </c>
    </row>
    <row r="4699" spans="1:40" x14ac:dyDescent="0.25">
      <c r="A4699" t="str">
        <f>"20190312154349380"</f>
        <v>20190312154349380</v>
      </c>
      <c r="B4699" t="str">
        <f>"1552376629372686"</f>
        <v>1552376629372686</v>
      </c>
      <c r="C4699" t="s">
        <v>40</v>
      </c>
      <c r="D4699">
        <v>4.7843229999999997</v>
      </c>
      <c r="E4699">
        <v>0.48201559999999999</v>
      </c>
      <c r="F4699" t="s">
        <v>43</v>
      </c>
      <c r="G4699">
        <v>-273.2792</v>
      </c>
      <c r="H4699" s="1">
        <v>-3.2386490000000001E-6</v>
      </c>
      <c r="I4699">
        <v>141.01849999999999</v>
      </c>
      <c r="J4699">
        <v>-245.93299999999999</v>
      </c>
      <c r="K4699">
        <v>1.1084099999999999</v>
      </c>
      <c r="L4699">
        <v>140.6345</v>
      </c>
      <c r="M4699">
        <v>-0.99997559999999996</v>
      </c>
      <c r="N4699">
        <v>0</v>
      </c>
      <c r="O4699">
        <v>-4.8202690000000003E-3</v>
      </c>
      <c r="P4699">
        <v>-0.99803869999999895</v>
      </c>
      <c r="Q4699" s="1">
        <v>-8.9308249999999997E-5</v>
      </c>
      <c r="R4699">
        <v>6.2601149999999994E-2</v>
      </c>
      <c r="S4699">
        <v>-3.0032040000000002</v>
      </c>
      <c r="T4699">
        <v>-0.120404399999999</v>
      </c>
      <c r="U4699">
        <v>4.162598E-2</v>
      </c>
      <c r="V4699">
        <v>6.7420140000000003E-2</v>
      </c>
      <c r="W4699">
        <v>4.854962E-3</v>
      </c>
      <c r="X4699">
        <v>0.99771290000000001</v>
      </c>
      <c r="Y4699">
        <v>1.8660039999999999E-2</v>
      </c>
      <c r="Z4699">
        <v>5.6706149999999995E-4</v>
      </c>
      <c r="AA4699">
        <v>0.99982570000000004</v>
      </c>
      <c r="AB4699">
        <v>31</v>
      </c>
      <c r="AC4699">
        <v>-27.3462</v>
      </c>
      <c r="AD4699">
        <v>-1.108413238649</v>
      </c>
      <c r="AE4699">
        <v>0.38399999999998602</v>
      </c>
      <c r="AF4699">
        <v>0.51496739395767999</v>
      </c>
      <c r="AG4699">
        <v>-1.108413238649</v>
      </c>
      <c r="AH4699">
        <v>27.299190465296299</v>
      </c>
      <c r="AI4699">
        <v>92.324657165471294</v>
      </c>
      <c r="AJ4699">
        <v>88.919310106912405</v>
      </c>
      <c r="AK4699">
        <v>27.326536029745501</v>
      </c>
      <c r="AL4699">
        <v>89.721830085597901</v>
      </c>
      <c r="AM4699">
        <v>86.134132595419004</v>
      </c>
      <c r="AN4699">
        <v>1.0000000383800201</v>
      </c>
    </row>
    <row r="4700" spans="1:40" x14ac:dyDescent="0.25">
      <c r="A4700" t="str">
        <f>"20190312154349402"</f>
        <v>20190312154349402</v>
      </c>
      <c r="B4700" t="str">
        <f>"1552376629392212"</f>
        <v>1552376629392212</v>
      </c>
      <c r="C4700" t="s">
        <v>40</v>
      </c>
      <c r="D4700">
        <v>4.7583880000000001</v>
      </c>
      <c r="E4700">
        <v>0.48168129999999998</v>
      </c>
      <c r="F4700" t="s">
        <v>43</v>
      </c>
      <c r="G4700">
        <v>-274.09449999999998</v>
      </c>
      <c r="H4700" s="1">
        <v>-2.889477E-6</v>
      </c>
      <c r="I4700">
        <v>141.02070000000001</v>
      </c>
      <c r="J4700">
        <v>-246.2475</v>
      </c>
      <c r="K4700">
        <v>1.1084229999999999</v>
      </c>
      <c r="L4700">
        <v>140.63380000000001</v>
      </c>
      <c r="M4700">
        <v>-0.99997919999999996</v>
      </c>
      <c r="N4700">
        <v>0</v>
      </c>
      <c r="O4700">
        <v>-3.9775459999999898E-3</v>
      </c>
      <c r="P4700">
        <v>-0.99801669999999998</v>
      </c>
      <c r="Q4700">
        <v>-2.054824E-4</v>
      </c>
      <c r="R4700">
        <v>6.2951069999999998E-2</v>
      </c>
      <c r="S4700">
        <v>-3.0032960000000002</v>
      </c>
      <c r="T4700">
        <v>-0.11820749999999999</v>
      </c>
      <c r="U4700">
        <v>4.1198730000000003E-2</v>
      </c>
      <c r="V4700">
        <v>6.6928799999999997E-2</v>
      </c>
      <c r="W4700">
        <v>4.7538739999999999E-3</v>
      </c>
      <c r="X4700">
        <v>0.99774640000000003</v>
      </c>
      <c r="Y4700">
        <v>1.7676899999999999E-2</v>
      </c>
      <c r="Z4700">
        <v>5.0421180000000002E-4</v>
      </c>
      <c r="AA4700">
        <v>0.99984360000000005</v>
      </c>
      <c r="AB4700">
        <v>31</v>
      </c>
      <c r="AC4700">
        <v>-27.846999999999898</v>
      </c>
      <c r="AD4700">
        <v>-1.1084258894769901</v>
      </c>
      <c r="AE4700">
        <v>0.38689999999999702</v>
      </c>
      <c r="AF4700">
        <v>0.496874010383836</v>
      </c>
      <c r="AG4700">
        <v>-1.1084258894769901</v>
      </c>
      <c r="AH4700">
        <v>27.801201901999899</v>
      </c>
      <c r="AI4700">
        <v>92.282792754912407</v>
      </c>
      <c r="AJ4700">
        <v>88.976096312797694</v>
      </c>
      <c r="AK4700">
        <v>27.827725723285798</v>
      </c>
      <c r="AL4700">
        <v>89.727622049672306</v>
      </c>
      <c r="AM4700">
        <v>86.1623499770199</v>
      </c>
      <c r="AN4700">
        <v>0.999999971150203</v>
      </c>
    </row>
    <row r="4701" spans="1:40" x14ac:dyDescent="0.25">
      <c r="A4701" t="str">
        <f>"20190312154349425"</f>
        <v>20190312154349425</v>
      </c>
      <c r="B4701" t="str">
        <f>"1552376629411726"</f>
        <v>1552376629411726</v>
      </c>
      <c r="C4701" t="s">
        <v>40</v>
      </c>
      <c r="D4701">
        <v>4.7771569999999999</v>
      </c>
      <c r="E4701">
        <v>0.4814177</v>
      </c>
      <c r="F4701" t="s">
        <v>43</v>
      </c>
      <c r="G4701">
        <v>-274.07100000000003</v>
      </c>
      <c r="H4701" s="1">
        <v>-2.8944070000000002E-6</v>
      </c>
      <c r="I4701">
        <v>141.00139999999999</v>
      </c>
      <c r="J4701">
        <v>-246.5583</v>
      </c>
      <c r="K4701">
        <v>1.108433</v>
      </c>
      <c r="L4701">
        <v>140.63329999999999</v>
      </c>
      <c r="M4701">
        <v>-0.99998220000000004</v>
      </c>
      <c r="N4701">
        <v>0</v>
      </c>
      <c r="O4701">
        <v>-3.1691240000000002E-3</v>
      </c>
      <c r="P4701">
        <v>-0.99802820000000003</v>
      </c>
      <c r="Q4701">
        <v>-1.7969589999999999E-4</v>
      </c>
      <c r="R4701">
        <v>6.2771320000000005E-2</v>
      </c>
      <c r="S4701">
        <v>-3.0034640000000001</v>
      </c>
      <c r="T4701">
        <v>-0.1196516</v>
      </c>
      <c r="U4701">
        <v>3.9688109999999999E-2</v>
      </c>
      <c r="V4701">
        <v>6.5942440000000005E-2</v>
      </c>
      <c r="W4701">
        <v>4.7781919999999997E-3</v>
      </c>
      <c r="X4701">
        <v>0.99781200000000003</v>
      </c>
      <c r="Y4701">
        <v>1.6366289999999999E-2</v>
      </c>
      <c r="Z4701">
        <v>4.52053E-4</v>
      </c>
      <c r="AA4701">
        <v>0.99986589999999997</v>
      </c>
      <c r="AB4701">
        <v>31</v>
      </c>
      <c r="AC4701">
        <v>-27.512699999999899</v>
      </c>
      <c r="AD4701">
        <v>-1.1084358944069901</v>
      </c>
      <c r="AE4701">
        <v>0.36809999999999798</v>
      </c>
      <c r="AF4701">
        <v>0.45455275490994801</v>
      </c>
      <c r="AG4701">
        <v>-1.1084358944069901</v>
      </c>
      <c r="AH4701">
        <v>27.4668208779328</v>
      </c>
      <c r="AI4701">
        <v>92.310626912181405</v>
      </c>
      <c r="AJ4701">
        <v>89.051889647659706</v>
      </c>
      <c r="AK4701">
        <v>27.492935410382199</v>
      </c>
      <c r="AL4701">
        <v>89.726228726204894</v>
      </c>
      <c r="AM4701">
        <v>86.218989737117994</v>
      </c>
      <c r="AN4701">
        <v>1.0000000119279699</v>
      </c>
    </row>
    <row r="4702" spans="1:40" x14ac:dyDescent="0.25">
      <c r="A4702" t="str">
        <f>"20190312154349446"</f>
        <v>20190312154349446</v>
      </c>
      <c r="B4702" t="str">
        <f>"1552376629441982"</f>
        <v>1552376629441982</v>
      </c>
      <c r="C4702" t="s">
        <v>40</v>
      </c>
      <c r="D4702">
        <v>4.806324</v>
      </c>
      <c r="E4702">
        <v>0.48123389999999999</v>
      </c>
      <c r="F4702" t="s">
        <v>43</v>
      </c>
      <c r="G4702">
        <v>-274.50049999999999</v>
      </c>
      <c r="H4702" s="1">
        <v>-2.7040080000000001E-6</v>
      </c>
      <c r="I4702">
        <v>140.97829999999999</v>
      </c>
      <c r="J4702">
        <v>-246.8698</v>
      </c>
      <c r="K4702">
        <v>1.1084309999999999</v>
      </c>
      <c r="L4702">
        <v>140.63310000000001</v>
      </c>
      <c r="M4702">
        <v>-0.9999846</v>
      </c>
      <c r="N4702">
        <v>0</v>
      </c>
      <c r="O4702">
        <v>-2.3795999999999999E-3</v>
      </c>
      <c r="P4702">
        <v>-0.99804630000000005</v>
      </c>
      <c r="Q4702" s="1">
        <v>-2.988521E-5</v>
      </c>
      <c r="R4702">
        <v>6.2481160000000001E-2</v>
      </c>
      <c r="S4702">
        <v>-3.003571</v>
      </c>
      <c r="T4702">
        <v>-0.1191485</v>
      </c>
      <c r="U4702">
        <v>3.7094120000000001E-2</v>
      </c>
      <c r="V4702">
        <v>6.4864320000000003E-2</v>
      </c>
      <c r="W4702">
        <v>4.897401E-3</v>
      </c>
      <c r="X4702">
        <v>0.99788209999999999</v>
      </c>
      <c r="Y4702">
        <v>1.471504E-2</v>
      </c>
      <c r="Z4702">
        <v>3.8609620000000001E-4</v>
      </c>
      <c r="AA4702">
        <v>0.99989159999999999</v>
      </c>
      <c r="AB4702">
        <v>31</v>
      </c>
      <c r="AC4702">
        <v>-27.630699999999901</v>
      </c>
      <c r="AD4702">
        <v>-1.1084337040079999</v>
      </c>
      <c r="AE4702">
        <v>0.34519999999997703</v>
      </c>
      <c r="AF4702">
        <v>0.410289688635389</v>
      </c>
      <c r="AG4702">
        <v>-1.1084337040079999</v>
      </c>
      <c r="AH4702">
        <v>27.585414178271702</v>
      </c>
      <c r="AI4702">
        <v>92.300759874513403</v>
      </c>
      <c r="AJ4702">
        <v>89.147878144829804</v>
      </c>
      <c r="AK4702">
        <v>27.610723248252199</v>
      </c>
      <c r="AL4702">
        <v>89.719398477447797</v>
      </c>
      <c r="AM4702">
        <v>86.280892618625501</v>
      </c>
      <c r="AN4702">
        <v>1.0000000250230101</v>
      </c>
    </row>
    <row r="4703" spans="1:40" x14ac:dyDescent="0.25">
      <c r="A4703" t="str">
        <f>"20190312154349470"</f>
        <v>20190312154349470</v>
      </c>
      <c r="B4703" t="str">
        <f>"1552376629462478"</f>
        <v>1552376629462478</v>
      </c>
      <c r="C4703" t="s">
        <v>40</v>
      </c>
      <c r="D4703">
        <v>4.8799359999999998</v>
      </c>
      <c r="E4703">
        <v>0.48108669999999998</v>
      </c>
      <c r="F4703" t="s">
        <v>43</v>
      </c>
      <c r="G4703">
        <v>-274.6814</v>
      </c>
      <c r="H4703" s="1">
        <v>-2.6204170000000002E-6</v>
      </c>
      <c r="I4703">
        <v>140.95580000000001</v>
      </c>
      <c r="J4703">
        <v>-247.191</v>
      </c>
      <c r="K4703">
        <v>1.10842</v>
      </c>
      <c r="L4703">
        <v>140.63310000000001</v>
      </c>
      <c r="M4703">
        <v>-0.9999865</v>
      </c>
      <c r="N4703">
        <v>0</v>
      </c>
      <c r="O4703">
        <v>-1.584282E-3</v>
      </c>
      <c r="P4703">
        <v>-0.99805889999999997</v>
      </c>
      <c r="Q4703">
        <v>2.8913000000000002E-4</v>
      </c>
      <c r="R4703">
        <v>6.2279840000000003E-2</v>
      </c>
      <c r="S4703">
        <v>-3.003708</v>
      </c>
      <c r="T4703">
        <v>-0.1197129</v>
      </c>
      <c r="U4703">
        <v>3.4866330000000001E-2</v>
      </c>
      <c r="V4703">
        <v>6.3869620000000002E-2</v>
      </c>
      <c r="W4703">
        <v>5.1467830000000003E-3</v>
      </c>
      <c r="X4703">
        <v>0.99794499999999997</v>
      </c>
      <c r="Y4703">
        <v>1.3179440000000001E-2</v>
      </c>
      <c r="Z4703">
        <v>3.2563600000000002E-4</v>
      </c>
      <c r="AA4703">
        <v>0.9999131</v>
      </c>
      <c r="AB4703">
        <v>31</v>
      </c>
      <c r="AC4703">
        <v>-27.490400000000001</v>
      </c>
      <c r="AD4703">
        <v>-1.108422620417</v>
      </c>
      <c r="AE4703">
        <v>0.32269999999999699</v>
      </c>
      <c r="AF4703">
        <v>0.365658294150494</v>
      </c>
      <c r="AG4703">
        <v>-1.108422620417</v>
      </c>
      <c r="AH4703">
        <v>27.445241816911</v>
      </c>
      <c r="AI4703">
        <v>92.312525305835294</v>
      </c>
      <c r="AJ4703">
        <v>89.236682349663198</v>
      </c>
      <c r="AK4703">
        <v>27.4700492369827</v>
      </c>
      <c r="AL4703">
        <v>89.705109760120607</v>
      </c>
      <c r="AM4703">
        <v>86.337999239789596</v>
      </c>
      <c r="AN4703">
        <v>1.00000002037959</v>
      </c>
    </row>
    <row r="4704" spans="1:40" x14ac:dyDescent="0.25">
      <c r="A4704" t="str">
        <f>"20190312154349493"</f>
        <v>20190312154349493</v>
      </c>
      <c r="B4704" t="str">
        <f>"1552376629481999"</f>
        <v>1552376629481999</v>
      </c>
      <c r="C4704" t="s">
        <v>40</v>
      </c>
      <c r="D4704">
        <v>4.9089739999999997</v>
      </c>
      <c r="E4704">
        <v>0.48094819999999999</v>
      </c>
      <c r="F4704" t="s">
        <v>43</v>
      </c>
      <c r="G4704">
        <v>-275.44009999999997</v>
      </c>
      <c r="H4704" s="1">
        <v>-2.2919399999999999E-6</v>
      </c>
      <c r="I4704">
        <v>140.94450000000001</v>
      </c>
      <c r="J4704">
        <v>-247.52269999999999</v>
      </c>
      <c r="K4704">
        <v>1.1084050000000001</v>
      </c>
      <c r="L4704">
        <v>140.63329999999999</v>
      </c>
      <c r="M4704">
        <v>-0.99998790000000004</v>
      </c>
      <c r="N4704">
        <v>0</v>
      </c>
      <c r="O4704">
        <v>-7.797069E-4</v>
      </c>
      <c r="P4704">
        <v>-0.99805809999999995</v>
      </c>
      <c r="Q4704">
        <v>7.451456E-4</v>
      </c>
      <c r="R4704">
        <v>6.2287769999999999E-2</v>
      </c>
      <c r="S4704">
        <v>-3.0037989999999999</v>
      </c>
      <c r="T4704">
        <v>-0.11786149999999999</v>
      </c>
      <c r="U4704">
        <v>3.3126830000000003E-2</v>
      </c>
      <c r="V4704">
        <v>6.3075140000000002E-2</v>
      </c>
      <c r="W4704">
        <v>5.4891469999999998E-3</v>
      </c>
      <c r="X4704">
        <v>0.99799369999999998</v>
      </c>
      <c r="Y4704">
        <v>1.179763E-2</v>
      </c>
      <c r="Z4704">
        <v>2.6193990000000002E-4</v>
      </c>
      <c r="AA4704">
        <v>0.9999304</v>
      </c>
      <c r="AB4704">
        <v>32</v>
      </c>
      <c r="AC4704">
        <v>-27.917399999999901</v>
      </c>
      <c r="AD4704">
        <v>-1.1084072919400001</v>
      </c>
      <c r="AE4704">
        <v>0.31120000000001302</v>
      </c>
      <c r="AF4704">
        <v>0.33244357389978202</v>
      </c>
      <c r="AG4704">
        <v>-1.1084072919400001</v>
      </c>
      <c r="AH4704">
        <v>27.873216768372</v>
      </c>
      <c r="AI4704">
        <v>92.277064296985202</v>
      </c>
      <c r="AJ4704">
        <v>89.316666219327601</v>
      </c>
      <c r="AK4704">
        <v>27.8972274334083</v>
      </c>
      <c r="AL4704">
        <v>89.685493468975395</v>
      </c>
      <c r="AM4704">
        <v>86.383605556398194</v>
      </c>
      <c r="AN4704">
        <v>1.0000000146302399</v>
      </c>
    </row>
    <row r="4705" spans="1:40" x14ac:dyDescent="0.25">
      <c r="A4705" t="str">
        <f>"20190312154349516"</f>
        <v>20190312154349516</v>
      </c>
      <c r="B4705" t="str">
        <f>"1552376629502493"</f>
        <v>1552376629502493</v>
      </c>
      <c r="C4705" t="s">
        <v>40</v>
      </c>
      <c r="D4705">
        <v>4.9354719999999999</v>
      </c>
      <c r="E4705">
        <v>0.48075430000000002</v>
      </c>
      <c r="F4705" t="s">
        <v>43</v>
      </c>
      <c r="G4705">
        <v>-276.21640000000002</v>
      </c>
      <c r="H4705" s="1">
        <v>-1.9572079999999999E-6</v>
      </c>
      <c r="I4705">
        <v>140.93819999999999</v>
      </c>
      <c r="J4705">
        <v>-247.8494</v>
      </c>
      <c r="K4705">
        <v>1.108385</v>
      </c>
      <c r="L4705">
        <v>140.63380000000001</v>
      </c>
      <c r="M4705">
        <v>-0.99998900000000002</v>
      </c>
      <c r="N4705">
        <v>0</v>
      </c>
      <c r="O4705" s="1">
        <v>1.0087219999999999E-6</v>
      </c>
      <c r="P4705">
        <v>-0.99804559999999998</v>
      </c>
      <c r="Q4705">
        <v>9.7515899999999997E-4</v>
      </c>
      <c r="R4705">
        <v>6.2484900000000003E-2</v>
      </c>
      <c r="S4705">
        <v>-3.003952</v>
      </c>
      <c r="T4705">
        <v>-0.1160395</v>
      </c>
      <c r="U4705">
        <v>3.1921390000000001E-2</v>
      </c>
      <c r="V4705">
        <v>6.2492989999999998E-2</v>
      </c>
      <c r="W4705">
        <v>5.5816520000000003E-3</v>
      </c>
      <c r="X4705">
        <v>0.99802979999999997</v>
      </c>
      <c r="Y4705">
        <v>1.061694E-2</v>
      </c>
      <c r="Z4705">
        <v>2.0493940000000001E-4</v>
      </c>
      <c r="AA4705">
        <v>0.99994360000000004</v>
      </c>
      <c r="AB4705">
        <v>32</v>
      </c>
      <c r="AC4705">
        <v>-28.367000000000001</v>
      </c>
      <c r="AD4705">
        <v>-1.1083869572079901</v>
      </c>
      <c r="AE4705">
        <v>0.30439999999998602</v>
      </c>
      <c r="AF4705">
        <v>0.30390746072167901</v>
      </c>
      <c r="AG4705">
        <v>-1.1083869572079901</v>
      </c>
      <c r="AH4705">
        <v>28.323763168509799</v>
      </c>
      <c r="AI4705">
        <v>92.240869522821399</v>
      </c>
      <c r="AJ4705">
        <v>89.3852530619547</v>
      </c>
      <c r="AK4705">
        <v>28.3470711259104</v>
      </c>
      <c r="AL4705">
        <v>89.680193238737701</v>
      </c>
      <c r="AM4705">
        <v>86.417024863334106</v>
      </c>
      <c r="AN4705">
        <v>1.0000000051631099</v>
      </c>
    </row>
    <row r="4706" spans="1:40" x14ac:dyDescent="0.25">
      <c r="A4706" t="str">
        <f>"20190312154349535"</f>
        <v>20190312154349535</v>
      </c>
      <c r="B4706" t="str">
        <f>"1552376629522015"</f>
        <v>1552376629522015</v>
      </c>
      <c r="C4706" t="s">
        <v>40</v>
      </c>
      <c r="D4706">
        <v>4.9341369999999998</v>
      </c>
      <c r="E4706">
        <v>0.48063050000000002</v>
      </c>
      <c r="F4706" t="s">
        <v>43</v>
      </c>
      <c r="G4706">
        <v>-276.1705</v>
      </c>
      <c r="H4706" s="1">
        <v>-1.973605E-6</v>
      </c>
      <c r="I4706">
        <v>140.92580000000001</v>
      </c>
      <c r="J4706">
        <v>-248.1413</v>
      </c>
      <c r="K4706">
        <v>1.1083559999999999</v>
      </c>
      <c r="L4706">
        <v>140.6344</v>
      </c>
      <c r="M4706">
        <v>-0.99998949999999998</v>
      </c>
      <c r="N4706">
        <v>0</v>
      </c>
      <c r="O4706">
        <v>6.9162209999999995E-4</v>
      </c>
      <c r="P4706">
        <v>-0.9980173</v>
      </c>
      <c r="Q4706">
        <v>9.0886280000000003E-4</v>
      </c>
      <c r="R4706">
        <v>6.2934980000000001E-2</v>
      </c>
      <c r="S4706">
        <v>-3.0040279999999999</v>
      </c>
      <c r="T4706">
        <v>-0.1175672</v>
      </c>
      <c r="U4706">
        <v>3.0975340000000001E-2</v>
      </c>
      <c r="V4706">
        <v>6.2253459999999997E-2</v>
      </c>
      <c r="W4706">
        <v>5.3642169999999897E-3</v>
      </c>
      <c r="X4706">
        <v>0.99804599999999999</v>
      </c>
      <c r="Y4706">
        <v>9.6122959999999993E-3</v>
      </c>
      <c r="Z4706">
        <v>1.6096200000000001E-4</v>
      </c>
      <c r="AA4706">
        <v>0.9999538</v>
      </c>
      <c r="AB4706">
        <v>32</v>
      </c>
      <c r="AC4706">
        <v>-28.029199999999999</v>
      </c>
      <c r="AD4706">
        <v>-1.108357973605</v>
      </c>
      <c r="AE4706">
        <v>0.29140000000000998</v>
      </c>
      <c r="AF4706">
        <v>0.27158949304357999</v>
      </c>
      <c r="AG4706">
        <v>-1.108357973605</v>
      </c>
      <c r="AH4706">
        <v>27.985639906241801</v>
      </c>
      <c r="AI4706">
        <v>92.267880151538606</v>
      </c>
      <c r="AJ4706">
        <v>89.443984726261107</v>
      </c>
      <c r="AK4706">
        <v>28.008896072716301</v>
      </c>
      <c r="AL4706">
        <v>89.692651544762796</v>
      </c>
      <c r="AM4706">
        <v>86.430780299379293</v>
      </c>
      <c r="AN4706">
        <v>1.0000000431109899</v>
      </c>
    </row>
    <row r="4707" spans="1:40" x14ac:dyDescent="0.25">
      <c r="A4707" t="str">
        <f>"20190312154349559"</f>
        <v>20190312154349559</v>
      </c>
      <c r="B4707" t="str">
        <f>"1552376629552271"</f>
        <v>1552376629552271</v>
      </c>
      <c r="C4707" t="s">
        <v>40</v>
      </c>
      <c r="D4707">
        <v>4.9665239999999997</v>
      </c>
      <c r="E4707">
        <v>0.48041840000000002</v>
      </c>
      <c r="F4707" t="s">
        <v>43</v>
      </c>
      <c r="G4707">
        <v>-276.31240000000003</v>
      </c>
      <c r="H4707" s="1">
        <v>-1.9133279999999999E-6</v>
      </c>
      <c r="I4707">
        <v>140.928</v>
      </c>
      <c r="J4707">
        <v>-248.47130000000001</v>
      </c>
      <c r="K4707">
        <v>1.1083080000000001</v>
      </c>
      <c r="L4707">
        <v>140.6354</v>
      </c>
      <c r="M4707">
        <v>-0.99998949999999998</v>
      </c>
      <c r="N4707">
        <v>0</v>
      </c>
      <c r="O4707">
        <v>1.4659950000000001E-3</v>
      </c>
      <c r="P4707">
        <v>-0.99795469999999997</v>
      </c>
      <c r="Q4707">
        <v>9.2469619999999998E-4</v>
      </c>
      <c r="R4707">
        <v>6.3918890000000006E-2</v>
      </c>
      <c r="S4707">
        <v>-3.0040740000000001</v>
      </c>
      <c r="T4707">
        <v>-0.1181917</v>
      </c>
      <c r="U4707">
        <v>3.1311039999999998E-2</v>
      </c>
      <c r="V4707">
        <v>6.246409E-2</v>
      </c>
      <c r="W4707">
        <v>5.1691929999999999E-3</v>
      </c>
      <c r="X4707">
        <v>0.99803379999999997</v>
      </c>
      <c r="Y4707">
        <v>8.9505590000000003E-3</v>
      </c>
      <c r="Z4707">
        <v>1.183473E-4</v>
      </c>
      <c r="AA4707">
        <v>0.99995990000000001</v>
      </c>
      <c r="AB4707">
        <v>32</v>
      </c>
      <c r="AC4707">
        <v>-27.841100000000001</v>
      </c>
      <c r="AD4707">
        <v>-1.1083099133280001</v>
      </c>
      <c r="AE4707">
        <v>0.29259999999999298</v>
      </c>
      <c r="AF4707">
        <v>0.25138605760738097</v>
      </c>
      <c r="AG4707">
        <v>-1.1083099133280001</v>
      </c>
      <c r="AH4707">
        <v>27.797453014133598</v>
      </c>
      <c r="AI4707">
        <v>92.283132587176993</v>
      </c>
      <c r="AJ4707">
        <v>89.481860173201895</v>
      </c>
      <c r="AK4707">
        <v>27.820674684250601</v>
      </c>
      <c r="AL4707">
        <v>89.703825731064398</v>
      </c>
      <c r="AM4707">
        <v>86.418691819620605</v>
      </c>
      <c r="AN4707">
        <v>0.99999997451911904</v>
      </c>
    </row>
    <row r="4708" spans="1:40" x14ac:dyDescent="0.25">
      <c r="A4708" t="str">
        <f>"20190312154349581"</f>
        <v>20190312154349581</v>
      </c>
      <c r="B4708" t="str">
        <f>"1552376629571790"</f>
        <v>1552376629571790</v>
      </c>
      <c r="C4708" t="s">
        <v>40</v>
      </c>
      <c r="D4708">
        <v>4.9958169999999997</v>
      </c>
      <c r="E4708">
        <v>0.48025899999999999</v>
      </c>
      <c r="F4708" t="s">
        <v>43</v>
      </c>
      <c r="G4708">
        <v>-276.6189</v>
      </c>
      <c r="H4708" s="1">
        <v>-1.785135E-6</v>
      </c>
      <c r="I4708">
        <v>140.94030000000001</v>
      </c>
      <c r="J4708">
        <v>-248.79759999999999</v>
      </c>
      <c r="K4708">
        <v>1.1082639999999999</v>
      </c>
      <c r="L4708">
        <v>140.63659999999999</v>
      </c>
      <c r="M4708">
        <v>-0.99998920000000002</v>
      </c>
      <c r="N4708">
        <v>0</v>
      </c>
      <c r="O4708">
        <v>2.2240620000000002E-3</v>
      </c>
      <c r="P4708">
        <v>-0.99788350000000003</v>
      </c>
      <c r="Q4708">
        <v>1.0327870000000001E-3</v>
      </c>
      <c r="R4708">
        <v>6.5019489999999999E-2</v>
      </c>
      <c r="S4708">
        <v>-3.0041660000000001</v>
      </c>
      <c r="T4708">
        <v>-0.1182892</v>
      </c>
      <c r="U4708">
        <v>3.2547E-2</v>
      </c>
      <c r="V4708">
        <v>6.2808009999999997E-2</v>
      </c>
      <c r="W4708">
        <v>5.0309129999999997E-3</v>
      </c>
      <c r="X4708">
        <v>0.99801300000000004</v>
      </c>
      <c r="Y4708">
        <v>8.6043999999999999E-3</v>
      </c>
      <c r="Z4708" s="1">
        <v>8.1792330000000002E-5</v>
      </c>
      <c r="AA4708">
        <v>0.99996300000000005</v>
      </c>
      <c r="AB4708">
        <v>32</v>
      </c>
      <c r="AC4708">
        <v>-27.821300000000001</v>
      </c>
      <c r="AD4708">
        <v>-1.108265785135</v>
      </c>
      <c r="AE4708">
        <v>0.30370000000002001</v>
      </c>
      <c r="AF4708">
        <v>0.24143935764411301</v>
      </c>
      <c r="AG4708">
        <v>-1.108265785135</v>
      </c>
      <c r="AH4708">
        <v>27.777832931972799</v>
      </c>
      <c r="AI4708">
        <v>92.284659749207293</v>
      </c>
      <c r="AJ4708">
        <v>89.502009105945504</v>
      </c>
      <c r="AK4708">
        <v>27.800981069208898</v>
      </c>
      <c r="AL4708">
        <v>89.711748717092803</v>
      </c>
      <c r="AM4708">
        <v>86.398950444265694</v>
      </c>
      <c r="AN4708">
        <v>1.00000005218738</v>
      </c>
    </row>
    <row r="4709" spans="1:40" x14ac:dyDescent="0.25">
      <c r="A4709" t="str">
        <f>"20190312154349603"</f>
        <v>20190312154349603</v>
      </c>
      <c r="B4709" t="str">
        <f>"1552376629592290"</f>
        <v>1552376629592290</v>
      </c>
      <c r="C4709" t="s">
        <v>40</v>
      </c>
      <c r="D4709">
        <v>4.9593160000000003</v>
      </c>
      <c r="E4709">
        <v>0.48007280000000002</v>
      </c>
      <c r="F4709" t="s">
        <v>43</v>
      </c>
      <c r="G4709">
        <v>-276.93700000000001</v>
      </c>
      <c r="H4709" s="1">
        <v>-1.6540989999999999E-6</v>
      </c>
      <c r="I4709">
        <v>140.96080000000001</v>
      </c>
      <c r="J4709">
        <v>-249.11699999999999</v>
      </c>
      <c r="K4709">
        <v>1.108215</v>
      </c>
      <c r="L4709">
        <v>140.6379</v>
      </c>
      <c r="M4709">
        <v>-0.99998830000000005</v>
      </c>
      <c r="N4709">
        <v>0</v>
      </c>
      <c r="O4709">
        <v>2.9581619999999999E-3</v>
      </c>
      <c r="P4709">
        <v>-0.99782789999999999</v>
      </c>
      <c r="Q4709">
        <v>1.5905120000000001E-3</v>
      </c>
      <c r="R4709">
        <v>6.5856700000000004E-2</v>
      </c>
      <c r="S4709">
        <v>-3.0042270000000002</v>
      </c>
      <c r="T4709">
        <v>-0.11832089999999899</v>
      </c>
      <c r="U4709">
        <v>3.4622189999999997E-2</v>
      </c>
      <c r="V4709">
        <v>6.2913300000000005E-2</v>
      </c>
      <c r="W4709">
        <v>5.3232109999999996E-3</v>
      </c>
      <c r="X4709">
        <v>0.99800480000000003</v>
      </c>
      <c r="Y4709">
        <v>8.5613479999999999E-3</v>
      </c>
      <c r="Z4709" s="1">
        <v>5.2064739999999999E-5</v>
      </c>
      <c r="AA4709">
        <v>0.9999633</v>
      </c>
      <c r="AB4709">
        <v>32</v>
      </c>
      <c r="AC4709">
        <v>-27.82</v>
      </c>
      <c r="AD4709">
        <v>-1.1082166540989999</v>
      </c>
      <c r="AE4709">
        <v>0.32290000000000402</v>
      </c>
      <c r="AF4709">
        <v>0.24022077523825799</v>
      </c>
      <c r="AG4709">
        <v>-1.1082166540989999</v>
      </c>
      <c r="AH4709">
        <v>27.776761934851301</v>
      </c>
      <c r="AI4709">
        <v>92.284647428687606</v>
      </c>
      <c r="AJ4709">
        <v>89.504503315347307</v>
      </c>
      <c r="AK4709">
        <v>27.799898448711701</v>
      </c>
      <c r="AL4709">
        <v>89.695001035902195</v>
      </c>
      <c r="AM4709">
        <v>86.392900087779296</v>
      </c>
      <c r="AN4709">
        <v>1.0000000003576399</v>
      </c>
    </row>
    <row r="4710" spans="1:40" x14ac:dyDescent="0.25">
      <c r="A4710" t="str">
        <f>"20190312154349625"</f>
        <v>20190312154349625</v>
      </c>
      <c r="B4710" t="str">
        <f>"1552376629622542"</f>
        <v>1552376629622542</v>
      </c>
      <c r="C4710" t="s">
        <v>40</v>
      </c>
      <c r="D4710">
        <v>4.9473820000000002</v>
      </c>
      <c r="E4710">
        <v>0.47989340000000003</v>
      </c>
      <c r="F4710" t="s">
        <v>43</v>
      </c>
      <c r="G4710">
        <v>-277.30619999999999</v>
      </c>
      <c r="H4710" s="1">
        <v>-1.4988069999999999E-6</v>
      </c>
      <c r="I4710">
        <v>140.97229999999999</v>
      </c>
      <c r="J4710">
        <v>-249.44900000000001</v>
      </c>
      <c r="K4710">
        <v>1.1081639999999999</v>
      </c>
      <c r="L4710">
        <v>140.6396</v>
      </c>
      <c r="M4710">
        <v>-0.99998679999999995</v>
      </c>
      <c r="N4710">
        <v>0</v>
      </c>
      <c r="O4710">
        <v>3.710072E-3</v>
      </c>
      <c r="P4710">
        <v>-0.99777179999999999</v>
      </c>
      <c r="Q4710">
        <v>1.57888E-3</v>
      </c>
      <c r="R4710">
        <v>6.670305E-2</v>
      </c>
      <c r="S4710">
        <v>-3.0043489999999999</v>
      </c>
      <c r="T4710">
        <v>-0.1181118</v>
      </c>
      <c r="U4710">
        <v>3.5644530000000001E-2</v>
      </c>
      <c r="V4710">
        <v>6.300886E-2</v>
      </c>
      <c r="W4710">
        <v>5.0232829999999999E-3</v>
      </c>
      <c r="X4710">
        <v>0.99800029999999995</v>
      </c>
      <c r="Y4710">
        <v>8.1501319999999992E-3</v>
      </c>
      <c r="Z4710" s="1">
        <v>1.4343330000000001E-5</v>
      </c>
      <c r="AA4710">
        <v>0.99996680000000004</v>
      </c>
      <c r="AB4710">
        <v>33</v>
      </c>
      <c r="AC4710">
        <v>-27.857199999999899</v>
      </c>
      <c r="AD4710">
        <v>-1.108165498807</v>
      </c>
      <c r="AE4710">
        <v>0.33269999999998801</v>
      </c>
      <c r="AF4710">
        <v>0.22898253420922901</v>
      </c>
      <c r="AG4710">
        <v>-1.108165498807</v>
      </c>
      <c r="AH4710">
        <v>27.814233827825198</v>
      </c>
      <c r="AI4710">
        <v>92.281475550606601</v>
      </c>
      <c r="AJ4710">
        <v>89.528319331448799</v>
      </c>
      <c r="AK4710">
        <v>27.837242449687</v>
      </c>
      <c r="AL4710">
        <v>89.712185866976</v>
      </c>
      <c r="AM4710">
        <v>86.387419459232305</v>
      </c>
      <c r="AN4710">
        <v>0.99999997430534304</v>
      </c>
    </row>
    <row r="4711" spans="1:40" x14ac:dyDescent="0.25">
      <c r="A4711" t="str">
        <f>"20190312154349648"</f>
        <v>20190312154349648</v>
      </c>
      <c r="B4711" t="str">
        <f>"1552376629642063"</f>
        <v>1552376629642063</v>
      </c>
      <c r="C4711" t="s">
        <v>40</v>
      </c>
      <c r="D4711">
        <v>4.988226</v>
      </c>
      <c r="E4711">
        <v>0.47983130000000002</v>
      </c>
      <c r="F4711" t="s">
        <v>43</v>
      </c>
      <c r="G4711">
        <v>-277.36720000000003</v>
      </c>
      <c r="H4711" s="1">
        <v>-1.475081E-6</v>
      </c>
      <c r="I4711">
        <v>140.98150000000001</v>
      </c>
      <c r="J4711">
        <v>-249.78919999999999</v>
      </c>
      <c r="K4711">
        <v>1.108117</v>
      </c>
      <c r="L4711">
        <v>140.64150000000001</v>
      </c>
      <c r="M4711">
        <v>-0.99998480000000001</v>
      </c>
      <c r="N4711">
        <v>0</v>
      </c>
      <c r="O4711">
        <v>4.4622409999999996E-3</v>
      </c>
      <c r="P4711">
        <v>-0.99772059999999996</v>
      </c>
      <c r="Q4711">
        <v>1.507565E-3</v>
      </c>
      <c r="R4711">
        <v>6.7465979999999995E-2</v>
      </c>
      <c r="S4711">
        <v>-3.0044249999999999</v>
      </c>
      <c r="T4711">
        <v>-0.119256</v>
      </c>
      <c r="U4711">
        <v>3.6804200000000002E-2</v>
      </c>
      <c r="V4711">
        <v>6.3020729999999997E-2</v>
      </c>
      <c r="W4711">
        <v>4.6589839999999997E-3</v>
      </c>
      <c r="X4711">
        <v>0.99800129999999998</v>
      </c>
      <c r="Y4711">
        <v>7.7844109999999998E-3</v>
      </c>
      <c r="Z4711" s="1">
        <v>-2.2616190000000001E-5</v>
      </c>
      <c r="AA4711">
        <v>0.99996969999999996</v>
      </c>
      <c r="AB4711">
        <v>33</v>
      </c>
      <c r="AC4711">
        <v>-27.577999999999999</v>
      </c>
      <c r="AD4711">
        <v>-1.108118475081</v>
      </c>
      <c r="AE4711">
        <v>0.34000000000000302</v>
      </c>
      <c r="AF4711">
        <v>0.21658665423576701</v>
      </c>
      <c r="AG4711">
        <v>-1.108118475081</v>
      </c>
      <c r="AH4711">
        <v>27.534793535031898</v>
      </c>
      <c r="AI4711">
        <v>92.304513655542607</v>
      </c>
      <c r="AJ4711">
        <v>89.5493249207247</v>
      </c>
      <c r="AK4711">
        <v>27.557933365012001</v>
      </c>
      <c r="AL4711">
        <v>89.733058902699099</v>
      </c>
      <c r="AM4711">
        <v>86.386744312576894</v>
      </c>
      <c r="AN4711">
        <v>0.99999995667166597</v>
      </c>
    </row>
    <row r="4712" spans="1:40" x14ac:dyDescent="0.25">
      <c r="A4712" t="str">
        <f>"20190312154349670"</f>
        <v>20190312154349670</v>
      </c>
      <c r="B4712" t="str">
        <f>"1552376629662559"</f>
        <v>1552376629662559</v>
      </c>
      <c r="C4712" t="s">
        <v>40</v>
      </c>
      <c r="D4712">
        <v>4.9936439999999997</v>
      </c>
      <c r="E4712">
        <v>0.45541900000000002</v>
      </c>
      <c r="F4712" t="s">
        <v>43</v>
      </c>
      <c r="G4712">
        <v>-277.56479999999999</v>
      </c>
      <c r="H4712" s="1">
        <v>-1.3948E-6</v>
      </c>
      <c r="I4712">
        <v>140.9984</v>
      </c>
      <c r="J4712">
        <v>-250.11590000000001</v>
      </c>
      <c r="K4712">
        <v>1.108088</v>
      </c>
      <c r="L4712">
        <v>140.64349999999999</v>
      </c>
      <c r="M4712">
        <v>-0.99998229999999999</v>
      </c>
      <c r="N4712">
        <v>0</v>
      </c>
      <c r="O4712">
        <v>5.1573620000000004E-3</v>
      </c>
      <c r="P4712">
        <v>-0.99766560000000004</v>
      </c>
      <c r="Q4712">
        <v>1.577244E-3</v>
      </c>
      <c r="R4712">
        <v>6.8272269999999996E-2</v>
      </c>
      <c r="S4712">
        <v>-3.0044559999999998</v>
      </c>
      <c r="T4712">
        <v>-0.1198639</v>
      </c>
      <c r="U4712">
        <v>3.8620000000000002E-2</v>
      </c>
      <c r="V4712">
        <v>6.3133110000000006E-2</v>
      </c>
      <c r="W4712">
        <v>4.4639600000000003E-3</v>
      </c>
      <c r="X4712">
        <v>0.99799510000000002</v>
      </c>
      <c r="Y4712">
        <v>7.694032E-3</v>
      </c>
      <c r="Z4712" s="1">
        <v>-5.2252349999999998E-5</v>
      </c>
      <c r="AA4712">
        <v>0.99997040000000004</v>
      </c>
      <c r="AB4712">
        <v>33</v>
      </c>
      <c r="AC4712">
        <v>-27.448899999999899</v>
      </c>
      <c r="AD4712">
        <v>-1.1080893947999999</v>
      </c>
      <c r="AE4712">
        <v>0.35490000000001398</v>
      </c>
      <c r="AF4712">
        <v>0.21298370809075201</v>
      </c>
      <c r="AG4712">
        <v>-1.1080893947999999</v>
      </c>
      <c r="AH4712">
        <v>27.405710499100699</v>
      </c>
      <c r="AI4712">
        <v>92.315297320916201</v>
      </c>
      <c r="AJ4712">
        <v>89.554734334860498</v>
      </c>
      <c r="AK4712">
        <v>27.428929839264502</v>
      </c>
      <c r="AL4712">
        <v>89.744233074471495</v>
      </c>
      <c r="AM4712">
        <v>86.380295760473103</v>
      </c>
      <c r="AN4712">
        <v>0.999999968070581</v>
      </c>
    </row>
    <row r="4713" spans="1:40" x14ac:dyDescent="0.25">
      <c r="A4713" t="str">
        <f>"20190312154349694"</f>
        <v>20190312154349694</v>
      </c>
      <c r="B4713" t="str">
        <f>"1552376629682078"</f>
        <v>1552376629682078</v>
      </c>
      <c r="C4713" t="s">
        <v>40</v>
      </c>
      <c r="D4713">
        <v>5.0343730000000004</v>
      </c>
      <c r="E4713">
        <v>0.45004860000000002</v>
      </c>
      <c r="F4713" t="s">
        <v>69</v>
      </c>
      <c r="G4713">
        <v>-287.79559999999998</v>
      </c>
      <c r="H4713" s="1">
        <v>-7.2757249999999997E-6</v>
      </c>
      <c r="I4713">
        <v>138.73820000000001</v>
      </c>
      <c r="J4713">
        <v>-250.48269999999999</v>
      </c>
      <c r="K4713">
        <v>1.1080680000000001</v>
      </c>
      <c r="L4713">
        <v>140.64609999999999</v>
      </c>
      <c r="M4713">
        <v>-0.99997899999999995</v>
      </c>
      <c r="N4713">
        <v>0</v>
      </c>
      <c r="O4713">
        <v>5.9073509999999999E-3</v>
      </c>
      <c r="P4713">
        <v>-0.99755749999999999</v>
      </c>
      <c r="Q4713">
        <v>1.9609139999999998E-3</v>
      </c>
      <c r="R4713">
        <v>6.98263999999999E-2</v>
      </c>
      <c r="S4713">
        <v>-3.0175930000000002</v>
      </c>
      <c r="T4713">
        <v>-8.8742260000000003E-2</v>
      </c>
      <c r="U4713">
        <v>-0.1525879</v>
      </c>
      <c r="V4713">
        <v>6.3939419999999997E-2</v>
      </c>
      <c r="W4713">
        <v>4.5741089999999998E-3</v>
      </c>
      <c r="X4713">
        <v>0.99794329999999998</v>
      </c>
      <c r="Y4713">
        <v>-5.6373659999999999E-2</v>
      </c>
      <c r="Z4713">
        <v>-1.001802E-3</v>
      </c>
      <c r="AA4713">
        <v>0.9984092</v>
      </c>
      <c r="AB4713">
        <v>33</v>
      </c>
      <c r="AC4713">
        <v>-37.3128999999999</v>
      </c>
      <c r="AD4713">
        <v>-1.1080752757250001</v>
      </c>
      <c r="AE4713">
        <v>-1.9078999999999799</v>
      </c>
      <c r="AF4713">
        <v>-2.1264174871524402</v>
      </c>
      <c r="AG4713">
        <v>-1.1080752757250001</v>
      </c>
      <c r="AH4713">
        <v>37.268197059570397</v>
      </c>
      <c r="AI4713">
        <v>91.700279129681206</v>
      </c>
      <c r="AJ4713">
        <v>93.265593802521195</v>
      </c>
      <c r="AK4713">
        <v>37.3452539717875</v>
      </c>
      <c r="AL4713">
        <v>89.737921945626198</v>
      </c>
      <c r="AM4713">
        <v>86.334001897068802</v>
      </c>
      <c r="AN4713">
        <v>1.00000000095898</v>
      </c>
    </row>
    <row r="4714" spans="1:40" x14ac:dyDescent="0.25">
      <c r="A4714" t="str">
        <f>"20190312154349715"</f>
        <v>20190312154349715</v>
      </c>
      <c r="B4714" t="str">
        <f>"1552376629702574"</f>
        <v>1552376629702574</v>
      </c>
      <c r="C4714" t="s">
        <v>40</v>
      </c>
      <c r="D4714">
        <v>4.8994739999999997</v>
      </c>
      <c r="E4714">
        <v>0.44852439999999999</v>
      </c>
      <c r="F4714" t="s">
        <v>69</v>
      </c>
      <c r="G4714">
        <v>-289.44209999999998</v>
      </c>
      <c r="H4714" s="1">
        <v>-8.1085879999999994E-6</v>
      </c>
      <c r="I4714">
        <v>138.18879999999999</v>
      </c>
      <c r="J4714">
        <v>-250.79490000000001</v>
      </c>
      <c r="K4714">
        <v>1.10806</v>
      </c>
      <c r="L4714">
        <v>140.64850000000001</v>
      </c>
      <c r="M4714">
        <v>-0.99997579999999997</v>
      </c>
      <c r="N4714">
        <v>0</v>
      </c>
      <c r="O4714">
        <v>6.5146419999999898E-3</v>
      </c>
      <c r="P4714">
        <v>-0.99743870000000001</v>
      </c>
      <c r="Q4714">
        <v>2.215884E-3</v>
      </c>
      <c r="R4714">
        <v>7.1493130000000002E-2</v>
      </c>
      <c r="S4714">
        <v>-3.0208740000000001</v>
      </c>
      <c r="T4714">
        <v>-8.5919259999999997E-2</v>
      </c>
      <c r="U4714">
        <v>-0.1905365</v>
      </c>
      <c r="V4714">
        <v>6.5000509999999997E-2</v>
      </c>
      <c r="W4714">
        <v>4.6189309999999997E-3</v>
      </c>
      <c r="X4714">
        <v>0.99787459999999994</v>
      </c>
      <c r="Y4714">
        <v>-6.9418049999999995E-2</v>
      </c>
      <c r="Z4714">
        <v>-1.1710869999999999E-3</v>
      </c>
      <c r="AA4714">
        <v>0.997587</v>
      </c>
      <c r="AB4714">
        <v>34</v>
      </c>
      <c r="AC4714">
        <v>-38.647199999999899</v>
      </c>
      <c r="AD4714">
        <v>-1.108068108588</v>
      </c>
      <c r="AE4714">
        <v>-2.4597000000000202</v>
      </c>
      <c r="AF4714">
        <v>-2.70920311762359</v>
      </c>
      <c r="AG4714">
        <v>-1.108068108588</v>
      </c>
      <c r="AH4714">
        <v>38.598753775120898</v>
      </c>
      <c r="AI4714">
        <v>91.640325305675603</v>
      </c>
      <c r="AJ4714">
        <v>94.014941791594396</v>
      </c>
      <c r="AK4714">
        <v>38.7095774900504</v>
      </c>
      <c r="AL4714">
        <v>89.735353822449298</v>
      </c>
      <c r="AM4714">
        <v>86.273077982793694</v>
      </c>
      <c r="AN4714">
        <v>1.00000005907449</v>
      </c>
    </row>
    <row r="4715" spans="1:40" x14ac:dyDescent="0.25">
      <c r="A4715" t="str">
        <f>"20190312154349736"</f>
        <v>20190312154349736</v>
      </c>
      <c r="B4715" t="str">
        <f>"1552376629731854"</f>
        <v>1552376629731854</v>
      </c>
      <c r="C4715" t="s">
        <v>40</v>
      </c>
      <c r="D4715">
        <v>5.1915430000000002</v>
      </c>
      <c r="E4715">
        <v>0.44701160000000001</v>
      </c>
      <c r="F4715" t="s">
        <v>69</v>
      </c>
      <c r="G4715">
        <v>-297.55169999999998</v>
      </c>
      <c r="H4715" s="1">
        <v>-7.5551269999999903E-6</v>
      </c>
      <c r="I4715">
        <v>137.59559999999999</v>
      </c>
      <c r="J4715">
        <v>-251.12450000000001</v>
      </c>
      <c r="K4715">
        <v>1.108061</v>
      </c>
      <c r="L4715">
        <v>140.65110000000001</v>
      </c>
      <c r="M4715">
        <v>-0.99997199999999997</v>
      </c>
      <c r="N4715">
        <v>0</v>
      </c>
      <c r="O4715">
        <v>7.1149919999999997E-3</v>
      </c>
      <c r="P4715">
        <v>-0.99732540000000003</v>
      </c>
      <c r="Q4715">
        <v>3.1182990000000002E-3</v>
      </c>
      <c r="R4715">
        <v>7.3021230000000006E-2</v>
      </c>
      <c r="S4715">
        <v>-3.0220030000000002</v>
      </c>
      <c r="T4715">
        <v>-7.1617009999999995E-2</v>
      </c>
      <c r="U4715">
        <v>-0.1973114</v>
      </c>
      <c r="V4715">
        <v>6.593098E-2</v>
      </c>
      <c r="W4715">
        <v>5.3246400000000003E-3</v>
      </c>
      <c r="X4715">
        <v>0.99780999999999997</v>
      </c>
      <c r="Y4715">
        <v>-7.2228920000000002E-2</v>
      </c>
      <c r="Z4715">
        <v>-1.023251E-3</v>
      </c>
      <c r="AA4715">
        <v>0.99738749999999998</v>
      </c>
      <c r="AB4715">
        <v>34</v>
      </c>
      <c r="AC4715">
        <v>-46.4271999999999</v>
      </c>
      <c r="AD4715">
        <v>-1.108068555127</v>
      </c>
      <c r="AE4715">
        <v>-3.0555000000000199</v>
      </c>
      <c r="AF4715">
        <v>-3.3838335035686899</v>
      </c>
      <c r="AG4715">
        <v>-1.108068555127</v>
      </c>
      <c r="AH4715">
        <v>46.377980838078997</v>
      </c>
      <c r="AI4715">
        <v>91.365030445473593</v>
      </c>
      <c r="AJ4715">
        <v>94.173024201110195</v>
      </c>
      <c r="AK4715">
        <v>46.514462823082802</v>
      </c>
      <c r="AL4715">
        <v>89.694919165372795</v>
      </c>
      <c r="AM4715">
        <v>86.219637370194903</v>
      </c>
      <c r="AN4715">
        <v>1.00000002100744</v>
      </c>
    </row>
    <row r="4716" spans="1:40" x14ac:dyDescent="0.25">
      <c r="A4716" t="str">
        <f>"20190312154349761"</f>
        <v>20190312154349761</v>
      </c>
      <c r="B4716" t="str">
        <f>"1552376629752351"</f>
        <v>1552376629752351</v>
      </c>
      <c r="C4716" t="s">
        <v>40</v>
      </c>
      <c r="D4716">
        <v>4.8817170000000001</v>
      </c>
      <c r="E4716">
        <v>0.44640049999999998</v>
      </c>
      <c r="F4716" t="s">
        <v>69</v>
      </c>
      <c r="G4716">
        <v>-315.11860000000001</v>
      </c>
      <c r="H4716" s="1">
        <v>-6.4808139999999998E-6</v>
      </c>
      <c r="I4716">
        <v>136.3272</v>
      </c>
      <c r="J4716">
        <v>-251.48929999999999</v>
      </c>
      <c r="K4716">
        <v>1.1080749999999999</v>
      </c>
      <c r="L4716">
        <v>140.6542</v>
      </c>
      <c r="M4716">
        <v>-0.99996799999999997</v>
      </c>
      <c r="N4716">
        <v>0</v>
      </c>
      <c r="O4716">
        <v>7.721398E-3</v>
      </c>
      <c r="P4716">
        <v>-0.99725699999999995</v>
      </c>
      <c r="Q4716">
        <v>3.8222999999999998E-3</v>
      </c>
      <c r="R4716">
        <v>7.3919330000000005E-2</v>
      </c>
      <c r="S4716">
        <v>-3.0231629999999998</v>
      </c>
      <c r="T4716">
        <v>-5.2346589999999998E-2</v>
      </c>
      <c r="U4716">
        <v>-0.20426939999999999</v>
      </c>
      <c r="V4716">
        <v>6.6224989999999997E-2</v>
      </c>
      <c r="W4716">
        <v>5.8420010000000003E-3</v>
      </c>
      <c r="X4716">
        <v>0.9977876</v>
      </c>
      <c r="Y4716">
        <v>-7.5103879999999998E-2</v>
      </c>
      <c r="Z4716">
        <v>-7.8297259999999896E-4</v>
      </c>
      <c r="AA4716">
        <v>0.99717540000000005</v>
      </c>
      <c r="AB4716">
        <v>34</v>
      </c>
      <c r="AC4716">
        <v>-63.629300000000001</v>
      </c>
      <c r="AD4716">
        <v>-1.10808148081399</v>
      </c>
      <c r="AE4716">
        <v>-4.3269999999999902</v>
      </c>
      <c r="AF4716">
        <v>-4.8167251922141396</v>
      </c>
      <c r="AG4716">
        <v>-1.10808148081399</v>
      </c>
      <c r="AH4716">
        <v>63.574801047987599</v>
      </c>
      <c r="AI4716">
        <v>90.995686626761895</v>
      </c>
      <c r="AJ4716">
        <v>94.332719361706395</v>
      </c>
      <c r="AK4716">
        <v>63.766637157973499</v>
      </c>
      <c r="AL4716">
        <v>89.665276090285801</v>
      </c>
      <c r="AM4716">
        <v>86.202743584390802</v>
      </c>
      <c r="AN4716">
        <v>0.99999998649497102</v>
      </c>
    </row>
    <row r="4717" spans="1:40" x14ac:dyDescent="0.25">
      <c r="A4717" t="str">
        <f>"20190312154349781"</f>
        <v>20190312154349781</v>
      </c>
      <c r="B4717" t="str">
        <f>"1552376629771870"</f>
        <v>1552376629771870</v>
      </c>
      <c r="C4717" t="s">
        <v>40</v>
      </c>
      <c r="D4717">
        <v>4.8694819999999996</v>
      </c>
      <c r="E4717">
        <v>0.44577870000000003</v>
      </c>
      <c r="F4717" t="s">
        <v>43</v>
      </c>
      <c r="G4717">
        <v>-334.43110000000001</v>
      </c>
      <c r="H4717" s="1">
        <v>-3.4319530000000001E-6</v>
      </c>
      <c r="I4717">
        <v>134.9991</v>
      </c>
      <c r="J4717">
        <v>-251.82</v>
      </c>
      <c r="K4717">
        <v>1.108098</v>
      </c>
      <c r="L4717">
        <v>140.65719999999999</v>
      </c>
      <c r="M4717">
        <v>-0.99996450000000003</v>
      </c>
      <c r="N4717">
        <v>0</v>
      </c>
      <c r="O4717">
        <v>8.2123850000000009E-3</v>
      </c>
      <c r="P4717">
        <v>-0.99725799999999998</v>
      </c>
      <c r="Q4717">
        <v>4.6319769999999998E-3</v>
      </c>
      <c r="R4717">
        <v>7.3860300000000004E-2</v>
      </c>
      <c r="S4717">
        <v>-3.023682</v>
      </c>
      <c r="T4717">
        <v>-4.0395500000000001E-2</v>
      </c>
      <c r="U4717">
        <v>-0.2061615</v>
      </c>
      <c r="V4717">
        <v>6.5676180000000001E-2</v>
      </c>
      <c r="W4717">
        <v>6.5086069999999996E-3</v>
      </c>
      <c r="X4717">
        <v>0.99781980000000003</v>
      </c>
      <c r="Y4717">
        <v>-7.6207940000000002E-2</v>
      </c>
      <c r="Z4717">
        <v>-6.1803489999999895E-4</v>
      </c>
      <c r="AA4717">
        <v>0.99709179999999997</v>
      </c>
      <c r="AB4717">
        <v>34</v>
      </c>
      <c r="AC4717">
        <v>-82.611099999999993</v>
      </c>
      <c r="AD4717">
        <v>-1.108101431953</v>
      </c>
      <c r="AE4717">
        <v>-5.6580999999999904</v>
      </c>
      <c r="AF4717">
        <v>-6.3352100439992798</v>
      </c>
      <c r="AG4717">
        <v>-1.108101431953</v>
      </c>
      <c r="AH4717">
        <v>82.547064965805404</v>
      </c>
      <c r="AI4717">
        <v>90.766830405944404</v>
      </c>
      <c r="AJ4717">
        <v>94.388655708257602</v>
      </c>
      <c r="AK4717">
        <v>82.7972264605161</v>
      </c>
      <c r="AL4717">
        <v>89.627081669577706</v>
      </c>
      <c r="AM4717">
        <v>86.234241898906205</v>
      </c>
      <c r="AN4717">
        <v>1.0000000379282501</v>
      </c>
    </row>
    <row r="4718" spans="1:40" x14ac:dyDescent="0.25">
      <c r="A4718" t="str">
        <f>"20190312154349815"</f>
        <v>20190312154349815</v>
      </c>
      <c r="B4718" t="str">
        <f>"1552376629811886"</f>
        <v>1552376629811886</v>
      </c>
      <c r="C4718" t="s">
        <v>40</v>
      </c>
      <c r="D4718">
        <v>4.8604139999999996</v>
      </c>
      <c r="E4718">
        <v>0.44491550000000002</v>
      </c>
      <c r="F4718" t="s">
        <v>43</v>
      </c>
      <c r="G4718">
        <v>-357.35969999999998</v>
      </c>
      <c r="H4718" s="1">
        <v>-2.567684E-6</v>
      </c>
      <c r="I4718">
        <v>133.29060000000001</v>
      </c>
      <c r="J4718">
        <v>-252.3374</v>
      </c>
      <c r="K4718">
        <v>1.1081299999999901</v>
      </c>
      <c r="L4718">
        <v>140.66200000000001</v>
      </c>
      <c r="M4718">
        <v>-0.9999593</v>
      </c>
      <c r="N4718">
        <v>0</v>
      </c>
      <c r="O4718">
        <v>8.8600609999999903E-3</v>
      </c>
      <c r="P4718">
        <v>-0.9973128</v>
      </c>
      <c r="Q4718">
        <v>4.8883859999999998E-3</v>
      </c>
      <c r="R4718">
        <v>7.3099659999999997E-2</v>
      </c>
      <c r="S4718">
        <v>-3.0240330000000002</v>
      </c>
      <c r="T4718">
        <v>-3.1750439999999998E-2</v>
      </c>
      <c r="U4718">
        <v>-0.21107480000000001</v>
      </c>
      <c r="V4718">
        <v>6.4267939999999996E-2</v>
      </c>
      <c r="W4718">
        <v>6.5863290000000001E-3</v>
      </c>
      <c r="X4718">
        <v>0.99791090000000005</v>
      </c>
      <c r="Y4718">
        <v>-7.8460760000000004E-2</v>
      </c>
      <c r="Z4718">
        <v>-5.0429839999999995E-4</v>
      </c>
      <c r="AA4718">
        <v>0.9969171</v>
      </c>
      <c r="AB4718">
        <v>34</v>
      </c>
      <c r="AC4718">
        <v>-105.02229999999901</v>
      </c>
      <c r="AD4718">
        <v>-1.1081325676839999</v>
      </c>
      <c r="AE4718">
        <v>-7.3713999999999897</v>
      </c>
      <c r="AF4718">
        <v>-8.3006963925084492</v>
      </c>
      <c r="AG4718">
        <v>-1.1081325676839999</v>
      </c>
      <c r="AH4718">
        <v>104.941240545062</v>
      </c>
      <c r="AI4718">
        <v>90.603111696490203</v>
      </c>
      <c r="AJ4718">
        <v>94.5225948317768</v>
      </c>
      <c r="AK4718">
        <v>105.27484735455501</v>
      </c>
      <c r="AL4718">
        <v>89.622628400831701</v>
      </c>
      <c r="AM4718">
        <v>86.315098495465406</v>
      </c>
      <c r="AN4718">
        <v>0.999999956090174</v>
      </c>
    </row>
    <row r="4719" spans="1:40" x14ac:dyDescent="0.25">
      <c r="A4719" t="str">
        <f>"20190312154349837"</f>
        <v>20190312154349837</v>
      </c>
      <c r="B4719" t="str">
        <f>"1552376629832383"</f>
        <v>1552376629832383</v>
      </c>
      <c r="C4719" t="s">
        <v>40</v>
      </c>
      <c r="D4719">
        <v>4.8489500000000003</v>
      </c>
      <c r="E4719">
        <v>0.44465290000000002</v>
      </c>
      <c r="F4719" t="s">
        <v>43</v>
      </c>
      <c r="G4719">
        <v>-362.90190000000001</v>
      </c>
      <c r="H4719" s="1">
        <v>-4.270475E-6</v>
      </c>
      <c r="I4719">
        <v>132.60810000000001</v>
      </c>
      <c r="J4719">
        <v>-252.67590000000001</v>
      </c>
      <c r="K4719">
        <v>1.108161</v>
      </c>
      <c r="L4719">
        <v>140.66540000000001</v>
      </c>
      <c r="M4719">
        <v>-0.99995619999999996</v>
      </c>
      <c r="N4719">
        <v>0</v>
      </c>
      <c r="O4719">
        <v>9.2086259999999993E-3</v>
      </c>
      <c r="P4719">
        <v>-0.99735209999999996</v>
      </c>
      <c r="Q4719">
        <v>4.2537119999999998E-3</v>
      </c>
      <c r="R4719">
        <v>7.2599629999999998E-2</v>
      </c>
      <c r="S4719">
        <v>-3.024384</v>
      </c>
      <c r="T4719">
        <v>-3.0311939999999999E-2</v>
      </c>
      <c r="U4719">
        <v>-0.22030640000000001</v>
      </c>
      <c r="V4719">
        <v>6.3418249999999995E-2</v>
      </c>
      <c r="W4719">
        <v>5.8605970000000004E-3</v>
      </c>
      <c r="X4719">
        <v>0.99796980000000002</v>
      </c>
      <c r="Y4719">
        <v>-8.18276E-2</v>
      </c>
      <c r="Z4719">
        <v>-5.0168260000000003E-4</v>
      </c>
      <c r="AA4719">
        <v>0.99664629999999998</v>
      </c>
      <c r="AB4719">
        <v>35</v>
      </c>
      <c r="AC4719">
        <v>-110.226</v>
      </c>
      <c r="AD4719">
        <v>-1.108165270475</v>
      </c>
      <c r="AE4719">
        <v>-8.0572999999999908</v>
      </c>
      <c r="AF4719">
        <v>-9.0710778169713997</v>
      </c>
      <c r="AG4719">
        <v>-1.108165270475</v>
      </c>
      <c r="AH4719">
        <v>110.136056840316</v>
      </c>
      <c r="AI4719">
        <v>90.574533063212399</v>
      </c>
      <c r="AJ4719">
        <v>94.708394599654994</v>
      </c>
      <c r="AK4719">
        <v>110.51453976451</v>
      </c>
      <c r="AL4719">
        <v>89.664210594636998</v>
      </c>
      <c r="AM4719">
        <v>86.363899233729796</v>
      </c>
      <c r="AN4719">
        <v>0.99999997137114904</v>
      </c>
    </row>
    <row r="4720" spans="1:40" x14ac:dyDescent="0.25">
      <c r="A4720" t="str">
        <f>"20190312154349860"</f>
        <v>20190312154349860</v>
      </c>
      <c r="B4720" t="str">
        <f>"1552376629851903"</f>
        <v>1552376629851903</v>
      </c>
      <c r="C4720" t="s">
        <v>40</v>
      </c>
      <c r="D4720">
        <v>5.0711259999999996</v>
      </c>
      <c r="E4720">
        <v>0.4443783</v>
      </c>
      <c r="F4720" t="s">
        <v>43</v>
      </c>
      <c r="G4720">
        <v>-348.3741</v>
      </c>
      <c r="H4720" s="1">
        <v>-2.1454970000000002E-6</v>
      </c>
      <c r="I4720">
        <v>133.58000000000001</v>
      </c>
      <c r="J4720">
        <v>-253.04339999999999</v>
      </c>
      <c r="K4720">
        <v>1.108203</v>
      </c>
      <c r="L4720">
        <v>140.66899999999899</v>
      </c>
      <c r="M4720">
        <v>-0.99995350000000005</v>
      </c>
      <c r="N4720">
        <v>0</v>
      </c>
      <c r="O4720">
        <v>9.5306039999999998E-3</v>
      </c>
      <c r="P4720">
        <v>-0.99733970000000005</v>
      </c>
      <c r="Q4720">
        <v>4.096415E-3</v>
      </c>
      <c r="R4720">
        <v>7.2780789999999998E-2</v>
      </c>
      <c r="S4720">
        <v>-3.024429</v>
      </c>
      <c r="T4720">
        <v>-3.502226E-2</v>
      </c>
      <c r="U4720">
        <v>-0.2239227</v>
      </c>
      <c r="V4720">
        <v>6.327729E-2</v>
      </c>
      <c r="W4720">
        <v>5.6207519999999997E-3</v>
      </c>
      <c r="X4720">
        <v>0.99798019999999998</v>
      </c>
      <c r="Y4720">
        <v>-8.3330989999999994E-2</v>
      </c>
      <c r="Z4720">
        <v>-5.9201879999999998E-4</v>
      </c>
      <c r="AA4720">
        <v>0.99652180000000001</v>
      </c>
      <c r="AB4720">
        <v>35</v>
      </c>
      <c r="AC4720">
        <v>-95.330699999999993</v>
      </c>
      <c r="AD4720">
        <v>-1.1082051454970001</v>
      </c>
      <c r="AE4720">
        <v>-7.0889999999999702</v>
      </c>
      <c r="AF4720">
        <v>-7.9961635346491597</v>
      </c>
      <c r="AG4720">
        <v>-1.1082051454970001</v>
      </c>
      <c r="AH4720">
        <v>95.246007317864496</v>
      </c>
      <c r="AI4720">
        <v>90.664280427704796</v>
      </c>
      <c r="AJ4720">
        <v>94.798884660192996</v>
      </c>
      <c r="AK4720">
        <v>95.587492172940998</v>
      </c>
      <c r="AL4720">
        <v>89.677952951114193</v>
      </c>
      <c r="AM4720">
        <v>86.371997306390298</v>
      </c>
      <c r="AN4720">
        <v>1.0000000439374099</v>
      </c>
    </row>
    <row r="4721" spans="1:40" x14ac:dyDescent="0.25">
      <c r="A4721" t="str">
        <f>"20190312154349883"</f>
        <v>20190312154349883</v>
      </c>
      <c r="B4721" t="str">
        <f>"1552376629872398"</f>
        <v>1552376629872398</v>
      </c>
      <c r="C4721" t="s">
        <v>40</v>
      </c>
      <c r="D4721">
        <v>4.8485060000000004</v>
      </c>
      <c r="E4721">
        <v>0.44415840000000001</v>
      </c>
      <c r="F4721" t="s">
        <v>43</v>
      </c>
      <c r="G4721">
        <v>-346.57499999999999</v>
      </c>
      <c r="H4721" s="1">
        <v>-2.7272969999999998E-6</v>
      </c>
      <c r="I4721">
        <v>133.6944</v>
      </c>
      <c r="J4721">
        <v>-253.40620000000001</v>
      </c>
      <c r="K4721">
        <v>1.1082350000000001</v>
      </c>
      <c r="L4721">
        <v>140.67269999999999</v>
      </c>
      <c r="M4721">
        <v>-0.99995100000000003</v>
      </c>
      <c r="N4721">
        <v>0</v>
      </c>
      <c r="O4721">
        <v>9.7960129999999992E-3</v>
      </c>
      <c r="P4721">
        <v>-0.99733070000000001</v>
      </c>
      <c r="Q4721">
        <v>4.2008189999999997E-3</v>
      </c>
      <c r="R4721">
        <v>7.2899119999999998E-2</v>
      </c>
      <c r="S4721">
        <v>-3.0245820000000001</v>
      </c>
      <c r="T4721">
        <v>-3.5836699999999999E-2</v>
      </c>
      <c r="U4721">
        <v>-0.2255402</v>
      </c>
      <c r="V4721">
        <v>6.3130309999999995E-2</v>
      </c>
      <c r="W4721">
        <v>5.6612819999999897E-3</v>
      </c>
      <c r="X4721">
        <v>0.99798920000000002</v>
      </c>
      <c r="Y4721">
        <v>-8.4121360000000006E-2</v>
      </c>
      <c r="Z4721">
        <v>-6.1355909999999999E-4</v>
      </c>
      <c r="AA4721">
        <v>0.99645530000000004</v>
      </c>
      <c r="AB4721">
        <v>35</v>
      </c>
      <c r="AC4721">
        <v>-93.168799999999905</v>
      </c>
      <c r="AD4721">
        <v>-1.1082377272970001</v>
      </c>
      <c r="AE4721">
        <v>-6.9782999999999902</v>
      </c>
      <c r="AF4721">
        <v>-7.8895388097237502</v>
      </c>
      <c r="AG4721">
        <v>-1.1082377272970001</v>
      </c>
      <c r="AH4721">
        <v>93.082873173871207</v>
      </c>
      <c r="AI4721">
        <v>90.6796902034542</v>
      </c>
      <c r="AJ4721">
        <v>94.844709136956297</v>
      </c>
      <c r="AK4721">
        <v>93.423199965497503</v>
      </c>
      <c r="AL4721">
        <v>89.675630690633199</v>
      </c>
      <c r="AM4721">
        <v>86.380434528790502</v>
      </c>
      <c r="AN4721">
        <v>0.99999996473560904</v>
      </c>
    </row>
    <row r="4722" spans="1:40" x14ac:dyDescent="0.25">
      <c r="A4722" t="str">
        <f>"20190312154349905"</f>
        <v>20190312154349905</v>
      </c>
      <c r="B4722" t="str">
        <f>"1552376629902654"</f>
        <v>1552376629902654</v>
      </c>
      <c r="C4722" t="s">
        <v>40</v>
      </c>
      <c r="D4722">
        <v>4.8794019999999998</v>
      </c>
      <c r="E4722">
        <v>0.46556740000000002</v>
      </c>
      <c r="F4722" t="s">
        <v>43</v>
      </c>
      <c r="G4722">
        <v>-349.23860000000002</v>
      </c>
      <c r="H4722" s="1">
        <v>-1.876341E-6</v>
      </c>
      <c r="I4722">
        <v>133.48580000000001</v>
      </c>
      <c r="J4722">
        <v>-253.76130000000001</v>
      </c>
      <c r="K4722">
        <v>1.108268</v>
      </c>
      <c r="L4722">
        <v>140.6764</v>
      </c>
      <c r="M4722">
        <v>-0.99994890000000003</v>
      </c>
      <c r="N4722">
        <v>0</v>
      </c>
      <c r="O4722">
        <v>1.0011529999999999E-2</v>
      </c>
      <c r="P4722">
        <v>-0.99729789999999996</v>
      </c>
      <c r="Q4722">
        <v>3.5691910000000002E-3</v>
      </c>
      <c r="R4722">
        <v>7.3376919999999998E-2</v>
      </c>
      <c r="S4722">
        <v>-3.02475</v>
      </c>
      <c r="T4722">
        <v>-3.4979219999999998E-2</v>
      </c>
      <c r="U4722">
        <v>-0.22683719999999999</v>
      </c>
      <c r="V4722">
        <v>6.3392210000000004E-2</v>
      </c>
      <c r="W4722">
        <v>4.9808450000000002E-3</v>
      </c>
      <c r="X4722">
        <v>0.99797619999999998</v>
      </c>
      <c r="Y4722">
        <v>-8.4757170000000007E-2</v>
      </c>
      <c r="Z4722">
        <v>-6.0499679999999995E-4</v>
      </c>
      <c r="AA4722">
        <v>0.99640139999999999</v>
      </c>
      <c r="AB4722">
        <v>35</v>
      </c>
      <c r="AC4722">
        <v>-95.4773</v>
      </c>
      <c r="AD4722">
        <v>-1.1082698763409999</v>
      </c>
      <c r="AE4722">
        <v>-7.1905999999999803</v>
      </c>
      <c r="AF4722">
        <v>-8.1450231675241298</v>
      </c>
      <c r="AG4722">
        <v>-1.1082698763409999</v>
      </c>
      <c r="AH4722">
        <v>95.387746123944694</v>
      </c>
      <c r="AI4722">
        <v>90.663252129697696</v>
      </c>
      <c r="AJ4722">
        <v>94.880565873345802</v>
      </c>
      <c r="AK4722">
        <v>95.741275190611702</v>
      </c>
      <c r="AL4722">
        <v>89.714617405512698</v>
      </c>
      <c r="AM4722">
        <v>86.3654114866995</v>
      </c>
      <c r="AN4722">
        <v>0.99999993843601698</v>
      </c>
    </row>
    <row r="4723" spans="1:40" x14ac:dyDescent="0.25">
      <c r="A4723" t="str">
        <f>"20190312154349928"</f>
        <v>20190312154349928</v>
      </c>
      <c r="B4723" t="str">
        <f>"1552376629922175"</f>
        <v>1552376629922175</v>
      </c>
      <c r="C4723" t="s">
        <v>40</v>
      </c>
      <c r="D4723">
        <v>4.8368529999999996</v>
      </c>
      <c r="E4723">
        <v>0.46644809999999998</v>
      </c>
      <c r="F4723" t="s">
        <v>69</v>
      </c>
      <c r="G4723">
        <v>-297.9477</v>
      </c>
      <c r="H4723" s="1">
        <v>-8.2901189999999906E-6</v>
      </c>
      <c r="I4723">
        <v>139.85589999999999</v>
      </c>
      <c r="J4723">
        <v>-254.11259999999999</v>
      </c>
      <c r="K4723">
        <v>1.10829</v>
      </c>
      <c r="L4723">
        <v>140.68010000000001</v>
      </c>
      <c r="M4723">
        <v>-0.99994720000000004</v>
      </c>
      <c r="N4723">
        <v>0</v>
      </c>
      <c r="O4723">
        <v>1.018902E-2</v>
      </c>
      <c r="P4723">
        <v>-0.99730909999999995</v>
      </c>
      <c r="Q4723">
        <v>4.1034549999999998E-3</v>
      </c>
      <c r="R4723">
        <v>7.3200150000000005E-2</v>
      </c>
      <c r="S4723">
        <v>-3.012527</v>
      </c>
      <c r="T4723">
        <v>-7.555974E-2</v>
      </c>
      <c r="U4723">
        <v>-5.5938719999999997E-2</v>
      </c>
      <c r="V4723">
        <v>6.303831E-2</v>
      </c>
      <c r="W4723">
        <v>5.4791340000000001E-3</v>
      </c>
      <c r="X4723">
        <v>0.99799610000000005</v>
      </c>
      <c r="Y4723">
        <v>-2.8739569999999999E-2</v>
      </c>
      <c r="Z4723">
        <v>-6.1583310000000002E-4</v>
      </c>
      <c r="AA4723">
        <v>0.9995868</v>
      </c>
      <c r="AB4723">
        <v>35</v>
      </c>
      <c r="AC4723">
        <v>-43.835099999999997</v>
      </c>
      <c r="AD4723">
        <v>-1.1082982901189999</v>
      </c>
      <c r="AE4723">
        <v>-0.82420000000001803</v>
      </c>
      <c r="AF4723">
        <v>-1.26998277759265</v>
      </c>
      <c r="AG4723">
        <v>-1.1082982901189999</v>
      </c>
      <c r="AH4723">
        <v>43.796439854974899</v>
      </c>
      <c r="AI4723">
        <v>91.448989955648699</v>
      </c>
      <c r="AJ4723">
        <v>91.660963060867999</v>
      </c>
      <c r="AK4723">
        <v>43.828864066111599</v>
      </c>
      <c r="AL4723">
        <v>89.686067185852906</v>
      </c>
      <c r="AM4723">
        <v>86.385720263212903</v>
      </c>
      <c r="AN4723">
        <v>1.00000003252612</v>
      </c>
    </row>
    <row r="4724" spans="1:40" x14ac:dyDescent="0.25">
      <c r="A4724" t="str">
        <f>"20190312154349950"</f>
        <v>20190312154349950</v>
      </c>
      <c r="B4724" t="str">
        <f>"1552376629942670"</f>
        <v>1552376629942670</v>
      </c>
      <c r="C4724" t="s">
        <v>40</v>
      </c>
      <c r="D4724">
        <v>4.8236270000000001</v>
      </c>
      <c r="E4724">
        <v>0.46647240000000001</v>
      </c>
      <c r="F4724" t="s">
        <v>69</v>
      </c>
      <c r="G4724">
        <v>-313.38369999999998</v>
      </c>
      <c r="H4724" s="1">
        <v>-8.2223359999999993E-6</v>
      </c>
      <c r="I4724">
        <v>139.7132</v>
      </c>
      <c r="J4724">
        <v>-254.4641</v>
      </c>
      <c r="K4724">
        <v>1.1083160000000001</v>
      </c>
      <c r="L4724">
        <v>140.68379999999999</v>
      </c>
      <c r="M4724">
        <v>-0.99994559999999999</v>
      </c>
      <c r="N4724">
        <v>0</v>
      </c>
      <c r="O4724">
        <v>1.0335749999999999E-2</v>
      </c>
      <c r="P4724">
        <v>-0.99729380000000001</v>
      </c>
      <c r="Q4724">
        <v>4.4523660000000001E-3</v>
      </c>
      <c r="R4724">
        <v>7.3385190000000003E-2</v>
      </c>
      <c r="S4724">
        <v>-3.0119319999999998</v>
      </c>
      <c r="T4724">
        <v>-5.6319479999999998E-2</v>
      </c>
      <c r="U4724">
        <v>-4.9133299999999998E-2</v>
      </c>
      <c r="V4724">
        <v>6.3076880000000002E-2</v>
      </c>
      <c r="W4724">
        <v>5.8029010000000001E-3</v>
      </c>
      <c r="X4724">
        <v>0.99799179999999998</v>
      </c>
      <c r="Y4724">
        <v>-2.663776E-2</v>
      </c>
      <c r="Z4724">
        <v>-4.4224649999999999E-4</v>
      </c>
      <c r="AA4724">
        <v>0.99964509999999995</v>
      </c>
      <c r="AB4724">
        <v>36</v>
      </c>
      <c r="AC4724">
        <v>-58.919599999999903</v>
      </c>
      <c r="AD4724">
        <v>-1.1083242223359999</v>
      </c>
      <c r="AE4724">
        <v>-0.97059999999999003</v>
      </c>
      <c r="AF4724">
        <v>-1.5789684505413799</v>
      </c>
      <c r="AG4724">
        <v>-1.1083242223359999</v>
      </c>
      <c r="AH4724">
        <v>58.885590130305303</v>
      </c>
      <c r="AI4724">
        <v>91.0778867014632</v>
      </c>
      <c r="AJ4724">
        <v>91.5359709418356</v>
      </c>
      <c r="AK4724">
        <v>58.9171812712042</v>
      </c>
      <c r="AL4724">
        <v>89.667516397646494</v>
      </c>
      <c r="AM4724">
        <v>86.383499191882805</v>
      </c>
      <c r="AN4724">
        <v>0.99999999965889497</v>
      </c>
    </row>
    <row r="4725" spans="1:40" x14ac:dyDescent="0.25">
      <c r="A4725" t="str">
        <f>"20190312154349970"</f>
        <v>20190312154349970</v>
      </c>
      <c r="B4725" t="str">
        <f>"1552376629962190"</f>
        <v>1552376629962190</v>
      </c>
      <c r="C4725" t="s">
        <v>40</v>
      </c>
      <c r="D4725">
        <v>4.8031519999999999</v>
      </c>
      <c r="E4725">
        <v>0.46622560000000002</v>
      </c>
      <c r="F4725" t="s">
        <v>43</v>
      </c>
      <c r="G4725">
        <v>-323.56889999999999</v>
      </c>
      <c r="H4725" s="1">
        <v>-2.7485090000000001E-6</v>
      </c>
      <c r="I4725">
        <v>139.5753</v>
      </c>
      <c r="J4725">
        <v>-254.81989999999999</v>
      </c>
      <c r="K4725">
        <v>1.1083369999999999</v>
      </c>
      <c r="L4725">
        <v>140.6876</v>
      </c>
      <c r="M4725">
        <v>-0.99994439999999996</v>
      </c>
      <c r="N4725">
        <v>0</v>
      </c>
      <c r="O4725">
        <v>1.0460300000000001E-2</v>
      </c>
      <c r="P4725">
        <v>-0.99729210000000001</v>
      </c>
      <c r="Q4725">
        <v>4.9371340000000001E-3</v>
      </c>
      <c r="R4725">
        <v>7.3378120000000005E-2</v>
      </c>
      <c r="S4725">
        <v>-3.011917</v>
      </c>
      <c r="T4725">
        <v>-4.8305870000000001E-2</v>
      </c>
      <c r="U4725">
        <v>-4.8309329999999998E-2</v>
      </c>
      <c r="V4725">
        <v>6.2945260000000003E-2</v>
      </c>
      <c r="W4725">
        <v>6.2716239999999999E-3</v>
      </c>
      <c r="X4725">
        <v>0.99799729999999998</v>
      </c>
      <c r="Y4725">
        <v>-2.6490670000000001E-2</v>
      </c>
      <c r="Z4725">
        <v>-3.8014929999999998E-4</v>
      </c>
      <c r="AA4725">
        <v>0.99964900000000001</v>
      </c>
      <c r="AB4725">
        <v>36</v>
      </c>
      <c r="AC4725">
        <v>-68.748999999999995</v>
      </c>
      <c r="AD4725">
        <v>-1.1083397485089901</v>
      </c>
      <c r="AE4725">
        <v>-1.1123000000000001</v>
      </c>
      <c r="AF4725">
        <v>-1.83089921626801</v>
      </c>
      <c r="AG4725">
        <v>-1.1083397485089901</v>
      </c>
      <c r="AH4725">
        <v>68.715748875952599</v>
      </c>
      <c r="AI4725">
        <v>90.923735260865598</v>
      </c>
      <c r="AJ4725">
        <v>91.526258325028195</v>
      </c>
      <c r="AK4725">
        <v>68.749070921149396</v>
      </c>
      <c r="AL4725">
        <v>89.640660067365005</v>
      </c>
      <c r="AM4725">
        <v>86.391045470519103</v>
      </c>
      <c r="AN4725">
        <v>1.00000002491567</v>
      </c>
    </row>
    <row r="4726" spans="1:40" x14ac:dyDescent="0.25">
      <c r="A4726" t="str">
        <f>"20190312154349994"</f>
        <v>20190312154349994</v>
      </c>
      <c r="B4726" t="str">
        <f>"1552376629992446"</f>
        <v>1552376629992446</v>
      </c>
      <c r="C4726" t="s">
        <v>40</v>
      </c>
      <c r="D4726">
        <v>4.7870269999999904</v>
      </c>
      <c r="E4726">
        <v>0.46595019999999998</v>
      </c>
      <c r="F4726" t="s">
        <v>43</v>
      </c>
      <c r="G4726">
        <v>-336.26859999999999</v>
      </c>
      <c r="H4726" s="1">
        <v>-1.7941520000000001E-6</v>
      </c>
      <c r="I4726">
        <v>139.33539999999999</v>
      </c>
      <c r="J4726">
        <v>-255.1996</v>
      </c>
      <c r="K4726">
        <v>1.108357</v>
      </c>
      <c r="L4726">
        <v>140.6917</v>
      </c>
      <c r="M4726">
        <v>-0.99994320000000003</v>
      </c>
      <c r="N4726">
        <v>0</v>
      </c>
      <c r="O4726">
        <v>1.0574180000000001E-2</v>
      </c>
      <c r="P4726">
        <v>-0.997255</v>
      </c>
      <c r="Q4726">
        <v>4.9722120000000002E-3</v>
      </c>
      <c r="R4726">
        <v>7.3879009999999995E-2</v>
      </c>
      <c r="S4726">
        <v>-3.0119929999999999</v>
      </c>
      <c r="T4726">
        <v>-4.0986660000000001E-2</v>
      </c>
      <c r="U4726">
        <v>-5.000305E-2</v>
      </c>
      <c r="V4726">
        <v>6.3332609999999998E-2</v>
      </c>
      <c r="W4726">
        <v>6.2978490000000003E-3</v>
      </c>
      <c r="X4726">
        <v>0.99797259999999999</v>
      </c>
      <c r="Y4726">
        <v>-2.716735E-2</v>
      </c>
      <c r="Z4726">
        <v>-3.2869909999999998E-4</v>
      </c>
      <c r="AA4726">
        <v>0.99963089999999999</v>
      </c>
      <c r="AB4726">
        <v>36</v>
      </c>
      <c r="AC4726">
        <v>-81.068999999999903</v>
      </c>
      <c r="AD4726">
        <v>-1.1083587941519999</v>
      </c>
      <c r="AE4726">
        <v>-1.3563000000000001</v>
      </c>
      <c r="AF4726">
        <v>-2.21304959138739</v>
      </c>
      <c r="AG4726">
        <v>-1.1083587941519999</v>
      </c>
      <c r="AH4726">
        <v>81.034983138530905</v>
      </c>
      <c r="AI4726">
        <v>90.783324129481898</v>
      </c>
      <c r="AJ4726">
        <v>91.564347735638407</v>
      </c>
      <c r="AK4726">
        <v>81.072773111399798</v>
      </c>
      <c r="AL4726">
        <v>89.6391574456092</v>
      </c>
      <c r="AM4726">
        <v>86.368806438309306</v>
      </c>
      <c r="AN4726">
        <v>0.99999999637109904</v>
      </c>
    </row>
    <row r="4727" spans="1:40" x14ac:dyDescent="0.25">
      <c r="A4727" t="str">
        <f>"20190312154350015"</f>
        <v>20190312154350015</v>
      </c>
      <c r="B4727" t="str">
        <f>"1552376630011967"</f>
        <v>1552376630011967</v>
      </c>
      <c r="C4727" t="s">
        <v>40</v>
      </c>
      <c r="D4727">
        <v>4.8105510000000002</v>
      </c>
      <c r="E4727">
        <v>0.4659546</v>
      </c>
      <c r="F4727" t="s">
        <v>43</v>
      </c>
      <c r="G4727">
        <v>-341.74720000000002</v>
      </c>
      <c r="H4727" s="1">
        <v>-3.5905249999999998E-6</v>
      </c>
      <c r="I4727">
        <v>139.23419999999999</v>
      </c>
      <c r="J4727">
        <v>-255.541</v>
      </c>
      <c r="K4727">
        <v>1.1083639999999999</v>
      </c>
      <c r="L4727">
        <v>140.6953</v>
      </c>
      <c r="M4727">
        <v>-0.99994240000000001</v>
      </c>
      <c r="N4727">
        <v>0</v>
      </c>
      <c r="O4727">
        <v>1.0661840000000001E-2</v>
      </c>
      <c r="P4727">
        <v>-0.99724360000000001</v>
      </c>
      <c r="Q4727">
        <v>5.2587299999999997E-3</v>
      </c>
      <c r="R4727">
        <v>7.4012960000000003E-2</v>
      </c>
      <c r="S4727">
        <v>-3.0121920000000002</v>
      </c>
      <c r="T4727">
        <v>-3.8575289999999998E-2</v>
      </c>
      <c r="U4727">
        <v>-5.0720210000000002E-2</v>
      </c>
      <c r="V4727">
        <v>6.3378889999999993E-2</v>
      </c>
      <c r="W4727">
        <v>6.5829919999999898E-3</v>
      </c>
      <c r="X4727">
        <v>0.99796779999999996</v>
      </c>
      <c r="Y4727">
        <v>-2.7492180000000001E-2</v>
      </c>
      <c r="Z4727">
        <v>-3.125437E-4</v>
      </c>
      <c r="AA4727">
        <v>0.99962200000000001</v>
      </c>
      <c r="AB4727">
        <v>36</v>
      </c>
      <c r="AC4727">
        <v>-86.206199999999995</v>
      </c>
      <c r="AD4727">
        <v>-1.1083675905249999</v>
      </c>
      <c r="AE4727">
        <v>-1.4611000000000101</v>
      </c>
      <c r="AF4727">
        <v>-2.3797410888200101</v>
      </c>
      <c r="AG4727">
        <v>-1.1083675905249999</v>
      </c>
      <c r="AH4727">
        <v>86.171481451157206</v>
      </c>
      <c r="AI4727">
        <v>90.736636805802206</v>
      </c>
      <c r="AJ4727">
        <v>91.581897763633094</v>
      </c>
      <c r="AK4727">
        <v>86.211460153814102</v>
      </c>
      <c r="AL4727">
        <v>89.622819608005301</v>
      </c>
      <c r="AM4727">
        <v>86.366142637243797</v>
      </c>
      <c r="AN4727">
        <v>0.99999997465907098</v>
      </c>
    </row>
    <row r="4728" spans="1:40" x14ac:dyDescent="0.25">
      <c r="A4728" t="str">
        <f>"20190312154350038"</f>
        <v>20190312154350038</v>
      </c>
      <c r="B4728" t="str">
        <f>"1552376630032464"</f>
        <v>1552376630032464</v>
      </c>
      <c r="C4728" t="s">
        <v>40</v>
      </c>
      <c r="D4728">
        <v>5.1697519999999999</v>
      </c>
      <c r="E4728">
        <v>0.46577069999999998</v>
      </c>
      <c r="F4728" t="s">
        <v>43</v>
      </c>
      <c r="G4728">
        <v>-344.99239999999998</v>
      </c>
      <c r="H4728" s="1">
        <v>-2.2038579999999999E-6</v>
      </c>
      <c r="I4728">
        <v>139.20310000000001</v>
      </c>
      <c r="J4728">
        <v>-255.9171</v>
      </c>
      <c r="K4728">
        <v>1.1083780000000001</v>
      </c>
      <c r="L4728">
        <v>140.6995</v>
      </c>
      <c r="M4728">
        <v>-0.99994150000000004</v>
      </c>
      <c r="N4728">
        <v>0</v>
      </c>
      <c r="O4728">
        <v>1.0742160000000001E-2</v>
      </c>
      <c r="P4728">
        <v>-0.99720030000000004</v>
      </c>
      <c r="Q4728">
        <v>5.3535780000000003E-3</v>
      </c>
      <c r="R4728">
        <v>7.4587399999999901E-2</v>
      </c>
      <c r="S4728">
        <v>-3.0121769999999999</v>
      </c>
      <c r="T4728">
        <v>-3.7323000000000002E-2</v>
      </c>
      <c r="U4728">
        <v>-5.0247189999999997E-2</v>
      </c>
      <c r="V4728">
        <v>6.3873330000000006E-2</v>
      </c>
      <c r="W4728">
        <v>6.6821709999999998E-3</v>
      </c>
      <c r="X4728">
        <v>0.99793569999999998</v>
      </c>
      <c r="Y4728">
        <v>-2.7415829999999999E-2</v>
      </c>
      <c r="Z4728">
        <v>-3.0292230000000001E-4</v>
      </c>
      <c r="AA4728">
        <v>0.99962410000000002</v>
      </c>
      <c r="AB4728">
        <v>37</v>
      </c>
      <c r="AC4728">
        <v>-89.075299999999899</v>
      </c>
      <c r="AD4728">
        <v>-1.108380203858</v>
      </c>
      <c r="AE4728">
        <v>-1.49639999999999</v>
      </c>
      <c r="AF4728">
        <v>-2.4527958848720002</v>
      </c>
      <c r="AG4728">
        <v>-1.108380203858</v>
      </c>
      <c r="AH4728">
        <v>89.040303415954099</v>
      </c>
      <c r="AI4728">
        <v>90.712914800403496</v>
      </c>
      <c r="AJ4728">
        <v>91.577929490668197</v>
      </c>
      <c r="AK4728">
        <v>89.080976345874802</v>
      </c>
      <c r="AL4728">
        <v>89.617136976470604</v>
      </c>
      <c r="AM4728">
        <v>86.337753067561295</v>
      </c>
      <c r="AN4728">
        <v>1.00000005751452</v>
      </c>
    </row>
    <row r="4729" spans="1:40" x14ac:dyDescent="0.25">
      <c r="A4729" t="str">
        <f>"20190312154350060"</f>
        <v>20190312154350060</v>
      </c>
      <c r="B4729" t="str">
        <f>"1552376630051999"</f>
        <v>1552376630051999</v>
      </c>
      <c r="C4729" t="s">
        <v>40</v>
      </c>
      <c r="D4729">
        <v>4.7674370000000001</v>
      </c>
      <c r="E4729">
        <v>0.46559139999999999</v>
      </c>
      <c r="F4729" t="s">
        <v>43</v>
      </c>
      <c r="G4729">
        <v>-350.2989</v>
      </c>
      <c r="H4729" s="1">
        <v>-4.2289759999999998E-6</v>
      </c>
      <c r="I4729">
        <v>139.13749999999999</v>
      </c>
      <c r="J4729">
        <v>-256.28269999999998</v>
      </c>
      <c r="K4729">
        <v>1.1083909999999999</v>
      </c>
      <c r="L4729">
        <v>140.70339999999999</v>
      </c>
      <c r="M4729">
        <v>-0.99994090000000002</v>
      </c>
      <c r="N4729">
        <v>0</v>
      </c>
      <c r="O4729">
        <v>1.0802519999999999E-2</v>
      </c>
      <c r="P4729">
        <v>-0.99718110000000004</v>
      </c>
      <c r="Q4729">
        <v>5.2782180000000003E-3</v>
      </c>
      <c r="R4729">
        <v>7.4849189999999996E-2</v>
      </c>
      <c r="S4729">
        <v>-3.0123289999999998</v>
      </c>
      <c r="T4729">
        <v>-3.53756E-2</v>
      </c>
      <c r="U4729">
        <v>-4.9850459999999999E-2</v>
      </c>
      <c r="V4729">
        <v>6.4074870000000006E-2</v>
      </c>
      <c r="W4729">
        <v>6.6178000000000001E-3</v>
      </c>
      <c r="X4729">
        <v>0.99792309999999995</v>
      </c>
      <c r="Y4729">
        <v>-2.7344E-2</v>
      </c>
      <c r="Z4729">
        <v>-2.8739050000000001E-4</v>
      </c>
      <c r="AA4729">
        <v>0.99962600000000001</v>
      </c>
      <c r="AB4729">
        <v>37</v>
      </c>
      <c r="AC4729">
        <v>-94.016199999999998</v>
      </c>
      <c r="AD4729">
        <v>-1.108395228976</v>
      </c>
      <c r="AE4729">
        <v>-1.5658999999999901</v>
      </c>
      <c r="AF4729">
        <v>-2.5810626321751302</v>
      </c>
      <c r="AG4729">
        <v>-1.108395228976</v>
      </c>
      <c r="AH4729">
        <v>93.980739798106299</v>
      </c>
      <c r="AI4729">
        <v>90.675452133774399</v>
      </c>
      <c r="AJ4729">
        <v>91.573160966487606</v>
      </c>
      <c r="AK4729">
        <v>94.022709370099406</v>
      </c>
      <c r="AL4729">
        <v>89.620825203242106</v>
      </c>
      <c r="AM4729">
        <v>86.326182889891498</v>
      </c>
      <c r="AN4729">
        <v>0.99999994887798205</v>
      </c>
    </row>
    <row r="4730" spans="1:40" x14ac:dyDescent="0.25">
      <c r="A4730" t="str">
        <f>"20190312154350084"</f>
        <v>20190312154350084</v>
      </c>
      <c r="B4730" t="str">
        <f>"1552376630072478"</f>
        <v>1552376630072478</v>
      </c>
      <c r="C4730" t="s">
        <v>40</v>
      </c>
      <c r="D4730">
        <v>4.7791800000000002</v>
      </c>
      <c r="E4730">
        <v>0.46548020000000001</v>
      </c>
      <c r="F4730" t="s">
        <v>43</v>
      </c>
      <c r="G4730">
        <v>-350.86200000000002</v>
      </c>
      <c r="H4730" s="1">
        <v>-3.9905960000000003E-6</v>
      </c>
      <c r="I4730">
        <v>139.11959999999999</v>
      </c>
      <c r="J4730">
        <v>-256.6705</v>
      </c>
      <c r="K4730">
        <v>1.1084050000000001</v>
      </c>
      <c r="L4730">
        <v>140.70769999999999</v>
      </c>
      <c r="M4730">
        <v>-0.99994019999999995</v>
      </c>
      <c r="N4730">
        <v>0</v>
      </c>
      <c r="O4730">
        <v>1.0848379999999999E-2</v>
      </c>
      <c r="P4730">
        <v>-0.99714959999999997</v>
      </c>
      <c r="Q4730">
        <v>4.6131660000000001E-3</v>
      </c>
      <c r="R4730">
        <v>7.5310630000000003E-2</v>
      </c>
      <c r="S4730">
        <v>-3.012451</v>
      </c>
      <c r="T4730">
        <v>-3.5303590000000003E-2</v>
      </c>
      <c r="U4730">
        <v>-5.044556E-2</v>
      </c>
      <c r="V4730">
        <v>6.4490270000000002E-2</v>
      </c>
      <c r="W4730">
        <v>5.9693139999999999E-3</v>
      </c>
      <c r="X4730">
        <v>0.99790049999999997</v>
      </c>
      <c r="Y4730">
        <v>-2.7586579999999999E-2</v>
      </c>
      <c r="Z4730">
        <v>-2.8875219999999999E-4</v>
      </c>
      <c r="AA4730">
        <v>0.99961940000000005</v>
      </c>
      <c r="AB4730">
        <v>37</v>
      </c>
      <c r="AC4730">
        <v>-94.191499999999905</v>
      </c>
      <c r="AD4730">
        <v>-1.108408990596</v>
      </c>
      <c r="AE4730">
        <v>-1.5880999999999901</v>
      </c>
      <c r="AF4730">
        <v>-2.6094714593139998</v>
      </c>
      <c r="AG4730">
        <v>-1.108408990596</v>
      </c>
      <c r="AH4730">
        <v>94.155694260772293</v>
      </c>
      <c r="AI4730">
        <v>90.674200876000199</v>
      </c>
      <c r="AJ4730">
        <v>91.587513540411393</v>
      </c>
      <c r="AK4730">
        <v>94.198368741265597</v>
      </c>
      <c r="AL4730">
        <v>89.657981476093397</v>
      </c>
      <c r="AM4730">
        <v>86.302347737051406</v>
      </c>
      <c r="AN4730">
        <v>1.0000000177672701</v>
      </c>
    </row>
    <row r="4731" spans="1:40" x14ac:dyDescent="0.25">
      <c r="A4731" t="str">
        <f>"20190312154350106"</f>
        <v>20190312154350106</v>
      </c>
      <c r="B4731" t="str">
        <f>"1552376630102736"</f>
        <v>1552376630102736</v>
      </c>
      <c r="C4731" t="s">
        <v>40</v>
      </c>
      <c r="D4731">
        <v>4.783264</v>
      </c>
      <c r="E4731">
        <v>0.46544079999999899</v>
      </c>
      <c r="F4731" t="s">
        <v>43</v>
      </c>
      <c r="G4731">
        <v>-346.5693</v>
      </c>
      <c r="H4731" s="1">
        <v>-1.52524499999999E-6</v>
      </c>
      <c r="I4731">
        <v>139.215</v>
      </c>
      <c r="J4731">
        <v>-257.0523</v>
      </c>
      <c r="K4731">
        <v>1.1084160000000001</v>
      </c>
      <c r="L4731">
        <v>140.71190000000001</v>
      </c>
      <c r="M4731">
        <v>-0.99994000000000005</v>
      </c>
      <c r="N4731">
        <v>0</v>
      </c>
      <c r="O4731">
        <v>1.087838E-2</v>
      </c>
      <c r="P4731">
        <v>-0.99714659999999999</v>
      </c>
      <c r="Q4731">
        <v>4.1599480000000001E-3</v>
      </c>
      <c r="R4731">
        <v>7.5376970000000001E-2</v>
      </c>
      <c r="S4731">
        <v>-3.0125120000000001</v>
      </c>
      <c r="T4731">
        <v>-3.7142750000000002E-2</v>
      </c>
      <c r="U4731">
        <v>-5.0018310000000003E-2</v>
      </c>
      <c r="V4731">
        <v>6.4526420000000001E-2</v>
      </c>
      <c r="W4731">
        <v>5.5368309999999999E-3</v>
      </c>
      <c r="X4731">
        <v>0.99790069999999997</v>
      </c>
      <c r="Y4731">
        <v>-2.7474229999999999E-2</v>
      </c>
      <c r="Z4731">
        <v>-3.0346529999999999E-4</v>
      </c>
      <c r="AA4731">
        <v>0.99962249999999997</v>
      </c>
      <c r="AB4731">
        <v>37</v>
      </c>
      <c r="AC4731">
        <v>-89.516999999999996</v>
      </c>
      <c r="AD4731">
        <v>-1.1084175252449999</v>
      </c>
      <c r="AE4731">
        <v>-1.4969000000000099</v>
      </c>
      <c r="AF4731">
        <v>-2.47023354802303</v>
      </c>
      <c r="AG4731">
        <v>-1.1084175252449999</v>
      </c>
      <c r="AH4731">
        <v>89.481703888740498</v>
      </c>
      <c r="AI4731">
        <v>90.709421185143995</v>
      </c>
      <c r="AJ4731">
        <v>91.581306714316497</v>
      </c>
      <c r="AK4731">
        <v>89.522656205143306</v>
      </c>
      <c r="AL4731">
        <v>89.682761350325194</v>
      </c>
      <c r="AM4731">
        <v>86.300281513878204</v>
      </c>
      <c r="AN4731">
        <v>1.00000006121801</v>
      </c>
    </row>
    <row r="4732" spans="1:40" x14ac:dyDescent="0.25">
      <c r="A4732" t="str">
        <f>"20190312154350127"</f>
        <v>20190312154350127</v>
      </c>
      <c r="B4732" t="str">
        <f>"1552376630122255"</f>
        <v>1552376630122255</v>
      </c>
      <c r="C4732" t="s">
        <v>40</v>
      </c>
      <c r="D4732">
        <v>4.7736739999999998</v>
      </c>
      <c r="E4732">
        <v>0.46533479999999999</v>
      </c>
      <c r="F4732" t="s">
        <v>43</v>
      </c>
      <c r="G4732">
        <v>-343.60599999999999</v>
      </c>
      <c r="H4732" s="1">
        <v>-2.78655E-6</v>
      </c>
      <c r="I4732">
        <v>139.27119999999999</v>
      </c>
      <c r="J4732">
        <v>-257.39210000000003</v>
      </c>
      <c r="K4732">
        <v>1.108422</v>
      </c>
      <c r="L4732">
        <v>140.71559999999999</v>
      </c>
      <c r="M4732">
        <v>-0.99993980000000005</v>
      </c>
      <c r="N4732">
        <v>0</v>
      </c>
      <c r="O4732">
        <v>1.089593E-2</v>
      </c>
      <c r="P4732">
        <v>-0.99710869999999996</v>
      </c>
      <c r="Q4732">
        <v>3.8600399999999999E-3</v>
      </c>
      <c r="R4732">
        <v>7.5892719999999997E-2</v>
      </c>
      <c r="S4732">
        <v>-3.012543</v>
      </c>
      <c r="T4732">
        <v>-3.857911E-2</v>
      </c>
      <c r="U4732">
        <v>-5.0140379999999998E-2</v>
      </c>
      <c r="V4732">
        <v>6.5024750000000006E-2</v>
      </c>
      <c r="W4732">
        <v>5.2574079999999999E-3</v>
      </c>
      <c r="X4732">
        <v>0.99786980000000003</v>
      </c>
      <c r="Y4732">
        <v>-2.753187E-2</v>
      </c>
      <c r="Z4732">
        <v>-3.157902E-4</v>
      </c>
      <c r="AA4732">
        <v>0.99962090000000003</v>
      </c>
      <c r="AB4732">
        <v>37</v>
      </c>
      <c r="AC4732">
        <v>-86.213899999999896</v>
      </c>
      <c r="AD4732">
        <v>-1.1084247865500001</v>
      </c>
      <c r="AE4732">
        <v>-1.4443999999999999</v>
      </c>
      <c r="AF4732">
        <v>-2.3833018273339999</v>
      </c>
      <c r="AG4732">
        <v>-1.1084247865500001</v>
      </c>
      <c r="AH4732">
        <v>86.178803164666107</v>
      </c>
      <c r="AI4732">
        <v>90.736611441576997</v>
      </c>
      <c r="AJ4732">
        <v>91.584128976894505</v>
      </c>
      <c r="AK4732">
        <v>86.218877561714294</v>
      </c>
      <c r="AL4732">
        <v>89.698771322161804</v>
      </c>
      <c r="AM4732">
        <v>86.271674174240403</v>
      </c>
      <c r="AN4732">
        <v>0.99999999810174001</v>
      </c>
    </row>
    <row r="4733" spans="1:40" x14ac:dyDescent="0.25">
      <c r="A4733" t="str">
        <f>"20190312154350151"</f>
        <v>20190312154350151</v>
      </c>
      <c r="B4733" t="str">
        <f>"1552376630142751"</f>
        <v>1552376630142751</v>
      </c>
      <c r="C4733" t="s">
        <v>40</v>
      </c>
      <c r="D4733">
        <v>4.7606799999999998</v>
      </c>
      <c r="E4733">
        <v>0.46531060000000002</v>
      </c>
      <c r="F4733" t="s">
        <v>43</v>
      </c>
      <c r="G4733">
        <v>-342.2398</v>
      </c>
      <c r="H4733" s="1">
        <v>-3.363482E-6</v>
      </c>
      <c r="I4733">
        <v>139.32259999999999</v>
      </c>
      <c r="J4733">
        <v>-257.79520000000002</v>
      </c>
      <c r="K4733">
        <v>1.1084259999999999</v>
      </c>
      <c r="L4733">
        <v>140.72</v>
      </c>
      <c r="M4733">
        <v>-0.99993940000000003</v>
      </c>
      <c r="N4733">
        <v>0</v>
      </c>
      <c r="O4733">
        <v>1.090549E-2</v>
      </c>
      <c r="P4733">
        <v>-0.99711050000000001</v>
      </c>
      <c r="Q4733">
        <v>3.3151360000000002E-3</v>
      </c>
      <c r="R4733">
        <v>7.5893310000000005E-2</v>
      </c>
      <c r="S4733">
        <v>-3.0126040000000001</v>
      </c>
      <c r="T4733">
        <v>-3.9355750000000002E-2</v>
      </c>
      <c r="U4733">
        <v>-4.9453740000000003E-2</v>
      </c>
      <c r="V4733">
        <v>6.501564E-2</v>
      </c>
      <c r="W4733">
        <v>4.7414759999999997E-3</v>
      </c>
      <c r="X4733">
        <v>0.99787300000000001</v>
      </c>
      <c r="Y4733">
        <v>-2.7313210000000001E-2</v>
      </c>
      <c r="Z4733">
        <v>-3.2083790000000001E-4</v>
      </c>
      <c r="AA4733">
        <v>0.99962689999999998</v>
      </c>
      <c r="AB4733">
        <v>37</v>
      </c>
      <c r="AC4733">
        <v>-84.444599999999895</v>
      </c>
      <c r="AD4733">
        <v>-1.1084293634819999</v>
      </c>
      <c r="AE4733">
        <v>-1.3974</v>
      </c>
      <c r="AF4733">
        <v>-2.31782844512108</v>
      </c>
      <c r="AG4733">
        <v>-1.1084293634819999</v>
      </c>
      <c r="AH4733">
        <v>84.409799612628504</v>
      </c>
      <c r="AI4733">
        <v>90.752054256798402</v>
      </c>
      <c r="AJ4733">
        <v>91.572902972217605</v>
      </c>
      <c r="AK4733">
        <v>84.448891141322505</v>
      </c>
      <c r="AL4733">
        <v>89.728332423931207</v>
      </c>
      <c r="AM4733">
        <v>86.272206962305603</v>
      </c>
      <c r="AN4733">
        <v>1.0000000195841301</v>
      </c>
    </row>
    <row r="4734" spans="1:40" x14ac:dyDescent="0.25">
      <c r="A4734" t="str">
        <f>"20190312154350173"</f>
        <v>20190312154350173</v>
      </c>
      <c r="B4734" t="str">
        <f>"1552376630162275"</f>
        <v>1552376630162275</v>
      </c>
      <c r="C4734" t="s">
        <v>40</v>
      </c>
      <c r="D4734">
        <v>4.7722329999999999</v>
      </c>
      <c r="E4734">
        <v>0.46525519999999998</v>
      </c>
      <c r="F4734" t="s">
        <v>43</v>
      </c>
      <c r="G4734">
        <v>-336.65010000000001</v>
      </c>
      <c r="H4734" s="1">
        <v>-1.5989419999999999E-6</v>
      </c>
      <c r="I4734">
        <v>139.41919999999999</v>
      </c>
      <c r="J4734">
        <v>-258.17020000000002</v>
      </c>
      <c r="K4734">
        <v>1.1084339999999999</v>
      </c>
      <c r="L4734">
        <v>140.72409999999999</v>
      </c>
      <c r="M4734">
        <v>-0.99993960000000004</v>
      </c>
      <c r="N4734">
        <v>0</v>
      </c>
      <c r="O4734">
        <v>1.0899549999999999E-2</v>
      </c>
      <c r="P4734">
        <v>-0.99713499999999999</v>
      </c>
      <c r="Q4734">
        <v>2.7328040000000001E-3</v>
      </c>
      <c r="R4734">
        <v>7.5595839999999997E-2</v>
      </c>
      <c r="S4734">
        <v>-3.0126650000000001</v>
      </c>
      <c r="T4734">
        <v>-4.2347669999999997E-2</v>
      </c>
      <c r="U4734">
        <v>-4.969788E-2</v>
      </c>
      <c r="V4734">
        <v>6.4723639999999999E-2</v>
      </c>
      <c r="W4734">
        <v>4.1888280000000003E-3</v>
      </c>
      <c r="X4734">
        <v>0.99789439999999996</v>
      </c>
      <c r="Y4734">
        <v>-2.7387399999999999E-2</v>
      </c>
      <c r="Z4734">
        <v>-3.4565699999999997E-4</v>
      </c>
      <c r="AA4734">
        <v>0.99962479999999998</v>
      </c>
      <c r="AB4734">
        <v>38</v>
      </c>
      <c r="AC4734">
        <v>-78.479899999999901</v>
      </c>
      <c r="AD4734">
        <v>-1.1084355989419901</v>
      </c>
      <c r="AE4734">
        <v>-1.3048999999999999</v>
      </c>
      <c r="AF4734">
        <v>-2.15978821403281</v>
      </c>
      <c r="AG4734">
        <v>-1.1084355989419901</v>
      </c>
      <c r="AH4734">
        <v>78.445371175148694</v>
      </c>
      <c r="AI4734">
        <v>90.8092307070592</v>
      </c>
      <c r="AJ4734">
        <v>91.577091084624399</v>
      </c>
      <c r="AK4734">
        <v>78.482925362229693</v>
      </c>
      <c r="AL4734">
        <v>89.759997124159298</v>
      </c>
      <c r="AM4734">
        <v>86.288981798271294</v>
      </c>
      <c r="AN4734">
        <v>0.99999996470311003</v>
      </c>
    </row>
    <row r="4735" spans="1:40" x14ac:dyDescent="0.25">
      <c r="A4735" t="str">
        <f>"20190312154350194"</f>
        <v>20190312154350194</v>
      </c>
      <c r="B4735" t="str">
        <f>"1552376630181791"</f>
        <v>1552376630181791</v>
      </c>
      <c r="C4735" t="s">
        <v>40</v>
      </c>
      <c r="D4735">
        <v>4.8169029999999999</v>
      </c>
      <c r="E4735">
        <v>0.46522930000000001</v>
      </c>
      <c r="F4735" t="s">
        <v>43</v>
      </c>
      <c r="G4735">
        <v>-333.4581</v>
      </c>
      <c r="H4735" s="1">
        <v>-3.1026569999999998E-6</v>
      </c>
      <c r="I4735">
        <v>139.4485</v>
      </c>
      <c r="J4735">
        <v>-258.53980000000001</v>
      </c>
      <c r="K4735">
        <v>1.1084339999999999</v>
      </c>
      <c r="L4735">
        <v>140.72810000000001</v>
      </c>
      <c r="M4735">
        <v>-0.99993989999999999</v>
      </c>
      <c r="N4735">
        <v>0</v>
      </c>
      <c r="O4735">
        <v>1.087924E-2</v>
      </c>
      <c r="P4735">
        <v>-0.99717299999999998</v>
      </c>
      <c r="Q4735">
        <v>2.1812020000000001E-3</v>
      </c>
      <c r="R4735">
        <v>7.5110159999999995E-2</v>
      </c>
      <c r="S4735">
        <v>-3.0126339999999998</v>
      </c>
      <c r="T4735">
        <v>-4.4353959999999998E-2</v>
      </c>
      <c r="U4735">
        <v>-5.104065E-2</v>
      </c>
      <c r="V4735">
        <v>6.4257480000000006E-2</v>
      </c>
      <c r="W4735">
        <v>3.668602E-3</v>
      </c>
      <c r="X4735">
        <v>0.9979266</v>
      </c>
      <c r="Y4735">
        <v>-2.7812259999999998E-2</v>
      </c>
      <c r="Z4735">
        <v>-3.6486199999999998E-4</v>
      </c>
      <c r="AA4735">
        <v>0.99961310000000003</v>
      </c>
      <c r="AB4735">
        <v>38</v>
      </c>
      <c r="AC4735">
        <v>-74.918299999999903</v>
      </c>
      <c r="AD4735">
        <v>-1.1084371026569999</v>
      </c>
      <c r="AE4735">
        <v>-1.2796000000000101</v>
      </c>
      <c r="AF4735">
        <v>-2.0941209176725599</v>
      </c>
      <c r="AG4735">
        <v>-1.1084371026569999</v>
      </c>
      <c r="AH4735">
        <v>74.883557937537901</v>
      </c>
      <c r="AI4735">
        <v>90.847707007614204</v>
      </c>
      <c r="AJ4735">
        <v>91.6018606851013</v>
      </c>
      <c r="AK4735">
        <v>74.921033259112093</v>
      </c>
      <c r="AL4735">
        <v>89.789804115234503</v>
      </c>
      <c r="AM4735">
        <v>86.315754387790506</v>
      </c>
      <c r="AN4735">
        <v>0.99999999068207202</v>
      </c>
    </row>
    <row r="4736" spans="1:40" x14ac:dyDescent="0.25">
      <c r="A4736" t="str">
        <f>"20190312154350215"</f>
        <v>20190312154350215</v>
      </c>
      <c r="B4736" t="str">
        <f>"1552376630212046"</f>
        <v>1552376630212046</v>
      </c>
      <c r="C4736" t="s">
        <v>40</v>
      </c>
      <c r="D4736">
        <v>4.8173370000000002</v>
      </c>
      <c r="E4736">
        <v>0.46514499999999998</v>
      </c>
      <c r="F4736" t="s">
        <v>43</v>
      </c>
      <c r="G4736">
        <v>-330.31299999999999</v>
      </c>
      <c r="H4736" s="1">
        <v>-4.5854150000000004E-6</v>
      </c>
      <c r="I4736">
        <v>139.47069999999999</v>
      </c>
      <c r="J4736">
        <v>-258.91050000000001</v>
      </c>
      <c r="K4736">
        <v>1.1084499999999999</v>
      </c>
      <c r="L4736">
        <v>140.7321</v>
      </c>
      <c r="M4736">
        <v>-0.99994000000000005</v>
      </c>
      <c r="N4736">
        <v>0</v>
      </c>
      <c r="O4736">
        <v>1.084092E-2</v>
      </c>
      <c r="P4736">
        <v>-0.99713439999999998</v>
      </c>
      <c r="Q4736">
        <v>1.855658E-3</v>
      </c>
      <c r="R4736">
        <v>7.5627379999999994E-2</v>
      </c>
      <c r="S4736">
        <v>-3.0126040000000001</v>
      </c>
      <c r="T4736">
        <v>-4.6525480000000001E-2</v>
      </c>
      <c r="U4736">
        <v>-5.2780149999999998E-2</v>
      </c>
      <c r="V4736">
        <v>6.4813079999999995E-2</v>
      </c>
      <c r="W4736">
        <v>3.3772569999999998E-3</v>
      </c>
      <c r="X4736">
        <v>0.99789170000000005</v>
      </c>
      <c r="Y4736">
        <v>-2.835066E-2</v>
      </c>
      <c r="Z4736">
        <v>-3.8629039999999999E-4</v>
      </c>
      <c r="AA4736">
        <v>0.99959799999999999</v>
      </c>
      <c r="AB4736">
        <v>38</v>
      </c>
      <c r="AC4736">
        <v>-71.402500000000003</v>
      </c>
      <c r="AD4736">
        <v>-1.1084545854150001</v>
      </c>
      <c r="AE4736">
        <v>-1.2614000000000001</v>
      </c>
      <c r="AF4736">
        <v>-2.03490537080366</v>
      </c>
      <c r="AG4736">
        <v>-1.1084545854150001</v>
      </c>
      <c r="AH4736">
        <v>71.367435437717205</v>
      </c>
      <c r="AI4736">
        <v>90.889465459567603</v>
      </c>
      <c r="AJ4736">
        <v>91.633236615793507</v>
      </c>
      <c r="AK4736">
        <v>71.405044306356899</v>
      </c>
      <c r="AL4736">
        <v>89.806497058381396</v>
      </c>
      <c r="AM4736">
        <v>86.283857966918504</v>
      </c>
      <c r="AN4736">
        <v>0.99999999306640996</v>
      </c>
    </row>
    <row r="4737" spans="1:40" x14ac:dyDescent="0.25">
      <c r="A4737" t="str">
        <f>"20190312154350239"</f>
        <v>20190312154350239</v>
      </c>
      <c r="B4737" t="str">
        <f>"1552376630232542"</f>
        <v>1552376630232542</v>
      </c>
      <c r="C4737" t="s">
        <v>40</v>
      </c>
      <c r="D4737">
        <v>4.8290009999999999</v>
      </c>
      <c r="E4737">
        <v>0.46514480000000002</v>
      </c>
      <c r="F4737" t="s">
        <v>43</v>
      </c>
      <c r="G4737">
        <v>-329.40269999999998</v>
      </c>
      <c r="H4737" s="1">
        <v>-2.5583819999999998E-7</v>
      </c>
      <c r="I4737">
        <v>139.5189</v>
      </c>
      <c r="J4737">
        <v>-259.30799999999999</v>
      </c>
      <c r="K4737">
        <v>1.108466</v>
      </c>
      <c r="L4737">
        <v>140.7364</v>
      </c>
      <c r="M4737">
        <v>-0.99994079999999996</v>
      </c>
      <c r="N4737">
        <v>0</v>
      </c>
      <c r="O4737">
        <v>1.077666E-2</v>
      </c>
      <c r="P4737">
        <v>-0.99711329999999998</v>
      </c>
      <c r="Q4737">
        <v>2.2200560000000002E-3</v>
      </c>
      <c r="R4737">
        <v>7.589506E-2</v>
      </c>
      <c r="S4737">
        <v>-3.0126339999999998</v>
      </c>
      <c r="T4737">
        <v>-4.7371980000000001E-2</v>
      </c>
      <c r="U4737">
        <v>-5.1849369999999999E-2</v>
      </c>
      <c r="V4737">
        <v>6.514499E-2</v>
      </c>
      <c r="W4737">
        <v>3.7806580000000001E-3</v>
      </c>
      <c r="X4737">
        <v>0.99786870000000005</v>
      </c>
      <c r="Y4737">
        <v>-2.7977390000000001E-2</v>
      </c>
      <c r="Z4737">
        <v>-3.8937020000000001E-4</v>
      </c>
      <c r="AA4737">
        <v>0.99960850000000001</v>
      </c>
      <c r="AB4737">
        <v>38</v>
      </c>
      <c r="AC4737">
        <v>-70.094699999999904</v>
      </c>
      <c r="AD4737">
        <v>-1.1084662558381999</v>
      </c>
      <c r="AE4737">
        <v>-1.2175</v>
      </c>
      <c r="AF4737">
        <v>-1.9723238180632301</v>
      </c>
      <c r="AG4737">
        <v>-1.1084662558381999</v>
      </c>
      <c r="AH4737">
        <v>70.059993858404098</v>
      </c>
      <c r="AI4737">
        <v>90.906080493518203</v>
      </c>
      <c r="AJ4737">
        <v>91.612560678833702</v>
      </c>
      <c r="AK4737">
        <v>70.096515591884099</v>
      </c>
      <c r="AL4737">
        <v>89.783383748216494</v>
      </c>
      <c r="AM4737">
        <v>86.264795363078505</v>
      </c>
      <c r="AN4737">
        <v>1.0000000527683499</v>
      </c>
    </row>
    <row r="4738" spans="1:40" x14ac:dyDescent="0.25">
      <c r="A4738" t="str">
        <f>"20190312154350272"</f>
        <v>20190312154350272</v>
      </c>
      <c r="B4738" t="str">
        <f>"1552376630261826"</f>
        <v>1552376630261826</v>
      </c>
      <c r="C4738" t="s">
        <v>40</v>
      </c>
      <c r="D4738">
        <v>5.0791199999999996</v>
      </c>
      <c r="E4738">
        <v>0.46501819999999999</v>
      </c>
      <c r="F4738" t="s">
        <v>43</v>
      </c>
      <c r="G4738">
        <v>-331.77190000000002</v>
      </c>
      <c r="H4738" s="1">
        <v>-3.8888979999999997E-6</v>
      </c>
      <c r="I4738">
        <v>139.5094</v>
      </c>
      <c r="J4738">
        <v>-259.8879</v>
      </c>
      <c r="K4738">
        <v>1.1084969999999901</v>
      </c>
      <c r="L4738">
        <v>140.74260000000001</v>
      </c>
      <c r="M4738">
        <v>-0.99994209999999994</v>
      </c>
      <c r="N4738">
        <v>0</v>
      </c>
      <c r="O4738">
        <v>1.063856E-2</v>
      </c>
      <c r="P4738">
        <v>-0.99705840000000001</v>
      </c>
      <c r="Q4738">
        <v>2.5156699999999998E-3</v>
      </c>
      <c r="R4738">
        <v>7.6605210000000007E-2</v>
      </c>
      <c r="S4738">
        <v>-3.0126339999999998</v>
      </c>
      <c r="T4738">
        <v>-4.6083810000000003E-2</v>
      </c>
      <c r="U4738">
        <v>-5.1010130000000001E-2</v>
      </c>
      <c r="V4738">
        <v>6.5993209999999997E-2</v>
      </c>
      <c r="W4738">
        <v>4.1363759999999998E-3</v>
      </c>
      <c r="X4738">
        <v>0.99781149999999996</v>
      </c>
      <c r="Y4738">
        <v>-2.7561269999999999E-2</v>
      </c>
      <c r="Z4738">
        <v>-3.7348969999999998E-4</v>
      </c>
      <c r="AA4738">
        <v>0.99961999999999995</v>
      </c>
      <c r="AB4738">
        <v>38</v>
      </c>
      <c r="AC4738">
        <v>-71.884</v>
      </c>
      <c r="AD4738">
        <v>-1.1085008888979999</v>
      </c>
      <c r="AE4738">
        <v>-1.2332000000000101</v>
      </c>
      <c r="AF4738">
        <v>-1.9973986226492999</v>
      </c>
      <c r="AG4738">
        <v>-1.1085008888979999</v>
      </c>
      <c r="AH4738">
        <v>71.849731833906304</v>
      </c>
      <c r="AI4738">
        <v>90.883550440830106</v>
      </c>
      <c r="AJ4738">
        <v>91.592393466403493</v>
      </c>
      <c r="AK4738">
        <v>71.886037170529093</v>
      </c>
      <c r="AL4738">
        <v>89.763002437239194</v>
      </c>
      <c r="AM4738">
        <v>86.216085248002202</v>
      </c>
      <c r="AN4738">
        <v>1.00000000145238</v>
      </c>
    </row>
    <row r="4739" spans="1:40" x14ac:dyDescent="0.25">
      <c r="A4739" t="str">
        <f>"20190312154350296"</f>
        <v>20190312154350296</v>
      </c>
      <c r="B4739" t="str">
        <f>"1552376630292079"</f>
        <v>1552376630292079</v>
      </c>
      <c r="C4739" t="s">
        <v>40</v>
      </c>
      <c r="D4739">
        <v>4.8689390000000001</v>
      </c>
      <c r="E4739">
        <v>0.4650475</v>
      </c>
      <c r="F4739" t="s">
        <v>43</v>
      </c>
      <c r="G4739">
        <v>-333.30759999999998</v>
      </c>
      <c r="H4739" s="1">
        <v>-3.1601219999999998E-6</v>
      </c>
      <c r="I4739">
        <v>139.52549999999999</v>
      </c>
      <c r="J4739">
        <v>-260.30259999999998</v>
      </c>
      <c r="K4739">
        <v>1.1085100000000001</v>
      </c>
      <c r="L4739">
        <v>140.74690000000001</v>
      </c>
      <c r="M4739">
        <v>-0.99994360000000004</v>
      </c>
      <c r="N4739">
        <v>0</v>
      </c>
      <c r="O4739">
        <v>1.05083E-2</v>
      </c>
      <c r="P4739">
        <v>-0.9970502</v>
      </c>
      <c r="Q4739">
        <v>2.4111419999999998E-3</v>
      </c>
      <c r="R4739">
        <v>7.6717930000000004E-2</v>
      </c>
      <c r="S4739">
        <v>-3.0128170000000001</v>
      </c>
      <c r="T4739">
        <v>-4.5487880000000001E-2</v>
      </c>
      <c r="U4739">
        <v>-4.9942019999999997E-2</v>
      </c>
      <c r="V4739">
        <v>6.6235799999999997E-2</v>
      </c>
      <c r="W4739">
        <v>4.0772480000000003E-3</v>
      </c>
      <c r="X4739">
        <v>0.9977956</v>
      </c>
      <c r="Y4739">
        <v>-2.7075910000000002E-2</v>
      </c>
      <c r="Z4739">
        <v>-3.630091E-4</v>
      </c>
      <c r="AA4739">
        <v>0.99963329999999995</v>
      </c>
      <c r="AB4739">
        <v>39</v>
      </c>
      <c r="AC4739">
        <v>-73.004999999999995</v>
      </c>
      <c r="AD4739">
        <v>-1.108513160122</v>
      </c>
      <c r="AE4739">
        <v>-1.22140000000001</v>
      </c>
      <c r="AF4739">
        <v>-1.98803368843368</v>
      </c>
      <c r="AG4739">
        <v>-1.108513160122</v>
      </c>
      <c r="AH4739">
        <v>72.971314991475893</v>
      </c>
      <c r="AI4739">
        <v>90.8699951247429</v>
      </c>
      <c r="AJ4739">
        <v>91.560582684651493</v>
      </c>
      <c r="AK4739">
        <v>73.006807154933895</v>
      </c>
      <c r="AL4739">
        <v>89.766390234492505</v>
      </c>
      <c r="AM4739">
        <v>86.202155927641599</v>
      </c>
      <c r="AN4739">
        <v>0.99999993226612405</v>
      </c>
    </row>
    <row r="4740" spans="1:40" x14ac:dyDescent="0.25">
      <c r="A4740" t="str">
        <f>"20190312154350319"</f>
        <v>20190312154350319</v>
      </c>
      <c r="B4740" t="str">
        <f>"1552376630312575"</f>
        <v>1552376630312575</v>
      </c>
      <c r="C4740" t="s">
        <v>40</v>
      </c>
      <c r="D4740">
        <v>5.0985639999999997</v>
      </c>
      <c r="E4740">
        <v>0.47823359999999898</v>
      </c>
      <c r="F4740" t="s">
        <v>43</v>
      </c>
      <c r="G4740">
        <v>-331.71260000000001</v>
      </c>
      <c r="H4740" s="1">
        <v>-3.9049660000000002E-6</v>
      </c>
      <c r="I4740">
        <v>139.57689999999999</v>
      </c>
      <c r="J4740">
        <v>-260.70179999999999</v>
      </c>
      <c r="K4740">
        <v>1.108528</v>
      </c>
      <c r="L4740">
        <v>140.751</v>
      </c>
      <c r="M4740">
        <v>-0.99994490000000003</v>
      </c>
      <c r="N4740">
        <v>0</v>
      </c>
      <c r="O4740">
        <v>1.036517E-2</v>
      </c>
      <c r="P4740">
        <v>-0.99712529999999999</v>
      </c>
      <c r="Q4740">
        <v>1.247915E-3</v>
      </c>
      <c r="R4740">
        <v>7.5760750000000002E-2</v>
      </c>
      <c r="S4740">
        <v>-3.012756</v>
      </c>
      <c r="T4740">
        <v>-4.6767709999999997E-2</v>
      </c>
      <c r="U4740">
        <v>-4.9362179999999999E-2</v>
      </c>
      <c r="V4740">
        <v>6.5420820000000005E-2</v>
      </c>
      <c r="W4740">
        <v>2.9585950000000001E-3</v>
      </c>
      <c r="X4740">
        <v>0.9978534</v>
      </c>
      <c r="Y4740">
        <v>-2.674064E-2</v>
      </c>
      <c r="Z4740">
        <v>-3.6840590000000002E-4</v>
      </c>
      <c r="AA4740">
        <v>0.99964229999999998</v>
      </c>
      <c r="AB4740">
        <v>39</v>
      </c>
      <c r="AC4740">
        <v>-71.010800000000003</v>
      </c>
      <c r="AD4740">
        <v>-1.1085319049659901</v>
      </c>
      <c r="AE4740">
        <v>-1.1741000000000099</v>
      </c>
      <c r="AF4740">
        <v>-1.9096117203619101</v>
      </c>
      <c r="AG4740">
        <v>-1.1085319049659901</v>
      </c>
      <c r="AH4740">
        <v>70.977523360654601</v>
      </c>
      <c r="AI4740">
        <v>90.894453114838996</v>
      </c>
      <c r="AJ4740">
        <v>91.541140052709196</v>
      </c>
      <c r="AK4740">
        <v>71.0118601525065</v>
      </c>
      <c r="AL4740">
        <v>89.830484749711005</v>
      </c>
      <c r="AM4740">
        <v>86.2489678619053</v>
      </c>
      <c r="AN4740">
        <v>1.0000000224326999</v>
      </c>
    </row>
    <row r="4741" spans="1:40" x14ac:dyDescent="0.25">
      <c r="A4741" t="str">
        <f>"20190312154350341"</f>
        <v>20190312154350341</v>
      </c>
      <c r="B4741" t="str">
        <f>"1552376630332095"</f>
        <v>1552376630332095</v>
      </c>
      <c r="C4741" t="s">
        <v>40</v>
      </c>
      <c r="D4741">
        <v>4.9570460000000001</v>
      </c>
      <c r="E4741">
        <v>0.49576910000000002</v>
      </c>
      <c r="F4741" t="s">
        <v>43</v>
      </c>
      <c r="G4741">
        <v>-278.27069999999998</v>
      </c>
      <c r="H4741" s="1">
        <v>-1.101947E-6</v>
      </c>
      <c r="I4741">
        <v>141.03579999999999</v>
      </c>
      <c r="J4741">
        <v>-261.08789999999999</v>
      </c>
      <c r="K4741">
        <v>1.1085400000000001</v>
      </c>
      <c r="L4741">
        <v>140.75489999999999</v>
      </c>
      <c r="M4741">
        <v>-0.99994640000000001</v>
      </c>
      <c r="N4741">
        <v>0</v>
      </c>
      <c r="O4741">
        <v>1.0215E-2</v>
      </c>
      <c r="P4741">
        <v>-0.99722560000000005</v>
      </c>
      <c r="Q4741">
        <v>7.0962960000000002E-4</v>
      </c>
      <c r="R4741">
        <v>7.4435799999999996E-2</v>
      </c>
      <c r="S4741">
        <v>-3.0052189999999999</v>
      </c>
      <c r="T4741">
        <v>-0.1896188</v>
      </c>
      <c r="U4741">
        <v>4.873657E-2</v>
      </c>
      <c r="V4741">
        <v>6.4244670000000004E-2</v>
      </c>
      <c r="W4741">
        <v>2.46364E-3</v>
      </c>
      <c r="X4741">
        <v>0.99793109999999996</v>
      </c>
      <c r="Y4741">
        <v>6.0090229999999996E-3</v>
      </c>
      <c r="Z4741">
        <v>-4.5445449999999998E-4</v>
      </c>
      <c r="AA4741">
        <v>0.99998180000000003</v>
      </c>
      <c r="AB4741">
        <v>39</v>
      </c>
      <c r="AC4741">
        <v>-17.182799999999901</v>
      </c>
      <c r="AD4741">
        <v>-1.108541101947</v>
      </c>
      <c r="AE4741">
        <v>0.28090000000000198</v>
      </c>
      <c r="AF4741">
        <v>0.10492619208847399</v>
      </c>
      <c r="AG4741">
        <v>-1.108541101947</v>
      </c>
      <c r="AH4741">
        <v>17.113563033443601</v>
      </c>
      <c r="AI4741">
        <v>93.706120537670998</v>
      </c>
      <c r="AJ4741">
        <v>89.648714144082106</v>
      </c>
      <c r="AK4741">
        <v>17.149749636077502</v>
      </c>
      <c r="AL4741">
        <v>89.8588436778508</v>
      </c>
      <c r="AM4741">
        <v>86.316503399854</v>
      </c>
      <c r="AN4741">
        <v>0.99999996374633304</v>
      </c>
    </row>
    <row r="4742" spans="1:40" x14ac:dyDescent="0.25">
      <c r="A4742" t="str">
        <f>"20190312154350364"</f>
        <v>20190312154350364</v>
      </c>
      <c r="B4742" t="str">
        <f>"1552376630352591"</f>
        <v>1552376630352591</v>
      </c>
      <c r="C4742" t="s">
        <v>40</v>
      </c>
      <c r="D4742">
        <v>4.98245</v>
      </c>
      <c r="E4742">
        <v>0.53008500000000003</v>
      </c>
      <c r="F4742" t="s">
        <v>41</v>
      </c>
      <c r="G4742">
        <v>-261.92849999999999</v>
      </c>
      <c r="H4742">
        <v>1.0197020000000001</v>
      </c>
      <c r="I4742">
        <v>140.8058</v>
      </c>
      <c r="J4742">
        <v>-261.49340000000001</v>
      </c>
      <c r="K4742">
        <v>1.1085480000000001</v>
      </c>
      <c r="L4742">
        <v>140.75890000000001</v>
      </c>
      <c r="M4742">
        <v>-0.99994799999999995</v>
      </c>
      <c r="N4742">
        <v>0</v>
      </c>
      <c r="O4742">
        <v>1.004851E-2</v>
      </c>
      <c r="P4742">
        <v>-0.99732770000000004</v>
      </c>
      <c r="Q4742">
        <v>5.8945639999999995E-4</v>
      </c>
      <c r="R4742">
        <v>7.3056679999999999E-2</v>
      </c>
      <c r="S4742">
        <v>-2.9950869999999998</v>
      </c>
      <c r="T4742">
        <v>-0.31656770000000001</v>
      </c>
      <c r="U4742">
        <v>0.18078610000000001</v>
      </c>
      <c r="V4742">
        <v>6.3030610000000001E-2</v>
      </c>
      <c r="W4742">
        <v>2.3887779999999998E-3</v>
      </c>
      <c r="X4742">
        <v>0.99800869999999997</v>
      </c>
      <c r="Y4742">
        <v>4.9996249999999999E-2</v>
      </c>
      <c r="Z4742">
        <v>1.574392E-3</v>
      </c>
      <c r="AA4742">
        <v>0.99874819999999997</v>
      </c>
      <c r="AB4742">
        <v>39</v>
      </c>
      <c r="AC4742">
        <v>-0.43509999999997701</v>
      </c>
      <c r="AD4742">
        <v>-8.8845999999999703E-2</v>
      </c>
      <c r="AE4742">
        <v>4.6899999999993697E-2</v>
      </c>
      <c r="AF4742">
        <v>4.0842112963704803E-2</v>
      </c>
      <c r="AG4742">
        <v>-8.8845999999999703E-2</v>
      </c>
      <c r="AH4742">
        <v>0.41830774934106402</v>
      </c>
      <c r="AI4742">
        <v>101.935962842013</v>
      </c>
      <c r="AJ4742">
        <v>84.4235146583447</v>
      </c>
      <c r="AK4742">
        <v>0.42958475655698802</v>
      </c>
      <c r="AL4742">
        <v>89.863132967403601</v>
      </c>
      <c r="AM4742">
        <v>86.3862060743661</v>
      </c>
      <c r="AN4742">
        <v>0.99999996466649699</v>
      </c>
    </row>
    <row r="4743" spans="1:40" x14ac:dyDescent="0.25">
      <c r="A4743" t="str">
        <f>"20190312154350385"</f>
        <v>20190312154350385</v>
      </c>
      <c r="B4743" t="str">
        <f>"1552376630372111"</f>
        <v>1552376630372111</v>
      </c>
      <c r="C4743" t="s">
        <v>40</v>
      </c>
      <c r="D4743">
        <v>4.9875220000000002</v>
      </c>
      <c r="E4743">
        <v>0.52930119999999903</v>
      </c>
      <c r="F4743" t="s">
        <v>41</v>
      </c>
      <c r="G4743">
        <v>-262.24279999999999</v>
      </c>
      <c r="H4743">
        <v>0.93499639999999995</v>
      </c>
      <c r="I4743">
        <v>140.8698</v>
      </c>
      <c r="J4743">
        <v>-261.88029999999998</v>
      </c>
      <c r="K4743">
        <v>1.1085529999999999</v>
      </c>
      <c r="L4743">
        <v>140.7627</v>
      </c>
      <c r="M4743">
        <v>-0.99994939999999999</v>
      </c>
      <c r="N4743">
        <v>0</v>
      </c>
      <c r="O4743">
        <v>9.8844060000000001E-3</v>
      </c>
      <c r="P4743">
        <v>-0.99735379999999996</v>
      </c>
      <c r="Q4743">
        <v>6.9683880000000003E-4</v>
      </c>
      <c r="R4743">
        <v>7.2697609999999996E-2</v>
      </c>
      <c r="S4743">
        <v>-2.9762879999999998</v>
      </c>
      <c r="T4743">
        <v>-0.68935990000000003</v>
      </c>
      <c r="U4743">
        <v>0.43920900000000002</v>
      </c>
      <c r="V4743">
        <v>6.2834989999999993E-2</v>
      </c>
      <c r="W4743">
        <v>2.5394580000000001E-3</v>
      </c>
      <c r="X4743">
        <v>0.99802069999999998</v>
      </c>
      <c r="Y4743">
        <v>0.13301289999999999</v>
      </c>
      <c r="Z4743">
        <v>1.28767E-2</v>
      </c>
      <c r="AA4743">
        <v>0.99103059999999998</v>
      </c>
      <c r="AB4743">
        <v>40</v>
      </c>
      <c r="AC4743">
        <v>-0.36250000000001098</v>
      </c>
      <c r="AD4743">
        <v>-0.17355660000000001</v>
      </c>
      <c r="AE4743">
        <v>0.107100000000002</v>
      </c>
      <c r="AF4743">
        <v>8.5488581285966897E-2</v>
      </c>
      <c r="AG4743">
        <v>-0.17355660000000001</v>
      </c>
      <c r="AH4743">
        <v>0.300242460868893</v>
      </c>
      <c r="AI4743">
        <v>119.072203651799</v>
      </c>
      <c r="AJ4743">
        <v>74.106660528773901</v>
      </c>
      <c r="AK4743">
        <v>0.357177443636151</v>
      </c>
      <c r="AL4743">
        <v>89.854499618141801</v>
      </c>
      <c r="AM4743">
        <v>86.397435361221696</v>
      </c>
      <c r="AN4743">
        <v>1.0000000012218599</v>
      </c>
    </row>
    <row r="4744" spans="1:40" x14ac:dyDescent="0.25">
      <c r="A4744" t="str">
        <f>"20190312154350406"</f>
        <v>20190312154350406</v>
      </c>
      <c r="B4744" t="str">
        <f>"1552376630392607"</f>
        <v>1552376630392607</v>
      </c>
      <c r="C4744" t="s">
        <v>40</v>
      </c>
      <c r="D4744">
        <v>4.9986389999999998</v>
      </c>
      <c r="E4744">
        <v>0.53032009999999996</v>
      </c>
      <c r="F4744" t="s">
        <v>41</v>
      </c>
      <c r="G4744">
        <v>-262.60019999999997</v>
      </c>
      <c r="H4744">
        <v>0.93776800000000005</v>
      </c>
      <c r="I4744">
        <v>140.86699999999999</v>
      </c>
      <c r="J4744">
        <v>-262.245</v>
      </c>
      <c r="K4744">
        <v>1.1085560000000001</v>
      </c>
      <c r="L4744">
        <v>140.7662</v>
      </c>
      <c r="M4744">
        <v>-0.99995100000000003</v>
      </c>
      <c r="N4744">
        <v>0</v>
      </c>
      <c r="O4744">
        <v>9.7269829999999998E-3</v>
      </c>
      <c r="P4744">
        <v>-0.99734149999999999</v>
      </c>
      <c r="Q4744">
        <v>5.4692849999999997E-4</v>
      </c>
      <c r="R4744">
        <v>7.28689E-2</v>
      </c>
      <c r="S4744">
        <v>-2.9769899999999998</v>
      </c>
      <c r="T4744">
        <v>-0.706291</v>
      </c>
      <c r="U4744">
        <v>0.43148799999999998</v>
      </c>
      <c r="V4744">
        <v>6.3163479999999994E-2</v>
      </c>
      <c r="W4744">
        <v>2.4321690000000001E-3</v>
      </c>
      <c r="X4744">
        <v>0.9980002</v>
      </c>
      <c r="Y4744">
        <v>0.13052510000000001</v>
      </c>
      <c r="Z4744">
        <v>1.293101E-2</v>
      </c>
      <c r="AA4744">
        <v>0.99136069999999998</v>
      </c>
      <c r="AB4744">
        <v>40</v>
      </c>
      <c r="AC4744">
        <v>-0.35519999999996799</v>
      </c>
      <c r="AD4744">
        <v>-0.170787999999999</v>
      </c>
      <c r="AE4744">
        <v>0.10080000000002</v>
      </c>
      <c r="AF4744">
        <v>8.0184089474860207E-2</v>
      </c>
      <c r="AG4744">
        <v>-0.170787999999999</v>
      </c>
      <c r="AH4744">
        <v>0.293390190976899</v>
      </c>
      <c r="AI4744">
        <v>119.315314872581</v>
      </c>
      <c r="AJ4744">
        <v>74.714242687155107</v>
      </c>
      <c r="AK4744">
        <v>0.34882063200214197</v>
      </c>
      <c r="AL4744">
        <v>89.860646839656894</v>
      </c>
      <c r="AM4744">
        <v>86.378577602043606</v>
      </c>
      <c r="AN4744">
        <v>0.99999996992589701</v>
      </c>
    </row>
    <row r="4745" spans="1:40" x14ac:dyDescent="0.25">
      <c r="A4745" t="str">
        <f>"20190312154350429"</f>
        <v>20190312154350429</v>
      </c>
      <c r="B4745" t="str">
        <f>"1552376630421887"</f>
        <v>1552376630421887</v>
      </c>
      <c r="C4745" t="s">
        <v>40</v>
      </c>
      <c r="D4745">
        <v>4.9447289999999997</v>
      </c>
      <c r="E4745">
        <v>0.53086089999999997</v>
      </c>
      <c r="F4745" t="s">
        <v>41</v>
      </c>
      <c r="G4745">
        <v>-262.95569999999998</v>
      </c>
      <c r="H4745">
        <v>0.93269369999999996</v>
      </c>
      <c r="I4745">
        <v>140.87119999999999</v>
      </c>
      <c r="J4745">
        <v>-262.66120000000001</v>
      </c>
      <c r="K4745">
        <v>1.1085700000000001</v>
      </c>
      <c r="L4745">
        <v>140.77019999999999</v>
      </c>
      <c r="M4745">
        <v>-0.99995270000000003</v>
      </c>
      <c r="N4745">
        <v>0</v>
      </c>
      <c r="O4745">
        <v>9.5458899999999996E-3</v>
      </c>
      <c r="P4745">
        <v>-0.99724409999999997</v>
      </c>
      <c r="Q4745">
        <v>-3.0963030000000002E-4</v>
      </c>
      <c r="R4745">
        <v>7.4189909999999998E-2</v>
      </c>
      <c r="S4745">
        <v>-2.9763489999999999</v>
      </c>
      <c r="T4745">
        <v>-0.73653999999999997</v>
      </c>
      <c r="U4745">
        <v>0.4387665</v>
      </c>
      <c r="V4745">
        <v>6.466624E-2</v>
      </c>
      <c r="W4745">
        <v>1.623455E-3</v>
      </c>
      <c r="X4745">
        <v>0.99790559999999995</v>
      </c>
      <c r="Y4745">
        <v>0.1327537</v>
      </c>
      <c r="Z4745">
        <v>1.378385E-2</v>
      </c>
      <c r="AA4745">
        <v>0.99105319999999997</v>
      </c>
      <c r="AB4745">
        <v>40</v>
      </c>
      <c r="AC4745">
        <v>-0.29449999999997001</v>
      </c>
      <c r="AD4745">
        <v>-0.17587630000000001</v>
      </c>
      <c r="AE4745">
        <v>0.10099999999999899</v>
      </c>
      <c r="AF4745">
        <v>7.4431669140769999E-2</v>
      </c>
      <c r="AG4745">
        <v>-0.17587630000000001</v>
      </c>
      <c r="AH4745">
        <v>0.223976017424661</v>
      </c>
      <c r="AI4745">
        <v>126.692600451389</v>
      </c>
      <c r="AJ4745">
        <v>71.617330241707194</v>
      </c>
      <c r="AK4745">
        <v>0.29434300170750299</v>
      </c>
      <c r="AL4745">
        <v>89.906982836839802</v>
      </c>
      <c r="AM4745">
        <v>86.292305218896203</v>
      </c>
      <c r="AN4745">
        <v>0.99999997235661597</v>
      </c>
    </row>
    <row r="4746" spans="1:40" x14ac:dyDescent="0.25">
      <c r="A4746" t="str">
        <f>"20190312154350452"</f>
        <v>20190312154350452</v>
      </c>
      <c r="B4746" t="str">
        <f>"1552376630442383"</f>
        <v>1552376630442383</v>
      </c>
      <c r="C4746" t="s">
        <v>40</v>
      </c>
      <c r="D4746">
        <v>5.0212019999999997</v>
      </c>
      <c r="E4746">
        <v>0.53120129999999999</v>
      </c>
      <c r="F4746" t="s">
        <v>41</v>
      </c>
      <c r="G4746">
        <v>-263.6456</v>
      </c>
      <c r="H4746">
        <v>0.85827799999999999</v>
      </c>
      <c r="I4746">
        <v>140.91829999999999</v>
      </c>
      <c r="J4746">
        <v>-263.07</v>
      </c>
      <c r="K4746">
        <v>1.108579</v>
      </c>
      <c r="L4746">
        <v>140.774</v>
      </c>
      <c r="M4746">
        <v>-0.99995420000000002</v>
      </c>
      <c r="N4746">
        <v>0</v>
      </c>
      <c r="O4746">
        <v>9.3674799999999992E-3</v>
      </c>
      <c r="P4746">
        <v>-0.99716700000000003</v>
      </c>
      <c r="Q4746">
        <v>-7.6096880000000005E-4</v>
      </c>
      <c r="R4746">
        <v>7.521717E-2</v>
      </c>
      <c r="S4746">
        <v>-2.9748540000000001</v>
      </c>
      <c r="T4746">
        <v>-0.75642799999999999</v>
      </c>
      <c r="U4746">
        <v>0.44641110000000001</v>
      </c>
      <c r="V4746">
        <v>6.5872490000000006E-2</v>
      </c>
      <c r="W4746">
        <v>1.219574E-3</v>
      </c>
      <c r="X4746">
        <v>0.99782729999999997</v>
      </c>
      <c r="Y4746">
        <v>0.13521340000000001</v>
      </c>
      <c r="Z4746">
        <v>1.449975E-2</v>
      </c>
      <c r="AA4746">
        <v>0.99071039999999999</v>
      </c>
      <c r="AB4746">
        <v>40</v>
      </c>
      <c r="AC4746">
        <v>-0.57560000000000799</v>
      </c>
      <c r="AD4746">
        <v>-0.250300999999999</v>
      </c>
      <c r="AE4746">
        <v>0.14429999999998699</v>
      </c>
      <c r="AF4746">
        <v>0.11792170220390701</v>
      </c>
      <c r="AG4746">
        <v>-0.250300999999999</v>
      </c>
      <c r="AH4746">
        <v>0.48978618643393401</v>
      </c>
      <c r="AI4746">
        <v>116.420214433732</v>
      </c>
      <c r="AJ4746">
        <v>76.463014369419398</v>
      </c>
      <c r="AK4746">
        <v>0.56253588940898902</v>
      </c>
      <c r="AL4746">
        <v>89.930123539426901</v>
      </c>
      <c r="AM4746">
        <v>86.223046663859904</v>
      </c>
      <c r="AN4746">
        <v>0.999999996462415</v>
      </c>
    </row>
    <row r="4747" spans="1:40" x14ac:dyDescent="0.25">
      <c r="A4747" t="str">
        <f>"20190312154350474"</f>
        <v>20190312154350474</v>
      </c>
      <c r="B4747" t="str">
        <f>"1552376630461903"</f>
        <v>1552376630461903</v>
      </c>
      <c r="C4747" t="s">
        <v>40</v>
      </c>
      <c r="D4747">
        <v>5.039777</v>
      </c>
      <c r="E4747">
        <v>0.53145169999999997</v>
      </c>
      <c r="F4747" t="s">
        <v>41</v>
      </c>
      <c r="G4747">
        <v>-264.01119999999997</v>
      </c>
      <c r="H4747">
        <v>0.86668849999999997</v>
      </c>
      <c r="I4747">
        <v>140.91730000000001</v>
      </c>
      <c r="J4747">
        <v>-263.483</v>
      </c>
      <c r="K4747">
        <v>1.108589</v>
      </c>
      <c r="L4747">
        <v>140.77770000000001</v>
      </c>
      <c r="M4747">
        <v>-0.99995579999999995</v>
      </c>
      <c r="N4747">
        <v>0</v>
      </c>
      <c r="O4747">
        <v>9.1871620000000005E-3</v>
      </c>
      <c r="P4747">
        <v>-0.99706099999999998</v>
      </c>
      <c r="Q4747">
        <v>-9.4583540000000004E-4</v>
      </c>
      <c r="R4747">
        <v>7.6606010000000002E-2</v>
      </c>
      <c r="S4747">
        <v>-2.973846</v>
      </c>
      <c r="T4747">
        <v>-0.76431059999999995</v>
      </c>
      <c r="U4747">
        <v>0.45237729999999998</v>
      </c>
      <c r="V4747">
        <v>6.744211E-2</v>
      </c>
      <c r="W4747">
        <v>1.083199E-3</v>
      </c>
      <c r="X4747">
        <v>0.99772260000000002</v>
      </c>
      <c r="Y4747">
        <v>0.1372322</v>
      </c>
      <c r="Z4747">
        <v>1.4948100000000001E-2</v>
      </c>
      <c r="AA4747">
        <v>0.99042609999999998</v>
      </c>
      <c r="AB4747">
        <v>40</v>
      </c>
      <c r="AC4747">
        <v>-0.52819999999996903</v>
      </c>
      <c r="AD4747">
        <v>-0.24190049999999999</v>
      </c>
      <c r="AE4747">
        <v>0.139600000000001</v>
      </c>
      <c r="AF4747">
        <v>0.112655930950897</v>
      </c>
      <c r="AG4747">
        <v>-0.24190049999999999</v>
      </c>
      <c r="AH4747">
        <v>0.442676255989988</v>
      </c>
      <c r="AI4747">
        <v>117.904375096636</v>
      </c>
      <c r="AJ4747">
        <v>75.721979373247194</v>
      </c>
      <c r="AK4747">
        <v>0.51688439548508003</v>
      </c>
      <c r="AL4747">
        <v>89.937937256730805</v>
      </c>
      <c r="AM4747">
        <v>86.132914141116402</v>
      </c>
      <c r="AN4747">
        <v>0.99999999903604198</v>
      </c>
    </row>
    <row r="4748" spans="1:40" x14ac:dyDescent="0.25">
      <c r="A4748" t="str">
        <f>"20190312154350497"</f>
        <v>20190312154350497</v>
      </c>
      <c r="B4748" t="str">
        <f>"1552376630491952"</f>
        <v>1552376630491952</v>
      </c>
      <c r="C4748" t="s">
        <v>40</v>
      </c>
      <c r="D4748">
        <v>5.0043989999999896</v>
      </c>
      <c r="E4748">
        <v>0.53114439999999996</v>
      </c>
      <c r="F4748" t="s">
        <v>41</v>
      </c>
      <c r="G4748">
        <v>-264.37909999999999</v>
      </c>
      <c r="H4748">
        <v>0.87698469999999995</v>
      </c>
      <c r="I4748">
        <v>140.91640000000001</v>
      </c>
      <c r="J4748">
        <v>-263.89710000000002</v>
      </c>
      <c r="K4748">
        <v>1.1085849999999999</v>
      </c>
      <c r="L4748">
        <v>140.78139999999999</v>
      </c>
      <c r="M4748">
        <v>-0.99995730000000005</v>
      </c>
      <c r="N4748">
        <v>0</v>
      </c>
      <c r="O4748">
        <v>9.006844E-3</v>
      </c>
      <c r="P4748">
        <v>-0.99697880000000005</v>
      </c>
      <c r="Q4748">
        <v>-1.0306740000000001E-3</v>
      </c>
      <c r="R4748">
        <v>7.7668000000000001E-2</v>
      </c>
      <c r="S4748">
        <v>-2.9728699999999999</v>
      </c>
      <c r="T4748">
        <v>-0.76837639999999996</v>
      </c>
      <c r="U4748">
        <v>0.45883180000000001</v>
      </c>
      <c r="V4748">
        <v>6.8684839999999997E-2</v>
      </c>
      <c r="W4748">
        <v>1.0479129999999999E-3</v>
      </c>
      <c r="X4748">
        <v>0.99763789999999997</v>
      </c>
      <c r="Y4748">
        <v>0.13943939999999999</v>
      </c>
      <c r="Z4748">
        <v>1.535216E-2</v>
      </c>
      <c r="AA4748">
        <v>0.99011159999999998</v>
      </c>
      <c r="AB4748">
        <v>41</v>
      </c>
      <c r="AC4748">
        <v>-0.48199999999997001</v>
      </c>
      <c r="AD4748">
        <v>-0.23160030000000001</v>
      </c>
      <c r="AE4748">
        <v>0.13500000000001899</v>
      </c>
      <c r="AF4748">
        <v>0.107614583749927</v>
      </c>
      <c r="AG4748">
        <v>-0.23160030000000001</v>
      </c>
      <c r="AH4748">
        <v>0.39799232205485302</v>
      </c>
      <c r="AI4748">
        <v>119.32502506777</v>
      </c>
      <c r="AJ4748">
        <v>74.869406707964501</v>
      </c>
      <c r="AK4748">
        <v>0.47288210582593798</v>
      </c>
      <c r="AL4748">
        <v>89.939958999362602</v>
      </c>
      <c r="AM4748">
        <v>86.061545725265802</v>
      </c>
      <c r="AN4748">
        <v>1.00000004244194</v>
      </c>
    </row>
    <row r="4749" spans="1:40" x14ac:dyDescent="0.25">
      <c r="A4749" t="str">
        <f>"20190312154350519"</f>
        <v>20190312154350519</v>
      </c>
      <c r="B4749" t="str">
        <f>"1552376630512447"</f>
        <v>1552376630512447</v>
      </c>
      <c r="C4749" t="s">
        <v>40</v>
      </c>
      <c r="D4749">
        <v>5.0594919999999997</v>
      </c>
      <c r="E4749">
        <v>0.53098069999999997</v>
      </c>
      <c r="F4749" t="s">
        <v>41</v>
      </c>
      <c r="G4749">
        <v>-264.74849999999998</v>
      </c>
      <c r="H4749">
        <v>0.88756059999999903</v>
      </c>
      <c r="I4749">
        <v>140.9134</v>
      </c>
      <c r="J4749">
        <v>-264.29750000000001</v>
      </c>
      <c r="K4749">
        <v>1.1085860000000001</v>
      </c>
      <c r="L4749">
        <v>140.78489999999999</v>
      </c>
      <c r="M4749">
        <v>-0.99995880000000004</v>
      </c>
      <c r="N4749">
        <v>0</v>
      </c>
      <c r="O4749">
        <v>8.8322499999999998E-3</v>
      </c>
      <c r="P4749">
        <v>-0.99697190000000002</v>
      </c>
      <c r="Q4749">
        <v>-1.5398279999999901E-3</v>
      </c>
      <c r="R4749">
        <v>7.7748849999999994E-2</v>
      </c>
      <c r="S4749">
        <v>-2.9724729999999999</v>
      </c>
      <c r="T4749">
        <v>-0.77158629999999995</v>
      </c>
      <c r="U4749">
        <v>0.45983889999999999</v>
      </c>
      <c r="V4749">
        <v>6.8940089999999996E-2</v>
      </c>
      <c r="W4749">
        <v>5.8538120000000001E-4</v>
      </c>
      <c r="X4749">
        <v>0.99762059999999997</v>
      </c>
      <c r="Y4749">
        <v>0.13990369999999999</v>
      </c>
      <c r="Z4749">
        <v>1.5519130000000001E-2</v>
      </c>
      <c r="AA4749">
        <v>0.99004349999999997</v>
      </c>
      <c r="AB4749">
        <v>41</v>
      </c>
      <c r="AC4749">
        <v>-0.45099999999996498</v>
      </c>
      <c r="AD4749">
        <v>-0.22102540000000001</v>
      </c>
      <c r="AE4749">
        <v>0.128500000000002</v>
      </c>
      <c r="AF4749">
        <v>0.10187974448623199</v>
      </c>
      <c r="AG4749">
        <v>-0.22102540000000001</v>
      </c>
      <c r="AH4749">
        <v>0.36993812568109602</v>
      </c>
      <c r="AI4749">
        <v>119.942860627402</v>
      </c>
      <c r="AJ4749">
        <v>74.602618918175494</v>
      </c>
      <c r="AK4749">
        <v>0.44281590600856102</v>
      </c>
      <c r="AL4749">
        <v>89.966460124915699</v>
      </c>
      <c r="AM4749">
        <v>86.046887430545993</v>
      </c>
      <c r="AN4749">
        <v>0.99999997011235797</v>
      </c>
    </row>
    <row r="4750" spans="1:40" x14ac:dyDescent="0.25">
      <c r="A4750" t="str">
        <f>"20190312154350542"</f>
        <v>20190312154350542</v>
      </c>
      <c r="B4750" t="str">
        <f>"1552376630531966"</f>
        <v>1552376630531966</v>
      </c>
      <c r="C4750" t="s">
        <v>40</v>
      </c>
      <c r="D4750">
        <v>5.0743989999999997</v>
      </c>
      <c r="E4750">
        <v>0.5307984</v>
      </c>
      <c r="F4750" t="s">
        <v>41</v>
      </c>
      <c r="G4750">
        <v>-265.11799999999999</v>
      </c>
      <c r="H4750">
        <v>0.89478210000000002</v>
      </c>
      <c r="I4750">
        <v>140.9118</v>
      </c>
      <c r="J4750">
        <v>-264.72149999999999</v>
      </c>
      <c r="K4750">
        <v>1.108584</v>
      </c>
      <c r="L4750">
        <v>140.7885</v>
      </c>
      <c r="M4750">
        <v>-0.99996039999999997</v>
      </c>
      <c r="N4750">
        <v>0</v>
      </c>
      <c r="O4750">
        <v>8.6450119999999901E-3</v>
      </c>
      <c r="P4750">
        <v>-0.99703229999999998</v>
      </c>
      <c r="Q4750">
        <v>-2.1075590000000002E-3</v>
      </c>
      <c r="R4750">
        <v>7.6955270000000006E-2</v>
      </c>
      <c r="S4750">
        <v>-2.972137</v>
      </c>
      <c r="T4750">
        <v>-0.77449869999999899</v>
      </c>
      <c r="U4750">
        <v>0.45869450000000001</v>
      </c>
      <c r="V4750">
        <v>6.8332970000000007E-2</v>
      </c>
      <c r="W4750" s="1">
        <v>6.7596609999999997E-5</v>
      </c>
      <c r="X4750">
        <v>0.99766250000000001</v>
      </c>
      <c r="Y4750">
        <v>0.1397012</v>
      </c>
      <c r="Z4750">
        <v>1.559986E-2</v>
      </c>
      <c r="AA4750">
        <v>0.99007080000000003</v>
      </c>
      <c r="AB4750">
        <v>41</v>
      </c>
      <c r="AC4750">
        <v>-0.39650000000000302</v>
      </c>
      <c r="AD4750">
        <v>-0.21380189999999999</v>
      </c>
      <c r="AE4750">
        <v>0.12330000000000001</v>
      </c>
      <c r="AF4750">
        <v>9.4747798601184804E-2</v>
      </c>
      <c r="AG4750">
        <v>-0.21380189999999999</v>
      </c>
      <c r="AH4750">
        <v>0.31423905414653103</v>
      </c>
      <c r="AI4750">
        <v>123.08075945623899</v>
      </c>
      <c r="AJ4750">
        <v>73.221151429162603</v>
      </c>
      <c r="AK4750">
        <v>0.39170726433688602</v>
      </c>
      <c r="AL4750">
        <v>89.996126999269805</v>
      </c>
      <c r="AM4750">
        <v>86.081755591425406</v>
      </c>
      <c r="AN4750">
        <v>0.99999993163228396</v>
      </c>
    </row>
    <row r="4751" spans="1:40" x14ac:dyDescent="0.25">
      <c r="A4751" t="str">
        <f>"20190312154350564"</f>
        <v>20190312154350564</v>
      </c>
      <c r="B4751" t="str">
        <f>"1552376630552463"</f>
        <v>1552376630552463</v>
      </c>
      <c r="C4751" t="s">
        <v>40</v>
      </c>
      <c r="D4751">
        <v>5.0723669999999998</v>
      </c>
      <c r="E4751">
        <v>0.53070109999999904</v>
      </c>
      <c r="F4751" t="s">
        <v>41</v>
      </c>
      <c r="G4751">
        <v>-265.49090000000001</v>
      </c>
      <c r="H4751">
        <v>0.9071901</v>
      </c>
      <c r="I4751">
        <v>140.9067</v>
      </c>
      <c r="J4751">
        <v>-265.1266</v>
      </c>
      <c r="K4751">
        <v>1.108587</v>
      </c>
      <c r="L4751">
        <v>140.7919</v>
      </c>
      <c r="M4751">
        <v>-0.99996189999999996</v>
      </c>
      <c r="N4751">
        <v>0</v>
      </c>
      <c r="O4751">
        <v>8.4582459999999905E-3</v>
      </c>
      <c r="P4751">
        <v>-0.99705900000000003</v>
      </c>
      <c r="Q4751">
        <v>-2.6330680000000001E-3</v>
      </c>
      <c r="R4751">
        <v>7.6592899999999894E-2</v>
      </c>
      <c r="S4751">
        <v>-2.9721679999999999</v>
      </c>
      <c r="T4751">
        <v>-0.77791250000000001</v>
      </c>
      <c r="U4751">
        <v>0.45547490000000002</v>
      </c>
      <c r="V4751">
        <v>6.8156889999999998E-2</v>
      </c>
      <c r="W4751">
        <v>-4.093422E-4</v>
      </c>
      <c r="X4751">
        <v>0.99767450000000002</v>
      </c>
      <c r="Y4751">
        <v>0.13882149999999999</v>
      </c>
      <c r="Z4751">
        <v>1.5602690000000001E-2</v>
      </c>
      <c r="AA4751">
        <v>0.99019449999999998</v>
      </c>
      <c r="AB4751">
        <v>41</v>
      </c>
      <c r="AC4751">
        <v>-0.364300000000014</v>
      </c>
      <c r="AD4751">
        <v>-0.20139689999999999</v>
      </c>
      <c r="AE4751">
        <v>0.114800000000002</v>
      </c>
      <c r="AF4751">
        <v>8.7412490745261695E-2</v>
      </c>
      <c r="AG4751">
        <v>-0.20139689999999999</v>
      </c>
      <c r="AH4751">
        <v>0.28580082319982603</v>
      </c>
      <c r="AI4751">
        <v>123.97453481952201</v>
      </c>
      <c r="AJ4751">
        <v>72.993691505721799</v>
      </c>
      <c r="AK4751">
        <v>0.360393903124898</v>
      </c>
      <c r="AL4751">
        <v>90.023453581828406</v>
      </c>
      <c r="AM4751">
        <v>86.091867634305203</v>
      </c>
      <c r="AN4751">
        <v>0.99999996858287798</v>
      </c>
    </row>
    <row r="4752" spans="1:40" x14ac:dyDescent="0.25">
      <c r="A4752" t="str">
        <f>"20190312154350585"</f>
        <v>20190312154350585</v>
      </c>
      <c r="B4752" t="str">
        <f>"1552376630571983"</f>
        <v>1552376630571983</v>
      </c>
      <c r="C4752" t="s">
        <v>40</v>
      </c>
      <c r="D4752">
        <v>5.047542</v>
      </c>
      <c r="E4752">
        <v>0.53055059999999998</v>
      </c>
      <c r="F4752" t="s">
        <v>41</v>
      </c>
      <c r="G4752">
        <v>-265.86360000000002</v>
      </c>
      <c r="H4752">
        <v>0.91505009999999998</v>
      </c>
      <c r="I4752">
        <v>140.90459999999999</v>
      </c>
      <c r="J4752">
        <v>-265.51280000000003</v>
      </c>
      <c r="K4752">
        <v>1.108592</v>
      </c>
      <c r="L4752">
        <v>140.79509999999999</v>
      </c>
      <c r="M4752">
        <v>-0.99996339999999995</v>
      </c>
      <c r="N4752">
        <v>0</v>
      </c>
      <c r="O4752">
        <v>8.2647299999999996E-3</v>
      </c>
      <c r="P4752">
        <v>-0.99713289999999999</v>
      </c>
      <c r="Q4752">
        <v>-3.1354960000000002E-3</v>
      </c>
      <c r="R4752">
        <v>7.5606049999999994E-2</v>
      </c>
      <c r="S4752">
        <v>-2.9719540000000002</v>
      </c>
      <c r="T4752">
        <v>-0.78044919999999995</v>
      </c>
      <c r="U4752">
        <v>0.45353700000000002</v>
      </c>
      <c r="V4752">
        <v>6.7362749999999999E-2</v>
      </c>
      <c r="W4752">
        <v>-8.647835E-4</v>
      </c>
      <c r="X4752">
        <v>0.99772819999999995</v>
      </c>
      <c r="Y4752">
        <v>0.13837249999999901</v>
      </c>
      <c r="Z4752">
        <v>1.5645760000000002E-2</v>
      </c>
      <c r="AA4752">
        <v>0.99025669999999999</v>
      </c>
      <c r="AB4752">
        <v>41</v>
      </c>
      <c r="AC4752">
        <v>-0.35079999999999201</v>
      </c>
      <c r="AD4752">
        <v>-0.19354189999999999</v>
      </c>
      <c r="AE4752">
        <v>0.109499999999997</v>
      </c>
      <c r="AF4752">
        <v>8.3450648993055099E-2</v>
      </c>
      <c r="AG4752">
        <v>-0.19354189999999999</v>
      </c>
      <c r="AH4752">
        <v>0.27532682684779197</v>
      </c>
      <c r="AI4752">
        <v>123.929946892394</v>
      </c>
      <c r="AJ4752">
        <v>73.138117680331803</v>
      </c>
      <c r="AK4752">
        <v>0.34673814248658302</v>
      </c>
      <c r="AL4752">
        <v>90.049548449704105</v>
      </c>
      <c r="AM4752">
        <v>86.137472422362904</v>
      </c>
      <c r="AN4752">
        <v>1.00000002450665</v>
      </c>
    </row>
    <row r="4753" spans="1:40" x14ac:dyDescent="0.25">
      <c r="A4753" t="str">
        <f>"20190312154350607"</f>
        <v>20190312154350607</v>
      </c>
      <c r="B4753" t="str">
        <f>"1552376630601955"</f>
        <v>1552376630601955</v>
      </c>
      <c r="C4753" t="s">
        <v>40</v>
      </c>
      <c r="D4753">
        <v>5.0324849999999897</v>
      </c>
      <c r="E4753">
        <v>0.53034780000000004</v>
      </c>
      <c r="F4753" t="s">
        <v>41</v>
      </c>
      <c r="G4753">
        <v>-266.23570000000001</v>
      </c>
      <c r="H4753">
        <v>0.91806600000000005</v>
      </c>
      <c r="I4753">
        <v>140.90440000000001</v>
      </c>
      <c r="J4753">
        <v>-265.92739999999998</v>
      </c>
      <c r="K4753">
        <v>1.1086129999999901</v>
      </c>
      <c r="L4753">
        <v>140.79830000000001</v>
      </c>
      <c r="M4753">
        <v>-0.99996529999999995</v>
      </c>
      <c r="N4753">
        <v>0</v>
      </c>
      <c r="O4753">
        <v>8.0298709999999992E-3</v>
      </c>
      <c r="P4753">
        <v>-0.99716870000000002</v>
      </c>
      <c r="Q4753">
        <v>-4.0368879999999998E-3</v>
      </c>
      <c r="R4753">
        <v>7.5090169999999998E-2</v>
      </c>
      <c r="S4753">
        <v>-2.9721069999999998</v>
      </c>
      <c r="T4753">
        <v>-0.78325339999999999</v>
      </c>
      <c r="U4753">
        <v>0.44918819999999998</v>
      </c>
      <c r="V4753">
        <v>6.708153E-2</v>
      </c>
      <c r="W4753">
        <v>-1.714087E-3</v>
      </c>
      <c r="X4753">
        <v>0.99774609999999997</v>
      </c>
      <c r="Y4753">
        <v>0.13718169999999999</v>
      </c>
      <c r="Z4753">
        <v>1.560806E-2</v>
      </c>
      <c r="AA4753">
        <v>0.99042289999999999</v>
      </c>
      <c r="AB4753">
        <v>41</v>
      </c>
      <c r="AC4753">
        <v>-0.30830000000003099</v>
      </c>
      <c r="AD4753">
        <v>-0.19054699999999899</v>
      </c>
      <c r="AE4753">
        <v>0.106099999999997</v>
      </c>
      <c r="AF4753">
        <v>7.7240106444558407E-2</v>
      </c>
      <c r="AG4753">
        <v>-0.19054699999999899</v>
      </c>
      <c r="AH4753">
        <v>0.23043757284709801</v>
      </c>
      <c r="AI4753">
        <v>128.097197146908</v>
      </c>
      <c r="AJ4753">
        <v>71.469422237555506</v>
      </c>
      <c r="AK4753">
        <v>0.30882951321437502</v>
      </c>
      <c r="AL4753">
        <v>90.098209991552693</v>
      </c>
      <c r="AM4753">
        <v>86.153617651828796</v>
      </c>
      <c r="AN4753">
        <v>1.00000007491329</v>
      </c>
    </row>
    <row r="4754" spans="1:40" x14ac:dyDescent="0.25">
      <c r="A4754" t="str">
        <f>"20190312154350631"</f>
        <v>20190312154350631</v>
      </c>
      <c r="B4754" t="str">
        <f>"1552376630622452"</f>
        <v>1552376630622452</v>
      </c>
      <c r="C4754" t="s">
        <v>40</v>
      </c>
      <c r="D4754">
        <v>4.9866580000000003</v>
      </c>
      <c r="E4754">
        <v>0.530120699999999</v>
      </c>
      <c r="F4754" t="s">
        <v>41</v>
      </c>
      <c r="G4754">
        <v>-266.61219999999997</v>
      </c>
      <c r="H4754">
        <v>0.92722709999999997</v>
      </c>
      <c r="I4754">
        <v>140.90129999999999</v>
      </c>
      <c r="J4754">
        <v>-266.37419999999997</v>
      </c>
      <c r="K4754">
        <v>1.1086480000000001</v>
      </c>
      <c r="L4754">
        <v>140.80170000000001</v>
      </c>
      <c r="M4754">
        <v>-0.99996750000000001</v>
      </c>
      <c r="N4754">
        <v>0</v>
      </c>
      <c r="O4754">
        <v>7.7253929999999997E-3</v>
      </c>
      <c r="P4754">
        <v>-0.99719939999999996</v>
      </c>
      <c r="Q4754">
        <v>-3.8430270000000002E-3</v>
      </c>
      <c r="R4754">
        <v>7.4691010000000002E-2</v>
      </c>
      <c r="S4754">
        <v>-2.9717709999999999</v>
      </c>
      <c r="T4754">
        <v>-0.78712389999999999</v>
      </c>
      <c r="U4754">
        <v>0.44566349999999999</v>
      </c>
      <c r="V4754">
        <v>6.6985879999999998E-2</v>
      </c>
      <c r="W4754">
        <v>-1.4619779999999901E-3</v>
      </c>
      <c r="X4754">
        <v>0.9977528</v>
      </c>
      <c r="Y4754">
        <v>0.13632549999999999</v>
      </c>
      <c r="Z4754">
        <v>1.5653630000000002E-2</v>
      </c>
      <c r="AA4754">
        <v>0.99054039999999999</v>
      </c>
      <c r="AB4754">
        <v>42</v>
      </c>
      <c r="AC4754">
        <v>-0.23799999999999899</v>
      </c>
      <c r="AD4754">
        <v>-0.181420899999999</v>
      </c>
      <c r="AE4754">
        <v>9.9599999999980995E-2</v>
      </c>
      <c r="AF4754">
        <v>6.54136978664102E-2</v>
      </c>
      <c r="AG4754">
        <v>-0.181420899999999</v>
      </c>
      <c r="AH4754">
        <v>0.159764597726722</v>
      </c>
      <c r="AI4754">
        <v>136.42110251663499</v>
      </c>
      <c r="AJ4754">
        <v>67.733942450998796</v>
      </c>
      <c r="AK4754">
        <v>0.25043406619737102</v>
      </c>
      <c r="AL4754">
        <v>90.083765203361295</v>
      </c>
      <c r="AM4754">
        <v>86.159111406197098</v>
      </c>
      <c r="AN4754">
        <v>0.99999994770344203</v>
      </c>
    </row>
    <row r="4755" spans="1:40" x14ac:dyDescent="0.25">
      <c r="A4755" t="str">
        <f>"20190312154350652"</f>
        <v>20190312154350652</v>
      </c>
      <c r="B4755" t="str">
        <f>"1552376630641973"</f>
        <v>1552376630641973</v>
      </c>
      <c r="C4755" t="s">
        <v>40</v>
      </c>
      <c r="D4755">
        <v>5.0022589999999996</v>
      </c>
      <c r="E4755">
        <v>0.53015780000000001</v>
      </c>
      <c r="F4755" t="s">
        <v>41</v>
      </c>
      <c r="G4755">
        <v>-267.33249999999998</v>
      </c>
      <c r="H4755">
        <v>0.855325</v>
      </c>
      <c r="I4755">
        <v>140.94450000000001</v>
      </c>
      <c r="J4755">
        <v>-266.78289999999998</v>
      </c>
      <c r="K4755">
        <v>1.1087009999999999</v>
      </c>
      <c r="L4755">
        <v>140.8047</v>
      </c>
      <c r="M4755">
        <v>-0.99996989999999997</v>
      </c>
      <c r="N4755">
        <v>0</v>
      </c>
      <c r="O4755">
        <v>7.3909619999999896E-3</v>
      </c>
      <c r="P4755">
        <v>-0.99723030000000001</v>
      </c>
      <c r="Q4755">
        <v>-3.09071E-3</v>
      </c>
      <c r="R4755">
        <v>7.4312050000000004E-2</v>
      </c>
      <c r="S4755">
        <v>-2.9722599999999999</v>
      </c>
      <c r="T4755">
        <v>-0.78576489999999999</v>
      </c>
      <c r="U4755">
        <v>0.44235229999999998</v>
      </c>
      <c r="V4755">
        <v>6.6939819999999997E-2</v>
      </c>
      <c r="W4755">
        <v>-6.5442289999999997E-4</v>
      </c>
      <c r="X4755">
        <v>0.9977568</v>
      </c>
      <c r="Y4755">
        <v>0.13558220000000001</v>
      </c>
      <c r="Z4755">
        <v>1.56166E-2</v>
      </c>
      <c r="AA4755">
        <v>0.99064300000000005</v>
      </c>
      <c r="AB4755">
        <v>42</v>
      </c>
      <c r="AC4755">
        <v>-0.54959999999999798</v>
      </c>
      <c r="AD4755">
        <v>-0.25337599999999899</v>
      </c>
      <c r="AE4755">
        <v>0.139800000000008</v>
      </c>
      <c r="AF4755">
        <v>0.11314735305819699</v>
      </c>
      <c r="AG4755">
        <v>-0.25337599999999899</v>
      </c>
      <c r="AH4755">
        <v>0.45899297539579498</v>
      </c>
      <c r="AI4755">
        <v>118.19045096112001</v>
      </c>
      <c r="AJ4755">
        <v>76.151993256005497</v>
      </c>
      <c r="AK4755">
        <v>0.53635461435766596</v>
      </c>
      <c r="AL4755">
        <v>90.037495672868303</v>
      </c>
      <c r="AM4755">
        <v>86.161759874912903</v>
      </c>
      <c r="AN4755">
        <v>0.999999999858602</v>
      </c>
    </row>
    <row r="4756" spans="1:40" x14ac:dyDescent="0.25">
      <c r="A4756" t="str">
        <f>"20190312154350676"</f>
        <v>20190312154350676</v>
      </c>
      <c r="B4756" t="str">
        <f>"1552376630662467"</f>
        <v>1552376630662467</v>
      </c>
      <c r="C4756" t="s">
        <v>40</v>
      </c>
      <c r="D4756">
        <v>4.9477580000000003</v>
      </c>
      <c r="E4756">
        <v>0.53027440000000003</v>
      </c>
      <c r="F4756" t="s">
        <v>41</v>
      </c>
      <c r="G4756">
        <v>-267.7124</v>
      </c>
      <c r="H4756">
        <v>0.86360499999999996</v>
      </c>
      <c r="I4756">
        <v>140.9426</v>
      </c>
      <c r="J4756">
        <v>-267.20049999999998</v>
      </c>
      <c r="K4756">
        <v>1.108757</v>
      </c>
      <c r="L4756">
        <v>140.8075</v>
      </c>
      <c r="M4756">
        <v>-0.99997270000000005</v>
      </c>
      <c r="N4756">
        <v>0</v>
      </c>
      <c r="O4756">
        <v>6.9934309999999996E-3</v>
      </c>
      <c r="P4756">
        <v>-0.99728799999999995</v>
      </c>
      <c r="Q4756">
        <v>-2.0916849999999998E-3</v>
      </c>
      <c r="R4756">
        <v>7.3571339999999999E-2</v>
      </c>
      <c r="S4756">
        <v>-2.9730530000000002</v>
      </c>
      <c r="T4756">
        <v>-0.78398029999999996</v>
      </c>
      <c r="U4756">
        <v>0.44094850000000002</v>
      </c>
      <c r="V4756">
        <v>6.6594920000000002E-2</v>
      </c>
      <c r="W4756">
        <v>4.0227580000000001E-4</v>
      </c>
      <c r="X4756">
        <v>0.99778</v>
      </c>
      <c r="Y4756">
        <v>0.13549059999999999</v>
      </c>
      <c r="Z4756">
        <v>1.5669499999999999E-2</v>
      </c>
      <c r="AA4756">
        <v>0.9906547</v>
      </c>
      <c r="AB4756">
        <v>42</v>
      </c>
      <c r="AC4756">
        <v>-0.511900000000025</v>
      </c>
      <c r="AD4756">
        <v>-0.24515200000000001</v>
      </c>
      <c r="AE4756">
        <v>0.135099999999994</v>
      </c>
      <c r="AF4756">
        <v>0.10829627003970101</v>
      </c>
      <c r="AG4756">
        <v>-0.24515200000000001</v>
      </c>
      <c r="AH4756">
        <v>0.42228708870457798</v>
      </c>
      <c r="AI4756">
        <v>119.35064390386501</v>
      </c>
      <c r="AJ4756">
        <v>75.616373777785896</v>
      </c>
      <c r="AK4756">
        <v>0.50015394679548397</v>
      </c>
      <c r="AL4756">
        <v>89.976951293533801</v>
      </c>
      <c r="AM4756">
        <v>86.181565847753703</v>
      </c>
      <c r="AN4756">
        <v>0.99999998679781199</v>
      </c>
    </row>
    <row r="4757" spans="1:40" x14ac:dyDescent="0.25">
      <c r="A4757" t="str">
        <f>"20190312154350697"</f>
        <v>20190312154350697</v>
      </c>
      <c r="B4757" t="str">
        <f>"1552376630692373"</f>
        <v>1552376630692373</v>
      </c>
      <c r="C4757" t="s">
        <v>40</v>
      </c>
      <c r="D4757">
        <v>4.8766780000000001</v>
      </c>
      <c r="E4757">
        <v>0.53052589999999999</v>
      </c>
      <c r="F4757" t="s">
        <v>41</v>
      </c>
      <c r="G4757">
        <v>-268.09469999999999</v>
      </c>
      <c r="H4757">
        <v>0.87414099999999995</v>
      </c>
      <c r="I4757">
        <v>140.93979999999999</v>
      </c>
      <c r="J4757">
        <v>-267.62009999999998</v>
      </c>
      <c r="K4757">
        <v>1.108822</v>
      </c>
      <c r="L4757">
        <v>140.81010000000001</v>
      </c>
      <c r="M4757">
        <v>-0.99997579999999997</v>
      </c>
      <c r="N4757">
        <v>0</v>
      </c>
      <c r="O4757">
        <v>6.5231880000000001E-3</v>
      </c>
      <c r="P4757">
        <v>-0.99730390000000002</v>
      </c>
      <c r="Q4757">
        <v>-1.5929500000000001E-3</v>
      </c>
      <c r="R4757">
        <v>7.3366600000000004E-2</v>
      </c>
      <c r="S4757">
        <v>-2.974091</v>
      </c>
      <c r="T4757">
        <v>-0.78032979999999996</v>
      </c>
      <c r="U4757">
        <v>0.4395905</v>
      </c>
      <c r="V4757">
        <v>6.6858479999999998E-2</v>
      </c>
      <c r="W4757">
        <v>9.6112870000000003E-4</v>
      </c>
      <c r="X4757">
        <v>0.99776200000000004</v>
      </c>
      <c r="Y4757">
        <v>0.13548959999999999</v>
      </c>
      <c r="Z4757">
        <v>1.571473E-2</v>
      </c>
      <c r="AA4757">
        <v>0.99065409999999998</v>
      </c>
      <c r="AB4757">
        <v>42</v>
      </c>
      <c r="AC4757">
        <v>-0.47460000000000901</v>
      </c>
      <c r="AD4757">
        <v>-0.234681</v>
      </c>
      <c r="AE4757">
        <v>0.12969999999998499</v>
      </c>
      <c r="AF4757">
        <v>0.103135845572111</v>
      </c>
      <c r="AG4757">
        <v>-0.234681</v>
      </c>
      <c r="AH4757">
        <v>0.38731418839537302</v>
      </c>
      <c r="AI4757">
        <v>120.34964233084899</v>
      </c>
      <c r="AJ4757">
        <v>75.089016461331497</v>
      </c>
      <c r="AK4757">
        <v>0.46446146765392798</v>
      </c>
      <c r="AL4757">
        <v>89.944931373133102</v>
      </c>
      <c r="AM4757">
        <v>86.166429806431097</v>
      </c>
      <c r="AN4757">
        <v>0.99999999438014398</v>
      </c>
    </row>
    <row r="4758" spans="1:40" x14ac:dyDescent="0.25">
      <c r="A4758" t="str">
        <f>"20190312154350720"</f>
        <v>20190312154350720</v>
      </c>
      <c r="B4758" t="str">
        <f>"1552376630711894"</f>
        <v>1552376630711894</v>
      </c>
      <c r="C4758" t="s">
        <v>40</v>
      </c>
      <c r="D4758">
        <v>4.8596079999999997</v>
      </c>
      <c r="E4758">
        <v>0.53060759999999996</v>
      </c>
      <c r="F4758" t="s">
        <v>41</v>
      </c>
      <c r="G4758">
        <v>-268.47820000000002</v>
      </c>
      <c r="H4758">
        <v>0.88429650000000004</v>
      </c>
      <c r="I4758">
        <v>140.93719999999999</v>
      </c>
      <c r="J4758">
        <v>-268.06389999999999</v>
      </c>
      <c r="K4758">
        <v>1.108897</v>
      </c>
      <c r="L4758">
        <v>140.81270000000001</v>
      </c>
      <c r="M4758">
        <v>-0.99997910000000001</v>
      </c>
      <c r="N4758">
        <v>0</v>
      </c>
      <c r="O4758">
        <v>5.9310140000000001E-3</v>
      </c>
      <c r="P4758">
        <v>-0.99732140000000002</v>
      </c>
      <c r="Q4758">
        <v>-1.7826960000000001E-3</v>
      </c>
      <c r="R4758">
        <v>7.3121909999999998E-2</v>
      </c>
      <c r="S4758">
        <v>-2.9744869999999999</v>
      </c>
      <c r="T4758">
        <v>-0.77837230000000002</v>
      </c>
      <c r="U4758">
        <v>0.44007869999999999</v>
      </c>
      <c r="V4758">
        <v>6.7204479999999997E-2</v>
      </c>
      <c r="W4758">
        <v>8.3667439999999995E-4</v>
      </c>
      <c r="X4758">
        <v>0.99773889999999998</v>
      </c>
      <c r="Y4758">
        <v>0.13619529999999999</v>
      </c>
      <c r="Z4758">
        <v>1.5916309999999999E-2</v>
      </c>
      <c r="AA4758">
        <v>0.99055420000000005</v>
      </c>
      <c r="AB4758">
        <v>42</v>
      </c>
      <c r="AC4758">
        <v>-0.41430000000002498</v>
      </c>
      <c r="AD4758">
        <v>-0.22460050000000001</v>
      </c>
      <c r="AE4758">
        <v>0.124499999999983</v>
      </c>
      <c r="AF4758">
        <v>9.6128798311717903E-2</v>
      </c>
      <c r="AG4758">
        <v>-0.22460050000000001</v>
      </c>
      <c r="AH4758">
        <v>0.32691128229446698</v>
      </c>
      <c r="AI4758">
        <v>123.39017123958899</v>
      </c>
      <c r="AJ4758">
        <v>73.613940606834902</v>
      </c>
      <c r="AK4758">
        <v>0.408114097963447</v>
      </c>
      <c r="AL4758">
        <v>89.952062083772205</v>
      </c>
      <c r="AM4758">
        <v>86.1465613281229</v>
      </c>
      <c r="AN4758">
        <v>1.0000000273646601</v>
      </c>
    </row>
    <row r="4759" spans="1:40" x14ac:dyDescent="0.25">
      <c r="A4759" t="str">
        <f>"20190312154350743"</f>
        <v>20190312154350743</v>
      </c>
      <c r="B4759" t="str">
        <f>"1552376630732389"</f>
        <v>1552376630732389</v>
      </c>
      <c r="C4759" t="s">
        <v>40</v>
      </c>
      <c r="D4759">
        <v>4.8423780000000001</v>
      </c>
      <c r="E4759">
        <v>0.53068079999999995</v>
      </c>
      <c r="F4759" t="s">
        <v>41</v>
      </c>
      <c r="G4759">
        <v>-268.86509999999998</v>
      </c>
      <c r="H4759">
        <v>0.89937670000000003</v>
      </c>
      <c r="I4759">
        <v>140.93129999999999</v>
      </c>
      <c r="J4759">
        <v>-268.49299999999999</v>
      </c>
      <c r="K4759">
        <v>1.1089850000000001</v>
      </c>
      <c r="L4759">
        <v>140.81469999999999</v>
      </c>
      <c r="M4759">
        <v>-0.99998290000000001</v>
      </c>
      <c r="N4759">
        <v>0</v>
      </c>
      <c r="O4759">
        <v>5.2465990000000002E-3</v>
      </c>
      <c r="P4759">
        <v>-0.99737379999999998</v>
      </c>
      <c r="Q4759">
        <v>-1.9786169999999998E-3</v>
      </c>
      <c r="R4759">
        <v>7.240067E-2</v>
      </c>
      <c r="S4759">
        <v>-2.9744869999999999</v>
      </c>
      <c r="T4759">
        <v>-0.77791540000000003</v>
      </c>
      <c r="U4759">
        <v>0.43975829999999999</v>
      </c>
      <c r="V4759">
        <v>6.7166020000000007E-2</v>
      </c>
      <c r="W4759">
        <v>7.0745140000000003E-4</v>
      </c>
      <c r="X4759">
        <v>0.99774160000000001</v>
      </c>
      <c r="Y4759">
        <v>0.1367331</v>
      </c>
      <c r="Z4759">
        <v>1.615128E-2</v>
      </c>
      <c r="AA4759">
        <v>0.99047629999999998</v>
      </c>
      <c r="AB4759">
        <v>42</v>
      </c>
      <c r="AC4759">
        <v>-0.372099999999989</v>
      </c>
      <c r="AD4759">
        <v>-0.2096083</v>
      </c>
      <c r="AE4759">
        <v>0.11660000000000501</v>
      </c>
      <c r="AF4759">
        <v>8.8945526935566399E-2</v>
      </c>
      <c r="AG4759">
        <v>-0.2096083</v>
      </c>
      <c r="AH4759">
        <v>0.28915575431955598</v>
      </c>
      <c r="AI4759">
        <v>124.716502164998</v>
      </c>
      <c r="AJ4759">
        <v>72.901882299084505</v>
      </c>
      <c r="AK4759">
        <v>0.36804618792598198</v>
      </c>
      <c r="AL4759">
        <v>89.959466018710302</v>
      </c>
      <c r="AM4759">
        <v>86.148770338875195</v>
      </c>
      <c r="AN4759">
        <v>1.0000000375503399</v>
      </c>
    </row>
    <row r="4760" spans="1:40" x14ac:dyDescent="0.25">
      <c r="A4760" t="str">
        <f>"20190312154350764"</f>
        <v>20190312154350764</v>
      </c>
      <c r="B4760" t="str">
        <f>"1552376630751909"</f>
        <v>1552376630751909</v>
      </c>
      <c r="C4760" t="s">
        <v>40</v>
      </c>
      <c r="D4760">
        <v>4.8332839999999999</v>
      </c>
      <c r="E4760">
        <v>0.53073389999999998</v>
      </c>
      <c r="F4760" t="s">
        <v>41</v>
      </c>
      <c r="G4760">
        <v>-269.2518</v>
      </c>
      <c r="H4760">
        <v>0.9104508</v>
      </c>
      <c r="I4760">
        <v>140.92660000000001</v>
      </c>
      <c r="J4760">
        <v>-268.90620000000001</v>
      </c>
      <c r="K4760">
        <v>1.109084</v>
      </c>
      <c r="L4760">
        <v>140.81649999999999</v>
      </c>
      <c r="M4760">
        <v>-0.9999865</v>
      </c>
      <c r="N4760">
        <v>0</v>
      </c>
      <c r="O4760">
        <v>4.46343E-3</v>
      </c>
      <c r="P4760">
        <v>-0.99745269999999997</v>
      </c>
      <c r="Q4760">
        <v>-2.3111450000000001E-3</v>
      </c>
      <c r="R4760">
        <v>7.1295140000000007E-2</v>
      </c>
      <c r="S4760">
        <v>-2.974548</v>
      </c>
      <c r="T4760">
        <v>-0.77830269999999901</v>
      </c>
      <c r="U4760">
        <v>0.43803409999999898</v>
      </c>
      <c r="V4760">
        <v>6.6841940000000002E-2</v>
      </c>
      <c r="W4760">
        <v>4.4233E-4</v>
      </c>
      <c r="X4760">
        <v>0.99776350000000003</v>
      </c>
      <c r="Y4760">
        <v>0.13690739999999901</v>
      </c>
      <c r="Z4760">
        <v>1.638216E-2</v>
      </c>
      <c r="AA4760">
        <v>0.99044840000000001</v>
      </c>
      <c r="AB4760">
        <v>43</v>
      </c>
      <c r="AC4760">
        <v>-0.34559999999999003</v>
      </c>
      <c r="AD4760">
        <v>-0.19863319999999901</v>
      </c>
      <c r="AE4760">
        <v>0.110100000000016</v>
      </c>
      <c r="AF4760">
        <v>8.3511350215918906E-2</v>
      </c>
      <c r="AG4760">
        <v>-0.19863319999999901</v>
      </c>
      <c r="AH4760">
        <v>0.26624217151709001</v>
      </c>
      <c r="AI4760">
        <v>125.445712790196</v>
      </c>
      <c r="AJ4760">
        <v>72.5850866789104</v>
      </c>
      <c r="AK4760">
        <v>0.342511587616042</v>
      </c>
      <c r="AL4760">
        <v>89.974656357560406</v>
      </c>
      <c r="AM4760">
        <v>86.1673811043146</v>
      </c>
      <c r="AN4760">
        <v>1.00000002126552</v>
      </c>
    </row>
    <row r="4761" spans="1:40" x14ac:dyDescent="0.25">
      <c r="A4761" t="str">
        <f>"20190312154350787"</f>
        <v>20190312154350787</v>
      </c>
      <c r="B4761" t="str">
        <f>"1552376630782165"</f>
        <v>1552376630782165</v>
      </c>
      <c r="C4761" t="s">
        <v>40</v>
      </c>
      <c r="D4761">
        <v>4.8357349999999997</v>
      </c>
      <c r="E4761">
        <v>0.53083130000000001</v>
      </c>
      <c r="F4761" t="s">
        <v>41</v>
      </c>
      <c r="G4761">
        <v>-269.63819999999998</v>
      </c>
      <c r="H4761">
        <v>0.91763139999999999</v>
      </c>
      <c r="I4761">
        <v>140.92359999999999</v>
      </c>
      <c r="J4761">
        <v>-269.3313</v>
      </c>
      <c r="K4761">
        <v>1.109202</v>
      </c>
      <c r="L4761">
        <v>140.81780000000001</v>
      </c>
      <c r="M4761">
        <v>-0.99999020000000005</v>
      </c>
      <c r="N4761">
        <v>0</v>
      </c>
      <c r="O4761">
        <v>3.5179669999999999E-3</v>
      </c>
      <c r="P4761">
        <v>-0.99752030000000003</v>
      </c>
      <c r="Q4761">
        <v>-2.998625E-3</v>
      </c>
      <c r="R4761">
        <v>7.0316660000000003E-2</v>
      </c>
      <c r="S4761">
        <v>-2.9747919999999999</v>
      </c>
      <c r="T4761">
        <v>-0.77806949999999997</v>
      </c>
      <c r="U4761">
        <v>0.43489070000000002</v>
      </c>
      <c r="V4761">
        <v>6.6807469999999994E-2</v>
      </c>
      <c r="W4761">
        <v>-1.7241770000000001E-4</v>
      </c>
      <c r="X4761">
        <v>0.99776589999999998</v>
      </c>
      <c r="Y4761">
        <v>0.136782399999999</v>
      </c>
      <c r="Z4761">
        <v>1.6603260000000002E-2</v>
      </c>
      <c r="AA4761">
        <v>0.99046190000000001</v>
      </c>
      <c r="AB4761">
        <v>43</v>
      </c>
      <c r="AC4761">
        <v>-0.30689999999998402</v>
      </c>
      <c r="AD4761">
        <v>-0.19157060000000001</v>
      </c>
      <c r="AE4761">
        <v>0.105799999999987</v>
      </c>
      <c r="AF4761">
        <v>7.7670665698531205E-2</v>
      </c>
      <c r="AG4761">
        <v>-0.19157060000000001</v>
      </c>
      <c r="AH4761">
        <v>0.22790262157303701</v>
      </c>
      <c r="AI4761">
        <v>128.50727967686399</v>
      </c>
      <c r="AJ4761">
        <v>71.180562716512199</v>
      </c>
      <c r="AK4761">
        <v>0.307687555832659</v>
      </c>
      <c r="AL4761">
        <v>90.009878806280895</v>
      </c>
      <c r="AM4761">
        <v>86.169360864328794</v>
      </c>
      <c r="AN4761">
        <v>1.0000000294892299</v>
      </c>
    </row>
    <row r="4762" spans="1:40" x14ac:dyDescent="0.25">
      <c r="A4762" t="str">
        <f>"20190312154350809"</f>
        <v>20190312154350809</v>
      </c>
      <c r="B4762" t="str">
        <f>"1552376630802662"</f>
        <v>1552376630802662</v>
      </c>
      <c r="C4762" t="s">
        <v>40</v>
      </c>
      <c r="D4762">
        <v>4.8173059999999897</v>
      </c>
      <c r="E4762">
        <v>0.53091409999999895</v>
      </c>
      <c r="F4762" t="s">
        <v>41</v>
      </c>
      <c r="G4762">
        <v>-270.02719999999999</v>
      </c>
      <c r="H4762">
        <v>0.92707669999999998</v>
      </c>
      <c r="I4762">
        <v>140.91909999999999</v>
      </c>
      <c r="J4762">
        <v>-269.75459999999998</v>
      </c>
      <c r="K4762">
        <v>1.10934</v>
      </c>
      <c r="L4762">
        <v>140.8186</v>
      </c>
      <c r="M4762">
        <v>-0.99999340000000003</v>
      </c>
      <c r="N4762">
        <v>0</v>
      </c>
      <c r="O4762">
        <v>2.4168940000000002E-3</v>
      </c>
      <c r="P4762">
        <v>-0.99758570000000002</v>
      </c>
      <c r="Q4762">
        <v>-3.5804809999999999E-3</v>
      </c>
      <c r="R4762">
        <v>6.935579E-2</v>
      </c>
      <c r="S4762">
        <v>-2.97464</v>
      </c>
      <c r="T4762">
        <v>-0.77852480000000002</v>
      </c>
      <c r="U4762">
        <v>0.43234250000000002</v>
      </c>
      <c r="V4762">
        <v>6.6946169999999999E-2</v>
      </c>
      <c r="W4762">
        <v>-6.774134E-4</v>
      </c>
      <c r="X4762">
        <v>0.99775639999999999</v>
      </c>
      <c r="Y4762">
        <v>0.13699909999999901</v>
      </c>
      <c r="Z4762">
        <v>1.6924169999999999E-2</v>
      </c>
      <c r="AA4762">
        <v>0.99042660000000005</v>
      </c>
      <c r="AB4762">
        <v>43</v>
      </c>
      <c r="AC4762">
        <v>-0.272600000000011</v>
      </c>
      <c r="AD4762">
        <v>-0.18226329999999999</v>
      </c>
      <c r="AE4762">
        <v>0.10049999999998201</v>
      </c>
      <c r="AF4762">
        <v>7.1645003607371097E-2</v>
      </c>
      <c r="AG4762">
        <v>-0.18226329999999999</v>
      </c>
      <c r="AH4762">
        <v>0.19578931580193401</v>
      </c>
      <c r="AI4762">
        <v>131.16069154847401</v>
      </c>
      <c r="AJ4762">
        <v>69.900957849312306</v>
      </c>
      <c r="AK4762">
        <v>0.27692304572025001</v>
      </c>
      <c r="AL4762">
        <v>90.038812930176704</v>
      </c>
      <c r="AM4762">
        <v>86.161395328558001</v>
      </c>
      <c r="AN4762">
        <v>1.0000000411537699</v>
      </c>
    </row>
    <row r="4763" spans="1:40" x14ac:dyDescent="0.25">
      <c r="A4763" t="str">
        <f>"20190312154350831"</f>
        <v>20190312154350831</v>
      </c>
      <c r="B4763" t="str">
        <f>"1552376630822181"</f>
        <v>1552376630822181</v>
      </c>
      <c r="C4763" t="s">
        <v>40</v>
      </c>
      <c r="D4763">
        <v>4.8256050000000004</v>
      </c>
      <c r="E4763">
        <v>0.53099600000000002</v>
      </c>
      <c r="F4763" t="s">
        <v>41</v>
      </c>
      <c r="G4763">
        <v>-270.7679</v>
      </c>
      <c r="H4763">
        <v>0.84370919999999905</v>
      </c>
      <c r="I4763">
        <v>140.96510000000001</v>
      </c>
      <c r="J4763">
        <v>-270.20690000000002</v>
      </c>
      <c r="K4763">
        <v>1.1095060000000001</v>
      </c>
      <c r="L4763">
        <v>140.81880000000001</v>
      </c>
      <c r="M4763">
        <v>-0.99999550000000004</v>
      </c>
      <c r="N4763">
        <v>0</v>
      </c>
      <c r="O4763">
        <v>1.053535E-3</v>
      </c>
      <c r="P4763">
        <v>-0.99768279999999998</v>
      </c>
      <c r="Q4763">
        <v>-3.9509849999999997E-3</v>
      </c>
      <c r="R4763">
        <v>6.7922839999999998E-2</v>
      </c>
      <c r="S4763">
        <v>-2.9746090000000001</v>
      </c>
      <c r="T4763">
        <v>-0.77984310000000001</v>
      </c>
      <c r="U4763">
        <v>0.42935180000000001</v>
      </c>
      <c r="V4763">
        <v>6.6874589999999998E-2</v>
      </c>
      <c r="W4763">
        <v>-9.5791249999999995E-4</v>
      </c>
      <c r="X4763">
        <v>0.99776100000000001</v>
      </c>
      <c r="Y4763">
        <v>0.1373037</v>
      </c>
      <c r="Z4763">
        <v>1.734204E-2</v>
      </c>
      <c r="AA4763">
        <v>0.99037719999999996</v>
      </c>
      <c r="AB4763">
        <v>43</v>
      </c>
      <c r="AC4763">
        <v>-0.56099999999997796</v>
      </c>
      <c r="AD4763">
        <v>-0.2657968</v>
      </c>
      <c r="AE4763">
        <v>0.14629999999999599</v>
      </c>
      <c r="AF4763">
        <v>0.12040228315462299</v>
      </c>
      <c r="AG4763">
        <v>-0.2657968</v>
      </c>
      <c r="AH4763">
        <v>0.46369308276239501</v>
      </c>
      <c r="AI4763">
        <v>119.022318983197</v>
      </c>
      <c r="AJ4763">
        <v>75.444062787634493</v>
      </c>
      <c r="AK4763">
        <v>0.54786487721041099</v>
      </c>
      <c r="AL4763">
        <v>90.054884347903197</v>
      </c>
      <c r="AM4763">
        <v>86.165505005675499</v>
      </c>
      <c r="AN4763">
        <v>1.0000000707525101</v>
      </c>
    </row>
    <row r="4764" spans="1:40" x14ac:dyDescent="0.25">
      <c r="A4764" t="str">
        <f>"20190312154350853"</f>
        <v>20190312154350853</v>
      </c>
      <c r="B4764" t="str">
        <f>"1552376630842677"</f>
        <v>1552376630842677</v>
      </c>
      <c r="C4764" t="s">
        <v>40</v>
      </c>
      <c r="D4764">
        <v>4.8035509999999997</v>
      </c>
      <c r="E4764">
        <v>0.531109099999999</v>
      </c>
      <c r="F4764" t="s">
        <v>41</v>
      </c>
      <c r="G4764">
        <v>-271.1626</v>
      </c>
      <c r="H4764">
        <v>0.85889819999999995</v>
      </c>
      <c r="I4764">
        <v>140.95570000000001</v>
      </c>
      <c r="J4764">
        <v>-270.62810000000002</v>
      </c>
      <c r="K4764">
        <v>1.1096649999999999</v>
      </c>
      <c r="L4764">
        <v>140.81829999999999</v>
      </c>
      <c r="M4764">
        <v>-0.99999590000000005</v>
      </c>
      <c r="N4764">
        <v>0</v>
      </c>
      <c r="O4764">
        <v>-3.5515360000000002E-4</v>
      </c>
      <c r="P4764">
        <v>-0.99779390000000001</v>
      </c>
      <c r="Q4764">
        <v>-4.2646639999999996E-3</v>
      </c>
      <c r="R4764">
        <v>6.6254599999999997E-2</v>
      </c>
      <c r="S4764">
        <v>-2.9749150000000002</v>
      </c>
      <c r="T4764">
        <v>-0.78022630000000004</v>
      </c>
      <c r="U4764">
        <v>0.4253845</v>
      </c>
      <c r="V4764">
        <v>6.6612920000000006E-2</v>
      </c>
      <c r="W4764">
        <v>-1.181566E-3</v>
      </c>
      <c r="X4764">
        <v>0.99777819999999995</v>
      </c>
      <c r="Y4764">
        <v>0.13733719999999999</v>
      </c>
      <c r="Z4764">
        <v>1.7715999999999999E-2</v>
      </c>
      <c r="AA4764">
        <v>0.99036590000000002</v>
      </c>
      <c r="AB4764">
        <v>43</v>
      </c>
      <c r="AC4764">
        <v>-0.53449999999997999</v>
      </c>
      <c r="AD4764">
        <v>-0.25076680000000001</v>
      </c>
      <c r="AE4764">
        <v>0.13740000000001301</v>
      </c>
      <c r="AF4764">
        <v>0.11404341782861201</v>
      </c>
      <c r="AG4764">
        <v>-0.25076680000000001</v>
      </c>
      <c r="AH4764">
        <v>0.44298798491648</v>
      </c>
      <c r="AI4764">
        <v>118.731788696587</v>
      </c>
      <c r="AJ4764">
        <v>75.563187215300204</v>
      </c>
      <c r="AK4764">
        <v>0.52165912616634502</v>
      </c>
      <c r="AL4764">
        <v>90.067698760308005</v>
      </c>
      <c r="AM4764">
        <v>86.180529944354106</v>
      </c>
      <c r="AN4764">
        <v>1.0000000068021799</v>
      </c>
    </row>
    <row r="4765" spans="1:40" x14ac:dyDescent="0.25">
      <c r="A4765" t="str">
        <f>"20190312154350875"</f>
        <v>20190312154350875</v>
      </c>
      <c r="B4765" t="str">
        <f>"1552376630862197"</f>
        <v>1552376630862197</v>
      </c>
      <c r="C4765" t="s">
        <v>40</v>
      </c>
      <c r="D4765">
        <v>4.817628</v>
      </c>
      <c r="E4765">
        <v>0.53122380000000002</v>
      </c>
      <c r="F4765" t="s">
        <v>41</v>
      </c>
      <c r="G4765">
        <v>-271.5557</v>
      </c>
      <c r="H4765">
        <v>0.86632350000000002</v>
      </c>
      <c r="I4765">
        <v>140.94990000000001</v>
      </c>
      <c r="J4765">
        <v>-271.06360000000001</v>
      </c>
      <c r="K4765">
        <v>1.1098380000000001</v>
      </c>
      <c r="L4765">
        <v>140.81720000000001</v>
      </c>
      <c r="M4765">
        <v>-0.99999369999999999</v>
      </c>
      <c r="N4765">
        <v>0</v>
      </c>
      <c r="O4765">
        <v>-1.9558050000000001E-3</v>
      </c>
      <c r="P4765">
        <v>-0.99788049999999995</v>
      </c>
      <c r="Q4765">
        <v>-4.9190880000000003E-3</v>
      </c>
      <c r="R4765">
        <v>6.4890439999999994E-2</v>
      </c>
      <c r="S4765">
        <v>-2.9752809999999998</v>
      </c>
      <c r="T4765">
        <v>-0.78046490000000002</v>
      </c>
      <c r="U4765">
        <v>0.42181400000000002</v>
      </c>
      <c r="V4765">
        <v>6.6848309999999994E-2</v>
      </c>
      <c r="W4765">
        <v>-1.7233750000000001E-3</v>
      </c>
      <c r="X4765">
        <v>0.99776169999999997</v>
      </c>
      <c r="Y4765">
        <v>0.13767260000000001</v>
      </c>
      <c r="Z4765">
        <v>1.8174579999999999E-2</v>
      </c>
      <c r="AA4765">
        <v>0.99031100000000005</v>
      </c>
      <c r="AB4765">
        <v>44</v>
      </c>
      <c r="AC4765">
        <v>-0.49209999999999299</v>
      </c>
      <c r="AD4765">
        <v>-0.243514499999999</v>
      </c>
      <c r="AE4765">
        <v>0.13269999999999901</v>
      </c>
      <c r="AF4765">
        <v>0.108821096811272</v>
      </c>
      <c r="AG4765">
        <v>-0.243514499999999</v>
      </c>
      <c r="AH4765">
        <v>0.40043120232656998</v>
      </c>
      <c r="AI4765">
        <v>120.406386901242</v>
      </c>
      <c r="AJ4765">
        <v>74.796489339658194</v>
      </c>
      <c r="AK4765">
        <v>0.48113042994406402</v>
      </c>
      <c r="AL4765">
        <v>90.098742159116298</v>
      </c>
      <c r="AM4765">
        <v>86.167010052328607</v>
      </c>
      <c r="AN4765">
        <v>1.0000000382790599</v>
      </c>
    </row>
    <row r="4766" spans="1:40" x14ac:dyDescent="0.25">
      <c r="A4766" t="str">
        <f>"20190312154350911"</f>
        <v>20190312154350911</v>
      </c>
      <c r="B4766" t="str">
        <f>"1552376630902720"</f>
        <v>1552376630902720</v>
      </c>
      <c r="C4766" t="s">
        <v>40</v>
      </c>
      <c r="D4766">
        <v>4.8679699999999997</v>
      </c>
      <c r="E4766">
        <v>0.53145679999999995</v>
      </c>
      <c r="F4766" t="s">
        <v>41</v>
      </c>
      <c r="G4766">
        <v>-271.95100000000002</v>
      </c>
      <c r="H4766">
        <v>0.87665700000000002</v>
      </c>
      <c r="I4766">
        <v>140.94229999999999</v>
      </c>
      <c r="J4766">
        <v>-271.73860000000002</v>
      </c>
      <c r="K4766">
        <v>1.110141</v>
      </c>
      <c r="L4766">
        <v>140.81389999999999</v>
      </c>
      <c r="M4766">
        <v>-0.99998390000000004</v>
      </c>
      <c r="N4766">
        <v>0</v>
      </c>
      <c r="O4766">
        <v>-4.7141750000000001E-3</v>
      </c>
      <c r="P4766">
        <v>-0.99796059999999998</v>
      </c>
      <c r="Q4766">
        <v>-4.2947569999999997E-3</v>
      </c>
      <c r="R4766">
        <v>6.3688430000000004E-2</v>
      </c>
      <c r="S4766">
        <v>-2.9752809999999998</v>
      </c>
      <c r="T4766">
        <v>-0.78188780000000002</v>
      </c>
      <c r="U4766">
        <v>0.4185333</v>
      </c>
      <c r="V4766">
        <v>6.8396250000000006E-2</v>
      </c>
      <c r="W4766">
        <v>-8.4607439999999996E-4</v>
      </c>
      <c r="X4766">
        <v>0.99765789999999999</v>
      </c>
      <c r="Y4766">
        <v>0.1391723</v>
      </c>
      <c r="Z4766">
        <v>1.911038E-2</v>
      </c>
      <c r="AA4766">
        <v>0.99008379999999996</v>
      </c>
      <c r="AB4766">
        <v>44</v>
      </c>
      <c r="AC4766">
        <v>-0.21239999999994499</v>
      </c>
      <c r="AD4766">
        <v>-0.233484</v>
      </c>
      <c r="AE4766">
        <v>0.12839999999999899</v>
      </c>
      <c r="AF4766">
        <v>6.8648035078197098E-2</v>
      </c>
      <c r="AG4766">
        <v>-0.233484</v>
      </c>
      <c r="AH4766">
        <v>0.112358133549617</v>
      </c>
      <c r="AI4766">
        <v>150.579850739779</v>
      </c>
      <c r="AJ4766">
        <v>58.576103732654701</v>
      </c>
      <c r="AK4766">
        <v>0.26805163896318701</v>
      </c>
      <c r="AL4766">
        <v>90.048476496887204</v>
      </c>
      <c r="AM4766">
        <v>86.078120378167398</v>
      </c>
      <c r="AN4766">
        <v>1.00000002414418</v>
      </c>
    </row>
    <row r="4767" spans="1:40" x14ac:dyDescent="0.25">
      <c r="A4767" t="str">
        <f>"20190312154350932"</f>
        <v>20190312154350932</v>
      </c>
      <c r="B4767" t="str">
        <f>"1552376630922240"</f>
        <v>1552376630922240</v>
      </c>
      <c r="C4767" t="s">
        <v>40</v>
      </c>
      <c r="D4767">
        <v>4.8787539999999998</v>
      </c>
      <c r="E4767">
        <v>0.53154190000000001</v>
      </c>
      <c r="F4767" t="s">
        <v>41</v>
      </c>
      <c r="G4767">
        <v>-272.72719999999998</v>
      </c>
      <c r="H4767">
        <v>0.85120149999999895</v>
      </c>
      <c r="I4767">
        <v>140.9522</v>
      </c>
      <c r="J4767">
        <v>-272.18169999999998</v>
      </c>
      <c r="K4767">
        <v>1.1103540000000001</v>
      </c>
      <c r="L4767">
        <v>140.81059999999999</v>
      </c>
      <c r="M4767">
        <v>-0.99997190000000002</v>
      </c>
      <c r="N4767">
        <v>0</v>
      </c>
      <c r="O4767">
        <v>-6.7103850000000001E-3</v>
      </c>
      <c r="P4767">
        <v>-0.99802740000000001</v>
      </c>
      <c r="Q4767">
        <v>-4.768914E-3</v>
      </c>
      <c r="R4767">
        <v>6.2600020000000006E-2</v>
      </c>
      <c r="S4767">
        <v>-2.9762270000000002</v>
      </c>
      <c r="T4767">
        <v>-0.77959299999999998</v>
      </c>
      <c r="U4767">
        <v>0.4161224</v>
      </c>
      <c r="V4767">
        <v>6.930132E-2</v>
      </c>
      <c r="W4767">
        <v>-1.073495E-3</v>
      </c>
      <c r="X4767">
        <v>0.99759520000000002</v>
      </c>
      <c r="Y4767">
        <v>0.1402457</v>
      </c>
      <c r="Z4767">
        <v>1.9700869999999999E-2</v>
      </c>
      <c r="AA4767">
        <v>0.98992069999999999</v>
      </c>
      <c r="AB4767">
        <v>44</v>
      </c>
      <c r="AC4767">
        <v>-0.54550000000000398</v>
      </c>
      <c r="AD4767">
        <v>-0.25915250000000001</v>
      </c>
      <c r="AE4767">
        <v>0.14160000000001099</v>
      </c>
      <c r="AF4767">
        <v>0.119903989298699</v>
      </c>
      <c r="AG4767">
        <v>-0.25915250000000001</v>
      </c>
      <c r="AH4767">
        <v>0.44949341590269598</v>
      </c>
      <c r="AI4767">
        <v>119.12062291298299</v>
      </c>
      <c r="AJ4767">
        <v>75.0639324032324</v>
      </c>
      <c r="AK4767">
        <v>0.53252353548539699</v>
      </c>
      <c r="AL4767">
        <v>90.061506744383095</v>
      </c>
      <c r="AM4767">
        <v>86.026139376554298</v>
      </c>
      <c r="AN4767">
        <v>1.0000000042041399</v>
      </c>
    </row>
    <row r="4768" spans="1:40" x14ac:dyDescent="0.25">
      <c r="A4768" t="str">
        <f>"20190312154350954"</f>
        <v>20190312154350954</v>
      </c>
      <c r="B4768" t="str">
        <f>"1552376630942736"</f>
        <v>1552376630942736</v>
      </c>
      <c r="C4768" t="s">
        <v>40</v>
      </c>
      <c r="D4768">
        <v>4.8822219999999996</v>
      </c>
      <c r="E4768">
        <v>0.5316073</v>
      </c>
      <c r="F4768" t="s">
        <v>41</v>
      </c>
      <c r="G4768">
        <v>-273.1259</v>
      </c>
      <c r="H4768">
        <v>0.86266799999999999</v>
      </c>
      <c r="I4768">
        <v>140.9418</v>
      </c>
      <c r="J4768">
        <v>-272.60169999999999</v>
      </c>
      <c r="K4768">
        <v>1.110562</v>
      </c>
      <c r="L4768">
        <v>140.8065</v>
      </c>
      <c r="M4768">
        <v>-0.99995560000000006</v>
      </c>
      <c r="N4768">
        <v>0</v>
      </c>
      <c r="O4768">
        <v>-8.7051609999999995E-3</v>
      </c>
      <c r="P4768">
        <v>-0.99813149999999995</v>
      </c>
      <c r="Q4768">
        <v>-5.8343569999999897E-3</v>
      </c>
      <c r="R4768">
        <v>6.0826949999999998E-2</v>
      </c>
      <c r="S4768">
        <v>-2.9762569999999999</v>
      </c>
      <c r="T4768">
        <v>-0.78082600000000002</v>
      </c>
      <c r="U4768">
        <v>0.41349789999999997</v>
      </c>
      <c r="V4768">
        <v>6.9523500000000002E-2</v>
      </c>
      <c r="W4768">
        <v>-1.8557980000000001E-3</v>
      </c>
      <c r="X4768">
        <v>0.99757859999999998</v>
      </c>
      <c r="Y4768">
        <v>0.14124610000000001</v>
      </c>
      <c r="Z4768">
        <v>2.0372830000000001E-2</v>
      </c>
      <c r="AA4768">
        <v>0.98976489999999995</v>
      </c>
      <c r="AB4768">
        <v>44</v>
      </c>
      <c r="AC4768">
        <v>-0.52420000000000699</v>
      </c>
      <c r="AD4768">
        <v>-0.247894</v>
      </c>
      <c r="AE4768">
        <v>0.1353</v>
      </c>
      <c r="AF4768">
        <v>0.11561713973706</v>
      </c>
      <c r="AG4768">
        <v>-0.247894</v>
      </c>
      <c r="AH4768">
        <v>0.43235258845553798</v>
      </c>
      <c r="AI4768">
        <v>118.98198030529601</v>
      </c>
      <c r="AJ4768">
        <v>75.028613402391301</v>
      </c>
      <c r="AK4768">
        <v>0.511612664992944</v>
      </c>
      <c r="AL4768">
        <v>90.106329452774204</v>
      </c>
      <c r="AM4768">
        <v>86.013374070900298</v>
      </c>
      <c r="AN4768">
        <v>1.00000001210821</v>
      </c>
    </row>
    <row r="4769" spans="1:40" x14ac:dyDescent="0.25">
      <c r="A4769" t="str">
        <f>"20190312154350975"</f>
        <v>20190312154350975</v>
      </c>
      <c r="B4769" t="str">
        <f>"1552376630962256"</f>
        <v>1552376630962256</v>
      </c>
      <c r="C4769" t="s">
        <v>40</v>
      </c>
      <c r="D4769">
        <v>4.9005580000000002</v>
      </c>
      <c r="E4769">
        <v>0.53164519999999904</v>
      </c>
      <c r="F4769" t="s">
        <v>41</v>
      </c>
      <c r="G4769">
        <v>-273.52300000000002</v>
      </c>
      <c r="H4769">
        <v>0.86810929999999997</v>
      </c>
      <c r="I4769">
        <v>140.93360000000001</v>
      </c>
      <c r="J4769">
        <v>-273.03410000000002</v>
      </c>
      <c r="K4769">
        <v>1.1107819999999999</v>
      </c>
      <c r="L4769">
        <v>140.8014</v>
      </c>
      <c r="M4769">
        <v>-0.99993319999999997</v>
      </c>
      <c r="N4769">
        <v>0</v>
      </c>
      <c r="O4769">
        <v>-1.084823E-2</v>
      </c>
      <c r="P4769">
        <v>-0.99830750000000001</v>
      </c>
      <c r="Q4769">
        <v>-6.5824630000000002E-3</v>
      </c>
      <c r="R4769">
        <v>5.7782149999999997E-2</v>
      </c>
      <c r="S4769">
        <v>-2.9760740000000001</v>
      </c>
      <c r="T4769">
        <v>-0.78337539999999894</v>
      </c>
      <c r="U4769">
        <v>0.40963749999999999</v>
      </c>
      <c r="V4769">
        <v>6.8621340000000003E-2</v>
      </c>
      <c r="W4769">
        <v>-2.2374830000000002E-3</v>
      </c>
      <c r="X4769">
        <v>0.99764030000000004</v>
      </c>
      <c r="Y4769">
        <v>0.1419842</v>
      </c>
      <c r="Z4769">
        <v>2.1087560000000002E-2</v>
      </c>
      <c r="AA4769">
        <v>0.98964430000000003</v>
      </c>
      <c r="AB4769">
        <v>44</v>
      </c>
      <c r="AC4769">
        <v>-0.48889999999994399</v>
      </c>
      <c r="AD4769">
        <v>-0.24267269999999899</v>
      </c>
      <c r="AE4769">
        <v>0.132200000000011</v>
      </c>
      <c r="AF4769">
        <v>0.11182254125265501</v>
      </c>
      <c r="AG4769">
        <v>-0.24267269999999899</v>
      </c>
      <c r="AH4769">
        <v>0.39642221013425599</v>
      </c>
      <c r="AI4769">
        <v>120.505152128566</v>
      </c>
      <c r="AJ4769">
        <v>74.247333748936796</v>
      </c>
      <c r="AK4769">
        <v>0.47806368691338602</v>
      </c>
      <c r="AL4769">
        <v>90.128198435573097</v>
      </c>
      <c r="AM4769">
        <v>86.065184868963698</v>
      </c>
      <c r="AN4769">
        <v>1.00000003140883</v>
      </c>
    </row>
    <row r="4770" spans="1:40" x14ac:dyDescent="0.25">
      <c r="A4770" t="str">
        <f>"20190312154350998"</f>
        <v>20190312154350998</v>
      </c>
      <c r="B4770" t="str">
        <f>"1552376630992044"</f>
        <v>1552376630992044</v>
      </c>
      <c r="C4770" t="s">
        <v>40</v>
      </c>
      <c r="D4770">
        <v>4.9476760000000004</v>
      </c>
      <c r="E4770">
        <v>0.53167299999999995</v>
      </c>
      <c r="F4770" t="s">
        <v>41</v>
      </c>
      <c r="G4770">
        <v>-273.92189999999999</v>
      </c>
      <c r="H4770">
        <v>0.87684249999999997</v>
      </c>
      <c r="I4770">
        <v>140.92140000000001</v>
      </c>
      <c r="J4770">
        <v>-273.48140000000001</v>
      </c>
      <c r="K4770">
        <v>1.1110230000000001</v>
      </c>
      <c r="L4770">
        <v>140.79499999999999</v>
      </c>
      <c r="M4770">
        <v>-0.99990369999999995</v>
      </c>
      <c r="N4770">
        <v>0</v>
      </c>
      <c r="O4770">
        <v>-1.3140260000000001E-2</v>
      </c>
      <c r="P4770">
        <v>-0.99853939999999997</v>
      </c>
      <c r="Q4770">
        <v>-7.8682660000000005E-3</v>
      </c>
      <c r="R4770">
        <v>5.3452890000000003E-2</v>
      </c>
      <c r="S4770">
        <v>-2.976715</v>
      </c>
      <c r="T4770">
        <v>-0.78454040000000003</v>
      </c>
      <c r="U4770">
        <v>0.40187070000000003</v>
      </c>
      <c r="V4770">
        <v>6.6587540000000001E-2</v>
      </c>
      <c r="W4770">
        <v>-3.0432889999999998E-3</v>
      </c>
      <c r="X4770">
        <v>0.997776</v>
      </c>
      <c r="Y4770">
        <v>0.14160799999999901</v>
      </c>
      <c r="Z4770">
        <v>2.1660120000000001E-2</v>
      </c>
      <c r="AA4770">
        <v>0.98968579999999995</v>
      </c>
      <c r="AB4770">
        <v>44</v>
      </c>
      <c r="AC4770">
        <v>-0.44049999999998501</v>
      </c>
      <c r="AD4770">
        <v>-0.23418049999999899</v>
      </c>
      <c r="AE4770">
        <v>0.126400000000018</v>
      </c>
      <c r="AF4770">
        <v>0.10480923576383799</v>
      </c>
      <c r="AG4770">
        <v>-0.23418049999999899</v>
      </c>
      <c r="AH4770">
        <v>0.34794442714806401</v>
      </c>
      <c r="AI4770">
        <v>122.799263846587</v>
      </c>
      <c r="AJ4770">
        <v>73.236434410566901</v>
      </c>
      <c r="AK4770">
        <v>0.432308693950335</v>
      </c>
      <c r="AL4770">
        <v>90.174367875254603</v>
      </c>
      <c r="AM4770">
        <v>86.181972491363396</v>
      </c>
      <c r="AN4770">
        <v>1.0000000541335901</v>
      </c>
    </row>
    <row r="4771" spans="1:40" x14ac:dyDescent="0.25">
      <c r="A4771" t="str">
        <f>"20190312154351022"</f>
        <v>20190312154351022</v>
      </c>
      <c r="B4771" t="str">
        <f>"1552376631012539"</f>
        <v>1552376631012539</v>
      </c>
      <c r="C4771" t="s">
        <v>40</v>
      </c>
      <c r="D4771">
        <v>4.9428169999999998</v>
      </c>
      <c r="E4771">
        <v>0.53169480000000002</v>
      </c>
      <c r="F4771" t="s">
        <v>41</v>
      </c>
      <c r="G4771">
        <v>-274.32220000000001</v>
      </c>
      <c r="H4771">
        <v>0.88863969999999903</v>
      </c>
      <c r="I4771">
        <v>140.905</v>
      </c>
      <c r="J4771">
        <v>-273.9452</v>
      </c>
      <c r="K4771">
        <v>1.111275</v>
      </c>
      <c r="L4771">
        <v>140.78729999999999</v>
      </c>
      <c r="M4771">
        <v>-0.99986589999999997</v>
      </c>
      <c r="N4771">
        <v>0</v>
      </c>
      <c r="O4771">
        <v>-1.557739E-2</v>
      </c>
      <c r="P4771">
        <v>-0.99877179999999999</v>
      </c>
      <c r="Q4771">
        <v>-8.8669790000000005E-3</v>
      </c>
      <c r="R4771">
        <v>4.8751639999999999E-2</v>
      </c>
      <c r="S4771">
        <v>-2.9773559999999999</v>
      </c>
      <c r="T4771">
        <v>-0.78766099999999994</v>
      </c>
      <c r="U4771">
        <v>0.38868710000000001</v>
      </c>
      <c r="V4771">
        <v>6.4325789999999994E-2</v>
      </c>
      <c r="W4771">
        <v>-3.419474E-3</v>
      </c>
      <c r="X4771">
        <v>0.99792309999999995</v>
      </c>
      <c r="Y4771">
        <v>0.13962620000000001</v>
      </c>
      <c r="Z4771">
        <v>2.2119819999999998E-2</v>
      </c>
      <c r="AA4771">
        <v>0.98995719999999998</v>
      </c>
      <c r="AB4771">
        <v>44</v>
      </c>
      <c r="AC4771">
        <v>-0.37700000000000899</v>
      </c>
      <c r="AD4771">
        <v>-0.22263530000000001</v>
      </c>
      <c r="AE4771">
        <v>0.117700000000013</v>
      </c>
      <c r="AF4771">
        <v>9.3763311362657795E-2</v>
      </c>
      <c r="AG4771">
        <v>-0.22263530000000001</v>
      </c>
      <c r="AH4771">
        <v>0.28466333399125399</v>
      </c>
      <c r="AI4771">
        <v>126.606484902913</v>
      </c>
      <c r="AJ4771">
        <v>71.768986903939705</v>
      </c>
      <c r="AK4771">
        <v>0.37335137482376701</v>
      </c>
      <c r="AL4771">
        <v>90.195921808838605</v>
      </c>
      <c r="AM4771">
        <v>86.311835692938004</v>
      </c>
      <c r="AN4771">
        <v>1.0000000067875801</v>
      </c>
    </row>
    <row r="4772" spans="1:40" x14ac:dyDescent="0.25">
      <c r="A4772" t="str">
        <f>"20190312154351043"</f>
        <v>20190312154351043</v>
      </c>
      <c r="B4772" t="str">
        <f>"1552376631032060"</f>
        <v>1552376631032060</v>
      </c>
      <c r="C4772" t="s">
        <v>40</v>
      </c>
      <c r="D4772">
        <v>4.9875350000000003</v>
      </c>
      <c r="E4772">
        <v>0.53168269999999995</v>
      </c>
      <c r="F4772" t="s">
        <v>41</v>
      </c>
      <c r="G4772">
        <v>-274.72399999999999</v>
      </c>
      <c r="H4772">
        <v>0.90455870000000005</v>
      </c>
      <c r="I4772">
        <v>140.88509999999999</v>
      </c>
      <c r="J4772">
        <v>-274.36130000000003</v>
      </c>
      <c r="K4772">
        <v>1.11151</v>
      </c>
      <c r="L4772">
        <v>140.77930000000001</v>
      </c>
      <c r="M4772">
        <v>-0.99982510000000002</v>
      </c>
      <c r="N4772">
        <v>0</v>
      </c>
      <c r="O4772">
        <v>-1.780122E-2</v>
      </c>
      <c r="P4772">
        <v>-0.99892970000000003</v>
      </c>
      <c r="Q4772">
        <v>-9.9787720000000003E-3</v>
      </c>
      <c r="R4772">
        <v>4.5164080000000002E-2</v>
      </c>
      <c r="S4772">
        <v>-2.9784549999999999</v>
      </c>
      <c r="T4772">
        <v>-0.79053399999999996</v>
      </c>
      <c r="U4772">
        <v>0.37370300000000001</v>
      </c>
      <c r="V4772">
        <v>6.2964530000000005E-2</v>
      </c>
      <c r="W4772">
        <v>-3.851452E-3</v>
      </c>
      <c r="X4772">
        <v>0.99800829999999996</v>
      </c>
      <c r="Y4772">
        <v>0.1368597</v>
      </c>
      <c r="Z4772">
        <v>2.241541E-2</v>
      </c>
      <c r="AA4772">
        <v>0.99033680000000002</v>
      </c>
      <c r="AB4772">
        <v>44</v>
      </c>
      <c r="AC4772">
        <v>-0.362699999999961</v>
      </c>
      <c r="AD4772">
        <v>-0.2069513</v>
      </c>
      <c r="AE4772">
        <v>0.105799999999987</v>
      </c>
      <c r="AF4772">
        <v>8.6335846791969498E-2</v>
      </c>
      <c r="AG4772">
        <v>-0.2069513</v>
      </c>
      <c r="AH4772">
        <v>0.27749900284465101</v>
      </c>
      <c r="AI4772">
        <v>125.45483800982601</v>
      </c>
      <c r="AJ4772">
        <v>72.717970067772399</v>
      </c>
      <c r="AK4772">
        <v>0.35677502097645802</v>
      </c>
      <c r="AL4772">
        <v>90.220672497601598</v>
      </c>
      <c r="AM4772">
        <v>86.3899832347049</v>
      </c>
      <c r="AN4772">
        <v>0.99999996629475896</v>
      </c>
    </row>
    <row r="4773" spans="1:40" x14ac:dyDescent="0.25">
      <c r="A4773" t="str">
        <f>"20190312154351065"</f>
        <v>20190312154351065</v>
      </c>
      <c r="B4773" t="str">
        <f>"1552376631052556"</f>
        <v>1552376631052556</v>
      </c>
      <c r="C4773" t="s">
        <v>40</v>
      </c>
      <c r="D4773">
        <v>4.9821720000000003</v>
      </c>
      <c r="E4773">
        <v>0.5317113</v>
      </c>
      <c r="F4773" t="s">
        <v>41</v>
      </c>
      <c r="G4773">
        <v>-275.12130000000002</v>
      </c>
      <c r="H4773">
        <v>0.90911569999999997</v>
      </c>
      <c r="I4773">
        <v>140.87209999999999</v>
      </c>
      <c r="J4773">
        <v>-274.79469999999998</v>
      </c>
      <c r="K4773">
        <v>1.1117410000000001</v>
      </c>
      <c r="L4773">
        <v>140.77000000000001</v>
      </c>
      <c r="M4773">
        <v>-0.99977570000000004</v>
      </c>
      <c r="N4773">
        <v>0</v>
      </c>
      <c r="O4773">
        <v>-2.013829E-2</v>
      </c>
      <c r="P4773">
        <v>-0.9990696</v>
      </c>
      <c r="Q4773">
        <v>-9.5172690000000001E-3</v>
      </c>
      <c r="R4773">
        <v>4.2064900000000002E-2</v>
      </c>
      <c r="S4773">
        <v>-2.978882</v>
      </c>
      <c r="T4773">
        <v>-0.79348490000000005</v>
      </c>
      <c r="U4773">
        <v>0.36222840000000001</v>
      </c>
      <c r="V4773">
        <v>6.219425E-2</v>
      </c>
      <c r="W4773">
        <v>-2.566853E-3</v>
      </c>
      <c r="X4773">
        <v>0.99806079999999997</v>
      </c>
      <c r="Y4773">
        <v>0.13533010000000001</v>
      </c>
      <c r="Z4773">
        <v>2.2908680000000001E-2</v>
      </c>
      <c r="AA4773">
        <v>0.99053570000000002</v>
      </c>
      <c r="AB4773">
        <v>44</v>
      </c>
      <c r="AC4773">
        <v>-0.32660000000004102</v>
      </c>
      <c r="AD4773">
        <v>-0.20262530000000001</v>
      </c>
      <c r="AE4773">
        <v>0.102099999999978</v>
      </c>
      <c r="AF4773">
        <v>8.04482914605434E-2</v>
      </c>
      <c r="AG4773">
        <v>-0.20262530000000001</v>
      </c>
      <c r="AH4773">
        <v>0.240240063019</v>
      </c>
      <c r="AI4773">
        <v>128.652048264727</v>
      </c>
      <c r="AJ4773">
        <v>71.486040345210597</v>
      </c>
      <c r="AK4773">
        <v>0.32441366752709899</v>
      </c>
      <c r="AL4773">
        <v>90.147069999592702</v>
      </c>
      <c r="AM4773">
        <v>86.434219003637196</v>
      </c>
      <c r="AN4773">
        <v>1.0000000369820099</v>
      </c>
    </row>
    <row r="4774" spans="1:40" x14ac:dyDescent="0.25">
      <c r="A4774" t="str">
        <f>"20190312154351087"</f>
        <v>20190312154351087</v>
      </c>
      <c r="B4774" t="str">
        <f>"1552376631082812"</f>
        <v>1552376631082812</v>
      </c>
      <c r="C4774" t="s">
        <v>40</v>
      </c>
      <c r="D4774">
        <v>4.9665229999999996</v>
      </c>
      <c r="E4774">
        <v>0.53175130000000004</v>
      </c>
      <c r="F4774" t="s">
        <v>41</v>
      </c>
      <c r="G4774">
        <v>-275.5204</v>
      </c>
      <c r="H4774">
        <v>0.91888820000000004</v>
      </c>
      <c r="I4774">
        <v>140.85589999999999</v>
      </c>
      <c r="J4774">
        <v>-275.23160000000001</v>
      </c>
      <c r="K4774">
        <v>1.1119490000000001</v>
      </c>
      <c r="L4774">
        <v>140.7595</v>
      </c>
      <c r="M4774">
        <v>-0.99971880000000002</v>
      </c>
      <c r="N4774">
        <v>0</v>
      </c>
      <c r="O4774">
        <v>-2.2511550000000002E-2</v>
      </c>
      <c r="P4774">
        <v>-0.99914380000000003</v>
      </c>
      <c r="Q4774">
        <v>-1.039878E-2</v>
      </c>
      <c r="R4774">
        <v>4.0045940000000002E-2</v>
      </c>
      <c r="S4774">
        <v>-2.9804379999999999</v>
      </c>
      <c r="T4774">
        <v>-0.79203080000000003</v>
      </c>
      <c r="U4774">
        <v>0.35264590000000001</v>
      </c>
      <c r="V4774">
        <v>6.25468E-2</v>
      </c>
      <c r="W4774">
        <v>-2.5470530000000001E-3</v>
      </c>
      <c r="X4774">
        <v>0.9980388</v>
      </c>
      <c r="Y4774">
        <v>0.13444970000000001</v>
      </c>
      <c r="Z4774">
        <v>2.3364329999999999E-2</v>
      </c>
      <c r="AA4774">
        <v>0.99064490000000005</v>
      </c>
      <c r="AB4774">
        <v>44</v>
      </c>
      <c r="AC4774">
        <v>-0.28879999999998002</v>
      </c>
      <c r="AD4774">
        <v>-0.1930608</v>
      </c>
      <c r="AE4774">
        <v>9.6399999999988495E-2</v>
      </c>
      <c r="AF4774">
        <v>7.3374449490269E-2</v>
      </c>
      <c r="AG4774">
        <v>-0.1930608</v>
      </c>
      <c r="AH4774">
        <v>0.20437918973553901</v>
      </c>
      <c r="AI4774">
        <v>131.63906190009399</v>
      </c>
      <c r="AJ4774">
        <v>70.251285758665006</v>
      </c>
      <c r="AK4774">
        <v>0.29056347934934201</v>
      </c>
      <c r="AL4774">
        <v>90.1459355422637</v>
      </c>
      <c r="AM4774">
        <v>86.413980019756906</v>
      </c>
      <c r="AN4774">
        <v>1.0000000179873301</v>
      </c>
    </row>
    <row r="4775" spans="1:40" x14ac:dyDescent="0.25">
      <c r="A4775" t="str">
        <f>"20190312154351112"</f>
        <v>20190312154351112</v>
      </c>
      <c r="B4775" t="str">
        <f>"1552376631102335"</f>
        <v>1552376631102335</v>
      </c>
      <c r="C4775" t="s">
        <v>40</v>
      </c>
      <c r="D4775">
        <v>5.0562820000000004</v>
      </c>
      <c r="E4775">
        <v>0.53181590000000001</v>
      </c>
      <c r="F4775" t="s">
        <v>41</v>
      </c>
      <c r="G4775">
        <v>-275.91930000000002</v>
      </c>
      <c r="H4775">
        <v>0.92873720000000004</v>
      </c>
      <c r="I4775">
        <v>140.8398</v>
      </c>
      <c r="J4775">
        <v>-275.7002</v>
      </c>
      <c r="K4775">
        <v>1.1121289999999999</v>
      </c>
      <c r="L4775">
        <v>140.74690000000001</v>
      </c>
      <c r="M4775">
        <v>-0.99965040000000005</v>
      </c>
      <c r="N4775">
        <v>0</v>
      </c>
      <c r="O4775">
        <v>-2.506941E-2</v>
      </c>
      <c r="P4775">
        <v>-0.99921629999999995</v>
      </c>
      <c r="Q4775">
        <v>-1.1458400000000001E-2</v>
      </c>
      <c r="R4775">
        <v>3.7887410000000003E-2</v>
      </c>
      <c r="S4775">
        <v>-2.9804080000000002</v>
      </c>
      <c r="T4775">
        <v>-0.79409619999999903</v>
      </c>
      <c r="U4775">
        <v>0.34715269999999998</v>
      </c>
      <c r="V4775">
        <v>6.2945340000000002E-2</v>
      </c>
      <c r="W4775">
        <v>-2.652803E-3</v>
      </c>
      <c r="X4775">
        <v>0.99801340000000005</v>
      </c>
      <c r="Y4775">
        <v>0.13504539999999901</v>
      </c>
      <c r="Z4775">
        <v>2.4171620000000001E-2</v>
      </c>
      <c r="AA4775">
        <v>0.9905446</v>
      </c>
      <c r="AB4775">
        <v>44</v>
      </c>
      <c r="AC4775">
        <v>-0.219100000000025</v>
      </c>
      <c r="AD4775">
        <v>-0.18339179999999999</v>
      </c>
      <c r="AE4775">
        <v>9.2899999999985994E-2</v>
      </c>
      <c r="AF4775">
        <v>6.1714715873314202E-2</v>
      </c>
      <c r="AG4775">
        <v>-0.18339179999999999</v>
      </c>
      <c r="AH4775">
        <v>0.13596182829777401</v>
      </c>
      <c r="AI4775">
        <v>140.848413545489</v>
      </c>
      <c r="AJ4775">
        <v>65.586128238413195</v>
      </c>
      <c r="AK4775">
        <v>0.23648864077717799</v>
      </c>
      <c r="AL4775">
        <v>90.151994601670694</v>
      </c>
      <c r="AM4775">
        <v>86.391098961891601</v>
      </c>
      <c r="AN4775">
        <v>0.99999994988551499</v>
      </c>
    </row>
    <row r="4776" spans="1:40" x14ac:dyDescent="0.25">
      <c r="A4776" t="str">
        <f>"20190312154351134"</f>
        <v>20190312154351134</v>
      </c>
      <c r="B4776" t="str">
        <f>"1552376631122828"</f>
        <v>1552376631122828</v>
      </c>
      <c r="C4776" t="s">
        <v>40</v>
      </c>
      <c r="D4776">
        <v>5.0336019999999904</v>
      </c>
      <c r="E4776">
        <v>0.51254730000000004</v>
      </c>
      <c r="F4776" t="s">
        <v>41</v>
      </c>
      <c r="G4776">
        <v>-276.67680000000001</v>
      </c>
      <c r="H4776">
        <v>0.85082630000000004</v>
      </c>
      <c r="I4776">
        <v>140.8586</v>
      </c>
      <c r="J4776">
        <v>-276.15879999999999</v>
      </c>
      <c r="K4776">
        <v>1.112274</v>
      </c>
      <c r="L4776">
        <v>140.73339999999999</v>
      </c>
      <c r="M4776">
        <v>-0.99957700000000005</v>
      </c>
      <c r="N4776">
        <v>0</v>
      </c>
      <c r="O4776">
        <v>-2.7567769999999998E-2</v>
      </c>
      <c r="P4776">
        <v>-0.99927069999999996</v>
      </c>
      <c r="Q4776">
        <v>-1.256913E-2</v>
      </c>
      <c r="R4776">
        <v>3.6057119999999998E-2</v>
      </c>
      <c r="S4776">
        <v>-2.9803160000000002</v>
      </c>
      <c r="T4776">
        <v>-0.79755580000000004</v>
      </c>
      <c r="U4776">
        <v>0.34021000000000001</v>
      </c>
      <c r="V4776">
        <v>6.3613530000000001E-2</v>
      </c>
      <c r="W4776">
        <v>-2.8891559999999999E-3</v>
      </c>
      <c r="X4776">
        <v>0.99797040000000004</v>
      </c>
      <c r="Y4776">
        <v>0.13510749999999999</v>
      </c>
      <c r="Z4776">
        <v>2.494066E-2</v>
      </c>
      <c r="AA4776">
        <v>0.99051699999999998</v>
      </c>
      <c r="AB4776">
        <v>44</v>
      </c>
      <c r="AC4776">
        <v>-0.51800000000002899</v>
      </c>
      <c r="AD4776">
        <v>-0.26144769999999901</v>
      </c>
      <c r="AE4776">
        <v>0.125200000000006</v>
      </c>
      <c r="AF4776">
        <v>0.112383800860075</v>
      </c>
      <c r="AG4776">
        <v>-0.26144769999999901</v>
      </c>
      <c r="AH4776">
        <v>0.41456986652566702</v>
      </c>
      <c r="AI4776">
        <v>121.32801609832001</v>
      </c>
      <c r="AJ4776">
        <v>74.832482205786803</v>
      </c>
      <c r="AK4776">
        <v>0.50284509817851097</v>
      </c>
      <c r="AL4776">
        <v>90.165536679779606</v>
      </c>
      <c r="AM4776">
        <v>86.352735170402894</v>
      </c>
      <c r="AN4776">
        <v>0.99999997384880601</v>
      </c>
    </row>
    <row r="4777" spans="1:40" x14ac:dyDescent="0.25">
      <c r="A4777" t="str">
        <f>"20190312154351156"</f>
        <v>20190312154351156</v>
      </c>
      <c r="B4777" t="str">
        <f>"1552376631142348"</f>
        <v>1552376631142348</v>
      </c>
      <c r="C4777" t="s">
        <v>40</v>
      </c>
      <c r="D4777">
        <v>5.0553489999999996</v>
      </c>
      <c r="E4777">
        <v>0.49762830000000002</v>
      </c>
      <c r="F4777" t="s">
        <v>41</v>
      </c>
      <c r="G4777">
        <v>-277.0949</v>
      </c>
      <c r="H4777">
        <v>0.91804960000000002</v>
      </c>
      <c r="I4777">
        <v>140.79230000000001</v>
      </c>
      <c r="J4777">
        <v>-276.5831</v>
      </c>
      <c r="K4777">
        <v>1.1123780000000001</v>
      </c>
      <c r="L4777">
        <v>140.7199</v>
      </c>
      <c r="M4777">
        <v>-0.9995039</v>
      </c>
      <c r="N4777">
        <v>0</v>
      </c>
      <c r="O4777">
        <v>-2.9864539999999998E-2</v>
      </c>
      <c r="P4777">
        <v>-0.99934909999999999</v>
      </c>
      <c r="Q4777">
        <v>-1.258099E-2</v>
      </c>
      <c r="R4777">
        <v>3.3807799999999999E-2</v>
      </c>
      <c r="S4777">
        <v>-2.9876100000000001</v>
      </c>
      <c r="T4777">
        <v>-0.61990259999999997</v>
      </c>
      <c r="U4777">
        <v>0.18754580000000001</v>
      </c>
      <c r="V4777">
        <v>6.3655600000000007E-2</v>
      </c>
      <c r="W4777">
        <v>-2.1639239999999998E-3</v>
      </c>
      <c r="X4777">
        <v>0.99796960000000001</v>
      </c>
      <c r="Y4777">
        <v>8.9888739999999995E-2</v>
      </c>
      <c r="Z4777">
        <v>1.5345019999999999E-2</v>
      </c>
      <c r="AA4777">
        <v>0.99583359999999999</v>
      </c>
      <c r="AB4777">
        <v>44</v>
      </c>
      <c r="AC4777">
        <v>-0.51179999999999304</v>
      </c>
      <c r="AD4777">
        <v>-0.19432840000000001</v>
      </c>
      <c r="AE4777">
        <v>7.2400000000015993E-2</v>
      </c>
      <c r="AF4777">
        <v>7.6798405540857997E-2</v>
      </c>
      <c r="AG4777">
        <v>-0.19432840000000001</v>
      </c>
      <c r="AH4777">
        <v>0.44632547330683497</v>
      </c>
      <c r="AI4777">
        <v>113.223704890888</v>
      </c>
      <c r="AJ4777">
        <v>80.236825386614598</v>
      </c>
      <c r="AK4777">
        <v>0.49281634536888902</v>
      </c>
      <c r="AL4777">
        <v>90.123983806636701</v>
      </c>
      <c r="AM4777">
        <v>86.350326697639204</v>
      </c>
      <c r="AN4777">
        <v>1.00000002025129</v>
      </c>
    </row>
    <row r="4778" spans="1:40" x14ac:dyDescent="0.25">
      <c r="A4778" t="str">
        <f>"20190312154351177"</f>
        <v>20190312154351177</v>
      </c>
      <c r="B4778" t="str">
        <f>"1552376631162844"</f>
        <v>1552376631162844</v>
      </c>
      <c r="C4778" t="s">
        <v>40</v>
      </c>
      <c r="D4778">
        <v>5.0704699999999896</v>
      </c>
      <c r="E4778">
        <v>0.48939460000000001</v>
      </c>
      <c r="F4778" t="s">
        <v>41</v>
      </c>
      <c r="G4778">
        <v>-277.51159999999999</v>
      </c>
      <c r="H4778">
        <v>0.97051160000000003</v>
      </c>
      <c r="I4778">
        <v>140.74109999999999</v>
      </c>
      <c r="J4778">
        <v>-276.99079999999998</v>
      </c>
      <c r="K4778">
        <v>1.112444</v>
      </c>
      <c r="L4778">
        <v>140.70599999999999</v>
      </c>
      <c r="M4778">
        <v>-0.99942960000000003</v>
      </c>
      <c r="N4778">
        <v>0</v>
      </c>
      <c r="O4778">
        <v>-3.2051009999999998E-2</v>
      </c>
      <c r="P4778">
        <v>-0.99943890000000002</v>
      </c>
      <c r="Q4778">
        <v>-1.196623E-2</v>
      </c>
      <c r="R4778">
        <v>3.1284729999999997E-2</v>
      </c>
      <c r="S4778">
        <v>-2.9938660000000001</v>
      </c>
      <c r="T4778">
        <v>-0.45754640000000002</v>
      </c>
      <c r="U4778">
        <v>6.7703250000000006E-2</v>
      </c>
      <c r="V4778">
        <v>6.3311279999999998E-2</v>
      </c>
      <c r="W4778">
        <v>-9.1025009999999996E-4</v>
      </c>
      <c r="X4778">
        <v>0.99799340000000003</v>
      </c>
      <c r="Y4778">
        <v>5.3646609999999997E-2</v>
      </c>
      <c r="Z4778">
        <v>8.9446669999999999E-3</v>
      </c>
      <c r="AA4778">
        <v>0.99851990000000002</v>
      </c>
      <c r="AB4778">
        <v>44</v>
      </c>
      <c r="AC4778">
        <v>-0.52080000000000803</v>
      </c>
      <c r="AD4778">
        <v>-0.14193239999999899</v>
      </c>
      <c r="AE4778">
        <v>3.5099999999971397E-2</v>
      </c>
      <c r="AF4778">
        <v>4.8210601486372497E-2</v>
      </c>
      <c r="AG4778">
        <v>-0.14193239999999899</v>
      </c>
      <c r="AH4778">
        <v>0.48364855568061099</v>
      </c>
      <c r="AI4778">
        <v>106.278578438358</v>
      </c>
      <c r="AJ4778">
        <v>84.307500326808494</v>
      </c>
      <c r="AK4778">
        <v>0.506344737977378</v>
      </c>
      <c r="AL4778">
        <v>90.052153496932902</v>
      </c>
      <c r="AM4778">
        <v>86.370101582584098</v>
      </c>
      <c r="AN4778">
        <v>0.99999998658702105</v>
      </c>
    </row>
    <row r="4779" spans="1:40" x14ac:dyDescent="0.25">
      <c r="A4779" t="str">
        <f>"20190312154351199"</f>
        <v>20190312154351199</v>
      </c>
      <c r="B4779" t="str">
        <f>"1552376631192123"</f>
        <v>1552376631192123</v>
      </c>
      <c r="C4779" t="s">
        <v>40</v>
      </c>
      <c r="D4779">
        <v>5.0290269999999904</v>
      </c>
      <c r="E4779">
        <v>0.48454439999999999</v>
      </c>
      <c r="F4779" t="s">
        <v>41</v>
      </c>
      <c r="G4779">
        <v>-277.91820000000001</v>
      </c>
      <c r="H4779">
        <v>1.0008490000000001</v>
      </c>
      <c r="I4779">
        <v>140.7055</v>
      </c>
      <c r="J4779">
        <v>-277.44040000000001</v>
      </c>
      <c r="K4779">
        <v>1.1124750000000001</v>
      </c>
      <c r="L4779">
        <v>140.68960000000001</v>
      </c>
      <c r="M4779">
        <v>-0.99934350000000005</v>
      </c>
      <c r="N4779">
        <v>0</v>
      </c>
      <c r="O4779">
        <v>-3.4430870000000002E-2</v>
      </c>
      <c r="P4779">
        <v>-0.99952600000000003</v>
      </c>
      <c r="Q4779">
        <v>-1.199337E-2</v>
      </c>
      <c r="R4779">
        <v>2.8351709999999999E-2</v>
      </c>
      <c r="S4779">
        <v>-2.9974370000000001</v>
      </c>
      <c r="T4779">
        <v>-0.36076000000000003</v>
      </c>
      <c r="U4779">
        <v>-2.0294190000000002E-3</v>
      </c>
      <c r="V4779">
        <v>6.2755229999999995E-2</v>
      </c>
      <c r="W4779">
        <v>-3.1004040000000001E-4</v>
      </c>
      <c r="X4779">
        <v>0.9980289</v>
      </c>
      <c r="Y4779">
        <v>3.3267900000000003E-2</v>
      </c>
      <c r="Z4779">
        <v>6.1235040000000001E-3</v>
      </c>
      <c r="AA4779">
        <v>0.99942770000000003</v>
      </c>
      <c r="AB4779">
        <v>44</v>
      </c>
      <c r="AC4779">
        <v>-0.477800000000002</v>
      </c>
      <c r="AD4779">
        <v>-0.111626</v>
      </c>
      <c r="AE4779">
        <v>1.5899999999987799E-2</v>
      </c>
      <c r="AF4779">
        <v>3.0670522263646801E-2</v>
      </c>
      <c r="AG4779">
        <v>-0.111626</v>
      </c>
      <c r="AH4779">
        <v>0.45230917680913302</v>
      </c>
      <c r="AI4779">
        <v>103.832545557156</v>
      </c>
      <c r="AJ4779">
        <v>86.120782820172707</v>
      </c>
      <c r="AK4779">
        <v>0.46688824812548102</v>
      </c>
      <c r="AL4779">
        <v>90.017764006680906</v>
      </c>
      <c r="AM4779">
        <v>86.4020257638647</v>
      </c>
      <c r="AN4779">
        <v>1.0000000001263001</v>
      </c>
    </row>
    <row r="4780" spans="1:40" x14ac:dyDescent="0.25">
      <c r="A4780" t="str">
        <f>"20190312154351222"</f>
        <v>20190312154351222</v>
      </c>
      <c r="B4780" t="str">
        <f>"1552376631212620"</f>
        <v>1552376631212620</v>
      </c>
      <c r="C4780" t="s">
        <v>40</v>
      </c>
      <c r="D4780">
        <v>5.0802899999999998</v>
      </c>
      <c r="E4780">
        <v>0.48295320000000003</v>
      </c>
      <c r="F4780" t="s">
        <v>41</v>
      </c>
      <c r="G4780">
        <v>-278.32170000000002</v>
      </c>
      <c r="H4780">
        <v>1.025577</v>
      </c>
      <c r="I4780">
        <v>140.67590000000001</v>
      </c>
      <c r="J4780">
        <v>-277.87380000000002</v>
      </c>
      <c r="K4780">
        <v>1.1124590000000001</v>
      </c>
      <c r="L4780">
        <v>140.6728</v>
      </c>
      <c r="M4780">
        <v>-0.99925710000000001</v>
      </c>
      <c r="N4780">
        <v>0</v>
      </c>
      <c r="O4780">
        <v>-3.6683800000000003E-2</v>
      </c>
      <c r="P4780">
        <v>-0.99959089999999995</v>
      </c>
      <c r="Q4780">
        <v>-1.356482E-2</v>
      </c>
      <c r="R4780">
        <v>2.518579E-2</v>
      </c>
      <c r="S4780">
        <v>-2.9992070000000002</v>
      </c>
      <c r="T4780">
        <v>-0.29577920000000002</v>
      </c>
      <c r="U4780">
        <v>-4.7119139999999997E-2</v>
      </c>
      <c r="V4780">
        <v>6.185094E-2</v>
      </c>
      <c r="W4780">
        <v>-1.3508979999999999E-3</v>
      </c>
      <c r="X4780">
        <v>0.99808450000000004</v>
      </c>
      <c r="Y4780">
        <v>2.0705560000000001E-2</v>
      </c>
      <c r="Z4780">
        <v>4.6265830000000001E-3</v>
      </c>
      <c r="AA4780">
        <v>0.99977490000000002</v>
      </c>
      <c r="AB4780">
        <v>44</v>
      </c>
      <c r="AC4780">
        <v>-0.44790000000000402</v>
      </c>
      <c r="AD4780">
        <v>-8.6882000000000098E-2</v>
      </c>
      <c r="AE4780">
        <v>3.1000000000176399E-3</v>
      </c>
      <c r="AF4780">
        <v>1.8821571798185902E-2</v>
      </c>
      <c r="AG4780">
        <v>-8.6882000000000098E-2</v>
      </c>
      <c r="AH4780">
        <v>0.43125864560049298</v>
      </c>
      <c r="AI4780">
        <v>101.379875488514</v>
      </c>
      <c r="AJ4780">
        <v>87.5010061104568</v>
      </c>
      <c r="AK4780">
        <v>0.44032573498959399</v>
      </c>
      <c r="AL4780">
        <v>90.0774007762233</v>
      </c>
      <c r="AM4780">
        <v>86.453935609695804</v>
      </c>
      <c r="AN4780">
        <v>1.00000001642226</v>
      </c>
    </row>
    <row r="4781" spans="1:40" x14ac:dyDescent="0.25">
      <c r="A4781" t="str">
        <f>"20190312154351244"</f>
        <v>20190312154351244</v>
      </c>
      <c r="B4781" t="str">
        <f>"1552376631232141"</f>
        <v>1552376631232141</v>
      </c>
      <c r="C4781" t="s">
        <v>40</v>
      </c>
      <c r="D4781">
        <v>5.0793889999999999</v>
      </c>
      <c r="E4781">
        <v>0.48201050000000001</v>
      </c>
      <c r="F4781" t="s">
        <v>41</v>
      </c>
      <c r="G4781">
        <v>-278.71730000000002</v>
      </c>
      <c r="H4781">
        <v>1.0346519999999999</v>
      </c>
      <c r="I4781">
        <v>140.65369999999999</v>
      </c>
      <c r="J4781">
        <v>-278.31240000000003</v>
      </c>
      <c r="K4781">
        <v>1.112409</v>
      </c>
      <c r="L4781">
        <v>140.65479999999999</v>
      </c>
      <c r="M4781">
        <v>-0.99916709999999997</v>
      </c>
      <c r="N4781">
        <v>0</v>
      </c>
      <c r="O4781">
        <v>-3.8906900000000001E-2</v>
      </c>
      <c r="P4781">
        <v>-0.99962759999999995</v>
      </c>
      <c r="Q4781">
        <v>-1.5822650000000001E-2</v>
      </c>
      <c r="R4781">
        <v>2.2230779999999999E-2</v>
      </c>
      <c r="S4781">
        <v>-2.9992070000000002</v>
      </c>
      <c r="T4781">
        <v>-0.2766864</v>
      </c>
      <c r="U4781">
        <v>-6.8359379999999997E-2</v>
      </c>
      <c r="V4781">
        <v>6.1131560000000001E-2</v>
      </c>
      <c r="W4781">
        <v>-3.1379350000000001E-3</v>
      </c>
      <c r="X4781">
        <v>0.99812480000000003</v>
      </c>
      <c r="Y4781">
        <v>1.5897930000000001E-2</v>
      </c>
      <c r="Z4781">
        <v>4.3120839999999999E-3</v>
      </c>
      <c r="AA4781">
        <v>0.99986430000000004</v>
      </c>
      <c r="AB4781">
        <v>44</v>
      </c>
      <c r="AC4781">
        <v>-0.40489999999999698</v>
      </c>
      <c r="AD4781">
        <v>-7.7756999999999799E-2</v>
      </c>
      <c r="AE4781">
        <v>-1.1000000000080899E-3</v>
      </c>
      <c r="AF4781">
        <v>1.4134173652986E-2</v>
      </c>
      <c r="AG4781">
        <v>-7.7756999999999799E-2</v>
      </c>
      <c r="AH4781">
        <v>0.39024432350604499</v>
      </c>
      <c r="AI4781">
        <v>101.26152791248001</v>
      </c>
      <c r="AJ4781">
        <v>87.925723409966594</v>
      </c>
      <c r="AK4781">
        <v>0.39816649525360998</v>
      </c>
      <c r="AL4781">
        <v>90.179790724188507</v>
      </c>
      <c r="AM4781">
        <v>86.4952171537835</v>
      </c>
      <c r="AN4781">
        <v>1.0000000153195601</v>
      </c>
    </row>
    <row r="4782" spans="1:40" x14ac:dyDescent="0.25">
      <c r="A4782" t="str">
        <f>"20190312154351267"</f>
        <v>20190312154351267</v>
      </c>
      <c r="B4782" t="str">
        <f>"1552376631252636"</f>
        <v>1552376631252636</v>
      </c>
      <c r="C4782" t="s">
        <v>40</v>
      </c>
      <c r="D4782">
        <v>5.0738240000000001</v>
      </c>
      <c r="E4782">
        <v>0.48147440000000002</v>
      </c>
      <c r="F4782" t="s">
        <v>41</v>
      </c>
      <c r="G4782">
        <v>-279.11239999999998</v>
      </c>
      <c r="H4782">
        <v>1.0409389999999901</v>
      </c>
      <c r="I4782">
        <v>140.6326</v>
      </c>
      <c r="J4782">
        <v>-278.74779999999998</v>
      </c>
      <c r="K4782">
        <v>1.1123479999999999</v>
      </c>
      <c r="L4782">
        <v>140.6361</v>
      </c>
      <c r="M4782">
        <v>-0.99907670000000004</v>
      </c>
      <c r="N4782">
        <v>0</v>
      </c>
      <c r="O4782">
        <v>-4.1037079999999997E-2</v>
      </c>
      <c r="P4782">
        <v>-0.99966500000000003</v>
      </c>
      <c r="Q4782">
        <v>-1.679721E-2</v>
      </c>
      <c r="R4782">
        <v>1.9702600000000001E-2</v>
      </c>
      <c r="S4782">
        <v>-2.9987789999999999</v>
      </c>
      <c r="T4782">
        <v>-0.26796890000000001</v>
      </c>
      <c r="U4782">
        <v>-8.3984379999999997E-2</v>
      </c>
      <c r="V4782">
        <v>6.0738019999999997E-2</v>
      </c>
      <c r="W4782">
        <v>-3.7048210000000001E-3</v>
      </c>
      <c r="X4782">
        <v>0.99814689999999995</v>
      </c>
      <c r="Y4782">
        <v>1.28383E-2</v>
      </c>
      <c r="Z4782">
        <v>4.2303999999999996E-3</v>
      </c>
      <c r="AA4782">
        <v>0.99990860000000004</v>
      </c>
      <c r="AB4782">
        <v>44</v>
      </c>
      <c r="AC4782">
        <v>-0.36459999999999498</v>
      </c>
      <c r="AD4782">
        <v>-7.1409E-2</v>
      </c>
      <c r="AE4782">
        <v>-3.5000000000024998E-3</v>
      </c>
      <c r="AF4782">
        <v>1.10427240487883E-2</v>
      </c>
      <c r="AG4782">
        <v>-7.1409E-2</v>
      </c>
      <c r="AH4782">
        <v>0.35097450672002101</v>
      </c>
      <c r="AI4782">
        <v>101.49484427350799</v>
      </c>
      <c r="AJ4782">
        <v>88.197895234735697</v>
      </c>
      <c r="AK4782">
        <v>0.35833544536199602</v>
      </c>
      <c r="AL4782">
        <v>90.212271085663403</v>
      </c>
      <c r="AM4782">
        <v>86.517800725189304</v>
      </c>
      <c r="AN4782">
        <v>1.0000000333758801</v>
      </c>
    </row>
    <row r="4783" spans="1:40" x14ac:dyDescent="0.25">
      <c r="A4783" t="str">
        <f>"20190312154351300"</f>
        <v>20190312154351300</v>
      </c>
      <c r="B4783" t="str">
        <f>"1552376631292652"</f>
        <v>1552376631292652</v>
      </c>
      <c r="C4783" t="s">
        <v>40</v>
      </c>
      <c r="D4783">
        <v>5.0656189999999999</v>
      </c>
      <c r="E4783">
        <v>0.4810258</v>
      </c>
      <c r="F4783" t="s">
        <v>41</v>
      </c>
      <c r="G4783">
        <v>-279.5102</v>
      </c>
      <c r="H4783">
        <v>1.0460579999999999</v>
      </c>
      <c r="I4783">
        <v>140.61189999999999</v>
      </c>
      <c r="J4783">
        <v>-279.38940000000002</v>
      </c>
      <c r="K4783">
        <v>1.1122320000000001</v>
      </c>
      <c r="L4783">
        <v>140.6069</v>
      </c>
      <c r="M4783">
        <v>-0.99894439999999995</v>
      </c>
      <c r="N4783">
        <v>0</v>
      </c>
      <c r="O4783">
        <v>-4.3984450000000001E-2</v>
      </c>
      <c r="P4783">
        <v>-0.9997547</v>
      </c>
      <c r="Q4783">
        <v>-1.561411E-2</v>
      </c>
      <c r="R4783">
        <v>1.5716239999999999E-2</v>
      </c>
      <c r="S4783">
        <v>-2.9985050000000002</v>
      </c>
      <c r="T4783">
        <v>-0.26076319999999997</v>
      </c>
      <c r="U4783">
        <v>-9.5428470000000001E-2</v>
      </c>
      <c r="V4783">
        <v>5.9692170000000003E-2</v>
      </c>
      <c r="W4783">
        <v>-2.0293730000000001E-3</v>
      </c>
      <c r="X4783">
        <v>0.99821479999999996</v>
      </c>
      <c r="Y4783">
        <v>1.197674E-2</v>
      </c>
      <c r="Z4783">
        <v>4.335322E-3</v>
      </c>
      <c r="AA4783">
        <v>0.99991890000000005</v>
      </c>
      <c r="AB4783">
        <v>44</v>
      </c>
      <c r="AC4783">
        <v>-0.120799999999974</v>
      </c>
      <c r="AD4783">
        <v>-6.61739999999999E-2</v>
      </c>
      <c r="AE4783">
        <v>4.9999999999954499E-3</v>
      </c>
      <c r="AF4783">
        <v>7.9325872317449302E-3</v>
      </c>
      <c r="AG4783">
        <v>-6.61739999999999E-2</v>
      </c>
      <c r="AH4783">
        <v>9.2694646079056697E-2</v>
      </c>
      <c r="AI4783">
        <v>125.42395821352601</v>
      </c>
      <c r="AJ4783">
        <v>85.108680874942706</v>
      </c>
      <c r="AK4783">
        <v>0.114167515642194</v>
      </c>
      <c r="AL4783">
        <v>90.116274584253304</v>
      </c>
      <c r="AM4783">
        <v>86.577849310384906</v>
      </c>
      <c r="AN4783">
        <v>1.0000000302265599</v>
      </c>
    </row>
    <row r="4784" spans="1:40" x14ac:dyDescent="0.25">
      <c r="A4784" t="str">
        <f>"20190312154351323"</f>
        <v>20190312154351323</v>
      </c>
      <c r="B4784" t="str">
        <f>"1552376631312172"</f>
        <v>1552376631312172</v>
      </c>
      <c r="C4784" t="s">
        <v>40</v>
      </c>
      <c r="D4784">
        <v>5.1364239999999999</v>
      </c>
      <c r="E4784">
        <v>0.48100169999999998</v>
      </c>
      <c r="F4784" t="s">
        <v>41</v>
      </c>
      <c r="G4784">
        <v>-280.28070000000002</v>
      </c>
      <c r="H4784">
        <v>1.0389299999999999</v>
      </c>
      <c r="I4784">
        <v>140.57419999999999</v>
      </c>
      <c r="J4784">
        <v>-279.84089999999998</v>
      </c>
      <c r="K4784">
        <v>1.1121399999999999</v>
      </c>
      <c r="L4784">
        <v>140.58539999999999</v>
      </c>
      <c r="M4784">
        <v>-0.99885279999999999</v>
      </c>
      <c r="N4784">
        <v>0</v>
      </c>
      <c r="O4784">
        <v>-4.59298E-2</v>
      </c>
      <c r="P4784">
        <v>-0.99980930000000001</v>
      </c>
      <c r="Q4784">
        <v>-1.452172E-2</v>
      </c>
      <c r="R4784">
        <v>1.3065459999999999E-2</v>
      </c>
      <c r="S4784">
        <v>-2.9986269999999999</v>
      </c>
      <c r="T4784">
        <v>-0.24673999999999999</v>
      </c>
      <c r="U4784">
        <v>-0.11067200000000001</v>
      </c>
      <c r="V4784">
        <v>5.8981739999999998E-2</v>
      </c>
      <c r="W4784">
        <v>-6.4712549999999998E-4</v>
      </c>
      <c r="X4784">
        <v>0.9982588</v>
      </c>
      <c r="Y4784">
        <v>8.8744219999999999E-3</v>
      </c>
      <c r="Z4784">
        <v>4.1345740000000002E-3</v>
      </c>
      <c r="AA4784">
        <v>0.99995210000000001</v>
      </c>
      <c r="AB4784">
        <v>44</v>
      </c>
      <c r="AC4784">
        <v>-0.43980000000004699</v>
      </c>
      <c r="AD4784">
        <v>-7.3209999999999997E-2</v>
      </c>
      <c r="AE4784">
        <v>-1.12000000000023E-2</v>
      </c>
      <c r="AF4784">
        <v>8.7707260253782407E-3</v>
      </c>
      <c r="AG4784">
        <v>-7.3209999999999997E-2</v>
      </c>
      <c r="AH4784">
        <v>0.427998264196644</v>
      </c>
      <c r="AI4784">
        <v>99.704623864480297</v>
      </c>
      <c r="AJ4784">
        <v>88.826034353953105</v>
      </c>
      <c r="AK4784">
        <v>0.434303055354614</v>
      </c>
      <c r="AL4784">
        <v>90.0370775644774</v>
      </c>
      <c r="AM4784">
        <v>86.618631866759401</v>
      </c>
      <c r="AN4784">
        <v>0.99999994810113801</v>
      </c>
    </row>
    <row r="4785" spans="1:40" x14ac:dyDescent="0.25">
      <c r="A4785" t="str">
        <f>"20190312154351346"</f>
        <v>20190312154351346</v>
      </c>
      <c r="B4785" t="str">
        <f>"1552376631332669"</f>
        <v>1552376631332669</v>
      </c>
      <c r="C4785" t="s">
        <v>40</v>
      </c>
      <c r="D4785">
        <v>5.1203390000000004</v>
      </c>
      <c r="E4785">
        <v>0.48110530000000001</v>
      </c>
      <c r="F4785" t="s">
        <v>41</v>
      </c>
      <c r="G4785">
        <v>-280.68299999999999</v>
      </c>
      <c r="H4785">
        <v>1.04505</v>
      </c>
      <c r="I4785">
        <v>140.55240000000001</v>
      </c>
      <c r="J4785">
        <v>-280.2903</v>
      </c>
      <c r="K4785">
        <v>1.11205</v>
      </c>
      <c r="L4785">
        <v>140.56319999999999</v>
      </c>
      <c r="M4785">
        <v>-0.99876379999999998</v>
      </c>
      <c r="N4785">
        <v>0</v>
      </c>
      <c r="O4785">
        <v>-4.7751059999999998E-2</v>
      </c>
      <c r="P4785">
        <v>-0.99985329999999994</v>
      </c>
      <c r="Q4785">
        <v>-1.338458E-2</v>
      </c>
      <c r="R4785">
        <v>1.071107E-2</v>
      </c>
      <c r="S4785">
        <v>-2.9986570000000001</v>
      </c>
      <c r="T4785">
        <v>-0.2390718</v>
      </c>
      <c r="U4785">
        <v>-0.11888120000000001</v>
      </c>
      <c r="V4785">
        <v>5.8444349999999999E-2</v>
      </c>
      <c r="W4785">
        <v>7.3796919999999995E-4</v>
      </c>
      <c r="X4785">
        <v>0.99829040000000002</v>
      </c>
      <c r="Y4785">
        <v>7.9732369999999993E-3</v>
      </c>
      <c r="Z4785">
        <v>4.1150889999999997E-3</v>
      </c>
      <c r="AA4785">
        <v>0.99995979999999995</v>
      </c>
      <c r="AB4785">
        <v>44</v>
      </c>
      <c r="AC4785">
        <v>-0.39269999999999</v>
      </c>
      <c r="AD4785">
        <v>-6.6999999999999907E-2</v>
      </c>
      <c r="AE4785">
        <v>-1.0799999999989001E-2</v>
      </c>
      <c r="AF4785">
        <v>7.74079507055302E-3</v>
      </c>
      <c r="AG4785">
        <v>-6.6999999999999907E-2</v>
      </c>
      <c r="AH4785">
        <v>0.38166617235435601</v>
      </c>
      <c r="AI4785">
        <v>99.954594778469996</v>
      </c>
      <c r="AJ4785">
        <v>88.838110048678104</v>
      </c>
      <c r="AK4785">
        <v>0.38757965249474702</v>
      </c>
      <c r="AL4785">
        <v>89.957717475789707</v>
      </c>
      <c r="AM4785">
        <v>86.649475240845604</v>
      </c>
      <c r="AN4785">
        <v>1.00000000468881</v>
      </c>
    </row>
    <row r="4786" spans="1:40" x14ac:dyDescent="0.25">
      <c r="A4786" t="str">
        <f>"20190312154351372"</f>
        <v>20190312154351372</v>
      </c>
      <c r="B4786" t="str">
        <f>"1552376631361948"</f>
        <v>1552376631361948</v>
      </c>
      <c r="C4786" t="s">
        <v>40</v>
      </c>
      <c r="D4786">
        <v>5.0831269999999904</v>
      </c>
      <c r="E4786">
        <v>0.48131879999999999</v>
      </c>
      <c r="F4786" t="s">
        <v>69</v>
      </c>
      <c r="G4786">
        <v>-294.79739999999998</v>
      </c>
      <c r="H4786" s="1">
        <v>-8.5937670000000004E-6</v>
      </c>
      <c r="I4786">
        <v>139.9579</v>
      </c>
      <c r="J4786">
        <v>-280.72370000000001</v>
      </c>
      <c r="K4786">
        <v>1.1119570000000001</v>
      </c>
      <c r="L4786">
        <v>140.5412</v>
      </c>
      <c r="M4786">
        <v>-0.99868120000000005</v>
      </c>
      <c r="N4786">
        <v>0</v>
      </c>
      <c r="O4786">
        <v>-4.9382780000000001E-2</v>
      </c>
      <c r="P4786">
        <v>-0.99987079999999995</v>
      </c>
      <c r="Q4786">
        <v>-1.3401369999999999E-2</v>
      </c>
      <c r="R4786">
        <v>8.8784129999999999E-3</v>
      </c>
      <c r="S4786">
        <v>-2.9987490000000001</v>
      </c>
      <c r="T4786">
        <v>-0.2298722</v>
      </c>
      <c r="U4786">
        <v>-0.12512210000000001</v>
      </c>
      <c r="V4786">
        <v>5.8244909999999997E-2</v>
      </c>
      <c r="W4786">
        <v>9.2488900000000003E-4</v>
      </c>
      <c r="X4786">
        <v>0.99830189999999996</v>
      </c>
      <c r="Y4786">
        <v>7.5405559999999899E-3</v>
      </c>
      <c r="Z4786">
        <v>4.0650209999999899E-3</v>
      </c>
      <c r="AA4786">
        <v>0.9999633</v>
      </c>
      <c r="AB4786">
        <v>44</v>
      </c>
      <c r="AC4786">
        <v>-14.073699999999899</v>
      </c>
      <c r="AD4786">
        <v>-1.1119655937670001</v>
      </c>
      <c r="AE4786">
        <v>-0.58330000000000803</v>
      </c>
      <c r="AF4786">
        <v>0.11178216230299499</v>
      </c>
      <c r="AG4786">
        <v>-1.1119655937670001</v>
      </c>
      <c r="AH4786">
        <v>13.998098671180999</v>
      </c>
      <c r="AI4786">
        <v>94.541717664880494</v>
      </c>
      <c r="AJ4786">
        <v>89.542472864207298</v>
      </c>
      <c r="AK4786">
        <v>14.0426396785523</v>
      </c>
      <c r="AL4786">
        <v>89.947007756452095</v>
      </c>
      <c r="AM4786">
        <v>86.660921292446304</v>
      </c>
      <c r="AN4786">
        <v>1.00000000425209</v>
      </c>
    </row>
    <row r="4787" spans="1:40" x14ac:dyDescent="0.25">
      <c r="A4787" t="str">
        <f>"20190312154351390"</f>
        <v>20190312154351390</v>
      </c>
      <c r="B4787" t="str">
        <f>"1552376631382443"</f>
        <v>1552376631382443</v>
      </c>
      <c r="C4787" t="s">
        <v>40</v>
      </c>
      <c r="D4787">
        <v>5.0593570000000003</v>
      </c>
      <c r="E4787">
        <v>0.48106189999999999</v>
      </c>
      <c r="F4787" t="s">
        <v>41</v>
      </c>
      <c r="G4787">
        <v>-281.82749999999999</v>
      </c>
      <c r="H4787">
        <v>1.0291360000000001</v>
      </c>
      <c r="I4787">
        <v>140.4939</v>
      </c>
      <c r="J4787">
        <v>-281.13479999999998</v>
      </c>
      <c r="K4787">
        <v>1.1118650000000001</v>
      </c>
      <c r="L4787">
        <v>140.5197</v>
      </c>
      <c r="M4787">
        <v>-0.99860729999999998</v>
      </c>
      <c r="N4787">
        <v>0</v>
      </c>
      <c r="O4787">
        <v>-5.080581E-2</v>
      </c>
      <c r="P4787">
        <v>-0.99989910000000004</v>
      </c>
      <c r="Q4787">
        <v>-1.241569E-2</v>
      </c>
      <c r="R4787">
        <v>6.9146240000000003E-3</v>
      </c>
      <c r="S4787">
        <v>-2.9985050000000002</v>
      </c>
      <c r="T4787">
        <v>-0.2250501</v>
      </c>
      <c r="U4787">
        <v>-0.1288147</v>
      </c>
      <c r="V4787">
        <v>5.770198E-2</v>
      </c>
      <c r="W4787">
        <v>2.0716810000000001E-3</v>
      </c>
      <c r="X4787">
        <v>0.99833170000000004</v>
      </c>
      <c r="Y4787">
        <v>7.7353269999999898E-3</v>
      </c>
      <c r="Z4787">
        <v>4.0939430000000001E-3</v>
      </c>
      <c r="AA4787">
        <v>0.99996169999999995</v>
      </c>
      <c r="AB4787">
        <v>44</v>
      </c>
      <c r="AC4787">
        <v>-0.69270000000000198</v>
      </c>
      <c r="AD4787">
        <v>-8.2728999999999803E-2</v>
      </c>
      <c r="AE4787">
        <v>-2.5800000000003799E-2</v>
      </c>
      <c r="AF4787">
        <v>9.2976369717579499E-3</v>
      </c>
      <c r="AG4787">
        <v>-8.2728999999999803E-2</v>
      </c>
      <c r="AH4787">
        <v>0.68338225590109403</v>
      </c>
      <c r="AI4787">
        <v>96.901900891229801</v>
      </c>
      <c r="AJ4787">
        <v>89.220520451650799</v>
      </c>
      <c r="AK4787">
        <v>0.68843434049640995</v>
      </c>
      <c r="AL4787">
        <v>89.8813013369152</v>
      </c>
      <c r="AM4787">
        <v>86.692075596076805</v>
      </c>
      <c r="AN4787">
        <v>0.99999999679148799</v>
      </c>
    </row>
    <row r="4788" spans="1:40" x14ac:dyDescent="0.25">
      <c r="A4788" t="str">
        <f>"20190312154351412"</f>
        <v>20190312154351412</v>
      </c>
      <c r="B4788" t="str">
        <f>"1552376631401965"</f>
        <v>1552376631401965</v>
      </c>
      <c r="C4788" t="s">
        <v>40</v>
      </c>
      <c r="D4788">
        <v>5.0588509999999998</v>
      </c>
      <c r="E4788">
        <v>0.46966780000000002</v>
      </c>
      <c r="F4788" t="s">
        <v>41</v>
      </c>
      <c r="G4788">
        <v>-282.2165</v>
      </c>
      <c r="H4788">
        <v>1.03289599999999</v>
      </c>
      <c r="I4788">
        <v>140.47069999999999</v>
      </c>
      <c r="J4788">
        <v>-281.57479999999998</v>
      </c>
      <c r="K4788">
        <v>1.1117600000000001</v>
      </c>
      <c r="L4788">
        <v>140.49600000000001</v>
      </c>
      <c r="M4788">
        <v>-0.99853210000000003</v>
      </c>
      <c r="N4788">
        <v>0</v>
      </c>
      <c r="O4788">
        <v>-5.2219219999999997E-2</v>
      </c>
      <c r="P4788">
        <v>-0.99991509999999995</v>
      </c>
      <c r="Q4788">
        <v>-1.2074990000000001E-2</v>
      </c>
      <c r="R4788">
        <v>4.8923359999999997E-3</v>
      </c>
      <c r="S4788">
        <v>-2.9985050000000002</v>
      </c>
      <c r="T4788">
        <v>-0.21899379999999999</v>
      </c>
      <c r="U4788">
        <v>-0.13673399999999999</v>
      </c>
      <c r="V4788">
        <v>5.7094430000000002E-2</v>
      </c>
      <c r="W4788">
        <v>2.5575770000000001E-3</v>
      </c>
      <c r="X4788">
        <v>0.99836550000000002</v>
      </c>
      <c r="Y4788">
        <v>6.5232210000000001E-3</v>
      </c>
      <c r="Z4788">
        <v>4.0424859999999996E-3</v>
      </c>
      <c r="AA4788">
        <v>0.99997060000000004</v>
      </c>
      <c r="AB4788">
        <v>43</v>
      </c>
      <c r="AC4788">
        <v>-0.64170000000001404</v>
      </c>
      <c r="AD4788">
        <v>-7.8864000000000198E-2</v>
      </c>
      <c r="AE4788">
        <v>-2.5300000000015602E-2</v>
      </c>
      <c r="AF4788">
        <v>8.1245410783679708E-3</v>
      </c>
      <c r="AG4788">
        <v>-7.8864000000000198E-2</v>
      </c>
      <c r="AH4788">
        <v>0.63260551741930204</v>
      </c>
      <c r="AI4788">
        <v>97.105557584727606</v>
      </c>
      <c r="AJ4788">
        <v>89.264191806183803</v>
      </c>
      <c r="AK4788">
        <v>0.63755413835460095</v>
      </c>
      <c r="AL4788">
        <v>89.853461471391199</v>
      </c>
      <c r="AM4788">
        <v>86.726939510149705</v>
      </c>
      <c r="AN4788">
        <v>0.99999999336369205</v>
      </c>
    </row>
    <row r="4789" spans="1:40" x14ac:dyDescent="0.25">
      <c r="A4789" t="str">
        <f>"20190312154351435"</f>
        <v>20190312154351435</v>
      </c>
      <c r="B4789" t="str">
        <f>"1552376631422461"</f>
        <v>1552376631422461</v>
      </c>
      <c r="C4789" t="s">
        <v>40</v>
      </c>
      <c r="D4789">
        <v>5.0675569999999999</v>
      </c>
      <c r="E4789">
        <v>0.4694411</v>
      </c>
      <c r="F4789" t="s">
        <v>43</v>
      </c>
      <c r="G4789">
        <v>-322.98790000000002</v>
      </c>
      <c r="H4789" s="1">
        <v>-3.395035E-6</v>
      </c>
      <c r="I4789">
        <v>137.3356</v>
      </c>
      <c r="J4789">
        <v>-282.00380000000001</v>
      </c>
      <c r="K4789">
        <v>1.1116509999999999</v>
      </c>
      <c r="L4789">
        <v>140.4725</v>
      </c>
      <c r="M4789">
        <v>-0.99846270000000004</v>
      </c>
      <c r="N4789">
        <v>0</v>
      </c>
      <c r="O4789">
        <v>-5.3489639999999998E-2</v>
      </c>
      <c r="P4789">
        <v>-0.99992669999999995</v>
      </c>
      <c r="Q4789">
        <v>-1.1799540000000001E-2</v>
      </c>
      <c r="R4789">
        <v>2.6610850000000001E-3</v>
      </c>
      <c r="S4789">
        <v>-3.000397</v>
      </c>
      <c r="T4789">
        <v>-8.0547809999999997E-2</v>
      </c>
      <c r="U4789">
        <v>-0.22897339999999999</v>
      </c>
      <c r="V4789">
        <v>5.6136209999999999E-2</v>
      </c>
      <c r="W4789">
        <v>2.9519199999999998E-3</v>
      </c>
      <c r="X4789">
        <v>0.99841869999999999</v>
      </c>
      <c r="Y4789">
        <v>-2.265499E-2</v>
      </c>
      <c r="Z4789">
        <v>1.128935E-3</v>
      </c>
      <c r="AA4789">
        <v>0.99974269999999998</v>
      </c>
      <c r="AB4789">
        <v>43</v>
      </c>
      <c r="AC4789">
        <v>-40.984099999999998</v>
      </c>
      <c r="AD4789">
        <v>-1.111654395035</v>
      </c>
      <c r="AE4789">
        <v>-3.13689999999999</v>
      </c>
      <c r="AF4789">
        <v>-0.93926509837790895</v>
      </c>
      <c r="AG4789">
        <v>-1.111654395035</v>
      </c>
      <c r="AH4789">
        <v>41.063189519443497</v>
      </c>
      <c r="AI4789">
        <v>91.550315728879298</v>
      </c>
      <c r="AJ4789">
        <v>91.310335217201697</v>
      </c>
      <c r="AK4789">
        <v>41.0889708794071</v>
      </c>
      <c r="AL4789">
        <v>89.830867187470204</v>
      </c>
      <c r="AM4789">
        <v>86.781926197580503</v>
      </c>
      <c r="AN4789">
        <v>0.99999994420726801</v>
      </c>
    </row>
    <row r="4790" spans="1:40" x14ac:dyDescent="0.25">
      <c r="A4790" t="str">
        <f>"20190312154351455"</f>
        <v>20190312154351455</v>
      </c>
      <c r="B4790" t="str">
        <f>"1552376631441981"</f>
        <v>1552376631441981</v>
      </c>
      <c r="C4790" t="s">
        <v>40</v>
      </c>
      <c r="D4790">
        <v>5.0510769999999896</v>
      </c>
      <c r="E4790">
        <v>0.46991579999999999</v>
      </c>
      <c r="F4790" t="s">
        <v>43</v>
      </c>
      <c r="G4790">
        <v>-324.3458</v>
      </c>
      <c r="H4790" s="1">
        <v>-2.8504759999999998E-6</v>
      </c>
      <c r="I4790">
        <v>137.1215</v>
      </c>
      <c r="J4790">
        <v>-282.40820000000002</v>
      </c>
      <c r="K4790">
        <v>1.1115469999999901</v>
      </c>
      <c r="L4790">
        <v>140.44990000000001</v>
      </c>
      <c r="M4790">
        <v>-0.99840209999999996</v>
      </c>
      <c r="N4790">
        <v>0</v>
      </c>
      <c r="O4790">
        <v>-5.4581209999999998E-2</v>
      </c>
      <c r="P4790">
        <v>-0.99993480000000001</v>
      </c>
      <c r="Q4790">
        <v>-1.139591E-2</v>
      </c>
      <c r="R4790">
        <v>8.2635520000000004E-4</v>
      </c>
      <c r="S4790">
        <v>-2.999908</v>
      </c>
      <c r="T4790">
        <v>-7.8760150000000001E-2</v>
      </c>
      <c r="U4790">
        <v>-0.2374115</v>
      </c>
      <c r="V4790">
        <v>5.5394930000000002E-2</v>
      </c>
      <c r="W4790">
        <v>3.4497360000000001E-3</v>
      </c>
      <c r="X4790">
        <v>0.99845859999999997</v>
      </c>
      <c r="Y4790">
        <v>-2.4368689999999998E-2</v>
      </c>
      <c r="Z4790">
        <v>1.1100159999999999E-3</v>
      </c>
      <c r="AA4790">
        <v>0.99970239999999999</v>
      </c>
      <c r="AB4790">
        <v>43</v>
      </c>
      <c r="AC4790">
        <v>-41.937599999999897</v>
      </c>
      <c r="AD4790">
        <v>-1.11154985047599</v>
      </c>
      <c r="AE4790">
        <v>-3.32840000000001</v>
      </c>
      <c r="AF4790">
        <v>-1.0334658599244799</v>
      </c>
      <c r="AG4790">
        <v>-1.11154985047599</v>
      </c>
      <c r="AH4790">
        <v>42.027419474956403</v>
      </c>
      <c r="AI4790">
        <v>91.514559762720097</v>
      </c>
      <c r="AJ4790">
        <v>91.408635173416698</v>
      </c>
      <c r="AK4790">
        <v>42.054816400475097</v>
      </c>
      <c r="AL4790">
        <v>89.802344302123302</v>
      </c>
      <c r="AM4790">
        <v>86.824460027878104</v>
      </c>
      <c r="AN4790">
        <v>1.00000003743106</v>
      </c>
    </row>
    <row r="4791" spans="1:40" x14ac:dyDescent="0.25">
      <c r="A4791" t="str">
        <f>"20190312154351478"</f>
        <v>20190312154351478</v>
      </c>
      <c r="B4791" t="str">
        <f>"1552376631472236"</f>
        <v>1552376631472236</v>
      </c>
      <c r="C4791" t="s">
        <v>40</v>
      </c>
      <c r="D4791">
        <v>5.0086490000000001</v>
      </c>
      <c r="E4791">
        <v>0.4706689</v>
      </c>
      <c r="F4791" t="s">
        <v>43</v>
      </c>
      <c r="G4791">
        <v>-323.88729999999998</v>
      </c>
      <c r="H4791" s="1">
        <v>-3.0433090000000002E-6</v>
      </c>
      <c r="I4791">
        <v>137.14330000000001</v>
      </c>
      <c r="J4791">
        <v>-282.8492</v>
      </c>
      <c r="K4791">
        <v>1.111421</v>
      </c>
      <c r="L4791">
        <v>140.42490000000001</v>
      </c>
      <c r="M4791">
        <v>-0.99834199999999995</v>
      </c>
      <c r="N4791">
        <v>0</v>
      </c>
      <c r="O4791">
        <v>-5.563949E-2</v>
      </c>
      <c r="P4791">
        <v>-0.99994490000000003</v>
      </c>
      <c r="Q4791">
        <v>-1.0417640000000001E-2</v>
      </c>
      <c r="R4791">
        <v>-1.1166189999999999E-3</v>
      </c>
      <c r="S4791">
        <v>-2.9994809999999998</v>
      </c>
      <c r="T4791">
        <v>-8.0379720000000002E-2</v>
      </c>
      <c r="U4791">
        <v>-0.23910519999999999</v>
      </c>
      <c r="V4791">
        <v>5.451077E-2</v>
      </c>
      <c r="W4791">
        <v>4.5125959999999998E-3</v>
      </c>
      <c r="X4791">
        <v>0.99850300000000003</v>
      </c>
      <c r="Y4791">
        <v>-2.388206E-2</v>
      </c>
      <c r="Z4791">
        <v>1.1677250000000001E-3</v>
      </c>
      <c r="AA4791">
        <v>0.99971410000000005</v>
      </c>
      <c r="AB4791">
        <v>43</v>
      </c>
      <c r="AC4791">
        <v>-41.038099999999901</v>
      </c>
      <c r="AD4791">
        <v>-1.1114240433089999</v>
      </c>
      <c r="AE4791">
        <v>-3.2815999999999899</v>
      </c>
      <c r="AF4791">
        <v>-0.99220500533126799</v>
      </c>
      <c r="AG4791">
        <v>-1.1114240433089999</v>
      </c>
      <c r="AH4791">
        <v>41.127147370077701</v>
      </c>
      <c r="AI4791">
        <v>91.547539902917904</v>
      </c>
      <c r="AJ4791">
        <v>91.382010117144205</v>
      </c>
      <c r="AK4791">
        <v>41.1541247626133</v>
      </c>
      <c r="AL4791">
        <v>89.741446420731407</v>
      </c>
      <c r="AM4791">
        <v>86.8751823222984</v>
      </c>
      <c r="AN4791">
        <v>1.0000000142888199</v>
      </c>
    </row>
    <row r="4792" spans="1:40" x14ac:dyDescent="0.25">
      <c r="A4792" t="str">
        <f>"20190312154351501"</f>
        <v>20190312154351501</v>
      </c>
      <c r="B4792" t="str">
        <f>"1552376631492731"</f>
        <v>1552376631492731</v>
      </c>
      <c r="C4792" t="s">
        <v>40</v>
      </c>
      <c r="D4792">
        <v>4.9944550000000003</v>
      </c>
      <c r="E4792">
        <v>0.47109820000000002</v>
      </c>
      <c r="F4792" t="s">
        <v>43</v>
      </c>
      <c r="G4792">
        <v>-323.71949999999998</v>
      </c>
      <c r="H4792" s="1">
        <v>-3.1111120000000001E-6</v>
      </c>
      <c r="I4792">
        <v>137.1669</v>
      </c>
      <c r="J4792">
        <v>-283.28890000000001</v>
      </c>
      <c r="K4792">
        <v>1.1112869999999999</v>
      </c>
      <c r="L4792">
        <v>140.39949999999999</v>
      </c>
      <c r="M4792">
        <v>-0.9982896</v>
      </c>
      <c r="N4792">
        <v>0</v>
      </c>
      <c r="O4792">
        <v>-5.6552230000000002E-2</v>
      </c>
      <c r="P4792">
        <v>-0.99994139999999998</v>
      </c>
      <c r="Q4792">
        <v>-1.061985E-2</v>
      </c>
      <c r="R4792">
        <v>-2.2350709999999999E-3</v>
      </c>
      <c r="S4792">
        <v>-2.9990230000000002</v>
      </c>
      <c r="T4792">
        <v>-8.1555249999999996E-2</v>
      </c>
      <c r="U4792">
        <v>-0.23905940000000001</v>
      </c>
      <c r="V4792">
        <v>5.4309120000000002E-2</v>
      </c>
      <c r="W4792">
        <v>4.3800380000000002E-3</v>
      </c>
      <c r="X4792">
        <v>0.99851460000000003</v>
      </c>
      <c r="Y4792">
        <v>-2.2965889999999999E-2</v>
      </c>
      <c r="Z4792">
        <v>1.222136E-3</v>
      </c>
      <c r="AA4792">
        <v>0.9997355</v>
      </c>
      <c r="AB4792">
        <v>43</v>
      </c>
      <c r="AC4792">
        <v>-40.430599999999899</v>
      </c>
      <c r="AD4792">
        <v>-1.1112901111119999</v>
      </c>
      <c r="AE4792">
        <v>-3.2325999999999899</v>
      </c>
      <c r="AF4792">
        <v>-0.94002804522924399</v>
      </c>
      <c r="AG4792">
        <v>-1.1112901111119999</v>
      </c>
      <c r="AH4792">
        <v>40.518296033534902</v>
      </c>
      <c r="AI4792">
        <v>91.570627724738202</v>
      </c>
      <c r="AJ4792">
        <v>91.329028730119305</v>
      </c>
      <c r="AK4792">
        <v>40.5444315769507</v>
      </c>
      <c r="AL4792">
        <v>89.749041515052099</v>
      </c>
      <c r="AM4792">
        <v>86.886755178249103</v>
      </c>
      <c r="AN4792">
        <v>1.0000000358306</v>
      </c>
    </row>
    <row r="4793" spans="1:40" x14ac:dyDescent="0.25">
      <c r="A4793" t="str">
        <f>"20190312154351524"</f>
        <v>20190312154351524</v>
      </c>
      <c r="B4793" t="str">
        <f>"1552376631512251"</f>
        <v>1552376631512251</v>
      </c>
      <c r="C4793" t="s">
        <v>40</v>
      </c>
      <c r="D4793">
        <v>4.9566610000000004</v>
      </c>
      <c r="E4793">
        <v>0.47148980000000001</v>
      </c>
      <c r="F4793" t="s">
        <v>43</v>
      </c>
      <c r="G4793">
        <v>-323.14929999999998</v>
      </c>
      <c r="H4793" s="1">
        <v>-3.3459130000000002E-6</v>
      </c>
      <c r="I4793">
        <v>137.22219999999999</v>
      </c>
      <c r="J4793">
        <v>-283.71539999999999</v>
      </c>
      <c r="K4793">
        <v>1.1111439999999999</v>
      </c>
      <c r="L4793">
        <v>140.37469999999999</v>
      </c>
      <c r="M4793">
        <v>-0.99824610000000003</v>
      </c>
      <c r="N4793">
        <v>0</v>
      </c>
      <c r="O4793">
        <v>-5.7291290000000002E-2</v>
      </c>
      <c r="P4793">
        <v>-0.99994139999999998</v>
      </c>
      <c r="Q4793">
        <v>-1.024717E-2</v>
      </c>
      <c r="R4793">
        <v>-3.5265819999999999E-3</v>
      </c>
      <c r="S4793">
        <v>-2.9987789999999999</v>
      </c>
      <c r="T4793">
        <v>-8.3604689999999995E-2</v>
      </c>
      <c r="U4793">
        <v>-0.23902889999999999</v>
      </c>
      <c r="V4793">
        <v>5.3759469999999997E-2</v>
      </c>
      <c r="W4793">
        <v>4.8048939999999997E-3</v>
      </c>
      <c r="X4793">
        <v>0.99854240000000005</v>
      </c>
      <c r="Y4793">
        <v>-2.2223199999999999E-2</v>
      </c>
      <c r="Z4793">
        <v>1.2837969999999999E-3</v>
      </c>
      <c r="AA4793">
        <v>0.99975219999999998</v>
      </c>
      <c r="AB4793">
        <v>43</v>
      </c>
      <c r="AC4793">
        <v>-39.433900000000001</v>
      </c>
      <c r="AD4793">
        <v>-1.1111473459129999</v>
      </c>
      <c r="AE4793">
        <v>-3.1524999999999999</v>
      </c>
      <c r="AF4793">
        <v>-0.88715068060854296</v>
      </c>
      <c r="AG4793">
        <v>-1.1111473459129999</v>
      </c>
      <c r="AH4793">
        <v>39.5185691967041</v>
      </c>
      <c r="AI4793">
        <v>91.610161055779201</v>
      </c>
      <c r="AJ4793">
        <v>91.286014517160993</v>
      </c>
      <c r="AK4793">
        <v>39.544139845356703</v>
      </c>
      <c r="AL4793">
        <v>89.724698806165904</v>
      </c>
      <c r="AM4793">
        <v>86.9182881945963</v>
      </c>
      <c r="AN4793">
        <v>1.0000000461093901</v>
      </c>
    </row>
    <row r="4794" spans="1:40" x14ac:dyDescent="0.25">
      <c r="A4794" t="str">
        <f>"20190312154351547"</f>
        <v>20190312154351547</v>
      </c>
      <c r="B4794" t="str">
        <f>"1552376631542508"</f>
        <v>1552376631542508</v>
      </c>
      <c r="C4794" t="s">
        <v>40</v>
      </c>
      <c r="D4794">
        <v>4.959028</v>
      </c>
      <c r="E4794">
        <v>0.47199989999999997</v>
      </c>
      <c r="F4794" t="s">
        <v>43</v>
      </c>
      <c r="G4794">
        <v>-323.69929999999999</v>
      </c>
      <c r="H4794" s="1">
        <v>-3.118069E-6</v>
      </c>
      <c r="I4794">
        <v>137.17660000000001</v>
      </c>
      <c r="J4794">
        <v>-284.15649999999999</v>
      </c>
      <c r="K4794">
        <v>1.1109819999999999</v>
      </c>
      <c r="L4794">
        <v>140.34880000000001</v>
      </c>
      <c r="M4794">
        <v>-0.99821029999999999</v>
      </c>
      <c r="N4794">
        <v>0</v>
      </c>
      <c r="O4794">
        <v>-5.789673E-2</v>
      </c>
      <c r="P4794">
        <v>-0.9999422</v>
      </c>
      <c r="Q4794">
        <v>-9.5680780000000007E-3</v>
      </c>
      <c r="R4794">
        <v>-4.9130019999999996E-3</v>
      </c>
      <c r="S4794">
        <v>-2.9984440000000001</v>
      </c>
      <c r="T4794">
        <v>-8.3326579999999997E-2</v>
      </c>
      <c r="U4794">
        <v>-0.23982239999999999</v>
      </c>
      <c r="V4794">
        <v>5.2980920000000001E-2</v>
      </c>
      <c r="W4794">
        <v>5.5258629999999998E-3</v>
      </c>
      <c r="X4794">
        <v>0.99858020000000003</v>
      </c>
      <c r="Y4794">
        <v>-2.18888E-2</v>
      </c>
      <c r="Z4794">
        <v>1.3010509999999999E-3</v>
      </c>
      <c r="AA4794">
        <v>0.99975959999999997</v>
      </c>
      <c r="AB4794">
        <v>43</v>
      </c>
      <c r="AC4794">
        <v>-39.5428</v>
      </c>
      <c r="AD4794">
        <v>-1.110985118069</v>
      </c>
      <c r="AE4794">
        <v>-3.1722000000000001</v>
      </c>
      <c r="AF4794">
        <v>-0.87653473816261296</v>
      </c>
      <c r="AG4794">
        <v>-1.110985118069</v>
      </c>
      <c r="AH4794">
        <v>39.629053696493202</v>
      </c>
      <c r="AI4794">
        <v>91.605451837301999</v>
      </c>
      <c r="AJ4794">
        <v>91.267089391758503</v>
      </c>
      <c r="AK4794">
        <v>39.65431247619</v>
      </c>
      <c r="AL4794">
        <v>89.683389749368601</v>
      </c>
      <c r="AM4794">
        <v>86.962948436306903</v>
      </c>
      <c r="AN4794">
        <v>0.99999996443898997</v>
      </c>
    </row>
    <row r="4795" spans="1:40" x14ac:dyDescent="0.25">
      <c r="A4795" t="str">
        <f>"20190312154351568"</f>
        <v>20190312154351568</v>
      </c>
      <c r="B4795" t="str">
        <f>"1552376631562028"</f>
        <v>1552376631562028</v>
      </c>
      <c r="C4795" t="s">
        <v>40</v>
      </c>
      <c r="D4795">
        <v>4.9166689999999997</v>
      </c>
      <c r="E4795">
        <v>0.47234490000000001</v>
      </c>
      <c r="F4795" t="s">
        <v>43</v>
      </c>
      <c r="G4795">
        <v>-325.17489999999998</v>
      </c>
      <c r="H4795" s="1">
        <v>-2.5042270000000002E-6</v>
      </c>
      <c r="I4795">
        <v>137.06829999999999</v>
      </c>
      <c r="J4795">
        <v>-284.58519999999999</v>
      </c>
      <c r="K4795">
        <v>1.1108279999999999</v>
      </c>
      <c r="L4795">
        <v>140.3235</v>
      </c>
      <c r="M4795">
        <v>-0.99818470000000004</v>
      </c>
      <c r="N4795">
        <v>0</v>
      </c>
      <c r="O4795">
        <v>-5.8322850000000002E-2</v>
      </c>
      <c r="P4795">
        <v>-0.99994340000000004</v>
      </c>
      <c r="Q4795">
        <v>-8.5221259999999997E-3</v>
      </c>
      <c r="R4795">
        <v>-6.3754700000000003E-3</v>
      </c>
      <c r="S4795">
        <v>-2.99823</v>
      </c>
      <c r="T4795">
        <v>-8.1207280000000007E-2</v>
      </c>
      <c r="U4795">
        <v>-0.23977660000000001</v>
      </c>
      <c r="V4795">
        <v>5.1947180000000003E-2</v>
      </c>
      <c r="W4795">
        <v>6.6020640000000004E-3</v>
      </c>
      <c r="X4795">
        <v>0.99862799999999996</v>
      </c>
      <c r="Y4795">
        <v>-2.1452079999999998E-2</v>
      </c>
      <c r="Z4795">
        <v>1.2854629999999999E-3</v>
      </c>
      <c r="AA4795">
        <v>0.99976900000000002</v>
      </c>
      <c r="AB4795">
        <v>43</v>
      </c>
      <c r="AC4795">
        <v>-40.589699999999901</v>
      </c>
      <c r="AD4795">
        <v>-1.1108305042269999</v>
      </c>
      <c r="AE4795">
        <v>-3.2551999999999999</v>
      </c>
      <c r="AF4795">
        <v>-0.88142747836346502</v>
      </c>
      <c r="AG4795">
        <v>-1.1108305042269999</v>
      </c>
      <c r="AH4795">
        <v>40.6801920106304</v>
      </c>
      <c r="AI4795">
        <v>91.563787216100394</v>
      </c>
      <c r="AJ4795">
        <v>91.241247180242297</v>
      </c>
      <c r="AK4795">
        <v>40.704899960944402</v>
      </c>
      <c r="AL4795">
        <v>89.621726844764893</v>
      </c>
      <c r="AM4795">
        <v>87.022240593794905</v>
      </c>
      <c r="AN4795">
        <v>0.99999998957150604</v>
      </c>
    </row>
    <row r="4796" spans="1:40" x14ac:dyDescent="0.25">
      <c r="A4796" t="str">
        <f>"20190312154351591"</f>
        <v>20190312154351591</v>
      </c>
      <c r="B4796" t="str">
        <f>"1552376631582532"</f>
        <v>1552376631582532</v>
      </c>
      <c r="C4796" t="s">
        <v>40</v>
      </c>
      <c r="D4796">
        <v>4.9218409999999997</v>
      </c>
      <c r="E4796">
        <v>0.47269129999999998</v>
      </c>
      <c r="F4796" t="s">
        <v>43</v>
      </c>
      <c r="G4796">
        <v>-327.1112</v>
      </c>
      <c r="H4796" s="1">
        <v>-1.7039530000000001E-6</v>
      </c>
      <c r="I4796">
        <v>136.89689999999999</v>
      </c>
      <c r="J4796">
        <v>-285.01100000000002</v>
      </c>
      <c r="K4796">
        <v>1.1106860000000001</v>
      </c>
      <c r="L4796">
        <v>140.29839999999999</v>
      </c>
      <c r="M4796">
        <v>-0.99816729999999998</v>
      </c>
      <c r="N4796">
        <v>0</v>
      </c>
      <c r="O4796">
        <v>-5.8607119999999999E-2</v>
      </c>
      <c r="P4796">
        <v>-0.99994269999999996</v>
      </c>
      <c r="Q4796">
        <v>-7.7601939999999998E-3</v>
      </c>
      <c r="R4796">
        <v>-7.3966759999999996E-3</v>
      </c>
      <c r="S4796">
        <v>-2.997986</v>
      </c>
      <c r="T4796">
        <v>-7.8310969999999994E-2</v>
      </c>
      <c r="U4796">
        <v>-0.2415619</v>
      </c>
      <c r="V4796">
        <v>5.1213509999999997E-2</v>
      </c>
      <c r="W4796">
        <v>7.3883489999999998E-3</v>
      </c>
      <c r="X4796">
        <v>0.9986604</v>
      </c>
      <c r="Y4796">
        <v>-2.176438E-2</v>
      </c>
      <c r="Z4796">
        <v>1.243021E-3</v>
      </c>
      <c r="AA4796">
        <v>0.99976240000000005</v>
      </c>
      <c r="AB4796">
        <v>43</v>
      </c>
      <c r="AC4796">
        <v>-42.100200000000001</v>
      </c>
      <c r="AD4796">
        <v>-1.1106877039530001</v>
      </c>
      <c r="AE4796">
        <v>-3.4014999999999902</v>
      </c>
      <c r="AF4796">
        <v>-0.92735878091609503</v>
      </c>
      <c r="AG4796">
        <v>-1.1106877039530001</v>
      </c>
      <c r="AH4796">
        <v>42.198013583794001</v>
      </c>
      <c r="AI4796">
        <v>91.507361878977804</v>
      </c>
      <c r="AJ4796">
        <v>91.258950087330703</v>
      </c>
      <c r="AK4796">
        <v>42.2228134058156</v>
      </c>
      <c r="AL4796">
        <v>89.576674934515495</v>
      </c>
      <c r="AM4796">
        <v>87.06431761812</v>
      </c>
      <c r="AN4796">
        <v>1.00000000291781</v>
      </c>
    </row>
    <row r="4797" spans="1:40" x14ac:dyDescent="0.25">
      <c r="A4797" t="str">
        <f>"20190312154351611"</f>
        <v>20190312154351611</v>
      </c>
      <c r="B4797" t="str">
        <f>"1552376631602044"</f>
        <v>1552376631602044</v>
      </c>
      <c r="C4797" t="s">
        <v>40</v>
      </c>
      <c r="D4797">
        <v>4.9215799999999996</v>
      </c>
      <c r="E4797">
        <v>0.47291840000000002</v>
      </c>
      <c r="F4797" t="s">
        <v>43</v>
      </c>
      <c r="G4797">
        <v>-328.59410000000003</v>
      </c>
      <c r="H4797" s="1">
        <v>-1.2186230000000001E-6</v>
      </c>
      <c r="I4797">
        <v>136.78210000000001</v>
      </c>
      <c r="J4797">
        <v>-285.41829999999999</v>
      </c>
      <c r="K4797">
        <v>1.110571</v>
      </c>
      <c r="L4797">
        <v>140.27420000000001</v>
      </c>
      <c r="M4797">
        <v>-0.99815620000000005</v>
      </c>
      <c r="N4797">
        <v>0</v>
      </c>
      <c r="O4797">
        <v>-5.87851E-2</v>
      </c>
      <c r="P4797">
        <v>-0.99994209999999994</v>
      </c>
      <c r="Q4797">
        <v>-7.1489479999999996E-3</v>
      </c>
      <c r="R4797">
        <v>-8.03045199999999E-3</v>
      </c>
      <c r="S4797">
        <v>-2.9977719999999999</v>
      </c>
      <c r="T4797">
        <v>-7.6396469999999994E-2</v>
      </c>
      <c r="U4797">
        <v>-0.24185180000000001</v>
      </c>
      <c r="V4797">
        <v>5.0760149999999997E-2</v>
      </c>
      <c r="W4797">
        <v>8.0187109999999995E-3</v>
      </c>
      <c r="X4797">
        <v>0.99867870000000003</v>
      </c>
      <c r="Y4797">
        <v>-2.1687330000000001E-2</v>
      </c>
      <c r="Z4797">
        <v>1.2182199999999999E-3</v>
      </c>
      <c r="AA4797">
        <v>0.99976410000000004</v>
      </c>
      <c r="AB4797">
        <v>43</v>
      </c>
      <c r="AC4797">
        <v>-43.175800000000002</v>
      </c>
      <c r="AD4797">
        <v>-1.110572218623</v>
      </c>
      <c r="AE4797">
        <v>-3.49209999999999</v>
      </c>
      <c r="AF4797">
        <v>-0.94705330638554697</v>
      </c>
      <c r="AG4797">
        <v>-1.110572218623</v>
      </c>
      <c r="AH4797">
        <v>43.277976464138</v>
      </c>
      <c r="AI4797">
        <v>91.469613983861194</v>
      </c>
      <c r="AJ4797">
        <v>91.253605249067107</v>
      </c>
      <c r="AK4797">
        <v>43.302581071437302</v>
      </c>
      <c r="AL4797">
        <v>89.540556787615003</v>
      </c>
      <c r="AM4797">
        <v>87.090313679425506</v>
      </c>
      <c r="AN4797">
        <v>1.0000000191939</v>
      </c>
    </row>
    <row r="4798" spans="1:40" x14ac:dyDescent="0.25">
      <c r="A4798" t="str">
        <f>"20190312154351634"</f>
        <v>20190312154351634</v>
      </c>
      <c r="B4798" t="str">
        <f>"1552376631622540"</f>
        <v>1552376631622540</v>
      </c>
      <c r="C4798" t="s">
        <v>40</v>
      </c>
      <c r="D4798">
        <v>4.9013090000000004</v>
      </c>
      <c r="E4798">
        <v>0.47293000000000002</v>
      </c>
      <c r="F4798" t="s">
        <v>43</v>
      </c>
      <c r="G4798">
        <v>-329.88720000000001</v>
      </c>
      <c r="H4798" s="1">
        <v>-8.0456269999999905E-7</v>
      </c>
      <c r="I4798">
        <v>136.68440000000001</v>
      </c>
      <c r="J4798">
        <v>-285.85070000000002</v>
      </c>
      <c r="K4798">
        <v>1.1104579999999999</v>
      </c>
      <c r="L4798">
        <v>140.24870000000001</v>
      </c>
      <c r="M4798">
        <v>-0.99815050000000005</v>
      </c>
      <c r="N4798">
        <v>0</v>
      </c>
      <c r="O4798">
        <v>-5.8875030000000002E-2</v>
      </c>
      <c r="P4798">
        <v>-0.99994609999999995</v>
      </c>
      <c r="Q4798">
        <v>-6.0254949999999996E-3</v>
      </c>
      <c r="R4798">
        <v>-8.4555199999999994E-3</v>
      </c>
      <c r="S4798">
        <v>-2.997681</v>
      </c>
      <c r="T4798">
        <v>-7.4864509999999995E-2</v>
      </c>
      <c r="U4798">
        <v>-0.24198910000000001</v>
      </c>
      <c r="V4798">
        <v>5.0427369999999999E-2</v>
      </c>
      <c r="W4798">
        <v>9.1592610000000001E-3</v>
      </c>
      <c r="X4798">
        <v>0.99868570000000001</v>
      </c>
      <c r="Y4798">
        <v>-2.1644750000000001E-2</v>
      </c>
      <c r="Z4798">
        <v>1.196601E-3</v>
      </c>
      <c r="AA4798">
        <v>0.99976500000000001</v>
      </c>
      <c r="AB4798">
        <v>43</v>
      </c>
      <c r="AC4798">
        <v>-44.036499999999897</v>
      </c>
      <c r="AD4798">
        <v>-1.1104588045627</v>
      </c>
      <c r="AE4798">
        <v>-3.5642999999999998</v>
      </c>
      <c r="AF4798">
        <v>-0.96455887883779701</v>
      </c>
      <c r="AG4798">
        <v>-1.1104588045627</v>
      </c>
      <c r="AH4798">
        <v>44.142080722225799</v>
      </c>
      <c r="AI4798">
        <v>91.440711691200093</v>
      </c>
      <c r="AJ4798">
        <v>91.251784205215699</v>
      </c>
      <c r="AK4798">
        <v>44.1665799340958</v>
      </c>
      <c r="AL4798">
        <v>89.475205647404294</v>
      </c>
      <c r="AM4798">
        <v>87.109377147339302</v>
      </c>
      <c r="AN4798">
        <v>0.99999996954583603</v>
      </c>
    </row>
    <row r="4799" spans="1:40" x14ac:dyDescent="0.25">
      <c r="A4799" t="str">
        <f>"20190312154351657"</f>
        <v>20190312154351657</v>
      </c>
      <c r="B4799" t="str">
        <f>"1552376631652795"</f>
        <v>1552376631652795</v>
      </c>
      <c r="C4799" t="s">
        <v>40</v>
      </c>
      <c r="D4799">
        <v>4.8774810000000004</v>
      </c>
      <c r="E4799">
        <v>0.45212219999999997</v>
      </c>
      <c r="F4799" t="s">
        <v>43</v>
      </c>
      <c r="G4799">
        <v>-332.76940000000002</v>
      </c>
      <c r="H4799" s="1">
        <v>-3.9614169999999997E-6</v>
      </c>
      <c r="I4799">
        <v>136.4425</v>
      </c>
      <c r="J4799">
        <v>-286.27969999999999</v>
      </c>
      <c r="K4799">
        <v>1.110352</v>
      </c>
      <c r="L4799">
        <v>140.22329999999999</v>
      </c>
      <c r="M4799">
        <v>-0.9981508</v>
      </c>
      <c r="N4799">
        <v>0</v>
      </c>
      <c r="O4799">
        <v>-5.8864479999999997E-2</v>
      </c>
      <c r="P4799">
        <v>-0.99995149999999999</v>
      </c>
      <c r="Q4799">
        <v>-5.0187089999999997E-3</v>
      </c>
      <c r="R4799">
        <v>-8.476239E-3</v>
      </c>
      <c r="S4799">
        <v>-2.997681</v>
      </c>
      <c r="T4799">
        <v>-7.0948479999999994E-2</v>
      </c>
      <c r="U4799">
        <v>-0.24317929999999999</v>
      </c>
      <c r="V4799">
        <v>5.039826E-2</v>
      </c>
      <c r="W4799">
        <v>1.0178690000000001E-2</v>
      </c>
      <c r="X4799">
        <v>0.99867729999999999</v>
      </c>
      <c r="Y4799">
        <v>-2.2048359999999999E-2</v>
      </c>
      <c r="Z4799">
        <v>1.128988E-3</v>
      </c>
      <c r="AA4799">
        <v>0.99975630000000004</v>
      </c>
      <c r="AB4799">
        <v>43</v>
      </c>
      <c r="AC4799">
        <v>-46.489699999999999</v>
      </c>
      <c r="AD4799">
        <v>-1.110355961417</v>
      </c>
      <c r="AE4799">
        <v>-3.7807999999999899</v>
      </c>
      <c r="AF4799">
        <v>-1.0367482868183799</v>
      </c>
      <c r="AG4799">
        <v>-1.110355961417</v>
      </c>
      <c r="AH4799">
        <v>46.6052370600896</v>
      </c>
      <c r="AI4799">
        <v>91.364459344450694</v>
      </c>
      <c r="AJ4799">
        <v>91.274352617434204</v>
      </c>
      <c r="AK4799">
        <v>46.629988835495404</v>
      </c>
      <c r="AL4799">
        <v>89.416793933618095</v>
      </c>
      <c r="AM4799">
        <v>87.111018719467296</v>
      </c>
      <c r="AN4799">
        <v>0.99999996993821605</v>
      </c>
    </row>
    <row r="4800" spans="1:40" x14ac:dyDescent="0.25">
      <c r="A4800" t="str">
        <f>"20190312154351679"</f>
        <v>20190312154351679</v>
      </c>
      <c r="B4800" t="str">
        <f>"1552376631672320"</f>
        <v>1552376631672320</v>
      </c>
      <c r="C4800" t="s">
        <v>40</v>
      </c>
      <c r="D4800">
        <v>4.8413830000000004</v>
      </c>
      <c r="E4800">
        <v>0.45171650000000002</v>
      </c>
      <c r="F4800" t="s">
        <v>43</v>
      </c>
      <c r="G4800">
        <v>-360.25189999999998</v>
      </c>
      <c r="H4800" s="1">
        <v>-5.8451750000000003E-6</v>
      </c>
      <c r="I4800">
        <v>130.1397</v>
      </c>
      <c r="J4800">
        <v>-286.70080000000002</v>
      </c>
      <c r="K4800">
        <v>1.110244</v>
      </c>
      <c r="L4800">
        <v>140.1985</v>
      </c>
      <c r="M4800">
        <v>-0.9981565</v>
      </c>
      <c r="N4800">
        <v>0</v>
      </c>
      <c r="O4800">
        <v>-5.8759800000000001E-2</v>
      </c>
      <c r="P4800">
        <v>-0.99995780000000001</v>
      </c>
      <c r="Q4800">
        <v>-4.839154E-3</v>
      </c>
      <c r="R4800">
        <v>-7.832884E-3</v>
      </c>
      <c r="S4800">
        <v>-2.9964599999999999</v>
      </c>
      <c r="T4800">
        <v>-4.4978259999999999E-2</v>
      </c>
      <c r="U4800">
        <v>-0.40846250000000001</v>
      </c>
      <c r="V4800">
        <v>5.0939159999999997E-2</v>
      </c>
      <c r="W4800">
        <v>1.036608E-2</v>
      </c>
      <c r="X4800">
        <v>0.99864799999999998</v>
      </c>
      <c r="Y4800">
        <v>-7.6602439999999994E-2</v>
      </c>
      <c r="Z4800">
        <v>3.0451060000000001E-4</v>
      </c>
      <c r="AA4800">
        <v>0.99706170000000005</v>
      </c>
      <c r="AB4800">
        <v>43</v>
      </c>
      <c r="AC4800">
        <v>-73.551099999999906</v>
      </c>
      <c r="AD4800">
        <v>-1.110249845175</v>
      </c>
      <c r="AE4800">
        <v>-10.0587999999999</v>
      </c>
      <c r="AF4800">
        <v>-5.71779002420352</v>
      </c>
      <c r="AG4800">
        <v>-1.110249845175</v>
      </c>
      <c r="AH4800">
        <v>73.998555143620393</v>
      </c>
      <c r="AI4800">
        <v>90.857028179339594</v>
      </c>
      <c r="AJ4800">
        <v>94.418404842328599</v>
      </c>
      <c r="AK4800">
        <v>74.2274338827837</v>
      </c>
      <c r="AL4800">
        <v>89.406056752707201</v>
      </c>
      <c r="AM4800">
        <v>87.079980540936205</v>
      </c>
      <c r="AN4800">
        <v>1.00000004077003</v>
      </c>
    </row>
    <row r="4801" spans="1:40" x14ac:dyDescent="0.25">
      <c r="A4801" t="str">
        <f>"20190312154351701"</f>
        <v>20190312154351701</v>
      </c>
      <c r="B4801" t="str">
        <f>"1552376631692812"</f>
        <v>1552376631692812</v>
      </c>
      <c r="C4801" t="s">
        <v>40</v>
      </c>
      <c r="D4801">
        <v>4.8425399999999996</v>
      </c>
      <c r="E4801">
        <v>0.45167780000000002</v>
      </c>
      <c r="F4801" t="s">
        <v>43</v>
      </c>
      <c r="G4801">
        <v>-367.20589999999999</v>
      </c>
      <c r="H4801">
        <v>7.9986189999999999E-2</v>
      </c>
      <c r="I4801">
        <v>129.19579999999999</v>
      </c>
      <c r="J4801">
        <v>-287.13060000000002</v>
      </c>
      <c r="K4801">
        <v>1.1101270000000001</v>
      </c>
      <c r="L4801">
        <v>140.17330000000001</v>
      </c>
      <c r="M4801">
        <v>-0.99816769999999999</v>
      </c>
      <c r="N4801">
        <v>0</v>
      </c>
      <c r="O4801">
        <v>-5.8563629999999998E-2</v>
      </c>
      <c r="P4801">
        <v>-0.99996289999999999</v>
      </c>
      <c r="Q4801">
        <v>-4.6839259999999997E-3</v>
      </c>
      <c r="R4801">
        <v>-7.2393980000000002E-3</v>
      </c>
      <c r="S4801">
        <v>-2.9967039999999998</v>
      </c>
      <c r="T4801">
        <v>-3.835011E-2</v>
      </c>
      <c r="U4801">
        <v>-0.40956120000000001</v>
      </c>
      <c r="V4801">
        <v>5.1338920000000003E-2</v>
      </c>
      <c r="W4801">
        <v>1.052486E-2</v>
      </c>
      <c r="X4801">
        <v>0.99862580000000001</v>
      </c>
      <c r="Y4801">
        <v>-7.7146809999999996E-2</v>
      </c>
      <c r="Z4801">
        <v>2.5365389999999999E-4</v>
      </c>
      <c r="AA4801">
        <v>0.99701969999999995</v>
      </c>
      <c r="AB4801">
        <v>43</v>
      </c>
      <c r="AC4801">
        <v>-80.075299999999899</v>
      </c>
      <c r="AD4801">
        <v>-1.03014081</v>
      </c>
      <c r="AE4801">
        <v>-10.977499999999999</v>
      </c>
      <c r="AF4801">
        <v>-6.26759330949091</v>
      </c>
      <c r="AG4801">
        <v>-1.03014081</v>
      </c>
      <c r="AH4801">
        <v>80.567701886780796</v>
      </c>
      <c r="AI4801">
        <v>90.7303391301853</v>
      </c>
      <c r="AJ4801">
        <v>94.448244759225105</v>
      </c>
      <c r="AK4801">
        <v>80.817686822246998</v>
      </c>
      <c r="AL4801">
        <v>89.396958791929904</v>
      </c>
      <c r="AM4801">
        <v>87.057039650714302</v>
      </c>
      <c r="AN4801">
        <v>0.99999997290521203</v>
      </c>
    </row>
    <row r="4802" spans="1:40" x14ac:dyDescent="0.25">
      <c r="A4802" t="str">
        <f>"20190312154351724"</f>
        <v>20190312154351724</v>
      </c>
      <c r="B4802" t="str">
        <f>"1552376631712332"</f>
        <v>1552376631712332</v>
      </c>
      <c r="C4802" t="s">
        <v>40</v>
      </c>
      <c r="D4802">
        <v>4.8430859999999996</v>
      </c>
      <c r="E4802">
        <v>0.45190750000000002</v>
      </c>
      <c r="F4802" t="s">
        <v>43</v>
      </c>
      <c r="G4802">
        <v>-371.75959999999998</v>
      </c>
      <c r="H4802">
        <v>7.9986360000000006E-2</v>
      </c>
      <c r="I4802">
        <v>128.64769999999999</v>
      </c>
      <c r="J4802">
        <v>-287.5582</v>
      </c>
      <c r="K4802">
        <v>1.1100179999999999</v>
      </c>
      <c r="L4802">
        <v>140.14840000000001</v>
      </c>
      <c r="M4802">
        <v>-0.99818370000000001</v>
      </c>
      <c r="N4802">
        <v>0</v>
      </c>
      <c r="O4802">
        <v>-5.82873E-2</v>
      </c>
      <c r="P4802">
        <v>-0.99997259999999999</v>
      </c>
      <c r="Q4802">
        <v>-4.5590709999999996E-3</v>
      </c>
      <c r="R4802">
        <v>-5.8888500000000002E-3</v>
      </c>
      <c r="S4802">
        <v>-2.9970089999999998</v>
      </c>
      <c r="T4802">
        <v>-3.6480899999999997E-2</v>
      </c>
      <c r="U4802">
        <v>-0.4081573</v>
      </c>
      <c r="V4802">
        <v>5.2414460000000003E-2</v>
      </c>
      <c r="W4802">
        <v>1.06493E-2</v>
      </c>
      <c r="X4802">
        <v>0.99856869999999998</v>
      </c>
      <c r="Y4802">
        <v>-7.6950850000000001E-2</v>
      </c>
      <c r="Z4802">
        <v>2.3912719999999999E-4</v>
      </c>
      <c r="AA4802">
        <v>0.9970348</v>
      </c>
      <c r="AB4802">
        <v>43</v>
      </c>
      <c r="AC4802">
        <v>-84.201399999999893</v>
      </c>
      <c r="AD4802">
        <v>-1.03003164</v>
      </c>
      <c r="AE4802">
        <v>-11.5007</v>
      </c>
      <c r="AF4802">
        <v>-6.5717357204313496</v>
      </c>
      <c r="AG4802">
        <v>-1.03003164</v>
      </c>
      <c r="AH4802">
        <v>84.716189062080204</v>
      </c>
      <c r="AI4802">
        <v>90.694516733451195</v>
      </c>
      <c r="AJ4802">
        <v>94.435753766784003</v>
      </c>
      <c r="AK4802">
        <v>84.976946078102401</v>
      </c>
      <c r="AL4802">
        <v>89.389828562068004</v>
      </c>
      <c r="AM4802">
        <v>86.995325544658797</v>
      </c>
      <c r="AN4802">
        <v>1.0000000659136301</v>
      </c>
    </row>
    <row r="4803" spans="1:40" x14ac:dyDescent="0.25">
      <c r="A4803" t="str">
        <f>"20190312154351747"</f>
        <v>20190312154351747</v>
      </c>
      <c r="B4803" t="str">
        <f>"1552376631732828"</f>
        <v>1552376631732828</v>
      </c>
      <c r="C4803" t="s">
        <v>40</v>
      </c>
      <c r="D4803">
        <v>4.8913190000000002</v>
      </c>
      <c r="E4803">
        <v>0.45124570000000003</v>
      </c>
      <c r="F4803" t="s">
        <v>43</v>
      </c>
      <c r="G4803">
        <v>-371.25720000000001</v>
      </c>
      <c r="H4803">
        <v>7.9986489999999993E-2</v>
      </c>
      <c r="I4803">
        <v>128.91730000000001</v>
      </c>
      <c r="J4803">
        <v>-287.99619999999999</v>
      </c>
      <c r="K4803">
        <v>1.1099110000000001</v>
      </c>
      <c r="L4803">
        <v>140.12299999999999</v>
      </c>
      <c r="M4803">
        <v>-0.9982046</v>
      </c>
      <c r="N4803">
        <v>0</v>
      </c>
      <c r="O4803">
        <v>-5.7926329999999998E-2</v>
      </c>
      <c r="P4803">
        <v>-0.99997950000000002</v>
      </c>
      <c r="Q4803">
        <v>-4.3988430000000004E-3</v>
      </c>
      <c r="R4803">
        <v>-4.700638E-3</v>
      </c>
      <c r="S4803">
        <v>-2.9975589999999999</v>
      </c>
      <c r="T4803">
        <v>-3.6889079999999998E-2</v>
      </c>
      <c r="U4803">
        <v>-0.40222170000000002</v>
      </c>
      <c r="V4803">
        <v>5.324301E-2</v>
      </c>
      <c r="W4803">
        <v>1.080713E-2</v>
      </c>
      <c r="X4803">
        <v>0.9985231</v>
      </c>
      <c r="Y4803">
        <v>-7.5348059999999994E-2</v>
      </c>
      <c r="Z4803">
        <v>2.472102E-4</v>
      </c>
      <c r="AA4803">
        <v>0.99715730000000002</v>
      </c>
      <c r="AB4803">
        <v>43</v>
      </c>
      <c r="AC4803">
        <v>-83.260999999999996</v>
      </c>
      <c r="AD4803">
        <v>-1.0299245100000001</v>
      </c>
      <c r="AE4803">
        <v>-11.205699999999901</v>
      </c>
      <c r="AF4803">
        <v>-6.3623594812053499</v>
      </c>
      <c r="AG4803">
        <v>-1.0299245100000001</v>
      </c>
      <c r="AH4803">
        <v>83.757753100790097</v>
      </c>
      <c r="AI4803">
        <v>90.702476623537294</v>
      </c>
      <c r="AJ4803">
        <v>94.343927672978595</v>
      </c>
      <c r="AK4803">
        <v>84.005366299762599</v>
      </c>
      <c r="AL4803">
        <v>89.380785006471598</v>
      </c>
      <c r="AM4803">
        <v>86.9477786560429</v>
      </c>
      <c r="AN4803">
        <v>0.99999999670315298</v>
      </c>
    </row>
    <row r="4804" spans="1:40" x14ac:dyDescent="0.25">
      <c r="A4804" t="str">
        <f>"20190312154351769"</f>
        <v>20190312154351769</v>
      </c>
      <c r="B4804" t="str">
        <f>"1552376631762108"</f>
        <v>1552376631762108</v>
      </c>
      <c r="C4804" t="s">
        <v>40</v>
      </c>
      <c r="D4804">
        <v>4.829415</v>
      </c>
      <c r="E4804">
        <v>0.4513315</v>
      </c>
      <c r="F4804" t="s">
        <v>43</v>
      </c>
      <c r="G4804">
        <v>-366.44569999999999</v>
      </c>
      <c r="H4804">
        <v>7.9986399999999902E-2</v>
      </c>
      <c r="I4804">
        <v>129.54759999999999</v>
      </c>
      <c r="J4804">
        <v>-288.4085</v>
      </c>
      <c r="K4804">
        <v>1.1098190000000001</v>
      </c>
      <c r="L4804">
        <v>140.0994</v>
      </c>
      <c r="M4804">
        <v>-0.998228</v>
      </c>
      <c r="N4804">
        <v>0</v>
      </c>
      <c r="O4804">
        <v>-5.751709E-2</v>
      </c>
      <c r="P4804">
        <v>-0.99998620000000005</v>
      </c>
      <c r="Q4804">
        <v>-4.0056670000000001E-3</v>
      </c>
      <c r="R4804">
        <v>-3.3936309999999998E-3</v>
      </c>
      <c r="S4804">
        <v>-2.997986</v>
      </c>
      <c r="T4804">
        <v>-3.9359089999999999E-2</v>
      </c>
      <c r="U4804">
        <v>-0.40414430000000001</v>
      </c>
      <c r="V4804">
        <v>5.4141500000000002E-2</v>
      </c>
      <c r="W4804">
        <v>1.119621E-2</v>
      </c>
      <c r="X4804">
        <v>0.99847050000000004</v>
      </c>
      <c r="Y4804">
        <v>-7.63659E-2</v>
      </c>
      <c r="Z4804">
        <v>2.517269E-4</v>
      </c>
      <c r="AA4804">
        <v>0.99707979999999996</v>
      </c>
      <c r="AB4804">
        <v>43</v>
      </c>
      <c r="AC4804">
        <v>-78.037199999999899</v>
      </c>
      <c r="AD4804">
        <v>-1.0298326</v>
      </c>
      <c r="AE4804">
        <v>-10.5518</v>
      </c>
      <c r="AF4804">
        <v>-6.0442990714008502</v>
      </c>
      <c r="AG4804">
        <v>-1.0298326</v>
      </c>
      <c r="AH4804">
        <v>78.501534694997702</v>
      </c>
      <c r="AI4804">
        <v>90.749381256655099</v>
      </c>
      <c r="AJ4804">
        <v>94.402855242787098</v>
      </c>
      <c r="AK4804">
        <v>78.740618843888299</v>
      </c>
      <c r="AL4804">
        <v>89.358491016123494</v>
      </c>
      <c r="AM4804">
        <v>86.896208288823701</v>
      </c>
      <c r="AN4804">
        <v>0.99999999825543195</v>
      </c>
    </row>
    <row r="4805" spans="1:40" x14ac:dyDescent="0.25">
      <c r="A4805" t="str">
        <f>"20190312154351791"</f>
        <v>20190312154351791</v>
      </c>
      <c r="B4805" t="str">
        <f>"1552376631782604"</f>
        <v>1552376631782604</v>
      </c>
      <c r="C4805" t="s">
        <v>40</v>
      </c>
      <c r="D4805">
        <v>4.8517729999999997</v>
      </c>
      <c r="E4805">
        <v>0.4512022</v>
      </c>
      <c r="F4805" t="s">
        <v>43</v>
      </c>
      <c r="G4805">
        <v>-374.24029999999999</v>
      </c>
      <c r="H4805">
        <v>7.9985630000000002E-2</v>
      </c>
      <c r="I4805">
        <v>128.6686</v>
      </c>
      <c r="J4805">
        <v>-288.82900000000001</v>
      </c>
      <c r="K4805">
        <v>1.109739</v>
      </c>
      <c r="L4805">
        <v>140.07560000000001</v>
      </c>
      <c r="M4805">
        <v>-0.998255</v>
      </c>
      <c r="N4805">
        <v>0</v>
      </c>
      <c r="O4805">
        <v>-5.704277E-2</v>
      </c>
      <c r="P4805">
        <v>-0.99998810000000005</v>
      </c>
      <c r="Q4805">
        <v>-4.1249210000000001E-3</v>
      </c>
      <c r="R4805">
        <v>-2.6772599999999999E-3</v>
      </c>
      <c r="S4805">
        <v>-2.9985659999999998</v>
      </c>
      <c r="T4805">
        <v>-3.5977599999999998E-2</v>
      </c>
      <c r="U4805">
        <v>-0.39933780000000002</v>
      </c>
      <c r="V4805">
        <v>5.4384780000000001E-2</v>
      </c>
      <c r="W4805">
        <v>1.1073670000000001E-2</v>
      </c>
      <c r="X4805">
        <v>0.99845859999999997</v>
      </c>
      <c r="Y4805">
        <v>-7.5244320000000003E-2</v>
      </c>
      <c r="Z4805">
        <v>2.3114000000000001E-4</v>
      </c>
      <c r="AA4805">
        <v>0.99716510000000003</v>
      </c>
      <c r="AB4805">
        <v>43</v>
      </c>
      <c r="AC4805">
        <v>-85.411299999999898</v>
      </c>
      <c r="AD4805">
        <v>-1.0297533699999999</v>
      </c>
      <c r="AE4805">
        <v>-11.407</v>
      </c>
      <c r="AF4805">
        <v>-6.5148266452385197</v>
      </c>
      <c r="AG4805">
        <v>-1.0297533699999999</v>
      </c>
      <c r="AH4805">
        <v>85.910689210846996</v>
      </c>
      <c r="AI4805">
        <v>90.684767007869596</v>
      </c>
      <c r="AJ4805">
        <v>94.336585160151998</v>
      </c>
      <c r="AK4805">
        <v>86.163506653938299</v>
      </c>
      <c r="AL4805">
        <v>89.365512447664003</v>
      </c>
      <c r="AM4805">
        <v>86.882252045152896</v>
      </c>
      <c r="AN4805">
        <v>0.99999995318843704</v>
      </c>
    </row>
    <row r="4806" spans="1:40" x14ac:dyDescent="0.25">
      <c r="A4806" t="str">
        <f>"20190312154351813"</f>
        <v>20190312154351813</v>
      </c>
      <c r="B4806" t="str">
        <f>"1552376631802562"</f>
        <v>1552376631802562</v>
      </c>
      <c r="C4806" t="s">
        <v>40</v>
      </c>
      <c r="D4806">
        <v>4.8363180000000003</v>
      </c>
      <c r="E4806">
        <v>0.45112550000000001</v>
      </c>
      <c r="F4806" t="s">
        <v>43</v>
      </c>
      <c r="G4806">
        <v>-375.93439999999998</v>
      </c>
      <c r="H4806">
        <v>7.998661E-2</v>
      </c>
      <c r="I4806">
        <v>128.5076</v>
      </c>
      <c r="J4806">
        <v>-289.2516</v>
      </c>
      <c r="K4806">
        <v>1.1096710000000001</v>
      </c>
      <c r="L4806">
        <v>140.05189999999999</v>
      </c>
      <c r="M4806">
        <v>-0.99828450000000002</v>
      </c>
      <c r="N4806">
        <v>0</v>
      </c>
      <c r="O4806">
        <v>-5.6523770000000001E-2</v>
      </c>
      <c r="P4806">
        <v>-0.9999903</v>
      </c>
      <c r="Q4806">
        <v>-3.8746330000000002E-3</v>
      </c>
      <c r="R4806">
        <v>-2.1858110000000002E-3</v>
      </c>
      <c r="S4806">
        <v>-2.9988100000000002</v>
      </c>
      <c r="T4806">
        <v>-3.5451650000000001E-2</v>
      </c>
      <c r="U4806">
        <v>-0.39825440000000001</v>
      </c>
      <c r="V4806">
        <v>5.4358509999999999E-2</v>
      </c>
      <c r="W4806">
        <v>1.1321599999999999E-2</v>
      </c>
      <c r="X4806">
        <v>0.99845729999999999</v>
      </c>
      <c r="Y4806">
        <v>-7.5398140000000002E-2</v>
      </c>
      <c r="Z4806">
        <v>2.2075440000000001E-4</v>
      </c>
      <c r="AA4806">
        <v>0.99715350000000003</v>
      </c>
      <c r="AB4806">
        <v>42</v>
      </c>
      <c r="AC4806">
        <v>-86.682799999999901</v>
      </c>
      <c r="AD4806">
        <v>-1.0296843899999999</v>
      </c>
      <c r="AE4806">
        <v>-11.5442999999999</v>
      </c>
      <c r="AF4806">
        <v>-6.6247109441932297</v>
      </c>
      <c r="AG4806">
        <v>-1.0296843899999999</v>
      </c>
      <c r="AH4806">
        <v>87.184699484865206</v>
      </c>
      <c r="AI4806">
        <v>90.674708646915903</v>
      </c>
      <c r="AJ4806">
        <v>94.345257799734</v>
      </c>
      <c r="AK4806">
        <v>87.442088660457898</v>
      </c>
      <c r="AL4806">
        <v>89.351306246046704</v>
      </c>
      <c r="AM4806">
        <v>86.883751022444102</v>
      </c>
      <c r="AN4806">
        <v>1.0000000030796301</v>
      </c>
    </row>
    <row r="4807" spans="1:40" x14ac:dyDescent="0.25">
      <c r="A4807" t="str">
        <f>"20190312154351835"</f>
        <v>20190312154351835</v>
      </c>
      <c r="B4807" t="str">
        <f>"1552376631822082"</f>
        <v>1552376631822082</v>
      </c>
      <c r="C4807" t="s">
        <v>40</v>
      </c>
      <c r="D4807">
        <v>4.8607610000000001</v>
      </c>
      <c r="E4807">
        <v>0.45108369999999998</v>
      </c>
      <c r="F4807" t="s">
        <v>43</v>
      </c>
      <c r="G4807">
        <v>-381.65359999999998</v>
      </c>
      <c r="H4807">
        <v>7.9986420000000003E-2</v>
      </c>
      <c r="I4807">
        <v>127.81010000000001</v>
      </c>
      <c r="J4807">
        <v>-289.66300000000001</v>
      </c>
      <c r="K4807">
        <v>1.109623</v>
      </c>
      <c r="L4807">
        <v>140.0291</v>
      </c>
      <c r="M4807">
        <v>-0.99831460000000005</v>
      </c>
      <c r="N4807">
        <v>0</v>
      </c>
      <c r="O4807">
        <v>-5.5989879999999999E-2</v>
      </c>
      <c r="P4807">
        <v>-0.99999210000000005</v>
      </c>
      <c r="Q4807">
        <v>-3.5666970000000002E-3</v>
      </c>
      <c r="R4807">
        <v>-1.895732E-3</v>
      </c>
      <c r="S4807">
        <v>-2.9990540000000001</v>
      </c>
      <c r="T4807">
        <v>-3.342009E-2</v>
      </c>
      <c r="U4807">
        <v>-0.3973236</v>
      </c>
      <c r="V4807">
        <v>5.4116209999999998E-2</v>
      </c>
      <c r="W4807">
        <v>1.1627719999999999E-2</v>
      </c>
      <c r="X4807">
        <v>0.99846699999999999</v>
      </c>
      <c r="Y4807">
        <v>-7.5616779999999995E-2</v>
      </c>
      <c r="Z4807">
        <v>2.0097480000000001E-4</v>
      </c>
      <c r="AA4807">
        <v>0.99713700000000005</v>
      </c>
      <c r="AB4807">
        <v>42</v>
      </c>
      <c r="AC4807">
        <v>-91.990599999999901</v>
      </c>
      <c r="AD4807">
        <v>-1.02963658</v>
      </c>
      <c r="AE4807">
        <v>-12.2189999999999</v>
      </c>
      <c r="AF4807">
        <v>-7.0478173480028898</v>
      </c>
      <c r="AG4807">
        <v>-1.02963658</v>
      </c>
      <c r="AH4807">
        <v>92.5190942913393</v>
      </c>
      <c r="AI4807">
        <v>90.635771348396204</v>
      </c>
      <c r="AJ4807">
        <v>94.356201361475001</v>
      </c>
      <c r="AK4807">
        <v>92.792859042856406</v>
      </c>
      <c r="AL4807">
        <v>89.333765744513798</v>
      </c>
      <c r="AM4807">
        <v>86.897644412563594</v>
      </c>
      <c r="AN4807">
        <v>1.00000005907307</v>
      </c>
    </row>
    <row r="4808" spans="1:40" x14ac:dyDescent="0.25">
      <c r="A4808" t="str">
        <f>"20190312154351858"</f>
        <v>20190312154351858</v>
      </c>
      <c r="B4808" t="str">
        <f>"1552376631842577"</f>
        <v>1552376631842577</v>
      </c>
      <c r="C4808" t="s">
        <v>40</v>
      </c>
      <c r="D4808">
        <v>4.8738839999999897</v>
      </c>
      <c r="E4808">
        <v>0.45099119999999998</v>
      </c>
      <c r="F4808" t="s">
        <v>43</v>
      </c>
      <c r="G4808">
        <v>-384.00619999999998</v>
      </c>
      <c r="H4808">
        <v>7.9985749999999994E-2</v>
      </c>
      <c r="I4808">
        <v>127.54689999999999</v>
      </c>
      <c r="J4808">
        <v>-290.09989999999999</v>
      </c>
      <c r="K4808">
        <v>1.109586</v>
      </c>
      <c r="L4808">
        <v>140.005</v>
      </c>
      <c r="M4808">
        <v>-0.99834719999999999</v>
      </c>
      <c r="N4808">
        <v>0</v>
      </c>
      <c r="O4808">
        <v>-5.5402489999999999E-2</v>
      </c>
      <c r="P4808">
        <v>-0.99999539999999998</v>
      </c>
      <c r="Q4808">
        <v>-2.830548E-3</v>
      </c>
      <c r="R4808">
        <v>-1.151355E-3</v>
      </c>
      <c r="S4808">
        <v>-2.9991759999999998</v>
      </c>
      <c r="T4808">
        <v>-3.2732249999999997E-2</v>
      </c>
      <c r="U4808">
        <v>-0.39680480000000001</v>
      </c>
      <c r="V4808">
        <v>5.427411E-2</v>
      </c>
      <c r="W4808">
        <v>1.236056E-2</v>
      </c>
      <c r="X4808">
        <v>0.99844960000000005</v>
      </c>
      <c r="Y4808">
        <v>-7.6028650000000003E-2</v>
      </c>
      <c r="Z4808">
        <v>1.882318E-4</v>
      </c>
      <c r="AA4808">
        <v>0.99710560000000004</v>
      </c>
      <c r="AB4808">
        <v>42</v>
      </c>
      <c r="AC4808">
        <v>-93.906300000000002</v>
      </c>
      <c r="AD4808">
        <v>-1.0296002500000001</v>
      </c>
      <c r="AE4808">
        <v>-12.4581</v>
      </c>
      <c r="AF4808">
        <v>-7.2348563052239303</v>
      </c>
      <c r="AG4808">
        <v>-1.0296002500000001</v>
      </c>
      <c r="AH4808">
        <v>94.441169580981096</v>
      </c>
      <c r="AI4808">
        <v>90.622790783801406</v>
      </c>
      <c r="AJ4808">
        <v>94.380702556794802</v>
      </c>
      <c r="AK4808">
        <v>94.723480374486201</v>
      </c>
      <c r="AL4808">
        <v>89.291774068044404</v>
      </c>
      <c r="AM4808">
        <v>86.888556019193601</v>
      </c>
      <c r="AN4808">
        <v>1.0000000330999801</v>
      </c>
    </row>
    <row r="4809" spans="1:40" x14ac:dyDescent="0.25">
      <c r="A4809" t="str">
        <f>"20190312154351880"</f>
        <v>20190312154351880</v>
      </c>
      <c r="B4809" t="str">
        <f>"1552376631872834"</f>
        <v>1552376631872834</v>
      </c>
      <c r="C4809" t="s">
        <v>40</v>
      </c>
      <c r="D4809">
        <v>4.997045</v>
      </c>
      <c r="E4809">
        <v>0.46886430000000001</v>
      </c>
      <c r="F4809" t="s">
        <v>43</v>
      </c>
      <c r="G4809">
        <v>-389.88990000000001</v>
      </c>
      <c r="H4809">
        <v>7.9985509999999996E-2</v>
      </c>
      <c r="I4809">
        <v>126.85080000000001</v>
      </c>
      <c r="J4809">
        <v>-290.52440000000001</v>
      </c>
      <c r="K4809">
        <v>1.1095569999999999</v>
      </c>
      <c r="L4809">
        <v>139.9819</v>
      </c>
      <c r="M4809">
        <v>-0.99837920000000002</v>
      </c>
      <c r="N4809">
        <v>0</v>
      </c>
      <c r="O4809">
        <v>-5.4820870000000001E-2</v>
      </c>
      <c r="P4809">
        <v>-0.99999709999999997</v>
      </c>
      <c r="Q4809">
        <v>-2.3710670000000001E-3</v>
      </c>
      <c r="R4809">
        <v>-6.1944120000000005E-4</v>
      </c>
      <c r="S4809">
        <v>-2.9994809999999998</v>
      </c>
      <c r="T4809">
        <v>-3.094769E-2</v>
      </c>
      <c r="U4809">
        <v>-0.39538570000000001</v>
      </c>
      <c r="V4809">
        <v>5.4225469999999998E-2</v>
      </c>
      <c r="W4809">
        <v>1.281733E-2</v>
      </c>
      <c r="X4809">
        <v>0.99844650000000001</v>
      </c>
      <c r="Y4809">
        <v>-7.61328E-2</v>
      </c>
      <c r="Z4809">
        <v>1.714664E-4</v>
      </c>
      <c r="AA4809">
        <v>0.99709769999999998</v>
      </c>
      <c r="AB4809">
        <v>42</v>
      </c>
      <c r="AC4809">
        <v>-99.365499999999997</v>
      </c>
      <c r="AD4809">
        <v>-1.0295714899999999</v>
      </c>
      <c r="AE4809">
        <v>-13.131099999999901</v>
      </c>
      <c r="AF4809">
        <v>-7.6626007313273199</v>
      </c>
      <c r="AG4809">
        <v>-1.0295714899999999</v>
      </c>
      <c r="AH4809">
        <v>99.925438343241595</v>
      </c>
      <c r="AI4809">
        <v>90.588592395766298</v>
      </c>
      <c r="AJ4809">
        <v>94.385041079875194</v>
      </c>
      <c r="AK4809">
        <v>100.22409239055099</v>
      </c>
      <c r="AL4809">
        <v>89.265601013429702</v>
      </c>
      <c r="AM4809">
        <v>86.891329364591797</v>
      </c>
      <c r="AN4809">
        <v>1.0000000494536401</v>
      </c>
    </row>
    <row r="4810" spans="1:40" x14ac:dyDescent="0.25">
      <c r="A4810" t="str">
        <f>"20190312154351903"</f>
        <v>20190312154351903</v>
      </c>
      <c r="B4810" t="str">
        <f>"1552376631892353"</f>
        <v>1552376631892353</v>
      </c>
      <c r="C4810" t="s">
        <v>40</v>
      </c>
      <c r="D4810">
        <v>4.9359719999999996</v>
      </c>
      <c r="E4810">
        <v>0.47172409999999998</v>
      </c>
      <c r="F4810" t="s">
        <v>43</v>
      </c>
      <c r="G4810">
        <v>-359.31819999999999</v>
      </c>
      <c r="H4810" s="1">
        <v>-1.657277E-6</v>
      </c>
      <c r="I4810">
        <v>134.2072</v>
      </c>
      <c r="J4810">
        <v>-290.9393</v>
      </c>
      <c r="K4810">
        <v>1.109531</v>
      </c>
      <c r="L4810">
        <v>139.95959999999999</v>
      </c>
      <c r="M4810">
        <v>-0.99841049999999998</v>
      </c>
      <c r="N4810">
        <v>0</v>
      </c>
      <c r="O4810">
        <v>-5.4246999999999997E-2</v>
      </c>
      <c r="P4810">
        <v>-0.99999819999999995</v>
      </c>
      <c r="Q4810">
        <v>-1.9615309999999999E-3</v>
      </c>
      <c r="R4810">
        <v>-2.5659210000000002E-4</v>
      </c>
      <c r="S4810">
        <v>-2.9997250000000002</v>
      </c>
      <c r="T4810">
        <v>-4.8381809999999997E-2</v>
      </c>
      <c r="U4810">
        <v>-0.25180049999999998</v>
      </c>
      <c r="V4810">
        <v>5.4015710000000002E-2</v>
      </c>
      <c r="W4810">
        <v>1.3225000000000001E-2</v>
      </c>
      <c r="X4810">
        <v>0.99845249999999997</v>
      </c>
      <c r="Y4810">
        <v>-2.946381E-2</v>
      </c>
      <c r="Z4810">
        <v>6.3545339999999896E-4</v>
      </c>
      <c r="AA4810">
        <v>0.9995657</v>
      </c>
      <c r="AB4810">
        <v>42</v>
      </c>
      <c r="AC4810">
        <v>-68.378899999999902</v>
      </c>
      <c r="AD4810">
        <v>-1.1095326572769999</v>
      </c>
      <c r="AE4810">
        <v>-5.75239999999999</v>
      </c>
      <c r="AF4810">
        <v>-2.03361244351369</v>
      </c>
      <c r="AG4810">
        <v>-1.1095326572769999</v>
      </c>
      <c r="AH4810">
        <v>68.572351069347107</v>
      </c>
      <c r="AI4810">
        <v>90.926584265126195</v>
      </c>
      <c r="AJ4810">
        <v>91.698691486622195</v>
      </c>
      <c r="AK4810">
        <v>68.611471150717705</v>
      </c>
      <c r="AL4810">
        <v>89.2422412231831</v>
      </c>
      <c r="AM4810">
        <v>86.903349736221898</v>
      </c>
      <c r="AN4810">
        <v>0.99999999615402602</v>
      </c>
    </row>
    <row r="4811" spans="1:40" x14ac:dyDescent="0.25">
      <c r="A4811" t="str">
        <f>"20190312154351924"</f>
        <v>20190312154351924</v>
      </c>
      <c r="B4811" t="str">
        <f>"1552376631911874"</f>
        <v>1552376631911874</v>
      </c>
      <c r="C4811" t="s">
        <v>40</v>
      </c>
      <c r="D4811">
        <v>4.9462270000000004</v>
      </c>
      <c r="E4811">
        <v>0.47263729999999998</v>
      </c>
      <c r="F4811" t="s">
        <v>43</v>
      </c>
      <c r="G4811">
        <v>-343.99549999999999</v>
      </c>
      <c r="H4811" s="1">
        <v>-3.2137849999999998E-6</v>
      </c>
      <c r="I4811">
        <v>135.92060000000001</v>
      </c>
      <c r="J4811">
        <v>-291.35039999999998</v>
      </c>
      <c r="K4811">
        <v>1.1095120000000001</v>
      </c>
      <c r="L4811">
        <v>139.93770000000001</v>
      </c>
      <c r="M4811">
        <v>-0.99844160000000004</v>
      </c>
      <c r="N4811">
        <v>0</v>
      </c>
      <c r="O4811">
        <v>-5.367512E-2</v>
      </c>
      <c r="P4811">
        <v>-0.9999981</v>
      </c>
      <c r="Q4811">
        <v>-1.99767E-3</v>
      </c>
      <c r="R4811" s="1">
        <v>7.3539180000000001E-5</v>
      </c>
      <c r="S4811">
        <v>-2.9998170000000002</v>
      </c>
      <c r="T4811">
        <v>-6.2733529999999996E-2</v>
      </c>
      <c r="U4811">
        <v>-0.22836300000000001</v>
      </c>
      <c r="V4811">
        <v>5.377378E-2</v>
      </c>
      <c r="W4811">
        <v>1.3186369999999999E-2</v>
      </c>
      <c r="X4811">
        <v>0.99846610000000002</v>
      </c>
      <c r="Y4811">
        <v>-2.2276890000000001E-2</v>
      </c>
      <c r="Z4811">
        <v>8.8731979999999997E-4</v>
      </c>
      <c r="AA4811">
        <v>0.99975139999999996</v>
      </c>
      <c r="AB4811">
        <v>42</v>
      </c>
      <c r="AC4811">
        <v>-52.645099999999999</v>
      </c>
      <c r="AD4811">
        <v>-1.109515213785</v>
      </c>
      <c r="AE4811">
        <v>-4.0170999999999903</v>
      </c>
      <c r="AF4811">
        <v>-1.1847228159605501</v>
      </c>
      <c r="AG4811">
        <v>-1.109515213785</v>
      </c>
      <c r="AH4811">
        <v>52.761535801678001</v>
      </c>
      <c r="AI4811">
        <v>91.204384162776805</v>
      </c>
      <c r="AJ4811">
        <v>91.286319881998693</v>
      </c>
      <c r="AK4811">
        <v>52.786496874788199</v>
      </c>
      <c r="AL4811">
        <v>89.244454774956495</v>
      </c>
      <c r="AM4811">
        <v>86.917234364816295</v>
      </c>
      <c r="AN4811">
        <v>1.0000000263092299</v>
      </c>
    </row>
    <row r="4812" spans="1:40" x14ac:dyDescent="0.25">
      <c r="A4812" t="str">
        <f>"20190312154351947"</f>
        <v>20190312154351947</v>
      </c>
      <c r="B4812" t="str">
        <f>"1552376631942130"</f>
        <v>1552376631942130</v>
      </c>
      <c r="C4812" t="s">
        <v>40</v>
      </c>
      <c r="D4812">
        <v>4.9565219999999997</v>
      </c>
      <c r="E4812">
        <v>0.47313690000000003</v>
      </c>
      <c r="F4812" t="s">
        <v>43</v>
      </c>
      <c r="G4812">
        <v>-340.6567</v>
      </c>
      <c r="H4812" s="1">
        <v>-4.5756080000000001E-6</v>
      </c>
      <c r="I4812">
        <v>136.31790000000001</v>
      </c>
      <c r="J4812">
        <v>-291.79239999999999</v>
      </c>
      <c r="K4812">
        <v>1.1094869999999999</v>
      </c>
      <c r="L4812">
        <v>139.9145</v>
      </c>
      <c r="M4812">
        <v>-0.99847450000000004</v>
      </c>
      <c r="N4812">
        <v>0</v>
      </c>
      <c r="O4812">
        <v>-5.3057989999999999E-2</v>
      </c>
      <c r="P4812">
        <v>-0.99999769999999999</v>
      </c>
      <c r="Q4812">
        <v>-2.261253E-3</v>
      </c>
      <c r="R4812" s="1">
        <v>7.6127240000000001E-5</v>
      </c>
      <c r="S4812">
        <v>-2.999908</v>
      </c>
      <c r="T4812">
        <v>-6.7505599999999999E-2</v>
      </c>
      <c r="U4812">
        <v>-0.22023010000000001</v>
      </c>
      <c r="V4812">
        <v>5.3159709999999999E-2</v>
      </c>
      <c r="W4812">
        <v>1.292128E-2</v>
      </c>
      <c r="X4812">
        <v>0.99850240000000001</v>
      </c>
      <c r="Y4812">
        <v>-2.0198589999999999E-2</v>
      </c>
      <c r="Z4812">
        <v>9.6439970000000003E-4</v>
      </c>
      <c r="AA4812">
        <v>0.99979549999999995</v>
      </c>
      <c r="AB4812">
        <v>42</v>
      </c>
      <c r="AC4812">
        <v>-48.8643</v>
      </c>
      <c r="AD4812">
        <v>-1.1094915756079999</v>
      </c>
      <c r="AE4812">
        <v>-3.5965999999999898</v>
      </c>
      <c r="AF4812">
        <v>-0.99807667062619998</v>
      </c>
      <c r="AG4812">
        <v>-1.1094915756079999</v>
      </c>
      <c r="AH4812">
        <v>48.961200334547598</v>
      </c>
      <c r="AI4812">
        <v>91.297866665508707</v>
      </c>
      <c r="AJ4812">
        <v>91.167815765903498</v>
      </c>
      <c r="AK4812">
        <v>48.983938865678198</v>
      </c>
      <c r="AL4812">
        <v>89.259644571659706</v>
      </c>
      <c r="AM4812">
        <v>86.952481865603303</v>
      </c>
      <c r="AN4812">
        <v>0.99999997852494105</v>
      </c>
    </row>
    <row r="4813" spans="1:40" x14ac:dyDescent="0.25">
      <c r="A4813" t="str">
        <f>"20190312154351970"</f>
        <v>20190312154351970</v>
      </c>
      <c r="B4813" t="str">
        <f>"1552376631962627"</f>
        <v>1552376631962627</v>
      </c>
      <c r="C4813" t="s">
        <v>40</v>
      </c>
      <c r="D4813">
        <v>4.9726800000000004</v>
      </c>
      <c r="E4813">
        <v>0.4734004</v>
      </c>
      <c r="F4813" t="s">
        <v>43</v>
      </c>
      <c r="G4813">
        <v>-337.3698</v>
      </c>
      <c r="H4813" s="1">
        <v>-1.789523E-6</v>
      </c>
      <c r="I4813">
        <v>136.62739999999999</v>
      </c>
      <c r="J4813">
        <v>-292.20670000000001</v>
      </c>
      <c r="K4813">
        <v>1.1094729999999999</v>
      </c>
      <c r="L4813">
        <v>139.893</v>
      </c>
      <c r="M4813">
        <v>-0.99850530000000004</v>
      </c>
      <c r="N4813">
        <v>0</v>
      </c>
      <c r="O4813">
        <v>-5.2477549999999998E-2</v>
      </c>
      <c r="P4813">
        <v>-0.99999749999999998</v>
      </c>
      <c r="Q4813">
        <v>-2.305873E-3</v>
      </c>
      <c r="R4813">
        <v>1.9000000000000001E-4</v>
      </c>
      <c r="S4813">
        <v>-2.9998779999999998</v>
      </c>
      <c r="T4813">
        <v>-7.3025820000000005E-2</v>
      </c>
      <c r="U4813">
        <v>-0.2163544</v>
      </c>
      <c r="V4813">
        <v>5.2693329999999997E-2</v>
      </c>
      <c r="W4813">
        <v>1.2875030000000001E-2</v>
      </c>
      <c r="X4813">
        <v>0.99852779999999997</v>
      </c>
      <c r="Y4813">
        <v>-1.9497069999999998E-2</v>
      </c>
      <c r="Z4813">
        <v>1.0377540000000001E-3</v>
      </c>
      <c r="AA4813">
        <v>0.99980939999999996</v>
      </c>
      <c r="AB4813">
        <v>42</v>
      </c>
      <c r="AC4813">
        <v>-45.163099999999901</v>
      </c>
      <c r="AD4813">
        <v>-1.1094747895229999</v>
      </c>
      <c r="AE4813">
        <v>-3.2656000000000001</v>
      </c>
      <c r="AF4813">
        <v>-0.89023951887159603</v>
      </c>
      <c r="AG4813">
        <v>-1.1094747895229999</v>
      </c>
      <c r="AH4813">
        <v>45.245083325633502</v>
      </c>
      <c r="AI4813">
        <v>91.404422041082597</v>
      </c>
      <c r="AJ4813">
        <v>91.127202839376594</v>
      </c>
      <c r="AK4813">
        <v>45.267438914224698</v>
      </c>
      <c r="AL4813">
        <v>89.262294782373104</v>
      </c>
      <c r="AM4813">
        <v>86.979245269352205</v>
      </c>
      <c r="AN4813">
        <v>1.0000000603984101</v>
      </c>
    </row>
    <row r="4814" spans="1:40" x14ac:dyDescent="0.25">
      <c r="A4814" t="str">
        <f>"20190312154351992"</f>
        <v>20190312154351992</v>
      </c>
      <c r="B4814" t="str">
        <f>"1552376631982146"</f>
        <v>1552376631982146</v>
      </c>
      <c r="C4814" t="s">
        <v>40</v>
      </c>
      <c r="D4814">
        <v>4.9639769999999999</v>
      </c>
      <c r="E4814">
        <v>0.47353469999999998</v>
      </c>
      <c r="F4814" t="s">
        <v>43</v>
      </c>
      <c r="G4814">
        <v>-336.31699999999898</v>
      </c>
      <c r="H4814" s="1">
        <v>-2.23114E-6</v>
      </c>
      <c r="I4814">
        <v>136.74289999999999</v>
      </c>
      <c r="J4814">
        <v>-292.62979999999999</v>
      </c>
      <c r="K4814">
        <v>1.1094679999999999</v>
      </c>
      <c r="L4814">
        <v>139.87119999999999</v>
      </c>
      <c r="M4814">
        <v>-0.99853630000000004</v>
      </c>
      <c r="N4814">
        <v>0</v>
      </c>
      <c r="O4814">
        <v>-5.188251E-2</v>
      </c>
      <c r="P4814">
        <v>-0.99999729999999998</v>
      </c>
      <c r="Q4814">
        <v>-2.2359530000000002E-3</v>
      </c>
      <c r="R4814">
        <v>6.9872939999999996E-4</v>
      </c>
      <c r="S4814">
        <v>-2.9998779999999998</v>
      </c>
      <c r="T4814">
        <v>-7.5453759999999995E-2</v>
      </c>
      <c r="U4814">
        <v>-0.21423339999999999</v>
      </c>
      <c r="V4814">
        <v>5.260666E-2</v>
      </c>
      <c r="W4814">
        <v>1.2942250000000001E-2</v>
      </c>
      <c r="X4814">
        <v>0.99853150000000002</v>
      </c>
      <c r="Y4814">
        <v>-1.939012E-2</v>
      </c>
      <c r="Z4814">
        <v>1.0587050000000001E-3</v>
      </c>
      <c r="AA4814">
        <v>0.99981140000000002</v>
      </c>
      <c r="AB4814">
        <v>42</v>
      </c>
      <c r="AC4814">
        <v>-43.687199999999898</v>
      </c>
      <c r="AD4814">
        <v>-1.10947023114</v>
      </c>
      <c r="AE4814">
        <v>-3.1282999999999901</v>
      </c>
      <c r="AF4814">
        <v>-0.85666989998036502</v>
      </c>
      <c r="AG4814">
        <v>-1.10947023114</v>
      </c>
      <c r="AH4814">
        <v>43.762590650989203</v>
      </c>
      <c r="AI4814">
        <v>91.451974825072298</v>
      </c>
      <c r="AJ4814">
        <v>91.121444157515597</v>
      </c>
      <c r="AK4814">
        <v>43.785033378968201</v>
      </c>
      <c r="AL4814">
        <v>89.258443038714105</v>
      </c>
      <c r="AM4814">
        <v>86.984215782232098</v>
      </c>
      <c r="AN4814">
        <v>1.0000000595018299</v>
      </c>
    </row>
    <row r="4815" spans="1:40" x14ac:dyDescent="0.25">
      <c r="A4815" t="str">
        <f>"20190312154352014"</f>
        <v>20190312154352014</v>
      </c>
      <c r="B4815" t="str">
        <f>"1552376632002642"</f>
        <v>1552376632002642</v>
      </c>
      <c r="C4815" t="s">
        <v>40</v>
      </c>
      <c r="D4815">
        <v>4.9621810000000002</v>
      </c>
      <c r="E4815">
        <v>0.47370200000000001</v>
      </c>
      <c r="F4815" t="s">
        <v>43</v>
      </c>
      <c r="G4815">
        <v>-338.31180000000001</v>
      </c>
      <c r="H4815" s="1">
        <v>-1.4215610000000001E-6</v>
      </c>
      <c r="I4815">
        <v>136.6508</v>
      </c>
      <c r="J4815">
        <v>-293.0394</v>
      </c>
      <c r="K4815">
        <v>1.1094619999999999</v>
      </c>
      <c r="L4815">
        <v>139.85040000000001</v>
      </c>
      <c r="M4815">
        <v>-0.99856619999999996</v>
      </c>
      <c r="N4815">
        <v>0</v>
      </c>
      <c r="O4815">
        <v>-5.1305160000000002E-2</v>
      </c>
      <c r="P4815">
        <v>-0.99999740000000004</v>
      </c>
      <c r="Q4815">
        <v>-1.9589920000000001E-3</v>
      </c>
      <c r="R4815">
        <v>1.3046100000000001E-3</v>
      </c>
      <c r="S4815">
        <v>-2.9999690000000001</v>
      </c>
      <c r="T4815">
        <v>-7.2859640000000003E-2</v>
      </c>
      <c r="U4815">
        <v>-0.2114868</v>
      </c>
      <c r="V4815">
        <v>5.2635149999999999E-2</v>
      </c>
      <c r="W4815">
        <v>1.3215940000000001E-2</v>
      </c>
      <c r="X4815">
        <v>0.99852629999999998</v>
      </c>
      <c r="Y4815">
        <v>-1.9054499999999999E-2</v>
      </c>
      <c r="Z4815">
        <v>1.0124190000000001E-3</v>
      </c>
      <c r="AA4815">
        <v>0.99981790000000004</v>
      </c>
      <c r="AB4815">
        <v>42</v>
      </c>
      <c r="AC4815">
        <v>-45.272399999999998</v>
      </c>
      <c r="AD4815">
        <v>-1.109463421561</v>
      </c>
      <c r="AE4815">
        <v>-3.1996000000000002</v>
      </c>
      <c r="AF4815">
        <v>-0.87188545073823498</v>
      </c>
      <c r="AG4815">
        <v>-1.109463421561</v>
      </c>
      <c r="AH4815">
        <v>45.349838417037198</v>
      </c>
      <c r="AI4815">
        <v>91.401177123279993</v>
      </c>
      <c r="AJ4815">
        <v>91.101419644536506</v>
      </c>
      <c r="AK4815">
        <v>45.3717857018475</v>
      </c>
      <c r="AL4815">
        <v>89.242760330290494</v>
      </c>
      <c r="AM4815">
        <v>86.982569867487001</v>
      </c>
      <c r="AN4815">
        <v>0.99999994593864605</v>
      </c>
    </row>
    <row r="4816" spans="1:40" x14ac:dyDescent="0.25">
      <c r="A4816" t="str">
        <f>"20190312154352047"</f>
        <v>20190312154352047</v>
      </c>
      <c r="B4816" t="str">
        <f>"1552376632042659"</f>
        <v>1552376632042659</v>
      </c>
      <c r="C4816" t="s">
        <v>40</v>
      </c>
      <c r="D4816">
        <v>4.9733159999999996</v>
      </c>
      <c r="E4816">
        <v>0.47381190000000001</v>
      </c>
      <c r="F4816" t="s">
        <v>43</v>
      </c>
      <c r="G4816">
        <v>-337.80829999999997</v>
      </c>
      <c r="H4816" s="1">
        <v>-1.5909300000000001E-6</v>
      </c>
      <c r="I4816">
        <v>136.74100000000001</v>
      </c>
      <c r="J4816">
        <v>-293.65429999999998</v>
      </c>
      <c r="K4816">
        <v>1.109456</v>
      </c>
      <c r="L4816">
        <v>139.81970000000001</v>
      </c>
      <c r="M4816">
        <v>-0.99861060000000001</v>
      </c>
      <c r="N4816">
        <v>0</v>
      </c>
      <c r="O4816">
        <v>-5.0435269999999997E-2</v>
      </c>
      <c r="P4816">
        <v>-0.99999269999999996</v>
      </c>
      <c r="Q4816">
        <v>-2.535982E-3</v>
      </c>
      <c r="R4816">
        <v>2.9401200000000001E-3</v>
      </c>
      <c r="S4816">
        <v>-3.000092</v>
      </c>
      <c r="T4816">
        <v>-7.4348449999999996E-2</v>
      </c>
      <c r="U4816">
        <v>-0.208374</v>
      </c>
      <c r="V4816">
        <v>5.3397680000000003E-2</v>
      </c>
      <c r="W4816">
        <v>1.263281E-2</v>
      </c>
      <c r="X4816">
        <v>0.99849339999999998</v>
      </c>
      <c r="Y4816">
        <v>-1.8890460000000001E-2</v>
      </c>
      <c r="Z4816">
        <v>1.0136430000000001E-3</v>
      </c>
      <c r="AA4816">
        <v>0.99982110000000002</v>
      </c>
      <c r="AB4816">
        <v>42</v>
      </c>
      <c r="AC4816">
        <v>-44.154000000000003</v>
      </c>
      <c r="AD4816">
        <v>-1.10945759093</v>
      </c>
      <c r="AE4816">
        <v>-3.0786999999999898</v>
      </c>
      <c r="AF4816">
        <v>-0.84707013508967599</v>
      </c>
      <c r="AG4816">
        <v>-1.10945759093</v>
      </c>
      <c r="AH4816">
        <v>44.2252994088267</v>
      </c>
      <c r="AI4816">
        <v>91.436785254350994</v>
      </c>
      <c r="AJ4816">
        <v>91.097281661971095</v>
      </c>
      <c r="AK4816">
        <v>44.2473223117535</v>
      </c>
      <c r="AL4816">
        <v>89.276174039557603</v>
      </c>
      <c r="AM4816">
        <v>86.938837967484702</v>
      </c>
      <c r="AN4816">
        <v>0.99999998498071896</v>
      </c>
    </row>
    <row r="4817" spans="1:40" x14ac:dyDescent="0.25">
      <c r="A4817" t="str">
        <f>"20190312154352069"</f>
        <v>20190312154352069</v>
      </c>
      <c r="B4817" t="str">
        <f>"1552376632062177"</f>
        <v>1552376632062177</v>
      </c>
      <c r="C4817" t="s">
        <v>40</v>
      </c>
      <c r="D4817">
        <v>4.9630260000000002</v>
      </c>
      <c r="E4817">
        <v>0.47386070000000002</v>
      </c>
      <c r="F4817" t="s">
        <v>43</v>
      </c>
      <c r="G4817">
        <v>-336.04559999999998</v>
      </c>
      <c r="H4817" s="1">
        <v>-2.3214279999999998E-6</v>
      </c>
      <c r="I4817">
        <v>136.9572</v>
      </c>
      <c r="J4817">
        <v>-294.07819999999998</v>
      </c>
      <c r="K4817">
        <v>1.109453</v>
      </c>
      <c r="L4817">
        <v>139.7988</v>
      </c>
      <c r="M4817">
        <v>-0.99864070000000005</v>
      </c>
      <c r="N4817">
        <v>0</v>
      </c>
      <c r="O4817">
        <v>-4.9834160000000002E-2</v>
      </c>
      <c r="P4817">
        <v>-0.99998980000000004</v>
      </c>
      <c r="Q4817">
        <v>-2.6747250000000002E-3</v>
      </c>
      <c r="R4817">
        <v>3.6770219999999998E-3</v>
      </c>
      <c r="S4817">
        <v>-3.0004270000000002</v>
      </c>
      <c r="T4817">
        <v>-7.8526739999999998E-2</v>
      </c>
      <c r="U4817">
        <v>-0.20260619999999999</v>
      </c>
      <c r="V4817">
        <v>5.3532549999999998E-2</v>
      </c>
      <c r="W4817">
        <v>1.249025E-2</v>
      </c>
      <c r="X4817">
        <v>0.99848800000000004</v>
      </c>
      <c r="Y4817">
        <v>-1.7572870000000001E-2</v>
      </c>
      <c r="Z4817">
        <v>1.0720899999999999E-3</v>
      </c>
      <c r="AA4817">
        <v>0.99984499999999998</v>
      </c>
      <c r="AB4817">
        <v>42</v>
      </c>
      <c r="AC4817">
        <v>-41.967399999999998</v>
      </c>
      <c r="AD4817">
        <v>-1.1094553214280001</v>
      </c>
      <c r="AE4817">
        <v>-2.8416000000000001</v>
      </c>
      <c r="AF4817">
        <v>-0.74589546041366706</v>
      </c>
      <c r="AG4817">
        <v>-1.1094553214280001</v>
      </c>
      <c r="AH4817">
        <v>42.027631120451098</v>
      </c>
      <c r="AI4817">
        <v>91.511918328338695</v>
      </c>
      <c r="AJ4817">
        <v>91.016763839678305</v>
      </c>
      <c r="AK4817">
        <v>42.048888555404403</v>
      </c>
      <c r="AL4817">
        <v>89.284342790716295</v>
      </c>
      <c r="AM4817">
        <v>86.931104386458301</v>
      </c>
      <c r="AN4817">
        <v>1.0000000131992799</v>
      </c>
    </row>
    <row r="4818" spans="1:40" x14ac:dyDescent="0.25">
      <c r="A4818" t="str">
        <f>"20190312154352092"</f>
        <v>20190312154352092</v>
      </c>
      <c r="B4818" t="str">
        <f>"1552376632082674"</f>
        <v>1552376632082674</v>
      </c>
      <c r="C4818" t="s">
        <v>40</v>
      </c>
      <c r="D4818">
        <v>5.1634679999999999</v>
      </c>
      <c r="E4818">
        <v>0.47399229999999998</v>
      </c>
      <c r="F4818" t="s">
        <v>43</v>
      </c>
      <c r="G4818">
        <v>-335.94080000000002</v>
      </c>
      <c r="H4818" s="1">
        <v>-2.36183E-6</v>
      </c>
      <c r="I4818">
        <v>137.00880000000001</v>
      </c>
      <c r="J4818">
        <v>-294.50060000000002</v>
      </c>
      <c r="K4818">
        <v>1.109453</v>
      </c>
      <c r="L4818">
        <v>139.7783</v>
      </c>
      <c r="M4818">
        <v>-0.99867050000000002</v>
      </c>
      <c r="N4818">
        <v>0</v>
      </c>
      <c r="O4818">
        <v>-4.92345E-2</v>
      </c>
      <c r="P4818">
        <v>-0.99998779999999998</v>
      </c>
      <c r="Q4818">
        <v>-2.9385930000000002E-3</v>
      </c>
      <c r="R4818">
        <v>3.9765779999999997E-3</v>
      </c>
      <c r="S4818">
        <v>-3.0005799999999998</v>
      </c>
      <c r="T4818">
        <v>-7.9522369999999995E-2</v>
      </c>
      <c r="U4818">
        <v>-0.19998170000000001</v>
      </c>
      <c r="V4818">
        <v>5.3231519999999997E-2</v>
      </c>
      <c r="W4818">
        <v>1.2224199999999999E-2</v>
      </c>
      <c r="X4818">
        <v>0.99850740000000004</v>
      </c>
      <c r="Y4818">
        <v>-1.7299390000000001E-2</v>
      </c>
      <c r="Z4818">
        <v>1.073435E-3</v>
      </c>
      <c r="AA4818">
        <v>0.99984980000000001</v>
      </c>
      <c r="AB4818">
        <v>42</v>
      </c>
      <c r="AC4818">
        <v>-41.440199999999997</v>
      </c>
      <c r="AD4818">
        <v>-1.10945536183</v>
      </c>
      <c r="AE4818">
        <v>-2.7694999999999901</v>
      </c>
      <c r="AF4818">
        <v>-0.72509762055583205</v>
      </c>
      <c r="AG4818">
        <v>-1.10945536183</v>
      </c>
      <c r="AH4818">
        <v>41.4966913118541</v>
      </c>
      <c r="AI4818">
        <v>91.531261236055201</v>
      </c>
      <c r="AJ4818">
        <v>91.001063086541805</v>
      </c>
      <c r="AK4818">
        <v>41.517852155314301</v>
      </c>
      <c r="AL4818">
        <v>89.299587506226203</v>
      </c>
      <c r="AM4818">
        <v>86.948388198971401</v>
      </c>
      <c r="AN4818">
        <v>1.0000000268209499</v>
      </c>
    </row>
    <row r="4819" spans="1:40" x14ac:dyDescent="0.25">
      <c r="A4819" t="str">
        <f>"20190312154352114"</f>
        <v>20190312154352114</v>
      </c>
      <c r="B4819" t="str">
        <f>"1552376632102194"</f>
        <v>1552376632102194</v>
      </c>
      <c r="C4819" t="s">
        <v>40</v>
      </c>
      <c r="D4819">
        <v>4.9911390000000004</v>
      </c>
      <c r="E4819">
        <v>0.49716359999999898</v>
      </c>
      <c r="F4819" t="s">
        <v>43</v>
      </c>
      <c r="G4819">
        <v>-335.7715</v>
      </c>
      <c r="H4819" s="1">
        <v>-2.433995E-6</v>
      </c>
      <c r="I4819">
        <v>137.053</v>
      </c>
      <c r="J4819">
        <v>-294.91570000000002</v>
      </c>
      <c r="K4819">
        <v>1.1094459999999999</v>
      </c>
      <c r="L4819">
        <v>139.75829999999999</v>
      </c>
      <c r="M4819">
        <v>-0.99869949999999996</v>
      </c>
      <c r="N4819">
        <v>0</v>
      </c>
      <c r="O4819">
        <v>-4.8644630000000001E-2</v>
      </c>
      <c r="P4819">
        <v>-0.99998330000000002</v>
      </c>
      <c r="Q4819">
        <v>-3.1045809999999999E-3</v>
      </c>
      <c r="R4819">
        <v>4.9121540000000002E-3</v>
      </c>
      <c r="S4819">
        <v>-3.0005799999999998</v>
      </c>
      <c r="T4819">
        <v>-8.0662369999999997E-2</v>
      </c>
      <c r="U4819">
        <v>-0.19813539999999999</v>
      </c>
      <c r="V4819">
        <v>5.3575919999999999E-2</v>
      </c>
      <c r="W4819">
        <v>1.2053980000000001E-2</v>
      </c>
      <c r="X4819">
        <v>0.99849100000000002</v>
      </c>
      <c r="Y4819">
        <v>-1.7277540000000001E-2</v>
      </c>
      <c r="Z4819">
        <v>1.0733260000000001E-3</v>
      </c>
      <c r="AA4819">
        <v>0.99985020000000002</v>
      </c>
      <c r="AB4819">
        <v>42</v>
      </c>
      <c r="AC4819">
        <v>-40.855799999999903</v>
      </c>
      <c r="AD4819">
        <v>-1.1094484339949999</v>
      </c>
      <c r="AE4819">
        <v>-2.70529999999999</v>
      </c>
      <c r="AF4819">
        <v>-0.71392556934528895</v>
      </c>
      <c r="AG4819">
        <v>-1.1094484339949999</v>
      </c>
      <c r="AH4819">
        <v>40.9090003395862</v>
      </c>
      <c r="AI4819">
        <v>91.553239249845802</v>
      </c>
      <c r="AJ4819">
        <v>90.999798817047505</v>
      </c>
      <c r="AK4819">
        <v>40.930268437069003</v>
      </c>
      <c r="AL4819">
        <v>89.309341078062303</v>
      </c>
      <c r="AM4819">
        <v>86.928632054777495</v>
      </c>
      <c r="AN4819">
        <v>0.99999997735934298</v>
      </c>
    </row>
    <row r="4820" spans="1:40" x14ac:dyDescent="0.25">
      <c r="A4820" t="str">
        <f>"20190312154352136"</f>
        <v>20190312154352136</v>
      </c>
      <c r="B4820" t="str">
        <f>"1552376632122690"</f>
        <v>1552376632122690</v>
      </c>
      <c r="C4820" t="s">
        <v>40</v>
      </c>
      <c r="D4820">
        <v>5.004975</v>
      </c>
      <c r="E4820">
        <v>0.49980150000000001</v>
      </c>
      <c r="F4820" t="s">
        <v>43</v>
      </c>
      <c r="G4820">
        <v>-327.38369999999998</v>
      </c>
      <c r="H4820" s="1">
        <v>-1.1104559999999901E-6</v>
      </c>
      <c r="I4820">
        <v>139.63800000000001</v>
      </c>
      <c r="J4820">
        <v>-295.31450000000001</v>
      </c>
      <c r="K4820">
        <v>1.1094440000000001</v>
      </c>
      <c r="L4820">
        <v>139.73939999999999</v>
      </c>
      <c r="M4820">
        <v>-0.99872700000000003</v>
      </c>
      <c r="N4820">
        <v>0</v>
      </c>
      <c r="O4820">
        <v>-4.8077780000000001E-2</v>
      </c>
      <c r="P4820">
        <v>-0.99998069999999895</v>
      </c>
      <c r="Q4820">
        <v>-3.6006419999999998E-3</v>
      </c>
      <c r="R4820">
        <v>5.0489250000000001E-3</v>
      </c>
      <c r="S4820">
        <v>-2.9997859999999998</v>
      </c>
      <c r="T4820">
        <v>-0.10250430000000001</v>
      </c>
      <c r="U4820">
        <v>-1.1108399999999999E-2</v>
      </c>
      <c r="V4820">
        <v>5.3144669999999998E-2</v>
      </c>
      <c r="W4820">
        <v>1.155524E-2</v>
      </c>
      <c r="X4820">
        <v>0.99851999999999996</v>
      </c>
      <c r="Y4820">
        <v>4.4330370000000001E-2</v>
      </c>
      <c r="Z4820">
        <v>2.3992089999999998E-3</v>
      </c>
      <c r="AA4820">
        <v>0.99901399999999996</v>
      </c>
      <c r="AB4820">
        <v>42</v>
      </c>
      <c r="AC4820">
        <v>-32.069199999999903</v>
      </c>
      <c r="AD4820">
        <v>-1.1094451104559999</v>
      </c>
      <c r="AE4820">
        <v>-0.101399999999983</v>
      </c>
      <c r="AF4820">
        <v>1.4389905885898999</v>
      </c>
      <c r="AG4820">
        <v>-1.1094451104559999</v>
      </c>
      <c r="AH4820">
        <v>31.9986851627426</v>
      </c>
      <c r="AI4820">
        <v>91.983736740492404</v>
      </c>
      <c r="AJ4820">
        <v>87.425126208240599</v>
      </c>
      <c r="AK4820">
        <v>32.050232674841702</v>
      </c>
      <c r="AL4820">
        <v>89.337918805421296</v>
      </c>
      <c r="AM4820">
        <v>86.953396047494095</v>
      </c>
      <c r="AN4820">
        <v>1.0000000349604301</v>
      </c>
    </row>
    <row r="4821" spans="1:40" x14ac:dyDescent="0.25">
      <c r="A4821" t="str">
        <f>"20190312154352160"</f>
        <v>20190312154352160</v>
      </c>
      <c r="B4821" t="str">
        <f>"1552376632151969"</f>
        <v>1552376632151969</v>
      </c>
      <c r="C4821" t="s">
        <v>40</v>
      </c>
      <c r="D4821">
        <v>5.0054109999999996</v>
      </c>
      <c r="E4821">
        <v>0.50132860000000001</v>
      </c>
      <c r="F4821" t="s">
        <v>43</v>
      </c>
      <c r="G4821">
        <v>-328.72750000000002</v>
      </c>
      <c r="H4821" s="1">
        <v>-5.9194499999999997E-7</v>
      </c>
      <c r="I4821">
        <v>139.85589999999999</v>
      </c>
      <c r="J4821">
        <v>-295.76229999999998</v>
      </c>
      <c r="K4821">
        <v>1.109448</v>
      </c>
      <c r="L4821">
        <v>139.7184</v>
      </c>
      <c r="M4821">
        <v>-0.99875760000000002</v>
      </c>
      <c r="N4821">
        <v>0</v>
      </c>
      <c r="O4821">
        <v>-4.7440599999999999E-2</v>
      </c>
      <c r="P4821">
        <v>-0.99997729999999996</v>
      </c>
      <c r="Q4821">
        <v>-3.8227790000000001E-3</v>
      </c>
      <c r="R4821">
        <v>5.5738630000000001E-3</v>
      </c>
      <c r="S4821">
        <v>-2.9996640000000001</v>
      </c>
      <c r="T4821">
        <v>-9.9600670000000002E-2</v>
      </c>
      <c r="U4821">
        <v>1.0467529999999999E-2</v>
      </c>
      <c r="V4821">
        <v>5.303157E-2</v>
      </c>
      <c r="W4821">
        <v>1.1329229999999999E-2</v>
      </c>
      <c r="X4821">
        <v>0.99852850000000004</v>
      </c>
      <c r="Y4821">
        <v>5.0877270000000002E-2</v>
      </c>
      <c r="Z4821">
        <v>2.4189760000000002E-3</v>
      </c>
      <c r="AA4821">
        <v>0.99870199999999998</v>
      </c>
      <c r="AB4821">
        <v>42</v>
      </c>
      <c r="AC4821">
        <v>-32.965200000000003</v>
      </c>
      <c r="AD4821">
        <v>-1.1094485919449999</v>
      </c>
      <c r="AE4821">
        <v>0.13749999999998799</v>
      </c>
      <c r="AF4821">
        <v>1.6994910353905599</v>
      </c>
      <c r="AG4821">
        <v>-1.1094485919449999</v>
      </c>
      <c r="AH4821">
        <v>32.884304330474102</v>
      </c>
      <c r="AI4821">
        <v>91.929735068373603</v>
      </c>
      <c r="AJ4821">
        <v>87.041533583892701</v>
      </c>
      <c r="AK4821">
        <v>32.9468756827834</v>
      </c>
      <c r="AL4821">
        <v>89.350869005127905</v>
      </c>
      <c r="AM4821">
        <v>86.959893342703793</v>
      </c>
      <c r="AN4821">
        <v>0.99999993209065097</v>
      </c>
    </row>
    <row r="4822" spans="1:40" x14ac:dyDescent="0.25">
      <c r="A4822" t="str">
        <f>"20190312154352183"</f>
        <v>20190312154352183</v>
      </c>
      <c r="B4822" t="str">
        <f>"1552376632172466"</f>
        <v>1552376632172466</v>
      </c>
      <c r="C4822" t="s">
        <v>40</v>
      </c>
      <c r="D4822">
        <v>5.0028489999999897</v>
      </c>
      <c r="E4822">
        <v>0.50177899999999998</v>
      </c>
      <c r="F4822" t="s">
        <v>43</v>
      </c>
      <c r="G4822">
        <v>-329.96429999999998</v>
      </c>
      <c r="H4822" s="1">
        <v>-4.7922560000000003E-6</v>
      </c>
      <c r="I4822">
        <v>139.99539999999999</v>
      </c>
      <c r="J4822">
        <v>-296.17439999999999</v>
      </c>
      <c r="K4822">
        <v>1.10945</v>
      </c>
      <c r="L4822">
        <v>139.6994</v>
      </c>
      <c r="M4822">
        <v>-0.99878529999999999</v>
      </c>
      <c r="N4822">
        <v>0</v>
      </c>
      <c r="O4822">
        <v>-4.6853730000000003E-2</v>
      </c>
      <c r="P4822">
        <v>-0.99997250000000004</v>
      </c>
      <c r="Q4822">
        <v>-3.7256699999999999E-3</v>
      </c>
      <c r="R4822">
        <v>6.4473890000000004E-3</v>
      </c>
      <c r="S4822">
        <v>-2.999603</v>
      </c>
      <c r="T4822">
        <v>-9.7302079999999999E-2</v>
      </c>
      <c r="U4822">
        <v>2.4291989999999999E-2</v>
      </c>
      <c r="V4822">
        <v>5.3317280000000002E-2</v>
      </c>
      <c r="W4822">
        <v>1.1422689999999999E-2</v>
      </c>
      <c r="X4822">
        <v>0.99851230000000002</v>
      </c>
      <c r="Y4822">
        <v>5.4893379999999999E-2</v>
      </c>
      <c r="Z4822">
        <v>2.409338E-3</v>
      </c>
      <c r="AA4822">
        <v>0.99848930000000002</v>
      </c>
      <c r="AB4822">
        <v>42</v>
      </c>
      <c r="AC4822">
        <v>-33.789899999999903</v>
      </c>
      <c r="AD4822">
        <v>-1.1094547922560001</v>
      </c>
      <c r="AE4822">
        <v>0.29599999999999199</v>
      </c>
      <c r="AF4822">
        <v>1.8770184999016899</v>
      </c>
      <c r="AG4822">
        <v>-1.1094547922560001</v>
      </c>
      <c r="AH4822">
        <v>33.702580830138601</v>
      </c>
      <c r="AI4822">
        <v>91.882522892274594</v>
      </c>
      <c r="AJ4822">
        <v>86.812284160133402</v>
      </c>
      <c r="AK4822">
        <v>33.773037219016302</v>
      </c>
      <c r="AL4822">
        <v>89.345513846802405</v>
      </c>
      <c r="AM4822">
        <v>86.943496107313607</v>
      </c>
      <c r="AN4822">
        <v>1.00000001172236</v>
      </c>
    </row>
    <row r="4823" spans="1:40" x14ac:dyDescent="0.25">
      <c r="A4823" t="str">
        <f>"20190312154352204"</f>
        <v>20190312154352204</v>
      </c>
      <c r="B4823" t="str">
        <f>"1552376632191986"</f>
        <v>1552376632191986</v>
      </c>
      <c r="C4823" t="s">
        <v>40</v>
      </c>
      <c r="D4823">
        <v>4.9897619999999998</v>
      </c>
      <c r="E4823">
        <v>0.5021563</v>
      </c>
      <c r="F4823" t="s">
        <v>43</v>
      </c>
      <c r="G4823">
        <v>-330.78730000000002</v>
      </c>
      <c r="H4823" s="1">
        <v>-4.4510210000000002E-6</v>
      </c>
      <c r="I4823">
        <v>140.05099999999999</v>
      </c>
      <c r="J4823">
        <v>-296.58179999999999</v>
      </c>
      <c r="K4823">
        <v>1.1094580000000001</v>
      </c>
      <c r="L4823">
        <v>139.6808</v>
      </c>
      <c r="M4823">
        <v>-0.99881240000000004</v>
      </c>
      <c r="N4823">
        <v>0</v>
      </c>
      <c r="O4823">
        <v>-4.6273429999999997E-2</v>
      </c>
      <c r="P4823">
        <v>-0.99996770000000001</v>
      </c>
      <c r="Q4823">
        <v>-3.402693E-3</v>
      </c>
      <c r="R4823">
        <v>7.30599599999999E-3</v>
      </c>
      <c r="S4823">
        <v>-2.9995419999999999</v>
      </c>
      <c r="T4823">
        <v>-9.614491E-2</v>
      </c>
      <c r="U4823">
        <v>3.04718E-2</v>
      </c>
      <c r="V4823">
        <v>5.359502E-2</v>
      </c>
      <c r="W4823">
        <v>1.174119E-2</v>
      </c>
      <c r="X4823">
        <v>0.99849370000000004</v>
      </c>
      <c r="Y4823">
        <v>5.6371129999999998E-2</v>
      </c>
      <c r="Z4823">
        <v>2.385837E-3</v>
      </c>
      <c r="AA4823">
        <v>0.99840700000000004</v>
      </c>
      <c r="AB4823">
        <v>42</v>
      </c>
      <c r="AC4823">
        <v>-34.205500000000001</v>
      </c>
      <c r="AD4823">
        <v>-1.1094624510210001</v>
      </c>
      <c r="AE4823">
        <v>0.37020000000001102</v>
      </c>
      <c r="AF4823">
        <v>1.9507412211180399</v>
      </c>
      <c r="AG4823">
        <v>-1.1094624510210001</v>
      </c>
      <c r="AH4823">
        <v>34.115831400119703</v>
      </c>
      <c r="AI4823">
        <v>91.859593137652695</v>
      </c>
      <c r="AJ4823">
        <v>86.727394257379899</v>
      </c>
      <c r="AK4823">
        <v>34.189563471378101</v>
      </c>
      <c r="AL4823">
        <v>89.327263892601707</v>
      </c>
      <c r="AM4823">
        <v>86.927547491281501</v>
      </c>
      <c r="AN4823">
        <v>0.99999997532555296</v>
      </c>
    </row>
    <row r="4824" spans="1:40" x14ac:dyDescent="0.25">
      <c r="A4824" t="str">
        <f>"20190312154352227"</f>
        <v>20190312154352227</v>
      </c>
      <c r="B4824" t="str">
        <f>"1552376632212482"</f>
        <v>1552376632212482</v>
      </c>
      <c r="C4824" t="s">
        <v>40</v>
      </c>
      <c r="D4824">
        <v>4.98407</v>
      </c>
      <c r="E4824">
        <v>0.50197749999999997</v>
      </c>
      <c r="F4824" t="s">
        <v>43</v>
      </c>
      <c r="G4824">
        <v>-332.1087</v>
      </c>
      <c r="H4824" s="1">
        <v>-3.8417010000000002E-6</v>
      </c>
      <c r="I4824">
        <v>140.1086</v>
      </c>
      <c r="J4824">
        <v>-296.98860000000002</v>
      </c>
      <c r="K4824">
        <v>1.109464</v>
      </c>
      <c r="L4824">
        <v>139.66249999999999</v>
      </c>
      <c r="M4824">
        <v>-0.99883909999999998</v>
      </c>
      <c r="N4824">
        <v>0</v>
      </c>
      <c r="O4824">
        <v>-4.5692780000000002E-2</v>
      </c>
      <c r="P4824">
        <v>-0.99996220000000002</v>
      </c>
      <c r="Q4824">
        <v>-2.6127160000000002E-3</v>
      </c>
      <c r="R4824">
        <v>8.2945889999999998E-3</v>
      </c>
      <c r="S4824">
        <v>-2.9995120000000002</v>
      </c>
      <c r="T4824">
        <v>-9.367085E-2</v>
      </c>
      <c r="U4824">
        <v>3.6117549999999998E-2</v>
      </c>
      <c r="V4824">
        <v>5.4003059999999999E-2</v>
      </c>
      <c r="W4824">
        <v>1.2526010000000001E-2</v>
      </c>
      <c r="X4824">
        <v>0.99846219999999997</v>
      </c>
      <c r="Y4824">
        <v>5.7672099999999997E-2</v>
      </c>
      <c r="Z4824">
        <v>2.326678E-3</v>
      </c>
      <c r="AA4824">
        <v>0.99833289999999997</v>
      </c>
      <c r="AB4824">
        <v>42</v>
      </c>
      <c r="AC4824">
        <v>-35.120099999999901</v>
      </c>
      <c r="AD4824">
        <v>-1.109467841701</v>
      </c>
      <c r="AE4824">
        <v>0.446100000000001</v>
      </c>
      <c r="AF4824">
        <v>2.0485116160811301</v>
      </c>
      <c r="AG4824">
        <v>-1.109467841701</v>
      </c>
      <c r="AH4824">
        <v>35.028072618530203</v>
      </c>
      <c r="AI4824">
        <v>91.811069131542595</v>
      </c>
      <c r="AJ4824">
        <v>86.653040650280104</v>
      </c>
      <c r="AK4824">
        <v>35.105458124086802</v>
      </c>
      <c r="AL4824">
        <v>89.282293722549298</v>
      </c>
      <c r="AM4824">
        <v>86.904103551540999</v>
      </c>
      <c r="AN4824">
        <v>0.99999999812236096</v>
      </c>
    </row>
    <row r="4825" spans="1:40" x14ac:dyDescent="0.25">
      <c r="A4825" t="str">
        <f>"20190312154352249"</f>
        <v>20190312154352249</v>
      </c>
      <c r="B4825" t="str">
        <f>"1552376632242738"</f>
        <v>1552376632242738</v>
      </c>
      <c r="C4825" t="s">
        <v>40</v>
      </c>
      <c r="D4825">
        <v>4.7815029999999998</v>
      </c>
      <c r="E4825">
        <v>0.50242600000000004</v>
      </c>
      <c r="F4825" t="s">
        <v>43</v>
      </c>
      <c r="G4825">
        <v>-332.24759999999998</v>
      </c>
      <c r="H4825" s="1">
        <v>-3.7752580000000002E-6</v>
      </c>
      <c r="I4825">
        <v>140.10550000000001</v>
      </c>
      <c r="J4825">
        <v>-297.4033</v>
      </c>
      <c r="K4825">
        <v>1.10947</v>
      </c>
      <c r="L4825">
        <v>139.64400000000001</v>
      </c>
      <c r="M4825">
        <v>-0.99886609999999998</v>
      </c>
      <c r="N4825">
        <v>0</v>
      </c>
      <c r="O4825">
        <v>-4.5100800000000003E-2</v>
      </c>
      <c r="P4825">
        <v>-0.9999536</v>
      </c>
      <c r="Q4825">
        <v>-3.1855780000000001E-3</v>
      </c>
      <c r="R4825">
        <v>9.0981259999999998E-3</v>
      </c>
      <c r="S4825">
        <v>-2.9995729999999998</v>
      </c>
      <c r="T4825">
        <v>-9.4385499999999997E-2</v>
      </c>
      <c r="U4825">
        <v>3.7689210000000001E-2</v>
      </c>
      <c r="V4825">
        <v>5.4212740000000002E-2</v>
      </c>
      <c r="W4825">
        <v>1.19486E-2</v>
      </c>
      <c r="X4825">
        <v>0.99845790000000001</v>
      </c>
      <c r="Y4825">
        <v>5.7602739999999999E-2</v>
      </c>
      <c r="Z4825">
        <v>2.324666E-3</v>
      </c>
      <c r="AA4825">
        <v>0.99833689999999997</v>
      </c>
      <c r="AB4825">
        <v>42</v>
      </c>
      <c r="AC4825">
        <v>-34.844299999999897</v>
      </c>
      <c r="AD4825">
        <v>-1.109473775258</v>
      </c>
      <c r="AE4825">
        <v>0.46150000000000002</v>
      </c>
      <c r="AF4825">
        <v>2.0306603497154301</v>
      </c>
      <c r="AG4825">
        <v>-1.109473775258</v>
      </c>
      <c r="AH4825">
        <v>34.752791504758903</v>
      </c>
      <c r="AI4825">
        <v>91.825420278639498</v>
      </c>
      <c r="AJ4825">
        <v>86.655919733542106</v>
      </c>
      <c r="AK4825">
        <v>34.829743480064998</v>
      </c>
      <c r="AL4825">
        <v>89.315379346957798</v>
      </c>
      <c r="AM4825">
        <v>86.892093142567603</v>
      </c>
      <c r="AN4825">
        <v>0.99999998414633795</v>
      </c>
    </row>
    <row r="4826" spans="1:40" x14ac:dyDescent="0.25">
      <c r="A4826" t="str">
        <f>"20190312154352362"</f>
        <v>20190312154352362</v>
      </c>
      <c r="B4826" t="str">
        <f>"1552376632352050"</f>
        <v>1552376632352050</v>
      </c>
      <c r="C4826" t="s">
        <v>40</v>
      </c>
      <c r="D4826">
        <v>3.8768790000000002</v>
      </c>
      <c r="E4826">
        <v>0.51879010000000003</v>
      </c>
      <c r="F4826" t="s">
        <v>43</v>
      </c>
      <c r="G4826">
        <v>-331.34350000000001</v>
      </c>
      <c r="H4826" s="1">
        <v>-4.210968E-6</v>
      </c>
      <c r="I4826">
        <v>140.137</v>
      </c>
      <c r="J4826">
        <v>-299.49829999999997</v>
      </c>
      <c r="K4826">
        <v>1.1094869999999999</v>
      </c>
      <c r="L4826">
        <v>139.5547</v>
      </c>
      <c r="M4826">
        <v>-0.99899720000000003</v>
      </c>
      <c r="N4826">
        <v>0</v>
      </c>
      <c r="O4826">
        <v>-4.2107199999999997E-2</v>
      </c>
      <c r="P4826">
        <v>-0.99991319999999995</v>
      </c>
      <c r="Q4826">
        <v>-1.515944E-3</v>
      </c>
      <c r="R4826">
        <v>1.3095290000000001E-2</v>
      </c>
      <c r="S4826">
        <v>-2.9994510000000001</v>
      </c>
      <c r="T4826">
        <v>-9.8049159999999996E-2</v>
      </c>
      <c r="U4826">
        <v>4.356384E-2</v>
      </c>
      <c r="V4826">
        <v>5.5214529999999998E-2</v>
      </c>
      <c r="W4826">
        <v>1.359499E-2</v>
      </c>
      <c r="X4826">
        <v>0.99838199999999999</v>
      </c>
      <c r="Y4826">
        <v>5.656448E-2</v>
      </c>
      <c r="Z4826">
        <v>2.300187E-3</v>
      </c>
      <c r="AA4826">
        <v>0.99839630000000001</v>
      </c>
      <c r="AB4826">
        <v>41</v>
      </c>
      <c r="AC4826">
        <v>-31.845199999999998</v>
      </c>
      <c r="AD4826">
        <v>-1.109491210968</v>
      </c>
      <c r="AE4826">
        <v>0.58230000000000304</v>
      </c>
      <c r="AF4826">
        <v>1.92052051651817</v>
      </c>
      <c r="AG4826">
        <v>-1.109491210968</v>
      </c>
      <c r="AH4826">
        <v>31.753896920397899</v>
      </c>
      <c r="AI4826">
        <v>91.997471523855793</v>
      </c>
      <c r="AJ4826">
        <v>86.538886507308007</v>
      </c>
      <c r="AK4826">
        <v>31.831263553821302</v>
      </c>
      <c r="AL4826">
        <v>89.221040487680298</v>
      </c>
      <c r="AM4826">
        <v>86.834538124519995</v>
      </c>
      <c r="AN4826">
        <v>1.0000000430000999</v>
      </c>
    </row>
    <row r="4827" spans="1:40" x14ac:dyDescent="0.25">
      <c r="A4827" t="str">
        <f>"20190312154352384"</f>
        <v>20190312154352384</v>
      </c>
      <c r="B4827" t="str">
        <f>"1552376632372546"</f>
        <v>1552376632372546</v>
      </c>
      <c r="C4827" t="s">
        <v>40</v>
      </c>
      <c r="D4827">
        <v>4.8582999999999998</v>
      </c>
      <c r="E4827">
        <v>0.51336689999999996</v>
      </c>
      <c r="F4827" t="s">
        <v>41</v>
      </c>
      <c r="G4827">
        <v>-300.25549999999998</v>
      </c>
      <c r="H4827">
        <v>0.87667059999999997</v>
      </c>
      <c r="I4827">
        <v>139.5941</v>
      </c>
      <c r="J4827">
        <v>-299.8938</v>
      </c>
      <c r="K4827">
        <v>1.1094919999999999</v>
      </c>
      <c r="L4827">
        <v>139.5385</v>
      </c>
      <c r="M4827">
        <v>-0.99902100000000005</v>
      </c>
      <c r="N4827">
        <v>0</v>
      </c>
      <c r="O4827">
        <v>-4.1541219999999997E-2</v>
      </c>
      <c r="P4827">
        <v>-0.99990109999999999</v>
      </c>
      <c r="Q4827">
        <v>-1.069836E-3</v>
      </c>
      <c r="R4827">
        <v>1.403597E-2</v>
      </c>
      <c r="S4827">
        <v>-2.9968569999999999</v>
      </c>
      <c r="T4827">
        <v>-0.92141010000000001</v>
      </c>
      <c r="U4827">
        <v>0.1554565</v>
      </c>
      <c r="V4827">
        <v>5.5588869999999999E-2</v>
      </c>
      <c r="W4827">
        <v>1.403602E-2</v>
      </c>
      <c r="X4827">
        <v>0.99835510000000005</v>
      </c>
      <c r="Y4827">
        <v>8.7309380000000006E-2</v>
      </c>
      <c r="Z4827">
        <v>2.5588730000000001E-2</v>
      </c>
      <c r="AA4827">
        <v>0.99585250000000003</v>
      </c>
      <c r="AB4827">
        <v>41</v>
      </c>
      <c r="AC4827">
        <v>-0.36169999999998398</v>
      </c>
      <c r="AD4827">
        <v>-0.23282140000000001</v>
      </c>
      <c r="AE4827">
        <v>5.5599999999998297E-2</v>
      </c>
      <c r="AF4827">
        <v>5.0242601606208297E-2</v>
      </c>
      <c r="AG4827">
        <v>-0.23282140000000001</v>
      </c>
      <c r="AH4827">
        <v>0.25561358183652999</v>
      </c>
      <c r="AI4827">
        <v>131.78819632188601</v>
      </c>
      <c r="AJ4827">
        <v>78.879882619683798</v>
      </c>
      <c r="AK4827">
        <v>0.34938292249825298</v>
      </c>
      <c r="AL4827">
        <v>89.195768899745005</v>
      </c>
      <c r="AM4827">
        <v>86.813035521314802</v>
      </c>
      <c r="AN4827">
        <v>1.0000000190106599</v>
      </c>
    </row>
    <row r="4828" spans="1:40" x14ac:dyDescent="0.25">
      <c r="A4828" t="str">
        <f>"20190312154352404"</f>
        <v>20190312154352404</v>
      </c>
      <c r="B4828" t="str">
        <f>"1552376632402802"</f>
        <v>1552376632402802</v>
      </c>
      <c r="C4828" t="s">
        <v>40</v>
      </c>
      <c r="D4828">
        <v>5.1636379999999997</v>
      </c>
      <c r="E4828">
        <v>0.5100133</v>
      </c>
      <c r="F4828" t="s">
        <v>41</v>
      </c>
      <c r="G4828">
        <v>-300.63189999999997</v>
      </c>
      <c r="H4828">
        <v>0.89939829999999998</v>
      </c>
      <c r="I4828">
        <v>139.5675</v>
      </c>
      <c r="J4828">
        <v>-300.27999999999997</v>
      </c>
      <c r="K4828">
        <v>1.109499</v>
      </c>
      <c r="L4828">
        <v>139.52289999999999</v>
      </c>
      <c r="M4828">
        <v>-0.99904380000000004</v>
      </c>
      <c r="N4828">
        <v>0</v>
      </c>
      <c r="O4828">
        <v>-4.0987759999999998E-2</v>
      </c>
      <c r="P4828">
        <v>-0.99988849999999996</v>
      </c>
      <c r="Q4828">
        <v>-4.9313899999999997E-4</v>
      </c>
      <c r="R4828">
        <v>1.492365E-2</v>
      </c>
      <c r="S4828">
        <v>-2.9977420000000001</v>
      </c>
      <c r="T4828">
        <v>-0.85325549999999994</v>
      </c>
      <c r="U4828">
        <v>0.11752319999999999</v>
      </c>
      <c r="V4828">
        <v>5.5923E-2</v>
      </c>
      <c r="W4828">
        <v>1.460817E-2</v>
      </c>
      <c r="X4828">
        <v>0.9983282</v>
      </c>
      <c r="Y4828">
        <v>7.5481439999999997E-2</v>
      </c>
      <c r="Z4828">
        <v>2.1965510000000001E-2</v>
      </c>
      <c r="AA4828">
        <v>0.99690529999999999</v>
      </c>
      <c r="AB4828">
        <v>41</v>
      </c>
      <c r="AC4828">
        <v>-0.35189999999999999</v>
      </c>
      <c r="AD4828">
        <v>-0.2101007</v>
      </c>
      <c r="AE4828">
        <v>4.4600000000002603E-2</v>
      </c>
      <c r="AF4828">
        <v>4.3667825142540702E-2</v>
      </c>
      <c r="AG4828">
        <v>-0.2101007</v>
      </c>
      <c r="AH4828">
        <v>0.25893424661535702</v>
      </c>
      <c r="AI4828">
        <v>128.663562633834</v>
      </c>
      <c r="AJ4828">
        <v>80.427456975704303</v>
      </c>
      <c r="AK4828">
        <v>0.33629767641693897</v>
      </c>
      <c r="AL4828">
        <v>89.162983730838306</v>
      </c>
      <c r="AM4828">
        <v>86.793833155521597</v>
      </c>
      <c r="AN4828">
        <v>0.99999998773749399</v>
      </c>
    </row>
    <row r="4829" spans="1:40" x14ac:dyDescent="0.25">
      <c r="A4829" t="str">
        <f>"20190312154352427"</f>
        <v>20190312154352427</v>
      </c>
      <c r="B4829" t="str">
        <f>"1552376632422321"</f>
        <v>1552376632422321</v>
      </c>
      <c r="C4829" t="s">
        <v>40</v>
      </c>
      <c r="D4829">
        <v>5.1849230000000004</v>
      </c>
      <c r="E4829">
        <v>0.51003029999999905</v>
      </c>
      <c r="F4829" t="s">
        <v>41</v>
      </c>
      <c r="G4829">
        <v>-301.02080000000001</v>
      </c>
      <c r="H4829">
        <v>0.94569919999999996</v>
      </c>
      <c r="I4829">
        <v>139.5478</v>
      </c>
      <c r="J4829">
        <v>-300.67829999999998</v>
      </c>
      <c r="K4829">
        <v>1.109507</v>
      </c>
      <c r="L4829">
        <v>139.50710000000001</v>
      </c>
      <c r="M4829">
        <v>-0.99906709999999999</v>
      </c>
      <c r="N4829">
        <v>0</v>
      </c>
      <c r="O4829">
        <v>-4.0417010000000003E-2</v>
      </c>
      <c r="P4829">
        <v>-0.99987409999999999</v>
      </c>
      <c r="Q4829">
        <v>1.7788449999999999E-4</v>
      </c>
      <c r="R4829">
        <v>1.587216E-2</v>
      </c>
      <c r="S4829">
        <v>-2.9985050000000002</v>
      </c>
      <c r="T4829">
        <v>-0.66296359999999999</v>
      </c>
      <c r="U4829">
        <v>0.1001587</v>
      </c>
      <c r="V4829">
        <v>5.6300910000000003E-2</v>
      </c>
      <c r="W4829">
        <v>1.5273760000000001E-2</v>
      </c>
      <c r="X4829">
        <v>0.99829699999999999</v>
      </c>
      <c r="Y4829">
        <v>7.1066089999999998E-2</v>
      </c>
      <c r="Z4829">
        <v>1.6588260000000001E-2</v>
      </c>
      <c r="AA4829">
        <v>0.99733360000000004</v>
      </c>
      <c r="AB4829">
        <v>41</v>
      </c>
      <c r="AC4829">
        <v>-0.342500000000029</v>
      </c>
      <c r="AD4829">
        <v>-0.163807799999999</v>
      </c>
      <c r="AE4829">
        <v>4.0699999999986802E-2</v>
      </c>
      <c r="AF4829">
        <v>4.4478649685024102E-2</v>
      </c>
      <c r="AG4829">
        <v>-0.163807799999999</v>
      </c>
      <c r="AH4829">
        <v>0.27789376016544598</v>
      </c>
      <c r="AI4829">
        <v>120.201698040487</v>
      </c>
      <c r="AJ4829">
        <v>80.9065773417325</v>
      </c>
      <c r="AK4829">
        <v>0.32563213532686403</v>
      </c>
      <c r="AL4829">
        <v>89.124843976691096</v>
      </c>
      <c r="AM4829">
        <v>86.772111884546007</v>
      </c>
      <c r="AN4829">
        <v>0.99999999021018204</v>
      </c>
    </row>
    <row r="4830" spans="1:40" x14ac:dyDescent="0.25">
      <c r="A4830" t="str">
        <f>"20190312154352449"</f>
        <v>20190312154352449</v>
      </c>
      <c r="B4830" t="str">
        <f>"1552376632442818"</f>
        <v>1552376632442818</v>
      </c>
      <c r="C4830" t="s">
        <v>40</v>
      </c>
      <c r="D4830">
        <v>5.0340749999999996</v>
      </c>
      <c r="E4830">
        <v>0.50913140000000001</v>
      </c>
      <c r="F4830" t="s">
        <v>41</v>
      </c>
      <c r="G4830">
        <v>-301.404</v>
      </c>
      <c r="H4830">
        <v>0.97920980000000002</v>
      </c>
      <c r="I4830">
        <v>139.53319999999999</v>
      </c>
      <c r="J4830">
        <v>-301.09730000000002</v>
      </c>
      <c r="K4830">
        <v>1.1095109999999999</v>
      </c>
      <c r="L4830">
        <v>139.4907</v>
      </c>
      <c r="M4830">
        <v>-0.99909119999999996</v>
      </c>
      <c r="N4830">
        <v>0</v>
      </c>
      <c r="O4830">
        <v>-3.9816339999999999E-2</v>
      </c>
      <c r="P4830">
        <v>-0.99986399999999998</v>
      </c>
      <c r="Q4830">
        <v>7.141456E-4</v>
      </c>
      <c r="R4830">
        <v>1.6474559999999999E-2</v>
      </c>
      <c r="S4830">
        <v>-2.9987490000000001</v>
      </c>
      <c r="T4830">
        <v>-0.53834550000000003</v>
      </c>
      <c r="U4830">
        <v>0.10795589999999999</v>
      </c>
      <c r="V4830">
        <v>5.6302850000000002E-2</v>
      </c>
      <c r="W4830">
        <v>1.5805840000000002E-2</v>
      </c>
      <c r="X4830">
        <v>0.99828859999999997</v>
      </c>
      <c r="Y4830">
        <v>7.3927160000000006E-2</v>
      </c>
      <c r="Z4830">
        <v>1.367082E-2</v>
      </c>
      <c r="AA4830">
        <v>0.99716990000000005</v>
      </c>
      <c r="AB4830">
        <v>41</v>
      </c>
      <c r="AC4830">
        <v>-0.30669999999997799</v>
      </c>
      <c r="AD4830">
        <v>-0.13030120000000001</v>
      </c>
      <c r="AE4830">
        <v>4.2499999999989699E-2</v>
      </c>
      <c r="AF4830">
        <v>4.6452771576207599E-2</v>
      </c>
      <c r="AG4830">
        <v>-0.13030120000000001</v>
      </c>
      <c r="AH4830">
        <v>0.25891203875477897</v>
      </c>
      <c r="AI4830">
        <v>116.351735828974</v>
      </c>
      <c r="AJ4830">
        <v>79.828481105583805</v>
      </c>
      <c r="AK4830">
        <v>0.29355017717710102</v>
      </c>
      <c r="AL4830">
        <v>89.094354348786894</v>
      </c>
      <c r="AM4830">
        <v>86.771973789909296</v>
      </c>
      <c r="AN4830">
        <v>0.99999998219309305</v>
      </c>
    </row>
    <row r="4831" spans="1:40" x14ac:dyDescent="0.25">
      <c r="A4831" t="str">
        <f>"20190312154352472"</f>
        <v>20190312154352472</v>
      </c>
      <c r="B4831" t="str">
        <f>"1552376632462355"</f>
        <v>1552376632462355</v>
      </c>
      <c r="C4831" t="s">
        <v>40</v>
      </c>
      <c r="D4831">
        <v>5.0120339999999999</v>
      </c>
      <c r="E4831">
        <v>0.50853289999999995</v>
      </c>
      <c r="F4831" t="s">
        <v>41</v>
      </c>
      <c r="G4831">
        <v>-302.12419999999997</v>
      </c>
      <c r="H4831">
        <v>0.95369579999999998</v>
      </c>
      <c r="I4831">
        <v>139.52680000000001</v>
      </c>
      <c r="J4831">
        <v>-301.50420000000003</v>
      </c>
      <c r="K4831">
        <v>1.109518</v>
      </c>
      <c r="L4831">
        <v>139.47499999999999</v>
      </c>
      <c r="M4831">
        <v>-0.99911439999999996</v>
      </c>
      <c r="N4831">
        <v>0</v>
      </c>
      <c r="O4831">
        <v>-3.9232599999999999E-2</v>
      </c>
      <c r="P4831">
        <v>-0.99985729999999995</v>
      </c>
      <c r="Q4831">
        <v>9.2913019999999998E-4</v>
      </c>
      <c r="R4831">
        <v>1.686592E-2</v>
      </c>
      <c r="S4831">
        <v>-2.9990230000000002</v>
      </c>
      <c r="T4831">
        <v>-0.455013</v>
      </c>
      <c r="U4831">
        <v>0.1055603</v>
      </c>
      <c r="V4831">
        <v>5.6110710000000001E-2</v>
      </c>
      <c r="W4831">
        <v>1.6016579999999999E-2</v>
      </c>
      <c r="X4831">
        <v>0.99829610000000002</v>
      </c>
      <c r="Y4831">
        <v>7.3078169999999998E-2</v>
      </c>
      <c r="Z4831">
        <v>1.142778E-2</v>
      </c>
      <c r="AA4831">
        <v>0.9972607</v>
      </c>
      <c r="AB4831">
        <v>41</v>
      </c>
      <c r="AC4831">
        <v>-0.61999999999994704</v>
      </c>
      <c r="AD4831">
        <v>-0.15582219999999899</v>
      </c>
      <c r="AE4831">
        <v>5.1800000000014203E-2</v>
      </c>
      <c r="AF4831">
        <v>7.1596126857842599E-2</v>
      </c>
      <c r="AG4831">
        <v>-0.15582219999999899</v>
      </c>
      <c r="AH4831">
        <v>0.58104300511229501</v>
      </c>
      <c r="AI4831">
        <v>104.904509959047</v>
      </c>
      <c r="AJ4831">
        <v>82.975422262307106</v>
      </c>
      <c r="AK4831">
        <v>0.60581972333674505</v>
      </c>
      <c r="AL4831">
        <v>89.082278344653503</v>
      </c>
      <c r="AM4831">
        <v>86.782990744131794</v>
      </c>
      <c r="AN4831">
        <v>1.0000000229434001</v>
      </c>
    </row>
    <row r="4832" spans="1:40" x14ac:dyDescent="0.25">
      <c r="A4832" t="str">
        <f>"20190312154352493"</f>
        <v>20190312154352493</v>
      </c>
      <c r="B4832" t="str">
        <f>"1552376632482835"</f>
        <v>1552376632482835</v>
      </c>
      <c r="C4832" t="s">
        <v>40</v>
      </c>
      <c r="D4832">
        <v>4.9622010000000003</v>
      </c>
      <c r="E4832">
        <v>0.50805299999999998</v>
      </c>
      <c r="F4832" t="s">
        <v>41</v>
      </c>
      <c r="G4832">
        <v>-302.50259999999997</v>
      </c>
      <c r="H4832">
        <v>0.980267</v>
      </c>
      <c r="I4832">
        <v>139.51</v>
      </c>
      <c r="J4832">
        <v>-301.9076</v>
      </c>
      <c r="K4832">
        <v>1.109521</v>
      </c>
      <c r="L4832">
        <v>139.4597</v>
      </c>
      <c r="M4832">
        <v>-0.99913700000000005</v>
      </c>
      <c r="N4832">
        <v>0</v>
      </c>
      <c r="O4832">
        <v>-3.8653859999999998E-2</v>
      </c>
      <c r="P4832">
        <v>-0.99985480000000004</v>
      </c>
      <c r="Q4832">
        <v>1.294527E-3</v>
      </c>
      <c r="R4832">
        <v>1.6994099999999901E-2</v>
      </c>
      <c r="S4832">
        <v>-2.998993</v>
      </c>
      <c r="T4832">
        <v>-0.3882505</v>
      </c>
      <c r="U4832">
        <v>0.1044312</v>
      </c>
      <c r="V4832">
        <v>5.5660910000000001E-2</v>
      </c>
      <c r="W4832">
        <v>1.6379399999999999E-2</v>
      </c>
      <c r="X4832">
        <v>0.99831539999999996</v>
      </c>
      <c r="Y4832">
        <v>7.2483300000000001E-2</v>
      </c>
      <c r="Z4832">
        <v>9.6532930000000003E-3</v>
      </c>
      <c r="AA4832">
        <v>0.99732290000000001</v>
      </c>
      <c r="AB4832">
        <v>41</v>
      </c>
      <c r="AC4832">
        <v>-0.59499999999997</v>
      </c>
      <c r="AD4832">
        <v>-0.12925399999999901</v>
      </c>
      <c r="AE4832">
        <v>5.0299999999992899E-2</v>
      </c>
      <c r="AF4832">
        <v>6.9984920960850905E-2</v>
      </c>
      <c r="AG4832">
        <v>-0.12925399999999901</v>
      </c>
      <c r="AH4832">
        <v>0.56608640763921703</v>
      </c>
      <c r="AI4832">
        <v>102.767823842073</v>
      </c>
      <c r="AJ4832">
        <v>82.952318293176404</v>
      </c>
      <c r="AK4832">
        <v>0.58485750964809402</v>
      </c>
      <c r="AL4832">
        <v>89.061487569024806</v>
      </c>
      <c r="AM4832">
        <v>86.808787289885899</v>
      </c>
      <c r="AN4832">
        <v>1.0000000297617699</v>
      </c>
    </row>
    <row r="4833" spans="1:40" x14ac:dyDescent="0.25">
      <c r="A4833" t="str">
        <f>"20190312154352516"</f>
        <v>20190312154352516</v>
      </c>
      <c r="B4833" t="str">
        <f>"1552376632502354"</f>
        <v>1552376632502354</v>
      </c>
      <c r="C4833" t="s">
        <v>40</v>
      </c>
      <c r="D4833">
        <v>5.0095489999999998</v>
      </c>
      <c r="E4833">
        <v>0.50713390000000003</v>
      </c>
      <c r="F4833" t="s">
        <v>41</v>
      </c>
      <c r="G4833">
        <v>-302.87630000000001</v>
      </c>
      <c r="H4833">
        <v>0.99807069999999998</v>
      </c>
      <c r="I4833">
        <v>139.49289999999999</v>
      </c>
      <c r="J4833">
        <v>-302.30939999999998</v>
      </c>
      <c r="K4833">
        <v>1.109521</v>
      </c>
      <c r="L4833">
        <v>139.44470000000001</v>
      </c>
      <c r="M4833">
        <v>-0.99915920000000003</v>
      </c>
      <c r="N4833">
        <v>0</v>
      </c>
      <c r="O4833">
        <v>-3.8077390000000003E-2</v>
      </c>
      <c r="P4833">
        <v>-0.99985690000000005</v>
      </c>
      <c r="Q4833">
        <v>2.0585880000000001E-3</v>
      </c>
      <c r="R4833">
        <v>1.6789459999999999E-2</v>
      </c>
      <c r="S4833">
        <v>-2.9991460000000001</v>
      </c>
      <c r="T4833">
        <v>-0.3449699</v>
      </c>
      <c r="U4833">
        <v>0.1025848</v>
      </c>
      <c r="V4833">
        <v>5.4881430000000002E-2</v>
      </c>
      <c r="W4833">
        <v>1.7140799999999901E-2</v>
      </c>
      <c r="X4833">
        <v>0.9983457</v>
      </c>
      <c r="Y4833">
        <v>7.1497630000000006E-2</v>
      </c>
      <c r="Z4833">
        <v>8.4617570000000003E-3</v>
      </c>
      <c r="AA4833">
        <v>0.99740490000000004</v>
      </c>
      <c r="AB4833">
        <v>41</v>
      </c>
      <c r="AC4833">
        <v>-0.56690000000003204</v>
      </c>
      <c r="AD4833">
        <v>-0.111450299999999</v>
      </c>
      <c r="AE4833">
        <v>4.8199999999980002E-2</v>
      </c>
      <c r="AF4833">
        <v>6.7175888914382795E-2</v>
      </c>
      <c r="AG4833">
        <v>-0.111450299999999</v>
      </c>
      <c r="AH4833">
        <v>0.54378672761078195</v>
      </c>
      <c r="AI4833">
        <v>101.497455943245</v>
      </c>
      <c r="AJ4833">
        <v>82.957728946154205</v>
      </c>
      <c r="AK4833">
        <v>0.55914021009686898</v>
      </c>
      <c r="AL4833">
        <v>89.017856363370001</v>
      </c>
      <c r="AM4833">
        <v>86.853482165535496</v>
      </c>
      <c r="AN4833">
        <v>0.99999995754598603</v>
      </c>
    </row>
    <row r="4834" spans="1:40" x14ac:dyDescent="0.25">
      <c r="A4834" t="str">
        <f>"20190312154352539"</f>
        <v>20190312154352539</v>
      </c>
      <c r="B4834" t="str">
        <f>"1552376632532615"</f>
        <v>1552376632532615</v>
      </c>
      <c r="C4834" t="s">
        <v>40</v>
      </c>
      <c r="D4834">
        <v>4.9829650000000001</v>
      </c>
      <c r="E4834">
        <v>0.50570199999999998</v>
      </c>
      <c r="F4834" t="s">
        <v>41</v>
      </c>
      <c r="G4834">
        <v>-303.24779999999998</v>
      </c>
      <c r="H4834">
        <v>1.012216</v>
      </c>
      <c r="I4834">
        <v>139.47479999999999</v>
      </c>
      <c r="J4834">
        <v>-302.73180000000002</v>
      </c>
      <c r="K4834">
        <v>1.109524</v>
      </c>
      <c r="L4834">
        <v>139.42910000000001</v>
      </c>
      <c r="M4834">
        <v>-0.99918229999999997</v>
      </c>
      <c r="N4834">
        <v>0</v>
      </c>
      <c r="O4834">
        <v>-3.7471230000000001E-2</v>
      </c>
      <c r="P4834">
        <v>-0.9998553</v>
      </c>
      <c r="Q4834">
        <v>2.4069439999999998E-3</v>
      </c>
      <c r="R4834">
        <v>1.684507E-2</v>
      </c>
      <c r="S4834">
        <v>-2.9994510000000001</v>
      </c>
      <c r="T4834">
        <v>-0.31107629999999997</v>
      </c>
      <c r="U4834">
        <v>9.5733639999999995E-2</v>
      </c>
      <c r="V4834">
        <v>5.433164E-2</v>
      </c>
      <c r="W4834">
        <v>1.7485509999999999E-2</v>
      </c>
      <c r="X4834">
        <v>0.99836979999999997</v>
      </c>
      <c r="Y4834">
        <v>6.8765530000000005E-2</v>
      </c>
      <c r="Z4834">
        <v>7.4305899999999999E-3</v>
      </c>
      <c r="AA4834">
        <v>0.99760519999999997</v>
      </c>
      <c r="AB4834">
        <v>41</v>
      </c>
      <c r="AC4834">
        <v>-0.51599999999996204</v>
      </c>
      <c r="AD4834">
        <v>-9.7307999999999895E-2</v>
      </c>
      <c r="AE4834">
        <v>4.5699999999982303E-2</v>
      </c>
      <c r="AF4834">
        <v>6.2789675963826994E-2</v>
      </c>
      <c r="AG4834">
        <v>-9.7307999999999895E-2</v>
      </c>
      <c r="AH4834">
        <v>0.49640854844922799</v>
      </c>
      <c r="AI4834">
        <v>101.005198937495</v>
      </c>
      <c r="AJ4834">
        <v>82.791060105635495</v>
      </c>
      <c r="AK4834">
        <v>0.50973800843679695</v>
      </c>
      <c r="AL4834">
        <v>88.998102979887506</v>
      </c>
      <c r="AM4834">
        <v>86.885015939574103</v>
      </c>
      <c r="AN4834">
        <v>0.99999996385854395</v>
      </c>
    </row>
    <row r="4835" spans="1:40" x14ac:dyDescent="0.25">
      <c r="A4835" t="str">
        <f>"20190312154352562"</f>
        <v>20190312154352562</v>
      </c>
      <c r="B4835" t="str">
        <f>"1552376632552130"</f>
        <v>1552376632552130</v>
      </c>
      <c r="C4835" t="s">
        <v>40</v>
      </c>
      <c r="D4835">
        <v>4.9842709999999997</v>
      </c>
      <c r="E4835">
        <v>0.50479870000000004</v>
      </c>
      <c r="F4835" t="s">
        <v>41</v>
      </c>
      <c r="G4835">
        <v>-303.61930000000001</v>
      </c>
      <c r="H4835">
        <v>1.0274299999999901</v>
      </c>
      <c r="I4835">
        <v>139.4546</v>
      </c>
      <c r="J4835">
        <v>-303.15030000000002</v>
      </c>
      <c r="K4835">
        <v>1.1095250000000001</v>
      </c>
      <c r="L4835">
        <v>139.41399999999999</v>
      </c>
      <c r="M4835">
        <v>-0.9992048</v>
      </c>
      <c r="N4835">
        <v>0</v>
      </c>
      <c r="O4835">
        <v>-3.687008E-2</v>
      </c>
      <c r="P4835">
        <v>-0.99984740000000005</v>
      </c>
      <c r="Q4835">
        <v>2.5696880000000001E-3</v>
      </c>
      <c r="R4835">
        <v>1.7287469999999999E-2</v>
      </c>
      <c r="S4835">
        <v>-2.999603</v>
      </c>
      <c r="T4835">
        <v>-0.27747640000000001</v>
      </c>
      <c r="U4835">
        <v>8.5693359999999996E-2</v>
      </c>
      <c r="V4835">
        <v>5.4172989999999997E-2</v>
      </c>
      <c r="W4835">
        <v>1.764427E-2</v>
      </c>
      <c r="X4835">
        <v>0.99837569999999998</v>
      </c>
      <c r="Y4835">
        <v>6.4961969999999994E-2</v>
      </c>
      <c r="Z4835">
        <v>6.4005729999999997E-3</v>
      </c>
      <c r="AA4835">
        <v>0.99786719999999896</v>
      </c>
      <c r="AB4835">
        <v>41</v>
      </c>
      <c r="AC4835">
        <v>-0.46899999999999398</v>
      </c>
      <c r="AD4835">
        <v>-8.2095000000000196E-2</v>
      </c>
      <c r="AE4835">
        <v>4.0600000000011897E-2</v>
      </c>
      <c r="AF4835">
        <v>5.6158552765432003E-2</v>
      </c>
      <c r="AG4835">
        <v>-8.2095000000000196E-2</v>
      </c>
      <c r="AH4835">
        <v>0.45339527282066999</v>
      </c>
      <c r="AI4835">
        <v>100.186990506431</v>
      </c>
      <c r="AJ4835">
        <v>82.939178720080704</v>
      </c>
      <c r="AK4835">
        <v>0.46417738580184797</v>
      </c>
      <c r="AL4835">
        <v>88.989005370721699</v>
      </c>
      <c r="AM4835">
        <v>86.8941122696083</v>
      </c>
      <c r="AN4835">
        <v>1.0000000357299299</v>
      </c>
    </row>
    <row r="4836" spans="1:40" x14ac:dyDescent="0.25">
      <c r="A4836" t="str">
        <f>"20190312154352584"</f>
        <v>20190312154352584</v>
      </c>
      <c r="B4836" t="str">
        <f>"1552376632572626"</f>
        <v>1552376632572626</v>
      </c>
      <c r="C4836" t="s">
        <v>40</v>
      </c>
      <c r="D4836">
        <v>4.999593</v>
      </c>
      <c r="E4836">
        <v>0.50415399999999999</v>
      </c>
      <c r="F4836" t="s">
        <v>41</v>
      </c>
      <c r="G4836">
        <v>-303.98770000000002</v>
      </c>
      <c r="H4836">
        <v>1.0369170000000001</v>
      </c>
      <c r="I4836">
        <v>139.4367</v>
      </c>
      <c r="J4836">
        <v>-303.55529999999999</v>
      </c>
      <c r="K4836">
        <v>1.109534</v>
      </c>
      <c r="L4836">
        <v>139.39959999999999</v>
      </c>
      <c r="M4836">
        <v>-0.99922599999999995</v>
      </c>
      <c r="N4836">
        <v>0</v>
      </c>
      <c r="O4836">
        <v>-3.6288130000000002E-2</v>
      </c>
      <c r="P4836">
        <v>-0.99983999999999995</v>
      </c>
      <c r="Q4836">
        <v>2.7127940000000001E-3</v>
      </c>
      <c r="R4836">
        <v>1.7676569999999999E-2</v>
      </c>
      <c r="S4836">
        <v>-2.9997250000000002</v>
      </c>
      <c r="T4836">
        <v>-0.2601928</v>
      </c>
      <c r="U4836">
        <v>8.0459589999999998E-2</v>
      </c>
      <c r="V4836">
        <v>5.398008E-2</v>
      </c>
      <c r="W4836">
        <v>1.7783E-2</v>
      </c>
      <c r="X4836">
        <v>0.99838360000000004</v>
      </c>
      <c r="Y4836">
        <v>6.2702809999999998E-2</v>
      </c>
      <c r="Z4836">
        <v>5.8551599999999999E-3</v>
      </c>
      <c r="AA4836">
        <v>0.99801499999999999</v>
      </c>
      <c r="AB4836">
        <v>41</v>
      </c>
      <c r="AC4836">
        <v>-0.43240000000002898</v>
      </c>
      <c r="AD4836">
        <v>-7.2616999999999904E-2</v>
      </c>
      <c r="AE4836">
        <v>3.7100000000009403E-2</v>
      </c>
      <c r="AF4836">
        <v>5.1331208468935602E-2</v>
      </c>
      <c r="AG4836">
        <v>-7.2616999999999904E-2</v>
      </c>
      <c r="AH4836">
        <v>0.41903670217202099</v>
      </c>
      <c r="AI4836">
        <v>99.759899946403607</v>
      </c>
      <c r="AJ4836">
        <v>83.016168630906193</v>
      </c>
      <c r="AK4836">
        <v>0.428368859067841</v>
      </c>
      <c r="AL4836">
        <v>88.981055391224103</v>
      </c>
      <c r="AM4836">
        <v>86.905175237399305</v>
      </c>
      <c r="AN4836">
        <v>0.99999994843738105</v>
      </c>
    </row>
    <row r="4837" spans="1:40" x14ac:dyDescent="0.25">
      <c r="A4837" t="str">
        <f>"20190312154352605"</f>
        <v>20190312154352605</v>
      </c>
      <c r="B4837" t="str">
        <f>"1552376632592163"</f>
        <v>1552376632592163</v>
      </c>
      <c r="C4837" t="s">
        <v>40</v>
      </c>
      <c r="D4837">
        <v>4.9781459999999997</v>
      </c>
      <c r="E4837">
        <v>0.50361080000000003</v>
      </c>
      <c r="F4837" t="s">
        <v>41</v>
      </c>
      <c r="G4837">
        <v>-304.35559999999998</v>
      </c>
      <c r="H4837">
        <v>1.0441370000000001</v>
      </c>
      <c r="I4837">
        <v>139.42009999999999</v>
      </c>
      <c r="J4837">
        <v>-303.93680000000001</v>
      </c>
      <c r="K4837">
        <v>1.1095349999999999</v>
      </c>
      <c r="L4837">
        <v>139.3862</v>
      </c>
      <c r="M4837">
        <v>-0.99924610000000003</v>
      </c>
      <c r="N4837">
        <v>0</v>
      </c>
      <c r="O4837">
        <v>-3.5740029999999999E-2</v>
      </c>
      <c r="P4837">
        <v>-0.99982260000000001</v>
      </c>
      <c r="Q4837">
        <v>2.472807E-3</v>
      </c>
      <c r="R4837">
        <v>1.867924E-2</v>
      </c>
      <c r="S4837">
        <v>-2.9997859999999998</v>
      </c>
      <c r="T4837">
        <v>-0.24514320000000001</v>
      </c>
      <c r="U4837">
        <v>7.6827999999999994E-2</v>
      </c>
      <c r="V4837">
        <v>5.4433370000000002E-2</v>
      </c>
      <c r="W4837">
        <v>1.7538430000000001E-2</v>
      </c>
      <c r="X4837">
        <v>0.99836340000000001</v>
      </c>
      <c r="Y4837">
        <v>6.0996509999999997E-2</v>
      </c>
      <c r="Z4837">
        <v>5.4033199999999997E-3</v>
      </c>
      <c r="AA4837">
        <v>0.99812330000000005</v>
      </c>
      <c r="AB4837">
        <v>41</v>
      </c>
      <c r="AC4837">
        <v>-0.41879999999997602</v>
      </c>
      <c r="AD4837">
        <v>-6.5397999999999804E-2</v>
      </c>
      <c r="AE4837">
        <v>3.3899999999988398E-2</v>
      </c>
      <c r="AF4837">
        <v>4.7692588109363401E-2</v>
      </c>
      <c r="AG4837">
        <v>-6.5397999999999804E-2</v>
      </c>
      <c r="AH4837">
        <v>0.40744982519427098</v>
      </c>
      <c r="AI4837">
        <v>99.057719753863097</v>
      </c>
      <c r="AJ4837">
        <v>83.323826160965794</v>
      </c>
      <c r="AK4837">
        <v>0.415411652960544</v>
      </c>
      <c r="AL4837">
        <v>88.995070491963503</v>
      </c>
      <c r="AM4837">
        <v>86.879175027581397</v>
      </c>
      <c r="AN4837">
        <v>1.0000000333779899</v>
      </c>
    </row>
    <row r="4838" spans="1:40" x14ac:dyDescent="0.25">
      <c r="A4838" t="str">
        <f>"20190312154352629"</f>
        <v>20190312154352629</v>
      </c>
      <c r="B4838" t="str">
        <f>"1552376632622403"</f>
        <v>1552376632622403</v>
      </c>
      <c r="C4838" t="s">
        <v>40</v>
      </c>
      <c r="D4838">
        <v>4.9965029999999997</v>
      </c>
      <c r="E4838">
        <v>0.50289059999999997</v>
      </c>
      <c r="F4838" t="s">
        <v>41</v>
      </c>
      <c r="G4838">
        <v>-304.72210000000001</v>
      </c>
      <c r="H4838">
        <v>1.047974</v>
      </c>
      <c r="I4838">
        <v>139.40620000000001</v>
      </c>
      <c r="J4838">
        <v>-304.35550000000001</v>
      </c>
      <c r="K4838">
        <v>1.1095330000000001</v>
      </c>
      <c r="L4838">
        <v>139.3717</v>
      </c>
      <c r="M4838">
        <v>-0.99926729999999997</v>
      </c>
      <c r="N4838">
        <v>0</v>
      </c>
      <c r="O4838">
        <v>-3.5137929999999998E-2</v>
      </c>
      <c r="P4838">
        <v>-0.99980990000000003</v>
      </c>
      <c r="Q4838">
        <v>2.1611170000000002E-3</v>
      </c>
      <c r="R4838">
        <v>1.9382219999999999E-2</v>
      </c>
      <c r="S4838">
        <v>-2.9997250000000002</v>
      </c>
      <c r="T4838">
        <v>-0.2351499</v>
      </c>
      <c r="U4838">
        <v>7.5759889999999996E-2</v>
      </c>
      <c r="V4838">
        <v>5.4533360000000003E-2</v>
      </c>
      <c r="W4838">
        <v>1.7221859999999999E-2</v>
      </c>
      <c r="X4838">
        <v>0.99836340000000001</v>
      </c>
      <c r="Y4838">
        <v>6.0070789999999999E-2</v>
      </c>
      <c r="Z4838">
        <v>5.1005290000000003E-3</v>
      </c>
      <c r="AA4838">
        <v>0.99818110000000004</v>
      </c>
      <c r="AB4838">
        <v>41</v>
      </c>
      <c r="AC4838">
        <v>-0.36660000000000498</v>
      </c>
      <c r="AD4838">
        <v>-6.15590000000001E-2</v>
      </c>
      <c r="AE4838">
        <v>3.4500000000008399E-2</v>
      </c>
      <c r="AF4838">
        <v>4.6074008216241399E-2</v>
      </c>
      <c r="AG4838">
        <v>-6.15590000000001E-2</v>
      </c>
      <c r="AH4838">
        <v>0.35523270575294302</v>
      </c>
      <c r="AI4838">
        <v>99.751177638877294</v>
      </c>
      <c r="AJ4838">
        <v>82.609939835893698</v>
      </c>
      <c r="AK4838">
        <v>0.36345921359991401</v>
      </c>
      <c r="AL4838">
        <v>89.013211302932007</v>
      </c>
      <c r="AM4838">
        <v>86.873453670348994</v>
      </c>
      <c r="AN4838">
        <v>0.99999997913715399</v>
      </c>
    </row>
    <row r="4839" spans="1:40" x14ac:dyDescent="0.25">
      <c r="A4839" t="str">
        <f>"20190312154352650"</f>
        <v>20190312154352650</v>
      </c>
      <c r="B4839" t="str">
        <f>"1552376632642898"</f>
        <v>1552376632642898</v>
      </c>
      <c r="C4839" t="s">
        <v>40</v>
      </c>
      <c r="D4839">
        <v>4.9996830000000001</v>
      </c>
      <c r="E4839">
        <v>0.50248999999999999</v>
      </c>
      <c r="F4839" t="s">
        <v>41</v>
      </c>
      <c r="G4839">
        <v>-305.43560000000002</v>
      </c>
      <c r="H4839">
        <v>1.029663</v>
      </c>
      <c r="I4839">
        <v>139.3982</v>
      </c>
      <c r="J4839">
        <v>-304.76389999999998</v>
      </c>
      <c r="K4839">
        <v>1.1095410000000001</v>
      </c>
      <c r="L4839">
        <v>139.3579</v>
      </c>
      <c r="M4839">
        <v>-0.99928790000000001</v>
      </c>
      <c r="N4839">
        <v>0</v>
      </c>
      <c r="O4839">
        <v>-3.4550249999999998E-2</v>
      </c>
      <c r="P4839">
        <v>-0.99980069999999999</v>
      </c>
      <c r="Q4839">
        <v>2.274852E-3</v>
      </c>
      <c r="R4839">
        <v>1.98423E-2</v>
      </c>
      <c r="S4839">
        <v>-2.9996339999999999</v>
      </c>
      <c r="T4839">
        <v>-0.2218493</v>
      </c>
      <c r="U4839">
        <v>7.2875980000000007E-2</v>
      </c>
      <c r="V4839">
        <v>5.4405820000000001E-2</v>
      </c>
      <c r="W4839">
        <v>1.7331510000000001E-2</v>
      </c>
      <c r="X4839">
        <v>0.99836849999999999</v>
      </c>
      <c r="Y4839">
        <v>5.8563120000000003E-2</v>
      </c>
      <c r="Z4839">
        <v>4.7139729999999998E-3</v>
      </c>
      <c r="AA4839">
        <v>0.99827259999999995</v>
      </c>
      <c r="AB4839">
        <v>41</v>
      </c>
      <c r="AC4839">
        <v>-0.67170000000004304</v>
      </c>
      <c r="AD4839">
        <v>-7.9877999999999894E-2</v>
      </c>
      <c r="AE4839">
        <v>4.0300000000002001E-2</v>
      </c>
      <c r="AF4839">
        <v>6.2603852119706399E-2</v>
      </c>
      <c r="AG4839">
        <v>-7.9877999999999894E-2</v>
      </c>
      <c r="AH4839">
        <v>0.66059782896046604</v>
      </c>
      <c r="AI4839">
        <v>96.864144869936098</v>
      </c>
      <c r="AJ4839">
        <v>84.586334261635002</v>
      </c>
      <c r="AK4839">
        <v>0.66834813444155505</v>
      </c>
      <c r="AL4839">
        <v>89.006927921491396</v>
      </c>
      <c r="AM4839">
        <v>86.880767332789304</v>
      </c>
      <c r="AN4839">
        <v>1.0000000181405</v>
      </c>
    </row>
    <row r="4840" spans="1:40" x14ac:dyDescent="0.25">
      <c r="A4840" t="str">
        <f>"20190312154352673"</f>
        <v>20190312154352673</v>
      </c>
      <c r="B4840" t="str">
        <f>"1552376632662420"</f>
        <v>1552376632662420</v>
      </c>
      <c r="C4840" t="s">
        <v>40</v>
      </c>
      <c r="D4840">
        <v>4.9789309999999896</v>
      </c>
      <c r="E4840">
        <v>0.502085</v>
      </c>
      <c r="F4840" t="s">
        <v>41</v>
      </c>
      <c r="G4840">
        <v>-305.80029999999999</v>
      </c>
      <c r="H4840">
        <v>1.0356540000000001</v>
      </c>
      <c r="I4840">
        <v>139.3826</v>
      </c>
      <c r="J4840">
        <v>-305.16800000000001</v>
      </c>
      <c r="K4840">
        <v>1.1095429999999999</v>
      </c>
      <c r="L4840">
        <v>139.34450000000001</v>
      </c>
      <c r="M4840">
        <v>-0.99930790000000003</v>
      </c>
      <c r="N4840">
        <v>0</v>
      </c>
      <c r="O4840">
        <v>-3.3968779999999997E-2</v>
      </c>
      <c r="P4840">
        <v>-0.99980170000000002</v>
      </c>
      <c r="Q4840">
        <v>2.4109069999999999E-3</v>
      </c>
      <c r="R4840">
        <v>1.9765700000000001E-2</v>
      </c>
      <c r="S4840">
        <v>-2.9996339999999999</v>
      </c>
      <c r="T4840">
        <v>-0.2138668</v>
      </c>
      <c r="U4840">
        <v>7.1456909999999998E-2</v>
      </c>
      <c r="V4840">
        <v>5.3748120000000003E-2</v>
      </c>
      <c r="W4840">
        <v>1.7464529999999999E-2</v>
      </c>
      <c r="X4840">
        <v>0.99840180000000001</v>
      </c>
      <c r="Y4840">
        <v>5.753225E-2</v>
      </c>
      <c r="Z4840">
        <v>4.466724E-3</v>
      </c>
      <c r="AA4840">
        <v>0.99833360000000004</v>
      </c>
      <c r="AB4840">
        <v>41</v>
      </c>
      <c r="AC4840">
        <v>-0.63229999999998598</v>
      </c>
      <c r="AD4840">
        <v>-7.3888999999999802E-2</v>
      </c>
      <c r="AE4840">
        <v>3.8099999999985798E-2</v>
      </c>
      <c r="AF4840">
        <v>5.87594385279116E-2</v>
      </c>
      <c r="AG4840">
        <v>-7.3888999999999802E-2</v>
      </c>
      <c r="AH4840">
        <v>0.62217516686282004</v>
      </c>
      <c r="AI4840">
        <v>96.742951195183196</v>
      </c>
      <c r="AJ4840">
        <v>84.604876858681195</v>
      </c>
      <c r="AK4840">
        <v>0.62929658683159395</v>
      </c>
      <c r="AL4840">
        <v>88.999305277375797</v>
      </c>
      <c r="AM4840">
        <v>86.918504514464601</v>
      </c>
      <c r="AN4840">
        <v>1.0000000122274399</v>
      </c>
    </row>
    <row r="4841" spans="1:40" x14ac:dyDescent="0.25">
      <c r="A4841" t="str">
        <f>"20190312154352695"</f>
        <v>20190312154352695</v>
      </c>
      <c r="B4841" t="str">
        <f>"1552376632681938"</f>
        <v>1552376632681938</v>
      </c>
      <c r="C4841" t="s">
        <v>40</v>
      </c>
      <c r="D4841">
        <v>5.0052279999999998</v>
      </c>
      <c r="E4841">
        <v>0.5017355</v>
      </c>
      <c r="F4841" t="s">
        <v>41</v>
      </c>
      <c r="G4841">
        <v>-306.16419999999999</v>
      </c>
      <c r="H4841">
        <v>1.0408459999999999</v>
      </c>
      <c r="I4841">
        <v>139.3674</v>
      </c>
      <c r="J4841">
        <v>-305.56310000000002</v>
      </c>
      <c r="K4841">
        <v>1.1095459999999999</v>
      </c>
      <c r="L4841">
        <v>139.33160000000001</v>
      </c>
      <c r="M4841">
        <v>-0.99932710000000002</v>
      </c>
      <c r="N4841">
        <v>0</v>
      </c>
      <c r="O4841">
        <v>-3.3399699999999997E-2</v>
      </c>
      <c r="P4841">
        <v>-0.9998032</v>
      </c>
      <c r="Q4841">
        <v>2.3945910000000002E-3</v>
      </c>
      <c r="R4841">
        <v>1.969825E-2</v>
      </c>
      <c r="S4841">
        <v>-2.9997560000000001</v>
      </c>
      <c r="T4841">
        <v>-0.2069358</v>
      </c>
      <c r="U4841">
        <v>6.8267820000000007E-2</v>
      </c>
      <c r="V4841">
        <v>5.311217E-2</v>
      </c>
      <c r="W4841">
        <v>1.7445929999999998E-2</v>
      </c>
      <c r="X4841">
        <v>0.9984362</v>
      </c>
      <c r="Y4841">
        <v>5.5921899999999997E-2</v>
      </c>
      <c r="Z4841">
        <v>4.2275070000000001E-3</v>
      </c>
      <c r="AA4841">
        <v>0.99842620000000004</v>
      </c>
      <c r="AB4841">
        <v>40</v>
      </c>
      <c r="AC4841">
        <v>-0.60109999999997399</v>
      </c>
      <c r="AD4841">
        <v>-6.86999999999999E-2</v>
      </c>
      <c r="AE4841">
        <v>3.5799999999994697E-2</v>
      </c>
      <c r="AF4841">
        <v>5.5141163422460199E-2</v>
      </c>
      <c r="AG4841">
        <v>-6.86999999999999E-2</v>
      </c>
      <c r="AH4841">
        <v>0.591864909717572</v>
      </c>
      <c r="AI4841">
        <v>96.592612946014597</v>
      </c>
      <c r="AJ4841">
        <v>84.677396132929502</v>
      </c>
      <c r="AK4841">
        <v>0.59838475018884996</v>
      </c>
      <c r="AL4841">
        <v>89.000371183284798</v>
      </c>
      <c r="AM4841">
        <v>86.955000587473705</v>
      </c>
      <c r="AN4841">
        <v>1.0000000542730501</v>
      </c>
    </row>
    <row r="4842" spans="1:40" x14ac:dyDescent="0.25">
      <c r="A4842" t="str">
        <f>"20190312154352718"</f>
        <v>20190312154352718</v>
      </c>
      <c r="B4842" t="str">
        <f>"1552376632712194"</f>
        <v>1552376632712194</v>
      </c>
      <c r="C4842" t="s">
        <v>40</v>
      </c>
      <c r="D4842">
        <v>5.0073280000000002</v>
      </c>
      <c r="E4842">
        <v>0.50130459999999999</v>
      </c>
      <c r="F4842" t="s">
        <v>41</v>
      </c>
      <c r="G4842">
        <v>-306.52890000000002</v>
      </c>
      <c r="H4842">
        <v>1.0454190000000001</v>
      </c>
      <c r="I4842">
        <v>139.3528</v>
      </c>
      <c r="J4842">
        <v>-305.96120000000002</v>
      </c>
      <c r="K4842">
        <v>1.1095440000000001</v>
      </c>
      <c r="L4842">
        <v>139.31880000000001</v>
      </c>
      <c r="M4842">
        <v>-0.99934630000000002</v>
      </c>
      <c r="N4842">
        <v>0</v>
      </c>
      <c r="O4842">
        <v>-3.2825729999999997E-2</v>
      </c>
      <c r="P4842">
        <v>-0.99979890000000005</v>
      </c>
      <c r="Q4842">
        <v>2.3652389999999999E-3</v>
      </c>
      <c r="R4842">
        <v>1.9917870000000001E-2</v>
      </c>
      <c r="S4842">
        <v>-2.9997560000000001</v>
      </c>
      <c r="T4842">
        <v>-0.1992177</v>
      </c>
      <c r="U4842">
        <v>6.5460210000000005E-2</v>
      </c>
      <c r="V4842">
        <v>5.2757940000000003E-2</v>
      </c>
      <c r="W4842">
        <v>1.7413519999999998E-2</v>
      </c>
      <c r="X4842">
        <v>0.99845550000000005</v>
      </c>
      <c r="Y4842">
        <v>5.4434429999999999E-2</v>
      </c>
      <c r="Z4842">
        <v>3.9828210000000001E-3</v>
      </c>
      <c r="AA4842">
        <v>0.99850939999999999</v>
      </c>
      <c r="AB4842">
        <v>40</v>
      </c>
      <c r="AC4842">
        <v>-0.56770000000000198</v>
      </c>
      <c r="AD4842">
        <v>-6.4124999999999904E-2</v>
      </c>
      <c r="AE4842">
        <v>3.3999999999991801E-2</v>
      </c>
      <c r="AF4842">
        <v>5.1958409570256901E-2</v>
      </c>
      <c r="AG4842">
        <v>-6.4124999999999904E-2</v>
      </c>
      <c r="AH4842">
        <v>0.55916884634387298</v>
      </c>
      <c r="AI4842">
        <v>96.514231895988303</v>
      </c>
      <c r="AJ4842">
        <v>84.691275016832506</v>
      </c>
      <c r="AK4842">
        <v>0.565226937319523</v>
      </c>
      <c r="AL4842">
        <v>89.002228375550601</v>
      </c>
      <c r="AM4842">
        <v>86.975329639671202</v>
      </c>
      <c r="AN4842">
        <v>1.0000000081960401</v>
      </c>
    </row>
    <row r="4843" spans="1:40" x14ac:dyDescent="0.25">
      <c r="A4843" t="str">
        <f>"20190312154352740"</f>
        <v>20190312154352740</v>
      </c>
      <c r="B4843" t="str">
        <f>"1552376632732690"</f>
        <v>1552376632732690</v>
      </c>
      <c r="C4843" t="s">
        <v>40</v>
      </c>
      <c r="D4843">
        <v>5.0285859999999998</v>
      </c>
      <c r="E4843">
        <v>0.5010597</v>
      </c>
      <c r="F4843" t="s">
        <v>41</v>
      </c>
      <c r="G4843">
        <v>-306.89690000000002</v>
      </c>
      <c r="H4843">
        <v>1.0506629999999999</v>
      </c>
      <c r="I4843">
        <v>139.33869999999999</v>
      </c>
      <c r="J4843">
        <v>-306.37169999999998</v>
      </c>
      <c r="K4843">
        <v>1.109545</v>
      </c>
      <c r="L4843">
        <v>139.3058</v>
      </c>
      <c r="M4843">
        <v>-0.99936570000000002</v>
      </c>
      <c r="N4843">
        <v>0</v>
      </c>
      <c r="O4843">
        <v>-3.2232200000000003E-2</v>
      </c>
      <c r="P4843">
        <v>-0.99978800000000001</v>
      </c>
      <c r="Q4843">
        <v>1.917766E-3</v>
      </c>
      <c r="R4843">
        <v>2.0510609999999999E-2</v>
      </c>
      <c r="S4843">
        <v>-2.9997859999999998</v>
      </c>
      <c r="T4843">
        <v>-0.18883630000000001</v>
      </c>
      <c r="U4843">
        <v>6.3079830000000003E-2</v>
      </c>
      <c r="V4843">
        <v>5.2756119999999997E-2</v>
      </c>
      <c r="W4843">
        <v>1.6962020000000001E-2</v>
      </c>
      <c r="X4843">
        <v>0.99846330000000005</v>
      </c>
      <c r="Y4843">
        <v>5.3072519999999998E-2</v>
      </c>
      <c r="Z4843">
        <v>3.6955460000000001E-3</v>
      </c>
      <c r="AA4843">
        <v>0.99858380000000002</v>
      </c>
      <c r="AB4843">
        <v>40</v>
      </c>
      <c r="AC4843">
        <v>-0.52520000000003997</v>
      </c>
      <c r="AD4843">
        <v>-5.8882000000000101E-2</v>
      </c>
      <c r="AE4843">
        <v>3.2899999999983699E-2</v>
      </c>
      <c r="AF4843">
        <v>4.9197229812308403E-2</v>
      </c>
      <c r="AG4843">
        <v>-5.8882000000000101E-2</v>
      </c>
      <c r="AH4843">
        <v>0.51738862502665794</v>
      </c>
      <c r="AI4843">
        <v>96.463769315807497</v>
      </c>
      <c r="AJ4843">
        <v>84.568214730234104</v>
      </c>
      <c r="AK4843">
        <v>0.52304726999782802</v>
      </c>
      <c r="AL4843">
        <v>89.028101175565496</v>
      </c>
      <c r="AM4843">
        <v>86.975457372576997</v>
      </c>
      <c r="AN4843">
        <v>0.99999993988340996</v>
      </c>
    </row>
    <row r="4844" spans="1:40" x14ac:dyDescent="0.25">
      <c r="A4844" t="str">
        <f>"20190312154352762"</f>
        <v>20190312154352762</v>
      </c>
      <c r="B4844" t="str">
        <f>"1552376632752210"</f>
        <v>1552376632752210</v>
      </c>
      <c r="C4844" t="s">
        <v>40</v>
      </c>
      <c r="D4844">
        <v>5.0377700000000001</v>
      </c>
      <c r="E4844">
        <v>0.50081809999999904</v>
      </c>
      <c r="F4844" t="s">
        <v>43</v>
      </c>
      <c r="G4844">
        <v>-324.3981</v>
      </c>
      <c r="H4844" s="1">
        <v>-2.404155E-6</v>
      </c>
      <c r="I4844">
        <v>139.68639999999999</v>
      </c>
      <c r="J4844">
        <v>-306.7808</v>
      </c>
      <c r="K4844">
        <v>1.109545</v>
      </c>
      <c r="L4844">
        <v>139.29320000000001</v>
      </c>
      <c r="M4844">
        <v>-0.99938479999999996</v>
      </c>
      <c r="N4844">
        <v>0</v>
      </c>
      <c r="O4844">
        <v>-3.1635549999999998E-2</v>
      </c>
      <c r="P4844">
        <v>-0.99977990000000005</v>
      </c>
      <c r="Q4844">
        <v>1.262361E-3</v>
      </c>
      <c r="R4844">
        <v>2.094066E-2</v>
      </c>
      <c r="S4844">
        <v>-2.9997250000000002</v>
      </c>
      <c r="T4844">
        <v>-0.18463769999999999</v>
      </c>
      <c r="U4844">
        <v>6.3339229999999996E-2</v>
      </c>
      <c r="V4844">
        <v>5.2588429999999999E-2</v>
      </c>
      <c r="W4844">
        <v>1.6302649999999998E-2</v>
      </c>
      <c r="X4844">
        <v>0.99848320000000002</v>
      </c>
      <c r="Y4844">
        <v>5.2572550000000003E-2</v>
      </c>
      <c r="Z4844">
        <v>3.5615519999999999E-3</v>
      </c>
      <c r="AA4844">
        <v>0.99861069999999996</v>
      </c>
      <c r="AB4844">
        <v>40</v>
      </c>
      <c r="AC4844">
        <v>-17.6173</v>
      </c>
      <c r="AD4844">
        <v>-1.109547404155</v>
      </c>
      <c r="AE4844">
        <v>0.39319999999997801</v>
      </c>
      <c r="AF4844">
        <v>0.94664695315381897</v>
      </c>
      <c r="AG4844">
        <v>-1.109547404155</v>
      </c>
      <c r="AH4844">
        <v>17.526554124727902</v>
      </c>
      <c r="AI4844">
        <v>93.617111529088405</v>
      </c>
      <c r="AJ4844">
        <v>86.908335607398598</v>
      </c>
      <c r="AK4844">
        <v>17.5871355081775</v>
      </c>
      <c r="AL4844">
        <v>89.065885588775402</v>
      </c>
      <c r="AM4844">
        <v>86.985113361888594</v>
      </c>
      <c r="AN4844">
        <v>1.0000000100245601</v>
      </c>
    </row>
    <row r="4845" spans="1:40" x14ac:dyDescent="0.25">
      <c r="A4845" t="str">
        <f>"20190312154352785"</f>
        <v>20190312154352785</v>
      </c>
      <c r="B4845" t="str">
        <f>"1552376632782467"</f>
        <v>1552376632782467</v>
      </c>
      <c r="C4845" t="s">
        <v>40</v>
      </c>
      <c r="D4845">
        <v>5.1018569999999999</v>
      </c>
      <c r="E4845">
        <v>0.5003455</v>
      </c>
      <c r="F4845" t="s">
        <v>43</v>
      </c>
      <c r="G4845">
        <v>-325.12849999999997</v>
      </c>
      <c r="H4845" s="1">
        <v>-2.0886650000000001E-6</v>
      </c>
      <c r="I4845">
        <v>139.67830000000001</v>
      </c>
      <c r="J4845">
        <v>-307.1825</v>
      </c>
      <c r="K4845">
        <v>1.1095429999999999</v>
      </c>
      <c r="L4845">
        <v>139.28100000000001</v>
      </c>
      <c r="M4845">
        <v>-0.9994035</v>
      </c>
      <c r="N4845">
        <v>0</v>
      </c>
      <c r="O4845">
        <v>-3.1039540000000001E-2</v>
      </c>
      <c r="P4845">
        <v>-0.99976730000000003</v>
      </c>
      <c r="Q4845">
        <v>8.4707890000000001E-4</v>
      </c>
      <c r="R4845">
        <v>2.1554340000000002E-2</v>
      </c>
      <c r="S4845">
        <v>-2.9995729999999998</v>
      </c>
      <c r="T4845">
        <v>-0.18139530000000001</v>
      </c>
      <c r="U4845">
        <v>6.2973020000000005E-2</v>
      </c>
      <c r="V4845">
        <v>5.260517E-2</v>
      </c>
      <c r="W4845">
        <v>1.58826E-2</v>
      </c>
      <c r="X4845">
        <v>0.99848910000000002</v>
      </c>
      <c r="Y4845">
        <v>5.1864109999999998E-2</v>
      </c>
      <c r="Z4845">
        <v>3.4419020000000002E-3</v>
      </c>
      <c r="AA4845">
        <v>0.99864819999999999</v>
      </c>
      <c r="AB4845">
        <v>40</v>
      </c>
      <c r="AC4845">
        <v>-17.945999999999898</v>
      </c>
      <c r="AD4845">
        <v>-1.109545088665</v>
      </c>
      <c r="AE4845">
        <v>0.39730000000000099</v>
      </c>
      <c r="AF4845">
        <v>0.95057609326987202</v>
      </c>
      <c r="AG4845">
        <v>-1.109545088665</v>
      </c>
      <c r="AH4845">
        <v>17.8567921831837</v>
      </c>
      <c r="AI4845">
        <v>93.550530573464897</v>
      </c>
      <c r="AJ4845">
        <v>86.952832369375301</v>
      </c>
      <c r="AK4845">
        <v>17.916464837860399</v>
      </c>
      <c r="AL4845">
        <v>89.089955808627806</v>
      </c>
      <c r="AM4845">
        <v>86.984173219128294</v>
      </c>
      <c r="AN4845">
        <v>1.00000002185614</v>
      </c>
    </row>
    <row r="4846" spans="1:40" x14ac:dyDescent="0.25">
      <c r="A4846" t="str">
        <f>"20190312154352806"</f>
        <v>20190312154352806</v>
      </c>
      <c r="B4846" t="str">
        <f>"1552376632801986"</f>
        <v>1552376632801986</v>
      </c>
      <c r="C4846" t="s">
        <v>40</v>
      </c>
      <c r="D4846">
        <v>5.1288369999999999</v>
      </c>
      <c r="E4846">
        <v>0.50001039999999997</v>
      </c>
      <c r="F4846" t="s">
        <v>43</v>
      </c>
      <c r="G4846">
        <v>-325.80459999999999</v>
      </c>
      <c r="H4846" s="1">
        <v>-1.7941659999999901E-6</v>
      </c>
      <c r="I4846">
        <v>139.66159999999999</v>
      </c>
      <c r="J4846">
        <v>-307.56459999999998</v>
      </c>
      <c r="K4846">
        <v>1.1095360000000001</v>
      </c>
      <c r="L4846">
        <v>139.2697</v>
      </c>
      <c r="M4846">
        <v>-0.99942149999999996</v>
      </c>
      <c r="N4846">
        <v>0</v>
      </c>
      <c r="O4846">
        <v>-3.0456219999999999E-2</v>
      </c>
      <c r="P4846">
        <v>-0.99976659999999995</v>
      </c>
      <c r="Q4846">
        <v>6.1629899999999995E-4</v>
      </c>
      <c r="R4846">
        <v>2.159784E-2</v>
      </c>
      <c r="S4846">
        <v>-2.9995419999999999</v>
      </c>
      <c r="T4846">
        <v>-0.1787202</v>
      </c>
      <c r="U4846">
        <v>6.1309809999999999E-2</v>
      </c>
      <c r="V4846">
        <v>5.2065920000000002E-2</v>
      </c>
      <c r="W4846">
        <v>1.564755E-2</v>
      </c>
      <c r="X4846">
        <v>0.99852099999999999</v>
      </c>
      <c r="Y4846">
        <v>5.0735370000000002E-2</v>
      </c>
      <c r="Z4846">
        <v>3.3229729999999999E-3</v>
      </c>
      <c r="AA4846">
        <v>0.9987066</v>
      </c>
      <c r="AB4846">
        <v>40</v>
      </c>
      <c r="AC4846">
        <v>-18.239999999999998</v>
      </c>
      <c r="AD4846">
        <v>-1.1095377941660001</v>
      </c>
      <c r="AE4846">
        <v>0.39189999999999198</v>
      </c>
      <c r="AF4846">
        <v>0.94381249229970199</v>
      </c>
      <c r="AG4846">
        <v>-1.1095377941660001</v>
      </c>
      <c r="AH4846">
        <v>18.152461209260299</v>
      </c>
      <c r="AI4846">
        <v>93.493047268497506</v>
      </c>
      <c r="AJ4846">
        <v>87.023664079319303</v>
      </c>
      <c r="AK4846">
        <v>18.210812834439999</v>
      </c>
      <c r="AL4846">
        <v>89.103424787785997</v>
      </c>
      <c r="AM4846">
        <v>87.015127130780897</v>
      </c>
      <c r="AN4846">
        <v>0.99999994664372305</v>
      </c>
    </row>
    <row r="4847" spans="1:40" x14ac:dyDescent="0.25">
      <c r="A4847" t="str">
        <f>"20190312154352830"</f>
        <v>20190312154352830</v>
      </c>
      <c r="B4847" t="str">
        <f>"1552376632822483"</f>
        <v>1552376632822483</v>
      </c>
      <c r="C4847" t="s">
        <v>40</v>
      </c>
      <c r="D4847">
        <v>5.1164310000000004</v>
      </c>
      <c r="E4847">
        <v>0.49971110000000002</v>
      </c>
      <c r="F4847" t="s">
        <v>43</v>
      </c>
      <c r="G4847">
        <v>-326.24590000000001</v>
      </c>
      <c r="H4847" s="1">
        <v>-1.598094E-6</v>
      </c>
      <c r="I4847">
        <v>139.6362</v>
      </c>
      <c r="J4847">
        <v>-307.9751</v>
      </c>
      <c r="K4847">
        <v>1.1095139999999999</v>
      </c>
      <c r="L4847">
        <v>139.2577</v>
      </c>
      <c r="M4847">
        <v>-0.99944120000000003</v>
      </c>
      <c r="N4847">
        <v>0</v>
      </c>
      <c r="O4847">
        <v>-2.9804710000000002E-2</v>
      </c>
      <c r="P4847">
        <v>-0.99977150000000004</v>
      </c>
      <c r="Q4847">
        <v>4.2766519999999999E-4</v>
      </c>
      <c r="R4847">
        <v>2.137565E-2</v>
      </c>
      <c r="S4847">
        <v>-2.9995419999999999</v>
      </c>
      <c r="T4847">
        <v>-0.17815259999999999</v>
      </c>
      <c r="U4847">
        <v>5.8868410000000003E-2</v>
      </c>
      <c r="V4847">
        <v>5.1193490000000001E-2</v>
      </c>
      <c r="W4847">
        <v>1.545493E-2</v>
      </c>
      <c r="X4847">
        <v>0.99856920000000005</v>
      </c>
      <c r="Y4847">
        <v>4.927637E-2</v>
      </c>
      <c r="Z4847">
        <v>3.2305189999999998E-3</v>
      </c>
      <c r="AA4847">
        <v>0.99878</v>
      </c>
      <c r="AB4847">
        <v>40</v>
      </c>
      <c r="AC4847">
        <v>-18.270800000000001</v>
      </c>
      <c r="AD4847">
        <v>-1.1095155980939999</v>
      </c>
      <c r="AE4847">
        <v>0.378500000000002</v>
      </c>
      <c r="AF4847">
        <v>0.91956048009771096</v>
      </c>
      <c r="AG4847">
        <v>-1.1095155980939999</v>
      </c>
      <c r="AH4847">
        <v>18.1843696640235</v>
      </c>
      <c r="AI4847">
        <v>93.487117008210404</v>
      </c>
      <c r="AJ4847">
        <v>87.105091131034897</v>
      </c>
      <c r="AK4847">
        <v>18.2413792355959</v>
      </c>
      <c r="AL4847">
        <v>89.114462516871399</v>
      </c>
      <c r="AM4847">
        <v>87.065195662018496</v>
      </c>
      <c r="AN4847">
        <v>1.00000003773416</v>
      </c>
    </row>
    <row r="4848" spans="1:40" x14ac:dyDescent="0.25">
      <c r="A4848" t="str">
        <f>"20190312154352851"</f>
        <v>20190312154352851</v>
      </c>
      <c r="B4848" t="str">
        <f>"1552376632842003"</f>
        <v>1552376632842003</v>
      </c>
      <c r="C4848" t="s">
        <v>40</v>
      </c>
      <c r="D4848">
        <v>5.112317</v>
      </c>
      <c r="E4848">
        <v>0.49941560000000002</v>
      </c>
      <c r="F4848" t="s">
        <v>41</v>
      </c>
      <c r="G4848">
        <v>-309.04559999999998</v>
      </c>
      <c r="H4848">
        <v>1.046122</v>
      </c>
      <c r="I4848">
        <v>139.27809999999999</v>
      </c>
      <c r="J4848">
        <v>-308.37049999999999</v>
      </c>
      <c r="K4848">
        <v>1.10949599999999</v>
      </c>
      <c r="L4848">
        <v>139.2466</v>
      </c>
      <c r="M4848">
        <v>-0.99946080000000004</v>
      </c>
      <c r="N4848">
        <v>0</v>
      </c>
      <c r="O4848">
        <v>-2.9147409999999999E-2</v>
      </c>
      <c r="P4848">
        <v>-0.99979079999999998</v>
      </c>
      <c r="Q4848">
        <v>7.2739829999999997E-4</v>
      </c>
      <c r="R4848">
        <v>2.0447759999999999E-2</v>
      </c>
      <c r="S4848">
        <v>-2.9995729999999998</v>
      </c>
      <c r="T4848">
        <v>-0.17767749999999999</v>
      </c>
      <c r="U4848">
        <v>5.595398E-2</v>
      </c>
      <c r="V4848">
        <v>4.9610809999999998E-2</v>
      </c>
      <c r="W4848">
        <v>1.575149E-2</v>
      </c>
      <c r="X4848">
        <v>0.99864439999999999</v>
      </c>
      <c r="Y4848">
        <v>4.7653899999999999E-2</v>
      </c>
      <c r="Z4848">
        <v>3.1350089999999998E-3</v>
      </c>
      <c r="AA4848">
        <v>0.99885900000000005</v>
      </c>
      <c r="AB4848">
        <v>40</v>
      </c>
      <c r="AC4848">
        <v>-0.67509999999998604</v>
      </c>
      <c r="AD4848">
        <v>-6.3373999999999805E-2</v>
      </c>
      <c r="AE4848">
        <v>3.1499999999993998E-2</v>
      </c>
      <c r="AF4848">
        <v>5.07202906416198E-2</v>
      </c>
      <c r="AG4848">
        <v>-6.3373999999999805E-2</v>
      </c>
      <c r="AH4848">
        <v>0.66802088430175899</v>
      </c>
      <c r="AI4848">
        <v>95.403872324496405</v>
      </c>
      <c r="AJ4848">
        <v>85.658079526325693</v>
      </c>
      <c r="AK4848">
        <v>0.67293440514070502</v>
      </c>
      <c r="AL4848">
        <v>89.0974687690221</v>
      </c>
      <c r="AM4848">
        <v>87.1559895167576</v>
      </c>
      <c r="AN4848">
        <v>0.99999998977871796</v>
      </c>
    </row>
    <row r="4849" spans="1:40" x14ac:dyDescent="0.25">
      <c r="A4849" t="str">
        <f>"20190312154352874"</f>
        <v>20190312154352874</v>
      </c>
      <c r="B4849" t="str">
        <f>"1552376632862501"</f>
        <v>1552376632862501</v>
      </c>
      <c r="C4849" t="s">
        <v>40</v>
      </c>
      <c r="D4849">
        <v>5.1632020000000001</v>
      </c>
      <c r="E4849">
        <v>0.4991679</v>
      </c>
      <c r="F4849" t="s">
        <v>41</v>
      </c>
      <c r="G4849">
        <v>-309.40589999999997</v>
      </c>
      <c r="H4849">
        <v>1.0487599999999999</v>
      </c>
      <c r="I4849">
        <v>139.26429999999999</v>
      </c>
      <c r="J4849">
        <v>-308.77109999999999</v>
      </c>
      <c r="K4849">
        <v>1.1094740000000001</v>
      </c>
      <c r="L4849">
        <v>139.2355</v>
      </c>
      <c r="M4849">
        <v>-0.99948079999999995</v>
      </c>
      <c r="N4849">
        <v>0</v>
      </c>
      <c r="O4849">
        <v>-2.845408E-2</v>
      </c>
      <c r="P4849">
        <v>-0.99979629999999997</v>
      </c>
      <c r="Q4849">
        <v>1.11871E-3</v>
      </c>
      <c r="R4849">
        <v>2.0164950000000001E-2</v>
      </c>
      <c r="S4849">
        <v>-2.9997250000000002</v>
      </c>
      <c r="T4849">
        <v>-0.17599999999999999</v>
      </c>
      <c r="U4849">
        <v>5.096436E-2</v>
      </c>
      <c r="V4849">
        <v>4.8637359999999998E-2</v>
      </c>
      <c r="W4849">
        <v>1.6138159999999999E-2</v>
      </c>
      <c r="X4849">
        <v>0.99868610000000002</v>
      </c>
      <c r="Y4849">
        <v>4.530675E-2</v>
      </c>
      <c r="Z4849">
        <v>2.9959090000000002E-3</v>
      </c>
      <c r="AA4849">
        <v>0.99896859999999998</v>
      </c>
      <c r="AB4849">
        <v>40</v>
      </c>
      <c r="AC4849">
        <v>-0.63479999999998404</v>
      </c>
      <c r="AD4849">
        <v>-6.07139999999999E-2</v>
      </c>
      <c r="AE4849">
        <v>2.8799999999989698E-2</v>
      </c>
      <c r="AF4849">
        <v>4.6429209981940001E-2</v>
      </c>
      <c r="AG4849">
        <v>-6.07139999999999E-2</v>
      </c>
      <c r="AH4849">
        <v>0.627990577006867</v>
      </c>
      <c r="AI4849">
        <v>95.507243394896705</v>
      </c>
      <c r="AJ4849">
        <v>85.771645698778102</v>
      </c>
      <c r="AK4849">
        <v>0.63262471193035597</v>
      </c>
      <c r="AL4849">
        <v>89.075311383443506</v>
      </c>
      <c r="AM4849">
        <v>87.211821224281096</v>
      </c>
      <c r="AN4849">
        <v>0.99999997966458198</v>
      </c>
    </row>
    <row r="4850" spans="1:40" x14ac:dyDescent="0.25">
      <c r="A4850" t="str">
        <f>"20190312154352896"</f>
        <v>20190312154352896</v>
      </c>
      <c r="B4850" t="str">
        <f>"1552376632882019"</f>
        <v>1552376632882019</v>
      </c>
      <c r="C4850" t="s">
        <v>40</v>
      </c>
      <c r="D4850">
        <v>5.1090299999999997</v>
      </c>
      <c r="E4850">
        <v>0.49894709999999998</v>
      </c>
      <c r="F4850" t="s">
        <v>43</v>
      </c>
      <c r="G4850">
        <v>-327.86410000000001</v>
      </c>
      <c r="H4850" s="1">
        <v>-9.120293E-7</v>
      </c>
      <c r="I4850">
        <v>139.54069999999999</v>
      </c>
      <c r="J4850">
        <v>-309.16609999999997</v>
      </c>
      <c r="K4850">
        <v>1.10945</v>
      </c>
      <c r="L4850">
        <v>139.22489999999999</v>
      </c>
      <c r="M4850">
        <v>-0.99950090000000003</v>
      </c>
      <c r="N4850">
        <v>0</v>
      </c>
      <c r="O4850">
        <v>-2.7741789999999999E-2</v>
      </c>
      <c r="P4850">
        <v>-0.99980069999999999</v>
      </c>
      <c r="Q4850">
        <v>1.3494449999999999E-3</v>
      </c>
      <c r="R4850">
        <v>1.9924589999999999E-2</v>
      </c>
      <c r="S4850">
        <v>-2.9998469999999999</v>
      </c>
      <c r="T4850">
        <v>-0.1743191</v>
      </c>
      <c r="U4850">
        <v>4.795837E-2</v>
      </c>
      <c r="V4850">
        <v>4.7686510000000001E-2</v>
      </c>
      <c r="W4850">
        <v>1.636462E-2</v>
      </c>
      <c r="X4850">
        <v>0.99872830000000001</v>
      </c>
      <c r="Y4850">
        <v>4.3599829999999999E-2</v>
      </c>
      <c r="Z4850">
        <v>2.8763439999999999E-3</v>
      </c>
      <c r="AA4850">
        <v>0.99904499999999996</v>
      </c>
      <c r="AB4850">
        <v>40</v>
      </c>
      <c r="AC4850">
        <v>-18.698</v>
      </c>
      <c r="AD4850">
        <v>-1.1094509120292999</v>
      </c>
      <c r="AE4850">
        <v>0.31579999999999497</v>
      </c>
      <c r="AF4850">
        <v>0.83152694946367001</v>
      </c>
      <c r="AG4850">
        <v>-1.1094509120292999</v>
      </c>
      <c r="AH4850">
        <v>18.616516056558002</v>
      </c>
      <c r="AI4850">
        <v>93.407118145774902</v>
      </c>
      <c r="AJ4850">
        <v>87.442521524730395</v>
      </c>
      <c r="AK4850">
        <v>18.668074043081401</v>
      </c>
      <c r="AL4850">
        <v>89.062334496189095</v>
      </c>
      <c r="AM4850">
        <v>87.266361348685393</v>
      </c>
      <c r="AN4850">
        <v>1.0000000106222999</v>
      </c>
    </row>
    <row r="4851" spans="1:40" x14ac:dyDescent="0.25">
      <c r="A4851" t="str">
        <f>"20190312154352918"</f>
        <v>20190312154352918</v>
      </c>
      <c r="B4851" t="str">
        <f>"1552376632912274"</f>
        <v>1552376632912274</v>
      </c>
      <c r="C4851" t="s">
        <v>40</v>
      </c>
      <c r="D4851">
        <v>5.0967589999999996</v>
      </c>
      <c r="E4851">
        <v>0.4988379</v>
      </c>
      <c r="F4851" t="s">
        <v>43</v>
      </c>
      <c r="G4851">
        <v>-328.26170000000002</v>
      </c>
      <c r="H4851" s="1">
        <v>-7.4629199999999899E-7</v>
      </c>
      <c r="I4851">
        <v>139.51339999999999</v>
      </c>
      <c r="J4851">
        <v>-309.56599999999997</v>
      </c>
      <c r="K4851">
        <v>1.1094329999999999</v>
      </c>
      <c r="L4851">
        <v>139.21449999999999</v>
      </c>
      <c r="M4851">
        <v>-0.99952149999999995</v>
      </c>
      <c r="N4851">
        <v>0</v>
      </c>
      <c r="O4851">
        <v>-2.6989079999999999E-2</v>
      </c>
      <c r="P4851">
        <v>-0.99978699999999998</v>
      </c>
      <c r="Q4851">
        <v>1.486631E-3</v>
      </c>
      <c r="R4851">
        <v>2.0592260000000001E-2</v>
      </c>
      <c r="S4851">
        <v>-2.9999389999999999</v>
      </c>
      <c r="T4851">
        <v>-0.17429600000000001</v>
      </c>
      <c r="U4851">
        <v>4.5318600000000001E-2</v>
      </c>
      <c r="V4851">
        <v>4.7602650000000003E-2</v>
      </c>
      <c r="W4851">
        <v>1.6494780000000001E-2</v>
      </c>
      <c r="X4851">
        <v>0.99873009999999995</v>
      </c>
      <c r="Y4851">
        <v>4.1972089999999997E-2</v>
      </c>
      <c r="Z4851">
        <v>2.7849559999999999E-3</v>
      </c>
      <c r="AA4851">
        <v>0.99911490000000003</v>
      </c>
      <c r="AB4851">
        <v>40</v>
      </c>
      <c r="AC4851">
        <v>-18.695699999999999</v>
      </c>
      <c r="AD4851">
        <v>-1.1094337462920001</v>
      </c>
      <c r="AE4851">
        <v>0.298900000000003</v>
      </c>
      <c r="AF4851">
        <v>0.80060988756156404</v>
      </c>
      <c r="AG4851">
        <v>-1.1094337462920001</v>
      </c>
      <c r="AH4851">
        <v>18.615284471324301</v>
      </c>
      <c r="AI4851">
        <v>93.407537017424005</v>
      </c>
      <c r="AJ4851">
        <v>87.537329281685402</v>
      </c>
      <c r="AK4851">
        <v>18.665493172638101</v>
      </c>
      <c r="AL4851">
        <v>89.054875814836905</v>
      </c>
      <c r="AM4851">
        <v>87.271166277712496</v>
      </c>
      <c r="AN4851">
        <v>0.99999995135013897</v>
      </c>
    </row>
    <row r="4852" spans="1:40" x14ac:dyDescent="0.25">
      <c r="A4852" t="str">
        <f>"20190312154352941"</f>
        <v>20190312154352941</v>
      </c>
      <c r="B4852" t="str">
        <f>"1552376632932770"</f>
        <v>1552376632932770</v>
      </c>
      <c r="C4852" t="s">
        <v>40</v>
      </c>
      <c r="D4852">
        <v>5.1373129999999998</v>
      </c>
      <c r="E4852">
        <v>0.49891790000000003</v>
      </c>
      <c r="F4852" t="s">
        <v>43</v>
      </c>
      <c r="G4852">
        <v>-329.05020000000002</v>
      </c>
      <c r="H4852" s="1">
        <v>-4.0750800000000003E-7</v>
      </c>
      <c r="I4852">
        <v>139.5163</v>
      </c>
      <c r="J4852">
        <v>-309.97320000000002</v>
      </c>
      <c r="K4852">
        <v>1.1094109999999999</v>
      </c>
      <c r="L4852">
        <v>139.20429999999999</v>
      </c>
      <c r="M4852">
        <v>-0.99954270000000001</v>
      </c>
      <c r="N4852">
        <v>0</v>
      </c>
      <c r="O4852">
        <v>-2.6192730000000001E-2</v>
      </c>
      <c r="P4852">
        <v>-0.99976229999999999</v>
      </c>
      <c r="Q4852">
        <v>2.1710729999999999E-3</v>
      </c>
      <c r="R4852">
        <v>2.169923E-2</v>
      </c>
      <c r="S4852">
        <v>-2.9999690000000001</v>
      </c>
      <c r="T4852">
        <v>-0.17081939999999901</v>
      </c>
      <c r="U4852">
        <v>4.6478270000000002E-2</v>
      </c>
      <c r="V4852">
        <v>4.7915039999999999E-2</v>
      </c>
      <c r="W4852">
        <v>1.717084E-2</v>
      </c>
      <c r="X4852">
        <v>0.99870380000000003</v>
      </c>
      <c r="Y4852">
        <v>4.1568580000000001E-2</v>
      </c>
      <c r="Z4852">
        <v>2.6726829999999999E-3</v>
      </c>
      <c r="AA4852">
        <v>0.99913209999999997</v>
      </c>
      <c r="AB4852">
        <v>40</v>
      </c>
      <c r="AC4852">
        <v>-19.077000000000002</v>
      </c>
      <c r="AD4852">
        <v>-1.1094114075079999</v>
      </c>
      <c r="AE4852">
        <v>0.31200000000001099</v>
      </c>
      <c r="AF4852">
        <v>0.80889380448235904</v>
      </c>
      <c r="AG4852">
        <v>-1.1094114075079999</v>
      </c>
      <c r="AH4852">
        <v>18.998047385925901</v>
      </c>
      <c r="AI4852">
        <v>93.339034812674399</v>
      </c>
      <c r="AJ4852">
        <v>87.561948124994004</v>
      </c>
      <c r="AK4852">
        <v>19.0475958413634</v>
      </c>
      <c r="AL4852">
        <v>89.016134971227501</v>
      </c>
      <c r="AM4852">
        <v>87.253213556900107</v>
      </c>
      <c r="AN4852">
        <v>0.99999998446947302</v>
      </c>
    </row>
    <row r="4853" spans="1:40" x14ac:dyDescent="0.25">
      <c r="A4853" t="str">
        <f>"20190312154352964"</f>
        <v>20190312154352964</v>
      </c>
      <c r="B4853" t="str">
        <f>"1552376632952290"</f>
        <v>1552376632952290</v>
      </c>
      <c r="C4853" t="s">
        <v>40</v>
      </c>
      <c r="D4853">
        <v>5.0396869999999998</v>
      </c>
      <c r="E4853">
        <v>0.51454259999999996</v>
      </c>
      <c r="F4853" t="s">
        <v>43</v>
      </c>
      <c r="G4853">
        <v>-329.78460000000001</v>
      </c>
      <c r="H4853" s="1">
        <v>-8.8856229999999906E-8</v>
      </c>
      <c r="I4853">
        <v>139.5367</v>
      </c>
      <c r="J4853">
        <v>-310.38080000000002</v>
      </c>
      <c r="K4853">
        <v>1.10938799999999</v>
      </c>
      <c r="L4853">
        <v>139.1944</v>
      </c>
      <c r="M4853">
        <v>-0.99956400000000001</v>
      </c>
      <c r="N4853">
        <v>0</v>
      </c>
      <c r="O4853">
        <v>-2.5372220000000001E-2</v>
      </c>
      <c r="P4853">
        <v>-0.99971880000000002</v>
      </c>
      <c r="Q4853">
        <v>2.7029979999999999E-3</v>
      </c>
      <c r="R4853">
        <v>2.3563600000000001E-2</v>
      </c>
      <c r="S4853">
        <v>-3</v>
      </c>
      <c r="T4853">
        <v>-0.16799639999999999</v>
      </c>
      <c r="U4853">
        <v>5.0354000000000003E-2</v>
      </c>
      <c r="V4853">
        <v>4.8959900000000001E-2</v>
      </c>
      <c r="W4853">
        <v>1.769242E-2</v>
      </c>
      <c r="X4853">
        <v>0.99864410000000003</v>
      </c>
      <c r="Y4853">
        <v>4.2042839999999998E-2</v>
      </c>
      <c r="Z4853">
        <v>2.595895E-3</v>
      </c>
      <c r="AA4853">
        <v>0.99911240000000001</v>
      </c>
      <c r="AB4853">
        <v>40</v>
      </c>
      <c r="AC4853">
        <v>-19.403799999999901</v>
      </c>
      <c r="AD4853">
        <v>-1.10938808885622</v>
      </c>
      <c r="AE4853">
        <v>0.342299999999994</v>
      </c>
      <c r="AF4853">
        <v>0.83184508945436497</v>
      </c>
      <c r="AG4853">
        <v>-1.10938808885622</v>
      </c>
      <c r="AH4853">
        <v>19.325713099151798</v>
      </c>
      <c r="AI4853">
        <v>93.282412618609598</v>
      </c>
      <c r="AJ4853">
        <v>87.535314184906696</v>
      </c>
      <c r="AK4853">
        <v>19.3753940598707</v>
      </c>
      <c r="AL4853">
        <v>88.986246179017797</v>
      </c>
      <c r="AM4853">
        <v>87.193242956169001</v>
      </c>
      <c r="AN4853">
        <v>1.0000000659991299</v>
      </c>
    </row>
    <row r="4854" spans="1:40" x14ac:dyDescent="0.25">
      <c r="A4854" t="str">
        <f>"20190312154352986"</f>
        <v>20190312154352986</v>
      </c>
      <c r="B4854" t="str">
        <f>"1552376632972786"</f>
        <v>1552376632972786</v>
      </c>
      <c r="C4854" t="s">
        <v>40</v>
      </c>
      <c r="D4854">
        <v>5.0121029999999998</v>
      </c>
      <c r="E4854">
        <v>0.51544769999999995</v>
      </c>
      <c r="F4854" t="s">
        <v>43</v>
      </c>
      <c r="G4854">
        <v>-344.67380000000003</v>
      </c>
      <c r="H4854" s="1">
        <v>-2.7121120000000002E-6</v>
      </c>
      <c r="I4854">
        <v>141.2884</v>
      </c>
      <c r="J4854">
        <v>-310.7808</v>
      </c>
      <c r="K4854">
        <v>1.1093740000000001</v>
      </c>
      <c r="L4854">
        <v>139.185</v>
      </c>
      <c r="M4854">
        <v>-0.99958460000000005</v>
      </c>
      <c r="N4854">
        <v>0</v>
      </c>
      <c r="O4854">
        <v>-2.4550590000000001E-2</v>
      </c>
      <c r="P4854">
        <v>-0.99967870000000003</v>
      </c>
      <c r="Q4854">
        <v>2.8892900000000001E-3</v>
      </c>
      <c r="R4854">
        <v>2.5184430000000001E-2</v>
      </c>
      <c r="S4854">
        <v>-2.9967649999999999</v>
      </c>
      <c r="T4854">
        <v>-9.6946480000000002E-2</v>
      </c>
      <c r="U4854">
        <v>0.18299869999999999</v>
      </c>
      <c r="V4854">
        <v>4.9759230000000002E-2</v>
      </c>
      <c r="W4854">
        <v>1.7869779999999998E-2</v>
      </c>
      <c r="X4854">
        <v>0.99860139999999997</v>
      </c>
      <c r="Y4854">
        <v>8.5383909999999993E-2</v>
      </c>
      <c r="Z4854">
        <v>2.1729100000000001E-3</v>
      </c>
      <c r="AA4854">
        <v>0.99634579999999995</v>
      </c>
      <c r="AB4854">
        <v>40</v>
      </c>
      <c r="AC4854">
        <v>-33.893000000000001</v>
      </c>
      <c r="AD4854">
        <v>-1.109376712112</v>
      </c>
      <c r="AE4854">
        <v>2.1033999999999899</v>
      </c>
      <c r="AF4854">
        <v>2.93182483790395</v>
      </c>
      <c r="AG4854">
        <v>-1.109376712112</v>
      </c>
      <c r="AH4854">
        <v>33.795068355762801</v>
      </c>
      <c r="AI4854">
        <v>91.873119298532501</v>
      </c>
      <c r="AJ4854">
        <v>85.041830758158198</v>
      </c>
      <c r="AK4854">
        <v>33.940137871555699</v>
      </c>
      <c r="AL4854">
        <v>88.976082559649797</v>
      </c>
      <c r="AM4854">
        <v>87.147372533250604</v>
      </c>
      <c r="AN4854">
        <v>1.0000000330447001</v>
      </c>
    </row>
    <row r="4855" spans="1:40" x14ac:dyDescent="0.25">
      <c r="A4855" t="str">
        <f>"20190312154353009"</f>
        <v>20190312154353009</v>
      </c>
      <c r="B4855" t="str">
        <f>"1552376633002066"</f>
        <v>1552376633002066</v>
      </c>
      <c r="C4855" t="s">
        <v>40</v>
      </c>
      <c r="D4855">
        <v>5.0018129999999896</v>
      </c>
      <c r="E4855">
        <v>0.51522659999999998</v>
      </c>
      <c r="F4855" t="s">
        <v>43</v>
      </c>
      <c r="G4855">
        <v>-345.1114</v>
      </c>
      <c r="H4855" s="1">
        <v>-2.5592509999999999E-6</v>
      </c>
      <c r="I4855">
        <v>141.41929999999999</v>
      </c>
      <c r="J4855">
        <v>-311.18560000000002</v>
      </c>
      <c r="K4855">
        <v>1.109362</v>
      </c>
      <c r="L4855">
        <v>139.17580000000001</v>
      </c>
      <c r="M4855">
        <v>-0.99960499999999997</v>
      </c>
      <c r="N4855">
        <v>0</v>
      </c>
      <c r="O4855">
        <v>-2.3706970000000001E-2</v>
      </c>
      <c r="P4855">
        <v>-0.99965099999999996</v>
      </c>
      <c r="Q4855">
        <v>2.9812319999999999E-3</v>
      </c>
      <c r="R4855">
        <v>2.6250409999999998E-2</v>
      </c>
      <c r="S4855">
        <v>-2.9963380000000002</v>
      </c>
      <c r="T4855">
        <v>-9.6825359999999999E-2</v>
      </c>
      <c r="U4855">
        <v>0.19502259999999999</v>
      </c>
      <c r="V4855">
        <v>4.9982260000000001E-2</v>
      </c>
      <c r="W4855">
        <v>1.7954640000000001E-2</v>
      </c>
      <c r="X4855">
        <v>0.9985887</v>
      </c>
      <c r="Y4855">
        <v>8.8532540000000007E-2</v>
      </c>
      <c r="Z4855">
        <v>2.1938140000000001E-3</v>
      </c>
      <c r="AA4855">
        <v>0.99607089999999998</v>
      </c>
      <c r="AB4855">
        <v>40</v>
      </c>
      <c r="AC4855">
        <v>-33.925799999999903</v>
      </c>
      <c r="AD4855">
        <v>-1.109364559251</v>
      </c>
      <c r="AE4855">
        <v>2.2434999999999801</v>
      </c>
      <c r="AF4855">
        <v>3.0439981850202402</v>
      </c>
      <c r="AG4855">
        <v>-1.109364559251</v>
      </c>
      <c r="AH4855">
        <v>33.827057491829798</v>
      </c>
      <c r="AI4855">
        <v>91.870798511606907</v>
      </c>
      <c r="AJ4855">
        <v>84.857969661835796</v>
      </c>
      <c r="AK4855">
        <v>33.981854470162297</v>
      </c>
      <c r="AL4855">
        <v>88.971219619178299</v>
      </c>
      <c r="AM4855">
        <v>87.134571413189306</v>
      </c>
      <c r="AN4855">
        <v>0.99999999358996305</v>
      </c>
    </row>
    <row r="4856" spans="1:40" x14ac:dyDescent="0.25">
      <c r="A4856" t="str">
        <f>"20190312154353031"</f>
        <v>20190312154353031</v>
      </c>
      <c r="B4856" t="str">
        <f>"1552376633022563"</f>
        <v>1552376633022563</v>
      </c>
      <c r="C4856" t="s">
        <v>40</v>
      </c>
      <c r="D4856">
        <v>4.97295</v>
      </c>
      <c r="E4856">
        <v>0.51488389999999995</v>
      </c>
      <c r="F4856" t="s">
        <v>43</v>
      </c>
      <c r="G4856">
        <v>-345.00670000000002</v>
      </c>
      <c r="H4856" s="1">
        <v>-2.5973819999999998E-6</v>
      </c>
      <c r="I4856">
        <v>141.3938</v>
      </c>
      <c r="J4856">
        <v>-311.5763</v>
      </c>
      <c r="K4856">
        <v>1.1093580000000001</v>
      </c>
      <c r="L4856">
        <v>139.16730000000001</v>
      </c>
      <c r="M4856">
        <v>-0.99962410000000002</v>
      </c>
      <c r="N4856">
        <v>0</v>
      </c>
      <c r="O4856">
        <v>-2.288571E-2</v>
      </c>
      <c r="P4856">
        <v>-0.99963599999999997</v>
      </c>
      <c r="Q4856">
        <v>3.7668900000000002E-3</v>
      </c>
      <c r="R4856">
        <v>2.6711510000000001E-2</v>
      </c>
      <c r="S4856">
        <v>-2.996216</v>
      </c>
      <c r="T4856">
        <v>-9.8279119999999998E-2</v>
      </c>
      <c r="U4856">
        <v>0.1965027</v>
      </c>
      <c r="V4856">
        <v>4.9624300000000003E-2</v>
      </c>
      <c r="W4856">
        <v>1.8736050000000001E-2</v>
      </c>
      <c r="X4856">
        <v>0.99859219999999904</v>
      </c>
      <c r="Y4856">
        <v>8.8205640000000002E-2</v>
      </c>
      <c r="Z4856">
        <v>2.1945279999999998E-3</v>
      </c>
      <c r="AA4856">
        <v>0.99609990000000004</v>
      </c>
      <c r="AB4856">
        <v>40</v>
      </c>
      <c r="AC4856">
        <v>-33.430399999999999</v>
      </c>
      <c r="AD4856">
        <v>-1.109360597382</v>
      </c>
      <c r="AE4856">
        <v>2.2264999999999802</v>
      </c>
      <c r="AF4856">
        <v>2.9878067421645702</v>
      </c>
      <c r="AG4856">
        <v>-1.109360597382</v>
      </c>
      <c r="AH4856">
        <v>33.334136214842303</v>
      </c>
      <c r="AI4856">
        <v>91.898495672110698</v>
      </c>
      <c r="AJ4856">
        <v>84.878149096382998</v>
      </c>
      <c r="AK4856">
        <v>33.486150976981698</v>
      </c>
      <c r="AL4856">
        <v>88.926440589738803</v>
      </c>
      <c r="AM4856">
        <v>87.155068990702503</v>
      </c>
      <c r="AN4856">
        <v>0.99999999631046599</v>
      </c>
    </row>
    <row r="4857" spans="1:40" x14ac:dyDescent="0.25">
      <c r="A4857" t="str">
        <f>"20190312154353052"</f>
        <v>20190312154353052</v>
      </c>
      <c r="B4857" t="str">
        <f>"1552376633042083"</f>
        <v>1552376633042083</v>
      </c>
      <c r="C4857" t="s">
        <v>40</v>
      </c>
      <c r="D4857">
        <v>4.9566220000000003</v>
      </c>
      <c r="E4857">
        <v>0.51476529999999998</v>
      </c>
      <c r="F4857" t="s">
        <v>43</v>
      </c>
      <c r="G4857">
        <v>-345.85719999999998</v>
      </c>
      <c r="H4857" s="1">
        <v>-2.2341279999999998E-6</v>
      </c>
      <c r="I4857">
        <v>141.3999</v>
      </c>
      <c r="J4857">
        <v>-311.96140000000003</v>
      </c>
      <c r="K4857">
        <v>1.109353</v>
      </c>
      <c r="L4857">
        <v>139.1592</v>
      </c>
      <c r="M4857">
        <v>-0.99964260000000005</v>
      </c>
      <c r="N4857">
        <v>0</v>
      </c>
      <c r="O4857">
        <v>-2.207284E-2</v>
      </c>
      <c r="P4857">
        <v>-0.99962499999999999</v>
      </c>
      <c r="Q4857">
        <v>5.0115489999999997E-3</v>
      </c>
      <c r="R4857">
        <v>2.6923349999999999E-2</v>
      </c>
      <c r="S4857">
        <v>-2.9962770000000001</v>
      </c>
      <c r="T4857">
        <v>-9.6962450000000006E-2</v>
      </c>
      <c r="U4857">
        <v>0.1951447</v>
      </c>
      <c r="V4857">
        <v>4.9026750000000001E-2</v>
      </c>
      <c r="W4857">
        <v>1.9976549999999999E-2</v>
      </c>
      <c r="X4857">
        <v>0.99859770000000003</v>
      </c>
      <c r="Y4857">
        <v>8.6947350000000007E-2</v>
      </c>
      <c r="Z4857">
        <v>2.1185179999999998E-3</v>
      </c>
      <c r="AA4857">
        <v>0.99621059999999995</v>
      </c>
      <c r="AB4857">
        <v>40</v>
      </c>
      <c r="AC4857">
        <v>-33.895799999999902</v>
      </c>
      <c r="AD4857">
        <v>-1.109355234128</v>
      </c>
      <c r="AE4857">
        <v>2.2406999999999999</v>
      </c>
      <c r="AF4857">
        <v>2.9852319260383902</v>
      </c>
      <c r="AG4857">
        <v>-1.109355234128</v>
      </c>
      <c r="AH4857">
        <v>33.8020262454015</v>
      </c>
      <c r="AI4857">
        <v>91.872443846607695</v>
      </c>
      <c r="AJ4857">
        <v>84.953007377060302</v>
      </c>
      <c r="AK4857">
        <v>33.951719499644497</v>
      </c>
      <c r="AL4857">
        <v>88.855351885436704</v>
      </c>
      <c r="AM4857">
        <v>87.189286357269907</v>
      </c>
      <c r="AN4857">
        <v>1.00000002560537</v>
      </c>
    </row>
    <row r="4858" spans="1:40" x14ac:dyDescent="0.25">
      <c r="A4858" t="str">
        <f>"20190312154353075"</f>
        <v>20190312154353075</v>
      </c>
      <c r="B4858" t="str">
        <f>"1552376633062578"</f>
        <v>1552376633062578</v>
      </c>
      <c r="C4858" t="s">
        <v>40</v>
      </c>
      <c r="D4858">
        <v>4.9226760000000001</v>
      </c>
      <c r="E4858">
        <v>0.51452629999999999</v>
      </c>
      <c r="F4858" t="s">
        <v>43</v>
      </c>
      <c r="G4858">
        <v>-347.346</v>
      </c>
      <c r="H4858" s="1">
        <v>-1.6111060000000001E-6</v>
      </c>
      <c r="I4858">
        <v>141.4588</v>
      </c>
      <c r="J4858">
        <v>-312.3408</v>
      </c>
      <c r="K4858">
        <v>1.1093569999999999</v>
      </c>
      <c r="L4858">
        <v>139.1516</v>
      </c>
      <c r="M4858">
        <v>-0.99966010000000005</v>
      </c>
      <c r="N4858">
        <v>0</v>
      </c>
      <c r="O4858">
        <v>-2.1268809999999999E-2</v>
      </c>
      <c r="P4858">
        <v>-0.99961270000000002</v>
      </c>
      <c r="Q4858">
        <v>5.9144080000000003E-3</v>
      </c>
      <c r="R4858">
        <v>2.7198030000000002E-2</v>
      </c>
      <c r="S4858">
        <v>-2.9963380000000002</v>
      </c>
      <c r="T4858">
        <v>-9.3939300000000003E-2</v>
      </c>
      <c r="U4858">
        <v>0.19473270000000001</v>
      </c>
      <c r="V4858">
        <v>4.8500010000000003E-2</v>
      </c>
      <c r="W4858">
        <v>2.087615E-2</v>
      </c>
      <c r="X4858">
        <v>0.99860499999999996</v>
      </c>
      <c r="Y4858">
        <v>8.6012679999999994E-2</v>
      </c>
      <c r="Z4858">
        <v>2.0126509999999998E-3</v>
      </c>
      <c r="AA4858">
        <v>0.99629199999999996</v>
      </c>
      <c r="AB4858">
        <v>40</v>
      </c>
      <c r="AC4858">
        <v>-35.005200000000002</v>
      </c>
      <c r="AD4858">
        <v>-1.1093586111060001</v>
      </c>
      <c r="AE4858">
        <v>2.3071999999999901</v>
      </c>
      <c r="AF4858">
        <v>3.0482333553208099</v>
      </c>
      <c r="AG4858">
        <v>-1.1093586111060001</v>
      </c>
      <c r="AH4858">
        <v>34.913289823741003</v>
      </c>
      <c r="AI4858">
        <v>91.813050216461704</v>
      </c>
      <c r="AJ4858">
        <v>85.010233949545494</v>
      </c>
      <c r="AK4858">
        <v>35.063659384511801</v>
      </c>
      <c r="AL4858">
        <v>88.803797821276504</v>
      </c>
      <c r="AM4858">
        <v>87.219457115564794</v>
      </c>
      <c r="AN4858">
        <v>1.00000000531691</v>
      </c>
    </row>
    <row r="4859" spans="1:40" x14ac:dyDescent="0.25">
      <c r="A4859" t="str">
        <f>"20190312154353109"</f>
        <v>20190312154353109</v>
      </c>
      <c r="B4859" t="str">
        <f>"1552376633102596"</f>
        <v>1552376633102596</v>
      </c>
      <c r="C4859" t="s">
        <v>40</v>
      </c>
      <c r="D4859">
        <v>4.9112749999999998</v>
      </c>
      <c r="E4859">
        <v>0.51440039999999998</v>
      </c>
      <c r="F4859" t="s">
        <v>43</v>
      </c>
      <c r="G4859">
        <v>-348.52330000000001</v>
      </c>
      <c r="H4859" s="1">
        <v>-1.113707E-6</v>
      </c>
      <c r="I4859">
        <v>141.48759999999999</v>
      </c>
      <c r="J4859">
        <v>-312.94889999999998</v>
      </c>
      <c r="K4859">
        <v>1.1093630000000001</v>
      </c>
      <c r="L4859">
        <v>139.13999999999999</v>
      </c>
      <c r="M4859">
        <v>-0.99968710000000005</v>
      </c>
      <c r="N4859">
        <v>0</v>
      </c>
      <c r="O4859">
        <v>-1.9963640000000001E-2</v>
      </c>
      <c r="P4859">
        <v>-0.99954290000000001</v>
      </c>
      <c r="Q4859">
        <v>8.0929780000000007E-3</v>
      </c>
      <c r="R4859">
        <v>2.9135169999999998E-2</v>
      </c>
      <c r="S4859">
        <v>-2.9964599999999999</v>
      </c>
      <c r="T4859">
        <v>-9.1871739999999993E-2</v>
      </c>
      <c r="U4859">
        <v>0.1934662</v>
      </c>
      <c r="V4859">
        <v>4.9136859999999997E-2</v>
      </c>
      <c r="W4859">
        <v>2.3043330000000001E-2</v>
      </c>
      <c r="X4859">
        <v>0.99852620000000003</v>
      </c>
      <c r="Y4859">
        <v>8.429354E-2</v>
      </c>
      <c r="Z4859">
        <v>1.902022E-3</v>
      </c>
      <c r="AA4859">
        <v>0.99643919999999997</v>
      </c>
      <c r="AB4859">
        <v>40</v>
      </c>
      <c r="AC4859">
        <v>-35.574399999999997</v>
      </c>
      <c r="AD4859">
        <v>-1.1093641137069901</v>
      </c>
      <c r="AE4859">
        <v>2.3475999999999999</v>
      </c>
      <c r="AF4859">
        <v>3.0544497635325301</v>
      </c>
      <c r="AG4859">
        <v>-1.1093641137069901</v>
      </c>
      <c r="AH4859">
        <v>35.486077417893</v>
      </c>
      <c r="AI4859">
        <v>91.784002633981004</v>
      </c>
      <c r="AJ4859">
        <v>85.080414504769493</v>
      </c>
      <c r="AK4859">
        <v>35.6345624724567</v>
      </c>
      <c r="AL4859">
        <v>88.679597571741695</v>
      </c>
      <c r="AM4859">
        <v>87.182782496172507</v>
      </c>
      <c r="AN4859">
        <v>0.99999999907729398</v>
      </c>
    </row>
    <row r="4860" spans="1:40" x14ac:dyDescent="0.25">
      <c r="A4860" t="str">
        <f>"20190312154353130"</f>
        <v>20190312154353130</v>
      </c>
      <c r="B4860" t="str">
        <f>"1552376633122114"</f>
        <v>1552376633122114</v>
      </c>
      <c r="C4860" t="s">
        <v>40</v>
      </c>
      <c r="D4860">
        <v>4.9015680000000001</v>
      </c>
      <c r="E4860">
        <v>0.51425339999999997</v>
      </c>
      <c r="F4860" t="s">
        <v>43</v>
      </c>
      <c r="G4860">
        <v>-352.85090000000002</v>
      </c>
      <c r="H4860" s="1">
        <v>-3.6249389999999998E-6</v>
      </c>
      <c r="I4860">
        <v>141.7799</v>
      </c>
      <c r="J4860">
        <v>-313.33350000000002</v>
      </c>
      <c r="K4860">
        <v>1.1093550000000001</v>
      </c>
      <c r="L4860">
        <v>139.13310000000001</v>
      </c>
      <c r="M4860">
        <v>-0.99970400000000004</v>
      </c>
      <c r="N4860">
        <v>0</v>
      </c>
      <c r="O4860">
        <v>-1.9102879999999999E-2</v>
      </c>
      <c r="P4860">
        <v>-0.99946279999999998</v>
      </c>
      <c r="Q4860">
        <v>9.7548370000000006E-3</v>
      </c>
      <c r="R4860">
        <v>3.1288620000000003E-2</v>
      </c>
      <c r="S4860">
        <v>-2.9962460000000002</v>
      </c>
      <c r="T4860">
        <v>-8.3302500000000002E-2</v>
      </c>
      <c r="U4860">
        <v>0.19824220000000001</v>
      </c>
      <c r="V4860">
        <v>5.0433070000000003E-2</v>
      </c>
      <c r="W4860">
        <v>2.469462E-2</v>
      </c>
      <c r="X4860">
        <v>0.99842209999999998</v>
      </c>
      <c r="Y4860">
        <v>8.5030430000000004E-2</v>
      </c>
      <c r="Z4860">
        <v>1.7110440000000001E-3</v>
      </c>
      <c r="AA4860">
        <v>0.99637690000000001</v>
      </c>
      <c r="AB4860">
        <v>39</v>
      </c>
      <c r="AC4860">
        <v>-39.517400000000002</v>
      </c>
      <c r="AD4860">
        <v>-1.1093586249389999</v>
      </c>
      <c r="AE4860">
        <v>2.6467999999999798</v>
      </c>
      <c r="AF4860">
        <v>3.3986323403042098</v>
      </c>
      <c r="AG4860">
        <v>-1.1093586249389999</v>
      </c>
      <c r="AH4860">
        <v>39.4286861519696</v>
      </c>
      <c r="AI4860">
        <v>91.605687972759796</v>
      </c>
      <c r="AJ4860">
        <v>85.073455958463398</v>
      </c>
      <c r="AK4860">
        <v>39.590436597918497</v>
      </c>
      <c r="AL4860">
        <v>88.584958657441305</v>
      </c>
      <c r="AM4860">
        <v>87.108289000114397</v>
      </c>
      <c r="AN4860">
        <v>1.0000000042874799</v>
      </c>
    </row>
    <row r="4861" spans="1:40" x14ac:dyDescent="0.25">
      <c r="A4861" t="str">
        <f>"20190312154353153"</f>
        <v>20190312154353153</v>
      </c>
      <c r="B4861" t="str">
        <f>"1552376633142611"</f>
        <v>1552376633142611</v>
      </c>
      <c r="C4861" t="s">
        <v>40</v>
      </c>
      <c r="D4861">
        <v>4.8749169999999999</v>
      </c>
      <c r="E4861">
        <v>0.51417959999999996</v>
      </c>
      <c r="F4861" t="s">
        <v>43</v>
      </c>
      <c r="G4861">
        <v>-356.07060000000001</v>
      </c>
      <c r="H4861" s="1">
        <v>-2.3134569999999998E-6</v>
      </c>
      <c r="I4861">
        <v>142.042</v>
      </c>
      <c r="J4861">
        <v>-313.7285</v>
      </c>
      <c r="K4861">
        <v>1.109324</v>
      </c>
      <c r="L4861">
        <v>139.12639999999999</v>
      </c>
      <c r="M4861">
        <v>-0.99972119999999998</v>
      </c>
      <c r="N4861">
        <v>0</v>
      </c>
      <c r="O4861">
        <v>-1.8178650000000001E-2</v>
      </c>
      <c r="P4861">
        <v>-0.99943360000000003</v>
      </c>
      <c r="Q4861">
        <v>1.069675E-2</v>
      </c>
      <c r="R4861">
        <v>3.1908980000000003E-2</v>
      </c>
      <c r="S4861">
        <v>-2.9960019999999998</v>
      </c>
      <c r="T4861">
        <v>-7.7769519999999995E-2</v>
      </c>
      <c r="U4861">
        <v>0.2039337</v>
      </c>
      <c r="V4861">
        <v>5.0133799999999999E-2</v>
      </c>
      <c r="W4861">
        <v>2.5628919999999999E-2</v>
      </c>
      <c r="X4861">
        <v>0.99841360000000001</v>
      </c>
      <c r="Y4861">
        <v>8.6004070000000002E-2</v>
      </c>
      <c r="Z4861">
        <v>1.5861200000000001E-3</v>
      </c>
      <c r="AA4861">
        <v>0.99629350000000005</v>
      </c>
      <c r="AB4861">
        <v>39</v>
      </c>
      <c r="AC4861">
        <v>-42.342100000000002</v>
      </c>
      <c r="AD4861">
        <v>-1.1093263134569999</v>
      </c>
      <c r="AE4861">
        <v>2.9156000000000102</v>
      </c>
      <c r="AF4861">
        <v>3.6824120587661202</v>
      </c>
      <c r="AG4861">
        <v>-1.1093263134569999</v>
      </c>
      <c r="AH4861">
        <v>42.2532283647989</v>
      </c>
      <c r="AI4861">
        <v>91.498235146537198</v>
      </c>
      <c r="AJ4861">
        <v>85.019199013959707</v>
      </c>
      <c r="AK4861">
        <v>42.427892602486402</v>
      </c>
      <c r="AL4861">
        <v>88.531410216561696</v>
      </c>
      <c r="AM4861">
        <v>87.125395124758001</v>
      </c>
      <c r="AN4861">
        <v>0.99999997805388297</v>
      </c>
    </row>
    <row r="4862" spans="1:40" x14ac:dyDescent="0.25">
      <c r="A4862" t="str">
        <f>"20190312154353177"</f>
        <v>20190312154353177</v>
      </c>
      <c r="B4862" t="str">
        <f>"1552376633172866"</f>
        <v>1552376633172866</v>
      </c>
      <c r="C4862" t="s">
        <v>40</v>
      </c>
      <c r="D4862">
        <v>4.9057899999999997</v>
      </c>
      <c r="E4862">
        <v>0.51407199999999997</v>
      </c>
      <c r="F4862" t="s">
        <v>43</v>
      </c>
      <c r="G4862">
        <v>-358.3066</v>
      </c>
      <c r="H4862" s="1">
        <v>-1.3917679999999999E-6</v>
      </c>
      <c r="I4862">
        <v>142.1832</v>
      </c>
      <c r="J4862">
        <v>-314.15879999999999</v>
      </c>
      <c r="K4862">
        <v>1.109262</v>
      </c>
      <c r="L4862">
        <v>139.11959999999999</v>
      </c>
      <c r="M4862">
        <v>-0.99974079999999999</v>
      </c>
      <c r="N4862">
        <v>0</v>
      </c>
      <c r="O4862">
        <v>-1.7066410000000001E-2</v>
      </c>
      <c r="P4862">
        <v>-0.99941979999999997</v>
      </c>
      <c r="Q4862">
        <v>1.248897E-2</v>
      </c>
      <c r="R4862">
        <v>3.1689589999999997E-2</v>
      </c>
      <c r="S4862">
        <v>-2.9959720000000001</v>
      </c>
      <c r="T4862">
        <v>-7.4554919999999997E-2</v>
      </c>
      <c r="U4862">
        <v>0.2054443</v>
      </c>
      <c r="V4862">
        <v>4.8811590000000002E-2</v>
      </c>
      <c r="W4862">
        <v>2.7413099999999999E-2</v>
      </c>
      <c r="X4862">
        <v>0.99843170000000003</v>
      </c>
      <c r="Y4862">
        <v>8.539969E-2</v>
      </c>
      <c r="Z4862">
        <v>1.4854079999999999E-3</v>
      </c>
      <c r="AA4862">
        <v>0.99634560000000005</v>
      </c>
      <c r="AB4862">
        <v>39</v>
      </c>
      <c r="AC4862">
        <v>-44.147799999999997</v>
      </c>
      <c r="AD4862">
        <v>-1.1092633917679999</v>
      </c>
      <c r="AE4862">
        <v>3.0636000000000001</v>
      </c>
      <c r="AF4862">
        <v>3.8142872183205201</v>
      </c>
      <c r="AG4862">
        <v>-1.1092633917679999</v>
      </c>
      <c r="AH4862">
        <v>44.061394549224801</v>
      </c>
      <c r="AI4862">
        <v>91.436768533406394</v>
      </c>
      <c r="AJ4862">
        <v>85.052378886393299</v>
      </c>
      <c r="AK4862">
        <v>44.240092019328102</v>
      </c>
      <c r="AL4862">
        <v>88.429148209749002</v>
      </c>
      <c r="AM4862">
        <v>87.201137349708603</v>
      </c>
      <c r="AN4862">
        <v>0.99999995446741297</v>
      </c>
    </row>
    <row r="4863" spans="1:40" x14ac:dyDescent="0.25">
      <c r="A4863" t="str">
        <f>"20190312154353198"</f>
        <v>20190312154353198</v>
      </c>
      <c r="B4863" t="str">
        <f>"1552376633192386"</f>
        <v>1552376633192386</v>
      </c>
      <c r="C4863" t="s">
        <v>40</v>
      </c>
      <c r="D4863">
        <v>4.8891080000000002</v>
      </c>
      <c r="E4863">
        <v>0.51402599999999998</v>
      </c>
      <c r="F4863" t="s">
        <v>43</v>
      </c>
      <c r="G4863">
        <v>-366.15530000000001</v>
      </c>
      <c r="H4863" s="1">
        <v>-2.442709E-6</v>
      </c>
      <c r="I4863">
        <v>142.6643</v>
      </c>
      <c r="J4863">
        <v>-314.52</v>
      </c>
      <c r="K4863">
        <v>1.109189</v>
      </c>
      <c r="L4863">
        <v>139.11439999999999</v>
      </c>
      <c r="M4863">
        <v>-0.99975849999999999</v>
      </c>
      <c r="N4863">
        <v>0</v>
      </c>
      <c r="O4863">
        <v>-1.600557E-2</v>
      </c>
      <c r="P4863">
        <v>-0.99942609999999998</v>
      </c>
      <c r="Q4863">
        <v>1.357069E-2</v>
      </c>
      <c r="R4863">
        <v>3.1045690000000001E-2</v>
      </c>
      <c r="S4863">
        <v>-2.9960629999999999</v>
      </c>
      <c r="T4863">
        <v>-6.3916559999999997E-2</v>
      </c>
      <c r="U4863">
        <v>0.2042542</v>
      </c>
      <c r="V4863">
        <v>4.7116989999999997E-2</v>
      </c>
      <c r="W4863">
        <v>2.8486520000000001E-2</v>
      </c>
      <c r="X4863">
        <v>0.99848309999999996</v>
      </c>
      <c r="Y4863">
        <v>8.3955269999999999E-2</v>
      </c>
      <c r="Z4863">
        <v>1.235486E-3</v>
      </c>
      <c r="AA4863">
        <v>0.99646880000000004</v>
      </c>
      <c r="AB4863">
        <v>39</v>
      </c>
      <c r="AC4863">
        <v>-51.635300000000001</v>
      </c>
      <c r="AD4863">
        <v>-1.1091914427089999</v>
      </c>
      <c r="AE4863">
        <v>3.5499000000000001</v>
      </c>
      <c r="AF4863">
        <v>4.3739824373096097</v>
      </c>
      <c r="AG4863">
        <v>-1.1091914427089999</v>
      </c>
      <c r="AH4863">
        <v>51.548184803437103</v>
      </c>
      <c r="AI4863">
        <v>91.228263062141806</v>
      </c>
      <c r="AJ4863">
        <v>85.149938631749393</v>
      </c>
      <c r="AK4863">
        <v>51.745312681901702</v>
      </c>
      <c r="AL4863">
        <v>88.367621800735705</v>
      </c>
      <c r="AM4863">
        <v>87.298298236926001</v>
      </c>
      <c r="AN4863">
        <v>0.99999999677699003</v>
      </c>
    </row>
    <row r="4864" spans="1:40" x14ac:dyDescent="0.25">
      <c r="A4864" t="str">
        <f>"20190312154353220"</f>
        <v>20190312154353220</v>
      </c>
      <c r="B4864" t="str">
        <f>"1552376633212883"</f>
        <v>1552376633212883</v>
      </c>
      <c r="C4864" t="s">
        <v>40</v>
      </c>
      <c r="D4864">
        <v>4.9033410000000002</v>
      </c>
      <c r="E4864">
        <v>0.51396520000000001</v>
      </c>
      <c r="F4864" t="s">
        <v>43</v>
      </c>
      <c r="G4864">
        <v>-371.92009999999999</v>
      </c>
      <c r="H4864" s="1">
        <v>-4.2205539999999999E-6</v>
      </c>
      <c r="I4864">
        <v>142.9873</v>
      </c>
      <c r="J4864">
        <v>-314.91669999999999</v>
      </c>
      <c r="K4864">
        <v>1.1090439999999999</v>
      </c>
      <c r="L4864">
        <v>139.10919999999999</v>
      </c>
      <c r="M4864">
        <v>-0.99977930000000004</v>
      </c>
      <c r="N4864">
        <v>0</v>
      </c>
      <c r="O4864">
        <v>-1.465733E-2</v>
      </c>
      <c r="P4864">
        <v>-0.99943660000000001</v>
      </c>
      <c r="Q4864">
        <v>1.4032060000000001E-2</v>
      </c>
      <c r="R4864">
        <v>3.049814E-2</v>
      </c>
      <c r="S4864">
        <v>-2.996216</v>
      </c>
      <c r="T4864">
        <v>-5.7898520000000002E-2</v>
      </c>
      <c r="U4864">
        <v>0.2021637</v>
      </c>
      <c r="V4864">
        <v>4.5233629999999997E-2</v>
      </c>
      <c r="W4864">
        <v>2.8936460000000001E-2</v>
      </c>
      <c r="X4864">
        <v>0.99855729999999998</v>
      </c>
      <c r="Y4864">
        <v>8.1920499999999993E-2</v>
      </c>
      <c r="Z4864">
        <v>1.0734869999999999E-3</v>
      </c>
      <c r="AA4864">
        <v>0.99663829999999998</v>
      </c>
      <c r="AB4864">
        <v>39</v>
      </c>
      <c r="AC4864">
        <v>-57.003399999999999</v>
      </c>
      <c r="AD4864">
        <v>-1.109048220554</v>
      </c>
      <c r="AE4864">
        <v>3.8781000000000101</v>
      </c>
      <c r="AF4864">
        <v>4.7115203608825897</v>
      </c>
      <c r="AG4864">
        <v>-1.109048220554</v>
      </c>
      <c r="AH4864">
        <v>56.918979793858497</v>
      </c>
      <c r="AI4864">
        <v>91.112445108082895</v>
      </c>
      <c r="AJ4864">
        <v>85.268077499421906</v>
      </c>
      <c r="AK4864">
        <v>57.124413982466301</v>
      </c>
      <c r="AL4864">
        <v>88.341831577936404</v>
      </c>
      <c r="AM4864">
        <v>87.406332563824904</v>
      </c>
      <c r="AN4864">
        <v>1.0000000406917899</v>
      </c>
    </row>
    <row r="4865" spans="1:40" x14ac:dyDescent="0.25">
      <c r="A4865" t="str">
        <f>"20190312154353243"</f>
        <v>20190312154353243</v>
      </c>
      <c r="B4865" t="str">
        <f>"1552376633232403"</f>
        <v>1552376633232403</v>
      </c>
      <c r="C4865" t="s">
        <v>40</v>
      </c>
      <c r="D4865">
        <v>4.8908379999999996</v>
      </c>
      <c r="E4865">
        <v>0.5139319</v>
      </c>
      <c r="F4865" t="s">
        <v>43</v>
      </c>
      <c r="G4865">
        <v>-376.30610000000001</v>
      </c>
      <c r="H4865" s="1">
        <v>-2.5241469999999999E-6</v>
      </c>
      <c r="I4865">
        <v>143.21360000000001</v>
      </c>
      <c r="J4865">
        <v>-315.3</v>
      </c>
      <c r="K4865">
        <v>1.1088610000000001</v>
      </c>
      <c r="L4865">
        <v>139.10499999999999</v>
      </c>
      <c r="M4865">
        <v>-0.99980049999999998</v>
      </c>
      <c r="N4865">
        <v>0</v>
      </c>
      <c r="O4865">
        <v>-1.313343E-2</v>
      </c>
      <c r="P4865">
        <v>-0.99946179999999996</v>
      </c>
      <c r="Q4865">
        <v>1.283338E-2</v>
      </c>
      <c r="R4865">
        <v>3.0195119999999999E-2</v>
      </c>
      <c r="S4865">
        <v>-2.9963380000000002</v>
      </c>
      <c r="T4865">
        <v>-5.4131150000000003E-2</v>
      </c>
      <c r="U4865">
        <v>0.2003326</v>
      </c>
      <c r="V4865">
        <v>4.3416700000000003E-2</v>
      </c>
      <c r="W4865">
        <v>2.772531E-2</v>
      </c>
      <c r="X4865">
        <v>0.99867220000000001</v>
      </c>
      <c r="Y4865">
        <v>7.9795030000000003E-2</v>
      </c>
      <c r="Z4865">
        <v>9.5694650000000003E-4</v>
      </c>
      <c r="AA4865">
        <v>0.99681090000000006</v>
      </c>
      <c r="AB4865">
        <v>39</v>
      </c>
      <c r="AC4865">
        <v>-61.006100000000004</v>
      </c>
      <c r="AD4865">
        <v>-1.108863524147</v>
      </c>
      <c r="AE4865">
        <v>4.1086000000000196</v>
      </c>
      <c r="AF4865">
        <v>4.9079415018887396</v>
      </c>
      <c r="AG4865">
        <v>-1.108863524147</v>
      </c>
      <c r="AH4865">
        <v>60.926833147572701</v>
      </c>
      <c r="AI4865">
        <v>91.039297687642701</v>
      </c>
      <c r="AJ4865">
        <v>85.394501459157695</v>
      </c>
      <c r="AK4865">
        <v>61.1342495291576</v>
      </c>
      <c r="AL4865">
        <v>88.411253057206807</v>
      </c>
      <c r="AM4865">
        <v>87.510666422940105</v>
      </c>
      <c r="AN4865">
        <v>0.99999993285316002</v>
      </c>
    </row>
    <row r="4866" spans="1:40" x14ac:dyDescent="0.25">
      <c r="A4866" t="str">
        <f>"20190312154353265"</f>
        <v>20190312154353265</v>
      </c>
      <c r="B4866" t="str">
        <f>"1552376633251922"</f>
        <v>1552376633251922</v>
      </c>
      <c r="C4866" t="s">
        <v>40</v>
      </c>
      <c r="D4866">
        <v>4.8732340000000001</v>
      </c>
      <c r="E4866">
        <v>0.51390839999999904</v>
      </c>
      <c r="F4866" t="s">
        <v>43</v>
      </c>
      <c r="G4866">
        <v>-370.83920000000001</v>
      </c>
      <c r="H4866" s="1">
        <v>-4.5542509999999999E-6</v>
      </c>
      <c r="I4866">
        <v>142.79470000000001</v>
      </c>
      <c r="J4866">
        <v>-315.69319999999999</v>
      </c>
      <c r="K4866">
        <v>1.1086480000000001</v>
      </c>
      <c r="L4866">
        <v>139.10140000000001</v>
      </c>
      <c r="M4866">
        <v>-0.99982260000000001</v>
      </c>
      <c r="N4866">
        <v>0</v>
      </c>
      <c r="O4866">
        <v>-1.1321049999999999E-2</v>
      </c>
      <c r="P4866">
        <v>-0.99948579999999998</v>
      </c>
      <c r="Q4866">
        <v>1.207545E-2</v>
      </c>
      <c r="R4866">
        <v>2.9709269999999999E-2</v>
      </c>
      <c r="S4866">
        <v>-2.9963679999999999</v>
      </c>
      <c r="T4866">
        <v>-5.982399E-2</v>
      </c>
      <c r="U4866">
        <v>0.1990662</v>
      </c>
      <c r="V4866">
        <v>4.1131429999999997E-2</v>
      </c>
      <c r="W4866">
        <v>2.6956460000000002E-2</v>
      </c>
      <c r="X4866">
        <v>0.99878999999999996</v>
      </c>
      <c r="Y4866">
        <v>7.7565220000000004E-2</v>
      </c>
      <c r="Z4866">
        <v>9.9918709999999994E-4</v>
      </c>
      <c r="AA4866">
        <v>0.99698679999999995</v>
      </c>
      <c r="AB4866">
        <v>39</v>
      </c>
      <c r="AC4866">
        <v>-55.146000000000001</v>
      </c>
      <c r="AD4866">
        <v>-1.108652554251</v>
      </c>
      <c r="AE4866">
        <v>3.69329999999999</v>
      </c>
      <c r="AF4866">
        <v>4.3157081449846704</v>
      </c>
      <c r="AG4866">
        <v>-1.108652554251</v>
      </c>
      <c r="AH4866">
        <v>55.078486780044997</v>
      </c>
      <c r="AI4866">
        <v>91.1496051165457</v>
      </c>
      <c r="AJ4866">
        <v>85.519708644877497</v>
      </c>
      <c r="AK4866">
        <v>55.258430607992501</v>
      </c>
      <c r="AL4866">
        <v>88.455321429214194</v>
      </c>
      <c r="AM4866">
        <v>87.641820119415698</v>
      </c>
      <c r="AN4866">
        <v>0.99999995468478697</v>
      </c>
    </row>
    <row r="4867" spans="1:40" x14ac:dyDescent="0.25">
      <c r="A4867" t="str">
        <f>"20190312154353287"</f>
        <v>20190312154353287</v>
      </c>
      <c r="B4867" t="str">
        <f>"1552376633272418"</f>
        <v>1552376633272418</v>
      </c>
      <c r="C4867" t="s">
        <v>40</v>
      </c>
      <c r="D4867">
        <v>4.9032819999999999</v>
      </c>
      <c r="E4867">
        <v>0.5138935</v>
      </c>
      <c r="F4867" t="s">
        <v>43</v>
      </c>
      <c r="G4867">
        <v>-367.84989999999999</v>
      </c>
      <c r="H4867" s="1">
        <v>-1.6817459999999999E-6</v>
      </c>
      <c r="I4867">
        <v>142.53649999999999</v>
      </c>
      <c r="J4867">
        <v>-316.0779</v>
      </c>
      <c r="K4867">
        <v>1.1084350000000001</v>
      </c>
      <c r="L4867">
        <v>139.09889999999999</v>
      </c>
      <c r="M4867">
        <v>-0.9998435</v>
      </c>
      <c r="N4867">
        <v>0</v>
      </c>
      <c r="O4867">
        <v>-9.2857270000000006E-3</v>
      </c>
      <c r="P4867">
        <v>-0.9994883</v>
      </c>
      <c r="Q4867">
        <v>1.2018310000000001E-2</v>
      </c>
      <c r="R4867">
        <v>2.9645689999999999E-2</v>
      </c>
      <c r="S4867">
        <v>-2.9964900000000001</v>
      </c>
      <c r="T4867">
        <v>-6.3694000000000001E-2</v>
      </c>
      <c r="U4867">
        <v>0.19735720000000001</v>
      </c>
      <c r="V4867">
        <v>3.904813E-2</v>
      </c>
      <c r="W4867">
        <v>2.6889719999999999E-2</v>
      </c>
      <c r="X4867">
        <v>0.99887539999999997</v>
      </c>
      <c r="Y4867">
        <v>7.4965299999999999E-2</v>
      </c>
      <c r="Z4867">
        <v>9.9296569999999997E-4</v>
      </c>
      <c r="AA4867">
        <v>0.99718560000000001</v>
      </c>
      <c r="AB4867">
        <v>39</v>
      </c>
      <c r="AC4867">
        <v>-51.771999999999899</v>
      </c>
      <c r="AD4867">
        <v>-1.1084366817460001</v>
      </c>
      <c r="AE4867">
        <v>3.4376000000000002</v>
      </c>
      <c r="AF4867">
        <v>3.9164595594797</v>
      </c>
      <c r="AG4867">
        <v>-1.1084366817460001</v>
      </c>
      <c r="AH4867">
        <v>51.714242135507497</v>
      </c>
      <c r="AI4867">
        <v>91.224377571767604</v>
      </c>
      <c r="AJ4867">
        <v>85.669102749990799</v>
      </c>
      <c r="AK4867">
        <v>51.874175916426601</v>
      </c>
      <c r="AL4867">
        <v>88.459146712354993</v>
      </c>
      <c r="AM4867">
        <v>87.761327969626905</v>
      </c>
      <c r="AN4867">
        <v>0.99999993911166496</v>
      </c>
    </row>
    <row r="4868" spans="1:40" x14ac:dyDescent="0.25">
      <c r="A4868" t="str">
        <f>"20190312154353310"</f>
        <v>20190312154353310</v>
      </c>
      <c r="B4868" t="str">
        <f>"1552376633302675"</f>
        <v>1552376633302675</v>
      </c>
      <c r="C4868" t="s">
        <v>40</v>
      </c>
      <c r="D4868">
        <v>4.9213239999999896</v>
      </c>
      <c r="E4868">
        <v>0.51392040000000005</v>
      </c>
      <c r="F4868" t="s">
        <v>43</v>
      </c>
      <c r="G4868">
        <v>-366.35090000000002</v>
      </c>
      <c r="H4868" s="1">
        <v>-2.289276E-6</v>
      </c>
      <c r="I4868">
        <v>142.40309999999999</v>
      </c>
      <c r="J4868">
        <v>-316.47500000000002</v>
      </c>
      <c r="K4868">
        <v>1.108203</v>
      </c>
      <c r="L4868">
        <v>139.0975</v>
      </c>
      <c r="M4868">
        <v>-0.99986269999999999</v>
      </c>
      <c r="N4868">
        <v>0</v>
      </c>
      <c r="O4868">
        <v>-6.8993650000000002E-3</v>
      </c>
      <c r="P4868">
        <v>-0.99944750000000004</v>
      </c>
      <c r="Q4868">
        <v>1.2557850000000001E-2</v>
      </c>
      <c r="R4868">
        <v>3.077094E-2</v>
      </c>
      <c r="S4868">
        <v>-2.9964599999999999</v>
      </c>
      <c r="T4868">
        <v>-6.6067100000000004E-2</v>
      </c>
      <c r="U4868">
        <v>0.19694519999999999</v>
      </c>
      <c r="V4868">
        <v>3.7806350000000002E-2</v>
      </c>
      <c r="W4868">
        <v>2.7416429999999999E-2</v>
      </c>
      <c r="X4868">
        <v>0.99890889999999999</v>
      </c>
      <c r="Y4868">
        <v>7.2448979999999996E-2</v>
      </c>
      <c r="Z4868">
        <v>9.4969650000000004E-4</v>
      </c>
      <c r="AA4868">
        <v>0.99737169999999997</v>
      </c>
      <c r="AB4868">
        <v>39</v>
      </c>
      <c r="AC4868">
        <v>-49.875900000000001</v>
      </c>
      <c r="AD4868">
        <v>-1.1082052892759999</v>
      </c>
      <c r="AE4868">
        <v>3.3055999999999899</v>
      </c>
      <c r="AF4868">
        <v>3.6478793400659599</v>
      </c>
      <c r="AG4868">
        <v>-1.1082052892759999</v>
      </c>
      <c r="AH4868">
        <v>49.827411535944201</v>
      </c>
      <c r="AI4868">
        <v>91.270698642603406</v>
      </c>
      <c r="AJ4868">
        <v>85.812829323666193</v>
      </c>
      <c r="AK4868">
        <v>49.973053569050698</v>
      </c>
      <c r="AL4868">
        <v>88.428957392005401</v>
      </c>
      <c r="AM4868">
        <v>87.832524178968995</v>
      </c>
      <c r="AN4868">
        <v>0.99999998561673797</v>
      </c>
    </row>
    <row r="4869" spans="1:40" x14ac:dyDescent="0.25">
      <c r="A4869" t="str">
        <f>"20190312154353332"</f>
        <v>20190312154353332</v>
      </c>
      <c r="B4869" t="str">
        <f>"1552376633322195"</f>
        <v>1552376633322195</v>
      </c>
      <c r="C4869" t="s">
        <v>40</v>
      </c>
      <c r="D4869">
        <v>4.934634</v>
      </c>
      <c r="E4869">
        <v>0.51293859999999902</v>
      </c>
      <c r="F4869" t="s">
        <v>43</v>
      </c>
      <c r="G4869">
        <v>-366.4658</v>
      </c>
      <c r="H4869" s="1">
        <v>-2.2497240000000001E-6</v>
      </c>
      <c r="I4869">
        <v>142.43969999999999</v>
      </c>
      <c r="J4869">
        <v>-316.8698</v>
      </c>
      <c r="K4869">
        <v>1.107993</v>
      </c>
      <c r="L4869">
        <v>139.09719999999999</v>
      </c>
      <c r="M4869">
        <v>-0.99987749999999997</v>
      </c>
      <c r="N4869">
        <v>0</v>
      </c>
      <c r="O4869">
        <v>-4.2690439999999996E-3</v>
      </c>
      <c r="P4869">
        <v>-0.99939319999999998</v>
      </c>
      <c r="Q4869">
        <v>1.356536E-2</v>
      </c>
      <c r="R4869">
        <v>3.2084210000000002E-2</v>
      </c>
      <c r="S4869">
        <v>-2.9963380000000002</v>
      </c>
      <c r="T4869">
        <v>-6.6423419999999997E-2</v>
      </c>
      <c r="U4869">
        <v>0.2003326</v>
      </c>
      <c r="V4869">
        <v>3.6511179999999997E-2</v>
      </c>
      <c r="W4869">
        <v>2.8415019999999999E-2</v>
      </c>
      <c r="X4869">
        <v>0.99892919999999996</v>
      </c>
      <c r="Y4869">
        <v>7.0951230000000004E-2</v>
      </c>
      <c r="Z4869">
        <v>8.7999129999999999E-4</v>
      </c>
      <c r="AA4869">
        <v>0.99747940000000002</v>
      </c>
      <c r="AB4869">
        <v>39</v>
      </c>
      <c r="AC4869">
        <v>-49.595999999999997</v>
      </c>
      <c r="AD4869">
        <v>-1.107995249724</v>
      </c>
      <c r="AE4869">
        <v>3.3424999999999998</v>
      </c>
      <c r="AF4869">
        <v>3.5524560574086599</v>
      </c>
      <c r="AG4869">
        <v>-1.107995249724</v>
      </c>
      <c r="AH4869">
        <v>49.556655454992601</v>
      </c>
      <c r="AI4869">
        <v>91.277537226659206</v>
      </c>
      <c r="AJ4869">
        <v>85.899780502400205</v>
      </c>
      <c r="AK4869">
        <v>49.696173870812999</v>
      </c>
      <c r="AL4869">
        <v>88.371720134618101</v>
      </c>
      <c r="AM4869">
        <v>87.906752843207897</v>
      </c>
      <c r="AN4869">
        <v>1.0000000131196101</v>
      </c>
    </row>
    <row r="4870" spans="1:40" x14ac:dyDescent="0.25">
      <c r="A4870" t="str">
        <f>"20190312154353354"</f>
        <v>20190312154353354</v>
      </c>
      <c r="B4870" t="str">
        <f>"1552376633342691"</f>
        <v>1552376633342691</v>
      </c>
      <c r="C4870" t="s">
        <v>40</v>
      </c>
      <c r="D4870">
        <v>4.9640610000000001</v>
      </c>
      <c r="E4870">
        <v>0.51209340000000003</v>
      </c>
      <c r="F4870" t="s">
        <v>43</v>
      </c>
      <c r="G4870">
        <v>-365.66719999999998</v>
      </c>
      <c r="H4870" s="1">
        <v>-2.552726E-6</v>
      </c>
      <c r="I4870">
        <v>142.291</v>
      </c>
      <c r="J4870">
        <v>-317.25560000000002</v>
      </c>
      <c r="K4870">
        <v>1.1078030000000001</v>
      </c>
      <c r="L4870">
        <v>139.09809999999999</v>
      </c>
      <c r="M4870">
        <v>-0.99988529999999998</v>
      </c>
      <c r="N4870">
        <v>0</v>
      </c>
      <c r="O4870">
        <v>-1.5069759999999999E-3</v>
      </c>
      <c r="P4870">
        <v>-0.99928819999999996</v>
      </c>
      <c r="Q4870">
        <v>1.446189E-2</v>
      </c>
      <c r="R4870">
        <v>3.4841650000000002E-2</v>
      </c>
      <c r="S4870">
        <v>-2.996429</v>
      </c>
      <c r="T4870">
        <v>-6.8037150000000005E-2</v>
      </c>
      <c r="U4870">
        <v>0.1961212</v>
      </c>
      <c r="V4870">
        <v>3.6526879999999998E-2</v>
      </c>
      <c r="W4870">
        <v>2.929584E-2</v>
      </c>
      <c r="X4870">
        <v>0.99890319999999999</v>
      </c>
      <c r="Y4870">
        <v>6.6798209999999997E-2</v>
      </c>
      <c r="Z4870">
        <v>7.9163559999999896E-4</v>
      </c>
      <c r="AA4870">
        <v>0.99776620000000005</v>
      </c>
      <c r="AB4870">
        <v>39</v>
      </c>
      <c r="AC4870">
        <v>-48.4115999999999</v>
      </c>
      <c r="AD4870">
        <v>-1.107805552726</v>
      </c>
      <c r="AE4870">
        <v>3.1928999999999998</v>
      </c>
      <c r="AF4870">
        <v>3.26415795614751</v>
      </c>
      <c r="AG4870">
        <v>-1.107805552726</v>
      </c>
      <c r="AH4870">
        <v>48.3815083446515</v>
      </c>
      <c r="AI4870">
        <v>91.308714939744902</v>
      </c>
      <c r="AJ4870">
        <v>86.140271558029696</v>
      </c>
      <c r="AK4870">
        <v>48.5041473485403</v>
      </c>
      <c r="AL4870">
        <v>88.321231871746704</v>
      </c>
      <c r="AM4870">
        <v>87.905799078069293</v>
      </c>
      <c r="AN4870">
        <v>1.0000000310870301</v>
      </c>
    </row>
    <row r="4871" spans="1:40" x14ac:dyDescent="0.25">
      <c r="A4871" t="str">
        <f>"20190312154353377"</f>
        <v>20190312154353377</v>
      </c>
      <c r="B4871" t="str">
        <f>"1552376633372946"</f>
        <v>1552376633372946</v>
      </c>
      <c r="C4871" t="s">
        <v>40</v>
      </c>
      <c r="D4871">
        <v>4.9430459999999998</v>
      </c>
      <c r="E4871">
        <v>0.51102190000000003</v>
      </c>
      <c r="F4871" t="s">
        <v>43</v>
      </c>
      <c r="G4871">
        <v>-365.61630000000002</v>
      </c>
      <c r="H4871" s="1">
        <v>-2.5727119999999999E-6</v>
      </c>
      <c r="I4871">
        <v>142.28389999999999</v>
      </c>
      <c r="J4871">
        <v>-317.65100000000001</v>
      </c>
      <c r="K4871">
        <v>1.107634</v>
      </c>
      <c r="L4871">
        <v>139.1002</v>
      </c>
      <c r="M4871">
        <v>-0.99988540000000004</v>
      </c>
      <c r="N4871">
        <v>0</v>
      </c>
      <c r="O4871">
        <v>1.4879400000000001E-3</v>
      </c>
      <c r="P4871">
        <v>-0.99915330000000002</v>
      </c>
      <c r="Q4871">
        <v>1.327765E-2</v>
      </c>
      <c r="R4871">
        <v>3.8943529999999997E-2</v>
      </c>
      <c r="S4871">
        <v>-2.996216</v>
      </c>
      <c r="T4871">
        <v>-6.8634870000000001E-2</v>
      </c>
      <c r="U4871">
        <v>0.1973877</v>
      </c>
      <c r="V4871">
        <v>3.7640369999999999E-2</v>
      </c>
      <c r="W4871">
        <v>2.8090420000000001E-2</v>
      </c>
      <c r="X4871">
        <v>0.99889649999999996</v>
      </c>
      <c r="Y4871">
        <v>6.4235169999999994E-2</v>
      </c>
      <c r="Z4871">
        <v>7.0078419999999896E-4</v>
      </c>
      <c r="AA4871">
        <v>0.99793449999999995</v>
      </c>
      <c r="AB4871">
        <v>39</v>
      </c>
      <c r="AC4871">
        <v>-47.965299999999999</v>
      </c>
      <c r="AD4871">
        <v>-1.1076365727119999</v>
      </c>
      <c r="AE4871">
        <v>3.18369999999998</v>
      </c>
      <c r="AF4871">
        <v>3.1106673624007799</v>
      </c>
      <c r="AG4871">
        <v>-1.1076365727119999</v>
      </c>
      <c r="AH4871">
        <v>47.944529755795102</v>
      </c>
      <c r="AI4871">
        <v>91.320662279267097</v>
      </c>
      <c r="AJ4871">
        <v>86.287821382404104</v>
      </c>
      <c r="AK4871">
        <v>48.058100708632203</v>
      </c>
      <c r="AL4871">
        <v>88.390325820432693</v>
      </c>
      <c r="AM4871">
        <v>87.842004198809093</v>
      </c>
      <c r="AN4871">
        <v>1.00000004343088</v>
      </c>
    </row>
    <row r="4872" spans="1:40" x14ac:dyDescent="0.25">
      <c r="A4872" t="str">
        <f>"20190312154353399"</f>
        <v>20190312154353399</v>
      </c>
      <c r="B4872" t="str">
        <f>"1552376633392468"</f>
        <v>1552376633392468</v>
      </c>
      <c r="C4872" t="s">
        <v>40</v>
      </c>
      <c r="D4872">
        <v>4.9542719999999996</v>
      </c>
      <c r="E4872">
        <v>0.51037650000000001</v>
      </c>
      <c r="F4872" t="s">
        <v>43</v>
      </c>
      <c r="G4872">
        <v>-361.11959999999999</v>
      </c>
      <c r="H4872" s="1">
        <v>-4.3208099999999899E-6</v>
      </c>
      <c r="I4872">
        <v>142.01669999999999</v>
      </c>
      <c r="J4872">
        <v>-318.03480000000002</v>
      </c>
      <c r="K4872">
        <v>1.1074889999999999</v>
      </c>
      <c r="L4872">
        <v>139.1035</v>
      </c>
      <c r="M4872">
        <v>-0.99987630000000005</v>
      </c>
      <c r="N4872">
        <v>0</v>
      </c>
      <c r="O4872">
        <v>4.5178869999999999E-3</v>
      </c>
      <c r="P4872">
        <v>-0.9989152</v>
      </c>
      <c r="Q4872">
        <v>1.3717200000000001E-2</v>
      </c>
      <c r="R4872">
        <v>4.4505580000000003E-2</v>
      </c>
      <c r="S4872">
        <v>-2.9957280000000002</v>
      </c>
      <c r="T4872">
        <v>-7.6335189999999997E-2</v>
      </c>
      <c r="U4872">
        <v>0.20100399999999999</v>
      </c>
      <c r="V4872">
        <v>4.0188269999999998E-2</v>
      </c>
      <c r="W4872">
        <v>2.8498430000000002E-2</v>
      </c>
      <c r="X4872">
        <v>0.99878560000000005</v>
      </c>
      <c r="Y4872">
        <v>6.2418719999999997E-2</v>
      </c>
      <c r="Z4872">
        <v>6.7925289999999996E-4</v>
      </c>
      <c r="AA4872">
        <v>0.99804979999999999</v>
      </c>
      <c r="AB4872">
        <v>39</v>
      </c>
      <c r="AC4872">
        <v>-43.084799999999902</v>
      </c>
      <c r="AD4872">
        <v>-1.10749332081</v>
      </c>
      <c r="AE4872">
        <v>2.9131999999999798</v>
      </c>
      <c r="AF4872">
        <v>2.7167090266810701</v>
      </c>
      <c r="AG4872">
        <v>-1.10749332081</v>
      </c>
      <c r="AH4872">
        <v>43.069194937237903</v>
      </c>
      <c r="AI4872">
        <v>91.470074709905901</v>
      </c>
      <c r="AJ4872">
        <v>86.390691503658104</v>
      </c>
      <c r="AK4872">
        <v>43.169000474102802</v>
      </c>
      <c r="AL4872">
        <v>88.366939080831798</v>
      </c>
      <c r="AM4872">
        <v>87.695825014217405</v>
      </c>
      <c r="AN4872">
        <v>0.99999996616270803</v>
      </c>
    </row>
    <row r="4873" spans="1:40" x14ac:dyDescent="0.25">
      <c r="A4873" t="str">
        <f>"20190312154353422"</f>
        <v>20190312154353422</v>
      </c>
      <c r="B4873" t="str">
        <f>"1552376633412963"</f>
        <v>1552376633412963</v>
      </c>
      <c r="C4873" t="s">
        <v>40</v>
      </c>
      <c r="D4873">
        <v>5.0329930000000003</v>
      </c>
      <c r="E4873">
        <v>0.50963779999999903</v>
      </c>
      <c r="F4873" t="s">
        <v>43</v>
      </c>
      <c r="G4873">
        <v>-360.7029</v>
      </c>
      <c r="H4873" s="1">
        <v>-4.4824950000000004E-6</v>
      </c>
      <c r="I4873">
        <v>142.12860000000001</v>
      </c>
      <c r="J4873">
        <v>-318.43090000000001</v>
      </c>
      <c r="K4873">
        <v>1.107367</v>
      </c>
      <c r="L4873">
        <v>139.10820000000001</v>
      </c>
      <c r="M4873">
        <v>-0.99985670000000004</v>
      </c>
      <c r="N4873">
        <v>0</v>
      </c>
      <c r="O4873">
        <v>7.7312250000000004E-3</v>
      </c>
      <c r="P4873">
        <v>-0.99862609999999996</v>
      </c>
      <c r="Q4873">
        <v>1.449657E-2</v>
      </c>
      <c r="R4873">
        <v>5.0360799999999997E-2</v>
      </c>
      <c r="S4873">
        <v>-2.9948730000000001</v>
      </c>
      <c r="T4873">
        <v>-7.7735189999999996E-2</v>
      </c>
      <c r="U4873">
        <v>0.21234130000000001</v>
      </c>
      <c r="V4873">
        <v>4.2848129999999998E-2</v>
      </c>
      <c r="W4873">
        <v>2.9244369999999999E-2</v>
      </c>
      <c r="X4873">
        <v>0.99865349999999997</v>
      </c>
      <c r="Y4873">
        <v>6.2990699999999997E-2</v>
      </c>
      <c r="Z4873">
        <v>6.1593939999999995E-4</v>
      </c>
      <c r="AA4873">
        <v>0.99801390000000001</v>
      </c>
      <c r="AB4873">
        <v>39</v>
      </c>
      <c r="AC4873">
        <v>-42.271999999999899</v>
      </c>
      <c r="AD4873">
        <v>-1.1073714824950001</v>
      </c>
      <c r="AE4873">
        <v>3.0203999999999902</v>
      </c>
      <c r="AF4873">
        <v>2.6916205623132199</v>
      </c>
      <c r="AG4873">
        <v>-1.1073714824950001</v>
      </c>
      <c r="AH4873">
        <v>42.265233291433603</v>
      </c>
      <c r="AI4873">
        <v>91.497803558038299</v>
      </c>
      <c r="AJ4873">
        <v>86.356094444452097</v>
      </c>
      <c r="AK4873">
        <v>42.365328253549698</v>
      </c>
      <c r="AL4873">
        <v>88.324182104505994</v>
      </c>
      <c r="AM4873">
        <v>87.543179714413995</v>
      </c>
      <c r="AN4873">
        <v>1.0000000042417201</v>
      </c>
    </row>
    <row r="4874" spans="1:40" x14ac:dyDescent="0.25">
      <c r="A4874" t="str">
        <f>"20190312154353444"</f>
        <v>20190312154353444</v>
      </c>
      <c r="B4874" t="str">
        <f>"1552376633432483"</f>
        <v>1552376633432483</v>
      </c>
      <c r="C4874" t="s">
        <v>40</v>
      </c>
      <c r="D4874">
        <v>4.9615539999999996</v>
      </c>
      <c r="E4874">
        <v>0.50908729999999902</v>
      </c>
      <c r="F4874" t="s">
        <v>43</v>
      </c>
      <c r="G4874">
        <v>-360.23570000000001</v>
      </c>
      <c r="H4874" s="1">
        <v>-4.6601789999999999E-6</v>
      </c>
      <c r="I4874">
        <v>142.23400000000001</v>
      </c>
      <c r="J4874">
        <v>-318.8098</v>
      </c>
      <c r="K4874">
        <v>1.1072690000000001</v>
      </c>
      <c r="L4874">
        <v>139.1139</v>
      </c>
      <c r="M4874">
        <v>-0.99982749999999998</v>
      </c>
      <c r="N4874">
        <v>0</v>
      </c>
      <c r="O4874">
        <v>1.086E-2</v>
      </c>
      <c r="P4874">
        <v>-0.9983128</v>
      </c>
      <c r="Q4874">
        <v>1.397032E-2</v>
      </c>
      <c r="R4874">
        <v>5.6359680000000002E-2</v>
      </c>
      <c r="S4874">
        <v>-2.9939879999999999</v>
      </c>
      <c r="T4874">
        <v>-7.930827E-2</v>
      </c>
      <c r="U4874">
        <v>0.22387699999999999</v>
      </c>
      <c r="V4874">
        <v>4.5726599999999999E-2</v>
      </c>
      <c r="W4874">
        <v>2.868385E-2</v>
      </c>
      <c r="X4874">
        <v>0.99854209999999999</v>
      </c>
      <c r="Y4874">
        <v>6.3713510000000001E-2</v>
      </c>
      <c r="Z4874">
        <v>5.5531510000000005E-4</v>
      </c>
      <c r="AA4874">
        <v>0.99796810000000002</v>
      </c>
      <c r="AB4874">
        <v>39</v>
      </c>
      <c r="AC4874">
        <v>-41.425899999999999</v>
      </c>
      <c r="AD4874">
        <v>-1.1072736601790001</v>
      </c>
      <c r="AE4874">
        <v>3.1200999999999999</v>
      </c>
      <c r="AF4874">
        <v>2.66808417461599</v>
      </c>
      <c r="AG4874">
        <v>-1.1072736601790001</v>
      </c>
      <c r="AH4874">
        <v>41.427913805477402</v>
      </c>
      <c r="AI4874">
        <v>91.527857217509407</v>
      </c>
      <c r="AJ4874">
        <v>86.3150659212383</v>
      </c>
      <c r="AK4874">
        <v>41.528505516035999</v>
      </c>
      <c r="AL4874">
        <v>88.356311016537305</v>
      </c>
      <c r="AM4874">
        <v>87.378065356037695</v>
      </c>
      <c r="AN4874">
        <v>1.0000000053353899</v>
      </c>
    </row>
    <row r="4875" spans="1:40" x14ac:dyDescent="0.25">
      <c r="A4875" t="str">
        <f>"20190312154353465"</f>
        <v>20190312154353465</v>
      </c>
      <c r="B4875" t="str">
        <f>"1552376633462739"</f>
        <v>1552376633462739</v>
      </c>
      <c r="C4875" t="s">
        <v>40</v>
      </c>
      <c r="D4875">
        <v>4.9567620000000003</v>
      </c>
      <c r="E4875">
        <v>0.50825909999999996</v>
      </c>
      <c r="F4875" t="s">
        <v>43</v>
      </c>
      <c r="G4875">
        <v>-357.976</v>
      </c>
      <c r="H4875" s="1">
        <v>-1.5431070000000001E-6</v>
      </c>
      <c r="I4875">
        <v>142.21879999999999</v>
      </c>
      <c r="J4875">
        <v>-319.1891</v>
      </c>
      <c r="K4875">
        <v>1.1071979999999999</v>
      </c>
      <c r="L4875">
        <v>139.1208</v>
      </c>
      <c r="M4875">
        <v>-0.99978829999999996</v>
      </c>
      <c r="N4875">
        <v>0</v>
      </c>
      <c r="O4875">
        <v>1.4016030000000001E-2</v>
      </c>
      <c r="P4875">
        <v>-0.99795489999999998</v>
      </c>
      <c r="Q4875">
        <v>1.4129350000000001E-2</v>
      </c>
      <c r="R4875">
        <v>6.2342420000000003E-2</v>
      </c>
      <c r="S4875">
        <v>-2.9928889999999999</v>
      </c>
      <c r="T4875">
        <v>-8.4612489999999999E-2</v>
      </c>
      <c r="U4875">
        <v>0.23727419999999999</v>
      </c>
      <c r="V4875">
        <v>4.8566770000000002E-2</v>
      </c>
      <c r="W4875">
        <v>2.8808730000000001E-2</v>
      </c>
      <c r="X4875">
        <v>0.99840439999999997</v>
      </c>
      <c r="Y4875">
        <v>6.5029519999999993E-2</v>
      </c>
      <c r="Z4875">
        <v>5.2207739999999897E-4</v>
      </c>
      <c r="AA4875">
        <v>0.99788319999999997</v>
      </c>
      <c r="AB4875">
        <v>39</v>
      </c>
      <c r="AC4875">
        <v>-38.786900000000003</v>
      </c>
      <c r="AD4875">
        <v>-1.1071995431070001</v>
      </c>
      <c r="AE4875">
        <v>3.0979999999999799</v>
      </c>
      <c r="AF4875">
        <v>2.5519292977286199</v>
      </c>
      <c r="AG4875">
        <v>-1.1071995431070001</v>
      </c>
      <c r="AH4875">
        <v>38.795103626401698</v>
      </c>
      <c r="AI4875">
        <v>91.631235592032994</v>
      </c>
      <c r="AJ4875">
        <v>86.236524154496706</v>
      </c>
      <c r="AK4875">
        <v>38.894707857909196</v>
      </c>
      <c r="AL4875">
        <v>88.349152969200006</v>
      </c>
      <c r="AM4875">
        <v>87.215077176818099</v>
      </c>
      <c r="AN4875">
        <v>1.0000000100059001</v>
      </c>
    </row>
    <row r="4876" spans="1:40" x14ac:dyDescent="0.25">
      <c r="A4876" t="str">
        <f>"20190312154353489"</f>
        <v>20190312154353489</v>
      </c>
      <c r="B4876" t="str">
        <f>"1552376633482260"</f>
        <v>1552376633482260</v>
      </c>
      <c r="C4876" t="s">
        <v>40</v>
      </c>
      <c r="D4876">
        <v>4.9725380000000001</v>
      </c>
      <c r="E4876">
        <v>0.50773389999999996</v>
      </c>
      <c r="F4876" t="s">
        <v>43</v>
      </c>
      <c r="G4876">
        <v>-356.44199999999898</v>
      </c>
      <c r="H4876" s="1">
        <v>-2.200578E-6</v>
      </c>
      <c r="I4876">
        <v>142.2166</v>
      </c>
      <c r="J4876">
        <v>-319.57889999999998</v>
      </c>
      <c r="K4876">
        <v>1.1071470000000001</v>
      </c>
      <c r="L4876">
        <v>139.12909999999999</v>
      </c>
      <c r="M4876">
        <v>-0.99973769999999995</v>
      </c>
      <c r="N4876">
        <v>0</v>
      </c>
      <c r="O4876">
        <v>1.725614E-2</v>
      </c>
      <c r="P4876">
        <v>-0.99759770000000003</v>
      </c>
      <c r="Q4876">
        <v>1.53389999999999E-2</v>
      </c>
      <c r="R4876">
        <v>6.7556320000000003E-2</v>
      </c>
      <c r="S4876">
        <v>-2.9918819999999999</v>
      </c>
      <c r="T4876">
        <v>-8.8922619999999994E-2</v>
      </c>
      <c r="U4876">
        <v>0.248642</v>
      </c>
      <c r="V4876">
        <v>5.0562049999999997E-2</v>
      </c>
      <c r="W4876">
        <v>2.99922E-2</v>
      </c>
      <c r="X4876">
        <v>0.99827049999999995</v>
      </c>
      <c r="Y4876">
        <v>6.5587709999999994E-2</v>
      </c>
      <c r="Z4876">
        <v>4.6095780000000001E-4</v>
      </c>
      <c r="AA4876">
        <v>0.99784669999999998</v>
      </c>
      <c r="AB4876">
        <v>39</v>
      </c>
      <c r="AC4876">
        <v>-36.863099999999903</v>
      </c>
      <c r="AD4876">
        <v>-1.1071492005779999</v>
      </c>
      <c r="AE4876">
        <v>3.0874999999999999</v>
      </c>
      <c r="AF4876">
        <v>2.44865980751602</v>
      </c>
      <c r="AG4876">
        <v>-1.1071492005779999</v>
      </c>
      <c r="AH4876">
        <v>36.877860490981</v>
      </c>
      <c r="AI4876">
        <v>91.715844566256195</v>
      </c>
      <c r="AJ4876">
        <v>86.201183308457999</v>
      </c>
      <c r="AK4876">
        <v>36.9756448029989</v>
      </c>
      <c r="AL4876">
        <v>88.281315825329301</v>
      </c>
      <c r="AM4876">
        <v>87.100466684265697</v>
      </c>
      <c r="AN4876">
        <v>1.00000002206564</v>
      </c>
    </row>
    <row r="4877" spans="1:40" x14ac:dyDescent="0.25">
      <c r="A4877" t="str">
        <f>"20190312154353511"</f>
        <v>20190312154353511</v>
      </c>
      <c r="B4877" t="str">
        <f>"1552376633502819"</f>
        <v>1552376633502819</v>
      </c>
      <c r="C4877" t="s">
        <v>40</v>
      </c>
      <c r="D4877">
        <v>4.9660140000000004</v>
      </c>
      <c r="E4877">
        <v>0.50723890000000005</v>
      </c>
      <c r="F4877" t="s">
        <v>43</v>
      </c>
      <c r="G4877">
        <v>-357.7647</v>
      </c>
      <c r="H4877" s="1">
        <v>-1.695098E-6</v>
      </c>
      <c r="I4877">
        <v>142.4495</v>
      </c>
      <c r="J4877">
        <v>-319.97649999999999</v>
      </c>
      <c r="K4877">
        <v>1.1071089999999999</v>
      </c>
      <c r="L4877">
        <v>139.13900000000001</v>
      </c>
      <c r="M4877">
        <v>-0.9996758</v>
      </c>
      <c r="N4877">
        <v>0</v>
      </c>
      <c r="O4877">
        <v>2.0537369999999999E-2</v>
      </c>
      <c r="P4877">
        <v>-0.99728070000000002</v>
      </c>
      <c r="Q4877">
        <v>1.401233E-2</v>
      </c>
      <c r="R4877">
        <v>7.2354639999999998E-2</v>
      </c>
      <c r="S4877">
        <v>-2.990936</v>
      </c>
      <c r="T4877">
        <v>-8.6718320000000002E-2</v>
      </c>
      <c r="U4877">
        <v>0.26008609999999999</v>
      </c>
      <c r="V4877">
        <v>5.2079569999999999E-2</v>
      </c>
      <c r="W4877">
        <v>2.8645710000000001E-2</v>
      </c>
      <c r="X4877">
        <v>0.99823200000000001</v>
      </c>
      <c r="Y4877">
        <v>6.6131380000000003E-2</v>
      </c>
      <c r="Z4877">
        <v>3.6257889999999999E-4</v>
      </c>
      <c r="AA4877">
        <v>0.9978108</v>
      </c>
      <c r="AB4877">
        <v>39</v>
      </c>
      <c r="AC4877">
        <v>-37.788200000000003</v>
      </c>
      <c r="AD4877">
        <v>-1.1071106950980001</v>
      </c>
      <c r="AE4877">
        <v>3.31049999999999</v>
      </c>
      <c r="AF4877">
        <v>2.5314870783508399</v>
      </c>
      <c r="AG4877">
        <v>-1.1071106950980001</v>
      </c>
      <c r="AH4877">
        <v>37.816012258675897</v>
      </c>
      <c r="AI4877">
        <v>91.673183414851096</v>
      </c>
      <c r="AJ4877">
        <v>86.170208375957102</v>
      </c>
      <c r="AK4877">
        <v>37.916815584478897</v>
      </c>
      <c r="AL4877">
        <v>88.358497154107596</v>
      </c>
      <c r="AM4877">
        <v>87.013483191674297</v>
      </c>
      <c r="AN4877">
        <v>0.99999999206839396</v>
      </c>
    </row>
    <row r="4878" spans="1:40" x14ac:dyDescent="0.25">
      <c r="A4878" t="str">
        <f>"20190312154353533"</f>
        <v>20190312154353533</v>
      </c>
      <c r="B4878" t="str">
        <f>"1552376633522339"</f>
        <v>1552376633522339</v>
      </c>
      <c r="C4878" t="s">
        <v>40</v>
      </c>
      <c r="D4878">
        <v>4.9575389999999997</v>
      </c>
      <c r="E4878">
        <v>0.50672539999999999</v>
      </c>
      <c r="F4878" t="s">
        <v>43</v>
      </c>
      <c r="G4878">
        <v>-356.43630000000002</v>
      </c>
      <c r="H4878" s="1">
        <v>-2.2617630000000001E-6</v>
      </c>
      <c r="I4878">
        <v>142.4374</v>
      </c>
      <c r="J4878">
        <v>-320.35570000000001</v>
      </c>
      <c r="K4878">
        <v>1.107092</v>
      </c>
      <c r="L4878">
        <v>139.14959999999999</v>
      </c>
      <c r="M4878">
        <v>-0.99960729999999998</v>
      </c>
      <c r="N4878">
        <v>0</v>
      </c>
      <c r="O4878">
        <v>2.3639360000000002E-2</v>
      </c>
      <c r="P4878">
        <v>-0.99697840000000004</v>
      </c>
      <c r="Q4878">
        <v>1.194577E-2</v>
      </c>
      <c r="R4878">
        <v>7.6756350000000001E-2</v>
      </c>
      <c r="S4878">
        <v>-2.9898069999999999</v>
      </c>
      <c r="T4878">
        <v>-9.0786339999999993E-2</v>
      </c>
      <c r="U4878">
        <v>0.27049260000000003</v>
      </c>
      <c r="V4878">
        <v>5.337273E-2</v>
      </c>
      <c r="W4878">
        <v>2.656321E-2</v>
      </c>
      <c r="X4878">
        <v>0.99822129999999998</v>
      </c>
      <c r="Y4878">
        <v>6.6512929999999998E-2</v>
      </c>
      <c r="Z4878">
        <v>2.915242E-4</v>
      </c>
      <c r="AA4878">
        <v>0.99778549999999999</v>
      </c>
      <c r="AB4878">
        <v>39</v>
      </c>
      <c r="AC4878">
        <v>-36.080599999999997</v>
      </c>
      <c r="AD4878">
        <v>-1.107094261763</v>
      </c>
      <c r="AE4878">
        <v>3.2877999999999998</v>
      </c>
      <c r="AF4878">
        <v>2.4315916518900198</v>
      </c>
      <c r="AG4878">
        <v>-1.107094261763</v>
      </c>
      <c r="AH4878">
        <v>36.114523407239197</v>
      </c>
      <c r="AI4878">
        <v>91.751893884085604</v>
      </c>
      <c r="AJ4878">
        <v>86.148087556560597</v>
      </c>
      <c r="AK4878">
        <v>36.213217153381898</v>
      </c>
      <c r="AL4878">
        <v>88.477861148640898</v>
      </c>
      <c r="AM4878">
        <v>86.939433121413103</v>
      </c>
      <c r="AN4878">
        <v>1.0000000081034199</v>
      </c>
    </row>
    <row r="4879" spans="1:40" x14ac:dyDescent="0.25">
      <c r="A4879" t="str">
        <f>"20190312154353554"</f>
        <v>20190312154353554</v>
      </c>
      <c r="B4879" t="str">
        <f>"1552376633542835"</f>
        <v>1552376633542835</v>
      </c>
      <c r="C4879" t="s">
        <v>40</v>
      </c>
      <c r="D4879">
        <v>4.9582550000000003</v>
      </c>
      <c r="E4879">
        <v>0.50619510000000001</v>
      </c>
      <c r="F4879" t="s">
        <v>43</v>
      </c>
      <c r="G4879">
        <v>-354.41640000000001</v>
      </c>
      <c r="H4879" s="1">
        <v>-3.1014819999999998E-6</v>
      </c>
      <c r="I4879">
        <v>142.3366</v>
      </c>
      <c r="J4879">
        <v>-320.72739999999999</v>
      </c>
      <c r="K4879">
        <v>1.1070990000000001</v>
      </c>
      <c r="L4879">
        <v>139.1611</v>
      </c>
      <c r="M4879">
        <v>-0.99953170000000002</v>
      </c>
      <c r="N4879">
        <v>0</v>
      </c>
      <c r="O4879">
        <v>2.6643710000000001E-2</v>
      </c>
      <c r="P4879">
        <v>-0.99670919999999996</v>
      </c>
      <c r="Q4879">
        <v>1.1015489999999999E-2</v>
      </c>
      <c r="R4879">
        <v>8.031075E-2</v>
      </c>
      <c r="S4879">
        <v>-2.9887700000000001</v>
      </c>
      <c r="T4879">
        <v>-9.7145919999999997E-2</v>
      </c>
      <c r="U4879">
        <v>0.2796631</v>
      </c>
      <c r="V4879">
        <v>5.3924329999999999E-2</v>
      </c>
      <c r="W4879">
        <v>2.5624629999999999E-2</v>
      </c>
      <c r="X4879">
        <v>0.9982162</v>
      </c>
      <c r="Y4879">
        <v>6.6579529999999998E-2</v>
      </c>
      <c r="Z4879">
        <v>2.1574079999999999E-4</v>
      </c>
      <c r="AA4879">
        <v>0.99778109999999998</v>
      </c>
      <c r="AB4879">
        <v>39</v>
      </c>
      <c r="AC4879">
        <v>-33.689</v>
      </c>
      <c r="AD4879">
        <v>-1.1071021014819999</v>
      </c>
      <c r="AE4879">
        <v>3.1754999999999902</v>
      </c>
      <c r="AF4879">
        <v>2.2742364005287801</v>
      </c>
      <c r="AG4879">
        <v>-1.1071021014819999</v>
      </c>
      <c r="AH4879">
        <v>33.725553372769802</v>
      </c>
      <c r="AI4879">
        <v>91.875904861845598</v>
      </c>
      <c r="AJ4879">
        <v>86.142178227922102</v>
      </c>
      <c r="AK4879">
        <v>33.8202716808742</v>
      </c>
      <c r="AL4879">
        <v>88.531656155593495</v>
      </c>
      <c r="AM4879">
        <v>86.907847874243004</v>
      </c>
      <c r="AN4879">
        <v>1.00000001848551</v>
      </c>
    </row>
    <row r="4880" spans="1:40" x14ac:dyDescent="0.25">
      <c r="A4880" t="str">
        <f>"20190312154353576"</f>
        <v>20190312154353576</v>
      </c>
      <c r="B4880" t="str">
        <f>"1552376633572115"</f>
        <v>1552376633572115</v>
      </c>
      <c r="C4880" t="s">
        <v>40</v>
      </c>
      <c r="D4880">
        <v>4.9830719999999999</v>
      </c>
      <c r="E4880">
        <v>0.50567969999999995</v>
      </c>
      <c r="F4880" t="s">
        <v>43</v>
      </c>
      <c r="G4880">
        <v>-353.79719999999998</v>
      </c>
      <c r="H4880" s="1">
        <v>-3.3636540000000001E-6</v>
      </c>
      <c r="I4880">
        <v>142.3237</v>
      </c>
      <c r="J4880">
        <v>-321.11829999999998</v>
      </c>
      <c r="K4880">
        <v>1.1071279999999999</v>
      </c>
      <c r="L4880">
        <v>139.17429999999999</v>
      </c>
      <c r="M4880">
        <v>-0.9994442</v>
      </c>
      <c r="N4880">
        <v>0</v>
      </c>
      <c r="O4880">
        <v>2.9750269999999999E-2</v>
      </c>
      <c r="P4880">
        <v>-0.99640200000000001</v>
      </c>
      <c r="Q4880">
        <v>1.2882589999999999E-2</v>
      </c>
      <c r="R4880">
        <v>8.3768750000000003E-2</v>
      </c>
      <c r="S4880">
        <v>-2.9880070000000001</v>
      </c>
      <c r="T4880">
        <v>-0.1000317</v>
      </c>
      <c r="U4880">
        <v>0.28576659999999998</v>
      </c>
      <c r="V4880">
        <v>5.4299519999999997E-2</v>
      </c>
      <c r="W4880">
        <v>2.7485550000000001E-2</v>
      </c>
      <c r="X4880">
        <v>0.99814639999999999</v>
      </c>
      <c r="Y4880">
        <v>6.5522979999999995E-2</v>
      </c>
      <c r="Z4880">
        <v>1.009014E-4</v>
      </c>
      <c r="AA4880">
        <v>0.99785109999999999</v>
      </c>
      <c r="AB4880">
        <v>39</v>
      </c>
      <c r="AC4880">
        <v>-32.678899999999999</v>
      </c>
      <c r="AD4880">
        <v>-1.1071313636539999</v>
      </c>
      <c r="AE4880">
        <v>3.1494000000000102</v>
      </c>
      <c r="AF4880">
        <v>2.17321811411587</v>
      </c>
      <c r="AG4880">
        <v>-1.1071313636539999</v>
      </c>
      <c r="AH4880">
        <v>32.720926704459103</v>
      </c>
      <c r="AI4880">
        <v>91.933639444358406</v>
      </c>
      <c r="AJ4880">
        <v>86.200180331834304</v>
      </c>
      <c r="AK4880">
        <v>32.811700066081499</v>
      </c>
      <c r="AL4880">
        <v>88.424995739076095</v>
      </c>
      <c r="AM4880">
        <v>86.886158447782506</v>
      </c>
      <c r="AN4880">
        <v>1.00000006458199</v>
      </c>
    </row>
    <row r="4881" spans="1:40" x14ac:dyDescent="0.25">
      <c r="A4881" t="str">
        <f>"20190312154353601"</f>
        <v>20190312154353601</v>
      </c>
      <c r="B4881" t="str">
        <f>"1552376633592611"</f>
        <v>1552376633592611</v>
      </c>
      <c r="C4881" t="s">
        <v>40</v>
      </c>
      <c r="D4881">
        <v>4.9804879999999896</v>
      </c>
      <c r="E4881">
        <v>0.48857889999999998</v>
      </c>
      <c r="F4881" t="s">
        <v>43</v>
      </c>
      <c r="G4881">
        <v>-356.05579999999998</v>
      </c>
      <c r="H4881" s="1">
        <v>-2.4652690000000001E-6</v>
      </c>
      <c r="I4881">
        <v>142.58869999999999</v>
      </c>
      <c r="J4881">
        <v>-321.52409999999998</v>
      </c>
      <c r="K4881">
        <v>1.1071690000000001</v>
      </c>
      <c r="L4881">
        <v>139.1893</v>
      </c>
      <c r="M4881">
        <v>-0.99934520000000004</v>
      </c>
      <c r="N4881">
        <v>0</v>
      </c>
      <c r="O4881">
        <v>3.2907169999999999E-2</v>
      </c>
      <c r="P4881">
        <v>-0.99611910000000004</v>
      </c>
      <c r="Q4881">
        <v>1.4318239999999999E-2</v>
      </c>
      <c r="R4881">
        <v>8.6843100000000006E-2</v>
      </c>
      <c r="S4881">
        <v>-2.987549</v>
      </c>
      <c r="T4881">
        <v>-9.4672320000000004E-2</v>
      </c>
      <c r="U4881">
        <v>0.29197689999999998</v>
      </c>
      <c r="V4881">
        <v>5.4236010000000001E-2</v>
      </c>
      <c r="W4881">
        <v>2.8921209999999999E-2</v>
      </c>
      <c r="X4881">
        <v>0.99810920000000003</v>
      </c>
      <c r="Y4881">
        <v>6.4444650000000006E-2</v>
      </c>
      <c r="Z4881" s="1">
        <v>-2.1205169999999999E-5</v>
      </c>
      <c r="AA4881">
        <v>0.99792130000000001</v>
      </c>
      <c r="AB4881">
        <v>38</v>
      </c>
      <c r="AC4881">
        <v>-34.531700000000001</v>
      </c>
      <c r="AD4881">
        <v>-1.1071714652689999</v>
      </c>
      <c r="AE4881">
        <v>3.39939999999998</v>
      </c>
      <c r="AF4881">
        <v>2.2587896425667702</v>
      </c>
      <c r="AG4881">
        <v>-1.1071714652689999</v>
      </c>
      <c r="AH4881">
        <v>34.589654181481102</v>
      </c>
      <c r="AI4881">
        <v>91.829446169411696</v>
      </c>
      <c r="AJ4881">
        <v>86.263749372618605</v>
      </c>
      <c r="AK4881">
        <v>34.681005402054403</v>
      </c>
      <c r="AL4881">
        <v>88.342705600698594</v>
      </c>
      <c r="AM4881">
        <v>86.889677624527295</v>
      </c>
      <c r="AN4881">
        <v>0.99999997814661101</v>
      </c>
    </row>
    <row r="4882" spans="1:40" x14ac:dyDescent="0.25">
      <c r="A4882" t="str">
        <f>"20190312154353622"</f>
        <v>20190312154353622</v>
      </c>
      <c r="B4882" t="str">
        <f>"1552376633612132"</f>
        <v>1552376633612132</v>
      </c>
      <c r="C4882" t="s">
        <v>40</v>
      </c>
      <c r="D4882">
        <v>4.9765620000000004</v>
      </c>
      <c r="E4882">
        <v>0.48792669999999999</v>
      </c>
      <c r="F4882" t="s">
        <v>43</v>
      </c>
      <c r="G4882">
        <v>-354.35969999999998</v>
      </c>
      <c r="H4882" s="1">
        <v>-2.7683529999999998E-6</v>
      </c>
      <c r="I4882">
        <v>140.9933</v>
      </c>
      <c r="J4882">
        <v>-321.90199999999999</v>
      </c>
      <c r="K4882">
        <v>1.107219</v>
      </c>
      <c r="L4882">
        <v>139.20439999999999</v>
      </c>
      <c r="M4882">
        <v>-0.99924659999999998</v>
      </c>
      <c r="N4882">
        <v>0</v>
      </c>
      <c r="O4882">
        <v>3.5780010000000001E-2</v>
      </c>
      <c r="P4882">
        <v>-0.99583960000000005</v>
      </c>
      <c r="Q4882">
        <v>1.5911060000000001E-2</v>
      </c>
      <c r="R4882">
        <v>8.9723849999999994E-2</v>
      </c>
      <c r="S4882">
        <v>-2.9988100000000002</v>
      </c>
      <c r="T4882">
        <v>-0.1011156</v>
      </c>
      <c r="U4882">
        <v>0.16476440000000001</v>
      </c>
      <c r="V4882">
        <v>5.4263279999999997E-2</v>
      </c>
      <c r="W4882">
        <v>3.0514099999999902E-2</v>
      </c>
      <c r="X4882">
        <v>0.99806030000000001</v>
      </c>
      <c r="Y4882">
        <v>1.9104659999999999E-2</v>
      </c>
      <c r="Z4882">
        <v>-8.8309039999999895E-4</v>
      </c>
      <c r="AA4882">
        <v>0.99981710000000001</v>
      </c>
      <c r="AB4882">
        <v>38</v>
      </c>
      <c r="AC4882">
        <v>-32.457699999999903</v>
      </c>
      <c r="AD4882">
        <v>-1.1072217683529999</v>
      </c>
      <c r="AE4882">
        <v>1.7889000000000099</v>
      </c>
      <c r="AF4882">
        <v>0.62556044587632798</v>
      </c>
      <c r="AG4882">
        <v>-1.1072217683529999</v>
      </c>
      <c r="AH4882">
        <v>32.463263957826697</v>
      </c>
      <c r="AI4882">
        <v>91.953062731037406</v>
      </c>
      <c r="AJ4882">
        <v>88.896058693499896</v>
      </c>
      <c r="AK4882">
        <v>32.488163578621801</v>
      </c>
      <c r="AL4882">
        <v>88.251399405335505</v>
      </c>
      <c r="AM4882">
        <v>86.887964652492997</v>
      </c>
      <c r="AN4882">
        <v>0.99999998814562896</v>
      </c>
    </row>
    <row r="4883" spans="1:40" x14ac:dyDescent="0.25">
      <c r="A4883" t="str">
        <f>"20190312154353644"</f>
        <v>20190312154353644</v>
      </c>
      <c r="B4883" t="str">
        <f>"1552376633632627"</f>
        <v>1552376633632627</v>
      </c>
      <c r="C4883" t="s">
        <v>40</v>
      </c>
      <c r="D4883">
        <v>4.9650550000000004</v>
      </c>
      <c r="E4883">
        <v>0.48707509999999998</v>
      </c>
      <c r="F4883" t="s">
        <v>43</v>
      </c>
      <c r="G4883">
        <v>-356.35109999999997</v>
      </c>
      <c r="H4883" s="1">
        <v>-1.9513799999999999E-6</v>
      </c>
      <c r="I4883">
        <v>141.1336</v>
      </c>
      <c r="J4883">
        <v>-322.27460000000002</v>
      </c>
      <c r="K4883">
        <v>1.1072759999999999</v>
      </c>
      <c r="L4883">
        <v>139.22020000000001</v>
      </c>
      <c r="M4883">
        <v>-0.99914389999999997</v>
      </c>
      <c r="N4883">
        <v>0</v>
      </c>
      <c r="O4883">
        <v>3.854494E-2</v>
      </c>
      <c r="P4883">
        <v>-0.9955967</v>
      </c>
      <c r="Q4883">
        <v>1.573219E-2</v>
      </c>
      <c r="R4883">
        <v>9.2411350000000003E-2</v>
      </c>
      <c r="S4883">
        <v>-2.9989620000000001</v>
      </c>
      <c r="T4883">
        <v>-9.6388940000000006E-2</v>
      </c>
      <c r="U4883">
        <v>0.16795350000000001</v>
      </c>
      <c r="V4883">
        <v>5.4189859999999999E-2</v>
      </c>
      <c r="W4883">
        <v>3.033775E-2</v>
      </c>
      <c r="X4883">
        <v>0.99806969999999995</v>
      </c>
      <c r="Y4883">
        <v>1.7396579999999998E-2</v>
      </c>
      <c r="Z4883">
        <v>-9.5787240000000005E-4</v>
      </c>
      <c r="AA4883">
        <v>0.99984819999999996</v>
      </c>
      <c r="AB4883">
        <v>38</v>
      </c>
      <c r="AC4883">
        <v>-34.076499999999903</v>
      </c>
      <c r="AD4883">
        <v>-1.10727795138</v>
      </c>
      <c r="AE4883">
        <v>1.91339999999999</v>
      </c>
      <c r="AF4883">
        <v>0.59772370996940005</v>
      </c>
      <c r="AG4883">
        <v>-1.10727795138</v>
      </c>
      <c r="AH4883">
        <v>34.089051251858997</v>
      </c>
      <c r="AI4883">
        <v>91.860137285016705</v>
      </c>
      <c r="AJ4883">
        <v>88.995468176389906</v>
      </c>
      <c r="AK4883">
        <v>34.112266904252202</v>
      </c>
      <c r="AL4883">
        <v>88.261508256974395</v>
      </c>
      <c r="AM4883">
        <v>86.892196291483003</v>
      </c>
      <c r="AN4883">
        <v>1.0000000230299799</v>
      </c>
    </row>
    <row r="4884" spans="1:40" x14ac:dyDescent="0.25">
      <c r="A4884" t="str">
        <f>"20190312154353666"</f>
        <v>20190312154353666</v>
      </c>
      <c r="B4884" t="str">
        <f>"1552376633652148"</f>
        <v>1552376633652148</v>
      </c>
      <c r="C4884" t="s">
        <v>40</v>
      </c>
      <c r="D4884">
        <v>4.9648389999999996</v>
      </c>
      <c r="E4884">
        <v>0.48625299999999999</v>
      </c>
      <c r="F4884" t="s">
        <v>43</v>
      </c>
      <c r="G4884">
        <v>-354.93729999999999</v>
      </c>
      <c r="H4884" s="1">
        <v>-2.5385540000000001E-6</v>
      </c>
      <c r="I4884">
        <v>141.0609</v>
      </c>
      <c r="J4884">
        <v>-322.64600000000002</v>
      </c>
      <c r="K4884">
        <v>1.107335</v>
      </c>
      <c r="L4884">
        <v>139.23699999999999</v>
      </c>
      <c r="M4884">
        <v>-0.9990367</v>
      </c>
      <c r="N4884">
        <v>0</v>
      </c>
      <c r="O4884">
        <v>4.1231539999999997E-2</v>
      </c>
      <c r="P4884">
        <v>-0.99530070000000004</v>
      </c>
      <c r="Q4884">
        <v>1.6751169999999999E-2</v>
      </c>
      <c r="R4884">
        <v>9.537408E-2</v>
      </c>
      <c r="S4884">
        <v>-2.9991460000000001</v>
      </c>
      <c r="T4884">
        <v>-0.1016722</v>
      </c>
      <c r="U4884">
        <v>0.16902159999999999</v>
      </c>
      <c r="V4884">
        <v>5.4480300000000002E-2</v>
      </c>
      <c r="W4884">
        <v>3.1356269999999999E-2</v>
      </c>
      <c r="X4884">
        <v>0.99802239999999998</v>
      </c>
      <c r="Y4884">
        <v>1.506355E-2</v>
      </c>
      <c r="Z4884">
        <v>-1.1406579999999999E-3</v>
      </c>
      <c r="AA4884">
        <v>0.99988589999999999</v>
      </c>
      <c r="AB4884">
        <v>38</v>
      </c>
      <c r="AC4884">
        <v>-32.2913</v>
      </c>
      <c r="AD4884">
        <v>-1.1073375385540001</v>
      </c>
      <c r="AE4884">
        <v>1.8239000000000001</v>
      </c>
      <c r="AF4884">
        <v>0.49020375827748103</v>
      </c>
      <c r="AG4884">
        <v>-1.1073375385540001</v>
      </c>
      <c r="AH4884">
        <v>32.301180778396102</v>
      </c>
      <c r="AI4884">
        <v>91.963198639702597</v>
      </c>
      <c r="AJ4884">
        <v>89.130544152107404</v>
      </c>
      <c r="AK4884">
        <v>32.323873156345996</v>
      </c>
      <c r="AL4884">
        <v>88.203123559463094</v>
      </c>
      <c r="AM4884">
        <v>86.875424605099496</v>
      </c>
      <c r="AN4884">
        <v>1.00000001482908</v>
      </c>
    </row>
    <row r="4885" spans="1:40" x14ac:dyDescent="0.25">
      <c r="A4885" t="str">
        <f>"20190312154353689"</f>
        <v>20190312154353689</v>
      </c>
      <c r="B4885" t="str">
        <f>"1552376633682408"</f>
        <v>1552376633682408</v>
      </c>
      <c r="C4885" t="s">
        <v>40</v>
      </c>
      <c r="D4885">
        <v>4.9173309999999999</v>
      </c>
      <c r="E4885">
        <v>0.48007810000000001</v>
      </c>
      <c r="F4885" t="s">
        <v>43</v>
      </c>
      <c r="G4885">
        <v>-356.51280000000003</v>
      </c>
      <c r="H4885" s="1">
        <v>-1.8924610000000001E-6</v>
      </c>
      <c r="I4885">
        <v>141.17269999999999</v>
      </c>
      <c r="J4885">
        <v>-323.04270000000002</v>
      </c>
      <c r="K4885">
        <v>1.1073949999999999</v>
      </c>
      <c r="L4885">
        <v>139.256</v>
      </c>
      <c r="M4885">
        <v>-0.99891779999999997</v>
      </c>
      <c r="N4885">
        <v>0</v>
      </c>
      <c r="O4885">
        <v>4.4020120000000003E-2</v>
      </c>
      <c r="P4885">
        <v>-0.99507120000000004</v>
      </c>
      <c r="Q4885">
        <v>1.5490739999999999E-2</v>
      </c>
      <c r="R4885">
        <v>9.7946800000000001E-2</v>
      </c>
      <c r="S4885">
        <v>-2.9994200000000002</v>
      </c>
      <c r="T4885">
        <v>-9.8071580000000005E-2</v>
      </c>
      <c r="U4885">
        <v>0.17144779999999901</v>
      </c>
      <c r="V4885">
        <v>5.425907E-2</v>
      </c>
      <c r="W4885">
        <v>3.0101349999999999E-2</v>
      </c>
      <c r="X4885">
        <v>0.99807310000000005</v>
      </c>
      <c r="Y4885">
        <v>1.307494E-2</v>
      </c>
      <c r="Z4885">
        <v>-1.2236009999999999E-3</v>
      </c>
      <c r="AA4885">
        <v>0.99991379999999996</v>
      </c>
      <c r="AB4885">
        <v>38</v>
      </c>
      <c r="AC4885">
        <v>-33.470100000000002</v>
      </c>
      <c r="AD4885">
        <v>-1.107396892461</v>
      </c>
      <c r="AE4885">
        <v>1.9166999999999901</v>
      </c>
      <c r="AF4885">
        <v>0.44083667723792402</v>
      </c>
      <c r="AG4885">
        <v>-1.107396892461</v>
      </c>
      <c r="AH4885">
        <v>33.485494598898498</v>
      </c>
      <c r="AI4885">
        <v>91.893971142660703</v>
      </c>
      <c r="AJ4885">
        <v>89.245744394895198</v>
      </c>
      <c r="AK4885">
        <v>33.506701022128297</v>
      </c>
      <c r="AL4885">
        <v>88.275059172042901</v>
      </c>
      <c r="AM4885">
        <v>86.888245453708706</v>
      </c>
      <c r="AN4885">
        <v>1.0000000254463399</v>
      </c>
    </row>
    <row r="4886" spans="1:40" x14ac:dyDescent="0.25">
      <c r="A4886" t="str">
        <f>"20190312154353711"</f>
        <v>20190312154353711</v>
      </c>
      <c r="B4886" t="str">
        <f>"1552376633702899"</f>
        <v>1552376633702899</v>
      </c>
      <c r="C4886" t="s">
        <v>40</v>
      </c>
      <c r="D4886">
        <v>4.909662</v>
      </c>
      <c r="E4886">
        <v>0.47950019999999999</v>
      </c>
      <c r="F4886" t="s">
        <v>43</v>
      </c>
      <c r="G4886">
        <v>-340.88869999999997</v>
      </c>
      <c r="H4886" s="1">
        <v>-3.995804E-6</v>
      </c>
      <c r="I4886">
        <v>140.01009999999999</v>
      </c>
      <c r="J4886">
        <v>-323.41890000000001</v>
      </c>
      <c r="K4886">
        <v>1.107464</v>
      </c>
      <c r="L4886">
        <v>139.2749</v>
      </c>
      <c r="M4886">
        <v>-0.9988013</v>
      </c>
      <c r="N4886">
        <v>0</v>
      </c>
      <c r="O4886">
        <v>4.6588169999999998E-2</v>
      </c>
      <c r="P4886">
        <v>-0.99486629999999998</v>
      </c>
      <c r="Q4886">
        <v>1.4184260000000001E-2</v>
      </c>
      <c r="R4886">
        <v>0.1001996</v>
      </c>
      <c r="S4886">
        <v>-3.0052490000000001</v>
      </c>
      <c r="T4886">
        <v>-0.18648519999999999</v>
      </c>
      <c r="U4886">
        <v>0.12701419999999999</v>
      </c>
      <c r="V4886">
        <v>5.3937869999999999E-2</v>
      </c>
      <c r="W4886">
        <v>2.880158E-2</v>
      </c>
      <c r="X4886">
        <v>0.99812880000000004</v>
      </c>
      <c r="Y4886">
        <v>-4.2737529999999999E-3</v>
      </c>
      <c r="Z4886">
        <v>-3.018125E-3</v>
      </c>
      <c r="AA4886">
        <v>0.99998629999999999</v>
      </c>
      <c r="AB4886">
        <v>38</v>
      </c>
      <c r="AC4886">
        <v>-17.4697999999999</v>
      </c>
      <c r="AD4886">
        <v>-1.1074679958039999</v>
      </c>
      <c r="AE4886">
        <v>0.73519999999999097</v>
      </c>
      <c r="AF4886">
        <v>-7.9258316504160695E-2</v>
      </c>
      <c r="AG4886">
        <v>-1.1074679958039999</v>
      </c>
      <c r="AH4886">
        <v>17.415219218779701</v>
      </c>
      <c r="AI4886">
        <v>93.638614025515295</v>
      </c>
      <c r="AJ4886">
        <v>90.260756733373199</v>
      </c>
      <c r="AK4886">
        <v>17.450576714842899</v>
      </c>
      <c r="AL4886">
        <v>88.3495627266621</v>
      </c>
      <c r="AM4886">
        <v>86.906802662306006</v>
      </c>
      <c r="AN4886">
        <v>0.99999996311003603</v>
      </c>
    </row>
    <row r="4887" spans="1:40" x14ac:dyDescent="0.25">
      <c r="A4887" t="str">
        <f>"20190312154353734"</f>
        <v>20190312154353734</v>
      </c>
      <c r="B4887" t="str">
        <f>"1552376633722419"</f>
        <v>1552376633722419</v>
      </c>
      <c r="C4887" t="s">
        <v>40</v>
      </c>
      <c r="D4887">
        <v>4.960979</v>
      </c>
      <c r="E4887">
        <v>0.47954730000000001</v>
      </c>
      <c r="F4887" t="s">
        <v>43</v>
      </c>
      <c r="G4887">
        <v>-359.92590000000001</v>
      </c>
      <c r="H4887" s="1">
        <v>-3.5293929999999998E-7</v>
      </c>
      <c r="I4887">
        <v>140.88980000000001</v>
      </c>
      <c r="J4887">
        <v>-323.80560000000003</v>
      </c>
      <c r="K4887">
        <v>1.1075379999999999</v>
      </c>
      <c r="L4887">
        <v>139.2954</v>
      </c>
      <c r="M4887">
        <v>-0.99867799999999995</v>
      </c>
      <c r="N4887">
        <v>0</v>
      </c>
      <c r="O4887">
        <v>4.9164140000000002E-2</v>
      </c>
      <c r="P4887">
        <v>-0.99459830000000005</v>
      </c>
      <c r="Q4887">
        <v>1.5573729999999999E-2</v>
      </c>
      <c r="R4887">
        <v>0.1026272</v>
      </c>
      <c r="S4887">
        <v>-3.003387</v>
      </c>
      <c r="T4887">
        <v>-9.1109869999999996E-2</v>
      </c>
      <c r="U4887">
        <v>0.13285829999999901</v>
      </c>
      <c r="V4887">
        <v>5.3804940000000002E-2</v>
      </c>
      <c r="W4887">
        <v>3.0194760000000001E-2</v>
      </c>
      <c r="X4887">
        <v>0.99809490000000001</v>
      </c>
      <c r="Y4887">
        <v>-4.9573500000000001E-3</v>
      </c>
      <c r="Z4887">
        <v>-1.56480799999999E-3</v>
      </c>
      <c r="AA4887">
        <v>0.9999865</v>
      </c>
      <c r="AB4887">
        <v>38</v>
      </c>
      <c r="AC4887">
        <v>-36.120299999999901</v>
      </c>
      <c r="AD4887">
        <v>-1.1075383529392999</v>
      </c>
      <c r="AE4887">
        <v>1.5944</v>
      </c>
      <c r="AF4887">
        <v>-0.183379870088277</v>
      </c>
      <c r="AG4887">
        <v>-1.1075383529392999</v>
      </c>
      <c r="AH4887">
        <v>36.1211118550425</v>
      </c>
      <c r="AI4887">
        <v>91.756218949736507</v>
      </c>
      <c r="AJ4887">
        <v>90.290877046620494</v>
      </c>
      <c r="AK4887">
        <v>36.138552696870299</v>
      </c>
      <c r="AL4887">
        <v>88.269704803229502</v>
      </c>
      <c r="AM4887">
        <v>86.914306506515402</v>
      </c>
      <c r="AN4887">
        <v>1.0000000622529299</v>
      </c>
    </row>
    <row r="4888" spans="1:40" x14ac:dyDescent="0.25">
      <c r="A4888" t="str">
        <f>"20190312154353755"</f>
        <v>20190312154353755</v>
      </c>
      <c r="B4888" t="str">
        <f>"1552376633742915"</f>
        <v>1552376633742915</v>
      </c>
      <c r="C4888" t="s">
        <v>40</v>
      </c>
      <c r="D4888">
        <v>4.9807169999999896</v>
      </c>
      <c r="E4888">
        <v>0.47929519999999998</v>
      </c>
      <c r="F4888" t="s">
        <v>43</v>
      </c>
      <c r="G4888">
        <v>-357.24470000000002</v>
      </c>
      <c r="H4888" s="1">
        <v>-1.494275E-6</v>
      </c>
      <c r="I4888">
        <v>140.8563</v>
      </c>
      <c r="J4888">
        <v>-324.1678</v>
      </c>
      <c r="K4888">
        <v>1.107599</v>
      </c>
      <c r="L4888">
        <v>139.31549999999999</v>
      </c>
      <c r="M4888">
        <v>-0.99855939999999999</v>
      </c>
      <c r="N4888">
        <v>0</v>
      </c>
      <c r="O4888">
        <v>5.1518790000000002E-2</v>
      </c>
      <c r="P4888">
        <v>-0.99434920000000004</v>
      </c>
      <c r="Q4888">
        <v>1.506622E-2</v>
      </c>
      <c r="R4888">
        <v>0.1050845</v>
      </c>
      <c r="S4888">
        <v>-3.003387</v>
      </c>
      <c r="T4888">
        <v>-9.9475620000000001E-2</v>
      </c>
      <c r="U4888">
        <v>0.14019779999999901</v>
      </c>
      <c r="V4888">
        <v>5.3909289999999999E-2</v>
      </c>
      <c r="W4888">
        <v>2.968954E-2</v>
      </c>
      <c r="X4888">
        <v>0.99810430000000006</v>
      </c>
      <c r="Y4888">
        <v>-4.8705609999999998E-3</v>
      </c>
      <c r="Z4888">
        <v>-1.784672E-3</v>
      </c>
      <c r="AA4888">
        <v>0.9999865</v>
      </c>
      <c r="AB4888">
        <v>38</v>
      </c>
      <c r="AC4888">
        <v>-33.076900000000002</v>
      </c>
      <c r="AD4888">
        <v>-1.107600494275</v>
      </c>
      <c r="AE4888">
        <v>1.5408000000000099</v>
      </c>
      <c r="AF4888">
        <v>-0.16533517171533699</v>
      </c>
      <c r="AG4888">
        <v>-1.107600494275</v>
      </c>
      <c r="AH4888">
        <v>33.075347261428597</v>
      </c>
      <c r="AI4888">
        <v>91.917934094710404</v>
      </c>
      <c r="AJ4888">
        <v>90.286404510544202</v>
      </c>
      <c r="AK4888">
        <v>33.094300280229803</v>
      </c>
      <c r="AL4888">
        <v>88.298664546991006</v>
      </c>
      <c r="AM4888">
        <v>86.908362731263296</v>
      </c>
      <c r="AN4888">
        <v>0.99999993700610101</v>
      </c>
    </row>
    <row r="4889" spans="1:40" x14ac:dyDescent="0.25">
      <c r="A4889" t="str">
        <f>"20190312154353779"</f>
        <v>20190312154353779</v>
      </c>
      <c r="B4889" t="str">
        <f>"1552376633772195"</f>
        <v>1552376633772195</v>
      </c>
      <c r="C4889" t="s">
        <v>40</v>
      </c>
      <c r="D4889">
        <v>4.9951179999999997</v>
      </c>
      <c r="E4889">
        <v>0.47864479999999998</v>
      </c>
      <c r="F4889" t="s">
        <v>43</v>
      </c>
      <c r="G4889">
        <v>-355.06439999999998</v>
      </c>
      <c r="H4889" s="1">
        <v>-2.4174590000000001E-6</v>
      </c>
      <c r="I4889">
        <v>140.81059999999999</v>
      </c>
      <c r="J4889">
        <v>-324.57</v>
      </c>
      <c r="K4889">
        <v>1.107677</v>
      </c>
      <c r="L4889">
        <v>139.33869999999999</v>
      </c>
      <c r="M4889">
        <v>-0.99842509999999995</v>
      </c>
      <c r="N4889">
        <v>0</v>
      </c>
      <c r="O4889">
        <v>5.405927E-2</v>
      </c>
      <c r="P4889">
        <v>-0.99411000000000005</v>
      </c>
      <c r="Q4889">
        <v>1.453924E-2</v>
      </c>
      <c r="R4889">
        <v>0.1073971</v>
      </c>
      <c r="S4889">
        <v>-3.0033259999999999</v>
      </c>
      <c r="T4889">
        <v>-0.1076657</v>
      </c>
      <c r="U4889">
        <v>0.14534</v>
      </c>
      <c r="V4889">
        <v>5.3682229999999997E-2</v>
      </c>
      <c r="W4889">
        <v>2.916763E-2</v>
      </c>
      <c r="X4889">
        <v>0.99813200000000002</v>
      </c>
      <c r="Y4889">
        <v>-5.6981699999999998E-3</v>
      </c>
      <c r="Z4889">
        <v>-2.0371270000000001E-3</v>
      </c>
      <c r="AA4889">
        <v>0.99998169999999997</v>
      </c>
      <c r="AB4889">
        <v>38</v>
      </c>
      <c r="AC4889">
        <v>-30.494399999999899</v>
      </c>
      <c r="AD4889">
        <v>-1.1076794174589999</v>
      </c>
      <c r="AE4889">
        <v>1.4719</v>
      </c>
      <c r="AF4889">
        <v>-0.17870797755797399</v>
      </c>
      <c r="AG4889">
        <v>-1.1076794174589999</v>
      </c>
      <c r="AH4889">
        <v>30.4892425934577</v>
      </c>
      <c r="AI4889">
        <v>92.080614715217806</v>
      </c>
      <c r="AJ4889">
        <v>90.335826499891297</v>
      </c>
      <c r="AK4889">
        <v>30.509880434964298</v>
      </c>
      <c r="AL4889">
        <v>88.328580870256403</v>
      </c>
      <c r="AM4889">
        <v>86.921444538837704</v>
      </c>
      <c r="AN4889">
        <v>1.0000000109407901</v>
      </c>
    </row>
    <row r="4890" spans="1:40" x14ac:dyDescent="0.25">
      <c r="A4890" t="str">
        <f>"20190312154353802"</f>
        <v>20190312154353802</v>
      </c>
      <c r="B4890" t="str">
        <f>"1552376633792691"</f>
        <v>1552376633792691</v>
      </c>
      <c r="C4890" t="s">
        <v>40</v>
      </c>
      <c r="D4890">
        <v>5.0071500000000002</v>
      </c>
      <c r="E4890">
        <v>0.46067419999999998</v>
      </c>
      <c r="F4890" t="s">
        <v>43</v>
      </c>
      <c r="G4890">
        <v>-354.17570000000001</v>
      </c>
      <c r="H4890" s="1">
        <v>-2.7923849999999999E-6</v>
      </c>
      <c r="I4890">
        <v>140.7868</v>
      </c>
      <c r="J4890">
        <v>-324.96109999999999</v>
      </c>
      <c r="K4890">
        <v>1.1077600000000001</v>
      </c>
      <c r="L4890">
        <v>139.3622</v>
      </c>
      <c r="M4890">
        <v>-0.99829310000000004</v>
      </c>
      <c r="N4890">
        <v>0</v>
      </c>
      <c r="O4890">
        <v>5.6448230000000002E-2</v>
      </c>
      <c r="P4890">
        <v>-0.99387740000000002</v>
      </c>
      <c r="Q4890">
        <v>1.549418E-2</v>
      </c>
      <c r="R4890">
        <v>0.1094001</v>
      </c>
      <c r="S4890">
        <v>-3.003571</v>
      </c>
      <c r="T4890">
        <v>-0.112377</v>
      </c>
      <c r="U4890">
        <v>0.1469269</v>
      </c>
      <c r="V4890">
        <v>5.330613E-2</v>
      </c>
      <c r="W4890">
        <v>3.0128510000000001E-2</v>
      </c>
      <c r="X4890">
        <v>0.9981236</v>
      </c>
      <c r="Y4890">
        <v>-7.5614609999999898E-3</v>
      </c>
      <c r="Z4890">
        <v>-2.24997E-3</v>
      </c>
      <c r="AA4890">
        <v>0.99996890000000005</v>
      </c>
      <c r="AB4890">
        <v>38</v>
      </c>
      <c r="AC4890">
        <v>-29.214600000000001</v>
      </c>
      <c r="AD4890">
        <v>-1.107762792385</v>
      </c>
      <c r="AE4890">
        <v>1.4245999999999901</v>
      </c>
      <c r="AF4890">
        <v>-0.226644494016051</v>
      </c>
      <c r="AG4890">
        <v>-1.107762792385</v>
      </c>
      <c r="AH4890">
        <v>29.206539751017001</v>
      </c>
      <c r="AI4890">
        <v>92.172041457448302</v>
      </c>
      <c r="AJ4890">
        <v>90.444609748903503</v>
      </c>
      <c r="AK4890">
        <v>29.228418882289901</v>
      </c>
      <c r="AL4890">
        <v>88.273502261288698</v>
      </c>
      <c r="AM4890">
        <v>86.942946297210995</v>
      </c>
      <c r="AN4890">
        <v>0.99999999574367804</v>
      </c>
    </row>
    <row r="4891" spans="1:40" x14ac:dyDescent="0.25">
      <c r="A4891" t="str">
        <f>"20190312154353824"</f>
        <v>20190312154353824</v>
      </c>
      <c r="B4891" t="str">
        <f>"1552376633812212"</f>
        <v>1552376633812212</v>
      </c>
      <c r="C4891" t="s">
        <v>40</v>
      </c>
      <c r="D4891">
        <v>5.0131940000000004</v>
      </c>
      <c r="E4891">
        <v>0.44877479999999997</v>
      </c>
      <c r="F4891" t="s">
        <v>43</v>
      </c>
      <c r="G4891">
        <v>-353.4325</v>
      </c>
      <c r="H4891" s="1">
        <v>-2.8281640000000002E-6</v>
      </c>
      <c r="I4891">
        <v>139.4562</v>
      </c>
      <c r="J4891">
        <v>-325.33609999999999</v>
      </c>
      <c r="K4891">
        <v>1.1078399999999999</v>
      </c>
      <c r="L4891">
        <v>139.38550000000001</v>
      </c>
      <c r="M4891">
        <v>-0.998166</v>
      </c>
      <c r="N4891">
        <v>0</v>
      </c>
      <c r="O4891">
        <v>5.8653039999999997E-2</v>
      </c>
      <c r="P4891">
        <v>-0.99366889999999997</v>
      </c>
      <c r="Q4891">
        <v>1.5821559999999998E-2</v>
      </c>
      <c r="R4891">
        <v>0.1112297</v>
      </c>
      <c r="S4891">
        <v>-3.0192260000000002</v>
      </c>
      <c r="T4891">
        <v>-0.1174721</v>
      </c>
      <c r="U4891">
        <v>9.9792479999999996E-3</v>
      </c>
      <c r="V4891">
        <v>5.2934920000000003E-2</v>
      </c>
      <c r="W4891">
        <v>3.0463569999999999E-2</v>
      </c>
      <c r="X4891">
        <v>0.99813320000000005</v>
      </c>
      <c r="Y4891">
        <v>-5.5273610000000001E-2</v>
      </c>
      <c r="Z4891">
        <v>-3.3553039999999999E-3</v>
      </c>
      <c r="AA4891">
        <v>0.99846559999999995</v>
      </c>
      <c r="AB4891">
        <v>38</v>
      </c>
      <c r="AC4891">
        <v>-28.096399999999999</v>
      </c>
      <c r="AD4891">
        <v>-1.107842828164</v>
      </c>
      <c r="AE4891">
        <v>7.0699999999987995E-2</v>
      </c>
      <c r="AF4891">
        <v>-1.5750971575655499</v>
      </c>
      <c r="AG4891">
        <v>-1.107842828164</v>
      </c>
      <c r="AH4891">
        <v>28.008620842234699</v>
      </c>
      <c r="AI4891">
        <v>92.261506269587798</v>
      </c>
      <c r="AJ4891">
        <v>93.2187041678405</v>
      </c>
      <c r="AK4891">
        <v>28.074741107831301</v>
      </c>
      <c r="AL4891">
        <v>88.2542959456554</v>
      </c>
      <c r="AM4891">
        <v>86.964224005999895</v>
      </c>
      <c r="AN4891">
        <v>1.00000000989739</v>
      </c>
    </row>
    <row r="4892" spans="1:40" x14ac:dyDescent="0.25">
      <c r="A4892" t="str">
        <f>"20190312154353845"</f>
        <v>20190312154353845</v>
      </c>
      <c r="B4892" t="str">
        <f>"1552376633832708"</f>
        <v>1552376633832708</v>
      </c>
      <c r="C4892" t="s">
        <v>40</v>
      </c>
      <c r="D4892">
        <v>5.0072210000000004</v>
      </c>
      <c r="E4892">
        <v>0.44264930000000002</v>
      </c>
      <c r="F4892" t="s">
        <v>43</v>
      </c>
      <c r="G4892">
        <v>-357.44279999999998</v>
      </c>
      <c r="H4892" s="1">
        <v>-1.267679E-6</v>
      </c>
      <c r="I4892">
        <v>138.55449999999999</v>
      </c>
      <c r="J4892">
        <v>-325.69540000000001</v>
      </c>
      <c r="K4892">
        <v>1.107928</v>
      </c>
      <c r="L4892">
        <v>139.4085</v>
      </c>
      <c r="M4892">
        <v>-0.99804530000000002</v>
      </c>
      <c r="N4892">
        <v>0</v>
      </c>
      <c r="O4892">
        <v>6.0672129999999998E-2</v>
      </c>
      <c r="P4892">
        <v>-0.99348789999999998</v>
      </c>
      <c r="Q4892">
        <v>1.4228269999999999E-2</v>
      </c>
      <c r="R4892">
        <v>0.1130457</v>
      </c>
      <c r="S4892">
        <v>-3.0296020000000001</v>
      </c>
      <c r="T4892">
        <v>-0.1045364</v>
      </c>
      <c r="U4892">
        <v>-7.8399659999999996E-2</v>
      </c>
      <c r="V4892">
        <v>5.2722230000000002E-2</v>
      </c>
      <c r="W4892">
        <v>2.8877839999999998E-2</v>
      </c>
      <c r="X4892">
        <v>0.99819159999999996</v>
      </c>
      <c r="Y4892">
        <v>-8.6392700000000003E-2</v>
      </c>
      <c r="Z4892">
        <v>-3.581997E-3</v>
      </c>
      <c r="AA4892">
        <v>0.99625469999999905</v>
      </c>
      <c r="AB4892">
        <v>38</v>
      </c>
      <c r="AC4892">
        <v>-31.747399999999899</v>
      </c>
      <c r="AD4892">
        <v>-1.107929267679</v>
      </c>
      <c r="AE4892">
        <v>-0.85400000000001297</v>
      </c>
      <c r="AF4892">
        <v>-2.7754472247986199</v>
      </c>
      <c r="AG4892">
        <v>-1.107929267679</v>
      </c>
      <c r="AH4892">
        <v>31.598624579828499</v>
      </c>
      <c r="AI4892">
        <v>92.000419757388997</v>
      </c>
      <c r="AJ4892">
        <v>95.019659965039395</v>
      </c>
      <c r="AK4892">
        <v>31.739623342074601</v>
      </c>
      <c r="AL4892">
        <v>88.345191620931701</v>
      </c>
      <c r="AM4892">
        <v>86.976575501400106</v>
      </c>
      <c r="AN4892">
        <v>1.0000000167448899</v>
      </c>
    </row>
    <row r="4893" spans="1:40" x14ac:dyDescent="0.25">
      <c r="A4893" t="str">
        <f>"20190312154353867"</f>
        <v>20190312154353867</v>
      </c>
      <c r="B4893" t="str">
        <f>"1552376633862964"</f>
        <v>1552376633862964</v>
      </c>
      <c r="C4893" t="s">
        <v>40</v>
      </c>
      <c r="D4893">
        <v>5.0245170000000003</v>
      </c>
      <c r="E4893">
        <v>0.4386159</v>
      </c>
      <c r="F4893" t="s">
        <v>43</v>
      </c>
      <c r="G4893">
        <v>-358.49630000000002</v>
      </c>
      <c r="H4893" s="1">
        <v>-9.0171700000000003E-7</v>
      </c>
      <c r="I4893">
        <v>138.09819999999999</v>
      </c>
      <c r="J4893">
        <v>-326.0745</v>
      </c>
      <c r="K4893">
        <v>1.1080410000000001</v>
      </c>
      <c r="L4893">
        <v>139.43350000000001</v>
      </c>
      <c r="M4893">
        <v>-0.99792080000000005</v>
      </c>
      <c r="N4893">
        <v>0</v>
      </c>
      <c r="O4893">
        <v>6.269015E-2</v>
      </c>
      <c r="P4893">
        <v>-0.99329040000000002</v>
      </c>
      <c r="Q4893">
        <v>1.371461E-2</v>
      </c>
      <c r="R4893">
        <v>0.1148305</v>
      </c>
      <c r="S4893">
        <v>-3.0348820000000001</v>
      </c>
      <c r="T4893">
        <v>-0.10251059999999999</v>
      </c>
      <c r="U4893">
        <v>-0.12123109999999999</v>
      </c>
      <c r="V4893">
        <v>5.2485820000000002E-2</v>
      </c>
      <c r="W4893">
        <v>2.837307E-2</v>
      </c>
      <c r="X4893">
        <v>0.99821850000000001</v>
      </c>
      <c r="Y4893">
        <v>-0.1023887</v>
      </c>
      <c r="Z4893">
        <v>-3.8439580000000002E-3</v>
      </c>
      <c r="AA4893">
        <v>0.99473699999999998</v>
      </c>
      <c r="AB4893">
        <v>38</v>
      </c>
      <c r="AC4893">
        <v>-32.421799999999998</v>
      </c>
      <c r="AD4893">
        <v>-1.108041901717</v>
      </c>
      <c r="AE4893">
        <v>-1.3353000000000099</v>
      </c>
      <c r="AF4893">
        <v>-3.36150858471078</v>
      </c>
      <c r="AG4893">
        <v>-1.108041901717</v>
      </c>
      <c r="AH4893">
        <v>32.236705410358397</v>
      </c>
      <c r="AI4893">
        <v>91.957990888603703</v>
      </c>
      <c r="AJ4893">
        <v>95.9530493394807</v>
      </c>
      <c r="AK4893">
        <v>32.430428189206403</v>
      </c>
      <c r="AL4893">
        <v>88.374124613157605</v>
      </c>
      <c r="AM4893">
        <v>86.9901887156947</v>
      </c>
      <c r="AN4893">
        <v>0.999999983072273</v>
      </c>
    </row>
    <row r="4894" spans="1:40" x14ac:dyDescent="0.25">
      <c r="A4894" t="str">
        <f>"20190312154353891"</f>
        <v>20190312154353891</v>
      </c>
      <c r="B4894" t="str">
        <f>"1552376633882485"</f>
        <v>1552376633882485</v>
      </c>
      <c r="C4894" t="s">
        <v>40</v>
      </c>
      <c r="D4894">
        <v>5.0377429999999999</v>
      </c>
      <c r="E4894">
        <v>0.4372103</v>
      </c>
      <c r="F4894" t="s">
        <v>43</v>
      </c>
      <c r="G4894">
        <v>-358.04390000000001</v>
      </c>
      <c r="H4894" s="1">
        <v>-1.130222E-6</v>
      </c>
      <c r="I4894">
        <v>137.8758</v>
      </c>
      <c r="J4894">
        <v>-326.45679999999999</v>
      </c>
      <c r="K4894">
        <v>1.108177</v>
      </c>
      <c r="L4894">
        <v>139.45939999999999</v>
      </c>
      <c r="M4894">
        <v>-0.99780040000000003</v>
      </c>
      <c r="N4894">
        <v>0</v>
      </c>
      <c r="O4894">
        <v>6.4580949999999998E-2</v>
      </c>
      <c r="P4894">
        <v>-0.99303390000000002</v>
      </c>
      <c r="Q4894">
        <v>1.5040990000000001E-2</v>
      </c>
      <c r="R4894">
        <v>0.1168662</v>
      </c>
      <c r="S4894">
        <v>-3.0388790000000001</v>
      </c>
      <c r="T4894">
        <v>-0.10532619999999999</v>
      </c>
      <c r="U4894">
        <v>-0.14805599999999999</v>
      </c>
      <c r="V4894">
        <v>5.2640060000000002E-2</v>
      </c>
      <c r="W4894">
        <v>2.970718E-2</v>
      </c>
      <c r="X4894">
        <v>0.99817160000000005</v>
      </c>
      <c r="Y4894">
        <v>-0.1129665</v>
      </c>
      <c r="Z4894">
        <v>-4.192248E-3</v>
      </c>
      <c r="AA4894">
        <v>0.99358990000000003</v>
      </c>
      <c r="AB4894">
        <v>38</v>
      </c>
      <c r="AC4894">
        <v>-31.5871</v>
      </c>
      <c r="AD4894">
        <v>-1.108178130222</v>
      </c>
      <c r="AE4894">
        <v>-1.5835999999999899</v>
      </c>
      <c r="AF4894">
        <v>-3.6160069938422001</v>
      </c>
      <c r="AG4894">
        <v>-1.108178130222</v>
      </c>
      <c r="AH4894">
        <v>31.380337268786501</v>
      </c>
      <c r="AI4894">
        <v>92.009241536127703</v>
      </c>
      <c r="AJ4894">
        <v>96.573293497678407</v>
      </c>
      <c r="AK4894">
        <v>31.607422110172301</v>
      </c>
      <c r="AL4894">
        <v>88.297653540868097</v>
      </c>
      <c r="AM4894">
        <v>86.9812185510593</v>
      </c>
      <c r="AN4894">
        <v>1.00000001775345</v>
      </c>
    </row>
    <row r="4895" spans="1:40" x14ac:dyDescent="0.25">
      <c r="A4895" t="str">
        <f>"20190312154353912"</f>
        <v>20190312154353912</v>
      </c>
      <c r="B4895" t="str">
        <f>"1552376633902004"</f>
        <v>1552376633902004</v>
      </c>
      <c r="C4895" t="s">
        <v>40</v>
      </c>
      <c r="D4895">
        <v>5.0045869999999999</v>
      </c>
      <c r="E4895">
        <v>0.43600260000000002</v>
      </c>
      <c r="F4895" t="s">
        <v>43</v>
      </c>
      <c r="G4895">
        <v>-361.66809999999998</v>
      </c>
      <c r="H4895" s="1">
        <v>-3.8983919999999996E-6</v>
      </c>
      <c r="I4895">
        <v>137.68989999999999</v>
      </c>
      <c r="J4895">
        <v>-326.82709999999997</v>
      </c>
      <c r="K4895">
        <v>1.1083080000000001</v>
      </c>
      <c r="L4895">
        <v>139.48500000000001</v>
      </c>
      <c r="M4895">
        <v>-0.99768959999999995</v>
      </c>
      <c r="N4895">
        <v>0</v>
      </c>
      <c r="O4895">
        <v>6.6272090000000006E-2</v>
      </c>
      <c r="P4895">
        <v>-0.99269149999999995</v>
      </c>
      <c r="Q4895">
        <v>1.525522E-2</v>
      </c>
      <c r="R4895">
        <v>0.11971279999999999</v>
      </c>
      <c r="S4895">
        <v>-3.0404659999999999</v>
      </c>
      <c r="T4895">
        <v>-9.5690730000000002E-2</v>
      </c>
      <c r="U4895">
        <v>-0.15278630000000001</v>
      </c>
      <c r="V4895">
        <v>5.3801969999999998E-2</v>
      </c>
      <c r="W4895">
        <v>2.9924039999999999E-2</v>
      </c>
      <c r="X4895">
        <v>0.99810310000000002</v>
      </c>
      <c r="Y4895">
        <v>-0.11618299999999999</v>
      </c>
      <c r="Z4895">
        <v>-3.9105379999999999E-3</v>
      </c>
      <c r="AA4895">
        <v>0.9932202</v>
      </c>
      <c r="AB4895">
        <v>38</v>
      </c>
      <c r="AC4895">
        <v>-34.841000000000001</v>
      </c>
      <c r="AD4895">
        <v>-1.108311898392</v>
      </c>
      <c r="AE4895">
        <v>-1.7951000000000099</v>
      </c>
      <c r="AF4895">
        <v>-4.0962625932340302</v>
      </c>
      <c r="AG4895">
        <v>-1.108311898392</v>
      </c>
      <c r="AH4895">
        <v>34.610479646208702</v>
      </c>
      <c r="AI4895">
        <v>91.821419979483494</v>
      </c>
      <c r="AJ4895">
        <v>96.749742669648597</v>
      </c>
      <c r="AK4895">
        <v>34.8696576386617</v>
      </c>
      <c r="AL4895">
        <v>88.285222734222103</v>
      </c>
      <c r="AM4895">
        <v>86.914501806187403</v>
      </c>
      <c r="AN4895">
        <v>0.99999994918770496</v>
      </c>
    </row>
    <row r="4896" spans="1:40" x14ac:dyDescent="0.25">
      <c r="A4896" t="str">
        <f>"20190312154353935"</f>
        <v>20190312154353935</v>
      </c>
      <c r="B4896" t="str">
        <f>"1552376633922500"</f>
        <v>1552376633922500</v>
      </c>
      <c r="C4896" t="s">
        <v>40</v>
      </c>
      <c r="D4896">
        <v>5.0281659999999997</v>
      </c>
      <c r="E4896">
        <v>0.4352452</v>
      </c>
      <c r="F4896" t="s">
        <v>43</v>
      </c>
      <c r="G4896">
        <v>-361.4</v>
      </c>
      <c r="H4896" s="1">
        <v>-4.0052329999999996E-6</v>
      </c>
      <c r="I4896">
        <v>137.73589999999999</v>
      </c>
      <c r="J4896">
        <v>-327.20650000000001</v>
      </c>
      <c r="K4896">
        <v>1.108441</v>
      </c>
      <c r="L4896">
        <v>139.51179999999999</v>
      </c>
      <c r="M4896">
        <v>-0.99758179999999996</v>
      </c>
      <c r="N4896">
        <v>0</v>
      </c>
      <c r="O4896">
        <v>6.7875019999999994E-2</v>
      </c>
      <c r="P4896">
        <v>-0.99243309999999996</v>
      </c>
      <c r="Q4896">
        <v>1.489832E-2</v>
      </c>
      <c r="R4896">
        <v>0.1218799</v>
      </c>
      <c r="S4896">
        <v>-3.0421450000000001</v>
      </c>
      <c r="T4896">
        <v>-9.752297E-2</v>
      </c>
      <c r="U4896">
        <v>-0.15390009999999901</v>
      </c>
      <c r="V4896">
        <v>5.4365719999999999E-2</v>
      </c>
      <c r="W4896">
        <v>2.9573720000000001E-2</v>
      </c>
      <c r="X4896">
        <v>0.9980831</v>
      </c>
      <c r="Y4896">
        <v>-0.1181088</v>
      </c>
      <c r="Z4896">
        <v>-4.0652930000000002E-3</v>
      </c>
      <c r="AA4896">
        <v>0.99299230000000005</v>
      </c>
      <c r="AB4896">
        <v>38</v>
      </c>
      <c r="AC4896">
        <v>-34.193499999999901</v>
      </c>
      <c r="AD4896">
        <v>-1.1084450052329999</v>
      </c>
      <c r="AE4896">
        <v>-1.7759</v>
      </c>
      <c r="AF4896">
        <v>-4.0886624799717799</v>
      </c>
      <c r="AG4896">
        <v>-1.1084450052329999</v>
      </c>
      <c r="AH4896">
        <v>33.958484346335602</v>
      </c>
      <c r="AI4896">
        <v>91.856142105107295</v>
      </c>
      <c r="AJ4896">
        <v>96.865466707061401</v>
      </c>
      <c r="AK4896">
        <v>34.221695900482104</v>
      </c>
      <c r="AL4896">
        <v>88.305303660641897</v>
      </c>
      <c r="AM4896">
        <v>86.882172314757597</v>
      </c>
      <c r="AN4896">
        <v>1.00000005546568</v>
      </c>
    </row>
    <row r="4897" spans="1:40" x14ac:dyDescent="0.25">
      <c r="A4897" t="str">
        <f>"20190312154353957"</f>
        <v>20190312154353957</v>
      </c>
      <c r="B4897" t="str">
        <f>"1552376633952756"</f>
        <v>1552376633952756</v>
      </c>
      <c r="C4897" t="s">
        <v>40</v>
      </c>
      <c r="D4897">
        <v>5.1766610000000002</v>
      </c>
      <c r="E4897">
        <v>0.43417280000000003</v>
      </c>
      <c r="F4897" t="s">
        <v>43</v>
      </c>
      <c r="G4897">
        <v>-360.1687</v>
      </c>
      <c r="H4897" s="1">
        <v>-4.5132850000000003E-6</v>
      </c>
      <c r="I4897">
        <v>137.84960000000001</v>
      </c>
      <c r="J4897">
        <v>-327.58170000000001</v>
      </c>
      <c r="K4897">
        <v>1.108576</v>
      </c>
      <c r="L4897">
        <v>139.53880000000001</v>
      </c>
      <c r="M4897">
        <v>-0.9974826</v>
      </c>
      <c r="N4897">
        <v>0</v>
      </c>
      <c r="O4897">
        <v>6.9320980000000004E-2</v>
      </c>
      <c r="P4897">
        <v>-0.99221630000000005</v>
      </c>
      <c r="Q4897">
        <v>1.4652790000000001E-2</v>
      </c>
      <c r="R4897">
        <v>0.12366249999999999</v>
      </c>
      <c r="S4897">
        <v>-3.0432429999999999</v>
      </c>
      <c r="T4897">
        <v>-0.10233780000000001</v>
      </c>
      <c r="U4897">
        <v>-0.1534576</v>
      </c>
      <c r="V4897">
        <v>5.4701359999999997E-2</v>
      </c>
      <c r="W4897">
        <v>2.9336839999999999E-2</v>
      </c>
      <c r="X4897">
        <v>0.99807170000000001</v>
      </c>
      <c r="Y4897">
        <v>-0.1193748</v>
      </c>
      <c r="Z4897">
        <v>-4.3341760000000003E-3</v>
      </c>
      <c r="AA4897">
        <v>0.99283980000000005</v>
      </c>
      <c r="AB4897">
        <v>38</v>
      </c>
      <c r="AC4897">
        <v>-32.586999999999897</v>
      </c>
      <c r="AD4897">
        <v>-1.108580513285</v>
      </c>
      <c r="AE4897">
        <v>-1.68919999999999</v>
      </c>
      <c r="AF4897">
        <v>-3.9398030170562301</v>
      </c>
      <c r="AG4897">
        <v>-1.108580513285</v>
      </c>
      <c r="AH4897">
        <v>32.354138300010199</v>
      </c>
      <c r="AI4897">
        <v>91.948033296478897</v>
      </c>
      <c r="AJ4897">
        <v>96.942795384352394</v>
      </c>
      <c r="AK4897">
        <v>32.6119803707752</v>
      </c>
      <c r="AL4897">
        <v>88.318881688600996</v>
      </c>
      <c r="AM4897">
        <v>86.862926214926404</v>
      </c>
      <c r="AN4897">
        <v>1.00000000365396</v>
      </c>
    </row>
    <row r="4898" spans="1:40" x14ac:dyDescent="0.25">
      <c r="A4898" t="str">
        <f>"20190312154353980"</f>
        <v>20190312154353980</v>
      </c>
      <c r="B4898" t="str">
        <f>"1552376633972276"</f>
        <v>1552376633972276</v>
      </c>
      <c r="C4898" t="s">
        <v>40</v>
      </c>
      <c r="D4898">
        <v>5.0593309999999896</v>
      </c>
      <c r="E4898">
        <v>0.43324499999999999</v>
      </c>
      <c r="F4898" t="s">
        <v>43</v>
      </c>
      <c r="G4898">
        <v>-360.16660000000002</v>
      </c>
      <c r="H4898" s="1">
        <v>-4.5117359999999997E-6</v>
      </c>
      <c r="I4898">
        <v>137.86330000000001</v>
      </c>
      <c r="J4898">
        <v>-327.95600000000002</v>
      </c>
      <c r="K4898">
        <v>1.1087149999999999</v>
      </c>
      <c r="L4898">
        <v>139.56610000000001</v>
      </c>
      <c r="M4898">
        <v>-0.9973921</v>
      </c>
      <c r="N4898">
        <v>0</v>
      </c>
      <c r="O4898">
        <v>7.0610950000000006E-2</v>
      </c>
      <c r="P4898">
        <v>-0.99203209999999997</v>
      </c>
      <c r="Q4898">
        <v>1.418697E-2</v>
      </c>
      <c r="R4898">
        <v>0.1251842</v>
      </c>
      <c r="S4898">
        <v>-3.0446170000000001</v>
      </c>
      <c r="T4898">
        <v>-0.1035819</v>
      </c>
      <c r="U4898">
        <v>-0.15653989999999901</v>
      </c>
      <c r="V4898">
        <v>5.492909E-2</v>
      </c>
      <c r="W4898">
        <v>2.8881649999999998E-2</v>
      </c>
      <c r="X4898">
        <v>0.99807239999999997</v>
      </c>
      <c r="Y4898">
        <v>-0.12163400000000001</v>
      </c>
      <c r="Z4898">
        <v>-4.4669699999999998E-3</v>
      </c>
      <c r="AA4898">
        <v>0.99256500000000003</v>
      </c>
      <c r="AB4898">
        <v>38</v>
      </c>
      <c r="AC4898">
        <v>-32.210599999999999</v>
      </c>
      <c r="AD4898">
        <v>-1.10871951173599</v>
      </c>
      <c r="AE4898">
        <v>-1.7027999999999901</v>
      </c>
      <c r="AF4898">
        <v>-3.9685347331456602</v>
      </c>
      <c r="AG4898">
        <v>-1.10871951173599</v>
      </c>
      <c r="AH4898">
        <v>31.972157334391898</v>
      </c>
      <c r="AI4898">
        <v>91.970974297549304</v>
      </c>
      <c r="AJ4898">
        <v>97.075632120724194</v>
      </c>
      <c r="AK4898">
        <v>32.236584364647001</v>
      </c>
      <c r="AL4898">
        <v>88.344973097825701</v>
      </c>
      <c r="AM4898">
        <v>86.849894557427405</v>
      </c>
      <c r="AN4898">
        <v>0.99999993513835295</v>
      </c>
    </row>
    <row r="4899" spans="1:40" x14ac:dyDescent="0.25">
      <c r="A4899" t="str">
        <f>"20190312154354002"</f>
        <v>20190312154354002</v>
      </c>
      <c r="B4899" t="str">
        <f>"1552376633992772"</f>
        <v>1552376633992772</v>
      </c>
      <c r="C4899" t="s">
        <v>40</v>
      </c>
      <c r="D4899">
        <v>5.0239070000000003</v>
      </c>
      <c r="E4899">
        <v>0.43236439999999998</v>
      </c>
      <c r="F4899" t="s">
        <v>43</v>
      </c>
      <c r="G4899">
        <v>-360.83760000000001</v>
      </c>
      <c r="H4899" s="1">
        <v>-4.2268419999999998E-6</v>
      </c>
      <c r="I4899">
        <v>137.8468</v>
      </c>
      <c r="J4899">
        <v>-328.34129999999999</v>
      </c>
      <c r="K4899">
        <v>1.108862</v>
      </c>
      <c r="L4899">
        <v>139.59450000000001</v>
      </c>
      <c r="M4899">
        <v>-0.99730960000000002</v>
      </c>
      <c r="N4899">
        <v>0</v>
      </c>
      <c r="O4899">
        <v>7.1768979999999996E-2</v>
      </c>
      <c r="P4899">
        <v>-0.99194559999999998</v>
      </c>
      <c r="Q4899">
        <v>1.258515E-2</v>
      </c>
      <c r="R4899">
        <v>0.1260386</v>
      </c>
      <c r="S4899">
        <v>-3.0456539999999999</v>
      </c>
      <c r="T4899">
        <v>-0.1026953</v>
      </c>
      <c r="U4899">
        <v>-0.15924070000000001</v>
      </c>
      <c r="V4899">
        <v>5.4611710000000001E-2</v>
      </c>
      <c r="W4899">
        <v>2.7295360000000001E-2</v>
      </c>
      <c r="X4899">
        <v>0.99813450000000004</v>
      </c>
      <c r="Y4899">
        <v>-0.1236468</v>
      </c>
      <c r="Z4899">
        <v>-4.5000459999999997E-3</v>
      </c>
      <c r="AA4899">
        <v>0.99231610000000003</v>
      </c>
      <c r="AB4899">
        <v>38</v>
      </c>
      <c r="AC4899">
        <v>-32.496299999999998</v>
      </c>
      <c r="AD4899">
        <v>-1.108866226842</v>
      </c>
      <c r="AE4899">
        <v>-1.7477</v>
      </c>
      <c r="AF4899">
        <v>-4.0709518805479297</v>
      </c>
      <c r="AG4899">
        <v>-1.108866226842</v>
      </c>
      <c r="AH4899">
        <v>32.249595768145099</v>
      </c>
      <c r="AI4899">
        <v>91.953782615662504</v>
      </c>
      <c r="AJ4899">
        <v>97.194544765165602</v>
      </c>
      <c r="AK4899">
        <v>32.524431751093402</v>
      </c>
      <c r="AL4899">
        <v>88.435896776952305</v>
      </c>
      <c r="AM4899">
        <v>86.868253979257602</v>
      </c>
      <c r="AN4899">
        <v>0.99999997781845096</v>
      </c>
    </row>
    <row r="4900" spans="1:40" x14ac:dyDescent="0.25">
      <c r="A4900" t="str">
        <f>"20190312154354025"</f>
        <v>20190312154354025</v>
      </c>
      <c r="B4900" t="str">
        <f>"1552376634012292"</f>
        <v>1552376634012292</v>
      </c>
      <c r="C4900" t="s">
        <v>40</v>
      </c>
      <c r="D4900">
        <v>5.076276</v>
      </c>
      <c r="E4900">
        <v>0.43167670000000002</v>
      </c>
      <c r="F4900" t="s">
        <v>43</v>
      </c>
      <c r="G4900">
        <v>-360.57240000000002</v>
      </c>
      <c r="H4900" s="1">
        <v>-4.3375920000000004E-6</v>
      </c>
      <c r="I4900">
        <v>137.86359999999999</v>
      </c>
      <c r="J4900">
        <v>-328.71719999999999</v>
      </c>
      <c r="K4900">
        <v>1.1090180000000001</v>
      </c>
      <c r="L4900">
        <v>139.62260000000001</v>
      </c>
      <c r="M4900">
        <v>-0.99724040000000003</v>
      </c>
      <c r="N4900">
        <v>0</v>
      </c>
      <c r="O4900">
        <v>7.2724940000000002E-2</v>
      </c>
      <c r="P4900">
        <v>-0.99183520000000003</v>
      </c>
      <c r="Q4900">
        <v>1.1286630000000001E-2</v>
      </c>
      <c r="R4900">
        <v>0.12702559999999999</v>
      </c>
      <c r="S4900">
        <v>-3.046478</v>
      </c>
      <c r="T4900">
        <v>-0.1048099</v>
      </c>
      <c r="U4900">
        <v>-0.16360469999999999</v>
      </c>
      <c r="V4900">
        <v>5.4631819999999998E-2</v>
      </c>
      <c r="W4900">
        <v>2.6011220000000002E-2</v>
      </c>
      <c r="X4900">
        <v>0.99816769999999999</v>
      </c>
      <c r="Y4900">
        <v>-0.12599469999999999</v>
      </c>
      <c r="Z4900">
        <v>-4.6644399999999997E-3</v>
      </c>
      <c r="AA4900">
        <v>0.99202000000000001</v>
      </c>
      <c r="AB4900">
        <v>38</v>
      </c>
      <c r="AC4900">
        <v>-31.8552</v>
      </c>
      <c r="AD4900">
        <v>-1.1090223375920001</v>
      </c>
      <c r="AE4900">
        <v>-1.7590000000000101</v>
      </c>
      <c r="AF4900">
        <v>-4.0663530333250097</v>
      </c>
      <c r="AG4900">
        <v>-1.1090223375920001</v>
      </c>
      <c r="AH4900">
        <v>31.6047023620849</v>
      </c>
      <c r="AI4900">
        <v>91.993290991482098</v>
      </c>
      <c r="AJ4900">
        <v>97.331562967025505</v>
      </c>
      <c r="AK4900">
        <v>31.884516131390299</v>
      </c>
      <c r="AL4900">
        <v>88.509498749600795</v>
      </c>
      <c r="AM4900">
        <v>86.8672070498708</v>
      </c>
      <c r="AN4900">
        <v>0.99999998832284498</v>
      </c>
    </row>
    <row r="4901" spans="1:40" x14ac:dyDescent="0.25">
      <c r="A4901" t="str">
        <f>"20190312154354047"</f>
        <v>20190312154354047</v>
      </c>
      <c r="B4901" t="str">
        <f>"1552376634042548"</f>
        <v>1552376634042548</v>
      </c>
      <c r="C4901" t="s">
        <v>40</v>
      </c>
      <c r="D4901">
        <v>5.1068439999999997</v>
      </c>
      <c r="E4901">
        <v>0.43053859999999999</v>
      </c>
      <c r="F4901" t="s">
        <v>43</v>
      </c>
      <c r="G4901">
        <v>-359.55610000000001</v>
      </c>
      <c r="H4901" s="1">
        <v>-5.8245869999999898E-7</v>
      </c>
      <c r="I4901">
        <v>137.9425</v>
      </c>
      <c r="J4901">
        <v>-329.08530000000002</v>
      </c>
      <c r="K4901">
        <v>1.1091949999999999</v>
      </c>
      <c r="L4901">
        <v>139.65029999999999</v>
      </c>
      <c r="M4901">
        <v>-0.99718450000000003</v>
      </c>
      <c r="N4901">
        <v>0</v>
      </c>
      <c r="O4901">
        <v>7.3490120000000006E-2</v>
      </c>
      <c r="P4901">
        <v>-0.99167559999999999</v>
      </c>
      <c r="Q4901">
        <v>1.0586760000000001E-2</v>
      </c>
      <c r="R4901">
        <v>0.12832550000000001</v>
      </c>
      <c r="S4901">
        <v>-3.04718</v>
      </c>
      <c r="T4901">
        <v>-0.1095817</v>
      </c>
      <c r="U4901">
        <v>-0.16600039999999999</v>
      </c>
      <c r="V4901">
        <v>5.5161170000000002E-2</v>
      </c>
      <c r="W4901">
        <v>2.5325279999999999E-2</v>
      </c>
      <c r="X4901">
        <v>0.99815620000000005</v>
      </c>
      <c r="Y4901">
        <v>-0.12750880000000001</v>
      </c>
      <c r="Z4901">
        <v>-4.9301229999999998E-3</v>
      </c>
      <c r="AA4901">
        <v>0.99182519999999996</v>
      </c>
      <c r="AB4901">
        <v>38</v>
      </c>
      <c r="AC4901">
        <v>-30.470800000000001</v>
      </c>
      <c r="AD4901">
        <v>-1.1091955824586901</v>
      </c>
      <c r="AE4901">
        <v>-1.70779999999999</v>
      </c>
      <c r="AF4901">
        <v>-3.9375313649546699</v>
      </c>
      <c r="AG4901">
        <v>-1.1091955824586901</v>
      </c>
      <c r="AH4901">
        <v>30.222943561649402</v>
      </c>
      <c r="AI4901">
        <v>92.084239088505697</v>
      </c>
      <c r="AJ4901">
        <v>97.422848596865705</v>
      </c>
      <c r="AK4901">
        <v>30.498537434126099</v>
      </c>
      <c r="AL4901">
        <v>88.548813133148599</v>
      </c>
      <c r="AM4901">
        <v>86.836877115134897</v>
      </c>
      <c r="AN4901">
        <v>0.99999996204064301</v>
      </c>
    </row>
    <row r="4902" spans="1:40" x14ac:dyDescent="0.25">
      <c r="A4902" t="str">
        <f>"20190312154354069"</f>
        <v>20190312154354069</v>
      </c>
      <c r="B4902" t="str">
        <f>"1552376634062067"</f>
        <v>1552376634062067</v>
      </c>
      <c r="C4902" t="s">
        <v>40</v>
      </c>
      <c r="D4902">
        <v>5.0467930000000001</v>
      </c>
      <c r="E4902">
        <v>0.42986760000000002</v>
      </c>
      <c r="F4902" t="s">
        <v>43</v>
      </c>
      <c r="G4902">
        <v>-360.06760000000003</v>
      </c>
      <c r="H4902" s="1">
        <v>-4.545125E-6</v>
      </c>
      <c r="I4902">
        <v>137.9145</v>
      </c>
      <c r="J4902">
        <v>-329.45209999999997</v>
      </c>
      <c r="K4902">
        <v>1.1093679999999999</v>
      </c>
      <c r="L4902">
        <v>139.67789999999999</v>
      </c>
      <c r="M4902">
        <v>-0.99714119999999995</v>
      </c>
      <c r="N4902">
        <v>0</v>
      </c>
      <c r="O4902">
        <v>7.4076429999999999E-2</v>
      </c>
      <c r="P4902">
        <v>-0.9915718</v>
      </c>
      <c r="Q4902">
        <v>9.5501930000000002E-3</v>
      </c>
      <c r="R4902">
        <v>0.12920699999999999</v>
      </c>
      <c r="S4902">
        <v>-3.0484619999999998</v>
      </c>
      <c r="T4902">
        <v>-0.1091385</v>
      </c>
      <c r="U4902">
        <v>-0.17077639999999999</v>
      </c>
      <c r="V4902">
        <v>5.5447829999999997E-2</v>
      </c>
      <c r="W4902">
        <v>2.4304679999999999E-2</v>
      </c>
      <c r="X4902">
        <v>0.99816570000000004</v>
      </c>
      <c r="Y4902">
        <v>-0.1296176</v>
      </c>
      <c r="Z4902">
        <v>-4.9666160000000001E-3</v>
      </c>
      <c r="AA4902">
        <v>0.99155159999999998</v>
      </c>
      <c r="AB4902">
        <v>37</v>
      </c>
      <c r="AC4902">
        <v>-30.615500000000001</v>
      </c>
      <c r="AD4902">
        <v>-1.1093725451250001</v>
      </c>
      <c r="AE4902">
        <v>-1.7633999999999801</v>
      </c>
      <c r="AF4902">
        <v>-4.0214301754317097</v>
      </c>
      <c r="AG4902">
        <v>-1.1093725451250001</v>
      </c>
      <c r="AH4902">
        <v>30.360993522253999</v>
      </c>
      <c r="AI4902">
        <v>92.074519992969599</v>
      </c>
      <c r="AJ4902">
        <v>97.545126611022496</v>
      </c>
      <c r="AK4902">
        <v>30.646248314567</v>
      </c>
      <c r="AL4902">
        <v>88.607307236956004</v>
      </c>
      <c r="AM4902">
        <v>86.820502926551697</v>
      </c>
      <c r="AN4902">
        <v>0.99999997198905</v>
      </c>
    </row>
    <row r="4903" spans="1:40" x14ac:dyDescent="0.25">
      <c r="A4903" t="str">
        <f>"20190312154354091"</f>
        <v>20190312154354091</v>
      </c>
      <c r="B4903" t="str">
        <f>"1552376634082564"</f>
        <v>1552376634082564</v>
      </c>
      <c r="C4903" t="s">
        <v>40</v>
      </c>
      <c r="D4903">
        <v>5.0643520000000004</v>
      </c>
      <c r="E4903">
        <v>0.42945369999999999</v>
      </c>
      <c r="F4903" t="s">
        <v>43</v>
      </c>
      <c r="G4903">
        <v>-359.8956</v>
      </c>
      <c r="H4903" s="1">
        <v>-4.6565679999999999E-7</v>
      </c>
      <c r="I4903">
        <v>137.94730000000001</v>
      </c>
      <c r="J4903">
        <v>-329.82389999999998</v>
      </c>
      <c r="K4903">
        <v>1.109545</v>
      </c>
      <c r="L4903">
        <v>139.70599999999999</v>
      </c>
      <c r="M4903">
        <v>-0.9971101</v>
      </c>
      <c r="N4903">
        <v>0</v>
      </c>
      <c r="O4903">
        <v>7.4495610000000004E-2</v>
      </c>
      <c r="P4903">
        <v>-0.99153619999999998</v>
      </c>
      <c r="Q4903">
        <v>9.2495440000000002E-3</v>
      </c>
      <c r="R4903">
        <v>0.12950200000000001</v>
      </c>
      <c r="S4903">
        <v>-3.0491329999999999</v>
      </c>
      <c r="T4903">
        <v>-0.1111114</v>
      </c>
      <c r="U4903">
        <v>-0.1733246</v>
      </c>
      <c r="V4903">
        <v>5.5314099999999998E-2</v>
      </c>
      <c r="W4903">
        <v>2.4021529999999999E-2</v>
      </c>
      <c r="X4903">
        <v>0.99817999999999996</v>
      </c>
      <c r="Y4903">
        <v>-0.1308424</v>
      </c>
      <c r="Z4903">
        <v>-5.0926649999999997E-3</v>
      </c>
      <c r="AA4903">
        <v>0.99139010000000005</v>
      </c>
      <c r="AB4903">
        <v>37</v>
      </c>
      <c r="AC4903">
        <v>-30.0717</v>
      </c>
      <c r="AD4903">
        <v>-1.1095454656568</v>
      </c>
      <c r="AE4903">
        <v>-1.7586999999999999</v>
      </c>
      <c r="AF4903">
        <v>-3.9888584841530799</v>
      </c>
      <c r="AG4903">
        <v>-1.1095454656568</v>
      </c>
      <c r="AH4903">
        <v>29.8166395489941</v>
      </c>
      <c r="AI4903">
        <v>92.112322879387605</v>
      </c>
      <c r="AJ4903">
        <v>97.619765173510004</v>
      </c>
      <c r="AK4903">
        <v>30.102725410527199</v>
      </c>
      <c r="AL4903">
        <v>88.623535311325995</v>
      </c>
      <c r="AM4903">
        <v>86.828200961438299</v>
      </c>
      <c r="AN4903">
        <v>0.999999997981175</v>
      </c>
    </row>
    <row r="4904" spans="1:40" x14ac:dyDescent="0.25">
      <c r="A4904" t="str">
        <f>"20190312154354106"</f>
        <v>20190312154354106</v>
      </c>
      <c r="B4904" t="str">
        <f>"1552376634102083"</f>
        <v>1552376634102083</v>
      </c>
      <c r="C4904" t="s">
        <v>40</v>
      </c>
      <c r="D4904">
        <v>5.0832189999999997</v>
      </c>
      <c r="E4904">
        <v>0.42898770000000003</v>
      </c>
      <c r="F4904" t="s">
        <v>43</v>
      </c>
      <c r="G4904">
        <v>-359.89879999999999</v>
      </c>
      <c r="H4904" s="1">
        <v>-4.5727579999999999E-7</v>
      </c>
      <c r="I4904">
        <v>137.97470000000001</v>
      </c>
      <c r="J4904">
        <v>-330.08100000000002</v>
      </c>
      <c r="K4904">
        <v>1.109658</v>
      </c>
      <c r="L4904">
        <v>139.72550000000001</v>
      </c>
      <c r="M4904">
        <v>-0.99709400000000004</v>
      </c>
      <c r="N4904">
        <v>0</v>
      </c>
      <c r="O4904">
        <v>7.4710689999999996E-2</v>
      </c>
      <c r="P4904">
        <v>-0.99154629999999999</v>
      </c>
      <c r="Q4904">
        <v>9.1550369999999996E-3</v>
      </c>
      <c r="R4904">
        <v>0.12942970000000001</v>
      </c>
      <c r="S4904">
        <v>-3.0496219999999998</v>
      </c>
      <c r="T4904">
        <v>-0.11250880000000001</v>
      </c>
      <c r="U4904">
        <v>-0.1755524</v>
      </c>
      <c r="V4904">
        <v>5.5019140000000001E-2</v>
      </c>
      <c r="W4904">
        <v>2.3938580000000001E-2</v>
      </c>
      <c r="X4904">
        <v>0.99819829999999998</v>
      </c>
      <c r="Y4904">
        <v>-0.13176489999999999</v>
      </c>
      <c r="Z4904">
        <v>-5.1806710000000004E-3</v>
      </c>
      <c r="AA4904">
        <v>0.99126740000000002</v>
      </c>
      <c r="AB4904">
        <v>37</v>
      </c>
      <c r="AC4904">
        <v>-29.817799999999998</v>
      </c>
      <c r="AD4904">
        <v>-1.1096584572757999</v>
      </c>
      <c r="AE4904">
        <v>-1.7507999999999899</v>
      </c>
      <c r="AF4904">
        <v>-3.9683844010788998</v>
      </c>
      <c r="AG4904">
        <v>-1.1096584572757999</v>
      </c>
      <c r="AH4904">
        <v>29.5628284837724</v>
      </c>
      <c r="AI4904">
        <v>92.130530519432497</v>
      </c>
      <c r="AJ4904">
        <v>97.645431163040001</v>
      </c>
      <c r="AK4904">
        <v>29.848622155929998</v>
      </c>
      <c r="AL4904">
        <v>88.628289371252194</v>
      </c>
      <c r="AM4904">
        <v>86.845137903887803</v>
      </c>
      <c r="AN4904">
        <v>1.0000000037508201</v>
      </c>
    </row>
    <row r="4905" spans="1:40" x14ac:dyDescent="0.25">
      <c r="A4905" t="str">
        <f>"20190312154354125"</f>
        <v>20190312154354125</v>
      </c>
      <c r="B4905" t="str">
        <f>"1552376634112820"</f>
        <v>1552376634112820</v>
      </c>
      <c r="C4905" t="s">
        <v>40</v>
      </c>
      <c r="D4905">
        <v>5.0645239999999996</v>
      </c>
      <c r="E4905">
        <v>0.428759</v>
      </c>
      <c r="F4905" t="s">
        <v>43</v>
      </c>
      <c r="G4905">
        <v>-360.0471</v>
      </c>
      <c r="H4905" s="1">
        <v>-4.5455440000000003E-6</v>
      </c>
      <c r="I4905">
        <v>137.96180000000001</v>
      </c>
      <c r="J4905">
        <v>-330.37869999999998</v>
      </c>
      <c r="K4905">
        <v>1.109775</v>
      </c>
      <c r="L4905">
        <v>139.74799999999999</v>
      </c>
      <c r="M4905">
        <v>-0.99708169999999996</v>
      </c>
      <c r="N4905">
        <v>0</v>
      </c>
      <c r="O4905">
        <v>7.4877460000000007E-2</v>
      </c>
      <c r="P4905">
        <v>-0.99157899999999999</v>
      </c>
      <c r="Q4905">
        <v>9.2267549999999997E-3</v>
      </c>
      <c r="R4905">
        <v>0.12917609999999999</v>
      </c>
      <c r="S4905">
        <v>-3.050049</v>
      </c>
      <c r="T4905">
        <v>-0.1129453</v>
      </c>
      <c r="U4905">
        <v>-0.17950439999999901</v>
      </c>
      <c r="V4905">
        <v>5.4590310000000003E-2</v>
      </c>
      <c r="W4905">
        <v>2.4022000000000002E-2</v>
      </c>
      <c r="X4905">
        <v>0.99821979999999999</v>
      </c>
      <c r="Y4905">
        <v>-0.1332005</v>
      </c>
      <c r="Z4905">
        <v>-5.2325799999999997E-3</v>
      </c>
      <c r="AA4905">
        <v>0.99107529999999999</v>
      </c>
      <c r="AB4905">
        <v>37</v>
      </c>
      <c r="AC4905">
        <v>-29.668399999999998</v>
      </c>
      <c r="AD4905">
        <v>-1.109779545544</v>
      </c>
      <c r="AE4905">
        <v>-1.78619999999997</v>
      </c>
      <c r="AF4905">
        <v>-3.99735205021998</v>
      </c>
      <c r="AG4905">
        <v>-1.109779545544</v>
      </c>
      <c r="AH4905">
        <v>29.410330939139602</v>
      </c>
      <c r="AI4905">
        <v>92.141323789633503</v>
      </c>
      <c r="AJ4905">
        <v>97.740018543723593</v>
      </c>
      <c r="AK4905">
        <v>29.7014814445815</v>
      </c>
      <c r="AL4905">
        <v>88.623508327437406</v>
      </c>
      <c r="AM4905">
        <v>86.869745713240704</v>
      </c>
      <c r="AN4905">
        <v>0.999999963770967</v>
      </c>
    </row>
    <row r="4906" spans="1:40" x14ac:dyDescent="0.25">
      <c r="A4906" t="str">
        <f>"20190312154354147"</f>
        <v>20190312154354147</v>
      </c>
      <c r="B4906" t="str">
        <f>"1552376634143076"</f>
        <v>1552376634143076</v>
      </c>
      <c r="C4906" t="s">
        <v>40</v>
      </c>
      <c r="D4906">
        <v>5.0732220000000003</v>
      </c>
      <c r="E4906">
        <v>0.42807289999999998</v>
      </c>
      <c r="F4906" t="s">
        <v>43</v>
      </c>
      <c r="G4906">
        <v>-360.27910000000003</v>
      </c>
      <c r="H4906" s="1">
        <v>-4.445606E-6</v>
      </c>
      <c r="I4906">
        <v>137.9641</v>
      </c>
      <c r="J4906">
        <v>-330.75199999999899</v>
      </c>
      <c r="K4906">
        <v>1.109907</v>
      </c>
      <c r="L4906">
        <v>139.77619999999999</v>
      </c>
      <c r="M4906">
        <v>-0.99707349999999995</v>
      </c>
      <c r="N4906">
        <v>0</v>
      </c>
      <c r="O4906">
        <v>7.4987369999999998E-2</v>
      </c>
      <c r="P4906">
        <v>-0.99167539999999998</v>
      </c>
      <c r="Q4906">
        <v>9.1028559999999994E-3</v>
      </c>
      <c r="R4906">
        <v>0.12844320000000001</v>
      </c>
      <c r="S4906">
        <v>-3.0502009999999999</v>
      </c>
      <c r="T4906">
        <v>-0.1132109</v>
      </c>
      <c r="U4906">
        <v>-0.18197630000000001</v>
      </c>
      <c r="V4906">
        <v>5.3734629999999999E-2</v>
      </c>
      <c r="W4906">
        <v>2.3911410000000001E-2</v>
      </c>
      <c r="X4906">
        <v>0.99826890000000001</v>
      </c>
      <c r="Y4906">
        <v>-0.1341058</v>
      </c>
      <c r="Z4906">
        <v>-5.2653609999999997E-3</v>
      </c>
      <c r="AA4906">
        <v>0.99095299999999997</v>
      </c>
      <c r="AB4906">
        <v>37</v>
      </c>
      <c r="AC4906">
        <v>-29.527100000000001</v>
      </c>
      <c r="AD4906">
        <v>-1.109911445606</v>
      </c>
      <c r="AE4906">
        <v>-1.8120999999999801</v>
      </c>
      <c r="AF4906">
        <v>-4.0157486455839297</v>
      </c>
      <c r="AG4906">
        <v>-1.109911445606</v>
      </c>
      <c r="AH4906">
        <v>29.266849666704399</v>
      </c>
      <c r="AI4906">
        <v>92.151694114668004</v>
      </c>
      <c r="AJ4906">
        <v>97.812853346061601</v>
      </c>
      <c r="AK4906">
        <v>29.561911812585301</v>
      </c>
      <c r="AL4906">
        <v>88.629846512605695</v>
      </c>
      <c r="AM4906">
        <v>86.918867087276993</v>
      </c>
      <c r="AN4906">
        <v>0.99999998134831702</v>
      </c>
    </row>
    <row r="4907" spans="1:40" x14ac:dyDescent="0.25">
      <c r="A4907" t="str">
        <f>"20190312154354170"</f>
        <v>20190312154354170</v>
      </c>
      <c r="B4907" t="str">
        <f>"1552376634162596"</f>
        <v>1552376634162596</v>
      </c>
      <c r="C4907" t="s">
        <v>40</v>
      </c>
      <c r="D4907">
        <v>5.0756899999999998</v>
      </c>
      <c r="E4907">
        <v>0.42763180000000001</v>
      </c>
      <c r="F4907" t="s">
        <v>43</v>
      </c>
      <c r="G4907">
        <v>-360.61810000000003</v>
      </c>
      <c r="H4907" s="1">
        <v>-4.3081490000000002E-6</v>
      </c>
      <c r="I4907">
        <v>137.91909999999999</v>
      </c>
      <c r="J4907">
        <v>-331.11849999999998</v>
      </c>
      <c r="K4907">
        <v>1.1100239999999999</v>
      </c>
      <c r="L4907">
        <v>139.8039</v>
      </c>
      <c r="M4907">
        <v>-0.99707409999999996</v>
      </c>
      <c r="N4907">
        <v>0</v>
      </c>
      <c r="O4907">
        <v>7.4978080000000003E-2</v>
      </c>
      <c r="P4907">
        <v>-0.99173279999999997</v>
      </c>
      <c r="Q4907">
        <v>9.0612750000000006E-3</v>
      </c>
      <c r="R4907">
        <v>0.1280008</v>
      </c>
      <c r="S4907">
        <v>-3.0507810000000002</v>
      </c>
      <c r="T4907">
        <v>-0.1133763</v>
      </c>
      <c r="U4907">
        <v>-0.18969730000000001</v>
      </c>
      <c r="V4907">
        <v>5.3291350000000001E-2</v>
      </c>
      <c r="W4907">
        <v>2.3880419999999999E-2</v>
      </c>
      <c r="X4907">
        <v>0.9982934</v>
      </c>
      <c r="Y4907">
        <v>-0.1365816</v>
      </c>
      <c r="Z4907">
        <v>-5.3173049999999996E-3</v>
      </c>
      <c r="AA4907">
        <v>0.99061449999999995</v>
      </c>
      <c r="AB4907">
        <v>37</v>
      </c>
      <c r="AC4907">
        <v>-29.499600000000001</v>
      </c>
      <c r="AD4907">
        <v>-1.1100283081490001</v>
      </c>
      <c r="AE4907">
        <v>-1.88480000000001</v>
      </c>
      <c r="AF4907">
        <v>-4.0858002445944104</v>
      </c>
      <c r="AG4907">
        <v>-1.1100283081490001</v>
      </c>
      <c r="AH4907">
        <v>29.233986808274199</v>
      </c>
      <c r="AI4907">
        <v>92.153591441284703</v>
      </c>
      <c r="AJ4907">
        <v>97.9562352751106</v>
      </c>
      <c r="AK4907">
        <v>29.538989677881101</v>
      </c>
      <c r="AL4907">
        <v>88.631622610692602</v>
      </c>
      <c r="AM4907">
        <v>86.944311154446893</v>
      </c>
      <c r="AN4907">
        <v>0.99999997746387903</v>
      </c>
    </row>
    <row r="4908" spans="1:40" x14ac:dyDescent="0.25">
      <c r="A4908" t="str">
        <f>"20190312154354193"</f>
        <v>20190312154354193</v>
      </c>
      <c r="B4908" t="str">
        <f>"1552376634182117"</f>
        <v>1552376634182117</v>
      </c>
      <c r="C4908" t="s">
        <v>40</v>
      </c>
      <c r="D4908">
        <v>5.0766580000000001</v>
      </c>
      <c r="E4908">
        <v>0.42723929999999999</v>
      </c>
      <c r="F4908" t="s">
        <v>43</v>
      </c>
      <c r="G4908">
        <v>-361.17239999999998</v>
      </c>
      <c r="H4908" s="1">
        <v>-4.0760249999999997E-6</v>
      </c>
      <c r="I4908">
        <v>137.88730000000001</v>
      </c>
      <c r="J4908">
        <v>-331.5154</v>
      </c>
      <c r="K4908">
        <v>1.110147</v>
      </c>
      <c r="L4908">
        <v>139.8338</v>
      </c>
      <c r="M4908">
        <v>-0.99708379999999996</v>
      </c>
      <c r="N4908">
        <v>0</v>
      </c>
      <c r="O4908">
        <v>7.4851689999999999E-2</v>
      </c>
      <c r="P4908">
        <v>-0.9918226</v>
      </c>
      <c r="Q4908">
        <v>8.4650219999999905E-3</v>
      </c>
      <c r="R4908">
        <v>0.12734500000000001</v>
      </c>
      <c r="S4908">
        <v>-3.0511170000000001</v>
      </c>
      <c r="T4908">
        <v>-0.11269220000000001</v>
      </c>
      <c r="U4908">
        <v>-0.19456480000000001</v>
      </c>
      <c r="V4908">
        <v>5.2749669999999999E-2</v>
      </c>
      <c r="W4908">
        <v>2.32955E-2</v>
      </c>
      <c r="X4908">
        <v>0.998336</v>
      </c>
      <c r="Y4908">
        <v>-0.13802410000000001</v>
      </c>
      <c r="Z4908">
        <v>-5.3063889999999999E-3</v>
      </c>
      <c r="AA4908">
        <v>0.99041469999999998</v>
      </c>
      <c r="AB4908">
        <v>37</v>
      </c>
      <c r="AC4908">
        <v>-29.656999999999901</v>
      </c>
      <c r="AD4908">
        <v>-1.110151076025</v>
      </c>
      <c r="AE4908">
        <v>-1.9464999999999799</v>
      </c>
      <c r="AF4908">
        <v>-4.1553626230851197</v>
      </c>
      <c r="AG4908">
        <v>-1.110151076025</v>
      </c>
      <c r="AH4908">
        <v>29.387067748855799</v>
      </c>
      <c r="AI4908">
        <v>92.142136682312099</v>
      </c>
      <c r="AJ4908">
        <v>98.0483270632905</v>
      </c>
      <c r="AK4908">
        <v>29.700155299539599</v>
      </c>
      <c r="AL4908">
        <v>88.665145401145594</v>
      </c>
      <c r="AM4908">
        <v>86.9754415657968</v>
      </c>
      <c r="AN4908">
        <v>0.99999998845067894</v>
      </c>
    </row>
    <row r="4909" spans="1:40" x14ac:dyDescent="0.25">
      <c r="A4909" t="str">
        <f>"20190312154354215"</f>
        <v>20190312154354215</v>
      </c>
      <c r="B4909" t="str">
        <f>"1552376634202144"</f>
        <v>1552376634202144</v>
      </c>
      <c r="C4909" t="s">
        <v>40</v>
      </c>
      <c r="D4909">
        <v>5.083742</v>
      </c>
      <c r="E4909">
        <v>0.42689510000000003</v>
      </c>
      <c r="F4909" t="s">
        <v>43</v>
      </c>
      <c r="G4909">
        <v>-361.13380000000001</v>
      </c>
      <c r="H4909" s="1">
        <v>-4.0913500000000002E-6</v>
      </c>
      <c r="I4909">
        <v>137.89420000000001</v>
      </c>
      <c r="J4909">
        <v>-331.8766</v>
      </c>
      <c r="K4909">
        <v>1.1102479999999999</v>
      </c>
      <c r="L4909">
        <v>139.86070000000001</v>
      </c>
      <c r="M4909">
        <v>-0.99709829999999999</v>
      </c>
      <c r="N4909">
        <v>0</v>
      </c>
      <c r="O4909">
        <v>7.4660089999999998E-2</v>
      </c>
      <c r="P4909">
        <v>-0.99190780000000001</v>
      </c>
      <c r="Q4909">
        <v>8.086991E-3</v>
      </c>
      <c r="R4909">
        <v>0.1267045</v>
      </c>
      <c r="S4909">
        <v>-3.051361</v>
      </c>
      <c r="T4909">
        <v>-0.11437070000000001</v>
      </c>
      <c r="U4909">
        <v>-0.19981380000000001</v>
      </c>
      <c r="V4909">
        <v>5.229023E-2</v>
      </c>
      <c r="W4909">
        <v>2.2927010000000001E-2</v>
      </c>
      <c r="X4909">
        <v>0.9983687</v>
      </c>
      <c r="Y4909">
        <v>-0.13952000000000001</v>
      </c>
      <c r="Z4909">
        <v>-5.4055149999999996E-3</v>
      </c>
      <c r="AA4909">
        <v>0.99020450000000004</v>
      </c>
      <c r="AB4909">
        <v>37</v>
      </c>
      <c r="AC4909">
        <v>-29.257200000000001</v>
      </c>
      <c r="AD4909">
        <v>-1.11025209134999</v>
      </c>
      <c r="AE4909">
        <v>-1.9664999999999899</v>
      </c>
      <c r="AF4909">
        <v>-4.1396622856825998</v>
      </c>
      <c r="AG4909">
        <v>-1.11025209134999</v>
      </c>
      <c r="AH4909">
        <v>28.987135802781101</v>
      </c>
      <c r="AI4909">
        <v>92.171434902527295</v>
      </c>
      <c r="AJ4909">
        <v>98.127473522301301</v>
      </c>
      <c r="AK4909">
        <v>29.302278163902599</v>
      </c>
      <c r="AL4909">
        <v>88.686263964203405</v>
      </c>
      <c r="AM4909">
        <v>87.001834665735899</v>
      </c>
      <c r="AN4909">
        <v>0.999999988540341</v>
      </c>
    </row>
    <row r="4910" spans="1:40" x14ac:dyDescent="0.25">
      <c r="A4910" t="str">
        <f>"20190312154354248"</f>
        <v>20190312154354248</v>
      </c>
      <c r="B4910" t="str">
        <f>"1552376634242161"</f>
        <v>1552376634242161</v>
      </c>
      <c r="C4910" t="s">
        <v>40</v>
      </c>
      <c r="D4910">
        <v>5.3002949999999904</v>
      </c>
      <c r="E4910">
        <v>0.42640230000000001</v>
      </c>
      <c r="F4910" t="s">
        <v>43</v>
      </c>
      <c r="G4910">
        <v>-361.08339999999998</v>
      </c>
      <c r="H4910" s="1">
        <v>-4.1110659999999998E-6</v>
      </c>
      <c r="I4910">
        <v>137.90479999999999</v>
      </c>
      <c r="J4910">
        <v>-332.40890000000002</v>
      </c>
      <c r="K4910">
        <v>1.110398</v>
      </c>
      <c r="L4910">
        <v>139.90029999999999</v>
      </c>
      <c r="M4910">
        <v>-0.99712959999999995</v>
      </c>
      <c r="N4910">
        <v>0</v>
      </c>
      <c r="O4910">
        <v>7.4243370000000003E-2</v>
      </c>
      <c r="P4910">
        <v>-0.99207719999999999</v>
      </c>
      <c r="Q4910">
        <v>8.740589E-3</v>
      </c>
      <c r="R4910">
        <v>0.12532679999999999</v>
      </c>
      <c r="S4910">
        <v>-3.0515140000000001</v>
      </c>
      <c r="T4910">
        <v>-0.1159987</v>
      </c>
      <c r="U4910">
        <v>-0.20434569999999999</v>
      </c>
      <c r="V4910">
        <v>5.1312330000000003E-2</v>
      </c>
      <c r="W4910">
        <v>2.3592019999999998E-2</v>
      </c>
      <c r="X4910">
        <v>0.99840399999999996</v>
      </c>
      <c r="Y4910">
        <v>-0.140562299999999</v>
      </c>
      <c r="Z4910">
        <v>-5.4858789999999999E-3</v>
      </c>
      <c r="AA4910">
        <v>0.99005659999999895</v>
      </c>
      <c r="AB4910">
        <v>37</v>
      </c>
      <c r="AC4910">
        <v>-28.674499999999899</v>
      </c>
      <c r="AD4910">
        <v>-1.1104021110660001</v>
      </c>
      <c r="AE4910">
        <v>-1.9954999999999901</v>
      </c>
      <c r="AF4910">
        <v>-4.1129797474521697</v>
      </c>
      <c r="AG4910">
        <v>-1.1104021110660001</v>
      </c>
      <c r="AH4910">
        <v>28.404786420726499</v>
      </c>
      <c r="AI4910">
        <v>92.2155882319298</v>
      </c>
      <c r="AJ4910">
        <v>98.239097879427007</v>
      </c>
      <c r="AK4910">
        <v>28.722490958451001</v>
      </c>
      <c r="AL4910">
        <v>88.648151459308096</v>
      </c>
      <c r="AM4910">
        <v>87.057908916504701</v>
      </c>
      <c r="AN4910">
        <v>1.0000000429168501</v>
      </c>
    </row>
    <row r="4911" spans="1:40" x14ac:dyDescent="0.25">
      <c r="A4911" t="str">
        <f>"20190312154354270"</f>
        <v>20190312154354270</v>
      </c>
      <c r="B4911" t="str">
        <f>"1552376634262657"</f>
        <v>1552376634262657</v>
      </c>
      <c r="C4911" t="s">
        <v>40</v>
      </c>
      <c r="D4911">
        <v>5.0419359999999998</v>
      </c>
      <c r="E4911">
        <v>0.41535290000000002</v>
      </c>
      <c r="F4911" t="s">
        <v>43</v>
      </c>
      <c r="G4911">
        <v>-362.11669999999998</v>
      </c>
      <c r="H4911" s="1">
        <v>-3.6808200000000001E-6</v>
      </c>
      <c r="I4911">
        <v>137.8314</v>
      </c>
      <c r="J4911">
        <v>-332.7826</v>
      </c>
      <c r="K4911">
        <v>1.1104969999999901</v>
      </c>
      <c r="L4911">
        <v>139.92779999999999</v>
      </c>
      <c r="M4911">
        <v>-0.99716009999999999</v>
      </c>
      <c r="N4911">
        <v>0</v>
      </c>
      <c r="O4911">
        <v>7.3831289999999994E-2</v>
      </c>
      <c r="P4911">
        <v>-0.99218450000000002</v>
      </c>
      <c r="Q4911">
        <v>7.8550670000000003E-3</v>
      </c>
      <c r="R4911">
        <v>0.1245333</v>
      </c>
      <c r="S4911">
        <v>-3.0518190000000001</v>
      </c>
      <c r="T4911">
        <v>-0.1140693</v>
      </c>
      <c r="U4911">
        <v>-0.2125244</v>
      </c>
      <c r="V4911">
        <v>5.0920430000000003E-2</v>
      </c>
      <c r="W4911">
        <v>2.2714399999999999E-2</v>
      </c>
      <c r="X4911">
        <v>0.99844440000000001</v>
      </c>
      <c r="Y4911">
        <v>-0.1427911</v>
      </c>
      <c r="Z4911">
        <v>-5.4199570000000004E-3</v>
      </c>
      <c r="AA4911">
        <v>0.98973800000000001</v>
      </c>
      <c r="AB4911">
        <v>37</v>
      </c>
      <c r="AC4911">
        <v>-29.3340999999999</v>
      </c>
      <c r="AD4911">
        <v>-1.11050068081999</v>
      </c>
      <c r="AE4911">
        <v>-2.0963999999999801</v>
      </c>
      <c r="AF4911">
        <v>-4.2506297360776504</v>
      </c>
      <c r="AG4911">
        <v>-1.11050068081999</v>
      </c>
      <c r="AH4911">
        <v>29.057792488019601</v>
      </c>
      <c r="AI4911">
        <v>92.1655807395517</v>
      </c>
      <c r="AJ4911">
        <v>98.322310361405599</v>
      </c>
      <c r="AK4911">
        <v>29.388031053341098</v>
      </c>
      <c r="AL4911">
        <v>88.698448843395497</v>
      </c>
      <c r="AM4911">
        <v>87.080458162107803</v>
      </c>
      <c r="AN4911">
        <v>1.00000002702505</v>
      </c>
    </row>
    <row r="4912" spans="1:40" x14ac:dyDescent="0.25">
      <c r="A4912" t="str">
        <f>"20190312154354292"</f>
        <v>20190312154354292</v>
      </c>
      <c r="B4912" t="str">
        <f>"1552376634282176"</f>
        <v>1552376634282176</v>
      </c>
      <c r="C4912" t="s">
        <v>40</v>
      </c>
      <c r="D4912">
        <v>5.0611179999999996</v>
      </c>
      <c r="E4912">
        <v>0.41565020000000003</v>
      </c>
      <c r="F4912" t="s">
        <v>43</v>
      </c>
      <c r="G4912">
        <v>-393.54410000000001</v>
      </c>
      <c r="H4912" s="1">
        <v>-3.7524799999999999E-6</v>
      </c>
      <c r="I4912">
        <v>133.9751</v>
      </c>
      <c r="J4912">
        <v>-333.15039999999999</v>
      </c>
      <c r="K4912">
        <v>1.1105989999999999</v>
      </c>
      <c r="L4912">
        <v>139.9546</v>
      </c>
      <c r="M4912">
        <v>-0.99719729999999995</v>
      </c>
      <c r="N4912">
        <v>0</v>
      </c>
      <c r="O4912">
        <v>7.3329099999999994E-2</v>
      </c>
      <c r="P4912">
        <v>-0.99221440000000005</v>
      </c>
      <c r="Q4912">
        <v>7.1762220000000003E-3</v>
      </c>
      <c r="R4912">
        <v>0.1243363</v>
      </c>
      <c r="S4912">
        <v>-3.0617070000000002</v>
      </c>
      <c r="T4912">
        <v>-5.595696E-2</v>
      </c>
      <c r="U4912">
        <v>-0.29994199999999999</v>
      </c>
      <c r="V4912">
        <v>5.1219679999999997E-2</v>
      </c>
      <c r="W4912">
        <v>2.2044129999999999E-2</v>
      </c>
      <c r="X4912">
        <v>0.99844409999999895</v>
      </c>
      <c r="Y4912">
        <v>-0.1701838</v>
      </c>
      <c r="Z4912">
        <v>-2.8886580000000001E-3</v>
      </c>
      <c r="AA4912">
        <v>0.98540810000000001</v>
      </c>
      <c r="AB4912">
        <v>37</v>
      </c>
      <c r="AC4912">
        <v>-60.393700000000003</v>
      </c>
      <c r="AD4912">
        <v>-1.11060275248</v>
      </c>
      <c r="AE4912">
        <v>-5.9794999999999998</v>
      </c>
      <c r="AF4912">
        <v>-10.389023032441999</v>
      </c>
      <c r="AG4912">
        <v>-1.11060275248</v>
      </c>
      <c r="AH4912">
        <v>59.772535349075397</v>
      </c>
      <c r="AI4912">
        <v>91.048741328541794</v>
      </c>
      <c r="AJ4912">
        <v>99.860037752350394</v>
      </c>
      <c r="AK4912">
        <v>60.678836673908798</v>
      </c>
      <c r="AL4912">
        <v>88.736862084264303</v>
      </c>
      <c r="AM4912">
        <v>87.063329616717496</v>
      </c>
      <c r="AN4912">
        <v>1.00000001005578</v>
      </c>
    </row>
    <row r="4913" spans="1:40" x14ac:dyDescent="0.25">
      <c r="A4913" t="str">
        <f>"20190312154354315"</f>
        <v>20190312154354315</v>
      </c>
      <c r="B4913" t="str">
        <f>"1552376634312939"</f>
        <v>1552376634312939</v>
      </c>
      <c r="C4913" t="s">
        <v>40</v>
      </c>
      <c r="D4913">
        <v>5.0701599999999996</v>
      </c>
      <c r="E4913">
        <v>0.41553089999999998</v>
      </c>
      <c r="F4913" t="s">
        <v>43</v>
      </c>
      <c r="G4913">
        <v>-380.84399999999999</v>
      </c>
      <c r="H4913" s="1">
        <v>-4.6758000000000002E-6</v>
      </c>
      <c r="I4913">
        <v>135.30009999999999</v>
      </c>
      <c r="J4913">
        <v>-333.5265</v>
      </c>
      <c r="K4913">
        <v>1.1106959999999999</v>
      </c>
      <c r="L4913">
        <v>139.98169999999999</v>
      </c>
      <c r="M4913">
        <v>-0.99724089999999999</v>
      </c>
      <c r="N4913">
        <v>0</v>
      </c>
      <c r="O4913">
        <v>7.2733069999999997E-2</v>
      </c>
      <c r="P4913">
        <v>-0.99230739999999995</v>
      </c>
      <c r="Q4913">
        <v>6.8346619999999896E-3</v>
      </c>
      <c r="R4913">
        <v>0.12360980000000001</v>
      </c>
      <c r="S4913">
        <v>-3.061493</v>
      </c>
      <c r="T4913">
        <v>-7.1290610000000004E-2</v>
      </c>
      <c r="U4913">
        <v>-0.29876710000000001</v>
      </c>
      <c r="V4913">
        <v>5.1080420000000001E-2</v>
      </c>
      <c r="W4913">
        <v>2.1709470000000002E-2</v>
      </c>
      <c r="X4913">
        <v>0.99845859999999997</v>
      </c>
      <c r="Y4913">
        <v>-0.16920209999999999</v>
      </c>
      <c r="Z4913">
        <v>-3.65511E-3</v>
      </c>
      <c r="AA4913">
        <v>0.98557459999999997</v>
      </c>
      <c r="AB4913">
        <v>37</v>
      </c>
      <c r="AC4913">
        <v>-47.317500000000003</v>
      </c>
      <c r="AD4913">
        <v>-1.1107006758</v>
      </c>
      <c r="AE4913">
        <v>-4.6816000000000004</v>
      </c>
      <c r="AF4913">
        <v>-8.1067008101754201</v>
      </c>
      <c r="AG4913">
        <v>-1.1107006758</v>
      </c>
      <c r="AH4913">
        <v>46.826053568424598</v>
      </c>
      <c r="AI4913">
        <v>91.338876069647398</v>
      </c>
      <c r="AJ4913">
        <v>99.821904167007105</v>
      </c>
      <c r="AK4913">
        <v>47.535581902506401</v>
      </c>
      <c r="AL4913">
        <v>88.756041320989695</v>
      </c>
      <c r="AM4913">
        <v>87.071342599960104</v>
      </c>
      <c r="AN4913">
        <v>1.0000000431545</v>
      </c>
    </row>
    <row r="4914" spans="1:40" x14ac:dyDescent="0.25">
      <c r="A4914" t="str">
        <f>"20190312154354336"</f>
        <v>20190312154354336</v>
      </c>
      <c r="B4914" t="str">
        <f>"1552376634332458"</f>
        <v>1552376634332458</v>
      </c>
      <c r="C4914" t="s">
        <v>40</v>
      </c>
      <c r="D4914">
        <v>5.2414620000000003</v>
      </c>
      <c r="E4914">
        <v>0.41549439999999999</v>
      </c>
      <c r="F4914" t="s">
        <v>43</v>
      </c>
      <c r="G4914">
        <v>-369.38819999999998</v>
      </c>
      <c r="H4914" s="1">
        <v>-1.0406860000000001E-6</v>
      </c>
      <c r="I4914">
        <v>136.435</v>
      </c>
      <c r="J4914">
        <v>-333.86770000000001</v>
      </c>
      <c r="K4914">
        <v>1.110773</v>
      </c>
      <c r="L4914">
        <v>140.006</v>
      </c>
      <c r="M4914">
        <v>-0.99728539999999999</v>
      </c>
      <c r="N4914">
        <v>0</v>
      </c>
      <c r="O4914">
        <v>7.2122249999999999E-2</v>
      </c>
      <c r="P4914">
        <v>-0.99234579999999994</v>
      </c>
      <c r="Q4914">
        <v>6.1641259999999998E-3</v>
      </c>
      <c r="R4914">
        <v>0.1233373</v>
      </c>
      <c r="S4914">
        <v>-3.0616150000000002</v>
      </c>
      <c r="T4914">
        <v>-9.4823359999999995E-2</v>
      </c>
      <c r="U4914">
        <v>-0.3027802</v>
      </c>
      <c r="V4914">
        <v>5.141387E-2</v>
      </c>
      <c r="W4914">
        <v>2.1045390000000001E-2</v>
      </c>
      <c r="X4914">
        <v>0.9984556</v>
      </c>
      <c r="Y4914">
        <v>-0.16982410000000001</v>
      </c>
      <c r="Z4914">
        <v>-4.8514040000000001E-3</v>
      </c>
      <c r="AA4914">
        <v>0.98546239999999996</v>
      </c>
      <c r="AB4914">
        <v>37</v>
      </c>
      <c r="AC4914">
        <v>-35.520499999999899</v>
      </c>
      <c r="AD4914">
        <v>-1.1107740406860001</v>
      </c>
      <c r="AE4914">
        <v>-3.57099999999999</v>
      </c>
      <c r="AF4914">
        <v>-6.1178760549936104</v>
      </c>
      <c r="AG4914">
        <v>-1.1107740406860001</v>
      </c>
      <c r="AH4914">
        <v>35.136384200631397</v>
      </c>
      <c r="AI4914">
        <v>91.783879349675502</v>
      </c>
      <c r="AJ4914">
        <v>99.877203532015301</v>
      </c>
      <c r="AK4914">
        <v>35.682316644076103</v>
      </c>
      <c r="AL4914">
        <v>88.794098873745398</v>
      </c>
      <c r="AM4914">
        <v>87.052249262743501</v>
      </c>
      <c r="AN4914">
        <v>0.99999993981999202</v>
      </c>
    </row>
    <row r="4915" spans="1:40" x14ac:dyDescent="0.25">
      <c r="A4915" t="str">
        <f>"20190312154354360"</f>
        <v>20190312154354360</v>
      </c>
      <c r="B4915" t="str">
        <f>"1552376634352955"</f>
        <v>1552376634352955</v>
      </c>
      <c r="C4915" t="s">
        <v>40</v>
      </c>
      <c r="D4915">
        <v>5.0435919999999896</v>
      </c>
      <c r="E4915">
        <v>0.41538839999999999</v>
      </c>
      <c r="F4915" t="s">
        <v>43</v>
      </c>
      <c r="G4915">
        <v>-370.65089999999998</v>
      </c>
      <c r="H4915" s="1">
        <v>-4.5711379999999999E-6</v>
      </c>
      <c r="I4915">
        <v>136.35720000000001</v>
      </c>
      <c r="J4915">
        <v>-334.25659999999999</v>
      </c>
      <c r="K4915">
        <v>1.1108659999999999</v>
      </c>
      <c r="L4915">
        <v>140.0334</v>
      </c>
      <c r="M4915">
        <v>-0.99734149999999999</v>
      </c>
      <c r="N4915">
        <v>0</v>
      </c>
      <c r="O4915">
        <v>7.1344110000000002E-2</v>
      </c>
      <c r="P4915">
        <v>-0.99238000000000004</v>
      </c>
      <c r="Q4915">
        <v>5.8461629999999997E-3</v>
      </c>
      <c r="R4915">
        <v>0.12307700000000001</v>
      </c>
      <c r="S4915">
        <v>-3.0614620000000001</v>
      </c>
      <c r="T4915">
        <v>-9.245014E-2</v>
      </c>
      <c r="U4915">
        <v>-0.30368040000000002</v>
      </c>
      <c r="V4915">
        <v>5.1926989999999999E-2</v>
      </c>
      <c r="W4915">
        <v>2.0734559999999999E-2</v>
      </c>
      <c r="X4915">
        <v>0.99843559999999998</v>
      </c>
      <c r="Y4915">
        <v>-0.16935320000000001</v>
      </c>
      <c r="Z4915">
        <v>-4.6996870000000001E-3</v>
      </c>
      <c r="AA4915">
        <v>0.98554419999999998</v>
      </c>
      <c r="AB4915">
        <v>37</v>
      </c>
      <c r="AC4915">
        <v>-36.394299999999902</v>
      </c>
      <c r="AD4915">
        <v>-1.11087057113799</v>
      </c>
      <c r="AE4915">
        <v>-3.6761999999999899</v>
      </c>
      <c r="AF4915">
        <v>-6.25786329505942</v>
      </c>
      <c r="AG4915">
        <v>-1.11087057113799</v>
      </c>
      <c r="AH4915">
        <v>36.0060274002741</v>
      </c>
      <c r="AI4915">
        <v>91.741065144496304</v>
      </c>
      <c r="AJ4915">
        <v>99.859544358295807</v>
      </c>
      <c r="AK4915">
        <v>36.562670794059301</v>
      </c>
      <c r="AL4915">
        <v>88.811912069793195</v>
      </c>
      <c r="AM4915">
        <v>87.022823295888301</v>
      </c>
      <c r="AN4915">
        <v>0.99999999080810598</v>
      </c>
    </row>
    <row r="4916" spans="1:40" x14ac:dyDescent="0.25">
      <c r="A4916" t="str">
        <f>"20190312154354383"</f>
        <v>20190312154354383</v>
      </c>
      <c r="B4916" t="str">
        <f>"1552376634372475"</f>
        <v>1552376634372475</v>
      </c>
      <c r="C4916" t="s">
        <v>40</v>
      </c>
      <c r="D4916">
        <v>5.0594260000000002</v>
      </c>
      <c r="E4916">
        <v>0.41520170000000001</v>
      </c>
      <c r="F4916" t="s">
        <v>43</v>
      </c>
      <c r="G4916">
        <v>-369.51310000000001</v>
      </c>
      <c r="H4916" s="1">
        <v>-9.763768E-7</v>
      </c>
      <c r="I4916">
        <v>136.517</v>
      </c>
      <c r="J4916">
        <v>-334.6277</v>
      </c>
      <c r="K4916">
        <v>1.1109389999999999</v>
      </c>
      <c r="L4916">
        <v>140.0592</v>
      </c>
      <c r="M4916">
        <v>-0.99739990000000001</v>
      </c>
      <c r="N4916">
        <v>0</v>
      </c>
      <c r="O4916">
        <v>7.0524340000000005E-2</v>
      </c>
      <c r="P4916">
        <v>-0.99256120000000003</v>
      </c>
      <c r="Q4916">
        <v>5.4619739999999996E-3</v>
      </c>
      <c r="R4916">
        <v>0.121624499999999</v>
      </c>
      <c r="S4916">
        <v>-3.0614319999999999</v>
      </c>
      <c r="T4916">
        <v>-9.6460099999999993E-2</v>
      </c>
      <c r="U4916">
        <v>-0.3053284</v>
      </c>
      <c r="V4916">
        <v>5.1282719999999997E-2</v>
      </c>
      <c r="W4916">
        <v>2.0356030000000001E-2</v>
      </c>
      <c r="X4916">
        <v>0.99847669999999999</v>
      </c>
      <c r="Y4916">
        <v>-0.1690603</v>
      </c>
      <c r="Z4916">
        <v>-4.8730029999999999E-3</v>
      </c>
      <c r="AA4916">
        <v>0.98559370000000002</v>
      </c>
      <c r="AB4916">
        <v>37</v>
      </c>
      <c r="AC4916">
        <v>-34.885399999999997</v>
      </c>
      <c r="AD4916">
        <v>-1.1109399763768</v>
      </c>
      <c r="AE4916">
        <v>-3.5421999999999998</v>
      </c>
      <c r="AF4916">
        <v>-5.9879078249941404</v>
      </c>
      <c r="AG4916">
        <v>-1.1109399763768</v>
      </c>
      <c r="AH4916">
        <v>34.514034974381197</v>
      </c>
      <c r="AI4916">
        <v>91.816487323191296</v>
      </c>
      <c r="AJ4916">
        <v>99.842387671307307</v>
      </c>
      <c r="AK4916">
        <v>35.047222970794003</v>
      </c>
      <c r="AL4916">
        <v>88.833604834467806</v>
      </c>
      <c r="AM4916">
        <v>87.059817399859398</v>
      </c>
      <c r="AN4916">
        <v>1.0000000028854199</v>
      </c>
    </row>
    <row r="4917" spans="1:40" x14ac:dyDescent="0.25">
      <c r="A4917" t="str">
        <f>"20190312154354405"</f>
        <v>20190312154354405</v>
      </c>
      <c r="B4917" t="str">
        <f>"1552376634392971"</f>
        <v>1552376634392971</v>
      </c>
      <c r="C4917" t="s">
        <v>40</v>
      </c>
      <c r="D4917">
        <v>5.11754</v>
      </c>
      <c r="E4917">
        <v>0.4158444</v>
      </c>
      <c r="F4917" t="s">
        <v>43</v>
      </c>
      <c r="G4917">
        <v>-366.68020000000001</v>
      </c>
      <c r="H4917" s="1">
        <v>-1.9068229999999999E-6</v>
      </c>
      <c r="I4917">
        <v>136.7955</v>
      </c>
      <c r="J4917">
        <v>-334.99669999999998</v>
      </c>
      <c r="K4917">
        <v>1.1110139999999999</v>
      </c>
      <c r="L4917">
        <v>140.08439999999999</v>
      </c>
      <c r="M4917">
        <v>-0.99746179999999995</v>
      </c>
      <c r="N4917">
        <v>0</v>
      </c>
      <c r="O4917">
        <v>6.9642019999999999E-2</v>
      </c>
      <c r="P4917">
        <v>-0.99270630000000004</v>
      </c>
      <c r="Q4917">
        <v>4.7081359999999999E-3</v>
      </c>
      <c r="R4917">
        <v>0.12046709999999999</v>
      </c>
      <c r="S4917">
        <v>-3.0612490000000001</v>
      </c>
      <c r="T4917">
        <v>-0.1061029</v>
      </c>
      <c r="U4917">
        <v>-0.3116913</v>
      </c>
      <c r="V4917">
        <v>5.0999179999999998E-2</v>
      </c>
      <c r="W4917">
        <v>1.960659E-2</v>
      </c>
      <c r="X4917">
        <v>0.99850620000000001</v>
      </c>
      <c r="Y4917">
        <v>-0.1701974</v>
      </c>
      <c r="Z4917">
        <v>-5.3488279999999999E-3</v>
      </c>
      <c r="AA4917">
        <v>0.98539549999999998</v>
      </c>
      <c r="AB4917">
        <v>37</v>
      </c>
      <c r="AC4917">
        <v>-31.683499999999999</v>
      </c>
      <c r="AD4917">
        <v>-1.1110159068230001</v>
      </c>
      <c r="AE4917">
        <v>-3.28889999999998</v>
      </c>
      <c r="AF4917">
        <v>-5.48099084392131</v>
      </c>
      <c r="AG4917">
        <v>-1.1110159068230001</v>
      </c>
      <c r="AH4917">
        <v>31.3393611885013</v>
      </c>
      <c r="AI4917">
        <v>92.000018348806407</v>
      </c>
      <c r="AJ4917">
        <v>99.920218774347802</v>
      </c>
      <c r="AK4917">
        <v>31.834433820624302</v>
      </c>
      <c r="AL4917">
        <v>88.876553136575495</v>
      </c>
      <c r="AM4917">
        <v>87.076131493740505</v>
      </c>
      <c r="AN4917">
        <v>0.99999998308527005</v>
      </c>
    </row>
    <row r="4918" spans="1:40" x14ac:dyDescent="0.25">
      <c r="A4918" t="str">
        <f>"20190312154354427"</f>
        <v>20190312154354427</v>
      </c>
      <c r="B4918" t="str">
        <f>"1552376634412022"</f>
        <v>1552376634412022</v>
      </c>
      <c r="C4918" t="s">
        <v>40</v>
      </c>
      <c r="D4918">
        <v>5.3254599999999996</v>
      </c>
      <c r="E4918">
        <v>0.45798250000000001</v>
      </c>
      <c r="F4918" t="s">
        <v>43</v>
      </c>
      <c r="G4918">
        <v>-367.37790000000001</v>
      </c>
      <c r="H4918" s="1">
        <v>-1.626591E-6</v>
      </c>
      <c r="I4918">
        <v>136.80410000000001</v>
      </c>
      <c r="J4918">
        <v>-335.34829999999999</v>
      </c>
      <c r="K4918">
        <v>1.1110799999999901</v>
      </c>
      <c r="L4918">
        <v>140.10820000000001</v>
      </c>
      <c r="M4918">
        <v>-0.99752410000000002</v>
      </c>
      <c r="N4918">
        <v>0</v>
      </c>
      <c r="O4918">
        <v>6.8744349999999996E-2</v>
      </c>
      <c r="P4918">
        <v>-0.99285509999999999</v>
      </c>
      <c r="Q4918">
        <v>4.8525390000000003E-3</v>
      </c>
      <c r="R4918">
        <v>0.1192281</v>
      </c>
      <c r="S4918">
        <v>-3.060181</v>
      </c>
      <c r="T4918">
        <v>-0.1049966</v>
      </c>
      <c r="U4918">
        <v>-0.30999759999999998</v>
      </c>
      <c r="V4918">
        <v>5.064813E-2</v>
      </c>
      <c r="W4918">
        <v>1.9754859999999999E-2</v>
      </c>
      <c r="X4918">
        <v>0.99852110000000005</v>
      </c>
      <c r="Y4918">
        <v>-0.1688094</v>
      </c>
      <c r="Z4918">
        <v>-5.2406019999999996E-3</v>
      </c>
      <c r="AA4918">
        <v>0.98563480000000003</v>
      </c>
      <c r="AB4918">
        <v>37</v>
      </c>
      <c r="AC4918">
        <v>-32.029600000000002</v>
      </c>
      <c r="AD4918">
        <v>-1.11108162659099</v>
      </c>
      <c r="AE4918">
        <v>-3.3041</v>
      </c>
      <c r="AF4918">
        <v>-5.4918389748960399</v>
      </c>
      <c r="AG4918">
        <v>-1.11108162659099</v>
      </c>
      <c r="AH4918">
        <v>31.688916919803301</v>
      </c>
      <c r="AI4918">
        <v>91.978621037829797</v>
      </c>
      <c r="AJ4918">
        <v>99.831972529476403</v>
      </c>
      <c r="AK4918">
        <v>32.180463844657901</v>
      </c>
      <c r="AL4918">
        <v>88.868056193711794</v>
      </c>
      <c r="AM4918">
        <v>87.096266470707505</v>
      </c>
      <c r="AN4918">
        <v>0.99999993735566095</v>
      </c>
    </row>
    <row r="4919" spans="1:40" x14ac:dyDescent="0.25">
      <c r="A4919" t="str">
        <f>"20190312154354449"</f>
        <v>20190312154354449</v>
      </c>
      <c r="B4919" t="str">
        <f>"1552376634442278"</f>
        <v>1552376634442278</v>
      </c>
      <c r="C4919" t="s">
        <v>40</v>
      </c>
      <c r="D4919">
        <v>5.1857600000000001</v>
      </c>
      <c r="E4919">
        <v>0.47833890000000001</v>
      </c>
      <c r="F4919" t="s">
        <v>43</v>
      </c>
      <c r="G4919">
        <v>-373.67649999999998</v>
      </c>
      <c r="H4919" s="1">
        <v>-2.8962619999999999E-6</v>
      </c>
      <c r="I4919">
        <v>140.3725</v>
      </c>
      <c r="J4919">
        <v>-335.70679999999999</v>
      </c>
      <c r="K4919">
        <v>1.1111420000000001</v>
      </c>
      <c r="L4919">
        <v>140.1319</v>
      </c>
      <c r="M4919">
        <v>-0.99759030000000004</v>
      </c>
      <c r="N4919">
        <v>0</v>
      </c>
      <c r="O4919">
        <v>6.7778889999999994E-2</v>
      </c>
      <c r="P4919">
        <v>-0.99301289999999998</v>
      </c>
      <c r="Q4919">
        <v>4.8496219999999996E-3</v>
      </c>
      <c r="R4919">
        <v>0.117907</v>
      </c>
      <c r="S4919">
        <v>-3.0194700000000001</v>
      </c>
      <c r="T4919">
        <v>-8.7530369999999996E-2</v>
      </c>
      <c r="U4919">
        <v>2.082825E-2</v>
      </c>
      <c r="V4919">
        <v>5.028324E-2</v>
      </c>
      <c r="W4919">
        <v>1.975534E-2</v>
      </c>
      <c r="X4919">
        <v>0.99853959999999997</v>
      </c>
      <c r="Y4919">
        <v>-6.0848779999999998E-2</v>
      </c>
      <c r="Z4919">
        <v>-2.8451190000000001E-3</v>
      </c>
      <c r="AA4919">
        <v>0.998143</v>
      </c>
      <c r="AB4919">
        <v>37</v>
      </c>
      <c r="AC4919">
        <v>-37.969699999999897</v>
      </c>
      <c r="AD4919">
        <v>-1.1111448962620001</v>
      </c>
      <c r="AE4919">
        <v>0.24060000000000001</v>
      </c>
      <c r="AF4919">
        <v>-2.3317833596205801</v>
      </c>
      <c r="AG4919">
        <v>-1.1111448962620001</v>
      </c>
      <c r="AH4919">
        <v>37.866247174526897</v>
      </c>
      <c r="AI4919">
        <v>91.677625643075203</v>
      </c>
      <c r="AJ4919">
        <v>93.523794009489706</v>
      </c>
      <c r="AK4919">
        <v>37.954242604734702</v>
      </c>
      <c r="AL4919">
        <v>88.868028763204805</v>
      </c>
      <c r="AM4919">
        <v>87.117204067292406</v>
      </c>
      <c r="AN4919">
        <v>1.00000000522578</v>
      </c>
    </row>
    <row r="4920" spans="1:40" x14ac:dyDescent="0.25">
      <c r="A4920" t="str">
        <f>"20190312154354471"</f>
        <v>20190312154354471</v>
      </c>
      <c r="B4920" t="str">
        <f>"1552376634462774"</f>
        <v>1552376634462774</v>
      </c>
      <c r="C4920" t="s">
        <v>40</v>
      </c>
      <c r="D4920">
        <v>5.182766</v>
      </c>
      <c r="E4920">
        <v>0.48244520000000002</v>
      </c>
      <c r="F4920" t="s">
        <v>43</v>
      </c>
      <c r="G4920">
        <v>-372.32819999999998</v>
      </c>
      <c r="H4920" s="1">
        <v>-3.9605399999999999E-6</v>
      </c>
      <c r="I4920">
        <v>142.30439999999999</v>
      </c>
      <c r="J4920">
        <v>-336.06869999999998</v>
      </c>
      <c r="K4920">
        <v>1.1111930000000001</v>
      </c>
      <c r="L4920">
        <v>140.15549999999999</v>
      </c>
      <c r="M4920">
        <v>-0.99765930000000003</v>
      </c>
      <c r="N4920">
        <v>0</v>
      </c>
      <c r="O4920">
        <v>6.6757230000000001E-2</v>
      </c>
      <c r="P4920">
        <v>-0.99314849999999999</v>
      </c>
      <c r="Q4920">
        <v>4.5306499999999998E-3</v>
      </c>
      <c r="R4920">
        <v>0.116773</v>
      </c>
      <c r="S4920">
        <v>-3.000397</v>
      </c>
      <c r="T4920">
        <v>-9.1036320000000004E-2</v>
      </c>
      <c r="U4920">
        <v>0.17799379999999901</v>
      </c>
      <c r="V4920">
        <v>5.0163619999999999E-2</v>
      </c>
      <c r="W4920">
        <v>1.9438779999999999E-2</v>
      </c>
      <c r="X4920">
        <v>0.99855179999999999</v>
      </c>
      <c r="Y4920">
        <v>-7.5262159999999996E-3</v>
      </c>
      <c r="Z4920">
        <v>-2.1354099999999999E-3</v>
      </c>
      <c r="AA4920">
        <v>0.99996940000000001</v>
      </c>
      <c r="AB4920">
        <v>37</v>
      </c>
      <c r="AC4920">
        <v>-36.259500000000003</v>
      </c>
      <c r="AD4920">
        <v>-1.1111969605399901</v>
      </c>
      <c r="AE4920">
        <v>2.14889999999999</v>
      </c>
      <c r="AF4920">
        <v>-0.27648531652396402</v>
      </c>
      <c r="AG4920">
        <v>-1.1111969605399901</v>
      </c>
      <c r="AH4920">
        <v>36.288105659589597</v>
      </c>
      <c r="AI4920">
        <v>91.753884922600903</v>
      </c>
      <c r="AJ4920">
        <v>90.436537948608802</v>
      </c>
      <c r="AK4920">
        <v>36.306167729146303</v>
      </c>
      <c r="AL4920">
        <v>88.886169766535204</v>
      </c>
      <c r="AM4920">
        <v>87.124085570798897</v>
      </c>
      <c r="AN4920">
        <v>0.99999997611131597</v>
      </c>
    </row>
    <row r="4921" spans="1:40" x14ac:dyDescent="0.25">
      <c r="A4921" t="str">
        <f>"20190312154354494"</f>
        <v>20190312154354494</v>
      </c>
      <c r="B4921" t="str">
        <f>"1552376634482294"</f>
        <v>1552376634482294</v>
      </c>
      <c r="C4921" t="s">
        <v>40</v>
      </c>
      <c r="D4921">
        <v>5.2245239999999997</v>
      </c>
      <c r="E4921">
        <v>0.48435050000000002</v>
      </c>
      <c r="F4921" t="s">
        <v>43</v>
      </c>
      <c r="G4921">
        <v>-368.57690000000002</v>
      </c>
      <c r="H4921" s="1">
        <v>-1.3332589999999999E-6</v>
      </c>
      <c r="I4921">
        <v>142.3991</v>
      </c>
      <c r="J4921">
        <v>-336.43189999999998</v>
      </c>
      <c r="K4921">
        <v>1.1112420000000001</v>
      </c>
      <c r="L4921">
        <v>140.1788</v>
      </c>
      <c r="M4921">
        <v>-0.99772969999999905</v>
      </c>
      <c r="N4921">
        <v>0</v>
      </c>
      <c r="O4921">
        <v>6.5697889999999995E-2</v>
      </c>
      <c r="P4921">
        <v>-0.99329190000000001</v>
      </c>
      <c r="Q4921">
        <v>4.6002999999999999E-3</v>
      </c>
      <c r="R4921">
        <v>0.11554300000000001</v>
      </c>
      <c r="S4921">
        <v>-2.9968569999999999</v>
      </c>
      <c r="T4921">
        <v>-0.1024386</v>
      </c>
      <c r="U4921">
        <v>0.20683289999999999</v>
      </c>
      <c r="V4921">
        <v>4.9984760000000003E-2</v>
      </c>
      <c r="W4921">
        <v>1.9509809999999999E-2</v>
      </c>
      <c r="X4921">
        <v>0.99855939999999999</v>
      </c>
      <c r="Y4921">
        <v>3.1911209999999999E-3</v>
      </c>
      <c r="Z4921">
        <v>-2.1856710000000001E-3</v>
      </c>
      <c r="AA4921">
        <v>0.99999249999999995</v>
      </c>
      <c r="AB4921">
        <v>37</v>
      </c>
      <c r="AC4921">
        <v>-32.145000000000003</v>
      </c>
      <c r="AD4921">
        <v>-1.1112433332589999</v>
      </c>
      <c r="AE4921">
        <v>2.2202999999999999</v>
      </c>
      <c r="AF4921">
        <v>0.10328906410663601</v>
      </c>
      <c r="AG4921">
        <v>-1.1112433332589999</v>
      </c>
      <c r="AH4921">
        <v>32.183144100427697</v>
      </c>
      <c r="AI4921">
        <v>91.977555094743806</v>
      </c>
      <c r="AJ4921">
        <v>89.816114699496595</v>
      </c>
      <c r="AK4921">
        <v>32.202488949852501</v>
      </c>
      <c r="AL4921">
        <v>88.882099293184197</v>
      </c>
      <c r="AM4921">
        <v>87.134344387555601</v>
      </c>
      <c r="AN4921">
        <v>0.99999999212342605</v>
      </c>
    </row>
    <row r="4922" spans="1:40" x14ac:dyDescent="0.25">
      <c r="A4922" t="str">
        <f>"20190312154354514"</f>
        <v>20190312154354514</v>
      </c>
      <c r="B4922" t="str">
        <f>"1552376634502190"</f>
        <v>1552376634502190</v>
      </c>
      <c r="C4922" t="s">
        <v>40</v>
      </c>
      <c r="D4922">
        <v>5.2513629999999996</v>
      </c>
      <c r="E4922">
        <v>0.48532940000000002</v>
      </c>
      <c r="F4922" t="s">
        <v>43</v>
      </c>
      <c r="G4922">
        <v>-365.0455</v>
      </c>
      <c r="H4922" s="1">
        <v>-2.8110580000000002E-6</v>
      </c>
      <c r="I4922">
        <v>142.2594</v>
      </c>
      <c r="J4922">
        <v>-336.78300000000002</v>
      </c>
      <c r="K4922">
        <v>1.111286</v>
      </c>
      <c r="L4922">
        <v>140.20089999999999</v>
      </c>
      <c r="M4922">
        <v>-0.99779830000000003</v>
      </c>
      <c r="N4922">
        <v>0</v>
      </c>
      <c r="O4922">
        <v>6.4646220000000004E-2</v>
      </c>
      <c r="P4922">
        <v>-0.99339219999999895</v>
      </c>
      <c r="Q4922">
        <v>4.6495939999999999E-3</v>
      </c>
      <c r="R4922">
        <v>0.11467529999999999</v>
      </c>
      <c r="S4922">
        <v>-2.995422</v>
      </c>
      <c r="T4922">
        <v>-0.1163313</v>
      </c>
      <c r="U4922">
        <v>0.21781919999999999</v>
      </c>
      <c r="V4922">
        <v>5.01635E-2</v>
      </c>
      <c r="W4922">
        <v>1.9560350000000001E-2</v>
      </c>
      <c r="X4922">
        <v>0.99854949999999998</v>
      </c>
      <c r="Y4922">
        <v>7.933496E-3</v>
      </c>
      <c r="Z4922">
        <v>-2.3500740000000002E-3</v>
      </c>
      <c r="AA4922">
        <v>0.99996580000000002</v>
      </c>
      <c r="AB4922">
        <v>37</v>
      </c>
      <c r="AC4922">
        <v>-28.2624999999999</v>
      </c>
      <c r="AD4922">
        <v>-1.1112888110579999</v>
      </c>
      <c r="AE4922">
        <v>2.0585</v>
      </c>
      <c r="AF4922">
        <v>0.226580441862552</v>
      </c>
      <c r="AG4922">
        <v>-1.1112888110579999</v>
      </c>
      <c r="AH4922">
        <v>28.292945239692799</v>
      </c>
      <c r="AI4922">
        <v>92.249232320578002</v>
      </c>
      <c r="AJ4922">
        <v>89.541163869363501</v>
      </c>
      <c r="AK4922">
        <v>28.315667957059901</v>
      </c>
      <c r="AL4922">
        <v>88.879203069909494</v>
      </c>
      <c r="AM4922">
        <v>87.124085825855801</v>
      </c>
      <c r="AN4922">
        <v>1.00000004398731</v>
      </c>
    </row>
    <row r="4923" spans="1:40" x14ac:dyDescent="0.25">
      <c r="A4923" t="str">
        <f>"20190312154354537"</f>
        <v>20190312154354537</v>
      </c>
      <c r="B4923" t="str">
        <f>"1552376634532446"</f>
        <v>1552376634532446</v>
      </c>
      <c r="C4923" t="s">
        <v>40</v>
      </c>
      <c r="D4923">
        <v>5.2725439999999999</v>
      </c>
      <c r="E4923">
        <v>0.48618359999999999</v>
      </c>
      <c r="F4923" t="s">
        <v>43</v>
      </c>
      <c r="G4923">
        <v>-362.52089999999998</v>
      </c>
      <c r="H4923" s="1">
        <v>-3.8550990000000003E-6</v>
      </c>
      <c r="I4923">
        <v>142.1129</v>
      </c>
      <c r="J4923">
        <v>-337.14120000000003</v>
      </c>
      <c r="K4923">
        <v>1.1113189999999999</v>
      </c>
      <c r="L4923">
        <v>140.22309999999999</v>
      </c>
      <c r="M4923">
        <v>-0.99786889999999995</v>
      </c>
      <c r="N4923">
        <v>0</v>
      </c>
      <c r="O4923">
        <v>6.354725E-2</v>
      </c>
      <c r="P4923">
        <v>-0.99350839999999996</v>
      </c>
      <c r="Q4923">
        <v>5.3269469999999899E-3</v>
      </c>
      <c r="R4923">
        <v>0.11363330000000001</v>
      </c>
      <c r="S4923">
        <v>-2.994904</v>
      </c>
      <c r="T4923">
        <v>-0.12931129999999999</v>
      </c>
      <c r="U4923">
        <v>0.2224884</v>
      </c>
      <c r="V4923">
        <v>5.0212689999999997E-2</v>
      </c>
      <c r="W4923">
        <v>2.02378E-2</v>
      </c>
      <c r="X4923">
        <v>0.99853349999999996</v>
      </c>
      <c r="Y4923">
        <v>1.060446E-2</v>
      </c>
      <c r="Z4923">
        <v>-2.50753E-3</v>
      </c>
      <c r="AA4923">
        <v>0.99994059999999996</v>
      </c>
      <c r="AB4923">
        <v>36</v>
      </c>
      <c r="AC4923">
        <v>-25.3796999999999</v>
      </c>
      <c r="AD4923">
        <v>-1.111322855099</v>
      </c>
      <c r="AE4923">
        <v>1.8897999999999999</v>
      </c>
      <c r="AF4923">
        <v>0.27247290339666203</v>
      </c>
      <c r="AG4923">
        <v>-1.111322855099</v>
      </c>
      <c r="AH4923">
        <v>25.400063871638601</v>
      </c>
      <c r="AI4923">
        <v>92.505106655137993</v>
      </c>
      <c r="AJ4923">
        <v>89.385397269508303</v>
      </c>
      <c r="AK4923">
        <v>25.425823971990901</v>
      </c>
      <c r="AL4923">
        <v>88.840380326262903</v>
      </c>
      <c r="AM4923">
        <v>87.121224414813398</v>
      </c>
      <c r="AN4923">
        <v>1.0000000167040599</v>
      </c>
    </row>
    <row r="4924" spans="1:40" x14ac:dyDescent="0.25">
      <c r="A4924" t="str">
        <f>"20190312154354559"</f>
        <v>20190312154354559</v>
      </c>
      <c r="B4924" t="str">
        <f>"1552376634552941"</f>
        <v>1552376634552941</v>
      </c>
      <c r="C4924" t="s">
        <v>40</v>
      </c>
      <c r="D4924">
        <v>5.2553710000000002</v>
      </c>
      <c r="E4924">
        <v>0.48669970000000001</v>
      </c>
      <c r="F4924" t="s">
        <v>43</v>
      </c>
      <c r="G4924">
        <v>-360.76190000000003</v>
      </c>
      <c r="H4924" s="1">
        <v>-4.4398009999999996E-6</v>
      </c>
      <c r="I4924">
        <v>142.00120000000001</v>
      </c>
      <c r="J4924">
        <v>-337.50729999999999</v>
      </c>
      <c r="K4924">
        <v>1.111356</v>
      </c>
      <c r="L4924">
        <v>140.24529999999999</v>
      </c>
      <c r="M4924">
        <v>-0.99794139999999998</v>
      </c>
      <c r="N4924">
        <v>0</v>
      </c>
      <c r="O4924">
        <v>6.2400690000000002E-2</v>
      </c>
      <c r="P4924">
        <v>-0.99364779999999997</v>
      </c>
      <c r="Q4924">
        <v>5.7858359999999999E-3</v>
      </c>
      <c r="R4924">
        <v>0.1123854</v>
      </c>
      <c r="S4924">
        <v>-2.9945369999999998</v>
      </c>
      <c r="T4924">
        <v>-0.14088989999999901</v>
      </c>
      <c r="U4924">
        <v>0.2254333</v>
      </c>
      <c r="V4924">
        <v>5.0103469999999997E-2</v>
      </c>
      <c r="W4924">
        <v>2.0695939999999999E-2</v>
      </c>
      <c r="X4924">
        <v>0.99852960000000002</v>
      </c>
      <c r="Y4924">
        <v>1.274585E-2</v>
      </c>
      <c r="Z4924">
        <v>-2.6280510000000002E-3</v>
      </c>
      <c r="AA4924">
        <v>0.99991529999999995</v>
      </c>
      <c r="AB4924">
        <v>36</v>
      </c>
      <c r="AC4924">
        <v>-23.2546</v>
      </c>
      <c r="AD4924">
        <v>-1.111360439801</v>
      </c>
      <c r="AE4924">
        <v>1.75590000000002</v>
      </c>
      <c r="AF4924">
        <v>0.30053270185547498</v>
      </c>
      <c r="AG4924">
        <v>-1.111360439801</v>
      </c>
      <c r="AH4924">
        <v>23.2660145191055</v>
      </c>
      <c r="AI4924">
        <v>92.734572283654998</v>
      </c>
      <c r="AJ4924">
        <v>89.259937803406004</v>
      </c>
      <c r="AK4924">
        <v>23.294481611215701</v>
      </c>
      <c r="AL4924">
        <v>88.814125343383196</v>
      </c>
      <c r="AM4924">
        <v>87.127464476541107</v>
      </c>
      <c r="AN4924">
        <v>1.0000000208573401</v>
      </c>
    </row>
    <row r="4925" spans="1:40" x14ac:dyDescent="0.25">
      <c r="A4925" t="str">
        <f>"20190312154354582"</f>
        <v>20190312154354582</v>
      </c>
      <c r="B4925" t="str">
        <f>"1552376634572461"</f>
        <v>1552376634572461</v>
      </c>
      <c r="C4925" t="s">
        <v>40</v>
      </c>
      <c r="D4925">
        <v>5.272761</v>
      </c>
      <c r="E4925">
        <v>0.48719889999999999</v>
      </c>
      <c r="F4925" t="s">
        <v>43</v>
      </c>
      <c r="G4925">
        <v>-360.34890000000001</v>
      </c>
      <c r="H4925" s="1">
        <v>-4.5739789999999998E-6</v>
      </c>
      <c r="I4925">
        <v>141.96539999999999</v>
      </c>
      <c r="J4925">
        <v>-337.87699999999899</v>
      </c>
      <c r="K4925">
        <v>1.111381</v>
      </c>
      <c r="L4925">
        <v>140.2672</v>
      </c>
      <c r="M4925">
        <v>-0.99801459999999997</v>
      </c>
      <c r="N4925">
        <v>0</v>
      </c>
      <c r="O4925">
        <v>6.1220919999999998E-2</v>
      </c>
      <c r="P4925">
        <v>-0.99377669999999996</v>
      </c>
      <c r="Q4925">
        <v>6.2116259999999996E-3</v>
      </c>
      <c r="R4925">
        <v>0.1112185</v>
      </c>
      <c r="S4925">
        <v>-2.9944760000000001</v>
      </c>
      <c r="T4925">
        <v>-0.14569699999999999</v>
      </c>
      <c r="U4925">
        <v>0.2255096</v>
      </c>
      <c r="V4925">
        <v>5.0109040000000001E-2</v>
      </c>
      <c r="W4925">
        <v>2.1121190000000001E-2</v>
      </c>
      <c r="X4925">
        <v>0.99852039999999997</v>
      </c>
      <c r="Y4925">
        <v>1.3955739999999999E-2</v>
      </c>
      <c r="Z4925">
        <v>-2.6311469999999999E-3</v>
      </c>
      <c r="AA4925">
        <v>0.99989910000000004</v>
      </c>
      <c r="AB4925">
        <v>36</v>
      </c>
      <c r="AC4925">
        <v>-22.471900000000002</v>
      </c>
      <c r="AD4925">
        <v>-1.111385573979</v>
      </c>
      <c r="AE4925">
        <v>1.6981999999999799</v>
      </c>
      <c r="AF4925">
        <v>0.318338700245693</v>
      </c>
      <c r="AG4925">
        <v>-1.111385573979</v>
      </c>
      <c r="AH4925">
        <v>22.479044920340399</v>
      </c>
      <c r="AI4925">
        <v>92.830170296523704</v>
      </c>
      <c r="AJ4925">
        <v>89.188655706614099</v>
      </c>
      <c r="AK4925">
        <v>22.508753362920899</v>
      </c>
      <c r="AL4925">
        <v>88.789754966584596</v>
      </c>
      <c r="AM4925">
        <v>87.127119246779003</v>
      </c>
      <c r="AN4925">
        <v>1.0000000048864399</v>
      </c>
    </row>
    <row r="4926" spans="1:40" x14ac:dyDescent="0.25">
      <c r="A4926" t="str">
        <f>"20190312154354604"</f>
        <v>20190312154354604</v>
      </c>
      <c r="B4926" t="str">
        <f>"1552376634592957"</f>
        <v>1552376634592957</v>
      </c>
      <c r="C4926" t="s">
        <v>40</v>
      </c>
      <c r="D4926">
        <v>5.2031109999999998</v>
      </c>
      <c r="E4926">
        <v>0.48781279999999999</v>
      </c>
      <c r="F4926" t="s">
        <v>43</v>
      </c>
      <c r="G4926">
        <v>-360.26089999999999</v>
      </c>
      <c r="H4926" s="1">
        <v>-4.6021460000000004E-6</v>
      </c>
      <c r="I4926">
        <v>141.9554</v>
      </c>
      <c r="J4926">
        <v>-338.24560000000002</v>
      </c>
      <c r="K4926">
        <v>1.1114109999999999</v>
      </c>
      <c r="L4926">
        <v>140.28870000000001</v>
      </c>
      <c r="M4926">
        <v>-0.99808730000000001</v>
      </c>
      <c r="N4926">
        <v>0</v>
      </c>
      <c r="O4926">
        <v>6.0023310000000003E-2</v>
      </c>
      <c r="P4926">
        <v>-0.99387970000000003</v>
      </c>
      <c r="Q4926">
        <v>6.0632919999999996E-3</v>
      </c>
      <c r="R4926">
        <v>0.1103011</v>
      </c>
      <c r="S4926">
        <v>-2.9944459999999999</v>
      </c>
      <c r="T4926">
        <v>-0.14867759999999999</v>
      </c>
      <c r="U4926">
        <v>0.2258453</v>
      </c>
      <c r="V4926">
        <v>5.0384449999999997E-2</v>
      </c>
      <c r="W4926">
        <v>2.0972919999999999E-2</v>
      </c>
      <c r="X4926">
        <v>0.9985096</v>
      </c>
      <c r="Y4926">
        <v>1.5267019999999999E-2</v>
      </c>
      <c r="Z4926">
        <v>-2.5932360000000001E-3</v>
      </c>
      <c r="AA4926">
        <v>0.99988010000000005</v>
      </c>
      <c r="AB4926">
        <v>36</v>
      </c>
      <c r="AC4926">
        <v>-22.0152999999999</v>
      </c>
      <c r="AD4926">
        <v>-1.111415602146</v>
      </c>
      <c r="AE4926">
        <v>1.6666999999999901</v>
      </c>
      <c r="AF4926">
        <v>0.34125361391963299</v>
      </c>
      <c r="AG4926">
        <v>-1.111415602146</v>
      </c>
      <c r="AH4926">
        <v>22.0198487437439</v>
      </c>
      <c r="AI4926">
        <v>92.8891117539237</v>
      </c>
      <c r="AJ4926">
        <v>89.112127110892501</v>
      </c>
      <c r="AK4926">
        <v>22.050520115567998</v>
      </c>
      <c r="AL4926">
        <v>88.798252014499596</v>
      </c>
      <c r="AM4926">
        <v>87.111324758990193</v>
      </c>
      <c r="AN4926">
        <v>0.99999993873364201</v>
      </c>
    </row>
    <row r="4927" spans="1:40" x14ac:dyDescent="0.25">
      <c r="A4927" t="str">
        <f>"20190312154354627"</f>
        <v>20190312154354627</v>
      </c>
      <c r="B4927" t="str">
        <f>"1552376634612801"</f>
        <v>1552376634612801</v>
      </c>
      <c r="C4927" t="s">
        <v>40</v>
      </c>
      <c r="D4927">
        <v>5.2139069999999998</v>
      </c>
      <c r="E4927">
        <v>0.48834359999999999</v>
      </c>
      <c r="F4927" t="s">
        <v>43</v>
      </c>
      <c r="G4927">
        <v>-360.37439999999998</v>
      </c>
      <c r="H4927" s="1">
        <v>-4.5665960000000003E-6</v>
      </c>
      <c r="I4927">
        <v>141.9725</v>
      </c>
      <c r="J4927">
        <v>-338.6019</v>
      </c>
      <c r="K4927">
        <v>1.1114389999999901</v>
      </c>
      <c r="L4927">
        <v>140.309</v>
      </c>
      <c r="M4927">
        <v>-0.99815750000000003</v>
      </c>
      <c r="N4927">
        <v>0</v>
      </c>
      <c r="O4927">
        <v>5.8845590000000003E-2</v>
      </c>
      <c r="P4927">
        <v>-0.99399079999999995</v>
      </c>
      <c r="Q4927">
        <v>6.4850430000000002E-3</v>
      </c>
      <c r="R4927">
        <v>0.10927240000000001</v>
      </c>
      <c r="S4927">
        <v>-2.99411</v>
      </c>
      <c r="T4927">
        <v>-0.1503795</v>
      </c>
      <c r="U4927">
        <v>0.2278442</v>
      </c>
      <c r="V4927">
        <v>5.0527240000000001E-2</v>
      </c>
      <c r="W4927">
        <v>2.1394360000000001E-2</v>
      </c>
      <c r="X4927">
        <v>0.99849350000000003</v>
      </c>
      <c r="Y4927">
        <v>1.71164E-2</v>
      </c>
      <c r="Z4927">
        <v>-2.5178599999999998E-3</v>
      </c>
      <c r="AA4927">
        <v>0.99985029999999997</v>
      </c>
      <c r="AB4927">
        <v>36</v>
      </c>
      <c r="AC4927">
        <v>-21.772499999999901</v>
      </c>
      <c r="AD4927">
        <v>-1.1114435665960001</v>
      </c>
      <c r="AE4927">
        <v>1.66349999999999</v>
      </c>
      <c r="AF4927">
        <v>0.378280844576663</v>
      </c>
      <c r="AG4927">
        <v>-1.1114435665960001</v>
      </c>
      <c r="AH4927">
        <v>21.776245008299501</v>
      </c>
      <c r="AI4927">
        <v>92.921359223794099</v>
      </c>
      <c r="AJ4927">
        <v>89.004800132387203</v>
      </c>
      <c r="AK4927">
        <v>21.8078712821906</v>
      </c>
      <c r="AL4927">
        <v>88.774099928903794</v>
      </c>
      <c r="AM4927">
        <v>87.103105520954301</v>
      </c>
      <c r="AN4927">
        <v>0.99999999508203796</v>
      </c>
    </row>
    <row r="4928" spans="1:40" x14ac:dyDescent="0.25">
      <c r="A4928" t="str">
        <f>"20190312154354649"</f>
        <v>20190312154354649</v>
      </c>
      <c r="B4928" t="str">
        <f>"1552376634642082"</f>
        <v>1552376634642082</v>
      </c>
      <c r="C4928" t="s">
        <v>40</v>
      </c>
      <c r="D4928">
        <v>5.2157010000000001</v>
      </c>
      <c r="E4928">
        <v>0.48905539999999997</v>
      </c>
      <c r="F4928" t="s">
        <v>43</v>
      </c>
      <c r="G4928">
        <v>-360.78070000000002</v>
      </c>
      <c r="H4928" s="1">
        <v>-4.4339939999999996E-6</v>
      </c>
      <c r="I4928">
        <v>142.00450000000001</v>
      </c>
      <c r="J4928">
        <v>-338.9631</v>
      </c>
      <c r="K4928">
        <v>1.111464</v>
      </c>
      <c r="L4928">
        <v>140.32910000000001</v>
      </c>
      <c r="M4928">
        <v>-0.99822829999999996</v>
      </c>
      <c r="N4928">
        <v>0</v>
      </c>
      <c r="O4928">
        <v>5.763397E-2</v>
      </c>
      <c r="P4928">
        <v>-0.99411240000000001</v>
      </c>
      <c r="Q4928">
        <v>7.344794E-3</v>
      </c>
      <c r="R4928">
        <v>0.1081056</v>
      </c>
      <c r="S4928">
        <v>-2.9939580000000001</v>
      </c>
      <c r="T4928">
        <v>-0.15003610000000001</v>
      </c>
      <c r="U4928">
        <v>0.22889709999999999</v>
      </c>
      <c r="V4928">
        <v>5.056401E-2</v>
      </c>
      <c r="W4928">
        <v>2.2252460000000002E-2</v>
      </c>
      <c r="X4928">
        <v>0.9984729</v>
      </c>
      <c r="Y4928">
        <v>1.867976E-2</v>
      </c>
      <c r="Z4928">
        <v>-2.4126579999999998E-3</v>
      </c>
      <c r="AA4928">
        <v>0.99982260000000001</v>
      </c>
      <c r="AB4928">
        <v>36</v>
      </c>
      <c r="AC4928">
        <v>-21.817599999999999</v>
      </c>
      <c r="AD4928">
        <v>-1.111468433994</v>
      </c>
      <c r="AE4928">
        <v>1.67539999999999</v>
      </c>
      <c r="AF4928">
        <v>0.413974083045829</v>
      </c>
      <c r="AG4928">
        <v>-1.111468433994</v>
      </c>
      <c r="AH4928">
        <v>21.821596304836198</v>
      </c>
      <c r="AI4928">
        <v>92.915278869313596</v>
      </c>
      <c r="AJ4928">
        <v>88.913181114709602</v>
      </c>
      <c r="AK4928">
        <v>21.853805204413302</v>
      </c>
      <c r="AL4928">
        <v>88.724922727766398</v>
      </c>
      <c r="AM4928">
        <v>87.100941260895596</v>
      </c>
      <c r="AN4928">
        <v>1.0000000115588701</v>
      </c>
    </row>
    <row r="4929" spans="1:40" x14ac:dyDescent="0.25">
      <c r="A4929" t="str">
        <f>"20190312154354672"</f>
        <v>20190312154354672</v>
      </c>
      <c r="B4929" t="str">
        <f>"1552376634662578"</f>
        <v>1552376634662578</v>
      </c>
      <c r="C4929" t="s">
        <v>40</v>
      </c>
      <c r="D4929">
        <v>5.2196680000000004</v>
      </c>
      <c r="E4929">
        <v>0.48946289999999998</v>
      </c>
      <c r="F4929" t="s">
        <v>43</v>
      </c>
      <c r="G4929">
        <v>-361.30770000000001</v>
      </c>
      <c r="H4929" s="1">
        <v>-4.2634419999999996E-6</v>
      </c>
      <c r="I4929">
        <v>142.05420000000001</v>
      </c>
      <c r="J4929">
        <v>-339.31569999999999</v>
      </c>
      <c r="K4929">
        <v>1.1114820000000001</v>
      </c>
      <c r="L4929">
        <v>140.34829999999999</v>
      </c>
      <c r="M4929">
        <v>-0.99829670000000004</v>
      </c>
      <c r="N4929">
        <v>0</v>
      </c>
      <c r="O4929">
        <v>5.6438189999999999E-2</v>
      </c>
      <c r="P4929">
        <v>-0.99425019999999997</v>
      </c>
      <c r="Q4929">
        <v>7.840919E-3</v>
      </c>
      <c r="R4929">
        <v>0.1067954</v>
      </c>
      <c r="S4929">
        <v>-2.993744</v>
      </c>
      <c r="T4929">
        <v>-0.1489152</v>
      </c>
      <c r="U4929">
        <v>0.23114009999999999</v>
      </c>
      <c r="V4929">
        <v>5.0442229999999998E-2</v>
      </c>
      <c r="W4929">
        <v>2.2746329999999999E-2</v>
      </c>
      <c r="X4929">
        <v>0.99846789999999996</v>
      </c>
      <c r="Y4929">
        <v>2.0622959999999999E-2</v>
      </c>
      <c r="Z4929">
        <v>-2.2872880000000002E-3</v>
      </c>
      <c r="AA4929">
        <v>0.99978469999999997</v>
      </c>
      <c r="AB4929">
        <v>36</v>
      </c>
      <c r="AC4929">
        <v>-21.992000000000001</v>
      </c>
      <c r="AD4929">
        <v>-1.111486263442</v>
      </c>
      <c r="AE4929">
        <v>1.70590000000001</v>
      </c>
      <c r="AF4929">
        <v>0.46068639860916999</v>
      </c>
      <c r="AG4929">
        <v>-1.111486263442</v>
      </c>
      <c r="AH4929">
        <v>21.997374887815599</v>
      </c>
      <c r="AI4929">
        <v>92.891955645839104</v>
      </c>
      <c r="AJ4929">
        <v>88.8002419170557</v>
      </c>
      <c r="AK4929">
        <v>22.030255005940901</v>
      </c>
      <c r="AL4929">
        <v>88.696618856037702</v>
      </c>
      <c r="AM4929">
        <v>87.107897121803802</v>
      </c>
      <c r="AN4929">
        <v>0.99999998071312501</v>
      </c>
    </row>
    <row r="4930" spans="1:40" x14ac:dyDescent="0.25">
      <c r="A4930" t="str">
        <f>"20190312154354693"</f>
        <v>20190312154354693</v>
      </c>
      <c r="B4930" t="str">
        <f>"1552376634682097"</f>
        <v>1552376634682097</v>
      </c>
      <c r="C4930" t="s">
        <v>40</v>
      </c>
      <c r="D4930">
        <v>5.2156949999999904</v>
      </c>
      <c r="E4930">
        <v>0.4895409</v>
      </c>
      <c r="F4930" t="s">
        <v>43</v>
      </c>
      <c r="G4930">
        <v>-361.72719999999998</v>
      </c>
      <c r="H4930" s="1">
        <v>-4.1242079999999996E-6</v>
      </c>
      <c r="I4930">
        <v>142.07399999999899</v>
      </c>
      <c r="J4930">
        <v>-339.67230000000001</v>
      </c>
      <c r="K4930">
        <v>1.1114919999999999</v>
      </c>
      <c r="L4930">
        <v>140.3672</v>
      </c>
      <c r="M4930">
        <v>-0.99836469999999999</v>
      </c>
      <c r="N4930">
        <v>0</v>
      </c>
      <c r="O4930">
        <v>5.5220329999999998E-2</v>
      </c>
      <c r="P4930">
        <v>-0.99443550000000003</v>
      </c>
      <c r="Q4930">
        <v>7.7596599999999998E-3</v>
      </c>
      <c r="R4930">
        <v>0.1050606</v>
      </c>
      <c r="S4930">
        <v>-2.9937130000000001</v>
      </c>
      <c r="T4930">
        <v>-0.1484723</v>
      </c>
      <c r="U4930">
        <v>0.23052980000000001</v>
      </c>
      <c r="V4930">
        <v>4.9917610000000001E-2</v>
      </c>
      <c r="W4930">
        <v>2.2661480000000001E-2</v>
      </c>
      <c r="X4930">
        <v>0.99849619999999994</v>
      </c>
      <c r="Y4930">
        <v>2.1637750000000001E-2</v>
      </c>
      <c r="Z4930">
        <v>-2.195284E-3</v>
      </c>
      <c r="AA4930">
        <v>0.99976350000000003</v>
      </c>
      <c r="AB4930">
        <v>36</v>
      </c>
      <c r="AC4930">
        <v>-22.0548999999999</v>
      </c>
      <c r="AD4930">
        <v>-1.1114961242079999</v>
      </c>
      <c r="AE4930">
        <v>1.7067999999999801</v>
      </c>
      <c r="AF4930">
        <v>0.484958783462417</v>
      </c>
      <c r="AG4930">
        <v>-1.1114961242079999</v>
      </c>
      <c r="AH4930">
        <v>22.059806749839701</v>
      </c>
      <c r="AI4930">
        <v>92.883746148741494</v>
      </c>
      <c r="AJ4930">
        <v>88.740622848055594</v>
      </c>
      <c r="AK4930">
        <v>22.093113915789701</v>
      </c>
      <c r="AL4930">
        <v>88.701481663280802</v>
      </c>
      <c r="AM4930">
        <v>87.138006894643695</v>
      </c>
      <c r="AN4930">
        <v>0.99999998593917105</v>
      </c>
    </row>
    <row r="4931" spans="1:40" x14ac:dyDescent="0.25">
      <c r="A4931" t="str">
        <f>"20190312154354714"</f>
        <v>20190312154354714</v>
      </c>
      <c r="B4931" t="str">
        <f>"1552376634702123"</f>
        <v>1552376634702123</v>
      </c>
      <c r="C4931" t="s">
        <v>40</v>
      </c>
      <c r="D4931">
        <v>5.143351</v>
      </c>
      <c r="E4931">
        <v>0.4738231</v>
      </c>
      <c r="F4931" t="s">
        <v>43</v>
      </c>
      <c r="G4931">
        <v>-361.93270000000001</v>
      </c>
      <c r="H4931" s="1">
        <v>-4.0494949999999996E-6</v>
      </c>
      <c r="I4931">
        <v>142.047</v>
      </c>
      <c r="J4931">
        <v>-340.01330000000002</v>
      </c>
      <c r="K4931">
        <v>1.1115010000000001</v>
      </c>
      <c r="L4931">
        <v>140.38489999999999</v>
      </c>
      <c r="M4931">
        <v>-0.99842889999999995</v>
      </c>
      <c r="N4931">
        <v>0</v>
      </c>
      <c r="O4931">
        <v>5.4049809999999997E-2</v>
      </c>
      <c r="P4931">
        <v>-0.99463310000000005</v>
      </c>
      <c r="Q4931">
        <v>7.1786250000000001E-3</v>
      </c>
      <c r="R4931">
        <v>0.10321669999999999</v>
      </c>
      <c r="S4931">
        <v>-2.994049</v>
      </c>
      <c r="T4931">
        <v>-0.14949760000000001</v>
      </c>
      <c r="U4931">
        <v>0.22595209999999999</v>
      </c>
      <c r="V4931">
        <v>4.9237969999999999E-2</v>
      </c>
      <c r="W4931">
        <v>2.2077019999999999E-2</v>
      </c>
      <c r="X4931">
        <v>0.99854299999999996</v>
      </c>
      <c r="Y4931">
        <v>2.1281149999999999E-2</v>
      </c>
      <c r="Z4931">
        <v>-2.1610119999999999E-3</v>
      </c>
      <c r="AA4931">
        <v>0.99977119999999997</v>
      </c>
      <c r="AB4931">
        <v>36</v>
      </c>
      <c r="AC4931">
        <v>-21.9194</v>
      </c>
      <c r="AD4931">
        <v>-1.1115050494949901</v>
      </c>
      <c r="AE4931">
        <v>1.6620999999999999</v>
      </c>
      <c r="AF4931">
        <v>0.47359029193704499</v>
      </c>
      <c r="AG4931">
        <v>-1.1115050494949901</v>
      </c>
      <c r="AH4931">
        <v>21.921152837826</v>
      </c>
      <c r="AI4931">
        <v>92.902002323531406</v>
      </c>
      <c r="AJ4931">
        <v>88.762359595241904</v>
      </c>
      <c r="AK4931">
        <v>21.9544226291423</v>
      </c>
      <c r="AL4931">
        <v>88.734977088448503</v>
      </c>
      <c r="AM4931">
        <v>87.177042232282105</v>
      </c>
      <c r="AN4931">
        <v>0.99999994767539901</v>
      </c>
    </row>
    <row r="4932" spans="1:40" x14ac:dyDescent="0.25">
      <c r="A4932" t="str">
        <f>"20190312154354739"</f>
        <v>20190312154354739</v>
      </c>
      <c r="B4932" t="str">
        <f>"1552376634732380"</f>
        <v>1552376634732380</v>
      </c>
      <c r="C4932" t="s">
        <v>40</v>
      </c>
      <c r="D4932">
        <v>5.0994699999999904</v>
      </c>
      <c r="E4932">
        <v>0.47458260000000002</v>
      </c>
      <c r="F4932" t="s">
        <v>43</v>
      </c>
      <c r="G4932">
        <v>-358.46660000000003</v>
      </c>
      <c r="H4932" s="1">
        <v>-9.9865939999999996E-7</v>
      </c>
      <c r="I4932">
        <v>140.96369999999999</v>
      </c>
      <c r="J4932">
        <v>-340.39229999999998</v>
      </c>
      <c r="K4932">
        <v>1.1115109999999999</v>
      </c>
      <c r="L4932">
        <v>140.4041</v>
      </c>
      <c r="M4932">
        <v>-0.99849869999999996</v>
      </c>
      <c r="N4932">
        <v>0</v>
      </c>
      <c r="O4932">
        <v>5.2745E-2</v>
      </c>
      <c r="P4932">
        <v>-0.99482859999999995</v>
      </c>
      <c r="Q4932">
        <v>7.6004640000000004E-3</v>
      </c>
      <c r="R4932">
        <v>0.10128330000000001</v>
      </c>
      <c r="S4932">
        <v>-3.0077210000000001</v>
      </c>
      <c r="T4932">
        <v>-0.1811651</v>
      </c>
      <c r="U4932">
        <v>9.4345090000000006E-2</v>
      </c>
      <c r="V4932">
        <v>4.860068E-2</v>
      </c>
      <c r="W4932">
        <v>2.2494630000000002E-2</v>
      </c>
      <c r="X4932">
        <v>0.99856500000000004</v>
      </c>
      <c r="Y4932">
        <v>-2.1282349999999998E-2</v>
      </c>
      <c r="Z4932">
        <v>-3.8121539999999999E-3</v>
      </c>
      <c r="AA4932">
        <v>0.99976620000000005</v>
      </c>
      <c r="AB4932">
        <v>36</v>
      </c>
      <c r="AC4932">
        <v>-18.074300000000001</v>
      </c>
      <c r="AD4932">
        <v>-1.1115119986594</v>
      </c>
      <c r="AE4932">
        <v>0.559599999999989</v>
      </c>
      <c r="AF4932">
        <v>-0.39312683099099099</v>
      </c>
      <c r="AG4932">
        <v>-1.1115119986594</v>
      </c>
      <c r="AH4932">
        <v>18.010606304503799</v>
      </c>
      <c r="AI4932">
        <v>93.530651337111195</v>
      </c>
      <c r="AJ4932">
        <v>91.250426091957195</v>
      </c>
      <c r="AK4932">
        <v>18.049153639000401</v>
      </c>
      <c r="AL4932">
        <v>88.711043980338005</v>
      </c>
      <c r="AM4932">
        <v>87.213583276155603</v>
      </c>
      <c r="AN4932">
        <v>1.00000004685014</v>
      </c>
    </row>
    <row r="4933" spans="1:40" x14ac:dyDescent="0.25">
      <c r="A4933" t="str">
        <f>"20190312154354761"</f>
        <v>20190312154354761</v>
      </c>
      <c r="B4933" t="str">
        <f>"1552376634752880"</f>
        <v>1552376634752880</v>
      </c>
      <c r="C4933" t="s">
        <v>40</v>
      </c>
      <c r="D4933">
        <v>5.0600100000000001</v>
      </c>
      <c r="E4933">
        <v>0.47501090000000001</v>
      </c>
      <c r="F4933" t="s">
        <v>43</v>
      </c>
      <c r="G4933">
        <v>-359.99110000000002</v>
      </c>
      <c r="H4933" s="1">
        <v>-4.5284160000000001E-6</v>
      </c>
      <c r="I4933">
        <v>141.02209999999999</v>
      </c>
      <c r="J4933">
        <v>-340.75240000000002</v>
      </c>
      <c r="K4933">
        <v>1.111524</v>
      </c>
      <c r="L4933">
        <v>140.42189999999999</v>
      </c>
      <c r="M4933">
        <v>-0.9985636</v>
      </c>
      <c r="N4933">
        <v>0</v>
      </c>
      <c r="O4933">
        <v>5.1503939999999998E-2</v>
      </c>
      <c r="P4933">
        <v>-0.99500080000000002</v>
      </c>
      <c r="Q4933">
        <v>8.1022899999999998E-3</v>
      </c>
      <c r="R4933">
        <v>9.9539260000000004E-2</v>
      </c>
      <c r="S4933">
        <v>-3.007263</v>
      </c>
      <c r="T4933">
        <v>-0.1705527</v>
      </c>
      <c r="U4933">
        <v>9.483337E-2</v>
      </c>
      <c r="V4933">
        <v>4.808983E-2</v>
      </c>
      <c r="W4933">
        <v>2.2991839999999999E-2</v>
      </c>
      <c r="X4933">
        <v>0.99857839999999998</v>
      </c>
      <c r="Y4933">
        <v>-1.9892170000000001E-2</v>
      </c>
      <c r="Z4933">
        <v>-3.4801480000000002E-3</v>
      </c>
      <c r="AA4933">
        <v>0.99979609999999997</v>
      </c>
      <c r="AB4933">
        <v>36</v>
      </c>
      <c r="AC4933">
        <v>-19.238699999999898</v>
      </c>
      <c r="AD4933">
        <v>-1.1115285284159999</v>
      </c>
      <c r="AE4933">
        <v>0.60020000000000095</v>
      </c>
      <c r="AF4933">
        <v>-0.39027220519456102</v>
      </c>
      <c r="AG4933">
        <v>-1.1115285284159999</v>
      </c>
      <c r="AH4933">
        <v>19.180115213111801</v>
      </c>
      <c r="AI4933">
        <v>93.316017920209305</v>
      </c>
      <c r="AJ4933">
        <v>91.165679386957393</v>
      </c>
      <c r="AK4933">
        <v>19.216259460463998</v>
      </c>
      <c r="AL4933">
        <v>88.682548565465297</v>
      </c>
      <c r="AM4933">
        <v>87.242863282945294</v>
      </c>
      <c r="AN4933">
        <v>1.00000003870128</v>
      </c>
    </row>
    <row r="4934" spans="1:40" x14ac:dyDescent="0.25">
      <c r="A4934" t="str">
        <f>"20190312154354783"</f>
        <v>20190312154354783</v>
      </c>
      <c r="B4934" t="str">
        <f>"1552376634772396"</f>
        <v>1552376634772396</v>
      </c>
      <c r="C4934" t="s">
        <v>40</v>
      </c>
      <c r="D4934">
        <v>5.0207769999999998</v>
      </c>
      <c r="E4934">
        <v>0.47545310000000002</v>
      </c>
      <c r="F4934" t="s">
        <v>43</v>
      </c>
      <c r="G4934">
        <v>-360.93279999999999</v>
      </c>
      <c r="H4934" s="1">
        <v>-4.2121169999999997E-6</v>
      </c>
      <c r="I4934">
        <v>141.0455</v>
      </c>
      <c r="J4934">
        <v>-341.10680000000002</v>
      </c>
      <c r="K4934">
        <v>1.1115360000000001</v>
      </c>
      <c r="L4934">
        <v>140.43899999999999</v>
      </c>
      <c r="M4934">
        <v>-0.99862589999999996</v>
      </c>
      <c r="N4934">
        <v>0</v>
      </c>
      <c r="O4934">
        <v>5.0283050000000003E-2</v>
      </c>
      <c r="P4934">
        <v>-0.99517060000000002</v>
      </c>
      <c r="Q4934">
        <v>9.3576990000000006E-3</v>
      </c>
      <c r="R4934">
        <v>9.7715179999999999E-2</v>
      </c>
      <c r="S4934">
        <v>-3.0071110000000001</v>
      </c>
      <c r="T4934">
        <v>-0.1656309</v>
      </c>
      <c r="U4934">
        <v>9.2941280000000001E-2</v>
      </c>
      <c r="V4934">
        <v>4.7476999999999998E-2</v>
      </c>
      <c r="W4934">
        <v>2.4242240000000002E-2</v>
      </c>
      <c r="X4934">
        <v>0.99857810000000002</v>
      </c>
      <c r="Y4934">
        <v>-1.9305900000000001E-2</v>
      </c>
      <c r="Z4934">
        <v>-3.296864E-3</v>
      </c>
      <c r="AA4934">
        <v>0.99980820000000004</v>
      </c>
      <c r="AB4934">
        <v>36</v>
      </c>
      <c r="AC4934">
        <v>-19.825999999999901</v>
      </c>
      <c r="AD4934">
        <v>-1.1115402121169999</v>
      </c>
      <c r="AE4934">
        <v>0.60650000000001103</v>
      </c>
      <c r="AF4934">
        <v>-0.39006285706410598</v>
      </c>
      <c r="AG4934">
        <v>-1.1115402121169999</v>
      </c>
      <c r="AH4934">
        <v>19.769332745071502</v>
      </c>
      <c r="AI4934">
        <v>93.217469497935298</v>
      </c>
      <c r="AJ4934">
        <v>91.130339413342199</v>
      </c>
      <c r="AK4934">
        <v>19.80439819487</v>
      </c>
      <c r="AL4934">
        <v>88.610885860471697</v>
      </c>
      <c r="AM4934">
        <v>87.277944695062004</v>
      </c>
      <c r="AN4934">
        <v>0.99999998676441304</v>
      </c>
    </row>
    <row r="4935" spans="1:40" x14ac:dyDescent="0.25">
      <c r="A4935" t="str">
        <f>"20190312154354805"</f>
        <v>20190312154354805</v>
      </c>
      <c r="B4935" t="str">
        <f>"1552376634802049"</f>
        <v>1552376634802049</v>
      </c>
      <c r="C4935" t="s">
        <v>40</v>
      </c>
      <c r="D4935">
        <v>4.988518</v>
      </c>
      <c r="E4935">
        <v>0.47561510000000001</v>
      </c>
      <c r="F4935" t="s">
        <v>43</v>
      </c>
      <c r="G4935">
        <v>-361.9545</v>
      </c>
      <c r="H4935" s="1">
        <v>-3.8208589999999996E-6</v>
      </c>
      <c r="I4935">
        <v>141.071</v>
      </c>
      <c r="J4935">
        <v>-341.46850000000001</v>
      </c>
      <c r="K4935">
        <v>1.1115429999999999</v>
      </c>
      <c r="L4935">
        <v>140.45599999999999</v>
      </c>
      <c r="M4935">
        <v>-0.99868789999999996</v>
      </c>
      <c r="N4935">
        <v>0</v>
      </c>
      <c r="O4935">
        <v>4.9036740000000002E-2</v>
      </c>
      <c r="P4935">
        <v>-0.99526510000000001</v>
      </c>
      <c r="Q4935">
        <v>1.0810729999999999E-2</v>
      </c>
      <c r="R4935">
        <v>9.6594799999999995E-2</v>
      </c>
      <c r="S4935">
        <v>-3.0071409999999998</v>
      </c>
      <c r="T4935">
        <v>-0.16033210000000001</v>
      </c>
      <c r="U4935">
        <v>9.1171260000000004E-2</v>
      </c>
      <c r="V4935">
        <v>4.7595329999999998E-2</v>
      </c>
      <c r="W4935">
        <v>2.5690890000000001E-2</v>
      </c>
      <c r="X4935">
        <v>0.99853630000000004</v>
      </c>
      <c r="Y4935">
        <v>-1.8655700000000001E-2</v>
      </c>
      <c r="Z4935">
        <v>-3.1079229999999998E-3</v>
      </c>
      <c r="AA4935">
        <v>0.99982110000000002</v>
      </c>
      <c r="AB4935">
        <v>36</v>
      </c>
      <c r="AC4935">
        <v>-20.485999999999901</v>
      </c>
      <c r="AD4935">
        <v>-1.111546820859</v>
      </c>
      <c r="AE4935">
        <v>0.61499999999998001</v>
      </c>
      <c r="AF4935">
        <v>-0.38927113946067998</v>
      </c>
      <c r="AG4935">
        <v>-1.111546820859</v>
      </c>
      <c r="AH4935">
        <v>20.431413955599002</v>
      </c>
      <c r="AI4935">
        <v>93.113475067700307</v>
      </c>
      <c r="AJ4935">
        <v>91.091500337313505</v>
      </c>
      <c r="AK4935">
        <v>20.465330307132199</v>
      </c>
      <c r="AL4935">
        <v>88.527858518511906</v>
      </c>
      <c r="AM4935">
        <v>87.271056522945798</v>
      </c>
      <c r="AN4935">
        <v>1.00000003984224</v>
      </c>
    </row>
    <row r="4936" spans="1:40" x14ac:dyDescent="0.25">
      <c r="A4936" t="str">
        <f>"20190312154354829"</f>
        <v>20190312154354829</v>
      </c>
      <c r="B4936" t="str">
        <f>"1552376634822545"</f>
        <v>1552376634822545</v>
      </c>
      <c r="C4936" t="s">
        <v>40</v>
      </c>
      <c r="D4936">
        <v>4.9608140000000001</v>
      </c>
      <c r="E4936">
        <v>0.47584769999999998</v>
      </c>
      <c r="F4936" t="s">
        <v>43</v>
      </c>
      <c r="G4936">
        <v>-363.27789999999999</v>
      </c>
      <c r="H4936" s="1">
        <v>-3.2613719999999999E-6</v>
      </c>
      <c r="I4936">
        <v>141.1019</v>
      </c>
      <c r="J4936">
        <v>-341.8261</v>
      </c>
      <c r="K4936">
        <v>1.1115469999999901</v>
      </c>
      <c r="L4936">
        <v>140.47229999999999</v>
      </c>
      <c r="M4936">
        <v>-0.99874759999999996</v>
      </c>
      <c r="N4936">
        <v>0</v>
      </c>
      <c r="O4936">
        <v>4.7805159999999999E-2</v>
      </c>
      <c r="P4936">
        <v>-0.99538450000000001</v>
      </c>
      <c r="Q4936">
        <v>1.178857E-2</v>
      </c>
      <c r="R4936">
        <v>9.5240179999999994E-2</v>
      </c>
      <c r="S4936">
        <v>-3.0072939999999999</v>
      </c>
      <c r="T4936">
        <v>-0.1532714</v>
      </c>
      <c r="U4936">
        <v>8.9080809999999996E-2</v>
      </c>
      <c r="V4936">
        <v>4.7465510000000002E-2</v>
      </c>
      <c r="W4936">
        <v>2.6664730000000001E-2</v>
      </c>
      <c r="X4936">
        <v>0.99851690000000004</v>
      </c>
      <c r="Y4936">
        <v>-1.8129220000000001E-2</v>
      </c>
      <c r="Z4936">
        <v>-2.8950809999999999E-3</v>
      </c>
      <c r="AA4936">
        <v>0.99983140000000004</v>
      </c>
      <c r="AB4936">
        <v>36</v>
      </c>
      <c r="AC4936">
        <v>-21.451799999999899</v>
      </c>
      <c r="AD4936">
        <v>-1.1115502613720001</v>
      </c>
      <c r="AE4936">
        <v>0.62960000000001004</v>
      </c>
      <c r="AF4936">
        <v>-0.39567702365730101</v>
      </c>
      <c r="AG4936">
        <v>-1.1115502613720001</v>
      </c>
      <c r="AH4936">
        <v>21.3999621287014</v>
      </c>
      <c r="AI4936">
        <v>92.972860512881596</v>
      </c>
      <c r="AJ4936">
        <v>91.059256108135997</v>
      </c>
      <c r="AK4936">
        <v>21.432463306873</v>
      </c>
      <c r="AL4936">
        <v>88.472042393971293</v>
      </c>
      <c r="AM4936">
        <v>87.2784359283025</v>
      </c>
      <c r="AN4936">
        <v>0.99999999102557102</v>
      </c>
    </row>
    <row r="4937" spans="1:40" x14ac:dyDescent="0.25">
      <c r="A4937" t="str">
        <f>"20190312154354850"</f>
        <v>20190312154354850</v>
      </c>
      <c r="B4937" t="str">
        <f>"1552376634842065"</f>
        <v>1552376634842065</v>
      </c>
      <c r="C4937" t="s">
        <v>40</v>
      </c>
      <c r="D4937">
        <v>4.9319369999999996</v>
      </c>
      <c r="E4937">
        <v>0.47609820000000003</v>
      </c>
      <c r="F4937" t="s">
        <v>43</v>
      </c>
      <c r="G4937">
        <v>-364.44799999999998</v>
      </c>
      <c r="H4937" s="1">
        <v>-2.7656249999999999E-6</v>
      </c>
      <c r="I4937">
        <v>141.12530000000001</v>
      </c>
      <c r="J4937">
        <v>-342.18560000000002</v>
      </c>
      <c r="K4937">
        <v>1.11155</v>
      </c>
      <c r="L4937">
        <v>140.48830000000001</v>
      </c>
      <c r="M4937">
        <v>-0.99880639999999998</v>
      </c>
      <c r="N4937">
        <v>0</v>
      </c>
      <c r="O4937">
        <v>4.6566499999999997E-2</v>
      </c>
      <c r="P4937">
        <v>-0.99551559999999994</v>
      </c>
      <c r="Q4937">
        <v>1.25796E-2</v>
      </c>
      <c r="R4937">
        <v>9.3757900000000005E-2</v>
      </c>
      <c r="S4937">
        <v>-3.0073850000000002</v>
      </c>
      <c r="T4937">
        <v>-0.14777119999999999</v>
      </c>
      <c r="U4937">
        <v>8.6822510000000006E-2</v>
      </c>
      <c r="V4937">
        <v>4.7215130000000001E-2</v>
      </c>
      <c r="W4937">
        <v>2.745123E-2</v>
      </c>
      <c r="X4937">
        <v>0.99850740000000004</v>
      </c>
      <c r="Y4937">
        <v>-1.7648380000000002E-2</v>
      </c>
      <c r="Z4937">
        <v>-2.7187209999999999E-3</v>
      </c>
      <c r="AA4937">
        <v>0.99984059999999997</v>
      </c>
      <c r="AB4937">
        <v>36</v>
      </c>
      <c r="AC4937">
        <v>-22.2624</v>
      </c>
      <c r="AD4937">
        <v>-1.1115527656249999</v>
      </c>
      <c r="AE4937">
        <v>0.63700000000000001</v>
      </c>
      <c r="AF4937">
        <v>-0.39949079333725901</v>
      </c>
      <c r="AG4937">
        <v>-1.1115527656249999</v>
      </c>
      <c r="AH4937">
        <v>22.2125805160364</v>
      </c>
      <c r="AI4937">
        <v>92.864319568738296</v>
      </c>
      <c r="AJ4937">
        <v>91.030347149308099</v>
      </c>
      <c r="AK4937">
        <v>22.243962678132</v>
      </c>
      <c r="AL4937">
        <v>88.426962665622099</v>
      </c>
      <c r="AM4937">
        <v>87.292745013117099</v>
      </c>
      <c r="AN4937">
        <v>0.99999993319209202</v>
      </c>
    </row>
    <row r="4938" spans="1:40" x14ac:dyDescent="0.25">
      <c r="A4938" t="str">
        <f>"20190312154354873"</f>
        <v>20190312154354873</v>
      </c>
      <c r="B4938" t="str">
        <f>"1552376634862562"</f>
        <v>1552376634862562</v>
      </c>
      <c r="C4938" t="s">
        <v>40</v>
      </c>
      <c r="D4938">
        <v>4.9277150000000001</v>
      </c>
      <c r="E4938">
        <v>0.4763694</v>
      </c>
      <c r="F4938" t="s">
        <v>43</v>
      </c>
      <c r="G4938">
        <v>-365.40370000000001</v>
      </c>
      <c r="H4938" s="1">
        <v>-2.3594919999999998E-6</v>
      </c>
      <c r="I4938">
        <v>141.13990000000001</v>
      </c>
      <c r="J4938">
        <v>-342.53800000000001</v>
      </c>
      <c r="K4938">
        <v>1.1115520000000001</v>
      </c>
      <c r="L4938">
        <v>140.5035</v>
      </c>
      <c r="M4938">
        <v>-0.99886209999999997</v>
      </c>
      <c r="N4938">
        <v>0</v>
      </c>
      <c r="O4938">
        <v>4.5351700000000002E-2</v>
      </c>
      <c r="P4938">
        <v>-0.99562309999999998</v>
      </c>
      <c r="Q4938">
        <v>1.324322E-2</v>
      </c>
      <c r="R4938">
        <v>9.2516790000000002E-2</v>
      </c>
      <c r="S4938">
        <v>-3.0073850000000002</v>
      </c>
      <c r="T4938">
        <v>-0.14397670000000001</v>
      </c>
      <c r="U4938">
        <v>8.4411620000000007E-2</v>
      </c>
      <c r="V4938">
        <v>4.7183450000000002E-2</v>
      </c>
      <c r="W4938">
        <v>2.811044E-2</v>
      </c>
      <c r="X4938">
        <v>0.99849060000000001</v>
      </c>
      <c r="Y4938">
        <v>-1.7239009999999999E-2</v>
      </c>
      <c r="Z4938">
        <v>-2.5811839999999998E-3</v>
      </c>
      <c r="AA4938">
        <v>0.99984810000000002</v>
      </c>
      <c r="AB4938">
        <v>36</v>
      </c>
      <c r="AC4938">
        <v>-22.8657</v>
      </c>
      <c r="AD4938">
        <v>-1.1115543594920001</v>
      </c>
      <c r="AE4938">
        <v>0.63640000000000896</v>
      </c>
      <c r="AF4938">
        <v>-0.40042069886896597</v>
      </c>
      <c r="AG4938">
        <v>-1.1115543594920001</v>
      </c>
      <c r="AH4938">
        <v>22.8171541539297</v>
      </c>
      <c r="AI4938">
        <v>92.788572220176704</v>
      </c>
      <c r="AJ4938">
        <v>91.005386611940594</v>
      </c>
      <c r="AK4938">
        <v>22.847722282852999</v>
      </c>
      <c r="AL4938">
        <v>88.389178198050502</v>
      </c>
      <c r="AM4938">
        <v>87.294513351434901</v>
      </c>
      <c r="AN4938">
        <v>0.99999997653962702</v>
      </c>
    </row>
    <row r="4939" spans="1:40" x14ac:dyDescent="0.25">
      <c r="A4939" t="str">
        <f>"20190312154354894"</f>
        <v>20190312154354894</v>
      </c>
      <c r="B4939" t="str">
        <f>"1552376634882081"</f>
        <v>1552376634882081</v>
      </c>
      <c r="C4939" t="s">
        <v>40</v>
      </c>
      <c r="D4939">
        <v>4.9095849999999999</v>
      </c>
      <c r="E4939">
        <v>0.47666920000000002</v>
      </c>
      <c r="F4939" t="s">
        <v>43</v>
      </c>
      <c r="G4939">
        <v>-366.38099999999997</v>
      </c>
      <c r="H4939" s="1">
        <v>-1.9455650000000002E-6</v>
      </c>
      <c r="I4939">
        <v>141.15979999999999</v>
      </c>
      <c r="J4939">
        <v>-342.8784</v>
      </c>
      <c r="K4939">
        <v>1.1115520000000001</v>
      </c>
      <c r="L4939">
        <v>140.51769999999999</v>
      </c>
      <c r="M4939">
        <v>-0.99891479999999999</v>
      </c>
      <c r="N4939">
        <v>0</v>
      </c>
      <c r="O4939">
        <v>4.4178269999999999E-2</v>
      </c>
      <c r="P4939">
        <v>-0.99579240000000002</v>
      </c>
      <c r="Q4939">
        <v>1.398606E-2</v>
      </c>
      <c r="R4939">
        <v>9.0565259999999995E-2</v>
      </c>
      <c r="S4939">
        <v>-3.007355</v>
      </c>
      <c r="T4939">
        <v>-0.14020260000000001</v>
      </c>
      <c r="U4939">
        <v>8.2794190000000004E-2</v>
      </c>
      <c r="V4939">
        <v>4.63977E-2</v>
      </c>
      <c r="W4939">
        <v>2.8847810000000002E-2</v>
      </c>
      <c r="X4939">
        <v>0.99850640000000002</v>
      </c>
      <c r="Y4939">
        <v>-1.6607139999999999E-2</v>
      </c>
      <c r="Z4939">
        <v>-2.4443170000000001E-3</v>
      </c>
      <c r="AA4939">
        <v>0.9998591</v>
      </c>
      <c r="AB4939">
        <v>36</v>
      </c>
      <c r="AC4939">
        <v>-23.502599999999902</v>
      </c>
      <c r="AD4939">
        <v>-1.1115539455650001</v>
      </c>
      <c r="AE4939">
        <v>0.642099999999999</v>
      </c>
      <c r="AF4939">
        <v>-0.39605893780796902</v>
      </c>
      <c r="AG4939">
        <v>-1.1115539455650001</v>
      </c>
      <c r="AH4939">
        <v>23.4555919222691</v>
      </c>
      <c r="AI4939">
        <v>92.712814970292399</v>
      </c>
      <c r="AJ4939">
        <v>90.967374830161603</v>
      </c>
      <c r="AK4939">
        <v>23.485255103578002</v>
      </c>
      <c r="AL4939">
        <v>88.346912880732205</v>
      </c>
      <c r="AM4939">
        <v>87.339544806330295</v>
      </c>
      <c r="AN4939">
        <v>0.99999998677402202</v>
      </c>
    </row>
    <row r="4940" spans="1:40" x14ac:dyDescent="0.25">
      <c r="A4940" t="str">
        <f>"20190312154354917"</f>
        <v>20190312154354917</v>
      </c>
      <c r="B4940" t="str">
        <f>"1552376634912844"</f>
        <v>1552376634912844</v>
      </c>
      <c r="C4940" t="s">
        <v>40</v>
      </c>
      <c r="D4940">
        <v>4.9266959999999997</v>
      </c>
      <c r="E4940">
        <v>0.47708810000000001</v>
      </c>
      <c r="F4940" t="s">
        <v>43</v>
      </c>
      <c r="G4940">
        <v>-367.24930000000001</v>
      </c>
      <c r="H4940" s="1">
        <v>-1.573491E-6</v>
      </c>
      <c r="I4940">
        <v>141.16139999999999</v>
      </c>
      <c r="J4940">
        <v>-343.24020000000002</v>
      </c>
      <c r="K4940">
        <v>1.11155</v>
      </c>
      <c r="L4940">
        <v>140.5325</v>
      </c>
      <c r="M4940">
        <v>-0.99896929999999995</v>
      </c>
      <c r="N4940">
        <v>0</v>
      </c>
      <c r="O4940">
        <v>4.2930820000000001E-2</v>
      </c>
      <c r="P4940">
        <v>-0.99598149999999996</v>
      </c>
      <c r="Q4940">
        <v>1.417242E-2</v>
      </c>
      <c r="R4940">
        <v>8.8433579999999998E-2</v>
      </c>
      <c r="S4940">
        <v>-3.0074160000000001</v>
      </c>
      <c r="T4940">
        <v>-0.1371686</v>
      </c>
      <c r="U4940">
        <v>7.9437259999999996E-2</v>
      </c>
      <c r="V4940">
        <v>4.5506739999999997E-2</v>
      </c>
      <c r="W4940">
        <v>2.9027500000000001E-2</v>
      </c>
      <c r="X4940">
        <v>0.99854219999999905</v>
      </c>
      <c r="Y4940">
        <v>-1.6478599999999899E-2</v>
      </c>
      <c r="Z4940">
        <v>-2.3317419999999999E-3</v>
      </c>
      <c r="AA4940">
        <v>0.99986149999999996</v>
      </c>
      <c r="AB4940">
        <v>36</v>
      </c>
      <c r="AC4940">
        <v>-24.009099999999901</v>
      </c>
      <c r="AD4940">
        <v>-1.111551573491</v>
      </c>
      <c r="AE4940">
        <v>0.62889999999998702</v>
      </c>
      <c r="AF4940">
        <v>-0.40166195022920997</v>
      </c>
      <c r="AG4940">
        <v>-1.111551573491</v>
      </c>
      <c r="AH4940">
        <v>23.962635262561101</v>
      </c>
      <c r="AI4940">
        <v>92.655495388371193</v>
      </c>
      <c r="AJ4940">
        <v>90.960302542589503</v>
      </c>
      <c r="AK4940">
        <v>23.991764585985099</v>
      </c>
      <c r="AL4940">
        <v>88.336613097561198</v>
      </c>
      <c r="AM4940">
        <v>87.3906547859699</v>
      </c>
      <c r="AN4940">
        <v>0.99999999216125801</v>
      </c>
    </row>
    <row r="4941" spans="1:40" x14ac:dyDescent="0.25">
      <c r="A4941" t="str">
        <f>"20190312154354933"</f>
        <v>20190312154354933</v>
      </c>
      <c r="B4941" t="str">
        <f>"1552376634922604"</f>
        <v>1552376634922604</v>
      </c>
      <c r="C4941" t="s">
        <v>40</v>
      </c>
      <c r="D4941">
        <v>4.9033170000000004</v>
      </c>
      <c r="E4941">
        <v>0.47720109999999899</v>
      </c>
      <c r="F4941" t="s">
        <v>43</v>
      </c>
      <c r="G4941">
        <v>-367.64359999999999</v>
      </c>
      <c r="H4941" s="1">
        <v>-1.4025919999999999E-6</v>
      </c>
      <c r="I4941">
        <v>141.1549</v>
      </c>
      <c r="J4941">
        <v>-343.49529999999999</v>
      </c>
      <c r="K4941">
        <v>1.1115459999999999</v>
      </c>
      <c r="L4941">
        <v>140.54259999999999</v>
      </c>
      <c r="M4941">
        <v>-0.99900690000000003</v>
      </c>
      <c r="N4941">
        <v>0</v>
      </c>
      <c r="O4941">
        <v>4.205068E-2</v>
      </c>
      <c r="P4941">
        <v>-0.99613490000000005</v>
      </c>
      <c r="Q4941">
        <v>1.4017719999999999E-2</v>
      </c>
      <c r="R4941">
        <v>8.6712899999999996E-2</v>
      </c>
      <c r="S4941">
        <v>-3.007263</v>
      </c>
      <c r="T4941">
        <v>-0.13697809999999999</v>
      </c>
      <c r="U4941">
        <v>7.6705930000000005E-2</v>
      </c>
      <c r="V4941">
        <v>4.4661569999999998E-2</v>
      </c>
      <c r="W4941">
        <v>2.88683E-2</v>
      </c>
      <c r="X4941">
        <v>0.99858499999999994</v>
      </c>
      <c r="Y4941">
        <v>-1.6504890000000001E-2</v>
      </c>
      <c r="Z4941">
        <v>-2.2892310000000001E-3</v>
      </c>
      <c r="AA4941">
        <v>0.99986120000000001</v>
      </c>
      <c r="AB4941">
        <v>36</v>
      </c>
      <c r="AC4941">
        <v>-24.148299999999999</v>
      </c>
      <c r="AD4941">
        <v>-1.111547402592</v>
      </c>
      <c r="AE4941">
        <v>0.61230000000000395</v>
      </c>
      <c r="AF4941">
        <v>-0.40295110656656902</v>
      </c>
      <c r="AG4941">
        <v>-1.111547402592</v>
      </c>
      <c r="AH4941">
        <v>24.101653172075899</v>
      </c>
      <c r="AI4941">
        <v>92.640192286807107</v>
      </c>
      <c r="AJ4941">
        <v>90.9578283627106</v>
      </c>
      <c r="AK4941">
        <v>24.130635981041401</v>
      </c>
      <c r="AL4941">
        <v>88.345738453382793</v>
      </c>
      <c r="AM4941">
        <v>87.439161113742202</v>
      </c>
      <c r="AN4941">
        <v>1.0000000184023701</v>
      </c>
    </row>
    <row r="4942" spans="1:40" x14ac:dyDescent="0.25">
      <c r="A4942" t="str">
        <f>"20190312154354950"</f>
        <v>20190312154354950</v>
      </c>
      <c r="B4942" t="str">
        <f>"1552376634942123"</f>
        <v>1552376634942123</v>
      </c>
      <c r="C4942" t="s">
        <v>40</v>
      </c>
      <c r="D4942">
        <v>4.8780669999999997</v>
      </c>
      <c r="E4942">
        <v>0.47747109999999898</v>
      </c>
      <c r="F4942" t="s">
        <v>43</v>
      </c>
      <c r="G4942">
        <v>-367.8433</v>
      </c>
      <c r="H4942" s="1">
        <v>-1.30997E-6</v>
      </c>
      <c r="I4942">
        <v>141.12870000000001</v>
      </c>
      <c r="J4942">
        <v>-343.7704</v>
      </c>
      <c r="K4942">
        <v>1.1115379999999999</v>
      </c>
      <c r="L4942">
        <v>140.55330000000001</v>
      </c>
      <c r="M4942">
        <v>-0.99904630000000005</v>
      </c>
      <c r="N4942">
        <v>0</v>
      </c>
      <c r="O4942">
        <v>4.1101529999999997E-2</v>
      </c>
      <c r="P4942">
        <v>-0.99631539999999996</v>
      </c>
      <c r="Q4942">
        <v>1.332407E-2</v>
      </c>
      <c r="R4942">
        <v>8.472238E-2</v>
      </c>
      <c r="S4942">
        <v>-3.007263</v>
      </c>
      <c r="T4942">
        <v>-0.13728950000000001</v>
      </c>
      <c r="U4942">
        <v>7.2402949999999994E-2</v>
      </c>
      <c r="V4942">
        <v>4.3616429999999998E-2</v>
      </c>
      <c r="W4942">
        <v>2.816954E-2</v>
      </c>
      <c r="X4942">
        <v>0.99865110000000001</v>
      </c>
      <c r="Y4942">
        <v>-1.698494E-2</v>
      </c>
      <c r="Z4942">
        <v>-2.2621669999999998E-3</v>
      </c>
      <c r="AA4942">
        <v>0.9998532</v>
      </c>
      <c r="AB4942">
        <v>36</v>
      </c>
      <c r="AC4942">
        <v>-24.072900000000001</v>
      </c>
      <c r="AD4942">
        <v>-1.1115393099699999</v>
      </c>
      <c r="AE4942">
        <v>0.57540000000000102</v>
      </c>
      <c r="AF4942">
        <v>-0.41374518954832701</v>
      </c>
      <c r="AG4942">
        <v>-1.1115393099699999</v>
      </c>
      <c r="AH4942">
        <v>24.025013024085101</v>
      </c>
      <c r="AI4942">
        <v>92.648560757049196</v>
      </c>
      <c r="AJ4942">
        <v>90.986617988710805</v>
      </c>
      <c r="AK4942">
        <v>24.0542710454285</v>
      </c>
      <c r="AL4942">
        <v>88.385790661708199</v>
      </c>
      <c r="AM4942">
        <v>87.499176467482897</v>
      </c>
      <c r="AN4942">
        <v>0.99999996774048205</v>
      </c>
    </row>
    <row r="4943" spans="1:40" x14ac:dyDescent="0.25">
      <c r="A4943" t="str">
        <f>"20190312154354966"</f>
        <v>20190312154354966</v>
      </c>
      <c r="B4943" t="str">
        <f>"1552376634952860"</f>
        <v>1552376634952860</v>
      </c>
      <c r="C4943" t="s">
        <v>40</v>
      </c>
      <c r="D4943">
        <v>4.9086550000000004</v>
      </c>
      <c r="E4943">
        <v>0.47747109999999898</v>
      </c>
      <c r="F4943" t="s">
        <v>43</v>
      </c>
      <c r="G4943">
        <v>-367.90179999999998</v>
      </c>
      <c r="H4943" s="1">
        <v>-1.2783070000000001E-6</v>
      </c>
      <c r="I4943">
        <v>141.10409999999999</v>
      </c>
      <c r="J4943">
        <v>-344.02460000000002</v>
      </c>
      <c r="K4943">
        <v>1.111537</v>
      </c>
      <c r="L4943">
        <v>140.56290000000001</v>
      </c>
      <c r="M4943">
        <v>-0.99908200000000003</v>
      </c>
      <c r="N4943">
        <v>0</v>
      </c>
      <c r="O4943">
        <v>4.0224200000000002E-2</v>
      </c>
      <c r="P4943">
        <v>-0.99643289999999995</v>
      </c>
      <c r="Q4943">
        <v>1.2640709999999999E-2</v>
      </c>
      <c r="R4943">
        <v>8.3436910000000003E-2</v>
      </c>
      <c r="S4943">
        <v>-3.0071110000000001</v>
      </c>
      <c r="T4943">
        <v>-0.1385139</v>
      </c>
      <c r="U4943">
        <v>6.8649290000000002E-2</v>
      </c>
      <c r="V4943">
        <v>4.3206689999999999E-2</v>
      </c>
      <c r="W4943">
        <v>2.7482690000000001E-2</v>
      </c>
      <c r="X4943">
        <v>0.99868809999999997</v>
      </c>
      <c r="Y4943">
        <v>-1.7352530000000001E-2</v>
      </c>
      <c r="Z4943">
        <v>-2.2505870000000001E-3</v>
      </c>
      <c r="AA4943">
        <v>0.99984689999999998</v>
      </c>
      <c r="AB4943">
        <v>36</v>
      </c>
      <c r="AC4943">
        <v>-23.877199999999899</v>
      </c>
      <c r="AD4943">
        <v>-1.111538278307</v>
      </c>
      <c r="AE4943">
        <v>0.54119999999997404</v>
      </c>
      <c r="AF4943">
        <v>-0.41887638735470201</v>
      </c>
      <c r="AG4943">
        <v>-1.111538278307</v>
      </c>
      <c r="AH4943">
        <v>23.828031610732602</v>
      </c>
      <c r="AI4943">
        <v>92.670405229612996</v>
      </c>
      <c r="AJ4943">
        <v>91.007106998541602</v>
      </c>
      <c r="AK4943">
        <v>23.857620694740199</v>
      </c>
      <c r="AL4943">
        <v>88.425159594638899</v>
      </c>
      <c r="AM4943">
        <v>87.522731879831895</v>
      </c>
      <c r="AN4943">
        <v>1.0000000186960001</v>
      </c>
    </row>
    <row r="4944" spans="1:40" x14ac:dyDescent="0.25">
      <c r="A4944" t="str">
        <f>"20190312154354985"</f>
        <v>20190312154354985</v>
      </c>
      <c r="B4944" t="str">
        <f>"1552376634972379"</f>
        <v>1552376634972379</v>
      </c>
      <c r="C4944" t="s">
        <v>40</v>
      </c>
      <c r="D4944">
        <v>4.8669739999999999</v>
      </c>
      <c r="E4944">
        <v>0.48491109999999998</v>
      </c>
      <c r="F4944" t="s">
        <v>43</v>
      </c>
      <c r="G4944">
        <v>-367.7987</v>
      </c>
      <c r="H4944" s="1">
        <v>-1.3146610000000001E-6</v>
      </c>
      <c r="I4944">
        <v>141.0744</v>
      </c>
      <c r="J4944">
        <v>-344.3116</v>
      </c>
      <c r="K4944">
        <v>1.111531</v>
      </c>
      <c r="L4944">
        <v>140.5735</v>
      </c>
      <c r="M4944">
        <v>-0.9991215</v>
      </c>
      <c r="N4944">
        <v>0</v>
      </c>
      <c r="O4944">
        <v>3.9233089999999998E-2</v>
      </c>
      <c r="P4944">
        <v>-0.99660490000000002</v>
      </c>
      <c r="Q4944">
        <v>1.1880949999999999E-2</v>
      </c>
      <c r="R4944">
        <v>8.1471639999999998E-2</v>
      </c>
      <c r="S4944">
        <v>-3.0071409999999998</v>
      </c>
      <c r="T4944">
        <v>-0.1405969</v>
      </c>
      <c r="U4944">
        <v>6.4712519999999996E-2</v>
      </c>
      <c r="V4944">
        <v>4.2229349999999999E-2</v>
      </c>
      <c r="W4944">
        <v>2.6717640000000001E-2</v>
      </c>
      <c r="X4944">
        <v>0.99875060000000004</v>
      </c>
      <c r="Y4944">
        <v>-1.7668099999999999E-2</v>
      </c>
      <c r="Z4944">
        <v>-2.2455130000000002E-3</v>
      </c>
      <c r="AA4944">
        <v>0.99984139999999999</v>
      </c>
      <c r="AB4944">
        <v>36</v>
      </c>
      <c r="AC4944">
        <v>-23.487100000000002</v>
      </c>
      <c r="AD4944">
        <v>-1.1115323146610001</v>
      </c>
      <c r="AE4944">
        <v>0.50090000000000101</v>
      </c>
      <c r="AF4944">
        <v>-0.42011673644382003</v>
      </c>
      <c r="AG4944">
        <v>-1.1115323146610001</v>
      </c>
      <c r="AH4944">
        <v>23.4362013537344</v>
      </c>
      <c r="AI4944">
        <v>92.714954295833095</v>
      </c>
      <c r="AJ4944">
        <v>91.026972661411904</v>
      </c>
      <c r="AK4944">
        <v>23.4663063998482</v>
      </c>
      <c r="AL4944">
        <v>88.4690097396347</v>
      </c>
      <c r="AM4944">
        <v>87.578851830664206</v>
      </c>
      <c r="AN4944">
        <v>0.99999995564447497</v>
      </c>
    </row>
    <row r="4945" spans="1:40" x14ac:dyDescent="0.25">
      <c r="A4945" t="str">
        <f>"20190312154355130"</f>
        <v>20190312154355130</v>
      </c>
      <c r="B4945" t="str">
        <f>"1552376635122684"</f>
        <v>1552376635122684</v>
      </c>
      <c r="C4945" t="s">
        <v>40</v>
      </c>
      <c r="D4945">
        <v>3.6008909999999998</v>
      </c>
      <c r="E4945">
        <v>0.48422100000000001</v>
      </c>
      <c r="F4945" t="s">
        <v>43</v>
      </c>
      <c r="G4945">
        <v>-369.8467</v>
      </c>
      <c r="H4945" s="1">
        <v>-5.7100199999999997E-7</v>
      </c>
      <c r="I4945">
        <v>141.58160000000001</v>
      </c>
      <c r="J4945">
        <v>-346.60059999999999</v>
      </c>
      <c r="K4945">
        <v>1.111529</v>
      </c>
      <c r="L4945">
        <v>140.64769999999999</v>
      </c>
      <c r="M4945">
        <v>-0.99940119999999999</v>
      </c>
      <c r="N4945">
        <v>0</v>
      </c>
      <c r="O4945">
        <v>3.1322210000000003E-2</v>
      </c>
      <c r="P4945">
        <v>-0.99729230000000002</v>
      </c>
      <c r="Q4945">
        <v>1.1556210000000001E-2</v>
      </c>
      <c r="R4945">
        <v>7.2624980000000006E-2</v>
      </c>
      <c r="S4945">
        <v>-3.002075</v>
      </c>
      <c r="T4945">
        <v>-0.130679399999999</v>
      </c>
      <c r="U4945">
        <v>0.11853030000000001</v>
      </c>
      <c r="V4945">
        <v>4.127509E-2</v>
      </c>
      <c r="W4945">
        <v>2.6363480000000002E-2</v>
      </c>
      <c r="X4945">
        <v>0.99879989999999996</v>
      </c>
      <c r="Y4945">
        <v>8.1533609999999996E-3</v>
      </c>
      <c r="Z4945">
        <v>-1.184736E-3</v>
      </c>
      <c r="AA4945">
        <v>0.99996609999999997</v>
      </c>
      <c r="AB4945">
        <v>35</v>
      </c>
      <c r="AC4945">
        <v>-23.246099999999998</v>
      </c>
      <c r="AD4945">
        <v>-1.1115295710019999</v>
      </c>
      <c r="AE4945">
        <v>0.93390000000002205</v>
      </c>
      <c r="AF4945">
        <v>0.20477630387864401</v>
      </c>
      <c r="AG4945">
        <v>-1.1115295710019999</v>
      </c>
      <c r="AH4945">
        <v>23.210963790927</v>
      </c>
      <c r="AI4945">
        <v>92.741586472437504</v>
      </c>
      <c r="AJ4945">
        <v>89.494527083416898</v>
      </c>
      <c r="AK4945">
        <v>23.2384653414456</v>
      </c>
      <c r="AL4945">
        <v>88.489308760788902</v>
      </c>
      <c r="AM4945">
        <v>87.633616465998202</v>
      </c>
      <c r="AN4945">
        <v>0.99999995318611301</v>
      </c>
    </row>
    <row r="4946" spans="1:40" x14ac:dyDescent="0.25">
      <c r="A4946" t="str">
        <f>"20190312154355151"</f>
        <v>20190312154355151</v>
      </c>
      <c r="B4946" t="str">
        <f>"1552376635142204"</f>
        <v>1552376635142204</v>
      </c>
      <c r="C4946" t="s">
        <v>40</v>
      </c>
      <c r="D4946">
        <v>4.0095970000000003</v>
      </c>
      <c r="E4946">
        <v>0.43923830000000003</v>
      </c>
      <c r="F4946" t="s">
        <v>43</v>
      </c>
      <c r="G4946">
        <v>-368.89609999999999</v>
      </c>
      <c r="H4946" s="1">
        <v>-9.0029849999999899E-7</v>
      </c>
      <c r="I4946">
        <v>141.28639999999999</v>
      </c>
      <c r="J4946">
        <v>-346.94229999999999</v>
      </c>
      <c r="K4946">
        <v>1.1115280000000001</v>
      </c>
      <c r="L4946">
        <v>140.65719999999999</v>
      </c>
      <c r="M4946">
        <v>-0.99943749999999998</v>
      </c>
      <c r="N4946">
        <v>0</v>
      </c>
      <c r="O4946">
        <v>3.014329E-2</v>
      </c>
      <c r="P4946">
        <v>-0.99735459999999998</v>
      </c>
      <c r="Q4946">
        <v>1.198376E-2</v>
      </c>
      <c r="R4946">
        <v>7.1696800000000005E-2</v>
      </c>
      <c r="S4946">
        <v>-3.0036010000000002</v>
      </c>
      <c r="T4946">
        <v>-0.1497434</v>
      </c>
      <c r="U4946">
        <v>8.6059570000000002E-2</v>
      </c>
      <c r="V4946">
        <v>4.1523070000000002E-2</v>
      </c>
      <c r="W4946">
        <v>2.678724E-2</v>
      </c>
      <c r="X4946">
        <v>0.99877839999999996</v>
      </c>
      <c r="Y4946">
        <v>-1.467611E-3</v>
      </c>
      <c r="Z4946">
        <v>-1.537926E-3</v>
      </c>
      <c r="AA4946">
        <v>0.99999769999999999</v>
      </c>
      <c r="AB4946">
        <v>35</v>
      </c>
      <c r="AC4946">
        <v>-21.953800000000001</v>
      </c>
      <c r="AD4946">
        <v>-1.1115289002985</v>
      </c>
      <c r="AE4946">
        <v>0.62919999999999698</v>
      </c>
      <c r="AF4946">
        <v>-3.2833144820158797E-2</v>
      </c>
      <c r="AG4946">
        <v>-1.1115289002985</v>
      </c>
      <c r="AH4946">
        <v>21.906679741501499</v>
      </c>
      <c r="AI4946">
        <v>92.904651727313905</v>
      </c>
      <c r="AJ4946">
        <v>90.085873315351407</v>
      </c>
      <c r="AK4946">
        <v>21.934885270005601</v>
      </c>
      <c r="AL4946">
        <v>88.465020604173901</v>
      </c>
      <c r="AM4946">
        <v>87.619364397886898</v>
      </c>
      <c r="AN4946">
        <v>1.0000000069377999</v>
      </c>
    </row>
    <row r="4947" spans="1:40" x14ac:dyDescent="0.25">
      <c r="A4947" t="str">
        <f>"20190312154355166"</f>
        <v>20190312154355166</v>
      </c>
      <c r="B4947" t="str">
        <f>"1552376635162700"</f>
        <v>1552376635162700</v>
      </c>
      <c r="C4947" t="s">
        <v>40</v>
      </c>
      <c r="D4947">
        <v>5.1796049999999996</v>
      </c>
      <c r="E4947">
        <v>0.43923830000000003</v>
      </c>
      <c r="F4947" t="s">
        <v>43</v>
      </c>
      <c r="G4947">
        <v>-349.9794</v>
      </c>
      <c r="H4947" s="1">
        <v>-4.4132199999999899E-6</v>
      </c>
      <c r="I4947">
        <v>140.3503</v>
      </c>
      <c r="J4947">
        <v>-347.18650000000002</v>
      </c>
      <c r="K4947">
        <v>1.111526</v>
      </c>
      <c r="L4947">
        <v>140.66380000000001</v>
      </c>
      <c r="M4947">
        <v>-0.99946250000000003</v>
      </c>
      <c r="N4947">
        <v>0</v>
      </c>
      <c r="O4947">
        <v>2.9302539999999998E-2</v>
      </c>
      <c r="P4947">
        <v>-0.99739460000000002</v>
      </c>
      <c r="Q4947">
        <v>1.2278620000000001E-2</v>
      </c>
      <c r="R4947">
        <v>7.1085809999999999E-2</v>
      </c>
      <c r="S4947">
        <v>-3.0434570000000001</v>
      </c>
      <c r="T4947">
        <v>-1.11385499999999</v>
      </c>
      <c r="U4947">
        <v>-0.30752560000000001</v>
      </c>
      <c r="V4947">
        <v>4.1751080000000003E-2</v>
      </c>
      <c r="W4947">
        <v>2.7078959999999999E-2</v>
      </c>
      <c r="X4947">
        <v>0.99876100000000001</v>
      </c>
      <c r="Y4947">
        <v>-0.1200468</v>
      </c>
      <c r="Z4947">
        <v>-3.15953E-2</v>
      </c>
      <c r="AA4947">
        <v>0.99226530000000002</v>
      </c>
      <c r="AB4947">
        <v>35</v>
      </c>
      <c r="AC4947">
        <v>-2.7928999999999702</v>
      </c>
      <c r="AD4947">
        <v>-1.1115304132199999</v>
      </c>
      <c r="AE4947">
        <v>-0.313500000000004</v>
      </c>
      <c r="AF4947">
        <v>-0.34175562133422599</v>
      </c>
      <c r="AG4947">
        <v>-1.1115304132199999</v>
      </c>
      <c r="AH4947">
        <v>2.4061426965880801</v>
      </c>
      <c r="AI4947">
        <v>114.577695804511</v>
      </c>
      <c r="AJ4947">
        <v>98.083913846915706</v>
      </c>
      <c r="AK4947">
        <v>2.6724182757515198</v>
      </c>
      <c r="AL4947">
        <v>88.448300170455894</v>
      </c>
      <c r="AM4947">
        <v>87.606265447463301</v>
      </c>
      <c r="AN4947">
        <v>0.99999997893842296</v>
      </c>
    </row>
    <row r="4948" spans="1:40" x14ac:dyDescent="0.25">
      <c r="A4948" t="str">
        <f>"20190312154355185"</f>
        <v>20190312154355185</v>
      </c>
      <c r="B4948" t="str">
        <f>"1552376635182220"</f>
        <v>1552376635182220</v>
      </c>
      <c r="C4948" t="s">
        <v>40</v>
      </c>
      <c r="D4948">
        <v>4.8780340000000004</v>
      </c>
      <c r="E4948">
        <v>0.42288900000000001</v>
      </c>
      <c r="F4948" t="s">
        <v>41</v>
      </c>
      <c r="G4948">
        <v>-347.85390000000001</v>
      </c>
      <c r="H4948">
        <v>0.867457699999999</v>
      </c>
      <c r="I4948">
        <v>140.59620000000001</v>
      </c>
      <c r="J4948">
        <v>-347.46339999999998</v>
      </c>
      <c r="K4948">
        <v>1.1115219999999999</v>
      </c>
      <c r="L4948">
        <v>140.67099999999999</v>
      </c>
      <c r="M4948">
        <v>-0.99948999999999999</v>
      </c>
      <c r="N4948">
        <v>0</v>
      </c>
      <c r="O4948">
        <v>2.8351589999999999E-2</v>
      </c>
      <c r="P4948">
        <v>-0.99743870000000001</v>
      </c>
      <c r="Q4948">
        <v>1.203241E-2</v>
      </c>
      <c r="R4948">
        <v>7.0508609999999999E-2</v>
      </c>
      <c r="S4948">
        <v>-3.0436100000000001</v>
      </c>
      <c r="T4948">
        <v>-1.11307</v>
      </c>
      <c r="U4948">
        <v>-0.309143099999999</v>
      </c>
      <c r="V4948">
        <v>4.2124389999999998E-2</v>
      </c>
      <c r="W4948">
        <v>2.6830139999999999E-2</v>
      </c>
      <c r="X4948">
        <v>0.99875210000000003</v>
      </c>
      <c r="Y4948">
        <v>-0.1197174</v>
      </c>
      <c r="Z4948">
        <v>-3.1177710000000001E-2</v>
      </c>
      <c r="AA4948">
        <v>0.99231829999999999</v>
      </c>
      <c r="AB4948">
        <v>35</v>
      </c>
      <c r="AC4948">
        <v>-0.39050000000003099</v>
      </c>
      <c r="AD4948">
        <v>-0.24406430000000001</v>
      </c>
      <c r="AE4948">
        <v>-7.4799999999981895E-2</v>
      </c>
      <c r="AF4948">
        <v>-6.23489852420284E-2</v>
      </c>
      <c r="AG4948">
        <v>-0.24406430000000001</v>
      </c>
      <c r="AH4948">
        <v>0.28197309305323598</v>
      </c>
      <c r="AI4948">
        <v>130.20264654360199</v>
      </c>
      <c r="AJ4948">
        <v>102.468437552091</v>
      </c>
      <c r="AK4948">
        <v>0.37810528123950998</v>
      </c>
      <c r="AL4948">
        <v>88.462561780716101</v>
      </c>
      <c r="AM4948">
        <v>87.584866022712305</v>
      </c>
      <c r="AN4948">
        <v>1.00000003894985</v>
      </c>
    </row>
    <row r="4949" spans="1:40" x14ac:dyDescent="0.25">
      <c r="A4949" t="str">
        <f>"20190312154355201"</f>
        <v>20190312154355201</v>
      </c>
      <c r="B4949" t="str">
        <f>"1552376635192956"</f>
        <v>1552376635192956</v>
      </c>
      <c r="C4949" t="s">
        <v>40</v>
      </c>
      <c r="D4949">
        <v>4.9795769999999999</v>
      </c>
      <c r="E4949">
        <v>0.42343320000000001</v>
      </c>
      <c r="F4949" t="s">
        <v>43</v>
      </c>
      <c r="G4949">
        <v>-355.42579999999998</v>
      </c>
      <c r="H4949" s="1">
        <v>-1.951619E-6</v>
      </c>
      <c r="I4949">
        <v>139.57679999999999</v>
      </c>
      <c r="J4949">
        <v>-347.72710000000001</v>
      </c>
      <c r="K4949">
        <v>1.111518</v>
      </c>
      <c r="L4949">
        <v>140.67760000000001</v>
      </c>
      <c r="M4949">
        <v>-0.99951540000000005</v>
      </c>
      <c r="N4949">
        <v>0</v>
      </c>
      <c r="O4949">
        <v>2.7446600000000002E-2</v>
      </c>
      <c r="P4949">
        <v>-0.99750620000000001</v>
      </c>
      <c r="Q4949">
        <v>1.197633E-2</v>
      </c>
      <c r="R4949">
        <v>6.9559250000000003E-2</v>
      </c>
      <c r="S4949">
        <v>-3.042389</v>
      </c>
      <c r="T4949">
        <v>-0.42470599999999997</v>
      </c>
      <c r="U4949">
        <v>-0.418045</v>
      </c>
      <c r="V4949">
        <v>4.2078520000000001E-2</v>
      </c>
      <c r="W4949">
        <v>2.6770559999999999E-2</v>
      </c>
      <c r="X4949">
        <v>0.99875559999999997</v>
      </c>
      <c r="Y4949">
        <v>-0.16147069999999999</v>
      </c>
      <c r="Z4949">
        <v>-1.4961479999999999E-2</v>
      </c>
      <c r="AA4949">
        <v>0.98676410000000003</v>
      </c>
      <c r="AB4949">
        <v>35</v>
      </c>
      <c r="AC4949">
        <v>-7.6986999999999703</v>
      </c>
      <c r="AD4949">
        <v>-1.111519951619</v>
      </c>
      <c r="AE4949">
        <v>-1.10080000000002</v>
      </c>
      <c r="AF4949">
        <v>-1.2854528476796401</v>
      </c>
      <c r="AG4949">
        <v>-1.111519951619</v>
      </c>
      <c r="AH4949">
        <v>7.5121302967244796</v>
      </c>
      <c r="AI4949">
        <v>98.297717078368805</v>
      </c>
      <c r="AJ4949">
        <v>99.710232958438993</v>
      </c>
      <c r="AK4949">
        <v>7.7019456776466999</v>
      </c>
      <c r="AL4949">
        <v>88.465976640149805</v>
      </c>
      <c r="AM4949">
        <v>87.587501240516502</v>
      </c>
      <c r="AN4949">
        <v>1.0000000066297301</v>
      </c>
    </row>
    <row r="4950" spans="1:40" x14ac:dyDescent="0.25">
      <c r="A4950" t="str">
        <f>"20190312154355220"</f>
        <v>20190312154355220</v>
      </c>
      <c r="B4950" t="str">
        <f>"1552376635212476"</f>
        <v>1552376635212476</v>
      </c>
      <c r="C4950" t="s">
        <v>40</v>
      </c>
      <c r="D4950">
        <v>4.9355849999999997</v>
      </c>
      <c r="E4950">
        <v>0.4271779</v>
      </c>
      <c r="F4950" t="s">
        <v>43</v>
      </c>
      <c r="G4950">
        <v>-357.02199999999999</v>
      </c>
      <c r="H4950" s="1">
        <v>-1.296248E-6</v>
      </c>
      <c r="I4950">
        <v>139.4111</v>
      </c>
      <c r="J4950">
        <v>-348.00779999999997</v>
      </c>
      <c r="K4950">
        <v>1.111507</v>
      </c>
      <c r="L4950">
        <v>140.68430000000001</v>
      </c>
      <c r="M4950">
        <v>-0.99954120000000002</v>
      </c>
      <c r="N4950">
        <v>0</v>
      </c>
      <c r="O4950">
        <v>2.6485760000000001E-2</v>
      </c>
      <c r="P4950">
        <v>-0.99761759999999999</v>
      </c>
      <c r="Q4950">
        <v>1.086431E-2</v>
      </c>
      <c r="R4950">
        <v>6.8126290000000006E-2</v>
      </c>
      <c r="S4950">
        <v>-3.0407709999999999</v>
      </c>
      <c r="T4950">
        <v>-0.36362840000000002</v>
      </c>
      <c r="U4950">
        <v>-0.41429139999999998</v>
      </c>
      <c r="V4950">
        <v>4.1606850000000001E-2</v>
      </c>
      <c r="W4950">
        <v>2.5654670000000001E-2</v>
      </c>
      <c r="X4950">
        <v>0.99880460000000004</v>
      </c>
      <c r="Y4950">
        <v>-0.15989210000000001</v>
      </c>
      <c r="Z4950">
        <v>-1.2626149999999999E-2</v>
      </c>
      <c r="AA4950">
        <v>0.98705379999999998</v>
      </c>
      <c r="AB4950">
        <v>35</v>
      </c>
      <c r="AC4950">
        <v>-9.0142000000000095</v>
      </c>
      <c r="AD4950">
        <v>-1.1115082962480001</v>
      </c>
      <c r="AE4950">
        <v>-1.2732000000000001</v>
      </c>
      <c r="AF4950">
        <v>-1.48932549080222</v>
      </c>
      <c r="AG4950">
        <v>-1.1115082962480001</v>
      </c>
      <c r="AH4950">
        <v>8.8454519868937496</v>
      </c>
      <c r="AI4950">
        <v>97.063774733099805</v>
      </c>
      <c r="AJ4950">
        <v>99.557357482023903</v>
      </c>
      <c r="AK4950">
        <v>9.0385597283319505</v>
      </c>
      <c r="AL4950">
        <v>88.529934339158601</v>
      </c>
      <c r="AM4950">
        <v>87.614629096403505</v>
      </c>
      <c r="AN4950">
        <v>0.99999996052044404</v>
      </c>
    </row>
    <row r="4951" spans="1:40" x14ac:dyDescent="0.25">
      <c r="A4951" t="str">
        <f>"20190312154355242"</f>
        <v>20190312154355242</v>
      </c>
      <c r="B4951" t="str">
        <f>"1552376635232971"</f>
        <v>1552376635232971</v>
      </c>
      <c r="C4951" t="s">
        <v>40</v>
      </c>
      <c r="D4951">
        <v>5.1625699999999997</v>
      </c>
      <c r="E4951">
        <v>0.4291122</v>
      </c>
      <c r="F4951" t="s">
        <v>43</v>
      </c>
      <c r="G4951">
        <v>-360.17770000000002</v>
      </c>
      <c r="H4951" s="1">
        <v>-4.28038E-6</v>
      </c>
      <c r="I4951">
        <v>139.14070000000001</v>
      </c>
      <c r="J4951">
        <v>-348.35489999999999</v>
      </c>
      <c r="K4951">
        <v>1.111507</v>
      </c>
      <c r="L4951">
        <v>140.69229999999999</v>
      </c>
      <c r="M4951">
        <v>-0.99957200000000002</v>
      </c>
      <c r="N4951">
        <v>0</v>
      </c>
      <c r="O4951">
        <v>2.52993E-2</v>
      </c>
      <c r="P4951">
        <v>-0.99776920000000002</v>
      </c>
      <c r="Q4951">
        <v>1.0564870000000001E-2</v>
      </c>
      <c r="R4951">
        <v>6.5915440000000006E-2</v>
      </c>
      <c r="S4951">
        <v>-3.0364689999999999</v>
      </c>
      <c r="T4951">
        <v>-0.27732859999999998</v>
      </c>
      <c r="U4951">
        <v>-0.38511659999999998</v>
      </c>
      <c r="V4951">
        <v>4.0579650000000002E-2</v>
      </c>
      <c r="W4951">
        <v>2.5348639999999999E-2</v>
      </c>
      <c r="X4951">
        <v>0.99885469999999998</v>
      </c>
      <c r="Y4951">
        <v>-0.15016379999999999</v>
      </c>
      <c r="Z4951">
        <v>-9.1137460000000007E-3</v>
      </c>
      <c r="AA4951">
        <v>0.98861909999999997</v>
      </c>
      <c r="AB4951">
        <v>35</v>
      </c>
      <c r="AC4951">
        <v>-11.822800000000001</v>
      </c>
      <c r="AD4951">
        <v>-1.11151128037999</v>
      </c>
      <c r="AE4951">
        <v>-1.5515999999999699</v>
      </c>
      <c r="AF4951">
        <v>-1.8343057795589</v>
      </c>
      <c r="AG4951">
        <v>-1.11151128037999</v>
      </c>
      <c r="AH4951">
        <v>11.678283508123499</v>
      </c>
      <c r="AI4951">
        <v>95.371435240588298</v>
      </c>
      <c r="AJ4951">
        <v>98.926505659559197</v>
      </c>
      <c r="AK4951">
        <v>11.873602684755999</v>
      </c>
      <c r="AL4951">
        <v>88.547474309592701</v>
      </c>
      <c r="AM4951">
        <v>87.673570746683595</v>
      </c>
      <c r="AN4951">
        <v>0.99999998662803002</v>
      </c>
    </row>
    <row r="4952" spans="1:40" x14ac:dyDescent="0.25">
      <c r="A4952" t="str">
        <f>"20190312154355264"</f>
        <v>20190312154355264</v>
      </c>
      <c r="B4952" t="str">
        <f>"1552376635252492"</f>
        <v>1552376635252492</v>
      </c>
      <c r="C4952" t="s">
        <v>40</v>
      </c>
      <c r="D4952">
        <v>4.8604609999999999</v>
      </c>
      <c r="E4952">
        <v>0.43581550000000002</v>
      </c>
      <c r="F4952" t="s">
        <v>43</v>
      </c>
      <c r="G4952">
        <v>-362.16969999999998</v>
      </c>
      <c r="H4952" s="1">
        <v>-3.4537259999999999E-6</v>
      </c>
      <c r="I4952">
        <v>138.98339999999999</v>
      </c>
      <c r="J4952">
        <v>-348.69409999999999</v>
      </c>
      <c r="K4952">
        <v>1.1115090000000001</v>
      </c>
      <c r="L4952">
        <v>140.69970000000001</v>
      </c>
      <c r="M4952">
        <v>-0.99960079999999996</v>
      </c>
      <c r="N4952">
        <v>0</v>
      </c>
      <c r="O4952">
        <v>2.4142919999999998E-2</v>
      </c>
      <c r="P4952">
        <v>-0.99791929999999995</v>
      </c>
      <c r="Q4952">
        <v>1.1421600000000001E-2</v>
      </c>
      <c r="R4952">
        <v>6.3459070000000006E-2</v>
      </c>
      <c r="S4952">
        <v>-3.0340880000000001</v>
      </c>
      <c r="T4952">
        <v>-0.2441181</v>
      </c>
      <c r="U4952">
        <v>-0.37528990000000001</v>
      </c>
      <c r="V4952">
        <v>3.9274339999999998E-2</v>
      </c>
      <c r="W4952">
        <v>2.6197600000000001E-2</v>
      </c>
      <c r="X4952">
        <v>0.99888500000000002</v>
      </c>
      <c r="Y4952">
        <v>-0.1461404</v>
      </c>
      <c r="Z4952">
        <v>-7.780286E-3</v>
      </c>
      <c r="AA4952">
        <v>0.98923329999999998</v>
      </c>
      <c r="AB4952">
        <v>35</v>
      </c>
      <c r="AC4952">
        <v>-13.475599999999901</v>
      </c>
      <c r="AD4952">
        <v>-1.1115124537259999</v>
      </c>
      <c r="AE4952">
        <v>-1.7163000000000099</v>
      </c>
      <c r="AF4952">
        <v>-2.0276004099373401</v>
      </c>
      <c r="AG4952">
        <v>-1.1115124537259999</v>
      </c>
      <c r="AH4952">
        <v>13.340914209174899</v>
      </c>
      <c r="AI4952">
        <v>94.708832138291697</v>
      </c>
      <c r="AJ4952">
        <v>98.641885158654901</v>
      </c>
      <c r="AK4952">
        <v>13.5398159254006</v>
      </c>
      <c r="AL4952">
        <v>88.498816362733905</v>
      </c>
      <c r="AM4952">
        <v>87.748394030101295</v>
      </c>
      <c r="AN4952">
        <v>1.00000001562659</v>
      </c>
    </row>
    <row r="4953" spans="1:40" x14ac:dyDescent="0.25">
      <c r="A4953" t="str">
        <f>"20190312154355285"</f>
        <v>20190312154355285</v>
      </c>
      <c r="B4953" t="str">
        <f>"1552376635282748"</f>
        <v>1552376635282748</v>
      </c>
      <c r="C4953" t="s">
        <v>40</v>
      </c>
      <c r="D4953">
        <v>4.879651</v>
      </c>
      <c r="E4953">
        <v>0.43423780000000001</v>
      </c>
      <c r="F4953" t="s">
        <v>56</v>
      </c>
      <c r="G4953">
        <v>0</v>
      </c>
      <c r="H4953">
        <v>0</v>
      </c>
      <c r="I4953">
        <v>0</v>
      </c>
      <c r="J4953">
        <v>-349.03550000000001</v>
      </c>
      <c r="K4953">
        <v>1.1115159999999999</v>
      </c>
      <c r="L4953">
        <v>140.70679999999999</v>
      </c>
      <c r="M4953">
        <v>-0.99962830000000003</v>
      </c>
      <c r="N4953">
        <v>0</v>
      </c>
      <c r="O4953">
        <v>2.2980219999999999E-2</v>
      </c>
      <c r="P4953">
        <v>-0.998089</v>
      </c>
      <c r="Q4953">
        <v>1.3074270000000001E-2</v>
      </c>
      <c r="R4953">
        <v>6.0398090000000001E-2</v>
      </c>
      <c r="S4953">
        <v>-3.0252379999999999</v>
      </c>
      <c r="T4953">
        <v>0.1111096</v>
      </c>
      <c r="U4953">
        <v>-0.31832890000000003</v>
      </c>
      <c r="V4953">
        <v>3.7368199999999997E-2</v>
      </c>
      <c r="W4953">
        <v>2.7841609999999999E-2</v>
      </c>
      <c r="X4953">
        <v>0.99891359999999996</v>
      </c>
      <c r="Y4953">
        <v>-0.12737519999999999</v>
      </c>
      <c r="Z4953">
        <v>3.173562E-3</v>
      </c>
      <c r="AA4953">
        <v>0.99184950000000005</v>
      </c>
      <c r="AB4953">
        <v>35</v>
      </c>
      <c r="AC4953">
        <v>-3.0252379999999999</v>
      </c>
      <c r="AD4953">
        <v>0.1111096</v>
      </c>
      <c r="AE4953">
        <v>-0.31832890000000003</v>
      </c>
      <c r="AF4953">
        <v>-0.38725627829609199</v>
      </c>
      <c r="AG4953">
        <v>0.1111096</v>
      </c>
      <c r="AH4953">
        <v>3.0131029616115699</v>
      </c>
      <c r="AI4953">
        <v>87.905361539272405</v>
      </c>
      <c r="AJ4953">
        <v>97.3237377413395</v>
      </c>
      <c r="AK4953">
        <v>3.0399181281021899</v>
      </c>
      <c r="AL4953">
        <v>88.404587025894401</v>
      </c>
      <c r="AM4953">
        <v>87.857630282902903</v>
      </c>
      <c r="AN4953">
        <v>0.99999995894179505</v>
      </c>
    </row>
    <row r="4954" spans="1:40" x14ac:dyDescent="0.25">
      <c r="A4954" t="str">
        <f>"20190312154355309"</f>
        <v>20190312154355309</v>
      </c>
      <c r="B4954" t="str">
        <f>"1552376635302268"</f>
        <v>1552376635302268</v>
      </c>
      <c r="C4954" t="s">
        <v>40</v>
      </c>
      <c r="D4954">
        <v>4.8702709999999998</v>
      </c>
      <c r="E4954">
        <v>0.43483100000000002</v>
      </c>
      <c r="F4954" t="s">
        <v>43</v>
      </c>
      <c r="G4954">
        <v>-462.60910000000001</v>
      </c>
      <c r="H4954">
        <v>7.9986680000000004E-2</v>
      </c>
      <c r="I4954">
        <v>127.7769</v>
      </c>
      <c r="J4954">
        <v>-349.38310000000001</v>
      </c>
      <c r="K4954">
        <v>1.1115139999999999</v>
      </c>
      <c r="L4954">
        <v>140.71360000000001</v>
      </c>
      <c r="M4954">
        <v>-0.99965470000000001</v>
      </c>
      <c r="N4954">
        <v>0</v>
      </c>
      <c r="O4954">
        <v>2.17976E-2</v>
      </c>
      <c r="P4954">
        <v>-0.99823580000000001</v>
      </c>
      <c r="Q4954">
        <v>1.4488849999999999E-2</v>
      </c>
      <c r="R4954">
        <v>5.7581210000000001E-2</v>
      </c>
      <c r="S4954">
        <v>-3.0269469999999998</v>
      </c>
      <c r="T4954">
        <v>-2.749217E-2</v>
      </c>
      <c r="U4954">
        <v>-0.34460449999999998</v>
      </c>
      <c r="V4954">
        <v>3.5727210000000002E-2</v>
      </c>
      <c r="W4954">
        <v>2.924819E-2</v>
      </c>
      <c r="X4954">
        <v>0.99893350000000003</v>
      </c>
      <c r="Y4954">
        <v>-0.13474169999999999</v>
      </c>
      <c r="Z4954">
        <v>-8.07317E-4</v>
      </c>
      <c r="AA4954">
        <v>0.99088039999999999</v>
      </c>
      <c r="AB4954">
        <v>35</v>
      </c>
      <c r="AC4954">
        <v>-113.226</v>
      </c>
      <c r="AD4954">
        <v>-1.0315273199999999</v>
      </c>
      <c r="AE4954">
        <v>-12.9367</v>
      </c>
      <c r="AF4954">
        <v>-15.400684714501001</v>
      </c>
      <c r="AG4954">
        <v>-1.0315273199999999</v>
      </c>
      <c r="AH4954">
        <v>112.907822392829</v>
      </c>
      <c r="AI4954">
        <v>90.518638259049595</v>
      </c>
      <c r="AJ4954">
        <v>97.7672402215765</v>
      </c>
      <c r="AK4954">
        <v>113.957981272827</v>
      </c>
      <c r="AL4954">
        <v>88.323963156968006</v>
      </c>
      <c r="AM4954">
        <v>87.9516692609035</v>
      </c>
      <c r="AN4954">
        <v>1.0000000137874501</v>
      </c>
    </row>
    <row r="4955" spans="1:40" x14ac:dyDescent="0.25">
      <c r="A4955" t="str">
        <f>"20190312154355331"</f>
        <v>20190312154355331</v>
      </c>
      <c r="B4955" t="str">
        <f>"1552376635322764"</f>
        <v>1552376635322764</v>
      </c>
      <c r="C4955" t="s">
        <v>40</v>
      </c>
      <c r="D4955">
        <v>4.8727130000000001</v>
      </c>
      <c r="E4955">
        <v>0.4352376</v>
      </c>
      <c r="F4955" t="s">
        <v>69</v>
      </c>
      <c r="G4955">
        <v>-413.70620000000002</v>
      </c>
      <c r="H4955" s="1">
        <v>-7.5851969999999898E-6</v>
      </c>
      <c r="I4955">
        <v>133.29060000000001</v>
      </c>
      <c r="J4955">
        <v>-349.738</v>
      </c>
      <c r="K4955">
        <v>1.111518</v>
      </c>
      <c r="L4955">
        <v>140.72</v>
      </c>
      <c r="M4955">
        <v>-0.99968049999999997</v>
      </c>
      <c r="N4955">
        <v>0</v>
      </c>
      <c r="O4955">
        <v>2.0589880000000001E-2</v>
      </c>
      <c r="P4955">
        <v>-0.99841729999999995</v>
      </c>
      <c r="Q4955">
        <v>1.5984269999999998E-2</v>
      </c>
      <c r="R4955">
        <v>5.3921049999999998E-2</v>
      </c>
      <c r="S4955">
        <v>-3.0262150000000001</v>
      </c>
      <c r="T4955">
        <v>-5.2293779999999998E-2</v>
      </c>
      <c r="U4955">
        <v>-0.34922789999999998</v>
      </c>
      <c r="V4955">
        <v>3.326747E-2</v>
      </c>
      <c r="W4955">
        <v>3.0733340000000001E-2</v>
      </c>
      <c r="X4955">
        <v>0.99897380000000002</v>
      </c>
      <c r="Y4955">
        <v>-0.13504920000000001</v>
      </c>
      <c r="Z4955">
        <v>-1.517617E-3</v>
      </c>
      <c r="AA4955">
        <v>0.99083779999999999</v>
      </c>
      <c r="AB4955">
        <v>35</v>
      </c>
      <c r="AC4955">
        <v>-63.968199999999896</v>
      </c>
      <c r="AD4955">
        <v>-1.1115255851970001</v>
      </c>
      <c r="AE4955">
        <v>-7.4293999999999798</v>
      </c>
      <c r="AF4955">
        <v>-8.7424593102300694</v>
      </c>
      <c r="AG4955">
        <v>-1.1115255851970001</v>
      </c>
      <c r="AH4955">
        <v>63.7826475330695</v>
      </c>
      <c r="AI4955">
        <v>90.989132941139502</v>
      </c>
      <c r="AJ4955">
        <v>97.8046938770281</v>
      </c>
      <c r="AK4955">
        <v>64.388603108355696</v>
      </c>
      <c r="AL4955">
        <v>88.238831930883606</v>
      </c>
      <c r="AM4955">
        <v>88.092661210379703</v>
      </c>
      <c r="AN4955">
        <v>0.99999995791709695</v>
      </c>
    </row>
    <row r="4956" spans="1:40" x14ac:dyDescent="0.25">
      <c r="A4956" t="str">
        <f>"20190312154355353"</f>
        <v>20190312154355353</v>
      </c>
      <c r="B4956" t="str">
        <f>"1552376635342284"</f>
        <v>1552376635342284</v>
      </c>
      <c r="C4956" t="s">
        <v>40</v>
      </c>
      <c r="D4956">
        <v>4.885529</v>
      </c>
      <c r="E4956">
        <v>0.43571310000000002</v>
      </c>
      <c r="F4956" t="s">
        <v>69</v>
      </c>
      <c r="G4956">
        <v>-404.51979999999998</v>
      </c>
      <c r="H4956" s="1">
        <v>-4.8624999999999996E-6</v>
      </c>
      <c r="I4956">
        <v>134.24510000000001</v>
      </c>
      <c r="J4956">
        <v>-350.08780000000002</v>
      </c>
      <c r="K4956">
        <v>1.111526</v>
      </c>
      <c r="L4956">
        <v>140.726</v>
      </c>
      <c r="M4956">
        <v>-0.99970420000000004</v>
      </c>
      <c r="N4956">
        <v>0</v>
      </c>
      <c r="O4956">
        <v>1.940016E-2</v>
      </c>
      <c r="P4956">
        <v>-0.99857410000000002</v>
      </c>
      <c r="Q4956">
        <v>1.6902810000000001E-2</v>
      </c>
      <c r="R4956">
        <v>5.0635260000000001E-2</v>
      </c>
      <c r="S4956">
        <v>-3.0250240000000002</v>
      </c>
      <c r="T4956">
        <v>-6.1377760000000003E-2</v>
      </c>
      <c r="U4956">
        <v>-0.35754390000000003</v>
      </c>
      <c r="V4956">
        <v>3.1166409999999999E-2</v>
      </c>
      <c r="W4956">
        <v>3.1642700000000003E-2</v>
      </c>
      <c r="X4956">
        <v>0.99901320000000005</v>
      </c>
      <c r="Y4956">
        <v>-0.13659270000000001</v>
      </c>
      <c r="Z4956">
        <v>-1.7731470000000001E-3</v>
      </c>
      <c r="AA4956">
        <v>0.99062570000000005</v>
      </c>
      <c r="AB4956">
        <v>35</v>
      </c>
      <c r="AC4956">
        <v>-54.431999999999903</v>
      </c>
      <c r="AD4956">
        <v>-1.1115308625</v>
      </c>
      <c r="AE4956">
        <v>-6.4808999999999903</v>
      </c>
      <c r="AF4956">
        <v>-7.5326859387778402</v>
      </c>
      <c r="AG4956">
        <v>-1.1115308625</v>
      </c>
      <c r="AH4956">
        <v>54.273693930000299</v>
      </c>
      <c r="AI4956">
        <v>91.162123046963799</v>
      </c>
      <c r="AJ4956">
        <v>97.901645325872806</v>
      </c>
      <c r="AK4956">
        <v>54.8052069708517</v>
      </c>
      <c r="AL4956">
        <v>88.186704136078305</v>
      </c>
      <c r="AM4956">
        <v>88.213111926198494</v>
      </c>
      <c r="AN4956">
        <v>0.999999989674909</v>
      </c>
    </row>
    <row r="4957" spans="1:40" x14ac:dyDescent="0.25">
      <c r="A4957" t="str">
        <f>"20190312154355375"</f>
        <v>20190312154355375</v>
      </c>
      <c r="B4957" t="str">
        <f>"1552376635372539"</f>
        <v>1552376635372539</v>
      </c>
      <c r="C4957" t="s">
        <v>40</v>
      </c>
      <c r="D4957">
        <v>4.8648160000000003</v>
      </c>
      <c r="E4957">
        <v>0.43647019999999997</v>
      </c>
      <c r="F4957" t="s">
        <v>43</v>
      </c>
      <c r="G4957">
        <v>-397.89530000000002</v>
      </c>
      <c r="H4957" s="1">
        <v>-1.938211E-6</v>
      </c>
      <c r="I4957">
        <v>134.97120000000001</v>
      </c>
      <c r="J4957">
        <v>-350.42439999999999</v>
      </c>
      <c r="K4957">
        <v>1.111529</v>
      </c>
      <c r="L4957">
        <v>140.73140000000001</v>
      </c>
      <c r="M4957">
        <v>-0.99972589999999995</v>
      </c>
      <c r="N4957">
        <v>0</v>
      </c>
      <c r="O4957">
        <v>1.825382E-2</v>
      </c>
      <c r="P4957">
        <v>-0.99870400000000004</v>
      </c>
      <c r="Q4957">
        <v>1.762099E-2</v>
      </c>
      <c r="R4957">
        <v>4.7747369999999997E-2</v>
      </c>
      <c r="S4957">
        <v>-3.0239259999999999</v>
      </c>
      <c r="T4957">
        <v>-7.0306540000000001E-2</v>
      </c>
      <c r="U4957">
        <v>-0.3639984</v>
      </c>
      <c r="V4957">
        <v>2.9420990000000001E-2</v>
      </c>
      <c r="W4957">
        <v>3.2353310000000003E-2</v>
      </c>
      <c r="X4957">
        <v>0.99904340000000003</v>
      </c>
      <c r="Y4957">
        <v>-0.13757359999999999</v>
      </c>
      <c r="Z4957">
        <v>-2.0162980000000001E-3</v>
      </c>
      <c r="AA4957">
        <v>0.99048950000000002</v>
      </c>
      <c r="AB4957">
        <v>35</v>
      </c>
      <c r="AC4957">
        <v>-47.4709</v>
      </c>
      <c r="AD4957">
        <v>-1.1115309382109999</v>
      </c>
      <c r="AE4957">
        <v>-5.7601999999999904</v>
      </c>
      <c r="AF4957">
        <v>-6.6222803934534502</v>
      </c>
      <c r="AG4957">
        <v>-1.1115309382109999</v>
      </c>
      <c r="AH4957">
        <v>47.332258052979697</v>
      </c>
      <c r="AI4957">
        <v>91.332291023979195</v>
      </c>
      <c r="AJ4957">
        <v>97.9645815337729</v>
      </c>
      <c r="AK4957">
        <v>47.806199922499403</v>
      </c>
      <c r="AL4957">
        <v>88.145968383622204</v>
      </c>
      <c r="AM4957">
        <v>88.313174882673394</v>
      </c>
      <c r="AN4957">
        <v>1.0000000232020401</v>
      </c>
    </row>
    <row r="4958" spans="1:40" x14ac:dyDescent="0.25">
      <c r="A4958" t="str">
        <f>"20190312154355397"</f>
        <v>20190312154355397</v>
      </c>
      <c r="B4958" t="str">
        <f>"1552376635392061"</f>
        <v>1552376635392061</v>
      </c>
      <c r="C4958" t="s">
        <v>40</v>
      </c>
      <c r="D4958">
        <v>4.889119</v>
      </c>
      <c r="E4958">
        <v>0.43671759999999898</v>
      </c>
      <c r="F4958" t="s">
        <v>43</v>
      </c>
      <c r="G4958">
        <v>-390.47649999999999</v>
      </c>
      <c r="H4958" s="1">
        <v>-4.7325970000000004E-6</v>
      </c>
      <c r="I4958">
        <v>135.86869999999999</v>
      </c>
      <c r="J4958">
        <v>-350.76920000000001</v>
      </c>
      <c r="K4958">
        <v>1.111532</v>
      </c>
      <c r="L4958">
        <v>140.73650000000001</v>
      </c>
      <c r="M4958">
        <v>-0.99974669999999999</v>
      </c>
      <c r="N4958">
        <v>0</v>
      </c>
      <c r="O4958">
        <v>1.7079529999999999E-2</v>
      </c>
      <c r="P4958">
        <v>-0.99880990000000003</v>
      </c>
      <c r="Q4958">
        <v>1.8361720000000002E-2</v>
      </c>
      <c r="R4958">
        <v>4.5185860000000001E-2</v>
      </c>
      <c r="S4958">
        <v>-3.0229490000000001</v>
      </c>
      <c r="T4958">
        <v>-8.3893540000000003E-2</v>
      </c>
      <c r="U4958">
        <v>-0.36700440000000001</v>
      </c>
      <c r="V4958">
        <v>2.8030159999999998E-2</v>
      </c>
      <c r="W4958">
        <v>3.3086289999999997E-2</v>
      </c>
      <c r="X4958">
        <v>0.99905940000000004</v>
      </c>
      <c r="Y4958">
        <v>-0.13740169999999999</v>
      </c>
      <c r="Z4958">
        <v>-2.3715920000000001E-3</v>
      </c>
      <c r="AA4958">
        <v>0.99051250000000002</v>
      </c>
      <c r="AB4958">
        <v>35</v>
      </c>
      <c r="AC4958">
        <v>-39.707299999999897</v>
      </c>
      <c r="AD4958">
        <v>-1.111536732597</v>
      </c>
      <c r="AE4958">
        <v>-4.8678000000000097</v>
      </c>
      <c r="AF4958">
        <v>-5.5410668660693503</v>
      </c>
      <c r="AG4958">
        <v>-1.111536732597</v>
      </c>
      <c r="AH4958">
        <v>39.587795579971001</v>
      </c>
      <c r="AI4958">
        <v>91.592796039310898</v>
      </c>
      <c r="AJ4958">
        <v>97.967872203367506</v>
      </c>
      <c r="AK4958">
        <v>39.989154714794097</v>
      </c>
      <c r="AL4958">
        <v>88.103949253806206</v>
      </c>
      <c r="AM4958">
        <v>88.392899696388895</v>
      </c>
      <c r="AN4958">
        <v>1.0000000385919701</v>
      </c>
    </row>
    <row r="4959" spans="1:40" x14ac:dyDescent="0.25">
      <c r="A4959" t="str">
        <f>"20190312154355421"</f>
        <v>20190312154355421</v>
      </c>
      <c r="B4959" t="str">
        <f>"1552376635412556"</f>
        <v>1552376635412556</v>
      </c>
      <c r="C4959" t="s">
        <v>40</v>
      </c>
      <c r="D4959">
        <v>4.8768979999999997</v>
      </c>
      <c r="E4959">
        <v>0.4369518</v>
      </c>
      <c r="F4959" t="s">
        <v>43</v>
      </c>
      <c r="G4959">
        <v>-389.18810000000002</v>
      </c>
      <c r="H4959" s="1">
        <v>-1.2257289999999999E-6</v>
      </c>
      <c r="I4959">
        <v>135.99539999999999</v>
      </c>
      <c r="J4959">
        <v>-351.12349999999998</v>
      </c>
      <c r="K4959">
        <v>1.1115349999999999</v>
      </c>
      <c r="L4959">
        <v>140.7413</v>
      </c>
      <c r="M4959">
        <v>-0.99976670000000001</v>
      </c>
      <c r="N4959">
        <v>0</v>
      </c>
      <c r="O4959">
        <v>1.587239E-2</v>
      </c>
      <c r="P4959">
        <v>-0.99890909999999999</v>
      </c>
      <c r="Q4959">
        <v>1.923565E-2</v>
      </c>
      <c r="R4959">
        <v>4.2554830000000002E-2</v>
      </c>
      <c r="S4959">
        <v>-3.0220639999999999</v>
      </c>
      <c r="T4959">
        <v>-8.7434170000000005E-2</v>
      </c>
      <c r="U4959">
        <v>-0.3729248</v>
      </c>
      <c r="V4959">
        <v>2.6602569999999999E-2</v>
      </c>
      <c r="W4959">
        <v>3.3953169999999998E-2</v>
      </c>
      <c r="X4959">
        <v>0.99906930000000005</v>
      </c>
      <c r="Y4959">
        <v>-0.1381474</v>
      </c>
      <c r="Z4959">
        <v>-2.44801E-3</v>
      </c>
      <c r="AA4959">
        <v>0.99040870000000003</v>
      </c>
      <c r="AB4959">
        <v>35</v>
      </c>
      <c r="AC4959">
        <v>-38.064599999999999</v>
      </c>
      <c r="AD4959">
        <v>-1.111536225729</v>
      </c>
      <c r="AE4959">
        <v>-4.7458999999999998</v>
      </c>
      <c r="AF4959">
        <v>-5.3450549793638604</v>
      </c>
      <c r="AG4959">
        <v>-1.111536225729</v>
      </c>
      <c r="AH4959">
        <v>37.952599521522203</v>
      </c>
      <c r="AI4959">
        <v>91.661185616125394</v>
      </c>
      <c r="AJ4959">
        <v>98.016528229816501</v>
      </c>
      <c r="AK4959">
        <v>38.343251504724797</v>
      </c>
      <c r="AL4959">
        <v>88.054252668255103</v>
      </c>
      <c r="AM4959">
        <v>88.474725519547206</v>
      </c>
      <c r="AN4959">
        <v>0.99999999034307196</v>
      </c>
    </row>
    <row r="4960" spans="1:40" x14ac:dyDescent="0.25">
      <c r="A4960" t="str">
        <f>"20190312154355442"</f>
        <v>20190312154355442</v>
      </c>
      <c r="B4960" t="str">
        <f>"1552376635432076"</f>
        <v>1552376635432076</v>
      </c>
      <c r="C4960" t="s">
        <v>40</v>
      </c>
      <c r="D4960">
        <v>4.8651780000000002</v>
      </c>
      <c r="E4960">
        <v>0.43729649999999998</v>
      </c>
      <c r="F4960" t="s">
        <v>43</v>
      </c>
      <c r="G4960">
        <v>-388.38470000000001</v>
      </c>
      <c r="H4960" s="1">
        <v>-1.480552E-6</v>
      </c>
      <c r="I4960">
        <v>136.0652</v>
      </c>
      <c r="J4960">
        <v>-351.46719999999999</v>
      </c>
      <c r="K4960">
        <v>1.1115409999999999</v>
      </c>
      <c r="L4960">
        <v>140.7456</v>
      </c>
      <c r="M4960">
        <v>-0.99978460000000002</v>
      </c>
      <c r="N4960">
        <v>0</v>
      </c>
      <c r="O4960">
        <v>1.470137E-2</v>
      </c>
      <c r="P4960">
        <v>-0.99895089999999997</v>
      </c>
      <c r="Q4960">
        <v>2.027398E-2</v>
      </c>
      <c r="R4960">
        <v>4.1065989999999997E-2</v>
      </c>
      <c r="S4960">
        <v>-3.0210880000000002</v>
      </c>
      <c r="T4960">
        <v>-9.0121980000000004E-2</v>
      </c>
      <c r="U4960">
        <v>-0.37911990000000001</v>
      </c>
      <c r="V4960">
        <v>2.628138E-2</v>
      </c>
      <c r="W4960">
        <v>3.4986339999999998E-2</v>
      </c>
      <c r="X4960">
        <v>0.99904219999999999</v>
      </c>
      <c r="Y4960">
        <v>-0.13902229999999999</v>
      </c>
      <c r="Z4960">
        <v>-2.501914E-3</v>
      </c>
      <c r="AA4960">
        <v>0.99028609999999995</v>
      </c>
      <c r="AB4960">
        <v>35</v>
      </c>
      <c r="AC4960">
        <v>-36.917499999999997</v>
      </c>
      <c r="AD4960">
        <v>-1.111542480552</v>
      </c>
      <c r="AE4960">
        <v>-4.6803999999999899</v>
      </c>
      <c r="AF4960">
        <v>-5.2180346200684404</v>
      </c>
      <c r="AG4960">
        <v>-1.111542480552</v>
      </c>
      <c r="AH4960">
        <v>36.811850195629603</v>
      </c>
      <c r="AI4960">
        <v>91.712426297829793</v>
      </c>
      <c r="AJ4960">
        <v>98.067857938462097</v>
      </c>
      <c r="AK4960">
        <v>37.196447771363601</v>
      </c>
      <c r="AL4960">
        <v>87.995021277582893</v>
      </c>
      <c r="AM4960">
        <v>88.493091744055107</v>
      </c>
      <c r="AN4960">
        <v>1.0000000361510599</v>
      </c>
    </row>
    <row r="4961" spans="1:40" x14ac:dyDescent="0.25">
      <c r="A4961" t="str">
        <f>"20190312154355466"</f>
        <v>20190312154355466</v>
      </c>
      <c r="B4961" t="str">
        <f>"1552376635452572"</f>
        <v>1552376635452572</v>
      </c>
      <c r="C4961" t="s">
        <v>40</v>
      </c>
      <c r="D4961">
        <v>5.0047899999999998</v>
      </c>
      <c r="E4961">
        <v>0.4377491</v>
      </c>
      <c r="F4961" t="s">
        <v>43</v>
      </c>
      <c r="G4961">
        <v>-388.12490000000003</v>
      </c>
      <c r="H4961" s="1">
        <v>-1.554366E-6</v>
      </c>
      <c r="I4961">
        <v>136.12010000000001</v>
      </c>
      <c r="J4961">
        <v>-351.81330000000003</v>
      </c>
      <c r="K4961">
        <v>1.1115440000000001</v>
      </c>
      <c r="L4961">
        <v>140.74950000000001</v>
      </c>
      <c r="M4961">
        <v>-0.9998013</v>
      </c>
      <c r="N4961">
        <v>0</v>
      </c>
      <c r="O4961">
        <v>1.3521770000000001E-2</v>
      </c>
      <c r="P4961">
        <v>-0.99892890000000001</v>
      </c>
      <c r="Q4961">
        <v>2.1581659999999999E-2</v>
      </c>
      <c r="R4961">
        <v>4.093492E-2</v>
      </c>
      <c r="S4961">
        <v>-3.0207519999999999</v>
      </c>
      <c r="T4961">
        <v>-9.1595889999999999E-2</v>
      </c>
      <c r="U4961">
        <v>-0.38114930000000002</v>
      </c>
      <c r="V4961">
        <v>2.7326699999999999E-2</v>
      </c>
      <c r="W4961">
        <v>3.6291570000000002E-2</v>
      </c>
      <c r="X4961">
        <v>0.99896750000000001</v>
      </c>
      <c r="Y4961">
        <v>-0.13852100000000001</v>
      </c>
      <c r="Z4961">
        <v>-2.4997830000000002E-3</v>
      </c>
      <c r="AA4961">
        <v>0.99035629999999997</v>
      </c>
      <c r="AB4961">
        <v>35</v>
      </c>
      <c r="AC4961">
        <v>-36.311599999999999</v>
      </c>
      <c r="AD4961">
        <v>-1.111545554366</v>
      </c>
      <c r="AE4961">
        <v>-4.6294000000000004</v>
      </c>
      <c r="AF4961">
        <v>-5.1153098030862001</v>
      </c>
      <c r="AG4961">
        <v>-1.111545554366</v>
      </c>
      <c r="AH4961">
        <v>36.212285084334198</v>
      </c>
      <c r="AI4961">
        <v>91.740884584162004</v>
      </c>
      <c r="AJ4961">
        <v>98.040344707718504</v>
      </c>
      <c r="AK4961">
        <v>36.5886802020799</v>
      </c>
      <c r="AL4961">
        <v>87.920189379457298</v>
      </c>
      <c r="AM4961">
        <v>88.433067924602597</v>
      </c>
      <c r="AN4961">
        <v>0.99999994632110101</v>
      </c>
    </row>
    <row r="4962" spans="1:40" x14ac:dyDescent="0.25">
      <c r="A4962" t="str">
        <f>"20190312154355486"</f>
        <v>20190312154355486</v>
      </c>
      <c r="B4962" t="str">
        <f>"1552376635472092"</f>
        <v>1552376635472092</v>
      </c>
      <c r="C4962" t="s">
        <v>40</v>
      </c>
      <c r="D4962">
        <v>4.9834519999999998</v>
      </c>
      <c r="E4962">
        <v>0.43814799999999998</v>
      </c>
      <c r="F4962" t="s">
        <v>43</v>
      </c>
      <c r="G4962">
        <v>-389.1377</v>
      </c>
      <c r="H4962" s="1">
        <v>-1.2212299999999901E-6</v>
      </c>
      <c r="I4962">
        <v>136.07689999999999</v>
      </c>
      <c r="J4962">
        <v>-352.14330000000001</v>
      </c>
      <c r="K4962">
        <v>1.1115440000000001</v>
      </c>
      <c r="L4962">
        <v>140.75280000000001</v>
      </c>
      <c r="M4962">
        <v>-0.99981600000000004</v>
      </c>
      <c r="N4962">
        <v>0</v>
      </c>
      <c r="O4962">
        <v>1.2396280000000001E-2</v>
      </c>
      <c r="P4962">
        <v>-0.99889609999999995</v>
      </c>
      <c r="Q4962">
        <v>2.236347E-2</v>
      </c>
      <c r="R4962">
        <v>4.1309140000000001E-2</v>
      </c>
      <c r="S4962">
        <v>-3.0206599999999999</v>
      </c>
      <c r="T4962">
        <v>-8.9957480000000006E-2</v>
      </c>
      <c r="U4962">
        <v>-0.37814330000000002</v>
      </c>
      <c r="V4962">
        <v>2.8824229999999999E-2</v>
      </c>
      <c r="W4962">
        <v>3.7072569999999999E-2</v>
      </c>
      <c r="X4962">
        <v>0.99889680000000003</v>
      </c>
      <c r="Y4962">
        <v>-0.13644319999999999</v>
      </c>
      <c r="Z4962">
        <v>-2.3911050000000001E-3</v>
      </c>
      <c r="AA4962">
        <v>0.990645</v>
      </c>
      <c r="AB4962">
        <v>35</v>
      </c>
      <c r="AC4962">
        <v>-36.994399999999899</v>
      </c>
      <c r="AD4962">
        <v>-1.1115452212299901</v>
      </c>
      <c r="AE4962">
        <v>-4.6759000000000102</v>
      </c>
      <c r="AF4962">
        <v>-5.1296246205409401</v>
      </c>
      <c r="AG4962">
        <v>-1.1115452212299901</v>
      </c>
      <c r="AH4962">
        <v>36.900797384265204</v>
      </c>
      <c r="AI4962">
        <v>91.708948804470594</v>
      </c>
      <c r="AJ4962">
        <v>97.914038628008996</v>
      </c>
      <c r="AK4962">
        <v>37.272207194115801</v>
      </c>
      <c r="AL4962">
        <v>87.8754113804425</v>
      </c>
      <c r="AM4962">
        <v>88.347127984041293</v>
      </c>
      <c r="AN4962">
        <v>1.0000000143658601</v>
      </c>
    </row>
    <row r="4963" spans="1:40" x14ac:dyDescent="0.25">
      <c r="A4963" t="str">
        <f>"20190312154355509"</f>
        <v>20190312154355509</v>
      </c>
      <c r="B4963" t="str">
        <f>"1552376635502348"</f>
        <v>1552376635502348</v>
      </c>
      <c r="C4963" t="s">
        <v>40</v>
      </c>
      <c r="D4963">
        <v>5.0623849999999999</v>
      </c>
      <c r="E4963">
        <v>0.43877349999999998</v>
      </c>
      <c r="F4963" t="s">
        <v>43</v>
      </c>
      <c r="G4963">
        <v>-389.35039999999998</v>
      </c>
      <c r="H4963" s="1">
        <v>-1.130983E-6</v>
      </c>
      <c r="I4963">
        <v>136.1439</v>
      </c>
      <c r="J4963">
        <v>-352.48939999999999</v>
      </c>
      <c r="K4963">
        <v>1.11154</v>
      </c>
      <c r="L4963">
        <v>140.7559</v>
      </c>
      <c r="M4963">
        <v>-0.99982990000000005</v>
      </c>
      <c r="N4963">
        <v>0</v>
      </c>
      <c r="O4963">
        <v>1.121578E-2</v>
      </c>
      <c r="P4963">
        <v>-0.99885639999999998</v>
      </c>
      <c r="Q4963">
        <v>2.272062E-2</v>
      </c>
      <c r="R4963">
        <v>4.206965E-2</v>
      </c>
      <c r="S4963">
        <v>-3.0207820000000001</v>
      </c>
      <c r="T4963">
        <v>-9.0244649999999996E-2</v>
      </c>
      <c r="U4963">
        <v>-0.37417600000000001</v>
      </c>
      <c r="V4963">
        <v>3.0764420000000001E-2</v>
      </c>
      <c r="W4963">
        <v>3.7429949999999997E-2</v>
      </c>
      <c r="X4963">
        <v>0.99882559999999998</v>
      </c>
      <c r="Y4963">
        <v>-0.1339882</v>
      </c>
      <c r="Z4963">
        <v>-2.327169E-3</v>
      </c>
      <c r="AA4963">
        <v>0.99098019999999998</v>
      </c>
      <c r="AB4963">
        <v>35</v>
      </c>
      <c r="AC4963">
        <v>-36.860999999999898</v>
      </c>
      <c r="AD4963">
        <v>-1.1115411309829999</v>
      </c>
      <c r="AE4963">
        <v>-4.6119999999999903</v>
      </c>
      <c r="AF4963">
        <v>-5.02068399549053</v>
      </c>
      <c r="AG4963">
        <v>-1.1115411309829999</v>
      </c>
      <c r="AH4963">
        <v>36.774024316064001</v>
      </c>
      <c r="AI4963">
        <v>91.715405824382202</v>
      </c>
      <c r="AJ4963">
        <v>97.774411244155999</v>
      </c>
      <c r="AK4963">
        <v>37.131814605091797</v>
      </c>
      <c r="AL4963">
        <v>87.854920794327199</v>
      </c>
      <c r="AM4963">
        <v>88.235813799137802</v>
      </c>
      <c r="AN4963">
        <v>1.00000001495514</v>
      </c>
    </row>
    <row r="4964" spans="1:40" x14ac:dyDescent="0.25">
      <c r="A4964" t="str">
        <f>"20190312154355531"</f>
        <v>20190312154355531</v>
      </c>
      <c r="B4964" t="str">
        <f>"1552376635522848"</f>
        <v>1552376635522848</v>
      </c>
      <c r="C4964" t="s">
        <v>40</v>
      </c>
      <c r="D4964">
        <v>5.0253750000000004</v>
      </c>
      <c r="E4964">
        <v>0.43910670000000002</v>
      </c>
      <c r="F4964" t="s">
        <v>43</v>
      </c>
      <c r="G4964">
        <v>-389.29770000000002</v>
      </c>
      <c r="H4964" s="1">
        <v>-1.11179E-6</v>
      </c>
      <c r="I4964">
        <v>136.2835</v>
      </c>
      <c r="J4964">
        <v>-352.8313</v>
      </c>
      <c r="K4964">
        <v>1.111537</v>
      </c>
      <c r="L4964">
        <v>140.7585</v>
      </c>
      <c r="M4964">
        <v>-0.99984240000000002</v>
      </c>
      <c r="N4964">
        <v>0</v>
      </c>
      <c r="O4964">
        <v>1.00494E-2</v>
      </c>
      <c r="P4964">
        <v>-0.99883299999999997</v>
      </c>
      <c r="Q4964">
        <v>2.1550320000000001E-2</v>
      </c>
      <c r="R4964">
        <v>4.3223879999999999E-2</v>
      </c>
      <c r="S4964">
        <v>-3.020966</v>
      </c>
      <c r="T4964">
        <v>-9.1227530000000001E-2</v>
      </c>
      <c r="U4964">
        <v>-0.36705019999999999</v>
      </c>
      <c r="V4964">
        <v>3.3087720000000001E-2</v>
      </c>
      <c r="W4964">
        <v>3.6261059999999998E-2</v>
      </c>
      <c r="X4964">
        <v>0.99879439999999997</v>
      </c>
      <c r="Y4964">
        <v>-0.13052179999999999</v>
      </c>
      <c r="Z4964">
        <v>-2.2654620000000002E-3</v>
      </c>
      <c r="AA4964">
        <v>0.99144290000000002</v>
      </c>
      <c r="AB4964">
        <v>34</v>
      </c>
      <c r="AC4964">
        <v>-36.4664</v>
      </c>
      <c r="AD4964">
        <v>-1.1115381117899901</v>
      </c>
      <c r="AE4964">
        <v>-4.4749999999999899</v>
      </c>
      <c r="AF4964">
        <v>-4.8368514189772798</v>
      </c>
      <c r="AG4964">
        <v>-1.1115381117899901</v>
      </c>
      <c r="AH4964">
        <v>36.386277315721202</v>
      </c>
      <c r="AI4964">
        <v>91.734495050082501</v>
      </c>
      <c r="AJ4964">
        <v>97.571973006597005</v>
      </c>
      <c r="AK4964">
        <v>36.723178314516701</v>
      </c>
      <c r="AL4964">
        <v>87.921938648546899</v>
      </c>
      <c r="AM4964">
        <v>88.102618856466293</v>
      </c>
      <c r="AN4964">
        <v>0.99999995757923998</v>
      </c>
    </row>
    <row r="4965" spans="1:40" x14ac:dyDescent="0.25">
      <c r="A4965" t="str">
        <f>"20190312154355554"</f>
        <v>20190312154355554</v>
      </c>
      <c r="B4965" t="str">
        <f>"1552376635542364"</f>
        <v>1552376635542364</v>
      </c>
      <c r="C4965" t="s">
        <v>40</v>
      </c>
      <c r="D4965">
        <v>5.0574690000000002</v>
      </c>
      <c r="E4965">
        <v>0.43950450000000002</v>
      </c>
      <c r="F4965" t="s">
        <v>43</v>
      </c>
      <c r="G4965">
        <v>-386.60520000000002</v>
      </c>
      <c r="H4965" s="1">
        <v>-1.9521349999999998E-6</v>
      </c>
      <c r="I4965">
        <v>136.7216</v>
      </c>
      <c r="J4965">
        <v>-353.17809999999997</v>
      </c>
      <c r="K4965">
        <v>1.111529</v>
      </c>
      <c r="L4965">
        <v>140.76079999999999</v>
      </c>
      <c r="M4965">
        <v>-0.99985360000000001</v>
      </c>
      <c r="N4965">
        <v>0</v>
      </c>
      <c r="O4965">
        <v>8.8656819999999997E-3</v>
      </c>
      <c r="P4965">
        <v>-0.99885429999999997</v>
      </c>
      <c r="Q4965">
        <v>2.0461480000000001E-2</v>
      </c>
      <c r="R4965">
        <v>4.3261099999999997E-2</v>
      </c>
      <c r="S4965">
        <v>-3.021271</v>
      </c>
      <c r="T4965">
        <v>-9.9433779999999999E-2</v>
      </c>
      <c r="U4965">
        <v>-0.3611145</v>
      </c>
      <c r="V4965">
        <v>3.4310889999999997E-2</v>
      </c>
      <c r="W4965">
        <v>3.5171710000000002E-2</v>
      </c>
      <c r="X4965">
        <v>0.99879209999999996</v>
      </c>
      <c r="Y4965">
        <v>-0.12740589999999999</v>
      </c>
      <c r="Z4965">
        <v>-2.3792840000000002E-3</v>
      </c>
      <c r="AA4965">
        <v>0.99184779999999995</v>
      </c>
      <c r="AB4965">
        <v>34</v>
      </c>
      <c r="AC4965">
        <v>-33.427100000000003</v>
      </c>
      <c r="AD4965">
        <v>-1.1115309521349901</v>
      </c>
      <c r="AE4965">
        <v>-4.0391999999999904</v>
      </c>
      <c r="AF4965">
        <v>-4.3307073591872696</v>
      </c>
      <c r="AG4965">
        <v>-1.1115309521349901</v>
      </c>
      <c r="AH4965">
        <v>33.3536228350372</v>
      </c>
      <c r="AI4965">
        <v>91.892835085446194</v>
      </c>
      <c r="AJ4965">
        <v>97.398020244644201</v>
      </c>
      <c r="AK4965">
        <v>33.651964036448</v>
      </c>
      <c r="AL4965">
        <v>87.984393690578898</v>
      </c>
      <c r="AM4965">
        <v>88.032527052449197</v>
      </c>
      <c r="AN4965">
        <v>0.99999997268966201</v>
      </c>
    </row>
    <row r="4966" spans="1:40" x14ac:dyDescent="0.25">
      <c r="A4966" t="str">
        <f>"20190312154355576"</f>
        <v>20190312154355576</v>
      </c>
      <c r="B4966" t="str">
        <f>"1552376635562860"</f>
        <v>1552376635562860</v>
      </c>
      <c r="C4966" t="s">
        <v>40</v>
      </c>
      <c r="D4966">
        <v>5.0425879999999896</v>
      </c>
      <c r="E4966">
        <v>0.43970559999999997</v>
      </c>
      <c r="F4966" t="s">
        <v>43</v>
      </c>
      <c r="G4966">
        <v>-384.61669999999998</v>
      </c>
      <c r="H4966" s="1">
        <v>-2.7495460000000001E-6</v>
      </c>
      <c r="I4966">
        <v>137.0352</v>
      </c>
      <c r="J4966">
        <v>-353.5129</v>
      </c>
      <c r="K4966">
        <v>1.111523</v>
      </c>
      <c r="L4966">
        <v>140.76259999999999</v>
      </c>
      <c r="M4966">
        <v>-0.99986330000000001</v>
      </c>
      <c r="N4966">
        <v>0</v>
      </c>
      <c r="O4966">
        <v>7.7223680000000003E-3</v>
      </c>
      <c r="P4966">
        <v>-0.99885979999999996</v>
      </c>
      <c r="Q4966">
        <v>1.9740279999999999E-2</v>
      </c>
      <c r="R4966">
        <v>4.3472040000000003E-2</v>
      </c>
      <c r="S4966">
        <v>-3.0211489999999999</v>
      </c>
      <c r="T4966">
        <v>-0.1068147</v>
      </c>
      <c r="U4966">
        <v>-0.35800169999999998</v>
      </c>
      <c r="V4966">
        <v>3.566648E-2</v>
      </c>
      <c r="W4966">
        <v>3.444974E-2</v>
      </c>
      <c r="X4966">
        <v>0.99876980000000004</v>
      </c>
      <c r="Y4966">
        <v>-0.12525929999999999</v>
      </c>
      <c r="Z4966">
        <v>-2.477964E-3</v>
      </c>
      <c r="AA4966">
        <v>0.99212089999999997</v>
      </c>
      <c r="AB4966">
        <v>34</v>
      </c>
      <c r="AC4966">
        <v>-31.1037999999999</v>
      </c>
      <c r="AD4966">
        <v>-1.111525749546</v>
      </c>
      <c r="AE4966">
        <v>-3.7273999999999798</v>
      </c>
      <c r="AF4966">
        <v>-3.9625207539319001</v>
      </c>
      <c r="AG4966">
        <v>-1.111525749546</v>
      </c>
      <c r="AH4966">
        <v>31.035012390008401</v>
      </c>
      <c r="AI4966">
        <v>92.034680601640304</v>
      </c>
      <c r="AJ4966">
        <v>97.276102664400497</v>
      </c>
      <c r="AK4966">
        <v>31.306693441901899</v>
      </c>
      <c r="AL4966">
        <v>88.025784662396106</v>
      </c>
      <c r="AM4966">
        <v>87.954813236111605</v>
      </c>
      <c r="AN4966">
        <v>0.99999999788684901</v>
      </c>
    </row>
    <row r="4967" spans="1:40" x14ac:dyDescent="0.25">
      <c r="A4967" t="str">
        <f>"20190312154355598"</f>
        <v>20190312154355598</v>
      </c>
      <c r="B4967" t="str">
        <f>"1552376635592140"</f>
        <v>1552376635592140</v>
      </c>
      <c r="C4967" t="s">
        <v>40</v>
      </c>
      <c r="D4967">
        <v>5.1036320000000002</v>
      </c>
      <c r="E4967">
        <v>0.41050920000000002</v>
      </c>
      <c r="F4967" t="s">
        <v>43</v>
      </c>
      <c r="G4967">
        <v>-383.0016</v>
      </c>
      <c r="H4967" s="1">
        <v>-3.397353E-6</v>
      </c>
      <c r="I4967">
        <v>137.28919999999999</v>
      </c>
      <c r="J4967">
        <v>-353.86369999999999</v>
      </c>
      <c r="K4967">
        <v>1.111526</v>
      </c>
      <c r="L4967">
        <v>140.76400000000001</v>
      </c>
      <c r="M4967">
        <v>-0.99987170000000003</v>
      </c>
      <c r="N4967">
        <v>0</v>
      </c>
      <c r="O4967">
        <v>6.5223030000000001E-3</v>
      </c>
      <c r="P4967">
        <v>-0.9989074</v>
      </c>
      <c r="Q4967">
        <v>1.938488E-2</v>
      </c>
      <c r="R4967">
        <v>4.2527229999999999E-2</v>
      </c>
      <c r="S4967">
        <v>-3.021118</v>
      </c>
      <c r="T4967">
        <v>-0.11387609999999999</v>
      </c>
      <c r="U4967">
        <v>-0.35583500000000001</v>
      </c>
      <c r="V4967">
        <v>3.5921670000000003E-2</v>
      </c>
      <c r="W4967">
        <v>3.40909E-2</v>
      </c>
      <c r="X4967">
        <v>0.99877300000000002</v>
      </c>
      <c r="Y4967">
        <v>-0.1233587</v>
      </c>
      <c r="Z4967">
        <v>-2.5610440000000002E-3</v>
      </c>
      <c r="AA4967">
        <v>0.99235890000000004</v>
      </c>
      <c r="AB4967">
        <v>34</v>
      </c>
      <c r="AC4967">
        <v>-29.137899999999998</v>
      </c>
      <c r="AD4967">
        <v>-1.111529397353</v>
      </c>
      <c r="AE4967">
        <v>-3.4748000000000099</v>
      </c>
      <c r="AF4967">
        <v>-3.6595419025613598</v>
      </c>
      <c r="AG4967">
        <v>-1.111529397353</v>
      </c>
      <c r="AH4967">
        <v>29.072900048785499</v>
      </c>
      <c r="AI4967">
        <v>92.172368275266805</v>
      </c>
      <c r="AJ4967">
        <v>97.174355320118295</v>
      </c>
      <c r="AK4967">
        <v>29.323391034879499</v>
      </c>
      <c r="AL4967">
        <v>88.046356828220297</v>
      </c>
      <c r="AM4967">
        <v>87.940199288964095</v>
      </c>
      <c r="AN4967">
        <v>1.00000003068369</v>
      </c>
    </row>
    <row r="4968" spans="1:40" x14ac:dyDescent="0.25">
      <c r="A4968" t="str">
        <f>"20190312154355621"</f>
        <v>20190312154355621</v>
      </c>
      <c r="B4968" t="str">
        <f>"1552376635612636"</f>
        <v>1552376635612636</v>
      </c>
      <c r="C4968" t="s">
        <v>40</v>
      </c>
      <c r="D4968">
        <v>5.1411259999999999</v>
      </c>
      <c r="E4968">
        <v>0.4094314</v>
      </c>
      <c r="F4968" t="s">
        <v>43</v>
      </c>
      <c r="G4968">
        <v>-391.41460000000001</v>
      </c>
      <c r="H4968" s="1">
        <v>-4.7600670000000001E-6</v>
      </c>
      <c r="I4968">
        <v>133.44499999999999</v>
      </c>
      <c r="J4968">
        <v>-354.20909999999998</v>
      </c>
      <c r="K4968">
        <v>1.1115189999999999</v>
      </c>
      <c r="L4968">
        <v>140.76509999999999</v>
      </c>
      <c r="M4968">
        <v>-0.99987879999999996</v>
      </c>
      <c r="N4968">
        <v>0</v>
      </c>
      <c r="O4968">
        <v>5.3343449999999999E-3</v>
      </c>
      <c r="P4968">
        <v>-0.99892610000000004</v>
      </c>
      <c r="Q4968">
        <v>1.9734689999999999E-2</v>
      </c>
      <c r="R4968">
        <v>4.1918560000000001E-2</v>
      </c>
      <c r="S4968">
        <v>-3.0301819999999999</v>
      </c>
      <c r="T4968">
        <v>-8.9695330000000004E-2</v>
      </c>
      <c r="U4968">
        <v>-0.59060669999999904</v>
      </c>
      <c r="V4968">
        <v>3.6498959999999997E-2</v>
      </c>
      <c r="W4968">
        <v>3.4437830000000003E-2</v>
      </c>
      <c r="X4968">
        <v>0.99874010000000002</v>
      </c>
      <c r="Y4968">
        <v>-0.19645660000000001</v>
      </c>
      <c r="Z4968">
        <v>-3.0363370000000001E-3</v>
      </c>
      <c r="AA4968">
        <v>0.98050789999999999</v>
      </c>
      <c r="AB4968">
        <v>34</v>
      </c>
      <c r="AC4968">
        <v>-37.205500000000001</v>
      </c>
      <c r="AD4968">
        <v>-1.111523760067</v>
      </c>
      <c r="AE4968">
        <v>-7.3200999999999903</v>
      </c>
      <c r="AF4968">
        <v>-7.5120291826674697</v>
      </c>
      <c r="AG4968">
        <v>-1.111523760067</v>
      </c>
      <c r="AH4968">
        <v>37.134010325800098</v>
      </c>
      <c r="AI4968">
        <v>91.680488719255806</v>
      </c>
      <c r="AJ4968">
        <v>101.436319615945</v>
      </c>
      <c r="AK4968">
        <v>37.902516940001099</v>
      </c>
      <c r="AL4968">
        <v>88.026467390970893</v>
      </c>
      <c r="AM4968">
        <v>87.907056965840894</v>
      </c>
      <c r="AN4968">
        <v>0.99999996278209902</v>
      </c>
    </row>
    <row r="4969" spans="1:40" x14ac:dyDescent="0.25">
      <c r="A4969" t="str">
        <f>"20190312154355644"</f>
        <v>20190312154355644</v>
      </c>
      <c r="B4969" t="str">
        <f>"1552376635632156"</f>
        <v>1552376635632156</v>
      </c>
      <c r="C4969" t="s">
        <v>40</v>
      </c>
      <c r="D4969">
        <v>5.1727210000000001</v>
      </c>
      <c r="E4969">
        <v>0.40876859999999998</v>
      </c>
      <c r="F4969" t="s">
        <v>43</v>
      </c>
      <c r="G4969">
        <v>-377.21730000000002</v>
      </c>
      <c r="H4969" s="1">
        <v>-1.8450999999999999E-6</v>
      </c>
      <c r="I4969">
        <v>136.1883</v>
      </c>
      <c r="J4969">
        <v>-354.55259999999998</v>
      </c>
      <c r="K4969">
        <v>1.111532</v>
      </c>
      <c r="L4969">
        <v>140.76570000000001</v>
      </c>
      <c r="M4969">
        <v>-0.99988480000000002</v>
      </c>
      <c r="N4969">
        <v>0</v>
      </c>
      <c r="O4969">
        <v>4.1440039999999997E-3</v>
      </c>
      <c r="P4969">
        <v>-0.99896280000000004</v>
      </c>
      <c r="Q4969">
        <v>2.0106619999999999E-2</v>
      </c>
      <c r="R4969">
        <v>4.0860210000000001E-2</v>
      </c>
      <c r="S4969">
        <v>-3.0314329999999998</v>
      </c>
      <c r="T4969">
        <v>-0.14644789999999999</v>
      </c>
      <c r="U4969">
        <v>-0.6029968</v>
      </c>
      <c r="V4969">
        <v>3.6628750000000002E-2</v>
      </c>
      <c r="W4969">
        <v>3.4806199999999898E-2</v>
      </c>
      <c r="X4969">
        <v>0.99872260000000002</v>
      </c>
      <c r="Y4969">
        <v>-0.19892779999999999</v>
      </c>
      <c r="Z4969">
        <v>-4.9539579999999996E-3</v>
      </c>
      <c r="AA4969">
        <v>0.98000160000000003</v>
      </c>
      <c r="AB4969">
        <v>34</v>
      </c>
      <c r="AC4969">
        <v>-22.6647</v>
      </c>
      <c r="AD4969">
        <v>-1.1115338451000001</v>
      </c>
      <c r="AE4969">
        <v>-4.5774000000000097</v>
      </c>
      <c r="AF4969">
        <v>-4.6605232623274198</v>
      </c>
      <c r="AG4969">
        <v>-1.1115338451000001</v>
      </c>
      <c r="AH4969">
        <v>22.593323436712801</v>
      </c>
      <c r="AI4969">
        <v>92.758549705910696</v>
      </c>
      <c r="AJ4969">
        <v>101.655422430369</v>
      </c>
      <c r="AK4969">
        <v>23.0957625655317</v>
      </c>
      <c r="AL4969">
        <v>88.005348725615605</v>
      </c>
      <c r="AM4969">
        <v>87.899584361164401</v>
      </c>
      <c r="AN4969">
        <v>0.99999998431788095</v>
      </c>
    </row>
    <row r="4970" spans="1:40" x14ac:dyDescent="0.25">
      <c r="A4970" t="str">
        <f>"20190312154355665"</f>
        <v>20190312154355665</v>
      </c>
      <c r="B4970" t="str">
        <f>"1552376635662412"</f>
        <v>1552376635662412</v>
      </c>
      <c r="C4970" t="s">
        <v>40</v>
      </c>
      <c r="D4970">
        <v>5.1561890000000004</v>
      </c>
      <c r="E4970">
        <v>0.40857120000000002</v>
      </c>
      <c r="F4970" t="s">
        <v>43</v>
      </c>
      <c r="G4970">
        <v>-374.21980000000002</v>
      </c>
      <c r="H4970" s="1">
        <v>-2.962769E-6</v>
      </c>
      <c r="I4970">
        <v>136.79320000000001</v>
      </c>
      <c r="J4970">
        <v>-354.88069999999999</v>
      </c>
      <c r="K4970">
        <v>1.1115389999999901</v>
      </c>
      <c r="L4970">
        <v>140.76589999999999</v>
      </c>
      <c r="M4970">
        <v>-0.99988880000000002</v>
      </c>
      <c r="N4970">
        <v>0</v>
      </c>
      <c r="O4970">
        <v>2.9966419999999999E-3</v>
      </c>
      <c r="P4970">
        <v>-0.99901269999999998</v>
      </c>
      <c r="Q4970">
        <v>2.0779619999999999E-2</v>
      </c>
      <c r="R4970">
        <v>3.9268579999999997E-2</v>
      </c>
      <c r="S4970">
        <v>-3.0316770000000002</v>
      </c>
      <c r="T4970">
        <v>-0.17134279999999999</v>
      </c>
      <c r="U4970">
        <v>-0.61235050000000002</v>
      </c>
      <c r="V4970">
        <v>3.6180990000000003E-2</v>
      </c>
      <c r="W4970">
        <v>3.5475260000000002E-2</v>
      </c>
      <c r="X4970">
        <v>0.99871540000000003</v>
      </c>
      <c r="Y4970">
        <v>-0.20061029999999999</v>
      </c>
      <c r="Z4970">
        <v>-5.7755559999999899E-3</v>
      </c>
      <c r="AA4970">
        <v>0.97965409999999997</v>
      </c>
      <c r="AB4970">
        <v>34</v>
      </c>
      <c r="AC4970">
        <v>-19.339099999999998</v>
      </c>
      <c r="AD4970">
        <v>-1.11154196276899</v>
      </c>
      <c r="AE4970">
        <v>-3.9726999999999699</v>
      </c>
      <c r="AF4970">
        <v>-4.0179048414891803</v>
      </c>
      <c r="AG4970">
        <v>-1.11154196276899</v>
      </c>
      <c r="AH4970">
        <v>19.266038079365799</v>
      </c>
      <c r="AI4970">
        <v>93.232587313285507</v>
      </c>
      <c r="AJ4970">
        <v>101.78010802065801</v>
      </c>
      <c r="AK4970">
        <v>19.7119077748916</v>
      </c>
      <c r="AL4970">
        <v>87.966990759487501</v>
      </c>
      <c r="AM4970">
        <v>87.925222901881398</v>
      </c>
      <c r="AN4970">
        <v>1.0000000041532999</v>
      </c>
    </row>
    <row r="4971" spans="1:40" x14ac:dyDescent="0.25">
      <c r="A4971" t="str">
        <f>"20190312154355688"</f>
        <v>20190312154355688</v>
      </c>
      <c r="B4971" t="str">
        <f>"1552376635682909"</f>
        <v>1552376635682909</v>
      </c>
      <c r="C4971" t="s">
        <v>40</v>
      </c>
      <c r="D4971">
        <v>5.1313829999999996</v>
      </c>
      <c r="E4971">
        <v>0.40866550000000001</v>
      </c>
      <c r="F4971" t="s">
        <v>43</v>
      </c>
      <c r="G4971">
        <v>-372.35149999999999</v>
      </c>
      <c r="H4971" s="1">
        <v>-3.6928379999999998E-6</v>
      </c>
      <c r="I4971">
        <v>137.19569999999999</v>
      </c>
      <c r="J4971">
        <v>-355.2276</v>
      </c>
      <c r="K4971">
        <v>1.111553</v>
      </c>
      <c r="L4971">
        <v>140.76570000000001</v>
      </c>
      <c r="M4971">
        <v>-0.99989170000000005</v>
      </c>
      <c r="N4971">
        <v>0</v>
      </c>
      <c r="O4971">
        <v>1.7684020000000001E-3</v>
      </c>
      <c r="P4971">
        <v>-0.99907489999999999</v>
      </c>
      <c r="Q4971">
        <v>2.0872410000000001E-2</v>
      </c>
      <c r="R4971">
        <v>3.7600509999999997E-2</v>
      </c>
      <c r="S4971">
        <v>-3.0313110000000001</v>
      </c>
      <c r="T4971">
        <v>-0.19286059999999999</v>
      </c>
      <c r="U4971">
        <v>-0.61944580000000005</v>
      </c>
      <c r="V4971">
        <v>3.5739220000000002E-2</v>
      </c>
      <c r="W4971">
        <v>3.556438E-2</v>
      </c>
      <c r="X4971">
        <v>0.99872819999999995</v>
      </c>
      <c r="Y4971">
        <v>-0.20154939999999999</v>
      </c>
      <c r="Z4971">
        <v>-6.4510540000000003E-3</v>
      </c>
      <c r="AA4971">
        <v>0.97945709999999997</v>
      </c>
      <c r="AB4971">
        <v>34</v>
      </c>
      <c r="AC4971">
        <v>-17.1238999999999</v>
      </c>
      <c r="AD4971">
        <v>-1.1115566928380001</v>
      </c>
      <c r="AE4971">
        <v>-3.5700000000000198</v>
      </c>
      <c r="AF4971">
        <v>-3.58579966147173</v>
      </c>
      <c r="AG4971">
        <v>-1.1115566928380001</v>
      </c>
      <c r="AH4971">
        <v>17.0487144173925</v>
      </c>
      <c r="AI4971">
        <v>93.650688156928894</v>
      </c>
      <c r="AJ4971">
        <v>101.87770526963099</v>
      </c>
      <c r="AK4971">
        <v>17.457152711121299</v>
      </c>
      <c r="AL4971">
        <v>87.961881464045703</v>
      </c>
      <c r="AM4971">
        <v>87.950560444171998</v>
      </c>
      <c r="AN4971">
        <v>1.00000006722311</v>
      </c>
    </row>
    <row r="4972" spans="1:40" x14ac:dyDescent="0.25">
      <c r="A4972" t="str">
        <f>"20190312154355711"</f>
        <v>20190312154355711</v>
      </c>
      <c r="B4972" t="str">
        <f>"1552376635702427"</f>
        <v>1552376635702427</v>
      </c>
      <c r="C4972" t="s">
        <v>40</v>
      </c>
      <c r="D4972">
        <v>5.1196599999999997</v>
      </c>
      <c r="E4972">
        <v>0.40859620000000002</v>
      </c>
      <c r="F4972" t="s">
        <v>43</v>
      </c>
      <c r="G4972">
        <v>-372.2088</v>
      </c>
      <c r="H4972" s="1">
        <v>-3.7409219999999998E-6</v>
      </c>
      <c r="I4972">
        <v>137.2698</v>
      </c>
      <c r="J4972">
        <v>-355.57369999999997</v>
      </c>
      <c r="K4972">
        <v>1.111564</v>
      </c>
      <c r="L4972">
        <v>140.76499999999999</v>
      </c>
      <c r="M4972">
        <v>-0.99989329999999998</v>
      </c>
      <c r="N4972">
        <v>0</v>
      </c>
      <c r="O4972">
        <v>5.2162919999999998E-4</v>
      </c>
      <c r="P4972">
        <v>-0.99916479999999996</v>
      </c>
      <c r="Q4972">
        <v>2.0825670000000001E-2</v>
      </c>
      <c r="R4972">
        <v>3.5165229999999999E-2</v>
      </c>
      <c r="S4972">
        <v>-3.0304259999999998</v>
      </c>
      <c r="T4972">
        <v>-0.19836599999999999</v>
      </c>
      <c r="U4972">
        <v>-0.62385559999999995</v>
      </c>
      <c r="V4972">
        <v>3.4548950000000002E-2</v>
      </c>
      <c r="W4972">
        <v>3.5512429999999998E-2</v>
      </c>
      <c r="X4972">
        <v>0.99877179999999999</v>
      </c>
      <c r="Y4972">
        <v>-0.20173140000000001</v>
      </c>
      <c r="Z4972">
        <v>-6.5609600000000002E-3</v>
      </c>
      <c r="AA4972">
        <v>0.97941889999999998</v>
      </c>
      <c r="AB4972">
        <v>34</v>
      </c>
      <c r="AC4972">
        <v>-16.635100000000001</v>
      </c>
      <c r="AD4972">
        <v>-1.1115677409219999</v>
      </c>
      <c r="AE4972">
        <v>-3.4951999999999801</v>
      </c>
      <c r="AF4972">
        <v>-3.48895826068448</v>
      </c>
      <c r="AG4972">
        <v>-1.1115677409219999</v>
      </c>
      <c r="AH4972">
        <v>16.562449715718301</v>
      </c>
      <c r="AI4972">
        <v>93.7573572268372</v>
      </c>
      <c r="AJ4972">
        <v>101.895702818903</v>
      </c>
      <c r="AK4972">
        <v>16.9624041094756</v>
      </c>
      <c r="AL4972">
        <v>87.964859592930793</v>
      </c>
      <c r="AM4972">
        <v>88.018846698195802</v>
      </c>
      <c r="AN4972">
        <v>0.99999993555292099</v>
      </c>
    </row>
    <row r="4973" spans="1:40" x14ac:dyDescent="0.25">
      <c r="A4973" t="str">
        <f>"20190312154355732"</f>
        <v>20190312154355732</v>
      </c>
      <c r="B4973" t="str">
        <f>"1552376635722928"</f>
        <v>1552376635722928</v>
      </c>
      <c r="C4973" t="s">
        <v>40</v>
      </c>
      <c r="D4973">
        <v>5.403035</v>
      </c>
      <c r="E4973">
        <v>0.4083794</v>
      </c>
      <c r="F4973" t="s">
        <v>43</v>
      </c>
      <c r="G4973">
        <v>-372.01010000000002</v>
      </c>
      <c r="H4973" s="1">
        <v>-3.8149459999999997E-6</v>
      </c>
      <c r="I4973">
        <v>137.333</v>
      </c>
      <c r="J4973">
        <v>-355.9058</v>
      </c>
      <c r="K4973">
        <v>1.1115740000000001</v>
      </c>
      <c r="L4973">
        <v>140.76390000000001</v>
      </c>
      <c r="M4973">
        <v>-0.99989309999999998</v>
      </c>
      <c r="N4973">
        <v>0</v>
      </c>
      <c r="O4973">
        <v>-6.9088009999999998E-4</v>
      </c>
      <c r="P4973">
        <v>-0.99925600000000003</v>
      </c>
      <c r="Q4973">
        <v>2.0569859999999999E-2</v>
      </c>
      <c r="R4973">
        <v>3.262673E-2</v>
      </c>
      <c r="S4973">
        <v>-3.0289920000000001</v>
      </c>
      <c r="T4973">
        <v>-0.20484659999999999</v>
      </c>
      <c r="U4973">
        <v>-0.63244630000000002</v>
      </c>
      <c r="V4973">
        <v>3.3221710000000002E-2</v>
      </c>
      <c r="W4973">
        <v>3.525081E-2</v>
      </c>
      <c r="X4973">
        <v>0.99882610000000005</v>
      </c>
      <c r="Y4973">
        <v>-0.20327000000000001</v>
      </c>
      <c r="Z4973">
        <v>-6.7464250000000003E-3</v>
      </c>
      <c r="AA4973">
        <v>0.97909950000000001</v>
      </c>
      <c r="AB4973">
        <v>34</v>
      </c>
      <c r="AC4973">
        <v>-16.104299999999999</v>
      </c>
      <c r="AD4973">
        <v>-1.1115778149460001</v>
      </c>
      <c r="AE4973">
        <v>-3.4308999999999998</v>
      </c>
      <c r="AF4973">
        <v>-3.40425722925663</v>
      </c>
      <c r="AG4973">
        <v>-1.1115778149460001</v>
      </c>
      <c r="AH4973">
        <v>16.0335949486395</v>
      </c>
      <c r="AI4973">
        <v>93.8796485894337</v>
      </c>
      <c r="AJ4973">
        <v>101.98704616613099</v>
      </c>
      <c r="AK4973">
        <v>16.428656046635901</v>
      </c>
      <c r="AL4973">
        <v>87.979858715751703</v>
      </c>
      <c r="AM4973">
        <v>88.095001405309503</v>
      </c>
      <c r="AN4973">
        <v>0.99999993983109303</v>
      </c>
    </row>
    <row r="4974" spans="1:40" x14ac:dyDescent="0.25">
      <c r="A4974" t="str">
        <f>"20190312154355755"</f>
        <v>20190312154355755</v>
      </c>
      <c r="B4974" t="str">
        <f>"1552376635742444"</f>
        <v>1552376635742444</v>
      </c>
      <c r="C4974" t="s">
        <v>40</v>
      </c>
      <c r="D4974">
        <v>5.100479</v>
      </c>
      <c r="E4974">
        <v>0.40824899999999997</v>
      </c>
      <c r="F4974" t="s">
        <v>43</v>
      </c>
      <c r="G4974">
        <v>-371.9812</v>
      </c>
      <c r="H4974" s="1">
        <v>-3.823465E-6</v>
      </c>
      <c r="I4974">
        <v>137.35499999999999</v>
      </c>
      <c r="J4974">
        <v>-356.23180000000002</v>
      </c>
      <c r="K4974">
        <v>1.111588</v>
      </c>
      <c r="L4974">
        <v>140.76240000000001</v>
      </c>
      <c r="M4974">
        <v>-0.99989170000000005</v>
      </c>
      <c r="N4974">
        <v>0</v>
      </c>
      <c r="O4974">
        <v>-1.901509E-3</v>
      </c>
      <c r="P4974">
        <v>-0.99931570000000003</v>
      </c>
      <c r="Q4974">
        <v>2.0346960000000001E-2</v>
      </c>
      <c r="R4974">
        <v>3.089064E-2</v>
      </c>
      <c r="S4974">
        <v>-3.0274960000000002</v>
      </c>
      <c r="T4974">
        <v>-0.20934559999999999</v>
      </c>
      <c r="U4974">
        <v>-0.64199830000000002</v>
      </c>
      <c r="V4974">
        <v>3.2695139999999998E-2</v>
      </c>
      <c r="W4974">
        <v>3.5024449999999999E-2</v>
      </c>
      <c r="X4974">
        <v>0.9988515</v>
      </c>
      <c r="Y4974">
        <v>-0.20511799999999999</v>
      </c>
      <c r="Z4974">
        <v>-6.8757879999999999E-3</v>
      </c>
      <c r="AA4974">
        <v>0.9787131</v>
      </c>
      <c r="AB4974">
        <v>34</v>
      </c>
      <c r="AC4974">
        <v>-15.7493999999999</v>
      </c>
      <c r="AD4974">
        <v>-1.111591823465</v>
      </c>
      <c r="AE4974">
        <v>-3.40740000000002</v>
      </c>
      <c r="AF4974">
        <v>-3.3614466350842802</v>
      </c>
      <c r="AG4974">
        <v>-1.111591823465</v>
      </c>
      <c r="AH4974">
        <v>15.6812278848679</v>
      </c>
      <c r="AI4974">
        <v>93.964955027191394</v>
      </c>
      <c r="AJ4974">
        <v>102.09889147731199</v>
      </c>
      <c r="AK4974">
        <v>16.0759406517837</v>
      </c>
      <c r="AL4974">
        <v>87.992836327194098</v>
      </c>
      <c r="AM4974">
        <v>88.125221890433906</v>
      </c>
      <c r="AN4974">
        <v>1.0000000016648301</v>
      </c>
    </row>
    <row r="4975" spans="1:40" x14ac:dyDescent="0.25">
      <c r="A4975" t="str">
        <f>"20190312154355777"</f>
        <v>20190312154355777</v>
      </c>
      <c r="B4975" t="str">
        <f>"1552376635772700"</f>
        <v>1552376635772700</v>
      </c>
      <c r="C4975" t="s">
        <v>40</v>
      </c>
      <c r="D4975">
        <v>5.1210440000000004</v>
      </c>
      <c r="E4975">
        <v>0.408105</v>
      </c>
      <c r="F4975" t="s">
        <v>43</v>
      </c>
      <c r="G4975">
        <v>-372.15300000000002</v>
      </c>
      <c r="H4975" s="1">
        <v>-3.7505419999999998E-6</v>
      </c>
      <c r="I4975">
        <v>137.35059999999999</v>
      </c>
      <c r="J4975">
        <v>-356.57240000000002</v>
      </c>
      <c r="K4975">
        <v>1.1115999999999999</v>
      </c>
      <c r="L4975">
        <v>140.76050000000001</v>
      </c>
      <c r="M4975">
        <v>-0.99988840000000001</v>
      </c>
      <c r="N4975">
        <v>0</v>
      </c>
      <c r="O4975">
        <v>-3.1956760000000002E-3</v>
      </c>
      <c r="P4975">
        <v>-0.99935850000000004</v>
      </c>
      <c r="Q4975">
        <v>2.0283309999999999E-2</v>
      </c>
      <c r="R4975">
        <v>2.951523E-2</v>
      </c>
      <c r="S4975">
        <v>-3.026367</v>
      </c>
      <c r="T4975">
        <v>-0.21129619999999999</v>
      </c>
      <c r="U4975">
        <v>-0.64851380000000003</v>
      </c>
      <c r="V4975">
        <v>3.2611689999999999E-2</v>
      </c>
      <c r="W4975">
        <v>3.4958690000000001E-2</v>
      </c>
      <c r="X4975">
        <v>0.99885650000000004</v>
      </c>
      <c r="Y4975">
        <v>-0.20593320000000001</v>
      </c>
      <c r="Z4975">
        <v>-6.8795669999999996E-3</v>
      </c>
      <c r="AA4975">
        <v>0.97854189999999996</v>
      </c>
      <c r="AB4975">
        <v>34</v>
      </c>
      <c r="AC4975">
        <v>-15.5806</v>
      </c>
      <c r="AD4975">
        <v>-1.111603750542</v>
      </c>
      <c r="AE4975">
        <v>-3.4099000000000199</v>
      </c>
      <c r="AF4975">
        <v>-3.3438440121840798</v>
      </c>
      <c r="AG4975">
        <v>-1.111603750542</v>
      </c>
      <c r="AH4975">
        <v>15.5160493222852</v>
      </c>
      <c r="AI4975">
        <v>94.006129163360001</v>
      </c>
      <c r="AJ4975">
        <v>102.16173724468</v>
      </c>
      <c r="AK4975">
        <v>15.9111515060232</v>
      </c>
      <c r="AL4975">
        <v>87.996606342877797</v>
      </c>
      <c r="AM4975">
        <v>88.130012964727101</v>
      </c>
      <c r="AN4975">
        <v>0.99999996996171003</v>
      </c>
    </row>
    <row r="4976" spans="1:40" x14ac:dyDescent="0.25">
      <c r="A4976" t="str">
        <f>"20190312154355800"</f>
        <v>20190312154355800</v>
      </c>
      <c r="B4976" t="str">
        <f>"1552376635792220"</f>
        <v>1552376635792220</v>
      </c>
      <c r="C4976" t="s">
        <v>40</v>
      </c>
      <c r="D4976">
        <v>5.1293280000000001</v>
      </c>
      <c r="E4976">
        <v>0.4080607</v>
      </c>
      <c r="F4976" t="s">
        <v>43</v>
      </c>
      <c r="G4976">
        <v>-372.06380000000001</v>
      </c>
      <c r="H4976" s="1">
        <v>-3.7777299999999998E-6</v>
      </c>
      <c r="I4976">
        <v>137.41299999999899</v>
      </c>
      <c r="J4976">
        <v>-356.91430000000003</v>
      </c>
      <c r="K4976">
        <v>1.111629</v>
      </c>
      <c r="L4976">
        <v>140.75799999999899</v>
      </c>
      <c r="M4976">
        <v>-0.99988330000000003</v>
      </c>
      <c r="N4976">
        <v>0</v>
      </c>
      <c r="O4976">
        <v>-4.5317090000000001E-3</v>
      </c>
      <c r="P4976">
        <v>-0.99938229999999995</v>
      </c>
      <c r="Q4976">
        <v>2.0382529999999999E-2</v>
      </c>
      <c r="R4976">
        <v>2.8633889999999999E-2</v>
      </c>
      <c r="S4976">
        <v>-3.025604</v>
      </c>
      <c r="T4976">
        <v>-0.21710599999999999</v>
      </c>
      <c r="U4976">
        <v>-0.65377810000000003</v>
      </c>
      <c r="V4976">
        <v>3.3063719999999998E-2</v>
      </c>
      <c r="W4976">
        <v>3.5057820000000003E-2</v>
      </c>
      <c r="X4976">
        <v>0.99883820000000001</v>
      </c>
      <c r="Y4976">
        <v>-0.20627970000000001</v>
      </c>
      <c r="Z4976">
        <v>-6.9863579999999998E-3</v>
      </c>
      <c r="AA4976">
        <v>0.97846809999999995</v>
      </c>
      <c r="AB4976">
        <v>34</v>
      </c>
      <c r="AC4976">
        <v>-15.1494999999999</v>
      </c>
      <c r="AD4976">
        <v>-1.1116327777299999</v>
      </c>
      <c r="AE4976">
        <v>-3.34499999999999</v>
      </c>
      <c r="AF4976">
        <v>-3.2595706815161098</v>
      </c>
      <c r="AG4976">
        <v>-1.1116327777299999</v>
      </c>
      <c r="AH4976">
        <v>15.0870481691809</v>
      </c>
      <c r="AI4976">
        <v>94.119305148551206</v>
      </c>
      <c r="AJ4976">
        <v>102.19142078386</v>
      </c>
      <c r="AK4976">
        <v>15.475126846637099</v>
      </c>
      <c r="AL4976">
        <v>87.990923198929394</v>
      </c>
      <c r="AM4976">
        <v>88.104077187805203</v>
      </c>
      <c r="AN4976">
        <v>1.00000000505131</v>
      </c>
    </row>
    <row r="4977" spans="1:40" x14ac:dyDescent="0.25">
      <c r="A4977" t="str">
        <f>"20190312154355822"</f>
        <v>20190312154355822</v>
      </c>
      <c r="B4977" t="str">
        <f>"1552376635812716"</f>
        <v>1552376635812716</v>
      </c>
      <c r="C4977" t="s">
        <v>40</v>
      </c>
      <c r="D4977">
        <v>5.1062349999999999</v>
      </c>
      <c r="E4977">
        <v>0.40813159999999998</v>
      </c>
      <c r="F4977" t="s">
        <v>43</v>
      </c>
      <c r="G4977">
        <v>-372.28480000000002</v>
      </c>
      <c r="H4977" s="1">
        <v>-3.6817759999999998E-6</v>
      </c>
      <c r="I4977">
        <v>137.4195</v>
      </c>
      <c r="J4977">
        <v>-357.25779999999997</v>
      </c>
      <c r="K4977">
        <v>1.111669</v>
      </c>
      <c r="L4977">
        <v>140.755</v>
      </c>
      <c r="M4977">
        <v>-0.99987610000000005</v>
      </c>
      <c r="N4977">
        <v>0</v>
      </c>
      <c r="O4977">
        <v>-5.9230169999999896E-3</v>
      </c>
      <c r="P4977">
        <v>-0.99940200000000001</v>
      </c>
      <c r="Q4977">
        <v>2.0412469999999999E-2</v>
      </c>
      <c r="R4977">
        <v>2.7916130000000001E-2</v>
      </c>
      <c r="S4977">
        <v>-3.0251459999999999</v>
      </c>
      <c r="T4977">
        <v>-0.21878719999999999</v>
      </c>
      <c r="U4977">
        <v>-0.6570435</v>
      </c>
      <c r="V4977">
        <v>3.3733390000000002E-2</v>
      </c>
      <c r="W4977">
        <v>3.5088319999999999E-2</v>
      </c>
      <c r="X4977">
        <v>0.99881470000000006</v>
      </c>
      <c r="Y4977">
        <v>-0.20595430000000001</v>
      </c>
      <c r="Z4977">
        <v>-6.9296280000000002E-3</v>
      </c>
      <c r="AA4977">
        <v>0.97853710000000005</v>
      </c>
      <c r="AB4977">
        <v>34</v>
      </c>
      <c r="AC4977">
        <v>-15.026999999999999</v>
      </c>
      <c r="AD4977">
        <v>-1.1116726817759901</v>
      </c>
      <c r="AE4977">
        <v>-3.3354999999999899</v>
      </c>
      <c r="AF4977">
        <v>-3.2295819290771401</v>
      </c>
      <c r="AG4977">
        <v>-1.1116726817759901</v>
      </c>
      <c r="AH4977">
        <v>14.968422137006201</v>
      </c>
      <c r="AI4977">
        <v>94.152234387874103</v>
      </c>
      <c r="AJ4977">
        <v>102.175476861595</v>
      </c>
      <c r="AK4977">
        <v>15.353165043718001</v>
      </c>
      <c r="AL4977">
        <v>87.989174528047002</v>
      </c>
      <c r="AM4977">
        <v>88.065660721099306</v>
      </c>
      <c r="AN4977">
        <v>0.99999996836870098</v>
      </c>
    </row>
    <row r="4978" spans="1:40" x14ac:dyDescent="0.25">
      <c r="A4978" t="str">
        <f>"20190312154355844"</f>
        <v>20190312154355844</v>
      </c>
      <c r="B4978" t="str">
        <f>"1552376635832236"</f>
        <v>1552376635832236</v>
      </c>
      <c r="C4978" t="s">
        <v>40</v>
      </c>
      <c r="D4978">
        <v>5.1165649999999996</v>
      </c>
      <c r="E4978">
        <v>0.4080973</v>
      </c>
      <c r="F4978" t="s">
        <v>43</v>
      </c>
      <c r="G4978">
        <v>-372.65109999999999</v>
      </c>
      <c r="H4978" s="1">
        <v>-3.527827E-6</v>
      </c>
      <c r="I4978">
        <v>137.4015</v>
      </c>
      <c r="J4978">
        <v>-357.59440000000001</v>
      </c>
      <c r="K4978">
        <v>1.1117159999999999</v>
      </c>
      <c r="L4978">
        <v>140.7516</v>
      </c>
      <c r="M4978">
        <v>-0.99986660000000005</v>
      </c>
      <c r="N4978">
        <v>0</v>
      </c>
      <c r="O4978">
        <v>-7.3470949999999997E-3</v>
      </c>
      <c r="P4978">
        <v>-0.99943009999999999</v>
      </c>
      <c r="Q4978">
        <v>2.0016010000000001E-2</v>
      </c>
      <c r="R4978">
        <v>2.718019E-2</v>
      </c>
      <c r="S4978">
        <v>-3.0246580000000001</v>
      </c>
      <c r="T4978">
        <v>-0.21843580000000001</v>
      </c>
      <c r="U4978">
        <v>-0.65892030000000001</v>
      </c>
      <c r="V4978">
        <v>3.4417929999999999E-2</v>
      </c>
      <c r="W4978">
        <v>3.469469E-2</v>
      </c>
      <c r="X4978">
        <v>0.9988051</v>
      </c>
      <c r="Y4978">
        <v>-0.20518020000000001</v>
      </c>
      <c r="Z4978">
        <v>-6.7900749999999996E-3</v>
      </c>
      <c r="AA4978">
        <v>0.97870060000000003</v>
      </c>
      <c r="AB4978">
        <v>34</v>
      </c>
      <c r="AC4978">
        <v>-15.0566999999999</v>
      </c>
      <c r="AD4978">
        <v>-1.111719527827</v>
      </c>
      <c r="AE4978">
        <v>-3.3500999999999901</v>
      </c>
      <c r="AF4978">
        <v>-3.2226347188842501</v>
      </c>
      <c r="AG4978">
        <v>-1.111719527827</v>
      </c>
      <c r="AH4978">
        <v>15.0029762807903</v>
      </c>
      <c r="AI4978">
        <v>94.1436939531593</v>
      </c>
      <c r="AJ4978">
        <v>102.122910118468</v>
      </c>
      <c r="AK4978">
        <v>15.385401916162801</v>
      </c>
      <c r="AL4978">
        <v>88.011741613988093</v>
      </c>
      <c r="AM4978">
        <v>88.026419622717697</v>
      </c>
      <c r="AN4978">
        <v>0.99999997160284504</v>
      </c>
    </row>
    <row r="4979" spans="1:40" x14ac:dyDescent="0.25">
      <c r="A4979" t="str">
        <f>"20190312154355867"</f>
        <v>20190312154355867</v>
      </c>
      <c r="B4979" t="str">
        <f>"1552376635862493"</f>
        <v>1552376635862493</v>
      </c>
      <c r="C4979" t="s">
        <v>40</v>
      </c>
      <c r="D4979">
        <v>4.9856239999999996</v>
      </c>
      <c r="E4979">
        <v>0.40789180000000003</v>
      </c>
      <c r="F4979" t="s">
        <v>43</v>
      </c>
      <c r="G4979">
        <v>-372.75420000000003</v>
      </c>
      <c r="H4979" s="1">
        <v>-3.4772860000000002E-6</v>
      </c>
      <c r="I4979">
        <v>137.43709999999999</v>
      </c>
      <c r="J4979">
        <v>-357.92559999999997</v>
      </c>
      <c r="K4979">
        <v>1.111769</v>
      </c>
      <c r="L4979">
        <v>140.74770000000001</v>
      </c>
      <c r="M4979">
        <v>-0.99985469999999999</v>
      </c>
      <c r="N4979">
        <v>0</v>
      </c>
      <c r="O4979">
        <v>-8.8191889999999998E-3</v>
      </c>
      <c r="P4979">
        <v>-0.99944880000000003</v>
      </c>
      <c r="Q4979">
        <v>2.0538310000000001E-2</v>
      </c>
      <c r="R4979">
        <v>2.6087010000000001E-2</v>
      </c>
      <c r="S4979">
        <v>-3.0241699999999998</v>
      </c>
      <c r="T4979">
        <v>-0.221773</v>
      </c>
      <c r="U4979">
        <v>-0.66117859999999995</v>
      </c>
      <c r="V4979">
        <v>3.4790179999999997E-2</v>
      </c>
      <c r="W4979">
        <v>3.5219840000000002E-2</v>
      </c>
      <c r="X4979">
        <v>0.99877389999999999</v>
      </c>
      <c r="Y4979">
        <v>-0.20446030000000001</v>
      </c>
      <c r="Z4979">
        <v>-6.7615189999999997E-3</v>
      </c>
      <c r="AA4979">
        <v>0.97885149999999999</v>
      </c>
      <c r="AB4979">
        <v>34</v>
      </c>
      <c r="AC4979">
        <v>-14.8286</v>
      </c>
      <c r="AD4979">
        <v>-1.111772477286</v>
      </c>
      <c r="AE4979">
        <v>-3.31060000000002</v>
      </c>
      <c r="AF4979">
        <v>-3.1627466287914401</v>
      </c>
      <c r="AG4979">
        <v>-1.111772477286</v>
      </c>
      <c r="AH4979">
        <v>14.7780960119621</v>
      </c>
      <c r="AI4979">
        <v>94.207397631693695</v>
      </c>
      <c r="AJ4979">
        <v>102.07997244027401</v>
      </c>
      <c r="AK4979">
        <v>15.1535845930246</v>
      </c>
      <c r="AL4979">
        <v>87.981634488192398</v>
      </c>
      <c r="AM4979">
        <v>88.005029086576698</v>
      </c>
      <c r="AN4979">
        <v>1.0000000485376299</v>
      </c>
    </row>
    <row r="4980" spans="1:40" x14ac:dyDescent="0.25">
      <c r="A4980" t="str">
        <f>"20190312154355889"</f>
        <v>20190312154355889</v>
      </c>
      <c r="B4980" t="str">
        <f>"1552376635882992"</f>
        <v>1552376635882992</v>
      </c>
      <c r="C4980" t="s">
        <v>40</v>
      </c>
      <c r="D4980">
        <v>5.1288410000000004</v>
      </c>
      <c r="E4980">
        <v>0.40782099999999999</v>
      </c>
      <c r="F4980" t="s">
        <v>43</v>
      </c>
      <c r="G4980">
        <v>-373.15449999999998</v>
      </c>
      <c r="H4980" s="1">
        <v>-3.3136649999999998E-6</v>
      </c>
      <c r="I4980">
        <v>137.3913</v>
      </c>
      <c r="J4980">
        <v>-358.2611</v>
      </c>
      <c r="K4980">
        <v>1.1118319999999999</v>
      </c>
      <c r="L4980">
        <v>140.7431</v>
      </c>
      <c r="M4980">
        <v>-0.9998397</v>
      </c>
      <c r="N4980">
        <v>0</v>
      </c>
      <c r="O4980">
        <v>-1.039473E-2</v>
      </c>
      <c r="P4980">
        <v>-0.99947019999999998</v>
      </c>
      <c r="Q4980">
        <v>2.0642509999999999E-2</v>
      </c>
      <c r="R4980">
        <v>2.5162770000000001E-2</v>
      </c>
      <c r="S4980">
        <v>-3.02359</v>
      </c>
      <c r="T4980">
        <v>-0.22073480000000001</v>
      </c>
      <c r="U4980">
        <v>-0.66638180000000002</v>
      </c>
      <c r="V4980">
        <v>3.5434809999999997E-2</v>
      </c>
      <c r="W4980">
        <v>3.5328970000000001E-2</v>
      </c>
      <c r="X4980">
        <v>0.9987473</v>
      </c>
      <c r="Y4980">
        <v>-0.20457259999999999</v>
      </c>
      <c r="Z4980">
        <v>-6.6205700000000001E-3</v>
      </c>
      <c r="AA4980">
        <v>0.97882899999999995</v>
      </c>
      <c r="AB4980">
        <v>34</v>
      </c>
      <c r="AC4980">
        <v>-14.8933999999999</v>
      </c>
      <c r="AD4980">
        <v>-1.1118353136650001</v>
      </c>
      <c r="AE4980">
        <v>-3.3517999999999901</v>
      </c>
      <c r="AF4980">
        <v>-3.1799219942071</v>
      </c>
      <c r="AG4980">
        <v>-1.1118353136650001</v>
      </c>
      <c r="AH4980">
        <v>14.8486767318949</v>
      </c>
      <c r="AI4980">
        <v>94.187586528579104</v>
      </c>
      <c r="AJ4980">
        <v>102.08760969812199</v>
      </c>
      <c r="AK4980">
        <v>15.2260067759828</v>
      </c>
      <c r="AL4980">
        <v>87.975377738332199</v>
      </c>
      <c r="AM4980">
        <v>87.968040744981593</v>
      </c>
      <c r="AN4980">
        <v>0.99999996556914295</v>
      </c>
    </row>
    <row r="4981" spans="1:40" x14ac:dyDescent="0.25">
      <c r="A4981" t="str">
        <f>"20190312154355911"</f>
        <v>20190312154355911</v>
      </c>
      <c r="B4981" t="str">
        <f>"1552376635902508"</f>
        <v>1552376635902508</v>
      </c>
      <c r="C4981" t="s">
        <v>40</v>
      </c>
      <c r="D4981">
        <v>5.107037</v>
      </c>
      <c r="E4981">
        <v>0.40780870000000002</v>
      </c>
      <c r="F4981" t="s">
        <v>43</v>
      </c>
      <c r="G4981">
        <v>-373.4486</v>
      </c>
      <c r="H4981" s="1">
        <v>-3.1898310000000002E-6</v>
      </c>
      <c r="I4981">
        <v>137.37819999999999</v>
      </c>
      <c r="J4981">
        <v>-358.59280000000001</v>
      </c>
      <c r="K4981">
        <v>1.111904</v>
      </c>
      <c r="L4981">
        <v>140.738</v>
      </c>
      <c r="M4981">
        <v>-0.99982110000000002</v>
      </c>
      <c r="N4981">
        <v>0</v>
      </c>
      <c r="O4981">
        <v>-1.2042499999999999E-2</v>
      </c>
      <c r="P4981">
        <v>-0.9995096</v>
      </c>
      <c r="Q4981">
        <v>2.0879869999999998E-2</v>
      </c>
      <c r="R4981">
        <v>2.333327E-2</v>
      </c>
      <c r="S4981">
        <v>-3.0230100000000002</v>
      </c>
      <c r="T4981">
        <v>-0.22130739999999999</v>
      </c>
      <c r="U4981">
        <v>-0.66976930000000001</v>
      </c>
      <c r="V4981">
        <v>3.5245869999999999E-2</v>
      </c>
      <c r="W4981">
        <v>3.5569139999999999E-2</v>
      </c>
      <c r="X4981">
        <v>0.99874549999999995</v>
      </c>
      <c r="Y4981">
        <v>-0.2040478</v>
      </c>
      <c r="Z4981">
        <v>-6.5002310000000004E-3</v>
      </c>
      <c r="AA4981">
        <v>0.97893940000000002</v>
      </c>
      <c r="AB4981">
        <v>34</v>
      </c>
      <c r="AC4981">
        <v>-14.855799999999901</v>
      </c>
      <c r="AD4981">
        <v>-1.111907189831</v>
      </c>
      <c r="AE4981">
        <v>-3.3597999999999999</v>
      </c>
      <c r="AF4981">
        <v>-3.16377519160597</v>
      </c>
      <c r="AG4981">
        <v>-1.111907189831</v>
      </c>
      <c r="AH4981">
        <v>14.816225174249301</v>
      </c>
      <c r="AI4981">
        <v>94.197526970711095</v>
      </c>
      <c r="AJ4981">
        <v>102.053598805734</v>
      </c>
      <c r="AK4981">
        <v>15.190995341842401</v>
      </c>
      <c r="AL4981">
        <v>87.961608435421496</v>
      </c>
      <c r="AM4981">
        <v>87.978862593690906</v>
      </c>
      <c r="AN4981">
        <v>1.00000000442132</v>
      </c>
    </row>
    <row r="4982" spans="1:40" x14ac:dyDescent="0.25">
      <c r="A4982" t="str">
        <f>"20190312154355933"</f>
        <v>20190312154355933</v>
      </c>
      <c r="B4982" t="str">
        <f>"1552376635923005"</f>
        <v>1552376635923005</v>
      </c>
      <c r="C4982" t="s">
        <v>40</v>
      </c>
      <c r="D4982">
        <v>5.0851579999999998</v>
      </c>
      <c r="E4982">
        <v>0.40774139999999998</v>
      </c>
      <c r="F4982" t="s">
        <v>43</v>
      </c>
      <c r="G4982">
        <v>-373.73390000000001</v>
      </c>
      <c r="H4982" s="1">
        <v>-3.0716439999999999E-6</v>
      </c>
      <c r="I4982">
        <v>137.3545</v>
      </c>
      <c r="J4982">
        <v>-358.92899999999997</v>
      </c>
      <c r="K4982">
        <v>1.1119709999999901</v>
      </c>
      <c r="L4982">
        <v>140.73220000000001</v>
      </c>
      <c r="M4982">
        <v>-0.99979870000000004</v>
      </c>
      <c r="N4982">
        <v>0</v>
      </c>
      <c r="O4982">
        <v>-1.379037E-2</v>
      </c>
      <c r="P4982">
        <v>-0.99954829999999995</v>
      </c>
      <c r="Q4982">
        <v>2.0639210000000002E-2</v>
      </c>
      <c r="R4982">
        <v>2.1846089999999999E-2</v>
      </c>
      <c r="S4982">
        <v>-3.021881</v>
      </c>
      <c r="T4982">
        <v>-0.22191640000000001</v>
      </c>
      <c r="U4982">
        <v>-0.67527769999999898</v>
      </c>
      <c r="V4982">
        <v>3.550147E-2</v>
      </c>
      <c r="W4982">
        <v>3.5332780000000001E-2</v>
      </c>
      <c r="X4982">
        <v>0.99874479999999999</v>
      </c>
      <c r="Y4982">
        <v>-0.20411560000000001</v>
      </c>
      <c r="Z4982">
        <v>-6.3950869999999998E-3</v>
      </c>
      <c r="AA4982">
        <v>0.97892590000000002</v>
      </c>
      <c r="AB4982">
        <v>34</v>
      </c>
      <c r="AC4982">
        <v>-14.8048999999999</v>
      </c>
      <c r="AD4982">
        <v>-1.1119740716440001</v>
      </c>
      <c r="AE4982">
        <v>-3.3776999999999999</v>
      </c>
      <c r="AF4982">
        <v>-3.1562675298615201</v>
      </c>
      <c r="AG4982">
        <v>-1.1119740716440001</v>
      </c>
      <c r="AH4982">
        <v>14.7708724669475</v>
      </c>
      <c r="AI4982">
        <v>94.210494886793896</v>
      </c>
      <c r="AJ4982">
        <v>102.06167373683</v>
      </c>
      <c r="AK4982">
        <v>15.1452033492751</v>
      </c>
      <c r="AL4982">
        <v>87.975159309186395</v>
      </c>
      <c r="AM4982">
        <v>87.964216342992202</v>
      </c>
      <c r="AN4982">
        <v>0.99999996762086396</v>
      </c>
    </row>
    <row r="4983" spans="1:40" x14ac:dyDescent="0.25">
      <c r="A4983" t="str">
        <f>"20190312154355955"</f>
        <v>20190312154355955</v>
      </c>
      <c r="B4983" t="str">
        <f>"1552376635952285"</f>
        <v>1552376635952285</v>
      </c>
      <c r="C4983" t="s">
        <v>40</v>
      </c>
      <c r="D4983">
        <v>5.0897489999999896</v>
      </c>
      <c r="E4983">
        <v>0.40772049999999999</v>
      </c>
      <c r="F4983" t="s">
        <v>43</v>
      </c>
      <c r="G4983">
        <v>-373.9776</v>
      </c>
      <c r="H4983" s="1">
        <v>-2.9693219999999999E-6</v>
      </c>
      <c r="I4983">
        <v>137.34190000000001</v>
      </c>
      <c r="J4983">
        <v>-359.25470000000001</v>
      </c>
      <c r="K4983">
        <v>1.112033</v>
      </c>
      <c r="L4983">
        <v>140.7259</v>
      </c>
      <c r="M4983">
        <v>-0.99977249999999995</v>
      </c>
      <c r="N4983">
        <v>0</v>
      </c>
      <c r="O4983">
        <v>-1.556416E-2</v>
      </c>
      <c r="P4983">
        <v>-0.99958970000000003</v>
      </c>
      <c r="Q4983">
        <v>2.0268649999999999E-2</v>
      </c>
      <c r="R4983">
        <v>2.023266E-2</v>
      </c>
      <c r="S4983">
        <v>-3.0208740000000001</v>
      </c>
      <c r="T4983">
        <v>-0.2232189</v>
      </c>
      <c r="U4983">
        <v>-0.68054199999999998</v>
      </c>
      <c r="V4983">
        <v>3.5657559999999998E-2</v>
      </c>
      <c r="W4983">
        <v>3.4966799999999999E-2</v>
      </c>
      <c r="X4983">
        <v>0.99875219999999998</v>
      </c>
      <c r="Y4983">
        <v>-0.20407139999999999</v>
      </c>
      <c r="Z4983">
        <v>-6.3026200000000001E-3</v>
      </c>
      <c r="AA4983">
        <v>0.97893569999999996</v>
      </c>
      <c r="AB4983">
        <v>34</v>
      </c>
      <c r="AC4983">
        <v>-14.7228999999999</v>
      </c>
      <c r="AD4983">
        <v>-1.1120359693220001</v>
      </c>
      <c r="AE4983">
        <v>-3.3839999999999799</v>
      </c>
      <c r="AF4983">
        <v>-3.1374154353269499</v>
      </c>
      <c r="AG4983">
        <v>-1.1120359693220001</v>
      </c>
      <c r="AH4983">
        <v>14.6941680651646</v>
      </c>
      <c r="AI4983">
        <v>94.232773319883904</v>
      </c>
      <c r="AJ4983">
        <v>102.05249364807401</v>
      </c>
      <c r="AK4983">
        <v>15.066471874271</v>
      </c>
      <c r="AL4983">
        <v>87.996141545960299</v>
      </c>
      <c r="AM4983">
        <v>87.955288291746399</v>
      </c>
      <c r="AN4983">
        <v>1.00000004784611</v>
      </c>
    </row>
    <row r="4984" spans="1:40" x14ac:dyDescent="0.25">
      <c r="A4984" t="str">
        <f>"20190312154355978"</f>
        <v>20190312154355978</v>
      </c>
      <c r="B4984" t="str">
        <f>"1552376635972780"</f>
        <v>1552376635972780</v>
      </c>
      <c r="C4984" t="s">
        <v>40</v>
      </c>
      <c r="D4984">
        <v>5.0825529999999999</v>
      </c>
      <c r="E4984">
        <v>0.40772190000000003</v>
      </c>
      <c r="F4984" t="s">
        <v>43</v>
      </c>
      <c r="G4984">
        <v>-374.1044</v>
      </c>
      <c r="H4984" s="1">
        <v>-2.9127789999999999E-6</v>
      </c>
      <c r="I4984">
        <v>137.35409999999999</v>
      </c>
      <c r="J4984">
        <v>-359.59789999999998</v>
      </c>
      <c r="K4984">
        <v>1.112104</v>
      </c>
      <c r="L4984">
        <v>140.71850000000001</v>
      </c>
      <c r="M4984">
        <v>-0.99974010000000002</v>
      </c>
      <c r="N4984">
        <v>0</v>
      </c>
      <c r="O4984">
        <v>-1.753151E-2</v>
      </c>
      <c r="P4984">
        <v>-0.99963360000000001</v>
      </c>
      <c r="Q4984">
        <v>1.9883870000000001E-2</v>
      </c>
      <c r="R4984">
        <v>1.8370839999999999E-2</v>
      </c>
      <c r="S4984">
        <v>-3.0196839999999998</v>
      </c>
      <c r="T4984">
        <v>-0.2261329</v>
      </c>
      <c r="U4984">
        <v>-0.68563839999999998</v>
      </c>
      <c r="V4984">
        <v>3.5758430000000001E-2</v>
      </c>
      <c r="W4984">
        <v>3.4586510000000001E-2</v>
      </c>
      <c r="X4984">
        <v>0.99876180000000003</v>
      </c>
      <c r="Y4984">
        <v>-0.2037928</v>
      </c>
      <c r="Z4984">
        <v>-6.230523E-3</v>
      </c>
      <c r="AA4984">
        <v>0.97899429999999998</v>
      </c>
      <c r="AB4984">
        <v>34</v>
      </c>
      <c r="AC4984">
        <v>-14.506500000000001</v>
      </c>
      <c r="AD4984">
        <v>-1.112106912779</v>
      </c>
      <c r="AE4984">
        <v>-3.36440000000001</v>
      </c>
      <c r="AF4984">
        <v>-3.0922887224869702</v>
      </c>
      <c r="AG4984">
        <v>-1.112106912779</v>
      </c>
      <c r="AH4984">
        <v>14.482487939889699</v>
      </c>
      <c r="AI4984">
        <v>94.294679658129994</v>
      </c>
      <c r="AJ4984">
        <v>102.05275861050799</v>
      </c>
      <c r="AK4984">
        <v>14.8506393215148</v>
      </c>
      <c r="AL4984">
        <v>88.017943675031603</v>
      </c>
      <c r="AM4984">
        <v>87.949528725519102</v>
      </c>
      <c r="AN4984">
        <v>1.00000001256464</v>
      </c>
    </row>
    <row r="4985" spans="1:40" x14ac:dyDescent="0.25">
      <c r="A4985" t="str">
        <f>"20190312154356001"</f>
        <v>20190312154356001</v>
      </c>
      <c r="B4985" t="str">
        <f>"1552376635992301"</f>
        <v>1552376635992301</v>
      </c>
      <c r="C4985" t="s">
        <v>40</v>
      </c>
      <c r="D4985">
        <v>5.1201800000000004</v>
      </c>
      <c r="E4985">
        <v>0.40774359999999998</v>
      </c>
      <c r="F4985" t="s">
        <v>43</v>
      </c>
      <c r="G4985">
        <v>-374.31029999999998</v>
      </c>
      <c r="H4985" s="1">
        <v>-2.825366E-6</v>
      </c>
      <c r="I4985">
        <v>137.34880000000001</v>
      </c>
      <c r="J4985">
        <v>-359.93549999999999</v>
      </c>
      <c r="K4985">
        <v>1.1121810000000001</v>
      </c>
      <c r="L4985">
        <v>140.7106</v>
      </c>
      <c r="M4985">
        <v>-0.99970239999999999</v>
      </c>
      <c r="N4985">
        <v>0</v>
      </c>
      <c r="O4985">
        <v>-1.95736E-2</v>
      </c>
      <c r="P4985">
        <v>-0.99967680000000003</v>
      </c>
      <c r="Q4985">
        <v>1.9542839999999999E-2</v>
      </c>
      <c r="R4985">
        <v>1.627031E-2</v>
      </c>
      <c r="S4985">
        <v>-3.0183719999999998</v>
      </c>
      <c r="T4985">
        <v>-0.22815869999999999</v>
      </c>
      <c r="U4985">
        <v>-0.69131469999999995</v>
      </c>
      <c r="V4985">
        <v>3.5694709999999998E-2</v>
      </c>
      <c r="W4985">
        <v>3.4251009999999998E-2</v>
      </c>
      <c r="X4985">
        <v>0.99877559999999999</v>
      </c>
      <c r="Y4985">
        <v>-0.20363210000000001</v>
      </c>
      <c r="Z4985">
        <v>-6.1295560000000004E-3</v>
      </c>
      <c r="AA4985">
        <v>0.97902829999999996</v>
      </c>
      <c r="AB4985">
        <v>34</v>
      </c>
      <c r="AC4985">
        <v>-14.374799999999899</v>
      </c>
      <c r="AD4985">
        <v>-1.1121838253659999</v>
      </c>
      <c r="AE4985">
        <v>-3.3617999999999801</v>
      </c>
      <c r="AF4985">
        <v>-3.0623781092703299</v>
      </c>
      <c r="AG4985">
        <v>-1.1121838253659999</v>
      </c>
      <c r="AH4985">
        <v>14.3563718432423</v>
      </c>
      <c r="AI4985">
        <v>94.332745520043503</v>
      </c>
      <c r="AJ4985">
        <v>102.04137442281301</v>
      </c>
      <c r="AK4985">
        <v>14.7214308084162</v>
      </c>
      <c r="AL4985">
        <v>88.037177724675502</v>
      </c>
      <c r="AM4985">
        <v>87.953207724093701</v>
      </c>
      <c r="AN4985">
        <v>0.99999997158168097</v>
      </c>
    </row>
    <row r="4986" spans="1:40" x14ac:dyDescent="0.25">
      <c r="A4986" t="str">
        <f>"20190312154356025"</f>
        <v>20190312154356025</v>
      </c>
      <c r="B4986" t="str">
        <f>"1552376636012797"</f>
        <v>1552376636012797</v>
      </c>
      <c r="C4986" t="s">
        <v>40</v>
      </c>
      <c r="D4986">
        <v>5.1071429999999998</v>
      </c>
      <c r="E4986">
        <v>0.40774280000000002</v>
      </c>
      <c r="F4986" t="s">
        <v>43</v>
      </c>
      <c r="G4986">
        <v>-374.55939999999998</v>
      </c>
      <c r="H4986" s="1">
        <v>-2.7218349999999998E-6</v>
      </c>
      <c r="I4986">
        <v>137.33000000000001</v>
      </c>
      <c r="J4986">
        <v>-360.29090000000002</v>
      </c>
      <c r="K4986">
        <v>1.112276</v>
      </c>
      <c r="L4986">
        <v>140.7013</v>
      </c>
      <c r="M4986">
        <v>-0.99965519999999997</v>
      </c>
      <c r="N4986">
        <v>0</v>
      </c>
      <c r="O4986">
        <v>-2.1847499999999999E-2</v>
      </c>
      <c r="P4986">
        <v>-0.99972110000000003</v>
      </c>
      <c r="Q4986">
        <v>1.9364579999999999E-2</v>
      </c>
      <c r="R4986">
        <v>1.3532270000000001E-2</v>
      </c>
      <c r="S4986">
        <v>-3.0168460000000001</v>
      </c>
      <c r="T4986">
        <v>-0.22943930000000001</v>
      </c>
      <c r="U4986">
        <v>-0.6973724</v>
      </c>
      <c r="V4986">
        <v>3.5223650000000002E-2</v>
      </c>
      <c r="W4986">
        <v>3.4078499999999998E-2</v>
      </c>
      <c r="X4986">
        <v>0.99879830000000003</v>
      </c>
      <c r="Y4986">
        <v>-0.20338120000000001</v>
      </c>
      <c r="Z4986">
        <v>-5.9858929999999999E-3</v>
      </c>
      <c r="AA4986">
        <v>0.97908130000000004</v>
      </c>
      <c r="AB4986">
        <v>33</v>
      </c>
      <c r="AC4986">
        <v>-14.2684999999999</v>
      </c>
      <c r="AD4986">
        <v>-1.1122787218350001</v>
      </c>
      <c r="AE4986">
        <v>-3.37129999999999</v>
      </c>
      <c r="AF4986">
        <v>-3.04122743356645</v>
      </c>
      <c r="AG4986">
        <v>-1.1122787218350001</v>
      </c>
      <c r="AH4986">
        <v>14.256702361539</v>
      </c>
      <c r="AI4986">
        <v>94.363283444185697</v>
      </c>
      <c r="AJ4986">
        <v>102.041797116534</v>
      </c>
      <c r="AK4986">
        <v>14.6198423549379</v>
      </c>
      <c r="AL4986">
        <v>88.0470677405701</v>
      </c>
      <c r="AM4986">
        <v>87.980242409200898</v>
      </c>
      <c r="AN4986">
        <v>1.0000000468822301</v>
      </c>
    </row>
    <row r="4987" spans="1:40" x14ac:dyDescent="0.25">
      <c r="A4987" t="str">
        <f>"20190312154356045"</f>
        <v>20190312154356045</v>
      </c>
      <c r="B4987" t="str">
        <f>"1552376636043053"</f>
        <v>1552376636043053</v>
      </c>
      <c r="C4987" t="s">
        <v>40</v>
      </c>
      <c r="D4987">
        <v>5.0830780000000004</v>
      </c>
      <c r="E4987">
        <v>0.4077499</v>
      </c>
      <c r="F4987" t="s">
        <v>43</v>
      </c>
      <c r="G4987">
        <v>-374.82850000000002</v>
      </c>
      <c r="H4987" s="1">
        <v>-2.6122799999999998E-6</v>
      </c>
      <c r="I4987">
        <v>137.29679999999999</v>
      </c>
      <c r="J4987">
        <v>-360.60109999999997</v>
      </c>
      <c r="K4987">
        <v>1.1123700000000001</v>
      </c>
      <c r="L4987">
        <v>140.6925</v>
      </c>
      <c r="M4987">
        <v>-0.99960689999999996</v>
      </c>
      <c r="N4987">
        <v>0</v>
      </c>
      <c r="O4987">
        <v>-2.3954909999999999E-2</v>
      </c>
      <c r="P4987">
        <v>-0.99974660000000004</v>
      </c>
      <c r="Q4987">
        <v>1.9163349999999999E-2</v>
      </c>
      <c r="R4987">
        <v>1.181136E-2</v>
      </c>
      <c r="S4987">
        <v>-3.0148009999999998</v>
      </c>
      <c r="T4987">
        <v>-0.23066400000000001</v>
      </c>
      <c r="U4987">
        <v>-0.70600889999999905</v>
      </c>
      <c r="V4987">
        <v>3.5603019999999999E-2</v>
      </c>
      <c r="W4987">
        <v>3.3886920000000001E-2</v>
      </c>
      <c r="X4987">
        <v>0.99879130000000005</v>
      </c>
      <c r="Y4987">
        <v>-0.20412179999999999</v>
      </c>
      <c r="Z4987">
        <v>-5.8890899999999996E-3</v>
      </c>
      <c r="AA4987">
        <v>0.97892780000000001</v>
      </c>
      <c r="AB4987">
        <v>33</v>
      </c>
      <c r="AC4987">
        <v>-14.227399999999999</v>
      </c>
      <c r="AD4987">
        <v>-1.11237261228</v>
      </c>
      <c r="AE4987">
        <v>-3.3957000000000002</v>
      </c>
      <c r="AF4987">
        <v>-3.03631266824206</v>
      </c>
      <c r="AG4987">
        <v>-1.11237261228</v>
      </c>
      <c r="AH4987">
        <v>14.222413773888899</v>
      </c>
      <c r="AI4987">
        <v>94.373979764364506</v>
      </c>
      <c r="AJ4987">
        <v>102.05104315115101</v>
      </c>
      <c r="AK4987">
        <v>14.585390670242001</v>
      </c>
      <c r="AL4987">
        <v>88.058050678524793</v>
      </c>
      <c r="AM4987">
        <v>87.958492985760103</v>
      </c>
      <c r="AN4987">
        <v>0.99999997966794796</v>
      </c>
    </row>
    <row r="4988" spans="1:40" x14ac:dyDescent="0.25">
      <c r="A4988" t="str">
        <f>"20190312154356068"</f>
        <v>20190312154356068</v>
      </c>
      <c r="B4988" t="str">
        <f>"1552376636062573"</f>
        <v>1552376636062573</v>
      </c>
      <c r="C4988" t="s">
        <v>40</v>
      </c>
      <c r="D4988">
        <v>5.0992749999999996</v>
      </c>
      <c r="E4988">
        <v>0.40770240000000002</v>
      </c>
      <c r="F4988" t="s">
        <v>43</v>
      </c>
      <c r="G4988">
        <v>-375.09300000000002</v>
      </c>
      <c r="H4988" s="1">
        <v>-2.5034710000000001E-6</v>
      </c>
      <c r="I4988">
        <v>137.2706</v>
      </c>
      <c r="J4988">
        <v>-360.93369999999999</v>
      </c>
      <c r="K4988">
        <v>1.1124830000000001</v>
      </c>
      <c r="L4988">
        <v>140.68219999999999</v>
      </c>
      <c r="M4988">
        <v>-0.99954670000000001</v>
      </c>
      <c r="N4988">
        <v>0</v>
      </c>
      <c r="O4988">
        <v>-2.6349339999999999E-2</v>
      </c>
      <c r="P4988">
        <v>-0.99978319999999998</v>
      </c>
      <c r="Q4988">
        <v>1.8356129999999998E-2</v>
      </c>
      <c r="R4988">
        <v>9.8436329999999992E-3</v>
      </c>
      <c r="S4988">
        <v>-3.0135800000000001</v>
      </c>
      <c r="T4988">
        <v>-0.23131779999999999</v>
      </c>
      <c r="U4988">
        <v>-0.711563099999999</v>
      </c>
      <c r="V4988">
        <v>3.6024849999999997E-2</v>
      </c>
      <c r="W4988">
        <v>3.3092480000000001E-2</v>
      </c>
      <c r="X4988">
        <v>0.99880279999999999</v>
      </c>
      <c r="Y4988">
        <v>-0.20358000000000001</v>
      </c>
      <c r="Z4988">
        <v>-5.7056030000000001E-3</v>
      </c>
      <c r="AA4988">
        <v>0.97904170000000001</v>
      </c>
      <c r="AB4988">
        <v>33</v>
      </c>
      <c r="AC4988">
        <v>-14.1593</v>
      </c>
      <c r="AD4988">
        <v>-1.1124855034709999</v>
      </c>
      <c r="AE4988">
        <v>-3.4115999999999902</v>
      </c>
      <c r="AF4988">
        <v>-3.01966943988519</v>
      </c>
      <c r="AG4988">
        <v>-1.1124855034709999</v>
      </c>
      <c r="AH4988">
        <v>14.1616607314044</v>
      </c>
      <c r="AI4988">
        <v>94.393346381714693</v>
      </c>
      <c r="AJ4988">
        <v>102.036829064904</v>
      </c>
      <c r="AK4988">
        <v>14.5226947290443</v>
      </c>
      <c r="AL4988">
        <v>88.103594264076804</v>
      </c>
      <c r="AM4988">
        <v>87.934349494958695</v>
      </c>
      <c r="AN4988">
        <v>0.99999996766895505</v>
      </c>
    </row>
    <row r="4989" spans="1:40" x14ac:dyDescent="0.25">
      <c r="A4989" t="str">
        <f>"20190312154356089"</f>
        <v>20190312154356089</v>
      </c>
      <c r="B4989" t="str">
        <f>"1552376636082092"</f>
        <v>1552376636082092</v>
      </c>
      <c r="C4989" t="s">
        <v>40</v>
      </c>
      <c r="D4989">
        <v>5.1860249999999999</v>
      </c>
      <c r="E4989">
        <v>0.40776829999999997</v>
      </c>
      <c r="F4989" t="s">
        <v>43</v>
      </c>
      <c r="G4989">
        <v>-375.25200000000001</v>
      </c>
      <c r="H4989" s="1">
        <v>-2.4357630000000001E-6</v>
      </c>
      <c r="I4989">
        <v>137.26769999999999</v>
      </c>
      <c r="J4989">
        <v>-361.26080000000002</v>
      </c>
      <c r="K4989">
        <v>1.1125959999999999</v>
      </c>
      <c r="L4989">
        <v>140.67099999999999</v>
      </c>
      <c r="M4989">
        <v>-0.99947710000000001</v>
      </c>
      <c r="N4989">
        <v>0</v>
      </c>
      <c r="O4989">
        <v>-2.886145E-2</v>
      </c>
      <c r="P4989">
        <v>-0.99981929999999997</v>
      </c>
      <c r="Q4989">
        <v>1.7137900000000001E-2</v>
      </c>
      <c r="R4989">
        <v>8.2467559999999992E-3</v>
      </c>
      <c r="S4989">
        <v>-3.0119929999999999</v>
      </c>
      <c r="T4989">
        <v>-0.23402149999999999</v>
      </c>
      <c r="U4989">
        <v>-0.71824650000000001</v>
      </c>
      <c r="V4989">
        <v>3.6937690000000002E-2</v>
      </c>
      <c r="W4989">
        <v>3.1890050000000003E-2</v>
      </c>
      <c r="X4989">
        <v>0.99880860000000005</v>
      </c>
      <c r="Y4989">
        <v>-0.20328779999999999</v>
      </c>
      <c r="Z4989">
        <v>-5.5705769999999898E-3</v>
      </c>
      <c r="AA4989">
        <v>0.97910319999999995</v>
      </c>
      <c r="AB4989">
        <v>33</v>
      </c>
      <c r="AC4989">
        <v>-13.9911999999999</v>
      </c>
      <c r="AD4989">
        <v>-1.1125984357630001</v>
      </c>
      <c r="AE4989">
        <v>-3.4033000000000002</v>
      </c>
      <c r="AF4989">
        <v>-2.9802395581182499</v>
      </c>
      <c r="AG4989">
        <v>-1.1125984357630001</v>
      </c>
      <c r="AH4989">
        <v>14.000019518240199</v>
      </c>
      <c r="AI4989">
        <v>94.444638129211896</v>
      </c>
      <c r="AJ4989">
        <v>102.017398203849</v>
      </c>
      <c r="AK4989">
        <v>14.3568885770609</v>
      </c>
      <c r="AL4989">
        <v>88.172524876460599</v>
      </c>
      <c r="AM4989">
        <v>87.882066981091498</v>
      </c>
      <c r="AN4989">
        <v>0.99999999383274896</v>
      </c>
    </row>
    <row r="4990" spans="1:40" x14ac:dyDescent="0.25">
      <c r="A4990" t="str">
        <f>"20190312154356112"</f>
        <v>20190312154356112</v>
      </c>
      <c r="B4990" t="str">
        <f>"1552376636102589"</f>
        <v>1552376636102589</v>
      </c>
      <c r="C4990" t="s">
        <v>40</v>
      </c>
      <c r="D4990">
        <v>5.0180300000000004</v>
      </c>
      <c r="E4990">
        <v>0.43651289999999998</v>
      </c>
      <c r="F4990" t="s">
        <v>43</v>
      </c>
      <c r="G4990">
        <v>-375.3211</v>
      </c>
      <c r="H4990" s="1">
        <v>-2.4010369999999999E-6</v>
      </c>
      <c r="I4990">
        <v>137.29640000000001</v>
      </c>
      <c r="J4990">
        <v>-361.59449999999998</v>
      </c>
      <c r="K4990">
        <v>1.1127089999999999</v>
      </c>
      <c r="L4990">
        <v>140.65860000000001</v>
      </c>
      <c r="M4990">
        <v>-0.99939599999999995</v>
      </c>
      <c r="N4990">
        <v>0</v>
      </c>
      <c r="O4990">
        <v>-3.1550080000000001E-2</v>
      </c>
      <c r="P4990">
        <v>-0.99984340000000005</v>
      </c>
      <c r="Q4990">
        <v>1.643329E-2</v>
      </c>
      <c r="R4990">
        <v>6.570177E-3</v>
      </c>
      <c r="S4990">
        <v>-3.0105590000000002</v>
      </c>
      <c r="T4990">
        <v>-0.23822769999999999</v>
      </c>
      <c r="U4990">
        <v>-0.72253420000000002</v>
      </c>
      <c r="V4990">
        <v>3.794546E-2</v>
      </c>
      <c r="W4990">
        <v>3.120185E-2</v>
      </c>
      <c r="X4990">
        <v>0.99879260000000003</v>
      </c>
      <c r="Y4990">
        <v>-0.20207149999999999</v>
      </c>
      <c r="Z4990">
        <v>-5.4156949999999999E-3</v>
      </c>
      <c r="AA4990">
        <v>0.9793558</v>
      </c>
      <c r="AB4990">
        <v>33</v>
      </c>
      <c r="AC4990">
        <v>-13.726599999999999</v>
      </c>
      <c r="AD4990">
        <v>-1.1127114010370001</v>
      </c>
      <c r="AE4990">
        <v>-3.3622000000000001</v>
      </c>
      <c r="AF4990">
        <v>-2.9093688270145002</v>
      </c>
      <c r="AG4990">
        <v>-1.1127114010370001</v>
      </c>
      <c r="AH4990">
        <v>13.7406729599237</v>
      </c>
      <c r="AI4990">
        <v>94.529684472466599</v>
      </c>
      <c r="AJ4990">
        <v>101.95490512771499</v>
      </c>
      <c r="AK4990">
        <v>14.089309671704299</v>
      </c>
      <c r="AL4990">
        <v>88.211975542098699</v>
      </c>
      <c r="AM4990">
        <v>87.824303445845501</v>
      </c>
      <c r="AN4990">
        <v>1.0000000355963901</v>
      </c>
    </row>
    <row r="4991" spans="1:40" x14ac:dyDescent="0.25">
      <c r="A4991" t="str">
        <f>"20190312154356134"</f>
        <v>20190312154356134</v>
      </c>
      <c r="B4991" t="str">
        <f>"1552376636123084"</f>
        <v>1552376636123084</v>
      </c>
      <c r="C4991" t="s">
        <v>40</v>
      </c>
      <c r="D4991">
        <v>5.1468360000000004</v>
      </c>
      <c r="E4991">
        <v>0.49833179999999999</v>
      </c>
      <c r="F4991" t="s">
        <v>43</v>
      </c>
      <c r="G4991">
        <v>-377.4579</v>
      </c>
      <c r="H4991" s="1">
        <v>-1.353144E-6</v>
      </c>
      <c r="I4991">
        <v>138.03620000000001</v>
      </c>
      <c r="J4991">
        <v>-361.91390000000001</v>
      </c>
      <c r="K4991">
        <v>1.1128020000000001</v>
      </c>
      <c r="L4991">
        <v>140.64580000000001</v>
      </c>
      <c r="M4991">
        <v>-0.99930730000000001</v>
      </c>
      <c r="N4991">
        <v>0</v>
      </c>
      <c r="O4991">
        <v>-3.4239220000000001E-2</v>
      </c>
      <c r="P4991">
        <v>-0.99985360000000001</v>
      </c>
      <c r="Q4991">
        <v>1.627311E-2</v>
      </c>
      <c r="R4991">
        <v>5.3269329999999998E-3</v>
      </c>
      <c r="S4991">
        <v>-3.0072329999999998</v>
      </c>
      <c r="T4991">
        <v>-0.21093709999999999</v>
      </c>
      <c r="U4991">
        <v>-0.49711610000000001</v>
      </c>
      <c r="V4991">
        <v>3.9385330000000003E-2</v>
      </c>
      <c r="W4991">
        <v>3.1058869999999999E-2</v>
      </c>
      <c r="X4991">
        <v>0.99874130000000005</v>
      </c>
      <c r="Y4991">
        <v>-0.12898709999999999</v>
      </c>
      <c r="Z4991">
        <v>-2.107069E-3</v>
      </c>
      <c r="AA4991">
        <v>0.99164399999999997</v>
      </c>
      <c r="AB4991">
        <v>33</v>
      </c>
      <c r="AC4991">
        <v>-15.543999999999899</v>
      </c>
      <c r="AD4991">
        <v>-1.112803353144</v>
      </c>
      <c r="AE4991">
        <v>-2.6095999999999999</v>
      </c>
      <c r="AF4991">
        <v>-2.0655026277839599</v>
      </c>
      <c r="AG4991">
        <v>-1.112803353144</v>
      </c>
      <c r="AH4991">
        <v>15.5467482227531</v>
      </c>
      <c r="AI4991">
        <v>94.058586410331202</v>
      </c>
      <c r="AJ4991">
        <v>97.567856576806193</v>
      </c>
      <c r="AK4991">
        <v>15.722786416848299</v>
      </c>
      <c r="AL4991">
        <v>88.220171638728203</v>
      </c>
      <c r="AM4991">
        <v>87.741712985687997</v>
      </c>
      <c r="AN4991">
        <v>1.00000002097528</v>
      </c>
    </row>
    <row r="4992" spans="1:40" x14ac:dyDescent="0.25">
      <c r="A4992" t="str">
        <f>"20190312154356156"</f>
        <v>20190312154356156</v>
      </c>
      <c r="B4992" t="str">
        <f>"1552376636142605"</f>
        <v>1552376636142605</v>
      </c>
      <c r="C4992" t="s">
        <v>40</v>
      </c>
      <c r="D4992">
        <v>5.1508229999999999</v>
      </c>
      <c r="E4992">
        <v>0.51265050000000001</v>
      </c>
      <c r="F4992" t="s">
        <v>41</v>
      </c>
      <c r="G4992">
        <v>-362.81180000000001</v>
      </c>
      <c r="H4992">
        <v>0.97255610000000003</v>
      </c>
      <c r="I4992">
        <v>140.64089999999999</v>
      </c>
      <c r="J4992">
        <v>-362.24059999999997</v>
      </c>
      <c r="K4992">
        <v>1.112895</v>
      </c>
      <c r="L4992">
        <v>140.6317</v>
      </c>
      <c r="M4992">
        <v>-0.99920520000000002</v>
      </c>
      <c r="N4992">
        <v>0</v>
      </c>
      <c r="O4992">
        <v>-3.710302E-2</v>
      </c>
      <c r="P4992">
        <v>-0.99986209999999998</v>
      </c>
      <c r="Q4992">
        <v>1.6261049999999999E-2</v>
      </c>
      <c r="R4992">
        <v>3.444992E-3</v>
      </c>
      <c r="S4992">
        <v>-3.0081790000000002</v>
      </c>
      <c r="T4992">
        <v>-0.47003270000000003</v>
      </c>
      <c r="U4992">
        <v>-1.7196659999999999E-2</v>
      </c>
      <c r="V4992">
        <v>4.0361130000000002E-2</v>
      </c>
      <c r="W4992">
        <v>3.1061249999999999E-2</v>
      </c>
      <c r="X4992">
        <v>0.99870219999999998</v>
      </c>
      <c r="Y4992">
        <v>3.0572769999999999E-2</v>
      </c>
      <c r="Z4992">
        <v>8.1359599999999994E-3</v>
      </c>
      <c r="AA4992">
        <v>0.99949940000000004</v>
      </c>
      <c r="AB4992">
        <v>33</v>
      </c>
      <c r="AC4992">
        <v>-0.57120000000003202</v>
      </c>
      <c r="AD4992">
        <v>-0.14033889999999999</v>
      </c>
      <c r="AE4992">
        <v>9.1999999999927695E-3</v>
      </c>
      <c r="AF4992">
        <v>2.8659593459590699E-2</v>
      </c>
      <c r="AG4992">
        <v>-0.14033889999999999</v>
      </c>
      <c r="AH4992">
        <v>0.53799782309188504</v>
      </c>
      <c r="AI4992">
        <v>104.600225492539</v>
      </c>
      <c r="AJ4992">
        <v>86.9506882103029</v>
      </c>
      <c r="AK4992">
        <v>0.55673875094346204</v>
      </c>
      <c r="AL4992">
        <v>88.220035088231299</v>
      </c>
      <c r="AM4992">
        <v>87.685731886559296</v>
      </c>
      <c r="AN4992">
        <v>0.99999995317563795</v>
      </c>
    </row>
    <row r="4993" spans="1:40" x14ac:dyDescent="0.25">
      <c r="A4993" t="str">
        <f>"20190312154356179"</f>
        <v>20190312154356179</v>
      </c>
      <c r="B4993" t="str">
        <f>"1552376636172864"</f>
        <v>1552376636172864</v>
      </c>
      <c r="C4993" t="s">
        <v>40</v>
      </c>
      <c r="D4993">
        <v>5.1627080000000003</v>
      </c>
      <c r="E4993">
        <v>0.52109099999999997</v>
      </c>
      <c r="F4993" t="s">
        <v>41</v>
      </c>
      <c r="G4993">
        <v>-363.09160000000003</v>
      </c>
      <c r="H4993">
        <v>0.94072769999999994</v>
      </c>
      <c r="I4993">
        <v>140.65620000000001</v>
      </c>
      <c r="J4993">
        <v>-362.58499999999998</v>
      </c>
      <c r="K4993">
        <v>1.112986</v>
      </c>
      <c r="L4993">
        <v>140.6157</v>
      </c>
      <c r="M4993">
        <v>-0.99908410000000003</v>
      </c>
      <c r="N4993">
        <v>0</v>
      </c>
      <c r="O4993">
        <v>-4.0233129999999999E-2</v>
      </c>
      <c r="P4993">
        <v>-0.9998669</v>
      </c>
      <c r="Q4993">
        <v>1.6308739999999999E-2</v>
      </c>
      <c r="R4993">
        <v>6.4591750000000004E-4</v>
      </c>
      <c r="S4993">
        <v>-3.0100099999999999</v>
      </c>
      <c r="T4993">
        <v>-0.60911459999999995</v>
      </c>
      <c r="U4993">
        <v>8.6242680000000002E-2</v>
      </c>
      <c r="V4993">
        <v>4.068679E-2</v>
      </c>
      <c r="W4993">
        <v>3.1120350000000001E-2</v>
      </c>
      <c r="X4993">
        <v>0.9986872</v>
      </c>
      <c r="Y4993">
        <v>6.6672319999999993E-2</v>
      </c>
      <c r="Z4993">
        <v>1.4735750000000001E-2</v>
      </c>
      <c r="AA4993">
        <v>0.9976661</v>
      </c>
      <c r="AB4993">
        <v>33</v>
      </c>
      <c r="AC4993">
        <v>-0.50660000000004801</v>
      </c>
      <c r="AD4993">
        <v>-0.172258299999999</v>
      </c>
      <c r="AE4993">
        <v>4.0500000000008599E-2</v>
      </c>
      <c r="AF4993">
        <v>5.4580939719630697E-2</v>
      </c>
      <c r="AG4993">
        <v>-0.172258299999999</v>
      </c>
      <c r="AH4993">
        <v>0.45256698045591298</v>
      </c>
      <c r="AI4993">
        <v>110.700912325367</v>
      </c>
      <c r="AJ4993">
        <v>83.123169592862595</v>
      </c>
      <c r="AK4993">
        <v>0.48730778025653398</v>
      </c>
      <c r="AL4993">
        <v>88.216647366182599</v>
      </c>
      <c r="AM4993">
        <v>87.667044405630804</v>
      </c>
      <c r="AN4993">
        <v>1.0000000072542301</v>
      </c>
    </row>
    <row r="4994" spans="1:40" x14ac:dyDescent="0.25">
      <c r="A4994" t="str">
        <f>"20190312154356202"</f>
        <v>20190312154356202</v>
      </c>
      <c r="B4994" t="str">
        <f>"1552376636192381"</f>
        <v>1552376636192381</v>
      </c>
      <c r="C4994" t="s">
        <v>40</v>
      </c>
      <c r="D4994">
        <v>5.1747209999999999</v>
      </c>
      <c r="E4994">
        <v>0.52377959999999901</v>
      </c>
      <c r="F4994" t="s">
        <v>41</v>
      </c>
      <c r="G4994">
        <v>-363.38119999999998</v>
      </c>
      <c r="H4994">
        <v>0.92945960000000005</v>
      </c>
      <c r="I4994">
        <v>140.65360000000001</v>
      </c>
      <c r="J4994">
        <v>-362.90719999999999</v>
      </c>
      <c r="K4994">
        <v>1.1130660000000001</v>
      </c>
      <c r="L4994">
        <v>140.59970000000001</v>
      </c>
      <c r="M4994">
        <v>-0.99895809999999996</v>
      </c>
      <c r="N4994">
        <v>0</v>
      </c>
      <c r="O4994">
        <v>-4.3248519999999999E-2</v>
      </c>
      <c r="P4994">
        <v>-0.99987250000000005</v>
      </c>
      <c r="Q4994">
        <v>1.5778460000000001E-2</v>
      </c>
      <c r="R4994">
        <v>-2.453041E-3</v>
      </c>
      <c r="S4994">
        <v>-3.0116580000000002</v>
      </c>
      <c r="T4994">
        <v>-0.69444619999999901</v>
      </c>
      <c r="U4994">
        <v>0.1422272</v>
      </c>
      <c r="V4994">
        <v>4.0603510000000002E-2</v>
      </c>
      <c r="W4994">
        <v>3.059798E-2</v>
      </c>
      <c r="X4994">
        <v>0.99870669999999995</v>
      </c>
      <c r="Y4994">
        <v>8.6924119999999994E-2</v>
      </c>
      <c r="Z4994">
        <v>1.9725940000000001E-2</v>
      </c>
      <c r="AA4994">
        <v>0.9960196</v>
      </c>
      <c r="AB4994">
        <v>33</v>
      </c>
      <c r="AC4994">
        <v>-0.47399999999998899</v>
      </c>
      <c r="AD4994">
        <v>-0.183606399999999</v>
      </c>
      <c r="AE4994">
        <v>5.3899999999998699E-2</v>
      </c>
      <c r="AF4994">
        <v>6.4758882674031806E-2</v>
      </c>
      <c r="AG4994">
        <v>-0.183606399999999</v>
      </c>
      <c r="AH4994">
        <v>0.41042877878640699</v>
      </c>
      <c r="AI4994">
        <v>113.839961666085</v>
      </c>
      <c r="AJ4994">
        <v>81.033592755831705</v>
      </c>
      <c r="AK4994">
        <v>0.45426512683921799</v>
      </c>
      <c r="AL4994">
        <v>88.2465911705971</v>
      </c>
      <c r="AM4994">
        <v>87.671859778070598</v>
      </c>
      <c r="AN4994">
        <v>0.99999997701464505</v>
      </c>
    </row>
    <row r="4995" spans="1:40" x14ac:dyDescent="0.25">
      <c r="A4995" t="str">
        <f>"20190312154356224"</f>
        <v>20190312154356224</v>
      </c>
      <c r="B4995" t="str">
        <f>"1552376636212877"</f>
        <v>1552376636212877</v>
      </c>
      <c r="C4995" t="s">
        <v>40</v>
      </c>
      <c r="D4995">
        <v>5.1712579999999999</v>
      </c>
      <c r="E4995">
        <v>0.52539469999999899</v>
      </c>
      <c r="F4995" t="s">
        <v>41</v>
      </c>
      <c r="G4995">
        <v>-363.67489999999998</v>
      </c>
      <c r="H4995">
        <v>0.92837099999999995</v>
      </c>
      <c r="I4995">
        <v>140.63900000000001</v>
      </c>
      <c r="J4995">
        <v>-363.24189999999999</v>
      </c>
      <c r="K4995">
        <v>1.113138</v>
      </c>
      <c r="L4995">
        <v>140.58199999999999</v>
      </c>
      <c r="M4995">
        <v>-0.99881430000000004</v>
      </c>
      <c r="N4995">
        <v>0</v>
      </c>
      <c r="O4995">
        <v>-4.6451119999999999E-2</v>
      </c>
      <c r="P4995">
        <v>-0.99986079999999999</v>
      </c>
      <c r="Q4995">
        <v>1.53467E-2</v>
      </c>
      <c r="R4995">
        <v>-6.5687540000000004E-3</v>
      </c>
      <c r="S4995">
        <v>-3.0122680000000002</v>
      </c>
      <c r="T4995">
        <v>-0.72487950000000001</v>
      </c>
      <c r="U4995">
        <v>0.1532898</v>
      </c>
      <c r="V4995">
        <v>3.969222E-2</v>
      </c>
      <c r="W4995">
        <v>3.0168549999999999E-2</v>
      </c>
      <c r="X4995">
        <v>0.99875639999999999</v>
      </c>
      <c r="Y4995">
        <v>9.3186019999999994E-2</v>
      </c>
      <c r="Z4995">
        <v>2.2062950000000001E-2</v>
      </c>
      <c r="AA4995">
        <v>0.99540419999999996</v>
      </c>
      <c r="AB4995">
        <v>33</v>
      </c>
      <c r="AC4995">
        <v>-0.432999999999992</v>
      </c>
      <c r="AD4995">
        <v>-0.18476699999999999</v>
      </c>
      <c r="AE4995">
        <v>5.7000000000016302E-2</v>
      </c>
      <c r="AF4995">
        <v>6.5356272724852393E-2</v>
      </c>
      <c r="AG4995">
        <v>-0.18476699999999999</v>
      </c>
      <c r="AH4995">
        <v>0.36462318713686598</v>
      </c>
      <c r="AI4995">
        <v>116.509328632332</v>
      </c>
      <c r="AJ4995">
        <v>79.838025455834398</v>
      </c>
      <c r="AK4995">
        <v>0.41395694857234999</v>
      </c>
      <c r="AL4995">
        <v>88.271207067967794</v>
      </c>
      <c r="AM4995">
        <v>87.724169245408504</v>
      </c>
      <c r="AN4995">
        <v>0.99999998013929503</v>
      </c>
    </row>
    <row r="4996" spans="1:40" x14ac:dyDescent="0.25">
      <c r="A4996" t="str">
        <f>"20190312154356248"</f>
        <v>20190312154356248</v>
      </c>
      <c r="B4996" t="str">
        <f>"1552376636242157"</f>
        <v>1552376636242157</v>
      </c>
      <c r="C4996" t="s">
        <v>40</v>
      </c>
      <c r="D4996">
        <v>5.1204609999999997</v>
      </c>
      <c r="E4996">
        <v>0.52713829999999995</v>
      </c>
      <c r="F4996" t="s">
        <v>41</v>
      </c>
      <c r="G4996">
        <v>-363.97089999999997</v>
      </c>
      <c r="H4996">
        <v>0.93335409999999996</v>
      </c>
      <c r="I4996">
        <v>140.61940000000001</v>
      </c>
      <c r="J4996">
        <v>-363.58710000000002</v>
      </c>
      <c r="K4996">
        <v>1.1131979999999999</v>
      </c>
      <c r="L4996">
        <v>140.5626</v>
      </c>
      <c r="M4996">
        <v>-0.99865250000000005</v>
      </c>
      <c r="N4996">
        <v>0</v>
      </c>
      <c r="O4996">
        <v>-4.9807270000000001E-2</v>
      </c>
      <c r="P4996">
        <v>-0.99981920000000002</v>
      </c>
      <c r="Q4996">
        <v>1.5189630000000001E-2</v>
      </c>
      <c r="R4996">
        <v>-1.1443979999999999E-2</v>
      </c>
      <c r="S4996">
        <v>-3.012848</v>
      </c>
      <c r="T4996">
        <v>-0.74314669999999905</v>
      </c>
      <c r="U4996">
        <v>0.15382390000000001</v>
      </c>
      <c r="V4996">
        <v>3.8174760000000002E-2</v>
      </c>
      <c r="W4996">
        <v>3.0007929999999999E-2</v>
      </c>
      <c r="X4996">
        <v>0.99882040000000005</v>
      </c>
      <c r="Y4996">
        <v>9.6304050000000002E-2</v>
      </c>
      <c r="Z4996">
        <v>2.3792259999999999E-2</v>
      </c>
      <c r="AA4996">
        <v>0.99506749999999999</v>
      </c>
      <c r="AB4996">
        <v>33</v>
      </c>
      <c r="AC4996">
        <v>-0.38379999999995101</v>
      </c>
      <c r="AD4996">
        <v>-0.179843899999999</v>
      </c>
      <c r="AE4996">
        <v>5.6800000000009697E-2</v>
      </c>
      <c r="AF4996">
        <v>6.2432737690860697E-2</v>
      </c>
      <c r="AG4996">
        <v>-0.179843899999999</v>
      </c>
      <c r="AH4996">
        <v>0.313197914945546</v>
      </c>
      <c r="AI4996">
        <v>119.3855382118</v>
      </c>
      <c r="AJ4996">
        <v>78.726456615339202</v>
      </c>
      <c r="AK4996">
        <v>0.36651686049760801</v>
      </c>
      <c r="AL4996">
        <v>88.280414101410599</v>
      </c>
      <c r="AM4996">
        <v>87.811229576509305</v>
      </c>
      <c r="AN4996">
        <v>0.999999989810051</v>
      </c>
    </row>
    <row r="4997" spans="1:40" x14ac:dyDescent="0.25">
      <c r="A4997" t="str">
        <f>"20190312154356269"</f>
        <v>20190312154356269</v>
      </c>
      <c r="B4997" t="str">
        <f>"1552376636262653"</f>
        <v>1552376636262653</v>
      </c>
      <c r="C4997" t="s">
        <v>40</v>
      </c>
      <c r="D4997">
        <v>5.1883039999999996</v>
      </c>
      <c r="E4997">
        <v>0.54820780000000002</v>
      </c>
      <c r="F4997" t="s">
        <v>41</v>
      </c>
      <c r="G4997">
        <v>-364.53280000000001</v>
      </c>
      <c r="H4997">
        <v>0.87342759999999997</v>
      </c>
      <c r="I4997">
        <v>140.61099999999999</v>
      </c>
      <c r="J4997">
        <v>-363.89699999999999</v>
      </c>
      <c r="K4997">
        <v>1.1132310000000001</v>
      </c>
      <c r="L4997">
        <v>140.54399999999899</v>
      </c>
      <c r="M4997">
        <v>-0.99849580000000004</v>
      </c>
      <c r="N4997">
        <v>0</v>
      </c>
      <c r="O4997">
        <v>-5.2855760000000002E-2</v>
      </c>
      <c r="P4997">
        <v>-0.99975329999999996</v>
      </c>
      <c r="Q4997">
        <v>1.500343E-2</v>
      </c>
      <c r="R4997">
        <v>-1.6386899999999999E-2</v>
      </c>
      <c r="S4997">
        <v>-3.0138850000000001</v>
      </c>
      <c r="T4997">
        <v>-0.76435540000000002</v>
      </c>
      <c r="U4997">
        <v>0.15325929999999999</v>
      </c>
      <c r="V4997">
        <v>3.6284230000000001E-2</v>
      </c>
      <c r="W4997">
        <v>2.9812040000000001E-2</v>
      </c>
      <c r="X4997">
        <v>0.99889669999999997</v>
      </c>
      <c r="Y4997">
        <v>9.871895E-2</v>
      </c>
      <c r="Z4997">
        <v>2.5504349999999999E-2</v>
      </c>
      <c r="AA4997">
        <v>0.99478849999999996</v>
      </c>
      <c r="AB4997">
        <v>33</v>
      </c>
      <c r="AC4997">
        <v>-0.63580000000001702</v>
      </c>
      <c r="AD4997">
        <v>-0.239803399999999</v>
      </c>
      <c r="AE4997">
        <v>6.7000000000007207E-2</v>
      </c>
      <c r="AF4997">
        <v>8.8117975871862098E-2</v>
      </c>
      <c r="AG4997">
        <v>-0.239803399999999</v>
      </c>
      <c r="AH4997">
        <v>0.55349614102079403</v>
      </c>
      <c r="AI4997">
        <v>113.16433337515301</v>
      </c>
      <c r="AJ4997">
        <v>80.9542807912905</v>
      </c>
      <c r="AK4997">
        <v>0.60961334175707205</v>
      </c>
      <c r="AL4997">
        <v>88.2916427449059</v>
      </c>
      <c r="AM4997">
        <v>87.919685176713301</v>
      </c>
      <c r="AN4997">
        <v>0.99999996017327097</v>
      </c>
    </row>
    <row r="4998" spans="1:40" x14ac:dyDescent="0.25">
      <c r="A4998" t="str">
        <f>"20190312154356290"</f>
        <v>20190312154356290</v>
      </c>
      <c r="B4998" t="str">
        <f>"1552376636282173"</f>
        <v>1552376636282173</v>
      </c>
      <c r="C4998" t="s">
        <v>40</v>
      </c>
      <c r="D4998">
        <v>5.2126729999999997</v>
      </c>
      <c r="E4998">
        <v>0.54807759999999905</v>
      </c>
      <c r="F4998" t="s">
        <v>41</v>
      </c>
      <c r="G4998">
        <v>-364.81299999999999</v>
      </c>
      <c r="H4998">
        <v>0.83401099999999995</v>
      </c>
      <c r="I4998">
        <v>140.63570000000001</v>
      </c>
      <c r="J4998">
        <v>-364.21449999999999</v>
      </c>
      <c r="K4998">
        <v>1.1132519999999999</v>
      </c>
      <c r="L4998">
        <v>140.524</v>
      </c>
      <c r="M4998">
        <v>-0.99832460000000001</v>
      </c>
      <c r="N4998">
        <v>0</v>
      </c>
      <c r="O4998">
        <v>-5.5997640000000001E-2</v>
      </c>
      <c r="P4998">
        <v>-0.99965950000000003</v>
      </c>
      <c r="Q4998">
        <v>1.502708E-2</v>
      </c>
      <c r="R4998">
        <v>-2.1337660000000001E-2</v>
      </c>
      <c r="S4998">
        <v>-3.019501</v>
      </c>
      <c r="T4998">
        <v>-0.92066800000000004</v>
      </c>
      <c r="U4998">
        <v>0.3013458</v>
      </c>
      <c r="V4998">
        <v>3.4478160000000001E-2</v>
      </c>
      <c r="W4998">
        <v>2.9824429999999999E-2</v>
      </c>
      <c r="X4998">
        <v>0.99896030000000002</v>
      </c>
      <c r="Y4998">
        <v>0.14578350000000001</v>
      </c>
      <c r="Z4998">
        <v>3.8343439999999999E-2</v>
      </c>
      <c r="AA4998">
        <v>0.98857320000000004</v>
      </c>
      <c r="AB4998">
        <v>33</v>
      </c>
      <c r="AC4998">
        <v>-0.59850000000005799</v>
      </c>
      <c r="AD4998">
        <v>-0.27924100000000002</v>
      </c>
      <c r="AE4998">
        <v>0.111700000000013</v>
      </c>
      <c r="AF4998">
        <v>0.11983460293923701</v>
      </c>
      <c r="AG4998">
        <v>-0.27924100000000002</v>
      </c>
      <c r="AH4998">
        <v>0.48853712126608101</v>
      </c>
      <c r="AI4998">
        <v>119.035938850493</v>
      </c>
      <c r="AJ4998">
        <v>76.217878071899804</v>
      </c>
      <c r="AK4998">
        <v>0.575329807151997</v>
      </c>
      <c r="AL4998">
        <v>88.290932535024794</v>
      </c>
      <c r="AM4998">
        <v>88.023275585326203</v>
      </c>
      <c r="AN4998">
        <v>0.99999996055894902</v>
      </c>
    </row>
    <row r="4999" spans="1:40" x14ac:dyDescent="0.25">
      <c r="A4999" t="str">
        <f>"20190312154356313"</f>
        <v>20190312154356313</v>
      </c>
      <c r="B4999" t="str">
        <f>"1552376636302669"</f>
        <v>1552376636302669</v>
      </c>
      <c r="C4999" t="s">
        <v>40</v>
      </c>
      <c r="D4999">
        <v>5.2065270000000003</v>
      </c>
      <c r="E4999">
        <v>0.5480334</v>
      </c>
      <c r="F4999" t="s">
        <v>41</v>
      </c>
      <c r="G4999">
        <v>-365.10789999999997</v>
      </c>
      <c r="H4999">
        <v>0.84171430000000003</v>
      </c>
      <c r="I4999">
        <v>140.60839999999999</v>
      </c>
      <c r="J4999">
        <v>-364.54590000000002</v>
      </c>
      <c r="K4999">
        <v>1.1132690000000001</v>
      </c>
      <c r="L4999">
        <v>140.50200000000001</v>
      </c>
      <c r="M4999">
        <v>-0.99813459999999998</v>
      </c>
      <c r="N4999">
        <v>0</v>
      </c>
      <c r="O4999">
        <v>-5.9288050000000002E-2</v>
      </c>
      <c r="P4999">
        <v>-0.99955729999999998</v>
      </c>
      <c r="Q4999">
        <v>1.453522E-2</v>
      </c>
      <c r="R4999">
        <v>-2.5966110000000001E-2</v>
      </c>
      <c r="S4999">
        <v>-3.0208740000000001</v>
      </c>
      <c r="T4999">
        <v>-0.91821540000000001</v>
      </c>
      <c r="U4999">
        <v>0.28521729999999901</v>
      </c>
      <c r="V4999">
        <v>3.3147860000000001E-2</v>
      </c>
      <c r="W4999">
        <v>2.9323490000000001E-2</v>
      </c>
      <c r="X4999">
        <v>0.99902020000000002</v>
      </c>
      <c r="Y4999">
        <v>0.14375969999999999</v>
      </c>
      <c r="Z4999">
        <v>3.8913749999999997E-2</v>
      </c>
      <c r="AA4999">
        <v>0.98884729999999998</v>
      </c>
      <c r="AB4999">
        <v>33</v>
      </c>
      <c r="AC4999">
        <v>-0.56199999999995398</v>
      </c>
      <c r="AD4999">
        <v>-0.27155469999999998</v>
      </c>
      <c r="AE4999">
        <v>0.106399999999979</v>
      </c>
      <c r="AF4999">
        <v>0.113870223467464</v>
      </c>
      <c r="AG4999">
        <v>-0.27155469999999998</v>
      </c>
      <c r="AH4999">
        <v>0.45267152577963099</v>
      </c>
      <c r="AI4999">
        <v>120.18952452816001</v>
      </c>
      <c r="AJ4999">
        <v>75.880119166872106</v>
      </c>
      <c r="AK4999">
        <v>0.54001841925649097</v>
      </c>
      <c r="AL4999">
        <v>88.319646916798902</v>
      </c>
      <c r="AM4999">
        <v>88.099602030554394</v>
      </c>
      <c r="AN4999">
        <v>1.00000000384819</v>
      </c>
    </row>
    <row r="5000" spans="1:40" x14ac:dyDescent="0.25">
      <c r="A5000" t="str">
        <f>"20190312154356336"</f>
        <v>20190312154356336</v>
      </c>
      <c r="B5000" t="str">
        <f>"1552376636322189"</f>
        <v>1552376636322189</v>
      </c>
      <c r="C5000" t="s">
        <v>40</v>
      </c>
      <c r="D5000">
        <v>5.208253</v>
      </c>
      <c r="E5000">
        <v>0.54826260000000004</v>
      </c>
      <c r="F5000" t="s">
        <v>41</v>
      </c>
      <c r="G5000">
        <v>-365.40359999999998</v>
      </c>
      <c r="H5000">
        <v>0.85245479999999996</v>
      </c>
      <c r="I5000">
        <v>140.5789</v>
      </c>
      <c r="J5000">
        <v>-364.87459999999999</v>
      </c>
      <c r="K5000">
        <v>1.1132759999999999</v>
      </c>
      <c r="L5000">
        <v>140.47909999999999</v>
      </c>
      <c r="M5000">
        <v>-0.99793520000000002</v>
      </c>
      <c r="N5000">
        <v>0</v>
      </c>
      <c r="O5000">
        <v>-6.2553979999999995E-2</v>
      </c>
      <c r="P5000">
        <v>-0.99945130000000004</v>
      </c>
      <c r="Q5000">
        <v>1.4058309999999999E-2</v>
      </c>
      <c r="R5000">
        <v>-2.9992959999999999E-2</v>
      </c>
      <c r="S5000">
        <v>-3.0216980000000002</v>
      </c>
      <c r="T5000">
        <v>-0.91911509999999996</v>
      </c>
      <c r="U5000">
        <v>0.26972960000000001</v>
      </c>
      <c r="V5000">
        <v>3.239508E-2</v>
      </c>
      <c r="W5000">
        <v>2.8840660000000001E-2</v>
      </c>
      <c r="X5000">
        <v>0.99905900000000003</v>
      </c>
      <c r="Y5000">
        <v>0.14186309999999999</v>
      </c>
      <c r="Z5000">
        <v>3.9636079999999997E-2</v>
      </c>
      <c r="AA5000">
        <v>0.98909239999999998</v>
      </c>
      <c r="AB5000">
        <v>33</v>
      </c>
      <c r="AC5000">
        <v>-0.52899999999999603</v>
      </c>
      <c r="AD5000">
        <v>-0.26082119999999898</v>
      </c>
      <c r="AE5000">
        <v>9.9800000000016098E-2</v>
      </c>
      <c r="AF5000">
        <v>0.10747133070480699</v>
      </c>
      <c r="AG5000">
        <v>-0.26082119999999898</v>
      </c>
      <c r="AH5000">
        <v>0.42253471574262602</v>
      </c>
      <c r="AI5000">
        <v>120.889130003185</v>
      </c>
      <c r="AJ5000">
        <v>75.729469690303006</v>
      </c>
      <c r="AK5000">
        <v>0.50804859147585901</v>
      </c>
      <c r="AL5000">
        <v>88.347322829169102</v>
      </c>
      <c r="AM5000">
        <v>88.142801118236093</v>
      </c>
      <c r="AN5000">
        <v>1.0000000551792101</v>
      </c>
    </row>
    <row r="5001" spans="1:40" x14ac:dyDescent="0.25">
      <c r="A5001" t="str">
        <f>"20190312154356359"</f>
        <v>20190312154356359</v>
      </c>
      <c r="B5001" t="str">
        <f>"1552376636352445"</f>
        <v>1552376636352445</v>
      </c>
      <c r="C5001" t="s">
        <v>40</v>
      </c>
      <c r="D5001">
        <v>5.2130530000000004</v>
      </c>
      <c r="E5001">
        <v>0.54842769999999996</v>
      </c>
      <c r="F5001" t="s">
        <v>41</v>
      </c>
      <c r="G5001">
        <v>-365.69850000000002</v>
      </c>
      <c r="H5001">
        <v>0.86212330000000004</v>
      </c>
      <c r="I5001">
        <v>140.54990000000001</v>
      </c>
      <c r="J5001">
        <v>-365.19779999999997</v>
      </c>
      <c r="K5001">
        <v>1.1132789999999999</v>
      </c>
      <c r="L5001">
        <v>140.4556</v>
      </c>
      <c r="M5001">
        <v>-0.99772890000000003</v>
      </c>
      <c r="N5001">
        <v>0</v>
      </c>
      <c r="O5001">
        <v>-6.5764980000000001E-2</v>
      </c>
      <c r="P5001">
        <v>-0.99934679999999998</v>
      </c>
      <c r="Q5001">
        <v>1.4133639999999999E-2</v>
      </c>
      <c r="R5001">
        <v>-3.3264599999999998E-2</v>
      </c>
      <c r="S5001">
        <v>-3.0223689999999999</v>
      </c>
      <c r="T5001">
        <v>-0.92143819999999999</v>
      </c>
      <c r="U5001">
        <v>0.25912479999999999</v>
      </c>
      <c r="V5001">
        <v>3.2338489999999998E-2</v>
      </c>
      <c r="W5001">
        <v>2.8913589999999999E-2</v>
      </c>
      <c r="X5001">
        <v>0.99905869999999997</v>
      </c>
      <c r="Y5001">
        <v>0.14141119999999999</v>
      </c>
      <c r="Z5001">
        <v>4.0616890000000003E-2</v>
      </c>
      <c r="AA5001">
        <v>0.98911740000000004</v>
      </c>
      <c r="AB5001">
        <v>33</v>
      </c>
      <c r="AC5001">
        <v>-0.50070000000005099</v>
      </c>
      <c r="AD5001">
        <v>-0.25115569999999998</v>
      </c>
      <c r="AE5001">
        <v>9.4300000000004006E-2</v>
      </c>
      <c r="AF5001">
        <v>0.102195155551442</v>
      </c>
      <c r="AG5001">
        <v>-0.25115569999999998</v>
      </c>
      <c r="AH5001">
        <v>0.39695611258597402</v>
      </c>
      <c r="AI5001">
        <v>121.496815200513</v>
      </c>
      <c r="AJ5001">
        <v>75.562883406832995</v>
      </c>
      <c r="AK5001">
        <v>0.48072569182439401</v>
      </c>
      <c r="AL5001">
        <v>88.3431424628684</v>
      </c>
      <c r="AM5001">
        <v>88.146042581248594</v>
      </c>
      <c r="AN5001">
        <v>1.00000002983392</v>
      </c>
    </row>
    <row r="5002" spans="1:40" x14ac:dyDescent="0.25">
      <c r="A5002" t="str">
        <f>"20190312154356381"</f>
        <v>20190312154356381</v>
      </c>
      <c r="B5002" t="str">
        <f>"1552376636372941"</f>
        <v>1552376636372941</v>
      </c>
      <c r="C5002" t="s">
        <v>40</v>
      </c>
      <c r="D5002">
        <v>5.1950419999999999</v>
      </c>
      <c r="E5002">
        <v>0.54870160000000001</v>
      </c>
      <c r="F5002" t="s">
        <v>41</v>
      </c>
      <c r="G5002">
        <v>-365.99270000000001</v>
      </c>
      <c r="H5002">
        <v>0.87070369999999997</v>
      </c>
      <c r="I5002">
        <v>140.52189999999999</v>
      </c>
      <c r="J5002">
        <v>-365.52629999999999</v>
      </c>
      <c r="K5002">
        <v>1.113281</v>
      </c>
      <c r="L5002">
        <v>140.4306</v>
      </c>
      <c r="M5002">
        <v>-0.99750859999999997</v>
      </c>
      <c r="N5002">
        <v>0</v>
      </c>
      <c r="O5002">
        <v>-6.9024909999999995E-2</v>
      </c>
      <c r="P5002">
        <v>-0.99924429999999997</v>
      </c>
      <c r="Q5002">
        <v>1.409762E-2</v>
      </c>
      <c r="R5002">
        <v>-3.622156E-2</v>
      </c>
      <c r="S5002">
        <v>-3.0233759999999998</v>
      </c>
      <c r="T5002">
        <v>-0.92304589999999997</v>
      </c>
      <c r="U5002">
        <v>0.2509613</v>
      </c>
      <c r="V5002">
        <v>3.2646950000000001E-2</v>
      </c>
      <c r="W5002">
        <v>2.8877360000000001E-2</v>
      </c>
      <c r="X5002">
        <v>0.99904970000000004</v>
      </c>
      <c r="Y5002">
        <v>0.14176929999999999</v>
      </c>
      <c r="Z5002">
        <v>4.1700269999999998E-2</v>
      </c>
      <c r="AA5002">
        <v>0.98902100000000004</v>
      </c>
      <c r="AB5002">
        <v>33</v>
      </c>
      <c r="AC5002">
        <v>-0.46640000000002102</v>
      </c>
      <c r="AD5002">
        <v>-0.242577299999999</v>
      </c>
      <c r="AE5002">
        <v>9.1299999999989695E-2</v>
      </c>
      <c r="AF5002">
        <v>9.7799469066917097E-2</v>
      </c>
      <c r="AG5002">
        <v>-0.242577299999999</v>
      </c>
      <c r="AH5002">
        <v>0.36412141705112799</v>
      </c>
      <c r="AI5002">
        <v>122.7570476906</v>
      </c>
      <c r="AJ5002">
        <v>74.965735065382404</v>
      </c>
      <c r="AK5002">
        <v>0.44832230479910501</v>
      </c>
      <c r="AL5002">
        <v>88.345219130113506</v>
      </c>
      <c r="AM5002">
        <v>88.128354317095898</v>
      </c>
      <c r="AN5002">
        <v>1.0000000141674801</v>
      </c>
    </row>
    <row r="5003" spans="1:40" x14ac:dyDescent="0.25">
      <c r="A5003" t="str">
        <f>"20190312154356403"</f>
        <v>20190312154356403</v>
      </c>
      <c r="B5003" t="str">
        <f>"1552376636392461"</f>
        <v>1552376636392461</v>
      </c>
      <c r="C5003" t="s">
        <v>40</v>
      </c>
      <c r="D5003">
        <v>5.1478729999999997</v>
      </c>
      <c r="E5003">
        <v>0.54894699999999996</v>
      </c>
      <c r="F5003" t="s">
        <v>41</v>
      </c>
      <c r="G5003">
        <v>-366.28739999999999</v>
      </c>
      <c r="H5003">
        <v>0.88136990000000004</v>
      </c>
      <c r="I5003">
        <v>140.49279999999999</v>
      </c>
      <c r="J5003">
        <v>-365.84460000000001</v>
      </c>
      <c r="K5003">
        <v>1.113283</v>
      </c>
      <c r="L5003">
        <v>140.40530000000001</v>
      </c>
      <c r="M5003">
        <v>-0.99728519999999998</v>
      </c>
      <c r="N5003">
        <v>0</v>
      </c>
      <c r="O5003">
        <v>-7.2181780000000001E-2</v>
      </c>
      <c r="P5003">
        <v>-0.99912239999999997</v>
      </c>
      <c r="Q5003">
        <v>1.4020400000000001E-2</v>
      </c>
      <c r="R5003">
        <v>-3.9473179999999997E-2</v>
      </c>
      <c r="S5003">
        <v>-3.0241699999999998</v>
      </c>
      <c r="T5003">
        <v>-0.92204299999999995</v>
      </c>
      <c r="U5003">
        <v>0.2455444</v>
      </c>
      <c r="V5003">
        <v>3.2558330000000003E-2</v>
      </c>
      <c r="W5003">
        <v>2.879729E-2</v>
      </c>
      <c r="X5003">
        <v>0.99905489999999997</v>
      </c>
      <c r="Y5003">
        <v>0.1429445</v>
      </c>
      <c r="Z5003">
        <v>4.2763219999999998E-2</v>
      </c>
      <c r="AA5003">
        <v>0.98880639999999997</v>
      </c>
      <c r="AB5003">
        <v>33</v>
      </c>
      <c r="AC5003">
        <v>-0.44279999999997699</v>
      </c>
      <c r="AD5003">
        <v>-0.23191310000000001</v>
      </c>
      <c r="AE5003">
        <v>8.7499999999977193E-2</v>
      </c>
      <c r="AF5003">
        <v>9.4333412609404602E-2</v>
      </c>
      <c r="AG5003">
        <v>-0.23191310000000001</v>
      </c>
      <c r="AH5003">
        <v>0.34440587670108203</v>
      </c>
      <c r="AI5003">
        <v>123.00172605762</v>
      </c>
      <c r="AJ5003">
        <v>74.682259884770303</v>
      </c>
      <c r="AK5003">
        <v>0.425790895384562</v>
      </c>
      <c r="AL5003">
        <v>88.349808706593606</v>
      </c>
      <c r="AM5003">
        <v>88.133441000576099</v>
      </c>
      <c r="AN5003">
        <v>1.00000001098887</v>
      </c>
    </row>
    <row r="5004" spans="1:40" x14ac:dyDescent="0.25">
      <c r="A5004" t="str">
        <f>"20190312154356426"</f>
        <v>20190312154356426</v>
      </c>
      <c r="B5004" t="str">
        <f>"1552376636412957"</f>
        <v>1552376636412957</v>
      </c>
      <c r="C5004" t="s">
        <v>40</v>
      </c>
      <c r="D5004">
        <v>5.1280289999999997</v>
      </c>
      <c r="E5004">
        <v>0.54916849999999995</v>
      </c>
      <c r="F5004" t="s">
        <v>41</v>
      </c>
      <c r="G5004">
        <v>-366.58049999999997</v>
      </c>
      <c r="H5004">
        <v>0.88929990000000003</v>
      </c>
      <c r="I5004">
        <v>140.46360000000001</v>
      </c>
      <c r="J5004">
        <v>-366.16879999999998</v>
      </c>
      <c r="K5004">
        <v>1.1132820000000001</v>
      </c>
      <c r="L5004">
        <v>140.3785</v>
      </c>
      <c r="M5004">
        <v>-0.99704740000000003</v>
      </c>
      <c r="N5004">
        <v>0</v>
      </c>
      <c r="O5004">
        <v>-7.5395820000000002E-2</v>
      </c>
      <c r="P5004">
        <v>-0.9989557</v>
      </c>
      <c r="Q5004">
        <v>1.416302E-2</v>
      </c>
      <c r="R5004">
        <v>-4.3441630000000002E-2</v>
      </c>
      <c r="S5004">
        <v>-3.0249630000000001</v>
      </c>
      <c r="T5004">
        <v>-0.92103820000000003</v>
      </c>
      <c r="U5004">
        <v>0.23870849999999999</v>
      </c>
      <c r="V5004">
        <v>3.1808749999999997E-2</v>
      </c>
      <c r="W5004">
        <v>2.893217E-2</v>
      </c>
      <c r="X5004">
        <v>0.99907509999999999</v>
      </c>
      <c r="Y5004">
        <v>0.14373179999999999</v>
      </c>
      <c r="Z5004">
        <v>4.378315E-2</v>
      </c>
      <c r="AA5004">
        <v>0.98864759999999996</v>
      </c>
      <c r="AB5004">
        <v>33</v>
      </c>
      <c r="AC5004">
        <v>-0.41169999999999601</v>
      </c>
      <c r="AD5004">
        <v>-0.22398209999999899</v>
      </c>
      <c r="AE5004">
        <v>8.5100000000011194E-2</v>
      </c>
      <c r="AF5004">
        <v>9.0276237222493699E-2</v>
      </c>
      <c r="AG5004">
        <v>-0.22398209999999899</v>
      </c>
      <c r="AH5004">
        <v>0.31476411665669601</v>
      </c>
      <c r="AI5004">
        <v>124.372537068033</v>
      </c>
      <c r="AJ5004">
        <v>73.996790974534207</v>
      </c>
      <c r="AK5004">
        <v>0.396729415675385</v>
      </c>
      <c r="AL5004">
        <v>88.342077348012097</v>
      </c>
      <c r="AM5004">
        <v>88.176421678977107</v>
      </c>
      <c r="AN5004">
        <v>0.99999996123873902</v>
      </c>
    </row>
    <row r="5005" spans="1:40" x14ac:dyDescent="0.25">
      <c r="A5005" t="str">
        <f>"20190312154356459"</f>
        <v>20190312154356459</v>
      </c>
      <c r="B5005" t="str">
        <f>"1552376636452973"</f>
        <v>1552376636452973</v>
      </c>
      <c r="C5005" t="s">
        <v>40</v>
      </c>
      <c r="D5005">
        <v>4.9659719999999998</v>
      </c>
      <c r="E5005">
        <v>0.51176860000000002</v>
      </c>
      <c r="F5005" t="s">
        <v>41</v>
      </c>
      <c r="G5005">
        <v>-366.87389999999999</v>
      </c>
      <c r="H5005">
        <v>0.89889920000000001</v>
      </c>
      <c r="I5005">
        <v>140.43219999999999</v>
      </c>
      <c r="J5005">
        <v>-366.65780000000001</v>
      </c>
      <c r="K5005">
        <v>1.1132839999999999</v>
      </c>
      <c r="L5005">
        <v>140.33609999999999</v>
      </c>
      <c r="M5005">
        <v>-0.99666900000000003</v>
      </c>
      <c r="N5005">
        <v>0</v>
      </c>
      <c r="O5005">
        <v>-8.0243320000000007E-2</v>
      </c>
      <c r="P5005">
        <v>-0.99865250000000005</v>
      </c>
      <c r="Q5005">
        <v>1.492362E-2</v>
      </c>
      <c r="R5005">
        <v>-4.9703280000000002E-2</v>
      </c>
      <c r="S5005">
        <v>-3.0261230000000001</v>
      </c>
      <c r="T5005">
        <v>-0.92045429999999995</v>
      </c>
      <c r="U5005">
        <v>0.2288818</v>
      </c>
      <c r="V5005">
        <v>3.0397549999999999E-2</v>
      </c>
      <c r="W5005">
        <v>2.9679049999999998E-2</v>
      </c>
      <c r="X5005">
        <v>0.99909720000000002</v>
      </c>
      <c r="Y5005">
        <v>0.14505479999999901</v>
      </c>
      <c r="Z5005">
        <v>4.5380299999999998E-2</v>
      </c>
      <c r="AA5005">
        <v>0.98838239999999999</v>
      </c>
      <c r="AB5005">
        <v>33</v>
      </c>
      <c r="AC5005">
        <v>-0.216099999999983</v>
      </c>
      <c r="AD5005">
        <v>-0.21438479999999999</v>
      </c>
      <c r="AE5005">
        <v>9.6100000000006902E-2</v>
      </c>
      <c r="AF5005">
        <v>6.21029711200718E-2</v>
      </c>
      <c r="AG5005">
        <v>-0.21438479999999999</v>
      </c>
      <c r="AH5005">
        <v>0.114009855741509</v>
      </c>
      <c r="AI5005">
        <v>148.80178748803201</v>
      </c>
      <c r="AJ5005">
        <v>61.422171387638201</v>
      </c>
      <c r="AK5005">
        <v>0.25063094122470198</v>
      </c>
      <c r="AL5005">
        <v>88.299266013232497</v>
      </c>
      <c r="AM5005">
        <v>88.257312485812307</v>
      </c>
      <c r="AN5005">
        <v>1.0000000360513699</v>
      </c>
    </row>
    <row r="5006" spans="1:40" x14ac:dyDescent="0.25">
      <c r="A5006" t="str">
        <f>"20190312154356481"</f>
        <v>20190312154356481</v>
      </c>
      <c r="B5006" t="str">
        <f>"1552376636472494"</f>
        <v>1552376636472494</v>
      </c>
      <c r="C5006" t="s">
        <v>40</v>
      </c>
      <c r="D5006">
        <v>4.9981450000000001</v>
      </c>
      <c r="E5006">
        <v>0.4996488</v>
      </c>
      <c r="F5006" t="s">
        <v>41</v>
      </c>
      <c r="G5006">
        <v>-367.46260000000001</v>
      </c>
      <c r="H5006">
        <v>0.9343032</v>
      </c>
      <c r="I5006">
        <v>140.31479999999999</v>
      </c>
      <c r="J5006">
        <v>-366.97500000000002</v>
      </c>
      <c r="K5006">
        <v>1.113281</v>
      </c>
      <c r="L5006">
        <v>140.3073</v>
      </c>
      <c r="M5006">
        <v>-0.99641089999999999</v>
      </c>
      <c r="N5006">
        <v>0</v>
      </c>
      <c r="O5006">
        <v>-8.3388240000000002E-2</v>
      </c>
      <c r="P5006">
        <v>-0.99841550000000001</v>
      </c>
      <c r="Q5006">
        <v>1.5648769999999999E-2</v>
      </c>
      <c r="R5006">
        <v>-5.4055430000000002E-2</v>
      </c>
      <c r="S5006">
        <v>-3.0101010000000001</v>
      </c>
      <c r="T5006">
        <v>-0.66945849999999996</v>
      </c>
      <c r="U5006">
        <v>-7.9437259999999996E-2</v>
      </c>
      <c r="V5006">
        <v>2.919018E-2</v>
      </c>
      <c r="W5006">
        <v>3.039304E-2</v>
      </c>
      <c r="X5006">
        <v>0.99911170000000005</v>
      </c>
      <c r="Y5006">
        <v>5.3736060000000002E-2</v>
      </c>
      <c r="Z5006">
        <v>2.42022E-2</v>
      </c>
      <c r="AA5006">
        <v>0.99826179999999998</v>
      </c>
      <c r="AB5006">
        <v>33</v>
      </c>
      <c r="AC5006">
        <v>-0.48759999999998599</v>
      </c>
      <c r="AD5006">
        <v>-0.17897779999999999</v>
      </c>
      <c r="AE5006">
        <v>7.4999999999931797E-3</v>
      </c>
      <c r="AF5006">
        <v>4.2423791143683803E-2</v>
      </c>
      <c r="AG5006">
        <v>-0.17897779999999999</v>
      </c>
      <c r="AH5006">
        <v>0.427668843665792</v>
      </c>
      <c r="AI5006">
        <v>112.60939694906099</v>
      </c>
      <c r="AJ5006">
        <v>84.334920358051903</v>
      </c>
      <c r="AK5006">
        <v>0.46554642173501698</v>
      </c>
      <c r="AL5006">
        <v>88.258338865303202</v>
      </c>
      <c r="AM5006">
        <v>88.326514947263902</v>
      </c>
      <c r="AN5006">
        <v>0.99999999628288205</v>
      </c>
    </row>
    <row r="5007" spans="1:40" x14ac:dyDescent="0.25">
      <c r="A5007" t="str">
        <f>"20190312154356503"</f>
        <v>20190312154356503</v>
      </c>
      <c r="B5007" t="str">
        <f>"1552376636492993"</f>
        <v>1552376636492993</v>
      </c>
      <c r="C5007" t="s">
        <v>40</v>
      </c>
      <c r="D5007">
        <v>4.9633019999999997</v>
      </c>
      <c r="E5007">
        <v>0.43142079999999999</v>
      </c>
      <c r="F5007" t="s">
        <v>41</v>
      </c>
      <c r="G5007">
        <v>-367.76350000000002</v>
      </c>
      <c r="H5007">
        <v>0.96351989999999998</v>
      </c>
      <c r="I5007">
        <v>140.2587</v>
      </c>
      <c r="J5007">
        <v>-367.29320000000001</v>
      </c>
      <c r="K5007">
        <v>1.1132770000000001</v>
      </c>
      <c r="L5007">
        <v>140.2774</v>
      </c>
      <c r="M5007">
        <v>-0.99614199999999997</v>
      </c>
      <c r="N5007">
        <v>0</v>
      </c>
      <c r="O5007">
        <v>-8.6542300000000003E-2</v>
      </c>
      <c r="P5007">
        <v>-0.99818660000000003</v>
      </c>
      <c r="Q5007">
        <v>1.60584E-2</v>
      </c>
      <c r="R5007">
        <v>-5.8014959999999997E-2</v>
      </c>
      <c r="S5007">
        <v>-3.0036320000000001</v>
      </c>
      <c r="T5007">
        <v>-0.5708299</v>
      </c>
      <c r="U5007">
        <v>-0.18612670000000001</v>
      </c>
      <c r="V5007">
        <v>2.8387119999999998E-2</v>
      </c>
      <c r="W5007">
        <v>3.0793870000000001E-2</v>
      </c>
      <c r="X5007">
        <v>0.99912259999999997</v>
      </c>
      <c r="Y5007">
        <v>2.2824549999999999E-2</v>
      </c>
      <c r="Z5007">
        <v>1.840907E-2</v>
      </c>
      <c r="AA5007">
        <v>0.99956999999999996</v>
      </c>
      <c r="AB5007">
        <v>33</v>
      </c>
      <c r="AC5007">
        <v>-0.47030000000000799</v>
      </c>
      <c r="AD5007">
        <v>-0.149757099999999</v>
      </c>
      <c r="AE5007">
        <v>-1.8699999999995401E-2</v>
      </c>
      <c r="AF5007">
        <v>2.0045935201009502E-2</v>
      </c>
      <c r="AG5007">
        <v>-0.149757099999999</v>
      </c>
      <c r="AH5007">
        <v>0.426932351279943</v>
      </c>
      <c r="AI5007">
        <v>109.30988684492399</v>
      </c>
      <c r="AJ5007">
        <v>87.311741412261</v>
      </c>
      <c r="AK5007">
        <v>0.45287996322194801</v>
      </c>
      <c r="AL5007">
        <v>88.235362302910701</v>
      </c>
      <c r="AM5007">
        <v>88.372547343542294</v>
      </c>
      <c r="AN5007">
        <v>1.0000000304211101</v>
      </c>
    </row>
    <row r="5008" spans="1:40" x14ac:dyDescent="0.25">
      <c r="A5008" t="str">
        <f>"20190312154356525"</f>
        <v>20190312154356525</v>
      </c>
      <c r="B5008" t="str">
        <f>"1552376636512510"</f>
        <v>1552376636512510</v>
      </c>
      <c r="C5008" t="s">
        <v>40</v>
      </c>
      <c r="D5008">
        <v>4.9661390000000001</v>
      </c>
      <c r="E5008">
        <v>0.4229734</v>
      </c>
      <c r="F5008" t="s">
        <v>43</v>
      </c>
      <c r="G5008">
        <v>-385.50869999999998</v>
      </c>
      <c r="H5008" s="1">
        <v>-2.5853909999999998E-6</v>
      </c>
      <c r="I5008">
        <v>135.80350000000001</v>
      </c>
      <c r="J5008">
        <v>-367.60599999999999</v>
      </c>
      <c r="K5008">
        <v>1.1132789999999999</v>
      </c>
      <c r="L5008">
        <v>140.24700000000001</v>
      </c>
      <c r="M5008">
        <v>-0.99586790000000003</v>
      </c>
      <c r="N5008">
        <v>0</v>
      </c>
      <c r="O5008">
        <v>-8.9642109999999997E-2</v>
      </c>
      <c r="P5008">
        <v>-0.99799439999999995</v>
      </c>
      <c r="Q5008">
        <v>1.6160560000000001E-2</v>
      </c>
      <c r="R5008">
        <v>-6.1206690000000001E-2</v>
      </c>
      <c r="S5008">
        <v>-2.9660030000000002</v>
      </c>
      <c r="T5008">
        <v>-0.1812742</v>
      </c>
      <c r="U5008">
        <v>-0.72846979999999995</v>
      </c>
      <c r="V5008">
        <v>2.8301409999999999E-2</v>
      </c>
      <c r="W5008">
        <v>3.0892530000000001E-2</v>
      </c>
      <c r="X5008">
        <v>0.99912199999999995</v>
      </c>
      <c r="Y5008">
        <v>-0.15038670000000001</v>
      </c>
      <c r="Z5008">
        <v>8.4994970000000004E-4</v>
      </c>
      <c r="AA5008">
        <v>0.98862689999999998</v>
      </c>
      <c r="AB5008">
        <v>33</v>
      </c>
      <c r="AC5008">
        <v>-17.9026999999999</v>
      </c>
      <c r="AD5008">
        <v>-1.1132815853910001</v>
      </c>
      <c r="AE5008">
        <v>-4.4435000000000002</v>
      </c>
      <c r="AF5008">
        <v>-2.81036438683488</v>
      </c>
      <c r="AG5008">
        <v>-1.1132815853910001</v>
      </c>
      <c r="AH5008">
        <v>18.162816359942699</v>
      </c>
      <c r="AI5008">
        <v>93.466382477803805</v>
      </c>
      <c r="AJ5008">
        <v>98.795723457038804</v>
      </c>
      <c r="AK5008">
        <v>18.4126435364442</v>
      </c>
      <c r="AL5008">
        <v>88.229706835812294</v>
      </c>
      <c r="AM5008">
        <v>88.377457550917299</v>
      </c>
      <c r="AN5008">
        <v>1.0000000445508901</v>
      </c>
    </row>
    <row r="5009" spans="1:40" x14ac:dyDescent="0.25">
      <c r="A5009" t="str">
        <f>"20190312154356547"</f>
        <v>20190312154356547</v>
      </c>
      <c r="B5009" t="str">
        <f>"1552376636542766"</f>
        <v>1552376636542766</v>
      </c>
      <c r="C5009" t="s">
        <v>40</v>
      </c>
      <c r="D5009">
        <v>4.9110829999999996</v>
      </c>
      <c r="E5009">
        <v>0.4201974</v>
      </c>
      <c r="F5009" t="s">
        <v>43</v>
      </c>
      <c r="G5009">
        <v>-388.74619999999999</v>
      </c>
      <c r="H5009" s="1">
        <v>-1.774341E-6</v>
      </c>
      <c r="I5009">
        <v>134.49879999999999</v>
      </c>
      <c r="J5009">
        <v>-367.93459999999999</v>
      </c>
      <c r="K5009">
        <v>1.113267</v>
      </c>
      <c r="L5009">
        <v>140.2141</v>
      </c>
      <c r="M5009">
        <v>-0.9955695</v>
      </c>
      <c r="N5009">
        <v>0</v>
      </c>
      <c r="O5009">
        <v>-9.2897690000000005E-2</v>
      </c>
      <c r="P5009">
        <v>-0.99781940000000002</v>
      </c>
      <c r="Q5009">
        <v>1.6244939999999999E-2</v>
      </c>
      <c r="R5009">
        <v>-6.3975660000000004E-2</v>
      </c>
      <c r="S5009">
        <v>-2.9591669999999999</v>
      </c>
      <c r="T5009">
        <v>-0.15583529999999901</v>
      </c>
      <c r="U5009">
        <v>-0.80461119999999997</v>
      </c>
      <c r="V5009">
        <v>2.8795830000000001E-2</v>
      </c>
      <c r="W5009">
        <v>3.0976409999999999E-2</v>
      </c>
      <c r="X5009">
        <v>0.99910520000000003</v>
      </c>
      <c r="Y5009">
        <v>-0.17149010000000001</v>
      </c>
      <c r="Z5009">
        <v>3.5022150000000001E-4</v>
      </c>
      <c r="AA5009">
        <v>0.9851858</v>
      </c>
      <c r="AB5009">
        <v>32</v>
      </c>
      <c r="AC5009">
        <v>-20.811599999999999</v>
      </c>
      <c r="AD5009">
        <v>-1.1132687743409999</v>
      </c>
      <c r="AE5009">
        <v>-5.7153000000000098</v>
      </c>
      <c r="AF5009">
        <v>-3.74705574868339</v>
      </c>
      <c r="AG5009">
        <v>-1.1132687743409999</v>
      </c>
      <c r="AH5009">
        <v>21.196179969176399</v>
      </c>
      <c r="AI5009">
        <v>92.960711276283604</v>
      </c>
      <c r="AJ5009">
        <v>100.025158504613</v>
      </c>
      <c r="AK5009">
        <v>21.5536038618459</v>
      </c>
      <c r="AL5009">
        <v>88.224898431135003</v>
      </c>
      <c r="AM5009">
        <v>88.349099864228094</v>
      </c>
      <c r="AN5009">
        <v>0.999999969234458</v>
      </c>
    </row>
    <row r="5010" spans="1:40" x14ac:dyDescent="0.25">
      <c r="A5010" t="str">
        <f>"20190312154356570"</f>
        <v>20190312154356570</v>
      </c>
      <c r="B5010" t="str">
        <f>"1552376636562285"</f>
        <v>1552376636562285</v>
      </c>
      <c r="C5010" t="s">
        <v>40</v>
      </c>
      <c r="D5010">
        <v>4.8306589999999998</v>
      </c>
      <c r="E5010">
        <v>0.41951090000000002</v>
      </c>
      <c r="F5010" t="s">
        <v>43</v>
      </c>
      <c r="G5010">
        <v>-388.28519999999997</v>
      </c>
      <c r="H5010" s="1">
        <v>-1.940244E-6</v>
      </c>
      <c r="I5010">
        <v>134.4648</v>
      </c>
      <c r="J5010">
        <v>-368.25200000000001</v>
      </c>
      <c r="K5010">
        <v>1.1132629999999999</v>
      </c>
      <c r="L5010">
        <v>140.18119999999999</v>
      </c>
      <c r="M5010">
        <v>-0.99527109999999996</v>
      </c>
      <c r="N5010">
        <v>0</v>
      </c>
      <c r="O5010">
        <v>-9.6042310000000006E-2</v>
      </c>
      <c r="P5010">
        <v>-0.99762790000000001</v>
      </c>
      <c r="Q5010">
        <v>1.635325E-2</v>
      </c>
      <c r="R5010">
        <v>-6.6870529999999997E-2</v>
      </c>
      <c r="S5010">
        <v>-2.9556580000000001</v>
      </c>
      <c r="T5010">
        <v>-0.1616879</v>
      </c>
      <c r="U5010">
        <v>-0.8349915</v>
      </c>
      <c r="V5010">
        <v>2.90529E-2</v>
      </c>
      <c r="W5010">
        <v>3.108269E-2</v>
      </c>
      <c r="X5010">
        <v>0.9990945</v>
      </c>
      <c r="Y5010">
        <v>-0.17806079999999999</v>
      </c>
      <c r="Z5010">
        <v>3.5352069999999998E-4</v>
      </c>
      <c r="AA5010">
        <v>0.98401939999999999</v>
      </c>
      <c r="AB5010">
        <v>32</v>
      </c>
      <c r="AC5010">
        <v>-20.033200000000001</v>
      </c>
      <c r="AD5010">
        <v>-1.11326494024399</v>
      </c>
      <c r="AE5010">
        <v>-5.7163999999999904</v>
      </c>
      <c r="AF5010">
        <v>-3.7550079146595201</v>
      </c>
      <c r="AG5010">
        <v>-1.11326494024399</v>
      </c>
      <c r="AH5010">
        <v>20.431302118374798</v>
      </c>
      <c r="AI5010">
        <v>93.067582875082707</v>
      </c>
      <c r="AJ5010">
        <v>100.41400424714099</v>
      </c>
      <c r="AK5010">
        <v>20.803306216047499</v>
      </c>
      <c r="AL5010">
        <v>88.218806178528794</v>
      </c>
      <c r="AM5010">
        <v>88.334352163961</v>
      </c>
      <c r="AN5010">
        <v>1.0000000122731401</v>
      </c>
    </row>
    <row r="5011" spans="1:40" x14ac:dyDescent="0.25">
      <c r="A5011" t="str">
        <f>"20190312154356592"</f>
        <v>20190312154356592</v>
      </c>
      <c r="B5011" t="str">
        <f>"1552376636582781"</f>
        <v>1552376636582781</v>
      </c>
      <c r="C5011" t="s">
        <v>40</v>
      </c>
      <c r="D5011">
        <v>4.8709949999999997</v>
      </c>
      <c r="E5011">
        <v>0.4193866</v>
      </c>
      <c r="F5011" t="s">
        <v>43</v>
      </c>
      <c r="G5011">
        <v>-388.6078</v>
      </c>
      <c r="H5011" s="1">
        <v>-1.8669990000000001E-6</v>
      </c>
      <c r="I5011">
        <v>134.32759999999999</v>
      </c>
      <c r="J5011">
        <v>-368.57369999999997</v>
      </c>
      <c r="K5011">
        <v>1.113254</v>
      </c>
      <c r="L5011">
        <v>140.14670000000001</v>
      </c>
      <c r="M5011">
        <v>-0.99495829999999996</v>
      </c>
      <c r="N5011">
        <v>0</v>
      </c>
      <c r="O5011">
        <v>-9.9229479999999995E-2</v>
      </c>
      <c r="P5011">
        <v>-0.99743440000000005</v>
      </c>
      <c r="Q5011">
        <v>1.6322050000000001E-2</v>
      </c>
      <c r="R5011">
        <v>-6.9699179999999999E-2</v>
      </c>
      <c r="S5011">
        <v>-2.9528810000000001</v>
      </c>
      <c r="T5011">
        <v>-0.16149439999999901</v>
      </c>
      <c r="U5011">
        <v>-0.84912109999999996</v>
      </c>
      <c r="V5011">
        <v>2.9420490000000001E-2</v>
      </c>
      <c r="W5011">
        <v>3.1050290000000001E-2</v>
      </c>
      <c r="X5011">
        <v>0.99908470000000005</v>
      </c>
      <c r="Y5011">
        <v>-0.17950829999999901</v>
      </c>
      <c r="Z5011">
        <v>4.8309939999999999E-4</v>
      </c>
      <c r="AA5011">
        <v>0.98375639999999998</v>
      </c>
      <c r="AB5011">
        <v>32</v>
      </c>
      <c r="AC5011">
        <v>-20.034099999999999</v>
      </c>
      <c r="AD5011">
        <v>-1.113255866999</v>
      </c>
      <c r="AE5011">
        <v>-5.8191000000000104</v>
      </c>
      <c r="AF5011">
        <v>-3.79139435278841</v>
      </c>
      <c r="AG5011">
        <v>-1.113255866999</v>
      </c>
      <c r="AH5011">
        <v>20.454444174266101</v>
      </c>
      <c r="AI5011">
        <v>93.063236490626394</v>
      </c>
      <c r="AJ5011">
        <v>100.50104859213</v>
      </c>
      <c r="AK5011">
        <v>20.832625764457401</v>
      </c>
      <c r="AL5011">
        <v>88.220663368320601</v>
      </c>
      <c r="AM5011">
        <v>88.313273221383099</v>
      </c>
      <c r="AN5011">
        <v>0.99999996175750605</v>
      </c>
    </row>
    <row r="5012" spans="1:40" x14ac:dyDescent="0.25">
      <c r="A5012" t="str">
        <f>"20190312154356614"</f>
        <v>20190312154356614</v>
      </c>
      <c r="B5012" t="str">
        <f>"1552376636602301"</f>
        <v>1552376636602301</v>
      </c>
      <c r="C5012" t="s">
        <v>40</v>
      </c>
      <c r="D5012">
        <v>4.9188099999999997</v>
      </c>
      <c r="E5012">
        <v>0.41952400000000001</v>
      </c>
      <c r="F5012" t="s">
        <v>43</v>
      </c>
      <c r="G5012">
        <v>-389.08690000000001</v>
      </c>
      <c r="H5012" s="1">
        <v>-1.7437900000000001E-6</v>
      </c>
      <c r="I5012">
        <v>134.17789999999999</v>
      </c>
      <c r="J5012">
        <v>-368.88729999999998</v>
      </c>
      <c r="K5012">
        <v>1.1132470000000001</v>
      </c>
      <c r="L5012">
        <v>140.1122</v>
      </c>
      <c r="M5012">
        <v>-0.99464359999999996</v>
      </c>
      <c r="N5012">
        <v>0</v>
      </c>
      <c r="O5012">
        <v>-0.10233680000000001</v>
      </c>
      <c r="P5012">
        <v>-0.99719630000000004</v>
      </c>
      <c r="Q5012">
        <v>1.658256E-2</v>
      </c>
      <c r="R5012">
        <v>-7.2967859999999996E-2</v>
      </c>
      <c r="S5012">
        <v>-2.9504090000000001</v>
      </c>
      <c r="T5012">
        <v>-0.16011979999999901</v>
      </c>
      <c r="U5012">
        <v>-0.85848999999999998</v>
      </c>
      <c r="V5012">
        <v>2.9264849999999999E-2</v>
      </c>
      <c r="W5012">
        <v>3.130575E-2</v>
      </c>
      <c r="X5012">
        <v>0.99908129999999995</v>
      </c>
      <c r="Y5012">
        <v>-0.17954289999999901</v>
      </c>
      <c r="Z5012">
        <v>6.4134879999999997E-4</v>
      </c>
      <c r="AA5012">
        <v>0.98374989999999995</v>
      </c>
      <c r="AB5012">
        <v>32</v>
      </c>
      <c r="AC5012">
        <v>-20.1996</v>
      </c>
      <c r="AD5012">
        <v>-1.1132487437899901</v>
      </c>
      <c r="AE5012">
        <v>-5.9343000000000004</v>
      </c>
      <c r="AF5012">
        <v>-3.8250612550237801</v>
      </c>
      <c r="AG5012">
        <v>-1.1132487437899901</v>
      </c>
      <c r="AH5012">
        <v>20.6431677447423</v>
      </c>
      <c r="AI5012">
        <v>93.035299616532996</v>
      </c>
      <c r="AJ5012">
        <v>100.497521257759</v>
      </c>
      <c r="AK5012">
        <v>21.0240526756333</v>
      </c>
      <c r="AL5012">
        <v>88.206019470441305</v>
      </c>
      <c r="AM5012">
        <v>88.322185507238103</v>
      </c>
      <c r="AN5012">
        <v>0.99999996271913605</v>
      </c>
    </row>
    <row r="5013" spans="1:40" x14ac:dyDescent="0.25">
      <c r="A5013" t="str">
        <f>"20190312154356638"</f>
        <v>20190312154356638</v>
      </c>
      <c r="B5013" t="str">
        <f>"1552376636632557"</f>
        <v>1552376636632557</v>
      </c>
      <c r="C5013" t="s">
        <v>40</v>
      </c>
      <c r="D5013">
        <v>4.8457569999999999</v>
      </c>
      <c r="E5013">
        <v>0.41966639999999999</v>
      </c>
      <c r="F5013" t="s">
        <v>43</v>
      </c>
      <c r="G5013">
        <v>-389.17939999999999</v>
      </c>
      <c r="H5013" s="1">
        <v>-1.7221549999999901E-6</v>
      </c>
      <c r="I5013">
        <v>134.14080000000001</v>
      </c>
      <c r="J5013">
        <v>-369.2276</v>
      </c>
      <c r="K5013">
        <v>1.1132439999999999</v>
      </c>
      <c r="L5013">
        <v>140.0736</v>
      </c>
      <c r="M5013">
        <v>-0.99429109999999998</v>
      </c>
      <c r="N5013">
        <v>0</v>
      </c>
      <c r="O5013">
        <v>-0.10570789999999999</v>
      </c>
      <c r="P5013">
        <v>-0.99694470000000002</v>
      </c>
      <c r="Q5013">
        <v>1.6702749999999999E-2</v>
      </c>
      <c r="R5013">
        <v>-7.6302099999999998E-2</v>
      </c>
      <c r="S5013">
        <v>-2.9476619999999998</v>
      </c>
      <c r="T5013">
        <v>-0.16171240000000001</v>
      </c>
      <c r="U5013">
        <v>-0.86740110000000004</v>
      </c>
      <c r="V5013">
        <v>2.9310320000000001E-2</v>
      </c>
      <c r="W5013">
        <v>3.1421560000000001E-2</v>
      </c>
      <c r="X5013">
        <v>0.99907639999999998</v>
      </c>
      <c r="Y5013">
        <v>-0.1791962</v>
      </c>
      <c r="Z5013">
        <v>8.3603240000000004E-4</v>
      </c>
      <c r="AA5013">
        <v>0.98381300000000005</v>
      </c>
      <c r="AB5013">
        <v>32</v>
      </c>
      <c r="AC5013">
        <v>-19.951799999999899</v>
      </c>
      <c r="AD5013">
        <v>-1.1132457221550001</v>
      </c>
      <c r="AE5013">
        <v>-5.9327999999999799</v>
      </c>
      <c r="AF5013">
        <v>-3.77945673021331</v>
      </c>
      <c r="AG5013">
        <v>-1.1132457221550001</v>
      </c>
      <c r="AH5013">
        <v>20.408824270205201</v>
      </c>
      <c r="AI5013">
        <v>93.070136378991407</v>
      </c>
      <c r="AJ5013">
        <v>100.49159869063701</v>
      </c>
      <c r="AK5013">
        <v>20.785661339143601</v>
      </c>
      <c r="AL5013">
        <v>88.199380903275497</v>
      </c>
      <c r="AM5013">
        <v>88.3195718744891</v>
      </c>
      <c r="AN5013">
        <v>1.0000000311641399</v>
      </c>
    </row>
    <row r="5014" spans="1:40" x14ac:dyDescent="0.25">
      <c r="A5014" t="str">
        <f>"20190312154356672"</f>
        <v>20190312154356672</v>
      </c>
      <c r="B5014" t="str">
        <f>"1552376636662813"</f>
        <v>1552376636662813</v>
      </c>
      <c r="C5014" t="s">
        <v>40</v>
      </c>
      <c r="D5014">
        <v>4.8690800000000003</v>
      </c>
      <c r="E5014">
        <v>0.42012280000000002</v>
      </c>
      <c r="F5014" t="s">
        <v>43</v>
      </c>
      <c r="G5014">
        <v>-389.00139999999999</v>
      </c>
      <c r="H5014" s="1">
        <v>-1.7694590000000001E-6</v>
      </c>
      <c r="I5014">
        <v>134.19069999999999</v>
      </c>
      <c r="J5014">
        <v>-369.70359999999999</v>
      </c>
      <c r="K5014">
        <v>1.11324</v>
      </c>
      <c r="L5014">
        <v>140.01769999999999</v>
      </c>
      <c r="M5014">
        <v>-0.99377919999999997</v>
      </c>
      <c r="N5014">
        <v>0</v>
      </c>
      <c r="O5014">
        <v>-0.1104176</v>
      </c>
      <c r="P5014">
        <v>-0.99652169999999896</v>
      </c>
      <c r="Q5014">
        <v>1.8099480000000001E-2</v>
      </c>
      <c r="R5014">
        <v>-8.1345310000000004E-2</v>
      </c>
      <c r="S5014">
        <v>-2.9449160000000001</v>
      </c>
      <c r="T5014">
        <v>-0.16579579999999999</v>
      </c>
      <c r="U5014">
        <v>-0.87612919999999905</v>
      </c>
      <c r="V5014">
        <v>2.8977840000000001E-2</v>
      </c>
      <c r="W5014">
        <v>3.2809390000000001E-2</v>
      </c>
      <c r="X5014">
        <v>0.99904139999999997</v>
      </c>
      <c r="Y5014">
        <v>-0.17746809999999999</v>
      </c>
      <c r="Z5014">
        <v>1.1610730000000001E-3</v>
      </c>
      <c r="AA5014">
        <v>0.9841259</v>
      </c>
      <c r="AB5014">
        <v>32</v>
      </c>
      <c r="AC5014">
        <v>-19.297799999999899</v>
      </c>
      <c r="AD5014">
        <v>-1.113241769459</v>
      </c>
      <c r="AE5014">
        <v>-5.8269999999999902</v>
      </c>
      <c r="AF5014">
        <v>-3.64919131094114</v>
      </c>
      <c r="AG5014">
        <v>-1.113241769459</v>
      </c>
      <c r="AH5014">
        <v>19.762972829687701</v>
      </c>
      <c r="AI5014">
        <v>93.170560584065498</v>
      </c>
      <c r="AJ5014">
        <v>100.461710337524</v>
      </c>
      <c r="AK5014">
        <v>20.127866243794699</v>
      </c>
      <c r="AL5014">
        <v>88.119822897076503</v>
      </c>
      <c r="AM5014">
        <v>88.338564802780695</v>
      </c>
      <c r="AN5014">
        <v>0.99999994509859702</v>
      </c>
    </row>
    <row r="5015" spans="1:40" x14ac:dyDescent="0.25">
      <c r="A5015" t="str">
        <f>"20190312154356694"</f>
        <v>20190312154356694</v>
      </c>
      <c r="B5015" t="str">
        <f>"1552376636682333"</f>
        <v>1552376636682333</v>
      </c>
      <c r="C5015" t="s">
        <v>40</v>
      </c>
      <c r="D5015">
        <v>5.0275530000000002</v>
      </c>
      <c r="E5015">
        <v>0.42037829999999898</v>
      </c>
      <c r="F5015" t="s">
        <v>43</v>
      </c>
      <c r="G5015">
        <v>-389.48149999999998</v>
      </c>
      <c r="H5015" s="1">
        <v>-1.6440709999999999E-6</v>
      </c>
      <c r="I5015">
        <v>134.048</v>
      </c>
      <c r="J5015">
        <v>-370.00959999999998</v>
      </c>
      <c r="K5015">
        <v>1.1132249999999999</v>
      </c>
      <c r="L5015">
        <v>139.98050000000001</v>
      </c>
      <c r="M5015">
        <v>-0.99343930000000003</v>
      </c>
      <c r="N5015">
        <v>0</v>
      </c>
      <c r="O5015">
        <v>-0.1134368</v>
      </c>
      <c r="P5015">
        <v>-0.99624449999999998</v>
      </c>
      <c r="Q5015">
        <v>1.8810219999999999E-2</v>
      </c>
      <c r="R5015">
        <v>-8.4518399999999994E-2</v>
      </c>
      <c r="S5015">
        <v>-2.9410099999999999</v>
      </c>
      <c r="T5015">
        <v>-0.16554160000000001</v>
      </c>
      <c r="U5015">
        <v>-0.88769529999999996</v>
      </c>
      <c r="V5015">
        <v>2.8826689999999999E-2</v>
      </c>
      <c r="W5015">
        <v>3.3515200000000002E-2</v>
      </c>
      <c r="X5015">
        <v>0.99902239999999998</v>
      </c>
      <c r="Y5015">
        <v>-0.1783892</v>
      </c>
      <c r="Z5015">
        <v>1.2984450000000001E-3</v>
      </c>
      <c r="AA5015">
        <v>0.98395909999999998</v>
      </c>
      <c r="AB5015">
        <v>32</v>
      </c>
      <c r="AC5015">
        <v>-19.471900000000002</v>
      </c>
      <c r="AD5015">
        <v>-1.1132266440709999</v>
      </c>
      <c r="AE5015">
        <v>-5.9325000000000001</v>
      </c>
      <c r="AF5015">
        <v>-3.6741474391505999</v>
      </c>
      <c r="AG5015">
        <v>-1.1132266440709999</v>
      </c>
      <c r="AH5015">
        <v>19.959524411853</v>
      </c>
      <c r="AI5015">
        <v>93.139675970863493</v>
      </c>
      <c r="AJ5015">
        <v>100.43023698429499</v>
      </c>
      <c r="AK5015">
        <v>20.325384318950601</v>
      </c>
      <c r="AL5015">
        <v>88.079360812631506</v>
      </c>
      <c r="AM5015">
        <v>88.3471947044834</v>
      </c>
      <c r="AN5015">
        <v>1.00000000119457</v>
      </c>
    </row>
    <row r="5016" spans="1:40" x14ac:dyDescent="0.25">
      <c r="A5016" t="str">
        <f>"20190312154356714"</f>
        <v>20190312154356714</v>
      </c>
      <c r="B5016" t="str">
        <f>"1552376636702830"</f>
        <v>1552376636702830</v>
      </c>
      <c r="C5016" t="s">
        <v>40</v>
      </c>
      <c r="D5016">
        <v>4.8667930000000004</v>
      </c>
      <c r="E5016">
        <v>0.4207282</v>
      </c>
      <c r="F5016" t="s">
        <v>43</v>
      </c>
      <c r="G5016">
        <v>-390.10230000000001</v>
      </c>
      <c r="H5016" s="1">
        <v>-5.249244E-6</v>
      </c>
      <c r="I5016">
        <v>133.86089999999999</v>
      </c>
      <c r="J5016">
        <v>-370.31540000000001</v>
      </c>
      <c r="K5016">
        <v>1.113213</v>
      </c>
      <c r="L5016">
        <v>139.94239999999999</v>
      </c>
      <c r="M5016">
        <v>-0.99309119999999995</v>
      </c>
      <c r="N5016">
        <v>0</v>
      </c>
      <c r="O5016">
        <v>-0.1164446</v>
      </c>
      <c r="P5016">
        <v>-0.99595129999999998</v>
      </c>
      <c r="Q5016">
        <v>1.9146079999999999E-2</v>
      </c>
      <c r="R5016">
        <v>-8.7834980000000007E-2</v>
      </c>
      <c r="S5016">
        <v>-2.9384160000000001</v>
      </c>
      <c r="T5016">
        <v>-0.1628019</v>
      </c>
      <c r="U5016">
        <v>-0.89492799999999995</v>
      </c>
      <c r="V5016">
        <v>2.8523980000000001E-2</v>
      </c>
      <c r="W5016">
        <v>3.3844029999999997E-2</v>
      </c>
      <c r="X5016">
        <v>0.99902000000000002</v>
      </c>
      <c r="Y5016">
        <v>-0.17787559999999999</v>
      </c>
      <c r="Z5016">
        <v>1.45196E-3</v>
      </c>
      <c r="AA5016">
        <v>0.98405189999999998</v>
      </c>
      <c r="AB5016">
        <v>32</v>
      </c>
      <c r="AC5016">
        <v>-19.786899999999999</v>
      </c>
      <c r="AD5016">
        <v>-1.1132182492439999</v>
      </c>
      <c r="AE5016">
        <v>-6.0815000000000001</v>
      </c>
      <c r="AF5016">
        <v>-3.7250268236654298</v>
      </c>
      <c r="AG5016">
        <v>-1.1132182492439999</v>
      </c>
      <c r="AH5016">
        <v>20.301783908812101</v>
      </c>
      <c r="AI5016">
        <v>93.087152552761694</v>
      </c>
      <c r="AJ5016">
        <v>100.397139286544</v>
      </c>
      <c r="AK5016">
        <v>20.670692044234499</v>
      </c>
      <c r="AL5016">
        <v>88.060509540704601</v>
      </c>
      <c r="AM5016">
        <v>88.364537463369302</v>
      </c>
      <c r="AN5016">
        <v>0.99999999810083995</v>
      </c>
    </row>
    <row r="5017" spans="1:40" x14ac:dyDescent="0.25">
      <c r="A5017" t="str">
        <f>"20190312154356737"</f>
        <v>20190312154356737</v>
      </c>
      <c r="B5017" t="str">
        <f>"1552376636733085"</f>
        <v>1552376636733085</v>
      </c>
      <c r="C5017" t="s">
        <v>40</v>
      </c>
      <c r="D5017">
        <v>4.8741130000000004</v>
      </c>
      <c r="E5017">
        <v>0.42129179999999999</v>
      </c>
      <c r="F5017" t="s">
        <v>43</v>
      </c>
      <c r="G5017">
        <v>-390.74090000000001</v>
      </c>
      <c r="H5017" s="1">
        <v>-5.0096819999999996E-6</v>
      </c>
      <c r="I5017">
        <v>133.6671</v>
      </c>
      <c r="J5017">
        <v>-370.64080000000001</v>
      </c>
      <c r="K5017">
        <v>1.113192</v>
      </c>
      <c r="L5017">
        <v>139.90090000000001</v>
      </c>
      <c r="M5017">
        <v>-0.9927127</v>
      </c>
      <c r="N5017">
        <v>0</v>
      </c>
      <c r="O5017">
        <v>-0.11962879999999999</v>
      </c>
      <c r="P5017">
        <v>-0.99559770000000003</v>
      </c>
      <c r="Q5017">
        <v>1.9458300000000001E-2</v>
      </c>
      <c r="R5017">
        <v>-9.1690110000000005E-2</v>
      </c>
      <c r="S5017">
        <v>-2.93573</v>
      </c>
      <c r="T5017">
        <v>-0.16000120000000001</v>
      </c>
      <c r="U5017">
        <v>-0.90193179999999995</v>
      </c>
      <c r="V5017">
        <v>2.7858540000000001E-2</v>
      </c>
      <c r="W5017">
        <v>3.4146650000000001E-2</v>
      </c>
      <c r="X5017">
        <v>0.99902849999999999</v>
      </c>
      <c r="Y5017">
        <v>-0.17712539999999999</v>
      </c>
      <c r="Z5017">
        <v>1.6146789999999999E-3</v>
      </c>
      <c r="AA5017">
        <v>0.98418689999999998</v>
      </c>
      <c r="AB5017">
        <v>32</v>
      </c>
      <c r="AC5017">
        <v>-20.100100000000001</v>
      </c>
      <c r="AD5017">
        <v>-1.1131970096820001</v>
      </c>
      <c r="AE5017">
        <v>-6.2337999999999996</v>
      </c>
      <c r="AF5017">
        <v>-3.7736607043003301</v>
      </c>
      <c r="AG5017">
        <v>-1.1131970096820001</v>
      </c>
      <c r="AH5017">
        <v>20.6437815283326</v>
      </c>
      <c r="AI5017">
        <v>93.036414768390401</v>
      </c>
      <c r="AJ5017">
        <v>100.359230366182</v>
      </c>
      <c r="AK5017">
        <v>21.0153619641221</v>
      </c>
      <c r="AL5017">
        <v>88.043160702737595</v>
      </c>
      <c r="AM5017">
        <v>88.402684983631005</v>
      </c>
      <c r="AN5017">
        <v>1.0000000178846999</v>
      </c>
    </row>
    <row r="5018" spans="1:40" x14ac:dyDescent="0.25">
      <c r="A5018" t="str">
        <f>"20190312154356760"</f>
        <v>20190312154356760</v>
      </c>
      <c r="B5018" t="str">
        <f>"1552376636752605"</f>
        <v>1552376636752605</v>
      </c>
      <c r="C5018" t="s">
        <v>40</v>
      </c>
      <c r="D5018">
        <v>4.8740809999999897</v>
      </c>
      <c r="E5018">
        <v>0.4217321</v>
      </c>
      <c r="F5018" t="s">
        <v>43</v>
      </c>
      <c r="G5018">
        <v>-390.52370000000002</v>
      </c>
      <c r="H5018" s="1">
        <v>-5.0899070000000002E-6</v>
      </c>
      <c r="I5018">
        <v>133.74010000000001</v>
      </c>
      <c r="J5018">
        <v>-370.95749999999998</v>
      </c>
      <c r="K5018">
        <v>1.1131740000000001</v>
      </c>
      <c r="L5018">
        <v>139.8595</v>
      </c>
      <c r="M5018">
        <v>-0.99233760000000004</v>
      </c>
      <c r="N5018">
        <v>0</v>
      </c>
      <c r="O5018">
        <v>-0.1227019</v>
      </c>
      <c r="P5018">
        <v>-0.99524579999999996</v>
      </c>
      <c r="Q5018">
        <v>1.9370829999999999E-2</v>
      </c>
      <c r="R5018">
        <v>-9.5451549999999996E-2</v>
      </c>
      <c r="S5018">
        <v>-2.9327999999999999</v>
      </c>
      <c r="T5018">
        <v>-0.16420100000000001</v>
      </c>
      <c r="U5018">
        <v>-0.90872189999999997</v>
      </c>
      <c r="V5018">
        <v>2.7179269999999998E-2</v>
      </c>
      <c r="W5018">
        <v>3.4049429999999999E-2</v>
      </c>
      <c r="X5018">
        <v>0.99905049999999995</v>
      </c>
      <c r="Y5018">
        <v>-0.1764356</v>
      </c>
      <c r="Z5018">
        <v>1.8422009999999999E-3</v>
      </c>
      <c r="AA5018">
        <v>0.98431040000000003</v>
      </c>
      <c r="AB5018">
        <v>32</v>
      </c>
      <c r="AC5018">
        <v>-19.566199999999998</v>
      </c>
      <c r="AD5018">
        <v>-1.113179089907</v>
      </c>
      <c r="AE5018">
        <v>-6.1193999999999802</v>
      </c>
      <c r="AF5018">
        <v>-3.6612919982296099</v>
      </c>
      <c r="AG5018">
        <v>-1.113179089907</v>
      </c>
      <c r="AH5018">
        <v>20.109966736102201</v>
      </c>
      <c r="AI5018">
        <v>93.117212690931595</v>
      </c>
      <c r="AJ5018">
        <v>100.318454744275</v>
      </c>
      <c r="AK5018">
        <v>20.470832638406399</v>
      </c>
      <c r="AL5018">
        <v>88.048734182945097</v>
      </c>
      <c r="AM5018">
        <v>88.441646896483903</v>
      </c>
      <c r="AN5018">
        <v>0.99999998897565301</v>
      </c>
    </row>
    <row r="5019" spans="1:40" x14ac:dyDescent="0.25">
      <c r="A5019" t="str">
        <f>"20190312154356781"</f>
        <v>20190312154356781</v>
      </c>
      <c r="B5019" t="str">
        <f>"1552376636772137"</f>
        <v>1552376636772137</v>
      </c>
      <c r="C5019" t="s">
        <v>40</v>
      </c>
      <c r="D5019">
        <v>4.8510419999999996</v>
      </c>
      <c r="E5019">
        <v>0.42181429999999998</v>
      </c>
      <c r="F5019" t="s">
        <v>43</v>
      </c>
      <c r="G5019">
        <v>-390.5652</v>
      </c>
      <c r="H5019" s="1">
        <v>-5.0744519999999998E-6</v>
      </c>
      <c r="I5019">
        <v>133.7269</v>
      </c>
      <c r="J5019">
        <v>-371.26580000000001</v>
      </c>
      <c r="K5019">
        <v>1.1131470000000001</v>
      </c>
      <c r="L5019">
        <v>139.81819999999999</v>
      </c>
      <c r="M5019">
        <v>-0.99196680000000004</v>
      </c>
      <c r="N5019">
        <v>0</v>
      </c>
      <c r="O5019">
        <v>-0.12566449999999901</v>
      </c>
      <c r="P5019">
        <v>-0.99490049999999997</v>
      </c>
      <c r="Q5019">
        <v>1.9684489999999999E-2</v>
      </c>
      <c r="R5019">
        <v>-9.8922109999999994E-2</v>
      </c>
      <c r="S5019">
        <v>-2.9296880000000001</v>
      </c>
      <c r="T5019">
        <v>-0.16632569999999999</v>
      </c>
      <c r="U5019">
        <v>-0.9162903</v>
      </c>
      <c r="V5019">
        <v>2.6677369999999999E-2</v>
      </c>
      <c r="W5019">
        <v>3.4353950000000001E-2</v>
      </c>
      <c r="X5019">
        <v>0.99905359999999999</v>
      </c>
      <c r="Y5019">
        <v>-0.17611270000000001</v>
      </c>
      <c r="Z5019">
        <v>2.0375300000000001E-3</v>
      </c>
      <c r="AA5019">
        <v>0.98436789999999996</v>
      </c>
      <c r="AB5019">
        <v>32</v>
      </c>
      <c r="AC5019">
        <v>-19.299399999999899</v>
      </c>
      <c r="AD5019">
        <v>-1.11315207445199</v>
      </c>
      <c r="AE5019">
        <v>-6.0912999999999897</v>
      </c>
      <c r="AF5019">
        <v>-3.60658702060796</v>
      </c>
      <c r="AG5019">
        <v>-1.11315207445199</v>
      </c>
      <c r="AH5019">
        <v>19.8518586573764</v>
      </c>
      <c r="AI5019">
        <v>93.157799355908196</v>
      </c>
      <c r="AJ5019">
        <v>100.29690674731</v>
      </c>
      <c r="AK5019">
        <v>20.207495382419999</v>
      </c>
      <c r="AL5019">
        <v>88.031276251936006</v>
      </c>
      <c r="AM5019">
        <v>88.470414825230705</v>
      </c>
      <c r="AN5019">
        <v>0.99999998581183902</v>
      </c>
    </row>
    <row r="5020" spans="1:40" x14ac:dyDescent="0.25">
      <c r="A5020" t="str">
        <f>"20190312154356804"</f>
        <v>20190312154356804</v>
      </c>
      <c r="B5020" t="str">
        <f>"1552376636792622"</f>
        <v>1552376636792622</v>
      </c>
      <c r="C5020" t="s">
        <v>40</v>
      </c>
      <c r="D5020">
        <v>4.8861119999999998</v>
      </c>
      <c r="E5020">
        <v>0.42137190000000002</v>
      </c>
      <c r="F5020" t="s">
        <v>43</v>
      </c>
      <c r="G5020">
        <v>-390.87090000000001</v>
      </c>
      <c r="H5020" s="1">
        <v>-4.9627890000000001E-6</v>
      </c>
      <c r="I5020">
        <v>133.6172</v>
      </c>
      <c r="J5020">
        <v>-371.57619999999997</v>
      </c>
      <c r="K5020">
        <v>1.1131180000000001</v>
      </c>
      <c r="L5020">
        <v>139.7758</v>
      </c>
      <c r="M5020">
        <v>-0.99158869999999999</v>
      </c>
      <c r="N5020">
        <v>0</v>
      </c>
      <c r="O5020">
        <v>-0.1286148</v>
      </c>
      <c r="P5020">
        <v>-0.99457269999999998</v>
      </c>
      <c r="Q5020">
        <v>2.0283240000000001E-2</v>
      </c>
      <c r="R5020">
        <v>-0.1020488</v>
      </c>
      <c r="S5020">
        <v>-2.926666</v>
      </c>
      <c r="T5020">
        <v>-0.1661726</v>
      </c>
      <c r="U5020">
        <v>-0.92568969999999995</v>
      </c>
      <c r="V5020">
        <v>2.6506620000000002E-2</v>
      </c>
      <c r="W5020">
        <v>3.4944879999999998E-2</v>
      </c>
      <c r="X5020">
        <v>0.99903770000000003</v>
      </c>
      <c r="Y5020">
        <v>-0.1763545</v>
      </c>
      <c r="Z5020">
        <v>2.1904910000000001E-3</v>
      </c>
      <c r="AA5020">
        <v>0.98432430000000004</v>
      </c>
      <c r="AB5020">
        <v>32</v>
      </c>
      <c r="AC5020">
        <v>-19.294699999999999</v>
      </c>
      <c r="AD5020">
        <v>-1.113122962789</v>
      </c>
      <c r="AE5020">
        <v>-6.1585999999999999</v>
      </c>
      <c r="AF5020">
        <v>-3.6146769838470298</v>
      </c>
      <c r="AG5020">
        <v>-1.113122962789</v>
      </c>
      <c r="AH5020">
        <v>19.866580212960798</v>
      </c>
      <c r="AI5020">
        <v>93.155230666883796</v>
      </c>
      <c r="AJ5020">
        <v>100.31202523674099</v>
      </c>
      <c r="AK5020">
        <v>20.223400846194199</v>
      </c>
      <c r="AL5020">
        <v>87.997398213234007</v>
      </c>
      <c r="AM5020">
        <v>88.480176237615595</v>
      </c>
      <c r="AN5020">
        <v>1.0000000357816601</v>
      </c>
    </row>
    <row r="5021" spans="1:40" x14ac:dyDescent="0.25">
      <c r="A5021" t="str">
        <f>"20190312154356827"</f>
        <v>20190312154356827</v>
      </c>
      <c r="B5021" t="str">
        <f>"1552376636812142"</f>
        <v>1552376636812142</v>
      </c>
      <c r="C5021" t="s">
        <v>40</v>
      </c>
      <c r="D5021">
        <v>4.8529900000000001</v>
      </c>
      <c r="E5021">
        <v>0.42109220000000003</v>
      </c>
      <c r="F5021" t="s">
        <v>43</v>
      </c>
      <c r="G5021">
        <v>-391.45639999999997</v>
      </c>
      <c r="H5021" s="1">
        <v>-4.7518900000000003E-6</v>
      </c>
      <c r="I5021">
        <v>133.39009999999999</v>
      </c>
      <c r="J5021">
        <v>-371.89760000000001</v>
      </c>
      <c r="K5021">
        <v>1.1130899999999999</v>
      </c>
      <c r="L5021">
        <v>139.73089999999999</v>
      </c>
      <c r="M5021">
        <v>-0.99119239999999997</v>
      </c>
      <c r="N5021">
        <v>0</v>
      </c>
      <c r="O5021">
        <v>-0.13163420000000001</v>
      </c>
      <c r="P5021">
        <v>-0.99429239999999997</v>
      </c>
      <c r="Q5021">
        <v>2.0528649999999999E-2</v>
      </c>
      <c r="R5021">
        <v>-0.10469680000000001</v>
      </c>
      <c r="S5021">
        <v>-2.9233699999999998</v>
      </c>
      <c r="T5021">
        <v>-0.16368460000000001</v>
      </c>
      <c r="U5021">
        <v>-0.93899540000000004</v>
      </c>
      <c r="V5021">
        <v>2.6889949999999999E-2</v>
      </c>
      <c r="W5021">
        <v>3.5185059999999997E-2</v>
      </c>
      <c r="X5021">
        <v>0.99901899999999999</v>
      </c>
      <c r="Y5021">
        <v>-0.1777464</v>
      </c>
      <c r="Z5021">
        <v>2.282208E-3</v>
      </c>
      <c r="AA5021">
        <v>0.98407370000000005</v>
      </c>
      <c r="AB5021">
        <v>32</v>
      </c>
      <c r="AC5021">
        <v>-19.558799999999898</v>
      </c>
      <c r="AD5021">
        <v>-1.1130947518899901</v>
      </c>
      <c r="AE5021">
        <v>-6.3407999999999998</v>
      </c>
      <c r="AF5021">
        <v>-3.69989210050483</v>
      </c>
      <c r="AG5021">
        <v>-1.1130947518899901</v>
      </c>
      <c r="AH5021">
        <v>20.164228020567201</v>
      </c>
      <c r="AI5021">
        <v>93.107824282239804</v>
      </c>
      <c r="AJ5021">
        <v>100.39742629286999</v>
      </c>
      <c r="AK5021">
        <v>20.5310563086143</v>
      </c>
      <c r="AL5021">
        <v>87.983628393657199</v>
      </c>
      <c r="AM5021">
        <v>88.458178734692595</v>
      </c>
      <c r="AN5021">
        <v>1.0000000101096</v>
      </c>
    </row>
    <row r="5022" spans="1:40" x14ac:dyDescent="0.25">
      <c r="A5022" t="str">
        <f>"20190312154356851"</f>
        <v>20190312154356851</v>
      </c>
      <c r="B5022" t="str">
        <f>"1552376636842397"</f>
        <v>1552376636842397</v>
      </c>
      <c r="C5022" t="s">
        <v>40</v>
      </c>
      <c r="D5022">
        <v>5.1494770000000001</v>
      </c>
      <c r="E5022">
        <v>0.42091590000000001</v>
      </c>
      <c r="F5022" t="s">
        <v>43</v>
      </c>
      <c r="G5022">
        <v>-392.09809999999999</v>
      </c>
      <c r="H5022" s="1">
        <v>-4.5162430000000002E-6</v>
      </c>
      <c r="I5022">
        <v>133.16659999999999</v>
      </c>
      <c r="J5022">
        <v>-372.21960000000001</v>
      </c>
      <c r="K5022">
        <v>1.1130599999999999</v>
      </c>
      <c r="L5022">
        <v>139.6849</v>
      </c>
      <c r="M5022">
        <v>-0.99079139999999999</v>
      </c>
      <c r="N5022">
        <v>0</v>
      </c>
      <c r="O5022">
        <v>-0.13461879999999901</v>
      </c>
      <c r="P5022">
        <v>-0.99399789999999999</v>
      </c>
      <c r="Q5022">
        <v>2.0885709999999998E-2</v>
      </c>
      <c r="R5022">
        <v>-0.1073866</v>
      </c>
      <c r="S5022">
        <v>-2.9206240000000001</v>
      </c>
      <c r="T5022">
        <v>-0.16093360000000001</v>
      </c>
      <c r="U5022">
        <v>-0.94906619999999997</v>
      </c>
      <c r="V5022">
        <v>2.719572E-2</v>
      </c>
      <c r="W5022">
        <v>3.553626E-2</v>
      </c>
      <c r="X5022">
        <v>0.99899830000000001</v>
      </c>
      <c r="Y5022">
        <v>-0.17812999999999901</v>
      </c>
      <c r="Z5022">
        <v>2.3915519999999999E-3</v>
      </c>
      <c r="AA5022">
        <v>0.98400410000000005</v>
      </c>
      <c r="AB5022">
        <v>32</v>
      </c>
      <c r="AC5022">
        <v>-19.878499999999899</v>
      </c>
      <c r="AD5022">
        <v>-1.113064516243</v>
      </c>
      <c r="AE5022">
        <v>-6.5183000000000098</v>
      </c>
      <c r="AF5022">
        <v>-3.7719753168446801</v>
      </c>
      <c r="AG5022">
        <v>-1.113064516243</v>
      </c>
      <c r="AH5022">
        <v>20.5170138217266</v>
      </c>
      <c r="AI5022">
        <v>93.054211077176802</v>
      </c>
      <c r="AJ5022">
        <v>100.417285558372</v>
      </c>
      <c r="AK5022">
        <v>20.890537728098899</v>
      </c>
      <c r="AL5022">
        <v>87.963493540419293</v>
      </c>
      <c r="AM5022">
        <v>88.440622746653403</v>
      </c>
      <c r="AN5022">
        <v>1.0000000181819899</v>
      </c>
    </row>
    <row r="5023" spans="1:40" x14ac:dyDescent="0.25">
      <c r="A5023" t="str">
        <f>"20190312154356873"</f>
        <v>20190312154356873</v>
      </c>
      <c r="B5023" t="str">
        <f>"1552376636862893"</f>
        <v>1552376636862893</v>
      </c>
      <c r="C5023" t="s">
        <v>40</v>
      </c>
      <c r="D5023">
        <v>4.798692</v>
      </c>
      <c r="E5023">
        <v>0.4208597</v>
      </c>
      <c r="F5023" t="s">
        <v>43</v>
      </c>
      <c r="G5023">
        <v>-392.89170000000001</v>
      </c>
      <c r="H5023" s="1">
        <v>-4.2238680000000003E-6</v>
      </c>
      <c r="I5023">
        <v>132.8955</v>
      </c>
      <c r="J5023">
        <v>-372.54</v>
      </c>
      <c r="K5023">
        <v>1.113027</v>
      </c>
      <c r="L5023">
        <v>139.63820000000001</v>
      </c>
      <c r="M5023">
        <v>-0.99038859999999995</v>
      </c>
      <c r="N5023">
        <v>0</v>
      </c>
      <c r="O5023">
        <v>-0.13755339999999999</v>
      </c>
      <c r="P5023">
        <v>-0.99379220000000001</v>
      </c>
      <c r="Q5023">
        <v>2.088889E-2</v>
      </c>
      <c r="R5023">
        <v>-0.1092743</v>
      </c>
      <c r="S5023">
        <v>-2.9178470000000001</v>
      </c>
      <c r="T5023">
        <v>-0.1571082</v>
      </c>
      <c r="U5023">
        <v>-0.95831299999999997</v>
      </c>
      <c r="V5023">
        <v>2.8261020000000001E-2</v>
      </c>
      <c r="W5023">
        <v>3.5538170000000001E-2</v>
      </c>
      <c r="X5023">
        <v>0.99896870000000004</v>
      </c>
      <c r="Y5023">
        <v>-0.1783139</v>
      </c>
      <c r="Z5023">
        <v>2.481717E-3</v>
      </c>
      <c r="AA5023">
        <v>0.98397049999999997</v>
      </c>
      <c r="AB5023">
        <v>32</v>
      </c>
      <c r="AC5023">
        <v>-20.351699999999902</v>
      </c>
      <c r="AD5023">
        <v>-1.113031223868</v>
      </c>
      <c r="AE5023">
        <v>-6.7427000000000099</v>
      </c>
      <c r="AF5023">
        <v>-3.8684280086368901</v>
      </c>
      <c r="AG5023">
        <v>-1.113031223868</v>
      </c>
      <c r="AH5023">
        <v>21.029105177913699</v>
      </c>
      <c r="AI5023">
        <v>92.979825008282305</v>
      </c>
      <c r="AJ5023">
        <v>100.423364610823</v>
      </c>
      <c r="AK5023">
        <v>21.4109046597071</v>
      </c>
      <c r="AL5023">
        <v>87.963384111695007</v>
      </c>
      <c r="AM5023">
        <v>88.379523401918306</v>
      </c>
      <c r="AN5023">
        <v>1.00000005517903</v>
      </c>
    </row>
    <row r="5024" spans="1:40" x14ac:dyDescent="0.25">
      <c r="A5024" t="str">
        <f>"20190312154356894"</f>
        <v>20190312154356894</v>
      </c>
      <c r="B5024" t="str">
        <f>"1552376636882414"</f>
        <v>1552376636882414</v>
      </c>
      <c r="C5024" t="s">
        <v>40</v>
      </c>
      <c r="D5024">
        <v>4.7748839999999904</v>
      </c>
      <c r="E5024">
        <v>0.42080859999999898</v>
      </c>
      <c r="F5024" t="s">
        <v>43</v>
      </c>
      <c r="G5024">
        <v>-393.55759999999998</v>
      </c>
      <c r="H5024" s="1">
        <v>-4.0212539999999999E-6</v>
      </c>
      <c r="I5024">
        <v>132.6902</v>
      </c>
      <c r="J5024">
        <v>-372.83550000000002</v>
      </c>
      <c r="K5024">
        <v>1.113005</v>
      </c>
      <c r="L5024">
        <v>139.5943</v>
      </c>
      <c r="M5024">
        <v>-0.99001229999999996</v>
      </c>
      <c r="N5024">
        <v>0</v>
      </c>
      <c r="O5024">
        <v>-0.14023559999999999</v>
      </c>
      <c r="P5024">
        <v>-0.99357459999999997</v>
      </c>
      <c r="Q5024">
        <v>2.113373E-2</v>
      </c>
      <c r="R5024">
        <v>-0.11119130000000001</v>
      </c>
      <c r="S5024">
        <v>-2.915985</v>
      </c>
      <c r="T5024">
        <v>-0.1544218</v>
      </c>
      <c r="U5024">
        <v>-0.96395869999999995</v>
      </c>
      <c r="V5024">
        <v>2.904052E-2</v>
      </c>
      <c r="W5024">
        <v>3.5781199999999902E-2</v>
      </c>
      <c r="X5024">
        <v>0.99893759999999998</v>
      </c>
      <c r="Y5024">
        <v>-0.1775592</v>
      </c>
      <c r="Z5024">
        <v>2.5950639999999998E-3</v>
      </c>
      <c r="AA5024">
        <v>0.9841067</v>
      </c>
      <c r="AB5024">
        <v>32</v>
      </c>
      <c r="AC5024">
        <v>-20.722099999999902</v>
      </c>
      <c r="AD5024">
        <v>-1.113009021254</v>
      </c>
      <c r="AE5024">
        <v>-6.9040999999999997</v>
      </c>
      <c r="AF5024">
        <v>-3.9194023628986598</v>
      </c>
      <c r="AG5024">
        <v>-1.113009021254</v>
      </c>
      <c r="AH5024">
        <v>21.429940480026701</v>
      </c>
      <c r="AI5024">
        <v>92.924678677863596</v>
      </c>
      <c r="AJ5024">
        <v>100.36448913958699</v>
      </c>
      <c r="AK5024">
        <v>21.8138225201631</v>
      </c>
      <c r="AL5024">
        <v>87.949450518259596</v>
      </c>
      <c r="AM5024">
        <v>88.334800169550505</v>
      </c>
      <c r="AN5024">
        <v>0.99999998738453499</v>
      </c>
    </row>
    <row r="5025" spans="1:40" x14ac:dyDescent="0.25">
      <c r="A5025" t="str">
        <f>"20190312154356916"</f>
        <v>20190312154356916</v>
      </c>
      <c r="B5025" t="str">
        <f>"1552376636902910"</f>
        <v>1552376636902910</v>
      </c>
      <c r="C5025" t="s">
        <v>40</v>
      </c>
      <c r="D5025">
        <v>4.7870339999999896</v>
      </c>
      <c r="E5025">
        <v>0.42070999999999997</v>
      </c>
      <c r="F5025" t="s">
        <v>43</v>
      </c>
      <c r="G5025">
        <v>-394.37329999999997</v>
      </c>
      <c r="H5025" s="1">
        <v>-3.8145839999999998E-6</v>
      </c>
      <c r="I5025">
        <v>132.42359999999999</v>
      </c>
      <c r="J5025">
        <v>-373.14409999999998</v>
      </c>
      <c r="K5025">
        <v>1.1129789999999999</v>
      </c>
      <c r="L5025">
        <v>139.54759999999999</v>
      </c>
      <c r="M5025">
        <v>-0.98961529999999998</v>
      </c>
      <c r="N5025">
        <v>0</v>
      </c>
      <c r="O5025">
        <v>-0.14301159999999999</v>
      </c>
      <c r="P5025">
        <v>-0.9932877</v>
      </c>
      <c r="Q5025">
        <v>2.1225020000000001E-2</v>
      </c>
      <c r="R5025">
        <v>-0.1137059</v>
      </c>
      <c r="S5025">
        <v>-2.9140320000000002</v>
      </c>
      <c r="T5025">
        <v>-0.15058859999999999</v>
      </c>
      <c r="U5025">
        <v>-0.97016910000000001</v>
      </c>
      <c r="V5025">
        <v>2.931506E-2</v>
      </c>
      <c r="W5025">
        <v>3.5867459999999997E-2</v>
      </c>
      <c r="X5025">
        <v>0.99892650000000005</v>
      </c>
      <c r="Y5025">
        <v>-0.1768914</v>
      </c>
      <c r="Z5025">
        <v>2.685008E-3</v>
      </c>
      <c r="AA5025">
        <v>0.98422670000000001</v>
      </c>
      <c r="AB5025">
        <v>32</v>
      </c>
      <c r="AC5025">
        <v>-21.229199999999899</v>
      </c>
      <c r="AD5025">
        <v>-1.1129828145839999</v>
      </c>
      <c r="AE5025">
        <v>-7.1239999999999899</v>
      </c>
      <c r="AF5025">
        <v>-4.0045247927866496</v>
      </c>
      <c r="AG5025">
        <v>-1.1129828145839999</v>
      </c>
      <c r="AH5025">
        <v>21.975572316737502</v>
      </c>
      <c r="AI5025">
        <v>92.852452011499693</v>
      </c>
      <c r="AJ5025">
        <v>100.327473861394</v>
      </c>
      <c r="AK5025">
        <v>22.365167743832401</v>
      </c>
      <c r="AL5025">
        <v>87.944505035515405</v>
      </c>
      <c r="AM5025">
        <v>88.319048212279995</v>
      </c>
      <c r="AN5025">
        <v>0.99999999991595201</v>
      </c>
    </row>
    <row r="5026" spans="1:40" x14ac:dyDescent="0.25">
      <c r="A5026" t="str">
        <f>"20190312154356939"</f>
        <v>20190312154356939</v>
      </c>
      <c r="B5026" t="str">
        <f>"1552376636932189"</f>
        <v>1552376636932189</v>
      </c>
      <c r="C5026" t="s">
        <v>40</v>
      </c>
      <c r="D5026">
        <v>4.7149409999999996</v>
      </c>
      <c r="E5026">
        <v>0.42059220000000003</v>
      </c>
      <c r="F5026" t="s">
        <v>43</v>
      </c>
      <c r="G5026">
        <v>-394.88990000000001</v>
      </c>
      <c r="H5026" s="1">
        <v>-3.6874550000000001E-6</v>
      </c>
      <c r="I5026">
        <v>132.24080000000001</v>
      </c>
      <c r="J5026">
        <v>-373.46260000000001</v>
      </c>
      <c r="K5026">
        <v>1.1129500000000001</v>
      </c>
      <c r="L5026">
        <v>139.49850000000001</v>
      </c>
      <c r="M5026">
        <v>-0.98920070000000004</v>
      </c>
      <c r="N5026">
        <v>0</v>
      </c>
      <c r="O5026">
        <v>-0.14585209999999901</v>
      </c>
      <c r="P5026">
        <v>-0.99292999999999998</v>
      </c>
      <c r="Q5026">
        <v>2.157794E-2</v>
      </c>
      <c r="R5026">
        <v>-0.11672390000000001</v>
      </c>
      <c r="S5026">
        <v>-2.9114689999999999</v>
      </c>
      <c r="T5026">
        <v>-0.1490136</v>
      </c>
      <c r="U5026">
        <v>-0.97827149999999996</v>
      </c>
      <c r="V5026">
        <v>2.9146450000000001E-2</v>
      </c>
      <c r="W5026">
        <v>3.6212939999999999E-2</v>
      </c>
      <c r="X5026">
        <v>0.998919</v>
      </c>
      <c r="Y5026">
        <v>-0.17679300000000001</v>
      </c>
      <c r="Z5026">
        <v>2.7987870000000001E-3</v>
      </c>
      <c r="AA5026">
        <v>0.98424409999999896</v>
      </c>
      <c r="AB5026">
        <v>32</v>
      </c>
      <c r="AC5026">
        <v>-21.427299999999999</v>
      </c>
      <c r="AD5026">
        <v>-1.1129536874549999</v>
      </c>
      <c r="AE5026">
        <v>-7.2576999999999998</v>
      </c>
      <c r="AF5026">
        <v>-4.0447401475938101</v>
      </c>
      <c r="AG5026">
        <v>-1.1129536874549999</v>
      </c>
      <c r="AH5026">
        <v>22.203042683757701</v>
      </c>
      <c r="AI5026">
        <v>92.823230037838002</v>
      </c>
      <c r="AJ5026">
        <v>100.324387537395</v>
      </c>
      <c r="AK5026">
        <v>22.595877791950102</v>
      </c>
      <c r="AL5026">
        <v>87.924697685079096</v>
      </c>
      <c r="AM5026">
        <v>88.328698420403001</v>
      </c>
      <c r="AN5026">
        <v>1.0000000305660199</v>
      </c>
    </row>
    <row r="5027" spans="1:40" x14ac:dyDescent="0.25">
      <c r="A5027" t="str">
        <f>"20190312154356960"</f>
        <v>20190312154356960</v>
      </c>
      <c r="B5027" t="str">
        <f>"1552376636952685"</f>
        <v>1552376636952685</v>
      </c>
      <c r="C5027" t="s">
        <v>40</v>
      </c>
      <c r="D5027">
        <v>4.760777</v>
      </c>
      <c r="E5027">
        <v>0.42050130000000002</v>
      </c>
      <c r="F5027" t="s">
        <v>43</v>
      </c>
      <c r="G5027">
        <v>-395.63389999999998</v>
      </c>
      <c r="H5027" s="1">
        <v>-3.5072149999999998E-6</v>
      </c>
      <c r="I5027">
        <v>131.9666</v>
      </c>
      <c r="J5027">
        <v>-373.76620000000003</v>
      </c>
      <c r="K5027">
        <v>1.112927</v>
      </c>
      <c r="L5027">
        <v>139.45079999999999</v>
      </c>
      <c r="M5027">
        <v>-0.98880179999999995</v>
      </c>
      <c r="N5027">
        <v>0</v>
      </c>
      <c r="O5027">
        <v>-0.14853250000000001</v>
      </c>
      <c r="P5027">
        <v>-0.99248190000000003</v>
      </c>
      <c r="Q5027">
        <v>2.2157449999999999E-2</v>
      </c>
      <c r="R5027">
        <v>-0.1203689</v>
      </c>
      <c r="S5027">
        <v>-2.9083860000000001</v>
      </c>
      <c r="T5027">
        <v>-0.14599509999999999</v>
      </c>
      <c r="U5027">
        <v>-0.98800659999999896</v>
      </c>
      <c r="V5027">
        <v>2.8182639999999998E-2</v>
      </c>
      <c r="W5027">
        <v>3.6779510000000001E-2</v>
      </c>
      <c r="X5027">
        <v>0.99892590000000003</v>
      </c>
      <c r="Y5027">
        <v>-0.17740069999999999</v>
      </c>
      <c r="Z5027">
        <v>2.8563960000000002E-3</v>
      </c>
      <c r="AA5027">
        <v>0.98413459999999997</v>
      </c>
      <c r="AB5027">
        <v>32</v>
      </c>
      <c r="AC5027">
        <v>-21.8676999999999</v>
      </c>
      <c r="AD5027">
        <v>-1.112930507215</v>
      </c>
      <c r="AE5027">
        <v>-7.48419999999998</v>
      </c>
      <c r="AF5027">
        <v>-4.14315418178046</v>
      </c>
      <c r="AG5027">
        <v>-1.112930507215</v>
      </c>
      <c r="AH5027">
        <v>22.6842497494758</v>
      </c>
      <c r="AI5027">
        <v>92.763145612954503</v>
      </c>
      <c r="AJ5027">
        <v>100.350671094248</v>
      </c>
      <c r="AK5027">
        <v>23.086349377597301</v>
      </c>
      <c r="AL5027">
        <v>87.892213854812894</v>
      </c>
      <c r="AM5027">
        <v>88.383946094445406</v>
      </c>
      <c r="AN5027">
        <v>0.99999997362200899</v>
      </c>
    </row>
    <row r="5028" spans="1:40" x14ac:dyDescent="0.25">
      <c r="A5028" t="str">
        <f>"20190312154356984"</f>
        <v>20190312154356984</v>
      </c>
      <c r="B5028" t="str">
        <f>"1552376636972206"</f>
        <v>1552376636972206</v>
      </c>
      <c r="C5028" t="s">
        <v>40</v>
      </c>
      <c r="D5028">
        <v>4.7489739999999996</v>
      </c>
      <c r="E5028">
        <v>0.42053449999999998</v>
      </c>
      <c r="F5028" t="s">
        <v>43</v>
      </c>
      <c r="G5028">
        <v>-396.33100000000002</v>
      </c>
      <c r="H5028" s="1">
        <v>-3.3445010000000002E-6</v>
      </c>
      <c r="I5028">
        <v>131.6866</v>
      </c>
      <c r="J5028">
        <v>-374.09269999999998</v>
      </c>
      <c r="K5028">
        <v>1.112892</v>
      </c>
      <c r="L5028">
        <v>139.39869999999999</v>
      </c>
      <c r="M5028">
        <v>-0.98837010000000003</v>
      </c>
      <c r="N5028">
        <v>0</v>
      </c>
      <c r="O5028">
        <v>-0.15137900000000001</v>
      </c>
      <c r="P5028">
        <v>-0.9919327</v>
      </c>
      <c r="Q5028">
        <v>2.2744480000000001E-2</v>
      </c>
      <c r="R5028">
        <v>-0.124711</v>
      </c>
      <c r="S5028">
        <v>-2.9047239999999999</v>
      </c>
      <c r="T5028">
        <v>-0.14326549999999999</v>
      </c>
      <c r="U5028">
        <v>-0.99946590000000002</v>
      </c>
      <c r="V5028">
        <v>2.668514E-2</v>
      </c>
      <c r="W5028">
        <v>3.735086E-2</v>
      </c>
      <c r="X5028">
        <v>0.99894579999999999</v>
      </c>
      <c r="Y5028">
        <v>-0.17842369999999999</v>
      </c>
      <c r="Z5028">
        <v>2.9131769999999999E-3</v>
      </c>
      <c r="AA5028">
        <v>0.98394939999999997</v>
      </c>
      <c r="AB5028">
        <v>32</v>
      </c>
      <c r="AC5028">
        <v>-22.238299999999899</v>
      </c>
      <c r="AD5028">
        <v>-1.1128953445009999</v>
      </c>
      <c r="AE5028">
        <v>-7.7120999999999897</v>
      </c>
      <c r="AF5028">
        <v>-4.2469478696138196</v>
      </c>
      <c r="AG5028">
        <v>-1.1128953445009999</v>
      </c>
      <c r="AH5028">
        <v>23.097902864438399</v>
      </c>
      <c r="AI5028">
        <v>92.713062988022998</v>
      </c>
      <c r="AJ5028">
        <v>100.418451387871</v>
      </c>
      <c r="AK5028">
        <v>23.511448679102301</v>
      </c>
      <c r="AL5028">
        <v>87.859455343721606</v>
      </c>
      <c r="AM5028">
        <v>88.469804500049904</v>
      </c>
      <c r="AN5028">
        <v>0.99999994738859799</v>
      </c>
    </row>
    <row r="5029" spans="1:40" x14ac:dyDescent="0.25">
      <c r="A5029" t="str">
        <f>"20190312154357005"</f>
        <v>20190312154357005</v>
      </c>
      <c r="B5029" t="str">
        <f>"1552376636992702"</f>
        <v>1552376636992702</v>
      </c>
      <c r="C5029" t="s">
        <v>40</v>
      </c>
      <c r="D5029">
        <v>4.7637169999999998</v>
      </c>
      <c r="E5029">
        <v>0.42061920000000003</v>
      </c>
      <c r="F5029" t="s">
        <v>43</v>
      </c>
      <c r="G5029">
        <v>-396.8766</v>
      </c>
      <c r="H5029" s="1">
        <v>-3.2218140000000002E-6</v>
      </c>
      <c r="I5029">
        <v>131.44980000000001</v>
      </c>
      <c r="J5029">
        <v>-374.38569999999999</v>
      </c>
      <c r="K5029">
        <v>1.112852</v>
      </c>
      <c r="L5029">
        <v>139.3511</v>
      </c>
      <c r="M5029">
        <v>-0.98798249999999999</v>
      </c>
      <c r="N5029">
        <v>0</v>
      </c>
      <c r="O5029">
        <v>-0.1538889</v>
      </c>
      <c r="P5029">
        <v>-0.99147189999999996</v>
      </c>
      <c r="Q5029">
        <v>2.271343E-2</v>
      </c>
      <c r="R5029">
        <v>-0.12832750000000001</v>
      </c>
      <c r="S5029">
        <v>-2.9004210000000001</v>
      </c>
      <c r="T5029">
        <v>-0.1416733</v>
      </c>
      <c r="U5029">
        <v>-1.011887</v>
      </c>
      <c r="V5029">
        <v>2.558268E-2</v>
      </c>
      <c r="W5029">
        <v>3.7306060000000002E-2</v>
      </c>
      <c r="X5029">
        <v>0.99897630000000004</v>
      </c>
      <c r="Y5029">
        <v>-0.18013609999999999</v>
      </c>
      <c r="Z5029">
        <v>2.9581849999999999E-3</v>
      </c>
      <c r="AA5029">
        <v>0.98363719999999999</v>
      </c>
      <c r="AB5029">
        <v>32</v>
      </c>
      <c r="AC5029">
        <v>-22.4909</v>
      </c>
      <c r="AD5029">
        <v>-1.112855221814</v>
      </c>
      <c r="AE5029">
        <v>-7.9012999999999902</v>
      </c>
      <c r="AF5029">
        <v>-4.3362498587028799</v>
      </c>
      <c r="AG5029">
        <v>-1.112855221814</v>
      </c>
      <c r="AH5029">
        <v>23.388014914454299</v>
      </c>
      <c r="AI5029">
        <v>92.678627841179704</v>
      </c>
      <c r="AJ5029">
        <v>100.50364145379901</v>
      </c>
      <c r="AK5029">
        <v>23.812617479406899</v>
      </c>
      <c r="AL5029">
        <v>87.8620239516396</v>
      </c>
      <c r="AM5029">
        <v>88.533038980359194</v>
      </c>
      <c r="AN5029">
        <v>0.99999993179519497</v>
      </c>
    </row>
    <row r="5030" spans="1:40" x14ac:dyDescent="0.25">
      <c r="A5030" t="str">
        <f>"20190312154357029"</f>
        <v>20190312154357029</v>
      </c>
      <c r="B5030" t="str">
        <f>"1552376637023211"</f>
        <v>1552376637023211</v>
      </c>
      <c r="C5030" t="s">
        <v>40</v>
      </c>
      <c r="D5030">
        <v>4.8079989999999997</v>
      </c>
      <c r="E5030">
        <v>0.4374209</v>
      </c>
      <c r="F5030" t="s">
        <v>43</v>
      </c>
      <c r="G5030">
        <v>-397.12180000000001</v>
      </c>
      <c r="H5030" s="1">
        <v>-3.1698729999999998E-6</v>
      </c>
      <c r="I5030">
        <v>131.33150000000001</v>
      </c>
      <c r="J5030">
        <v>-374.70609999999999</v>
      </c>
      <c r="K5030">
        <v>1.1127940000000001</v>
      </c>
      <c r="L5030">
        <v>139.29830000000001</v>
      </c>
      <c r="M5030">
        <v>-0.98756129999999998</v>
      </c>
      <c r="N5030">
        <v>0</v>
      </c>
      <c r="O5030">
        <v>-0.15656919999999999</v>
      </c>
      <c r="P5030">
        <v>-0.99109619999999998</v>
      </c>
      <c r="Q5030">
        <v>2.2586140000000001E-2</v>
      </c>
      <c r="R5030">
        <v>-0.13121920000000001</v>
      </c>
      <c r="S5030">
        <v>-2.89682</v>
      </c>
      <c r="T5030">
        <v>-0.14179020000000001</v>
      </c>
      <c r="U5030">
        <v>-1.021774</v>
      </c>
      <c r="V5030">
        <v>2.5385600000000001E-2</v>
      </c>
      <c r="W5030">
        <v>3.716883E-2</v>
      </c>
      <c r="X5030">
        <v>0.9989865</v>
      </c>
      <c r="Y5030">
        <v>-0.18083830000000001</v>
      </c>
      <c r="Z5030">
        <v>3.0697749999999998E-3</v>
      </c>
      <c r="AA5030">
        <v>0.9835081</v>
      </c>
      <c r="AB5030">
        <v>32</v>
      </c>
      <c r="AC5030">
        <v>-22.415700000000001</v>
      </c>
      <c r="AD5030">
        <v>-1.1127971698729999</v>
      </c>
      <c r="AE5030">
        <v>-7.9668000000000001</v>
      </c>
      <c r="AF5030">
        <v>-4.3490340178214399</v>
      </c>
      <c r="AG5030">
        <v>-1.1127971698729999</v>
      </c>
      <c r="AH5030">
        <v>23.335614022056301</v>
      </c>
      <c r="AI5030">
        <v>92.684029816656505</v>
      </c>
      <c r="AJ5030">
        <v>100.55703930551699</v>
      </c>
      <c r="AK5030">
        <v>23.763486617410202</v>
      </c>
      <c r="AL5030">
        <v>87.869892230686901</v>
      </c>
      <c r="AM5030">
        <v>88.544349909134894</v>
      </c>
      <c r="AN5030">
        <v>0.99999998889658903</v>
      </c>
    </row>
    <row r="5031" spans="1:40" x14ac:dyDescent="0.25">
      <c r="A5031" t="str">
        <f>"20190312154357051"</f>
        <v>20190312154357051</v>
      </c>
      <c r="B5031" t="str">
        <f>"1552376637042730"</f>
        <v>1552376637042730</v>
      </c>
      <c r="C5031" t="s">
        <v>40</v>
      </c>
      <c r="D5031">
        <v>4.7800960000000003</v>
      </c>
      <c r="E5031">
        <v>0.43907990000000002</v>
      </c>
      <c r="F5031" t="s">
        <v>43</v>
      </c>
      <c r="G5031">
        <v>-396.1696</v>
      </c>
      <c r="H5031" s="1">
        <v>-3.1344960000000001E-6</v>
      </c>
      <c r="I5031">
        <v>132.6823</v>
      </c>
      <c r="J5031">
        <v>-375.01609999999999</v>
      </c>
      <c r="K5031">
        <v>1.112719</v>
      </c>
      <c r="L5031">
        <v>139.24639999999999</v>
      </c>
      <c r="M5031">
        <v>-0.98716009999999998</v>
      </c>
      <c r="N5031">
        <v>0</v>
      </c>
      <c r="O5031">
        <v>-0.15907839999999901</v>
      </c>
      <c r="P5031">
        <v>-0.99073990000000001</v>
      </c>
      <c r="Q5031">
        <v>2.2607390000000002E-2</v>
      </c>
      <c r="R5031">
        <v>-0.13387679999999999</v>
      </c>
      <c r="S5031">
        <v>-2.9115600000000001</v>
      </c>
      <c r="T5031">
        <v>-0.150952799999999</v>
      </c>
      <c r="U5031">
        <v>-0.89746090000000001</v>
      </c>
      <c r="V5031">
        <v>2.5251010000000001E-2</v>
      </c>
      <c r="W5031">
        <v>3.717931E-2</v>
      </c>
      <c r="X5031">
        <v>0.99898949999999997</v>
      </c>
      <c r="Y5031">
        <v>-0.138799799999999</v>
      </c>
      <c r="Z5031">
        <v>4.4684920000000001E-3</v>
      </c>
      <c r="AA5031">
        <v>0.99031040000000004</v>
      </c>
      <c r="AB5031">
        <v>32</v>
      </c>
      <c r="AC5031">
        <v>-21.153500000000001</v>
      </c>
      <c r="AD5031">
        <v>-1.1127221344959899</v>
      </c>
      <c r="AE5031">
        <v>-6.5640999999999901</v>
      </c>
      <c r="AF5031">
        <v>-3.1072356698330799</v>
      </c>
      <c r="AG5031">
        <v>-1.1127221344959899</v>
      </c>
      <c r="AH5031">
        <v>21.873182213512798</v>
      </c>
      <c r="AI5031">
        <v>92.8833152489116</v>
      </c>
      <c r="AJ5031">
        <v>98.085161776469803</v>
      </c>
      <c r="AK5031">
        <v>22.120785795310599</v>
      </c>
      <c r="AL5031">
        <v>87.869291310733303</v>
      </c>
      <c r="AM5031">
        <v>88.552068562873004</v>
      </c>
      <c r="AN5031">
        <v>0.999999967854172</v>
      </c>
    </row>
    <row r="5032" spans="1:40" x14ac:dyDescent="0.25">
      <c r="A5032" t="str">
        <f>"20190312154357073"</f>
        <v>20190312154357073</v>
      </c>
      <c r="B5032" t="str">
        <f>"1552376637062249"</f>
        <v>1552376637062249</v>
      </c>
      <c r="C5032" t="s">
        <v>40</v>
      </c>
      <c r="D5032">
        <v>4.7605240000000002</v>
      </c>
      <c r="E5032">
        <v>0.44049670000000002</v>
      </c>
      <c r="F5032" t="s">
        <v>43</v>
      </c>
      <c r="G5032">
        <v>-396.32749999999999</v>
      </c>
      <c r="H5032" s="1">
        <v>-3.071503E-6</v>
      </c>
      <c r="I5032">
        <v>132.71700000000001</v>
      </c>
      <c r="J5032">
        <v>-375.32839999999999</v>
      </c>
      <c r="K5032">
        <v>1.1126510000000001</v>
      </c>
      <c r="L5032">
        <v>139.19329999999999</v>
      </c>
      <c r="M5032">
        <v>-0.9867612</v>
      </c>
      <c r="N5032">
        <v>0</v>
      </c>
      <c r="O5032">
        <v>-0.1615364</v>
      </c>
      <c r="P5032">
        <v>-0.99039359999999999</v>
      </c>
      <c r="Q5032">
        <v>2.2232310000000002E-2</v>
      </c>
      <c r="R5032">
        <v>-0.1364794</v>
      </c>
      <c r="S5032">
        <v>-2.9109799999999999</v>
      </c>
      <c r="T5032">
        <v>-0.15198909999999999</v>
      </c>
      <c r="U5032">
        <v>-0.89184569999999996</v>
      </c>
      <c r="V5032">
        <v>2.5123690000000001E-2</v>
      </c>
      <c r="W5032">
        <v>3.6792859999999997E-2</v>
      </c>
      <c r="X5032">
        <v>0.99900699999999998</v>
      </c>
      <c r="Y5032">
        <v>-0.13465070000000001</v>
      </c>
      <c r="Z5032">
        <v>4.7300019999999996E-3</v>
      </c>
      <c r="AA5032">
        <v>0.99088189999999998</v>
      </c>
      <c r="AB5032">
        <v>31</v>
      </c>
      <c r="AC5032">
        <v>-20.999099999999999</v>
      </c>
      <c r="AD5032">
        <v>-1.112654071503</v>
      </c>
      <c r="AE5032">
        <v>-6.4762999999999797</v>
      </c>
      <c r="AF5032">
        <v>-2.9910868142868399</v>
      </c>
      <c r="AG5032">
        <v>-1.112654071503</v>
      </c>
      <c r="AH5032">
        <v>21.713856243304701</v>
      </c>
      <c r="AI5032">
        <v>92.905972053781895</v>
      </c>
      <c r="AJ5032">
        <v>97.843142264338198</v>
      </c>
      <c r="AK5032">
        <v>21.947121733118799</v>
      </c>
      <c r="AL5032">
        <v>87.891448388657096</v>
      </c>
      <c r="AM5032">
        <v>88.559391426966897</v>
      </c>
      <c r="AN5032">
        <v>0.99999995019759602</v>
      </c>
    </row>
    <row r="5033" spans="1:40" x14ac:dyDescent="0.25">
      <c r="A5033" t="str">
        <f>"20190312154357095"</f>
        <v>20190312154357095</v>
      </c>
      <c r="B5033" t="str">
        <f>"1552376637082745"</f>
        <v>1552376637082745</v>
      </c>
      <c r="C5033" t="s">
        <v>40</v>
      </c>
      <c r="D5033">
        <v>4.7852639999999997</v>
      </c>
      <c r="E5033">
        <v>0.44092740000000002</v>
      </c>
      <c r="F5033" t="s">
        <v>43</v>
      </c>
      <c r="G5033">
        <v>-397.44810000000001</v>
      </c>
      <c r="H5033" s="1">
        <v>-2.762653E-6</v>
      </c>
      <c r="I5033">
        <v>132.44460000000001</v>
      </c>
      <c r="J5033">
        <v>-375.62189999999998</v>
      </c>
      <c r="K5033">
        <v>1.1125849999999999</v>
      </c>
      <c r="L5033">
        <v>139.14279999999999</v>
      </c>
      <c r="M5033">
        <v>-0.98639350000000003</v>
      </c>
      <c r="N5033">
        <v>0</v>
      </c>
      <c r="O5033">
        <v>-0.163767</v>
      </c>
      <c r="P5033">
        <v>-0.99005620000000005</v>
      </c>
      <c r="Q5033">
        <v>2.233065E-2</v>
      </c>
      <c r="R5033">
        <v>-0.1388895</v>
      </c>
      <c r="S5033">
        <v>-2.910034</v>
      </c>
      <c r="T5033">
        <v>-0.1463796</v>
      </c>
      <c r="U5033">
        <v>-0.88783259999999897</v>
      </c>
      <c r="V5033">
        <v>2.4955999999999999E-2</v>
      </c>
      <c r="W5033">
        <v>3.6880540000000003E-2</v>
      </c>
      <c r="X5033">
        <v>0.99900800000000001</v>
      </c>
      <c r="Y5033">
        <v>-0.13125429999999999</v>
      </c>
      <c r="Z5033">
        <v>4.7488469999999996E-3</v>
      </c>
      <c r="AA5033">
        <v>0.99133740000000004</v>
      </c>
      <c r="AB5033">
        <v>31</v>
      </c>
      <c r="AC5033">
        <v>-21.8262</v>
      </c>
      <c r="AD5033">
        <v>-1.1125877626530001</v>
      </c>
      <c r="AE5033">
        <v>-6.6981999999999804</v>
      </c>
      <c r="AF5033">
        <v>-3.0257798822092901</v>
      </c>
      <c r="AG5033">
        <v>-1.1125877626530001</v>
      </c>
      <c r="AH5033">
        <v>22.574911600265999</v>
      </c>
      <c r="AI5033">
        <v>92.796529521188404</v>
      </c>
      <c r="AJ5033">
        <v>97.634019384545198</v>
      </c>
      <c r="AK5033">
        <v>22.8039432814812</v>
      </c>
      <c r="AL5033">
        <v>87.886421345814696</v>
      </c>
      <c r="AM5033">
        <v>88.569004299889997</v>
      </c>
      <c r="AN5033">
        <v>0.99999998011534497</v>
      </c>
    </row>
    <row r="5034" spans="1:40" x14ac:dyDescent="0.25">
      <c r="A5034" t="str">
        <f>"20190312154357116"</f>
        <v>20190312154357116</v>
      </c>
      <c r="B5034" t="str">
        <f>"1552376637113001"</f>
        <v>1552376637113001</v>
      </c>
      <c r="C5034" t="s">
        <v>40</v>
      </c>
      <c r="D5034">
        <v>4.8077439999999996</v>
      </c>
      <c r="E5034">
        <v>0.44132450000000001</v>
      </c>
      <c r="F5034" t="s">
        <v>43</v>
      </c>
      <c r="G5034">
        <v>-397.8252</v>
      </c>
      <c r="H5034" s="1">
        <v>-2.662934E-6</v>
      </c>
      <c r="I5034">
        <v>132.33709999999999</v>
      </c>
      <c r="J5034">
        <v>-375.92869999999999</v>
      </c>
      <c r="K5034">
        <v>1.1125100000000001</v>
      </c>
      <c r="L5034">
        <v>139.08940000000001</v>
      </c>
      <c r="M5034">
        <v>-0.98602069999999997</v>
      </c>
      <c r="N5034">
        <v>0</v>
      </c>
      <c r="O5034">
        <v>-0.1659969</v>
      </c>
      <c r="P5034">
        <v>-0.98965619999999999</v>
      </c>
      <c r="Q5034">
        <v>2.240404E-2</v>
      </c>
      <c r="R5034">
        <v>-0.14169999999999999</v>
      </c>
      <c r="S5034">
        <v>-2.9083559999999999</v>
      </c>
      <c r="T5034">
        <v>-0.1457359</v>
      </c>
      <c r="U5034">
        <v>-0.89144899999999905</v>
      </c>
      <c r="V5034">
        <v>2.4384599999999999E-2</v>
      </c>
      <c r="W5034">
        <v>3.6941059999999998E-2</v>
      </c>
      <c r="X5034">
        <v>0.99901989999999996</v>
      </c>
      <c r="Y5034">
        <v>-0.1303029</v>
      </c>
      <c r="Z5034">
        <v>4.859543E-3</v>
      </c>
      <c r="AA5034">
        <v>0.99146230000000002</v>
      </c>
      <c r="AB5034">
        <v>31</v>
      </c>
      <c r="AC5034">
        <v>-21.8965</v>
      </c>
      <c r="AD5034">
        <v>-1.1125126629340001</v>
      </c>
      <c r="AE5034">
        <v>-6.7523000000000204</v>
      </c>
      <c r="AF5034">
        <v>-3.0163608519004201</v>
      </c>
      <c r="AG5034">
        <v>-1.1125126629340001</v>
      </c>
      <c r="AH5034">
        <v>22.660211630411599</v>
      </c>
      <c r="AI5034">
        <v>92.786167284115095</v>
      </c>
      <c r="AJ5034">
        <v>97.582219725840403</v>
      </c>
      <c r="AK5034">
        <v>22.887142861202801</v>
      </c>
      <c r="AL5034">
        <v>87.882951494657107</v>
      </c>
      <c r="AM5034">
        <v>88.601772292529404</v>
      </c>
      <c r="AN5034">
        <v>1.0000000056135401</v>
      </c>
    </row>
    <row r="5035" spans="1:40" x14ac:dyDescent="0.25">
      <c r="A5035" t="str">
        <f>"20190312154357140"</f>
        <v>20190312154357140</v>
      </c>
      <c r="B5035" t="str">
        <f>"1552376637132522"</f>
        <v>1552376637132522</v>
      </c>
      <c r="C5035" t="s">
        <v>40</v>
      </c>
      <c r="D5035">
        <v>4.7783629999999997</v>
      </c>
      <c r="E5035">
        <v>0.44170039999999999</v>
      </c>
      <c r="F5035" t="s">
        <v>43</v>
      </c>
      <c r="G5035">
        <v>-398.06310000000002</v>
      </c>
      <c r="H5035" s="1">
        <v>-2.602452E-6</v>
      </c>
      <c r="I5035">
        <v>132.26</v>
      </c>
      <c r="J5035">
        <v>-376.24720000000002</v>
      </c>
      <c r="K5035">
        <v>1.1124240000000001</v>
      </c>
      <c r="L5035">
        <v>139.0333</v>
      </c>
      <c r="M5035">
        <v>-0.98564850000000004</v>
      </c>
      <c r="N5035">
        <v>0</v>
      </c>
      <c r="O5035">
        <v>-0.1681945</v>
      </c>
      <c r="P5035">
        <v>-0.98928850000000002</v>
      </c>
      <c r="Q5035">
        <v>2.2523359999999999E-2</v>
      </c>
      <c r="R5035">
        <v>-0.1442273</v>
      </c>
      <c r="S5035">
        <v>-2.90625</v>
      </c>
      <c r="T5035">
        <v>-0.1460735</v>
      </c>
      <c r="U5035">
        <v>-0.89668269999999906</v>
      </c>
      <c r="V5035">
        <v>2.4067169999999999E-2</v>
      </c>
      <c r="W5035">
        <v>3.7046370000000002E-2</v>
      </c>
      <c r="X5035">
        <v>0.99902369999999996</v>
      </c>
      <c r="Y5035">
        <v>-0.12992819999999999</v>
      </c>
      <c r="Z5035">
        <v>4.9871840000000004E-3</v>
      </c>
      <c r="AA5035">
        <v>0.99151089999999997</v>
      </c>
      <c r="AB5035">
        <v>31</v>
      </c>
      <c r="AC5035">
        <v>-21.815899999999999</v>
      </c>
      <c r="AD5035">
        <v>-1.112426602452</v>
      </c>
      <c r="AE5035">
        <v>-6.7732999999999999</v>
      </c>
      <c r="AF5035">
        <v>-2.9999762648745101</v>
      </c>
      <c r="AG5035">
        <v>-1.112426602452</v>
      </c>
      <c r="AH5035">
        <v>22.590817132910399</v>
      </c>
      <c r="AI5035">
        <v>92.794611766556898</v>
      </c>
      <c r="AJ5035">
        <v>97.564407307845002</v>
      </c>
      <c r="AK5035">
        <v>22.816274219693501</v>
      </c>
      <c r="AL5035">
        <v>87.876913547552505</v>
      </c>
      <c r="AM5035">
        <v>88.619972082624997</v>
      </c>
      <c r="AN5035">
        <v>1.0000000076818301</v>
      </c>
    </row>
    <row r="5036" spans="1:40" x14ac:dyDescent="0.25">
      <c r="A5036" t="str">
        <f>"20190312154357162"</f>
        <v>20190312154357162</v>
      </c>
      <c r="B5036" t="str">
        <f>"1552376637153032"</f>
        <v>1552376637153032</v>
      </c>
      <c r="C5036" t="s">
        <v>40</v>
      </c>
      <c r="D5036">
        <v>4.7834810000000001</v>
      </c>
      <c r="E5036">
        <v>0.4419168</v>
      </c>
      <c r="F5036" t="s">
        <v>43</v>
      </c>
      <c r="G5036">
        <v>-398.36770000000001</v>
      </c>
      <c r="H5036" s="1">
        <v>-2.5233410000000001E-6</v>
      </c>
      <c r="I5036">
        <v>132.1679</v>
      </c>
      <c r="J5036">
        <v>-376.55130000000003</v>
      </c>
      <c r="K5036">
        <v>1.1123339999999999</v>
      </c>
      <c r="L5036">
        <v>138.97919999999999</v>
      </c>
      <c r="M5036">
        <v>-0.98530819999999997</v>
      </c>
      <c r="N5036">
        <v>0</v>
      </c>
      <c r="O5036">
        <v>-0.17017560000000001</v>
      </c>
      <c r="P5036">
        <v>-0.98900359999999998</v>
      </c>
      <c r="Q5036">
        <v>2.2975849999999999E-2</v>
      </c>
      <c r="R5036">
        <v>-0.1460957</v>
      </c>
      <c r="S5036">
        <v>-2.9043580000000002</v>
      </c>
      <c r="T5036">
        <v>-0.14605889999999999</v>
      </c>
      <c r="U5036">
        <v>-0.90139769999999997</v>
      </c>
      <c r="V5036">
        <v>2.4193659999999999E-2</v>
      </c>
      <c r="W5036">
        <v>3.7486650000000003E-2</v>
      </c>
      <c r="X5036">
        <v>0.99900420000000001</v>
      </c>
      <c r="Y5036">
        <v>-0.12958829999999999</v>
      </c>
      <c r="Z5036">
        <v>5.0916759999999998E-3</v>
      </c>
      <c r="AA5036">
        <v>0.99155479999999996</v>
      </c>
      <c r="AB5036">
        <v>31</v>
      </c>
      <c r="AC5036">
        <v>-21.816399999999899</v>
      </c>
      <c r="AD5036">
        <v>-1.1123365233410001</v>
      </c>
      <c r="AE5036">
        <v>-6.8112999999999797</v>
      </c>
      <c r="AF5036">
        <v>-2.99183592551439</v>
      </c>
      <c r="AG5036">
        <v>-1.1123365233410001</v>
      </c>
      <c r="AH5036">
        <v>22.603809723806901</v>
      </c>
      <c r="AI5036">
        <v>92.792940737816394</v>
      </c>
      <c r="AJ5036">
        <v>97.539831831729501</v>
      </c>
      <c r="AK5036">
        <v>22.8280658133015</v>
      </c>
      <c r="AL5036">
        <v>87.851669781756399</v>
      </c>
      <c r="AM5036">
        <v>88.612694818559305</v>
      </c>
      <c r="AN5036">
        <v>0.999999986865028</v>
      </c>
    </row>
    <row r="5037" spans="1:40" x14ac:dyDescent="0.25">
      <c r="A5037" t="str">
        <f>"20190312154357184"</f>
        <v>20190312154357184</v>
      </c>
      <c r="B5037" t="str">
        <f>"1552376637172537"</f>
        <v>1552376637172537</v>
      </c>
      <c r="C5037" t="s">
        <v>40</v>
      </c>
      <c r="D5037">
        <v>4.8038980000000002</v>
      </c>
      <c r="E5037">
        <v>0.4422855</v>
      </c>
      <c r="F5037" t="s">
        <v>43</v>
      </c>
      <c r="G5037">
        <v>-398.86720000000003</v>
      </c>
      <c r="H5037" s="1">
        <v>-2.3924429999999999E-6</v>
      </c>
      <c r="I5037">
        <v>132.02099999999999</v>
      </c>
      <c r="J5037">
        <v>-376.84859999999998</v>
      </c>
      <c r="K5037">
        <v>1.112236</v>
      </c>
      <c r="L5037">
        <v>138.92580000000001</v>
      </c>
      <c r="M5037">
        <v>-0.98499190000000003</v>
      </c>
      <c r="N5037">
        <v>0</v>
      </c>
      <c r="O5037">
        <v>-0.17199829999999999</v>
      </c>
      <c r="P5037">
        <v>-0.98874879999999998</v>
      </c>
      <c r="Q5037">
        <v>2.3348529999999999E-2</v>
      </c>
      <c r="R5037">
        <v>-0.14775150000000001</v>
      </c>
      <c r="S5037">
        <v>-2.9030149999999999</v>
      </c>
      <c r="T5037">
        <v>-0.1447011</v>
      </c>
      <c r="U5037">
        <v>-0.90516660000000004</v>
      </c>
      <c r="V5037">
        <v>2.4375560000000001E-2</v>
      </c>
      <c r="W5037">
        <v>3.7847369999999998E-2</v>
      </c>
      <c r="X5037">
        <v>0.99898620000000005</v>
      </c>
      <c r="Y5037">
        <v>-0.12905899999999901</v>
      </c>
      <c r="Z5037">
        <v>5.1448910000000004E-3</v>
      </c>
      <c r="AA5037">
        <v>0.99162360000000005</v>
      </c>
      <c r="AB5037">
        <v>31</v>
      </c>
      <c r="AC5037">
        <v>-22.018599999999999</v>
      </c>
      <c r="AD5037">
        <v>-1.1122383924429999</v>
      </c>
      <c r="AE5037">
        <v>-6.9047999999999901</v>
      </c>
      <c r="AF5037">
        <v>-3.00733657613686</v>
      </c>
      <c r="AG5037">
        <v>-1.1122383924429999</v>
      </c>
      <c r="AH5037">
        <v>22.825104214253098</v>
      </c>
      <c r="AI5037">
        <v>92.765877718733904</v>
      </c>
      <c r="AJ5037">
        <v>97.505809758566201</v>
      </c>
      <c r="AK5037">
        <v>23.049219724652499</v>
      </c>
      <c r="AL5037">
        <v>87.830987419699596</v>
      </c>
      <c r="AM5037">
        <v>88.602243314023497</v>
      </c>
      <c r="AN5037">
        <v>1.0000000095658299</v>
      </c>
    </row>
    <row r="5038" spans="1:40" x14ac:dyDescent="0.25">
      <c r="A5038" t="str">
        <f>"20190312154357209"</f>
        <v>20190312154357209</v>
      </c>
      <c r="B5038" t="str">
        <f>"1552376637202794"</f>
        <v>1552376637202794</v>
      </c>
      <c r="C5038" t="s">
        <v>40</v>
      </c>
      <c r="D5038">
        <v>4.8206920000000002</v>
      </c>
      <c r="E5038">
        <v>0.4428725</v>
      </c>
      <c r="F5038" t="s">
        <v>43</v>
      </c>
      <c r="G5038">
        <v>-399.21179999999998</v>
      </c>
      <c r="H5038" s="1">
        <v>-2.2982619999999999E-6</v>
      </c>
      <c r="I5038">
        <v>131.9342</v>
      </c>
      <c r="J5038">
        <v>-377.15649999999999</v>
      </c>
      <c r="K5038">
        <v>1.1121289999999999</v>
      </c>
      <c r="L5038">
        <v>138.87010000000001</v>
      </c>
      <c r="M5038">
        <v>-0.98468180000000005</v>
      </c>
      <c r="N5038">
        <v>0</v>
      </c>
      <c r="O5038">
        <v>-0.17376529999999901</v>
      </c>
      <c r="P5038">
        <v>-0.9886201</v>
      </c>
      <c r="Q5038">
        <v>2.324362E-2</v>
      </c>
      <c r="R5038">
        <v>-0.14862790000000001</v>
      </c>
      <c r="S5038">
        <v>-2.9019469999999998</v>
      </c>
      <c r="T5038">
        <v>-0.14432929999999999</v>
      </c>
      <c r="U5038">
        <v>-0.90725710000000004</v>
      </c>
      <c r="V5038">
        <v>2.5293699999999999E-2</v>
      </c>
      <c r="W5038">
        <v>3.773253E-2</v>
      </c>
      <c r="X5038">
        <v>0.99896770000000001</v>
      </c>
      <c r="Y5038">
        <v>-0.12803709999999999</v>
      </c>
      <c r="Z5038">
        <v>5.2413190000000004E-3</v>
      </c>
      <c r="AA5038">
        <v>0.99175550000000001</v>
      </c>
      <c r="AB5038">
        <v>31</v>
      </c>
      <c r="AC5038">
        <v>-22.0552999999999</v>
      </c>
      <c r="AD5038">
        <v>-1.112131298262</v>
      </c>
      <c r="AE5038">
        <v>-6.9359000000000002</v>
      </c>
      <c r="AF5038">
        <v>-2.9905997857745001</v>
      </c>
      <c r="AG5038">
        <v>-1.112131298262</v>
      </c>
      <c r="AH5038">
        <v>22.8721264164089</v>
      </c>
      <c r="AI5038">
        <v>92.760291390660001</v>
      </c>
      <c r="AJ5038">
        <v>97.449336324962005</v>
      </c>
      <c r="AK5038">
        <v>23.0936071221332</v>
      </c>
      <c r="AL5038">
        <v>87.837571928725296</v>
      </c>
      <c r="AM5038">
        <v>88.549590060462194</v>
      </c>
      <c r="AN5038">
        <v>0.99999999036159004</v>
      </c>
    </row>
    <row r="5039" spans="1:40" x14ac:dyDescent="0.25">
      <c r="A5039" t="str">
        <f>"20190312154357231"</f>
        <v>20190312154357231</v>
      </c>
      <c r="B5039" t="str">
        <f>"1552376637222313"</f>
        <v>1552376637222313</v>
      </c>
      <c r="C5039" t="s">
        <v>40</v>
      </c>
      <c r="D5039">
        <v>4.8046989999999896</v>
      </c>
      <c r="E5039">
        <v>0.44323889999999999</v>
      </c>
      <c r="F5039" t="s">
        <v>43</v>
      </c>
      <c r="G5039">
        <v>-399.14440000000002</v>
      </c>
      <c r="H5039" s="1">
        <v>-2.3008169999999999E-6</v>
      </c>
      <c r="I5039">
        <v>132.01079999999999</v>
      </c>
      <c r="J5039">
        <v>-377.47300000000001</v>
      </c>
      <c r="K5039">
        <v>1.11202</v>
      </c>
      <c r="L5039">
        <v>138.81229999999999</v>
      </c>
      <c r="M5039">
        <v>-0.98438349999999997</v>
      </c>
      <c r="N5039">
        <v>0</v>
      </c>
      <c r="O5039">
        <v>-0.17544849999999901</v>
      </c>
      <c r="P5039">
        <v>-0.98845369999999999</v>
      </c>
      <c r="Q5039">
        <v>2.3175540000000001E-2</v>
      </c>
      <c r="R5039">
        <v>-0.14974189999999901</v>
      </c>
      <c r="S5039">
        <v>-2.9018860000000002</v>
      </c>
      <c r="T5039">
        <v>-0.1467755</v>
      </c>
      <c r="U5039">
        <v>-0.90525820000000001</v>
      </c>
      <c r="V5039">
        <v>2.588646E-2</v>
      </c>
      <c r="W5039">
        <v>3.7652480000000002E-2</v>
      </c>
      <c r="X5039">
        <v>0.9989555</v>
      </c>
      <c r="Y5039">
        <v>-0.12573099999999901</v>
      </c>
      <c r="Z5039">
        <v>5.4687919999999897E-3</v>
      </c>
      <c r="AA5039">
        <v>0.99204930000000002</v>
      </c>
      <c r="AB5039">
        <v>31</v>
      </c>
      <c r="AC5039">
        <v>-21.671399999999998</v>
      </c>
      <c r="AD5039">
        <v>-1.112022300817</v>
      </c>
      <c r="AE5039">
        <v>-6.8014999999999999</v>
      </c>
      <c r="AF5039">
        <v>-2.88645057389936</v>
      </c>
      <c r="AG5039">
        <v>-1.112022300817</v>
      </c>
      <c r="AH5039">
        <v>22.474742708302301</v>
      </c>
      <c r="AI5039">
        <v>92.809574778406102</v>
      </c>
      <c r="AJ5039">
        <v>97.318483605042502</v>
      </c>
      <c r="AK5039">
        <v>22.686609493652099</v>
      </c>
      <c r="AL5039">
        <v>87.842161640118206</v>
      </c>
      <c r="AM5039">
        <v>88.515596493898897</v>
      </c>
      <c r="AN5039">
        <v>0.99999995452086399</v>
      </c>
    </row>
    <row r="5040" spans="1:40" x14ac:dyDescent="0.25">
      <c r="A5040" t="str">
        <f>"20190312154357253"</f>
        <v>20190312154357253</v>
      </c>
      <c r="B5040" t="str">
        <f>"1552376637242811"</f>
        <v>1552376637242811</v>
      </c>
      <c r="C5040" t="s">
        <v>40</v>
      </c>
      <c r="D5040">
        <v>4.8389360000000003</v>
      </c>
      <c r="E5040">
        <v>0.44350650000000003</v>
      </c>
      <c r="F5040" t="s">
        <v>43</v>
      </c>
      <c r="G5040">
        <v>-399.25170000000003</v>
      </c>
      <c r="H5040" s="1">
        <v>-2.263884E-6</v>
      </c>
      <c r="I5040">
        <v>132.01240000000001</v>
      </c>
      <c r="J5040">
        <v>-377.7826</v>
      </c>
      <c r="K5040">
        <v>1.111918</v>
      </c>
      <c r="L5040">
        <v>138.75540000000001</v>
      </c>
      <c r="M5040">
        <v>-0.98410980000000003</v>
      </c>
      <c r="N5040">
        <v>0</v>
      </c>
      <c r="O5040">
        <v>-0.17697779999999999</v>
      </c>
      <c r="P5040">
        <v>-0.98829909999999999</v>
      </c>
      <c r="Q5040">
        <v>2.2963839999999999E-2</v>
      </c>
      <c r="R5040">
        <v>-0.1507907</v>
      </c>
      <c r="S5040">
        <v>-2.9012760000000002</v>
      </c>
      <c r="T5040">
        <v>-0.14813999999999999</v>
      </c>
      <c r="U5040">
        <v>-0.90585329999999997</v>
      </c>
      <c r="V5040">
        <v>2.6389260000000001E-2</v>
      </c>
      <c r="W5040">
        <v>3.7429469999999999E-2</v>
      </c>
      <c r="X5040">
        <v>0.99895080000000003</v>
      </c>
      <c r="Y5040">
        <v>-0.12443849999999999</v>
      </c>
      <c r="Z5040">
        <v>5.6269930000000003E-3</v>
      </c>
      <c r="AA5040">
        <v>0.99221130000000002</v>
      </c>
      <c r="AB5040">
        <v>31</v>
      </c>
      <c r="AC5040">
        <v>-21.469100000000001</v>
      </c>
      <c r="AD5040">
        <v>-1.111920263884</v>
      </c>
      <c r="AE5040">
        <v>-6.7429999999999897</v>
      </c>
      <c r="AF5040">
        <v>-2.82968280423436</v>
      </c>
      <c r="AG5040">
        <v>-1.111920263884</v>
      </c>
      <c r="AH5040">
        <v>22.269249923967401</v>
      </c>
      <c r="AI5040">
        <v>92.835684037531806</v>
      </c>
      <c r="AJ5040">
        <v>97.241584834067496</v>
      </c>
      <c r="AK5040">
        <v>22.4758306547708</v>
      </c>
      <c r="AL5040">
        <v>87.8549483468951</v>
      </c>
      <c r="AM5040">
        <v>88.486770668294596</v>
      </c>
      <c r="AN5040">
        <v>1.00000002954423</v>
      </c>
    </row>
    <row r="5041" spans="1:40" x14ac:dyDescent="0.25">
      <c r="A5041" t="str">
        <f>"20190312154357276"</f>
        <v>20190312154357276</v>
      </c>
      <c r="B5041" t="str">
        <f>"1552376637262330"</f>
        <v>1552376637262330</v>
      </c>
      <c r="C5041" t="s">
        <v>40</v>
      </c>
      <c r="D5041">
        <v>4.8645610000000001</v>
      </c>
      <c r="E5041">
        <v>0.44385000000000002</v>
      </c>
      <c r="F5041" t="s">
        <v>43</v>
      </c>
      <c r="G5041">
        <v>-399.36509999999998</v>
      </c>
      <c r="H5041" s="1">
        <v>-2.2270730000000001E-6</v>
      </c>
      <c r="I5041">
        <v>132.00559999999999</v>
      </c>
      <c r="J5041">
        <v>-378.08199999999999</v>
      </c>
      <c r="K5041">
        <v>1.111836</v>
      </c>
      <c r="L5041">
        <v>138.69990000000001</v>
      </c>
      <c r="M5041">
        <v>-0.98385739999999999</v>
      </c>
      <c r="N5041">
        <v>0</v>
      </c>
      <c r="O5041">
        <v>-0.1783759</v>
      </c>
      <c r="P5041">
        <v>-0.9882206</v>
      </c>
      <c r="Q5041">
        <v>2.3111530000000002E-2</v>
      </c>
      <c r="R5041">
        <v>-0.151281</v>
      </c>
      <c r="S5041">
        <v>-2.9005740000000002</v>
      </c>
      <c r="T5041">
        <v>-0.1494365</v>
      </c>
      <c r="U5041">
        <v>-0.90711980000000003</v>
      </c>
      <c r="V5041">
        <v>2.7319699999999999E-2</v>
      </c>
      <c r="W5041">
        <v>3.7568610000000002E-2</v>
      </c>
      <c r="X5041">
        <v>0.99892060000000005</v>
      </c>
      <c r="Y5041">
        <v>-0.12349549999999999</v>
      </c>
      <c r="Z5041">
        <v>5.7692730000000001E-3</v>
      </c>
      <c r="AA5041">
        <v>0.99232830000000005</v>
      </c>
      <c r="AB5041">
        <v>31</v>
      </c>
      <c r="AC5041">
        <v>-21.283099999999902</v>
      </c>
      <c r="AD5041">
        <v>-1.1118382270730001</v>
      </c>
      <c r="AE5041">
        <v>-6.6943000000000197</v>
      </c>
      <c r="AF5041">
        <v>-2.7832210065963201</v>
      </c>
      <c r="AG5041">
        <v>-1.1118382270730001</v>
      </c>
      <c r="AH5041">
        <v>22.0810889624575</v>
      </c>
      <c r="AI5041">
        <v>92.859960562654905</v>
      </c>
      <c r="AJ5041">
        <v>97.183987617523002</v>
      </c>
      <c r="AK5041">
        <v>22.2835588087429</v>
      </c>
      <c r="AL5041">
        <v>87.846970679388605</v>
      </c>
      <c r="AM5041">
        <v>88.433395596428397</v>
      </c>
      <c r="AN5041">
        <v>1.00000006578488</v>
      </c>
    </row>
    <row r="5042" spans="1:40" x14ac:dyDescent="0.25">
      <c r="A5042" t="str">
        <f>"20190312154357296"</f>
        <v>20190312154357296</v>
      </c>
      <c r="B5042" t="str">
        <f>"1552376637292586"</f>
        <v>1552376637292586</v>
      </c>
      <c r="C5042" t="s">
        <v>40</v>
      </c>
      <c r="D5042">
        <v>4.8558849999999998</v>
      </c>
      <c r="E5042">
        <v>0.44427319999999998</v>
      </c>
      <c r="F5042" t="s">
        <v>43</v>
      </c>
      <c r="G5042">
        <v>-399.64479999999998</v>
      </c>
      <c r="H5042" s="1">
        <v>-2.1428559999999999E-6</v>
      </c>
      <c r="I5042">
        <v>131.96440000000001</v>
      </c>
      <c r="J5042">
        <v>-378.37970000000001</v>
      </c>
      <c r="K5042">
        <v>1.111772</v>
      </c>
      <c r="L5042">
        <v>138.64449999999999</v>
      </c>
      <c r="M5042">
        <v>-0.98361750000000003</v>
      </c>
      <c r="N5042">
        <v>0</v>
      </c>
      <c r="O5042">
        <v>-0.1796943</v>
      </c>
      <c r="P5042">
        <v>-0.98817619999999895</v>
      </c>
      <c r="Q5042">
        <v>2.2728370000000001E-2</v>
      </c>
      <c r="R5042">
        <v>-0.1516303</v>
      </c>
      <c r="S5042">
        <v>-2.9005429999999999</v>
      </c>
      <c r="T5042">
        <v>-0.14956069999999999</v>
      </c>
      <c r="U5042">
        <v>-0.90602110000000002</v>
      </c>
      <c r="V5042">
        <v>2.8315110000000001E-2</v>
      </c>
      <c r="W5042">
        <v>3.7177880000000003E-2</v>
      </c>
      <c r="X5042">
        <v>0.9989074</v>
      </c>
      <c r="Y5042">
        <v>-0.1218296</v>
      </c>
      <c r="Z5042">
        <v>5.8810859999999998E-3</v>
      </c>
      <c r="AA5042">
        <v>0.99253360000000002</v>
      </c>
      <c r="AB5042">
        <v>31</v>
      </c>
      <c r="AC5042">
        <v>-21.265099999999901</v>
      </c>
      <c r="AD5042">
        <v>-1.111774142856</v>
      </c>
      <c r="AE5042">
        <v>-6.6800999999999799</v>
      </c>
      <c r="AF5042">
        <v>-2.7429060452726199</v>
      </c>
      <c r="AG5042">
        <v>-1.111774142856</v>
      </c>
      <c r="AH5042">
        <v>22.064491649867499</v>
      </c>
      <c r="AI5042">
        <v>92.862553699983806</v>
      </c>
      <c r="AJ5042">
        <v>97.086263851960794</v>
      </c>
      <c r="AK5042">
        <v>22.262106079277199</v>
      </c>
      <c r="AL5042">
        <v>87.869373298554294</v>
      </c>
      <c r="AM5042">
        <v>88.376323978673597</v>
      </c>
      <c r="AN5042">
        <v>0.99999996699518201</v>
      </c>
    </row>
    <row r="5043" spans="1:40" x14ac:dyDescent="0.25">
      <c r="A5043" t="str">
        <f>"20190312154357318"</f>
        <v>20190312154357318</v>
      </c>
      <c r="B5043" t="str">
        <f>"1552376637313081"</f>
        <v>1552376637313081</v>
      </c>
      <c r="C5043" t="s">
        <v>40</v>
      </c>
      <c r="D5043">
        <v>4.8445879999999999</v>
      </c>
      <c r="E5043">
        <v>0.44454389999999999</v>
      </c>
      <c r="F5043" t="s">
        <v>43</v>
      </c>
      <c r="G5043">
        <v>-399.67380000000003</v>
      </c>
      <c r="H5043" s="1">
        <v>-2.1208909999999999E-6</v>
      </c>
      <c r="I5043">
        <v>132.01</v>
      </c>
      <c r="J5043">
        <v>-378.68049999999999</v>
      </c>
      <c r="K5043">
        <v>1.1117109999999999</v>
      </c>
      <c r="L5043">
        <v>138.58799999999999</v>
      </c>
      <c r="M5043">
        <v>-0.98338510000000001</v>
      </c>
      <c r="N5043">
        <v>0</v>
      </c>
      <c r="O5043">
        <v>-0.18096219999999999</v>
      </c>
      <c r="P5043">
        <v>-0.98808410000000002</v>
      </c>
      <c r="Q5043">
        <v>2.2724640000000001E-2</v>
      </c>
      <c r="R5043">
        <v>-0.15222920000000001</v>
      </c>
      <c r="S5043">
        <v>-2.9006959999999999</v>
      </c>
      <c r="T5043">
        <v>-0.15144730000000001</v>
      </c>
      <c r="U5043">
        <v>-0.90374759999999998</v>
      </c>
      <c r="V5043">
        <v>2.9003190000000002E-2</v>
      </c>
      <c r="W5043">
        <v>3.7165499999999997E-2</v>
      </c>
      <c r="X5043">
        <v>0.99888809999999995</v>
      </c>
      <c r="Y5043">
        <v>-0.1198316</v>
      </c>
      <c r="Z5043">
        <v>6.0695749999999998E-3</v>
      </c>
      <c r="AA5043">
        <v>0.99277570000000004</v>
      </c>
      <c r="AB5043">
        <v>31</v>
      </c>
      <c r="AC5043">
        <v>-20.993300000000001</v>
      </c>
      <c r="AD5043">
        <v>-1.1117131208910001</v>
      </c>
      <c r="AE5043">
        <v>-6.5780000000000003</v>
      </c>
      <c r="AF5043">
        <v>-2.6631883518314998</v>
      </c>
      <c r="AG5043">
        <v>-1.1117131208910001</v>
      </c>
      <c r="AH5043">
        <v>21.781500875831998</v>
      </c>
      <c r="AI5043">
        <v>92.900241662182694</v>
      </c>
      <c r="AJ5043">
        <v>96.970861218719804</v>
      </c>
      <c r="AK5043">
        <v>21.971851507425601</v>
      </c>
      <c r="AL5043">
        <v>87.870083070131997</v>
      </c>
      <c r="AM5043">
        <v>88.336857123169906</v>
      </c>
      <c r="AN5043">
        <v>0.99999994787101598</v>
      </c>
    </row>
    <row r="5044" spans="1:40" x14ac:dyDescent="0.25">
      <c r="A5044" t="str">
        <f>"20190312154357341"</f>
        <v>20190312154357341</v>
      </c>
      <c r="B5044" t="str">
        <f>"1552376637332602"</f>
        <v>1552376637332602</v>
      </c>
      <c r="C5044" t="s">
        <v>40</v>
      </c>
      <c r="D5044">
        <v>4.9408159999999999</v>
      </c>
      <c r="E5044">
        <v>0.44476290000000002</v>
      </c>
      <c r="F5044" t="s">
        <v>43</v>
      </c>
      <c r="G5044">
        <v>-399.95690000000002</v>
      </c>
      <c r="H5044" s="1">
        <v>-2.038052E-6</v>
      </c>
      <c r="I5044">
        <v>131.95920000000001</v>
      </c>
      <c r="J5044">
        <v>-378.98320000000001</v>
      </c>
      <c r="K5044">
        <v>1.111653</v>
      </c>
      <c r="L5044">
        <v>138.5309</v>
      </c>
      <c r="M5044">
        <v>-0.98315909999999995</v>
      </c>
      <c r="N5044">
        <v>0</v>
      </c>
      <c r="O5044">
        <v>-0.18218619999999999</v>
      </c>
      <c r="P5044">
        <v>-0.98798549999999996</v>
      </c>
      <c r="Q5044">
        <v>2.2468439999999999E-2</v>
      </c>
      <c r="R5044">
        <v>-0.1529037</v>
      </c>
      <c r="S5044">
        <v>-2.9004210000000001</v>
      </c>
      <c r="T5044">
        <v>-0.1515505</v>
      </c>
      <c r="U5044">
        <v>-0.90364069999999996</v>
      </c>
      <c r="V5044">
        <v>2.9571799999999999E-2</v>
      </c>
      <c r="W5044">
        <v>3.6901030000000001E-2</v>
      </c>
      <c r="X5044">
        <v>0.99888129999999997</v>
      </c>
      <c r="Y5044">
        <v>-0.11859210000000001</v>
      </c>
      <c r="Z5044">
        <v>6.1667090000000003E-3</v>
      </c>
      <c r="AA5044">
        <v>0.99292389999999997</v>
      </c>
      <c r="AB5044">
        <v>31</v>
      </c>
      <c r="AC5044">
        <v>-20.973700000000001</v>
      </c>
      <c r="AD5044">
        <v>-1.1116550380520001</v>
      </c>
      <c r="AE5044">
        <v>-6.5716999999999901</v>
      </c>
      <c r="AF5044">
        <v>-2.63344377861829</v>
      </c>
      <c r="AG5044">
        <v>-1.1116550380520001</v>
      </c>
      <c r="AH5044">
        <v>21.764333302160601</v>
      </c>
      <c r="AI5044">
        <v>92.902815218351606</v>
      </c>
      <c r="AJ5044">
        <v>96.899143933786306</v>
      </c>
      <c r="AK5044">
        <v>21.951241585530202</v>
      </c>
      <c r="AL5044">
        <v>87.8852466281933</v>
      </c>
      <c r="AM5044">
        <v>88.304258383034806</v>
      </c>
      <c r="AN5044">
        <v>1.0000000144299901</v>
      </c>
    </row>
    <row r="5045" spans="1:40" x14ac:dyDescent="0.25">
      <c r="A5045" t="str">
        <f>"20190312154357363"</f>
        <v>20190312154357363</v>
      </c>
      <c r="B5045" t="str">
        <f>"1552376637353097"</f>
        <v>1552376637353097</v>
      </c>
      <c r="C5045" t="s">
        <v>40</v>
      </c>
      <c r="D5045">
        <v>4.9235730000000002</v>
      </c>
      <c r="E5045">
        <v>0.44487749999999998</v>
      </c>
      <c r="F5045" t="s">
        <v>43</v>
      </c>
      <c r="G5045">
        <v>-399.9418</v>
      </c>
      <c r="H5045" s="1">
        <v>-2.0332790000000001E-6</v>
      </c>
      <c r="I5045">
        <v>131.99639999999999</v>
      </c>
      <c r="J5045">
        <v>-379.29109999999997</v>
      </c>
      <c r="K5045">
        <v>1.1116029999999999</v>
      </c>
      <c r="L5045">
        <v>138.4725</v>
      </c>
      <c r="M5045">
        <v>-0.98293509999999995</v>
      </c>
      <c r="N5045">
        <v>0</v>
      </c>
      <c r="O5045">
        <v>-0.18339220000000001</v>
      </c>
      <c r="P5045">
        <v>-0.98794979999999999</v>
      </c>
      <c r="Q5045">
        <v>2.2256640000000001E-2</v>
      </c>
      <c r="R5045">
        <v>-0.15316830000000001</v>
      </c>
      <c r="S5045">
        <v>-2.9000849999999998</v>
      </c>
      <c r="T5045">
        <v>-0.1538224</v>
      </c>
      <c r="U5045">
        <v>-0.9041901</v>
      </c>
      <c r="V5045">
        <v>3.053608E-2</v>
      </c>
      <c r="W5045">
        <v>3.6682310000000003E-2</v>
      </c>
      <c r="X5045">
        <v>0.99886030000000003</v>
      </c>
      <c r="Y5045">
        <v>-0.1175831</v>
      </c>
      <c r="Z5045">
        <v>6.3464200000000002E-3</v>
      </c>
      <c r="AA5045">
        <v>0.9930428</v>
      </c>
      <c r="AB5045">
        <v>31</v>
      </c>
      <c r="AC5045">
        <v>-20.650700000000001</v>
      </c>
      <c r="AD5045">
        <v>-1.111605033279</v>
      </c>
      <c r="AE5045">
        <v>-6.4760999999999997</v>
      </c>
      <c r="AF5045">
        <v>-2.5718892561379199</v>
      </c>
      <c r="AG5045">
        <v>-1.111605033279</v>
      </c>
      <c r="AH5045">
        <v>21.431637385396801</v>
      </c>
      <c r="AI5045">
        <v>92.948013443388405</v>
      </c>
      <c r="AJ5045">
        <v>96.843017904747299</v>
      </c>
      <c r="AK5045">
        <v>21.614008446259799</v>
      </c>
      <c r="AL5045">
        <v>87.897786760873103</v>
      </c>
      <c r="AM5045">
        <v>88.248960572267293</v>
      </c>
      <c r="AN5045">
        <v>0.99999997148239494</v>
      </c>
    </row>
    <row r="5046" spans="1:40" x14ac:dyDescent="0.25">
      <c r="A5046" t="str">
        <f>"20190312154357386"</f>
        <v>20190312154357386</v>
      </c>
      <c r="B5046" t="str">
        <f>"1552376637382377"</f>
        <v>1552376637382377</v>
      </c>
      <c r="C5046" t="s">
        <v>40</v>
      </c>
      <c r="D5046">
        <v>4.9593360000000004</v>
      </c>
      <c r="E5046">
        <v>0.44502009999999997</v>
      </c>
      <c r="F5046" t="s">
        <v>43</v>
      </c>
      <c r="G5046">
        <v>-399.80329999999998</v>
      </c>
      <c r="H5046" s="1">
        <v>-2.0594589999999999E-6</v>
      </c>
      <c r="I5046">
        <v>132.07509999999999</v>
      </c>
      <c r="J5046">
        <v>-379.58789999999999</v>
      </c>
      <c r="K5046">
        <v>1.111561</v>
      </c>
      <c r="L5046">
        <v>138.41589999999999</v>
      </c>
      <c r="M5046">
        <v>-0.98272230000000005</v>
      </c>
      <c r="N5046">
        <v>0</v>
      </c>
      <c r="O5046">
        <v>-0.1845292</v>
      </c>
      <c r="P5046">
        <v>-0.98798810000000004</v>
      </c>
      <c r="Q5046">
        <v>2.1758070000000001E-2</v>
      </c>
      <c r="R5046">
        <v>-0.1529914</v>
      </c>
      <c r="S5046">
        <v>-2.8998719999999998</v>
      </c>
      <c r="T5046">
        <v>-0.15715119999999999</v>
      </c>
      <c r="U5046">
        <v>-0.90440370000000003</v>
      </c>
      <c r="V5046">
        <v>3.1877570000000001E-2</v>
      </c>
      <c r="W5046">
        <v>3.6179099999999999E-2</v>
      </c>
      <c r="X5046">
        <v>0.99883679999999997</v>
      </c>
      <c r="Y5046">
        <v>-0.11652800000000001</v>
      </c>
      <c r="Z5046">
        <v>6.5703890000000003E-3</v>
      </c>
      <c r="AA5046">
        <v>0.99316570000000004</v>
      </c>
      <c r="AB5046">
        <v>31</v>
      </c>
      <c r="AC5046">
        <v>-20.215399999999899</v>
      </c>
      <c r="AD5046">
        <v>-1.111563059459</v>
      </c>
      <c r="AE5046">
        <v>-6.3407999999999998</v>
      </c>
      <c r="AF5046">
        <v>-2.4943054979986101</v>
      </c>
      <c r="AG5046">
        <v>-1.111563059459</v>
      </c>
      <c r="AH5046">
        <v>20.980600633716499</v>
      </c>
      <c r="AI5046">
        <v>93.011556102670397</v>
      </c>
      <c r="AJ5046">
        <v>96.779859363331099</v>
      </c>
      <c r="AK5046">
        <v>21.157569220116098</v>
      </c>
      <c r="AL5046">
        <v>87.926637844165498</v>
      </c>
      <c r="AM5046">
        <v>88.1720432287146</v>
      </c>
      <c r="AN5046">
        <v>1.00000002989007</v>
      </c>
    </row>
    <row r="5047" spans="1:40" x14ac:dyDescent="0.25">
      <c r="A5047" t="str">
        <f>"20190312154357407"</f>
        <v>20190312154357407</v>
      </c>
      <c r="B5047" t="str">
        <f>"1552376637402874"</f>
        <v>1552376637402874</v>
      </c>
      <c r="C5047" t="s">
        <v>40</v>
      </c>
      <c r="D5047">
        <v>4.9610029999999998</v>
      </c>
      <c r="E5047">
        <v>0.44515310000000002</v>
      </c>
      <c r="F5047" t="s">
        <v>43</v>
      </c>
      <c r="G5047">
        <v>-399.3664</v>
      </c>
      <c r="H5047" s="1">
        <v>-2.1595569999999999E-6</v>
      </c>
      <c r="I5047">
        <v>132.2578</v>
      </c>
      <c r="J5047">
        <v>-379.88589999999999</v>
      </c>
      <c r="K5047">
        <v>1.111532</v>
      </c>
      <c r="L5047">
        <v>138.3586</v>
      </c>
      <c r="M5047">
        <v>-0.98251010000000005</v>
      </c>
      <c r="N5047">
        <v>0</v>
      </c>
      <c r="O5047">
        <v>-0.18565580000000001</v>
      </c>
      <c r="P5047">
        <v>-0.98793419999999998</v>
      </c>
      <c r="Q5047">
        <v>2.152563E-2</v>
      </c>
      <c r="R5047">
        <v>-0.15337129999999999</v>
      </c>
      <c r="S5047">
        <v>-2.9002379999999999</v>
      </c>
      <c r="T5047">
        <v>-0.16299520000000001</v>
      </c>
      <c r="U5047">
        <v>-0.90298460000000003</v>
      </c>
      <c r="V5047">
        <v>3.2642900000000002E-2</v>
      </c>
      <c r="W5047">
        <v>3.5941309999999997E-2</v>
      </c>
      <c r="X5047">
        <v>0.99882070000000001</v>
      </c>
      <c r="Y5047">
        <v>-0.11492089999999899</v>
      </c>
      <c r="Z5047">
        <v>6.9183769999999999E-3</v>
      </c>
      <c r="AA5047">
        <v>0.99335059999999997</v>
      </c>
      <c r="AB5047">
        <v>31</v>
      </c>
      <c r="AC5047">
        <v>-19.480499999999999</v>
      </c>
      <c r="AD5047">
        <v>-1.1115341595570001</v>
      </c>
      <c r="AE5047">
        <v>-6.1007999999999898</v>
      </c>
      <c r="AF5047">
        <v>-2.3706457535238701</v>
      </c>
      <c r="AG5047">
        <v>-1.1115341595570001</v>
      </c>
      <c r="AH5047">
        <v>20.214589025455101</v>
      </c>
      <c r="AI5047">
        <v>93.125958482461499</v>
      </c>
      <c r="AJ5047">
        <v>96.6887531168788</v>
      </c>
      <c r="AK5047">
        <v>20.3834511048696</v>
      </c>
      <c r="AL5047">
        <v>87.940271143693494</v>
      </c>
      <c r="AM5047">
        <v>88.128157583470795</v>
      </c>
      <c r="AN5047">
        <v>1.0000000637166999</v>
      </c>
    </row>
    <row r="5048" spans="1:40" x14ac:dyDescent="0.25">
      <c r="A5048" t="str">
        <f>"20190312154357431"</f>
        <v>20190312154357431</v>
      </c>
      <c r="B5048" t="str">
        <f>"1552376637422394"</f>
        <v>1552376637422394</v>
      </c>
      <c r="C5048" t="s">
        <v>40</v>
      </c>
      <c r="D5048">
        <v>4.943136</v>
      </c>
      <c r="E5048">
        <v>0.44525930000000002</v>
      </c>
      <c r="F5048" t="s">
        <v>43</v>
      </c>
      <c r="G5048">
        <v>-399.40699999999998</v>
      </c>
      <c r="H5048" s="1">
        <v>-2.1413280000000001E-6</v>
      </c>
      <c r="I5048">
        <v>132.27430000000001</v>
      </c>
      <c r="J5048">
        <v>-380.19049999999999</v>
      </c>
      <c r="K5048">
        <v>1.111513</v>
      </c>
      <c r="L5048">
        <v>138.2997</v>
      </c>
      <c r="M5048">
        <v>-0.98229379999999999</v>
      </c>
      <c r="N5048">
        <v>0</v>
      </c>
      <c r="O5048">
        <v>-0.1867973</v>
      </c>
      <c r="P5048">
        <v>-0.98798160000000002</v>
      </c>
      <c r="Q5048">
        <v>2.063423E-2</v>
      </c>
      <c r="R5048">
        <v>-0.1531892</v>
      </c>
      <c r="S5048">
        <v>-2.8999329999999999</v>
      </c>
      <c r="T5048">
        <v>-0.16512270000000001</v>
      </c>
      <c r="U5048">
        <v>-0.90383910000000001</v>
      </c>
      <c r="V5048">
        <v>3.399547E-2</v>
      </c>
      <c r="W5048">
        <v>3.5046380000000002E-2</v>
      </c>
      <c r="X5048">
        <v>0.99880729999999995</v>
      </c>
      <c r="Y5048">
        <v>-0.11406860000000001</v>
      </c>
      <c r="Z5048">
        <v>7.0942779999999999E-3</v>
      </c>
      <c r="AA5048">
        <v>0.99344750000000004</v>
      </c>
      <c r="AB5048">
        <v>31</v>
      </c>
      <c r="AC5048">
        <v>-19.2165</v>
      </c>
      <c r="AD5048">
        <v>-1.111515141328</v>
      </c>
      <c r="AE5048">
        <v>-6.0253999999999897</v>
      </c>
      <c r="AF5048">
        <v>-2.32228818864691</v>
      </c>
      <c r="AG5048">
        <v>-1.111515141328</v>
      </c>
      <c r="AH5048">
        <v>19.943084210239299</v>
      </c>
      <c r="AI5048">
        <v>93.168676918601804</v>
      </c>
      <c r="AJ5048">
        <v>96.641939347074</v>
      </c>
      <c r="AK5048">
        <v>20.108582649138299</v>
      </c>
      <c r="AL5048">
        <v>87.991579018628599</v>
      </c>
      <c r="AM5048">
        <v>88.050629654263801</v>
      </c>
      <c r="AN5048">
        <v>0.99999998163245696</v>
      </c>
    </row>
    <row r="5049" spans="1:40" x14ac:dyDescent="0.25">
      <c r="A5049" t="str">
        <f>"20190312154357453"</f>
        <v>20190312154357453</v>
      </c>
      <c r="B5049" t="str">
        <f>"1552376637442891"</f>
        <v>1552376637442891</v>
      </c>
      <c r="C5049" t="s">
        <v>40</v>
      </c>
      <c r="D5049">
        <v>4.949967</v>
      </c>
      <c r="E5049">
        <v>0.4453415</v>
      </c>
      <c r="F5049" t="s">
        <v>43</v>
      </c>
      <c r="G5049">
        <v>-399.18310000000002</v>
      </c>
      <c r="H5049" s="1">
        <v>-2.1871140000000002E-6</v>
      </c>
      <c r="I5049">
        <v>132.3887</v>
      </c>
      <c r="J5049">
        <v>-380.5043</v>
      </c>
      <c r="K5049">
        <v>1.1115029999999999</v>
      </c>
      <c r="L5049">
        <v>138.23869999999999</v>
      </c>
      <c r="M5049">
        <v>-0.98207</v>
      </c>
      <c r="N5049">
        <v>0</v>
      </c>
      <c r="O5049">
        <v>-0.1879702</v>
      </c>
      <c r="P5049">
        <v>-0.98788609999999999</v>
      </c>
      <c r="Q5049">
        <v>2.0021520000000001E-2</v>
      </c>
      <c r="R5049">
        <v>-0.15388360000000001</v>
      </c>
      <c r="S5049">
        <v>-2.900055</v>
      </c>
      <c r="T5049">
        <v>-0.16972209999999999</v>
      </c>
      <c r="U5049">
        <v>-0.90257259999999995</v>
      </c>
      <c r="V5049">
        <v>3.4491220000000003E-2</v>
      </c>
      <c r="W5049">
        <v>3.4429729999999999E-2</v>
      </c>
      <c r="X5049">
        <v>0.99881180000000003</v>
      </c>
      <c r="Y5049">
        <v>-0.11248470000000001</v>
      </c>
      <c r="Z5049">
        <v>7.4022509999999899E-3</v>
      </c>
      <c r="AA5049">
        <v>0.99362589999999995</v>
      </c>
      <c r="AB5049">
        <v>31</v>
      </c>
      <c r="AC5049">
        <v>-18.678799999999999</v>
      </c>
      <c r="AD5049">
        <v>-1.111505187114</v>
      </c>
      <c r="AE5049">
        <v>-5.8499999999999899</v>
      </c>
      <c r="AF5049">
        <v>-2.22709984866191</v>
      </c>
      <c r="AG5049">
        <v>-1.111505187114</v>
      </c>
      <c r="AH5049">
        <v>19.3830108273592</v>
      </c>
      <c r="AI5049">
        <v>93.260586372884106</v>
      </c>
      <c r="AJ5049">
        <v>96.5545179250622</v>
      </c>
      <c r="AK5049">
        <v>19.542173017615401</v>
      </c>
      <c r="AL5049">
        <v>88.026931897213899</v>
      </c>
      <c r="AM5049">
        <v>88.022233644674202</v>
      </c>
      <c r="AN5049">
        <v>1.0000000311921</v>
      </c>
    </row>
    <row r="5050" spans="1:40" x14ac:dyDescent="0.25">
      <c r="A5050" t="str">
        <f>"20190312154357475"</f>
        <v>20190312154357475</v>
      </c>
      <c r="B5050" t="str">
        <f>"1552376637462410"</f>
        <v>1552376637462410</v>
      </c>
      <c r="C5050" t="s">
        <v>40</v>
      </c>
      <c r="D5050">
        <v>4.9869300000000001</v>
      </c>
      <c r="E5050">
        <v>0.44543769999999999</v>
      </c>
      <c r="F5050" t="s">
        <v>43</v>
      </c>
      <c r="G5050">
        <v>-399.0489</v>
      </c>
      <c r="H5050" s="1">
        <v>-2.214519E-6</v>
      </c>
      <c r="I5050">
        <v>132.4573</v>
      </c>
      <c r="J5050">
        <v>-380.79599999999999</v>
      </c>
      <c r="K5050">
        <v>1.111497</v>
      </c>
      <c r="L5050">
        <v>138.18170000000001</v>
      </c>
      <c r="M5050">
        <v>-0.98186059999999997</v>
      </c>
      <c r="N5050">
        <v>0</v>
      </c>
      <c r="O5050">
        <v>-0.1890619</v>
      </c>
      <c r="P5050">
        <v>-0.98774249999999997</v>
      </c>
      <c r="Q5050">
        <v>1.9636500000000001E-2</v>
      </c>
      <c r="R5050">
        <v>-0.1548533</v>
      </c>
      <c r="S5050">
        <v>-2.8995060000000001</v>
      </c>
      <c r="T5050">
        <v>-0.17378850000000001</v>
      </c>
      <c r="U5050">
        <v>-0.90393069999999998</v>
      </c>
      <c r="V5050">
        <v>3.4624229999999999E-2</v>
      </c>
      <c r="W5050">
        <v>3.4040380000000002E-2</v>
      </c>
      <c r="X5050">
        <v>0.9988205</v>
      </c>
      <c r="Y5050">
        <v>-0.1118658</v>
      </c>
      <c r="Z5050">
        <v>7.6602409999999999E-3</v>
      </c>
      <c r="AA5050">
        <v>0.99369379999999996</v>
      </c>
      <c r="AB5050">
        <v>31</v>
      </c>
      <c r="AC5050">
        <v>-18.2529</v>
      </c>
      <c r="AD5050">
        <v>-1.1114992145189999</v>
      </c>
      <c r="AE5050">
        <v>-5.7244000000000002</v>
      </c>
      <c r="AF5050">
        <v>-2.1625567267696502</v>
      </c>
      <c r="AG5050">
        <v>-1.1114992145189999</v>
      </c>
      <c r="AH5050">
        <v>18.942071106112898</v>
      </c>
      <c r="AI5050">
        <v>93.336575717523104</v>
      </c>
      <c r="AJ5050">
        <v>96.513079451638305</v>
      </c>
      <c r="AK5050">
        <v>19.097490408150801</v>
      </c>
      <c r="AL5050">
        <v>88.049253008607707</v>
      </c>
      <c r="AM5050">
        <v>88.014630069307898</v>
      </c>
      <c r="AN5050">
        <v>0.99999998799694301</v>
      </c>
    </row>
    <row r="5051" spans="1:40" x14ac:dyDescent="0.25">
      <c r="A5051" t="str">
        <f>"20190312154357497"</f>
        <v>20190312154357497</v>
      </c>
      <c r="B5051" t="str">
        <f>"1552376637492667"</f>
        <v>1552376637492667</v>
      </c>
      <c r="C5051" t="s">
        <v>40</v>
      </c>
      <c r="D5051">
        <v>4.9515180000000001</v>
      </c>
      <c r="E5051">
        <v>0.44568150000000001</v>
      </c>
      <c r="F5051" t="s">
        <v>43</v>
      </c>
      <c r="G5051">
        <v>-399.0136</v>
      </c>
      <c r="H5051" s="1">
        <v>-2.2185399999999999E-6</v>
      </c>
      <c r="I5051">
        <v>132.4873</v>
      </c>
      <c r="J5051">
        <v>-381.09829999999999</v>
      </c>
      <c r="K5051">
        <v>1.11148799999999</v>
      </c>
      <c r="L5051">
        <v>138.12219999999999</v>
      </c>
      <c r="M5051">
        <v>-0.9816414</v>
      </c>
      <c r="N5051">
        <v>0</v>
      </c>
      <c r="O5051">
        <v>-0.19019620000000001</v>
      </c>
      <c r="P5051">
        <v>-0.98754810000000004</v>
      </c>
      <c r="Q5051">
        <v>1.9798699999999999E-2</v>
      </c>
      <c r="R5051">
        <v>-0.15606679999999901</v>
      </c>
      <c r="S5051">
        <v>-2.8987120000000002</v>
      </c>
      <c r="T5051">
        <v>-0.1768576</v>
      </c>
      <c r="U5051">
        <v>-0.90605159999999996</v>
      </c>
      <c r="V5051">
        <v>3.4550560000000001E-2</v>
      </c>
      <c r="W5051">
        <v>3.4197640000000001E-2</v>
      </c>
      <c r="X5051">
        <v>0.99881770000000003</v>
      </c>
      <c r="Y5051">
        <v>-0.1114643</v>
      </c>
      <c r="Z5051">
        <v>7.8738950000000005E-3</v>
      </c>
      <c r="AA5051">
        <v>0.99373719999999999</v>
      </c>
      <c r="AB5051">
        <v>31</v>
      </c>
      <c r="AC5051">
        <v>-17.915299999999998</v>
      </c>
      <c r="AD5051">
        <v>-1.11149021853999</v>
      </c>
      <c r="AE5051">
        <v>-5.6348999999999796</v>
      </c>
      <c r="AF5051">
        <v>-2.1168330235391801</v>
      </c>
      <c r="AG5051">
        <v>-1.11149021853999</v>
      </c>
      <c r="AH5051">
        <v>18.5949237753163</v>
      </c>
      <c r="AI5051">
        <v>93.398818884756096</v>
      </c>
      <c r="AJ5051">
        <v>96.494552344297801</v>
      </c>
      <c r="AK5051">
        <v>18.7480021006314</v>
      </c>
      <c r="AL5051">
        <v>88.040237465920498</v>
      </c>
      <c r="AM5051">
        <v>88.018845423202094</v>
      </c>
      <c r="AN5051">
        <v>1.00000000880558</v>
      </c>
    </row>
    <row r="5052" spans="1:40" x14ac:dyDescent="0.25">
      <c r="A5052" t="str">
        <f>"20190312154357519"</f>
        <v>20190312154357519</v>
      </c>
      <c r="B5052" t="str">
        <f>"1552376637513162"</f>
        <v>1552376637513162</v>
      </c>
      <c r="C5052" t="s">
        <v>40</v>
      </c>
      <c r="D5052">
        <v>4.9647819999999996</v>
      </c>
      <c r="E5052">
        <v>0.4458628</v>
      </c>
      <c r="F5052" t="s">
        <v>43</v>
      </c>
      <c r="G5052">
        <v>-399.3218</v>
      </c>
      <c r="H5052" s="1">
        <v>-2.1336350000000001E-6</v>
      </c>
      <c r="I5052">
        <v>132.41220000000001</v>
      </c>
      <c r="J5052">
        <v>-381.39359999999999</v>
      </c>
      <c r="K5052">
        <v>1.11148</v>
      </c>
      <c r="L5052">
        <v>138.06370000000001</v>
      </c>
      <c r="M5052">
        <v>-0.98142529999999994</v>
      </c>
      <c r="N5052">
        <v>0</v>
      </c>
      <c r="O5052">
        <v>-0.19130820000000001</v>
      </c>
      <c r="P5052">
        <v>-0.98727030000000005</v>
      </c>
      <c r="Q5052">
        <v>1.9721180000000001E-2</v>
      </c>
      <c r="R5052">
        <v>-0.15782379999999999</v>
      </c>
      <c r="S5052">
        <v>-2.897888</v>
      </c>
      <c r="T5052">
        <v>-0.17674899999999999</v>
      </c>
      <c r="U5052">
        <v>-0.90797419999999995</v>
      </c>
      <c r="V5052">
        <v>3.3905369999999997E-2</v>
      </c>
      <c r="W5052">
        <v>3.4114249999999999E-2</v>
      </c>
      <c r="X5052">
        <v>0.99884269999999997</v>
      </c>
      <c r="Y5052">
        <v>-0.1110218</v>
      </c>
      <c r="Z5052">
        <v>7.9477360000000004E-3</v>
      </c>
      <c r="AA5052">
        <v>0.99378619999999995</v>
      </c>
      <c r="AB5052">
        <v>31</v>
      </c>
      <c r="AC5052">
        <v>-17.9282</v>
      </c>
      <c r="AD5052">
        <v>-1.111482133635</v>
      </c>
      <c r="AE5052">
        <v>-5.6514999999999898</v>
      </c>
      <c r="AF5052">
        <v>-2.1095557085546099</v>
      </c>
      <c r="AG5052">
        <v>-1.111482133635</v>
      </c>
      <c r="AH5052">
        <v>18.613212895258201</v>
      </c>
      <c r="AI5052">
        <v>93.395653444263999</v>
      </c>
      <c r="AJ5052">
        <v>96.466109123136604</v>
      </c>
      <c r="AK5052">
        <v>18.765322062386598</v>
      </c>
      <c r="AL5052">
        <v>88.045018226564807</v>
      </c>
      <c r="AM5052">
        <v>88.0558610555683</v>
      </c>
      <c r="AN5052">
        <v>1.0000000477555899</v>
      </c>
    </row>
    <row r="5053" spans="1:40" x14ac:dyDescent="0.25">
      <c r="A5053" t="str">
        <f>"20190312154357542"</f>
        <v>20190312154357542</v>
      </c>
      <c r="B5053" t="str">
        <f>"1552376637532682"</f>
        <v>1552376637532682</v>
      </c>
      <c r="C5053" t="s">
        <v>40</v>
      </c>
      <c r="D5053">
        <v>4.9769569999999996</v>
      </c>
      <c r="E5053">
        <v>0.44585140000000001</v>
      </c>
      <c r="F5053" t="s">
        <v>43</v>
      </c>
      <c r="G5053">
        <v>-399.55779999999999</v>
      </c>
      <c r="H5053" s="1">
        <v>-2.071178E-6</v>
      </c>
      <c r="I5053">
        <v>132.3451</v>
      </c>
      <c r="J5053">
        <v>-381.6902</v>
      </c>
      <c r="K5053">
        <v>1.1114679999999999</v>
      </c>
      <c r="L5053">
        <v>138.00460000000001</v>
      </c>
      <c r="M5053">
        <v>-0.98120680000000005</v>
      </c>
      <c r="N5053">
        <v>0</v>
      </c>
      <c r="O5053">
        <v>-0.19242780000000001</v>
      </c>
      <c r="P5053">
        <v>-0.98701589999999995</v>
      </c>
      <c r="Q5053">
        <v>1.9314640000000001E-2</v>
      </c>
      <c r="R5053">
        <v>-0.15945799999999999</v>
      </c>
      <c r="S5053">
        <v>-2.896423</v>
      </c>
      <c r="T5053">
        <v>-0.17723539999999999</v>
      </c>
      <c r="U5053">
        <v>-0.91186520000000004</v>
      </c>
      <c r="V5053">
        <v>3.3393949999999999E-2</v>
      </c>
      <c r="W5053">
        <v>3.3702500000000003E-2</v>
      </c>
      <c r="X5053">
        <v>0.99887380000000003</v>
      </c>
      <c r="Y5053">
        <v>-0.11124870000000001</v>
      </c>
      <c r="Z5053">
        <v>8.0296209999999903E-3</v>
      </c>
      <c r="AA5053">
        <v>0.99376019999999998</v>
      </c>
      <c r="AB5053">
        <v>31</v>
      </c>
      <c r="AC5053">
        <v>-17.8675999999999</v>
      </c>
      <c r="AD5053">
        <v>-1.1114700711779999</v>
      </c>
      <c r="AE5053">
        <v>-5.6595000000000004</v>
      </c>
      <c r="AF5053">
        <v>-2.1077211645419598</v>
      </c>
      <c r="AG5053">
        <v>-1.1114700711779999</v>
      </c>
      <c r="AH5053">
        <v>18.557500440915099</v>
      </c>
      <c r="AI5053">
        <v>93.405695004369207</v>
      </c>
      <c r="AJ5053">
        <v>96.479764324634701</v>
      </c>
      <c r="AK5053">
        <v>18.7098550726922</v>
      </c>
      <c r="AL5053">
        <v>88.068623131479995</v>
      </c>
      <c r="AM5053">
        <v>88.085223530793797</v>
      </c>
      <c r="AN5053">
        <v>0.99999994136464398</v>
      </c>
    </row>
    <row r="5054" spans="1:40" x14ac:dyDescent="0.25">
      <c r="A5054" t="str">
        <f>"20190312154357564"</f>
        <v>20190312154357564</v>
      </c>
      <c r="B5054" t="str">
        <f>"1552376637552201"</f>
        <v>1552376637552201</v>
      </c>
      <c r="C5054" t="s">
        <v>40</v>
      </c>
      <c r="D5054">
        <v>5.0085369999999996</v>
      </c>
      <c r="E5054">
        <v>0.44552819999999999</v>
      </c>
      <c r="F5054" t="s">
        <v>43</v>
      </c>
      <c r="G5054">
        <v>-399.66359999999997</v>
      </c>
      <c r="H5054" s="1">
        <v>-2.0437820000000002E-6</v>
      </c>
      <c r="I5054">
        <v>132.31270000000001</v>
      </c>
      <c r="J5054">
        <v>-381.98719999999997</v>
      </c>
      <c r="K5054">
        <v>1.111464</v>
      </c>
      <c r="L5054">
        <v>137.9451</v>
      </c>
      <c r="M5054">
        <v>-0.98098620000000003</v>
      </c>
      <c r="N5054">
        <v>0</v>
      </c>
      <c r="O5054">
        <v>-0.1935492</v>
      </c>
      <c r="P5054">
        <v>-0.98678560000000004</v>
      </c>
      <c r="Q5054">
        <v>1.9073400000000001E-2</v>
      </c>
      <c r="R5054">
        <v>-0.16090660000000001</v>
      </c>
      <c r="S5054">
        <v>-2.8948670000000001</v>
      </c>
      <c r="T5054">
        <v>-0.17901839999999999</v>
      </c>
      <c r="U5054">
        <v>-0.91674800000000001</v>
      </c>
      <c r="V5054">
        <v>3.3071240000000002E-2</v>
      </c>
      <c r="W5054">
        <v>3.345658E-2</v>
      </c>
      <c r="X5054">
        <v>0.99889280000000003</v>
      </c>
      <c r="Y5054">
        <v>-0.1117937</v>
      </c>
      <c r="Z5054">
        <v>8.1611749999999997E-3</v>
      </c>
      <c r="AA5054">
        <v>0.99369790000000002</v>
      </c>
      <c r="AB5054">
        <v>31</v>
      </c>
      <c r="AC5054">
        <v>-17.676400000000001</v>
      </c>
      <c r="AD5054">
        <v>-1.1114660437819901</v>
      </c>
      <c r="AE5054">
        <v>-5.6323999999999899</v>
      </c>
      <c r="AF5054">
        <v>-2.09674325428584</v>
      </c>
      <c r="AG5054">
        <v>-1.1114660437819901</v>
      </c>
      <c r="AH5054">
        <v>18.366416081537199</v>
      </c>
      <c r="AI5054">
        <v>93.440805414108496</v>
      </c>
      <c r="AJ5054">
        <v>96.512793839511104</v>
      </c>
      <c r="AK5054">
        <v>18.519096325712599</v>
      </c>
      <c r="AL5054">
        <v>88.082721254223102</v>
      </c>
      <c r="AM5054">
        <v>88.103749874645999</v>
      </c>
      <c r="AN5054">
        <v>0.99999993777613505</v>
      </c>
    </row>
    <row r="5055" spans="1:40" x14ac:dyDescent="0.25">
      <c r="A5055" t="str">
        <f>"20190312154357586"</f>
        <v>20190312154357586</v>
      </c>
      <c r="B5055" t="str">
        <f>"1552376637582458"</f>
        <v>1552376637582458</v>
      </c>
      <c r="C5055" t="s">
        <v>40</v>
      </c>
      <c r="D5055">
        <v>4.9828359999999998</v>
      </c>
      <c r="E5055">
        <v>0.44507600000000003</v>
      </c>
      <c r="F5055" t="s">
        <v>43</v>
      </c>
      <c r="G5055">
        <v>-399.82350000000002</v>
      </c>
      <c r="H5055" s="1">
        <v>-2.005618E-6</v>
      </c>
      <c r="I5055">
        <v>132.2517</v>
      </c>
      <c r="J5055">
        <v>-382.2801</v>
      </c>
      <c r="K5055">
        <v>1.1114649999999999</v>
      </c>
      <c r="L5055">
        <v>137.8861</v>
      </c>
      <c r="M5055">
        <v>-0.98076700000000006</v>
      </c>
      <c r="N5055">
        <v>0</v>
      </c>
      <c r="O5055">
        <v>-0.19465660000000001</v>
      </c>
      <c r="P5055">
        <v>-0.98661679999999996</v>
      </c>
      <c r="Q5055">
        <v>1.8870749999999999E-2</v>
      </c>
      <c r="R5055">
        <v>-0.16196060000000001</v>
      </c>
      <c r="S5055">
        <v>-2.8930660000000001</v>
      </c>
      <c r="T5055">
        <v>-0.18028150000000001</v>
      </c>
      <c r="U5055">
        <v>-0.92346189999999995</v>
      </c>
      <c r="V5055">
        <v>3.3133410000000002E-2</v>
      </c>
      <c r="W5055">
        <v>3.3250229999999999E-2</v>
      </c>
      <c r="X5055">
        <v>0.9988977</v>
      </c>
      <c r="Y5055">
        <v>-0.112945699999999</v>
      </c>
      <c r="Z5055">
        <v>8.2503799999999999E-3</v>
      </c>
      <c r="AA5055">
        <v>0.99356690000000003</v>
      </c>
      <c r="AB5055">
        <v>31</v>
      </c>
      <c r="AC5055">
        <v>-17.543399999999998</v>
      </c>
      <c r="AD5055">
        <v>-1.1114670056179901</v>
      </c>
      <c r="AE5055">
        <v>-5.6343999999999896</v>
      </c>
      <c r="AF5055">
        <v>-2.1036569919598098</v>
      </c>
      <c r="AG5055">
        <v>-1.1114670056179901</v>
      </c>
      <c r="AH5055">
        <v>18.238275030275101</v>
      </c>
      <c r="AI5055">
        <v>93.4644622294974</v>
      </c>
      <c r="AJ5055">
        <v>96.579590454670694</v>
      </c>
      <c r="AK5055">
        <v>18.392808587172201</v>
      </c>
      <c r="AL5055">
        <v>88.094550954401797</v>
      </c>
      <c r="AM5055">
        <v>88.100197072148205</v>
      </c>
      <c r="AN5055">
        <v>1.0000000078592799</v>
      </c>
    </row>
    <row r="5056" spans="1:40" x14ac:dyDescent="0.25">
      <c r="A5056" t="str">
        <f>"20190312154357609"</f>
        <v>20190312154357609</v>
      </c>
      <c r="B5056" t="str">
        <f>"1552376637602954"</f>
        <v>1552376637602954</v>
      </c>
      <c r="C5056" t="s">
        <v>40</v>
      </c>
      <c r="D5056">
        <v>5.0215949999999996</v>
      </c>
      <c r="E5056">
        <v>0.44478230000000002</v>
      </c>
      <c r="F5056" t="s">
        <v>69</v>
      </c>
      <c r="G5056">
        <v>-399.9778</v>
      </c>
      <c r="H5056" s="1">
        <v>-1.423248E-6</v>
      </c>
      <c r="I5056">
        <v>132.19399999999999</v>
      </c>
      <c r="J5056">
        <v>-382.58879999999999</v>
      </c>
      <c r="K5056">
        <v>1.1114649999999999</v>
      </c>
      <c r="L5056">
        <v>137.8235</v>
      </c>
      <c r="M5056">
        <v>-0.98053469999999998</v>
      </c>
      <c r="N5056">
        <v>0</v>
      </c>
      <c r="O5056">
        <v>-0.195824</v>
      </c>
      <c r="P5056">
        <v>-0.98642960000000002</v>
      </c>
      <c r="Q5056">
        <v>1.9231959999999999E-2</v>
      </c>
      <c r="R5056">
        <v>-0.16305510000000001</v>
      </c>
      <c r="S5056">
        <v>-2.8915410000000001</v>
      </c>
      <c r="T5056">
        <v>-0.18159719999999999</v>
      </c>
      <c r="U5056">
        <v>-0.92999270000000001</v>
      </c>
      <c r="V5056">
        <v>3.3212470000000001E-2</v>
      </c>
      <c r="W5056">
        <v>3.3607650000000003E-2</v>
      </c>
      <c r="X5056">
        <v>0.99888310000000002</v>
      </c>
      <c r="Y5056">
        <v>-0.113952</v>
      </c>
      <c r="Z5056">
        <v>8.3497689999999999E-3</v>
      </c>
      <c r="AA5056">
        <v>0.99345119999999998</v>
      </c>
      <c r="AB5056">
        <v>31</v>
      </c>
      <c r="AC5056">
        <v>-17.388999999999999</v>
      </c>
      <c r="AD5056">
        <v>-1.1114664232479901</v>
      </c>
      <c r="AE5056">
        <v>-5.6295000000000002</v>
      </c>
      <c r="AF5056">
        <v>-2.1071608910558601</v>
      </c>
      <c r="AG5056">
        <v>-1.1114664232479901</v>
      </c>
      <c r="AH5056">
        <v>18.087879546657799</v>
      </c>
      <c r="AI5056">
        <v>93.492735942325794</v>
      </c>
      <c r="AJ5056">
        <v>96.644762920146704</v>
      </c>
      <c r="AK5056">
        <v>18.244091403114801</v>
      </c>
      <c r="AL5056">
        <v>88.074060819952706</v>
      </c>
      <c r="AM5056">
        <v>88.095639451064102</v>
      </c>
      <c r="AN5056">
        <v>0.99999999488381597</v>
      </c>
    </row>
    <row r="5057" spans="1:40" x14ac:dyDescent="0.25">
      <c r="A5057" t="str">
        <f>"20190312154357631"</f>
        <v>20190312154357631</v>
      </c>
      <c r="B5057" t="str">
        <f>"1552376637622474"</f>
        <v>1552376637622474</v>
      </c>
      <c r="C5057" t="s">
        <v>40</v>
      </c>
      <c r="D5057">
        <v>5.0567650000000004</v>
      </c>
      <c r="E5057">
        <v>0.44448739999999998</v>
      </c>
      <c r="F5057" t="s">
        <v>69</v>
      </c>
      <c r="G5057">
        <v>-400.30119999999999</v>
      </c>
      <c r="H5057" s="1">
        <v>-1.552339E-6</v>
      </c>
      <c r="I5057">
        <v>132.08969999999999</v>
      </c>
      <c r="J5057">
        <v>-382.87639999999999</v>
      </c>
      <c r="K5057">
        <v>1.1114630000000001</v>
      </c>
      <c r="L5057">
        <v>137.76480000000001</v>
      </c>
      <c r="M5057">
        <v>-0.98031670000000004</v>
      </c>
      <c r="N5057">
        <v>0</v>
      </c>
      <c r="O5057">
        <v>-0.196912</v>
      </c>
      <c r="P5057">
        <v>-0.98621329999999996</v>
      </c>
      <c r="Q5057">
        <v>1.9608850000000001E-2</v>
      </c>
      <c r="R5057">
        <v>-0.16431370000000001</v>
      </c>
      <c r="S5057">
        <v>-2.8901979999999998</v>
      </c>
      <c r="T5057">
        <v>-0.18136140000000001</v>
      </c>
      <c r="U5057">
        <v>-0.93559270000000005</v>
      </c>
      <c r="V5057">
        <v>3.3044240000000002E-2</v>
      </c>
      <c r="W5057">
        <v>3.3980330000000003E-2</v>
      </c>
      <c r="X5057">
        <v>0.99887610000000004</v>
      </c>
      <c r="Y5057">
        <v>-0.11472739999999999</v>
      </c>
      <c r="Z5057">
        <v>8.3804810000000004E-3</v>
      </c>
      <c r="AA5057">
        <v>0.99336170000000001</v>
      </c>
      <c r="AB5057">
        <v>30</v>
      </c>
      <c r="AC5057">
        <v>-17.424800000000001</v>
      </c>
      <c r="AD5057">
        <v>-1.1114645523390001</v>
      </c>
      <c r="AE5057">
        <v>-5.6751000000000102</v>
      </c>
      <c r="AF5057">
        <v>-2.1246459776264501</v>
      </c>
      <c r="AG5057">
        <v>-1.1114645523390001</v>
      </c>
      <c r="AH5057">
        <v>18.134474180864999</v>
      </c>
      <c r="AI5057">
        <v>93.483511712102199</v>
      </c>
      <c r="AJ5057">
        <v>96.682344043671904</v>
      </c>
      <c r="AK5057">
        <v>18.292310619432701</v>
      </c>
      <c r="AL5057">
        <v>88.052695681739294</v>
      </c>
      <c r="AM5057">
        <v>88.105265227019004</v>
      </c>
      <c r="AN5057">
        <v>1.0000000238876401</v>
      </c>
    </row>
    <row r="5058" spans="1:40" x14ac:dyDescent="0.25">
      <c r="A5058" t="str">
        <f>"20190312154357654"</f>
        <v>20190312154357654</v>
      </c>
      <c r="B5058" t="str">
        <f>"1552376637642970"</f>
        <v>1552376637642970</v>
      </c>
      <c r="C5058" t="s">
        <v>40</v>
      </c>
      <c r="D5058">
        <v>5.0218930000000004</v>
      </c>
      <c r="E5058">
        <v>0.44425369999999997</v>
      </c>
      <c r="F5058" t="s">
        <v>69</v>
      </c>
      <c r="G5058">
        <v>-400.5788</v>
      </c>
      <c r="H5058" s="1">
        <v>-1.6603020000000001E-6</v>
      </c>
      <c r="I5058">
        <v>131.9949</v>
      </c>
      <c r="J5058">
        <v>-383.18209999999999</v>
      </c>
      <c r="K5058">
        <v>1.111462</v>
      </c>
      <c r="L5058">
        <v>137.7021</v>
      </c>
      <c r="M5058">
        <v>-0.98008399999999996</v>
      </c>
      <c r="N5058">
        <v>0</v>
      </c>
      <c r="O5058">
        <v>-0.1980683</v>
      </c>
      <c r="P5058">
        <v>-0.98604800000000004</v>
      </c>
      <c r="Q5058">
        <v>1.9899679999999999E-2</v>
      </c>
      <c r="R5058">
        <v>-0.1652689</v>
      </c>
      <c r="S5058">
        <v>-2.8886720000000001</v>
      </c>
      <c r="T5058">
        <v>-0.1813679</v>
      </c>
      <c r="U5058">
        <v>-0.94152829999999998</v>
      </c>
      <c r="V5058">
        <v>3.3253369999999997E-2</v>
      </c>
      <c r="W5058">
        <v>3.4267699999999998E-2</v>
      </c>
      <c r="X5058">
        <v>0.99885930000000001</v>
      </c>
      <c r="Y5058">
        <v>-0.11555609999999999</v>
      </c>
      <c r="Z5058">
        <v>8.4250209999999996E-3</v>
      </c>
      <c r="AA5058">
        <v>0.99326519999999996</v>
      </c>
      <c r="AB5058">
        <v>30</v>
      </c>
      <c r="AC5058">
        <v>-17.396699999999999</v>
      </c>
      <c r="AD5058">
        <v>-1.1114636603020001</v>
      </c>
      <c r="AE5058">
        <v>-5.7072000000000003</v>
      </c>
      <c r="AF5058">
        <v>-2.1401331691644998</v>
      </c>
      <c r="AG5058">
        <v>-1.1114636603020001</v>
      </c>
      <c r="AH5058">
        <v>18.115739583535301</v>
      </c>
      <c r="AI5058">
        <v>93.486708578507603</v>
      </c>
      <c r="AJ5058">
        <v>96.737504979213497</v>
      </c>
      <c r="AK5058">
        <v>18.275544919602101</v>
      </c>
      <c r="AL5058">
        <v>88.036220915966894</v>
      </c>
      <c r="AM5058">
        <v>88.093250629504098</v>
      </c>
      <c r="AN5058">
        <v>0.99999998153806802</v>
      </c>
    </row>
    <row r="5059" spans="1:40" x14ac:dyDescent="0.25">
      <c r="A5059" t="str">
        <f>"20190312154357677"</f>
        <v>20190312154357677</v>
      </c>
      <c r="B5059" t="str">
        <f>"1552376637672249"</f>
        <v>1552376637672249</v>
      </c>
      <c r="C5059" t="s">
        <v>40</v>
      </c>
      <c r="D5059">
        <v>5.0406849999999999</v>
      </c>
      <c r="E5059">
        <v>0.44397399999999998</v>
      </c>
      <c r="F5059" t="s">
        <v>69</v>
      </c>
      <c r="G5059">
        <v>-400.86259999999999</v>
      </c>
      <c r="H5059" s="1">
        <v>-1.7761E-6</v>
      </c>
      <c r="I5059">
        <v>131.90819999999999</v>
      </c>
      <c r="J5059">
        <v>-383.48329999999999</v>
      </c>
      <c r="K5059">
        <v>1.111462</v>
      </c>
      <c r="L5059">
        <v>137.63990000000001</v>
      </c>
      <c r="M5059">
        <v>-0.97985279999999997</v>
      </c>
      <c r="N5059">
        <v>0</v>
      </c>
      <c r="O5059">
        <v>-0.1992083</v>
      </c>
      <c r="P5059">
        <v>-0.98578410000000005</v>
      </c>
      <c r="Q5059">
        <v>1.9849189999999999E-2</v>
      </c>
      <c r="R5059">
        <v>-0.1668405</v>
      </c>
      <c r="S5059">
        <v>-2.887543</v>
      </c>
      <c r="T5059">
        <v>-0.1815215</v>
      </c>
      <c r="U5059">
        <v>-0.94624330000000001</v>
      </c>
      <c r="V5059">
        <v>3.2823369999999998E-2</v>
      </c>
      <c r="W5059">
        <v>3.4212409999999999E-2</v>
      </c>
      <c r="X5059">
        <v>0.99887539999999997</v>
      </c>
      <c r="Y5059">
        <v>-0.11598169999999999</v>
      </c>
      <c r="Z5059">
        <v>8.4873290000000001E-3</v>
      </c>
      <c r="AA5059">
        <v>0.99321510000000002</v>
      </c>
      <c r="AB5059">
        <v>30</v>
      </c>
      <c r="AC5059">
        <v>-17.379300000000001</v>
      </c>
      <c r="AD5059">
        <v>-1.1114637760999999</v>
      </c>
      <c r="AE5059">
        <v>-5.7317000000000098</v>
      </c>
      <c r="AF5059">
        <v>-2.14642409315532</v>
      </c>
      <c r="AG5059">
        <v>-1.1114637760999999</v>
      </c>
      <c r="AH5059">
        <v>18.106027104588399</v>
      </c>
      <c r="AI5059">
        <v>93.488407826194603</v>
      </c>
      <c r="AJ5059">
        <v>96.760718152639697</v>
      </c>
      <c r="AK5059">
        <v>18.266655567600399</v>
      </c>
      <c r="AL5059">
        <v>88.039390623248707</v>
      </c>
      <c r="AM5059">
        <v>88.117919309261794</v>
      </c>
      <c r="AN5059">
        <v>0.99999996367066102</v>
      </c>
    </row>
    <row r="5060" spans="1:40" x14ac:dyDescent="0.25">
      <c r="A5060" t="str">
        <f>"20190312154357698"</f>
        <v>20190312154357698</v>
      </c>
      <c r="B5060" t="str">
        <f>"1552376637692747"</f>
        <v>1552376637692747</v>
      </c>
      <c r="C5060" t="s">
        <v>40</v>
      </c>
      <c r="D5060">
        <v>5.0253489999999896</v>
      </c>
      <c r="E5060">
        <v>0.4437236</v>
      </c>
      <c r="F5060" t="s">
        <v>69</v>
      </c>
      <c r="G5060">
        <v>-401.01760000000002</v>
      </c>
      <c r="H5060" s="1">
        <v>-1.833842E-6</v>
      </c>
      <c r="I5060">
        <v>131.85040000000001</v>
      </c>
      <c r="J5060">
        <v>-383.77249999999998</v>
      </c>
      <c r="K5060">
        <v>1.111459</v>
      </c>
      <c r="L5060">
        <v>137.57980000000001</v>
      </c>
      <c r="M5060">
        <v>-0.9796298</v>
      </c>
      <c r="N5060">
        <v>0</v>
      </c>
      <c r="O5060">
        <v>-0.20030239999999999</v>
      </c>
      <c r="P5060">
        <v>-0.98551880000000003</v>
      </c>
      <c r="Q5060">
        <v>2.0044869999999999E-2</v>
      </c>
      <c r="R5060">
        <v>-0.16837669999999999</v>
      </c>
      <c r="S5060">
        <v>-2.8856510000000002</v>
      </c>
      <c r="T5060">
        <v>-0.1829153</v>
      </c>
      <c r="U5060">
        <v>-0.95278929999999995</v>
      </c>
      <c r="V5060">
        <v>3.2380920000000001E-2</v>
      </c>
      <c r="W5060">
        <v>3.4403990000000002E-2</v>
      </c>
      <c r="X5060">
        <v>0.99888330000000003</v>
      </c>
      <c r="Y5060">
        <v>-0.1171003</v>
      </c>
      <c r="Z5060">
        <v>8.5849680000000001E-3</v>
      </c>
      <c r="AA5060">
        <v>0.99308300000000005</v>
      </c>
      <c r="AB5060">
        <v>30</v>
      </c>
      <c r="AC5060">
        <v>-17.245100000000001</v>
      </c>
      <c r="AD5060">
        <v>-1.111460833842</v>
      </c>
      <c r="AE5060">
        <v>-5.7293999999999903</v>
      </c>
      <c r="AF5060">
        <v>-2.1506312171182702</v>
      </c>
      <c r="AG5060">
        <v>-1.111460833842</v>
      </c>
      <c r="AH5060">
        <v>17.976022606442999</v>
      </c>
      <c r="AI5060">
        <v>93.513114968517598</v>
      </c>
      <c r="AJ5060">
        <v>96.822375623782307</v>
      </c>
      <c r="AK5060">
        <v>18.138300597480399</v>
      </c>
      <c r="AL5060">
        <v>88.028407508698706</v>
      </c>
      <c r="AM5060">
        <v>88.143286034657905</v>
      </c>
      <c r="AN5060">
        <v>1.0000000027634199</v>
      </c>
    </row>
    <row r="5061" spans="1:40" x14ac:dyDescent="0.25">
      <c r="A5061" t="str">
        <f>"20190312154357721"</f>
        <v>20190312154357721</v>
      </c>
      <c r="B5061" t="str">
        <f>"1552376637712266"</f>
        <v>1552376637712266</v>
      </c>
      <c r="C5061" t="s">
        <v>40</v>
      </c>
      <c r="D5061">
        <v>5.0272969999999999</v>
      </c>
      <c r="E5061">
        <v>0.44347999999999999</v>
      </c>
      <c r="F5061" t="s">
        <v>69</v>
      </c>
      <c r="G5061">
        <v>-401.26440000000002</v>
      </c>
      <c r="H5061" s="1">
        <v>-1.9275530000000002E-6</v>
      </c>
      <c r="I5061">
        <v>131.76179999999999</v>
      </c>
      <c r="J5061">
        <v>-384.06549999999999</v>
      </c>
      <c r="K5061">
        <v>1.111459</v>
      </c>
      <c r="L5061">
        <v>137.5187</v>
      </c>
      <c r="M5061">
        <v>-0.97940240000000001</v>
      </c>
      <c r="N5061">
        <v>0</v>
      </c>
      <c r="O5061">
        <v>-0.20141149999999999</v>
      </c>
      <c r="P5061">
        <v>-0.9852535</v>
      </c>
      <c r="Q5061">
        <v>1.9647000000000001E-2</v>
      </c>
      <c r="R5061">
        <v>-0.16997089999999901</v>
      </c>
      <c r="S5061">
        <v>-2.8839109999999999</v>
      </c>
      <c r="T5061">
        <v>-0.18324770000000001</v>
      </c>
      <c r="U5061">
        <v>-0.95922850000000004</v>
      </c>
      <c r="V5061">
        <v>3.1898509999999998E-2</v>
      </c>
      <c r="W5061">
        <v>3.4001290000000003E-2</v>
      </c>
      <c r="X5061">
        <v>0.99891260000000004</v>
      </c>
      <c r="Y5061">
        <v>-0.1181524</v>
      </c>
      <c r="Z5061">
        <v>8.6357309999999902E-3</v>
      </c>
      <c r="AA5061">
        <v>0.99295789999999995</v>
      </c>
      <c r="AB5061">
        <v>30</v>
      </c>
      <c r="AC5061">
        <v>-17.198899999999998</v>
      </c>
      <c r="AD5061">
        <v>-1.1114609275530001</v>
      </c>
      <c r="AE5061">
        <v>-5.7568999999999999</v>
      </c>
      <c r="AF5061">
        <v>-2.1663519069580999</v>
      </c>
      <c r="AG5061">
        <v>-1.1114609275530001</v>
      </c>
      <c r="AH5061">
        <v>17.938621353265699</v>
      </c>
      <c r="AI5061">
        <v>93.519953158026397</v>
      </c>
      <c r="AJ5061">
        <v>96.885960608896994</v>
      </c>
      <c r="AK5061">
        <v>18.103109181411298</v>
      </c>
      <c r="AL5061">
        <v>88.051494006786896</v>
      </c>
      <c r="AM5061">
        <v>88.170981987628096</v>
      </c>
      <c r="AN5061">
        <v>0.99999999255032201</v>
      </c>
    </row>
    <row r="5062" spans="1:40" x14ac:dyDescent="0.25">
      <c r="A5062" t="str">
        <f>"20190312154357743"</f>
        <v>20190312154357743</v>
      </c>
      <c r="B5062" t="str">
        <f>"1552376637732762"</f>
        <v>1552376637732762</v>
      </c>
      <c r="C5062" t="s">
        <v>40</v>
      </c>
      <c r="D5062">
        <v>5.0039249999999997</v>
      </c>
      <c r="E5062">
        <v>0.44328889999999999</v>
      </c>
      <c r="F5062" t="s">
        <v>69</v>
      </c>
      <c r="G5062">
        <v>-401.37709999999998</v>
      </c>
      <c r="H5062" s="1">
        <v>-1.9676859999999998E-6</v>
      </c>
      <c r="I5062">
        <v>131.71629999999999</v>
      </c>
      <c r="J5062">
        <v>-384.36090000000002</v>
      </c>
      <c r="K5062">
        <v>1.111456</v>
      </c>
      <c r="L5062">
        <v>137.45660000000001</v>
      </c>
      <c r="M5062">
        <v>-0.97917189999999998</v>
      </c>
      <c r="N5062">
        <v>0</v>
      </c>
      <c r="O5062">
        <v>-0.20252999999999999</v>
      </c>
      <c r="P5062">
        <v>-0.98498640000000004</v>
      </c>
      <c r="Q5062">
        <v>1.955929E-2</v>
      </c>
      <c r="R5062">
        <v>-0.17152120000000001</v>
      </c>
      <c r="S5062">
        <v>-2.8819270000000001</v>
      </c>
      <c r="T5062">
        <v>-0.1850289</v>
      </c>
      <c r="U5062">
        <v>-0.96594239999999998</v>
      </c>
      <c r="V5062">
        <v>3.1467960000000003E-2</v>
      </c>
      <c r="W5062">
        <v>3.3909330000000001E-2</v>
      </c>
      <c r="X5062">
        <v>0.99892939999999997</v>
      </c>
      <c r="Y5062">
        <v>-0.1193067</v>
      </c>
      <c r="Z5062">
        <v>8.7529280000000001E-3</v>
      </c>
      <c r="AA5062">
        <v>0.99281889999999995</v>
      </c>
      <c r="AB5062">
        <v>30</v>
      </c>
      <c r="AC5062">
        <v>-17.016199999999898</v>
      </c>
      <c r="AD5062">
        <v>-1.1114579676859999</v>
      </c>
      <c r="AE5062">
        <v>-5.7403000000000102</v>
      </c>
      <c r="AF5062">
        <v>-2.1663730328520598</v>
      </c>
      <c r="AG5062">
        <v>-1.1114579676859999</v>
      </c>
      <c r="AH5062">
        <v>17.7581637693883</v>
      </c>
      <c r="AI5062">
        <v>93.5551009270241</v>
      </c>
      <c r="AJ5062">
        <v>96.955320546192596</v>
      </c>
      <c r="AK5062">
        <v>17.9243100673866</v>
      </c>
      <c r="AL5062">
        <v>88.056766002012097</v>
      </c>
      <c r="AM5062">
        <v>88.195683045419898</v>
      </c>
      <c r="AN5062">
        <v>1.0000000106759801</v>
      </c>
    </row>
    <row r="5063" spans="1:40" x14ac:dyDescent="0.25">
      <c r="A5063" t="str">
        <f>"20190312154357764"</f>
        <v>20190312154357764</v>
      </c>
      <c r="B5063" t="str">
        <f>"1552376637763018"</f>
        <v>1552376637763018</v>
      </c>
      <c r="C5063" t="s">
        <v>40</v>
      </c>
      <c r="D5063">
        <v>4.9833189999999998</v>
      </c>
      <c r="E5063">
        <v>0.4430231</v>
      </c>
      <c r="F5063" t="s">
        <v>69</v>
      </c>
      <c r="G5063">
        <v>-401.5455</v>
      </c>
      <c r="H5063" s="1">
        <v>-2.0325609999999998E-6</v>
      </c>
      <c r="I5063">
        <v>131.65770000000001</v>
      </c>
      <c r="J5063">
        <v>-384.65410000000003</v>
      </c>
      <c r="K5063">
        <v>1.111451</v>
      </c>
      <c r="L5063">
        <v>137.3947</v>
      </c>
      <c r="M5063">
        <v>-0.97894159999999997</v>
      </c>
      <c r="N5063">
        <v>0</v>
      </c>
      <c r="O5063">
        <v>-0.2036406</v>
      </c>
      <c r="P5063">
        <v>-0.98473650000000001</v>
      </c>
      <c r="Q5063">
        <v>1.9402059999999999E-2</v>
      </c>
      <c r="R5063">
        <v>-0.17296710000000001</v>
      </c>
      <c r="S5063">
        <v>-2.8802189999999999</v>
      </c>
      <c r="T5063">
        <v>-0.18628600000000001</v>
      </c>
      <c r="U5063">
        <v>-0.97193909999999994</v>
      </c>
      <c r="V5063">
        <v>3.1135329999999999E-2</v>
      </c>
      <c r="W5063">
        <v>3.3748239999999999E-2</v>
      </c>
      <c r="X5063">
        <v>0.99894530000000004</v>
      </c>
      <c r="Y5063">
        <v>-0.1202172</v>
      </c>
      <c r="Z5063">
        <v>8.8526869999999997E-3</v>
      </c>
      <c r="AA5063">
        <v>0.99270809999999998</v>
      </c>
      <c r="AB5063">
        <v>30</v>
      </c>
      <c r="AC5063">
        <v>-16.891399999999901</v>
      </c>
      <c r="AD5063">
        <v>-1.1114530325609999</v>
      </c>
      <c r="AE5063">
        <v>-5.7369999999999903</v>
      </c>
      <c r="AF5063">
        <v>-2.1682183167348499</v>
      </c>
      <c r="AG5063">
        <v>-1.1114530325609999</v>
      </c>
      <c r="AH5063">
        <v>17.637319766305701</v>
      </c>
      <c r="AI5063">
        <v>93.578975041742893</v>
      </c>
      <c r="AJ5063">
        <v>97.008409463576399</v>
      </c>
      <c r="AK5063">
        <v>17.804818085325401</v>
      </c>
      <c r="AL5063">
        <v>88.066001106896707</v>
      </c>
      <c r="AM5063">
        <v>88.214771448319397</v>
      </c>
      <c r="AN5063">
        <v>1.00000003243469</v>
      </c>
    </row>
    <row r="5064" spans="1:40" x14ac:dyDescent="0.25">
      <c r="A5064" t="str">
        <f>"20190312154357787"</f>
        <v>20190312154357787</v>
      </c>
      <c r="B5064" t="str">
        <f>"1552376637782537"</f>
        <v>1552376637782537</v>
      </c>
      <c r="C5064" t="s">
        <v>40</v>
      </c>
      <c r="D5064">
        <v>4.9697490000000002</v>
      </c>
      <c r="E5064">
        <v>0.44285659999999999</v>
      </c>
      <c r="F5064" t="s">
        <v>69</v>
      </c>
      <c r="G5064">
        <v>-401.62580000000003</v>
      </c>
      <c r="H5064" s="1">
        <v>-2.0621469999999999E-6</v>
      </c>
      <c r="I5064">
        <v>131.62700000000001</v>
      </c>
      <c r="J5064">
        <v>-384.94080000000002</v>
      </c>
      <c r="K5064">
        <v>1.1114539999999999</v>
      </c>
      <c r="L5064">
        <v>137.3339</v>
      </c>
      <c r="M5064">
        <v>-0.97871509999999995</v>
      </c>
      <c r="N5064">
        <v>0</v>
      </c>
      <c r="O5064">
        <v>-0.20472650000000001</v>
      </c>
      <c r="P5064">
        <v>-0.98459759999999996</v>
      </c>
      <c r="Q5064">
        <v>1.9041789999999999E-2</v>
      </c>
      <c r="R5064">
        <v>-0.17379649999999999</v>
      </c>
      <c r="S5064">
        <v>-2.878387</v>
      </c>
      <c r="T5064">
        <v>-0.188501</v>
      </c>
      <c r="U5064">
        <v>-0.97819520000000004</v>
      </c>
      <c r="V5064">
        <v>3.1404799999999997E-2</v>
      </c>
      <c r="W5064">
        <v>3.3385100000000001E-2</v>
      </c>
      <c r="X5064">
        <v>0.99894910000000003</v>
      </c>
      <c r="Y5064">
        <v>-0.1212463</v>
      </c>
      <c r="Z5064">
        <v>8.9935190000000002E-3</v>
      </c>
      <c r="AA5064">
        <v>0.99258170000000001</v>
      </c>
      <c r="AB5064">
        <v>30</v>
      </c>
      <c r="AC5064">
        <v>-16.684999999999999</v>
      </c>
      <c r="AD5064">
        <v>-1.111456062147</v>
      </c>
      <c r="AE5064">
        <v>-5.7068999999999903</v>
      </c>
      <c r="AF5064">
        <v>-2.1612029235293502</v>
      </c>
      <c r="AG5064">
        <v>-1.111456062147</v>
      </c>
      <c r="AH5064">
        <v>17.430751863398399</v>
      </c>
      <c r="AI5064">
        <v>93.620823248748195</v>
      </c>
      <c r="AJ5064">
        <v>97.067914292645696</v>
      </c>
      <c r="AK5064">
        <v>17.5993534875041</v>
      </c>
      <c r="AL5064">
        <v>88.086819290173594</v>
      </c>
      <c r="AM5064">
        <v>88.199337628754904</v>
      </c>
      <c r="AN5064">
        <v>1.00000006537792</v>
      </c>
    </row>
    <row r="5065" spans="1:40" x14ac:dyDescent="0.25">
      <c r="A5065" t="str">
        <f>"20190312154357809"</f>
        <v>20190312154357809</v>
      </c>
      <c r="B5065" t="str">
        <f>"1552376637802062"</f>
        <v>1552376637802062</v>
      </c>
      <c r="C5065" t="s">
        <v>40</v>
      </c>
      <c r="D5065">
        <v>4.9608059999999998</v>
      </c>
      <c r="E5065">
        <v>0.44267620000000002</v>
      </c>
      <c r="F5065" t="s">
        <v>69</v>
      </c>
      <c r="G5065">
        <v>-401.71140000000003</v>
      </c>
      <c r="H5065" s="1">
        <v>-2.1020960000000001E-6</v>
      </c>
      <c r="I5065">
        <v>131.6104</v>
      </c>
      <c r="J5065">
        <v>-385.23770000000002</v>
      </c>
      <c r="K5065">
        <v>1.1114489999999999</v>
      </c>
      <c r="L5065">
        <v>137.2705</v>
      </c>
      <c r="M5065">
        <v>-0.97847910000000005</v>
      </c>
      <c r="N5065">
        <v>0</v>
      </c>
      <c r="O5065">
        <v>-0.20585120000000001</v>
      </c>
      <c r="P5065">
        <v>-0.98431829999999998</v>
      </c>
      <c r="Q5065">
        <v>1.9030720000000001E-2</v>
      </c>
      <c r="R5065">
        <v>-0.1753721</v>
      </c>
      <c r="S5065">
        <v>-2.8772890000000002</v>
      </c>
      <c r="T5065">
        <v>-0.19068959999999999</v>
      </c>
      <c r="U5065">
        <v>-0.98196410000000001</v>
      </c>
      <c r="V5065">
        <v>3.0954010000000001E-2</v>
      </c>
      <c r="W5065">
        <v>3.336985E-2</v>
      </c>
      <c r="X5065">
        <v>0.99896359999999995</v>
      </c>
      <c r="Y5065">
        <v>-0.1213914</v>
      </c>
      <c r="Z5065">
        <v>9.1640709999999993E-3</v>
      </c>
      <c r="AA5065">
        <v>0.99256239999999996</v>
      </c>
      <c r="AB5065">
        <v>30</v>
      </c>
      <c r="AC5065">
        <v>-16.473700000000001</v>
      </c>
      <c r="AD5065">
        <v>-1.1114511020959901</v>
      </c>
      <c r="AE5065">
        <v>-5.6600999999999999</v>
      </c>
      <c r="AF5065">
        <v>-2.1386703629006401</v>
      </c>
      <c r="AG5065">
        <v>-1.1114511020959901</v>
      </c>
      <c r="AH5065">
        <v>17.215980147631502</v>
      </c>
      <c r="AI5065">
        <v>93.665748460853393</v>
      </c>
      <c r="AJ5065">
        <v>97.081341012480493</v>
      </c>
      <c r="AK5065">
        <v>17.383877787109</v>
      </c>
      <c r="AL5065">
        <v>88.087693385778806</v>
      </c>
      <c r="AM5065">
        <v>88.225193745640397</v>
      </c>
      <c r="AN5065">
        <v>0.99999998587453098</v>
      </c>
    </row>
    <row r="5066" spans="1:40" x14ac:dyDescent="0.25">
      <c r="A5066" t="str">
        <f>"20190312154357832"</f>
        <v>20190312154357832</v>
      </c>
      <c r="B5066" t="str">
        <f>"1552376637822554"</f>
        <v>1552376637822554</v>
      </c>
      <c r="C5066" t="s">
        <v>40</v>
      </c>
      <c r="D5066">
        <v>4.9292639999999999</v>
      </c>
      <c r="E5066">
        <v>0.442552</v>
      </c>
      <c r="F5066" t="s">
        <v>69</v>
      </c>
      <c r="G5066">
        <v>-401.92270000000002</v>
      </c>
      <c r="H5066" s="1">
        <v>-2.1846249999999999E-6</v>
      </c>
      <c r="I5066">
        <v>131.53890000000001</v>
      </c>
      <c r="J5066">
        <v>-385.52980000000002</v>
      </c>
      <c r="K5066">
        <v>1.1114440000000001</v>
      </c>
      <c r="L5066">
        <v>137.20779999999999</v>
      </c>
      <c r="M5066">
        <v>-0.9782457</v>
      </c>
      <c r="N5066">
        <v>0</v>
      </c>
      <c r="O5066">
        <v>-0.2069579</v>
      </c>
      <c r="P5066">
        <v>-0.9840565</v>
      </c>
      <c r="Q5066">
        <v>1.9171379999999998E-2</v>
      </c>
      <c r="R5066">
        <v>-0.1768197</v>
      </c>
      <c r="S5066">
        <v>-2.8755190000000002</v>
      </c>
      <c r="T5066">
        <v>-0.19154940000000001</v>
      </c>
      <c r="U5066">
        <v>-0.98779300000000003</v>
      </c>
      <c r="V5066">
        <v>3.0614010000000001E-2</v>
      </c>
      <c r="W5066">
        <v>3.3506620000000001E-2</v>
      </c>
      <c r="X5066">
        <v>0.99896949999999995</v>
      </c>
      <c r="Y5066">
        <v>-0.1222578</v>
      </c>
      <c r="Z5066">
        <v>9.2482339999999993E-3</v>
      </c>
      <c r="AA5066">
        <v>0.99245530000000004</v>
      </c>
      <c r="AB5066">
        <v>30</v>
      </c>
      <c r="AC5066">
        <v>-16.392899999999901</v>
      </c>
      <c r="AD5066">
        <v>-1.1114461846250001</v>
      </c>
      <c r="AE5066">
        <v>-5.6688999999999696</v>
      </c>
      <c r="AF5066">
        <v>-2.1443518128728098</v>
      </c>
      <c r="AG5066">
        <v>-1.1114461846250001</v>
      </c>
      <c r="AH5066">
        <v>17.1408827361596</v>
      </c>
      <c r="AI5066">
        <v>93.681353792323307</v>
      </c>
      <c r="AJ5066">
        <v>97.130747829729202</v>
      </c>
      <c r="AK5066">
        <v>17.3102113878907</v>
      </c>
      <c r="AL5066">
        <v>88.079852658570502</v>
      </c>
      <c r="AM5066">
        <v>88.244686380891693</v>
      </c>
      <c r="AN5066">
        <v>0.99999998656117695</v>
      </c>
    </row>
    <row r="5067" spans="1:40" x14ac:dyDescent="0.25">
      <c r="A5067" t="str">
        <f>"20190312154357854"</f>
        <v>20190312154357854</v>
      </c>
      <c r="B5067" t="str">
        <f>"1552376637842076"</f>
        <v>1552376637842076</v>
      </c>
      <c r="C5067" t="s">
        <v>40</v>
      </c>
      <c r="D5067">
        <v>4.9541329999999997</v>
      </c>
      <c r="E5067">
        <v>0.44237070000000001</v>
      </c>
      <c r="F5067" t="s">
        <v>69</v>
      </c>
      <c r="G5067">
        <v>-402.17579999999998</v>
      </c>
      <c r="H5067" s="1">
        <v>-2.28524E-6</v>
      </c>
      <c r="I5067">
        <v>131.45650000000001</v>
      </c>
      <c r="J5067">
        <v>-385.82650000000001</v>
      </c>
      <c r="K5067">
        <v>1.111442</v>
      </c>
      <c r="L5067">
        <v>137.1437</v>
      </c>
      <c r="M5067">
        <v>-0.97800730000000002</v>
      </c>
      <c r="N5067">
        <v>0</v>
      </c>
      <c r="O5067">
        <v>-0.20808199999999999</v>
      </c>
      <c r="P5067">
        <v>-0.98384660000000002</v>
      </c>
      <c r="Q5067">
        <v>1.9209819999999999E-2</v>
      </c>
      <c r="R5067">
        <v>-0.17798069999999999</v>
      </c>
      <c r="S5067">
        <v>-2.8739620000000001</v>
      </c>
      <c r="T5067">
        <v>-0.19189410000000001</v>
      </c>
      <c r="U5067">
        <v>-0.99296569999999995</v>
      </c>
      <c r="V5067">
        <v>3.0583309999999999E-2</v>
      </c>
      <c r="W5067">
        <v>3.3540939999999998E-2</v>
      </c>
      <c r="X5067">
        <v>0.99896929999999995</v>
      </c>
      <c r="Y5067">
        <v>-0.1228805</v>
      </c>
      <c r="Z5067">
        <v>9.3165709999999992E-3</v>
      </c>
      <c r="AA5067">
        <v>0.99237779999999998</v>
      </c>
      <c r="AB5067">
        <v>30</v>
      </c>
      <c r="AC5067">
        <v>-16.3492999999999</v>
      </c>
      <c r="AD5067">
        <v>-1.1114442852399999</v>
      </c>
      <c r="AE5067">
        <v>-5.68719999999999</v>
      </c>
      <c r="AF5067">
        <v>-2.15147835063856</v>
      </c>
      <c r="AG5067">
        <v>-1.1114442852399999</v>
      </c>
      <c r="AH5067">
        <v>17.104372917321399</v>
      </c>
      <c r="AI5067">
        <v>93.688873169524697</v>
      </c>
      <c r="AJ5067">
        <v>97.1693131311998</v>
      </c>
      <c r="AK5067">
        <v>17.274945452511801</v>
      </c>
      <c r="AL5067">
        <v>88.077885183350503</v>
      </c>
      <c r="AM5067">
        <v>88.246445174520204</v>
      </c>
      <c r="AN5067">
        <v>0.99999999792456395</v>
      </c>
    </row>
    <row r="5068" spans="1:40" x14ac:dyDescent="0.25">
      <c r="A5068" t="str">
        <f>"20190312154357879"</f>
        <v>20190312154357879</v>
      </c>
      <c r="B5068" t="str">
        <f>"1552376637872331"</f>
        <v>1552376637872331</v>
      </c>
      <c r="C5068" t="s">
        <v>40</v>
      </c>
      <c r="D5068">
        <v>4.9033160000000002</v>
      </c>
      <c r="E5068">
        <v>0.44212420000000002</v>
      </c>
      <c r="F5068" t="s">
        <v>69</v>
      </c>
      <c r="G5068">
        <v>-402.47</v>
      </c>
      <c r="H5068" s="1">
        <v>-2.4025939999999999E-6</v>
      </c>
      <c r="I5068">
        <v>131.36150000000001</v>
      </c>
      <c r="J5068">
        <v>-386.1438</v>
      </c>
      <c r="K5068">
        <v>1.111442</v>
      </c>
      <c r="L5068">
        <v>137.07480000000001</v>
      </c>
      <c r="M5068">
        <v>-0.97775069999999997</v>
      </c>
      <c r="N5068">
        <v>0</v>
      </c>
      <c r="O5068">
        <v>-0.2092852</v>
      </c>
      <c r="P5068">
        <v>-0.98364969999999996</v>
      </c>
      <c r="Q5068">
        <v>1.9145260000000001E-2</v>
      </c>
      <c r="R5068">
        <v>-0.17907319999999999</v>
      </c>
      <c r="S5068">
        <v>-2.8724370000000001</v>
      </c>
      <c r="T5068">
        <v>-0.19181980000000001</v>
      </c>
      <c r="U5068">
        <v>-0.99792479999999995</v>
      </c>
      <c r="V5068">
        <v>3.0703620000000001E-2</v>
      </c>
      <c r="W5068">
        <v>3.3473259999999998E-2</v>
      </c>
      <c r="X5068">
        <v>0.99896790000000002</v>
      </c>
      <c r="Y5068">
        <v>-0.123353</v>
      </c>
      <c r="Z5068">
        <v>9.3745070000000007E-3</v>
      </c>
      <c r="AA5068">
        <v>0.99231860000000005</v>
      </c>
      <c r="AB5068">
        <v>30</v>
      </c>
      <c r="AC5068">
        <v>-16.3262</v>
      </c>
      <c r="AD5068">
        <v>-1.111444402594</v>
      </c>
      <c r="AE5068">
        <v>-5.7133000000000003</v>
      </c>
      <c r="AF5068">
        <v>-2.16065047295948</v>
      </c>
      <c r="AG5068">
        <v>-1.111444402594</v>
      </c>
      <c r="AH5068">
        <v>17.0898447360155</v>
      </c>
      <c r="AI5068">
        <v>93.691706674046202</v>
      </c>
      <c r="AJ5068">
        <v>97.205613189497797</v>
      </c>
      <c r="AK5068">
        <v>17.261706527092699</v>
      </c>
      <c r="AL5068">
        <v>88.081765179536404</v>
      </c>
      <c r="AM5068">
        <v>88.239548828334705</v>
      </c>
      <c r="AN5068">
        <v>1.00000001832327</v>
      </c>
    </row>
    <row r="5069" spans="1:40" x14ac:dyDescent="0.25">
      <c r="A5069" t="str">
        <f>"20190312154357899"</f>
        <v>20190312154357899</v>
      </c>
      <c r="B5069" t="str">
        <f>"1552376637892826"</f>
        <v>1552376637892826</v>
      </c>
      <c r="C5069" t="s">
        <v>40</v>
      </c>
      <c r="D5069">
        <v>4.8686319999999998</v>
      </c>
      <c r="E5069">
        <v>0.441942</v>
      </c>
      <c r="F5069" t="s">
        <v>69</v>
      </c>
      <c r="G5069">
        <v>-402.82440000000003</v>
      </c>
      <c r="H5069" s="1">
        <v>-2.5435770000000001E-6</v>
      </c>
      <c r="I5069">
        <v>131.24639999999999</v>
      </c>
      <c r="J5069">
        <v>-386.40899999999999</v>
      </c>
      <c r="K5069">
        <v>1.11144</v>
      </c>
      <c r="L5069">
        <v>137.01689999999999</v>
      </c>
      <c r="M5069">
        <v>-0.97753500000000004</v>
      </c>
      <c r="N5069">
        <v>0</v>
      </c>
      <c r="O5069">
        <v>-0.21029059999999999</v>
      </c>
      <c r="P5069">
        <v>-0.9835277</v>
      </c>
      <c r="Q5069">
        <v>1.9268029999999998E-2</v>
      </c>
      <c r="R5069">
        <v>-0.1797282</v>
      </c>
      <c r="S5069">
        <v>-2.8709720000000001</v>
      </c>
      <c r="T5069">
        <v>-0.1912963</v>
      </c>
      <c r="U5069">
        <v>-1.0031589999999999</v>
      </c>
      <c r="V5069">
        <v>3.1065229999999999E-2</v>
      </c>
      <c r="W5069">
        <v>3.3593350000000001E-2</v>
      </c>
      <c r="X5069">
        <v>0.99895270000000003</v>
      </c>
      <c r="Y5069">
        <v>-0.124102</v>
      </c>
      <c r="Z5069">
        <v>9.3886830000000001E-3</v>
      </c>
      <c r="AA5069">
        <v>0.99222509999999997</v>
      </c>
      <c r="AB5069">
        <v>30</v>
      </c>
      <c r="AC5069">
        <v>-16.415400000000002</v>
      </c>
      <c r="AD5069">
        <v>-1.1114425435769999</v>
      </c>
      <c r="AE5069">
        <v>-5.7704999999999904</v>
      </c>
      <c r="AF5069">
        <v>-2.1801884451895002</v>
      </c>
      <c r="AG5069">
        <v>-1.1114425435769999</v>
      </c>
      <c r="AH5069">
        <v>17.191719963982401</v>
      </c>
      <c r="AI5069">
        <v>93.669707447845894</v>
      </c>
      <c r="AJ5069">
        <v>97.227452505444703</v>
      </c>
      <c r="AK5069">
        <v>17.3650154478538</v>
      </c>
      <c r="AL5069">
        <v>88.074880678704702</v>
      </c>
      <c r="AM5069">
        <v>88.218801416004098</v>
      </c>
      <c r="AN5069">
        <v>1.0000000292582301</v>
      </c>
    </row>
    <row r="5070" spans="1:40" x14ac:dyDescent="0.25">
      <c r="A5070" t="str">
        <f>"20190312154357922"</f>
        <v>20190312154357922</v>
      </c>
      <c r="B5070" t="str">
        <f>"1552376637912346"</f>
        <v>1552376637912346</v>
      </c>
      <c r="C5070" t="s">
        <v>40</v>
      </c>
      <c r="D5070">
        <v>4.88856</v>
      </c>
      <c r="E5070">
        <v>0.44180829999999999</v>
      </c>
      <c r="F5070" t="s">
        <v>69</v>
      </c>
      <c r="G5070">
        <v>-403.13830000000002</v>
      </c>
      <c r="H5070" s="1">
        <v>-2.6714590000000001E-6</v>
      </c>
      <c r="I5070">
        <v>131.15010000000001</v>
      </c>
      <c r="J5070">
        <v>-386.70580000000001</v>
      </c>
      <c r="K5070">
        <v>1.111434</v>
      </c>
      <c r="L5070">
        <v>136.95179999999999</v>
      </c>
      <c r="M5070">
        <v>-0.9772921</v>
      </c>
      <c r="N5070">
        <v>0</v>
      </c>
      <c r="O5070">
        <v>-0.21141589999999999</v>
      </c>
      <c r="P5070">
        <v>-0.98336369999999895</v>
      </c>
      <c r="Q5070">
        <v>1.9326690000000001E-2</v>
      </c>
      <c r="R5070">
        <v>-0.18061669999999999</v>
      </c>
      <c r="S5070">
        <v>-2.8700260000000002</v>
      </c>
      <c r="T5070">
        <v>-0.19067629999999999</v>
      </c>
      <c r="U5070">
        <v>-1.0065</v>
      </c>
      <c r="V5070">
        <v>3.1312810000000003E-2</v>
      </c>
      <c r="W5070">
        <v>3.3649119999999998E-2</v>
      </c>
      <c r="X5070">
        <v>0.99894309999999997</v>
      </c>
      <c r="Y5070">
        <v>-0.1240916</v>
      </c>
      <c r="Z5070">
        <v>9.4294180000000002E-3</v>
      </c>
      <c r="AA5070">
        <v>0.99222589999999999</v>
      </c>
      <c r="AB5070">
        <v>30</v>
      </c>
      <c r="AC5070">
        <v>-16.432500000000001</v>
      </c>
      <c r="AD5070">
        <v>-1.111436671459</v>
      </c>
      <c r="AE5070">
        <v>-5.8016999999999799</v>
      </c>
      <c r="AF5070">
        <v>-2.1871905034050698</v>
      </c>
      <c r="AG5070">
        <v>-1.111436671459</v>
      </c>
      <c r="AH5070">
        <v>17.217647538214901</v>
      </c>
      <c r="AI5070">
        <v>93.664078637999495</v>
      </c>
      <c r="AJ5070">
        <v>97.239615840980704</v>
      </c>
      <c r="AK5070">
        <v>17.391563487020001</v>
      </c>
      <c r="AL5070">
        <v>88.071683499005999</v>
      </c>
      <c r="AM5070">
        <v>88.204597841293193</v>
      </c>
      <c r="AN5070">
        <v>1.0000000361922301</v>
      </c>
    </row>
    <row r="5071" spans="1:40" x14ac:dyDescent="0.25">
      <c r="A5071" t="str">
        <f>"20190312154357943"</f>
        <v>20190312154357943</v>
      </c>
      <c r="B5071" t="str">
        <f>"1552376637932842"</f>
        <v>1552376637932842</v>
      </c>
      <c r="C5071" t="s">
        <v>40</v>
      </c>
      <c r="D5071">
        <v>4.8872609999999996</v>
      </c>
      <c r="E5071">
        <v>0.44168079999999998</v>
      </c>
      <c r="F5071" t="s">
        <v>69</v>
      </c>
      <c r="G5071">
        <v>-403.39109999999999</v>
      </c>
      <c r="H5071" s="1">
        <v>-2.7767859999999999E-6</v>
      </c>
      <c r="I5071">
        <v>131.07679999999999</v>
      </c>
      <c r="J5071">
        <v>-386.98880000000003</v>
      </c>
      <c r="K5071">
        <v>1.1114389999999901</v>
      </c>
      <c r="L5071">
        <v>136.88929999999999</v>
      </c>
      <c r="M5071">
        <v>-0.97705920000000002</v>
      </c>
      <c r="N5071">
        <v>0</v>
      </c>
      <c r="O5071">
        <v>-0.21248990000000001</v>
      </c>
      <c r="P5071">
        <v>-0.98318380000000005</v>
      </c>
      <c r="Q5071">
        <v>1.9751339999999999E-2</v>
      </c>
      <c r="R5071">
        <v>-0.1815476</v>
      </c>
      <c r="S5071">
        <v>-2.8689580000000001</v>
      </c>
      <c r="T5071">
        <v>-0.19110559999999999</v>
      </c>
      <c r="U5071">
        <v>-1.010162</v>
      </c>
      <c r="V5071">
        <v>3.1462289999999997E-2</v>
      </c>
      <c r="W5071">
        <v>3.4070400000000001E-2</v>
      </c>
      <c r="X5071">
        <v>0.99892409999999998</v>
      </c>
      <c r="Y5071">
        <v>-0.1242462</v>
      </c>
      <c r="Z5071">
        <v>9.5134869999999993E-3</v>
      </c>
      <c r="AA5071">
        <v>0.99220580000000003</v>
      </c>
      <c r="AB5071">
        <v>30</v>
      </c>
      <c r="AC5071">
        <v>-16.402299999999901</v>
      </c>
      <c r="AD5071">
        <v>-1.1114417767860001</v>
      </c>
      <c r="AE5071">
        <v>-5.8125</v>
      </c>
      <c r="AF5071">
        <v>-2.1851427172009501</v>
      </c>
      <c r="AG5071">
        <v>-1.1114417767860001</v>
      </c>
      <c r="AH5071">
        <v>17.192736343736001</v>
      </c>
      <c r="AI5071">
        <v>93.669360250758203</v>
      </c>
      <c r="AJ5071">
        <v>97.243278277041696</v>
      </c>
      <c r="AK5071">
        <v>17.366644307491899</v>
      </c>
      <c r="AL5071">
        <v>88.047532039263899</v>
      </c>
      <c r="AM5071">
        <v>88.195998373182405</v>
      </c>
      <c r="AN5071">
        <v>1.0000000127044999</v>
      </c>
    </row>
    <row r="5072" spans="1:40" x14ac:dyDescent="0.25">
      <c r="A5072" t="str">
        <f>"20190312154357966"</f>
        <v>20190312154357966</v>
      </c>
      <c r="B5072" t="str">
        <f>"1552376637952362"</f>
        <v>1552376637952362</v>
      </c>
      <c r="C5072" t="s">
        <v>40</v>
      </c>
      <c r="D5072">
        <v>4.8500899999999998</v>
      </c>
      <c r="E5072">
        <v>0.44156479999999998</v>
      </c>
      <c r="F5072" t="s">
        <v>69</v>
      </c>
      <c r="G5072">
        <v>-403.70890000000003</v>
      </c>
      <c r="H5072" s="1">
        <v>-2.906222E-6</v>
      </c>
      <c r="I5072">
        <v>130.97929999999999</v>
      </c>
      <c r="J5072">
        <v>-387.27620000000002</v>
      </c>
      <c r="K5072">
        <v>1.1114379999999999</v>
      </c>
      <c r="L5072">
        <v>136.82560000000001</v>
      </c>
      <c r="M5072">
        <v>-0.97682159999999996</v>
      </c>
      <c r="N5072">
        <v>0</v>
      </c>
      <c r="O5072">
        <v>-0.2135802</v>
      </c>
      <c r="P5072">
        <v>-0.98298649999999999</v>
      </c>
      <c r="Q5072">
        <v>1.9989730000000001E-2</v>
      </c>
      <c r="R5072">
        <v>-0.18258750000000001</v>
      </c>
      <c r="S5072">
        <v>-2.8679199999999998</v>
      </c>
      <c r="T5072">
        <v>-0.1906409</v>
      </c>
      <c r="U5072">
        <v>-1.0137179999999999</v>
      </c>
      <c r="V5072">
        <v>3.1519230000000002E-2</v>
      </c>
      <c r="W5072">
        <v>3.4304870000000001E-2</v>
      </c>
      <c r="X5072">
        <v>0.99891419999999997</v>
      </c>
      <c r="Y5072">
        <v>-0.1243462</v>
      </c>
      <c r="Z5072">
        <v>9.5558640000000007E-3</v>
      </c>
      <c r="AA5072">
        <v>0.99219290000000004</v>
      </c>
      <c r="AB5072">
        <v>30</v>
      </c>
      <c r="AC5072">
        <v>-16.432700000000001</v>
      </c>
      <c r="AD5072">
        <v>-1.1114409062220001</v>
      </c>
      <c r="AE5072">
        <v>-5.84630000000001</v>
      </c>
      <c r="AF5072">
        <v>-2.1924136613780498</v>
      </c>
      <c r="AG5072">
        <v>-1.1114409062220001</v>
      </c>
      <c r="AH5072">
        <v>17.232252924072199</v>
      </c>
      <c r="AI5072">
        <v>93.660906199224101</v>
      </c>
      <c r="AJ5072">
        <v>97.2506354192858</v>
      </c>
      <c r="AK5072">
        <v>17.406680309289701</v>
      </c>
      <c r="AL5072">
        <v>88.034089882409802</v>
      </c>
      <c r="AM5072">
        <v>88.192717780672794</v>
      </c>
      <c r="AN5072">
        <v>0.99999993246357199</v>
      </c>
    </row>
    <row r="5073" spans="1:40" x14ac:dyDescent="0.25">
      <c r="A5073" t="str">
        <f>"20190312154357989"</f>
        <v>20190312154357989</v>
      </c>
      <c r="B5073" t="str">
        <f>"1552376637982619"</f>
        <v>1552376637982619</v>
      </c>
      <c r="C5073" t="s">
        <v>40</v>
      </c>
      <c r="D5073">
        <v>4.8621230000000004</v>
      </c>
      <c r="E5073">
        <v>0.4414245</v>
      </c>
      <c r="F5073" t="s">
        <v>69</v>
      </c>
      <c r="G5073">
        <v>-404.01780000000002</v>
      </c>
      <c r="H5073" s="1">
        <v>-3.0303839999999998E-6</v>
      </c>
      <c r="I5073">
        <v>130.88130000000001</v>
      </c>
      <c r="J5073">
        <v>-387.57580000000002</v>
      </c>
      <c r="K5073">
        <v>1.1114389999999901</v>
      </c>
      <c r="L5073">
        <v>136.75880000000001</v>
      </c>
      <c r="M5073">
        <v>-0.97657240000000001</v>
      </c>
      <c r="N5073">
        <v>0</v>
      </c>
      <c r="O5073">
        <v>-0.21471660000000001</v>
      </c>
      <c r="P5073">
        <v>-0.98275089999999998</v>
      </c>
      <c r="Q5073">
        <v>1.9524449999999999E-2</v>
      </c>
      <c r="R5073">
        <v>-0.1839017</v>
      </c>
      <c r="S5073">
        <v>-2.86673</v>
      </c>
      <c r="T5073">
        <v>-0.19031580000000001</v>
      </c>
      <c r="U5073">
        <v>-1.0178529999999999</v>
      </c>
      <c r="V5073">
        <v>3.1349170000000003E-2</v>
      </c>
      <c r="W5073">
        <v>3.383593E-2</v>
      </c>
      <c r="X5073">
        <v>0.99893560000000003</v>
      </c>
      <c r="Y5073">
        <v>-0.1245937</v>
      </c>
      <c r="Z5073">
        <v>9.6031459999999999E-3</v>
      </c>
      <c r="AA5073">
        <v>0.99216139999999997</v>
      </c>
      <c r="AB5073">
        <v>30</v>
      </c>
      <c r="AC5073">
        <v>-16.442</v>
      </c>
      <c r="AD5073">
        <v>-1.11144203038399</v>
      </c>
      <c r="AE5073">
        <v>-5.8774999999999897</v>
      </c>
      <c r="AF5073">
        <v>-2.20074160911033</v>
      </c>
      <c r="AG5073">
        <v>-1.11144203038399</v>
      </c>
      <c r="AH5073">
        <v>17.250664752859102</v>
      </c>
      <c r="AI5073">
        <v>93.656854532124996</v>
      </c>
      <c r="AJ5073">
        <v>97.270197807974299</v>
      </c>
      <c r="AK5073">
        <v>17.425957690540599</v>
      </c>
      <c r="AL5073">
        <v>88.060973880522297</v>
      </c>
      <c r="AM5073">
        <v>88.202500925443104</v>
      </c>
      <c r="AN5073">
        <v>0.99999998678300595</v>
      </c>
    </row>
    <row r="5074" spans="1:40" x14ac:dyDescent="0.25">
      <c r="A5074" t="str">
        <f>"20190312154358010"</f>
        <v>20190312154358010</v>
      </c>
      <c r="B5074" t="str">
        <f>"1552376638003118"</f>
        <v>1552376638003118</v>
      </c>
      <c r="C5074" t="s">
        <v>40</v>
      </c>
      <c r="D5074">
        <v>4.8293599999999897</v>
      </c>
      <c r="E5074">
        <v>0.44131969999999998</v>
      </c>
      <c r="F5074" t="s">
        <v>69</v>
      </c>
      <c r="G5074">
        <v>-404.1275</v>
      </c>
      <c r="H5074" s="1">
        <v>-3.0765679999999999E-6</v>
      </c>
      <c r="I5074">
        <v>130.85050000000001</v>
      </c>
      <c r="J5074">
        <v>-387.85509999999999</v>
      </c>
      <c r="K5074">
        <v>1.111437</v>
      </c>
      <c r="L5074">
        <v>136.6961</v>
      </c>
      <c r="M5074">
        <v>-0.97633930000000002</v>
      </c>
      <c r="N5074">
        <v>0</v>
      </c>
      <c r="O5074">
        <v>-0.21577379999999999</v>
      </c>
      <c r="P5074">
        <v>-0.98255780000000004</v>
      </c>
      <c r="Q5074">
        <v>1.952661E-2</v>
      </c>
      <c r="R5074">
        <v>-0.18493009999999999</v>
      </c>
      <c r="S5074">
        <v>-2.8651119999999999</v>
      </c>
      <c r="T5074">
        <v>-0.19239139999999999</v>
      </c>
      <c r="U5074">
        <v>-1.0227200000000001</v>
      </c>
      <c r="V5074">
        <v>3.1385540000000003E-2</v>
      </c>
      <c r="W5074">
        <v>3.3834990000000002E-2</v>
      </c>
      <c r="X5074">
        <v>0.99893449999999995</v>
      </c>
      <c r="Y5074">
        <v>-0.12519640000000001</v>
      </c>
      <c r="Z5074">
        <v>9.7562169999999993E-3</v>
      </c>
      <c r="AA5074">
        <v>0.99208399999999997</v>
      </c>
      <c r="AB5074">
        <v>30</v>
      </c>
      <c r="AC5074">
        <v>-16.272400000000001</v>
      </c>
      <c r="AD5074">
        <v>-1.1114400765679999</v>
      </c>
      <c r="AE5074">
        <v>-5.8455999999999904</v>
      </c>
      <c r="AF5074">
        <v>-2.1873167281033501</v>
      </c>
      <c r="AG5074">
        <v>-1.1114400765679999</v>
      </c>
      <c r="AH5074">
        <v>17.079880481205802</v>
      </c>
      <c r="AI5074">
        <v>93.6930859938699</v>
      </c>
      <c r="AJ5074">
        <v>97.297800515068502</v>
      </c>
      <c r="AK5074">
        <v>17.255201267012701</v>
      </c>
      <c r="AL5074">
        <v>88.061027789190504</v>
      </c>
      <c r="AM5074">
        <v>88.200414932037305</v>
      </c>
      <c r="AN5074">
        <v>0.99999999697982001</v>
      </c>
    </row>
    <row r="5075" spans="1:40" x14ac:dyDescent="0.25">
      <c r="A5075" t="str">
        <f>"20190312154358033"</f>
        <v>20190312154358033</v>
      </c>
      <c r="B5075" t="str">
        <f>"1552376638022634"</f>
        <v>1552376638022634</v>
      </c>
      <c r="C5075" t="s">
        <v>40</v>
      </c>
      <c r="D5075">
        <v>4.7976929999999998</v>
      </c>
      <c r="E5075">
        <v>0.44121490000000002</v>
      </c>
      <c r="F5075" t="s">
        <v>69</v>
      </c>
      <c r="G5075">
        <v>-404.36739999999998</v>
      </c>
      <c r="H5075" s="1">
        <v>-3.1745989999999998E-6</v>
      </c>
      <c r="I5075">
        <v>130.7775</v>
      </c>
      <c r="J5075">
        <v>-388.14510000000001</v>
      </c>
      <c r="K5075">
        <v>1.111434</v>
      </c>
      <c r="L5075">
        <v>136.63079999999999</v>
      </c>
      <c r="M5075">
        <v>-0.97609670000000004</v>
      </c>
      <c r="N5075">
        <v>0</v>
      </c>
      <c r="O5075">
        <v>-0.21686929999999999</v>
      </c>
      <c r="P5075">
        <v>-0.98231769999999996</v>
      </c>
      <c r="Q5075">
        <v>1.950963E-2</v>
      </c>
      <c r="R5075">
        <v>-0.1862029</v>
      </c>
      <c r="S5075">
        <v>-2.8638919999999999</v>
      </c>
      <c r="T5075">
        <v>-0.19276860000000001</v>
      </c>
      <c r="U5075">
        <v>-1.026535</v>
      </c>
      <c r="V5075">
        <v>3.1212730000000001E-2</v>
      </c>
      <c r="W5075">
        <v>3.3814009999999999E-2</v>
      </c>
      <c r="X5075">
        <v>0.99894059999999996</v>
      </c>
      <c r="Y5075">
        <v>-0.1253909</v>
      </c>
      <c r="Z5075">
        <v>9.8390969999999998E-3</v>
      </c>
      <c r="AA5075">
        <v>0.99205860000000001</v>
      </c>
      <c r="AB5075">
        <v>30</v>
      </c>
      <c r="AC5075">
        <v>-16.222299999999901</v>
      </c>
      <c r="AD5075">
        <v>-1.1114371745989999</v>
      </c>
      <c r="AE5075">
        <v>-5.8532999999999902</v>
      </c>
      <c r="AF5075">
        <v>-2.18640993220184</v>
      </c>
      <c r="AG5075">
        <v>-1.1114371745989999</v>
      </c>
      <c r="AH5075">
        <v>17.034919179184101</v>
      </c>
      <c r="AI5075">
        <v>93.702664027406499</v>
      </c>
      <c r="AJ5075">
        <v>97.313853087894202</v>
      </c>
      <c r="AK5075">
        <v>17.2105825707919</v>
      </c>
      <c r="AL5075">
        <v>88.062230494566194</v>
      </c>
      <c r="AM5075">
        <v>88.210327977097506</v>
      </c>
      <c r="AN5075">
        <v>0.99999997205734603</v>
      </c>
    </row>
    <row r="5076" spans="1:40" x14ac:dyDescent="0.25">
      <c r="A5076" t="str">
        <f>"20190312154358055"</f>
        <v>20190312154358055</v>
      </c>
      <c r="B5076" t="str">
        <f>"1552376638043131"</f>
        <v>1552376638043131</v>
      </c>
      <c r="C5076" t="s">
        <v>40</v>
      </c>
      <c r="D5076">
        <v>4.8159809999999998</v>
      </c>
      <c r="E5076">
        <v>0.44111060000000002</v>
      </c>
      <c r="F5076" t="s">
        <v>69</v>
      </c>
      <c r="G5076">
        <v>-404.60340000000002</v>
      </c>
      <c r="H5076" s="1">
        <v>-3.2451749999999998E-6</v>
      </c>
      <c r="I5076">
        <v>130.70179999999999</v>
      </c>
      <c r="J5076">
        <v>-388.43540000000002</v>
      </c>
      <c r="K5076">
        <v>1.1114299999999999</v>
      </c>
      <c r="L5076">
        <v>136.565</v>
      </c>
      <c r="M5076">
        <v>-0.97585350000000004</v>
      </c>
      <c r="N5076">
        <v>0</v>
      </c>
      <c r="O5076">
        <v>-0.21796099999999999</v>
      </c>
      <c r="P5076">
        <v>-0.98211199999999999</v>
      </c>
      <c r="Q5076">
        <v>1.9543060000000001E-2</v>
      </c>
      <c r="R5076">
        <v>-0.18728130000000001</v>
      </c>
      <c r="S5076">
        <v>-2.8623660000000002</v>
      </c>
      <c r="T5076">
        <v>-0.19329679999999999</v>
      </c>
      <c r="U5076">
        <v>-1.0311429999999999</v>
      </c>
      <c r="V5076">
        <v>3.1233690000000001E-2</v>
      </c>
      <c r="W5076">
        <v>3.3843560000000002E-2</v>
      </c>
      <c r="X5076">
        <v>0.99893900000000002</v>
      </c>
      <c r="Y5076">
        <v>-0.12586549999999999</v>
      </c>
      <c r="Z5076">
        <v>9.9209899999999993E-3</v>
      </c>
      <c r="AA5076">
        <v>0.99199769999999998</v>
      </c>
      <c r="AB5076">
        <v>30</v>
      </c>
      <c r="AC5076">
        <v>-16.167999999999999</v>
      </c>
      <c r="AD5076">
        <v>-1.111433245175</v>
      </c>
      <c r="AE5076">
        <v>-5.8632</v>
      </c>
      <c r="AF5076">
        <v>-2.1887130177891301</v>
      </c>
      <c r="AG5076">
        <v>-1.111433245175</v>
      </c>
      <c r="AH5076">
        <v>16.9863385405895</v>
      </c>
      <c r="AI5076">
        <v>93.712975451351795</v>
      </c>
      <c r="AJ5076">
        <v>97.342184817810903</v>
      </c>
      <c r="AK5076">
        <v>17.162792475242401</v>
      </c>
      <c r="AL5076">
        <v>88.060536542842499</v>
      </c>
      <c r="AM5076">
        <v>88.209124090728693</v>
      </c>
      <c r="AN5076">
        <v>1.0000000278327399</v>
      </c>
    </row>
    <row r="5077" spans="1:40" x14ac:dyDescent="0.25">
      <c r="A5077" t="str">
        <f>"20190312154358079"</f>
        <v>20190312154358079</v>
      </c>
      <c r="B5077" t="str">
        <f>"1552376638072411"</f>
        <v>1552376638072411</v>
      </c>
      <c r="C5077" t="s">
        <v>40</v>
      </c>
      <c r="D5077">
        <v>4.7540639999999996</v>
      </c>
      <c r="E5077">
        <v>0.44093579999999999</v>
      </c>
      <c r="F5077" t="s">
        <v>69</v>
      </c>
      <c r="G5077">
        <v>-404.83909999999997</v>
      </c>
      <c r="H5077" s="1">
        <v>-3.3164160000000001E-6</v>
      </c>
      <c r="I5077">
        <v>130.63050000000001</v>
      </c>
      <c r="J5077">
        <v>-388.73540000000003</v>
      </c>
      <c r="K5077">
        <v>1.111424</v>
      </c>
      <c r="L5077">
        <v>136.4967</v>
      </c>
      <c r="M5077">
        <v>-0.97560329999999995</v>
      </c>
      <c r="N5077">
        <v>0</v>
      </c>
      <c r="O5077">
        <v>-0.219079</v>
      </c>
      <c r="P5077">
        <v>-0.98186779999999996</v>
      </c>
      <c r="Q5077">
        <v>1.971496E-2</v>
      </c>
      <c r="R5077">
        <v>-0.1885386</v>
      </c>
      <c r="S5077">
        <v>-2.861145</v>
      </c>
      <c r="T5077">
        <v>-0.19385649999999999</v>
      </c>
      <c r="U5077">
        <v>-1.0350950000000001</v>
      </c>
      <c r="V5077">
        <v>3.109872E-2</v>
      </c>
      <c r="W5077">
        <v>3.4011310000000003E-2</v>
      </c>
      <c r="X5077">
        <v>0.99893750000000003</v>
      </c>
      <c r="Y5077">
        <v>-0.12607879999999999</v>
      </c>
      <c r="Z5077">
        <v>1.0014479999999999E-2</v>
      </c>
      <c r="AA5077">
        <v>0.99196969999999995</v>
      </c>
      <c r="AB5077">
        <v>30</v>
      </c>
      <c r="AC5077">
        <v>-16.1036999999999</v>
      </c>
      <c r="AD5077">
        <v>-1.111427316416</v>
      </c>
      <c r="AE5077">
        <v>-5.8661999999999903</v>
      </c>
      <c r="AF5077">
        <v>-2.1861306426134499</v>
      </c>
      <c r="AG5077">
        <v>-1.111427316416</v>
      </c>
      <c r="AH5077">
        <v>16.926524885762301</v>
      </c>
      <c r="AI5077">
        <v>93.725896622361205</v>
      </c>
      <c r="AJ5077">
        <v>97.359247803775403</v>
      </c>
      <c r="AK5077">
        <v>17.103265260603902</v>
      </c>
      <c r="AL5077">
        <v>88.0509196131393</v>
      </c>
      <c r="AM5077">
        <v>88.216855311750194</v>
      </c>
      <c r="AN5077">
        <v>1.0000000142498999</v>
      </c>
    </row>
    <row r="5078" spans="1:40" x14ac:dyDescent="0.25">
      <c r="A5078" t="str">
        <f>"20190312154358100"</f>
        <v>20190312154358100</v>
      </c>
      <c r="B5078" t="str">
        <f>"1552376638092907"</f>
        <v>1552376638092907</v>
      </c>
      <c r="C5078" t="s">
        <v>40</v>
      </c>
      <c r="D5078">
        <v>4.7722939999999996</v>
      </c>
      <c r="E5078">
        <v>0.44082179999999999</v>
      </c>
      <c r="F5078" t="s">
        <v>69</v>
      </c>
      <c r="G5078">
        <v>-405.12689999999998</v>
      </c>
      <c r="H5078" s="1">
        <v>-3.4395580000000002E-6</v>
      </c>
      <c r="I5078">
        <v>130.53450000000001</v>
      </c>
      <c r="J5078">
        <v>-389.0172</v>
      </c>
      <c r="K5078">
        <v>1.1114120000000001</v>
      </c>
      <c r="L5078">
        <v>136.4323</v>
      </c>
      <c r="M5078">
        <v>-0.97537039999999997</v>
      </c>
      <c r="N5078">
        <v>0</v>
      </c>
      <c r="O5078">
        <v>-0.220114</v>
      </c>
      <c r="P5078">
        <v>-0.98167769999999999</v>
      </c>
      <c r="Q5078">
        <v>2.0169380000000001E-2</v>
      </c>
      <c r="R5078">
        <v>-0.18947939999999999</v>
      </c>
      <c r="S5078">
        <v>-2.8595280000000001</v>
      </c>
      <c r="T5078">
        <v>-0.1938906</v>
      </c>
      <c r="U5078">
        <v>-1.0401149999999999</v>
      </c>
      <c r="V5078">
        <v>3.1199299999999999E-2</v>
      </c>
      <c r="W5078">
        <v>3.4460699999999997E-2</v>
      </c>
      <c r="X5078">
        <v>0.998919</v>
      </c>
      <c r="Y5078">
        <v>-0.12674540000000001</v>
      </c>
      <c r="Z5078">
        <v>1.0061479999999999E-2</v>
      </c>
      <c r="AA5078">
        <v>0.99188419999999999</v>
      </c>
      <c r="AB5078">
        <v>30</v>
      </c>
      <c r="AC5078">
        <v>-16.109699999999901</v>
      </c>
      <c r="AD5078">
        <v>-1.111415439558</v>
      </c>
      <c r="AE5078">
        <v>-5.8977999999999797</v>
      </c>
      <c r="AF5078">
        <v>-2.1975688936056401</v>
      </c>
      <c r="AG5078">
        <v>-1.111415439558</v>
      </c>
      <c r="AH5078">
        <v>16.941728017172601</v>
      </c>
      <c r="AI5078">
        <v>93.722258558106205</v>
      </c>
      <c r="AJ5078">
        <v>97.390762639776</v>
      </c>
      <c r="AK5078">
        <v>17.119775160009599</v>
      </c>
      <c r="AL5078">
        <v>88.025156435197303</v>
      </c>
      <c r="AM5078">
        <v>88.211058867509095</v>
      </c>
      <c r="AN5078">
        <v>1.00000005236298</v>
      </c>
    </row>
    <row r="5079" spans="1:40" x14ac:dyDescent="0.25">
      <c r="A5079" t="str">
        <f>"20190312154358122"</f>
        <v>20190312154358122</v>
      </c>
      <c r="B5079" t="str">
        <f>"1552376638112426"</f>
        <v>1552376638112426</v>
      </c>
      <c r="C5079" t="s">
        <v>40</v>
      </c>
      <c r="D5079">
        <v>4.7761380000000004</v>
      </c>
      <c r="E5079">
        <v>0.44072159999999999</v>
      </c>
      <c r="F5079" t="s">
        <v>69</v>
      </c>
      <c r="G5079">
        <v>-405.45890000000003</v>
      </c>
      <c r="H5079" s="1">
        <v>-3.6164269999999999E-6</v>
      </c>
      <c r="I5079">
        <v>130.4282</v>
      </c>
      <c r="J5079">
        <v>-389.29880000000003</v>
      </c>
      <c r="K5079">
        <v>1.1113980000000001</v>
      </c>
      <c r="L5079">
        <v>136.36750000000001</v>
      </c>
      <c r="M5079">
        <v>-0.97514100000000004</v>
      </c>
      <c r="N5079">
        <v>0</v>
      </c>
      <c r="O5079">
        <v>-0.22112770000000001</v>
      </c>
      <c r="P5079">
        <v>-0.98153999999999997</v>
      </c>
      <c r="Q5079">
        <v>2.048063E-2</v>
      </c>
      <c r="R5079">
        <v>-0.19015779999999999</v>
      </c>
      <c r="S5079">
        <v>-2.8584589999999999</v>
      </c>
      <c r="T5079">
        <v>-0.19322400000000001</v>
      </c>
      <c r="U5079">
        <v>-1.0438229999999999</v>
      </c>
      <c r="V5079">
        <v>3.1546949999999997E-2</v>
      </c>
      <c r="W5079">
        <v>3.4768069999999998E-2</v>
      </c>
      <c r="X5079">
        <v>0.99889740000000005</v>
      </c>
      <c r="Y5079">
        <v>-0.12696939999999901</v>
      </c>
      <c r="Z5079">
        <v>1.0084299999999999E-2</v>
      </c>
      <c r="AA5079">
        <v>0.99185540000000005</v>
      </c>
      <c r="AB5079">
        <v>30</v>
      </c>
      <c r="AC5079">
        <v>-16.1601</v>
      </c>
      <c r="AD5079">
        <v>-1.111401616427</v>
      </c>
      <c r="AE5079">
        <v>-5.9393000000000002</v>
      </c>
      <c r="AF5079">
        <v>-2.2092279433295499</v>
      </c>
      <c r="AG5079">
        <v>-1.111401616427</v>
      </c>
      <c r="AH5079">
        <v>17.0025985520315</v>
      </c>
      <c r="AI5079">
        <v>93.708819349184395</v>
      </c>
      <c r="AJ5079">
        <v>97.403234192156802</v>
      </c>
      <c r="AK5079">
        <v>17.181509223002699</v>
      </c>
      <c r="AL5079">
        <v>88.007534812399896</v>
      </c>
      <c r="AM5079">
        <v>88.191098995742806</v>
      </c>
      <c r="AN5079">
        <v>1.0000000222362899</v>
      </c>
    </row>
    <row r="5080" spans="1:40" x14ac:dyDescent="0.25">
      <c r="A5080" t="str">
        <f>"20190312154358144"</f>
        <v>20190312154358144</v>
      </c>
      <c r="B5080" t="str">
        <f>"1552376638132924"</f>
        <v>1552376638132924</v>
      </c>
      <c r="C5080" t="s">
        <v>40</v>
      </c>
      <c r="D5080">
        <v>4.7485339999999896</v>
      </c>
      <c r="E5080">
        <v>0.44062180000000001</v>
      </c>
      <c r="F5080" t="s">
        <v>69</v>
      </c>
      <c r="G5080">
        <v>-405.79930000000002</v>
      </c>
      <c r="H5080" s="1">
        <v>-3.799837E-6</v>
      </c>
      <c r="I5080">
        <v>130.3236</v>
      </c>
      <c r="J5080">
        <v>-389.584</v>
      </c>
      <c r="K5080">
        <v>1.111372</v>
      </c>
      <c r="L5080">
        <v>136.30160000000001</v>
      </c>
      <c r="M5080">
        <v>-0.97491369999999999</v>
      </c>
      <c r="N5080">
        <v>0</v>
      </c>
      <c r="O5080">
        <v>-0.2221282</v>
      </c>
      <c r="P5080">
        <v>-0.98138559999999997</v>
      </c>
      <c r="Q5080">
        <v>2.069584E-2</v>
      </c>
      <c r="R5080">
        <v>-0.19092909999999999</v>
      </c>
      <c r="S5080">
        <v>-2.8576969999999999</v>
      </c>
      <c r="T5080">
        <v>-0.1924814</v>
      </c>
      <c r="U5080">
        <v>-1.0467219999999999</v>
      </c>
      <c r="V5080">
        <v>3.1787179999999998E-2</v>
      </c>
      <c r="W5080">
        <v>3.4978710000000003E-2</v>
      </c>
      <c r="X5080">
        <v>0.99888239999999995</v>
      </c>
      <c r="Y5080">
        <v>-0.12692500000000001</v>
      </c>
      <c r="Z5080">
        <v>1.011022E-2</v>
      </c>
      <c r="AA5080">
        <v>0.99186079999999999</v>
      </c>
      <c r="AB5080">
        <v>30</v>
      </c>
      <c r="AC5080">
        <v>-16.215299999999999</v>
      </c>
      <c r="AD5080">
        <v>-1.111375799837</v>
      </c>
      <c r="AE5080">
        <v>-5.9779999999999998</v>
      </c>
      <c r="AF5080">
        <v>-2.2172146882708601</v>
      </c>
      <c r="AG5080">
        <v>-1.111375799837</v>
      </c>
      <c r="AH5080">
        <v>17.067551805607401</v>
      </c>
      <c r="AI5080">
        <v>93.694670929903097</v>
      </c>
      <c r="AJ5080">
        <v>97.401738918311096</v>
      </c>
      <c r="AK5080">
        <v>17.246811930888601</v>
      </c>
      <c r="AL5080">
        <v>87.995458623564502</v>
      </c>
      <c r="AM5080">
        <v>88.177306120050702</v>
      </c>
      <c r="AN5080">
        <v>0.99999999199768796</v>
      </c>
    </row>
    <row r="5081" spans="1:40" x14ac:dyDescent="0.25">
      <c r="A5081" t="str">
        <f>"20190312154358167"</f>
        <v>20190312154358167</v>
      </c>
      <c r="B5081" t="str">
        <f>"1552376638163179"</f>
        <v>1552376638163179</v>
      </c>
      <c r="C5081" t="s">
        <v>40</v>
      </c>
      <c r="D5081">
        <v>4.6988589999999997</v>
      </c>
      <c r="E5081">
        <v>0.44046540000000001</v>
      </c>
      <c r="F5081" t="s">
        <v>69</v>
      </c>
      <c r="G5081">
        <v>-406.1096</v>
      </c>
      <c r="H5081" s="1">
        <v>-3.9672279999999998E-6</v>
      </c>
      <c r="I5081">
        <v>130.22890000000001</v>
      </c>
      <c r="J5081">
        <v>-389.86399999999998</v>
      </c>
      <c r="K5081">
        <v>1.1113440000000001</v>
      </c>
      <c r="L5081">
        <v>136.23679999999999</v>
      </c>
      <c r="M5081">
        <v>-0.97469649999999997</v>
      </c>
      <c r="N5081">
        <v>0</v>
      </c>
      <c r="O5081">
        <v>-0.2230801</v>
      </c>
      <c r="P5081">
        <v>-0.98127679999999995</v>
      </c>
      <c r="Q5081">
        <v>2.097189E-2</v>
      </c>
      <c r="R5081">
        <v>-0.19145889999999999</v>
      </c>
      <c r="S5081">
        <v>-2.8566889999999998</v>
      </c>
      <c r="T5081">
        <v>-0.19211839999999999</v>
      </c>
      <c r="U5081">
        <v>-1.0497590000000001</v>
      </c>
      <c r="V5081">
        <v>3.2224139999999998E-2</v>
      </c>
      <c r="W5081">
        <v>3.5249870000000003E-2</v>
      </c>
      <c r="X5081">
        <v>0.99885889999999999</v>
      </c>
      <c r="Y5081">
        <v>-0.12699949999999999</v>
      </c>
      <c r="Z5081">
        <v>1.0149439999999999E-2</v>
      </c>
      <c r="AA5081">
        <v>0.99185089999999998</v>
      </c>
      <c r="AB5081">
        <v>30</v>
      </c>
      <c r="AC5081">
        <v>-16.2455999999999</v>
      </c>
      <c r="AD5081">
        <v>-1.111347967228</v>
      </c>
      <c r="AE5081">
        <v>-6.00789999999997</v>
      </c>
      <c r="AF5081">
        <v>-2.2228833489010098</v>
      </c>
      <c r="AG5081">
        <v>-1.111347967228</v>
      </c>
      <c r="AH5081">
        <v>17.106085271811601</v>
      </c>
      <c r="AI5081">
        <v>93.686260959448305</v>
      </c>
      <c r="AJ5081">
        <v>97.403922229854999</v>
      </c>
      <c r="AK5081">
        <v>17.285672044024601</v>
      </c>
      <c r="AL5081">
        <v>87.979912780050199</v>
      </c>
      <c r="AM5081">
        <v>88.152224409641306</v>
      </c>
      <c r="AN5081">
        <v>1.00000002532148</v>
      </c>
    </row>
    <row r="5082" spans="1:40" x14ac:dyDescent="0.25">
      <c r="A5082" t="str">
        <f>"20190312154358190"</f>
        <v>20190312154358190</v>
      </c>
      <c r="B5082" t="str">
        <f>"1552376638182698"</f>
        <v>1552376638182698</v>
      </c>
      <c r="C5082" t="s">
        <v>40</v>
      </c>
      <c r="D5082">
        <v>4.6931960000000004</v>
      </c>
      <c r="E5082">
        <v>0.44035550000000001</v>
      </c>
      <c r="F5082" t="s">
        <v>69</v>
      </c>
      <c r="G5082">
        <v>-406.43119999999999</v>
      </c>
      <c r="H5082" s="1">
        <v>-4.1404350000000001E-6</v>
      </c>
      <c r="I5082">
        <v>130.1301</v>
      </c>
      <c r="J5082">
        <v>-390.15519999999998</v>
      </c>
      <c r="K5082">
        <v>1.1113150000000001</v>
      </c>
      <c r="L5082">
        <v>136.16899999999899</v>
      </c>
      <c r="M5082">
        <v>-0.97447740000000005</v>
      </c>
      <c r="N5082">
        <v>0</v>
      </c>
      <c r="O5082">
        <v>-0.22403500000000001</v>
      </c>
      <c r="P5082">
        <v>-0.98109199999999996</v>
      </c>
      <c r="Q5082">
        <v>2.0901469999999998E-2</v>
      </c>
      <c r="R5082">
        <v>-0.19241079999999999</v>
      </c>
      <c r="S5082">
        <v>-2.8559269999999999</v>
      </c>
      <c r="T5082">
        <v>-0.19157969999999999</v>
      </c>
      <c r="U5082">
        <v>-1.0527040000000001</v>
      </c>
      <c r="V5082">
        <v>3.2236679999999997E-2</v>
      </c>
      <c r="W5082">
        <v>3.5173610000000001E-2</v>
      </c>
      <c r="X5082">
        <v>0.99886109999999995</v>
      </c>
      <c r="Y5082">
        <v>-0.12701480000000001</v>
      </c>
      <c r="Z5082">
        <v>1.018049E-2</v>
      </c>
      <c r="AA5082">
        <v>0.99184859999999997</v>
      </c>
      <c r="AB5082">
        <v>29</v>
      </c>
      <c r="AC5082">
        <v>-16.276</v>
      </c>
      <c r="AD5082">
        <v>-1.111319140435</v>
      </c>
      <c r="AE5082">
        <v>-6.0388999999999804</v>
      </c>
      <c r="AF5082">
        <v>-2.2294678700125998</v>
      </c>
      <c r="AG5082">
        <v>-1.111319140435</v>
      </c>
      <c r="AH5082">
        <v>17.144999345458199</v>
      </c>
      <c r="AI5082">
        <v>93.677780312862794</v>
      </c>
      <c r="AJ5082">
        <v>97.408942903614602</v>
      </c>
      <c r="AK5082">
        <v>17.325026977499199</v>
      </c>
      <c r="AL5082">
        <v>87.984284698774403</v>
      </c>
      <c r="AM5082">
        <v>88.151509916409097</v>
      </c>
      <c r="AN5082">
        <v>0.99999994173552997</v>
      </c>
    </row>
    <row r="5083" spans="1:40" x14ac:dyDescent="0.25">
      <c r="A5083" t="str">
        <f>"20190312154358211"</f>
        <v>20190312154358211</v>
      </c>
      <c r="B5083" t="str">
        <f>"1552376638203194"</f>
        <v>1552376638203194</v>
      </c>
      <c r="C5083" t="s">
        <v>40</v>
      </c>
      <c r="D5083">
        <v>4.7301950000000001</v>
      </c>
      <c r="E5083">
        <v>0.44023449999999997</v>
      </c>
      <c r="F5083" t="s">
        <v>69</v>
      </c>
      <c r="G5083">
        <v>-406.69920000000002</v>
      </c>
      <c r="H5083" s="1">
        <v>-4.2841780000000002E-6</v>
      </c>
      <c r="I5083">
        <v>130.0463</v>
      </c>
      <c r="J5083">
        <v>-390.43770000000001</v>
      </c>
      <c r="K5083">
        <v>1.1112899999999999</v>
      </c>
      <c r="L5083">
        <v>136.10299999999901</v>
      </c>
      <c r="M5083">
        <v>-0.97427149999999996</v>
      </c>
      <c r="N5083">
        <v>0</v>
      </c>
      <c r="O5083">
        <v>-0.2249285</v>
      </c>
      <c r="P5083">
        <v>-0.98098339999999995</v>
      </c>
      <c r="Q5083">
        <v>2.1534049999999999E-2</v>
      </c>
      <c r="R5083">
        <v>-0.1928938</v>
      </c>
      <c r="S5083">
        <v>-2.8546749999999999</v>
      </c>
      <c r="T5083">
        <v>-0.1917584</v>
      </c>
      <c r="U5083">
        <v>-1.056473</v>
      </c>
      <c r="V5083">
        <v>3.2659130000000001E-2</v>
      </c>
      <c r="W5083">
        <v>3.5800739999999998E-2</v>
      </c>
      <c r="X5083">
        <v>0.99882510000000002</v>
      </c>
      <c r="Y5083">
        <v>-0.12739990000000001</v>
      </c>
      <c r="Z5083">
        <v>1.023463E-2</v>
      </c>
      <c r="AA5083">
        <v>0.99179859999999997</v>
      </c>
      <c r="AB5083">
        <v>29</v>
      </c>
      <c r="AC5083">
        <v>-16.261500000000002</v>
      </c>
      <c r="AD5083">
        <v>-1.11129428417799</v>
      </c>
      <c r="AE5083">
        <v>-6.05669999999997</v>
      </c>
      <c r="AF5083">
        <v>-2.2342589252844198</v>
      </c>
      <c r="AG5083">
        <v>-1.11129428417799</v>
      </c>
      <c r="AH5083">
        <v>17.136897223826601</v>
      </c>
      <c r="AI5083">
        <v>93.679272050574198</v>
      </c>
      <c r="AJ5083">
        <v>97.428158140583307</v>
      </c>
      <c r="AK5083">
        <v>17.317624963927798</v>
      </c>
      <c r="AL5083">
        <v>87.948330156156899</v>
      </c>
      <c r="AM5083">
        <v>88.127235812868605</v>
      </c>
      <c r="AN5083">
        <v>0.99999994607345499</v>
      </c>
    </row>
    <row r="5084" spans="1:40" x14ac:dyDescent="0.25">
      <c r="A5084" t="str">
        <f>"20190312154358234"</f>
        <v>20190312154358234</v>
      </c>
      <c r="B5084" t="str">
        <f>"1552376638222715"</f>
        <v>1552376638222715</v>
      </c>
      <c r="C5084" t="s">
        <v>40</v>
      </c>
      <c r="D5084">
        <v>4.6914099999999896</v>
      </c>
      <c r="E5084">
        <v>0.4401215</v>
      </c>
      <c r="F5084" t="s">
        <v>69</v>
      </c>
      <c r="G5084">
        <v>-407.13240000000002</v>
      </c>
      <c r="H5084" s="1">
        <v>-4.5151829999999997E-6</v>
      </c>
      <c r="I5084">
        <v>129.90809999999999</v>
      </c>
      <c r="J5084">
        <v>-390.726</v>
      </c>
      <c r="K5084">
        <v>1.1112709999999999</v>
      </c>
      <c r="L5084">
        <v>136.03540000000001</v>
      </c>
      <c r="M5084">
        <v>-0.97406669999999995</v>
      </c>
      <c r="N5084">
        <v>0</v>
      </c>
      <c r="O5084">
        <v>-0.2258143</v>
      </c>
      <c r="P5084">
        <v>-0.98087179999999996</v>
      </c>
      <c r="Q5084">
        <v>2.158668E-2</v>
      </c>
      <c r="R5084">
        <v>-0.1934545</v>
      </c>
      <c r="S5084">
        <v>-2.854095</v>
      </c>
      <c r="T5084">
        <v>-0.18998480000000001</v>
      </c>
      <c r="U5084">
        <v>-1.059067</v>
      </c>
      <c r="V5084">
        <v>3.2997980000000003E-2</v>
      </c>
      <c r="W5084">
        <v>3.5848860000000003E-2</v>
      </c>
      <c r="X5084">
        <v>0.99881229999999999</v>
      </c>
      <c r="Y5084">
        <v>-0.12735450000000001</v>
      </c>
      <c r="Z5084">
        <v>1.019641E-2</v>
      </c>
      <c r="AA5084">
        <v>0.99180480000000004</v>
      </c>
      <c r="AB5084">
        <v>29</v>
      </c>
      <c r="AC5084">
        <v>-16.406400000000001</v>
      </c>
      <c r="AD5084">
        <v>-1.1112755151829901</v>
      </c>
      <c r="AE5084">
        <v>-6.1273000000000204</v>
      </c>
      <c r="AF5084">
        <v>-2.25474939588868</v>
      </c>
      <c r="AG5084">
        <v>-1.1112755151829901</v>
      </c>
      <c r="AH5084">
        <v>17.296671412950399</v>
      </c>
      <c r="AI5084">
        <v>93.645325425459703</v>
      </c>
      <c r="AJ5084">
        <v>97.427049318689996</v>
      </c>
      <c r="AK5084">
        <v>17.478377215190299</v>
      </c>
      <c r="AL5084">
        <v>87.945571441570905</v>
      </c>
      <c r="AM5084">
        <v>88.107795044678994</v>
      </c>
      <c r="AN5084">
        <v>1.00000000903933</v>
      </c>
    </row>
    <row r="5085" spans="1:40" x14ac:dyDescent="0.25">
      <c r="A5085" t="str">
        <f>"20190312154358256"</f>
        <v>20190312154358256</v>
      </c>
      <c r="B5085" t="str">
        <f>"1552376638252971"</f>
        <v>1552376638252971</v>
      </c>
      <c r="C5085" t="s">
        <v>40</v>
      </c>
      <c r="D5085">
        <v>4.6983879999999996</v>
      </c>
      <c r="E5085">
        <v>0.43995790000000001</v>
      </c>
      <c r="F5085" t="s">
        <v>69</v>
      </c>
      <c r="G5085">
        <v>-407.42959999999999</v>
      </c>
      <c r="H5085" s="1">
        <v>-4.6765689999999996E-6</v>
      </c>
      <c r="I5085">
        <v>129.81970000000001</v>
      </c>
      <c r="J5085">
        <v>-391.0093</v>
      </c>
      <c r="K5085">
        <v>1.111256</v>
      </c>
      <c r="L5085">
        <v>135.96870000000001</v>
      </c>
      <c r="M5085">
        <v>-0.9738696</v>
      </c>
      <c r="N5085">
        <v>0</v>
      </c>
      <c r="O5085">
        <v>-0.2266628</v>
      </c>
      <c r="P5085">
        <v>-0.98077780000000003</v>
      </c>
      <c r="Q5085">
        <v>2.1599509999999999E-2</v>
      </c>
      <c r="R5085">
        <v>-0.19392860000000001</v>
      </c>
      <c r="S5085">
        <v>-2.8532709999999999</v>
      </c>
      <c r="T5085">
        <v>-0.18982550000000001</v>
      </c>
      <c r="U5085">
        <v>-1.061752</v>
      </c>
      <c r="V5085">
        <v>3.3387180000000002E-2</v>
      </c>
      <c r="W5085">
        <v>3.5856489999999998E-2</v>
      </c>
      <c r="X5085">
        <v>0.99879910000000005</v>
      </c>
      <c r="Y5085">
        <v>-0.12740509999999999</v>
      </c>
      <c r="Z5085">
        <v>1.0239420000000001E-2</v>
      </c>
      <c r="AA5085">
        <v>0.99179790000000001</v>
      </c>
      <c r="AB5085">
        <v>29</v>
      </c>
      <c r="AC5085">
        <v>-16.420299999999902</v>
      </c>
      <c r="AD5085">
        <v>-1.1112606765690001</v>
      </c>
      <c r="AE5085">
        <v>-6.149</v>
      </c>
      <c r="AF5085">
        <v>-2.25761361066967</v>
      </c>
      <c r="AG5085">
        <v>-1.1112606765690001</v>
      </c>
      <c r="AH5085">
        <v>17.317177452158202</v>
      </c>
      <c r="AI5085">
        <v>93.640966828874198</v>
      </c>
      <c r="AJ5085">
        <v>97.427671029941493</v>
      </c>
      <c r="AK5085">
        <v>17.499038671192899</v>
      </c>
      <c r="AL5085">
        <v>87.945134009720306</v>
      </c>
      <c r="AM5085">
        <v>88.085468356886395</v>
      </c>
      <c r="AN5085">
        <v>1.0000000169121399</v>
      </c>
    </row>
    <row r="5086" spans="1:40" x14ac:dyDescent="0.25">
      <c r="A5086" t="str">
        <f>"20190312154358279"</f>
        <v>20190312154358279</v>
      </c>
      <c r="B5086" t="str">
        <f>"1552376638272491"</f>
        <v>1552376638272491</v>
      </c>
      <c r="C5086" t="s">
        <v>40</v>
      </c>
      <c r="D5086">
        <v>4.6693509999999998</v>
      </c>
      <c r="E5086">
        <v>0.43984580000000001</v>
      </c>
      <c r="F5086" t="s">
        <v>69</v>
      </c>
      <c r="G5086">
        <v>-407.65809999999999</v>
      </c>
      <c r="H5086" s="1">
        <v>-4.8018320000000004E-6</v>
      </c>
      <c r="I5086">
        <v>129.75399999999999</v>
      </c>
      <c r="J5086">
        <v>-391.30290000000002</v>
      </c>
      <c r="K5086">
        <v>1.1112379999999999</v>
      </c>
      <c r="L5086">
        <v>135.89930000000001</v>
      </c>
      <c r="M5086">
        <v>-0.97366900000000001</v>
      </c>
      <c r="N5086">
        <v>0</v>
      </c>
      <c r="O5086">
        <v>-0.22752349999999999</v>
      </c>
      <c r="P5086">
        <v>-0.98068290000000002</v>
      </c>
      <c r="Q5086">
        <v>2.1885089999999999E-2</v>
      </c>
      <c r="R5086">
        <v>-0.1943773</v>
      </c>
      <c r="S5086">
        <v>-2.8524780000000001</v>
      </c>
      <c r="T5086">
        <v>-0.19039429999999999</v>
      </c>
      <c r="U5086">
        <v>-1.0647740000000001</v>
      </c>
      <c r="V5086">
        <v>3.3813160000000002E-2</v>
      </c>
      <c r="W5086">
        <v>3.613765E-2</v>
      </c>
      <c r="X5086">
        <v>0.99877459999999996</v>
      </c>
      <c r="Y5086">
        <v>-0.1275434</v>
      </c>
      <c r="Z5086">
        <v>1.031929E-2</v>
      </c>
      <c r="AA5086">
        <v>0.99177930000000003</v>
      </c>
      <c r="AB5086">
        <v>29</v>
      </c>
      <c r="AC5086">
        <v>-16.3551999999999</v>
      </c>
      <c r="AD5086">
        <v>-1.111242801832</v>
      </c>
      <c r="AE5086">
        <v>-6.1453000000000104</v>
      </c>
      <c r="AF5086">
        <v>-2.2534082488858198</v>
      </c>
      <c r="AG5086">
        <v>-1.111242801832</v>
      </c>
      <c r="AH5086">
        <v>17.2546983463624</v>
      </c>
      <c r="AI5086">
        <v>93.653949706247701</v>
      </c>
      <c r="AJ5086">
        <v>97.440534946342197</v>
      </c>
      <c r="AK5086">
        <v>17.436666089729801</v>
      </c>
      <c r="AL5086">
        <v>87.929014206007693</v>
      </c>
      <c r="AM5086">
        <v>88.061012252542696</v>
      </c>
      <c r="AN5086">
        <v>0.99999998057093298</v>
      </c>
    </row>
    <row r="5087" spans="1:40" x14ac:dyDescent="0.25">
      <c r="A5087" t="str">
        <f>"20190312154358301"</f>
        <v>20190312154358301</v>
      </c>
      <c r="B5087" t="str">
        <f>"1552376638292986"</f>
        <v>1552376638292986</v>
      </c>
      <c r="C5087" t="s">
        <v>40</v>
      </c>
      <c r="D5087">
        <v>4.7022779999999997</v>
      </c>
      <c r="E5087">
        <v>0.43970910000000002</v>
      </c>
      <c r="F5087" t="s">
        <v>69</v>
      </c>
      <c r="G5087">
        <v>-407.97590000000002</v>
      </c>
      <c r="H5087" s="1">
        <v>-4.975422E-6</v>
      </c>
      <c r="I5087">
        <v>129.66159999999999</v>
      </c>
      <c r="J5087">
        <v>-391.58199999999999</v>
      </c>
      <c r="K5087">
        <v>1.111224</v>
      </c>
      <c r="L5087">
        <v>135.83320000000001</v>
      </c>
      <c r="M5087">
        <v>-0.97348000000000001</v>
      </c>
      <c r="N5087">
        <v>0</v>
      </c>
      <c r="O5087">
        <v>-0.22833039999999999</v>
      </c>
      <c r="P5087">
        <v>-0.98062020000000005</v>
      </c>
      <c r="Q5087">
        <v>2.1983630000000001E-2</v>
      </c>
      <c r="R5087">
        <v>-0.1946812</v>
      </c>
      <c r="S5087">
        <v>-2.8518370000000002</v>
      </c>
      <c r="T5087">
        <v>-0.19007270000000001</v>
      </c>
      <c r="U5087">
        <v>-1.06694</v>
      </c>
      <c r="V5087">
        <v>3.4331849999999997E-2</v>
      </c>
      <c r="W5087">
        <v>3.6232479999999997E-2</v>
      </c>
      <c r="X5087">
        <v>0.99875349999999996</v>
      </c>
      <c r="Y5087">
        <v>-0.1274565</v>
      </c>
      <c r="Z5087">
        <v>1.0355110000000001E-2</v>
      </c>
      <c r="AA5087">
        <v>0.99179010000000001</v>
      </c>
      <c r="AB5087">
        <v>29</v>
      </c>
      <c r="AC5087">
        <v>-16.393899999999999</v>
      </c>
      <c r="AD5087">
        <v>-1.1112289754219999</v>
      </c>
      <c r="AE5087">
        <v>-6.1716000000000104</v>
      </c>
      <c r="AF5087">
        <v>-2.2558540213542702</v>
      </c>
      <c r="AG5087">
        <v>-1.1112289754219999</v>
      </c>
      <c r="AH5087">
        <v>17.3004304821362</v>
      </c>
      <c r="AI5087">
        <v>93.644366724709499</v>
      </c>
      <c r="AJ5087">
        <v>97.429050748554403</v>
      </c>
      <c r="AK5087">
        <v>17.482236758169801</v>
      </c>
      <c r="AL5087">
        <v>87.923577350039494</v>
      </c>
      <c r="AM5087">
        <v>88.031250072880994</v>
      </c>
      <c r="AN5087">
        <v>1.0000000111468099</v>
      </c>
    </row>
    <row r="5088" spans="1:40" x14ac:dyDescent="0.25">
      <c r="A5088" t="str">
        <f>"20190312154358324"</f>
        <v>20190312154358324</v>
      </c>
      <c r="B5088" t="str">
        <f>"1552376638312507"</f>
        <v>1552376638312507</v>
      </c>
      <c r="C5088" t="s">
        <v>40</v>
      </c>
      <c r="D5088">
        <v>4.7040899999999999</v>
      </c>
      <c r="E5088">
        <v>0.43957889999999999</v>
      </c>
      <c r="F5088" t="s">
        <v>69</v>
      </c>
      <c r="G5088">
        <v>-408.24380000000002</v>
      </c>
      <c r="H5088" s="1">
        <v>-5.1273080000000002E-6</v>
      </c>
      <c r="I5088">
        <v>129.5855</v>
      </c>
      <c r="J5088">
        <v>-391.86559999999997</v>
      </c>
      <c r="K5088">
        <v>1.1112109999999999</v>
      </c>
      <c r="L5088">
        <v>135.76570000000001</v>
      </c>
      <c r="M5088">
        <v>-0.97328879999999995</v>
      </c>
      <c r="N5088">
        <v>0</v>
      </c>
      <c r="O5088">
        <v>-0.22914519999999999</v>
      </c>
      <c r="P5088">
        <v>-0.98048959999999996</v>
      </c>
      <c r="Q5088">
        <v>2.178656E-2</v>
      </c>
      <c r="R5088">
        <v>-0.1953616</v>
      </c>
      <c r="S5088">
        <v>-2.8512879999999998</v>
      </c>
      <c r="T5088">
        <v>-0.19016079999999999</v>
      </c>
      <c r="U5088">
        <v>-1.0691379999999999</v>
      </c>
      <c r="V5088">
        <v>3.4477279999999999E-2</v>
      </c>
      <c r="W5088">
        <v>3.6031380000000002E-2</v>
      </c>
      <c r="X5088">
        <v>0.99875579999999997</v>
      </c>
      <c r="Y5088">
        <v>-0.1273611</v>
      </c>
      <c r="Z5088">
        <v>1.0413560000000001E-2</v>
      </c>
      <c r="AA5088">
        <v>0.99180170000000001</v>
      </c>
      <c r="AB5088">
        <v>29</v>
      </c>
      <c r="AC5088">
        <v>-16.3782</v>
      </c>
      <c r="AD5088">
        <v>-1.1112161273079999</v>
      </c>
      <c r="AE5088">
        <v>-6.1802000000000099</v>
      </c>
      <c r="AF5088">
        <v>-2.2532817467964099</v>
      </c>
      <c r="AG5088">
        <v>-1.1112161273079999</v>
      </c>
      <c r="AH5088">
        <v>17.288963913062901</v>
      </c>
      <c r="AI5088">
        <v>93.646764253200899</v>
      </c>
      <c r="AJ5088">
        <v>97.425540828553807</v>
      </c>
      <c r="AK5088">
        <v>17.4705567484047</v>
      </c>
      <c r="AL5088">
        <v>87.935107130948793</v>
      </c>
      <c r="AM5088">
        <v>88.022921585803104</v>
      </c>
      <c r="AN5088">
        <v>1.00000004560727</v>
      </c>
    </row>
    <row r="5089" spans="1:40" x14ac:dyDescent="0.25">
      <c r="A5089" t="str">
        <f>"20190312154358345"</f>
        <v>20190312154358345</v>
      </c>
      <c r="B5089" t="str">
        <f>"1552376638333003"</f>
        <v>1552376638333003</v>
      </c>
      <c r="C5089" t="s">
        <v>40</v>
      </c>
      <c r="D5089">
        <v>4.6671269999999998</v>
      </c>
      <c r="E5089">
        <v>0.43944339999999998</v>
      </c>
      <c r="F5089" t="s">
        <v>69</v>
      </c>
      <c r="G5089">
        <v>-408.42250000000001</v>
      </c>
      <c r="H5089" s="1">
        <v>-5.2344369999999998E-6</v>
      </c>
      <c r="I5089">
        <v>129.53899999999999</v>
      </c>
      <c r="J5089">
        <v>-392.14159999999998</v>
      </c>
      <c r="K5089">
        <v>1.111205</v>
      </c>
      <c r="L5089">
        <v>135.69980000000001</v>
      </c>
      <c r="M5089">
        <v>-0.97310240000000003</v>
      </c>
      <c r="N5089">
        <v>0</v>
      </c>
      <c r="O5089">
        <v>-0.22993540000000001</v>
      </c>
      <c r="P5089">
        <v>-0.98032699999999995</v>
      </c>
      <c r="Q5089">
        <v>2.1582190000000001E-2</v>
      </c>
      <c r="R5089">
        <v>-0.19619829999999999</v>
      </c>
      <c r="S5089">
        <v>-2.850403</v>
      </c>
      <c r="T5089">
        <v>-0.1913041</v>
      </c>
      <c r="U5089">
        <v>-1.071976</v>
      </c>
      <c r="V5089">
        <v>3.4437639999999999E-2</v>
      </c>
      <c r="W5089">
        <v>3.5823609999999999E-2</v>
      </c>
      <c r="X5089">
        <v>0.9987646</v>
      </c>
      <c r="Y5089">
        <v>-0.1275259</v>
      </c>
      <c r="Z5089">
        <v>1.0520699999999999E-2</v>
      </c>
      <c r="AA5089">
        <v>0.99177939999999998</v>
      </c>
      <c r="AB5089">
        <v>29</v>
      </c>
      <c r="AC5089">
        <v>-16.280899999999999</v>
      </c>
      <c r="AD5089">
        <v>-1.1112102344370001</v>
      </c>
      <c r="AE5089">
        <v>-6.1608000000000196</v>
      </c>
      <c r="AF5089">
        <v>-2.2426223554223799</v>
      </c>
      <c r="AG5089">
        <v>-1.1112102344370001</v>
      </c>
      <c r="AH5089">
        <v>17.1912548511458</v>
      </c>
      <c r="AI5089">
        <v>93.667358776691202</v>
      </c>
      <c r="AJ5089">
        <v>97.432341173642797</v>
      </c>
      <c r="AK5089">
        <v>17.372489360227</v>
      </c>
      <c r="AL5089">
        <v>87.947019079803198</v>
      </c>
      <c r="AM5089">
        <v>88.025210302365593</v>
      </c>
      <c r="AN5089">
        <v>1.00000000414768</v>
      </c>
    </row>
    <row r="5090" spans="1:40" x14ac:dyDescent="0.25">
      <c r="A5090" t="str">
        <f>"20190312154358369"</f>
        <v>20190312154358369</v>
      </c>
      <c r="B5090" t="str">
        <f>"1552376638363260"</f>
        <v>1552376638363260</v>
      </c>
      <c r="C5090" t="s">
        <v>40</v>
      </c>
      <c r="D5090">
        <v>4.6770420000000001</v>
      </c>
      <c r="E5090">
        <v>0.43921719999999997</v>
      </c>
      <c r="F5090" t="s">
        <v>69</v>
      </c>
      <c r="G5090">
        <v>-408.59840000000003</v>
      </c>
      <c r="H5090" s="1">
        <v>-5.3385159999999901E-6</v>
      </c>
      <c r="I5090">
        <v>129.489</v>
      </c>
      <c r="J5090">
        <v>-392.4246</v>
      </c>
      <c r="K5090">
        <v>1.111197</v>
      </c>
      <c r="L5090">
        <v>135.63200000000001</v>
      </c>
      <c r="M5090">
        <v>-0.97291059999999996</v>
      </c>
      <c r="N5090">
        <v>0</v>
      </c>
      <c r="O5090">
        <v>-0.23074549999999999</v>
      </c>
      <c r="P5090">
        <v>-0.98003689999999999</v>
      </c>
      <c r="Q5090">
        <v>2.1484969999999999E-2</v>
      </c>
      <c r="R5090">
        <v>-0.19765150000000001</v>
      </c>
      <c r="S5090">
        <v>-2.8492130000000002</v>
      </c>
      <c r="T5090">
        <v>-0.19238769999999999</v>
      </c>
      <c r="U5090">
        <v>-1.0752870000000001</v>
      </c>
      <c r="V5090">
        <v>3.3789060000000003E-2</v>
      </c>
      <c r="W5090">
        <v>3.5722110000000001E-2</v>
      </c>
      <c r="X5090">
        <v>0.99879039999999997</v>
      </c>
      <c r="Y5090">
        <v>-0.12784880000000001</v>
      </c>
      <c r="Z5090">
        <v>1.062184E-2</v>
      </c>
      <c r="AA5090">
        <v>0.99173679999999997</v>
      </c>
      <c r="AB5090">
        <v>29</v>
      </c>
      <c r="AC5090">
        <v>-16.1738</v>
      </c>
      <c r="AD5090">
        <v>-1.1112023385159999</v>
      </c>
      <c r="AE5090">
        <v>-6.1429999999999998</v>
      </c>
      <c r="AF5090">
        <v>-2.23556239190588</v>
      </c>
      <c r="AG5090">
        <v>-1.1112023385159999</v>
      </c>
      <c r="AH5090">
        <v>17.084383867816399</v>
      </c>
      <c r="AI5090">
        <v>93.690020104203498</v>
      </c>
      <c r="AJ5090">
        <v>97.455032272669797</v>
      </c>
      <c r="AK5090">
        <v>17.265824103938201</v>
      </c>
      <c r="AL5090">
        <v>87.952838351176695</v>
      </c>
      <c r="AM5090">
        <v>88.062423821252395</v>
      </c>
      <c r="AN5090">
        <v>1.00000001642534</v>
      </c>
    </row>
    <row r="5091" spans="1:40" x14ac:dyDescent="0.25">
      <c r="A5091" t="str">
        <f>"20190312154358391"</f>
        <v>20190312154358391</v>
      </c>
      <c r="B5091" t="str">
        <f>"1552376638382778"</f>
        <v>1552376638382778</v>
      </c>
      <c r="C5091" t="s">
        <v>40</v>
      </c>
      <c r="D5091">
        <v>4.7135590000000001</v>
      </c>
      <c r="E5091">
        <v>0.43907930000000001</v>
      </c>
      <c r="F5091" t="s">
        <v>69</v>
      </c>
      <c r="G5091">
        <v>-408.78</v>
      </c>
      <c r="H5091" s="1">
        <v>-5.4407299999999998E-6</v>
      </c>
      <c r="I5091">
        <v>129.42060000000001</v>
      </c>
      <c r="J5091">
        <v>-392.7133</v>
      </c>
      <c r="K5091">
        <v>1.1111979999999999</v>
      </c>
      <c r="L5091">
        <v>135.5625</v>
      </c>
      <c r="M5091">
        <v>-0.97271399999999997</v>
      </c>
      <c r="N5091">
        <v>0</v>
      </c>
      <c r="O5091">
        <v>-0.23157320000000001</v>
      </c>
      <c r="P5091">
        <v>-0.97978019999999999</v>
      </c>
      <c r="Q5091">
        <v>2.1642769999999999E-2</v>
      </c>
      <c r="R5091">
        <v>-0.19890340000000001</v>
      </c>
      <c r="S5091">
        <v>-2.8472599999999999</v>
      </c>
      <c r="T5091">
        <v>-0.19344500000000001</v>
      </c>
      <c r="U5091">
        <v>-1.0813140000000001</v>
      </c>
      <c r="V5091">
        <v>3.3361990000000001E-2</v>
      </c>
      <c r="W5091">
        <v>3.5875560000000001E-2</v>
      </c>
      <c r="X5091">
        <v>0.99879929999999995</v>
      </c>
      <c r="Y5091">
        <v>-0.12906709999999999</v>
      </c>
      <c r="Z5091">
        <v>1.0694260000000001E-2</v>
      </c>
      <c r="AA5091">
        <v>0.99157819999999997</v>
      </c>
      <c r="AB5091">
        <v>29</v>
      </c>
      <c r="AC5091">
        <v>-16.066699999999901</v>
      </c>
      <c r="AD5091">
        <v>-1.11120344073</v>
      </c>
      <c r="AE5091">
        <v>-6.1418999999999899</v>
      </c>
      <c r="AF5091">
        <v>-2.2445542822832101</v>
      </c>
      <c r="AG5091">
        <v>-1.11120344073</v>
      </c>
      <c r="AH5091">
        <v>16.981448369285701</v>
      </c>
      <c r="AI5091">
        <v>93.7116960320852</v>
      </c>
      <c r="AJ5091">
        <v>97.529529088132705</v>
      </c>
      <c r="AK5091">
        <v>17.165150326505199</v>
      </c>
      <c r="AL5091">
        <v>87.944040764263804</v>
      </c>
      <c r="AM5091">
        <v>88.086912144061898</v>
      </c>
      <c r="AN5091">
        <v>1.0000000599312799</v>
      </c>
    </row>
    <row r="5092" spans="1:40" x14ac:dyDescent="0.25">
      <c r="A5092" t="str">
        <f>"20190312154358413"</f>
        <v>20190312154358413</v>
      </c>
      <c r="B5092" t="str">
        <f>"1552376638402299"</f>
        <v>1552376638402299</v>
      </c>
      <c r="C5092" t="s">
        <v>40</v>
      </c>
      <c r="D5092">
        <v>4.6927810000000001</v>
      </c>
      <c r="E5092">
        <v>0.42876599999999998</v>
      </c>
      <c r="F5092" t="s">
        <v>69</v>
      </c>
      <c r="G5092">
        <v>-409.07459999999998</v>
      </c>
      <c r="H5092" s="1">
        <v>-5.609198E-6</v>
      </c>
      <c r="I5092">
        <v>129.31829999999999</v>
      </c>
      <c r="J5092">
        <v>-392.99540000000002</v>
      </c>
      <c r="K5092">
        <v>1.111202</v>
      </c>
      <c r="L5092">
        <v>135.49440000000001</v>
      </c>
      <c r="M5092">
        <v>-0.97252090000000002</v>
      </c>
      <c r="N5092">
        <v>0</v>
      </c>
      <c r="O5092">
        <v>-0.23238320000000001</v>
      </c>
      <c r="P5092">
        <v>-0.97951630000000001</v>
      </c>
      <c r="Q5092">
        <v>2.1517649999999999E-2</v>
      </c>
      <c r="R5092">
        <v>-0.20021269999999999</v>
      </c>
      <c r="S5092">
        <v>-2.8457029999999999</v>
      </c>
      <c r="T5092">
        <v>-0.19327040000000001</v>
      </c>
      <c r="U5092">
        <v>-1.086044</v>
      </c>
      <c r="V5092">
        <v>3.2859670000000001E-2</v>
      </c>
      <c r="W5092">
        <v>3.5746890000000003E-2</v>
      </c>
      <c r="X5092">
        <v>0.9988205</v>
      </c>
      <c r="Y5092">
        <v>-0.12986039999999999</v>
      </c>
      <c r="Z5092">
        <v>1.0711210000000001E-2</v>
      </c>
      <c r="AA5092">
        <v>0.99147439999999998</v>
      </c>
      <c r="AB5092">
        <v>29</v>
      </c>
      <c r="AC5092">
        <v>-16.079199999999901</v>
      </c>
      <c r="AD5092">
        <v>-1.1112076091979901</v>
      </c>
      <c r="AE5092">
        <v>-6.1761000000000204</v>
      </c>
      <c r="AF5092">
        <v>-2.2606699478777799</v>
      </c>
      <c r="AG5092">
        <v>-1.1112076091979901</v>
      </c>
      <c r="AH5092">
        <v>17.003529711949799</v>
      </c>
      <c r="AI5092">
        <v>93.706529470559303</v>
      </c>
      <c r="AJ5092">
        <v>97.573230326513297</v>
      </c>
      <c r="AK5092">
        <v>17.189107993992501</v>
      </c>
      <c r="AL5092">
        <v>87.951417609760597</v>
      </c>
      <c r="AM5092">
        <v>88.115735891325002</v>
      </c>
      <c r="AN5092">
        <v>0.99999999463871503</v>
      </c>
    </row>
    <row r="5093" spans="1:40" x14ac:dyDescent="0.25">
      <c r="A5093" t="str">
        <f>"20190312154358434"</f>
        <v>20190312154358434</v>
      </c>
      <c r="B5093" t="str">
        <f>"1552376638422795"</f>
        <v>1552376638422795</v>
      </c>
      <c r="C5093" t="s">
        <v>40</v>
      </c>
      <c r="D5093">
        <v>4.7231889999999996</v>
      </c>
      <c r="E5093">
        <v>0.42886750000000001</v>
      </c>
      <c r="F5093" t="s">
        <v>69</v>
      </c>
      <c r="G5093">
        <v>-407.34550000000002</v>
      </c>
      <c r="H5093" s="1">
        <v>-4.5027710000000002E-6</v>
      </c>
      <c r="I5093">
        <v>129.54859999999999</v>
      </c>
      <c r="J5093">
        <v>-393.2629</v>
      </c>
      <c r="K5093">
        <v>1.1112</v>
      </c>
      <c r="L5093">
        <v>135.42949999999999</v>
      </c>
      <c r="M5093">
        <v>-0.97233670000000005</v>
      </c>
      <c r="N5093">
        <v>0</v>
      </c>
      <c r="O5093">
        <v>-0.23315330000000001</v>
      </c>
      <c r="P5093">
        <v>-0.97934290000000002</v>
      </c>
      <c r="Q5093">
        <v>2.1343239999999999E-2</v>
      </c>
      <c r="R5093">
        <v>-0.20107800000000001</v>
      </c>
      <c r="S5093">
        <v>-2.8280029999999998</v>
      </c>
      <c r="T5093">
        <v>-0.21898770000000001</v>
      </c>
      <c r="U5093">
        <v>-1.1717379999999999</v>
      </c>
      <c r="V5093">
        <v>3.2769329999999999E-2</v>
      </c>
      <c r="W5093">
        <v>3.5569150000000001E-2</v>
      </c>
      <c r="X5093">
        <v>0.99882979999999999</v>
      </c>
      <c r="Y5093">
        <v>-0.15699080000000001</v>
      </c>
      <c r="Z5093">
        <v>1.1171260000000001E-2</v>
      </c>
      <c r="AA5093">
        <v>0.98753690000000005</v>
      </c>
      <c r="AB5093">
        <v>29</v>
      </c>
      <c r="AC5093">
        <v>-14.082599999999999</v>
      </c>
      <c r="AD5093">
        <v>-1.111204502771</v>
      </c>
      <c r="AE5093">
        <v>-5.8808999999999898</v>
      </c>
      <c r="AF5093">
        <v>-2.4222131339906898</v>
      </c>
      <c r="AG5093">
        <v>-1.111204502771</v>
      </c>
      <c r="AH5093">
        <v>14.9862417332872</v>
      </c>
      <c r="AI5093">
        <v>94.186490588635706</v>
      </c>
      <c r="AJ5093">
        <v>99.181265780379604</v>
      </c>
      <c r="AK5093">
        <v>15.2213446581429</v>
      </c>
      <c r="AL5093">
        <v>87.961607815142798</v>
      </c>
      <c r="AM5093">
        <v>88.1209300005887</v>
      </c>
      <c r="AN5093">
        <v>0.99999998139420498</v>
      </c>
    </row>
    <row r="5094" spans="1:40" x14ac:dyDescent="0.25">
      <c r="A5094" t="str">
        <f>"20190312154358457"</f>
        <v>20190312154358457</v>
      </c>
      <c r="B5094" t="str">
        <f>"1552376638453051"</f>
        <v>1552376638453051</v>
      </c>
      <c r="C5094" t="s">
        <v>40</v>
      </c>
      <c r="D5094">
        <v>4.7093480000000003</v>
      </c>
      <c r="E5094">
        <v>0.4286818</v>
      </c>
      <c r="F5094" t="s">
        <v>69</v>
      </c>
      <c r="G5094">
        <v>-407.45460000000003</v>
      </c>
      <c r="H5094" s="1">
        <v>-4.5738579999999996E-6</v>
      </c>
      <c r="I5094">
        <v>129.53809999999999</v>
      </c>
      <c r="J5094">
        <v>-393.54570000000001</v>
      </c>
      <c r="K5094">
        <v>1.1112029999999999</v>
      </c>
      <c r="L5094">
        <v>135.36080000000001</v>
      </c>
      <c r="M5094">
        <v>-0.97214080000000003</v>
      </c>
      <c r="N5094">
        <v>0</v>
      </c>
      <c r="O5094">
        <v>-0.23396810000000001</v>
      </c>
      <c r="P5094">
        <v>-0.97916829999999999</v>
      </c>
      <c r="Q5094">
        <v>2.1018160000000001E-2</v>
      </c>
      <c r="R5094">
        <v>-0.20195949999999999</v>
      </c>
      <c r="S5094">
        <v>-2.827118</v>
      </c>
      <c r="T5094">
        <v>-0.2213637</v>
      </c>
      <c r="U5094">
        <v>-1.17363</v>
      </c>
      <c r="V5094">
        <v>3.2709519999999999E-2</v>
      </c>
      <c r="W5094">
        <v>3.5241290000000002E-2</v>
      </c>
      <c r="X5094">
        <v>0.99884340000000005</v>
      </c>
      <c r="Y5094">
        <v>-0.1568426</v>
      </c>
      <c r="Z5094">
        <v>1.135774E-2</v>
      </c>
      <c r="AA5094">
        <v>0.9875583</v>
      </c>
      <c r="AB5094">
        <v>29</v>
      </c>
      <c r="AC5094">
        <v>-13.908899999999999</v>
      </c>
      <c r="AD5094">
        <v>-1.1112075738580001</v>
      </c>
      <c r="AE5094">
        <v>-5.8227000000000197</v>
      </c>
      <c r="AF5094">
        <v>-2.3934885706122002</v>
      </c>
      <c r="AG5094">
        <v>-1.1112075738580001</v>
      </c>
      <c r="AH5094">
        <v>14.804828798387399</v>
      </c>
      <c r="AI5094">
        <v>94.237589404952004</v>
      </c>
      <c r="AJ5094">
        <v>99.183517569495706</v>
      </c>
      <c r="AK5094">
        <v>15.038168956339399</v>
      </c>
      <c r="AL5094">
        <v>87.980404631226605</v>
      </c>
      <c r="AM5094">
        <v>88.124382713891194</v>
      </c>
      <c r="AN5094">
        <v>0.99999999947152696</v>
      </c>
    </row>
    <row r="5095" spans="1:40" x14ac:dyDescent="0.25">
      <c r="A5095" t="str">
        <f>"20190312154358480"</f>
        <v>20190312154358480</v>
      </c>
      <c r="B5095" t="str">
        <f>"1552376638472571"</f>
        <v>1552376638472571</v>
      </c>
      <c r="C5095" t="s">
        <v>40</v>
      </c>
      <c r="D5095">
        <v>4.7549010000000003</v>
      </c>
      <c r="E5095">
        <v>0.4285736</v>
      </c>
      <c r="F5095" t="s">
        <v>69</v>
      </c>
      <c r="G5095">
        <v>-407.40550000000002</v>
      </c>
      <c r="H5095" s="1">
        <v>-4.5552619999999996E-6</v>
      </c>
      <c r="I5095">
        <v>129.58500000000001</v>
      </c>
      <c r="J5095">
        <v>-393.83710000000002</v>
      </c>
      <c r="K5095">
        <v>1.1111960000000001</v>
      </c>
      <c r="L5095">
        <v>135.28960000000001</v>
      </c>
      <c r="M5095">
        <v>-0.97193810000000003</v>
      </c>
      <c r="N5095">
        <v>0</v>
      </c>
      <c r="O5095">
        <v>-0.2348095</v>
      </c>
      <c r="P5095">
        <v>-0.97890869999999996</v>
      </c>
      <c r="Q5095">
        <v>2.0936349999999999E-2</v>
      </c>
      <c r="R5095">
        <v>-0.20322390000000001</v>
      </c>
      <c r="S5095">
        <v>-2.8258670000000001</v>
      </c>
      <c r="T5095">
        <v>-0.2265633</v>
      </c>
      <c r="U5095">
        <v>-1.1776120000000001</v>
      </c>
      <c r="V5095">
        <v>3.2284889999999997E-2</v>
      </c>
      <c r="W5095">
        <v>3.5155510000000001E-2</v>
      </c>
      <c r="X5095">
        <v>0.99886019999999998</v>
      </c>
      <c r="Y5095">
        <v>-0.1573387</v>
      </c>
      <c r="Z5095">
        <v>1.166755E-2</v>
      </c>
      <c r="AA5095">
        <v>0.98747580000000001</v>
      </c>
      <c r="AB5095">
        <v>29</v>
      </c>
      <c r="AC5095">
        <v>-13.568399999999899</v>
      </c>
      <c r="AD5095">
        <v>-1.1112005552619999</v>
      </c>
      <c r="AE5095">
        <v>-5.7045999999999903</v>
      </c>
      <c r="AF5095">
        <v>-2.3453980854850101</v>
      </c>
      <c r="AG5095">
        <v>-1.1112005552619999</v>
      </c>
      <c r="AH5095">
        <v>14.4462613717238</v>
      </c>
      <c r="AI5095">
        <v>94.341877918282904</v>
      </c>
      <c r="AJ5095">
        <v>99.221696537697994</v>
      </c>
      <c r="AK5095">
        <v>14.677538161203</v>
      </c>
      <c r="AL5095">
        <v>87.985322434208101</v>
      </c>
      <c r="AM5095">
        <v>88.148745752173298</v>
      </c>
      <c r="AN5095">
        <v>0.99999996157485505</v>
      </c>
    </row>
    <row r="5096" spans="1:40" x14ac:dyDescent="0.25">
      <c r="A5096" t="str">
        <f>"20190312154358502"</f>
        <v>20190312154358502</v>
      </c>
      <c r="B5096" t="str">
        <f>"1552376638493066"</f>
        <v>1552376638493066</v>
      </c>
      <c r="C5096" t="s">
        <v>40</v>
      </c>
      <c r="D5096">
        <v>4.7765149999999998</v>
      </c>
      <c r="E5096">
        <v>0.42840220000000001</v>
      </c>
      <c r="F5096" t="s">
        <v>69</v>
      </c>
      <c r="G5096">
        <v>-407.71850000000001</v>
      </c>
      <c r="H5096" s="1">
        <v>-4.735416E-6</v>
      </c>
      <c r="I5096">
        <v>129.47980000000001</v>
      </c>
      <c r="J5096">
        <v>-394.11799999999999</v>
      </c>
      <c r="K5096">
        <v>1.111191</v>
      </c>
      <c r="L5096">
        <v>135.2208</v>
      </c>
      <c r="M5096">
        <v>-0.97174170000000004</v>
      </c>
      <c r="N5096">
        <v>0</v>
      </c>
      <c r="O5096">
        <v>-0.23562040000000001</v>
      </c>
      <c r="P5096">
        <v>-0.97874050000000001</v>
      </c>
      <c r="Q5096">
        <v>2.1163189999999998E-2</v>
      </c>
      <c r="R5096">
        <v>-0.2040082</v>
      </c>
      <c r="S5096">
        <v>-2.8241269999999998</v>
      </c>
      <c r="T5096">
        <v>-0.2260703</v>
      </c>
      <c r="U5096">
        <v>-1.1819919999999999</v>
      </c>
      <c r="V5096">
        <v>3.231639E-2</v>
      </c>
      <c r="W5096">
        <v>3.5379000000000001E-2</v>
      </c>
      <c r="X5096">
        <v>0.9988513</v>
      </c>
      <c r="Y5096">
        <v>-0.1580338</v>
      </c>
      <c r="Z5096">
        <v>1.167748E-2</v>
      </c>
      <c r="AA5096">
        <v>0.98736460000000004</v>
      </c>
      <c r="AB5096">
        <v>29</v>
      </c>
      <c r="AC5096">
        <v>-13.600499999999901</v>
      </c>
      <c r="AD5096">
        <v>-1.111195735416</v>
      </c>
      <c r="AE5096">
        <v>-5.7409999999999801</v>
      </c>
      <c r="AF5096">
        <v>-2.3610753031067202</v>
      </c>
      <c r="AG5096">
        <v>-1.111195735416</v>
      </c>
      <c r="AH5096">
        <v>14.488247748707099</v>
      </c>
      <c r="AI5096">
        <v>94.3289065718252</v>
      </c>
      <c r="AJ5096">
        <v>99.255833767775002</v>
      </c>
      <c r="AK5096">
        <v>14.7213707030719</v>
      </c>
      <c r="AL5096">
        <v>87.972509448506699</v>
      </c>
      <c r="AM5096">
        <v>88.146924263460804</v>
      </c>
      <c r="AN5096">
        <v>0.99999997110766004</v>
      </c>
    </row>
    <row r="5097" spans="1:40" x14ac:dyDescent="0.25">
      <c r="A5097" t="str">
        <f>"20190312154358525"</f>
        <v>20190312154358525</v>
      </c>
      <c r="B5097" t="str">
        <f>"1552376638512588"</f>
        <v>1552376638512588</v>
      </c>
      <c r="C5097" t="s">
        <v>40</v>
      </c>
      <c r="D5097">
        <v>4.7874239999999997</v>
      </c>
      <c r="E5097">
        <v>0.4283747</v>
      </c>
      <c r="F5097" t="s">
        <v>69</v>
      </c>
      <c r="G5097">
        <v>-408.1705</v>
      </c>
      <c r="H5097" s="1">
        <v>-4.9927069999999996E-6</v>
      </c>
      <c r="I5097">
        <v>129.31899999999999</v>
      </c>
      <c r="J5097">
        <v>-394.39190000000002</v>
      </c>
      <c r="K5097">
        <v>1.111192</v>
      </c>
      <c r="L5097">
        <v>135.15350000000001</v>
      </c>
      <c r="M5097">
        <v>-0.97154960000000001</v>
      </c>
      <c r="N5097">
        <v>0</v>
      </c>
      <c r="O5097">
        <v>-0.23641200000000001</v>
      </c>
      <c r="P5097">
        <v>-0.97853400000000001</v>
      </c>
      <c r="Q5097">
        <v>2.0976519999999999E-2</v>
      </c>
      <c r="R5097">
        <v>-0.20501649999999999</v>
      </c>
      <c r="S5097">
        <v>-2.822845</v>
      </c>
      <c r="T5097">
        <v>-0.22321530000000001</v>
      </c>
      <c r="U5097">
        <v>-1.1855469999999999</v>
      </c>
      <c r="V5097">
        <v>3.2102489999999997E-2</v>
      </c>
      <c r="W5097">
        <v>3.518934E-2</v>
      </c>
      <c r="X5097">
        <v>0.99886490000000006</v>
      </c>
      <c r="Y5097">
        <v>-0.15844259999999999</v>
      </c>
      <c r="Z5097">
        <v>1.1573709999999999E-2</v>
      </c>
      <c r="AA5097">
        <v>0.98730030000000002</v>
      </c>
      <c r="AB5097">
        <v>29</v>
      </c>
      <c r="AC5097">
        <v>-13.7785999999999</v>
      </c>
      <c r="AD5097">
        <v>-1.111196992707</v>
      </c>
      <c r="AE5097">
        <v>-5.83450000000001</v>
      </c>
      <c r="AF5097">
        <v>-2.3980963080380602</v>
      </c>
      <c r="AG5097">
        <v>-1.111196992707</v>
      </c>
      <c r="AH5097">
        <v>14.6864258641859</v>
      </c>
      <c r="AI5097">
        <v>94.270497355253895</v>
      </c>
      <c r="AJ5097">
        <v>99.273789243349995</v>
      </c>
      <c r="AK5097">
        <v>14.9223566946866</v>
      </c>
      <c r="AL5097">
        <v>87.983382942886493</v>
      </c>
      <c r="AM5097">
        <v>88.159206225976604</v>
      </c>
      <c r="AN5097">
        <v>0.99999997398292195</v>
      </c>
    </row>
    <row r="5098" spans="1:40" x14ac:dyDescent="0.25">
      <c r="A5098" t="str">
        <f>"20190312154358546"</f>
        <v>20190312154358546</v>
      </c>
      <c r="B5098" t="str">
        <f>"1552376638533083"</f>
        <v>1552376638533083</v>
      </c>
      <c r="C5098" t="s">
        <v>40</v>
      </c>
      <c r="D5098">
        <v>4.7712349999999999</v>
      </c>
      <c r="E5098">
        <v>0.42816320000000002</v>
      </c>
      <c r="F5098" t="s">
        <v>69</v>
      </c>
      <c r="G5098">
        <v>-408.37119999999999</v>
      </c>
      <c r="H5098" s="1">
        <v>-5.1121569999999998E-6</v>
      </c>
      <c r="I5098">
        <v>129.26400000000001</v>
      </c>
      <c r="J5098">
        <v>-394.66809999999998</v>
      </c>
      <c r="K5098">
        <v>1.1111930000000001</v>
      </c>
      <c r="L5098">
        <v>135.08539999999999</v>
      </c>
      <c r="M5098">
        <v>-0.97135510000000003</v>
      </c>
      <c r="N5098">
        <v>0</v>
      </c>
      <c r="O5098">
        <v>-0.2372097</v>
      </c>
      <c r="P5098">
        <v>-0.97833219999999999</v>
      </c>
      <c r="Q5098">
        <v>2.0684359999999999E-2</v>
      </c>
      <c r="R5098">
        <v>-0.2060062</v>
      </c>
      <c r="S5098">
        <v>-2.8215330000000001</v>
      </c>
      <c r="T5098">
        <v>-0.2242806</v>
      </c>
      <c r="U5098">
        <v>-1.1887049999999999</v>
      </c>
      <c r="V5098">
        <v>3.1914369999999997E-2</v>
      </c>
      <c r="W5098">
        <v>3.4893889999999997E-2</v>
      </c>
      <c r="X5098">
        <v>0.99888129999999997</v>
      </c>
      <c r="Y5098">
        <v>-0.15873770000000001</v>
      </c>
      <c r="Z5098">
        <v>1.167753E-2</v>
      </c>
      <c r="AA5098">
        <v>0.98725169999999995</v>
      </c>
      <c r="AB5098">
        <v>29</v>
      </c>
      <c r="AC5098">
        <v>-13.703099999999999</v>
      </c>
      <c r="AD5098">
        <v>-1.111198112157</v>
      </c>
      <c r="AE5098">
        <v>-5.8213999999999801</v>
      </c>
      <c r="AF5098">
        <v>-2.3910605553919702</v>
      </c>
      <c r="AG5098">
        <v>-1.111198112157</v>
      </c>
      <c r="AH5098">
        <v>14.6115514832646</v>
      </c>
      <c r="AI5098">
        <v>94.2920616832684</v>
      </c>
      <c r="AJ5098">
        <v>99.293611841822994</v>
      </c>
      <c r="AK5098">
        <v>14.8475374581816</v>
      </c>
      <c r="AL5098">
        <v>88.000321398221203</v>
      </c>
      <c r="AM5098">
        <v>88.170015912654407</v>
      </c>
      <c r="AN5098">
        <v>0.99999998103075904</v>
      </c>
    </row>
    <row r="5099" spans="1:40" x14ac:dyDescent="0.25">
      <c r="A5099" t="str">
        <f>"20190312154358569"</f>
        <v>20190312154358569</v>
      </c>
      <c r="B5099" t="str">
        <f>"1552376638562363"</f>
        <v>1552376638562363</v>
      </c>
      <c r="C5099" t="s">
        <v>40</v>
      </c>
      <c r="D5099">
        <v>4.7471249999999996</v>
      </c>
      <c r="E5099">
        <v>0.42815910000000001</v>
      </c>
      <c r="F5099" t="s">
        <v>69</v>
      </c>
      <c r="G5099">
        <v>-408.39080000000001</v>
      </c>
      <c r="H5099" s="1">
        <v>-5.130329E-6</v>
      </c>
      <c r="I5099">
        <v>129.279</v>
      </c>
      <c r="J5099">
        <v>-394.94330000000002</v>
      </c>
      <c r="K5099">
        <v>1.111194</v>
      </c>
      <c r="L5099">
        <v>135.0172</v>
      </c>
      <c r="M5099">
        <v>-0.97116080000000005</v>
      </c>
      <c r="N5099">
        <v>0</v>
      </c>
      <c r="O5099">
        <v>-0.23800460000000001</v>
      </c>
      <c r="P5099">
        <v>-0.97819889999999998</v>
      </c>
      <c r="Q5099">
        <v>2.056098E-2</v>
      </c>
      <c r="R5099">
        <v>-0.20665059999999999</v>
      </c>
      <c r="S5099">
        <v>-2.8200379999999998</v>
      </c>
      <c r="T5099">
        <v>-0.22835220000000001</v>
      </c>
      <c r="U5099">
        <v>-1.1932069999999999</v>
      </c>
      <c r="V5099">
        <v>3.2074650000000003E-2</v>
      </c>
      <c r="W5099">
        <v>3.4767600000000003E-2</v>
      </c>
      <c r="X5099">
        <v>0.99888060000000001</v>
      </c>
      <c r="Y5099">
        <v>-0.15946179999999999</v>
      </c>
      <c r="Z5099">
        <v>1.192111E-2</v>
      </c>
      <c r="AA5099">
        <v>0.98713209999999996</v>
      </c>
      <c r="AB5099">
        <v>29</v>
      </c>
      <c r="AC5099">
        <v>-13.4474999999999</v>
      </c>
      <c r="AD5099">
        <v>-1.1111991303290001</v>
      </c>
      <c r="AE5099">
        <v>-5.7382</v>
      </c>
      <c r="AF5099">
        <v>-2.3587608914685898</v>
      </c>
      <c r="AG5099">
        <v>-1.1111991303290001</v>
      </c>
      <c r="AH5099">
        <v>14.343993487353</v>
      </c>
      <c r="AI5099">
        <v>94.371260868291202</v>
      </c>
      <c r="AJ5099">
        <v>99.338281610110798</v>
      </c>
      <c r="AK5099">
        <v>14.579048858399201</v>
      </c>
      <c r="AL5099">
        <v>88.007561735547597</v>
      </c>
      <c r="AM5099">
        <v>88.160830394714097</v>
      </c>
      <c r="AN5099">
        <v>1.0000000111193701</v>
      </c>
    </row>
    <row r="5100" spans="1:40" x14ac:dyDescent="0.25">
      <c r="A5100" t="str">
        <f>"20190312154358591"</f>
        <v>20190312154358591</v>
      </c>
      <c r="B5100" t="str">
        <f>"1552376638582859"</f>
        <v>1552376638582859</v>
      </c>
      <c r="C5100" t="s">
        <v>40</v>
      </c>
      <c r="D5100">
        <v>4.9098069999999998</v>
      </c>
      <c r="E5100">
        <v>0.42805310000000002</v>
      </c>
      <c r="F5100" t="s">
        <v>69</v>
      </c>
      <c r="G5100">
        <v>-408.55009999999999</v>
      </c>
      <c r="H5100" s="1">
        <v>-5.2301400000000004E-6</v>
      </c>
      <c r="I5100">
        <v>129.25110000000001</v>
      </c>
      <c r="J5100">
        <v>-395.22239999999999</v>
      </c>
      <c r="K5100">
        <v>1.1111949999999999</v>
      </c>
      <c r="L5100">
        <v>134.9478</v>
      </c>
      <c r="M5100">
        <v>-0.97096260000000001</v>
      </c>
      <c r="N5100">
        <v>0</v>
      </c>
      <c r="O5100">
        <v>-0.23881150000000001</v>
      </c>
      <c r="P5100">
        <v>-0.97810920000000001</v>
      </c>
      <c r="Q5100">
        <v>2.0437799999999999E-2</v>
      </c>
      <c r="R5100">
        <v>-0.20708570000000001</v>
      </c>
      <c r="S5100">
        <v>-2.8193049999999999</v>
      </c>
      <c r="T5100">
        <v>-0.23023750000000001</v>
      </c>
      <c r="U5100">
        <v>-1.194717</v>
      </c>
      <c r="V5100">
        <v>3.2461329999999997E-2</v>
      </c>
      <c r="W5100">
        <v>3.4641789999999999E-2</v>
      </c>
      <c r="X5100">
        <v>0.99887250000000005</v>
      </c>
      <c r="Y5100">
        <v>-0.1591881</v>
      </c>
      <c r="Z5100">
        <v>1.209152E-2</v>
      </c>
      <c r="AA5100">
        <v>0.9871742</v>
      </c>
      <c r="AB5100">
        <v>29</v>
      </c>
      <c r="AC5100">
        <v>-13.327699999999901</v>
      </c>
      <c r="AD5100">
        <v>-1.1112002301399999</v>
      </c>
      <c r="AE5100">
        <v>-5.6966999999999901</v>
      </c>
      <c r="AF5100">
        <v>-2.3349862026213701</v>
      </c>
      <c r="AG5100">
        <v>-1.1112002301399999</v>
      </c>
      <c r="AH5100">
        <v>14.2189974579255</v>
      </c>
      <c r="AI5100">
        <v>94.409700249461295</v>
      </c>
      <c r="AJ5100">
        <v>99.325647554510695</v>
      </c>
      <c r="AK5100">
        <v>14.4522252690161</v>
      </c>
      <c r="AL5100">
        <v>88.014774502656294</v>
      </c>
      <c r="AM5100">
        <v>88.138658473524799</v>
      </c>
      <c r="AN5100">
        <v>1.00000003140801</v>
      </c>
    </row>
    <row r="5101" spans="1:40" x14ac:dyDescent="0.25">
      <c r="A5101" t="str">
        <f>"20190312154358614"</f>
        <v>20190312154358614</v>
      </c>
      <c r="B5101" t="str">
        <f>"1552376638602379"</f>
        <v>1552376638602379</v>
      </c>
      <c r="C5101" t="s">
        <v>40</v>
      </c>
      <c r="D5101">
        <v>4.758121</v>
      </c>
      <c r="E5101">
        <v>0.42797489999999999</v>
      </c>
      <c r="F5101" t="s">
        <v>69</v>
      </c>
      <c r="G5101">
        <v>-408.80700000000002</v>
      </c>
      <c r="H5101" s="1">
        <v>-5.3828049999999999E-6</v>
      </c>
      <c r="I5101">
        <v>129.18010000000001</v>
      </c>
      <c r="J5101">
        <v>-395.50240000000002</v>
      </c>
      <c r="K5101">
        <v>1.111189</v>
      </c>
      <c r="L5101">
        <v>134.87799999999999</v>
      </c>
      <c r="M5101">
        <v>-0.9707633</v>
      </c>
      <c r="N5101">
        <v>0</v>
      </c>
      <c r="O5101">
        <v>-0.239621</v>
      </c>
      <c r="P5101">
        <v>-0.97798050000000003</v>
      </c>
      <c r="Q5101">
        <v>2.007886E-2</v>
      </c>
      <c r="R5101">
        <v>-0.20772860000000001</v>
      </c>
      <c r="S5101">
        <v>-2.8185730000000002</v>
      </c>
      <c r="T5101">
        <v>-0.23055600000000001</v>
      </c>
      <c r="U5101">
        <v>-1.1967159999999999</v>
      </c>
      <c r="V5101">
        <v>3.2640240000000001E-2</v>
      </c>
      <c r="W5101">
        <v>3.4280079999999997E-2</v>
      </c>
      <c r="X5101">
        <v>0.99887910000000002</v>
      </c>
      <c r="Y5101">
        <v>-0.15905359999999999</v>
      </c>
      <c r="Z5101">
        <v>1.2174839999999999E-2</v>
      </c>
      <c r="AA5101">
        <v>0.98719489999999999</v>
      </c>
      <c r="AB5101">
        <v>29</v>
      </c>
      <c r="AC5101">
        <v>-13.304599999999899</v>
      </c>
      <c r="AD5101">
        <v>-1.1111943828049999</v>
      </c>
      <c r="AE5101">
        <v>-5.6978999999999704</v>
      </c>
      <c r="AF5101">
        <v>-2.3297529384055098</v>
      </c>
      <c r="AG5101">
        <v>-1.1111943828049999</v>
      </c>
      <c r="AH5101">
        <v>14.1986920171269</v>
      </c>
      <c r="AI5101">
        <v>94.416052477027506</v>
      </c>
      <c r="AJ5101">
        <v>99.318186445702196</v>
      </c>
      <c r="AK5101">
        <v>14.431401758235699</v>
      </c>
      <c r="AL5101">
        <v>88.035511179665406</v>
      </c>
      <c r="AM5101">
        <v>88.128419358929804</v>
      </c>
      <c r="AN5101">
        <v>0.99999998278443603</v>
      </c>
    </row>
    <row r="5102" spans="1:40" x14ac:dyDescent="0.25">
      <c r="A5102" t="str">
        <f>"20190312154358635"</f>
        <v>20190312154358635</v>
      </c>
      <c r="B5102" t="str">
        <f>"1552376638622875"</f>
        <v>1552376638622875</v>
      </c>
      <c r="C5102" t="s">
        <v>40</v>
      </c>
      <c r="D5102">
        <v>4.7895690000000002</v>
      </c>
      <c r="E5102">
        <v>0.42785980000000001</v>
      </c>
      <c r="F5102" t="s">
        <v>69</v>
      </c>
      <c r="G5102">
        <v>-409.01280000000003</v>
      </c>
      <c r="H5102" s="1">
        <v>-5.5069539999999898E-6</v>
      </c>
      <c r="I5102">
        <v>129.12889999999999</v>
      </c>
      <c r="J5102">
        <v>-395.77289999999999</v>
      </c>
      <c r="K5102">
        <v>1.1111879999999901</v>
      </c>
      <c r="L5102">
        <v>134.81030000000001</v>
      </c>
      <c r="M5102">
        <v>-0.97057009999999999</v>
      </c>
      <c r="N5102">
        <v>0</v>
      </c>
      <c r="O5102">
        <v>-0.24040239999999999</v>
      </c>
      <c r="P5102">
        <v>-0.9776878</v>
      </c>
      <c r="Q5102">
        <v>2.0125629999999999E-2</v>
      </c>
      <c r="R5102">
        <v>-0.20909739999999999</v>
      </c>
      <c r="S5102">
        <v>-2.8176269999999999</v>
      </c>
      <c r="T5102">
        <v>-0.231743</v>
      </c>
      <c r="U5102">
        <v>-1.19899</v>
      </c>
      <c r="V5102">
        <v>3.2045709999999998E-2</v>
      </c>
      <c r="W5102">
        <v>3.4322970000000001E-2</v>
      </c>
      <c r="X5102">
        <v>0.99889689999999998</v>
      </c>
      <c r="Y5102">
        <v>-0.1590569</v>
      </c>
      <c r="Z5102">
        <v>1.229735E-2</v>
      </c>
      <c r="AA5102">
        <v>0.98719279999999998</v>
      </c>
      <c r="AB5102">
        <v>29</v>
      </c>
      <c r="AC5102">
        <v>-13.2399</v>
      </c>
      <c r="AD5102">
        <v>-1.11119350695399</v>
      </c>
      <c r="AE5102">
        <v>-5.6814000000000204</v>
      </c>
      <c r="AF5102">
        <v>-2.3177397312978698</v>
      </c>
      <c r="AG5102">
        <v>-1.11119350695399</v>
      </c>
      <c r="AH5102">
        <v>14.133424913612901</v>
      </c>
      <c r="AI5102">
        <v>94.436425895710599</v>
      </c>
      <c r="AJ5102">
        <v>99.313038508537701</v>
      </c>
      <c r="AK5102">
        <v>14.3652486320518</v>
      </c>
      <c r="AL5102">
        <v>88.033052361003797</v>
      </c>
      <c r="AM5102">
        <v>88.162518648426101</v>
      </c>
      <c r="AN5102">
        <v>1.0000000053143101</v>
      </c>
    </row>
    <row r="5103" spans="1:40" x14ac:dyDescent="0.25">
      <c r="A5103" t="str">
        <f>"20190312154358658"</f>
        <v>20190312154358658</v>
      </c>
      <c r="B5103" t="str">
        <f>"1552376638653131"</f>
        <v>1552376638653131</v>
      </c>
      <c r="C5103" t="s">
        <v>40</v>
      </c>
      <c r="D5103">
        <v>4.7721299999999998</v>
      </c>
      <c r="E5103">
        <v>0.4277338</v>
      </c>
      <c r="F5103" t="s">
        <v>69</v>
      </c>
      <c r="G5103">
        <v>-409.15750000000003</v>
      </c>
      <c r="H5103" s="1">
        <v>-5.5933999999999997E-6</v>
      </c>
      <c r="I5103">
        <v>129.09020000000001</v>
      </c>
      <c r="J5103">
        <v>-396.05360000000002</v>
      </c>
      <c r="K5103">
        <v>1.1111789999999999</v>
      </c>
      <c r="L5103">
        <v>134.7398</v>
      </c>
      <c r="M5103">
        <v>-0.97036860000000003</v>
      </c>
      <c r="N5103">
        <v>0</v>
      </c>
      <c r="O5103">
        <v>-0.2412145</v>
      </c>
      <c r="P5103">
        <v>-0.97740079999999996</v>
      </c>
      <c r="Q5103">
        <v>2.0251640000000001E-2</v>
      </c>
      <c r="R5103">
        <v>-0.210423</v>
      </c>
      <c r="S5103">
        <v>-2.8159179999999999</v>
      </c>
      <c r="T5103">
        <v>-0.23377719999999999</v>
      </c>
      <c r="U5103">
        <v>-1.2034149999999999</v>
      </c>
      <c r="V5103">
        <v>3.1526099999999897E-2</v>
      </c>
      <c r="W5103">
        <v>3.4444969999999998E-2</v>
      </c>
      <c r="X5103">
        <v>0.99890919999999905</v>
      </c>
      <c r="Y5103">
        <v>-0.15976319999999999</v>
      </c>
      <c r="Z5103">
        <v>1.24407999999999E-2</v>
      </c>
      <c r="AA5103">
        <v>0.98707699999999998</v>
      </c>
      <c r="AB5103">
        <v>29</v>
      </c>
      <c r="AC5103">
        <v>-13.103899999999999</v>
      </c>
      <c r="AD5103">
        <v>-1.1111845934</v>
      </c>
      <c r="AE5103">
        <v>-5.6495999999999897</v>
      </c>
      <c r="AF5103">
        <v>-2.3075840674372001</v>
      </c>
      <c r="AG5103">
        <v>-1.1111845934</v>
      </c>
      <c r="AH5103">
        <v>13.9949294121656</v>
      </c>
      <c r="AI5103">
        <v>94.479474739071904</v>
      </c>
      <c r="AJ5103">
        <v>99.363090688673694</v>
      </c>
      <c r="AK5103">
        <v>14.2273583170031</v>
      </c>
      <c r="AL5103">
        <v>88.026058071267002</v>
      </c>
      <c r="AM5103">
        <v>88.192315080582404</v>
      </c>
      <c r="AN5103">
        <v>0.999999970392074</v>
      </c>
    </row>
    <row r="5104" spans="1:40" x14ac:dyDescent="0.25">
      <c r="A5104" t="str">
        <f>"20190312154358681"</f>
        <v>20190312154358681</v>
      </c>
      <c r="B5104" t="str">
        <f>"1552376638672651"</f>
        <v>1552376638672651</v>
      </c>
      <c r="C5104" t="s">
        <v>40</v>
      </c>
      <c r="D5104">
        <v>4.7483550000000001</v>
      </c>
      <c r="E5104">
        <v>0.42755070000000001</v>
      </c>
      <c r="F5104" t="s">
        <v>69</v>
      </c>
      <c r="G5104">
        <v>-409.41800000000001</v>
      </c>
      <c r="H5104" s="1">
        <v>-5.7406819999999999E-6</v>
      </c>
      <c r="I5104">
        <v>129.00139999999999</v>
      </c>
      <c r="J5104">
        <v>-396.33420000000001</v>
      </c>
      <c r="K5104">
        <v>1.111183</v>
      </c>
      <c r="L5104">
        <v>134.66909999999999</v>
      </c>
      <c r="M5104">
        <v>-0.97016659999999999</v>
      </c>
      <c r="N5104">
        <v>0</v>
      </c>
      <c r="O5104">
        <v>-0.24202570000000001</v>
      </c>
      <c r="P5104">
        <v>-0.97712030000000005</v>
      </c>
      <c r="Q5104">
        <v>2.0215170000000001E-2</v>
      </c>
      <c r="R5104">
        <v>-0.2117243</v>
      </c>
      <c r="S5104">
        <v>-2.814117</v>
      </c>
      <c r="T5104">
        <v>-0.2339802</v>
      </c>
      <c r="U5104">
        <v>-1.208313</v>
      </c>
      <c r="V5104">
        <v>3.1031320000000001E-2</v>
      </c>
      <c r="W5104">
        <v>3.4404469999999999E-2</v>
      </c>
      <c r="X5104">
        <v>0.99892610000000004</v>
      </c>
      <c r="Y5104">
        <v>-0.1606177</v>
      </c>
      <c r="Z5104">
        <v>1.248134E-2</v>
      </c>
      <c r="AA5104">
        <v>0.98693779999999998</v>
      </c>
      <c r="AB5104">
        <v>29</v>
      </c>
      <c r="AC5104">
        <v>-13.083799999999901</v>
      </c>
      <c r="AD5104">
        <v>-1.111188740682</v>
      </c>
      <c r="AE5104">
        <v>-5.6676999999999902</v>
      </c>
      <c r="AF5104">
        <v>-2.3181523282357501</v>
      </c>
      <c r="AG5104">
        <v>-1.111188740682</v>
      </c>
      <c r="AH5104">
        <v>13.9816898289892</v>
      </c>
      <c r="AI5104">
        <v>94.483060445535699</v>
      </c>
      <c r="AJ5104">
        <v>99.413953906664304</v>
      </c>
      <c r="AK5104">
        <v>14.216055047318299</v>
      </c>
      <c r="AL5104">
        <v>88.028379949123106</v>
      </c>
      <c r="AM5104">
        <v>88.220697127167099</v>
      </c>
      <c r="AN5104">
        <v>0.99999998181906602</v>
      </c>
    </row>
    <row r="5105" spans="1:40" x14ac:dyDescent="0.25">
      <c r="A5105" t="str">
        <f>"20190312154358703"</f>
        <v>20190312154358703</v>
      </c>
      <c r="B5105" t="str">
        <f>"1552376638693146"</f>
        <v>1552376638693146</v>
      </c>
      <c r="C5105" t="s">
        <v>40</v>
      </c>
      <c r="D5105">
        <v>4.707999</v>
      </c>
      <c r="E5105">
        <v>0.42744270000000001</v>
      </c>
      <c r="F5105" t="s">
        <v>69</v>
      </c>
      <c r="G5105">
        <v>-409.59339999999997</v>
      </c>
      <c r="H5105" s="1">
        <v>-5.8368939999999901E-6</v>
      </c>
      <c r="I5105">
        <v>128.94909999999999</v>
      </c>
      <c r="J5105">
        <v>-396.61439999999999</v>
      </c>
      <c r="K5105">
        <v>1.1111819999999999</v>
      </c>
      <c r="L5105">
        <v>134.59819999999999</v>
      </c>
      <c r="M5105">
        <v>-0.96996400000000005</v>
      </c>
      <c r="N5105">
        <v>0</v>
      </c>
      <c r="O5105">
        <v>-0.24283669999999999</v>
      </c>
      <c r="P5105">
        <v>-0.97679760000000004</v>
      </c>
      <c r="Q5105">
        <v>1.9838060000000001E-2</v>
      </c>
      <c r="R5105">
        <v>-0.2132445</v>
      </c>
      <c r="S5105">
        <v>-2.8122560000000001</v>
      </c>
      <c r="T5105">
        <v>-0.2356828</v>
      </c>
      <c r="U5105">
        <v>-1.2131959999999999</v>
      </c>
      <c r="V5105">
        <v>3.0314319999999999E-2</v>
      </c>
      <c r="W5105">
        <v>3.4023699999999997E-2</v>
      </c>
      <c r="X5105">
        <v>0.99896119999999999</v>
      </c>
      <c r="Y5105">
        <v>-0.16147800000000001</v>
      </c>
      <c r="Z5105">
        <v>1.260185E-2</v>
      </c>
      <c r="AA5105">
        <v>0.9867958</v>
      </c>
      <c r="AB5105">
        <v>29</v>
      </c>
      <c r="AC5105">
        <v>-12.9789999999999</v>
      </c>
      <c r="AD5105">
        <v>-1.11118783689399</v>
      </c>
      <c r="AE5105">
        <v>-5.6490999999999998</v>
      </c>
      <c r="AF5105">
        <v>-2.3136216658020299</v>
      </c>
      <c r="AG5105">
        <v>-1.11118783689399</v>
      </c>
      <c r="AH5105">
        <v>13.8768544879511</v>
      </c>
      <c r="AI5105">
        <v>94.516111404954501</v>
      </c>
      <c r="AJ5105">
        <v>99.465586558437494</v>
      </c>
      <c r="AK5105">
        <v>14.1122171929537</v>
      </c>
      <c r="AL5105">
        <v>88.050209327593606</v>
      </c>
      <c r="AM5105">
        <v>88.261844662853804</v>
      </c>
      <c r="AN5105">
        <v>1.0000000246320899</v>
      </c>
    </row>
    <row r="5106" spans="1:40" x14ac:dyDescent="0.25">
      <c r="A5106" t="str">
        <f>"20190312154358725"</f>
        <v>20190312154358725</v>
      </c>
      <c r="B5106" t="str">
        <f>"1552376638722427"</f>
        <v>1552376638722427</v>
      </c>
      <c r="C5106" t="s">
        <v>40</v>
      </c>
      <c r="D5106">
        <v>4.6641380000000003</v>
      </c>
      <c r="E5106">
        <v>0.43520209999999998</v>
      </c>
      <c r="F5106" t="s">
        <v>69</v>
      </c>
      <c r="G5106">
        <v>-409.6671</v>
      </c>
      <c r="H5106" s="1">
        <v>-5.8820730000000003E-6</v>
      </c>
      <c r="I5106">
        <v>128.94059999999999</v>
      </c>
      <c r="J5106">
        <v>-396.87880000000001</v>
      </c>
      <c r="K5106">
        <v>1.1111879999999901</v>
      </c>
      <c r="L5106">
        <v>134.53110000000001</v>
      </c>
      <c r="M5106">
        <v>-0.96977219999999997</v>
      </c>
      <c r="N5106">
        <v>0</v>
      </c>
      <c r="O5106">
        <v>-0.24360180000000001</v>
      </c>
      <c r="P5106">
        <v>-0.97649010000000003</v>
      </c>
      <c r="Q5106">
        <v>1.9600860000000001E-2</v>
      </c>
      <c r="R5106">
        <v>-0.21467</v>
      </c>
      <c r="S5106">
        <v>-2.810181</v>
      </c>
      <c r="T5106">
        <v>-0.23923330000000001</v>
      </c>
      <c r="U5106">
        <v>-1.218048</v>
      </c>
      <c r="V5106">
        <v>2.9645930000000001E-2</v>
      </c>
      <c r="W5106">
        <v>3.3782560000000003E-2</v>
      </c>
      <c r="X5106">
        <v>0.99898940000000003</v>
      </c>
      <c r="Y5106">
        <v>-0.16240599999999999</v>
      </c>
      <c r="Z5106">
        <v>1.2816080000000001E-2</v>
      </c>
      <c r="AA5106">
        <v>0.98664079999999998</v>
      </c>
      <c r="AB5106">
        <v>29</v>
      </c>
      <c r="AC5106">
        <v>-12.7882999999999</v>
      </c>
      <c r="AD5106">
        <v>-1.1111938820730001</v>
      </c>
      <c r="AE5106">
        <v>-5.5905000000000102</v>
      </c>
      <c r="AF5106">
        <v>-2.2919611334652599</v>
      </c>
      <c r="AG5106">
        <v>-1.1111938820730001</v>
      </c>
      <c r="AH5106">
        <v>13.678267473151401</v>
      </c>
      <c r="AI5106">
        <v>94.580805115502798</v>
      </c>
      <c r="AJ5106">
        <v>99.512240676901399</v>
      </c>
      <c r="AK5106">
        <v>13.913405001937599</v>
      </c>
      <c r="AL5106">
        <v>88.064033496070905</v>
      </c>
      <c r="AM5106">
        <v>88.300193869802001</v>
      </c>
      <c r="AN5106">
        <v>0.99999998191903905</v>
      </c>
    </row>
    <row r="5107" spans="1:40" x14ac:dyDescent="0.25">
      <c r="A5107" t="str">
        <f>"20190312154358747"</f>
        <v>20190312154358747</v>
      </c>
      <c r="B5107" t="str">
        <f>"1552376638742923"</f>
        <v>1552376638742923</v>
      </c>
      <c r="C5107" t="s">
        <v>40</v>
      </c>
      <c r="D5107">
        <v>4.6677689999999998</v>
      </c>
      <c r="E5107">
        <v>0.4357142</v>
      </c>
      <c r="F5107" t="s">
        <v>69</v>
      </c>
      <c r="G5107">
        <v>-412.4178</v>
      </c>
      <c r="H5107" s="1">
        <v>-5.451775E-6</v>
      </c>
      <c r="I5107">
        <v>128.14169999999999</v>
      </c>
      <c r="J5107">
        <v>-397.15570000000002</v>
      </c>
      <c r="K5107">
        <v>1.1111930000000001</v>
      </c>
      <c r="L5107">
        <v>134.4606</v>
      </c>
      <c r="M5107">
        <v>-0.96956980000000004</v>
      </c>
      <c r="N5107">
        <v>0</v>
      </c>
      <c r="O5107">
        <v>-0.2444067</v>
      </c>
      <c r="P5107">
        <v>-0.97615160000000001</v>
      </c>
      <c r="Q5107">
        <v>1.9665599999999998E-2</v>
      </c>
      <c r="R5107">
        <v>-0.216198</v>
      </c>
      <c r="S5107">
        <v>-2.821259</v>
      </c>
      <c r="T5107">
        <v>-0.2017486</v>
      </c>
      <c r="U5107">
        <v>-1.1600649999999999</v>
      </c>
      <c r="V5107">
        <v>2.8910740000000001E-2</v>
      </c>
      <c r="W5107">
        <v>3.3843560000000002E-2</v>
      </c>
      <c r="X5107">
        <v>0.99900889999999998</v>
      </c>
      <c r="Y5107">
        <v>-0.14289959999999999</v>
      </c>
      <c r="Z5107">
        <v>1.1546829999999999E-2</v>
      </c>
      <c r="AA5107">
        <v>0.98966989999999999</v>
      </c>
      <c r="AB5107">
        <v>29</v>
      </c>
      <c r="AC5107">
        <v>-15.262099999999901</v>
      </c>
      <c r="AD5107">
        <v>-1.111198451775</v>
      </c>
      <c r="AE5107">
        <v>-6.31890000000001</v>
      </c>
      <c r="AF5107">
        <v>-2.3858977204781699</v>
      </c>
      <c r="AG5107">
        <v>-1.111198451775</v>
      </c>
      <c r="AH5107">
        <v>16.2700591257626</v>
      </c>
      <c r="AI5107">
        <v>93.865852616311003</v>
      </c>
      <c r="AJ5107">
        <v>98.342589783325295</v>
      </c>
      <c r="AK5107">
        <v>16.481568307889301</v>
      </c>
      <c r="AL5107">
        <v>88.060536488569696</v>
      </c>
      <c r="AM5107">
        <v>88.342355916037903</v>
      </c>
      <c r="AN5107">
        <v>0.99999999986001498</v>
      </c>
    </row>
    <row r="5108" spans="1:40" x14ac:dyDescent="0.25">
      <c r="A5108" t="str">
        <f>"20190312154358770"</f>
        <v>20190312154358770</v>
      </c>
      <c r="B5108" t="str">
        <f>"1552376638762443"</f>
        <v>1552376638762443</v>
      </c>
      <c r="C5108" t="s">
        <v>40</v>
      </c>
      <c r="D5108">
        <v>4.6590089999999904</v>
      </c>
      <c r="E5108">
        <v>0.43563200000000002</v>
      </c>
      <c r="F5108" t="s">
        <v>69</v>
      </c>
      <c r="G5108">
        <v>-413.3698</v>
      </c>
      <c r="H5108" s="1">
        <v>-5.197437E-6</v>
      </c>
      <c r="I5108">
        <v>127.7908</v>
      </c>
      <c r="J5108">
        <v>-397.43200000000002</v>
      </c>
      <c r="K5108">
        <v>1.1112029999999999</v>
      </c>
      <c r="L5108">
        <v>134.38999999999999</v>
      </c>
      <c r="M5108">
        <v>-0.96936299999999997</v>
      </c>
      <c r="N5108">
        <v>0</v>
      </c>
      <c r="O5108">
        <v>-0.245226</v>
      </c>
      <c r="P5108">
        <v>-0.97581309999999999</v>
      </c>
      <c r="Q5108">
        <v>1.9796680000000001E-2</v>
      </c>
      <c r="R5108">
        <v>-0.2177096</v>
      </c>
      <c r="S5108">
        <v>-2.8202509999999998</v>
      </c>
      <c r="T5108">
        <v>-0.1932797</v>
      </c>
      <c r="U5108">
        <v>-1.160126</v>
      </c>
      <c r="V5108">
        <v>2.820611E-2</v>
      </c>
      <c r="W5108">
        <v>3.397128E-2</v>
      </c>
      <c r="X5108">
        <v>0.99902469999999999</v>
      </c>
      <c r="Y5108">
        <v>-0.1421917</v>
      </c>
      <c r="Z5108">
        <v>1.114133E-2</v>
      </c>
      <c r="AA5108">
        <v>0.9897764</v>
      </c>
      <c r="AB5108">
        <v>28</v>
      </c>
      <c r="AC5108">
        <v>-15.937799999999999</v>
      </c>
      <c r="AD5108">
        <v>-1.1112081974370001</v>
      </c>
      <c r="AE5108">
        <v>-6.5991999999999802</v>
      </c>
      <c r="AF5108">
        <v>-2.4786203297571801</v>
      </c>
      <c r="AG5108">
        <v>-1.1112081974370001</v>
      </c>
      <c r="AH5108">
        <v>16.9989726335216</v>
      </c>
      <c r="AI5108">
        <v>93.7010290142819</v>
      </c>
      <c r="AJ5108">
        <v>98.295836333489703</v>
      </c>
      <c r="AK5108">
        <v>17.214627878416401</v>
      </c>
      <c r="AL5108">
        <v>88.053214445694294</v>
      </c>
      <c r="AM5108">
        <v>88.382760858203696</v>
      </c>
      <c r="AN5108">
        <v>0.99999999185813004</v>
      </c>
    </row>
    <row r="5109" spans="1:40" x14ac:dyDescent="0.25">
      <c r="A5109" t="str">
        <f>"20190312154358792"</f>
        <v>20190312154358792</v>
      </c>
      <c r="B5109" t="str">
        <f>"1552376638782939"</f>
        <v>1552376638782939</v>
      </c>
      <c r="C5109" t="s">
        <v>40</v>
      </c>
      <c r="D5109">
        <v>4.6123099999999999</v>
      </c>
      <c r="E5109">
        <v>0.43542769999999997</v>
      </c>
      <c r="F5109" t="s">
        <v>69</v>
      </c>
      <c r="G5109">
        <v>-414.0557</v>
      </c>
      <c r="H5109" s="1">
        <v>-5.0072969999999996E-6</v>
      </c>
      <c r="I5109">
        <v>127.51819999999999</v>
      </c>
      <c r="J5109">
        <v>-397.7079</v>
      </c>
      <c r="K5109">
        <v>1.1112280000000001</v>
      </c>
      <c r="L5109">
        <v>134.3192</v>
      </c>
      <c r="M5109">
        <v>-0.96914769999999995</v>
      </c>
      <c r="N5109">
        <v>0</v>
      </c>
      <c r="O5109">
        <v>-0.2460754</v>
      </c>
      <c r="P5109">
        <v>-0.97545269999999995</v>
      </c>
      <c r="Q5109">
        <v>1.9578020000000002E-2</v>
      </c>
      <c r="R5109">
        <v>-0.21933849999999999</v>
      </c>
      <c r="S5109">
        <v>-2.818298</v>
      </c>
      <c r="T5109">
        <v>-0.18838930000000001</v>
      </c>
      <c r="U5109">
        <v>-1.165009</v>
      </c>
      <c r="V5109">
        <v>2.7413300000000002E-2</v>
      </c>
      <c r="W5109">
        <v>3.3749679999999997E-2</v>
      </c>
      <c r="X5109">
        <v>0.99905429999999995</v>
      </c>
      <c r="Y5109">
        <v>-0.14302119999999999</v>
      </c>
      <c r="Z5109">
        <v>1.088798E-2</v>
      </c>
      <c r="AA5109">
        <v>0.98965970000000003</v>
      </c>
      <c r="AB5109">
        <v>28</v>
      </c>
      <c r="AC5109">
        <v>-16.347799999999999</v>
      </c>
      <c r="AD5109">
        <v>-1.111233007297</v>
      </c>
      <c r="AE5109">
        <v>-6.8010000000000002</v>
      </c>
      <c r="AF5109">
        <v>-2.55856075979937</v>
      </c>
      <c r="AG5109">
        <v>-1.111233007297</v>
      </c>
      <c r="AH5109">
        <v>17.4500077444285</v>
      </c>
      <c r="AI5109">
        <v>93.6052853188245</v>
      </c>
      <c r="AJ5109">
        <v>98.341404648417395</v>
      </c>
      <c r="AK5109">
        <v>17.6715546072978</v>
      </c>
      <c r="AL5109">
        <v>88.065918514669306</v>
      </c>
      <c r="AM5109">
        <v>88.428241208607801</v>
      </c>
      <c r="AN5109">
        <v>1.0000000121327399</v>
      </c>
    </row>
    <row r="5110" spans="1:40" x14ac:dyDescent="0.25">
      <c r="A5110" t="str">
        <f>"20190312154358814"</f>
        <v>20190312154358814</v>
      </c>
      <c r="B5110" t="str">
        <f>"1552376638802460"</f>
        <v>1552376638802460</v>
      </c>
      <c r="C5110" t="s">
        <v>40</v>
      </c>
      <c r="D5110">
        <v>4.6121829999999999</v>
      </c>
      <c r="E5110">
        <v>0.43527280000000002</v>
      </c>
      <c r="F5110" t="s">
        <v>69</v>
      </c>
      <c r="G5110">
        <v>-414.3811</v>
      </c>
      <c r="H5110" s="1">
        <v>-4.9155260000000001E-6</v>
      </c>
      <c r="I5110">
        <v>127.3844</v>
      </c>
      <c r="J5110">
        <v>-397.97370000000001</v>
      </c>
      <c r="K5110">
        <v>1.111254</v>
      </c>
      <c r="L5110">
        <v>134.25069999999999</v>
      </c>
      <c r="M5110">
        <v>-0.96893110000000005</v>
      </c>
      <c r="N5110">
        <v>0</v>
      </c>
      <c r="O5110">
        <v>-0.24692639999999999</v>
      </c>
      <c r="P5110">
        <v>-0.97501190000000004</v>
      </c>
      <c r="Q5110">
        <v>1.875779E-2</v>
      </c>
      <c r="R5110">
        <v>-0.22135949999999999</v>
      </c>
      <c r="S5110">
        <v>-2.8159179999999999</v>
      </c>
      <c r="T5110">
        <v>-0.18767500000000001</v>
      </c>
      <c r="U5110">
        <v>-1.1712039999999999</v>
      </c>
      <c r="V5110">
        <v>2.6222990000000002E-2</v>
      </c>
      <c r="W5110">
        <v>3.292759E-2</v>
      </c>
      <c r="X5110">
        <v>0.99911369999999999</v>
      </c>
      <c r="Y5110">
        <v>-0.14430270000000001</v>
      </c>
      <c r="Z5110">
        <v>1.0860669999999999E-2</v>
      </c>
      <c r="AA5110">
        <v>0.98947399999999996</v>
      </c>
      <c r="AB5110">
        <v>28</v>
      </c>
      <c r="AC5110">
        <v>-16.4073999999999</v>
      </c>
      <c r="AD5110">
        <v>-1.111258915526</v>
      </c>
      <c r="AE5110">
        <v>-6.8662999999999901</v>
      </c>
      <c r="AF5110">
        <v>-2.5916945157889999</v>
      </c>
      <c r="AG5110">
        <v>-1.111258915526</v>
      </c>
      <c r="AH5110">
        <v>17.526453261217501</v>
      </c>
      <c r="AI5110">
        <v>93.589039295976306</v>
      </c>
      <c r="AJ5110">
        <v>98.411559084480203</v>
      </c>
      <c r="AK5110">
        <v>17.751854572357999</v>
      </c>
      <c r="AL5110">
        <v>88.1130470317283</v>
      </c>
      <c r="AM5110">
        <v>88.496545691979307</v>
      </c>
      <c r="AN5110">
        <v>1.00000002845771</v>
      </c>
    </row>
    <row r="5111" spans="1:40" x14ac:dyDescent="0.25">
      <c r="A5111" t="str">
        <f>"20190312154358836"</f>
        <v>20190312154358836</v>
      </c>
      <c r="B5111" t="str">
        <f>"1552376638832714"</f>
        <v>1552376638832714</v>
      </c>
      <c r="C5111" t="s">
        <v>40</v>
      </c>
      <c r="D5111">
        <v>4.6060410000000003</v>
      </c>
      <c r="E5111">
        <v>0.43518190000000001</v>
      </c>
      <c r="F5111" t="s">
        <v>69</v>
      </c>
      <c r="G5111">
        <v>-414.3605</v>
      </c>
      <c r="H5111" s="1">
        <v>-4.9199089999999997E-6</v>
      </c>
      <c r="I5111">
        <v>127.3887</v>
      </c>
      <c r="J5111">
        <v>-398.24869999999999</v>
      </c>
      <c r="K5111">
        <v>1.1112930000000001</v>
      </c>
      <c r="L5111">
        <v>134.17949999999999</v>
      </c>
      <c r="M5111">
        <v>-0.9686903</v>
      </c>
      <c r="N5111">
        <v>0</v>
      </c>
      <c r="O5111">
        <v>-0.24786939999999999</v>
      </c>
      <c r="P5111">
        <v>-0.974472</v>
      </c>
      <c r="Q5111">
        <v>1.8278019999999999E-2</v>
      </c>
      <c r="R5111">
        <v>-0.2237642</v>
      </c>
      <c r="S5111">
        <v>-2.8131409999999999</v>
      </c>
      <c r="T5111">
        <v>-0.19077069999999999</v>
      </c>
      <c r="U5111">
        <v>-1.177994</v>
      </c>
      <c r="V5111">
        <v>2.472997E-2</v>
      </c>
      <c r="W5111">
        <v>3.2446240000000001E-2</v>
      </c>
      <c r="X5111">
        <v>0.99916749999999999</v>
      </c>
      <c r="Y5111">
        <v>-0.14572460000000001</v>
      </c>
      <c r="Z5111">
        <v>1.1055560000000001E-2</v>
      </c>
      <c r="AA5111">
        <v>0.98926340000000001</v>
      </c>
      <c r="AB5111">
        <v>28</v>
      </c>
      <c r="AC5111">
        <v>-16.111799999999999</v>
      </c>
      <c r="AD5111">
        <v>-1.1112979199089901</v>
      </c>
      <c r="AE5111">
        <v>-6.7907999999999902</v>
      </c>
      <c r="AF5111">
        <v>-2.5744181097977501</v>
      </c>
      <c r="AG5111">
        <v>-1.1112979199089901</v>
      </c>
      <c r="AH5111">
        <v>17.222727894578899</v>
      </c>
      <c r="AI5111">
        <v>93.651440466733703</v>
      </c>
      <c r="AJ5111">
        <v>98.501510469326604</v>
      </c>
      <c r="AK5111">
        <v>17.449497637512501</v>
      </c>
      <c r="AL5111">
        <v>88.140641068267897</v>
      </c>
      <c r="AM5111">
        <v>88.582185986436102</v>
      </c>
      <c r="AN5111">
        <v>1.0000000114812899</v>
      </c>
    </row>
    <row r="5112" spans="1:40" x14ac:dyDescent="0.25">
      <c r="A5112" t="str">
        <f>"20190312154358860"</f>
        <v>20190312154358860</v>
      </c>
      <c r="B5112" t="str">
        <f>"1552376638853211"</f>
        <v>1552376638853211</v>
      </c>
      <c r="C5112" t="s">
        <v>40</v>
      </c>
      <c r="D5112">
        <v>4.6278430000000004</v>
      </c>
      <c r="E5112">
        <v>0.43528509999999998</v>
      </c>
      <c r="F5112" t="s">
        <v>69</v>
      </c>
      <c r="G5112">
        <v>-414.35509999999999</v>
      </c>
      <c r="H5112" s="1">
        <v>-4.9186279999999997E-6</v>
      </c>
      <c r="I5112">
        <v>127.38290000000001</v>
      </c>
      <c r="J5112">
        <v>-398.5301</v>
      </c>
      <c r="K5112">
        <v>1.111356</v>
      </c>
      <c r="L5112">
        <v>134.1062</v>
      </c>
      <c r="M5112">
        <v>-0.96841500000000003</v>
      </c>
      <c r="N5112">
        <v>0</v>
      </c>
      <c r="O5112">
        <v>-0.24894340000000001</v>
      </c>
      <c r="P5112">
        <v>-0.97393160000000001</v>
      </c>
      <c r="Q5112">
        <v>1.7984529999999999E-2</v>
      </c>
      <c r="R5112">
        <v>-0.22612850000000001</v>
      </c>
      <c r="S5112">
        <v>-2.8099669999999999</v>
      </c>
      <c r="T5112">
        <v>-0.1938791</v>
      </c>
      <c r="U5112">
        <v>-1.185745</v>
      </c>
      <c r="V5112">
        <v>2.34089E-2</v>
      </c>
      <c r="W5112">
        <v>3.215266E-2</v>
      </c>
      <c r="X5112">
        <v>0.99920880000000001</v>
      </c>
      <c r="Y5112">
        <v>-0.14734920000000001</v>
      </c>
      <c r="Z5112">
        <v>1.125373E-2</v>
      </c>
      <c r="AA5112">
        <v>0.98902049999999997</v>
      </c>
      <c r="AB5112">
        <v>28</v>
      </c>
      <c r="AC5112">
        <v>-15.8249999999999</v>
      </c>
      <c r="AD5112">
        <v>-1.111360918628</v>
      </c>
      <c r="AE5112">
        <v>-6.7232999999999903</v>
      </c>
      <c r="AF5112">
        <v>-2.5609724381291099</v>
      </c>
      <c r="AG5112">
        <v>-1.111360918628</v>
      </c>
      <c r="AH5112">
        <v>16.9298540072846</v>
      </c>
      <c r="AI5112">
        <v>93.713666515184102</v>
      </c>
      <c r="AJ5112">
        <v>98.601894994953199</v>
      </c>
      <c r="AK5112">
        <v>17.158486519162501</v>
      </c>
      <c r="AL5112">
        <v>88.157470719475199</v>
      </c>
      <c r="AM5112">
        <v>88.657952293933704</v>
      </c>
      <c r="AN5112">
        <v>0.99999999807086204</v>
      </c>
    </row>
    <row r="5113" spans="1:40" x14ac:dyDescent="0.25">
      <c r="A5113" t="str">
        <f>"20190312154358882"</f>
        <v>20190312154358882</v>
      </c>
      <c r="B5113" t="str">
        <f>"1552376638872731"</f>
        <v>1552376638872731</v>
      </c>
      <c r="C5113" t="s">
        <v>40</v>
      </c>
      <c r="D5113">
        <v>4.6024010000000004</v>
      </c>
      <c r="E5113">
        <v>0.43536449999999999</v>
      </c>
      <c r="F5113" t="s">
        <v>69</v>
      </c>
      <c r="G5113">
        <v>-414.57729999999998</v>
      </c>
      <c r="H5113" s="1">
        <v>-4.8560639999999998E-6</v>
      </c>
      <c r="I5113">
        <v>127.29179999999999</v>
      </c>
      <c r="J5113">
        <v>-398.80239999999998</v>
      </c>
      <c r="K5113">
        <v>1.111462</v>
      </c>
      <c r="L5113">
        <v>134.03489999999999</v>
      </c>
      <c r="M5113">
        <v>-0.96810790000000002</v>
      </c>
      <c r="N5113">
        <v>0</v>
      </c>
      <c r="O5113">
        <v>-0.25013489999999999</v>
      </c>
      <c r="P5113">
        <v>-0.97343519999999994</v>
      </c>
      <c r="Q5113">
        <v>1.8172689999999998E-2</v>
      </c>
      <c r="R5113">
        <v>-0.22824030000000001</v>
      </c>
      <c r="S5113">
        <v>-2.8070979999999999</v>
      </c>
      <c r="T5113">
        <v>-0.1944072</v>
      </c>
      <c r="U5113">
        <v>-1.192032</v>
      </c>
      <c r="V5113">
        <v>2.2461640000000001E-2</v>
      </c>
      <c r="W5113">
        <v>3.2343289999999997E-2</v>
      </c>
      <c r="X5113">
        <v>0.99922440000000001</v>
      </c>
      <c r="Y5113">
        <v>-0.14837349999999999</v>
      </c>
      <c r="Z5113">
        <v>1.133023E-2</v>
      </c>
      <c r="AA5113">
        <v>0.98886649999999998</v>
      </c>
      <c r="AB5113">
        <v>28</v>
      </c>
      <c r="AC5113">
        <v>-15.774900000000001</v>
      </c>
      <c r="AD5113">
        <v>-1.111466856064</v>
      </c>
      <c r="AE5113">
        <v>-6.7430999999999903</v>
      </c>
      <c r="AF5113">
        <v>-2.5716589019368801</v>
      </c>
      <c r="AG5113">
        <v>-1.111466856064</v>
      </c>
      <c r="AH5113">
        <v>16.8892921745629</v>
      </c>
      <c r="AI5113">
        <v>93.722365649218503</v>
      </c>
      <c r="AJ5113">
        <v>98.657678406071</v>
      </c>
      <c r="AK5113">
        <v>17.1200752988353</v>
      </c>
      <c r="AL5113">
        <v>88.146542759034702</v>
      </c>
      <c r="AM5113">
        <v>88.712260761068805</v>
      </c>
      <c r="AN5113">
        <v>1.00000000761743</v>
      </c>
    </row>
    <row r="5114" spans="1:40" x14ac:dyDescent="0.25">
      <c r="A5114" t="str">
        <f>"20190312154358904"</f>
        <v>20190312154358904</v>
      </c>
      <c r="B5114" t="str">
        <f>"1552376638893227"</f>
        <v>1552376638893227</v>
      </c>
      <c r="C5114" t="s">
        <v>40</v>
      </c>
      <c r="D5114">
        <v>4.5435040000000004</v>
      </c>
      <c r="E5114">
        <v>0.4356004</v>
      </c>
      <c r="F5114" t="s">
        <v>69</v>
      </c>
      <c r="G5114">
        <v>-415.0197</v>
      </c>
      <c r="H5114" s="1">
        <v>-4.7325710000000001E-6</v>
      </c>
      <c r="I5114">
        <v>127.1045</v>
      </c>
      <c r="J5114">
        <v>-399.06979999999999</v>
      </c>
      <c r="K5114">
        <v>1.111604</v>
      </c>
      <c r="L5114">
        <v>133.96430000000001</v>
      </c>
      <c r="M5114">
        <v>-0.96775290000000003</v>
      </c>
      <c r="N5114">
        <v>0</v>
      </c>
      <c r="O5114">
        <v>-0.25150539999999999</v>
      </c>
      <c r="P5114">
        <v>-0.97323040000000005</v>
      </c>
      <c r="Q5114">
        <v>1.7845340000000001E-2</v>
      </c>
      <c r="R5114">
        <v>-0.22913890000000001</v>
      </c>
      <c r="S5114">
        <v>-2.8044739999999999</v>
      </c>
      <c r="T5114">
        <v>-0.1922075</v>
      </c>
      <c r="U5114">
        <v>-1.1984859999999999</v>
      </c>
      <c r="V5114">
        <v>2.2945279999999998E-2</v>
      </c>
      <c r="W5114">
        <v>3.2024940000000002E-2</v>
      </c>
      <c r="X5114">
        <v>0.99922359999999999</v>
      </c>
      <c r="Y5114">
        <v>-0.149228799999999</v>
      </c>
      <c r="Z5114">
        <v>1.126333E-2</v>
      </c>
      <c r="AA5114">
        <v>0.98873849999999996</v>
      </c>
      <c r="AB5114">
        <v>28</v>
      </c>
      <c r="AC5114">
        <v>-15.9499</v>
      </c>
      <c r="AD5114">
        <v>-1.111608732571</v>
      </c>
      <c r="AE5114">
        <v>-6.8597999999999999</v>
      </c>
      <c r="AF5114">
        <v>-2.6166416120992602</v>
      </c>
      <c r="AG5114">
        <v>-1.111608732571</v>
      </c>
      <c r="AH5114">
        <v>17.092487159506899</v>
      </c>
      <c r="AI5114">
        <v>93.678255042702403</v>
      </c>
      <c r="AJ5114">
        <v>98.703680006264193</v>
      </c>
      <c r="AK5114">
        <v>17.327308059776701</v>
      </c>
      <c r="AL5114">
        <v>88.164792205308302</v>
      </c>
      <c r="AM5114">
        <v>88.684541978233199</v>
      </c>
      <c r="AN5114">
        <v>0.99999994272661896</v>
      </c>
    </row>
    <row r="5115" spans="1:40" x14ac:dyDescent="0.25">
      <c r="A5115" t="str">
        <f>"20190312154358926"</f>
        <v>20190312154358926</v>
      </c>
      <c r="B5115" t="str">
        <f>"1552376638922508"</f>
        <v>1552376638922508</v>
      </c>
      <c r="C5115" t="s">
        <v>40</v>
      </c>
      <c r="D5115">
        <v>4.5858239999999997</v>
      </c>
      <c r="E5115">
        <v>0.43591530000000001</v>
      </c>
      <c r="F5115" t="s">
        <v>69</v>
      </c>
      <c r="G5115">
        <v>-415.27330000000001</v>
      </c>
      <c r="H5115" s="1">
        <v>-4.6809810000000003E-6</v>
      </c>
      <c r="I5115">
        <v>127.0322</v>
      </c>
      <c r="J5115">
        <v>-399.33550000000002</v>
      </c>
      <c r="K5115">
        <v>1.111791</v>
      </c>
      <c r="L5115">
        <v>133.89349999999999</v>
      </c>
      <c r="M5115">
        <v>-0.96733250000000004</v>
      </c>
      <c r="N5115">
        <v>0</v>
      </c>
      <c r="O5115">
        <v>-0.2531178</v>
      </c>
      <c r="P5115">
        <v>-0.97325269999999997</v>
      </c>
      <c r="Q5115">
        <v>1.70616E-2</v>
      </c>
      <c r="R5115">
        <v>-0.2291041</v>
      </c>
      <c r="S5115">
        <v>-2.8036500000000002</v>
      </c>
      <c r="T5115">
        <v>-0.1923395</v>
      </c>
      <c r="U5115">
        <v>-1.1994629999999999</v>
      </c>
      <c r="V5115">
        <v>2.4638009999999998E-2</v>
      </c>
      <c r="W5115">
        <v>3.1257609999999998E-2</v>
      </c>
      <c r="X5115">
        <v>0.99920770000000003</v>
      </c>
      <c r="Y5115">
        <v>-0.14798259999999999</v>
      </c>
      <c r="Z5115">
        <v>1.141464E-2</v>
      </c>
      <c r="AA5115">
        <v>0.98892409999999997</v>
      </c>
      <c r="AB5115">
        <v>28</v>
      </c>
      <c r="AC5115">
        <v>-15.9377999999999</v>
      </c>
      <c r="AD5115">
        <v>-1.1117956809809999</v>
      </c>
      <c r="AE5115">
        <v>-6.8612999999999804</v>
      </c>
      <c r="AF5115">
        <v>-2.5926332075079399</v>
      </c>
      <c r="AG5115">
        <v>-1.1117956809809999</v>
      </c>
      <c r="AH5115">
        <v>17.085435938790599</v>
      </c>
      <c r="AI5115">
        <v>93.681119822651596</v>
      </c>
      <c r="AJ5115">
        <v>98.628533782032093</v>
      </c>
      <c r="AK5115">
        <v>17.3167536739263</v>
      </c>
      <c r="AL5115">
        <v>88.208779193993806</v>
      </c>
      <c r="AM5115">
        <v>88.5875128861977</v>
      </c>
      <c r="AN5115">
        <v>1.00000004872948</v>
      </c>
    </row>
    <row r="5116" spans="1:40" x14ac:dyDescent="0.25">
      <c r="A5116" t="str">
        <f>"20190312154358949"</f>
        <v>20190312154358949</v>
      </c>
      <c r="B5116" t="str">
        <f>"1552376638943193"</f>
        <v>1552376638943193</v>
      </c>
      <c r="C5116" t="s">
        <v>40</v>
      </c>
      <c r="D5116">
        <v>4.6035209999999998</v>
      </c>
      <c r="E5116">
        <v>0.43943929999999998</v>
      </c>
      <c r="F5116" t="s">
        <v>69</v>
      </c>
      <c r="G5116">
        <v>-415.4083</v>
      </c>
      <c r="H5116" s="1">
        <v>-4.6731049999999997E-6</v>
      </c>
      <c r="I5116">
        <v>127.0321</v>
      </c>
      <c r="J5116">
        <v>-399.61079999999998</v>
      </c>
      <c r="K5116">
        <v>1.112025</v>
      </c>
      <c r="L5116">
        <v>133.8193</v>
      </c>
      <c r="M5116">
        <v>-0.96680920000000004</v>
      </c>
      <c r="N5116">
        <v>0</v>
      </c>
      <c r="O5116">
        <v>-0.25510830000000001</v>
      </c>
      <c r="P5116">
        <v>-0.97339889999999996</v>
      </c>
      <c r="Q5116">
        <v>1.7168320000000001E-2</v>
      </c>
      <c r="R5116">
        <v>-0.22847310000000001</v>
      </c>
      <c r="S5116">
        <v>-2.8040769999999999</v>
      </c>
      <c r="T5116">
        <v>-0.19396459999999999</v>
      </c>
      <c r="U5116">
        <v>-1.197052</v>
      </c>
      <c r="V5116">
        <v>2.732453E-2</v>
      </c>
      <c r="W5116">
        <v>3.1391059999999998E-2</v>
      </c>
      <c r="X5116">
        <v>0.99913359999999996</v>
      </c>
      <c r="Y5116">
        <v>-0.14518529999999999</v>
      </c>
      <c r="Z5116">
        <v>1.172928E-2</v>
      </c>
      <c r="AA5116">
        <v>0.98933490000000002</v>
      </c>
      <c r="AB5116">
        <v>28</v>
      </c>
      <c r="AC5116">
        <v>-15.797499999999999</v>
      </c>
      <c r="AD5116">
        <v>-1.1120296731049999</v>
      </c>
      <c r="AE5116">
        <v>-6.7871999999999897</v>
      </c>
      <c r="AF5116">
        <v>-2.5215592113111098</v>
      </c>
      <c r="AG5116">
        <v>-1.1120296731049999</v>
      </c>
      <c r="AH5116">
        <v>16.935496490750499</v>
      </c>
      <c r="AI5116">
        <v>93.715953289195596</v>
      </c>
      <c r="AJ5116">
        <v>98.468666346115299</v>
      </c>
      <c r="AK5116">
        <v>17.158260757962498</v>
      </c>
      <c r="AL5116">
        <v>88.201129212213303</v>
      </c>
      <c r="AM5116">
        <v>88.433452634524699</v>
      </c>
      <c r="AN5116">
        <v>0.99999998961830205</v>
      </c>
    </row>
    <row r="5117" spans="1:40" x14ac:dyDescent="0.25">
      <c r="A5117" t="str">
        <f>"20190312154358971"</f>
        <v>20190312154358971</v>
      </c>
      <c r="B5117" t="str">
        <f>"1552376638962712"</f>
        <v>1552376638962712</v>
      </c>
      <c r="C5117" t="s">
        <v>40</v>
      </c>
      <c r="D5117">
        <v>4.5636409999999996</v>
      </c>
      <c r="E5117">
        <v>0.43940000000000001</v>
      </c>
      <c r="F5117" t="s">
        <v>69</v>
      </c>
      <c r="G5117">
        <v>-416.62650000000002</v>
      </c>
      <c r="H5117" s="1">
        <v>-4.460628E-6</v>
      </c>
      <c r="I5117">
        <v>126.7538</v>
      </c>
      <c r="J5117">
        <v>-399.87549999999999</v>
      </c>
      <c r="K5117">
        <v>1.1122749999999999</v>
      </c>
      <c r="L5117">
        <v>133.74690000000001</v>
      </c>
      <c r="M5117">
        <v>-0.96620859999999997</v>
      </c>
      <c r="N5117">
        <v>0</v>
      </c>
      <c r="O5117">
        <v>-0.25737300000000002</v>
      </c>
      <c r="P5117">
        <v>-0.97352320000000003</v>
      </c>
      <c r="Q5117">
        <v>1.8182150000000001E-2</v>
      </c>
      <c r="R5117">
        <v>-0.22786439999999999</v>
      </c>
      <c r="S5117">
        <v>-2.8112490000000001</v>
      </c>
      <c r="T5117">
        <v>-0.1837239</v>
      </c>
      <c r="U5117">
        <v>-1.1673129999999901</v>
      </c>
      <c r="V5117">
        <v>3.0263539999999998E-2</v>
      </c>
      <c r="W5117">
        <v>3.2438139999999997E-2</v>
      </c>
      <c r="X5117">
        <v>0.99901549999999995</v>
      </c>
      <c r="Y5117">
        <v>-0.13305510000000001</v>
      </c>
      <c r="Z5117">
        <v>1.1627E-2</v>
      </c>
      <c r="AA5117">
        <v>0.99104049999999999</v>
      </c>
      <c r="AB5117">
        <v>28</v>
      </c>
      <c r="AC5117">
        <v>-16.751000000000001</v>
      </c>
      <c r="AD5117">
        <v>-1.112279460628</v>
      </c>
      <c r="AE5117">
        <v>-6.9931000000000099</v>
      </c>
      <c r="AF5117">
        <v>-2.43663414023999</v>
      </c>
      <c r="AG5117">
        <v>-1.112279460628</v>
      </c>
      <c r="AH5117">
        <v>17.919313534025601</v>
      </c>
      <c r="AI5117">
        <v>93.519573574935805</v>
      </c>
      <c r="AJ5117">
        <v>97.743478340487698</v>
      </c>
      <c r="AK5117">
        <v>18.118392562880199</v>
      </c>
      <c r="AL5117">
        <v>88.141105465268794</v>
      </c>
      <c r="AM5117">
        <v>88.264848751985994</v>
      </c>
      <c r="AN5117">
        <v>1.0000000420101101</v>
      </c>
    </row>
    <row r="5118" spans="1:40" x14ac:dyDescent="0.25">
      <c r="A5118" t="str">
        <f>"20190312154358993"</f>
        <v>20190312154358993</v>
      </c>
      <c r="B5118" t="str">
        <f>"1552376638983209"</f>
        <v>1552376638983209</v>
      </c>
      <c r="C5118" t="s">
        <v>40</v>
      </c>
      <c r="D5118">
        <v>4.5963250000000002</v>
      </c>
      <c r="E5118">
        <v>0.43906000000000001</v>
      </c>
      <c r="F5118" t="s">
        <v>69</v>
      </c>
      <c r="G5118">
        <v>-416.94920000000002</v>
      </c>
      <c r="H5118" s="1">
        <v>-4.3985039999999996E-6</v>
      </c>
      <c r="I5118">
        <v>126.6687</v>
      </c>
      <c r="J5118">
        <v>-400.15030000000002</v>
      </c>
      <c r="K5118">
        <v>1.112522</v>
      </c>
      <c r="L5118">
        <v>133.67060000000001</v>
      </c>
      <c r="M5118">
        <v>-0.96549680000000004</v>
      </c>
      <c r="N5118">
        <v>0</v>
      </c>
      <c r="O5118">
        <v>-0.26002930000000002</v>
      </c>
      <c r="P5118">
        <v>-0.9732229</v>
      </c>
      <c r="Q5118">
        <v>1.907911E-2</v>
      </c>
      <c r="R5118">
        <v>-0.22906989999999999</v>
      </c>
      <c r="S5118">
        <v>-2.812103</v>
      </c>
      <c r="T5118">
        <v>-0.1831961</v>
      </c>
      <c r="U5118">
        <v>-1.165802</v>
      </c>
      <c r="V5118">
        <v>3.1746650000000001E-2</v>
      </c>
      <c r="W5118">
        <v>3.3366510000000002E-2</v>
      </c>
      <c r="X5118">
        <v>0.99893889999999996</v>
      </c>
      <c r="Y5118">
        <v>-0.12977639999999999</v>
      </c>
      <c r="Z5118">
        <v>1.1851850000000001E-2</v>
      </c>
      <c r="AA5118">
        <v>0.99147240000000003</v>
      </c>
      <c r="AB5118">
        <v>28</v>
      </c>
      <c r="AC5118">
        <v>-16.7989</v>
      </c>
      <c r="AD5118">
        <v>-1.1125263985039999</v>
      </c>
      <c r="AE5118">
        <v>-7.0019</v>
      </c>
      <c r="AF5118">
        <v>-2.38343964599918</v>
      </c>
      <c r="AG5118">
        <v>-1.1125263985039999</v>
      </c>
      <c r="AH5118">
        <v>17.974627576189</v>
      </c>
      <c r="AI5118">
        <v>93.511106991084503</v>
      </c>
      <c r="AJ5118">
        <v>97.553369046206598</v>
      </c>
      <c r="AK5118">
        <v>18.1660600030987</v>
      </c>
      <c r="AL5118">
        <v>88.087884982694504</v>
      </c>
      <c r="AM5118">
        <v>88.179731458241406</v>
      </c>
      <c r="AN5118">
        <v>1.0000000498545001</v>
      </c>
    </row>
    <row r="5119" spans="1:40" x14ac:dyDescent="0.25">
      <c r="A5119" t="str">
        <f>"20190312154359016"</f>
        <v>20190312154359016</v>
      </c>
      <c r="B5119" t="str">
        <f>"1552376639012489"</f>
        <v>1552376639012489</v>
      </c>
      <c r="C5119" t="s">
        <v>40</v>
      </c>
      <c r="D5119">
        <v>4.5801100000000003</v>
      </c>
      <c r="E5119">
        <v>0.43846560000000001</v>
      </c>
      <c r="F5119" t="s">
        <v>69</v>
      </c>
      <c r="G5119">
        <v>-417.06990000000002</v>
      </c>
      <c r="H5119" s="1">
        <v>-4.3642889999999998E-6</v>
      </c>
      <c r="I5119">
        <v>126.6153</v>
      </c>
      <c r="J5119">
        <v>-400.41609999999997</v>
      </c>
      <c r="K5119">
        <v>1.1127389999999999</v>
      </c>
      <c r="L5119">
        <v>133.5958</v>
      </c>
      <c r="M5119">
        <v>-0.96472089999999999</v>
      </c>
      <c r="N5119">
        <v>0</v>
      </c>
      <c r="O5119">
        <v>-0.26289390000000001</v>
      </c>
      <c r="P5119">
        <v>-0.97252430000000001</v>
      </c>
      <c r="Q5119">
        <v>1.9088529999999999E-2</v>
      </c>
      <c r="R5119">
        <v>-0.2320178</v>
      </c>
      <c r="S5119">
        <v>-2.8103030000000002</v>
      </c>
      <c r="T5119">
        <v>-0.1847878</v>
      </c>
      <c r="U5119">
        <v>-1.171875</v>
      </c>
      <c r="V5119">
        <v>3.16672E-2</v>
      </c>
      <c r="W5119">
        <v>3.3399390000000001E-2</v>
      </c>
      <c r="X5119">
        <v>0.9989403</v>
      </c>
      <c r="Y5119">
        <v>-0.1288948</v>
      </c>
      <c r="Z5119">
        <v>1.215485E-2</v>
      </c>
      <c r="AA5119">
        <v>0.99158380000000002</v>
      </c>
      <c r="AB5119">
        <v>28</v>
      </c>
      <c r="AC5119">
        <v>-16.6538</v>
      </c>
      <c r="AD5119">
        <v>-1.1127433642889999</v>
      </c>
      <c r="AE5119">
        <v>-6.9804999999999904</v>
      </c>
      <c r="AF5119">
        <v>-2.3473743055645402</v>
      </c>
      <c r="AG5119">
        <v>-1.1127433642889999</v>
      </c>
      <c r="AH5119">
        <v>17.835467674778901</v>
      </c>
      <c r="AI5119">
        <v>93.539573777311205</v>
      </c>
      <c r="AJ5119">
        <v>97.497759389881494</v>
      </c>
      <c r="AK5119">
        <v>18.023658649210901</v>
      </c>
      <c r="AL5119">
        <v>88.086000002981194</v>
      </c>
      <c r="AM5119">
        <v>88.184286399947098</v>
      </c>
      <c r="AN5119">
        <v>1.00000002688615</v>
      </c>
    </row>
    <row r="5120" spans="1:40" x14ac:dyDescent="0.25">
      <c r="A5120" t="str">
        <f>"20190312154359037"</f>
        <v>20190312154359037</v>
      </c>
      <c r="B5120" t="str">
        <f>"1552376639032988"</f>
        <v>1552376639032988</v>
      </c>
      <c r="C5120" t="s">
        <v>40</v>
      </c>
      <c r="D5120">
        <v>4.5724910000000003</v>
      </c>
      <c r="E5120">
        <v>0.4380346</v>
      </c>
      <c r="F5120" t="s">
        <v>69</v>
      </c>
      <c r="G5120">
        <v>-417.19009999999997</v>
      </c>
      <c r="H5120" s="1">
        <v>-4.3058380000000001E-6</v>
      </c>
      <c r="I5120">
        <v>126.51430000000001</v>
      </c>
      <c r="J5120">
        <v>-400.67959999999999</v>
      </c>
      <c r="K5120">
        <v>1.112943</v>
      </c>
      <c r="L5120">
        <v>133.5204</v>
      </c>
      <c r="M5120">
        <v>-0.96386159999999999</v>
      </c>
      <c r="N5120">
        <v>0</v>
      </c>
      <c r="O5120">
        <v>-0.26602690000000001</v>
      </c>
      <c r="P5120">
        <v>-0.97138950000000002</v>
      </c>
      <c r="Q5120">
        <v>1.9175419999999999E-2</v>
      </c>
      <c r="R5120">
        <v>-0.2367177</v>
      </c>
      <c r="S5120">
        <v>-2.8057859999999999</v>
      </c>
      <c r="T5120">
        <v>-0.1861285</v>
      </c>
      <c r="U5120">
        <v>-1.1845250000000001</v>
      </c>
      <c r="V5120">
        <v>3.0064049999999998E-2</v>
      </c>
      <c r="W5120">
        <v>3.3500429999999998E-2</v>
      </c>
      <c r="X5120">
        <v>0.99898640000000005</v>
      </c>
      <c r="Y5120">
        <v>-0.13004679999999999</v>
      </c>
      <c r="Z5120">
        <v>1.240028E-2</v>
      </c>
      <c r="AA5120">
        <v>0.99143029999999999</v>
      </c>
      <c r="AB5120">
        <v>28</v>
      </c>
      <c r="AC5120">
        <v>-16.510499999999901</v>
      </c>
      <c r="AD5120">
        <v>-1.1129473058379999</v>
      </c>
      <c r="AE5120">
        <v>-7.0060999999999796</v>
      </c>
      <c r="AF5120">
        <v>-2.3518543968838701</v>
      </c>
      <c r="AG5120">
        <v>-1.1129473058379999</v>
      </c>
      <c r="AH5120">
        <v>17.711232602345699</v>
      </c>
      <c r="AI5120">
        <v>93.564446495352698</v>
      </c>
      <c r="AJ5120">
        <v>97.563990102861197</v>
      </c>
      <c r="AK5120">
        <v>17.901330428325899</v>
      </c>
      <c r="AL5120">
        <v>88.080207499632294</v>
      </c>
      <c r="AM5120">
        <v>88.276229349142795</v>
      </c>
      <c r="AN5120">
        <v>0.99999997664877305</v>
      </c>
    </row>
    <row r="5121" spans="1:40" x14ac:dyDescent="0.25">
      <c r="A5121" t="str">
        <f>"20190312154359060"</f>
        <v>20190312154359060</v>
      </c>
      <c r="B5121" t="str">
        <f>"1552376639052504"</f>
        <v>1552376639052504</v>
      </c>
      <c r="C5121" t="s">
        <v>40</v>
      </c>
      <c r="D5121">
        <v>4.6099620000000003</v>
      </c>
      <c r="E5121">
        <v>0.43778709999999998</v>
      </c>
      <c r="F5121" t="s">
        <v>69</v>
      </c>
      <c r="G5121">
        <v>-417.20049999999998</v>
      </c>
      <c r="H5121" s="1">
        <v>-4.2618179999999997E-6</v>
      </c>
      <c r="I5121">
        <v>126.429</v>
      </c>
      <c r="J5121">
        <v>-400.94659999999999</v>
      </c>
      <c r="K5121">
        <v>1.113157</v>
      </c>
      <c r="L5121">
        <v>133.44280000000001</v>
      </c>
      <c r="M5121">
        <v>-0.96290010000000004</v>
      </c>
      <c r="N5121">
        <v>0</v>
      </c>
      <c r="O5121">
        <v>-0.269486</v>
      </c>
      <c r="P5121">
        <v>-0.96990310000000002</v>
      </c>
      <c r="Q5121">
        <v>1.8482889999999998E-2</v>
      </c>
      <c r="R5121">
        <v>-0.24278949999999999</v>
      </c>
      <c r="S5121">
        <v>-2.7993160000000001</v>
      </c>
      <c r="T5121">
        <v>-0.18857840000000001</v>
      </c>
      <c r="U5121">
        <v>-1.2015690000000001</v>
      </c>
      <c r="V5121">
        <v>2.7391829999999999E-2</v>
      </c>
      <c r="W5121">
        <v>3.281655E-2</v>
      </c>
      <c r="X5121">
        <v>0.99908600000000003</v>
      </c>
      <c r="Y5121">
        <v>-0.13242370000000001</v>
      </c>
      <c r="Z5121">
        <v>1.270628E-2</v>
      </c>
      <c r="AA5121">
        <v>0.99111179999999999</v>
      </c>
      <c r="AB5121">
        <v>28</v>
      </c>
      <c r="AC5121">
        <v>-16.253899999999899</v>
      </c>
      <c r="AD5121">
        <v>-1.113161261818</v>
      </c>
      <c r="AE5121">
        <v>-7.0137999999999998</v>
      </c>
      <c r="AF5121">
        <v>-2.3642799626462101</v>
      </c>
      <c r="AG5121">
        <v>-1.113161261818</v>
      </c>
      <c r="AH5121">
        <v>17.4736716661861</v>
      </c>
      <c r="AI5121">
        <v>93.612277642303198</v>
      </c>
      <c r="AJ5121">
        <v>97.705625016530107</v>
      </c>
      <c r="AK5121">
        <v>17.667997884148001</v>
      </c>
      <c r="AL5121">
        <v>88.119412610853701</v>
      </c>
      <c r="AM5121">
        <v>88.429521394137197</v>
      </c>
      <c r="AN5121">
        <v>1.0000000368503199</v>
      </c>
    </row>
    <row r="5122" spans="1:40" x14ac:dyDescent="0.25">
      <c r="A5122" t="str">
        <f>"20190312154359083"</f>
        <v>20190312154359083</v>
      </c>
      <c r="B5122" t="str">
        <f>"1552376639073001"</f>
        <v>1552376639073001</v>
      </c>
      <c r="C5122" t="s">
        <v>40</v>
      </c>
      <c r="D5122">
        <v>4.6281489999999996</v>
      </c>
      <c r="E5122">
        <v>0.43763200000000002</v>
      </c>
      <c r="F5122" t="s">
        <v>69</v>
      </c>
      <c r="G5122">
        <v>-417.24509999999998</v>
      </c>
      <c r="H5122" s="1">
        <v>-4.2012240000000004E-6</v>
      </c>
      <c r="I5122">
        <v>126.3152</v>
      </c>
      <c r="J5122">
        <v>-401.21890000000002</v>
      </c>
      <c r="K5122">
        <v>1.1133740000000001</v>
      </c>
      <c r="L5122">
        <v>133.3623</v>
      </c>
      <c r="M5122">
        <v>-0.96183070000000004</v>
      </c>
      <c r="N5122">
        <v>0</v>
      </c>
      <c r="O5122">
        <v>-0.27327760000000001</v>
      </c>
      <c r="P5122">
        <v>-0.9681708</v>
      </c>
      <c r="Q5122">
        <v>1.906892E-2</v>
      </c>
      <c r="R5122">
        <v>-0.24956310000000001</v>
      </c>
      <c r="S5122">
        <v>-2.7911679999999999</v>
      </c>
      <c r="T5122">
        <v>-0.1906321</v>
      </c>
      <c r="U5122">
        <v>-1.2206269999999999</v>
      </c>
      <c r="V5122">
        <v>2.4319819999999999E-2</v>
      </c>
      <c r="W5122">
        <v>3.3407020000000003E-2</v>
      </c>
      <c r="X5122">
        <v>0.99914590000000003</v>
      </c>
      <c r="Y5122">
        <v>-0.13526839999999901</v>
      </c>
      <c r="Z5122">
        <v>1.299871E-2</v>
      </c>
      <c r="AA5122">
        <v>0.99072369999999998</v>
      </c>
      <c r="AB5122">
        <v>28</v>
      </c>
      <c r="AC5122">
        <v>-16.0261999999999</v>
      </c>
      <c r="AD5122">
        <v>-1.1133782012240001</v>
      </c>
      <c r="AE5122">
        <v>-7.0471000000000004</v>
      </c>
      <c r="AF5122">
        <v>-2.3890943595838601</v>
      </c>
      <c r="AG5122">
        <v>-1.1133782012240001</v>
      </c>
      <c r="AH5122">
        <v>17.272193569383301</v>
      </c>
      <c r="AI5122">
        <v>93.653535514959998</v>
      </c>
      <c r="AJ5122">
        <v>97.8751969498134</v>
      </c>
      <c r="AK5122">
        <v>17.472150799950199</v>
      </c>
      <c r="AL5122">
        <v>88.085562552213105</v>
      </c>
      <c r="AM5122">
        <v>88.605661137795096</v>
      </c>
      <c r="AN5122">
        <v>1.00000000605846</v>
      </c>
    </row>
    <row r="5123" spans="1:40" x14ac:dyDescent="0.25">
      <c r="A5123" t="str">
        <f>"20190312154359106"</f>
        <v>20190312154359106</v>
      </c>
      <c r="B5123" t="str">
        <f>"1552376639092521"</f>
        <v>1552376639092521</v>
      </c>
      <c r="C5123" t="s">
        <v>40</v>
      </c>
      <c r="D5123">
        <v>4.6014780000000002</v>
      </c>
      <c r="E5123">
        <v>0.43766729999999998</v>
      </c>
      <c r="F5123" t="s">
        <v>69</v>
      </c>
      <c r="G5123">
        <v>-417.52550000000002</v>
      </c>
      <c r="H5123" s="1">
        <v>-4.069073E-6</v>
      </c>
      <c r="I5123">
        <v>126.0878</v>
      </c>
      <c r="J5123">
        <v>-401.48349999999999</v>
      </c>
      <c r="K5123">
        <v>1.113569</v>
      </c>
      <c r="L5123">
        <v>133.28270000000001</v>
      </c>
      <c r="M5123">
        <v>-0.96071019999999896</v>
      </c>
      <c r="N5123">
        <v>0</v>
      </c>
      <c r="O5123">
        <v>-0.2771902</v>
      </c>
      <c r="P5123">
        <v>-0.96652830000000001</v>
      </c>
      <c r="Q5123">
        <v>2.0633220000000001E-2</v>
      </c>
      <c r="R5123">
        <v>-0.25572840000000002</v>
      </c>
      <c r="S5123">
        <v>-2.7823790000000002</v>
      </c>
      <c r="T5123">
        <v>-0.18997430000000001</v>
      </c>
      <c r="U5123">
        <v>-1.241241</v>
      </c>
      <c r="V5123">
        <v>2.1981859999999999E-2</v>
      </c>
      <c r="W5123">
        <v>3.4975850000000003E-2</v>
      </c>
      <c r="X5123">
        <v>0.99914639999999999</v>
      </c>
      <c r="Y5123">
        <v>-0.13852139999999999</v>
      </c>
      <c r="Z5123">
        <v>1.310244E-2</v>
      </c>
      <c r="AA5123">
        <v>0.99027279999999995</v>
      </c>
      <c r="AB5123">
        <v>28</v>
      </c>
      <c r="AC5123">
        <v>-16.042000000000002</v>
      </c>
      <c r="AD5123">
        <v>-1.1135730690729999</v>
      </c>
      <c r="AE5123">
        <v>-7.1948999999999996</v>
      </c>
      <c r="AF5123">
        <v>-2.4559248084231098</v>
      </c>
      <c r="AG5123">
        <v>-1.1135730690729999</v>
      </c>
      <c r="AH5123">
        <v>17.3382680153031</v>
      </c>
      <c r="AI5123">
        <v>93.638626925634199</v>
      </c>
      <c r="AJ5123">
        <v>98.062177665426603</v>
      </c>
      <c r="AK5123">
        <v>17.546713350803799</v>
      </c>
      <c r="AL5123">
        <v>87.9956226468626</v>
      </c>
      <c r="AM5123">
        <v>88.739659516478397</v>
      </c>
      <c r="AN5123">
        <v>1.00000002044262</v>
      </c>
    </row>
    <row r="5124" spans="1:40" x14ac:dyDescent="0.25">
      <c r="A5124" t="str">
        <f>"20190312154359128"</f>
        <v>20190312154359128</v>
      </c>
      <c r="B5124" t="str">
        <f>"1552376639122779"</f>
        <v>1552376639122779</v>
      </c>
      <c r="C5124" t="s">
        <v>40</v>
      </c>
      <c r="D5124">
        <v>4.6206750000000003</v>
      </c>
      <c r="E5124">
        <v>0.43777270000000001</v>
      </c>
      <c r="F5124" t="s">
        <v>69</v>
      </c>
      <c r="G5124">
        <v>-418.02910000000003</v>
      </c>
      <c r="H5124" s="1">
        <v>-3.8822610000000001E-6</v>
      </c>
      <c r="I5124">
        <v>125.77849999999999</v>
      </c>
      <c r="J5124">
        <v>-401.74919999999997</v>
      </c>
      <c r="K5124">
        <v>1.113739</v>
      </c>
      <c r="L5124">
        <v>133.2013</v>
      </c>
      <c r="M5124">
        <v>-0.95950979999999997</v>
      </c>
      <c r="N5124">
        <v>0</v>
      </c>
      <c r="O5124">
        <v>-0.28131699999999998</v>
      </c>
      <c r="P5124">
        <v>-0.96501820000000005</v>
      </c>
      <c r="Q5124">
        <v>2.177989E-2</v>
      </c>
      <c r="R5124">
        <v>-0.26127729999999999</v>
      </c>
      <c r="S5124">
        <v>-2.774902</v>
      </c>
      <c r="T5124">
        <v>-0.1867607</v>
      </c>
      <c r="U5124">
        <v>-1.258545</v>
      </c>
      <c r="V5124">
        <v>2.050546E-2</v>
      </c>
      <c r="W5124">
        <v>3.6129540000000002E-2</v>
      </c>
      <c r="X5124">
        <v>0.99913669999999999</v>
      </c>
      <c r="Y5124">
        <v>-0.1403857</v>
      </c>
      <c r="Z5124">
        <v>1.3082299999999899E-2</v>
      </c>
      <c r="AA5124">
        <v>0.99001039999999996</v>
      </c>
      <c r="AB5124">
        <v>28</v>
      </c>
      <c r="AC5124">
        <v>-16.279900000000001</v>
      </c>
      <c r="AD5124">
        <v>-1.113742882261</v>
      </c>
      <c r="AE5124">
        <v>-7.4227999999999996</v>
      </c>
      <c r="AF5124">
        <v>-2.5328789713553999</v>
      </c>
      <c r="AG5124">
        <v>-1.113742882261</v>
      </c>
      <c r="AH5124">
        <v>17.6423106837501</v>
      </c>
      <c r="AI5124">
        <v>93.575670341406493</v>
      </c>
      <c r="AJ5124">
        <v>98.170037444757597</v>
      </c>
      <c r="AK5124">
        <v>17.857968119393799</v>
      </c>
      <c r="AL5124">
        <v>87.929479180186206</v>
      </c>
      <c r="AM5124">
        <v>88.824273591699097</v>
      </c>
      <c r="AN5124">
        <v>0.99999998141865598</v>
      </c>
    </row>
    <row r="5125" spans="1:40" x14ac:dyDescent="0.25">
      <c r="A5125" t="str">
        <f>"20190312154359150"</f>
        <v>20190312154359150</v>
      </c>
      <c r="B5125" t="str">
        <f>"1552376639142297"</f>
        <v>1552376639142297</v>
      </c>
      <c r="C5125" t="s">
        <v>40</v>
      </c>
      <c r="D5125">
        <v>4.6117839999999903</v>
      </c>
      <c r="E5125">
        <v>0.43765959999999998</v>
      </c>
      <c r="F5125" t="s">
        <v>69</v>
      </c>
      <c r="G5125">
        <v>-418.49880000000002</v>
      </c>
      <c r="H5125" s="1">
        <v>-3.7099939999999999E-6</v>
      </c>
      <c r="I5125">
        <v>125.4939</v>
      </c>
      <c r="J5125">
        <v>-402.00549999999998</v>
      </c>
      <c r="K5125">
        <v>1.1138709999999901</v>
      </c>
      <c r="L5125">
        <v>133.12119999999999</v>
      </c>
      <c r="M5125">
        <v>-0.95828239999999998</v>
      </c>
      <c r="N5125">
        <v>0</v>
      </c>
      <c r="O5125">
        <v>-0.28547020000000001</v>
      </c>
      <c r="P5125">
        <v>-0.96361560000000002</v>
      </c>
      <c r="Q5125">
        <v>2.2745609999999999E-2</v>
      </c>
      <c r="R5125">
        <v>-0.26632250000000002</v>
      </c>
      <c r="S5125">
        <v>-2.7680359999999999</v>
      </c>
      <c r="T5125">
        <v>-0.18405630000000001</v>
      </c>
      <c r="U5125">
        <v>-1.273712</v>
      </c>
      <c r="V5125">
        <v>1.9579840000000001E-2</v>
      </c>
      <c r="W5125">
        <v>3.7102110000000001E-2</v>
      </c>
      <c r="X5125">
        <v>0.9991196</v>
      </c>
      <c r="Y5125">
        <v>-0.14150489999999999</v>
      </c>
      <c r="Z5125">
        <v>1.3115989999999999E-2</v>
      </c>
      <c r="AA5125">
        <v>0.98985060000000002</v>
      </c>
      <c r="AB5125">
        <v>28</v>
      </c>
      <c r="AC5125">
        <v>-16.493300000000001</v>
      </c>
      <c r="AD5125">
        <v>-1.1138747099939901</v>
      </c>
      <c r="AE5125">
        <v>-7.6272999999999902</v>
      </c>
      <c r="AF5125">
        <v>-2.59128735553689</v>
      </c>
      <c r="AG5125">
        <v>-1.1138747099939901</v>
      </c>
      <c r="AH5125">
        <v>17.917096924954301</v>
      </c>
      <c r="AI5125">
        <v>93.520862062748407</v>
      </c>
      <c r="AJ5125">
        <v>98.229427869740405</v>
      </c>
      <c r="AK5125">
        <v>18.137746531659801</v>
      </c>
      <c r="AL5125">
        <v>87.873717573567106</v>
      </c>
      <c r="AM5125">
        <v>88.877312970741599</v>
      </c>
      <c r="AN5125">
        <v>0.999999955902517</v>
      </c>
    </row>
    <row r="5126" spans="1:40" x14ac:dyDescent="0.25">
      <c r="A5126" t="str">
        <f>"20190312154359172"</f>
        <v>20190312154359172</v>
      </c>
      <c r="B5126" t="str">
        <f>"1552376639162792"</f>
        <v>1552376639162792</v>
      </c>
      <c r="C5126" t="s">
        <v>40</v>
      </c>
      <c r="D5126">
        <v>4.5742599999999998</v>
      </c>
      <c r="E5126">
        <v>0.4154215</v>
      </c>
      <c r="F5126" t="s">
        <v>69</v>
      </c>
      <c r="G5126">
        <v>-418.83519999999999</v>
      </c>
      <c r="H5126" s="1">
        <v>-3.5749599999999998E-6</v>
      </c>
      <c r="I5126">
        <v>125.2672</v>
      </c>
      <c r="J5126">
        <v>-402.26940000000002</v>
      </c>
      <c r="K5126">
        <v>1.1139600000000001</v>
      </c>
      <c r="L5126">
        <v>133.03739999999999</v>
      </c>
      <c r="M5126">
        <v>-0.95696380000000003</v>
      </c>
      <c r="N5126">
        <v>0</v>
      </c>
      <c r="O5126">
        <v>-0.28985909999999998</v>
      </c>
      <c r="P5126">
        <v>-0.96228069999999999</v>
      </c>
      <c r="Q5126">
        <v>2.3115420000000001E-2</v>
      </c>
      <c r="R5126">
        <v>-0.27107510000000001</v>
      </c>
      <c r="S5126">
        <v>-2.761444</v>
      </c>
      <c r="T5126">
        <v>-0.1827667</v>
      </c>
      <c r="U5126">
        <v>-1.2886959999999901</v>
      </c>
      <c r="V5126">
        <v>1.9213959999999999E-2</v>
      </c>
      <c r="W5126">
        <v>3.7479989999999998E-2</v>
      </c>
      <c r="X5126">
        <v>0.99911269999999996</v>
      </c>
      <c r="Y5126">
        <v>-0.142287</v>
      </c>
      <c r="Z5126">
        <v>1.3268719999999999E-2</v>
      </c>
      <c r="AA5126">
        <v>0.98973650000000002</v>
      </c>
      <c r="AB5126">
        <v>28</v>
      </c>
      <c r="AC5126">
        <v>-16.5657999999999</v>
      </c>
      <c r="AD5126">
        <v>-1.1139635749600001</v>
      </c>
      <c r="AE5126">
        <v>-7.7701999999999796</v>
      </c>
      <c r="AF5126">
        <v>-2.62459047656563</v>
      </c>
      <c r="AG5126">
        <v>-1.1139635749600001</v>
      </c>
      <c r="AH5126">
        <v>18.040098752150399</v>
      </c>
      <c r="AI5126">
        <v>93.496767851645103</v>
      </c>
      <c r="AJ5126">
        <v>98.277684656247402</v>
      </c>
      <c r="AK5126">
        <v>18.264023461531</v>
      </c>
      <c r="AL5126">
        <v>87.852051789871197</v>
      </c>
      <c r="AM5126">
        <v>88.898279310897095</v>
      </c>
      <c r="AN5126">
        <v>1.00000005660528</v>
      </c>
    </row>
    <row r="5127" spans="1:40" x14ac:dyDescent="0.25">
      <c r="A5127" t="str">
        <f>"20190312154359194"</f>
        <v>20190312154359194</v>
      </c>
      <c r="B5127" t="str">
        <f>"1552376639182313"</f>
        <v>1552376639182313</v>
      </c>
      <c r="C5127" t="s">
        <v>40</v>
      </c>
      <c r="D5127">
        <v>4.5801730000000003</v>
      </c>
      <c r="E5127">
        <v>0.40886860000000003</v>
      </c>
      <c r="F5127" t="s">
        <v>69</v>
      </c>
      <c r="G5127">
        <v>-421.6694</v>
      </c>
      <c r="H5127" s="1">
        <v>-2.2850600000000001E-6</v>
      </c>
      <c r="I5127">
        <v>122.4948</v>
      </c>
      <c r="J5127">
        <v>-402.524</v>
      </c>
      <c r="K5127">
        <v>1.114004</v>
      </c>
      <c r="L5127">
        <v>132.95519999999999</v>
      </c>
      <c r="M5127">
        <v>-0.95565020000000001</v>
      </c>
      <c r="N5127">
        <v>0</v>
      </c>
      <c r="O5127">
        <v>-0.29416130000000001</v>
      </c>
      <c r="P5127">
        <v>-0.96057700000000001</v>
      </c>
      <c r="Q5127">
        <v>2.21552E-2</v>
      </c>
      <c r="R5127">
        <v>-0.27713070000000001</v>
      </c>
      <c r="S5127">
        <v>-2.7068789999999998</v>
      </c>
      <c r="T5127">
        <v>-0.1554315</v>
      </c>
      <c r="U5127">
        <v>-1.4710080000000001</v>
      </c>
      <c r="V5127">
        <v>1.742463E-2</v>
      </c>
      <c r="W5127">
        <v>3.6513139999999999E-2</v>
      </c>
      <c r="X5127">
        <v>0.99918130000000005</v>
      </c>
      <c r="Y5127">
        <v>-0.19797380000000001</v>
      </c>
      <c r="Z5127">
        <v>1.001488E-2</v>
      </c>
      <c r="AA5127">
        <v>0.98015609999999997</v>
      </c>
      <c r="AB5127">
        <v>28</v>
      </c>
      <c r="AC5127">
        <v>-19.145399999999899</v>
      </c>
      <c r="AD5127">
        <v>-1.1140062850599901</v>
      </c>
      <c r="AE5127">
        <v>-10.4603999999999</v>
      </c>
      <c r="AF5127">
        <v>-4.3537364051300802</v>
      </c>
      <c r="AG5127">
        <v>-1.1140062850599901</v>
      </c>
      <c r="AH5127">
        <v>21.3199189076206</v>
      </c>
      <c r="AI5127">
        <v>92.930718173899194</v>
      </c>
      <c r="AJ5127">
        <v>101.54167037895</v>
      </c>
      <c r="AK5127">
        <v>21.7884137310642</v>
      </c>
      <c r="AL5127">
        <v>87.907486147540993</v>
      </c>
      <c r="AM5127">
        <v>89.000925486006906</v>
      </c>
      <c r="AN5127">
        <v>1.00000004869649</v>
      </c>
    </row>
    <row r="5128" spans="1:40" x14ac:dyDescent="0.25">
      <c r="A5128" t="str">
        <f>"20190312154359216"</f>
        <v>20190312154359216</v>
      </c>
      <c r="B5128" t="str">
        <f>"1552376639202809"</f>
        <v>1552376639202809</v>
      </c>
      <c r="C5128" t="s">
        <v>40</v>
      </c>
      <c r="D5128">
        <v>4.5804580000000001</v>
      </c>
      <c r="E5128">
        <v>0.4078927</v>
      </c>
      <c r="F5128" t="s">
        <v>69</v>
      </c>
      <c r="G5128">
        <v>-418.8811</v>
      </c>
      <c r="H5128" s="1">
        <v>-2.6707530000000001E-6</v>
      </c>
      <c r="I5128">
        <v>123.5822</v>
      </c>
      <c r="J5128">
        <v>-402.78500000000003</v>
      </c>
      <c r="K5128">
        <v>1.114025</v>
      </c>
      <c r="L5128">
        <v>132.86949999999999</v>
      </c>
      <c r="M5128">
        <v>-0.95426960000000005</v>
      </c>
      <c r="N5128">
        <v>0</v>
      </c>
      <c r="O5128">
        <v>-0.29860920000000002</v>
      </c>
      <c r="P5128">
        <v>-0.95836730000000003</v>
      </c>
      <c r="Q5128">
        <v>2.052265E-2</v>
      </c>
      <c r="R5128">
        <v>-0.28479979999999999</v>
      </c>
      <c r="S5128">
        <v>-2.683624</v>
      </c>
      <c r="T5128">
        <v>-0.18276909999999999</v>
      </c>
      <c r="U5128">
        <v>-1.537766</v>
      </c>
      <c r="V5128">
        <v>1.4112380000000001E-2</v>
      </c>
      <c r="W5128">
        <v>3.4858140000000003E-2</v>
      </c>
      <c r="X5128">
        <v>0.99929259999999998</v>
      </c>
      <c r="Y5128">
        <v>-0.21550330000000001</v>
      </c>
      <c r="Z5128">
        <v>1.1487249999999999E-2</v>
      </c>
      <c r="AA5128">
        <v>0.97643550000000001</v>
      </c>
      <c r="AB5128">
        <v>28</v>
      </c>
      <c r="AC5128">
        <v>-16.0960999999999</v>
      </c>
      <c r="AD5128">
        <v>-1.1140276707529999</v>
      </c>
      <c r="AE5128">
        <v>-9.2872999999999806</v>
      </c>
      <c r="AF5128">
        <v>-4.0420283847317497</v>
      </c>
      <c r="AG5128">
        <v>-1.1140276707529999</v>
      </c>
      <c r="AH5128">
        <v>18.070184947534699</v>
      </c>
      <c r="AI5128">
        <v>93.442951942987406</v>
      </c>
      <c r="AJ5128">
        <v>102.608647047323</v>
      </c>
      <c r="AK5128">
        <v>18.5502192750461</v>
      </c>
      <c r="AL5128">
        <v>88.002370956797506</v>
      </c>
      <c r="AM5128">
        <v>89.190901579207505</v>
      </c>
      <c r="AN5128">
        <v>0.99999997480414105</v>
      </c>
    </row>
    <row r="5129" spans="1:40" x14ac:dyDescent="0.25">
      <c r="A5129" t="str">
        <f>"20190312154359239"</f>
        <v>20190312154359239</v>
      </c>
      <c r="B5129" t="str">
        <f>"1552376639233065"</f>
        <v>1552376639233065</v>
      </c>
      <c r="C5129" t="s">
        <v>40</v>
      </c>
      <c r="D5129">
        <v>4.5168189999999999</v>
      </c>
      <c r="E5129">
        <v>0.40699750000000001</v>
      </c>
      <c r="F5129" t="s">
        <v>69</v>
      </c>
      <c r="G5129">
        <v>-417.17829999999998</v>
      </c>
      <c r="H5129" s="1">
        <v>-3.4403490000000002E-6</v>
      </c>
      <c r="I5129">
        <v>124.42</v>
      </c>
      <c r="J5129">
        <v>-403.04809999999998</v>
      </c>
      <c r="K5129">
        <v>1.114017</v>
      </c>
      <c r="L5129">
        <v>132.7818</v>
      </c>
      <c r="M5129">
        <v>-0.95285390000000003</v>
      </c>
      <c r="N5129">
        <v>0</v>
      </c>
      <c r="O5129">
        <v>-0.30309589999999997</v>
      </c>
      <c r="P5129">
        <v>-0.9552602</v>
      </c>
      <c r="Q5129">
        <v>1.9724200000000001E-2</v>
      </c>
      <c r="R5129">
        <v>-0.2951087</v>
      </c>
      <c r="S5129">
        <v>-2.669098</v>
      </c>
      <c r="T5129">
        <v>-0.2065864</v>
      </c>
      <c r="U5129">
        <v>-1.5668789999999999</v>
      </c>
      <c r="V5129">
        <v>8.0565689999999995E-3</v>
      </c>
      <c r="W5129">
        <v>3.4012260000000002E-2</v>
      </c>
      <c r="X5129">
        <v>0.99938890000000002</v>
      </c>
      <c r="Y5129">
        <v>-0.2211853</v>
      </c>
      <c r="Z5129">
        <v>1.3094430000000001E-2</v>
      </c>
      <c r="AA5129">
        <v>0.97514389999999995</v>
      </c>
      <c r="AB5129">
        <v>28</v>
      </c>
      <c r="AC5129">
        <v>-14.1302</v>
      </c>
      <c r="AD5129">
        <v>-1.1140204403489999</v>
      </c>
      <c r="AE5129">
        <v>-8.3618000000000006</v>
      </c>
      <c r="AF5129">
        <v>-3.66825379008676</v>
      </c>
      <c r="AG5129">
        <v>-1.1140204403489999</v>
      </c>
      <c r="AH5129">
        <v>15.926742209288101</v>
      </c>
      <c r="AI5129">
        <v>93.899362646731305</v>
      </c>
      <c r="AJ5129">
        <v>102.970199061253</v>
      </c>
      <c r="AK5129">
        <v>16.381643532048901</v>
      </c>
      <c r="AL5129">
        <v>88.050865040546498</v>
      </c>
      <c r="AM5129">
        <v>89.538120343498306</v>
      </c>
      <c r="AN5129">
        <v>0.99999995778878303</v>
      </c>
    </row>
    <row r="5130" spans="1:40" x14ac:dyDescent="0.25">
      <c r="A5130" t="str">
        <f>"20190312154359261"</f>
        <v>20190312154359261</v>
      </c>
      <c r="B5130" t="str">
        <f>"1552376639252585"</f>
        <v>1552376639252585</v>
      </c>
      <c r="C5130" t="s">
        <v>40</v>
      </c>
      <c r="D5130">
        <v>4.509728</v>
      </c>
      <c r="E5130">
        <v>0.40624510000000003</v>
      </c>
      <c r="F5130" t="s">
        <v>69</v>
      </c>
      <c r="G5130">
        <v>-416.78730000000002</v>
      </c>
      <c r="H5130" s="1">
        <v>-3.530127E-6</v>
      </c>
      <c r="I5130">
        <v>124.4756</v>
      </c>
      <c r="J5130">
        <v>-403.30399999999997</v>
      </c>
      <c r="K5130">
        <v>1.114001</v>
      </c>
      <c r="L5130">
        <v>132.6951</v>
      </c>
      <c r="M5130">
        <v>-0.95145959999999996</v>
      </c>
      <c r="N5130">
        <v>0</v>
      </c>
      <c r="O5130">
        <v>-0.30744510000000003</v>
      </c>
      <c r="P5130">
        <v>-0.95169890000000001</v>
      </c>
      <c r="Q5130">
        <v>1.8417659999999999E-2</v>
      </c>
      <c r="R5130">
        <v>-0.30648059999999899</v>
      </c>
      <c r="S5130">
        <v>-2.649994</v>
      </c>
      <c r="T5130">
        <v>-0.21487020000000001</v>
      </c>
      <c r="U5130">
        <v>-1.6020810000000001</v>
      </c>
      <c r="V5130">
        <v>7.1896729999999895E-4</v>
      </c>
      <c r="W5130">
        <v>3.2645449999999999E-2</v>
      </c>
      <c r="X5130">
        <v>0.99946670000000004</v>
      </c>
      <c r="Y5130">
        <v>-0.22933300000000001</v>
      </c>
      <c r="Z5130">
        <v>1.364402E-2</v>
      </c>
      <c r="AA5130">
        <v>0.97325240000000002</v>
      </c>
      <c r="AB5130">
        <v>28</v>
      </c>
      <c r="AC5130">
        <v>-13.4832999999999</v>
      </c>
      <c r="AD5130">
        <v>-1.1140045301270001</v>
      </c>
      <c r="AE5130">
        <v>-8.2194999999999894</v>
      </c>
      <c r="AF5130">
        <v>-3.65731752732224</v>
      </c>
      <c r="AG5130">
        <v>-1.1140045301270001</v>
      </c>
      <c r="AH5130">
        <v>15.281360603279801</v>
      </c>
      <c r="AI5130">
        <v>94.0553331019523</v>
      </c>
      <c r="AJ5130">
        <v>103.45953492028001</v>
      </c>
      <c r="AK5130">
        <v>15.7523636155427</v>
      </c>
      <c r="AL5130">
        <v>88.129221036308394</v>
      </c>
      <c r="AM5130">
        <v>89.958784234839996</v>
      </c>
      <c r="AN5130">
        <v>0.99999996336428398</v>
      </c>
    </row>
    <row r="5131" spans="1:40" x14ac:dyDescent="0.25">
      <c r="A5131" t="str">
        <f>"20190312154359283"</f>
        <v>20190312154359283</v>
      </c>
      <c r="B5131" t="str">
        <f>"1552376639273081"</f>
        <v>1552376639273081</v>
      </c>
      <c r="C5131" t="s">
        <v>40</v>
      </c>
      <c r="D5131">
        <v>4.5032730000000001</v>
      </c>
      <c r="E5131">
        <v>0.40594669999999999</v>
      </c>
      <c r="F5131" t="s">
        <v>69</v>
      </c>
      <c r="G5131">
        <v>-416.76600000000002</v>
      </c>
      <c r="H5131" s="1">
        <v>-3.4276999999999998E-6</v>
      </c>
      <c r="I5131">
        <v>124.3098</v>
      </c>
      <c r="J5131">
        <v>-403.56610000000001</v>
      </c>
      <c r="K5131">
        <v>1.113982</v>
      </c>
      <c r="L5131">
        <v>132.60499999999999</v>
      </c>
      <c r="M5131">
        <v>-0.95001729999999995</v>
      </c>
      <c r="N5131">
        <v>0</v>
      </c>
      <c r="O5131">
        <v>-0.31187280000000001</v>
      </c>
      <c r="P5131">
        <v>-0.94822079999999997</v>
      </c>
      <c r="Q5131">
        <v>1.7812850000000002E-2</v>
      </c>
      <c r="R5131">
        <v>-0.31711209999999901</v>
      </c>
      <c r="S5131">
        <v>-2.629089</v>
      </c>
      <c r="T5131">
        <v>-0.21756229999999999</v>
      </c>
      <c r="U5131">
        <v>-1.637634</v>
      </c>
      <c r="V5131">
        <v>-5.8037449999999999E-3</v>
      </c>
      <c r="W5131">
        <v>3.1986809999999997E-2</v>
      </c>
      <c r="X5131">
        <v>0.99947140000000001</v>
      </c>
      <c r="Y5131">
        <v>-0.23774500000000001</v>
      </c>
      <c r="Z5131">
        <v>1.3841060000000001E-2</v>
      </c>
      <c r="AA5131">
        <v>0.97122900000000001</v>
      </c>
      <c r="AB5131">
        <v>28</v>
      </c>
      <c r="AC5131">
        <v>-13.1998999999999</v>
      </c>
      <c r="AD5131">
        <v>-1.1139854276999901</v>
      </c>
      <c r="AE5131">
        <v>-8.2951999999999906</v>
      </c>
      <c r="AF5131">
        <v>-3.7451526970887801</v>
      </c>
      <c r="AG5131">
        <v>-1.1139854276999901</v>
      </c>
      <c r="AH5131">
        <v>15.051859923975201</v>
      </c>
      <c r="AI5131">
        <v>94.1079308990698</v>
      </c>
      <c r="AJ5131">
        <v>103.97241066735801</v>
      </c>
      <c r="AK5131">
        <v>15.5507433722189</v>
      </c>
      <c r="AL5131">
        <v>88.166978043991804</v>
      </c>
      <c r="AM5131">
        <v>90.332702222802794</v>
      </c>
      <c r="AN5131">
        <v>0.99999995944397901</v>
      </c>
    </row>
    <row r="5132" spans="1:40" x14ac:dyDescent="0.25">
      <c r="A5132" t="str">
        <f>"20190312154359308"</f>
        <v>20190312154359308</v>
      </c>
      <c r="B5132" t="str">
        <f>"1552376639303337"</f>
        <v>1552376639303337</v>
      </c>
      <c r="C5132" t="s">
        <v>40</v>
      </c>
      <c r="D5132">
        <v>4.5169639999999998</v>
      </c>
      <c r="E5132">
        <v>0.40634130000000002</v>
      </c>
      <c r="F5132" t="s">
        <v>69</v>
      </c>
      <c r="G5132">
        <v>-416.88080000000002</v>
      </c>
      <c r="H5132" s="1">
        <v>-3.2740820000000001E-6</v>
      </c>
      <c r="I5132">
        <v>124.0932</v>
      </c>
      <c r="J5132">
        <v>-403.8383</v>
      </c>
      <c r="K5132">
        <v>1.113966</v>
      </c>
      <c r="L5132">
        <v>132.51009999999999</v>
      </c>
      <c r="M5132">
        <v>-0.94850429999999997</v>
      </c>
      <c r="N5132">
        <v>0</v>
      </c>
      <c r="O5132">
        <v>-0.31644509999999998</v>
      </c>
      <c r="P5132">
        <v>-0.94524470000000005</v>
      </c>
      <c r="Q5132">
        <v>1.717724E-2</v>
      </c>
      <c r="R5132">
        <v>-0.32590999999999998</v>
      </c>
      <c r="S5132">
        <v>-2.6099549999999998</v>
      </c>
      <c r="T5132">
        <v>-0.21836439999999999</v>
      </c>
      <c r="U5132">
        <v>-1.668488</v>
      </c>
      <c r="V5132">
        <v>-1.026854E-2</v>
      </c>
      <c r="W5132">
        <v>3.131337E-2</v>
      </c>
      <c r="X5132">
        <v>0.99945689999999998</v>
      </c>
      <c r="Y5132">
        <v>-0.24444009999999999</v>
      </c>
      <c r="Z5132">
        <v>1.39916E-2</v>
      </c>
      <c r="AA5132">
        <v>0.96956339999999996</v>
      </c>
      <c r="AB5132">
        <v>28</v>
      </c>
      <c r="AC5132">
        <v>-13.0425</v>
      </c>
      <c r="AD5132">
        <v>-1.113969274082</v>
      </c>
      <c r="AE5132">
        <v>-8.4168999999999894</v>
      </c>
      <c r="AF5132">
        <v>-3.8368600365993699</v>
      </c>
      <c r="AG5132">
        <v>-1.113969274082</v>
      </c>
      <c r="AH5132">
        <v>14.958833638015999</v>
      </c>
      <c r="AI5132">
        <v>94.125825301637605</v>
      </c>
      <c r="AJ5132">
        <v>104.38592886061301</v>
      </c>
      <c r="AK5132">
        <v>15.483188505404501</v>
      </c>
      <c r="AL5132">
        <v>88.205582787701502</v>
      </c>
      <c r="AM5132">
        <v>90.588642995701505</v>
      </c>
      <c r="AN5132">
        <v>1.0000000325060401</v>
      </c>
    </row>
    <row r="5133" spans="1:40" x14ac:dyDescent="0.25">
      <c r="A5133" t="str">
        <f>"20190312154359330"</f>
        <v>20190312154359330</v>
      </c>
      <c r="B5133" t="str">
        <f>"1552376639322857"</f>
        <v>1552376639322857</v>
      </c>
      <c r="C5133" t="s">
        <v>40</v>
      </c>
      <c r="D5133">
        <v>4.5247729999999997</v>
      </c>
      <c r="E5133">
        <v>0.4068119</v>
      </c>
      <c r="F5133" t="s">
        <v>69</v>
      </c>
      <c r="G5133">
        <v>-417.17200000000003</v>
      </c>
      <c r="H5133" s="1">
        <v>-3.0658890000000001E-6</v>
      </c>
      <c r="I5133">
        <v>123.8295</v>
      </c>
      <c r="J5133">
        <v>-404.09550000000002</v>
      </c>
      <c r="K5133">
        <v>1.1139570000000001</v>
      </c>
      <c r="L5133">
        <v>132.41899999999899</v>
      </c>
      <c r="M5133">
        <v>-0.94705430000000002</v>
      </c>
      <c r="N5133">
        <v>0</v>
      </c>
      <c r="O5133">
        <v>-0.3207586</v>
      </c>
      <c r="P5133">
        <v>-0.94273289999999998</v>
      </c>
      <c r="Q5133">
        <v>1.7041520000000001E-2</v>
      </c>
      <c r="R5133">
        <v>-0.33311410000000002</v>
      </c>
      <c r="S5133">
        <v>-2.595215</v>
      </c>
      <c r="T5133">
        <v>-0.2168177</v>
      </c>
      <c r="U5133">
        <v>-1.68956</v>
      </c>
      <c r="V5133">
        <v>-1.3345340000000001E-2</v>
      </c>
      <c r="W5133">
        <v>3.1150850000000001E-2</v>
      </c>
      <c r="X5133">
        <v>0.99942560000000003</v>
      </c>
      <c r="Y5133">
        <v>-0.24806929999999999</v>
      </c>
      <c r="Z5133">
        <v>1.408532E-2</v>
      </c>
      <c r="AA5133">
        <v>0.9686399</v>
      </c>
      <c r="AB5133">
        <v>28</v>
      </c>
      <c r="AC5133">
        <v>-13.0764999999999</v>
      </c>
      <c r="AD5133">
        <v>-1.1139600658890001</v>
      </c>
      <c r="AE5133">
        <v>-8.5894999999999797</v>
      </c>
      <c r="AF5133">
        <v>-3.9208441602339001</v>
      </c>
      <c r="AG5133">
        <v>-1.1139600658890001</v>
      </c>
      <c r="AH5133">
        <v>15.0644706325534</v>
      </c>
      <c r="AI5133">
        <v>94.093225836690493</v>
      </c>
      <c r="AJ5133">
        <v>104.588756813758</v>
      </c>
      <c r="AK5133">
        <v>15.606159085319501</v>
      </c>
      <c r="AL5133">
        <v>88.214898987420796</v>
      </c>
      <c r="AM5133">
        <v>90.765025648419694</v>
      </c>
      <c r="AN5133">
        <v>1.0000000017453901</v>
      </c>
    </row>
    <row r="5134" spans="1:40" x14ac:dyDescent="0.25">
      <c r="A5134" t="str">
        <f>"20190312154359352"</f>
        <v>20190312154359352</v>
      </c>
      <c r="B5134" t="str">
        <f>"1552376639342377"</f>
        <v>1552376639342377</v>
      </c>
      <c r="C5134" t="s">
        <v>40</v>
      </c>
      <c r="D5134">
        <v>4.5553869999999996</v>
      </c>
      <c r="E5134">
        <v>0.40762559999999998</v>
      </c>
      <c r="F5134" t="s">
        <v>69</v>
      </c>
      <c r="G5134">
        <v>-417.13499999999999</v>
      </c>
      <c r="H5134" s="1">
        <v>-3.0591550000000001E-6</v>
      </c>
      <c r="I5134">
        <v>123.8108</v>
      </c>
      <c r="J5134">
        <v>-404.34359999999998</v>
      </c>
      <c r="K5134">
        <v>1.1139650000000001</v>
      </c>
      <c r="L5134">
        <v>132.32980000000001</v>
      </c>
      <c r="M5134">
        <v>-0.94562579999999996</v>
      </c>
      <c r="N5134">
        <v>0</v>
      </c>
      <c r="O5134">
        <v>-0.324945599999999</v>
      </c>
      <c r="P5134">
        <v>-0.94033580000000005</v>
      </c>
      <c r="Q5134">
        <v>1.7997409999999998E-2</v>
      </c>
      <c r="R5134">
        <v>-0.33977249999999998</v>
      </c>
      <c r="S5134">
        <v>-2.5835569999999999</v>
      </c>
      <c r="T5134">
        <v>-0.22071209999999999</v>
      </c>
      <c r="U5134">
        <v>-1.7055659999999999</v>
      </c>
      <c r="V5134">
        <v>-1.6005950000000001E-2</v>
      </c>
      <c r="W5134">
        <v>3.2083550000000002E-2</v>
      </c>
      <c r="X5134">
        <v>0.99935700000000005</v>
      </c>
      <c r="Y5134">
        <v>-0.2499806</v>
      </c>
      <c r="Z5134">
        <v>1.458549E-2</v>
      </c>
      <c r="AA5134">
        <v>0.96814100000000003</v>
      </c>
      <c r="AB5134">
        <v>27</v>
      </c>
      <c r="AC5134">
        <v>-12.791399999999999</v>
      </c>
      <c r="AD5134">
        <v>-1.1139680591550001</v>
      </c>
      <c r="AE5134">
        <v>-8.5190000000000001</v>
      </c>
      <c r="AF5134">
        <v>-3.8792901042819801</v>
      </c>
      <c r="AG5134">
        <v>-1.1139680591550001</v>
      </c>
      <c r="AH5134">
        <v>14.7878989841674</v>
      </c>
      <c r="AI5134">
        <v>94.167451266010204</v>
      </c>
      <c r="AJ5134">
        <v>104.699120679751</v>
      </c>
      <c r="AK5134">
        <v>15.328789023140001</v>
      </c>
      <c r="AL5134">
        <v>88.161432439736899</v>
      </c>
      <c r="AM5134">
        <v>90.917584985356399</v>
      </c>
      <c r="AN5134">
        <v>0.99999997903250204</v>
      </c>
    </row>
    <row r="5135" spans="1:40" x14ac:dyDescent="0.25">
      <c r="A5135" t="str">
        <f>"20190312154359373"</f>
        <v>20190312154359373</v>
      </c>
      <c r="B5135" t="str">
        <f>"1552376639362873"</f>
        <v>1552376639362873</v>
      </c>
      <c r="C5135" t="s">
        <v>40</v>
      </c>
      <c r="D5135">
        <v>4.5142170000000004</v>
      </c>
      <c r="E5135">
        <v>0.40864240000000002</v>
      </c>
      <c r="F5135" t="s">
        <v>69</v>
      </c>
      <c r="G5135">
        <v>-417.4212</v>
      </c>
      <c r="H5135" s="1">
        <v>-2.8893539999999998E-6</v>
      </c>
      <c r="I5135">
        <v>123.6063</v>
      </c>
      <c r="J5135">
        <v>-404.59379999999999</v>
      </c>
      <c r="K5135">
        <v>1.11399</v>
      </c>
      <c r="L5135">
        <v>132.23859999999999</v>
      </c>
      <c r="M5135">
        <v>-0.94415039999999995</v>
      </c>
      <c r="N5135">
        <v>0</v>
      </c>
      <c r="O5135">
        <v>-0.3292079</v>
      </c>
      <c r="P5135">
        <v>-0.93839070000000002</v>
      </c>
      <c r="Q5135">
        <v>2.036845E-2</v>
      </c>
      <c r="R5135">
        <v>-0.3449757</v>
      </c>
      <c r="S5135">
        <v>-2.5740970000000001</v>
      </c>
      <c r="T5135">
        <v>-0.21926609999999999</v>
      </c>
      <c r="U5135">
        <v>-1.7170719999999999</v>
      </c>
      <c r="V5135">
        <v>-1.7071550000000001E-2</v>
      </c>
      <c r="W5135">
        <v>3.4444500000000003E-2</v>
      </c>
      <c r="X5135">
        <v>0.99926079999999995</v>
      </c>
      <c r="Y5135">
        <v>-0.25025500000000001</v>
      </c>
      <c r="Z5135">
        <v>1.480253E-2</v>
      </c>
      <c r="AA5135">
        <v>0.96806680000000001</v>
      </c>
      <c r="AB5135">
        <v>27</v>
      </c>
      <c r="AC5135">
        <v>-12.827400000000001</v>
      </c>
      <c r="AD5135">
        <v>-1.1139928893539901</v>
      </c>
      <c r="AE5135">
        <v>-8.6322999999999794</v>
      </c>
      <c r="AF5135">
        <v>-3.9074213064530698</v>
      </c>
      <c r="AG5135">
        <v>-1.1139928893539901</v>
      </c>
      <c r="AH5135">
        <v>14.877099372991999</v>
      </c>
      <c r="AI5135">
        <v>94.142320854976703</v>
      </c>
      <c r="AJ5135">
        <v>104.716167969075</v>
      </c>
      <c r="AK5135">
        <v>15.421965088066299</v>
      </c>
      <c r="AL5135">
        <v>88.0260850824573</v>
      </c>
      <c r="AM5135">
        <v>90.978756116152894</v>
      </c>
      <c r="AN5135">
        <v>1.00000000390814</v>
      </c>
    </row>
    <row r="5136" spans="1:40" x14ac:dyDescent="0.25">
      <c r="A5136" t="str">
        <f>"20190312154359396"</f>
        <v>20190312154359396</v>
      </c>
      <c r="B5136" t="str">
        <f>"1552376639393130"</f>
        <v>1552376639393130</v>
      </c>
      <c r="C5136" t="s">
        <v>40</v>
      </c>
      <c r="D5136">
        <v>4.5265019999999998</v>
      </c>
      <c r="E5136">
        <v>0.41004960000000001</v>
      </c>
      <c r="F5136" t="s">
        <v>69</v>
      </c>
      <c r="G5136">
        <v>-418.03570000000002</v>
      </c>
      <c r="H5136" s="1">
        <v>-2.5543400000000001E-6</v>
      </c>
      <c r="I5136">
        <v>123.2139</v>
      </c>
      <c r="J5136">
        <v>-404.84640000000002</v>
      </c>
      <c r="K5136">
        <v>1.1140479999999999</v>
      </c>
      <c r="L5136">
        <v>132.14510000000001</v>
      </c>
      <c r="M5136">
        <v>-0.94260350000000004</v>
      </c>
      <c r="N5136">
        <v>0</v>
      </c>
      <c r="O5136">
        <v>-0.33361079999999999</v>
      </c>
      <c r="P5136">
        <v>-0.93658520000000001</v>
      </c>
      <c r="Q5136">
        <v>2.204159E-2</v>
      </c>
      <c r="R5136">
        <v>-0.349746</v>
      </c>
      <c r="S5136">
        <v>-2.56778</v>
      </c>
      <c r="T5136">
        <v>-0.21280279999999999</v>
      </c>
      <c r="U5136">
        <v>-1.7239690000000001</v>
      </c>
      <c r="V5136">
        <v>-1.7523650000000002E-2</v>
      </c>
      <c r="W5136">
        <v>3.6112859999999997E-2</v>
      </c>
      <c r="X5136">
        <v>0.99919409999999997</v>
      </c>
      <c r="Y5136">
        <v>-0.2486323</v>
      </c>
      <c r="Z5136">
        <v>1.4745080000000001E-2</v>
      </c>
      <c r="AA5136">
        <v>0.9684857</v>
      </c>
      <c r="AB5136">
        <v>27</v>
      </c>
      <c r="AC5136">
        <v>-13.189299999999999</v>
      </c>
      <c r="AD5136">
        <v>-1.1140505543400001</v>
      </c>
      <c r="AE5136">
        <v>-8.9312000000000094</v>
      </c>
      <c r="AF5136">
        <v>-3.99933132946822</v>
      </c>
      <c r="AG5136">
        <v>-1.1140505543400001</v>
      </c>
      <c r="AH5136">
        <v>15.3383569660596</v>
      </c>
      <c r="AI5136">
        <v>94.0202442667848</v>
      </c>
      <c r="AJ5136">
        <v>104.613951683404</v>
      </c>
      <c r="AK5136">
        <v>15.8902786048188</v>
      </c>
      <c r="AL5136">
        <v>87.930435605137802</v>
      </c>
      <c r="AM5136">
        <v>91.004737986084905</v>
      </c>
      <c r="AN5136">
        <v>1.0000000332207499</v>
      </c>
    </row>
    <row r="5137" spans="1:40" x14ac:dyDescent="0.25">
      <c r="A5137" t="str">
        <f>"20190312154359417"</f>
        <v>20190312154359417</v>
      </c>
      <c r="B5137" t="str">
        <f>"1552376639412649"</f>
        <v>1552376639412649</v>
      </c>
      <c r="C5137" t="s">
        <v>40</v>
      </c>
      <c r="D5137">
        <v>4.538786</v>
      </c>
      <c r="E5137">
        <v>0.41100730000000002</v>
      </c>
      <c r="F5137" t="s">
        <v>69</v>
      </c>
      <c r="G5137">
        <v>-418.7629</v>
      </c>
      <c r="H5137" s="1">
        <v>-2.1686260000000002E-6</v>
      </c>
      <c r="I5137">
        <v>122.7664</v>
      </c>
      <c r="J5137">
        <v>-405.09460000000001</v>
      </c>
      <c r="K5137">
        <v>1.114139</v>
      </c>
      <c r="L5137">
        <v>132.05170000000001</v>
      </c>
      <c r="M5137">
        <v>-0.94100539999999999</v>
      </c>
      <c r="N5137">
        <v>0</v>
      </c>
      <c r="O5137">
        <v>-0.33809220000000001</v>
      </c>
      <c r="P5137">
        <v>-0.93474999999999997</v>
      </c>
      <c r="Q5137">
        <v>2.1187830000000001E-2</v>
      </c>
      <c r="R5137">
        <v>-0.35467369999999998</v>
      </c>
      <c r="S5137">
        <v>-2.5629270000000002</v>
      </c>
      <c r="T5137">
        <v>-0.2051692</v>
      </c>
      <c r="U5137">
        <v>-1.7272339999999999</v>
      </c>
      <c r="V5137">
        <v>-1.8025909999999999E-2</v>
      </c>
      <c r="W5137">
        <v>3.5255099999999998E-2</v>
      </c>
      <c r="X5137">
        <v>0.99921579999999999</v>
      </c>
      <c r="Y5137">
        <v>-0.2457223</v>
      </c>
      <c r="Z5137">
        <v>1.4633230000000001E-2</v>
      </c>
      <c r="AA5137">
        <v>0.96922980000000003</v>
      </c>
      <c r="AB5137">
        <v>27</v>
      </c>
      <c r="AC5137">
        <v>-13.668299999999901</v>
      </c>
      <c r="AD5137">
        <v>-1.1141411686259901</v>
      </c>
      <c r="AE5137">
        <v>-9.2852999999999994</v>
      </c>
      <c r="AF5137">
        <v>-4.0981573347251103</v>
      </c>
      <c r="AG5137">
        <v>-1.1141411686259901</v>
      </c>
      <c r="AH5137">
        <v>15.9304279388182</v>
      </c>
      <c r="AI5137">
        <v>93.874872895727094</v>
      </c>
      <c r="AJ5137">
        <v>104.426715756932</v>
      </c>
      <c r="AK5137">
        <v>16.486804978456799</v>
      </c>
      <c r="AL5137">
        <v>87.979612956804303</v>
      </c>
      <c r="AM5137">
        <v>91.033507022630303</v>
      </c>
      <c r="AN5137">
        <v>1.0000000352384799</v>
      </c>
    </row>
    <row r="5138" spans="1:40" x14ac:dyDescent="0.25">
      <c r="A5138" t="str">
        <f>"20190312154359439"</f>
        <v>20190312154359439</v>
      </c>
      <c r="B5138" t="str">
        <f>"1552376639432958"</f>
        <v>1552376639432958</v>
      </c>
      <c r="C5138" t="s">
        <v>40</v>
      </c>
      <c r="D5138">
        <v>4.6149139999999997</v>
      </c>
      <c r="E5138">
        <v>0.411999</v>
      </c>
      <c r="F5138" t="s">
        <v>69</v>
      </c>
      <c r="G5138">
        <v>-418.98570000000001</v>
      </c>
      <c r="H5138" s="1">
        <v>-2.049482E-6</v>
      </c>
      <c r="I5138">
        <v>122.6277</v>
      </c>
      <c r="J5138">
        <v>-405.34870000000001</v>
      </c>
      <c r="K5138">
        <v>1.11429</v>
      </c>
      <c r="L5138">
        <v>131.9545</v>
      </c>
      <c r="M5138">
        <v>-0.93926299999999996</v>
      </c>
      <c r="N5138">
        <v>0</v>
      </c>
      <c r="O5138">
        <v>-0.34290300000000001</v>
      </c>
      <c r="P5138">
        <v>-0.93274159999999995</v>
      </c>
      <c r="Q5138">
        <v>2.0230430000000001E-2</v>
      </c>
      <c r="R5138">
        <v>-0.35997780000000001</v>
      </c>
      <c r="S5138">
        <v>-2.5560909999999999</v>
      </c>
      <c r="T5138">
        <v>-0.205012</v>
      </c>
      <c r="U5138">
        <v>-1.7341</v>
      </c>
      <c r="V5138">
        <v>-1.8585890000000001E-2</v>
      </c>
      <c r="W5138">
        <v>3.4295340000000001E-2</v>
      </c>
      <c r="X5138">
        <v>0.99923890000000004</v>
      </c>
      <c r="Y5138">
        <v>-0.24376020000000001</v>
      </c>
      <c r="Z5138">
        <v>1.502788E-2</v>
      </c>
      <c r="AA5138">
        <v>0.96971909999999895</v>
      </c>
      <c r="AB5138">
        <v>27</v>
      </c>
      <c r="AC5138">
        <v>-13.637</v>
      </c>
      <c r="AD5138">
        <v>-1.1142920494819999</v>
      </c>
      <c r="AE5138">
        <v>-9.3267999999999898</v>
      </c>
      <c r="AF5138">
        <v>-4.0660675933810397</v>
      </c>
      <c r="AG5138">
        <v>-1.1142920494819999</v>
      </c>
      <c r="AH5138">
        <v>15.9360475061212</v>
      </c>
      <c r="AI5138">
        <v>93.875988142454901</v>
      </c>
      <c r="AJ5138">
        <v>104.313570805116</v>
      </c>
      <c r="AK5138">
        <v>16.484300487519398</v>
      </c>
      <c r="AL5138">
        <v>88.034636350676905</v>
      </c>
      <c r="AM5138">
        <v>91.065581290818699</v>
      </c>
      <c r="AN5138">
        <v>0.99999999246300797</v>
      </c>
    </row>
    <row r="5139" spans="1:40" x14ac:dyDescent="0.25">
      <c r="A5139" t="str">
        <f>"20190312154359463"</f>
        <v>20190312154359463</v>
      </c>
      <c r="B5139" t="str">
        <f>"1552376639452478"</f>
        <v>1552376639452478</v>
      </c>
      <c r="C5139" t="s">
        <v>40</v>
      </c>
      <c r="D5139">
        <v>4.629111</v>
      </c>
      <c r="E5139">
        <v>0.41290450000000001</v>
      </c>
      <c r="F5139" t="s">
        <v>69</v>
      </c>
      <c r="G5139">
        <v>-419.0258</v>
      </c>
      <c r="H5139" s="1">
        <v>-2.033137E-6</v>
      </c>
      <c r="I5139">
        <v>122.6108</v>
      </c>
      <c r="J5139">
        <v>-405.6044</v>
      </c>
      <c r="K5139">
        <v>1.1145</v>
      </c>
      <c r="L5139">
        <v>131.85489999999999</v>
      </c>
      <c r="M5139">
        <v>-0.93737079999999995</v>
      </c>
      <c r="N5139">
        <v>0</v>
      </c>
      <c r="O5139">
        <v>-0.3480414</v>
      </c>
      <c r="P5139">
        <v>-0.93049859999999895</v>
      </c>
      <c r="Q5139">
        <v>2.0330830000000001E-2</v>
      </c>
      <c r="R5139">
        <v>-0.36573060000000002</v>
      </c>
      <c r="S5139">
        <v>-2.5487980000000001</v>
      </c>
      <c r="T5139">
        <v>-0.2076528</v>
      </c>
      <c r="U5139">
        <v>-1.741241</v>
      </c>
      <c r="V5139">
        <v>-1.930339E-2</v>
      </c>
      <c r="W5139">
        <v>3.4393510000000002E-2</v>
      </c>
      <c r="X5139">
        <v>0.9992219</v>
      </c>
      <c r="Y5139">
        <v>-0.24161089999999999</v>
      </c>
      <c r="Z5139">
        <v>1.566263E-2</v>
      </c>
      <c r="AA5139">
        <v>0.97024679999999996</v>
      </c>
      <c r="AB5139">
        <v>27</v>
      </c>
      <c r="AC5139">
        <v>-13.4214</v>
      </c>
      <c r="AD5139">
        <v>-1.1145020331369999</v>
      </c>
      <c r="AE5139">
        <v>-9.24409999999998</v>
      </c>
      <c r="AF5139">
        <v>-3.9757582846877</v>
      </c>
      <c r="AG5139">
        <v>-1.1145020331369999</v>
      </c>
      <c r="AH5139">
        <v>15.726213746912199</v>
      </c>
      <c r="AI5139">
        <v>93.930467369103496</v>
      </c>
      <c r="AJ5139">
        <v>104.187722062224</v>
      </c>
      <c r="AK5139">
        <v>16.259230225742499</v>
      </c>
      <c r="AL5139">
        <v>88.029008259271706</v>
      </c>
      <c r="AM5139">
        <v>91.106726364612399</v>
      </c>
      <c r="AN5139">
        <v>0.99999996991760998</v>
      </c>
    </row>
    <row r="5140" spans="1:40" x14ac:dyDescent="0.25">
      <c r="A5140" t="str">
        <f>"20190312154359484"</f>
        <v>20190312154359484</v>
      </c>
      <c r="B5140" t="str">
        <f>"1552376639472974"</f>
        <v>1552376639472974</v>
      </c>
      <c r="C5140" t="s">
        <v>40</v>
      </c>
      <c r="D5140">
        <v>4.5848870000000002</v>
      </c>
      <c r="E5140">
        <v>0.41275319999999999</v>
      </c>
      <c r="F5140" t="s">
        <v>69</v>
      </c>
      <c r="G5140">
        <v>-419.19279999999998</v>
      </c>
      <c r="H5140" s="1">
        <v>-1.936171E-6</v>
      </c>
      <c r="I5140">
        <v>122.4948</v>
      </c>
      <c r="J5140">
        <v>-405.85</v>
      </c>
      <c r="K5140">
        <v>1.1147359999999999</v>
      </c>
      <c r="L5140">
        <v>131.75729999999999</v>
      </c>
      <c r="M5140">
        <v>-0.93539609999999995</v>
      </c>
      <c r="N5140">
        <v>0</v>
      </c>
      <c r="O5140">
        <v>-0.3533135</v>
      </c>
      <c r="P5140">
        <v>-0.92817680000000002</v>
      </c>
      <c r="Q5140">
        <v>2.0808859999999998E-2</v>
      </c>
      <c r="R5140">
        <v>-0.37155709999999997</v>
      </c>
      <c r="S5140">
        <v>-2.5407709999999999</v>
      </c>
      <c r="T5140">
        <v>-0.20839070000000001</v>
      </c>
      <c r="U5140">
        <v>-1.7501529999999901</v>
      </c>
      <c r="V5140">
        <v>-1.997107E-2</v>
      </c>
      <c r="W5140">
        <v>3.4871949999999999E-2</v>
      </c>
      <c r="X5140">
        <v>0.99919219999999997</v>
      </c>
      <c r="Y5140">
        <v>-0.23990030000000001</v>
      </c>
      <c r="Z5140">
        <v>1.6154539999999998E-2</v>
      </c>
      <c r="AA5140">
        <v>0.9706631</v>
      </c>
      <c r="AB5140">
        <v>27</v>
      </c>
      <c r="AC5140">
        <v>-13.342799999999899</v>
      </c>
      <c r="AD5140">
        <v>-1.1147379361709999</v>
      </c>
      <c r="AE5140">
        <v>-9.2624999999999797</v>
      </c>
      <c r="AF5140">
        <v>-3.93179818656915</v>
      </c>
      <c r="AG5140">
        <v>-1.1147379361709999</v>
      </c>
      <c r="AH5140">
        <v>15.6811144076944</v>
      </c>
      <c r="AI5140">
        <v>93.944500113943405</v>
      </c>
      <c r="AJ5140">
        <v>104.075851061764</v>
      </c>
      <c r="AK5140">
        <v>16.2049074885804</v>
      </c>
      <c r="AL5140">
        <v>88.001579220176794</v>
      </c>
      <c r="AM5140">
        <v>91.145030642874701</v>
      </c>
      <c r="AN5140">
        <v>0.99999997453729295</v>
      </c>
    </row>
    <row r="5141" spans="1:40" x14ac:dyDescent="0.25">
      <c r="A5141" t="str">
        <f>"20190312154359508"</f>
        <v>20190312154359508</v>
      </c>
      <c r="B5141" t="str">
        <f>"1552376639503231"</f>
        <v>1552376639503231</v>
      </c>
      <c r="C5141" t="s">
        <v>40</v>
      </c>
      <c r="D5141">
        <v>4.6860169999999997</v>
      </c>
      <c r="E5141">
        <v>0.40045039999999998</v>
      </c>
      <c r="F5141" t="s">
        <v>69</v>
      </c>
      <c r="G5141">
        <v>-419.53710000000001</v>
      </c>
      <c r="H5141" s="1">
        <v>-1.696715E-6</v>
      </c>
      <c r="I5141">
        <v>122.1935</v>
      </c>
      <c r="J5141">
        <v>-406.1028</v>
      </c>
      <c r="K5141">
        <v>1.1150139999999999</v>
      </c>
      <c r="L5141">
        <v>131.65469999999999</v>
      </c>
      <c r="M5141">
        <v>-0.93318040000000002</v>
      </c>
      <c r="N5141">
        <v>0</v>
      </c>
      <c r="O5141">
        <v>-0.3591241</v>
      </c>
      <c r="P5141">
        <v>-0.9252532</v>
      </c>
      <c r="Q5141">
        <v>2.0153440000000002E-2</v>
      </c>
      <c r="R5141">
        <v>-0.37881429999999999</v>
      </c>
      <c r="S5141">
        <v>-2.5292659999999998</v>
      </c>
      <c r="T5141">
        <v>-0.2059946</v>
      </c>
      <c r="U5141">
        <v>-1.7673029999999901</v>
      </c>
      <c r="V5141">
        <v>-2.1593370000000001E-2</v>
      </c>
      <c r="W5141">
        <v>3.4209080000000003E-2</v>
      </c>
      <c r="X5141">
        <v>0.9991814</v>
      </c>
      <c r="Y5141">
        <v>-0.24036440000000001</v>
      </c>
      <c r="Z5141">
        <v>1.6357880000000002E-2</v>
      </c>
      <c r="AA5141">
        <v>0.97054490000000004</v>
      </c>
      <c r="AB5141">
        <v>27</v>
      </c>
      <c r="AC5141">
        <v>-13.4343</v>
      </c>
      <c r="AD5141">
        <v>-1.115015696715</v>
      </c>
      <c r="AE5141">
        <v>-9.4611999999999892</v>
      </c>
      <c r="AF5141">
        <v>-3.98647770219605</v>
      </c>
      <c r="AG5141">
        <v>-1.115015696715</v>
      </c>
      <c r="AH5141">
        <v>15.8629526677061</v>
      </c>
      <c r="AI5141">
        <v>93.899867012045405</v>
      </c>
      <c r="AJ5141">
        <v>104.106724927008</v>
      </c>
      <c r="AK5141">
        <v>16.394161515975998</v>
      </c>
      <c r="AL5141">
        <v>88.039581605992396</v>
      </c>
      <c r="AM5141">
        <v>91.238029863819705</v>
      </c>
      <c r="AN5141">
        <v>1.00000000244418</v>
      </c>
    </row>
    <row r="5142" spans="1:40" x14ac:dyDescent="0.25">
      <c r="A5142" t="str">
        <f>"20190312154359530"</f>
        <v>20190312154359530</v>
      </c>
      <c r="B5142" t="str">
        <f>"1552376639522751"</f>
        <v>1552376639522751</v>
      </c>
      <c r="C5142" t="s">
        <v>40</v>
      </c>
      <c r="D5142">
        <v>4.7175989999999999</v>
      </c>
      <c r="E5142">
        <v>0.39966649999999998</v>
      </c>
      <c r="F5142" t="s">
        <v>69</v>
      </c>
      <c r="G5142">
        <v>-416.23930000000001</v>
      </c>
      <c r="H5142" s="1">
        <v>-3.2826710000000002E-6</v>
      </c>
      <c r="I5142">
        <v>123.9662</v>
      </c>
      <c r="J5142">
        <v>-406.35289999999998</v>
      </c>
      <c r="K5142">
        <v>1.1153040000000001</v>
      </c>
      <c r="L5142">
        <v>131.55080000000001</v>
      </c>
      <c r="M5142">
        <v>-0.93076780000000003</v>
      </c>
      <c r="N5142">
        <v>0</v>
      </c>
      <c r="O5142">
        <v>-0.3653303</v>
      </c>
      <c r="P5142">
        <v>-0.92171499999999995</v>
      </c>
      <c r="Q5142">
        <v>1.9533490000000001E-2</v>
      </c>
      <c r="R5142">
        <v>-0.3873762</v>
      </c>
      <c r="S5142">
        <v>-2.4786069999999998</v>
      </c>
      <c r="T5142">
        <v>-0.27264629999999901</v>
      </c>
      <c r="U5142">
        <v>-1.8800049999999999</v>
      </c>
      <c r="V5142">
        <v>-2.4217140000000002E-2</v>
      </c>
      <c r="W5142">
        <v>3.3572390000000001E-2</v>
      </c>
      <c r="X5142">
        <v>0.9991428</v>
      </c>
      <c r="Y5142">
        <v>-0.27172459999999998</v>
      </c>
      <c r="Z5142">
        <v>2.0679989999999999E-2</v>
      </c>
      <c r="AA5142">
        <v>0.96215280000000003</v>
      </c>
      <c r="AB5142">
        <v>27</v>
      </c>
      <c r="AC5142">
        <v>-9.8864000000000303</v>
      </c>
      <c r="AD5142">
        <v>-1.115307282671</v>
      </c>
      <c r="AE5142">
        <v>-7.5846</v>
      </c>
      <c r="AF5142">
        <v>-3.4206492766344598</v>
      </c>
      <c r="AG5142">
        <v>-1.115307282671</v>
      </c>
      <c r="AH5142">
        <v>11.878888006629801</v>
      </c>
      <c r="AI5142">
        <v>95.155474741098004</v>
      </c>
      <c r="AJ5142">
        <v>106.064305088174</v>
      </c>
      <c r="AK5142">
        <v>12.411798100298499</v>
      </c>
      <c r="AL5142">
        <v>88.076082133095795</v>
      </c>
      <c r="AM5142">
        <v>91.388458480475293</v>
      </c>
      <c r="AN5142">
        <v>0.99999995501596395</v>
      </c>
    </row>
    <row r="5143" spans="1:40" x14ac:dyDescent="0.25">
      <c r="A5143" t="str">
        <f>"20190312154359552"</f>
        <v>20190312154359552</v>
      </c>
      <c r="B5143" t="str">
        <f>"1552376639543245"</f>
        <v>1552376639543245</v>
      </c>
      <c r="C5143" t="s">
        <v>40</v>
      </c>
      <c r="D5143">
        <v>4.6682730000000001</v>
      </c>
      <c r="E5143">
        <v>0.3998816</v>
      </c>
      <c r="F5143" t="s">
        <v>69</v>
      </c>
      <c r="G5143">
        <v>-416.0702</v>
      </c>
      <c r="H5143" s="1">
        <v>-3.3322609999999998E-6</v>
      </c>
      <c r="I5143">
        <v>124.0072</v>
      </c>
      <c r="J5143">
        <v>-406.59160000000003</v>
      </c>
      <c r="K5143">
        <v>1.1155900000000001</v>
      </c>
      <c r="L5143">
        <v>131.44919999999999</v>
      </c>
      <c r="M5143">
        <v>-0.92825999999999997</v>
      </c>
      <c r="N5143">
        <v>0</v>
      </c>
      <c r="O5143">
        <v>-0.3716545</v>
      </c>
      <c r="P5143">
        <v>-0.91825690000000004</v>
      </c>
      <c r="Q5143">
        <v>1.9770340000000001E-2</v>
      </c>
      <c r="R5143">
        <v>-0.39549139999999999</v>
      </c>
      <c r="S5143">
        <v>-2.4586489999999999</v>
      </c>
      <c r="T5143">
        <v>-0.2821939</v>
      </c>
      <c r="U5143">
        <v>-1.9086609999999999</v>
      </c>
      <c r="V5143">
        <v>-2.6261710000000001E-2</v>
      </c>
      <c r="W5143">
        <v>3.379923E-2</v>
      </c>
      <c r="X5143">
        <v>0.99908350000000001</v>
      </c>
      <c r="Y5143">
        <v>-0.27598719999999999</v>
      </c>
      <c r="Z5143">
        <v>2.1803449999999999E-2</v>
      </c>
      <c r="AA5143">
        <v>0.96091400000000005</v>
      </c>
      <c r="AB5143">
        <v>27</v>
      </c>
      <c r="AC5143">
        <v>-9.4785999999999699</v>
      </c>
      <c r="AD5143">
        <v>-1.1155933322610001</v>
      </c>
      <c r="AE5143">
        <v>-7.4419999999999904</v>
      </c>
      <c r="AF5143">
        <v>-3.3569280918329398</v>
      </c>
      <c r="AG5143">
        <v>-1.1155933322610001</v>
      </c>
      <c r="AH5143">
        <v>11.4673795240706</v>
      </c>
      <c r="AI5143">
        <v>95.3340026890084</v>
      </c>
      <c r="AJ5143">
        <v>106.316714430556</v>
      </c>
      <c r="AK5143">
        <v>12.000596145433599</v>
      </c>
      <c r="AL5143">
        <v>88.063077772970004</v>
      </c>
      <c r="AM5143">
        <v>91.505718729887505</v>
      </c>
      <c r="AN5143">
        <v>0.99999995266648201</v>
      </c>
    </row>
    <row r="5144" spans="1:40" x14ac:dyDescent="0.25">
      <c r="A5144" t="str">
        <f>"20190312154359574"</f>
        <v>20190312154359574</v>
      </c>
      <c r="B5144" t="str">
        <f>"1552376639562766"</f>
        <v>1552376639562766</v>
      </c>
      <c r="C5144" t="s">
        <v>40</v>
      </c>
      <c r="D5144">
        <v>4.7274940000000001</v>
      </c>
      <c r="E5144">
        <v>0.4008023</v>
      </c>
      <c r="F5144" t="s">
        <v>69</v>
      </c>
      <c r="G5144">
        <v>-416.0804</v>
      </c>
      <c r="H5144" s="1">
        <v>-3.3004709999999998E-6</v>
      </c>
      <c r="I5144">
        <v>123.9594</v>
      </c>
      <c r="J5144">
        <v>-406.83580000000001</v>
      </c>
      <c r="K5144">
        <v>1.1158570000000001</v>
      </c>
      <c r="L5144">
        <v>131.34289999999999</v>
      </c>
      <c r="M5144">
        <v>-0.92549689999999996</v>
      </c>
      <c r="N5144">
        <v>0</v>
      </c>
      <c r="O5144">
        <v>-0.37848169999999998</v>
      </c>
      <c r="P5144">
        <v>-0.91469659999999997</v>
      </c>
      <c r="Q5144">
        <v>1.9292810000000001E-2</v>
      </c>
      <c r="R5144">
        <v>-0.4036806</v>
      </c>
      <c r="S5144">
        <v>-2.44278</v>
      </c>
      <c r="T5144">
        <v>-0.28719810000000001</v>
      </c>
      <c r="U5144">
        <v>-1.928177</v>
      </c>
      <c r="V5144">
        <v>-2.7842829999999999E-2</v>
      </c>
      <c r="W5144">
        <v>3.3317899999999998E-2</v>
      </c>
      <c r="X5144">
        <v>0.99905690000000003</v>
      </c>
      <c r="Y5144">
        <v>-0.27670539999999999</v>
      </c>
      <c r="Z5144">
        <v>2.2823199999999998E-2</v>
      </c>
      <c r="AA5144">
        <v>0.96068370000000003</v>
      </c>
      <c r="AB5144">
        <v>27</v>
      </c>
      <c r="AC5144">
        <v>-9.2445999999999895</v>
      </c>
      <c r="AD5144">
        <v>-1.1158603004709999</v>
      </c>
      <c r="AE5144">
        <v>-7.3834999999999802</v>
      </c>
      <c r="AF5144">
        <v>-3.3054371047036799</v>
      </c>
      <c r="AG5144">
        <v>-1.1158603004709999</v>
      </c>
      <c r="AH5144">
        <v>11.2514592988638</v>
      </c>
      <c r="AI5144">
        <v>95.435530506986098</v>
      </c>
      <c r="AJ5144">
        <v>106.371655368243</v>
      </c>
      <c r="AK5144">
        <v>11.779914898559699</v>
      </c>
      <c r="AL5144">
        <v>88.090671579895798</v>
      </c>
      <c r="AM5144">
        <v>91.596369366544593</v>
      </c>
      <c r="AN5144">
        <v>0.99999999754021396</v>
      </c>
    </row>
    <row r="5145" spans="1:40" x14ac:dyDescent="0.25">
      <c r="A5145" t="str">
        <f>"20190312154359595"</f>
        <v>20190312154359595</v>
      </c>
      <c r="B5145" t="str">
        <f>"1552376639583262"</f>
        <v>1552376639583262</v>
      </c>
      <c r="C5145" t="s">
        <v>40</v>
      </c>
      <c r="D5145">
        <v>4.7518070000000003</v>
      </c>
      <c r="E5145">
        <v>0.40136230000000001</v>
      </c>
      <c r="F5145" t="s">
        <v>69</v>
      </c>
      <c r="G5145">
        <v>-416.24549999999999</v>
      </c>
      <c r="H5145" s="1">
        <v>-3.1835449999999999E-6</v>
      </c>
      <c r="I5145">
        <v>123.8116</v>
      </c>
      <c r="J5145">
        <v>-407.07780000000002</v>
      </c>
      <c r="K5145">
        <v>1.116098</v>
      </c>
      <c r="L5145">
        <v>131.23500000000001</v>
      </c>
      <c r="M5145">
        <v>-0.92255410000000004</v>
      </c>
      <c r="N5145">
        <v>0</v>
      </c>
      <c r="O5145">
        <v>-0.3855982</v>
      </c>
      <c r="P5145">
        <v>-0.91086940000000005</v>
      </c>
      <c r="Q5145">
        <v>1.8283279999999999E-2</v>
      </c>
      <c r="R5145">
        <v>-0.41228959999999998</v>
      </c>
      <c r="S5145">
        <v>-2.4281619999999999</v>
      </c>
      <c r="T5145">
        <v>-0.2879486</v>
      </c>
      <c r="U5145">
        <v>-1.943451</v>
      </c>
      <c r="V5145">
        <v>-2.9570679999999998E-2</v>
      </c>
      <c r="W5145">
        <v>3.2300879999999997E-2</v>
      </c>
      <c r="X5145">
        <v>0.9990407</v>
      </c>
      <c r="Y5145">
        <v>-0.27583639999999998</v>
      </c>
      <c r="Z5145">
        <v>2.36314E-2</v>
      </c>
      <c r="AA5145">
        <v>0.96091409999999999</v>
      </c>
      <c r="AB5145">
        <v>27</v>
      </c>
      <c r="AC5145">
        <v>-9.1676999999999609</v>
      </c>
      <c r="AD5145">
        <v>-1.1161011835449901</v>
      </c>
      <c r="AE5145">
        <v>-7.4234000000000098</v>
      </c>
      <c r="AF5145">
        <v>-3.2843827774280201</v>
      </c>
      <c r="AG5145">
        <v>-1.1161011835449901</v>
      </c>
      <c r="AH5145">
        <v>11.220878553374201</v>
      </c>
      <c r="AI5145">
        <v>95.452998707936402</v>
      </c>
      <c r="AJ5145">
        <v>106.314902196104</v>
      </c>
      <c r="AK5145">
        <v>11.744827269489701</v>
      </c>
      <c r="AL5145">
        <v>88.1489740145837</v>
      </c>
      <c r="AM5145">
        <v>91.695407037469494</v>
      </c>
      <c r="AN5145">
        <v>1.0000000461104599</v>
      </c>
    </row>
    <row r="5146" spans="1:40" x14ac:dyDescent="0.25">
      <c r="A5146" t="str">
        <f>"20190312154359619"</f>
        <v>20190312154359619</v>
      </c>
      <c r="B5146" t="str">
        <f>"1552376639612542"</f>
        <v>1552376639612542</v>
      </c>
      <c r="C5146" t="s">
        <v>40</v>
      </c>
      <c r="D5146">
        <v>4.7767109999999997</v>
      </c>
      <c r="E5146">
        <v>0.40231509999999998</v>
      </c>
      <c r="F5146" t="s">
        <v>69</v>
      </c>
      <c r="G5146">
        <v>-416.35950000000003</v>
      </c>
      <c r="H5146" s="1">
        <v>-3.0858550000000002E-6</v>
      </c>
      <c r="I5146">
        <v>123.6829</v>
      </c>
      <c r="J5146">
        <v>-407.32459999999998</v>
      </c>
      <c r="K5146">
        <v>1.116347</v>
      </c>
      <c r="L5146">
        <v>131.1223</v>
      </c>
      <c r="M5146">
        <v>-0.91932899999999995</v>
      </c>
      <c r="N5146">
        <v>0</v>
      </c>
      <c r="O5146">
        <v>-0.39322420000000002</v>
      </c>
      <c r="P5146">
        <v>-0.90666809999999998</v>
      </c>
      <c r="Q5146">
        <v>1.8229019999999999E-2</v>
      </c>
      <c r="R5146">
        <v>-0.42145070000000001</v>
      </c>
      <c r="S5146">
        <v>-2.4113159999999998</v>
      </c>
      <c r="T5146">
        <v>-0.28995480000000001</v>
      </c>
      <c r="U5146">
        <v>-1.961975</v>
      </c>
      <c r="V5146">
        <v>-3.1388550000000001E-2</v>
      </c>
      <c r="W5146">
        <v>3.2237010000000003E-2</v>
      </c>
      <c r="X5146">
        <v>0.99898730000000002</v>
      </c>
      <c r="Y5146">
        <v>-0.27563530000000003</v>
      </c>
      <c r="Z5146">
        <v>2.456703E-2</v>
      </c>
      <c r="AA5146">
        <v>0.96094829999999998</v>
      </c>
      <c r="AB5146">
        <v>27</v>
      </c>
      <c r="AC5146">
        <v>-9.0349000000000501</v>
      </c>
      <c r="AD5146">
        <v>-1.116350085855</v>
      </c>
      <c r="AE5146">
        <v>-7.4393999999999902</v>
      </c>
      <c r="AF5146">
        <v>-3.2572228614040601</v>
      </c>
      <c r="AG5146">
        <v>-1.116350085855</v>
      </c>
      <c r="AH5146">
        <v>11.131294743097699</v>
      </c>
      <c r="AI5146">
        <v>95.497958804175795</v>
      </c>
      <c r="AJ5146">
        <v>106.31045267694201</v>
      </c>
      <c r="AK5146">
        <v>11.6516720233945</v>
      </c>
      <c r="AL5146">
        <v>88.152635401907403</v>
      </c>
      <c r="AM5146">
        <v>91.799662480961402</v>
      </c>
      <c r="AN5146">
        <v>1.00000004572306</v>
      </c>
    </row>
    <row r="5147" spans="1:40" x14ac:dyDescent="0.25">
      <c r="A5147" t="str">
        <f>"20190312154359641"</f>
        <v>20190312154359641</v>
      </c>
      <c r="B5147" t="str">
        <f>"1552376639633042"</f>
        <v>1552376639633042</v>
      </c>
      <c r="C5147" t="s">
        <v>40</v>
      </c>
      <c r="D5147">
        <v>4.7870720000000002</v>
      </c>
      <c r="E5147">
        <v>0.40258339999999998</v>
      </c>
      <c r="F5147" t="s">
        <v>69</v>
      </c>
      <c r="G5147">
        <v>-416.47840000000002</v>
      </c>
      <c r="H5147" s="1">
        <v>-2.990185E-6</v>
      </c>
      <c r="I5147">
        <v>123.55840000000001</v>
      </c>
      <c r="J5147">
        <v>-407.56630000000001</v>
      </c>
      <c r="K5147">
        <v>1.116603</v>
      </c>
      <c r="L5147">
        <v>131.00899999999999</v>
      </c>
      <c r="M5147">
        <v>-0.91593860000000005</v>
      </c>
      <c r="N5147">
        <v>0</v>
      </c>
      <c r="O5147">
        <v>-0.401057</v>
      </c>
      <c r="P5147">
        <v>-0.90241720000000003</v>
      </c>
      <c r="Q5147">
        <v>1.886208E-2</v>
      </c>
      <c r="R5147">
        <v>-0.43045050000000001</v>
      </c>
      <c r="S5147">
        <v>-2.3948360000000002</v>
      </c>
      <c r="T5147">
        <v>-0.29206490000000002</v>
      </c>
      <c r="U5147">
        <v>-1.978882</v>
      </c>
      <c r="V5147">
        <v>-3.2835490000000002E-2</v>
      </c>
      <c r="W5147">
        <v>3.2866109999999997E-2</v>
      </c>
      <c r="X5147">
        <v>0.99892029999999998</v>
      </c>
      <c r="Y5147">
        <v>-0.27474229999999999</v>
      </c>
      <c r="Z5147">
        <v>2.5580490000000001E-2</v>
      </c>
      <c r="AA5147">
        <v>0.96117759999999997</v>
      </c>
      <c r="AB5147">
        <v>27</v>
      </c>
      <c r="AC5147">
        <v>-8.9121000000000095</v>
      </c>
      <c r="AD5147">
        <v>-1.1166059901850001</v>
      </c>
      <c r="AE5147">
        <v>-7.4505999999999801</v>
      </c>
      <c r="AF5147">
        <v>-3.2206146929495301</v>
      </c>
      <c r="AG5147">
        <v>-1.1166059901850001</v>
      </c>
      <c r="AH5147">
        <v>11.050119016141201</v>
      </c>
      <c r="AI5147">
        <v>95.541082484456297</v>
      </c>
      <c r="AJ5147">
        <v>106.24903804758399</v>
      </c>
      <c r="AK5147">
        <v>11.5639222674941</v>
      </c>
      <c r="AL5147">
        <v>88.116571539738203</v>
      </c>
      <c r="AM5147">
        <v>91.882690580191394</v>
      </c>
      <c r="AN5147">
        <v>1.00000005817107</v>
      </c>
    </row>
    <row r="5148" spans="1:40" x14ac:dyDescent="0.25">
      <c r="A5148" t="str">
        <f>"20190312154359663"</f>
        <v>20190312154359663</v>
      </c>
      <c r="B5148" t="str">
        <f>"1552376639652558"</f>
        <v>1552376639652558</v>
      </c>
      <c r="C5148" t="s">
        <v>40</v>
      </c>
      <c r="D5148">
        <v>4.7977699999999999</v>
      </c>
      <c r="E5148">
        <v>0.40336270000000002</v>
      </c>
      <c r="F5148" t="s">
        <v>69</v>
      </c>
      <c r="G5148">
        <v>-416.68110000000001</v>
      </c>
      <c r="H5148" s="1">
        <v>-2.8192940000000001E-6</v>
      </c>
      <c r="I5148">
        <v>123.334</v>
      </c>
      <c r="J5148">
        <v>-407.79919999999998</v>
      </c>
      <c r="K5148">
        <v>1.116859</v>
      </c>
      <c r="L5148">
        <v>130.89709999999999</v>
      </c>
      <c r="M5148">
        <v>-0.91244009999999998</v>
      </c>
      <c r="N5148">
        <v>0</v>
      </c>
      <c r="O5148">
        <v>-0.4089526</v>
      </c>
      <c r="P5148">
        <v>-0.89803719999999998</v>
      </c>
      <c r="Q5148">
        <v>1.863855E-2</v>
      </c>
      <c r="R5148">
        <v>-0.43952550000000001</v>
      </c>
      <c r="S5148">
        <v>-2.3761290000000002</v>
      </c>
      <c r="T5148">
        <v>-0.2910895</v>
      </c>
      <c r="U5148">
        <v>-2.0008089999999998</v>
      </c>
      <c r="V5148">
        <v>-3.4293740000000003E-2</v>
      </c>
      <c r="W5148">
        <v>3.2639729999999999E-2</v>
      </c>
      <c r="X5148">
        <v>0.99887870000000001</v>
      </c>
      <c r="Y5148">
        <v>-0.27537889999999998</v>
      </c>
      <c r="Z5148">
        <v>2.625278E-2</v>
      </c>
      <c r="AA5148">
        <v>0.96097730000000003</v>
      </c>
      <c r="AB5148">
        <v>27</v>
      </c>
      <c r="AC5148">
        <v>-8.8819000000000301</v>
      </c>
      <c r="AD5148">
        <v>-1.1168618192940001</v>
      </c>
      <c r="AE5148">
        <v>-7.5630999999999897</v>
      </c>
      <c r="AF5148">
        <v>-3.2392534388830598</v>
      </c>
      <c r="AG5148">
        <v>-1.1168618192940001</v>
      </c>
      <c r="AH5148">
        <v>11.096620725843</v>
      </c>
      <c r="AI5148">
        <v>95.518586256743404</v>
      </c>
      <c r="AJ5148">
        <v>106.273237791312</v>
      </c>
      <c r="AK5148">
        <v>11.613575448496499</v>
      </c>
      <c r="AL5148">
        <v>88.129549076861494</v>
      </c>
      <c r="AM5148">
        <v>91.966319940231998</v>
      </c>
      <c r="AN5148">
        <v>1.0000000349456699</v>
      </c>
    </row>
    <row r="5149" spans="1:40" x14ac:dyDescent="0.25">
      <c r="A5149" t="str">
        <f>"20190312154359685"</f>
        <v>20190312154359685</v>
      </c>
      <c r="B5149" t="str">
        <f>"1552376639673054"</f>
        <v>1552376639673054</v>
      </c>
      <c r="C5149" t="s">
        <v>40</v>
      </c>
      <c r="D5149">
        <v>4.8151000000000002</v>
      </c>
      <c r="E5149">
        <v>0.40395999999999999</v>
      </c>
      <c r="F5149" t="s">
        <v>69</v>
      </c>
      <c r="G5149">
        <v>-416.81040000000002</v>
      </c>
      <c r="H5149" s="1">
        <v>-2.7050209999999999E-6</v>
      </c>
      <c r="I5149">
        <v>123.18259999999999</v>
      </c>
      <c r="J5149">
        <v>-408.03519999999997</v>
      </c>
      <c r="K5149">
        <v>1.117132</v>
      </c>
      <c r="L5149">
        <v>130.78059999999999</v>
      </c>
      <c r="M5149">
        <v>-0.90864250000000002</v>
      </c>
      <c r="N5149">
        <v>0</v>
      </c>
      <c r="O5149">
        <v>-0.41732059999999999</v>
      </c>
      <c r="P5149">
        <v>-0.89333619999999903</v>
      </c>
      <c r="Q5149">
        <v>1.8236309999999999E-2</v>
      </c>
      <c r="R5149">
        <v>-0.44901930000000001</v>
      </c>
      <c r="S5149">
        <v>-2.3584589999999999</v>
      </c>
      <c r="T5149">
        <v>-0.2923095</v>
      </c>
      <c r="U5149">
        <v>-2.0190730000000001</v>
      </c>
      <c r="V5149">
        <v>-3.5714500000000003E-2</v>
      </c>
      <c r="W5149">
        <v>3.2237010000000003E-2</v>
      </c>
      <c r="X5149">
        <v>0.99884189999999995</v>
      </c>
      <c r="Y5149">
        <v>-0.27442939999999999</v>
      </c>
      <c r="Z5149">
        <v>2.7254629999999998E-2</v>
      </c>
      <c r="AA5149">
        <v>0.96122090000000004</v>
      </c>
      <c r="AB5149">
        <v>27</v>
      </c>
      <c r="AC5149">
        <v>-8.7752000000000407</v>
      </c>
      <c r="AD5149">
        <v>-1.1171347050210001</v>
      </c>
      <c r="AE5149">
        <v>-7.5979999999999901</v>
      </c>
      <c r="AF5149">
        <v>-3.21238305237318</v>
      </c>
      <c r="AG5149">
        <v>-1.1171347050210001</v>
      </c>
      <c r="AH5149">
        <v>11.043215560624301</v>
      </c>
      <c r="AI5149">
        <v>95.547967191071507</v>
      </c>
      <c r="AJ5149">
        <v>106.21929081885899</v>
      </c>
      <c r="AK5149">
        <v>11.555085665747001</v>
      </c>
      <c r="AL5149">
        <v>88.152635217174804</v>
      </c>
      <c r="AM5149">
        <v>92.047790281254095</v>
      </c>
      <c r="AN5149">
        <v>0.999999945759798</v>
      </c>
    </row>
    <row r="5150" spans="1:40" x14ac:dyDescent="0.25">
      <c r="A5150" t="str">
        <f>"20190312154359709"</f>
        <v>20190312154359709</v>
      </c>
      <c r="B5150" t="str">
        <f>"1552376639702334"</f>
        <v>1552376639702334</v>
      </c>
      <c r="C5150" t="s">
        <v>40</v>
      </c>
      <c r="D5150">
        <v>4.7565770000000001</v>
      </c>
      <c r="E5150">
        <v>0.40396270000000001</v>
      </c>
      <c r="F5150" t="s">
        <v>69</v>
      </c>
      <c r="G5150">
        <v>-416.92410000000001</v>
      </c>
      <c r="H5150" s="1">
        <v>-2.5908630000000001E-6</v>
      </c>
      <c r="I5150">
        <v>123.0279</v>
      </c>
      <c r="J5150">
        <v>-408.274</v>
      </c>
      <c r="K5150">
        <v>1.1174200000000001</v>
      </c>
      <c r="L5150">
        <v>130.65960000000001</v>
      </c>
      <c r="M5150">
        <v>-0.90452140000000003</v>
      </c>
      <c r="N5150">
        <v>0</v>
      </c>
      <c r="O5150">
        <v>-0.42617729999999998</v>
      </c>
      <c r="P5150">
        <v>-0.88854859999999902</v>
      </c>
      <c r="Q5150">
        <v>1.807218E-2</v>
      </c>
      <c r="R5150">
        <v>-0.45842690000000003</v>
      </c>
      <c r="S5150">
        <v>-2.338867</v>
      </c>
      <c r="T5150">
        <v>-0.29394340000000002</v>
      </c>
      <c r="U5150">
        <v>-2.0399319999999999</v>
      </c>
      <c r="V5150">
        <v>-3.6522449999999998E-2</v>
      </c>
      <c r="W5150">
        <v>3.2084029999999999E-2</v>
      </c>
      <c r="X5150">
        <v>0.99881770000000003</v>
      </c>
      <c r="Y5150">
        <v>-0.27392919999999998</v>
      </c>
      <c r="Z5150">
        <v>2.832991E-2</v>
      </c>
      <c r="AA5150">
        <v>0.96133250000000003</v>
      </c>
      <c r="AB5150">
        <v>27</v>
      </c>
      <c r="AC5150">
        <v>-8.6501000000000001</v>
      </c>
      <c r="AD5150">
        <v>-1.117422590863</v>
      </c>
      <c r="AE5150">
        <v>-7.6317000000000004</v>
      </c>
      <c r="AF5150">
        <v>-3.1869986831556001</v>
      </c>
      <c r="AG5150">
        <v>-1.117422590863</v>
      </c>
      <c r="AH5150">
        <v>10.9748604882738</v>
      </c>
      <c r="AI5150">
        <v>95.584478961301599</v>
      </c>
      <c r="AJ5150">
        <v>106.192811830078</v>
      </c>
      <c r="AK5150">
        <v>11.48273297565</v>
      </c>
      <c r="AL5150">
        <v>88.161405028527298</v>
      </c>
      <c r="AM5150">
        <v>92.094126247026296</v>
      </c>
      <c r="AN5150">
        <v>1.0000000360841601</v>
      </c>
    </row>
    <row r="5151" spans="1:40" x14ac:dyDescent="0.25">
      <c r="A5151" t="str">
        <f>"20190312154359731"</f>
        <v>20190312154359731</v>
      </c>
      <c r="B5151" t="str">
        <f>"1552376639722830"</f>
        <v>1552376639722830</v>
      </c>
      <c r="C5151" t="s">
        <v>40</v>
      </c>
      <c r="D5151">
        <v>4.7394850000000002</v>
      </c>
      <c r="E5151">
        <v>0.40311720000000001</v>
      </c>
      <c r="F5151" t="s">
        <v>69</v>
      </c>
      <c r="G5151">
        <v>-417.24</v>
      </c>
      <c r="H5151" s="1">
        <v>-2.319362E-6</v>
      </c>
      <c r="I5151">
        <v>122.6699</v>
      </c>
      <c r="J5151">
        <v>-408.50700000000001</v>
      </c>
      <c r="K5151">
        <v>1.1177090000000001</v>
      </c>
      <c r="L5151">
        <v>130.5378</v>
      </c>
      <c r="M5151">
        <v>-0.9001825</v>
      </c>
      <c r="N5151">
        <v>0</v>
      </c>
      <c r="O5151">
        <v>-0.43526550000000003</v>
      </c>
      <c r="P5151">
        <v>-0.88424040000000004</v>
      </c>
      <c r="Q5151">
        <v>1.6312549999999999E-2</v>
      </c>
      <c r="R5151">
        <v>-0.46674729999999998</v>
      </c>
      <c r="S5151">
        <v>-2.3169559999999998</v>
      </c>
      <c r="T5151">
        <v>-0.28875899999999999</v>
      </c>
      <c r="U5151">
        <v>-2.064667</v>
      </c>
      <c r="V5151">
        <v>-3.5816609999999999E-2</v>
      </c>
      <c r="W5151">
        <v>3.036587E-2</v>
      </c>
      <c r="X5151">
        <v>0.99889700000000003</v>
      </c>
      <c r="Y5151">
        <v>-0.27448990000000001</v>
      </c>
      <c r="Z5151">
        <v>2.870793E-2</v>
      </c>
      <c r="AA5151">
        <v>0.96116140000000005</v>
      </c>
      <c r="AB5151">
        <v>27</v>
      </c>
      <c r="AC5151">
        <v>-8.7330000000000592</v>
      </c>
      <c r="AD5151">
        <v>-1.1177113193619901</v>
      </c>
      <c r="AE5151">
        <v>-7.8678999999999997</v>
      </c>
      <c r="AF5151">
        <v>-3.2523193884136798</v>
      </c>
      <c r="AG5151">
        <v>-1.1177113193619901</v>
      </c>
      <c r="AH5151">
        <v>11.185994972588601</v>
      </c>
      <c r="AI5151">
        <v>95.480604319256102</v>
      </c>
      <c r="AJ5151">
        <v>106.211748463711</v>
      </c>
      <c r="AK5151">
        <v>11.702706675143901</v>
      </c>
      <c r="AL5151">
        <v>88.259896432041501</v>
      </c>
      <c r="AM5151">
        <v>92.053526852834494</v>
      </c>
      <c r="AN5151">
        <v>1.0000000661108699</v>
      </c>
    </row>
    <row r="5152" spans="1:40" x14ac:dyDescent="0.25">
      <c r="A5152" t="str">
        <f>"20190312154359753"</f>
        <v>20190312154359753</v>
      </c>
      <c r="B5152" t="str">
        <f>"1552376639742859"</f>
        <v>1552376639742859</v>
      </c>
      <c r="C5152" t="s">
        <v>40</v>
      </c>
      <c r="D5152">
        <v>4.7363460000000002</v>
      </c>
      <c r="E5152">
        <v>0.40395730000000002</v>
      </c>
      <c r="F5152" t="s">
        <v>69</v>
      </c>
      <c r="G5152">
        <v>-419.49259999999998</v>
      </c>
      <c r="H5152" s="1">
        <v>-6.4213809999999999E-7</v>
      </c>
      <c r="I5152">
        <v>120.5247</v>
      </c>
      <c r="J5152">
        <v>-408.73989999999998</v>
      </c>
      <c r="K5152">
        <v>1.11796299999999</v>
      </c>
      <c r="L5152">
        <v>130.4127</v>
      </c>
      <c r="M5152">
        <v>-0.89555720000000005</v>
      </c>
      <c r="N5152">
        <v>0</v>
      </c>
      <c r="O5152">
        <v>-0.44470209999999999</v>
      </c>
      <c r="P5152">
        <v>-0.87937520000000002</v>
      </c>
      <c r="Q5152">
        <v>1.387062E-2</v>
      </c>
      <c r="R5152">
        <v>-0.47592780000000001</v>
      </c>
      <c r="S5152">
        <v>-2.2935789999999998</v>
      </c>
      <c r="T5152">
        <v>-0.23335639999999999</v>
      </c>
      <c r="U5152">
        <v>-2.0905610000000001</v>
      </c>
      <c r="V5152">
        <v>-3.5676220000000002E-2</v>
      </c>
      <c r="W5152">
        <v>2.7960780000000001E-2</v>
      </c>
      <c r="X5152">
        <v>0.99897219999999998</v>
      </c>
      <c r="Y5152">
        <v>-0.2750225</v>
      </c>
      <c r="Z5152">
        <v>2.395864E-2</v>
      </c>
      <c r="AA5152">
        <v>0.96113919999999997</v>
      </c>
      <c r="AB5152">
        <v>27</v>
      </c>
      <c r="AC5152">
        <v>-10.752700000000001</v>
      </c>
      <c r="AD5152">
        <v>-1.1179636421380901</v>
      </c>
      <c r="AE5152">
        <v>-9.8879999999999999</v>
      </c>
      <c r="AF5152">
        <v>-4.0502418191166196</v>
      </c>
      <c r="AG5152">
        <v>-1.1179636421380901</v>
      </c>
      <c r="AH5152">
        <v>13.946711003201299</v>
      </c>
      <c r="AI5152">
        <v>94.401905474995004</v>
      </c>
      <c r="AJ5152">
        <v>106.193740219028</v>
      </c>
      <c r="AK5152">
        <v>14.5658864922558</v>
      </c>
      <c r="AL5152">
        <v>88.3977565376033</v>
      </c>
      <c r="AM5152">
        <v>92.045330667649495</v>
      </c>
      <c r="AN5152">
        <v>1.00000002713226</v>
      </c>
    </row>
    <row r="5153" spans="1:40" x14ac:dyDescent="0.25">
      <c r="A5153" t="str">
        <f>"20190312154359775"</f>
        <v>20190312154359775</v>
      </c>
      <c r="B5153" t="str">
        <f>"1552376639762379"</f>
        <v>1552376639762379</v>
      </c>
      <c r="C5153" t="s">
        <v>40</v>
      </c>
      <c r="D5153">
        <v>4.737622</v>
      </c>
      <c r="E5153">
        <v>0.4044912</v>
      </c>
      <c r="F5153" t="s">
        <v>69</v>
      </c>
      <c r="G5153">
        <v>-419.1601</v>
      </c>
      <c r="H5153" s="1">
        <v>-8.335128E-7</v>
      </c>
      <c r="I5153">
        <v>120.7529</v>
      </c>
      <c r="J5153">
        <v>-408.9599</v>
      </c>
      <c r="K5153">
        <v>1.11819</v>
      </c>
      <c r="L5153">
        <v>130.291</v>
      </c>
      <c r="M5153">
        <v>-0.89089830000000003</v>
      </c>
      <c r="N5153">
        <v>0</v>
      </c>
      <c r="O5153">
        <v>-0.45396199999999998</v>
      </c>
      <c r="P5153">
        <v>-0.87438669999999996</v>
      </c>
      <c r="Q5153">
        <v>1.164779E-2</v>
      </c>
      <c r="R5153">
        <v>-0.48509049999999998</v>
      </c>
      <c r="S5153">
        <v>-2.2743229999999999</v>
      </c>
      <c r="T5153">
        <v>-0.24400620000000001</v>
      </c>
      <c r="U5153">
        <v>-2.1083370000000001</v>
      </c>
      <c r="V5153">
        <v>-3.5719769999999998E-2</v>
      </c>
      <c r="W5153">
        <v>2.5770020000000001E-2</v>
      </c>
      <c r="X5153">
        <v>0.99902950000000001</v>
      </c>
      <c r="Y5153">
        <v>-0.27320909999999998</v>
      </c>
      <c r="Z5153">
        <v>2.5910829999999999E-2</v>
      </c>
      <c r="AA5153">
        <v>0.96160570000000001</v>
      </c>
      <c r="AB5153">
        <v>27</v>
      </c>
      <c r="AC5153">
        <v>-10.200199999999899</v>
      </c>
      <c r="AD5153">
        <v>-1.1181908335127999</v>
      </c>
      <c r="AE5153">
        <v>-9.5381</v>
      </c>
      <c r="AF5153">
        <v>-3.8427593183154301</v>
      </c>
      <c r="AG5153">
        <v>-1.1181908335127999</v>
      </c>
      <c r="AH5153">
        <v>13.333258288738399</v>
      </c>
      <c r="AI5153">
        <v>94.607206934947399</v>
      </c>
      <c r="AJ5153">
        <v>106.07743487832499</v>
      </c>
      <c r="AK5153">
        <v>13.920952787538001</v>
      </c>
      <c r="AL5153">
        <v>88.523323097288397</v>
      </c>
      <c r="AM5153">
        <v>92.047707926152299</v>
      </c>
      <c r="AN5153">
        <v>0.99999996888495102</v>
      </c>
    </row>
    <row r="5154" spans="1:40" x14ac:dyDescent="0.25">
      <c r="A5154" t="str">
        <f>"20190312154359798"</f>
        <v>20190312154359798</v>
      </c>
      <c r="B5154" t="str">
        <f>"1552376639792635"</f>
        <v>1552376639792635</v>
      </c>
      <c r="C5154" t="s">
        <v>40</v>
      </c>
      <c r="D5154">
        <v>4.7881580000000001</v>
      </c>
      <c r="E5154">
        <v>0.40157949999999998</v>
      </c>
      <c r="F5154" t="s">
        <v>69</v>
      </c>
      <c r="G5154">
        <v>-418.78660000000002</v>
      </c>
      <c r="H5154" s="1">
        <v>-1.051369E-6</v>
      </c>
      <c r="I5154">
        <v>121.0138</v>
      </c>
      <c r="J5154">
        <v>-409.19319999999999</v>
      </c>
      <c r="K5154">
        <v>1.1184419999999999</v>
      </c>
      <c r="L5154">
        <v>130.1583</v>
      </c>
      <c r="M5154">
        <v>-0.88562260000000004</v>
      </c>
      <c r="N5154">
        <v>0</v>
      </c>
      <c r="O5154">
        <v>-0.46416800000000003</v>
      </c>
      <c r="P5154">
        <v>-0.86890429999999996</v>
      </c>
      <c r="Q5154">
        <v>1.1994650000000001E-2</v>
      </c>
      <c r="R5154">
        <v>-0.49483470000000002</v>
      </c>
      <c r="S5154">
        <v>-2.2538450000000001</v>
      </c>
      <c r="T5154">
        <v>-0.25646839999999999</v>
      </c>
      <c r="U5154">
        <v>-2.1278229999999998</v>
      </c>
      <c r="V5154">
        <v>-3.5435019999999998E-2</v>
      </c>
      <c r="W5154">
        <v>2.6158509999999999E-2</v>
      </c>
      <c r="X5154">
        <v>0.99902959999999996</v>
      </c>
      <c r="Y5154">
        <v>-0.27098610000000001</v>
      </c>
      <c r="Z5154">
        <v>2.8232279999999998E-2</v>
      </c>
      <c r="AA5154">
        <v>0.96216919999999995</v>
      </c>
      <c r="AB5154">
        <v>27</v>
      </c>
      <c r="AC5154">
        <v>-9.5934000000000292</v>
      </c>
      <c r="AD5154">
        <v>-1.118443051369</v>
      </c>
      <c r="AE5154">
        <v>-9.1444999999999901</v>
      </c>
      <c r="AF5154">
        <v>-3.6202475848057301</v>
      </c>
      <c r="AG5154">
        <v>-1.118443051369</v>
      </c>
      <c r="AH5154">
        <v>12.6520217702808</v>
      </c>
      <c r="AI5154">
        <v>94.8578647939283</v>
      </c>
      <c r="AJ5154">
        <v>105.96793606224701</v>
      </c>
      <c r="AK5154">
        <v>13.2072238684027</v>
      </c>
      <c r="AL5154">
        <v>88.501056836561204</v>
      </c>
      <c r="AM5154">
        <v>92.031397585518903</v>
      </c>
      <c r="AN5154">
        <v>1.00000002498198</v>
      </c>
    </row>
    <row r="5155" spans="1:40" x14ac:dyDescent="0.25">
      <c r="A5155" t="str">
        <f>"20190312154359819"</f>
        <v>20190312154359819</v>
      </c>
      <c r="B5155" t="str">
        <f>"1552376639813134"</f>
        <v>1552376639813134</v>
      </c>
      <c r="C5155" t="s">
        <v>40</v>
      </c>
      <c r="D5155">
        <v>4.7987120000000001</v>
      </c>
      <c r="E5155">
        <v>0.3969336</v>
      </c>
      <c r="F5155" t="s">
        <v>69</v>
      </c>
      <c r="G5155">
        <v>-417.13920000000002</v>
      </c>
      <c r="H5155" s="1">
        <v>-2.1430320000000001E-6</v>
      </c>
      <c r="I5155">
        <v>122.3704</v>
      </c>
      <c r="J5155">
        <v>-409.41820000000001</v>
      </c>
      <c r="K5155">
        <v>1.1187</v>
      </c>
      <c r="L5155">
        <v>130.0265</v>
      </c>
      <c r="M5155">
        <v>-0.88018159999999901</v>
      </c>
      <c r="N5155">
        <v>0</v>
      </c>
      <c r="O5155">
        <v>-0.47440260000000001</v>
      </c>
      <c r="P5155">
        <v>-0.86342289999999899</v>
      </c>
      <c r="Q5155">
        <v>1.190254E-2</v>
      </c>
      <c r="R5155">
        <v>-0.50434060000000003</v>
      </c>
      <c r="S5155">
        <v>-2.2185670000000002</v>
      </c>
      <c r="T5155">
        <v>-0.31227490000000002</v>
      </c>
      <c r="U5155">
        <v>-2.174423</v>
      </c>
      <c r="V5155">
        <v>-3.4832910000000002E-2</v>
      </c>
      <c r="W5155">
        <v>2.6118470000000001E-2</v>
      </c>
      <c r="X5155">
        <v>0.99905180000000005</v>
      </c>
      <c r="Y5155">
        <v>-0.27806649999999999</v>
      </c>
      <c r="Z5155">
        <v>3.5034299999999997E-2</v>
      </c>
      <c r="AA5155">
        <v>0.95992270000000002</v>
      </c>
      <c r="AB5155">
        <v>27</v>
      </c>
      <c r="AC5155">
        <v>-7.7210000000000001</v>
      </c>
      <c r="AD5155">
        <v>-1.1187021430320001</v>
      </c>
      <c r="AE5155">
        <v>-7.6560999999999897</v>
      </c>
      <c r="AF5155">
        <v>-3.0440163970160801</v>
      </c>
      <c r="AG5155">
        <v>-1.1187021430320001</v>
      </c>
      <c r="AH5155">
        <v>10.3198775229753</v>
      </c>
      <c r="AI5155">
        <v>95.935933889016098</v>
      </c>
      <c r="AJ5155">
        <v>106.43428449309999</v>
      </c>
      <c r="AK5155">
        <v>10.817458222675899</v>
      </c>
      <c r="AL5155">
        <v>88.503351710091096</v>
      </c>
      <c r="AM5155">
        <v>91.996864033587798</v>
      </c>
      <c r="AN5155">
        <v>1.0000000025887199</v>
      </c>
    </row>
    <row r="5156" spans="1:40" x14ac:dyDescent="0.25">
      <c r="A5156" t="str">
        <f>"20190312154359842"</f>
        <v>20190312154359842</v>
      </c>
      <c r="B5156" t="str">
        <f>"1552376639833157"</f>
        <v>1552376639833157</v>
      </c>
      <c r="C5156" t="s">
        <v>40</v>
      </c>
      <c r="D5156">
        <v>4.8125269999999896</v>
      </c>
      <c r="E5156">
        <v>0.39637050000000001</v>
      </c>
      <c r="F5156" t="s">
        <v>69</v>
      </c>
      <c r="G5156">
        <v>-417.29090000000002</v>
      </c>
      <c r="H5156" s="1">
        <v>-1.8574809999999999E-6</v>
      </c>
      <c r="I5156">
        <v>121.95440000000001</v>
      </c>
      <c r="J5156">
        <v>-409.63889999999998</v>
      </c>
      <c r="K5156">
        <v>1.118962</v>
      </c>
      <c r="L5156">
        <v>129.89320000000001</v>
      </c>
      <c r="M5156">
        <v>-0.87447640000000004</v>
      </c>
      <c r="N5156">
        <v>0</v>
      </c>
      <c r="O5156">
        <v>-0.4848365</v>
      </c>
      <c r="P5156">
        <v>-0.85844100000000001</v>
      </c>
      <c r="Q5156">
        <v>9.1219040000000001E-3</v>
      </c>
      <c r="R5156">
        <v>-0.51283129999999999</v>
      </c>
      <c r="S5156">
        <v>-2.175751</v>
      </c>
      <c r="T5156">
        <v>-0.30917020000000001</v>
      </c>
      <c r="U5156">
        <v>-2.2308500000000002</v>
      </c>
      <c r="V5156">
        <v>-3.274846E-2</v>
      </c>
      <c r="W5156">
        <v>2.3426120000000002E-2</v>
      </c>
      <c r="X5156">
        <v>0.99918899999999999</v>
      </c>
      <c r="Y5156">
        <v>-0.28825699999999999</v>
      </c>
      <c r="Z5156">
        <v>3.522281E-2</v>
      </c>
      <c r="AA5156">
        <v>0.95690509999999995</v>
      </c>
      <c r="AB5156">
        <v>27</v>
      </c>
      <c r="AC5156">
        <v>-7.6520000000000401</v>
      </c>
      <c r="AD5156">
        <v>-1.1189638574809999</v>
      </c>
      <c r="AE5156">
        <v>-7.9387999999999996</v>
      </c>
      <c r="AF5156">
        <v>-3.1997345873097198</v>
      </c>
      <c r="AG5156">
        <v>-1.1189638574809999</v>
      </c>
      <c r="AH5156">
        <v>10.434239185549201</v>
      </c>
      <c r="AI5156">
        <v>95.853919135889996</v>
      </c>
      <c r="AJ5156">
        <v>107.04853526861901</v>
      </c>
      <c r="AK5156">
        <v>10.9710404668301</v>
      </c>
      <c r="AL5156">
        <v>88.657659333414799</v>
      </c>
      <c r="AM5156">
        <v>91.877199525142103</v>
      </c>
      <c r="AN5156">
        <v>0.99999995122581098</v>
      </c>
    </row>
    <row r="5157" spans="1:40" x14ac:dyDescent="0.25">
      <c r="A5157" t="str">
        <f>"20190312154359864"</f>
        <v>20190312154359864</v>
      </c>
      <c r="B5157" t="str">
        <f>"1552376639852678"</f>
        <v>1552376639852678</v>
      </c>
      <c r="C5157" t="s">
        <v>40</v>
      </c>
      <c r="D5157">
        <v>5.0137879999999999</v>
      </c>
      <c r="E5157">
        <v>0.39620729999999998</v>
      </c>
      <c r="F5157" t="s">
        <v>69</v>
      </c>
      <c r="G5157">
        <v>-417.24239999999998</v>
      </c>
      <c r="H5157" s="1">
        <v>-1.837739E-6</v>
      </c>
      <c r="I5157">
        <v>121.9127</v>
      </c>
      <c r="J5157">
        <v>-409.85430000000002</v>
      </c>
      <c r="K5157">
        <v>1.119229</v>
      </c>
      <c r="L5157">
        <v>129.75919999999999</v>
      </c>
      <c r="M5157">
        <v>-0.86853449999999999</v>
      </c>
      <c r="N5157">
        <v>0</v>
      </c>
      <c r="O5157">
        <v>-0.49540010000000001</v>
      </c>
      <c r="P5157">
        <v>-0.85389680000000001</v>
      </c>
      <c r="Q5157">
        <v>5.6477380000000002E-3</v>
      </c>
      <c r="R5157">
        <v>-0.52041210000000004</v>
      </c>
      <c r="S5157">
        <v>-2.149994</v>
      </c>
      <c r="T5157">
        <v>-0.31640370000000001</v>
      </c>
      <c r="U5157">
        <v>-2.2566069999999998</v>
      </c>
      <c r="V5157">
        <v>-2.941241E-2</v>
      </c>
      <c r="W5157">
        <v>2.007428E-2</v>
      </c>
      <c r="X5157">
        <v>0.99936570000000002</v>
      </c>
      <c r="Y5157">
        <v>-0.28790769999999999</v>
      </c>
      <c r="Z5157">
        <v>3.7206870000000003E-2</v>
      </c>
      <c r="AA5157">
        <v>0.95693510000000004</v>
      </c>
      <c r="AB5157">
        <v>26</v>
      </c>
      <c r="AC5157">
        <v>-7.3880999999999499</v>
      </c>
      <c r="AD5157">
        <v>-1.1192308377389999</v>
      </c>
      <c r="AE5157">
        <v>-7.84649999999999</v>
      </c>
      <c r="AF5157">
        <v>-3.1215821253243399</v>
      </c>
      <c r="AG5157">
        <v>-1.1192308377389999</v>
      </c>
      <c r="AH5157">
        <v>10.195190451124599</v>
      </c>
      <c r="AI5157">
        <v>95.992401404826893</v>
      </c>
      <c r="AJ5157">
        <v>107.023636615275</v>
      </c>
      <c r="AK5157">
        <v>10.720954293718099</v>
      </c>
      <c r="AL5157">
        <v>88.849751141100697</v>
      </c>
      <c r="AM5157">
        <v>91.685789938702399</v>
      </c>
      <c r="AN5157">
        <v>0.99999993445800595</v>
      </c>
    </row>
    <row r="5158" spans="1:40" x14ac:dyDescent="0.25">
      <c r="A5158" t="str">
        <f>"20190312154359886"</f>
        <v>20190312154359886</v>
      </c>
      <c r="B5158" t="str">
        <f>"1552376639882934"</f>
        <v>1552376639882934</v>
      </c>
      <c r="C5158" t="s">
        <v>40</v>
      </c>
      <c r="D5158">
        <v>4.7654709999999998</v>
      </c>
      <c r="E5158">
        <v>0.39676709999999998</v>
      </c>
      <c r="F5158" t="s">
        <v>69</v>
      </c>
      <c r="G5158">
        <v>-417.2867</v>
      </c>
      <c r="H5158" s="1">
        <v>-1.764438E-6</v>
      </c>
      <c r="I5158">
        <v>121.80710000000001</v>
      </c>
      <c r="J5158">
        <v>-410.07089999999999</v>
      </c>
      <c r="K5158">
        <v>1.1195090000000001</v>
      </c>
      <c r="L5158">
        <v>129.62020000000001</v>
      </c>
      <c r="M5158">
        <v>-0.86215810000000004</v>
      </c>
      <c r="N5158">
        <v>0</v>
      </c>
      <c r="O5158">
        <v>-0.50641349999999996</v>
      </c>
      <c r="P5158">
        <v>-0.84891479999999997</v>
      </c>
      <c r="Q5158">
        <v>5.4090459999999998E-3</v>
      </c>
      <c r="R5158">
        <v>-0.52850200000000003</v>
      </c>
      <c r="S5158">
        <v>-2.127869</v>
      </c>
      <c r="T5158">
        <v>-0.32043359999999999</v>
      </c>
      <c r="U5158">
        <v>-2.276672</v>
      </c>
      <c r="V5158">
        <v>-2.6198579999999999E-2</v>
      </c>
      <c r="W5158">
        <v>1.9963189999999999E-2</v>
      </c>
      <c r="X5158">
        <v>0.99945740000000005</v>
      </c>
      <c r="Y5158">
        <v>-0.284962099999999</v>
      </c>
      <c r="Z5158">
        <v>3.9047159999999997E-2</v>
      </c>
      <c r="AA5158">
        <v>0.95774320000000002</v>
      </c>
      <c r="AB5158">
        <v>26</v>
      </c>
      <c r="AC5158">
        <v>-7.2157999999999998</v>
      </c>
      <c r="AD5158">
        <v>-1.119510764438</v>
      </c>
      <c r="AE5158">
        <v>-7.8131000000000004</v>
      </c>
      <c r="AF5158">
        <v>-3.04852333970305</v>
      </c>
      <c r="AG5158">
        <v>-1.119510764438</v>
      </c>
      <c r="AH5158">
        <v>10.067435196481799</v>
      </c>
      <c r="AI5158">
        <v>96.0750493989174</v>
      </c>
      <c r="AJ5158">
        <v>106.846854368149</v>
      </c>
      <c r="AK5158">
        <v>10.578282012679001</v>
      </c>
      <c r="AL5158">
        <v>88.856117474104096</v>
      </c>
      <c r="AM5158">
        <v>91.5015391398926</v>
      </c>
      <c r="AN5158">
        <v>0.99999999448187604</v>
      </c>
    </row>
    <row r="5159" spans="1:40" x14ac:dyDescent="0.25">
      <c r="A5159" t="str">
        <f>"20190312154359911"</f>
        <v>20190312154359911</v>
      </c>
      <c r="B5159" t="str">
        <f>"1552376639902454"</f>
        <v>1552376639902454</v>
      </c>
      <c r="C5159" t="s">
        <v>40</v>
      </c>
      <c r="D5159">
        <v>4.7738610000000001</v>
      </c>
      <c r="E5159">
        <v>0.39722109999999999</v>
      </c>
      <c r="F5159" t="s">
        <v>69</v>
      </c>
      <c r="G5159">
        <v>-417.39789999999999</v>
      </c>
      <c r="H5159" s="1">
        <v>-1.648149E-6</v>
      </c>
      <c r="I5159">
        <v>121.6485</v>
      </c>
      <c r="J5159">
        <v>-410.29610000000002</v>
      </c>
      <c r="K5159">
        <v>1.119802</v>
      </c>
      <c r="L5159">
        <v>129.47069999999999</v>
      </c>
      <c r="M5159">
        <v>-0.85505739999999997</v>
      </c>
      <c r="N5159">
        <v>0</v>
      </c>
      <c r="O5159">
        <v>-0.5183101</v>
      </c>
      <c r="P5159">
        <v>-0.84321740000000001</v>
      </c>
      <c r="Q5159">
        <v>7.220873E-3</v>
      </c>
      <c r="R5159">
        <v>-0.53752440000000001</v>
      </c>
      <c r="S5159">
        <v>-2.1080930000000002</v>
      </c>
      <c r="T5159">
        <v>-0.32210100000000003</v>
      </c>
      <c r="U5159">
        <v>-2.2935940000000001</v>
      </c>
      <c r="V5159">
        <v>-2.3072100000000002E-2</v>
      </c>
      <c r="W5159">
        <v>2.1912549999999999E-2</v>
      </c>
      <c r="X5159">
        <v>0.99949370000000004</v>
      </c>
      <c r="Y5159">
        <v>-0.27974660000000001</v>
      </c>
      <c r="Z5159">
        <v>4.0837390000000001E-2</v>
      </c>
      <c r="AA5159">
        <v>0.95920499999999997</v>
      </c>
      <c r="AB5159">
        <v>26</v>
      </c>
      <c r="AC5159">
        <v>-7.1017999999999599</v>
      </c>
      <c r="AD5159">
        <v>-1.1198036481489999</v>
      </c>
      <c r="AE5159">
        <v>-7.8221999999999898</v>
      </c>
      <c r="AF5159">
        <v>-2.9744288925256002</v>
      </c>
      <c r="AG5159">
        <v>-1.1198036481489999</v>
      </c>
      <c r="AH5159">
        <v>10.0154313419544</v>
      </c>
      <c r="AI5159">
        <v>96.117665347646295</v>
      </c>
      <c r="AJ5159">
        <v>106.540608790734</v>
      </c>
      <c r="AK5159">
        <v>10.507618779366799</v>
      </c>
      <c r="AL5159">
        <v>88.744402958377293</v>
      </c>
      <c r="AM5159">
        <v>91.322368742385606</v>
      </c>
      <c r="AN5159">
        <v>1.0000000689927899</v>
      </c>
    </row>
    <row r="5160" spans="1:40" x14ac:dyDescent="0.25">
      <c r="A5160" t="str">
        <f>"20190312154359932"</f>
        <v>20190312154359932</v>
      </c>
      <c r="B5160" t="str">
        <f>"1552376639922951"</f>
        <v>1552376639922951</v>
      </c>
      <c r="C5160" t="s">
        <v>40</v>
      </c>
      <c r="D5160">
        <v>4.796665</v>
      </c>
      <c r="E5160">
        <v>0.39757510000000001</v>
      </c>
      <c r="F5160" t="s">
        <v>69</v>
      </c>
      <c r="G5160">
        <v>-417.60090000000002</v>
      </c>
      <c r="H5160" s="1">
        <v>-1.4458640000000001E-6</v>
      </c>
      <c r="I5160">
        <v>121.3747</v>
      </c>
      <c r="J5160">
        <v>-410.50310000000002</v>
      </c>
      <c r="K5160">
        <v>1.1200639999999999</v>
      </c>
      <c r="L5160">
        <v>129.32859999999999</v>
      </c>
      <c r="M5160">
        <v>-0.84809100000000004</v>
      </c>
      <c r="N5160">
        <v>0</v>
      </c>
      <c r="O5160">
        <v>-0.52962989999999999</v>
      </c>
      <c r="P5160">
        <v>-0.83760059999999903</v>
      </c>
      <c r="Q5160">
        <v>9.2086119999999997E-3</v>
      </c>
      <c r="R5160">
        <v>-0.54620559999999996</v>
      </c>
      <c r="S5160">
        <v>-2.0864259999999999</v>
      </c>
      <c r="T5160">
        <v>-0.3198452</v>
      </c>
      <c r="U5160">
        <v>-2.312424</v>
      </c>
      <c r="V5160">
        <v>-2.0181910000000001E-2</v>
      </c>
      <c r="W5160">
        <v>2.403392E-2</v>
      </c>
      <c r="X5160">
        <v>0.99950740000000005</v>
      </c>
      <c r="Y5160">
        <v>-0.27586480000000002</v>
      </c>
      <c r="Z5160">
        <v>4.1999839999999997E-2</v>
      </c>
      <c r="AA5160">
        <v>0.96027839999999998</v>
      </c>
      <c r="AB5160">
        <v>26</v>
      </c>
      <c r="AC5160">
        <v>-7.0978000000000003</v>
      </c>
      <c r="AD5160">
        <v>-1.120065445864</v>
      </c>
      <c r="AE5160">
        <v>-7.9538999999999902</v>
      </c>
      <c r="AF5160">
        <v>-2.9541611308639899</v>
      </c>
      <c r="AG5160">
        <v>-1.120065445864</v>
      </c>
      <c r="AH5160">
        <v>10.121663584772</v>
      </c>
      <c r="AI5160">
        <v>96.063683609806006</v>
      </c>
      <c r="AJ5160">
        <v>106.270686232123</v>
      </c>
      <c r="AK5160">
        <v>10.6032866750563</v>
      </c>
      <c r="AL5160">
        <v>88.622825201614901</v>
      </c>
      <c r="AM5160">
        <v>91.156750968835198</v>
      </c>
      <c r="AN5160">
        <v>0.99999999072828705</v>
      </c>
    </row>
    <row r="5161" spans="1:40" x14ac:dyDescent="0.25">
      <c r="A5161" t="str">
        <f>"20190312154359955"</f>
        <v>20190312154359955</v>
      </c>
      <c r="B5161" t="str">
        <f>"1552376639942470"</f>
        <v>1552376639942470</v>
      </c>
      <c r="C5161" t="s">
        <v>40</v>
      </c>
      <c r="D5161">
        <v>4.7940990000000001</v>
      </c>
      <c r="E5161">
        <v>0.39800350000000001</v>
      </c>
      <c r="F5161" t="s">
        <v>69</v>
      </c>
      <c r="G5161">
        <v>-417.86759999999998</v>
      </c>
      <c r="H5161" s="1">
        <v>-1.17728E-6</v>
      </c>
      <c r="I5161">
        <v>121.0106</v>
      </c>
      <c r="J5161">
        <v>-410.71480000000003</v>
      </c>
      <c r="K5161">
        <v>1.120301</v>
      </c>
      <c r="L5161">
        <v>129.17859999999999</v>
      </c>
      <c r="M5161">
        <v>-0.84053999999999995</v>
      </c>
      <c r="N5161">
        <v>0</v>
      </c>
      <c r="O5161">
        <v>-0.54153149999999906</v>
      </c>
      <c r="P5161">
        <v>-0.83116480000000004</v>
      </c>
      <c r="Q5161">
        <v>8.3241859999999904E-3</v>
      </c>
      <c r="R5161">
        <v>-0.55596420000000002</v>
      </c>
      <c r="S5161">
        <v>-2.064514</v>
      </c>
      <c r="T5161">
        <v>-0.31399100000000002</v>
      </c>
      <c r="U5161">
        <v>-2.3318020000000002</v>
      </c>
      <c r="V5161">
        <v>-1.7771519999999999E-2</v>
      </c>
      <c r="W5161">
        <v>2.3276439999999999E-2</v>
      </c>
      <c r="X5161">
        <v>0.99957110000000005</v>
      </c>
      <c r="Y5161">
        <v>-0.27135609999999999</v>
      </c>
      <c r="Z5161">
        <v>4.2741370000000001E-2</v>
      </c>
      <c r="AA5161">
        <v>0.96152959999999998</v>
      </c>
      <c r="AB5161">
        <v>26</v>
      </c>
      <c r="AC5161">
        <v>-7.1527999999999503</v>
      </c>
      <c r="AD5161">
        <v>-1.1203021772799999</v>
      </c>
      <c r="AE5161">
        <v>-8.1679999999999904</v>
      </c>
      <c r="AF5161">
        <v>-2.9608923808946899</v>
      </c>
      <c r="AG5161">
        <v>-1.1203021772799999</v>
      </c>
      <c r="AH5161">
        <v>10.326725603112401</v>
      </c>
      <c r="AI5161">
        <v>95.953503554203493</v>
      </c>
      <c r="AJ5161">
        <v>105.99872580767401</v>
      </c>
      <c r="AK5161">
        <v>10.801075054902499</v>
      </c>
      <c r="AL5161">
        <v>88.666237772679196</v>
      </c>
      <c r="AM5161">
        <v>91.018562686259202</v>
      </c>
      <c r="AN5161">
        <v>1.0000000017686901</v>
      </c>
    </row>
    <row r="5162" spans="1:40" x14ac:dyDescent="0.25">
      <c r="A5162" t="str">
        <f>"20190312154359976"</f>
        <v>20190312154359976</v>
      </c>
      <c r="B5162" t="str">
        <f>"1552376639972726"</f>
        <v>1552376639972726</v>
      </c>
      <c r="C5162" t="s">
        <v>40</v>
      </c>
      <c r="D5162">
        <v>4.7614349999999996</v>
      </c>
      <c r="E5162">
        <v>0.3986055</v>
      </c>
      <c r="F5162" t="s">
        <v>69</v>
      </c>
      <c r="G5162">
        <v>-418.01740000000001</v>
      </c>
      <c r="H5162" s="1">
        <v>-9.8792450000000004E-7</v>
      </c>
      <c r="I5162">
        <v>120.74550000000001</v>
      </c>
      <c r="J5162">
        <v>-410.91269999999997</v>
      </c>
      <c r="K5162">
        <v>1.120492</v>
      </c>
      <c r="L5162">
        <v>129.03370000000001</v>
      </c>
      <c r="M5162">
        <v>-0.83307149999999996</v>
      </c>
      <c r="N5162">
        <v>0</v>
      </c>
      <c r="O5162">
        <v>-0.55294980000000005</v>
      </c>
      <c r="P5162">
        <v>-0.82456819999999897</v>
      </c>
      <c r="Q5162">
        <v>6.8607529999999998E-3</v>
      </c>
      <c r="R5162">
        <v>-0.56572119999999904</v>
      </c>
      <c r="S5162">
        <v>-2.0381770000000001</v>
      </c>
      <c r="T5162">
        <v>-0.31267739999999999</v>
      </c>
      <c r="U5162">
        <v>-2.3536679999999999</v>
      </c>
      <c r="V5162">
        <v>-1.5881650000000001E-2</v>
      </c>
      <c r="W5162">
        <v>2.1923040000000001E-2</v>
      </c>
      <c r="X5162">
        <v>0.99963349999999995</v>
      </c>
      <c r="Y5162">
        <v>-0.2688297</v>
      </c>
      <c r="Z5162">
        <v>4.3932359999999997E-2</v>
      </c>
      <c r="AA5162">
        <v>0.96218530000000002</v>
      </c>
      <c r="AB5162">
        <v>26</v>
      </c>
      <c r="AC5162">
        <v>-7.1047000000000304</v>
      </c>
      <c r="AD5162">
        <v>-1.1204929879245</v>
      </c>
      <c r="AE5162">
        <v>-8.2881999999999998</v>
      </c>
      <c r="AF5162">
        <v>-2.9454443797319301</v>
      </c>
      <c r="AG5162">
        <v>-1.1204929879245</v>
      </c>
      <c r="AH5162">
        <v>10.3934354724903</v>
      </c>
      <c r="AI5162">
        <v>95.921717783874001</v>
      </c>
      <c r="AJ5162">
        <v>105.82244790572101</v>
      </c>
      <c r="AK5162">
        <v>10.8606927979251</v>
      </c>
      <c r="AL5162">
        <v>88.743801682538106</v>
      </c>
      <c r="AM5162">
        <v>90.910208558902994</v>
      </c>
      <c r="AN5162">
        <v>0.99999999040590604</v>
      </c>
    </row>
    <row r="5163" spans="1:40" x14ac:dyDescent="0.25">
      <c r="A5163" t="str">
        <f>"20190312154359999"</f>
        <v>20190312154359999</v>
      </c>
      <c r="B5163" t="str">
        <f>"1552376639992245"</f>
        <v>1552376639992245</v>
      </c>
      <c r="C5163" t="s">
        <v>40</v>
      </c>
      <c r="D5163">
        <v>4.7417420000000003</v>
      </c>
      <c r="E5163">
        <v>0.39911029999999997</v>
      </c>
      <c r="F5163" t="s">
        <v>69</v>
      </c>
      <c r="G5163">
        <v>-418.11070000000001</v>
      </c>
      <c r="H5163" s="1">
        <v>-8.4483890000000002E-7</v>
      </c>
      <c r="I5163">
        <v>120.54089999999999</v>
      </c>
      <c r="J5163">
        <v>-411.12389999999999</v>
      </c>
      <c r="K5163">
        <v>1.120671</v>
      </c>
      <c r="L5163">
        <v>128.8741</v>
      </c>
      <c r="M5163">
        <v>-0.8246481</v>
      </c>
      <c r="N5163">
        <v>0</v>
      </c>
      <c r="O5163">
        <v>-0.56543310000000002</v>
      </c>
      <c r="P5163">
        <v>-0.81707479999999999</v>
      </c>
      <c r="Q5163">
        <v>6.9464779999999999E-3</v>
      </c>
      <c r="R5163">
        <v>-0.57648999999999995</v>
      </c>
      <c r="S5163">
        <v>-2.0121150000000001</v>
      </c>
      <c r="T5163">
        <v>-0.31321729999999998</v>
      </c>
      <c r="U5163">
        <v>-2.3740540000000001</v>
      </c>
      <c r="V5163">
        <v>-1.395536E-2</v>
      </c>
      <c r="W5163">
        <v>2.212327E-2</v>
      </c>
      <c r="X5163">
        <v>0.99965789999999999</v>
      </c>
      <c r="Y5163">
        <v>-0.26460060000000002</v>
      </c>
      <c r="Z5163">
        <v>4.5579599999999998E-2</v>
      </c>
      <c r="AA5163">
        <v>0.96328029999999998</v>
      </c>
      <c r="AB5163">
        <v>26</v>
      </c>
      <c r="AC5163">
        <v>-6.9868000000000103</v>
      </c>
      <c r="AD5163">
        <v>-1.1206718448388999</v>
      </c>
      <c r="AE5163">
        <v>-8.3331999999999997</v>
      </c>
      <c r="AF5163">
        <v>-2.8910384729465801</v>
      </c>
      <c r="AG5163">
        <v>-1.1206718448388999</v>
      </c>
      <c r="AH5163">
        <v>10.3647062933399</v>
      </c>
      <c r="AI5163">
        <v>95.945817605844695</v>
      </c>
      <c r="AJ5163">
        <v>105.585437337165</v>
      </c>
      <c r="AK5163">
        <v>10.818555605212399</v>
      </c>
      <c r="AL5163">
        <v>88.732326646056606</v>
      </c>
      <c r="AM5163">
        <v>90.799804906553703</v>
      </c>
      <c r="AN5163">
        <v>1.00000005409031</v>
      </c>
    </row>
    <row r="5164" spans="1:40" x14ac:dyDescent="0.25">
      <c r="A5164" t="str">
        <f>"20190312154400021"</f>
        <v>20190312154400021</v>
      </c>
      <c r="B5164" t="str">
        <f>"1552376640012742"</f>
        <v>1552376640012742</v>
      </c>
      <c r="C5164" t="s">
        <v>40</v>
      </c>
      <c r="D5164">
        <v>4.7142770000000001</v>
      </c>
      <c r="E5164">
        <v>0.3995765</v>
      </c>
      <c r="F5164" t="s">
        <v>69</v>
      </c>
      <c r="G5164">
        <v>-418.31950000000001</v>
      </c>
      <c r="H5164" s="1">
        <v>-6.4779019999999904E-7</v>
      </c>
      <c r="I5164">
        <v>120.17100000000001</v>
      </c>
      <c r="J5164">
        <v>-411.3254</v>
      </c>
      <c r="K5164">
        <v>1.1208340000000001</v>
      </c>
      <c r="L5164">
        <v>128.71680000000001</v>
      </c>
      <c r="M5164">
        <v>-0.81616290000000002</v>
      </c>
      <c r="N5164">
        <v>0</v>
      </c>
      <c r="O5164">
        <v>-0.5776116</v>
      </c>
      <c r="P5164">
        <v>-0.80885689999999999</v>
      </c>
      <c r="Q5164">
        <v>7.8702859999999902E-3</v>
      </c>
      <c r="R5164">
        <v>-0.58795299999999995</v>
      </c>
      <c r="S5164">
        <v>-1.9824520000000001</v>
      </c>
      <c r="T5164">
        <v>-0.30875839999999999</v>
      </c>
      <c r="U5164">
        <v>-2.3977970000000002</v>
      </c>
      <c r="V5164">
        <v>-1.32491E-2</v>
      </c>
      <c r="W5164">
        <v>2.3128659999999999E-2</v>
      </c>
      <c r="X5164">
        <v>0.99964470000000005</v>
      </c>
      <c r="Y5164">
        <v>-0.26206370000000001</v>
      </c>
      <c r="Z5164">
        <v>4.6371210000000003E-2</v>
      </c>
      <c r="AA5164">
        <v>0.96393589999999996</v>
      </c>
      <c r="AB5164">
        <v>26</v>
      </c>
      <c r="AC5164">
        <v>-6.9941000000000004</v>
      </c>
      <c r="AD5164">
        <v>-1.1208346477902</v>
      </c>
      <c r="AE5164">
        <v>-8.5457999999999998</v>
      </c>
      <c r="AF5164">
        <v>-2.9053185609162502</v>
      </c>
      <c r="AG5164">
        <v>-1.1208346477902</v>
      </c>
      <c r="AH5164">
        <v>10.5372204336301</v>
      </c>
      <c r="AI5164">
        <v>95.854804038015999</v>
      </c>
      <c r="AJ5164">
        <v>105.41457724335299</v>
      </c>
      <c r="AK5164">
        <v>10.9877277321111</v>
      </c>
      <c r="AL5164">
        <v>88.674707220599402</v>
      </c>
      <c r="AM5164">
        <v>90.759342861814901</v>
      </c>
      <c r="AN5164">
        <v>0.99999999990114696</v>
      </c>
    </row>
    <row r="5165" spans="1:40" x14ac:dyDescent="0.25">
      <c r="A5165" t="str">
        <f>"20190312154400045"</f>
        <v>20190312154400045</v>
      </c>
      <c r="B5165" t="str">
        <f>"1552376640032262"</f>
        <v>1552376640032262</v>
      </c>
      <c r="C5165" t="s">
        <v>40</v>
      </c>
      <c r="D5165">
        <v>4.7238329999999999</v>
      </c>
      <c r="E5165">
        <v>0.39940320000000001</v>
      </c>
      <c r="F5165" t="s">
        <v>69</v>
      </c>
      <c r="G5165">
        <v>-418.50049999999999</v>
      </c>
      <c r="H5165" s="1">
        <v>-4.5893019999999998E-7</v>
      </c>
      <c r="I5165">
        <v>119.8027</v>
      </c>
      <c r="J5165">
        <v>-411.52140000000003</v>
      </c>
      <c r="K5165">
        <v>1.1209819999999999</v>
      </c>
      <c r="L5165">
        <v>128.55869999999999</v>
      </c>
      <c r="M5165">
        <v>-0.80746859999999998</v>
      </c>
      <c r="N5165">
        <v>0</v>
      </c>
      <c r="O5165">
        <v>-0.58970290000000003</v>
      </c>
      <c r="P5165">
        <v>-0.79948009999999903</v>
      </c>
      <c r="Q5165">
        <v>8.7084069999999996E-3</v>
      </c>
      <c r="R5165">
        <v>-0.60062969999999904</v>
      </c>
      <c r="S5165">
        <v>-1.9504999999999999</v>
      </c>
      <c r="T5165">
        <v>-0.30468889999999998</v>
      </c>
      <c r="U5165">
        <v>-2.423203</v>
      </c>
      <c r="V5165">
        <v>-1.4154470000000001E-2</v>
      </c>
      <c r="W5165">
        <v>2.4005789999999999E-2</v>
      </c>
      <c r="X5165">
        <v>0.99961160000000004</v>
      </c>
      <c r="Y5165">
        <v>-0.26035439999999999</v>
      </c>
      <c r="Z5165">
        <v>4.713469E-2</v>
      </c>
      <c r="AA5165">
        <v>0.96436189999999999</v>
      </c>
      <c r="AB5165">
        <v>26</v>
      </c>
      <c r="AC5165">
        <v>-6.9790999999999599</v>
      </c>
      <c r="AD5165">
        <v>-1.1209824589302</v>
      </c>
      <c r="AE5165">
        <v>-8.7559999999999807</v>
      </c>
      <c r="AF5165">
        <v>-2.92563863961312</v>
      </c>
      <c r="AG5165">
        <v>-1.1209824589302</v>
      </c>
      <c r="AH5165">
        <v>10.692992706464</v>
      </c>
      <c r="AI5165">
        <v>95.773947383493606</v>
      </c>
      <c r="AJ5165">
        <v>105.301828827786</v>
      </c>
      <c r="AK5165">
        <v>11.1425336500869</v>
      </c>
      <c r="AL5165">
        <v>88.624437394560104</v>
      </c>
      <c r="AM5165">
        <v>90.811252286612202</v>
      </c>
      <c r="AN5165">
        <v>0.99999998891453201</v>
      </c>
    </row>
    <row r="5166" spans="1:40" x14ac:dyDescent="0.25">
      <c r="A5166" t="str">
        <f>"20190312154400065"</f>
        <v>20190312154400065</v>
      </c>
      <c r="B5166" t="str">
        <f>"1552376640062518"</f>
        <v>1552376640062518</v>
      </c>
      <c r="C5166" t="s">
        <v>40</v>
      </c>
      <c r="D5166">
        <v>4.6768280000000004</v>
      </c>
      <c r="E5166">
        <v>0.3748225</v>
      </c>
      <c r="F5166" t="s">
        <v>43</v>
      </c>
      <c r="G5166">
        <v>-418.61529999999999</v>
      </c>
      <c r="H5166" s="1">
        <v>-4.4561779999999996E-6</v>
      </c>
      <c r="I5166">
        <v>119.4477</v>
      </c>
      <c r="J5166">
        <v>-411.70929999999998</v>
      </c>
      <c r="K5166">
        <v>1.1211120000000001</v>
      </c>
      <c r="L5166">
        <v>128.40219999999999</v>
      </c>
      <c r="M5166">
        <v>-0.79871259999999999</v>
      </c>
      <c r="N5166">
        <v>0</v>
      </c>
      <c r="O5166">
        <v>-0.60150749999999997</v>
      </c>
      <c r="P5166">
        <v>-0.78957739999999998</v>
      </c>
      <c r="Q5166">
        <v>8.1140209999999904E-3</v>
      </c>
      <c r="R5166">
        <v>-0.61359759999999997</v>
      </c>
      <c r="S5166">
        <v>-1.9114070000000001</v>
      </c>
      <c r="T5166">
        <v>-0.30204579999999998</v>
      </c>
      <c r="U5166">
        <v>-2.4549259999999999</v>
      </c>
      <c r="V5166">
        <v>-1.576576E-2</v>
      </c>
      <c r="W5166">
        <v>2.342756E-2</v>
      </c>
      <c r="X5166">
        <v>0.99960119999999997</v>
      </c>
      <c r="Y5166">
        <v>-0.26178119999999999</v>
      </c>
      <c r="Z5166">
        <v>4.7914270000000002E-2</v>
      </c>
      <c r="AA5166">
        <v>0.96393720000000005</v>
      </c>
      <c r="AB5166">
        <v>26</v>
      </c>
      <c r="AC5166">
        <v>-6.9059999999999997</v>
      </c>
      <c r="AD5166">
        <v>-1.121116456178</v>
      </c>
      <c r="AE5166">
        <v>-8.9544999999999906</v>
      </c>
      <c r="AF5166">
        <v>-2.9692464247049299</v>
      </c>
      <c r="AG5166">
        <v>-1.121116456178</v>
      </c>
      <c r="AH5166">
        <v>10.7973265414208</v>
      </c>
      <c r="AI5166">
        <v>95.717183335664103</v>
      </c>
      <c r="AJ5166">
        <v>105.37616060174901</v>
      </c>
      <c r="AK5166">
        <v>11.254136434263</v>
      </c>
      <c r="AL5166">
        <v>88.657576849378799</v>
      </c>
      <c r="AM5166">
        <v>90.903596972611297</v>
      </c>
      <c r="AN5166">
        <v>0.99999998439868498</v>
      </c>
    </row>
    <row r="5167" spans="1:40" x14ac:dyDescent="0.25">
      <c r="A5167" t="str">
        <f>"20190312154400088"</f>
        <v>20190312154400088</v>
      </c>
      <c r="B5167" t="str">
        <f>"1552376640083014"</f>
        <v>1552376640083014</v>
      </c>
      <c r="C5167" t="s">
        <v>40</v>
      </c>
      <c r="D5167">
        <v>4.6662379999999999</v>
      </c>
      <c r="E5167">
        <v>0.37623420000000002</v>
      </c>
      <c r="F5167" t="s">
        <v>43</v>
      </c>
      <c r="G5167">
        <v>-417.7987</v>
      </c>
      <c r="H5167" s="1">
        <v>-4.5019309999999998E-6</v>
      </c>
      <c r="I5167">
        <v>119.2167</v>
      </c>
      <c r="J5167">
        <v>-411.90449999999998</v>
      </c>
      <c r="K5167">
        <v>1.1212249999999999</v>
      </c>
      <c r="L5167">
        <v>128.23429999999999</v>
      </c>
      <c r="M5167">
        <v>-0.78916409999999904</v>
      </c>
      <c r="N5167">
        <v>0</v>
      </c>
      <c r="O5167">
        <v>-0.61398019999999998</v>
      </c>
      <c r="P5167">
        <v>-0.77925710000000004</v>
      </c>
      <c r="Q5167">
        <v>5.5062180000000002E-3</v>
      </c>
      <c r="R5167">
        <v>-0.62668089999999999</v>
      </c>
      <c r="S5167">
        <v>-1.7506409999999999</v>
      </c>
      <c r="T5167">
        <v>-0.32230569999999997</v>
      </c>
      <c r="U5167">
        <v>-2.640701</v>
      </c>
      <c r="V5167">
        <v>-1.6660419999999999E-2</v>
      </c>
      <c r="W5167">
        <v>2.0853739999999999E-2</v>
      </c>
      <c r="X5167">
        <v>0.99964370000000002</v>
      </c>
      <c r="Y5167">
        <v>-0.31945509999999999</v>
      </c>
      <c r="Z5167">
        <v>4.9118660000000001E-2</v>
      </c>
      <c r="AA5167">
        <v>0.94632749999999999</v>
      </c>
      <c r="AB5167">
        <v>26</v>
      </c>
      <c r="AC5167">
        <v>-5.8942000000000103</v>
      </c>
      <c r="AD5167">
        <v>-1.1212295019309999</v>
      </c>
      <c r="AE5167">
        <v>-9.0175999999999803</v>
      </c>
      <c r="AF5167">
        <v>-3.4603952159158</v>
      </c>
      <c r="AG5167">
        <v>-1.1212295019309999</v>
      </c>
      <c r="AH5167">
        <v>10.0801948292965</v>
      </c>
      <c r="AI5167">
        <v>96.005686766735906</v>
      </c>
      <c r="AJ5167">
        <v>108.946656352025</v>
      </c>
      <c r="AK5167">
        <v>10.7164275037397</v>
      </c>
      <c r="AL5167">
        <v>88.805082077988502</v>
      </c>
      <c r="AM5167">
        <v>90.954823586284306</v>
      </c>
      <c r="AN5167">
        <v>0.99999998750812602</v>
      </c>
    </row>
    <row r="5168" spans="1:40" x14ac:dyDescent="0.25">
      <c r="A5168" t="str">
        <f>"20190312154400111"</f>
        <v>20190312154400111</v>
      </c>
      <c r="B5168" t="str">
        <f>"1552376640102533"</f>
        <v>1552376640102533</v>
      </c>
      <c r="C5168" t="s">
        <v>40</v>
      </c>
      <c r="D5168">
        <v>4.6555819999999999</v>
      </c>
      <c r="E5168">
        <v>0.37754100000000002</v>
      </c>
      <c r="F5168" t="s">
        <v>43</v>
      </c>
      <c r="G5168">
        <v>-417.56209999999999</v>
      </c>
      <c r="H5168" s="1">
        <v>-4.6436309999999997E-6</v>
      </c>
      <c r="I5168">
        <v>119.4492</v>
      </c>
      <c r="J5168">
        <v>-412.096</v>
      </c>
      <c r="K5168">
        <v>1.121332</v>
      </c>
      <c r="L5168">
        <v>128.0635</v>
      </c>
      <c r="M5168">
        <v>-0.77930859999999902</v>
      </c>
      <c r="N5168">
        <v>0</v>
      </c>
      <c r="O5168">
        <v>-0.62644009999999895</v>
      </c>
      <c r="P5168">
        <v>-0.76943399999999995</v>
      </c>
      <c r="Q5168">
        <v>3.329434E-3</v>
      </c>
      <c r="R5168">
        <v>-0.63871769999999894</v>
      </c>
      <c r="S5168">
        <v>-1.7130430000000001</v>
      </c>
      <c r="T5168">
        <v>-0.33949099999999999</v>
      </c>
      <c r="U5168">
        <v>-2.6600039999999998</v>
      </c>
      <c r="V5168">
        <v>-1.625878E-2</v>
      </c>
      <c r="W5168">
        <v>1.874224E-2</v>
      </c>
      <c r="X5168">
        <v>0.99969209999999997</v>
      </c>
      <c r="Y5168">
        <v>-0.31711450000000002</v>
      </c>
      <c r="Z5168">
        <v>5.3396180000000001E-2</v>
      </c>
      <c r="AA5168">
        <v>0.94688289999999997</v>
      </c>
      <c r="AB5168">
        <v>26</v>
      </c>
      <c r="AC5168">
        <v>-5.4660999999999804</v>
      </c>
      <c r="AD5168">
        <v>-1.1213366436309999</v>
      </c>
      <c r="AE5168">
        <v>-8.6143000000000001</v>
      </c>
      <c r="AF5168">
        <v>-3.25016281823609</v>
      </c>
      <c r="AG5168">
        <v>-1.1213366436309999</v>
      </c>
      <c r="AH5168">
        <v>9.5420600810634095</v>
      </c>
      <c r="AI5168">
        <v>96.347446630830902</v>
      </c>
      <c r="AJ5168">
        <v>108.809580753932</v>
      </c>
      <c r="AK5168">
        <v>10.142576832542</v>
      </c>
      <c r="AL5168">
        <v>88.926085824509897</v>
      </c>
      <c r="AM5168">
        <v>90.931764241431196</v>
      </c>
      <c r="AN5168">
        <v>0.99999995714485701</v>
      </c>
    </row>
    <row r="5169" spans="1:40" x14ac:dyDescent="0.25">
      <c r="A5169" t="str">
        <f>"20190312154400133"</f>
        <v>20190312154400133</v>
      </c>
      <c r="B5169" t="str">
        <f>"1552376640123030"</f>
        <v>1552376640123030</v>
      </c>
      <c r="C5169" t="s">
        <v>40</v>
      </c>
      <c r="D5169">
        <v>4.6551049999999998</v>
      </c>
      <c r="E5169">
        <v>0.37918020000000002</v>
      </c>
      <c r="F5169" t="s">
        <v>43</v>
      </c>
      <c r="G5169">
        <v>-417.57769999999999</v>
      </c>
      <c r="H5169" s="1">
        <v>-4.5809929999999999E-6</v>
      </c>
      <c r="I5169">
        <v>119.3096</v>
      </c>
      <c r="J5169">
        <v>-412.28059999999999</v>
      </c>
      <c r="K5169">
        <v>1.1214189999999999</v>
      </c>
      <c r="L5169">
        <v>127.8934</v>
      </c>
      <c r="M5169">
        <v>-0.76936099999999996</v>
      </c>
      <c r="N5169">
        <v>0</v>
      </c>
      <c r="O5169">
        <v>-0.63861659999999998</v>
      </c>
      <c r="P5169">
        <v>-0.75979509999999995</v>
      </c>
      <c r="Q5169">
        <v>4.0072240000000002E-3</v>
      </c>
      <c r="R5169">
        <v>-0.65015080000000003</v>
      </c>
      <c r="S5169">
        <v>-1.677155</v>
      </c>
      <c r="T5169">
        <v>-0.34308090000000002</v>
      </c>
      <c r="U5169">
        <v>-2.6783290000000002</v>
      </c>
      <c r="V5169">
        <v>-1.5512059999999999E-2</v>
      </c>
      <c r="W5169">
        <v>1.9490259999999999E-2</v>
      </c>
      <c r="X5169">
        <v>0.99968970000000001</v>
      </c>
      <c r="Y5169">
        <v>-0.31429059999999998</v>
      </c>
      <c r="Z5169">
        <v>5.5635900000000002E-2</v>
      </c>
      <c r="AA5169">
        <v>0.94769510000000001</v>
      </c>
      <c r="AB5169">
        <v>26</v>
      </c>
      <c r="AC5169">
        <v>-5.2971000000000004</v>
      </c>
      <c r="AD5169">
        <v>-1.121423580993</v>
      </c>
      <c r="AE5169">
        <v>-8.5837999999999894</v>
      </c>
      <c r="AF5169">
        <v>-3.18229622202028</v>
      </c>
      <c r="AG5169">
        <v>-1.121423580993</v>
      </c>
      <c r="AH5169">
        <v>9.4416406003590705</v>
      </c>
      <c r="AI5169">
        <v>96.421787307890497</v>
      </c>
      <c r="AJ5169">
        <v>108.626341396288</v>
      </c>
      <c r="AK5169">
        <v>10.026423954682899</v>
      </c>
      <c r="AL5169">
        <v>88.883219642216105</v>
      </c>
      <c r="AM5169">
        <v>90.8889800992077</v>
      </c>
      <c r="AN5169">
        <v>0.99999999526320005</v>
      </c>
    </row>
    <row r="5170" spans="1:40" x14ac:dyDescent="0.25">
      <c r="A5170" t="str">
        <f>"20190312154400155"</f>
        <v>20190312154400155</v>
      </c>
      <c r="B5170" t="str">
        <f>"1552376640142549"</f>
        <v>1552376640142549</v>
      </c>
      <c r="C5170" t="s">
        <v>40</v>
      </c>
      <c r="D5170">
        <v>4.6323499999999997</v>
      </c>
      <c r="E5170">
        <v>0.379967</v>
      </c>
      <c r="F5170" t="s">
        <v>43</v>
      </c>
      <c r="G5170">
        <v>-417.80840000000001</v>
      </c>
      <c r="H5170" s="1">
        <v>-4.3403319999999998E-6</v>
      </c>
      <c r="I5170">
        <v>118.84399999999999</v>
      </c>
      <c r="J5170">
        <v>-412.46039999999999</v>
      </c>
      <c r="K5170">
        <v>1.1214930000000001</v>
      </c>
      <c r="L5170">
        <v>127.7223</v>
      </c>
      <c r="M5170">
        <v>-0.75925019999999999</v>
      </c>
      <c r="N5170">
        <v>0</v>
      </c>
      <c r="O5170">
        <v>-0.65060369999999901</v>
      </c>
      <c r="P5170">
        <v>-0.74991730000000001</v>
      </c>
      <c r="Q5170">
        <v>4.9357000000000003E-3</v>
      </c>
      <c r="R5170">
        <v>-0.66151359999999904</v>
      </c>
      <c r="S5170">
        <v>-1.6453549999999999</v>
      </c>
      <c r="T5170">
        <v>-0.33379130000000001</v>
      </c>
      <c r="U5170">
        <v>-2.6935419999999999</v>
      </c>
      <c r="V5170">
        <v>-1.4914470000000001E-2</v>
      </c>
      <c r="W5170">
        <v>2.0479979999999998E-2</v>
      </c>
      <c r="X5170">
        <v>0.99967899999999998</v>
      </c>
      <c r="Y5170">
        <v>-0.30991190000000002</v>
      </c>
      <c r="Z5170">
        <v>5.5827010000000003E-2</v>
      </c>
      <c r="AA5170">
        <v>0.94912479999999999</v>
      </c>
      <c r="AB5170">
        <v>26</v>
      </c>
      <c r="AC5170">
        <v>-5.3480000000000096</v>
      </c>
      <c r="AD5170">
        <v>-1.1214973403319899</v>
      </c>
      <c r="AE5170">
        <v>-8.8783000000000101</v>
      </c>
      <c r="AF5170">
        <v>-3.22408842781685</v>
      </c>
      <c r="AG5170">
        <v>-1.1214973403319899</v>
      </c>
      <c r="AH5170">
        <v>9.7241223039003408</v>
      </c>
      <c r="AI5170">
        <v>96.247365530456094</v>
      </c>
      <c r="AJ5170">
        <v>108.343235521539</v>
      </c>
      <c r="AK5170">
        <v>10.305874880667099</v>
      </c>
      <c r="AL5170">
        <v>88.826501523172993</v>
      </c>
      <c r="AM5170">
        <v>90.854747164870005</v>
      </c>
      <c r="AN5170">
        <v>0.99999998701859005</v>
      </c>
    </row>
    <row r="5171" spans="1:40" x14ac:dyDescent="0.25">
      <c r="A5171" t="str">
        <f>"20190312154400177"</f>
        <v>20190312154400177</v>
      </c>
      <c r="B5171" t="str">
        <f>"1552376640172806"</f>
        <v>1552376640172806</v>
      </c>
      <c r="C5171" t="s">
        <v>40</v>
      </c>
      <c r="D5171">
        <v>4.6524850000000004</v>
      </c>
      <c r="E5171">
        <v>0.38984999999999997</v>
      </c>
      <c r="F5171" t="s">
        <v>43</v>
      </c>
      <c r="G5171">
        <v>-417.9264</v>
      </c>
      <c r="H5171" s="1">
        <v>-4.1730520000000003E-6</v>
      </c>
      <c r="I5171">
        <v>118.5029</v>
      </c>
      <c r="J5171">
        <v>-412.63470000000001</v>
      </c>
      <c r="K5171">
        <v>1.121548</v>
      </c>
      <c r="L5171">
        <v>127.5508</v>
      </c>
      <c r="M5171">
        <v>-0.74902659999999999</v>
      </c>
      <c r="N5171">
        <v>0</v>
      </c>
      <c r="O5171">
        <v>-0.66234740000000003</v>
      </c>
      <c r="P5171">
        <v>-0.7398768</v>
      </c>
      <c r="Q5171">
        <v>5.0412429999999999E-3</v>
      </c>
      <c r="R5171">
        <v>-0.67272390000000004</v>
      </c>
      <c r="S5171">
        <v>-1.608887</v>
      </c>
      <c r="T5171">
        <v>-0.33010230000000002</v>
      </c>
      <c r="U5171">
        <v>-2.713654</v>
      </c>
      <c r="V5171">
        <v>-1.439818E-2</v>
      </c>
      <c r="W5171">
        <v>2.0638730000000001E-2</v>
      </c>
      <c r="X5171">
        <v>0.99968330000000005</v>
      </c>
      <c r="Y5171">
        <v>-0.30764380000000002</v>
      </c>
      <c r="Z5171">
        <v>5.6728489999999999E-2</v>
      </c>
      <c r="AA5171">
        <v>0.94980900000000001</v>
      </c>
      <c r="AB5171">
        <v>26</v>
      </c>
      <c r="AC5171">
        <v>-5.2916999999999899</v>
      </c>
      <c r="AD5171">
        <v>-1.1215521730519999</v>
      </c>
      <c r="AE5171">
        <v>-9.0478999999999896</v>
      </c>
      <c r="AF5171">
        <v>-3.2355471677701799</v>
      </c>
      <c r="AG5171">
        <v>-1.1215521730519999</v>
      </c>
      <c r="AH5171">
        <v>9.8450299131583403</v>
      </c>
      <c r="AI5171">
        <v>96.1768392569778</v>
      </c>
      <c r="AJ5171">
        <v>108.192993663273</v>
      </c>
      <c r="AK5171">
        <v>10.4235914512573</v>
      </c>
      <c r="AL5171">
        <v>88.817403889811899</v>
      </c>
      <c r="AM5171">
        <v>90.825159239101097</v>
      </c>
      <c r="AN5171">
        <v>0.999999982531107</v>
      </c>
    </row>
    <row r="5172" spans="1:40" x14ac:dyDescent="0.25">
      <c r="A5172" t="str">
        <f>"20190312154400199"</f>
        <v>20190312154400199</v>
      </c>
      <c r="B5172" t="str">
        <f>"1552376640192326"</f>
        <v>1552376640192326</v>
      </c>
      <c r="C5172" t="s">
        <v>40</v>
      </c>
      <c r="D5172">
        <v>4.6642710000000003</v>
      </c>
      <c r="E5172">
        <v>0.39038859999999997</v>
      </c>
      <c r="F5172" t="s">
        <v>43</v>
      </c>
      <c r="G5172">
        <v>-418.4151</v>
      </c>
      <c r="H5172" s="1">
        <v>-3.869985E-6</v>
      </c>
      <c r="I5172">
        <v>117.99850000000001</v>
      </c>
      <c r="J5172">
        <v>-412.8109</v>
      </c>
      <c r="K5172">
        <v>1.121578</v>
      </c>
      <c r="L5172">
        <v>127.3719</v>
      </c>
      <c r="M5172">
        <v>-0.73826999999999998</v>
      </c>
      <c r="N5172">
        <v>0</v>
      </c>
      <c r="O5172">
        <v>-0.674315</v>
      </c>
      <c r="P5172">
        <v>-0.72859750000000001</v>
      </c>
      <c r="Q5172">
        <v>6.0427220000000004E-3</v>
      </c>
      <c r="R5172">
        <v>-0.68491539999999995</v>
      </c>
      <c r="S5172">
        <v>-1.621094</v>
      </c>
      <c r="T5172">
        <v>-0.31453449999999999</v>
      </c>
      <c r="U5172">
        <v>-2.678925</v>
      </c>
      <c r="V5172">
        <v>-1.494318E-2</v>
      </c>
      <c r="W5172">
        <v>2.1659890000000001E-2</v>
      </c>
      <c r="X5172">
        <v>0.99965369999999998</v>
      </c>
      <c r="Y5172">
        <v>-0.28368910000000003</v>
      </c>
      <c r="Z5172">
        <v>5.6789300000000001E-2</v>
      </c>
      <c r="AA5172">
        <v>0.95723329999999995</v>
      </c>
      <c r="AB5172">
        <v>26</v>
      </c>
      <c r="AC5172">
        <v>-5.6041999999999899</v>
      </c>
      <c r="AD5172">
        <v>-1.121581869985</v>
      </c>
      <c r="AE5172">
        <v>-9.3733999999999895</v>
      </c>
      <c r="AF5172">
        <v>-3.1087186863609699</v>
      </c>
      <c r="AG5172">
        <v>-1.121581869985</v>
      </c>
      <c r="AH5172">
        <v>10.3502131707305</v>
      </c>
      <c r="AI5172">
        <v>95.925115525485793</v>
      </c>
      <c r="AJ5172">
        <v>106.717803488564</v>
      </c>
      <c r="AK5172">
        <v>10.8650352250498</v>
      </c>
      <c r="AL5172">
        <v>88.758882641173301</v>
      </c>
      <c r="AM5172">
        <v>90.856413959020799</v>
      </c>
      <c r="AN5172">
        <v>0.99999998469350704</v>
      </c>
    </row>
    <row r="5173" spans="1:40" x14ac:dyDescent="0.25">
      <c r="A5173" t="str">
        <f>"20190312154400221"</f>
        <v>20190312154400221</v>
      </c>
      <c r="B5173" t="str">
        <f>"1552376640212822"</f>
        <v>1552376640212822</v>
      </c>
      <c r="C5173" t="s">
        <v>40</v>
      </c>
      <c r="D5173">
        <v>4.6859000000000002</v>
      </c>
      <c r="E5173">
        <v>0.3916519</v>
      </c>
      <c r="F5173" t="s">
        <v>43</v>
      </c>
      <c r="G5173">
        <v>-418.4375</v>
      </c>
      <c r="H5173" s="1">
        <v>-3.7541460000000002E-6</v>
      </c>
      <c r="I5173">
        <v>117.7377</v>
      </c>
      <c r="J5173">
        <v>-412.98180000000002</v>
      </c>
      <c r="K5173">
        <v>1.1216010000000001</v>
      </c>
      <c r="L5173">
        <v>127.1926</v>
      </c>
      <c r="M5173">
        <v>-0.72741789999999995</v>
      </c>
      <c r="N5173">
        <v>0</v>
      </c>
      <c r="O5173">
        <v>-0.68600709999999998</v>
      </c>
      <c r="P5173">
        <v>-0.71614080000000002</v>
      </c>
      <c r="Q5173">
        <v>7.8415510000000004E-3</v>
      </c>
      <c r="R5173">
        <v>-0.69791210000000004</v>
      </c>
      <c r="S5173">
        <v>-1.578827</v>
      </c>
      <c r="T5173">
        <v>-0.31471399999999999</v>
      </c>
      <c r="U5173">
        <v>-2.7033390000000002</v>
      </c>
      <c r="V5173">
        <v>-1.704077E-2</v>
      </c>
      <c r="W5173">
        <v>2.3430889999999999E-2</v>
      </c>
      <c r="X5173">
        <v>0.99958020000000003</v>
      </c>
      <c r="Y5173">
        <v>-0.28334779999999998</v>
      </c>
      <c r="Z5173">
        <v>5.8171819999999999E-2</v>
      </c>
      <c r="AA5173">
        <v>0.95725130000000003</v>
      </c>
      <c r="AB5173">
        <v>26</v>
      </c>
      <c r="AC5173">
        <v>-5.45569999999997</v>
      </c>
      <c r="AD5173">
        <v>-1.1216047541459999</v>
      </c>
      <c r="AE5173">
        <v>-9.4548999999999896</v>
      </c>
      <c r="AF5173">
        <v>-3.1026626920577698</v>
      </c>
      <c r="AG5173">
        <v>-1.1216047541459999</v>
      </c>
      <c r="AH5173">
        <v>10.3468147577564</v>
      </c>
      <c r="AI5173">
        <v>95.927956376818599</v>
      </c>
      <c r="AJ5173">
        <v>106.69222434468099</v>
      </c>
      <c r="AK5173">
        <v>10.860068537377501</v>
      </c>
      <c r="AL5173">
        <v>88.657386003306399</v>
      </c>
      <c r="AM5173">
        <v>90.976679639759794</v>
      </c>
      <c r="AN5173">
        <v>0.99999998534021195</v>
      </c>
    </row>
    <row r="5174" spans="1:40" x14ac:dyDescent="0.25">
      <c r="A5174" t="str">
        <f>"20190312154400244"</f>
        <v>20190312154400244</v>
      </c>
      <c r="B5174" t="str">
        <f>"1552376640232342"</f>
        <v>1552376640232342</v>
      </c>
      <c r="C5174" t="s">
        <v>40</v>
      </c>
      <c r="D5174">
        <v>4.7212339999999999</v>
      </c>
      <c r="E5174">
        <v>0.4004762</v>
      </c>
      <c r="F5174" t="s">
        <v>43</v>
      </c>
      <c r="G5174">
        <v>-418.5498</v>
      </c>
      <c r="H5174" s="1">
        <v>-3.558679E-6</v>
      </c>
      <c r="I5174">
        <v>117.32850000000001</v>
      </c>
      <c r="J5174">
        <v>-413.149</v>
      </c>
      <c r="K5174">
        <v>1.1216120000000001</v>
      </c>
      <c r="L5174">
        <v>127.0115</v>
      </c>
      <c r="M5174">
        <v>-0.7164005</v>
      </c>
      <c r="N5174">
        <v>0</v>
      </c>
      <c r="O5174">
        <v>-0.69750409999999996</v>
      </c>
      <c r="P5174">
        <v>-0.70353160000000003</v>
      </c>
      <c r="Q5174">
        <v>9.3558370000000005E-3</v>
      </c>
      <c r="R5174">
        <v>-0.71060219999999996</v>
      </c>
      <c r="S5174">
        <v>-1.5376890000000001</v>
      </c>
      <c r="T5174">
        <v>-0.30975029999999998</v>
      </c>
      <c r="U5174">
        <v>-2.7241360000000001</v>
      </c>
      <c r="V5174">
        <v>-1.9046219999999999E-2</v>
      </c>
      <c r="W5174">
        <v>2.4915799999999998E-2</v>
      </c>
      <c r="X5174">
        <v>0.99950810000000001</v>
      </c>
      <c r="Y5174">
        <v>-0.2821555</v>
      </c>
      <c r="Z5174">
        <v>5.8639690000000001E-2</v>
      </c>
      <c r="AA5174">
        <v>0.95757490000000001</v>
      </c>
      <c r="AB5174">
        <v>26</v>
      </c>
      <c r="AC5174">
        <v>-5.4008000000000003</v>
      </c>
      <c r="AD5174">
        <v>-1.121615558679</v>
      </c>
      <c r="AE5174">
        <v>-9.6829999999999892</v>
      </c>
      <c r="AF5174">
        <v>-3.1381208177509299</v>
      </c>
      <c r="AG5174">
        <v>-1.121615558679</v>
      </c>
      <c r="AH5174">
        <v>10.5168144795784</v>
      </c>
      <c r="AI5174">
        <v>95.835202768978206</v>
      </c>
      <c r="AJ5174">
        <v>106.61461998030001</v>
      </c>
      <c r="AK5174">
        <v>11.0321897430267</v>
      </c>
      <c r="AL5174">
        <v>88.572282068545903</v>
      </c>
      <c r="AM5174">
        <v>91.091672958880096</v>
      </c>
      <c r="AN5174">
        <v>0.99999999877576895</v>
      </c>
    </row>
    <row r="5175" spans="1:40" x14ac:dyDescent="0.25">
      <c r="A5175" t="str">
        <f>"20190312154400266"</f>
        <v>20190312154400266</v>
      </c>
      <c r="B5175" t="str">
        <f>"1552376640252838"</f>
        <v>1552376640252838</v>
      </c>
      <c r="C5175" t="s">
        <v>40</v>
      </c>
      <c r="D5175">
        <v>4.6668640000000003</v>
      </c>
      <c r="E5175">
        <v>0.4018002</v>
      </c>
      <c r="F5175" t="s">
        <v>43</v>
      </c>
      <c r="G5175">
        <v>-418.83920000000001</v>
      </c>
      <c r="H5175" s="1">
        <v>-3.3771010000000001E-6</v>
      </c>
      <c r="I5175">
        <v>117.0249</v>
      </c>
      <c r="J5175">
        <v>-413.31950000000001</v>
      </c>
      <c r="K5175">
        <v>1.121602</v>
      </c>
      <c r="L5175">
        <v>126.8206</v>
      </c>
      <c r="M5175">
        <v>-0.70473779999999997</v>
      </c>
      <c r="N5175">
        <v>0</v>
      </c>
      <c r="O5175">
        <v>-0.70928530000000001</v>
      </c>
      <c r="P5175">
        <v>-0.69094469999999997</v>
      </c>
      <c r="Q5175">
        <v>9.6631070000000006E-3</v>
      </c>
      <c r="R5175">
        <v>-0.72284300000000001</v>
      </c>
      <c r="S5175">
        <v>-1.5393680000000001</v>
      </c>
      <c r="T5175">
        <v>-0.3034327</v>
      </c>
      <c r="U5175">
        <v>-2.7016909999999998</v>
      </c>
      <c r="V5175">
        <v>-2.0032620000000001E-2</v>
      </c>
      <c r="W5175">
        <v>2.5217070000000001E-2</v>
      </c>
      <c r="X5175">
        <v>0.99948130000000002</v>
      </c>
      <c r="Y5175">
        <v>-0.26238499999999998</v>
      </c>
      <c r="Z5175">
        <v>5.9819600000000001E-2</v>
      </c>
      <c r="AA5175">
        <v>0.9631073</v>
      </c>
      <c r="AB5175">
        <v>26</v>
      </c>
      <c r="AC5175">
        <v>-5.5197000000000003</v>
      </c>
      <c r="AD5175">
        <v>-1.1216053771009999</v>
      </c>
      <c r="AE5175">
        <v>-9.7956999999999894</v>
      </c>
      <c r="AF5175">
        <v>-2.9592979033952198</v>
      </c>
      <c r="AG5175">
        <v>-1.1216053771009999</v>
      </c>
      <c r="AH5175">
        <v>10.732494915775201</v>
      </c>
      <c r="AI5175">
        <v>95.752905610707799</v>
      </c>
      <c r="AJ5175">
        <v>105.415263565085</v>
      </c>
      <c r="AK5175">
        <v>11.1893650320348</v>
      </c>
      <c r="AL5175">
        <v>88.555015199835694</v>
      </c>
      <c r="AM5175">
        <v>91.148226503747694</v>
      </c>
      <c r="AN5175">
        <v>1.0000000377665601</v>
      </c>
    </row>
    <row r="5176" spans="1:40" x14ac:dyDescent="0.25">
      <c r="A5176" t="str">
        <f>"20190312154400288"</f>
        <v>20190312154400288</v>
      </c>
      <c r="B5176" t="str">
        <f>"1552376640283094"</f>
        <v>1552376640283094</v>
      </c>
      <c r="C5176" t="s">
        <v>40</v>
      </c>
      <c r="D5176">
        <v>4.6867070000000002</v>
      </c>
      <c r="E5176">
        <v>0.4039819</v>
      </c>
      <c r="F5176" t="s">
        <v>43</v>
      </c>
      <c r="G5176">
        <v>-418.94799999999998</v>
      </c>
      <c r="H5176" s="1">
        <v>-3.1775870000000001E-6</v>
      </c>
      <c r="I5176">
        <v>116.6048</v>
      </c>
      <c r="J5176">
        <v>-413.4812</v>
      </c>
      <c r="K5176">
        <v>1.1215790000000001</v>
      </c>
      <c r="L5176">
        <v>126.6335</v>
      </c>
      <c r="M5176">
        <v>-0.69326880000000002</v>
      </c>
      <c r="N5176">
        <v>0</v>
      </c>
      <c r="O5176">
        <v>-0.720499</v>
      </c>
      <c r="P5176">
        <v>-0.67919890000000005</v>
      </c>
      <c r="Q5176">
        <v>8.8638620000000001E-3</v>
      </c>
      <c r="R5176">
        <v>-0.73390049999999996</v>
      </c>
      <c r="S5176">
        <v>-1.4992369999999999</v>
      </c>
      <c r="T5176">
        <v>-0.29875960000000001</v>
      </c>
      <c r="U5176">
        <v>-2.7211609999999999</v>
      </c>
      <c r="V5176">
        <v>-2.0101170000000002E-2</v>
      </c>
      <c r="W5176">
        <v>2.4431959999999999E-2</v>
      </c>
      <c r="X5176">
        <v>0.99949940000000004</v>
      </c>
      <c r="Y5176">
        <v>-0.26069949999999997</v>
      </c>
      <c r="Z5176">
        <v>6.0232569999999999E-2</v>
      </c>
      <c r="AA5176">
        <v>0.96353920000000004</v>
      </c>
      <c r="AB5176">
        <v>26</v>
      </c>
      <c r="AC5176">
        <v>-5.4668000000000303</v>
      </c>
      <c r="AD5176">
        <v>-1.1215821775870001</v>
      </c>
      <c r="AE5176">
        <v>-10.028700000000001</v>
      </c>
      <c r="AF5176">
        <v>-2.9853661728473999</v>
      </c>
      <c r="AG5176">
        <v>-1.1215821775870001</v>
      </c>
      <c r="AH5176">
        <v>10.911844389027401</v>
      </c>
      <c r="AI5176">
        <v>95.661929991094595</v>
      </c>
      <c r="AJ5176">
        <v>105.301091075401</v>
      </c>
      <c r="AK5176">
        <v>11.368320268949599</v>
      </c>
      <c r="AL5176">
        <v>88.600012522775899</v>
      </c>
      <c r="AM5176">
        <v>91.152133725527094</v>
      </c>
      <c r="AN5176">
        <v>1.00000001415258</v>
      </c>
    </row>
    <row r="5177" spans="1:40" x14ac:dyDescent="0.25">
      <c r="A5177" t="str">
        <f>"20190312154400311"</f>
        <v>20190312154400311</v>
      </c>
      <c r="B5177" t="str">
        <f>"1552376640302614"</f>
        <v>1552376640302614</v>
      </c>
      <c r="C5177" t="s">
        <v>40</v>
      </c>
      <c r="D5177">
        <v>4.717638</v>
      </c>
      <c r="E5177">
        <v>0.41025450000000002</v>
      </c>
      <c r="F5177" t="s">
        <v>43</v>
      </c>
      <c r="G5177">
        <v>-418.91579999999999</v>
      </c>
      <c r="H5177" s="1">
        <v>-3.1408460000000001E-6</v>
      </c>
      <c r="I5177">
        <v>116.50579999999999</v>
      </c>
      <c r="J5177">
        <v>-413.63959999999997</v>
      </c>
      <c r="K5177">
        <v>1.121553</v>
      </c>
      <c r="L5177">
        <v>126.4435</v>
      </c>
      <c r="M5177">
        <v>-0.68160690000000002</v>
      </c>
      <c r="N5177">
        <v>0</v>
      </c>
      <c r="O5177">
        <v>-0.731541</v>
      </c>
      <c r="P5177">
        <v>-0.6675894</v>
      </c>
      <c r="Q5177">
        <v>9.0991189999999993E-3</v>
      </c>
      <c r="R5177">
        <v>-0.74447410000000003</v>
      </c>
      <c r="S5177">
        <v>-1.46698</v>
      </c>
      <c r="T5177">
        <v>-0.30275419999999997</v>
      </c>
      <c r="U5177">
        <v>-2.7337950000000002</v>
      </c>
      <c r="V5177">
        <v>-1.974741E-2</v>
      </c>
      <c r="W5177">
        <v>2.468938E-2</v>
      </c>
      <c r="X5177">
        <v>0.9995001</v>
      </c>
      <c r="Y5177">
        <v>-0.25592749999999997</v>
      </c>
      <c r="Z5177">
        <v>6.2504379999999998E-2</v>
      </c>
      <c r="AA5177">
        <v>0.96467320000000001</v>
      </c>
      <c r="AB5177">
        <v>25</v>
      </c>
      <c r="AC5177">
        <v>-5.27620000000001</v>
      </c>
      <c r="AD5177">
        <v>-1.121556140846</v>
      </c>
      <c r="AE5177">
        <v>-9.9376999999999995</v>
      </c>
      <c r="AF5177">
        <v>-2.8855553166502101</v>
      </c>
      <c r="AG5177">
        <v>-1.121556140846</v>
      </c>
      <c r="AH5177">
        <v>10.7606211351565</v>
      </c>
      <c r="AI5177">
        <v>95.748659446615605</v>
      </c>
      <c r="AJ5177">
        <v>105.01120487598</v>
      </c>
      <c r="AK5177">
        <v>11.1971105592869</v>
      </c>
      <c r="AL5177">
        <v>88.585258955550998</v>
      </c>
      <c r="AM5177">
        <v>91.131861881773702</v>
      </c>
      <c r="AN5177">
        <v>0.99999998779325106</v>
      </c>
    </row>
    <row r="5178" spans="1:40" x14ac:dyDescent="0.25">
      <c r="A5178" t="str">
        <f>"20190312154400334"</f>
        <v>20190312154400334</v>
      </c>
      <c r="B5178" t="str">
        <f>"1552376640323110"</f>
        <v>1552376640323110</v>
      </c>
      <c r="C5178" t="s">
        <v>40</v>
      </c>
      <c r="D5178">
        <v>4.773911</v>
      </c>
      <c r="E5178">
        <v>0.40310859999999998</v>
      </c>
      <c r="F5178" t="s">
        <v>43</v>
      </c>
      <c r="G5178">
        <v>-419.07769999999999</v>
      </c>
      <c r="H5178" s="1">
        <v>-3.0250280000000002E-6</v>
      </c>
      <c r="I5178">
        <v>116.3028</v>
      </c>
      <c r="J5178">
        <v>-413.7987</v>
      </c>
      <c r="K5178">
        <v>1.1215329999999999</v>
      </c>
      <c r="L5178">
        <v>126.24630000000001</v>
      </c>
      <c r="M5178">
        <v>-0.66947029999999996</v>
      </c>
      <c r="N5178">
        <v>0</v>
      </c>
      <c r="O5178">
        <v>-0.74266369999999904</v>
      </c>
      <c r="P5178">
        <v>-0.65547529999999998</v>
      </c>
      <c r="Q5178">
        <v>1.0028219999999999E-2</v>
      </c>
      <c r="R5178">
        <v>-0.75514999999999999</v>
      </c>
      <c r="S5178">
        <v>-1.460602</v>
      </c>
      <c r="T5178">
        <v>-0.30123309999999998</v>
      </c>
      <c r="U5178">
        <v>-2.723633</v>
      </c>
      <c r="V5178">
        <v>-1.9454309999999999E-2</v>
      </c>
      <c r="W5178">
        <v>2.5636079999999999E-2</v>
      </c>
      <c r="X5178">
        <v>0.99948199999999998</v>
      </c>
      <c r="Y5178">
        <v>-0.2402878</v>
      </c>
      <c r="Z5178">
        <v>6.4196249999999996E-2</v>
      </c>
      <c r="AA5178">
        <v>0.96857660000000001</v>
      </c>
      <c r="AB5178">
        <v>25</v>
      </c>
      <c r="AC5178">
        <v>-5.2789999999999901</v>
      </c>
      <c r="AD5178">
        <v>-1.121536025028</v>
      </c>
      <c r="AE5178">
        <v>-9.9435000000000002</v>
      </c>
      <c r="AF5178">
        <v>-2.7098186208130799</v>
      </c>
      <c r="AG5178">
        <v>-1.121536025028</v>
      </c>
      <c r="AH5178">
        <v>10.8129177897096</v>
      </c>
      <c r="AI5178">
        <v>95.745226582841497</v>
      </c>
      <c r="AJ5178">
        <v>104.06909982536</v>
      </c>
      <c r="AK5178">
        <v>11.2035776045047</v>
      </c>
      <c r="AL5178">
        <v>88.530999837318504</v>
      </c>
      <c r="AM5178">
        <v>91.115086736886298</v>
      </c>
      <c r="AN5178">
        <v>0.99999997354967096</v>
      </c>
    </row>
    <row r="5179" spans="1:40" x14ac:dyDescent="0.25">
      <c r="A5179" t="str">
        <f>"20190312154400357"</f>
        <v>20190312154400357</v>
      </c>
      <c r="B5179" t="str">
        <f>"1552376640353366"</f>
        <v>1552376640353366</v>
      </c>
      <c r="C5179" t="s">
        <v>40</v>
      </c>
      <c r="D5179">
        <v>4.7565580000000001</v>
      </c>
      <c r="E5179">
        <v>0.39832970000000001</v>
      </c>
      <c r="F5179" t="s">
        <v>43</v>
      </c>
      <c r="G5179">
        <v>-418.8141</v>
      </c>
      <c r="H5179" s="1">
        <v>-2.9721650000000002E-6</v>
      </c>
      <c r="I5179">
        <v>116.0706</v>
      </c>
      <c r="J5179">
        <v>-413.95069999999998</v>
      </c>
      <c r="K5179">
        <v>1.1215109999999999</v>
      </c>
      <c r="L5179">
        <v>126.0517</v>
      </c>
      <c r="M5179">
        <v>-0.65746859999999996</v>
      </c>
      <c r="N5179">
        <v>0</v>
      </c>
      <c r="O5179">
        <v>-0.75330949999999997</v>
      </c>
      <c r="P5179">
        <v>-0.64376690000000003</v>
      </c>
      <c r="Q5179">
        <v>1.1620500000000001E-2</v>
      </c>
      <c r="R5179">
        <v>-0.76513369999999903</v>
      </c>
      <c r="S5179">
        <v>-1.3727720000000001</v>
      </c>
      <c r="T5179">
        <v>-0.30698229999999999</v>
      </c>
      <c r="U5179">
        <v>-2.7852480000000002</v>
      </c>
      <c r="V5179">
        <v>-1.88387E-2</v>
      </c>
      <c r="W5179">
        <v>2.725151E-2</v>
      </c>
      <c r="X5179">
        <v>0.99945110000000004</v>
      </c>
      <c r="Y5179">
        <v>-0.25792959999999998</v>
      </c>
      <c r="Z5179">
        <v>6.5696870000000004E-2</v>
      </c>
      <c r="AA5179">
        <v>0.96392750000000005</v>
      </c>
      <c r="AB5179">
        <v>25</v>
      </c>
      <c r="AC5179">
        <v>-4.8634000000000102</v>
      </c>
      <c r="AD5179">
        <v>-1.121513972165</v>
      </c>
      <c r="AE5179">
        <v>-9.9810999999999908</v>
      </c>
      <c r="AF5179">
        <v>-2.8697109845103199</v>
      </c>
      <c r="AG5179">
        <v>-1.121513972165</v>
      </c>
      <c r="AH5179">
        <v>10.6095321132193</v>
      </c>
      <c r="AI5179">
        <v>95.826367981154405</v>
      </c>
      <c r="AJ5179">
        <v>105.135430465984</v>
      </c>
      <c r="AK5179">
        <v>11.0478598101991</v>
      </c>
      <c r="AL5179">
        <v>88.438410199881204</v>
      </c>
      <c r="AM5179">
        <v>91.079842925044005</v>
      </c>
      <c r="AN5179">
        <v>1.00000002135308</v>
      </c>
    </row>
    <row r="5180" spans="1:40" x14ac:dyDescent="0.25">
      <c r="A5180" t="str">
        <f>"20190312154400378"</f>
        <v>20190312154400378</v>
      </c>
      <c r="B5180" t="str">
        <f>"1552376640372887"</f>
        <v>1552376640372887</v>
      </c>
      <c r="C5180" t="s">
        <v>40</v>
      </c>
      <c r="D5180">
        <v>4.7631839999999999</v>
      </c>
      <c r="E5180">
        <v>0.3977887</v>
      </c>
      <c r="F5180" t="s">
        <v>43</v>
      </c>
      <c r="G5180">
        <v>-418.62900000000002</v>
      </c>
      <c r="H5180" s="1">
        <v>-2.9180880000000002E-6</v>
      </c>
      <c r="I5180">
        <v>115.86799999999999</v>
      </c>
      <c r="J5180">
        <v>-414.09870000000001</v>
      </c>
      <c r="K5180">
        <v>1.1214820000000001</v>
      </c>
      <c r="L5180">
        <v>125.8557</v>
      </c>
      <c r="M5180">
        <v>-0.64536230000000006</v>
      </c>
      <c r="N5180">
        <v>0</v>
      </c>
      <c r="O5180">
        <v>-0.76370629999999995</v>
      </c>
      <c r="P5180">
        <v>-0.63223830000000003</v>
      </c>
      <c r="Q5180">
        <v>1.1753960000000001E-2</v>
      </c>
      <c r="R5180">
        <v>-0.77468479999999995</v>
      </c>
      <c r="S5180">
        <v>-1.300659</v>
      </c>
      <c r="T5180">
        <v>-0.31180439999999998</v>
      </c>
      <c r="U5180">
        <v>-2.8312680000000001</v>
      </c>
      <c r="V5180">
        <v>-1.7853049999999999E-2</v>
      </c>
      <c r="W5180">
        <v>2.741596E-2</v>
      </c>
      <c r="X5180">
        <v>0.99946469999999998</v>
      </c>
      <c r="Y5180">
        <v>-0.26883299999999999</v>
      </c>
      <c r="Z5180">
        <v>6.7318009999999998E-2</v>
      </c>
      <c r="AA5180">
        <v>0.96083149999999995</v>
      </c>
      <c r="AB5180">
        <v>25</v>
      </c>
      <c r="AC5180">
        <v>-4.5303000000000102</v>
      </c>
      <c r="AD5180">
        <v>-1.12148491808799</v>
      </c>
      <c r="AE5180">
        <v>-9.9877000000000002</v>
      </c>
      <c r="AF5180">
        <v>-2.95535120437571</v>
      </c>
      <c r="AG5180">
        <v>-1.12148491808799</v>
      </c>
      <c r="AH5180">
        <v>10.443520693542901</v>
      </c>
      <c r="AI5180">
        <v>95.899329581958696</v>
      </c>
      <c r="AJ5180">
        <v>105.800674183628</v>
      </c>
      <c r="AK5180">
        <v>10.911413915673901</v>
      </c>
      <c r="AL5180">
        <v>88.428984395238103</v>
      </c>
      <c r="AM5180">
        <v>91.023343439308505</v>
      </c>
      <c r="AN5180">
        <v>1.0000000264015501</v>
      </c>
    </row>
    <row r="5181" spans="1:40" x14ac:dyDescent="0.25">
      <c r="A5181" t="str">
        <f>"20190312154400401"</f>
        <v>20190312154400401</v>
      </c>
      <c r="B5181" t="str">
        <f>"1552376640392406"</f>
        <v>1552376640392406</v>
      </c>
      <c r="C5181" t="s">
        <v>40</v>
      </c>
      <c r="D5181">
        <v>4.7566480000000002</v>
      </c>
      <c r="E5181">
        <v>0.39871489999999998</v>
      </c>
      <c r="F5181" t="s">
        <v>43</v>
      </c>
      <c r="G5181">
        <v>-418.58150000000001</v>
      </c>
      <c r="H5181" s="1">
        <v>-2.8369479999999999E-6</v>
      </c>
      <c r="I5181">
        <v>115.6592</v>
      </c>
      <c r="J5181">
        <v>-414.24279999999999</v>
      </c>
      <c r="K5181">
        <v>1.121448</v>
      </c>
      <c r="L5181">
        <v>125.6585</v>
      </c>
      <c r="M5181">
        <v>-0.63315819999999901</v>
      </c>
      <c r="N5181">
        <v>0</v>
      </c>
      <c r="O5181">
        <v>-0.77385429999999999</v>
      </c>
      <c r="P5181">
        <v>-0.62138879999999996</v>
      </c>
      <c r="Q5181">
        <v>1.074053E-2</v>
      </c>
      <c r="R5181">
        <v>-0.78342869999999998</v>
      </c>
      <c r="S5181">
        <v>-1.254486</v>
      </c>
      <c r="T5181">
        <v>-0.31384230000000002</v>
      </c>
      <c r="U5181">
        <v>-2.8534389999999998</v>
      </c>
      <c r="V5181">
        <v>-1.58861E-2</v>
      </c>
      <c r="W5181">
        <v>2.6458809999999999E-2</v>
      </c>
      <c r="X5181">
        <v>0.99952359999999896</v>
      </c>
      <c r="Y5181">
        <v>-0.26936589999999999</v>
      </c>
      <c r="Z5181">
        <v>6.889112E-2</v>
      </c>
      <c r="AA5181">
        <v>0.9605707</v>
      </c>
      <c r="AB5181">
        <v>25</v>
      </c>
      <c r="AC5181">
        <v>-4.33870000000001</v>
      </c>
      <c r="AD5181">
        <v>-1.1214508369480001</v>
      </c>
      <c r="AE5181">
        <v>-9.9992999999999999</v>
      </c>
      <c r="AF5181">
        <v>-2.94285289831826</v>
      </c>
      <c r="AG5181">
        <v>-1.1214508369480001</v>
      </c>
      <c r="AH5181">
        <v>10.376608929886601</v>
      </c>
      <c r="AI5181">
        <v>95.935961581255597</v>
      </c>
      <c r="AJ5181">
        <v>105.83357460923099</v>
      </c>
      <c r="AK5181">
        <v>10.843986722817201</v>
      </c>
      <c r="AL5181">
        <v>88.483844815551805</v>
      </c>
      <c r="AM5181">
        <v>90.910563645001105</v>
      </c>
      <c r="AN5181">
        <v>0.99999993187838998</v>
      </c>
    </row>
    <row r="5182" spans="1:40" x14ac:dyDescent="0.25">
      <c r="A5182" t="str">
        <f>"20190312154400423"</f>
        <v>20190312154400423</v>
      </c>
      <c r="B5182" t="str">
        <f>"1552376640412902"</f>
        <v>1552376640412902</v>
      </c>
      <c r="C5182" t="s">
        <v>40</v>
      </c>
      <c r="D5182">
        <v>4.7807440000000003</v>
      </c>
      <c r="E5182">
        <v>0.39964499999999997</v>
      </c>
      <c r="F5182" t="s">
        <v>43</v>
      </c>
      <c r="G5182">
        <v>-418.55470000000003</v>
      </c>
      <c r="H5182" s="1">
        <v>-2.7871169999999998E-6</v>
      </c>
      <c r="I5182">
        <v>115.532</v>
      </c>
      <c r="J5182">
        <v>-414.38600000000002</v>
      </c>
      <c r="K5182">
        <v>1.1214139999999999</v>
      </c>
      <c r="L5182">
        <v>125.456</v>
      </c>
      <c r="M5182">
        <v>-0.62060280000000001</v>
      </c>
      <c r="N5182">
        <v>0</v>
      </c>
      <c r="O5182">
        <v>-0.78395919999999997</v>
      </c>
      <c r="P5182">
        <v>-0.61032719999999996</v>
      </c>
      <c r="Q5182">
        <v>9.1887630000000008E-3</v>
      </c>
      <c r="R5182">
        <v>-0.79209669999999999</v>
      </c>
      <c r="S5182">
        <v>-1.220245</v>
      </c>
      <c r="T5182">
        <v>-0.31736930000000002</v>
      </c>
      <c r="U5182">
        <v>-2.865799</v>
      </c>
      <c r="V5182">
        <v>-1.3778550000000001E-2</v>
      </c>
      <c r="W5182">
        <v>2.4963949999999999E-2</v>
      </c>
      <c r="X5182">
        <v>0.99959339999999997</v>
      </c>
      <c r="Y5182">
        <v>-0.26509860000000002</v>
      </c>
      <c r="Z5182">
        <v>7.1048159999999999E-2</v>
      </c>
      <c r="AA5182">
        <v>0.96160020000000002</v>
      </c>
      <c r="AB5182">
        <v>25</v>
      </c>
      <c r="AC5182">
        <v>-4.16870000000005</v>
      </c>
      <c r="AD5182">
        <v>-1.121416787117</v>
      </c>
      <c r="AE5182">
        <v>-9.9239999999999906</v>
      </c>
      <c r="AF5182">
        <v>-2.86010422932811</v>
      </c>
      <c r="AG5182">
        <v>-1.121416787117</v>
      </c>
      <c r="AH5182">
        <v>10.2571366585889</v>
      </c>
      <c r="AI5182">
        <v>96.011823694488498</v>
      </c>
      <c r="AJ5182">
        <v>105.58061868966401</v>
      </c>
      <c r="AK5182">
        <v>10.707316388620301</v>
      </c>
      <c r="AL5182">
        <v>88.569522429116802</v>
      </c>
      <c r="AM5182">
        <v>90.789723870791903</v>
      </c>
      <c r="AN5182">
        <v>1.0000000062816301</v>
      </c>
    </row>
    <row r="5183" spans="1:40" x14ac:dyDescent="0.25">
      <c r="A5183" t="str">
        <f>"20190312154400445"</f>
        <v>20190312154400445</v>
      </c>
      <c r="B5183" t="str">
        <f>"1552376640432421"</f>
        <v>1552376640432421</v>
      </c>
      <c r="C5183" t="s">
        <v>40</v>
      </c>
      <c r="D5183">
        <v>4.7324900000000003</v>
      </c>
      <c r="E5183">
        <v>0.39979110000000001</v>
      </c>
      <c r="F5183" t="s">
        <v>43</v>
      </c>
      <c r="G5183">
        <v>-418.49310000000003</v>
      </c>
      <c r="H5183" s="1">
        <v>-2.7768569999999999E-6</v>
      </c>
      <c r="I5183">
        <v>115.48260000000001</v>
      </c>
      <c r="J5183">
        <v>-414.51929999999999</v>
      </c>
      <c r="K5183">
        <v>1.121378</v>
      </c>
      <c r="L5183">
        <v>125.2607</v>
      </c>
      <c r="M5183">
        <v>-0.60848639999999998</v>
      </c>
      <c r="N5183">
        <v>0</v>
      </c>
      <c r="O5183">
        <v>-0.79340029999999995</v>
      </c>
      <c r="P5183">
        <v>-0.5994138</v>
      </c>
      <c r="Q5183">
        <v>8.8225639999999998E-3</v>
      </c>
      <c r="R5183">
        <v>-0.80039099999999996</v>
      </c>
      <c r="S5183">
        <v>-1.185181</v>
      </c>
      <c r="T5183">
        <v>-0.32360290000000003</v>
      </c>
      <c r="U5183">
        <v>-2.8779750000000002</v>
      </c>
      <c r="V5183">
        <v>-1.211276E-2</v>
      </c>
      <c r="W5183">
        <v>2.464123E-2</v>
      </c>
      <c r="X5183">
        <v>0.99962300000000004</v>
      </c>
      <c r="Y5183">
        <v>-0.26180039999999999</v>
      </c>
      <c r="Z5183">
        <v>7.3738049999999999E-2</v>
      </c>
      <c r="AA5183">
        <v>0.96230099999999996</v>
      </c>
      <c r="AB5183">
        <v>25</v>
      </c>
      <c r="AC5183">
        <v>-3.9738000000000402</v>
      </c>
      <c r="AD5183">
        <v>-1.1213807768570001</v>
      </c>
      <c r="AE5183">
        <v>-9.7780999999999896</v>
      </c>
      <c r="AF5183">
        <v>-2.7661666840504902</v>
      </c>
      <c r="AG5183">
        <v>-1.1213807768570001</v>
      </c>
      <c r="AH5183">
        <v>10.063677735585101</v>
      </c>
      <c r="AI5183">
        <v>96.132541892067906</v>
      </c>
      <c r="AJ5183">
        <v>105.369133493123</v>
      </c>
      <c r="AK5183">
        <v>10.496989212929901</v>
      </c>
      <c r="AL5183">
        <v>88.588018640408393</v>
      </c>
      <c r="AM5183">
        <v>90.694237789812107</v>
      </c>
      <c r="AN5183">
        <v>1.00000002564986</v>
      </c>
    </row>
    <row r="5184" spans="1:40" x14ac:dyDescent="0.25">
      <c r="A5184" t="str">
        <f>"20190312154400467"</f>
        <v>20190312154400467</v>
      </c>
      <c r="B5184" t="str">
        <f>"1552376640462678"</f>
        <v>1552376640462678</v>
      </c>
      <c r="C5184" t="s">
        <v>40</v>
      </c>
      <c r="D5184">
        <v>4.7530260000000002</v>
      </c>
      <c r="E5184">
        <v>0.40049289999999999</v>
      </c>
      <c r="F5184" t="s">
        <v>43</v>
      </c>
      <c r="G5184">
        <v>-418.54750000000001</v>
      </c>
      <c r="H5184" s="1">
        <v>-2.6013340000000001E-6</v>
      </c>
      <c r="I5184">
        <v>115.096</v>
      </c>
      <c r="J5184">
        <v>-414.65710000000001</v>
      </c>
      <c r="K5184">
        <v>1.1213360000000001</v>
      </c>
      <c r="L5184">
        <v>125.0522</v>
      </c>
      <c r="M5184">
        <v>-0.59554110000000005</v>
      </c>
      <c r="N5184">
        <v>0</v>
      </c>
      <c r="O5184">
        <v>-0.80316309999999902</v>
      </c>
      <c r="P5184">
        <v>-0.587368</v>
      </c>
      <c r="Q5184">
        <v>9.2679149999999998E-3</v>
      </c>
      <c r="R5184">
        <v>-0.80926699999999996</v>
      </c>
      <c r="S5184">
        <v>-1.1464840000000001</v>
      </c>
      <c r="T5184">
        <v>-0.31916169999999999</v>
      </c>
      <c r="U5184">
        <v>-2.8930359999999999</v>
      </c>
      <c r="V5184">
        <v>-1.0869500000000001E-2</v>
      </c>
      <c r="W5184">
        <v>2.5116490000000002E-2</v>
      </c>
      <c r="X5184">
        <v>0.9996254</v>
      </c>
      <c r="Y5184">
        <v>-0.2589805</v>
      </c>
      <c r="Z5184">
        <v>7.4007809999999993E-2</v>
      </c>
      <c r="AA5184">
        <v>0.96304299999999998</v>
      </c>
      <c r="AB5184">
        <v>25</v>
      </c>
      <c r="AC5184">
        <v>-3.8904000000000001</v>
      </c>
      <c r="AD5184">
        <v>-1.1213386013339901</v>
      </c>
      <c r="AE5184">
        <v>-9.9561999999999902</v>
      </c>
      <c r="AF5184">
        <v>-2.7745323508580202</v>
      </c>
      <c r="AG5184">
        <v>-1.1213386013339901</v>
      </c>
      <c r="AH5184">
        <v>10.202412024941699</v>
      </c>
      <c r="AI5184">
        <v>96.054005787982405</v>
      </c>
      <c r="AJ5184">
        <v>105.213588123988</v>
      </c>
      <c r="AK5184">
        <v>10.632245348536401</v>
      </c>
      <c r="AL5184">
        <v>88.5607797262156</v>
      </c>
      <c r="AM5184">
        <v>90.622985302878106</v>
      </c>
      <c r="AN5184">
        <v>0.99999996221266396</v>
      </c>
    </row>
    <row r="5185" spans="1:40" x14ac:dyDescent="0.25">
      <c r="A5185" t="str">
        <f>"20190312154400490"</f>
        <v>20190312154400490</v>
      </c>
      <c r="B5185" t="str">
        <f>"1552376640483177"</f>
        <v>1552376640483177</v>
      </c>
      <c r="C5185" t="s">
        <v>40</v>
      </c>
      <c r="D5185">
        <v>4.7127919999999897</v>
      </c>
      <c r="E5185">
        <v>0.40136549999999999</v>
      </c>
      <c r="F5185" t="s">
        <v>43</v>
      </c>
      <c r="G5185">
        <v>-418.64620000000002</v>
      </c>
      <c r="H5185" s="1">
        <v>-2.367584E-6</v>
      </c>
      <c r="I5185">
        <v>114.5919</v>
      </c>
      <c r="J5185">
        <v>-414.78840000000002</v>
      </c>
      <c r="K5185">
        <v>1.1212819999999999</v>
      </c>
      <c r="L5185">
        <v>124.8459</v>
      </c>
      <c r="M5185">
        <v>-0.58276219999999901</v>
      </c>
      <c r="N5185">
        <v>0</v>
      </c>
      <c r="O5185">
        <v>-0.81248279999999995</v>
      </c>
      <c r="P5185">
        <v>-0.57466830000000002</v>
      </c>
      <c r="Q5185">
        <v>1.0271270000000001E-2</v>
      </c>
      <c r="R5185">
        <v>-0.81832190000000005</v>
      </c>
      <c r="S5185">
        <v>-1.1083069999999999</v>
      </c>
      <c r="T5185">
        <v>-0.31154369999999998</v>
      </c>
      <c r="U5185">
        <v>-2.9062039999999998</v>
      </c>
      <c r="V5185">
        <v>-1.067189E-2</v>
      </c>
      <c r="W5185">
        <v>2.6117999999999999E-2</v>
      </c>
      <c r="X5185">
        <v>0.99960190000000004</v>
      </c>
      <c r="Y5185">
        <v>-0.2561618</v>
      </c>
      <c r="Z5185">
        <v>7.3473460000000004E-2</v>
      </c>
      <c r="AA5185">
        <v>0.96383750000000001</v>
      </c>
      <c r="AB5185">
        <v>25</v>
      </c>
      <c r="AC5185">
        <v>-3.8577999999999899</v>
      </c>
      <c r="AD5185">
        <v>-1.1212843675840001</v>
      </c>
      <c r="AE5185">
        <v>-10.254</v>
      </c>
      <c r="AF5185">
        <v>-2.8121595312796699</v>
      </c>
      <c r="AG5185">
        <v>-1.1212843675840001</v>
      </c>
      <c r="AH5185">
        <v>10.4710698339152</v>
      </c>
      <c r="AI5185">
        <v>95.904498538438403</v>
      </c>
      <c r="AJ5185">
        <v>105.032897539709</v>
      </c>
      <c r="AK5185">
        <v>10.8999460241363</v>
      </c>
      <c r="AL5185">
        <v>88.503378642658305</v>
      </c>
      <c r="AM5185">
        <v>90.6116745344696</v>
      </c>
      <c r="AN5185">
        <v>0.99999999882189095</v>
      </c>
    </row>
    <row r="5186" spans="1:40" x14ac:dyDescent="0.25">
      <c r="A5186" t="str">
        <f>"20190312154400512"</f>
        <v>20190312154400512</v>
      </c>
      <c r="B5186" t="str">
        <f>"1552376640502694"</f>
        <v>1552376640502694</v>
      </c>
      <c r="C5186" t="s">
        <v>40</v>
      </c>
      <c r="D5186">
        <v>4.7717850000000004</v>
      </c>
      <c r="E5186">
        <v>0.40237410000000001</v>
      </c>
      <c r="F5186" t="s">
        <v>43</v>
      </c>
      <c r="G5186">
        <v>-418.72919999999999</v>
      </c>
      <c r="H5186" s="1">
        <v>-2.1331590000000001E-6</v>
      </c>
      <c r="I5186">
        <v>114.0797</v>
      </c>
      <c r="J5186">
        <v>-414.91480000000001</v>
      </c>
      <c r="K5186">
        <v>1.1212009999999999</v>
      </c>
      <c r="L5186">
        <v>124.6403</v>
      </c>
      <c r="M5186">
        <v>-0.57005980000000001</v>
      </c>
      <c r="N5186">
        <v>0</v>
      </c>
      <c r="O5186">
        <v>-0.82144530000000004</v>
      </c>
      <c r="P5186">
        <v>-0.56172339999999998</v>
      </c>
      <c r="Q5186">
        <v>1.0928759999999999E-2</v>
      </c>
      <c r="R5186">
        <v>-0.82725300000000002</v>
      </c>
      <c r="S5186">
        <v>-1.0686040000000001</v>
      </c>
      <c r="T5186">
        <v>-0.30405759999999998</v>
      </c>
      <c r="U5186">
        <v>-2.9194640000000001</v>
      </c>
      <c r="V5186">
        <v>-1.0863319999999999E-2</v>
      </c>
      <c r="W5186">
        <v>2.675864E-2</v>
      </c>
      <c r="X5186">
        <v>0.99958290000000005</v>
      </c>
      <c r="Y5186">
        <v>-0.25406699999999999</v>
      </c>
      <c r="Z5186">
        <v>7.2849179999999999E-2</v>
      </c>
      <c r="AA5186">
        <v>0.96443920000000005</v>
      </c>
      <c r="AB5186">
        <v>25</v>
      </c>
      <c r="AC5186">
        <v>-3.8143999999999698</v>
      </c>
      <c r="AD5186">
        <v>-1.121203133159</v>
      </c>
      <c r="AE5186">
        <v>-10.5605999999999</v>
      </c>
      <c r="AF5186">
        <v>-2.85872295354726</v>
      </c>
      <c r="AG5186">
        <v>-1.121203133159</v>
      </c>
      <c r="AH5186">
        <v>10.743674391497301</v>
      </c>
      <c r="AI5186">
        <v>95.758824214519905</v>
      </c>
      <c r="AJ5186">
        <v>104.90026012916999</v>
      </c>
      <c r="AK5186">
        <v>11.1738951499224</v>
      </c>
      <c r="AL5186">
        <v>88.466659848478102</v>
      </c>
      <c r="AM5186">
        <v>90.622657594902506</v>
      </c>
      <c r="AN5186">
        <v>1.0000000052542399</v>
      </c>
    </row>
    <row r="5187" spans="1:40" x14ac:dyDescent="0.25">
      <c r="A5187" t="str">
        <f>"20190312154400534"</f>
        <v>20190312154400534</v>
      </c>
      <c r="B5187" t="str">
        <f>"1552376640523191"</f>
        <v>1552376640523191</v>
      </c>
      <c r="C5187" t="s">
        <v>40</v>
      </c>
      <c r="D5187">
        <v>5.1090720000000003</v>
      </c>
      <c r="E5187">
        <v>0.41472150000000002</v>
      </c>
      <c r="F5187" t="s">
        <v>43</v>
      </c>
      <c r="G5187">
        <v>-418.75020000000001</v>
      </c>
      <c r="H5187" s="1">
        <v>-1.9764670000000002E-6</v>
      </c>
      <c r="I5187">
        <v>113.72320000000001</v>
      </c>
      <c r="J5187">
        <v>-415.04219999999998</v>
      </c>
      <c r="K5187">
        <v>1.121116</v>
      </c>
      <c r="L5187">
        <v>124.42570000000001</v>
      </c>
      <c r="M5187">
        <v>-0.55684369999999905</v>
      </c>
      <c r="N5187">
        <v>0</v>
      </c>
      <c r="O5187">
        <v>-0.83046160000000002</v>
      </c>
      <c r="P5187">
        <v>-0.54730840000000003</v>
      </c>
      <c r="Q5187">
        <v>1.2699159999999999E-2</v>
      </c>
      <c r="R5187">
        <v>-0.83683490000000005</v>
      </c>
      <c r="S5187">
        <v>-1.029785</v>
      </c>
      <c r="T5187">
        <v>-0.30103649999999998</v>
      </c>
      <c r="U5187">
        <v>-2.9311829999999999</v>
      </c>
      <c r="V5187">
        <v>-1.2211140000000001E-2</v>
      </c>
      <c r="W5187">
        <v>2.8476979999999999E-2</v>
      </c>
      <c r="X5187">
        <v>0.99951990000000002</v>
      </c>
      <c r="Y5187">
        <v>-0.25115720000000002</v>
      </c>
      <c r="Z5187">
        <v>7.3293570000000002E-2</v>
      </c>
      <c r="AA5187">
        <v>0.96516740000000001</v>
      </c>
      <c r="AB5187">
        <v>25</v>
      </c>
      <c r="AC5187">
        <v>-3.7080000000000202</v>
      </c>
      <c r="AD5187">
        <v>-1.1211179764669901</v>
      </c>
      <c r="AE5187">
        <v>-10.702500000000001</v>
      </c>
      <c r="AF5187">
        <v>-2.85269231389504</v>
      </c>
      <c r="AG5187">
        <v>-1.1211179764669901</v>
      </c>
      <c r="AH5187">
        <v>10.847929359100201</v>
      </c>
      <c r="AI5187">
        <v>95.707777244101393</v>
      </c>
      <c r="AJ5187">
        <v>104.733554960909</v>
      </c>
      <c r="AK5187">
        <v>11.272636352466099</v>
      </c>
      <c r="AL5187">
        <v>88.368168695539296</v>
      </c>
      <c r="AM5187">
        <v>90.699948024561806</v>
      </c>
      <c r="AN5187">
        <v>1.00000004041301</v>
      </c>
    </row>
    <row r="5188" spans="1:40" x14ac:dyDescent="0.25">
      <c r="A5188" t="str">
        <f>"20190312154400557"</f>
        <v>20190312154400557</v>
      </c>
      <c r="B5188" t="str">
        <f>"1552376640542710"</f>
        <v>1552376640542710</v>
      </c>
      <c r="C5188" t="s">
        <v>40</v>
      </c>
      <c r="D5188">
        <v>4.7943850000000001</v>
      </c>
      <c r="E5188">
        <v>0.41874299999999998</v>
      </c>
      <c r="F5188" t="s">
        <v>43</v>
      </c>
      <c r="G5188">
        <v>-418.59649999999999</v>
      </c>
      <c r="H5188" s="1">
        <v>-2.4311630000000002E-6</v>
      </c>
      <c r="I5188">
        <v>114.7195</v>
      </c>
      <c r="J5188">
        <v>-415.16329999999999</v>
      </c>
      <c r="K5188">
        <v>1.1210209999999901</v>
      </c>
      <c r="L5188">
        <v>124.2144</v>
      </c>
      <c r="M5188">
        <v>-0.54390450000000001</v>
      </c>
      <c r="N5188">
        <v>0</v>
      </c>
      <c r="O5188">
        <v>-0.83899330000000005</v>
      </c>
      <c r="P5188">
        <v>-0.532578</v>
      </c>
      <c r="Q5188">
        <v>1.4321800000000001E-2</v>
      </c>
      <c r="R5188">
        <v>-0.84625969999999995</v>
      </c>
      <c r="S5188">
        <v>-1.060608</v>
      </c>
      <c r="T5188">
        <v>-0.33454630000000002</v>
      </c>
      <c r="U5188">
        <v>-2.896347</v>
      </c>
      <c r="V5188">
        <v>-1.423224E-2</v>
      </c>
      <c r="W5188">
        <v>3.0027470000000001E-2</v>
      </c>
      <c r="X5188">
        <v>0.9994478</v>
      </c>
      <c r="Y5188">
        <v>-0.2236707</v>
      </c>
      <c r="Z5188">
        <v>8.3898810000000004E-2</v>
      </c>
      <c r="AA5188">
        <v>0.97104699999999999</v>
      </c>
      <c r="AB5188">
        <v>25</v>
      </c>
      <c r="AC5188">
        <v>-3.4331999999999998</v>
      </c>
      <c r="AD5188">
        <v>-1.1210234311630001</v>
      </c>
      <c r="AE5188">
        <v>-9.4948999999999995</v>
      </c>
      <c r="AF5188">
        <v>-2.2563658973232998</v>
      </c>
      <c r="AG5188">
        <v>-1.1210234311630001</v>
      </c>
      <c r="AH5188">
        <v>9.7149955480239694</v>
      </c>
      <c r="AI5188">
        <v>96.413088328202406</v>
      </c>
      <c r="AJ5188">
        <v>103.075468257149</v>
      </c>
      <c r="AK5188">
        <v>10.0363847621514</v>
      </c>
      <c r="AL5188">
        <v>88.279294149796698</v>
      </c>
      <c r="AM5188">
        <v>90.815842681102893</v>
      </c>
      <c r="AN5188">
        <v>1.00000005526742</v>
      </c>
    </row>
    <row r="5189" spans="1:40" x14ac:dyDescent="0.25">
      <c r="A5189" t="str">
        <f>"20190312154400580"</f>
        <v>20190312154400580</v>
      </c>
      <c r="B5189" t="str">
        <f>"1552376640572966"</f>
        <v>1552376640572966</v>
      </c>
      <c r="C5189" t="s">
        <v>40</v>
      </c>
      <c r="D5189">
        <v>5.200037</v>
      </c>
      <c r="E5189">
        <v>0.42262739999999999</v>
      </c>
      <c r="F5189" t="s">
        <v>43</v>
      </c>
      <c r="G5189">
        <v>-419.10239999999999</v>
      </c>
      <c r="H5189" s="1">
        <v>-1.7048219999999999E-6</v>
      </c>
      <c r="I5189">
        <v>113.23560000000001</v>
      </c>
      <c r="J5189">
        <v>-415.28339999999997</v>
      </c>
      <c r="K5189">
        <v>1.120889</v>
      </c>
      <c r="L5189">
        <v>123.9974</v>
      </c>
      <c r="M5189">
        <v>-0.53072649999999999</v>
      </c>
      <c r="N5189">
        <v>0</v>
      </c>
      <c r="O5189">
        <v>-0.84739140000000002</v>
      </c>
      <c r="P5189">
        <v>-0.51802959999999998</v>
      </c>
      <c r="Q5189">
        <v>1.356509E-2</v>
      </c>
      <c r="R5189">
        <v>-0.85525509999999905</v>
      </c>
      <c r="S5189">
        <v>-1.039093</v>
      </c>
      <c r="T5189">
        <v>-0.295716799999999</v>
      </c>
      <c r="U5189">
        <v>-2.896118</v>
      </c>
      <c r="V5189">
        <v>-1.567996E-2</v>
      </c>
      <c r="W5189">
        <v>2.9209100000000002E-2</v>
      </c>
      <c r="X5189">
        <v>0.99945030000000001</v>
      </c>
      <c r="Y5189">
        <v>-0.21451029999999999</v>
      </c>
      <c r="Z5189">
        <v>7.5610289999999997E-2</v>
      </c>
      <c r="AA5189">
        <v>0.97379079999999996</v>
      </c>
      <c r="AB5189">
        <v>25</v>
      </c>
      <c r="AC5189">
        <v>-3.8190000000000102</v>
      </c>
      <c r="AD5189">
        <v>-1.120890704822</v>
      </c>
      <c r="AE5189">
        <v>-10.7617999999999</v>
      </c>
      <c r="AF5189">
        <v>-2.4520776657624102</v>
      </c>
      <c r="AG5189">
        <v>-1.120890704822</v>
      </c>
      <c r="AH5189">
        <v>11.0413530887735</v>
      </c>
      <c r="AI5189">
        <v>95.659705429383905</v>
      </c>
      <c r="AJ5189">
        <v>102.521111306778</v>
      </c>
      <c r="AK5189">
        <v>11.365762573714701</v>
      </c>
      <c r="AL5189">
        <v>88.326203728638603</v>
      </c>
      <c r="AM5189">
        <v>90.898815913060901</v>
      </c>
      <c r="AN5189">
        <v>0.99999996741925001</v>
      </c>
    </row>
    <row r="5190" spans="1:40" x14ac:dyDescent="0.25">
      <c r="A5190" t="str">
        <f>"20190312154400601"</f>
        <v>20190312154400601</v>
      </c>
      <c r="B5190" t="str">
        <f>"1552376640592486"</f>
        <v>1552376640592486</v>
      </c>
      <c r="C5190" t="s">
        <v>40</v>
      </c>
      <c r="D5190">
        <v>5.1298149999999998</v>
      </c>
      <c r="E5190">
        <v>0.4256644</v>
      </c>
      <c r="F5190" t="s">
        <v>43</v>
      </c>
      <c r="G5190">
        <v>-419.1377</v>
      </c>
      <c r="H5190" s="1">
        <v>-1.598091E-6</v>
      </c>
      <c r="I5190">
        <v>113.0014</v>
      </c>
      <c r="J5190">
        <v>-415.39359999999999</v>
      </c>
      <c r="K5190">
        <v>1.1207240000000001</v>
      </c>
      <c r="L5190">
        <v>123.7914</v>
      </c>
      <c r="M5190">
        <v>-0.5183681</v>
      </c>
      <c r="N5190">
        <v>0</v>
      </c>
      <c r="O5190">
        <v>-0.85500799999999999</v>
      </c>
      <c r="P5190">
        <v>-0.50484390000000001</v>
      </c>
      <c r="Q5190">
        <v>1.170772E-2</v>
      </c>
      <c r="R5190">
        <v>-0.86313150000000005</v>
      </c>
      <c r="S5190">
        <v>-1.0155639999999999</v>
      </c>
      <c r="T5190">
        <v>-0.29534009999999999</v>
      </c>
      <c r="U5190">
        <v>-2.8972929999999999</v>
      </c>
      <c r="V5190">
        <v>-1.6462899999999999E-2</v>
      </c>
      <c r="W5190">
        <v>2.730252E-2</v>
      </c>
      <c r="X5190">
        <v>0.99949160000000004</v>
      </c>
      <c r="Y5190">
        <v>-0.2074965</v>
      </c>
      <c r="Z5190">
        <v>7.6716069999999997E-2</v>
      </c>
      <c r="AA5190">
        <v>0.9752229</v>
      </c>
      <c r="AB5190">
        <v>25</v>
      </c>
      <c r="AC5190">
        <v>-3.7441</v>
      </c>
      <c r="AD5190">
        <v>-1.120725598091</v>
      </c>
      <c r="AE5190">
        <v>-10.7899999999999</v>
      </c>
      <c r="AF5190">
        <v>-2.3694470399271199</v>
      </c>
      <c r="AG5190">
        <v>-1.120725598091</v>
      </c>
      <c r="AH5190">
        <v>11.0612782368409</v>
      </c>
      <c r="AI5190">
        <v>95.657954626248198</v>
      </c>
      <c r="AJ5190">
        <v>102.090661997445</v>
      </c>
      <c r="AK5190">
        <v>11.367593473292599</v>
      </c>
      <c r="AL5190">
        <v>88.435486352967601</v>
      </c>
      <c r="AM5190">
        <v>90.943649151090199</v>
      </c>
      <c r="AN5190">
        <v>0.99999995657265905</v>
      </c>
    </row>
    <row r="5191" spans="1:40" x14ac:dyDescent="0.25">
      <c r="A5191" t="str">
        <f>"20190312154400623"</f>
        <v>20190312154400623</v>
      </c>
      <c r="B5191" t="str">
        <f>"1552376640612983"</f>
        <v>1552376640612983</v>
      </c>
      <c r="C5191" t="s">
        <v>40</v>
      </c>
      <c r="D5191">
        <v>5.0560679999999998</v>
      </c>
      <c r="E5191">
        <v>0.4282647</v>
      </c>
      <c r="F5191" t="s">
        <v>43</v>
      </c>
      <c r="G5191">
        <v>-419.1653</v>
      </c>
      <c r="H5191" s="1">
        <v>-1.492281E-6</v>
      </c>
      <c r="I5191">
        <v>112.7662</v>
      </c>
      <c r="J5191">
        <v>-415.50490000000002</v>
      </c>
      <c r="K5191">
        <v>1.120525</v>
      </c>
      <c r="L5191">
        <v>123.57640000000001</v>
      </c>
      <c r="M5191">
        <v>-0.50566549999999999</v>
      </c>
      <c r="N5191">
        <v>0</v>
      </c>
      <c r="O5191">
        <v>-0.86258210000000002</v>
      </c>
      <c r="P5191">
        <v>-0.49241780000000002</v>
      </c>
      <c r="Q5191">
        <v>1.130304E-2</v>
      </c>
      <c r="R5191">
        <v>-0.87028559999999999</v>
      </c>
      <c r="S5191">
        <v>-0.99191280000000004</v>
      </c>
      <c r="T5191">
        <v>-0.29474020000000001</v>
      </c>
      <c r="U5191">
        <v>-2.8995359999999999</v>
      </c>
      <c r="V5191">
        <v>-1.598697E-2</v>
      </c>
      <c r="W5191">
        <v>2.6870660000000001E-2</v>
      </c>
      <c r="X5191">
        <v>0.99951109999999999</v>
      </c>
      <c r="Y5191">
        <v>-0.2003798</v>
      </c>
      <c r="Z5191">
        <v>7.7729870000000006E-2</v>
      </c>
      <c r="AA5191">
        <v>0.97662990000000005</v>
      </c>
      <c r="AB5191">
        <v>25</v>
      </c>
      <c r="AC5191">
        <v>-3.6603999999999801</v>
      </c>
      <c r="AD5191">
        <v>-1.1205264922810001</v>
      </c>
      <c r="AE5191">
        <v>-10.8102</v>
      </c>
      <c r="AF5191">
        <v>-2.2871970349483801</v>
      </c>
      <c r="AG5191">
        <v>-1.1205264922810001</v>
      </c>
      <c r="AH5191">
        <v>11.0703373749348</v>
      </c>
      <c r="AI5191">
        <v>95.6609682675128</v>
      </c>
      <c r="AJ5191">
        <v>101.67339882292799</v>
      </c>
      <c r="AK5191">
        <v>11.3595431022316</v>
      </c>
      <c r="AL5191">
        <v>88.460239300546206</v>
      </c>
      <c r="AM5191">
        <v>90.916355813314198</v>
      </c>
      <c r="AN5191">
        <v>1.00000002730091</v>
      </c>
    </row>
    <row r="5192" spans="1:40" x14ac:dyDescent="0.25">
      <c r="A5192" t="str">
        <f>"20190312154400646"</f>
        <v>20190312154400646</v>
      </c>
      <c r="B5192" t="str">
        <f>"1552376640632503"</f>
        <v>1552376640632503</v>
      </c>
      <c r="C5192" t="s">
        <v>40</v>
      </c>
      <c r="D5192">
        <v>4.8610129999999998</v>
      </c>
      <c r="E5192">
        <v>0.43001139999999999</v>
      </c>
      <c r="F5192" t="s">
        <v>43</v>
      </c>
      <c r="G5192">
        <v>-419.19959999999998</v>
      </c>
      <c r="H5192" s="1">
        <v>-1.375846E-6</v>
      </c>
      <c r="I5192">
        <v>112.509</v>
      </c>
      <c r="J5192">
        <v>-415.61270000000002</v>
      </c>
      <c r="K5192">
        <v>1.1202920000000001</v>
      </c>
      <c r="L5192">
        <v>123.36109999999999</v>
      </c>
      <c r="M5192">
        <v>-0.49318709999999999</v>
      </c>
      <c r="N5192">
        <v>0</v>
      </c>
      <c r="O5192">
        <v>-0.86977800000000005</v>
      </c>
      <c r="P5192">
        <v>-0.48067490000000002</v>
      </c>
      <c r="Q5192">
        <v>1.2139560000000001E-2</v>
      </c>
      <c r="R5192">
        <v>-0.87681520000000002</v>
      </c>
      <c r="S5192">
        <v>-0.96902469999999996</v>
      </c>
      <c r="T5192">
        <v>-0.29388180000000003</v>
      </c>
      <c r="U5192">
        <v>-2.902679</v>
      </c>
      <c r="V5192">
        <v>-1.5021029999999999E-2</v>
      </c>
      <c r="W5192">
        <v>2.7683360000000001E-2</v>
      </c>
      <c r="X5192">
        <v>0.9995039</v>
      </c>
      <c r="Y5192">
        <v>-0.1935115</v>
      </c>
      <c r="Z5192">
        <v>7.8588580000000005E-2</v>
      </c>
      <c r="AA5192">
        <v>0.97794539999999996</v>
      </c>
      <c r="AB5192">
        <v>25</v>
      </c>
      <c r="AC5192">
        <v>-3.5868999999999498</v>
      </c>
      <c r="AD5192">
        <v>-1.1202933758460001</v>
      </c>
      <c r="AE5192">
        <v>-10.852099999999901</v>
      </c>
      <c r="AF5192">
        <v>-2.2113457764901998</v>
      </c>
      <c r="AG5192">
        <v>-1.1202933758460001</v>
      </c>
      <c r="AH5192">
        <v>11.102678827749401</v>
      </c>
      <c r="AI5192">
        <v>95.651545916353498</v>
      </c>
      <c r="AJ5192">
        <v>101.264323998655</v>
      </c>
      <c r="AK5192">
        <v>11.376053117989599</v>
      </c>
      <c r="AL5192">
        <v>88.4136576811959</v>
      </c>
      <c r="AM5192">
        <v>90.861003982280195</v>
      </c>
      <c r="AN5192">
        <v>1.0000000229391699</v>
      </c>
    </row>
    <row r="5193" spans="1:40" x14ac:dyDescent="0.25">
      <c r="A5193" t="str">
        <f>"20190312154400668"</f>
        <v>20190312154400668</v>
      </c>
      <c r="B5193" t="str">
        <f>"1552376640662799"</f>
        <v>1552376640662799</v>
      </c>
      <c r="C5193" t="s">
        <v>40</v>
      </c>
      <c r="D5193">
        <v>4.8149480000000002</v>
      </c>
      <c r="E5193">
        <v>0.40447529999999998</v>
      </c>
      <c r="F5193" t="s">
        <v>43</v>
      </c>
      <c r="G5193">
        <v>-419.24790000000002</v>
      </c>
      <c r="H5193" s="1">
        <v>-1.212482E-6</v>
      </c>
      <c r="I5193">
        <v>112.1481</v>
      </c>
      <c r="J5193">
        <v>-415.71789999999999</v>
      </c>
      <c r="K5193">
        <v>1.1200209999999999</v>
      </c>
      <c r="L5193">
        <v>123.14409999999999</v>
      </c>
      <c r="M5193">
        <v>-0.48090189999999999</v>
      </c>
      <c r="N5193">
        <v>0</v>
      </c>
      <c r="O5193">
        <v>-0.87663139999999995</v>
      </c>
      <c r="P5193">
        <v>-0.46950330000000001</v>
      </c>
      <c r="Q5193">
        <v>1.2366479999999999E-2</v>
      </c>
      <c r="R5193">
        <v>-0.88284430000000003</v>
      </c>
      <c r="S5193">
        <v>-0.94293210000000005</v>
      </c>
      <c r="T5193">
        <v>-0.29059390000000002</v>
      </c>
      <c r="U5193">
        <v>-2.9085540000000001</v>
      </c>
      <c r="V5193">
        <v>-1.3633549999999999E-2</v>
      </c>
      <c r="W5193">
        <v>2.7887849999999999E-2</v>
      </c>
      <c r="X5193">
        <v>0.99951809999999996</v>
      </c>
      <c r="Y5193">
        <v>-0.1882093</v>
      </c>
      <c r="Z5193">
        <v>7.8665869999999999E-2</v>
      </c>
      <c r="AA5193">
        <v>0.97897339999999999</v>
      </c>
      <c r="AB5193">
        <v>25</v>
      </c>
      <c r="AC5193">
        <v>-3.5300000000000198</v>
      </c>
      <c r="AD5193">
        <v>-1.1200222124819901</v>
      </c>
      <c r="AE5193">
        <v>-10.995999999999899</v>
      </c>
      <c r="AF5193">
        <v>-2.1733221545323</v>
      </c>
      <c r="AG5193">
        <v>-1.1200222124819901</v>
      </c>
      <c r="AH5193">
        <v>11.2327932878319</v>
      </c>
      <c r="AI5193">
        <v>95.591129394972597</v>
      </c>
      <c r="AJ5193">
        <v>100.950292223123</v>
      </c>
      <c r="AK5193">
        <v>11.495800276231099</v>
      </c>
      <c r="AL5193">
        <v>88.401936735877996</v>
      </c>
      <c r="AM5193">
        <v>90.781473027267495</v>
      </c>
      <c r="AN5193">
        <v>1.0000000190454099</v>
      </c>
    </row>
    <row r="5194" spans="1:40" x14ac:dyDescent="0.25">
      <c r="A5194" t="str">
        <f>"20190312154400693"</f>
        <v>20190312154400693</v>
      </c>
      <c r="B5194" t="str">
        <f>"1552376640683295"</f>
        <v>1552376640683295</v>
      </c>
      <c r="C5194" t="s">
        <v>40</v>
      </c>
      <c r="D5194">
        <v>4.96218</v>
      </c>
      <c r="E5194">
        <v>0.40312819999999999</v>
      </c>
      <c r="F5194" t="s">
        <v>43</v>
      </c>
      <c r="G5194">
        <v>-419.02330000000001</v>
      </c>
      <c r="H5194" s="1">
        <v>-4.808685E-6</v>
      </c>
      <c r="I5194">
        <v>109.4374</v>
      </c>
      <c r="J5194">
        <v>-415.8329</v>
      </c>
      <c r="K5194">
        <v>1.119686</v>
      </c>
      <c r="L5194">
        <v>122.89790000000001</v>
      </c>
      <c r="M5194">
        <v>-0.46741860000000002</v>
      </c>
      <c r="N5194">
        <v>0</v>
      </c>
      <c r="O5194">
        <v>-0.88389599999999902</v>
      </c>
      <c r="P5194">
        <v>-0.45630730000000003</v>
      </c>
      <c r="Q5194">
        <v>1.2536520000000001E-2</v>
      </c>
      <c r="R5194">
        <v>-0.88973409999999997</v>
      </c>
      <c r="S5194">
        <v>-0.7270508</v>
      </c>
      <c r="T5194">
        <v>-0.2463582</v>
      </c>
      <c r="U5194">
        <v>-3.0148929999999998</v>
      </c>
      <c r="V5194">
        <v>-1.318216E-2</v>
      </c>
      <c r="W5194">
        <v>2.799509E-2</v>
      </c>
      <c r="X5194">
        <v>0.99952110000000005</v>
      </c>
      <c r="Y5194">
        <v>-0.2477511</v>
      </c>
      <c r="Z5194">
        <v>6.5361539999999996E-2</v>
      </c>
      <c r="AA5194">
        <v>0.96661640000000004</v>
      </c>
      <c r="AB5194">
        <v>25</v>
      </c>
      <c r="AC5194">
        <v>-3.1904000000000101</v>
      </c>
      <c r="AD5194">
        <v>-1.1196908086849999</v>
      </c>
      <c r="AE5194">
        <v>-13.4605</v>
      </c>
      <c r="AF5194">
        <v>-3.44953691376399</v>
      </c>
      <c r="AG5194">
        <v>-1.1196908086849999</v>
      </c>
      <c r="AH5194">
        <v>13.303436388519399</v>
      </c>
      <c r="AI5194">
        <v>94.657670829876096</v>
      </c>
      <c r="AJ5194">
        <v>104.536464179615</v>
      </c>
      <c r="AK5194">
        <v>13.7889242571658</v>
      </c>
      <c r="AL5194">
        <v>88.395789844910396</v>
      </c>
      <c r="AM5194">
        <v>90.755600204147996</v>
      </c>
      <c r="AN5194">
        <v>0.99999996187579099</v>
      </c>
    </row>
    <row r="5195" spans="1:40" x14ac:dyDescent="0.25">
      <c r="A5195" t="str">
        <f>"20190312154400713"</f>
        <v>20190312154400713</v>
      </c>
      <c r="B5195" t="str">
        <f>"1552376640702815"</f>
        <v>1552376640702815</v>
      </c>
      <c r="C5195" t="s">
        <v>40</v>
      </c>
      <c r="D5195">
        <v>4.8428570000000004</v>
      </c>
      <c r="E5195">
        <v>0.40328150000000001</v>
      </c>
      <c r="F5195" t="s">
        <v>43</v>
      </c>
      <c r="G5195">
        <v>-418.70069999999998</v>
      </c>
      <c r="H5195" s="1">
        <v>-4.5617129999999999E-7</v>
      </c>
      <c r="I5195">
        <v>109.9727</v>
      </c>
      <c r="J5195">
        <v>-415.9221</v>
      </c>
      <c r="K5195">
        <v>1.119424</v>
      </c>
      <c r="L5195">
        <v>122.7011</v>
      </c>
      <c r="M5195">
        <v>-0.45689249999999998</v>
      </c>
      <c r="N5195">
        <v>0</v>
      </c>
      <c r="O5195">
        <v>-0.88938399999999995</v>
      </c>
      <c r="P5195">
        <v>-0.44578410000000002</v>
      </c>
      <c r="Q5195">
        <v>1.4525990000000001E-2</v>
      </c>
      <c r="R5195">
        <v>-0.89502309999999996</v>
      </c>
      <c r="S5195">
        <v>-0.67242429999999997</v>
      </c>
      <c r="T5195">
        <v>-0.2625345</v>
      </c>
      <c r="U5195">
        <v>-3.0306090000000001</v>
      </c>
      <c r="V5195">
        <v>-1.311184E-2</v>
      </c>
      <c r="W5195">
        <v>2.992595E-2</v>
      </c>
      <c r="X5195">
        <v>0.99946610000000002</v>
      </c>
      <c r="Y5195">
        <v>-0.25399509999999997</v>
      </c>
      <c r="Z5195">
        <v>7.000634E-2</v>
      </c>
      <c r="AA5195">
        <v>0.96466859999999999</v>
      </c>
      <c r="AB5195">
        <v>25</v>
      </c>
      <c r="AC5195">
        <v>-2.77859999999998</v>
      </c>
      <c r="AD5195">
        <v>-1.1194244561713</v>
      </c>
      <c r="AE5195">
        <v>-12.728399999999899</v>
      </c>
      <c r="AF5195">
        <v>-3.3201661606528399</v>
      </c>
      <c r="AG5195">
        <v>-1.1194244561713</v>
      </c>
      <c r="AH5195">
        <v>12.499221688956499</v>
      </c>
      <c r="AI5195">
        <v>94.947069321157798</v>
      </c>
      <c r="AJ5195">
        <v>104.875940622173</v>
      </c>
      <c r="AK5195">
        <v>12.9810306708327</v>
      </c>
      <c r="AL5195">
        <v>88.285113309859696</v>
      </c>
      <c r="AM5195">
        <v>90.751611285460498</v>
      </c>
      <c r="AN5195">
        <v>0.99999998394039802</v>
      </c>
    </row>
    <row r="5196" spans="1:40" x14ac:dyDescent="0.25">
      <c r="A5196" t="str">
        <f>"20190312154400736"</f>
        <v>20190312154400736</v>
      </c>
      <c r="B5196" t="str">
        <f>"1552376640733072"</f>
        <v>1552376640733072</v>
      </c>
      <c r="C5196" t="s">
        <v>40</v>
      </c>
      <c r="D5196">
        <v>4.8086929999999999</v>
      </c>
      <c r="E5196">
        <v>0.40427560000000001</v>
      </c>
      <c r="F5196" t="s">
        <v>43</v>
      </c>
      <c r="G5196">
        <v>-418.56849999999997</v>
      </c>
      <c r="H5196" s="1">
        <v>-5.3526840000000002E-7</v>
      </c>
      <c r="I5196">
        <v>110.10169999999999</v>
      </c>
      <c r="J5196">
        <v>-416.02260000000001</v>
      </c>
      <c r="K5196">
        <v>1.1191439999999999</v>
      </c>
      <c r="L5196">
        <v>122.4726</v>
      </c>
      <c r="M5196">
        <v>-0.44501429999999997</v>
      </c>
      <c r="N5196">
        <v>0</v>
      </c>
      <c r="O5196">
        <v>-0.89538759999999995</v>
      </c>
      <c r="P5196">
        <v>-0.43327860000000001</v>
      </c>
      <c r="Q5196">
        <v>1.690908E-2</v>
      </c>
      <c r="R5196">
        <v>-0.90110159999999995</v>
      </c>
      <c r="S5196">
        <v>-0.63818359999999996</v>
      </c>
      <c r="T5196">
        <v>-0.269953</v>
      </c>
      <c r="U5196">
        <v>-3.0383909999999998</v>
      </c>
      <c r="V5196">
        <v>-1.3733749999999999E-2</v>
      </c>
      <c r="W5196">
        <v>3.2226060000000001E-2</v>
      </c>
      <c r="X5196">
        <v>0.99938629999999995</v>
      </c>
      <c r="Y5196">
        <v>-0.25206800000000001</v>
      </c>
      <c r="Z5196">
        <v>7.2653170000000003E-2</v>
      </c>
      <c r="AA5196">
        <v>0.96497840000000001</v>
      </c>
      <c r="AB5196">
        <v>25</v>
      </c>
      <c r="AC5196">
        <v>-2.5458999999999601</v>
      </c>
      <c r="AD5196">
        <v>-1.1191445352684</v>
      </c>
      <c r="AE5196">
        <v>-12.370900000000001</v>
      </c>
      <c r="AF5196">
        <v>-3.2009204460615499</v>
      </c>
      <c r="AG5196">
        <v>-1.1191445352684</v>
      </c>
      <c r="AH5196">
        <v>12.116068211545301</v>
      </c>
      <c r="AI5196">
        <v>95.103242166172706</v>
      </c>
      <c r="AJ5196">
        <v>104.79874965892</v>
      </c>
      <c r="AK5196">
        <v>12.581632847117101</v>
      </c>
      <c r="AL5196">
        <v>88.153263135293201</v>
      </c>
      <c r="AM5196">
        <v>90.787319561673499</v>
      </c>
      <c r="AN5196">
        <v>1.00000005572993</v>
      </c>
    </row>
    <row r="5197" spans="1:40" x14ac:dyDescent="0.25">
      <c r="A5197" t="str">
        <f>"20190312154400758"</f>
        <v>20190312154400758</v>
      </c>
      <c r="B5197" t="str">
        <f>"1552376640752845"</f>
        <v>1552376640752845</v>
      </c>
      <c r="C5197" t="s">
        <v>40</v>
      </c>
      <c r="D5197">
        <v>4.7578870000000002</v>
      </c>
      <c r="E5197">
        <v>0.4035417</v>
      </c>
      <c r="F5197" t="s">
        <v>43</v>
      </c>
      <c r="G5197">
        <v>-418.50850000000003</v>
      </c>
      <c r="H5197" s="1">
        <v>-4.9391690000000005E-7</v>
      </c>
      <c r="I5197">
        <v>109.9333</v>
      </c>
      <c r="J5197">
        <v>-416.1164</v>
      </c>
      <c r="K5197">
        <v>1.118873</v>
      </c>
      <c r="L5197">
        <v>122.2529</v>
      </c>
      <c r="M5197">
        <v>-0.43395840000000002</v>
      </c>
      <c r="N5197">
        <v>0</v>
      </c>
      <c r="O5197">
        <v>-0.90079900000000002</v>
      </c>
      <c r="P5197">
        <v>-0.4225969</v>
      </c>
      <c r="Q5197">
        <v>1.760896E-2</v>
      </c>
      <c r="R5197">
        <v>-0.90614660000000002</v>
      </c>
      <c r="S5197">
        <v>-0.60351560000000004</v>
      </c>
      <c r="T5197">
        <v>-0.27169280000000001</v>
      </c>
      <c r="U5197">
        <v>-3.0441440000000002</v>
      </c>
      <c r="V5197">
        <v>-1.3228810000000001E-2</v>
      </c>
      <c r="W5197">
        <v>3.2868010000000003E-2</v>
      </c>
      <c r="X5197">
        <v>0.99937209999999999</v>
      </c>
      <c r="Y5197">
        <v>-0.251085</v>
      </c>
      <c r="Z5197">
        <v>7.3762389999999997E-2</v>
      </c>
      <c r="AA5197">
        <v>0.96515050000000002</v>
      </c>
      <c r="AB5197">
        <v>25</v>
      </c>
      <c r="AC5197">
        <v>-2.3921000000000201</v>
      </c>
      <c r="AD5197">
        <v>-1.1188734939168901</v>
      </c>
      <c r="AE5197">
        <v>-12.3195999999999</v>
      </c>
      <c r="AF5197">
        <v>-3.16660726914973</v>
      </c>
      <c r="AG5197">
        <v>-1.1188734939168901</v>
      </c>
      <c r="AH5197">
        <v>12.041306752797199</v>
      </c>
      <c r="AI5197">
        <v>95.135043258657703</v>
      </c>
      <c r="AJ5197">
        <v>104.733960603564</v>
      </c>
      <c r="AK5197">
        <v>12.500893880334299</v>
      </c>
      <c r="AL5197">
        <v>88.116462416751602</v>
      </c>
      <c r="AM5197">
        <v>90.758386906798293</v>
      </c>
      <c r="AN5197">
        <v>0.99999995087689098</v>
      </c>
    </row>
    <row r="5198" spans="1:40" x14ac:dyDescent="0.25">
      <c r="A5198" t="str">
        <f>"20190312154400781"</f>
        <v>20190312154400781</v>
      </c>
      <c r="B5198" t="str">
        <f>"1552376640773342"</f>
        <v>1552376640773342</v>
      </c>
      <c r="C5198" t="s">
        <v>40</v>
      </c>
      <c r="D5198">
        <v>4.7315959999999997</v>
      </c>
      <c r="E5198">
        <v>0.4041845</v>
      </c>
      <c r="F5198" t="s">
        <v>43</v>
      </c>
      <c r="G5198">
        <v>-418.57150000000001</v>
      </c>
      <c r="H5198" s="1">
        <v>-4.6574639999999997E-6</v>
      </c>
      <c r="I5198">
        <v>108.9479</v>
      </c>
      <c r="J5198">
        <v>-416.20890000000003</v>
      </c>
      <c r="K5198">
        <v>1.1185670000000001</v>
      </c>
      <c r="L5198">
        <v>122.0296</v>
      </c>
      <c r="M5198">
        <v>-0.42312470000000002</v>
      </c>
      <c r="N5198">
        <v>0</v>
      </c>
      <c r="O5198">
        <v>-0.90594010000000003</v>
      </c>
      <c r="P5198">
        <v>-0.41324509999999998</v>
      </c>
      <c r="Q5198">
        <v>1.6446220000000001E-2</v>
      </c>
      <c r="R5198">
        <v>-0.91047169999999999</v>
      </c>
      <c r="S5198">
        <v>-0.56335449999999998</v>
      </c>
      <c r="T5198">
        <v>-0.25674190000000002</v>
      </c>
      <c r="U5198">
        <v>-3.052994</v>
      </c>
      <c r="V5198">
        <v>-1.149321E-2</v>
      </c>
      <c r="W5198">
        <v>3.166654E-2</v>
      </c>
      <c r="X5198">
        <v>0.9994324</v>
      </c>
      <c r="Y5198">
        <v>-0.25220579999999998</v>
      </c>
      <c r="Z5198">
        <v>7.0220290000000005E-2</v>
      </c>
      <c r="AA5198">
        <v>0.96512249999999999</v>
      </c>
      <c r="AB5198">
        <v>25</v>
      </c>
      <c r="AC5198">
        <v>-2.36259999999998</v>
      </c>
      <c r="AD5198">
        <v>-1.1185716574639999</v>
      </c>
      <c r="AE5198">
        <v>-13.0816999999999</v>
      </c>
      <c r="AF5198">
        <v>-3.3713497914688602</v>
      </c>
      <c r="AG5198">
        <v>-1.1185716574639999</v>
      </c>
      <c r="AH5198">
        <v>12.762079673314901</v>
      </c>
      <c r="AI5198">
        <v>94.843734281394106</v>
      </c>
      <c r="AJ5198">
        <v>104.797745973703</v>
      </c>
      <c r="AK5198">
        <v>13.247183834965</v>
      </c>
      <c r="AL5198">
        <v>88.185337525679699</v>
      </c>
      <c r="AM5198">
        <v>90.658857367706204</v>
      </c>
      <c r="AN5198">
        <v>0.99999999290071695</v>
      </c>
    </row>
    <row r="5199" spans="1:40" x14ac:dyDescent="0.25">
      <c r="A5199" t="str">
        <f>"20190312154400802"</f>
        <v>20190312154400802</v>
      </c>
      <c r="B5199" t="str">
        <f>"1552376640792862"</f>
        <v>1552376640792862</v>
      </c>
      <c r="C5199" t="s">
        <v>40</v>
      </c>
      <c r="D5199">
        <v>4.8325509999999996</v>
      </c>
      <c r="E5199">
        <v>0.40522130000000001</v>
      </c>
      <c r="F5199" t="s">
        <v>43</v>
      </c>
      <c r="G5199">
        <v>-418.60890000000001</v>
      </c>
      <c r="H5199" s="1">
        <v>-4.3693300000000002E-6</v>
      </c>
      <c r="I5199">
        <v>108.35250000000001</v>
      </c>
      <c r="J5199">
        <v>-416.29759999999999</v>
      </c>
      <c r="K5199">
        <v>1.118242</v>
      </c>
      <c r="L5199">
        <v>121.80929999999999</v>
      </c>
      <c r="M5199">
        <v>-0.41284530000000003</v>
      </c>
      <c r="N5199">
        <v>0</v>
      </c>
      <c r="O5199">
        <v>-0.91067169999999997</v>
      </c>
      <c r="P5199">
        <v>-0.40437450000000003</v>
      </c>
      <c r="Q5199">
        <v>1.6012120000000001E-2</v>
      </c>
      <c r="R5199">
        <v>-0.91445350000000003</v>
      </c>
      <c r="S5199">
        <v>-0.53628540000000002</v>
      </c>
      <c r="T5199">
        <v>-0.2499431</v>
      </c>
      <c r="U5199">
        <v>-3.0561370000000001</v>
      </c>
      <c r="V5199">
        <v>-9.865871E-3</v>
      </c>
      <c r="W5199">
        <v>3.118516E-2</v>
      </c>
      <c r="X5199">
        <v>0.99946489999999999</v>
      </c>
      <c r="Y5199">
        <v>-0.24969230000000001</v>
      </c>
      <c r="Z5199">
        <v>6.8938070000000004E-2</v>
      </c>
      <c r="AA5199">
        <v>0.96586819999999896</v>
      </c>
      <c r="AB5199">
        <v>25</v>
      </c>
      <c r="AC5199">
        <v>-2.3113000000000099</v>
      </c>
      <c r="AD5199">
        <v>-1.11824636933</v>
      </c>
      <c r="AE5199">
        <v>-13.4567999999999</v>
      </c>
      <c r="AF5199">
        <v>-3.42815350960888</v>
      </c>
      <c r="AG5199">
        <v>-1.11824636933</v>
      </c>
      <c r="AH5199">
        <v>13.122474130743999</v>
      </c>
      <c r="AI5199">
        <v>94.713322803864102</v>
      </c>
      <c r="AJ5199">
        <v>104.64090101150001</v>
      </c>
      <c r="AK5199">
        <v>13.608895573851999</v>
      </c>
      <c r="AL5199">
        <v>88.212932153318704</v>
      </c>
      <c r="AM5199">
        <v>90.565557040170006</v>
      </c>
      <c r="AN5199">
        <v>0.99999996797341095</v>
      </c>
    </row>
    <row r="5200" spans="1:40" x14ac:dyDescent="0.25">
      <c r="A5200" t="str">
        <f>"20190312154400825"</f>
        <v>20190312154400825</v>
      </c>
      <c r="B5200" t="str">
        <f>"1552376640813358"</f>
        <v>1552376640813358</v>
      </c>
      <c r="C5200" t="s">
        <v>40</v>
      </c>
      <c r="D5200">
        <v>4.7045430000000001</v>
      </c>
      <c r="E5200">
        <v>0.4059371</v>
      </c>
      <c r="F5200" t="s">
        <v>43</v>
      </c>
      <c r="G5200">
        <v>-418.62959999999998</v>
      </c>
      <c r="H5200" s="1">
        <v>-4.1694079999999996E-6</v>
      </c>
      <c r="I5200">
        <v>107.93729999999999</v>
      </c>
      <c r="J5200">
        <v>-416.3845</v>
      </c>
      <c r="K5200">
        <v>1.1178900000000001</v>
      </c>
      <c r="L5200">
        <v>121.5878</v>
      </c>
      <c r="M5200">
        <v>-0.4029298</v>
      </c>
      <c r="N5200">
        <v>0</v>
      </c>
      <c r="O5200">
        <v>-0.91510360000000002</v>
      </c>
      <c r="P5200">
        <v>-0.39489990000000003</v>
      </c>
      <c r="Q5200">
        <v>1.754909E-2</v>
      </c>
      <c r="R5200">
        <v>-0.9185565</v>
      </c>
      <c r="S5200">
        <v>-0.51400760000000001</v>
      </c>
      <c r="T5200">
        <v>-0.24648120000000001</v>
      </c>
      <c r="U5200">
        <v>-3.0576479999999999</v>
      </c>
      <c r="V5200">
        <v>-9.3292779999999999E-3</v>
      </c>
      <c r="W5200">
        <v>3.2649739999999997E-2</v>
      </c>
      <c r="X5200">
        <v>0.99942330000000001</v>
      </c>
      <c r="Y5200">
        <v>-0.246083</v>
      </c>
      <c r="Z5200">
        <v>6.8549250000000006E-2</v>
      </c>
      <c r="AA5200">
        <v>0.96682170000000001</v>
      </c>
      <c r="AB5200">
        <v>25</v>
      </c>
      <c r="AC5200">
        <v>-2.2450999999999701</v>
      </c>
      <c r="AD5200">
        <v>-1.117894169408</v>
      </c>
      <c r="AE5200">
        <v>-13.650499999999999</v>
      </c>
      <c r="AF5200">
        <v>-3.4237386196389701</v>
      </c>
      <c r="AG5200">
        <v>-1.117894169408</v>
      </c>
      <c r="AH5200">
        <v>13.3108802597359</v>
      </c>
      <c r="AI5200">
        <v>94.649975164476302</v>
      </c>
      <c r="AJ5200">
        <v>104.424571665493</v>
      </c>
      <c r="AK5200">
        <v>13.789532508342299</v>
      </c>
      <c r="AL5200">
        <v>88.128975150107905</v>
      </c>
      <c r="AM5200">
        <v>90.534821161946098</v>
      </c>
      <c r="AN5200">
        <v>0.99999998676647905</v>
      </c>
    </row>
    <row r="5201" spans="1:40" x14ac:dyDescent="0.25">
      <c r="A5201" t="str">
        <f>"20190312154400847"</f>
        <v>20190312154400847</v>
      </c>
      <c r="B5201" t="str">
        <f>"1552376640842637"</f>
        <v>1552376640842637</v>
      </c>
      <c r="C5201" t="s">
        <v>40</v>
      </c>
      <c r="D5201">
        <v>4.6931960000000004</v>
      </c>
      <c r="E5201">
        <v>0.42146620000000001</v>
      </c>
      <c r="F5201" t="s">
        <v>43</v>
      </c>
      <c r="G5201">
        <v>-418.65019999999998</v>
      </c>
      <c r="H5201" s="1">
        <v>-3.9112870000000004E-6</v>
      </c>
      <c r="I5201">
        <v>107.399</v>
      </c>
      <c r="J5201">
        <v>-416.47219999999999</v>
      </c>
      <c r="K5201">
        <v>1.1175109999999999</v>
      </c>
      <c r="L5201">
        <v>121.35850000000001</v>
      </c>
      <c r="M5201">
        <v>-0.39312019999999998</v>
      </c>
      <c r="N5201">
        <v>0</v>
      </c>
      <c r="O5201">
        <v>-0.91936189999999995</v>
      </c>
      <c r="P5201">
        <v>-0.38520769999999999</v>
      </c>
      <c r="Q5201">
        <v>1.8805519999999999E-2</v>
      </c>
      <c r="R5201">
        <v>-0.92263850000000003</v>
      </c>
      <c r="S5201">
        <v>-0.48870849999999999</v>
      </c>
      <c r="T5201">
        <v>-0.24112610000000001</v>
      </c>
      <c r="U5201">
        <v>-3.060486</v>
      </c>
      <c r="V5201">
        <v>-9.1416320000000002E-3</v>
      </c>
      <c r="W5201">
        <v>3.3824970000000003E-2</v>
      </c>
      <c r="X5201">
        <v>0.999386</v>
      </c>
      <c r="Y5201">
        <v>-0.24363270000000001</v>
      </c>
      <c r="Z5201">
        <v>6.756007E-2</v>
      </c>
      <c r="AA5201">
        <v>0.96751160000000003</v>
      </c>
      <c r="AB5201">
        <v>25</v>
      </c>
      <c r="AC5201">
        <v>-2.1779999999999902</v>
      </c>
      <c r="AD5201">
        <v>-1.117514911287</v>
      </c>
      <c r="AE5201">
        <v>-13.9595</v>
      </c>
      <c r="AF5201">
        <v>-3.4641196932780201</v>
      </c>
      <c r="AG5201">
        <v>-1.117514911287</v>
      </c>
      <c r="AH5201">
        <v>13.606497175704201</v>
      </c>
      <c r="AI5201">
        <v>94.550692047966393</v>
      </c>
      <c r="AJ5201">
        <v>104.283657091069</v>
      </c>
      <c r="AK5201">
        <v>14.084946937022901</v>
      </c>
      <c r="AL5201">
        <v>88.0616023003073</v>
      </c>
      <c r="AM5201">
        <v>90.524084111324797</v>
      </c>
      <c r="AN5201">
        <v>1.00000003751356</v>
      </c>
    </row>
    <row r="5202" spans="1:40" x14ac:dyDescent="0.25">
      <c r="A5202" t="str">
        <f>"20190312154400869"</f>
        <v>20190312154400869</v>
      </c>
      <c r="B5202" t="str">
        <f>"1552376640863137"</f>
        <v>1552376640863137</v>
      </c>
      <c r="C5202" t="s">
        <v>40</v>
      </c>
      <c r="D5202">
        <v>4.7182040000000001</v>
      </c>
      <c r="E5202">
        <v>0.42270659999999999</v>
      </c>
      <c r="F5202" t="s">
        <v>43</v>
      </c>
      <c r="G5202">
        <v>-419.7276</v>
      </c>
      <c r="H5202" s="1">
        <v>-2.1911570000000002E-6</v>
      </c>
      <c r="I5202">
        <v>104.1644</v>
      </c>
      <c r="J5202">
        <v>-416.55549999999999</v>
      </c>
      <c r="K5202">
        <v>1.11714</v>
      </c>
      <c r="L5202">
        <v>121.13460000000001</v>
      </c>
      <c r="M5202">
        <v>-0.38404729999999998</v>
      </c>
      <c r="N5202">
        <v>0</v>
      </c>
      <c r="O5202">
        <v>-0.92319030000000002</v>
      </c>
      <c r="P5202">
        <v>-0.37579889999999999</v>
      </c>
      <c r="Q5202">
        <v>2.0527219999999999E-2</v>
      </c>
      <c r="R5202">
        <v>-0.92647409999999997</v>
      </c>
      <c r="S5202">
        <v>-0.57122799999999996</v>
      </c>
      <c r="T5202">
        <v>-0.1960895</v>
      </c>
      <c r="U5202">
        <v>-3.0170439999999998</v>
      </c>
      <c r="V5202">
        <v>-9.4498959999999993E-3</v>
      </c>
      <c r="W5202">
        <v>3.5459060000000001E-2</v>
      </c>
      <c r="X5202">
        <v>0.99932650000000001</v>
      </c>
      <c r="Y5202">
        <v>-0.2059376</v>
      </c>
      <c r="Z5202">
        <v>5.6299990000000001E-2</v>
      </c>
      <c r="AA5202">
        <v>0.97694420000000004</v>
      </c>
      <c r="AB5202">
        <v>25</v>
      </c>
      <c r="AC5202">
        <v>-3.1720999999999999</v>
      </c>
      <c r="AD5202">
        <v>-1.1171421911570001</v>
      </c>
      <c r="AE5202">
        <v>-16.970199999999998</v>
      </c>
      <c r="AF5202">
        <v>-3.5743489040185801</v>
      </c>
      <c r="AG5202">
        <v>-1.1171421911570001</v>
      </c>
      <c r="AH5202">
        <v>16.8164655339713</v>
      </c>
      <c r="AI5202">
        <v>93.717843922752394</v>
      </c>
      <c r="AJ5202">
        <v>101.999670138273</v>
      </c>
      <c r="AK5202">
        <v>17.2283919684388</v>
      </c>
      <c r="AL5202">
        <v>87.967919627718999</v>
      </c>
      <c r="AM5202">
        <v>90.5417879139966</v>
      </c>
      <c r="AN5202">
        <v>1.0000000495363699</v>
      </c>
    </row>
    <row r="5203" spans="1:40" x14ac:dyDescent="0.25">
      <c r="A5203" t="str">
        <f>"20190312154400892"</f>
        <v>20190312154400892</v>
      </c>
      <c r="B5203" t="str">
        <f>"1552376640882653"</f>
        <v>1552376640882653</v>
      </c>
      <c r="C5203" t="s">
        <v>40</v>
      </c>
      <c r="D5203">
        <v>4.7483430000000002</v>
      </c>
      <c r="E5203">
        <v>0.42442400000000002</v>
      </c>
      <c r="F5203" t="s">
        <v>43</v>
      </c>
      <c r="G5203">
        <v>-419.82619999999997</v>
      </c>
      <c r="H5203" s="1">
        <v>-1.699302E-6</v>
      </c>
      <c r="I5203">
        <v>103.1609</v>
      </c>
      <c r="J5203">
        <v>-416.64010000000002</v>
      </c>
      <c r="K5203">
        <v>1.116771</v>
      </c>
      <c r="L5203">
        <v>120.902</v>
      </c>
      <c r="M5203">
        <v>-0.37511109999999998</v>
      </c>
      <c r="N5203">
        <v>0</v>
      </c>
      <c r="O5203">
        <v>-0.92685870000000004</v>
      </c>
      <c r="P5203">
        <v>-0.36667169999999999</v>
      </c>
      <c r="Q5203">
        <v>2.1453079999999999E-2</v>
      </c>
      <c r="R5203">
        <v>-0.93010340000000002</v>
      </c>
      <c r="S5203">
        <v>-0.54943850000000005</v>
      </c>
      <c r="T5203">
        <v>-0.18766730000000001</v>
      </c>
      <c r="U5203">
        <v>-3.0193940000000001</v>
      </c>
      <c r="V5203">
        <v>-9.5925609999999994E-3</v>
      </c>
      <c r="W5203">
        <v>3.629918E-2</v>
      </c>
      <c r="X5203">
        <v>0.99929489999999999</v>
      </c>
      <c r="Y5203">
        <v>-0.2034146</v>
      </c>
      <c r="Z5203">
        <v>5.4229899999999998E-2</v>
      </c>
      <c r="AA5203">
        <v>0.97758970000000001</v>
      </c>
      <c r="AB5203">
        <v>25</v>
      </c>
      <c r="AC5203">
        <v>-3.18609999999995</v>
      </c>
      <c r="AD5203">
        <v>-1.116772699302</v>
      </c>
      <c r="AE5203">
        <v>-17.741099999999999</v>
      </c>
      <c r="AF5203">
        <v>-3.68807746461377</v>
      </c>
      <c r="AG5203">
        <v>-1.116772699302</v>
      </c>
      <c r="AH5203">
        <v>17.5731577687976</v>
      </c>
      <c r="AI5203">
        <v>93.558925345652199</v>
      </c>
      <c r="AJ5203">
        <v>101.852641474793</v>
      </c>
      <c r="AK5203">
        <v>17.9906912211273</v>
      </c>
      <c r="AL5203">
        <v>87.919753125408803</v>
      </c>
      <c r="AM5203">
        <v>90.549984173034602</v>
      </c>
      <c r="AN5203">
        <v>0.99999997243061001</v>
      </c>
    </row>
    <row r="5204" spans="1:40" x14ac:dyDescent="0.25">
      <c r="A5204" t="str">
        <f>"20190312154400913"</f>
        <v>20190312154400913</v>
      </c>
      <c r="B5204" t="str">
        <f>"1552376640903149"</f>
        <v>1552376640903149</v>
      </c>
      <c r="C5204" t="s">
        <v>40</v>
      </c>
      <c r="D5204">
        <v>4.7600220000000002</v>
      </c>
      <c r="E5204">
        <v>0.43454359999999997</v>
      </c>
      <c r="F5204" t="s">
        <v>43</v>
      </c>
      <c r="G5204">
        <v>-419.81529999999998</v>
      </c>
      <c r="H5204" s="1">
        <v>-1.5626669999999901E-6</v>
      </c>
      <c r="I5204">
        <v>102.8677</v>
      </c>
      <c r="J5204">
        <v>-416.71800000000002</v>
      </c>
      <c r="K5204">
        <v>1.1164689999999999</v>
      </c>
      <c r="L5204">
        <v>120.6829</v>
      </c>
      <c r="M5204">
        <v>-0.36706260000000002</v>
      </c>
      <c r="N5204">
        <v>0</v>
      </c>
      <c r="O5204">
        <v>-0.93007680000000004</v>
      </c>
      <c r="P5204">
        <v>-0.35920809999999997</v>
      </c>
      <c r="Q5204">
        <v>2.1761389999999999E-2</v>
      </c>
      <c r="R5204">
        <v>-0.93300380000000005</v>
      </c>
      <c r="S5204">
        <v>-0.5317383</v>
      </c>
      <c r="T5204">
        <v>-0.1870232</v>
      </c>
      <c r="U5204">
        <v>-3.0201570000000002</v>
      </c>
      <c r="V5204">
        <v>-8.9091789999999997E-3</v>
      </c>
      <c r="W5204">
        <v>3.6542209999999999E-2</v>
      </c>
      <c r="X5204">
        <v>0.99929239999999997</v>
      </c>
      <c r="Y5204">
        <v>-0.20052120000000001</v>
      </c>
      <c r="Z5204">
        <v>5.436535E-2</v>
      </c>
      <c r="AA5204">
        <v>0.97817980000000004</v>
      </c>
      <c r="AB5204">
        <v>24</v>
      </c>
      <c r="AC5204">
        <v>-3.0972999999999602</v>
      </c>
      <c r="AD5204">
        <v>-1.116470562667</v>
      </c>
      <c r="AE5204">
        <v>-17.815200000000001</v>
      </c>
      <c r="AF5204">
        <v>-3.6450773633933302</v>
      </c>
      <c r="AG5204">
        <v>-1.116470562667</v>
      </c>
      <c r="AH5204">
        <v>17.6411224174166</v>
      </c>
      <c r="AI5204">
        <v>93.5465836327826</v>
      </c>
      <c r="AJ5204">
        <v>101.67438736181499</v>
      </c>
      <c r="AK5204">
        <v>18.0483322123874</v>
      </c>
      <c r="AL5204">
        <v>87.905819352626906</v>
      </c>
      <c r="AM5204">
        <v>90.510806278043304</v>
      </c>
      <c r="AN5204">
        <v>1.0000000036399399</v>
      </c>
    </row>
    <row r="5205" spans="1:40" x14ac:dyDescent="0.25">
      <c r="A5205" t="str">
        <f>"20190312154400937"</f>
        <v>20190312154400937</v>
      </c>
      <c r="B5205" t="str">
        <f>"1552376640932429"</f>
        <v>1552376640932429</v>
      </c>
      <c r="C5205" t="s">
        <v>40</v>
      </c>
      <c r="D5205">
        <v>4.7540040000000001</v>
      </c>
      <c r="E5205">
        <v>0.43740259999999997</v>
      </c>
      <c r="F5205" t="s">
        <v>43</v>
      </c>
      <c r="G5205">
        <v>-419.91989999999998</v>
      </c>
      <c r="H5205" s="1">
        <v>-2.1694240000000002E-6</v>
      </c>
      <c r="I5205">
        <v>104.1906</v>
      </c>
      <c r="J5205">
        <v>-416.8</v>
      </c>
      <c r="K5205">
        <v>1.116188</v>
      </c>
      <c r="L5205">
        <v>120.4472</v>
      </c>
      <c r="M5205">
        <v>-0.35880600000000001</v>
      </c>
      <c r="N5205">
        <v>0</v>
      </c>
      <c r="O5205">
        <v>-0.93329459999999997</v>
      </c>
      <c r="P5205">
        <v>-0.3527921</v>
      </c>
      <c r="Q5205">
        <v>2.2377689999999999E-2</v>
      </c>
      <c r="R5205">
        <v>-0.93543449999999995</v>
      </c>
      <c r="S5205">
        <v>-0.58169559999999998</v>
      </c>
      <c r="T5205">
        <v>-0.2028325</v>
      </c>
      <c r="U5205">
        <v>-2.996216</v>
      </c>
      <c r="V5205">
        <v>-6.8910389999999998E-3</v>
      </c>
      <c r="W5205">
        <v>3.7111169999999999E-2</v>
      </c>
      <c r="X5205">
        <v>0.99928740000000005</v>
      </c>
      <c r="Y5205">
        <v>-0.17473569999999999</v>
      </c>
      <c r="Z5205">
        <v>5.980444E-2</v>
      </c>
      <c r="AA5205">
        <v>0.98279740000000004</v>
      </c>
      <c r="AB5205">
        <v>24</v>
      </c>
      <c r="AC5205">
        <v>-3.1198999999999701</v>
      </c>
      <c r="AD5205">
        <v>-1.116190169424</v>
      </c>
      <c r="AE5205">
        <v>-16.256599999999899</v>
      </c>
      <c r="AF5205">
        <v>-2.90827692796814</v>
      </c>
      <c r="AG5205">
        <v>-1.116190169424</v>
      </c>
      <c r="AH5205">
        <v>16.219675578295</v>
      </c>
      <c r="AI5205">
        <v>93.875111952410094</v>
      </c>
      <c r="AJ5205">
        <v>100.165425556808</v>
      </c>
      <c r="AK5205">
        <v>16.516108229519698</v>
      </c>
      <c r="AL5205">
        <v>87.873198245141396</v>
      </c>
      <c r="AM5205">
        <v>90.395102742989494</v>
      </c>
      <c r="AN5205">
        <v>1.0000000165780101</v>
      </c>
    </row>
    <row r="5206" spans="1:40" x14ac:dyDescent="0.25">
      <c r="A5206" t="str">
        <f>"20190312154400960"</f>
        <v>20190312154400960</v>
      </c>
      <c r="B5206" t="str">
        <f>"1552376640952926"</f>
        <v>1552376640952926</v>
      </c>
      <c r="C5206" t="s">
        <v>40</v>
      </c>
      <c r="D5206">
        <v>4.7550499999999998</v>
      </c>
      <c r="E5206">
        <v>0.43887330000000002</v>
      </c>
      <c r="F5206" t="s">
        <v>43</v>
      </c>
      <c r="G5206">
        <v>-419.95370000000003</v>
      </c>
      <c r="H5206" s="1">
        <v>-2.1762279999999999E-6</v>
      </c>
      <c r="I5206">
        <v>104.2176</v>
      </c>
      <c r="J5206">
        <v>-416.88060000000002</v>
      </c>
      <c r="K5206">
        <v>1.115918</v>
      </c>
      <c r="L5206">
        <v>120.2101</v>
      </c>
      <c r="M5206">
        <v>-0.3509253</v>
      </c>
      <c r="N5206">
        <v>0</v>
      </c>
      <c r="O5206">
        <v>-0.93628739999999999</v>
      </c>
      <c r="P5206">
        <v>-0.34711059999999999</v>
      </c>
      <c r="Q5206">
        <v>2.394951E-2</v>
      </c>
      <c r="R5206">
        <v>-0.93751870000000004</v>
      </c>
      <c r="S5206">
        <v>-0.58154300000000003</v>
      </c>
      <c r="T5206">
        <v>-0.2058208</v>
      </c>
      <c r="U5206">
        <v>-2.992661</v>
      </c>
      <c r="V5206">
        <v>-4.5082739999999996E-3</v>
      </c>
      <c r="W5206">
        <v>3.8639760000000002E-2</v>
      </c>
      <c r="X5206">
        <v>0.99924299999999999</v>
      </c>
      <c r="Y5206">
        <v>-0.166273</v>
      </c>
      <c r="Z5206">
        <v>6.1101839999999998E-2</v>
      </c>
      <c r="AA5206">
        <v>0.98418490000000003</v>
      </c>
      <c r="AB5206">
        <v>24</v>
      </c>
      <c r="AC5206">
        <v>-3.0731000000000099</v>
      </c>
      <c r="AD5206">
        <v>-1.115920176228</v>
      </c>
      <c r="AE5206">
        <v>-15.9924999999999</v>
      </c>
      <c r="AF5206">
        <v>-2.7223822221029699</v>
      </c>
      <c r="AG5206">
        <v>-1.115920176228</v>
      </c>
      <c r="AH5206">
        <v>15.978720593833</v>
      </c>
      <c r="AI5206">
        <v>93.938360447799994</v>
      </c>
      <c r="AJ5206">
        <v>99.668953271596095</v>
      </c>
      <c r="AK5206">
        <v>16.2473430018178</v>
      </c>
      <c r="AL5206">
        <v>87.785553478713297</v>
      </c>
      <c r="AM5206">
        <v>90.258499004226906</v>
      </c>
      <c r="AN5206">
        <v>0.99999996431815696</v>
      </c>
    </row>
    <row r="5207" spans="1:40" x14ac:dyDescent="0.25">
      <c r="A5207" t="str">
        <f>"20190312154400982"</f>
        <v>20190312154400982</v>
      </c>
      <c r="B5207" t="str">
        <f>"1552376640972445"</f>
        <v>1552376640972445</v>
      </c>
      <c r="C5207" t="s">
        <v>40</v>
      </c>
      <c r="D5207">
        <v>4.7521950000000004</v>
      </c>
      <c r="E5207">
        <v>0.43954599999999999</v>
      </c>
      <c r="F5207" t="s">
        <v>43</v>
      </c>
      <c r="G5207">
        <v>-420.05410000000001</v>
      </c>
      <c r="H5207" s="1">
        <v>-1.9452789999999999E-6</v>
      </c>
      <c r="I5207">
        <v>103.6764</v>
      </c>
      <c r="J5207">
        <v>-416.95249999999999</v>
      </c>
      <c r="K5207">
        <v>1.115658</v>
      </c>
      <c r="L5207">
        <v>119.99420000000001</v>
      </c>
      <c r="M5207">
        <v>-0.34412239999999999</v>
      </c>
      <c r="N5207">
        <v>0</v>
      </c>
      <c r="O5207">
        <v>-0.93881029999999999</v>
      </c>
      <c r="P5207">
        <v>-0.34260420000000003</v>
      </c>
      <c r="Q5207">
        <v>2.5625330000000002E-2</v>
      </c>
      <c r="R5207">
        <v>-0.93913049999999998</v>
      </c>
      <c r="S5207">
        <v>-0.57437130000000003</v>
      </c>
      <c r="T5207">
        <v>-0.2019688</v>
      </c>
      <c r="U5207">
        <v>-2.992416</v>
      </c>
      <c r="V5207">
        <v>-2.0347429999999999E-3</v>
      </c>
      <c r="W5207">
        <v>4.0277859999999999E-2</v>
      </c>
      <c r="X5207">
        <v>0.99918649999999998</v>
      </c>
      <c r="Y5207">
        <v>-0.16136320000000001</v>
      </c>
      <c r="Z5207">
        <v>6.0255749999999997E-2</v>
      </c>
      <c r="AA5207">
        <v>0.98505390000000004</v>
      </c>
      <c r="AB5207">
        <v>24</v>
      </c>
      <c r="AC5207">
        <v>-3.1016000000000101</v>
      </c>
      <c r="AD5207">
        <v>-1.1156599452789999</v>
      </c>
      <c r="AE5207">
        <v>-16.317799999999998</v>
      </c>
      <c r="AF5207">
        <v>-2.6916535772156198</v>
      </c>
      <c r="AG5207">
        <v>-1.1156599452789999</v>
      </c>
      <c r="AH5207">
        <v>16.3148053008955</v>
      </c>
      <c r="AI5207">
        <v>93.859964402400294</v>
      </c>
      <c r="AJ5207">
        <v>99.368396040281397</v>
      </c>
      <c r="AK5207">
        <v>16.57294687433</v>
      </c>
      <c r="AL5207">
        <v>87.691624303071904</v>
      </c>
      <c r="AM5207">
        <v>90.116676941833902</v>
      </c>
      <c r="AN5207">
        <v>1.0000000539837499</v>
      </c>
    </row>
    <row r="5208" spans="1:40" x14ac:dyDescent="0.25">
      <c r="A5208" t="str">
        <f>"20190312154401003"</f>
        <v>20190312154401003</v>
      </c>
      <c r="B5208" t="str">
        <f>"1552376640992942"</f>
        <v>1552376640992942</v>
      </c>
      <c r="C5208" t="s">
        <v>40</v>
      </c>
      <c r="D5208">
        <v>4.7639769999999997</v>
      </c>
      <c r="E5208">
        <v>0.44823099999999999</v>
      </c>
      <c r="F5208" t="s">
        <v>43</v>
      </c>
      <c r="G5208">
        <v>-420.17129999999997</v>
      </c>
      <c r="H5208" s="1">
        <v>-1.6341289999999999E-6</v>
      </c>
      <c r="I5208">
        <v>102.9522</v>
      </c>
      <c r="J5208">
        <v>-417.02629999999999</v>
      </c>
      <c r="K5208">
        <v>1.115356</v>
      </c>
      <c r="L5208">
        <v>119.76819999999999</v>
      </c>
      <c r="M5208">
        <v>-0.33738170000000001</v>
      </c>
      <c r="N5208">
        <v>0</v>
      </c>
      <c r="O5208">
        <v>-0.9412547</v>
      </c>
      <c r="P5208">
        <v>-0.3378623</v>
      </c>
      <c r="Q5208">
        <v>2.6065519999999998E-2</v>
      </c>
      <c r="R5208">
        <v>-0.94083499999999998</v>
      </c>
      <c r="S5208">
        <v>-0.56539919999999899</v>
      </c>
      <c r="T5208">
        <v>-0.1959699</v>
      </c>
      <c r="U5208">
        <v>-2.9935</v>
      </c>
      <c r="V5208">
        <v>1.208152E-4</v>
      </c>
      <c r="W5208">
        <v>4.0671400000000003E-2</v>
      </c>
      <c r="X5208">
        <v>0.99917259999999997</v>
      </c>
      <c r="Y5208">
        <v>-0.15718119999999999</v>
      </c>
      <c r="Z5208">
        <v>5.8722910000000003E-2</v>
      </c>
      <c r="AA5208">
        <v>0.98582230000000004</v>
      </c>
      <c r="AB5208">
        <v>24</v>
      </c>
      <c r="AC5208">
        <v>-3.14499999999998</v>
      </c>
      <c r="AD5208">
        <v>-1.1153576341289999</v>
      </c>
      <c r="AE5208">
        <v>-16.815999999999899</v>
      </c>
      <c r="AF5208">
        <v>-2.70196884722733</v>
      </c>
      <c r="AG5208">
        <v>-1.1153576341289999</v>
      </c>
      <c r="AH5208">
        <v>16.8195117109919</v>
      </c>
      <c r="AI5208">
        <v>93.746029363642293</v>
      </c>
      <c r="AJ5208">
        <v>99.126301263530905</v>
      </c>
      <c r="AK5208">
        <v>17.071632391180199</v>
      </c>
      <c r="AL5208">
        <v>87.669057577542404</v>
      </c>
      <c r="AM5208">
        <v>89.993072066800707</v>
      </c>
      <c r="AN5208">
        <v>1.0000000309825099</v>
      </c>
    </row>
    <row r="5209" spans="1:40" x14ac:dyDescent="0.25">
      <c r="A5209" t="str">
        <f>"20190312154401026"</f>
        <v>20190312154401026</v>
      </c>
      <c r="B5209" t="str">
        <f>"1552376641012462"</f>
        <v>1552376641012462</v>
      </c>
      <c r="C5209" t="s">
        <v>40</v>
      </c>
      <c r="D5209">
        <v>4.8223750000000001</v>
      </c>
      <c r="E5209">
        <v>0.44942500000000002</v>
      </c>
      <c r="F5209" t="s">
        <v>43</v>
      </c>
      <c r="G5209">
        <v>-420.6936</v>
      </c>
      <c r="H5209" s="1">
        <v>-1.3472659999999999E-6</v>
      </c>
      <c r="I5209">
        <v>102.0513</v>
      </c>
      <c r="J5209">
        <v>-417.09910000000002</v>
      </c>
      <c r="K5209">
        <v>1.11503</v>
      </c>
      <c r="L5209">
        <v>119.54179999999999</v>
      </c>
      <c r="M5209">
        <v>-0.33103250000000001</v>
      </c>
      <c r="N5209">
        <v>0</v>
      </c>
      <c r="O5209">
        <v>-0.94350730000000005</v>
      </c>
      <c r="P5209">
        <v>-0.33286500000000002</v>
      </c>
      <c r="Q5209">
        <v>2.6949879999999999E-2</v>
      </c>
      <c r="R5209">
        <v>-0.94258929999999996</v>
      </c>
      <c r="S5209">
        <v>-0.61535640000000003</v>
      </c>
      <c r="T5209">
        <v>-0.18715470000000001</v>
      </c>
      <c r="U5209">
        <v>-2.972855</v>
      </c>
      <c r="V5209">
        <v>1.5837360000000001E-3</v>
      </c>
      <c r="W5209">
        <v>4.1500870000000002E-2</v>
      </c>
      <c r="X5209">
        <v>0.99913719999999995</v>
      </c>
      <c r="Y5209">
        <v>-0.13327349999999999</v>
      </c>
      <c r="Z5209">
        <v>5.6702290000000002E-2</v>
      </c>
      <c r="AA5209">
        <v>0.98945590000000005</v>
      </c>
      <c r="AB5209">
        <v>24</v>
      </c>
      <c r="AC5209">
        <v>-3.59449999999998</v>
      </c>
      <c r="AD5209">
        <v>-1.1150313472660001</v>
      </c>
      <c r="AE5209">
        <v>-17.490499999999901</v>
      </c>
      <c r="AF5209">
        <v>-2.3894231312846101</v>
      </c>
      <c r="AG5209">
        <v>-1.1150313472660001</v>
      </c>
      <c r="AH5209">
        <v>17.6254519674536</v>
      </c>
      <c r="AI5209">
        <v>93.587128443673393</v>
      </c>
      <c r="AJ5209">
        <v>97.720329804155995</v>
      </c>
      <c r="AK5209">
        <v>17.821593499536402</v>
      </c>
      <c r="AL5209">
        <v>87.621492180015196</v>
      </c>
      <c r="AM5209">
        <v>89.909180328121593</v>
      </c>
      <c r="AN5209">
        <v>0.99999998742715701</v>
      </c>
    </row>
    <row r="5210" spans="1:40" x14ac:dyDescent="0.25">
      <c r="A5210" t="str">
        <f>"20190312154401049"</f>
        <v>20190312154401049</v>
      </c>
      <c r="B5210" t="str">
        <f>"1552376641042718"</f>
        <v>1552376641042718</v>
      </c>
      <c r="C5210" t="s">
        <v>40</v>
      </c>
      <c r="D5210">
        <v>4.7853250000000003</v>
      </c>
      <c r="E5210">
        <v>0.45099600000000001</v>
      </c>
      <c r="F5210" t="s">
        <v>43</v>
      </c>
      <c r="G5210">
        <v>-420.66789999999997</v>
      </c>
      <c r="H5210" s="1">
        <v>-1.3658370000000001E-6</v>
      </c>
      <c r="I5210">
        <v>102.10509999999999</v>
      </c>
      <c r="J5210">
        <v>-417.17419999999998</v>
      </c>
      <c r="K5210">
        <v>1.114676</v>
      </c>
      <c r="L5210">
        <v>119.3045</v>
      </c>
      <c r="M5210">
        <v>-0.32483719999999999</v>
      </c>
      <c r="N5210">
        <v>0</v>
      </c>
      <c r="O5210">
        <v>-0.94565940000000004</v>
      </c>
      <c r="P5210">
        <v>-0.3273199</v>
      </c>
      <c r="Q5210">
        <v>2.788558E-2</v>
      </c>
      <c r="R5210">
        <v>-0.94450239999999996</v>
      </c>
      <c r="S5210">
        <v>-0.60855099999999995</v>
      </c>
      <c r="T5210">
        <v>-0.19013169999999999</v>
      </c>
      <c r="U5210">
        <v>-2.9732669999999999</v>
      </c>
      <c r="V5210">
        <v>2.3024909999999998E-3</v>
      </c>
      <c r="W5210">
        <v>4.2371760000000001E-2</v>
      </c>
      <c r="X5210">
        <v>0.99909930000000002</v>
      </c>
      <c r="Y5210">
        <v>-0.12898419999999999</v>
      </c>
      <c r="Z5210">
        <v>5.7823619999999999E-2</v>
      </c>
      <c r="AA5210">
        <v>0.98995940000000004</v>
      </c>
      <c r="AB5210">
        <v>24</v>
      </c>
      <c r="AC5210">
        <v>-3.4936999999999898</v>
      </c>
      <c r="AD5210">
        <v>-1.1146773658369999</v>
      </c>
      <c r="AE5210">
        <v>-17.199400000000001</v>
      </c>
      <c r="AF5210">
        <v>-2.2742197276704599</v>
      </c>
      <c r="AG5210">
        <v>-1.1146773658369999</v>
      </c>
      <c r="AH5210">
        <v>17.3315656803486</v>
      </c>
      <c r="AI5210">
        <v>93.648709681606903</v>
      </c>
      <c r="AJ5210">
        <v>97.475548495334095</v>
      </c>
      <c r="AK5210">
        <v>17.515643006520602</v>
      </c>
      <c r="AL5210">
        <v>87.571550047717807</v>
      </c>
      <c r="AM5210">
        <v>89.867958286910294</v>
      </c>
      <c r="AN5210">
        <v>1.0000000393853901</v>
      </c>
    </row>
    <row r="5211" spans="1:40" x14ac:dyDescent="0.25">
      <c r="A5211" t="str">
        <f>"20190312154401071"</f>
        <v>20190312154401071</v>
      </c>
      <c r="B5211" t="str">
        <f>"1552376641063214"</f>
        <v>1552376641063214</v>
      </c>
      <c r="C5211" t="s">
        <v>40</v>
      </c>
      <c r="D5211">
        <v>4.9137329999999997</v>
      </c>
      <c r="E5211">
        <v>0.45204749999999999</v>
      </c>
      <c r="F5211" t="s">
        <v>43</v>
      </c>
      <c r="G5211">
        <v>-420.61309999999997</v>
      </c>
      <c r="H5211" s="1">
        <v>-1.4670519999999901E-6</v>
      </c>
      <c r="I5211">
        <v>102.3501</v>
      </c>
      <c r="J5211">
        <v>-417.24290000000002</v>
      </c>
      <c r="K5211">
        <v>1.1143559999999999</v>
      </c>
      <c r="L5211">
        <v>119.084</v>
      </c>
      <c r="M5211">
        <v>-0.31953300000000001</v>
      </c>
      <c r="N5211">
        <v>0</v>
      </c>
      <c r="O5211">
        <v>-0.94746569999999997</v>
      </c>
      <c r="P5211">
        <v>-0.32217959999999901</v>
      </c>
      <c r="Q5211">
        <v>2.8226999999999999E-2</v>
      </c>
      <c r="R5211">
        <v>-0.94625789999999999</v>
      </c>
      <c r="S5211">
        <v>-0.60302730000000004</v>
      </c>
      <c r="T5211">
        <v>-0.1954639</v>
      </c>
      <c r="U5211">
        <v>-2.9730379999999998</v>
      </c>
      <c r="V5211">
        <v>2.5040129999999998E-3</v>
      </c>
      <c r="W5211">
        <v>4.2650929999999997E-2</v>
      </c>
      <c r="X5211">
        <v>0.9990869</v>
      </c>
      <c r="Y5211">
        <v>-0.1251987</v>
      </c>
      <c r="Z5211">
        <v>5.9642290000000001E-2</v>
      </c>
      <c r="AA5211">
        <v>0.99033740000000003</v>
      </c>
      <c r="AB5211">
        <v>24</v>
      </c>
      <c r="AC5211">
        <v>-3.3701999999999499</v>
      </c>
      <c r="AD5211">
        <v>-1.114357467052</v>
      </c>
      <c r="AE5211">
        <v>-16.733899999999998</v>
      </c>
      <c r="AF5211">
        <v>-2.1449664818174901</v>
      </c>
      <c r="AG5211">
        <v>-1.114357467052</v>
      </c>
      <c r="AH5211">
        <v>16.861582896120701</v>
      </c>
      <c r="AI5211">
        <v>93.750955471469297</v>
      </c>
      <c r="AJ5211">
        <v>97.249672985720096</v>
      </c>
      <c r="AK5211">
        <v>17.033955839300699</v>
      </c>
      <c r="AL5211">
        <v>87.555540223066302</v>
      </c>
      <c r="AM5211">
        <v>89.856399802315593</v>
      </c>
      <c r="AN5211">
        <v>1.0000000028312801</v>
      </c>
    </row>
    <row r="5212" spans="1:40" x14ac:dyDescent="0.25">
      <c r="A5212" t="str">
        <f>"20190312154401093"</f>
        <v>20190312154401093</v>
      </c>
      <c r="B5212" t="str">
        <f>"1552376641082734"</f>
        <v>1552376641082734</v>
      </c>
      <c r="C5212" t="s">
        <v>40</v>
      </c>
      <c r="D5212">
        <v>4.7944279999999999</v>
      </c>
      <c r="E5212">
        <v>0.45267020000000002</v>
      </c>
      <c r="F5212" t="s">
        <v>43</v>
      </c>
      <c r="G5212">
        <v>-420.61930000000001</v>
      </c>
      <c r="H5212" s="1">
        <v>-1.394877E-6</v>
      </c>
      <c r="I5212">
        <v>102.1938</v>
      </c>
      <c r="J5212">
        <v>-417.3143</v>
      </c>
      <c r="K5212">
        <v>1.1140669999999999</v>
      </c>
      <c r="L5212">
        <v>118.85169999999999</v>
      </c>
      <c r="M5212">
        <v>-0.31432490000000002</v>
      </c>
      <c r="N5212">
        <v>0</v>
      </c>
      <c r="O5212">
        <v>-0.94920709999999997</v>
      </c>
      <c r="P5212">
        <v>-0.31756119999999999</v>
      </c>
      <c r="Q5212">
        <v>2.9128129999999999E-2</v>
      </c>
      <c r="R5212">
        <v>-0.94779029999999997</v>
      </c>
      <c r="S5212">
        <v>-0.59448239999999997</v>
      </c>
      <c r="T5212">
        <v>-0.19620290000000001</v>
      </c>
      <c r="U5212">
        <v>-2.9738159999999998</v>
      </c>
      <c r="V5212">
        <v>3.1519540000000002E-3</v>
      </c>
      <c r="W5212">
        <v>4.3495579999999999E-2</v>
      </c>
      <c r="X5212">
        <v>0.99904870000000001</v>
      </c>
      <c r="Y5212">
        <v>-0.1225388</v>
      </c>
      <c r="Z5212">
        <v>6.0045719999999997E-2</v>
      </c>
      <c r="AA5212">
        <v>0.99064560000000002</v>
      </c>
      <c r="AB5212">
        <v>24</v>
      </c>
      <c r="AC5212">
        <v>-3.3050000000000002</v>
      </c>
      <c r="AD5212">
        <v>-1.1140683948769901</v>
      </c>
      <c r="AE5212">
        <v>-16.657899999999898</v>
      </c>
      <c r="AF5212">
        <v>-2.0900846810429599</v>
      </c>
      <c r="AG5212">
        <v>-1.1140683948769901</v>
      </c>
      <c r="AH5212">
        <v>16.780162061776199</v>
      </c>
      <c r="AI5212">
        <v>93.769364253675604</v>
      </c>
      <c r="AJ5212">
        <v>97.100016843652199</v>
      </c>
      <c r="AK5212">
        <v>16.946487576541301</v>
      </c>
      <c r="AL5212">
        <v>87.507100509611405</v>
      </c>
      <c r="AM5212">
        <v>89.819234976003997</v>
      </c>
      <c r="AN5212">
        <v>1.00000005263262</v>
      </c>
    </row>
    <row r="5213" spans="1:40" x14ac:dyDescent="0.25">
      <c r="A5213" t="str">
        <f>"20190312154401115"</f>
        <v>20190312154401115</v>
      </c>
      <c r="B5213" t="str">
        <f>"1552376641103230"</f>
        <v>1552376641103230</v>
      </c>
      <c r="C5213" t="s">
        <v>40</v>
      </c>
      <c r="D5213">
        <v>4.814438</v>
      </c>
      <c r="E5213">
        <v>0.45342130000000003</v>
      </c>
      <c r="F5213" t="s">
        <v>43</v>
      </c>
      <c r="G5213">
        <v>-420.59699999999998</v>
      </c>
      <c r="H5213" s="1">
        <v>-1.3660229999999999E-6</v>
      </c>
      <c r="I5213">
        <v>102.1454</v>
      </c>
      <c r="J5213">
        <v>-417.38249999999999</v>
      </c>
      <c r="K5213">
        <v>1.1138209999999999</v>
      </c>
      <c r="L5213">
        <v>118.6271</v>
      </c>
      <c r="M5213">
        <v>-0.3096506</v>
      </c>
      <c r="N5213">
        <v>0</v>
      </c>
      <c r="O5213">
        <v>-0.95074320000000001</v>
      </c>
      <c r="P5213">
        <v>-0.31283709999999998</v>
      </c>
      <c r="Q5213">
        <v>2.9386880000000001E-2</v>
      </c>
      <c r="R5213">
        <v>-0.94935259999999999</v>
      </c>
      <c r="S5213">
        <v>-0.58465579999999995</v>
      </c>
      <c r="T5213">
        <v>-0.1984216</v>
      </c>
      <c r="U5213">
        <v>-2.975479</v>
      </c>
      <c r="V5213">
        <v>3.1196919999999999E-3</v>
      </c>
      <c r="W5213">
        <v>4.3698050000000002E-2</v>
      </c>
      <c r="X5213">
        <v>0.99903989999999998</v>
      </c>
      <c r="Y5213">
        <v>-0.1209187</v>
      </c>
      <c r="Z5213">
        <v>6.0862970000000002E-2</v>
      </c>
      <c r="AA5213">
        <v>0.99079479999999998</v>
      </c>
      <c r="AB5213">
        <v>24</v>
      </c>
      <c r="AC5213">
        <v>-3.2144999999999802</v>
      </c>
      <c r="AD5213">
        <v>-1.113822366023</v>
      </c>
      <c r="AE5213">
        <v>-16.4817</v>
      </c>
      <c r="AF5213">
        <v>-2.0386437729305902</v>
      </c>
      <c r="AG5213">
        <v>-1.113822366023</v>
      </c>
      <c r="AH5213">
        <v>16.593928261029799</v>
      </c>
      <c r="AI5213">
        <v>93.811492628393495</v>
      </c>
      <c r="AJ5213">
        <v>97.003964718890899</v>
      </c>
      <c r="AK5213">
        <v>16.755748978430301</v>
      </c>
      <c r="AL5213">
        <v>87.495488628707093</v>
      </c>
      <c r="AM5213">
        <v>89.821083618390801</v>
      </c>
      <c r="AN5213">
        <v>0.99999998692199299</v>
      </c>
    </row>
    <row r="5214" spans="1:40" x14ac:dyDescent="0.25">
      <c r="A5214" t="str">
        <f>"20190312154401139"</f>
        <v>20190312154401139</v>
      </c>
      <c r="B5214" t="str">
        <f>"1552376641132510"</f>
        <v>1552376641132510</v>
      </c>
      <c r="C5214" t="s">
        <v>40</v>
      </c>
      <c r="D5214">
        <v>4.7940060000000004</v>
      </c>
      <c r="E5214">
        <v>0.46097359999999998</v>
      </c>
      <c r="F5214" t="s">
        <v>43</v>
      </c>
      <c r="G5214">
        <v>-420.54649999999998</v>
      </c>
      <c r="H5214" s="1">
        <v>-1.404314E-6</v>
      </c>
      <c r="I5214">
        <v>102.2548</v>
      </c>
      <c r="J5214">
        <v>-417.4545</v>
      </c>
      <c r="K5214">
        <v>1.1135699999999999</v>
      </c>
      <c r="L5214">
        <v>118.3875</v>
      </c>
      <c r="M5214">
        <v>-0.30507440000000002</v>
      </c>
      <c r="N5214">
        <v>0</v>
      </c>
      <c r="O5214">
        <v>-0.95222200000000001</v>
      </c>
      <c r="P5214">
        <v>-0.30841929999999901</v>
      </c>
      <c r="Q5214">
        <v>2.9376030000000001E-2</v>
      </c>
      <c r="R5214">
        <v>-0.950797</v>
      </c>
      <c r="S5214">
        <v>-0.57525630000000005</v>
      </c>
      <c r="T5214">
        <v>-0.2025111</v>
      </c>
      <c r="U5214">
        <v>-2.9767459999999999</v>
      </c>
      <c r="V5214">
        <v>3.3067190000000001E-3</v>
      </c>
      <c r="W5214">
        <v>4.363326E-2</v>
      </c>
      <c r="X5214">
        <v>0.99904219999999999</v>
      </c>
      <c r="Y5214">
        <v>-0.119254399999999</v>
      </c>
      <c r="Z5214">
        <v>6.2257380000000001E-2</v>
      </c>
      <c r="AA5214">
        <v>0.99090990000000001</v>
      </c>
      <c r="AB5214">
        <v>24</v>
      </c>
      <c r="AC5214">
        <v>-3.0919999999999801</v>
      </c>
      <c r="AD5214">
        <v>-1.1135714043139999</v>
      </c>
      <c r="AE5214">
        <v>-16.1327</v>
      </c>
      <c r="AF5214">
        <v>-1.9685569978350701</v>
      </c>
      <c r="AG5214">
        <v>-1.1135714043139999</v>
      </c>
      <c r="AH5214">
        <v>16.232256978732401</v>
      </c>
      <c r="AI5214">
        <v>93.896020906495096</v>
      </c>
      <c r="AJ5214">
        <v>96.914742943902198</v>
      </c>
      <c r="AK5214">
        <v>16.389064175536099</v>
      </c>
      <c r="AL5214">
        <v>87.499204540678207</v>
      </c>
      <c r="AM5214">
        <v>89.810358010033397</v>
      </c>
      <c r="AN5214">
        <v>1.0000000565748</v>
      </c>
    </row>
    <row r="5215" spans="1:40" x14ac:dyDescent="0.25">
      <c r="A5215" t="str">
        <f>"20190312154401161"</f>
        <v>20190312154401161</v>
      </c>
      <c r="B5215" t="str">
        <f>"1552376641153006"</f>
        <v>1552376641153006</v>
      </c>
      <c r="C5215" t="s">
        <v>40</v>
      </c>
      <c r="D5215">
        <v>4.8020779999999998</v>
      </c>
      <c r="E5215">
        <v>0.46053729999999998</v>
      </c>
      <c r="F5215" t="s">
        <v>43</v>
      </c>
      <c r="G5215">
        <v>-420.11160000000001</v>
      </c>
      <c r="H5215" s="1">
        <v>-2.8795370000000001E-6</v>
      </c>
      <c r="I5215">
        <v>105.6204</v>
      </c>
      <c r="J5215">
        <v>-417.52339999999998</v>
      </c>
      <c r="K5215">
        <v>1.113316</v>
      </c>
      <c r="L5215">
        <v>118.1554</v>
      </c>
      <c r="M5215">
        <v>-0.3010352</v>
      </c>
      <c r="N5215">
        <v>0</v>
      </c>
      <c r="O5215">
        <v>-0.95350749999999995</v>
      </c>
      <c r="P5215">
        <v>-0.30480159999999901</v>
      </c>
      <c r="Q5215">
        <v>2.8860690000000001E-2</v>
      </c>
      <c r="R5215">
        <v>-0.95197880000000001</v>
      </c>
      <c r="S5215">
        <v>-0.616699199999999</v>
      </c>
      <c r="T5215">
        <v>-0.25845560000000001</v>
      </c>
      <c r="U5215">
        <v>-2.9631810000000001</v>
      </c>
      <c r="V5215">
        <v>3.7692509999999999E-3</v>
      </c>
      <c r="W5215">
        <v>4.3069690000000001E-2</v>
      </c>
      <c r="X5215">
        <v>0.99906499999999998</v>
      </c>
      <c r="Y5215">
        <v>-0.101128</v>
      </c>
      <c r="Z5215">
        <v>7.9847989999999994E-2</v>
      </c>
      <c r="AA5215">
        <v>0.99166399999999999</v>
      </c>
      <c r="AB5215">
        <v>24</v>
      </c>
      <c r="AC5215">
        <v>-2.58820000000002</v>
      </c>
      <c r="AD5215">
        <v>-1.1133188795369999</v>
      </c>
      <c r="AE5215">
        <v>-12.534999999999901</v>
      </c>
      <c r="AF5215">
        <v>-1.2959346459608501</v>
      </c>
      <c r="AG5215">
        <v>-1.1133188795369999</v>
      </c>
      <c r="AH5215">
        <v>12.6370270178534</v>
      </c>
      <c r="AI5215">
        <v>95.008611383146402</v>
      </c>
      <c r="AJ5215">
        <v>95.855247742490207</v>
      </c>
      <c r="AK5215">
        <v>12.751995035447999</v>
      </c>
      <c r="AL5215">
        <v>87.531525065514202</v>
      </c>
      <c r="AM5215">
        <v>89.783836737773896</v>
      </c>
      <c r="AN5215">
        <v>1.0000000398373901</v>
      </c>
    </row>
    <row r="5216" spans="1:40" x14ac:dyDescent="0.25">
      <c r="A5216" t="str">
        <f>"20190312154401183"</f>
        <v>20190312154401183</v>
      </c>
      <c r="B5216" t="str">
        <f>"1552376641172526"</f>
        <v>1552376641172526</v>
      </c>
      <c r="C5216" t="s">
        <v>40</v>
      </c>
      <c r="D5216">
        <v>4.7470089999999896</v>
      </c>
      <c r="E5216">
        <v>0.4460673</v>
      </c>
      <c r="F5216" t="s">
        <v>43</v>
      </c>
      <c r="G5216">
        <v>-419.9853</v>
      </c>
      <c r="H5216" s="1">
        <v>-3.0272439999999999E-6</v>
      </c>
      <c r="I5216">
        <v>106.004</v>
      </c>
      <c r="J5216">
        <v>-417.58819999999997</v>
      </c>
      <c r="K5216">
        <v>1.113062</v>
      </c>
      <c r="L5216">
        <v>117.9355</v>
      </c>
      <c r="M5216">
        <v>-0.29755540000000003</v>
      </c>
      <c r="N5216">
        <v>0</v>
      </c>
      <c r="O5216">
        <v>-0.95459970000000005</v>
      </c>
      <c r="P5216">
        <v>-0.30203410000000003</v>
      </c>
      <c r="Q5216">
        <v>2.940243E-2</v>
      </c>
      <c r="R5216">
        <v>-0.95284349999999995</v>
      </c>
      <c r="S5216">
        <v>-0.60113530000000004</v>
      </c>
      <c r="T5216">
        <v>-0.27184700000000001</v>
      </c>
      <c r="U5216">
        <v>-2.9671020000000001</v>
      </c>
      <c r="V5216">
        <v>4.540278E-3</v>
      </c>
      <c r="W5216">
        <v>4.3568950000000002E-2</v>
      </c>
      <c r="X5216">
        <v>0.99904009999999999</v>
      </c>
      <c r="Y5216">
        <v>-0.1028221</v>
      </c>
      <c r="Z5216">
        <v>8.4024879999999996E-2</v>
      </c>
      <c r="AA5216">
        <v>0.99114449999999998</v>
      </c>
      <c r="AB5216">
        <v>24</v>
      </c>
      <c r="AC5216">
        <v>-2.39710000000002</v>
      </c>
      <c r="AD5216">
        <v>-1.1130650272439999</v>
      </c>
      <c r="AE5216">
        <v>-11.9315</v>
      </c>
      <c r="AF5216">
        <v>-1.2516674556599601</v>
      </c>
      <c r="AG5216">
        <v>-1.1130650272439999</v>
      </c>
      <c r="AH5216">
        <v>12.003875587123099</v>
      </c>
      <c r="AI5216">
        <v>95.269224175585293</v>
      </c>
      <c r="AJ5216">
        <v>95.952830247606798</v>
      </c>
      <c r="AK5216">
        <v>12.1201738554181</v>
      </c>
      <c r="AL5216">
        <v>87.50289258427</v>
      </c>
      <c r="AM5216">
        <v>89.739613078303094</v>
      </c>
      <c r="AN5216">
        <v>0.99999999446821397</v>
      </c>
    </row>
    <row r="5217" spans="1:40" x14ac:dyDescent="0.25">
      <c r="A5217" t="str">
        <f>"20190312154401205"</f>
        <v>20190312154401205</v>
      </c>
      <c r="B5217" t="str">
        <f>"1552376641193021"</f>
        <v>1552376641193021</v>
      </c>
      <c r="C5217" t="s">
        <v>40</v>
      </c>
      <c r="D5217">
        <v>4.7320129999999896</v>
      </c>
      <c r="E5217">
        <v>0.44229289999999999</v>
      </c>
      <c r="F5217" t="s">
        <v>43</v>
      </c>
      <c r="G5217">
        <v>-420.40410000000003</v>
      </c>
      <c r="H5217" s="1">
        <v>-5.4808659999999998E-7</v>
      </c>
      <c r="I5217">
        <v>100.5236</v>
      </c>
      <c r="J5217">
        <v>-417.65620000000001</v>
      </c>
      <c r="K5217">
        <v>1.11277</v>
      </c>
      <c r="L5217">
        <v>117.703</v>
      </c>
      <c r="M5217">
        <v>-0.29423169999999998</v>
      </c>
      <c r="N5217">
        <v>0</v>
      </c>
      <c r="O5217">
        <v>-0.95562990000000003</v>
      </c>
      <c r="P5217">
        <v>-0.29925000000000002</v>
      </c>
      <c r="Q5217">
        <v>2.9009679999999999E-2</v>
      </c>
      <c r="R5217">
        <v>-0.95373359999999996</v>
      </c>
      <c r="S5217">
        <v>-0.48526000000000002</v>
      </c>
      <c r="T5217">
        <v>-0.19181419999999999</v>
      </c>
      <c r="U5217">
        <v>-3.0005799999999998</v>
      </c>
      <c r="V5217">
        <v>5.129013E-3</v>
      </c>
      <c r="W5217">
        <v>4.3132579999999997E-2</v>
      </c>
      <c r="X5217">
        <v>0.99905619999999995</v>
      </c>
      <c r="Y5217">
        <v>-0.1381946</v>
      </c>
      <c r="Z5217">
        <v>5.8909309999999999E-2</v>
      </c>
      <c r="AA5217">
        <v>0.98865159999999996</v>
      </c>
      <c r="AB5217">
        <v>24</v>
      </c>
      <c r="AC5217">
        <v>-2.7479000000000098</v>
      </c>
      <c r="AD5217">
        <v>-1.1127705480865999</v>
      </c>
      <c r="AE5217">
        <v>-17.179399999999902</v>
      </c>
      <c r="AF5217">
        <v>-2.4190942251530401</v>
      </c>
      <c r="AG5217">
        <v>-1.1127705480865999</v>
      </c>
      <c r="AH5217">
        <v>17.157194402964301</v>
      </c>
      <c r="AI5217">
        <v>93.674611772263006</v>
      </c>
      <c r="AJ5217">
        <v>98.025567217762202</v>
      </c>
      <c r="AK5217">
        <v>17.3625918267972</v>
      </c>
      <c r="AL5217">
        <v>87.527918304916099</v>
      </c>
      <c r="AM5217">
        <v>89.705854168958098</v>
      </c>
      <c r="AN5217">
        <v>1.0000000084951199</v>
      </c>
    </row>
    <row r="5218" spans="1:40" x14ac:dyDescent="0.25">
      <c r="A5218" t="str">
        <f>"20190312154401228"</f>
        <v>20190312154401228</v>
      </c>
      <c r="B5218" t="str">
        <f>"1552376641223278"</f>
        <v>1552376641223278</v>
      </c>
      <c r="C5218" t="s">
        <v>40</v>
      </c>
      <c r="D5218">
        <v>4.7518580000000004</v>
      </c>
      <c r="E5218">
        <v>0.4415058</v>
      </c>
      <c r="F5218" t="s">
        <v>43</v>
      </c>
      <c r="G5218">
        <v>-420.38499999999999</v>
      </c>
      <c r="H5218" s="1">
        <v>-4.2804179999999998E-6</v>
      </c>
      <c r="I5218">
        <v>99.364320000000006</v>
      </c>
      <c r="J5218">
        <v>-417.72239999999999</v>
      </c>
      <c r="K5218">
        <v>1.1124830000000001</v>
      </c>
      <c r="L5218">
        <v>117.47539999999999</v>
      </c>
      <c r="M5218">
        <v>-0.29133700000000001</v>
      </c>
      <c r="N5218">
        <v>0</v>
      </c>
      <c r="O5218">
        <v>-0.95651730000000001</v>
      </c>
      <c r="P5218">
        <v>-0.2972438</v>
      </c>
      <c r="Q5218">
        <v>2.7673489999999999E-2</v>
      </c>
      <c r="R5218">
        <v>-0.9544011</v>
      </c>
      <c r="S5218">
        <v>-0.44796750000000002</v>
      </c>
      <c r="T5218">
        <v>-0.18267710000000001</v>
      </c>
      <c r="U5218">
        <v>-3.0105439999999999</v>
      </c>
      <c r="V5218">
        <v>6.0776809999999997E-3</v>
      </c>
      <c r="W5218">
        <v>4.1759570000000003E-2</v>
      </c>
      <c r="X5218">
        <v>0.99910920000000003</v>
      </c>
      <c r="Y5218">
        <v>-0.1476382</v>
      </c>
      <c r="Z5218">
        <v>5.6018709999999999E-2</v>
      </c>
      <c r="AA5218">
        <v>0.98745380000000005</v>
      </c>
      <c r="AB5218">
        <v>24</v>
      </c>
      <c r="AC5218">
        <v>-2.6625999999999901</v>
      </c>
      <c r="AD5218">
        <v>-1.1124872804179999</v>
      </c>
      <c r="AE5218">
        <v>-18.111079999999902</v>
      </c>
      <c r="AF5218">
        <v>-2.7198290624527202</v>
      </c>
      <c r="AG5218">
        <v>-1.1124872804179999</v>
      </c>
      <c r="AH5218">
        <v>18.034455275495102</v>
      </c>
      <c r="AI5218">
        <v>93.490545649963593</v>
      </c>
      <c r="AJ5218">
        <v>98.576312761259203</v>
      </c>
      <c r="AK5218">
        <v>18.272292553532701</v>
      </c>
      <c r="AL5218">
        <v>87.606656922951899</v>
      </c>
      <c r="AM5218">
        <v>89.651468352643406</v>
      </c>
      <c r="AN5218">
        <v>0.99999999670878104</v>
      </c>
    </row>
    <row r="5219" spans="1:40" x14ac:dyDescent="0.25">
      <c r="A5219" t="str">
        <f>"20190312154401250"</f>
        <v>20190312154401250</v>
      </c>
      <c r="B5219" t="str">
        <f>"1552376641242876"</f>
        <v>1552376641242876</v>
      </c>
      <c r="C5219" t="s">
        <v>40</v>
      </c>
      <c r="D5219">
        <v>4.7789760000000001</v>
      </c>
      <c r="E5219">
        <v>0.4418512</v>
      </c>
      <c r="F5219" t="s">
        <v>43</v>
      </c>
      <c r="G5219">
        <v>-420.45310000000001</v>
      </c>
      <c r="H5219" s="1">
        <v>-3.9968800000000001E-6</v>
      </c>
      <c r="I5219">
        <v>98.62491</v>
      </c>
      <c r="J5219">
        <v>-417.78879999999998</v>
      </c>
      <c r="K5219">
        <v>1.112217</v>
      </c>
      <c r="L5219">
        <v>117.2462</v>
      </c>
      <c r="M5219">
        <v>-0.2888</v>
      </c>
      <c r="N5219">
        <v>0</v>
      </c>
      <c r="O5219">
        <v>-0.95728679999999999</v>
      </c>
      <c r="P5219">
        <v>-0.29546830000000002</v>
      </c>
      <c r="Q5219">
        <v>2.5770060000000001E-2</v>
      </c>
      <c r="R5219">
        <v>-0.95500529999999995</v>
      </c>
      <c r="S5219">
        <v>-0.43640139999999999</v>
      </c>
      <c r="T5219">
        <v>-0.1777908</v>
      </c>
      <c r="U5219">
        <v>-3.0125730000000002</v>
      </c>
      <c r="V5219">
        <v>6.8876270000000003E-3</v>
      </c>
      <c r="W5219">
        <v>3.9820929999999997E-2</v>
      </c>
      <c r="X5219">
        <v>0.99918309999999999</v>
      </c>
      <c r="Y5219">
        <v>-0.14881150000000001</v>
      </c>
      <c r="Z5219">
        <v>5.4565139999999998E-2</v>
      </c>
      <c r="AA5219">
        <v>0.98735899999999999</v>
      </c>
      <c r="AB5219">
        <v>24</v>
      </c>
      <c r="AC5219">
        <v>-2.6643000000000199</v>
      </c>
      <c r="AD5219">
        <v>-1.1122209968799901</v>
      </c>
      <c r="AE5219">
        <v>-18.621289999999998</v>
      </c>
      <c r="AF5219">
        <v>-2.8177565576457702</v>
      </c>
      <c r="AG5219">
        <v>-1.1122209968799901</v>
      </c>
      <c r="AH5219">
        <v>18.5324047596614</v>
      </c>
      <c r="AI5219">
        <v>93.395551365109498</v>
      </c>
      <c r="AJ5219">
        <v>98.645313813319902</v>
      </c>
      <c r="AK5219">
        <v>18.778360251629501</v>
      </c>
      <c r="AL5219">
        <v>87.717825375397595</v>
      </c>
      <c r="AM5219">
        <v>89.605051659138297</v>
      </c>
      <c r="AN5219">
        <v>1.00000000659868</v>
      </c>
    </row>
    <row r="5220" spans="1:40" x14ac:dyDescent="0.25">
      <c r="A5220" t="str">
        <f>"20190312154401272"</f>
        <v>20190312154401272</v>
      </c>
      <c r="B5220" t="str">
        <f>"1552376641263370"</f>
        <v>1552376641263370</v>
      </c>
      <c r="C5220" t="s">
        <v>40</v>
      </c>
      <c r="D5220">
        <v>4.7924329999999999</v>
      </c>
      <c r="E5220">
        <v>0.4423492</v>
      </c>
      <c r="F5220" t="s">
        <v>43</v>
      </c>
      <c r="G5220">
        <v>-420.416</v>
      </c>
      <c r="H5220" s="1">
        <v>-4.1343009999999998E-6</v>
      </c>
      <c r="I5220">
        <v>98.968270000000004</v>
      </c>
      <c r="J5220">
        <v>-417.85509999999999</v>
      </c>
      <c r="K5220">
        <v>1.1119840000000001</v>
      </c>
      <c r="L5220">
        <v>117.0164</v>
      </c>
      <c r="M5220">
        <v>-0.286593599999999</v>
      </c>
      <c r="N5220">
        <v>0</v>
      </c>
      <c r="O5220">
        <v>-0.95795019999999997</v>
      </c>
      <c r="P5220">
        <v>-0.29401090000000002</v>
      </c>
      <c r="Q5220">
        <v>2.4490399999999999E-2</v>
      </c>
      <c r="R5220">
        <v>-0.95548880000000003</v>
      </c>
      <c r="S5220">
        <v>-0.43298340000000002</v>
      </c>
      <c r="T5220">
        <v>-0.18330260000000001</v>
      </c>
      <c r="U5220">
        <v>-3.0123440000000001</v>
      </c>
      <c r="V5220">
        <v>7.6826799999999999E-3</v>
      </c>
      <c r="W5220">
        <v>3.8508260000000002E-2</v>
      </c>
      <c r="X5220">
        <v>0.99922880000000003</v>
      </c>
      <c r="Y5220">
        <v>-0.14763380000000001</v>
      </c>
      <c r="Z5220">
        <v>5.632417E-2</v>
      </c>
      <c r="AA5220">
        <v>0.98743700000000001</v>
      </c>
      <c r="AB5220">
        <v>24</v>
      </c>
      <c r="AC5220">
        <v>-2.5609000000000002</v>
      </c>
      <c r="AD5220">
        <v>-1.1119881343009901</v>
      </c>
      <c r="AE5220">
        <v>-18.04813</v>
      </c>
      <c r="AF5220">
        <v>-2.7094474616144901</v>
      </c>
      <c r="AG5220">
        <v>-1.1119881343009901</v>
      </c>
      <c r="AH5220">
        <v>17.9580845365576</v>
      </c>
      <c r="AI5220">
        <v>93.503751575068407</v>
      </c>
      <c r="AJ5220">
        <v>98.579856859285897</v>
      </c>
      <c r="AK5220">
        <v>18.195340705252601</v>
      </c>
      <c r="AL5220">
        <v>87.793093679728599</v>
      </c>
      <c r="AM5220">
        <v>89.559483808061898</v>
      </c>
      <c r="AN5220">
        <v>1.00000005220482</v>
      </c>
    </row>
    <row r="5221" spans="1:40" x14ac:dyDescent="0.25">
      <c r="A5221" t="str">
        <f>"20190312154401294"</f>
        <v>20190312154401294</v>
      </c>
      <c r="B5221" t="str">
        <f>"1552376641282889"</f>
        <v>1552376641282889</v>
      </c>
      <c r="C5221" t="s">
        <v>40</v>
      </c>
      <c r="D5221">
        <v>4.802244</v>
      </c>
      <c r="E5221">
        <v>0.44297049999999999</v>
      </c>
      <c r="F5221" t="s">
        <v>43</v>
      </c>
      <c r="G5221">
        <v>-420.44349999999997</v>
      </c>
      <c r="H5221" s="1">
        <v>-4.1621109999999996E-6</v>
      </c>
      <c r="I5221">
        <v>99.016019999999997</v>
      </c>
      <c r="J5221">
        <v>-417.91930000000002</v>
      </c>
      <c r="K5221">
        <v>1.111815</v>
      </c>
      <c r="L5221">
        <v>116.7932</v>
      </c>
      <c r="M5221">
        <v>-0.28469159999999999</v>
      </c>
      <c r="N5221">
        <v>0</v>
      </c>
      <c r="O5221">
        <v>-0.95851730000000002</v>
      </c>
      <c r="P5221">
        <v>-0.29319250000000002</v>
      </c>
      <c r="Q5221">
        <v>2.279072E-2</v>
      </c>
      <c r="R5221">
        <v>-0.95578169999999996</v>
      </c>
      <c r="S5221">
        <v>-0.43301390000000001</v>
      </c>
      <c r="T5221">
        <v>-0.1860251</v>
      </c>
      <c r="U5221">
        <v>-3.0112920000000001</v>
      </c>
      <c r="V5221">
        <v>8.8200299999999995E-3</v>
      </c>
      <c r="W5221">
        <v>3.6781420000000002E-2</v>
      </c>
      <c r="X5221">
        <v>0.99928439999999996</v>
      </c>
      <c r="Y5221">
        <v>-0.14561950000000001</v>
      </c>
      <c r="Z5221">
        <v>5.7238129999999998E-2</v>
      </c>
      <c r="AA5221">
        <v>0.98768350000000005</v>
      </c>
      <c r="AB5221">
        <v>24</v>
      </c>
      <c r="AC5221">
        <v>-2.5241999999999498</v>
      </c>
      <c r="AD5221">
        <v>-1.1118191621110001</v>
      </c>
      <c r="AE5221">
        <v>-17.777179999999898</v>
      </c>
      <c r="AF5221">
        <v>-2.6316919954086502</v>
      </c>
      <c r="AG5221">
        <v>-1.1118191621110001</v>
      </c>
      <c r="AH5221">
        <v>17.692251818268399</v>
      </c>
      <c r="AI5221">
        <v>93.5568296061913</v>
      </c>
      <c r="AJ5221">
        <v>98.460612541613202</v>
      </c>
      <c r="AK5221">
        <v>17.921431834788098</v>
      </c>
      <c r="AL5221">
        <v>87.892104378066605</v>
      </c>
      <c r="AM5221">
        <v>89.494300749831098</v>
      </c>
      <c r="AN5221">
        <v>0.99999998893488795</v>
      </c>
    </row>
    <row r="5222" spans="1:40" x14ac:dyDescent="0.25">
      <c r="A5222" t="str">
        <f>"20190312154401317"</f>
        <v>20190312154401317</v>
      </c>
      <c r="B5222" t="str">
        <f>"1552376641313145"</f>
        <v>1552376641313145</v>
      </c>
      <c r="C5222" t="s">
        <v>40</v>
      </c>
      <c r="D5222">
        <v>4.7907919999999997</v>
      </c>
      <c r="E5222">
        <v>0.44361869999999998</v>
      </c>
      <c r="F5222" t="s">
        <v>43</v>
      </c>
      <c r="G5222">
        <v>-420.4862</v>
      </c>
      <c r="H5222" s="1">
        <v>-4.1821350000000001E-6</v>
      </c>
      <c r="I5222">
        <v>99.03622</v>
      </c>
      <c r="J5222">
        <v>-417.9853</v>
      </c>
      <c r="K5222">
        <v>1.11168</v>
      </c>
      <c r="L5222">
        <v>116.56310000000001</v>
      </c>
      <c r="M5222">
        <v>-0.282945</v>
      </c>
      <c r="N5222">
        <v>0</v>
      </c>
      <c r="O5222">
        <v>-0.95903499999999997</v>
      </c>
      <c r="P5222">
        <v>-0.293018099999999</v>
      </c>
      <c r="Q5222">
        <v>2.1394199999999999E-2</v>
      </c>
      <c r="R5222">
        <v>-0.95586760000000004</v>
      </c>
      <c r="S5222">
        <v>-0.43508910000000001</v>
      </c>
      <c r="T5222">
        <v>-0.18845419999999999</v>
      </c>
      <c r="U5222">
        <v>-3.009827</v>
      </c>
      <c r="V5222">
        <v>1.04656E-2</v>
      </c>
      <c r="W5222">
        <v>3.5360419999999997E-2</v>
      </c>
      <c r="X5222">
        <v>0.99931990000000004</v>
      </c>
      <c r="Y5222">
        <v>-0.14308870000000001</v>
      </c>
      <c r="Z5222">
        <v>5.8067050000000002E-2</v>
      </c>
      <c r="AA5222">
        <v>0.98800500000000002</v>
      </c>
      <c r="AB5222">
        <v>24</v>
      </c>
      <c r="AC5222">
        <v>-2.5009000000000001</v>
      </c>
      <c r="AD5222">
        <v>-1.1116841821349901</v>
      </c>
      <c r="AE5222">
        <v>-17.526879999999998</v>
      </c>
      <c r="AF5222">
        <v>-2.55088333307586</v>
      </c>
      <c r="AG5222">
        <v>-1.1116841821349901</v>
      </c>
      <c r="AH5222">
        <v>17.4494090309048</v>
      </c>
      <c r="AI5222">
        <v>93.607092948703993</v>
      </c>
      <c r="AJ5222">
        <v>98.317006733099404</v>
      </c>
      <c r="AK5222">
        <v>17.669881805705302</v>
      </c>
      <c r="AL5222">
        <v>87.973574881882897</v>
      </c>
      <c r="AM5222">
        <v>89.399979136524607</v>
      </c>
      <c r="AN5222">
        <v>1.0000000753109699</v>
      </c>
    </row>
    <row r="5223" spans="1:40" x14ac:dyDescent="0.25">
      <c r="A5223" t="str">
        <f>"20190312154401340"</f>
        <v>20190312154401340</v>
      </c>
      <c r="B5223" t="str">
        <f>"1552376641332665"</f>
        <v>1552376641332665</v>
      </c>
      <c r="C5223" t="s">
        <v>40</v>
      </c>
      <c r="D5223">
        <v>5.1790409999999998</v>
      </c>
      <c r="E5223">
        <v>0.44386039999999999</v>
      </c>
      <c r="F5223" t="s">
        <v>43</v>
      </c>
      <c r="G5223">
        <v>-420.53039999999999</v>
      </c>
      <c r="H5223" s="1">
        <v>-4.2321130000000003E-6</v>
      </c>
      <c r="I5223">
        <v>99.14658</v>
      </c>
      <c r="J5223">
        <v>-418.05290000000002</v>
      </c>
      <c r="K5223">
        <v>1.1115649999999999</v>
      </c>
      <c r="L5223">
        <v>116.3262</v>
      </c>
      <c r="M5223">
        <v>-0.28134019999999998</v>
      </c>
      <c r="N5223">
        <v>0</v>
      </c>
      <c r="O5223">
        <v>-0.95950729999999995</v>
      </c>
      <c r="P5223">
        <v>-0.29293279999999999</v>
      </c>
      <c r="Q5223">
        <v>2.0663589999999999E-2</v>
      </c>
      <c r="R5223">
        <v>-0.95591009999999998</v>
      </c>
      <c r="S5223">
        <v>-0.4395752</v>
      </c>
      <c r="T5223">
        <v>-0.19200229999999999</v>
      </c>
      <c r="U5223">
        <v>-3.008057</v>
      </c>
      <c r="V5223">
        <v>1.205584E-2</v>
      </c>
      <c r="W5223">
        <v>3.4607470000000001E-2</v>
      </c>
      <c r="X5223">
        <v>0.99932829999999995</v>
      </c>
      <c r="Y5223">
        <v>-0.13991709999999999</v>
      </c>
      <c r="Z5223">
        <v>5.9243160000000003E-2</v>
      </c>
      <c r="AA5223">
        <v>0.98838930000000003</v>
      </c>
      <c r="AB5223">
        <v>24</v>
      </c>
      <c r="AC5223">
        <v>-2.4774999999999601</v>
      </c>
      <c r="AD5223">
        <v>-1.111569232113</v>
      </c>
      <c r="AE5223">
        <v>-17.17962</v>
      </c>
      <c r="AF5223">
        <v>-2.4463431337930999</v>
      </c>
      <c r="AG5223">
        <v>-1.111569232113</v>
      </c>
      <c r="AH5223">
        <v>17.112472113953299</v>
      </c>
      <c r="AI5223">
        <v>93.679220896803201</v>
      </c>
      <c r="AJ5223">
        <v>98.135694337170605</v>
      </c>
      <c r="AK5223">
        <v>17.322150061030701</v>
      </c>
      <c r="AL5223">
        <v>88.016742082081095</v>
      </c>
      <c r="AM5223">
        <v>89.308820491545006</v>
      </c>
      <c r="AN5223">
        <v>1.0000000357193899</v>
      </c>
    </row>
    <row r="5224" spans="1:40" x14ac:dyDescent="0.25">
      <c r="A5224" t="str">
        <f>"20190312154401363"</f>
        <v>20190312154401363</v>
      </c>
      <c r="B5224" t="str">
        <f>"1552376641352693"</f>
        <v>1552376641352693</v>
      </c>
      <c r="C5224" t="s">
        <v>40</v>
      </c>
      <c r="D5224">
        <v>4.7900929999999997</v>
      </c>
      <c r="E5224">
        <v>0.44404739999999998</v>
      </c>
      <c r="F5224" t="s">
        <v>43</v>
      </c>
      <c r="G5224">
        <v>-420.61950000000002</v>
      </c>
      <c r="H5224" s="1">
        <v>-4.1243079999999998E-6</v>
      </c>
      <c r="I5224">
        <v>98.818709999999996</v>
      </c>
      <c r="J5224">
        <v>-418.12009999999998</v>
      </c>
      <c r="K5224">
        <v>1.1114729999999999</v>
      </c>
      <c r="L5224">
        <v>116.0902</v>
      </c>
      <c r="M5224">
        <v>-0.27989399999999998</v>
      </c>
      <c r="N5224">
        <v>0</v>
      </c>
      <c r="O5224">
        <v>-0.95993010000000001</v>
      </c>
      <c r="P5224">
        <v>-0.29227779999999998</v>
      </c>
      <c r="Q5224">
        <v>2.1088929999999999E-2</v>
      </c>
      <c r="R5224">
        <v>-0.95610079999999997</v>
      </c>
      <c r="S5224">
        <v>-0.44088749999999999</v>
      </c>
      <c r="T5224">
        <v>-0.19094120000000001</v>
      </c>
      <c r="U5224">
        <v>-3.0073699999999999</v>
      </c>
      <c r="V5224">
        <v>1.288752E-2</v>
      </c>
      <c r="W5224">
        <v>3.5010159999999999E-2</v>
      </c>
      <c r="X5224">
        <v>0.99930390000000002</v>
      </c>
      <c r="Y5224">
        <v>-0.13796789999999901</v>
      </c>
      <c r="Z5224">
        <v>5.8976670000000002E-2</v>
      </c>
      <c r="AA5224">
        <v>0.98867919999999998</v>
      </c>
      <c r="AB5224">
        <v>24</v>
      </c>
      <c r="AC5224">
        <v>-2.4994000000000298</v>
      </c>
      <c r="AD5224">
        <v>-1.1114771243079999</v>
      </c>
      <c r="AE5224">
        <v>-17.27149</v>
      </c>
      <c r="AF5224">
        <v>-2.42533468615445</v>
      </c>
      <c r="AG5224">
        <v>-1.1114771243079999</v>
      </c>
      <c r="AH5224">
        <v>17.210848576962</v>
      </c>
      <c r="AI5224">
        <v>93.658980046558</v>
      </c>
      <c r="AJ5224">
        <v>98.021243603366401</v>
      </c>
      <c r="AK5224">
        <v>17.4163985507004</v>
      </c>
      <c r="AL5224">
        <v>87.993655667318293</v>
      </c>
      <c r="AM5224">
        <v>89.261126098237497</v>
      </c>
      <c r="AN5224">
        <v>1.0000000420150901</v>
      </c>
    </row>
    <row r="5225" spans="1:40" x14ac:dyDescent="0.25">
      <c r="A5225" t="str">
        <f>"20190312154401385"</f>
        <v>20190312154401385</v>
      </c>
      <c r="B5225" t="str">
        <f>"1552376641373189"</f>
        <v>1552376641373189</v>
      </c>
      <c r="C5225" t="s">
        <v>40</v>
      </c>
      <c r="D5225">
        <v>4.7313229999999997</v>
      </c>
      <c r="E5225">
        <v>0.44421850000000002</v>
      </c>
      <c r="F5225" t="s">
        <v>43</v>
      </c>
      <c r="G5225">
        <v>-420.76670000000001</v>
      </c>
      <c r="H5225" s="1">
        <v>-3.8133180000000001E-6</v>
      </c>
      <c r="I5225">
        <v>98.002510000000001</v>
      </c>
      <c r="J5225">
        <v>-418.18419999999998</v>
      </c>
      <c r="K5225">
        <v>1.1113930000000001</v>
      </c>
      <c r="L5225">
        <v>115.8642</v>
      </c>
      <c r="M5225">
        <v>-0.2786149</v>
      </c>
      <c r="N5225">
        <v>0</v>
      </c>
      <c r="O5225">
        <v>-0.96030269999999995</v>
      </c>
      <c r="P5225">
        <v>-0.29237059999999998</v>
      </c>
      <c r="Q5225">
        <v>2.0960719999999999E-2</v>
      </c>
      <c r="R5225">
        <v>-0.95607549999999997</v>
      </c>
      <c r="S5225">
        <v>-0.44003300000000001</v>
      </c>
      <c r="T5225">
        <v>-0.18479670000000001</v>
      </c>
      <c r="U5225">
        <v>-3.0072939999999999</v>
      </c>
      <c r="V5225">
        <v>1.432311E-2</v>
      </c>
      <c r="W5225">
        <v>3.4863860000000003E-2</v>
      </c>
      <c r="X5225">
        <v>0.99928950000000005</v>
      </c>
      <c r="Y5225">
        <v>-0.13690339999999901</v>
      </c>
      <c r="Z5225">
        <v>5.712648E-2</v>
      </c>
      <c r="AA5225">
        <v>0.98893580000000003</v>
      </c>
      <c r="AB5225">
        <v>24</v>
      </c>
      <c r="AC5225">
        <v>-2.5825000000000302</v>
      </c>
      <c r="AD5225">
        <v>-1.1113968133179899</v>
      </c>
      <c r="AE5225">
        <v>-17.8616899999999</v>
      </c>
      <c r="AF5225">
        <v>-2.4873586014985398</v>
      </c>
      <c r="AG5225">
        <v>-1.1113968133179899</v>
      </c>
      <c r="AH5225">
        <v>17.806344363017502</v>
      </c>
      <c r="AI5225">
        <v>93.537271052957706</v>
      </c>
      <c r="AJ5225">
        <v>97.952158965446202</v>
      </c>
      <c r="AK5225">
        <v>18.013551989084998</v>
      </c>
      <c r="AL5225">
        <v>88.002043220899907</v>
      </c>
      <c r="AM5225">
        <v>89.1788189907396</v>
      </c>
      <c r="AN5225">
        <v>1.0000000725122</v>
      </c>
    </row>
    <row r="5226" spans="1:40" x14ac:dyDescent="0.25">
      <c r="A5226" t="str">
        <f>"20190312154401406"</f>
        <v>20190312154401406</v>
      </c>
      <c r="B5226" t="str">
        <f>"1552376641402470"</f>
        <v>1552376641402470</v>
      </c>
      <c r="C5226" t="s">
        <v>40</v>
      </c>
      <c r="D5226">
        <v>4.7358149999999997</v>
      </c>
      <c r="E5226">
        <v>0.44454169999999998</v>
      </c>
      <c r="F5226" t="s">
        <v>43</v>
      </c>
      <c r="G5226">
        <v>-420.89490000000001</v>
      </c>
      <c r="H5226" s="1">
        <v>-3.5991209999999999E-6</v>
      </c>
      <c r="I5226">
        <v>97.423730000000006</v>
      </c>
      <c r="J5226">
        <v>-418.24590000000001</v>
      </c>
      <c r="K5226">
        <v>1.111326</v>
      </c>
      <c r="L5226">
        <v>115.6461</v>
      </c>
      <c r="M5226">
        <v>-0.27744940000000001</v>
      </c>
      <c r="N5226">
        <v>0</v>
      </c>
      <c r="O5226">
        <v>-0.9606403</v>
      </c>
      <c r="P5226">
        <v>-0.29296060000000002</v>
      </c>
      <c r="Q5226">
        <v>2.0752550000000002E-2</v>
      </c>
      <c r="R5226">
        <v>-0.95589939999999995</v>
      </c>
      <c r="S5226">
        <v>-0.4419556</v>
      </c>
      <c r="T5226">
        <v>-0.1812088</v>
      </c>
      <c r="U5226">
        <v>-3.006653</v>
      </c>
      <c r="V5226">
        <v>1.6157749999999999E-2</v>
      </c>
      <c r="W5226">
        <v>3.4640839999999999E-2</v>
      </c>
      <c r="X5226">
        <v>0.99926919999999997</v>
      </c>
      <c r="Y5226">
        <v>-0.13504269999999999</v>
      </c>
      <c r="Z5226">
        <v>5.6068159999999999E-2</v>
      </c>
      <c r="AA5226">
        <v>0.98925220000000003</v>
      </c>
      <c r="AB5226">
        <v>24</v>
      </c>
      <c r="AC5226">
        <v>-2.649</v>
      </c>
      <c r="AD5226">
        <v>-1.1113295991209999</v>
      </c>
      <c r="AE5226">
        <v>-18.222370000000002</v>
      </c>
      <c r="AF5226">
        <v>-2.5021765608849398</v>
      </c>
      <c r="AG5226">
        <v>-1.1113295991209999</v>
      </c>
      <c r="AH5226">
        <v>18.175654198474099</v>
      </c>
      <c r="AI5226">
        <v>93.466317084854893</v>
      </c>
      <c r="AJ5226">
        <v>97.838432418913996</v>
      </c>
      <c r="AK5226">
        <v>18.380705823287499</v>
      </c>
      <c r="AL5226">
        <v>88.014828898744895</v>
      </c>
      <c r="AM5226">
        <v>89.073632799208298</v>
      </c>
      <c r="AN5226">
        <v>0.99999999737480305</v>
      </c>
    </row>
    <row r="5227" spans="1:40" x14ac:dyDescent="0.25">
      <c r="A5227" t="str">
        <f>"20190312154401429"</f>
        <v>20190312154401429</v>
      </c>
      <c r="B5227" t="str">
        <f>"1552376641422968"</f>
        <v>1552376641422968</v>
      </c>
      <c r="C5227" t="s">
        <v>40</v>
      </c>
      <c r="D5227">
        <v>4.696428</v>
      </c>
      <c r="E5227">
        <v>0.4448047</v>
      </c>
      <c r="F5227" t="s">
        <v>43</v>
      </c>
      <c r="G5227">
        <v>-421.0532</v>
      </c>
      <c r="H5227" s="1">
        <v>-3.346781E-6</v>
      </c>
      <c r="I5227">
        <v>96.737340000000003</v>
      </c>
      <c r="J5227">
        <v>-418.31119999999999</v>
      </c>
      <c r="K5227">
        <v>1.1112850000000001</v>
      </c>
      <c r="L5227">
        <v>115.41500000000001</v>
      </c>
      <c r="M5227">
        <v>-0.27626669999999998</v>
      </c>
      <c r="N5227">
        <v>0</v>
      </c>
      <c r="O5227">
        <v>-0.96098130000000004</v>
      </c>
      <c r="P5227">
        <v>-0.29321799999999998</v>
      </c>
      <c r="Q5227">
        <v>1.999397E-2</v>
      </c>
      <c r="R5227">
        <v>-0.95583660000000004</v>
      </c>
      <c r="S5227">
        <v>-0.44619750000000002</v>
      </c>
      <c r="T5227">
        <v>-0.17664250000000001</v>
      </c>
      <c r="U5227">
        <v>-3.005493</v>
      </c>
      <c r="V5227">
        <v>1.7657920000000001E-2</v>
      </c>
      <c r="W5227">
        <v>3.3868809999999999E-2</v>
      </c>
      <c r="X5227">
        <v>0.99927029999999994</v>
      </c>
      <c r="Y5227">
        <v>-0.1323898</v>
      </c>
      <c r="Z5227">
        <v>5.4715399999999997E-2</v>
      </c>
      <c r="AA5227">
        <v>0.98968639999999997</v>
      </c>
      <c r="AB5227">
        <v>24</v>
      </c>
      <c r="AC5227">
        <v>-2.7420000000000102</v>
      </c>
      <c r="AD5227">
        <v>-1.111288346781</v>
      </c>
      <c r="AE5227">
        <v>-18.677659999999999</v>
      </c>
      <c r="AF5227">
        <v>-2.5165260996941901</v>
      </c>
      <c r="AG5227">
        <v>-1.111288346781</v>
      </c>
      <c r="AH5227">
        <v>18.643591380774399</v>
      </c>
      <c r="AI5227">
        <v>93.380606827626494</v>
      </c>
      <c r="AJ5227">
        <v>97.687365024795398</v>
      </c>
      <c r="AK5227">
        <v>18.845460062662799</v>
      </c>
      <c r="AL5227">
        <v>88.059088970541296</v>
      </c>
      <c r="AM5227">
        <v>88.987642278092494</v>
      </c>
      <c r="AN5227">
        <v>1.00000001544581</v>
      </c>
    </row>
    <row r="5228" spans="1:40" x14ac:dyDescent="0.25">
      <c r="A5228" t="str">
        <f>"20190312154401450"</f>
        <v>20190312154401450</v>
      </c>
      <c r="B5228" t="str">
        <f>"1552376641442485"</f>
        <v>1552376641442485</v>
      </c>
      <c r="C5228" t="s">
        <v>40</v>
      </c>
      <c r="D5228">
        <v>4.7006959999999998</v>
      </c>
      <c r="E5228">
        <v>0.4450653</v>
      </c>
      <c r="F5228" t="s">
        <v>43</v>
      </c>
      <c r="G5228">
        <v>-421.12560000000002</v>
      </c>
      <c r="H5228" s="1">
        <v>-3.2900599999999998E-6</v>
      </c>
      <c r="I5228">
        <v>96.560169999999999</v>
      </c>
      <c r="J5228">
        <v>-418.37299999999999</v>
      </c>
      <c r="K5228">
        <v>1.1112690000000001</v>
      </c>
      <c r="L5228">
        <v>115.19459999999999</v>
      </c>
      <c r="M5228">
        <v>-0.27517019999999998</v>
      </c>
      <c r="N5228">
        <v>0</v>
      </c>
      <c r="O5228">
        <v>-0.96129609999999999</v>
      </c>
      <c r="P5228">
        <v>-0.29416419999999999</v>
      </c>
      <c r="Q5228">
        <v>1.953133E-2</v>
      </c>
      <c r="R5228">
        <v>-0.95555559999999995</v>
      </c>
      <c r="S5228">
        <v>-0.44851679999999999</v>
      </c>
      <c r="T5228">
        <v>-0.17709549999999999</v>
      </c>
      <c r="U5228">
        <v>-3.004715</v>
      </c>
      <c r="V5228">
        <v>1.9787309999999999E-2</v>
      </c>
      <c r="W5228">
        <v>3.3397009999999998E-2</v>
      </c>
      <c r="X5228">
        <v>0.99924619999999997</v>
      </c>
      <c r="Y5228">
        <v>-0.1304756</v>
      </c>
      <c r="Z5228">
        <v>5.4901039999999998E-2</v>
      </c>
      <c r="AA5228">
        <v>0.98993030000000004</v>
      </c>
      <c r="AB5228">
        <v>24</v>
      </c>
      <c r="AC5228">
        <v>-2.75259999999997</v>
      </c>
      <c r="AD5228">
        <v>-1.1112722900600001</v>
      </c>
      <c r="AE5228">
        <v>-18.634429999999899</v>
      </c>
      <c r="AF5228">
        <v>-2.4732055717748702</v>
      </c>
      <c r="AG5228">
        <v>-1.1112722900600001</v>
      </c>
      <c r="AH5228">
        <v>18.6076603813177</v>
      </c>
      <c r="AI5228">
        <v>93.387990124746906</v>
      </c>
      <c r="AJ5228">
        <v>97.570996376972602</v>
      </c>
      <c r="AK5228">
        <v>18.8041670054638</v>
      </c>
      <c r="AL5228">
        <v>88.086136263420101</v>
      </c>
      <c r="AM5228">
        <v>88.865563665347693</v>
      </c>
      <c r="AN5228">
        <v>0.99999993306420598</v>
      </c>
    </row>
    <row r="5229" spans="1:40" x14ac:dyDescent="0.25">
      <c r="A5229" t="str">
        <f>"20190312154401472"</f>
        <v>20190312154401472</v>
      </c>
      <c r="B5229" t="str">
        <f>"1552376641462982"</f>
        <v>1552376641462982</v>
      </c>
      <c r="C5229" t="s">
        <v>40</v>
      </c>
      <c r="D5229">
        <v>4.6735179999999996</v>
      </c>
      <c r="E5229">
        <v>0.44527739999999999</v>
      </c>
      <c r="F5229" t="s">
        <v>43</v>
      </c>
      <c r="G5229">
        <v>-421.21609999999998</v>
      </c>
      <c r="H5229" s="1">
        <v>-3.2274170000000001E-6</v>
      </c>
      <c r="I5229">
        <v>96.358050000000006</v>
      </c>
      <c r="J5229">
        <v>-418.43759999999997</v>
      </c>
      <c r="K5229">
        <v>1.111275</v>
      </c>
      <c r="L5229">
        <v>114.96429999999999</v>
      </c>
      <c r="M5229">
        <v>-0.27403699999999998</v>
      </c>
      <c r="N5229">
        <v>0</v>
      </c>
      <c r="O5229">
        <v>-0.96161980000000002</v>
      </c>
      <c r="P5229">
        <v>-0.29480139999999999</v>
      </c>
      <c r="Q5229">
        <v>1.8384770000000002E-2</v>
      </c>
      <c r="R5229">
        <v>-0.95538179999999995</v>
      </c>
      <c r="S5229">
        <v>-0.45333859999999898</v>
      </c>
      <c r="T5229">
        <v>-0.17719889999999999</v>
      </c>
      <c r="U5229">
        <v>-3.0036010000000002</v>
      </c>
      <c r="V5229">
        <v>2.162733E-2</v>
      </c>
      <c r="W5229">
        <v>3.2242739999999999E-2</v>
      </c>
      <c r="X5229">
        <v>0.99924610000000003</v>
      </c>
      <c r="Y5229">
        <v>-0.1276996</v>
      </c>
      <c r="Z5229">
        <v>5.4985520000000003E-2</v>
      </c>
      <c r="AA5229">
        <v>0.99028749999999999</v>
      </c>
      <c r="AB5229">
        <v>24</v>
      </c>
      <c r="AC5229">
        <v>-2.7785000000000002</v>
      </c>
      <c r="AD5229">
        <v>-1.1112782274169899</v>
      </c>
      <c r="AE5229">
        <v>-18.6062499999999</v>
      </c>
      <c r="AF5229">
        <v>-2.4187323217671302</v>
      </c>
      <c r="AG5229">
        <v>-1.1112782274169899</v>
      </c>
      <c r="AH5229">
        <v>18.590463263267001</v>
      </c>
      <c r="AI5229">
        <v>93.392362943264899</v>
      </c>
      <c r="AJ5229">
        <v>97.412889037906695</v>
      </c>
      <c r="AK5229">
        <v>18.7800567008188</v>
      </c>
      <c r="AL5229">
        <v>88.152306937999995</v>
      </c>
      <c r="AM5229">
        <v>88.760103949827297</v>
      </c>
      <c r="AN5229">
        <v>1.00000005202542</v>
      </c>
    </row>
    <row r="5230" spans="1:40" x14ac:dyDescent="0.25">
      <c r="A5230" t="str">
        <f>"20190312154401495"</f>
        <v>20190312154401495</v>
      </c>
      <c r="B5230" t="str">
        <f>"1552376641482501"</f>
        <v>1552376641482501</v>
      </c>
      <c r="C5230" t="s">
        <v>40</v>
      </c>
      <c r="D5230">
        <v>4.695087</v>
      </c>
      <c r="E5230">
        <v>0.4453743</v>
      </c>
      <c r="F5230" t="s">
        <v>43</v>
      </c>
      <c r="G5230">
        <v>-421.26940000000002</v>
      </c>
      <c r="H5230" s="1">
        <v>-3.2362960000000001E-6</v>
      </c>
      <c r="I5230">
        <v>96.345669999999998</v>
      </c>
      <c r="J5230">
        <v>-418.49869999999999</v>
      </c>
      <c r="K5230">
        <v>1.111286</v>
      </c>
      <c r="L5230">
        <v>114.74469999999999</v>
      </c>
      <c r="M5230">
        <v>-0.27295259999999999</v>
      </c>
      <c r="N5230">
        <v>0</v>
      </c>
      <c r="O5230">
        <v>-0.96192849999999996</v>
      </c>
      <c r="P5230">
        <v>-0.29523759999999999</v>
      </c>
      <c r="Q5230">
        <v>1.634967E-2</v>
      </c>
      <c r="R5230">
        <v>-0.95528429999999998</v>
      </c>
      <c r="S5230">
        <v>-0.45669559999999998</v>
      </c>
      <c r="T5230">
        <v>-0.17921709999999999</v>
      </c>
      <c r="U5230">
        <v>-3.0026549999999999</v>
      </c>
      <c r="V5230">
        <v>2.320264E-2</v>
      </c>
      <c r="W5230">
        <v>3.0202389999999999E-2</v>
      </c>
      <c r="X5230">
        <v>0.99927449999999995</v>
      </c>
      <c r="Y5230">
        <v>-0.12545829999999999</v>
      </c>
      <c r="Z5230">
        <v>5.5658069999999997E-2</v>
      </c>
      <c r="AA5230">
        <v>0.99053639999999998</v>
      </c>
      <c r="AB5230">
        <v>24</v>
      </c>
      <c r="AC5230">
        <v>-2.7707000000000299</v>
      </c>
      <c r="AD5230">
        <v>-1.1112892362960001</v>
      </c>
      <c r="AE5230">
        <v>-18.39903</v>
      </c>
      <c r="AF5230">
        <v>-2.3486940019027198</v>
      </c>
      <c r="AG5230">
        <v>-1.1112892362960001</v>
      </c>
      <c r="AH5230">
        <v>18.390974575611398</v>
      </c>
      <c r="AI5230">
        <v>93.430146711343198</v>
      </c>
      <c r="AJ5230">
        <v>97.277794560925997</v>
      </c>
      <c r="AK5230">
        <v>18.573617663827999</v>
      </c>
      <c r="AL5230">
        <v>88.269267392585704</v>
      </c>
      <c r="AM5230">
        <v>88.669860476263693</v>
      </c>
      <c r="AN5230">
        <v>1.00000003660746</v>
      </c>
    </row>
    <row r="5231" spans="1:40" x14ac:dyDescent="0.25">
      <c r="A5231" t="str">
        <f>"20190312154401631"</f>
        <v>20190312154401631</v>
      </c>
      <c r="B5231" t="str">
        <f>"1552376641622575"</f>
        <v>1552376641622575</v>
      </c>
      <c r="C5231" t="s">
        <v>40</v>
      </c>
      <c r="D5231">
        <v>3.8770120000000001</v>
      </c>
      <c r="E5231">
        <v>0.44618390000000002</v>
      </c>
      <c r="F5231" t="s">
        <v>43</v>
      </c>
      <c r="G5231">
        <v>-421.27690000000001</v>
      </c>
      <c r="H5231" s="1">
        <v>-3.3402100000000001E-6</v>
      </c>
      <c r="I5231">
        <v>96.583219999999997</v>
      </c>
      <c r="J5231">
        <v>-418.87259999999998</v>
      </c>
      <c r="K5231">
        <v>1.1113390000000001</v>
      </c>
      <c r="L5231">
        <v>113.38</v>
      </c>
      <c r="M5231">
        <v>-0.265872</v>
      </c>
      <c r="N5231">
        <v>0</v>
      </c>
      <c r="O5231">
        <v>-0.96391000000000004</v>
      </c>
      <c r="P5231">
        <v>-0.28197670000000002</v>
      </c>
      <c r="Q5231">
        <v>1.174877E-2</v>
      </c>
      <c r="R5231">
        <v>-0.95934969999999997</v>
      </c>
      <c r="S5231">
        <v>-0.45916750000000001</v>
      </c>
      <c r="T5231">
        <v>-0.18366869999999999</v>
      </c>
      <c r="U5231">
        <v>-3.0016479999999999</v>
      </c>
      <c r="V5231">
        <v>1.669058E-2</v>
      </c>
      <c r="W5231">
        <v>2.5557900000000001E-2</v>
      </c>
      <c r="X5231">
        <v>0.99953400000000003</v>
      </c>
      <c r="Y5231">
        <v>-0.117326</v>
      </c>
      <c r="Z5231">
        <v>5.7259850000000001E-2</v>
      </c>
      <c r="AA5231">
        <v>0.99144129999999997</v>
      </c>
      <c r="AB5231">
        <v>23</v>
      </c>
      <c r="AC5231">
        <v>-2.4043000000000299</v>
      </c>
      <c r="AD5231">
        <v>-1.11134234020999</v>
      </c>
      <c r="AE5231">
        <v>-16.796779999999998</v>
      </c>
      <c r="AF5231">
        <v>-2.1392912610858099</v>
      </c>
      <c r="AG5231">
        <v>-1.11134234020999</v>
      </c>
      <c r="AH5231">
        <v>16.759521187425499</v>
      </c>
      <c r="AI5231">
        <v>93.763345718183899</v>
      </c>
      <c r="AJ5231">
        <v>97.274257899651701</v>
      </c>
      <c r="AK5231">
        <v>16.932016989380401</v>
      </c>
      <c r="AL5231">
        <v>88.535480727578701</v>
      </c>
      <c r="AM5231">
        <v>89.043343274844901</v>
      </c>
      <c r="AN5231">
        <v>0.99999999943457296</v>
      </c>
    </row>
    <row r="5232" spans="1:40" x14ac:dyDescent="0.25">
      <c r="A5232" t="str">
        <f>"20190312154401652"</f>
        <v>20190312154401652</v>
      </c>
      <c r="B5232" t="str">
        <f>"1552376641642603"</f>
        <v>1552376641642603</v>
      </c>
      <c r="C5232" t="s">
        <v>40</v>
      </c>
      <c r="D5232">
        <v>4.5404099999999996</v>
      </c>
      <c r="E5232">
        <v>0.4416388</v>
      </c>
      <c r="F5232" t="s">
        <v>43</v>
      </c>
      <c r="G5232">
        <v>-419.50409999999999</v>
      </c>
      <c r="H5232" s="1">
        <v>-4.3632549999999996E-6</v>
      </c>
      <c r="I5232">
        <v>108.6755</v>
      </c>
      <c r="J5232">
        <v>-418.93279999999999</v>
      </c>
      <c r="K5232">
        <v>1.1113489999999999</v>
      </c>
      <c r="L5232">
        <v>113.1564</v>
      </c>
      <c r="M5232">
        <v>-0.2646908</v>
      </c>
      <c r="N5232">
        <v>0</v>
      </c>
      <c r="O5232">
        <v>-0.96423510000000001</v>
      </c>
      <c r="P5232">
        <v>-0.27978950000000002</v>
      </c>
      <c r="Q5232">
        <v>1.1806830000000001E-2</v>
      </c>
      <c r="R5232">
        <v>-0.95998910000000004</v>
      </c>
      <c r="S5232">
        <v>-0.40493770000000001</v>
      </c>
      <c r="T5232">
        <v>-0.71266509999999905</v>
      </c>
      <c r="U5232">
        <v>-3.0168149999999998</v>
      </c>
      <c r="V5232">
        <v>1.5636919999999999E-2</v>
      </c>
      <c r="W5232">
        <v>2.5609860000000002E-2</v>
      </c>
      <c r="X5232">
        <v>0.99954969999999999</v>
      </c>
      <c r="Y5232">
        <v>-0.13729620000000001</v>
      </c>
      <c r="Z5232">
        <v>0.21582460000000001</v>
      </c>
      <c r="AA5232">
        <v>0.96673140000000002</v>
      </c>
      <c r="AB5232">
        <v>23</v>
      </c>
      <c r="AC5232">
        <v>-0.57130000000000702</v>
      </c>
      <c r="AD5232">
        <v>-1.1113533632549999</v>
      </c>
      <c r="AE5232">
        <v>-4.4809000000000001</v>
      </c>
      <c r="AF5232">
        <v>-0.59898885114293099</v>
      </c>
      <c r="AG5232">
        <v>-1.1113533632549999</v>
      </c>
      <c r="AH5232">
        <v>4.2170258330648096</v>
      </c>
      <c r="AI5232">
        <v>104.623614521606</v>
      </c>
      <c r="AJ5232">
        <v>98.084247973534701</v>
      </c>
      <c r="AK5232">
        <v>4.4019542045036903</v>
      </c>
      <c r="AL5232">
        <v>88.5325026509514</v>
      </c>
      <c r="AM5232">
        <v>89.103739970820996</v>
      </c>
      <c r="AN5232">
        <v>0.99999999048319799</v>
      </c>
    </row>
    <row r="5233" spans="1:40" x14ac:dyDescent="0.25">
      <c r="A5233" t="str">
        <f>"20190312154401674"</f>
        <v>20190312154401674</v>
      </c>
      <c r="B5233" t="str">
        <f>"1552376641663098"</f>
        <v>1552376641663098</v>
      </c>
      <c r="C5233" t="s">
        <v>40</v>
      </c>
      <c r="D5233">
        <v>4.7646220000000001</v>
      </c>
      <c r="E5233">
        <v>0.4388997</v>
      </c>
      <c r="F5233" t="s">
        <v>43</v>
      </c>
      <c r="G5233">
        <v>-419.52730000000003</v>
      </c>
      <c r="H5233" s="1">
        <v>-4.143315E-6</v>
      </c>
      <c r="I5233">
        <v>108.2189</v>
      </c>
      <c r="J5233">
        <v>-418.99369999999999</v>
      </c>
      <c r="K5233">
        <v>1.111353</v>
      </c>
      <c r="L5233">
        <v>112.9293</v>
      </c>
      <c r="M5233">
        <v>-0.26349260000000002</v>
      </c>
      <c r="N5233">
        <v>0</v>
      </c>
      <c r="O5233">
        <v>-0.96456310000000001</v>
      </c>
      <c r="P5233">
        <v>-0.27789370000000002</v>
      </c>
      <c r="Q5233">
        <v>1.1870199999999999E-2</v>
      </c>
      <c r="R5233">
        <v>-0.96053849999999996</v>
      </c>
      <c r="S5233">
        <v>-0.36450199999999999</v>
      </c>
      <c r="T5233">
        <v>-0.68138430000000005</v>
      </c>
      <c r="U5233">
        <v>-3.0272060000000001</v>
      </c>
      <c r="V5233">
        <v>1.490525E-2</v>
      </c>
      <c r="W5233">
        <v>2.5667539999999999E-2</v>
      </c>
      <c r="X5233">
        <v>0.99955939999999999</v>
      </c>
      <c r="Y5233">
        <v>-0.14893799999999999</v>
      </c>
      <c r="Z5233">
        <v>0.20620939999999999</v>
      </c>
      <c r="AA5233">
        <v>0.96710660000000004</v>
      </c>
      <c r="AB5233">
        <v>23</v>
      </c>
      <c r="AC5233">
        <v>-0.53360000000003505</v>
      </c>
      <c r="AD5233">
        <v>-1.111357143315</v>
      </c>
      <c r="AE5233">
        <v>-4.7103999999999902</v>
      </c>
      <c r="AF5233">
        <v>-0.68868292904002604</v>
      </c>
      <c r="AG5233">
        <v>-1.111357143315</v>
      </c>
      <c r="AH5233">
        <v>4.4404696543221798</v>
      </c>
      <c r="AI5233">
        <v>103.89175994892901</v>
      </c>
      <c r="AJ5233">
        <v>98.815900734921499</v>
      </c>
      <c r="AK5233">
        <v>4.62894908458762</v>
      </c>
      <c r="AL5233">
        <v>88.529196745275499</v>
      </c>
      <c r="AM5233">
        <v>89.145678959862806</v>
      </c>
      <c r="AN5233">
        <v>0.99999999160778696</v>
      </c>
    </row>
    <row r="5234" spans="1:40" x14ac:dyDescent="0.25">
      <c r="A5234" t="str">
        <f>"20190312154401697"</f>
        <v>20190312154401697</v>
      </c>
      <c r="B5234" t="str">
        <f>"1552376641693354"</f>
        <v>1552376641693354</v>
      </c>
      <c r="C5234" t="s">
        <v>40</v>
      </c>
      <c r="D5234">
        <v>5.355308</v>
      </c>
      <c r="E5234">
        <v>0.43760470000000001</v>
      </c>
      <c r="F5234" t="s">
        <v>43</v>
      </c>
      <c r="G5234">
        <v>-419.62920000000003</v>
      </c>
      <c r="H5234" s="1">
        <v>-3.6850450000000001E-6</v>
      </c>
      <c r="I5234">
        <v>107.2877</v>
      </c>
      <c r="J5234">
        <v>-419.0532</v>
      </c>
      <c r="K5234">
        <v>1.111361</v>
      </c>
      <c r="L5234">
        <v>112.7059</v>
      </c>
      <c r="M5234">
        <v>-0.26231490000000002</v>
      </c>
      <c r="N5234">
        <v>0</v>
      </c>
      <c r="O5234">
        <v>-0.96488419999999997</v>
      </c>
      <c r="P5234">
        <v>-0.27686660000000002</v>
      </c>
      <c r="Q5234">
        <v>1.139364E-2</v>
      </c>
      <c r="R5234">
        <v>-0.96084069999999999</v>
      </c>
      <c r="S5234">
        <v>-0.34155269999999999</v>
      </c>
      <c r="T5234">
        <v>-0.59725360000000005</v>
      </c>
      <c r="U5234">
        <v>-3.0318299999999998</v>
      </c>
      <c r="V5234">
        <v>1.5056089999999999E-2</v>
      </c>
      <c r="W5234">
        <v>2.5187040000000001E-2</v>
      </c>
      <c r="X5234">
        <v>0.99956940000000005</v>
      </c>
      <c r="Y5234">
        <v>-0.15456349999999999</v>
      </c>
      <c r="Z5234">
        <v>0.1815483</v>
      </c>
      <c r="AA5234">
        <v>0.97115929999999995</v>
      </c>
      <c r="AB5234">
        <v>23</v>
      </c>
      <c r="AC5234">
        <v>-0.57600000000002105</v>
      </c>
      <c r="AD5234">
        <v>-1.1113646850450001</v>
      </c>
      <c r="AE5234">
        <v>-5.4181999999999899</v>
      </c>
      <c r="AF5234">
        <v>-0.83101088196958905</v>
      </c>
      <c r="AG5234">
        <v>-1.1113646850450001</v>
      </c>
      <c r="AH5234">
        <v>5.1646735103948904</v>
      </c>
      <c r="AI5234">
        <v>101.994336377973</v>
      </c>
      <c r="AJ5234">
        <v>99.140710186087205</v>
      </c>
      <c r="AK5234">
        <v>5.3478559272003299</v>
      </c>
      <c r="AL5234">
        <v>88.556736326224197</v>
      </c>
      <c r="AM5234">
        <v>89.137043228684107</v>
      </c>
      <c r="AN5234">
        <v>1.0000000291232001</v>
      </c>
    </row>
    <row r="5235" spans="1:40" x14ac:dyDescent="0.25">
      <c r="A5235" t="str">
        <f>"20190312154401719"</f>
        <v>20190312154401719</v>
      </c>
      <c r="B5235" t="str">
        <f>"1552376641712876"</f>
        <v>1552376641712876</v>
      </c>
      <c r="C5235" t="s">
        <v>40</v>
      </c>
      <c r="D5235">
        <v>4.6533340000000001</v>
      </c>
      <c r="E5235">
        <v>0.43825799999999998</v>
      </c>
      <c r="F5235" t="s">
        <v>43</v>
      </c>
      <c r="G5235">
        <v>-419.84390000000002</v>
      </c>
      <c r="H5235" s="1">
        <v>-2.8028570000000002E-6</v>
      </c>
      <c r="I5235">
        <v>105.5021</v>
      </c>
      <c r="J5235">
        <v>-419.11320000000001</v>
      </c>
      <c r="K5235">
        <v>1.111367</v>
      </c>
      <c r="L5235">
        <v>112.47969999999999</v>
      </c>
      <c r="M5235">
        <v>-0.26111640000000003</v>
      </c>
      <c r="N5235">
        <v>0</v>
      </c>
      <c r="O5235">
        <v>-0.9652094</v>
      </c>
      <c r="P5235">
        <v>-0.27629169999999997</v>
      </c>
      <c r="Q5235">
        <v>1.085882E-2</v>
      </c>
      <c r="R5235">
        <v>-0.9610128</v>
      </c>
      <c r="S5235">
        <v>-0.33279419999999998</v>
      </c>
      <c r="T5235">
        <v>-0.46774209999999999</v>
      </c>
      <c r="U5235">
        <v>-3.0319060000000002</v>
      </c>
      <c r="V5235">
        <v>1.5698920000000002E-2</v>
      </c>
      <c r="W5235">
        <v>2.4649810000000001E-2</v>
      </c>
      <c r="X5235">
        <v>0.99957289999999999</v>
      </c>
      <c r="Y5235">
        <v>-0.15540709999999999</v>
      </c>
      <c r="Z5235">
        <v>0.14326700000000001</v>
      </c>
      <c r="AA5235">
        <v>0.97740640000000001</v>
      </c>
      <c r="AB5235">
        <v>23</v>
      </c>
      <c r="AC5235">
        <v>-0.73070000000001301</v>
      </c>
      <c r="AD5235">
        <v>-1.111369802857</v>
      </c>
      <c r="AE5235">
        <v>-6.97759999999999</v>
      </c>
      <c r="AF5235">
        <v>-1.0894541850366799</v>
      </c>
      <c r="AG5235">
        <v>-1.111369802857</v>
      </c>
      <c r="AH5235">
        <v>6.7567444429432104</v>
      </c>
      <c r="AI5235">
        <v>99.223506165519694</v>
      </c>
      <c r="AJ5235">
        <v>99.159509674422793</v>
      </c>
      <c r="AK5235">
        <v>6.9336605575439298</v>
      </c>
      <c r="AL5235">
        <v>88.587526893504105</v>
      </c>
      <c r="AM5235">
        <v>89.100207786309596</v>
      </c>
      <c r="AN5235">
        <v>1.0000000258182999</v>
      </c>
    </row>
    <row r="5236" spans="1:40" x14ac:dyDescent="0.25">
      <c r="A5236" t="str">
        <f>"20190312154401741"</f>
        <v>20190312154401741</v>
      </c>
      <c r="B5236" t="str">
        <f>"1552376641732393"</f>
        <v>1552376641732393</v>
      </c>
      <c r="C5236" t="s">
        <v>40</v>
      </c>
      <c r="D5236">
        <v>4.6707510000000001</v>
      </c>
      <c r="E5236">
        <v>0.43853520000000001</v>
      </c>
      <c r="F5236" t="s">
        <v>43</v>
      </c>
      <c r="G5236">
        <v>-420.02010000000001</v>
      </c>
      <c r="H5236" s="1">
        <v>-2.2432540000000002E-6</v>
      </c>
      <c r="I5236">
        <v>104.3258</v>
      </c>
      <c r="J5236">
        <v>-419.17090000000002</v>
      </c>
      <c r="K5236">
        <v>1.11138</v>
      </c>
      <c r="L5236">
        <v>112.261</v>
      </c>
      <c r="M5236">
        <v>-0.25994139999999999</v>
      </c>
      <c r="N5236">
        <v>0</v>
      </c>
      <c r="O5236">
        <v>-0.96552649999999995</v>
      </c>
      <c r="P5236">
        <v>-0.27656370000000002</v>
      </c>
      <c r="Q5236">
        <v>1.062041E-2</v>
      </c>
      <c r="R5236">
        <v>-0.96093700000000004</v>
      </c>
      <c r="S5236">
        <v>-0.33697510000000003</v>
      </c>
      <c r="T5236">
        <v>-0.41291549999999999</v>
      </c>
      <c r="U5236">
        <v>-3.02948</v>
      </c>
      <c r="V5236">
        <v>1.719818E-2</v>
      </c>
      <c r="W5236">
        <v>2.441099E-2</v>
      </c>
      <c r="X5236">
        <v>0.99955400000000005</v>
      </c>
      <c r="Y5236">
        <v>-0.15253620000000001</v>
      </c>
      <c r="Z5236">
        <v>0.12697339999999999</v>
      </c>
      <c r="AA5236">
        <v>0.98010739999999996</v>
      </c>
      <c r="AB5236">
        <v>23</v>
      </c>
      <c r="AC5236">
        <v>-0.84919999999999596</v>
      </c>
      <c r="AD5236">
        <v>-1.1113822432539999</v>
      </c>
      <c r="AE5236">
        <v>-7.9352</v>
      </c>
      <c r="AF5236">
        <v>-1.2192336589999999</v>
      </c>
      <c r="AG5236">
        <v>-1.1113822432539999</v>
      </c>
      <c r="AH5236">
        <v>7.7331570586736902</v>
      </c>
      <c r="AI5236">
        <v>98.079884190224803</v>
      </c>
      <c r="AJ5236">
        <v>98.959678210993602</v>
      </c>
      <c r="AK5236">
        <v>7.9071751782778597</v>
      </c>
      <c r="AL5236">
        <v>88.601214264885797</v>
      </c>
      <c r="AM5236">
        <v>89.014274457902403</v>
      </c>
      <c r="AN5236">
        <v>0.99999993637204398</v>
      </c>
    </row>
    <row r="5237" spans="1:40" x14ac:dyDescent="0.25">
      <c r="A5237" t="str">
        <f>"20190312154401764"</f>
        <v>20190312154401764</v>
      </c>
      <c r="B5237" t="str">
        <f>"1552376641752890"</f>
        <v>1552376641752890</v>
      </c>
      <c r="C5237" t="s">
        <v>40</v>
      </c>
      <c r="D5237">
        <v>4.6852970000000003</v>
      </c>
      <c r="E5237">
        <v>0.4387047</v>
      </c>
      <c r="F5237" t="s">
        <v>43</v>
      </c>
      <c r="G5237">
        <v>-420.19650000000001</v>
      </c>
      <c r="H5237" s="1">
        <v>-1.739147E-6</v>
      </c>
      <c r="I5237">
        <v>103.1601</v>
      </c>
      <c r="J5237">
        <v>-419.23180000000002</v>
      </c>
      <c r="K5237">
        <v>1.1114090000000001</v>
      </c>
      <c r="L5237">
        <v>112.02889999999999</v>
      </c>
      <c r="M5237">
        <v>-0.25866309999999998</v>
      </c>
      <c r="N5237">
        <v>0</v>
      </c>
      <c r="O5237">
        <v>-0.96586959999999999</v>
      </c>
      <c r="P5237">
        <v>-0.27688790000000002</v>
      </c>
      <c r="Q5237">
        <v>1.0767250000000001E-2</v>
      </c>
      <c r="R5237">
        <v>-0.96084199999999997</v>
      </c>
      <c r="S5237">
        <v>-0.34121699999999999</v>
      </c>
      <c r="T5237">
        <v>-0.36974869999999999</v>
      </c>
      <c r="U5237">
        <v>-3.0278019999999999</v>
      </c>
      <c r="V5237">
        <v>1.8857970000000002E-2</v>
      </c>
      <c r="W5237">
        <v>2.4557809999999999E-2</v>
      </c>
      <c r="X5237">
        <v>0.99952050000000003</v>
      </c>
      <c r="Y5237">
        <v>-0.14963219999999999</v>
      </c>
      <c r="Z5237">
        <v>0.1140412</v>
      </c>
      <c r="AA5237">
        <v>0.98214299999999999</v>
      </c>
      <c r="AB5237">
        <v>23</v>
      </c>
      <c r="AC5237">
        <v>-0.96469999999999301</v>
      </c>
      <c r="AD5237">
        <v>-1.1114107391470001</v>
      </c>
      <c r="AE5237">
        <v>-8.8687999999999896</v>
      </c>
      <c r="AF5237">
        <v>-1.3415638656056601</v>
      </c>
      <c r="AG5237">
        <v>-1.1114107391470001</v>
      </c>
      <c r="AH5237">
        <v>8.6817248143531192</v>
      </c>
      <c r="AI5237">
        <v>97.2105057957301</v>
      </c>
      <c r="AJ5237">
        <v>98.784285190084304</v>
      </c>
      <c r="AK5237">
        <v>8.8547937970765194</v>
      </c>
      <c r="AL5237">
        <v>88.592799621989201</v>
      </c>
      <c r="AM5237">
        <v>88.919127807582399</v>
      </c>
      <c r="AN5237">
        <v>0.99999996949238301</v>
      </c>
    </row>
    <row r="5238" spans="1:40" x14ac:dyDescent="0.25">
      <c r="A5238" t="str">
        <f>"20190312154401786"</f>
        <v>20190312154401786</v>
      </c>
      <c r="B5238" t="str">
        <f>"1552376641783145"</f>
        <v>1552376641783145</v>
      </c>
      <c r="C5238" t="s">
        <v>40</v>
      </c>
      <c r="D5238">
        <v>4.7600249999999997</v>
      </c>
      <c r="E5238">
        <v>0.4395694</v>
      </c>
      <c r="F5238" t="s">
        <v>43</v>
      </c>
      <c r="G5238">
        <v>-420.37520000000001</v>
      </c>
      <c r="H5238" s="1">
        <v>-1.2246380000000001E-6</v>
      </c>
      <c r="I5238">
        <v>101.97110000000001</v>
      </c>
      <c r="J5238">
        <v>-419.28919999999999</v>
      </c>
      <c r="K5238">
        <v>1.111445</v>
      </c>
      <c r="L5238">
        <v>111.8087</v>
      </c>
      <c r="M5238">
        <v>-0.25740610000000003</v>
      </c>
      <c r="N5238">
        <v>0</v>
      </c>
      <c r="O5238">
        <v>-0.96620550000000005</v>
      </c>
      <c r="P5238">
        <v>-0.27768579999999998</v>
      </c>
      <c r="Q5238">
        <v>1.170451E-2</v>
      </c>
      <c r="R5238">
        <v>-0.96060089999999998</v>
      </c>
      <c r="S5238">
        <v>-0.34411619999999998</v>
      </c>
      <c r="T5238">
        <v>-0.33447460000000001</v>
      </c>
      <c r="U5238">
        <v>-3.0268549999999999</v>
      </c>
      <c r="V5238">
        <v>2.0988320000000001E-2</v>
      </c>
      <c r="W5238">
        <v>2.549688E-2</v>
      </c>
      <c r="X5238">
        <v>0.99945459999999997</v>
      </c>
      <c r="Y5238">
        <v>-0.14724789999999999</v>
      </c>
      <c r="Z5238">
        <v>0.1033961</v>
      </c>
      <c r="AA5238">
        <v>0.98368049999999996</v>
      </c>
      <c r="AB5238">
        <v>23</v>
      </c>
      <c r="AC5238">
        <v>-1.0860000000000101</v>
      </c>
      <c r="AD5238">
        <v>-1.1114462246379999</v>
      </c>
      <c r="AE5238">
        <v>-9.8375999999999895</v>
      </c>
      <c r="AF5238">
        <v>-1.4646293082623301</v>
      </c>
      <c r="AG5238">
        <v>-1.1114462246379999</v>
      </c>
      <c r="AH5238">
        <v>9.66374493025668</v>
      </c>
      <c r="AI5238">
        <v>96.487429215514894</v>
      </c>
      <c r="AJ5238">
        <v>98.618114497117006</v>
      </c>
      <c r="AK5238">
        <v>9.8370939711860395</v>
      </c>
      <c r="AL5238">
        <v>88.538978128124398</v>
      </c>
      <c r="AM5238">
        <v>88.796978440093397</v>
      </c>
      <c r="AN5238">
        <v>1.00000004896365</v>
      </c>
    </row>
    <row r="5239" spans="1:40" x14ac:dyDescent="0.25">
      <c r="A5239" t="str">
        <f>"20190312154401809"</f>
        <v>20190312154401809</v>
      </c>
      <c r="B5239" t="str">
        <f>"1552376641802665"</f>
        <v>1552376641802665</v>
      </c>
      <c r="C5239" t="s">
        <v>40</v>
      </c>
      <c r="D5239">
        <v>4.7674130000000003</v>
      </c>
      <c r="E5239">
        <v>0.4399824</v>
      </c>
      <c r="F5239" t="s">
        <v>43</v>
      </c>
      <c r="G5239">
        <v>-420.60129999999998</v>
      </c>
      <c r="H5239" s="1">
        <v>-6.4064769999999998E-7</v>
      </c>
      <c r="I5239">
        <v>100.6084</v>
      </c>
      <c r="J5239">
        <v>-419.34710000000001</v>
      </c>
      <c r="K5239">
        <v>1.1114809999999999</v>
      </c>
      <c r="L5239">
        <v>111.58540000000001</v>
      </c>
      <c r="M5239">
        <v>-0.2560731</v>
      </c>
      <c r="N5239">
        <v>0</v>
      </c>
      <c r="O5239">
        <v>-0.96655950000000002</v>
      </c>
      <c r="P5239">
        <v>-0.27900700000000001</v>
      </c>
      <c r="Q5239">
        <v>1.207683E-2</v>
      </c>
      <c r="R5239">
        <v>-0.96021310000000004</v>
      </c>
      <c r="S5239">
        <v>-0.354278599999999</v>
      </c>
      <c r="T5239">
        <v>-0.30011369999999998</v>
      </c>
      <c r="U5239">
        <v>-3.024292</v>
      </c>
      <c r="V5239">
        <v>2.3740399999999998E-2</v>
      </c>
      <c r="W5239">
        <v>2.587393E-2</v>
      </c>
      <c r="X5239">
        <v>0.99938329999999997</v>
      </c>
      <c r="Y5239">
        <v>-0.142405</v>
      </c>
      <c r="Z5239">
        <v>9.302734E-2</v>
      </c>
      <c r="AA5239">
        <v>0.98542719999999995</v>
      </c>
      <c r="AB5239">
        <v>23</v>
      </c>
      <c r="AC5239">
        <v>-1.25419999999996</v>
      </c>
      <c r="AD5239">
        <v>-1.1114816406476999</v>
      </c>
      <c r="AE5239">
        <v>-10.977</v>
      </c>
      <c r="AF5239">
        <v>-1.5827881324829201</v>
      </c>
      <c r="AG5239">
        <v>-1.1114816406476999</v>
      </c>
      <c r="AH5239">
        <v>10.822594615910599</v>
      </c>
      <c r="AI5239">
        <v>95.802428110358804</v>
      </c>
      <c r="AJ5239">
        <v>98.320435028853794</v>
      </c>
      <c r="AK5239">
        <v>10.9940512974136</v>
      </c>
      <c r="AL5239">
        <v>88.517367587916695</v>
      </c>
      <c r="AM5239">
        <v>88.639191838413396</v>
      </c>
      <c r="AN5239">
        <v>1.0000000235823401</v>
      </c>
    </row>
    <row r="5240" spans="1:40" x14ac:dyDescent="0.25">
      <c r="A5240" t="str">
        <f>"20190312154401830"</f>
        <v>20190312154401830</v>
      </c>
      <c r="B5240" t="str">
        <f>"1552376641823165"</f>
        <v>1552376641823165</v>
      </c>
      <c r="C5240" t="s">
        <v>40</v>
      </c>
      <c r="D5240">
        <v>4.7670719999999998</v>
      </c>
      <c r="E5240">
        <v>0.44046970000000002</v>
      </c>
      <c r="F5240" t="s">
        <v>43</v>
      </c>
      <c r="G5240">
        <v>-420.7645</v>
      </c>
      <c r="H5240" s="1">
        <v>-2.7585259999999998E-7</v>
      </c>
      <c r="I5240">
        <v>99.74485</v>
      </c>
      <c r="J5240">
        <v>-419.404</v>
      </c>
      <c r="K5240">
        <v>1.1115250000000001</v>
      </c>
      <c r="L5240">
        <v>111.36409999999999</v>
      </c>
      <c r="M5240">
        <v>-0.25467820000000002</v>
      </c>
      <c r="N5240">
        <v>0</v>
      </c>
      <c r="O5240">
        <v>-0.96692829999999996</v>
      </c>
      <c r="P5240">
        <v>-0.27963949999999999</v>
      </c>
      <c r="Q5240">
        <v>1.163108E-2</v>
      </c>
      <c r="R5240">
        <v>-0.96003499999999997</v>
      </c>
      <c r="S5240">
        <v>-0.36184690000000003</v>
      </c>
      <c r="T5240">
        <v>-0.28374709999999997</v>
      </c>
      <c r="U5240">
        <v>-3.022751</v>
      </c>
      <c r="V5240">
        <v>2.5837760000000001E-2</v>
      </c>
      <c r="W5240">
        <v>2.5433009999999999E-2</v>
      </c>
      <c r="X5240">
        <v>0.99934259999999997</v>
      </c>
      <c r="Y5240">
        <v>-0.1384301</v>
      </c>
      <c r="Z5240">
        <v>8.8107420000000006E-2</v>
      </c>
      <c r="AA5240">
        <v>0.98644520000000002</v>
      </c>
      <c r="AB5240">
        <v>23</v>
      </c>
      <c r="AC5240">
        <v>-1.3605</v>
      </c>
      <c r="AD5240">
        <v>-1.1115252758526</v>
      </c>
      <c r="AE5240">
        <v>-11.6192499999999</v>
      </c>
      <c r="AF5240">
        <v>-1.62911195652646</v>
      </c>
      <c r="AG5240">
        <v>-1.1115252758526</v>
      </c>
      <c r="AH5240">
        <v>11.478937673975899</v>
      </c>
      <c r="AI5240">
        <v>95.476268126805806</v>
      </c>
      <c r="AJ5240">
        <v>98.077578365983697</v>
      </c>
      <c r="AK5240">
        <v>11.647124294381801</v>
      </c>
      <c r="AL5240">
        <v>88.542638768847993</v>
      </c>
      <c r="AM5240">
        <v>88.518961498674699</v>
      </c>
      <c r="AN5240">
        <v>1.0000000300071099</v>
      </c>
    </row>
    <row r="5241" spans="1:40" x14ac:dyDescent="0.25">
      <c r="A5241" t="str">
        <f>"20190312154401852"</f>
        <v>20190312154401852</v>
      </c>
      <c r="B5241" t="str">
        <f>"1552376641842681"</f>
        <v>1552376641842681</v>
      </c>
      <c r="C5241" t="s">
        <v>40</v>
      </c>
      <c r="D5241">
        <v>4.7973589999999904</v>
      </c>
      <c r="E5241">
        <v>0.4409074</v>
      </c>
      <c r="F5241" t="s">
        <v>43</v>
      </c>
      <c r="G5241">
        <v>-420.91109999999998</v>
      </c>
      <c r="H5241" s="1">
        <v>-4.2512290000000002E-6</v>
      </c>
      <c r="I5241">
        <v>99.004310000000004</v>
      </c>
      <c r="J5241">
        <v>-419.46109999999999</v>
      </c>
      <c r="K5241">
        <v>1.111572</v>
      </c>
      <c r="L5241">
        <v>111.1407</v>
      </c>
      <c r="M5241">
        <v>-0.2532083</v>
      </c>
      <c r="N5241">
        <v>0</v>
      </c>
      <c r="O5241">
        <v>-0.96731409999999995</v>
      </c>
      <c r="P5241">
        <v>-0.27922010000000003</v>
      </c>
      <c r="Q5241">
        <v>1.1465019999999999E-2</v>
      </c>
      <c r="R5241">
        <v>-0.96015879999999998</v>
      </c>
      <c r="S5241">
        <v>-0.36834719999999999</v>
      </c>
      <c r="T5241">
        <v>-0.27167249999999998</v>
      </c>
      <c r="U5241">
        <v>-3.0208889999999999</v>
      </c>
      <c r="V5241">
        <v>2.6917429999999999E-2</v>
      </c>
      <c r="W5241">
        <v>2.5270460000000002E-2</v>
      </c>
      <c r="X5241">
        <v>0.99931820000000005</v>
      </c>
      <c r="Y5241">
        <v>-0.1347216</v>
      </c>
      <c r="Z5241">
        <v>8.4502750000000001E-2</v>
      </c>
      <c r="AA5241">
        <v>0.98727370000000003</v>
      </c>
      <c r="AB5241">
        <v>23</v>
      </c>
      <c r="AC5241">
        <v>-1.44999999999998</v>
      </c>
      <c r="AD5241">
        <v>-1.1115762512289999</v>
      </c>
      <c r="AE5241">
        <v>-12.136389999999899</v>
      </c>
      <c r="AF5241">
        <v>-1.6568834622605799</v>
      </c>
      <c r="AG5241">
        <v>-1.1115762512289999</v>
      </c>
      <c r="AH5241">
        <v>12.008676832754601</v>
      </c>
      <c r="AI5241">
        <v>95.239128098845995</v>
      </c>
      <c r="AJ5241">
        <v>97.855721040503298</v>
      </c>
      <c r="AK5241">
        <v>12.1732979854823</v>
      </c>
      <c r="AL5241">
        <v>88.551955154984995</v>
      </c>
      <c r="AM5241">
        <v>88.457065718525399</v>
      </c>
      <c r="AN5241">
        <v>1.00000000451882</v>
      </c>
    </row>
    <row r="5242" spans="1:40" x14ac:dyDescent="0.25">
      <c r="A5242" t="str">
        <f>"20190312154401874"</f>
        <v>20190312154401874</v>
      </c>
      <c r="B5242" t="str">
        <f>"1552376641863177"</f>
        <v>1552376641863177</v>
      </c>
      <c r="C5242" t="s">
        <v>40</v>
      </c>
      <c r="D5242">
        <v>4.7995910000000004</v>
      </c>
      <c r="E5242">
        <v>0.44115159999999998</v>
      </c>
      <c r="F5242" t="s">
        <v>43</v>
      </c>
      <c r="G5242">
        <v>-421.03680000000003</v>
      </c>
      <c r="H5242" s="1">
        <v>-4.0159680000000001E-6</v>
      </c>
      <c r="I5242">
        <v>98.307360000000003</v>
      </c>
      <c r="J5242">
        <v>-419.51690000000002</v>
      </c>
      <c r="K5242">
        <v>1.111618</v>
      </c>
      <c r="L5242">
        <v>110.9204</v>
      </c>
      <c r="M5242">
        <v>-0.25169599999999998</v>
      </c>
      <c r="N5242">
        <v>0</v>
      </c>
      <c r="O5242">
        <v>-0.96770889999999998</v>
      </c>
      <c r="P5242">
        <v>-0.27833429999999998</v>
      </c>
      <c r="Q5242">
        <v>1.197923E-2</v>
      </c>
      <c r="R5242">
        <v>-0.96040970000000003</v>
      </c>
      <c r="S5242">
        <v>-0.37078860000000002</v>
      </c>
      <c r="T5242">
        <v>-0.26156069999999998</v>
      </c>
      <c r="U5242">
        <v>-3.0197750000000001</v>
      </c>
      <c r="V5242">
        <v>2.755585E-2</v>
      </c>
      <c r="W5242">
        <v>2.5786699999999999E-2</v>
      </c>
      <c r="X5242">
        <v>0.99928760000000005</v>
      </c>
      <c r="Y5242">
        <v>-0.1323106</v>
      </c>
      <c r="Z5242">
        <v>8.1470799999999996E-2</v>
      </c>
      <c r="AA5242">
        <v>0.98785440000000002</v>
      </c>
      <c r="AB5242">
        <v>23</v>
      </c>
      <c r="AC5242">
        <v>-1.5199</v>
      </c>
      <c r="AD5242">
        <v>-1.1116220159679999</v>
      </c>
      <c r="AE5242">
        <v>-12.6130399999999</v>
      </c>
      <c r="AF5242">
        <v>-1.69104466856525</v>
      </c>
      <c r="AG5242">
        <v>-1.1116220159679999</v>
      </c>
      <c r="AH5242">
        <v>12.493835695756299</v>
      </c>
      <c r="AI5242">
        <v>95.038720792137994</v>
      </c>
      <c r="AJ5242">
        <v>97.708159490068496</v>
      </c>
      <c r="AK5242">
        <v>12.656668833860699</v>
      </c>
      <c r="AL5242">
        <v>88.522367121805303</v>
      </c>
      <c r="AM5242">
        <v>88.420440819592201</v>
      </c>
      <c r="AN5242">
        <v>0.99999999313993604</v>
      </c>
    </row>
    <row r="5243" spans="1:40" x14ac:dyDescent="0.25">
      <c r="A5243" t="str">
        <f>"20190312154401909"</f>
        <v>20190312154401909</v>
      </c>
      <c r="B5243" t="str">
        <f>"1552376641903196"</f>
        <v>1552376641903196</v>
      </c>
      <c r="C5243" t="s">
        <v>40</v>
      </c>
      <c r="D5243">
        <v>4.8253219999999999</v>
      </c>
      <c r="E5243">
        <v>0.44150980000000001</v>
      </c>
      <c r="F5243" t="s">
        <v>43</v>
      </c>
      <c r="G5243">
        <v>-421.15949999999998</v>
      </c>
      <c r="H5243" s="1">
        <v>-3.718443E-6</v>
      </c>
      <c r="I5243">
        <v>97.537739999999999</v>
      </c>
      <c r="J5243">
        <v>-419.60149999999999</v>
      </c>
      <c r="K5243">
        <v>1.1116699999999999</v>
      </c>
      <c r="L5243">
        <v>110.583</v>
      </c>
      <c r="M5243">
        <v>-0.2492685</v>
      </c>
      <c r="N5243">
        <v>0</v>
      </c>
      <c r="O5243">
        <v>-0.9683368</v>
      </c>
      <c r="P5243">
        <v>-0.27414529999999998</v>
      </c>
      <c r="Q5243">
        <v>1.2557280000000001E-2</v>
      </c>
      <c r="R5243">
        <v>-0.96160630000000002</v>
      </c>
      <c r="S5243">
        <v>-0.37060549999999998</v>
      </c>
      <c r="T5243">
        <v>-0.250803</v>
      </c>
      <c r="U5243">
        <v>-3.0193789999999998</v>
      </c>
      <c r="V5243">
        <v>2.5702539999999999E-2</v>
      </c>
      <c r="W5243">
        <v>2.6361099999999998E-2</v>
      </c>
      <c r="X5243">
        <v>0.99932200000000004</v>
      </c>
      <c r="Y5243">
        <v>-0.12983549999999999</v>
      </c>
      <c r="Z5243">
        <v>7.8243610000000005E-2</v>
      </c>
      <c r="AA5243">
        <v>0.98844359999999998</v>
      </c>
      <c r="AB5243">
        <v>23</v>
      </c>
      <c r="AC5243">
        <v>-1.5579999999999901</v>
      </c>
      <c r="AD5243">
        <v>-1.1116737184429999</v>
      </c>
      <c r="AE5243">
        <v>-13.045260000000001</v>
      </c>
      <c r="AF5243">
        <v>-1.7308758017760999</v>
      </c>
      <c r="AG5243">
        <v>-1.1116737184429999</v>
      </c>
      <c r="AH5243">
        <v>12.929226498270101</v>
      </c>
      <c r="AI5243">
        <v>94.8710444493056</v>
      </c>
      <c r="AJ5243">
        <v>97.625028110310097</v>
      </c>
      <c r="AK5243">
        <v>13.0918542361661</v>
      </c>
      <c r="AL5243">
        <v>88.489445233704501</v>
      </c>
      <c r="AM5243">
        <v>88.526678621670698</v>
      </c>
      <c r="AN5243">
        <v>0.99999999391982997</v>
      </c>
    </row>
    <row r="5244" spans="1:40" x14ac:dyDescent="0.25">
      <c r="A5244" t="str">
        <f>"20190312154401930"</f>
        <v>20190312154401930</v>
      </c>
      <c r="B5244" t="str">
        <f>"1552376641922713"</f>
        <v>1552376641922713</v>
      </c>
      <c r="C5244" t="s">
        <v>40</v>
      </c>
      <c r="D5244">
        <v>4.8700150000000004</v>
      </c>
      <c r="E5244">
        <v>0.4415924</v>
      </c>
      <c r="F5244" t="s">
        <v>43</v>
      </c>
      <c r="G5244">
        <v>-421.31920000000002</v>
      </c>
      <c r="H5244" s="1">
        <v>-3.1973599999999998E-6</v>
      </c>
      <c r="I5244">
        <v>96.224059999999994</v>
      </c>
      <c r="J5244">
        <v>-419.6549</v>
      </c>
      <c r="K5244">
        <v>1.1116950000000001</v>
      </c>
      <c r="L5244">
        <v>110.3681</v>
      </c>
      <c r="M5244">
        <v>-0.2476573</v>
      </c>
      <c r="N5244">
        <v>0</v>
      </c>
      <c r="O5244">
        <v>-0.96875029999999995</v>
      </c>
      <c r="P5244">
        <v>-0.2710108</v>
      </c>
      <c r="Q5244">
        <v>1.19542E-2</v>
      </c>
      <c r="R5244">
        <v>-0.96250210000000003</v>
      </c>
      <c r="S5244">
        <v>-0.36123660000000002</v>
      </c>
      <c r="T5244">
        <v>-0.23379839999999999</v>
      </c>
      <c r="U5244">
        <v>-3.0198520000000002</v>
      </c>
      <c r="V5244">
        <v>2.4106579999999999E-2</v>
      </c>
      <c r="W5244">
        <v>2.5755239999999999E-2</v>
      </c>
      <c r="X5244">
        <v>0.99937750000000003</v>
      </c>
      <c r="Y5244">
        <v>-0.1311783</v>
      </c>
      <c r="Z5244">
        <v>7.3012599999999997E-2</v>
      </c>
      <c r="AA5244">
        <v>0.9886665</v>
      </c>
      <c r="AB5244">
        <v>23</v>
      </c>
      <c r="AC5244">
        <v>-1.6643000000000201</v>
      </c>
      <c r="AD5244">
        <v>-1.11169819736</v>
      </c>
      <c r="AE5244">
        <v>-14.14404</v>
      </c>
      <c r="AF5244">
        <v>-1.8793107841441901</v>
      </c>
      <c r="AG5244">
        <v>-1.11169819736</v>
      </c>
      <c r="AH5244">
        <v>14.0300611839185</v>
      </c>
      <c r="AI5244">
        <v>94.490532902003693</v>
      </c>
      <c r="AJ5244">
        <v>97.629291964046701</v>
      </c>
      <c r="AK5244">
        <v>14.198954142115999</v>
      </c>
      <c r="AL5244">
        <v>88.524170143175894</v>
      </c>
      <c r="AM5244">
        <v>88.618202330374601</v>
      </c>
      <c r="AN5244">
        <v>0.99999992354649903</v>
      </c>
    </row>
    <row r="5245" spans="1:40" x14ac:dyDescent="0.25">
      <c r="A5245" t="str">
        <f>"20190312154401952"</f>
        <v>20190312154401952</v>
      </c>
      <c r="B5245" t="str">
        <f>"1552376641943211"</f>
        <v>1552376641943211</v>
      </c>
      <c r="C5245" t="s">
        <v>40</v>
      </c>
      <c r="D5245">
        <v>4.8222399999999999</v>
      </c>
      <c r="E5245">
        <v>0.41903879999999999</v>
      </c>
      <c r="F5245" t="s">
        <v>43</v>
      </c>
      <c r="G5245">
        <v>-421.33789999999999</v>
      </c>
      <c r="H5245" s="1">
        <v>-3.0733650000000002E-6</v>
      </c>
      <c r="I5245">
        <v>95.923379999999995</v>
      </c>
      <c r="J5245">
        <v>-419.71050000000002</v>
      </c>
      <c r="K5245">
        <v>1.1117109999999999</v>
      </c>
      <c r="L5245">
        <v>110.1422</v>
      </c>
      <c r="M5245">
        <v>-0.2459305</v>
      </c>
      <c r="N5245">
        <v>0</v>
      </c>
      <c r="O5245">
        <v>-0.96919</v>
      </c>
      <c r="P5245">
        <v>-0.26793600000000001</v>
      </c>
      <c r="Q5245">
        <v>1.085822E-2</v>
      </c>
      <c r="R5245">
        <v>-0.96337539999999999</v>
      </c>
      <c r="S5245">
        <v>-0.35195920000000003</v>
      </c>
      <c r="T5245">
        <v>-0.23247809999999999</v>
      </c>
      <c r="U5245">
        <v>-3.0206759999999999</v>
      </c>
      <c r="V5245">
        <v>2.269415E-2</v>
      </c>
      <c r="W5245">
        <v>2.465649E-2</v>
      </c>
      <c r="X5245">
        <v>0.9994383</v>
      </c>
      <c r="Y5245">
        <v>-0.13243469999999999</v>
      </c>
      <c r="Z5245">
        <v>7.2639199999999904E-2</v>
      </c>
      <c r="AA5245">
        <v>0.98852649999999997</v>
      </c>
      <c r="AB5245">
        <v>23</v>
      </c>
      <c r="AC5245">
        <v>-1.62739999999996</v>
      </c>
      <c r="AD5245">
        <v>-1.1117140733649999</v>
      </c>
      <c r="AE5245">
        <v>-14.2188199999999</v>
      </c>
      <c r="AF5245">
        <v>-1.9082486531601199</v>
      </c>
      <c r="AG5245">
        <v>-1.1117140733649999</v>
      </c>
      <c r="AH5245">
        <v>14.0972421953231</v>
      </c>
      <c r="AI5245">
        <v>94.468450964073298</v>
      </c>
      <c r="AJ5245">
        <v>97.708887487557206</v>
      </c>
      <c r="AK5245">
        <v>14.2691821285175</v>
      </c>
      <c r="AL5245">
        <v>88.587143921802394</v>
      </c>
      <c r="AM5245">
        <v>88.699213740753294</v>
      </c>
      <c r="AN5245">
        <v>0.99999994122511404</v>
      </c>
    </row>
    <row r="5246" spans="1:40" x14ac:dyDescent="0.25">
      <c r="A5246" t="str">
        <f>"20190312154401975"</f>
        <v>20190312154401975</v>
      </c>
      <c r="B5246" t="str">
        <f>"1552376641962730"</f>
        <v>1552376641962730</v>
      </c>
      <c r="C5246" t="s">
        <v>40</v>
      </c>
      <c r="D5246">
        <v>4.9439590000000004</v>
      </c>
      <c r="E5246">
        <v>0.41582039999999998</v>
      </c>
      <c r="F5246" t="s">
        <v>43</v>
      </c>
      <c r="G5246">
        <v>-422.26909999999998</v>
      </c>
      <c r="H5246" s="1">
        <v>-3.1458609999999998E-6</v>
      </c>
      <c r="I5246">
        <v>65.514849999999996</v>
      </c>
      <c r="J5246">
        <v>-419.7645</v>
      </c>
      <c r="K5246">
        <v>1.1117220000000001</v>
      </c>
      <c r="L5246">
        <v>109.9213</v>
      </c>
      <c r="M5246">
        <v>-0.2442204</v>
      </c>
      <c r="N5246">
        <v>0</v>
      </c>
      <c r="O5246">
        <v>-0.9696226</v>
      </c>
      <c r="P5246">
        <v>-0.26512709999999901</v>
      </c>
      <c r="Q5246">
        <v>1.058013E-2</v>
      </c>
      <c r="R5246">
        <v>-0.96415580000000001</v>
      </c>
      <c r="S5246">
        <v>-0.175781299999999</v>
      </c>
      <c r="T5246">
        <v>-7.6377509999999996E-2</v>
      </c>
      <c r="U5246">
        <v>-3.0660099999999999</v>
      </c>
      <c r="V5246">
        <v>2.1543159999999999E-2</v>
      </c>
      <c r="W5246">
        <v>2.4374759999999999E-2</v>
      </c>
      <c r="X5246">
        <v>0.99947079999999999</v>
      </c>
      <c r="Y5246">
        <v>-0.18835389999999999</v>
      </c>
      <c r="Z5246">
        <v>2.3532609999999999E-2</v>
      </c>
      <c r="AA5246">
        <v>0.98181929999999995</v>
      </c>
      <c r="AB5246">
        <v>23</v>
      </c>
      <c r="AC5246">
        <v>-2.50459999999998</v>
      </c>
      <c r="AD5246">
        <v>-1.11172514586099</v>
      </c>
      <c r="AE5246">
        <v>-44.40645</v>
      </c>
      <c r="AF5246">
        <v>-8.4119816072834492</v>
      </c>
      <c r="AG5246">
        <v>-1.11172514586099</v>
      </c>
      <c r="AH5246">
        <v>43.646017426695998</v>
      </c>
      <c r="AI5246">
        <v>91.432732264117803</v>
      </c>
      <c r="AJ5246">
        <v>100.90896591539401</v>
      </c>
      <c r="AK5246">
        <v>44.463155584963403</v>
      </c>
      <c r="AL5246">
        <v>88.603290879372494</v>
      </c>
      <c r="AM5246">
        <v>88.765205504744202</v>
      </c>
      <c r="AN5246">
        <v>1.00000005836023</v>
      </c>
    </row>
    <row r="5247" spans="1:40" x14ac:dyDescent="0.25">
      <c r="A5247" t="str">
        <f>"20190312154401998"</f>
        <v>20190312154401998</v>
      </c>
      <c r="B5247" t="str">
        <f>"1552376641992985"</f>
        <v>1552376641992985</v>
      </c>
      <c r="C5247" t="s">
        <v>40</v>
      </c>
      <c r="D5247">
        <v>4.8109479999999998</v>
      </c>
      <c r="E5247">
        <v>0.41034870000000001</v>
      </c>
      <c r="F5247" t="s">
        <v>43</v>
      </c>
      <c r="G5247">
        <v>-421.09780000000001</v>
      </c>
      <c r="H5247" s="1">
        <v>-7.814344E-7</v>
      </c>
      <c r="I5247">
        <v>80.729780000000005</v>
      </c>
      <c r="J5247">
        <v>-419.82040000000001</v>
      </c>
      <c r="K5247">
        <v>1.111729</v>
      </c>
      <c r="L5247">
        <v>109.6902</v>
      </c>
      <c r="M5247">
        <v>-0.24241679999999999</v>
      </c>
      <c r="N5247">
        <v>0</v>
      </c>
      <c r="O5247">
        <v>-0.97007500000000002</v>
      </c>
      <c r="P5247">
        <v>-0.26143369999999999</v>
      </c>
      <c r="Q5247">
        <v>1.0667050000000001E-2</v>
      </c>
      <c r="R5247">
        <v>-0.96516259999999998</v>
      </c>
      <c r="S5247">
        <v>-0.14041139999999999</v>
      </c>
      <c r="T5247">
        <v>-0.11707679999999999</v>
      </c>
      <c r="U5247">
        <v>-3.0741879999999999</v>
      </c>
      <c r="V5247">
        <v>1.9574270000000001E-2</v>
      </c>
      <c r="W5247">
        <v>2.4455319999999999E-2</v>
      </c>
      <c r="X5247">
        <v>0.99950930000000004</v>
      </c>
      <c r="Y5247">
        <v>-0.1979503</v>
      </c>
      <c r="Z5247">
        <v>3.5961590000000002E-2</v>
      </c>
      <c r="AA5247">
        <v>0.97955210000000004</v>
      </c>
      <c r="AB5247">
        <v>23</v>
      </c>
      <c r="AC5247">
        <v>-1.2774000000000001</v>
      </c>
      <c r="AD5247">
        <v>-1.1117297814344</v>
      </c>
      <c r="AE5247">
        <v>-28.960419999999999</v>
      </c>
      <c r="AF5247">
        <v>-5.7733724623356402</v>
      </c>
      <c r="AG5247">
        <v>-1.1117297814344</v>
      </c>
      <c r="AH5247">
        <v>28.3644038227804</v>
      </c>
      <c r="AI5247">
        <v>92.199479031540903</v>
      </c>
      <c r="AJ5247">
        <v>101.50498354759701</v>
      </c>
      <c r="AK5247">
        <v>28.967346735894601</v>
      </c>
      <c r="AL5247">
        <v>88.598673712420407</v>
      </c>
      <c r="AM5247">
        <v>88.878069756423798</v>
      </c>
      <c r="AN5247">
        <v>1.0000000277544101</v>
      </c>
    </row>
    <row r="5248" spans="1:40" x14ac:dyDescent="0.25">
      <c r="A5248" t="str">
        <f>"20190312154402020"</f>
        <v>20190312154402020</v>
      </c>
      <c r="B5248" t="str">
        <f>"1552376642012505"</f>
        <v>1552376642012505</v>
      </c>
      <c r="C5248" t="s">
        <v>40</v>
      </c>
      <c r="D5248">
        <v>4.7920049999999996</v>
      </c>
      <c r="E5248">
        <v>0.40746369999999998</v>
      </c>
      <c r="F5248" t="s">
        <v>43</v>
      </c>
      <c r="G5248">
        <v>-420.6352</v>
      </c>
      <c r="H5248" s="1">
        <v>-6.3182490000000004E-7</v>
      </c>
      <c r="I5248">
        <v>80.667950000000005</v>
      </c>
      <c r="J5248">
        <v>-419.87150000000003</v>
      </c>
      <c r="K5248">
        <v>1.1117220000000001</v>
      </c>
      <c r="L5248">
        <v>109.4777</v>
      </c>
      <c r="M5248">
        <v>-0.24075279999999999</v>
      </c>
      <c r="N5248">
        <v>0</v>
      </c>
      <c r="O5248">
        <v>-0.9704893</v>
      </c>
      <c r="P5248">
        <v>-0.2586637</v>
      </c>
      <c r="Q5248">
        <v>1.16037E-2</v>
      </c>
      <c r="R5248">
        <v>-0.96589789999999998</v>
      </c>
      <c r="S5248">
        <v>-8.6639399999999894E-2</v>
      </c>
      <c r="T5248">
        <v>-0.1182173</v>
      </c>
      <c r="U5248">
        <v>-3.0861209999999999</v>
      </c>
      <c r="V5248">
        <v>1.8420720000000002E-2</v>
      </c>
      <c r="W5248">
        <v>2.5386769999999999E-2</v>
      </c>
      <c r="X5248">
        <v>0.99950799999999995</v>
      </c>
      <c r="Y5248">
        <v>-0.21346029999999999</v>
      </c>
      <c r="Z5248">
        <v>3.6143050000000003E-2</v>
      </c>
      <c r="AA5248">
        <v>0.97628300000000001</v>
      </c>
      <c r="AB5248">
        <v>23</v>
      </c>
      <c r="AC5248">
        <v>-0.76369999999997096</v>
      </c>
      <c r="AD5248">
        <v>-1.1117226318248901</v>
      </c>
      <c r="AE5248">
        <v>-28.809749999999902</v>
      </c>
      <c r="AF5248">
        <v>-6.1862443273288701</v>
      </c>
      <c r="AG5248">
        <v>-1.1117226318248901</v>
      </c>
      <c r="AH5248">
        <v>28.104251738536</v>
      </c>
      <c r="AI5248">
        <v>92.212365608731105</v>
      </c>
      <c r="AJ5248">
        <v>102.41385284346801</v>
      </c>
      <c r="AK5248">
        <v>28.798515792841201</v>
      </c>
      <c r="AL5248">
        <v>88.545288976278499</v>
      </c>
      <c r="AM5248">
        <v>88.944170490639706</v>
      </c>
      <c r="AN5248">
        <v>1.0000000265401701</v>
      </c>
    </row>
    <row r="5249" spans="1:40" x14ac:dyDescent="0.25">
      <c r="A5249" t="str">
        <f>"20190312154402042"</f>
        <v>20190312154402042</v>
      </c>
      <c r="B5249" t="str">
        <f>"1552376642033002"</f>
        <v>1552376642033002</v>
      </c>
      <c r="C5249" t="s">
        <v>40</v>
      </c>
      <c r="D5249">
        <v>4.9445699999999997</v>
      </c>
      <c r="E5249">
        <v>0.40582760000000001</v>
      </c>
      <c r="F5249" t="s">
        <v>43</v>
      </c>
      <c r="G5249">
        <v>-420.45179999999999</v>
      </c>
      <c r="H5249" s="1">
        <v>-3.4318649999999998E-6</v>
      </c>
      <c r="I5249">
        <v>77.30865</v>
      </c>
      <c r="J5249">
        <v>-419.92489999999998</v>
      </c>
      <c r="K5249">
        <v>1.1117220000000001</v>
      </c>
      <c r="L5249">
        <v>109.25369999999999</v>
      </c>
      <c r="M5249">
        <v>-0.2389975</v>
      </c>
      <c r="N5249">
        <v>0</v>
      </c>
      <c r="O5249">
        <v>-0.97092299999999998</v>
      </c>
      <c r="P5249">
        <v>-0.25643779999999999</v>
      </c>
      <c r="Q5249">
        <v>1.212298E-2</v>
      </c>
      <c r="R5249">
        <v>-0.96648469999999997</v>
      </c>
      <c r="S5249">
        <v>-5.5786130000000003E-2</v>
      </c>
      <c r="T5249">
        <v>-0.10686519999999999</v>
      </c>
      <c r="U5249">
        <v>-3.0922700000000001</v>
      </c>
      <c r="V5249">
        <v>1.7925859999999998E-2</v>
      </c>
      <c r="W5249">
        <v>2.5903010000000001E-2</v>
      </c>
      <c r="X5249">
        <v>0.99950369999999999</v>
      </c>
      <c r="Y5249">
        <v>-0.22147449999999999</v>
      </c>
      <c r="Z5249">
        <v>3.260644E-2</v>
      </c>
      <c r="AA5249">
        <v>0.97462090000000001</v>
      </c>
      <c r="AB5249">
        <v>23</v>
      </c>
      <c r="AC5249">
        <v>-0.52690000000001103</v>
      </c>
      <c r="AD5249">
        <v>-1.1117254318649901</v>
      </c>
      <c r="AE5249">
        <v>-31.945049999999899</v>
      </c>
      <c r="AF5249">
        <v>-7.1152648996464798</v>
      </c>
      <c r="AG5249">
        <v>-1.1117254318649901</v>
      </c>
      <c r="AH5249">
        <v>31.1073860005888</v>
      </c>
      <c r="AI5249">
        <v>91.995296514470695</v>
      </c>
      <c r="AJ5249">
        <v>102.88376253005799</v>
      </c>
      <c r="AK5249">
        <v>31.930117316064301</v>
      </c>
      <c r="AL5249">
        <v>88.515700794971806</v>
      </c>
      <c r="AM5249">
        <v>88.972524041905302</v>
      </c>
      <c r="AN5249">
        <v>0.99999997434874399</v>
      </c>
    </row>
    <row r="5250" spans="1:40" x14ac:dyDescent="0.25">
      <c r="A5250" t="str">
        <f>"20190312154402064"</f>
        <v>20190312154402064</v>
      </c>
      <c r="B5250" t="str">
        <f>"1552376642052521"</f>
        <v>1552376642052521</v>
      </c>
      <c r="C5250" t="s">
        <v>40</v>
      </c>
      <c r="D5250">
        <v>4.8367230000000001</v>
      </c>
      <c r="E5250">
        <v>0.40520040000000002</v>
      </c>
      <c r="F5250" t="s">
        <v>43</v>
      </c>
      <c r="G5250">
        <v>-420.34429999999998</v>
      </c>
      <c r="H5250" s="1">
        <v>-1.9340769999999998E-6</v>
      </c>
      <c r="I5250">
        <v>73.883919999999904</v>
      </c>
      <c r="J5250">
        <v>-419.97550000000001</v>
      </c>
      <c r="K5250">
        <v>1.11171</v>
      </c>
      <c r="L5250">
        <v>109.0398</v>
      </c>
      <c r="M5250">
        <v>-0.2373267</v>
      </c>
      <c r="N5250">
        <v>0</v>
      </c>
      <c r="O5250">
        <v>-0.97133309999999995</v>
      </c>
      <c r="P5250">
        <v>-0.25481749999999997</v>
      </c>
      <c r="Q5250">
        <v>1.2626770000000001E-2</v>
      </c>
      <c r="R5250">
        <v>-0.96690679999999996</v>
      </c>
      <c r="S5250">
        <v>-3.6712649999999999E-2</v>
      </c>
      <c r="T5250">
        <v>-9.7296830000000001E-2</v>
      </c>
      <c r="U5250">
        <v>-3.09552</v>
      </c>
      <c r="V5250">
        <v>1.7970880000000002E-2</v>
      </c>
      <c r="W5250">
        <v>2.6404E-2</v>
      </c>
      <c r="X5250">
        <v>0.99948979999999998</v>
      </c>
      <c r="Y5250">
        <v>-0.22581599999999999</v>
      </c>
      <c r="Z5250">
        <v>2.9663479999999999E-2</v>
      </c>
      <c r="AA5250">
        <v>0.97371819999999998</v>
      </c>
      <c r="AB5250">
        <v>23</v>
      </c>
      <c r="AC5250">
        <v>-0.36879999999996399</v>
      </c>
      <c r="AD5250">
        <v>-1.1117119340770001</v>
      </c>
      <c r="AE5250">
        <v>-35.155880000000003</v>
      </c>
      <c r="AF5250">
        <v>-7.97797535056855</v>
      </c>
      <c r="AG5250">
        <v>-1.1117119340770001</v>
      </c>
      <c r="AH5250">
        <v>34.204615430379597</v>
      </c>
      <c r="AI5250">
        <v>91.812934350652895</v>
      </c>
      <c r="AJ5250">
        <v>103.129095036355</v>
      </c>
      <c r="AK5250">
        <v>35.140286152204403</v>
      </c>
      <c r="AL5250">
        <v>88.486986386004304</v>
      </c>
      <c r="AM5250">
        <v>88.969929815020095</v>
      </c>
      <c r="AN5250">
        <v>0.99999999202400702</v>
      </c>
    </row>
    <row r="5251" spans="1:40" x14ac:dyDescent="0.25">
      <c r="A5251" t="str">
        <f>"20190312154402087"</f>
        <v>20190312154402087</v>
      </c>
      <c r="B5251" t="str">
        <f>"1552376642082779"</f>
        <v>1552376642082779</v>
      </c>
      <c r="C5251" t="s">
        <v>40</v>
      </c>
      <c r="D5251">
        <v>5.0166170000000001</v>
      </c>
      <c r="E5251">
        <v>0.40493400000000002</v>
      </c>
      <c r="F5251" t="s">
        <v>43</v>
      </c>
      <c r="G5251">
        <v>-420.31110000000001</v>
      </c>
      <c r="H5251" s="1">
        <v>-5.519062E-7</v>
      </c>
      <c r="I5251">
        <v>70.682640000000006</v>
      </c>
      <c r="J5251">
        <v>-420.02780000000001</v>
      </c>
      <c r="K5251">
        <v>1.1117010000000001</v>
      </c>
      <c r="L5251">
        <v>108.8169</v>
      </c>
      <c r="M5251">
        <v>-0.23559160000000001</v>
      </c>
      <c r="N5251">
        <v>0</v>
      </c>
      <c r="O5251">
        <v>-0.97175540000000005</v>
      </c>
      <c r="P5251">
        <v>-0.25355460000000002</v>
      </c>
      <c r="Q5251">
        <v>1.193876E-2</v>
      </c>
      <c r="R5251">
        <v>-0.96724770000000004</v>
      </c>
      <c r="S5251">
        <v>-2.709961E-2</v>
      </c>
      <c r="T5251">
        <v>-8.9752440000000003E-2</v>
      </c>
      <c r="U5251">
        <v>-3.0967099999999999</v>
      </c>
      <c r="V5251">
        <v>1.8451229999999999E-2</v>
      </c>
      <c r="W5251">
        <v>2.570853E-2</v>
      </c>
      <c r="X5251">
        <v>0.99949920000000003</v>
      </c>
      <c r="Y5251">
        <v>-0.22710240000000001</v>
      </c>
      <c r="Z5251">
        <v>2.736914E-2</v>
      </c>
      <c r="AA5251">
        <v>0.97348619999999997</v>
      </c>
      <c r="AB5251">
        <v>23</v>
      </c>
      <c r="AC5251">
        <v>-0.283299999999997</v>
      </c>
      <c r="AD5251">
        <v>-1.1117015519061999</v>
      </c>
      <c r="AE5251">
        <v>-38.134259999999998</v>
      </c>
      <c r="AF5251">
        <v>-8.7022366967294893</v>
      </c>
      <c r="AG5251">
        <v>-1.1117015519061999</v>
      </c>
      <c r="AH5251">
        <v>37.095882624013299</v>
      </c>
      <c r="AI5251">
        <v>91.671203212044404</v>
      </c>
      <c r="AJ5251">
        <v>103.202160803479</v>
      </c>
      <c r="AK5251">
        <v>38.1191462590781</v>
      </c>
      <c r="AL5251">
        <v>88.526847448401398</v>
      </c>
      <c r="AM5251">
        <v>88.942412821514395</v>
      </c>
      <c r="AN5251">
        <v>1.00000001360195</v>
      </c>
    </row>
    <row r="5252" spans="1:40" x14ac:dyDescent="0.25">
      <c r="A5252" t="str">
        <f>"20190312154402110"</f>
        <v>20190312154402110</v>
      </c>
      <c r="B5252" t="str">
        <f>"1552376642102298"</f>
        <v>1552376642102298</v>
      </c>
      <c r="C5252" t="s">
        <v>40</v>
      </c>
      <c r="D5252">
        <v>4.8807489999999998</v>
      </c>
      <c r="E5252">
        <v>0.40502290000000002</v>
      </c>
      <c r="F5252" t="s">
        <v>43</v>
      </c>
      <c r="G5252">
        <v>-420.28050000000002</v>
      </c>
      <c r="H5252" s="1">
        <v>-6.0136630000000002E-7</v>
      </c>
      <c r="I5252">
        <v>70.816929999999999</v>
      </c>
      <c r="J5252">
        <v>-420.07940000000002</v>
      </c>
      <c r="K5252">
        <v>1.1116740000000001</v>
      </c>
      <c r="L5252">
        <v>108.5951</v>
      </c>
      <c r="M5252">
        <v>-0.2338616</v>
      </c>
      <c r="N5252">
        <v>0</v>
      </c>
      <c r="O5252">
        <v>-0.97217390000000004</v>
      </c>
      <c r="P5252">
        <v>-0.25241330000000001</v>
      </c>
      <c r="Q5252">
        <v>1.0432810000000001E-2</v>
      </c>
      <c r="R5252">
        <v>-0.96756370000000003</v>
      </c>
      <c r="S5252">
        <v>-2.0599369999999999E-2</v>
      </c>
      <c r="T5252">
        <v>-9.0611700000000003E-2</v>
      </c>
      <c r="U5252">
        <v>-3.0972749999999998</v>
      </c>
      <c r="V5252">
        <v>1.905161E-2</v>
      </c>
      <c r="W5252">
        <v>2.4151189999999999E-2</v>
      </c>
      <c r="X5252">
        <v>0.99952669999999999</v>
      </c>
      <c r="Y5252">
        <v>-0.22741330000000001</v>
      </c>
      <c r="Z5252">
        <v>2.7643290000000001E-2</v>
      </c>
      <c r="AA5252">
        <v>0.97340590000000005</v>
      </c>
      <c r="AB5252">
        <v>23</v>
      </c>
      <c r="AC5252">
        <v>-0.201099999999996</v>
      </c>
      <c r="AD5252">
        <v>-1.1116746013662999</v>
      </c>
      <c r="AE5252">
        <v>-37.778170000000003</v>
      </c>
      <c r="AF5252">
        <v>-8.6326906004424604</v>
      </c>
      <c r="AG5252">
        <v>-1.1116746013662999</v>
      </c>
      <c r="AH5252">
        <v>36.745595497386901</v>
      </c>
      <c r="AI5252">
        <v>91.686955448982204</v>
      </c>
      <c r="AJ5252">
        <v>103.220821036068</v>
      </c>
      <c r="AK5252">
        <v>37.762388111451202</v>
      </c>
      <c r="AL5252">
        <v>88.616104095952295</v>
      </c>
      <c r="AM5252">
        <v>88.908038492627398</v>
      </c>
      <c r="AN5252">
        <v>0.99999993391744602</v>
      </c>
    </row>
    <row r="5253" spans="1:40" x14ac:dyDescent="0.25">
      <c r="A5253" t="str">
        <f>"20190312154402132"</f>
        <v>20190312154402132</v>
      </c>
      <c r="B5253" t="str">
        <f>"1552376642122794"</f>
        <v>1552376642122794</v>
      </c>
      <c r="C5253" t="s">
        <v>40</v>
      </c>
      <c r="D5253">
        <v>4.8852650000000004</v>
      </c>
      <c r="E5253">
        <v>0.40493400000000002</v>
      </c>
      <c r="F5253" t="s">
        <v>43</v>
      </c>
      <c r="G5253">
        <v>-420.2928</v>
      </c>
      <c r="H5253" s="1">
        <v>-1.139292E-6</v>
      </c>
      <c r="I5253">
        <v>72.063190000000006</v>
      </c>
      <c r="J5253">
        <v>-420.13040000000001</v>
      </c>
      <c r="K5253">
        <v>1.111639</v>
      </c>
      <c r="L5253">
        <v>108.37430000000001</v>
      </c>
      <c r="M5253">
        <v>-0.23212940000000001</v>
      </c>
      <c r="N5253">
        <v>0</v>
      </c>
      <c r="O5253">
        <v>-0.97259079999999998</v>
      </c>
      <c r="P5253">
        <v>-0.25151469999999998</v>
      </c>
      <c r="Q5253">
        <v>8.3930710000000002E-3</v>
      </c>
      <c r="R5253">
        <v>-0.96781729999999999</v>
      </c>
      <c r="S5253">
        <v>-1.8096919999999999E-2</v>
      </c>
      <c r="T5253">
        <v>-9.4238279999999994E-2</v>
      </c>
      <c r="U5253">
        <v>-3.0968629999999999</v>
      </c>
      <c r="V5253">
        <v>1.9905519999999999E-2</v>
      </c>
      <c r="W5253">
        <v>2.1983590000000001E-2</v>
      </c>
      <c r="X5253">
        <v>0.99956020000000001</v>
      </c>
      <c r="Y5253">
        <v>-0.2264639</v>
      </c>
      <c r="Z5253">
        <v>2.8774830000000001E-2</v>
      </c>
      <c r="AA5253">
        <v>0.97359439999999997</v>
      </c>
      <c r="AB5253">
        <v>23</v>
      </c>
      <c r="AC5253">
        <v>-0.162399999999991</v>
      </c>
      <c r="AD5253">
        <v>-1.1116401392919999</v>
      </c>
      <c r="AE5253">
        <v>-36.311109999999999</v>
      </c>
      <c r="AF5253">
        <v>-8.2639395313419008</v>
      </c>
      <c r="AG5253">
        <v>-1.1116401392919999</v>
      </c>
      <c r="AH5253">
        <v>35.323680005964597</v>
      </c>
      <c r="AI5253">
        <v>91.755148819874407</v>
      </c>
      <c r="AJ5253">
        <v>103.167471350611</v>
      </c>
      <c r="AK5253">
        <v>36.294501092324502</v>
      </c>
      <c r="AL5253">
        <v>88.740331662701195</v>
      </c>
      <c r="AM5253">
        <v>88.859146698061295</v>
      </c>
      <c r="AN5253">
        <v>1.0000000506898901</v>
      </c>
    </row>
    <row r="5254" spans="1:40" x14ac:dyDescent="0.25">
      <c r="A5254" t="str">
        <f>"20190312154402155"</f>
        <v>20190312154402155</v>
      </c>
      <c r="B5254" t="str">
        <f>"1552376642142315"</f>
        <v>1552376642142315</v>
      </c>
      <c r="C5254" t="s">
        <v>40</v>
      </c>
      <c r="D5254">
        <v>4.9057190000000004</v>
      </c>
      <c r="E5254">
        <v>0.40489350000000002</v>
      </c>
      <c r="F5254" t="s">
        <v>43</v>
      </c>
      <c r="G5254">
        <v>-420.28199999999998</v>
      </c>
      <c r="H5254" s="1">
        <v>-2.3942100000000002E-6</v>
      </c>
      <c r="I5254">
        <v>74.995159999999998</v>
      </c>
      <c r="J5254">
        <v>-420.18099999999998</v>
      </c>
      <c r="K5254">
        <v>1.1116060000000001</v>
      </c>
      <c r="L5254">
        <v>108.1534</v>
      </c>
      <c r="M5254">
        <v>-0.23038610000000001</v>
      </c>
      <c r="N5254">
        <v>0</v>
      </c>
      <c r="O5254">
        <v>-0.97300770000000003</v>
      </c>
      <c r="P5254">
        <v>-0.25021090000000001</v>
      </c>
      <c r="Q5254">
        <v>8.0638289999999998E-3</v>
      </c>
      <c r="R5254">
        <v>-0.96815799999999996</v>
      </c>
      <c r="S5254">
        <v>-1.4068600000000001E-2</v>
      </c>
      <c r="T5254">
        <v>-0.10314130000000001</v>
      </c>
      <c r="U5254">
        <v>-3.0970149999999999</v>
      </c>
      <c r="V5254">
        <v>2.0351459999999998E-2</v>
      </c>
      <c r="W5254">
        <v>2.148255E-2</v>
      </c>
      <c r="X5254">
        <v>0.99956210000000001</v>
      </c>
      <c r="Y5254">
        <v>-0.22598460000000001</v>
      </c>
      <c r="Z5254">
        <v>3.151147E-2</v>
      </c>
      <c r="AA5254">
        <v>0.97362110000000002</v>
      </c>
      <c r="AB5254">
        <v>23</v>
      </c>
      <c r="AC5254">
        <v>-0.10099999999999899</v>
      </c>
      <c r="AD5254">
        <v>-1.1116083942099999</v>
      </c>
      <c r="AE5254">
        <v>-33.158239999999999</v>
      </c>
      <c r="AF5254">
        <v>-7.5331297637221697</v>
      </c>
      <c r="AG5254">
        <v>-1.1116083942099999</v>
      </c>
      <c r="AH5254">
        <v>32.253121560492197</v>
      </c>
      <c r="AI5254">
        <v>91.9222319804352</v>
      </c>
      <c r="AJ5254">
        <v>103.146490943033</v>
      </c>
      <c r="AK5254">
        <v>33.139818461407401</v>
      </c>
      <c r="AL5254">
        <v>88.769045903885598</v>
      </c>
      <c r="AM5254">
        <v>88.833597554451799</v>
      </c>
      <c r="AN5254">
        <v>1.0000000368175199</v>
      </c>
    </row>
    <row r="5255" spans="1:40" x14ac:dyDescent="0.25">
      <c r="A5255" t="str">
        <f>"20190312154402177"</f>
        <v>20190312154402177</v>
      </c>
      <c r="B5255" t="str">
        <f>"1552376642172570"</f>
        <v>1552376642172570</v>
      </c>
      <c r="C5255" t="s">
        <v>40</v>
      </c>
      <c r="D5255">
        <v>4.9280970000000002</v>
      </c>
      <c r="E5255">
        <v>0.40492119999999998</v>
      </c>
      <c r="F5255" t="s">
        <v>43</v>
      </c>
      <c r="G5255">
        <v>-420.2808</v>
      </c>
      <c r="H5255" s="1">
        <v>-2.737859E-6</v>
      </c>
      <c r="I5255">
        <v>75.796989999999994</v>
      </c>
      <c r="J5255">
        <v>-420.23239999999998</v>
      </c>
      <c r="K5255">
        <v>1.1115839999999999</v>
      </c>
      <c r="L5255">
        <v>107.9265</v>
      </c>
      <c r="M5255">
        <v>-0.22856599999999999</v>
      </c>
      <c r="N5255">
        <v>0</v>
      </c>
      <c r="O5255">
        <v>-0.97343979999999997</v>
      </c>
      <c r="P5255">
        <v>-0.2479095</v>
      </c>
      <c r="Q5255">
        <v>8.9648939999999993E-3</v>
      </c>
      <c r="R5255">
        <v>-0.96874190000000004</v>
      </c>
      <c r="S5255">
        <v>-9.5520020000000004E-3</v>
      </c>
      <c r="T5255">
        <v>-0.1064011</v>
      </c>
      <c r="U5255">
        <v>-3.097092</v>
      </c>
      <c r="V5255">
        <v>1.984549E-2</v>
      </c>
      <c r="W5255">
        <v>2.2160929999999999E-2</v>
      </c>
      <c r="X5255">
        <v>0.99955740000000004</v>
      </c>
      <c r="Y5255">
        <v>-0.225582</v>
      </c>
      <c r="Z5255">
        <v>3.2529160000000001E-2</v>
      </c>
      <c r="AA5255">
        <v>0.97368100000000002</v>
      </c>
      <c r="AB5255">
        <v>23</v>
      </c>
      <c r="AC5255">
        <v>-4.8400000000015098E-2</v>
      </c>
      <c r="AD5255">
        <v>-1.1115867378590001</v>
      </c>
      <c r="AE5255">
        <v>-32.129510000000003</v>
      </c>
      <c r="AF5255">
        <v>-7.2885046472431601</v>
      </c>
      <c r="AG5255">
        <v>-1.1115867378590001</v>
      </c>
      <c r="AH5255">
        <v>31.252498062472998</v>
      </c>
      <c r="AI5255">
        <v>91.983843057871596</v>
      </c>
      <c r="AJ5255">
        <v>103.127511031827</v>
      </c>
      <c r="AK5255">
        <v>32.110380879297402</v>
      </c>
      <c r="AL5255">
        <v>88.730168255107799</v>
      </c>
      <c r="AM5255">
        <v>88.862583131747201</v>
      </c>
      <c r="AN5255">
        <v>0.99999997309328204</v>
      </c>
    </row>
    <row r="5256" spans="1:40" x14ac:dyDescent="0.25">
      <c r="A5256" t="str">
        <f>"20190312154402199"</f>
        <v>20190312154402199</v>
      </c>
      <c r="B5256" t="str">
        <f>"1552376642193066"</f>
        <v>1552376642193066</v>
      </c>
      <c r="C5256" t="s">
        <v>40</v>
      </c>
      <c r="D5256">
        <v>4.9061269999999997</v>
      </c>
      <c r="E5256">
        <v>0.4049644</v>
      </c>
      <c r="F5256" t="s">
        <v>43</v>
      </c>
      <c r="G5256">
        <v>-420.26060000000001</v>
      </c>
      <c r="H5256" s="1">
        <v>-2.5642719999999998E-6</v>
      </c>
      <c r="I5256">
        <v>75.404859999999999</v>
      </c>
      <c r="J5256">
        <v>-420.28230000000002</v>
      </c>
      <c r="K5256">
        <v>1.111559</v>
      </c>
      <c r="L5256">
        <v>107.7047</v>
      </c>
      <c r="M5256">
        <v>-0.22673679999999999</v>
      </c>
      <c r="N5256">
        <v>0</v>
      </c>
      <c r="O5256">
        <v>-0.97387089999999998</v>
      </c>
      <c r="P5256">
        <v>-0.24535370000000001</v>
      </c>
      <c r="Q5256">
        <v>1.106623E-2</v>
      </c>
      <c r="R5256">
        <v>-0.96937059999999997</v>
      </c>
      <c r="S5256">
        <v>-2.6855469999999999E-3</v>
      </c>
      <c r="T5256">
        <v>-0.1058583</v>
      </c>
      <c r="U5256">
        <v>-3.097092</v>
      </c>
      <c r="V5256">
        <v>1.9086570000000001E-2</v>
      </c>
      <c r="W5256">
        <v>2.3999590000000001E-2</v>
      </c>
      <c r="X5256">
        <v>0.99952980000000002</v>
      </c>
      <c r="Y5256">
        <v>-0.22590979999999999</v>
      </c>
      <c r="Z5256">
        <v>3.2384000000000003E-2</v>
      </c>
      <c r="AA5256">
        <v>0.97360979999999997</v>
      </c>
      <c r="AB5256">
        <v>23</v>
      </c>
      <c r="AC5256">
        <v>2.1700000000009802E-2</v>
      </c>
      <c r="AD5256">
        <v>-1.111561564272</v>
      </c>
      <c r="AE5256">
        <v>-32.299840000000003</v>
      </c>
      <c r="AF5256">
        <v>-7.33661581400355</v>
      </c>
      <c r="AG5256">
        <v>-1.111561564272</v>
      </c>
      <c r="AH5256">
        <v>31.416356377959101</v>
      </c>
      <c r="AI5256">
        <v>91.973321990968003</v>
      </c>
      <c r="AJ5256">
        <v>103.144628832799</v>
      </c>
      <c r="AK5256">
        <v>32.2807829641783</v>
      </c>
      <c r="AL5256">
        <v>88.624792813804305</v>
      </c>
      <c r="AM5256">
        <v>88.906038604883094</v>
      </c>
      <c r="AN5256">
        <v>1.0000000492812799</v>
      </c>
    </row>
    <row r="5257" spans="1:40" x14ac:dyDescent="0.25">
      <c r="A5257" t="str">
        <f>"20190312154402221"</f>
        <v>20190312154402221</v>
      </c>
      <c r="B5257" t="str">
        <f>"1552376642212585"</f>
        <v>1552376642212585</v>
      </c>
      <c r="C5257" t="s">
        <v>40</v>
      </c>
      <c r="D5257">
        <v>4.9086129999999999</v>
      </c>
      <c r="E5257">
        <v>0.4050049</v>
      </c>
      <c r="F5257" t="s">
        <v>43</v>
      </c>
      <c r="G5257">
        <v>-420.21780000000001</v>
      </c>
      <c r="H5257" s="1">
        <v>-1.564631E-6</v>
      </c>
      <c r="I5257">
        <v>73.101200000000006</v>
      </c>
      <c r="J5257">
        <v>-420.33019999999999</v>
      </c>
      <c r="K5257">
        <v>1.1115469999999901</v>
      </c>
      <c r="L5257">
        <v>107.48950000000001</v>
      </c>
      <c r="M5257">
        <v>-0.2249005</v>
      </c>
      <c r="N5257">
        <v>0</v>
      </c>
      <c r="O5257">
        <v>-0.97430030000000001</v>
      </c>
      <c r="P5257">
        <v>-0.24283460000000001</v>
      </c>
      <c r="Q5257">
        <v>1.206759E-2</v>
      </c>
      <c r="R5257">
        <v>-0.96999259999999998</v>
      </c>
      <c r="S5257">
        <v>5.7678219999999997E-3</v>
      </c>
      <c r="T5257">
        <v>-9.9497080000000002E-2</v>
      </c>
      <c r="U5257">
        <v>-3.097397</v>
      </c>
      <c r="V5257">
        <v>1.8373609999999999E-2</v>
      </c>
      <c r="W5257">
        <v>2.4706530000000001E-2</v>
      </c>
      <c r="X5257">
        <v>0.99952589999999997</v>
      </c>
      <c r="Y5257">
        <v>-0.22672999999999999</v>
      </c>
      <c r="Z5257">
        <v>3.045432E-2</v>
      </c>
      <c r="AA5257">
        <v>0.97348140000000005</v>
      </c>
      <c r="AB5257">
        <v>23</v>
      </c>
      <c r="AC5257">
        <v>0.112399999999979</v>
      </c>
      <c r="AD5257">
        <v>-1.1115485646309999</v>
      </c>
      <c r="AE5257">
        <v>-34.388300000000001</v>
      </c>
      <c r="AF5257">
        <v>-7.8358927363475797</v>
      </c>
      <c r="AG5257">
        <v>-1.1115485646309999</v>
      </c>
      <c r="AH5257">
        <v>33.4469637264733</v>
      </c>
      <c r="AI5257">
        <v>91.853275832976095</v>
      </c>
      <c r="AJ5257">
        <v>103.18535037239801</v>
      </c>
      <c r="AK5257">
        <v>34.370570808572502</v>
      </c>
      <c r="AL5257">
        <v>88.584276069447199</v>
      </c>
      <c r="AM5257">
        <v>88.946888964592404</v>
      </c>
      <c r="AN5257">
        <v>1.0000000134699401</v>
      </c>
    </row>
    <row r="5258" spans="1:40" x14ac:dyDescent="0.25">
      <c r="A5258" t="str">
        <f>"20190312154402243"</f>
        <v>20190312154402243</v>
      </c>
      <c r="B5258" t="str">
        <f>"1552376642233082"</f>
        <v>1552376642233082</v>
      </c>
      <c r="C5258" t="s">
        <v>40</v>
      </c>
      <c r="D5258">
        <v>4.8956480000000004</v>
      </c>
      <c r="E5258">
        <v>0.40512710000000002</v>
      </c>
      <c r="F5258" t="s">
        <v>43</v>
      </c>
      <c r="G5258">
        <v>-420.17869999999999</v>
      </c>
      <c r="H5258" s="1">
        <v>-1.036672E-6</v>
      </c>
      <c r="I5258">
        <v>71.894800000000004</v>
      </c>
      <c r="J5258">
        <v>-420.37950000000001</v>
      </c>
      <c r="K5258">
        <v>1.111534</v>
      </c>
      <c r="L5258">
        <v>107.26560000000001</v>
      </c>
      <c r="M5258">
        <v>-0.222908</v>
      </c>
      <c r="N5258">
        <v>0</v>
      </c>
      <c r="O5258">
        <v>-0.97476280000000004</v>
      </c>
      <c r="P5258">
        <v>-0.24039959999999999</v>
      </c>
      <c r="Q5258">
        <v>1.190771E-2</v>
      </c>
      <c r="R5258">
        <v>-0.97060139999999995</v>
      </c>
      <c r="S5258">
        <v>1.318359E-2</v>
      </c>
      <c r="T5258">
        <v>-9.6721769999999999E-2</v>
      </c>
      <c r="U5258">
        <v>-3.0972900000000001</v>
      </c>
      <c r="V5258">
        <v>1.7907579999999999E-2</v>
      </c>
      <c r="W5258">
        <v>2.4204099999999999E-2</v>
      </c>
      <c r="X5258">
        <v>0.99954659999999995</v>
      </c>
      <c r="Y5258">
        <v>-0.22706860000000001</v>
      </c>
      <c r="Z5258">
        <v>2.9626690000000001E-2</v>
      </c>
      <c r="AA5258">
        <v>0.97342799999999996</v>
      </c>
      <c r="AB5258">
        <v>23</v>
      </c>
      <c r="AC5258">
        <v>0.20080000000001499</v>
      </c>
      <c r="AD5258">
        <v>-1.111535036672</v>
      </c>
      <c r="AE5258">
        <v>-35.370800000000003</v>
      </c>
      <c r="AF5258">
        <v>-8.0727987574489202</v>
      </c>
      <c r="AG5258">
        <v>-1.111535036672</v>
      </c>
      <c r="AH5258">
        <v>34.401982045479301</v>
      </c>
      <c r="AI5258">
        <v>91.801687185653094</v>
      </c>
      <c r="AJ5258">
        <v>103.20613554673599</v>
      </c>
      <c r="AK5258">
        <v>35.353952516988798</v>
      </c>
      <c r="AL5258">
        <v>88.613071729580099</v>
      </c>
      <c r="AM5258">
        <v>88.973615636542405</v>
      </c>
      <c r="AN5258">
        <v>0.99999996272491198</v>
      </c>
    </row>
    <row r="5259" spans="1:40" x14ac:dyDescent="0.25">
      <c r="A5259" t="str">
        <f>"20190312154402266"</f>
        <v>20190312154402266</v>
      </c>
      <c r="B5259" t="str">
        <f>"1552376642262362"</f>
        <v>1552376642262362</v>
      </c>
      <c r="C5259" t="s">
        <v>40</v>
      </c>
      <c r="D5259">
        <v>4.8807410000000004</v>
      </c>
      <c r="E5259">
        <v>0.40533089999999999</v>
      </c>
      <c r="F5259" t="s">
        <v>43</v>
      </c>
      <c r="G5259">
        <v>-420.14609999999999</v>
      </c>
      <c r="H5259" s="1">
        <v>-1.055053E-6</v>
      </c>
      <c r="I5259">
        <v>71.957840000000004</v>
      </c>
      <c r="J5259">
        <v>-420.42770000000002</v>
      </c>
      <c r="K5259">
        <v>1.11154</v>
      </c>
      <c r="L5259">
        <v>107.0446</v>
      </c>
      <c r="M5259">
        <v>-0.22084770000000001</v>
      </c>
      <c r="N5259">
        <v>0</v>
      </c>
      <c r="O5259">
        <v>-0.97523599999999999</v>
      </c>
      <c r="P5259">
        <v>-0.2383634</v>
      </c>
      <c r="Q5259">
        <v>1.1710430000000001E-2</v>
      </c>
      <c r="R5259">
        <v>-0.97110560000000001</v>
      </c>
      <c r="S5259">
        <v>2.0477289999999999E-2</v>
      </c>
      <c r="T5259">
        <v>-9.7502110000000003E-2</v>
      </c>
      <c r="U5259">
        <v>-3.097137</v>
      </c>
      <c r="V5259">
        <v>1.7921369999999999E-2</v>
      </c>
      <c r="W5259">
        <v>2.3643979999999998E-2</v>
      </c>
      <c r="X5259">
        <v>0.9995598</v>
      </c>
      <c r="Y5259">
        <v>-0.22730230000000001</v>
      </c>
      <c r="Z5259">
        <v>2.988795E-2</v>
      </c>
      <c r="AA5259">
        <v>0.97336549999999999</v>
      </c>
      <c r="AB5259">
        <v>23</v>
      </c>
      <c r="AC5259">
        <v>0.281600000000025</v>
      </c>
      <c r="AD5259">
        <v>-1.111541055053</v>
      </c>
      <c r="AE5259">
        <v>-35.086759999999998</v>
      </c>
      <c r="AF5259">
        <v>-8.0159781803832608</v>
      </c>
      <c r="AG5259">
        <v>-1.111541055053</v>
      </c>
      <c r="AH5259">
        <v>34.1238448503616</v>
      </c>
      <c r="AI5259">
        <v>91.816272454075701</v>
      </c>
      <c r="AJ5259">
        <v>103.21957807801</v>
      </c>
      <c r="AK5259">
        <v>35.070332434651903</v>
      </c>
      <c r="AL5259">
        <v>88.645173486693594</v>
      </c>
      <c r="AM5259">
        <v>88.972838984946605</v>
      </c>
      <c r="AN5259">
        <v>1.00000000353447</v>
      </c>
    </row>
    <row r="5260" spans="1:40" x14ac:dyDescent="0.25">
      <c r="A5260" t="str">
        <f>"20190312154402288"</f>
        <v>20190312154402288</v>
      </c>
      <c r="B5260" t="str">
        <f>"1552376642282858"</f>
        <v>1552376642282858</v>
      </c>
      <c r="C5260" t="s">
        <v>40</v>
      </c>
      <c r="D5260">
        <v>4.956944</v>
      </c>
      <c r="E5260">
        <v>0.40558450000000001</v>
      </c>
      <c r="F5260" t="s">
        <v>43</v>
      </c>
      <c r="G5260">
        <v>-420.15190000000001</v>
      </c>
      <c r="H5260" s="1">
        <v>-1.518188E-6</v>
      </c>
      <c r="I5260">
        <v>73.033850000000001</v>
      </c>
      <c r="J5260">
        <v>-420.4769</v>
      </c>
      <c r="K5260">
        <v>1.111559</v>
      </c>
      <c r="L5260">
        <v>106.8163</v>
      </c>
      <c r="M5260">
        <v>-0.21860009999999999</v>
      </c>
      <c r="N5260">
        <v>0</v>
      </c>
      <c r="O5260">
        <v>-0.97574700000000003</v>
      </c>
      <c r="P5260">
        <v>-0.23663609999999999</v>
      </c>
      <c r="Q5260">
        <v>1.1501020000000001E-2</v>
      </c>
      <c r="R5260">
        <v>-0.97153060000000002</v>
      </c>
      <c r="S5260">
        <v>2.5115970000000001E-2</v>
      </c>
      <c r="T5260">
        <v>-0.1012048</v>
      </c>
      <c r="U5260">
        <v>-3.0966490000000002</v>
      </c>
      <c r="V5260">
        <v>1.8444390000000001E-2</v>
      </c>
      <c r="W5260">
        <v>2.3047620000000001E-2</v>
      </c>
      <c r="X5260">
        <v>0.99956420000000001</v>
      </c>
      <c r="Y5260">
        <v>-0.226516</v>
      </c>
      <c r="Z5260">
        <v>3.1054229999999999E-2</v>
      </c>
      <c r="AA5260">
        <v>0.9735123</v>
      </c>
      <c r="AB5260">
        <v>23</v>
      </c>
      <c r="AC5260">
        <v>0.32499999999998802</v>
      </c>
      <c r="AD5260">
        <v>-1.1115605181879999</v>
      </c>
      <c r="AE5260">
        <v>-33.782449999999997</v>
      </c>
      <c r="AF5260">
        <v>-7.6941430740205403</v>
      </c>
      <c r="AG5260">
        <v>-1.1115605181879999</v>
      </c>
      <c r="AH5260">
        <v>32.858676002744502</v>
      </c>
      <c r="AI5260">
        <v>91.886502622169999</v>
      </c>
      <c r="AJ5260">
        <v>103.178859447482</v>
      </c>
      <c r="AK5260">
        <v>33.765781393037997</v>
      </c>
      <c r="AL5260">
        <v>88.679351694392395</v>
      </c>
      <c r="AM5260">
        <v>88.942873519529201</v>
      </c>
      <c r="AN5260">
        <v>0.99999998911588805</v>
      </c>
    </row>
    <row r="5261" spans="1:40" x14ac:dyDescent="0.25">
      <c r="A5261" t="str">
        <f>"20190312154402311"</f>
        <v>20190312154402311</v>
      </c>
      <c r="B5261" t="str">
        <f>"1552376642302378"</f>
        <v>1552376642302378</v>
      </c>
      <c r="C5261" t="s">
        <v>40</v>
      </c>
      <c r="D5261">
        <v>4.8845720000000004</v>
      </c>
      <c r="E5261">
        <v>0.40589710000000001</v>
      </c>
      <c r="F5261" t="s">
        <v>43</v>
      </c>
      <c r="G5261">
        <v>-420.17430000000002</v>
      </c>
      <c r="H5261" s="1">
        <v>-1.747202E-6</v>
      </c>
      <c r="I5261">
        <v>73.553809999999999</v>
      </c>
      <c r="J5261">
        <v>-420.52530000000002</v>
      </c>
      <c r="K5261">
        <v>1.1115999999999999</v>
      </c>
      <c r="L5261">
        <v>106.58759999999999</v>
      </c>
      <c r="M5261">
        <v>-0.2162105</v>
      </c>
      <c r="N5261">
        <v>0</v>
      </c>
      <c r="O5261">
        <v>-0.97628400000000004</v>
      </c>
      <c r="P5261">
        <v>-0.2346009</v>
      </c>
      <c r="Q5261">
        <v>1.1614599999999999E-2</v>
      </c>
      <c r="R5261">
        <v>-0.97202270000000002</v>
      </c>
      <c r="S5261">
        <v>2.816772E-2</v>
      </c>
      <c r="T5261">
        <v>-0.103460999999999</v>
      </c>
      <c r="U5261">
        <v>-3.0959780000000001</v>
      </c>
      <c r="V5261">
        <v>1.8795030000000001E-2</v>
      </c>
      <c r="W5261">
        <v>2.2778280000000001E-2</v>
      </c>
      <c r="X5261">
        <v>0.99956389999999995</v>
      </c>
      <c r="Y5261">
        <v>-0.22509109999999999</v>
      </c>
      <c r="Z5261">
        <v>3.1784710000000001E-2</v>
      </c>
      <c r="AA5261">
        <v>0.97381910000000005</v>
      </c>
      <c r="AB5261">
        <v>23</v>
      </c>
      <c r="AC5261">
        <v>0.35099999999999898</v>
      </c>
      <c r="AD5261">
        <v>-1.1116017472019999</v>
      </c>
      <c r="AE5261">
        <v>-33.033790000000003</v>
      </c>
      <c r="AF5261">
        <v>-7.4769211422422597</v>
      </c>
      <c r="AG5261">
        <v>-1.1116017472019999</v>
      </c>
      <c r="AH5261">
        <v>32.140053001040499</v>
      </c>
      <c r="AI5261">
        <v>91.929372919951803</v>
      </c>
      <c r="AJ5261">
        <v>103.096104498088</v>
      </c>
      <c r="AK5261">
        <v>33.017010996172601</v>
      </c>
      <c r="AL5261">
        <v>88.694787867550801</v>
      </c>
      <c r="AM5261">
        <v>88.922781217089096</v>
      </c>
      <c r="AN5261">
        <v>1.00000004668783</v>
      </c>
    </row>
    <row r="5262" spans="1:40" x14ac:dyDescent="0.25">
      <c r="A5262" t="str">
        <f>"20190312154402333"</f>
        <v>20190312154402333</v>
      </c>
      <c r="B5262" t="str">
        <f>"1552376642322874"</f>
        <v>1552376642322874</v>
      </c>
      <c r="C5262" t="s">
        <v>40</v>
      </c>
      <c r="D5262">
        <v>4.9029730000000002</v>
      </c>
      <c r="E5262">
        <v>0.40621780000000002</v>
      </c>
      <c r="F5262" t="s">
        <v>43</v>
      </c>
      <c r="G5262">
        <v>-420.18790000000001</v>
      </c>
      <c r="H5262" s="1">
        <v>-1.940198E-6</v>
      </c>
      <c r="I5262">
        <v>73.995219999999904</v>
      </c>
      <c r="J5262">
        <v>-420.5727</v>
      </c>
      <c r="K5262">
        <v>1.1116469999999901</v>
      </c>
      <c r="L5262">
        <v>106.3609</v>
      </c>
      <c r="M5262">
        <v>-0.21373</v>
      </c>
      <c r="N5262">
        <v>0</v>
      </c>
      <c r="O5262">
        <v>-0.97683399999999998</v>
      </c>
      <c r="P5262">
        <v>-0.23143459999999999</v>
      </c>
      <c r="Q5262">
        <v>1.217357E-2</v>
      </c>
      <c r="R5262">
        <v>-0.97277460000000004</v>
      </c>
      <c r="S5262">
        <v>3.2043460000000003E-2</v>
      </c>
      <c r="T5262">
        <v>-0.1055707</v>
      </c>
      <c r="U5262">
        <v>-3.0953520000000001</v>
      </c>
      <c r="V5262">
        <v>1.80757E-2</v>
      </c>
      <c r="W5262">
        <v>2.297277E-2</v>
      </c>
      <c r="X5262">
        <v>0.99957269999999998</v>
      </c>
      <c r="Y5262">
        <v>-0.22383600000000001</v>
      </c>
      <c r="Z5262">
        <v>3.2471239999999998E-2</v>
      </c>
      <c r="AA5262">
        <v>0.97408570000000005</v>
      </c>
      <c r="AB5262">
        <v>23</v>
      </c>
      <c r="AC5262">
        <v>0.38479999999998399</v>
      </c>
      <c r="AD5262">
        <v>-1.1116489401980001</v>
      </c>
      <c r="AE5262">
        <v>-32.365679999999998</v>
      </c>
      <c r="AF5262">
        <v>-7.2852282172247502</v>
      </c>
      <c r="AG5262">
        <v>-1.1116489401980001</v>
      </c>
      <c r="AH5262">
        <v>31.4983110966315</v>
      </c>
      <c r="AI5262">
        <v>91.969317548396603</v>
      </c>
      <c r="AJ5262">
        <v>103.022914883588</v>
      </c>
      <c r="AK5262">
        <v>32.348939943736497</v>
      </c>
      <c r="AL5262">
        <v>88.683641474257101</v>
      </c>
      <c r="AM5262">
        <v>88.964008867751403</v>
      </c>
      <c r="AN5262">
        <v>1.0000000308386201</v>
      </c>
    </row>
    <row r="5263" spans="1:40" x14ac:dyDescent="0.25">
      <c r="A5263" t="str">
        <f>"20190312154402356"</f>
        <v>20190312154402356</v>
      </c>
      <c r="B5263" t="str">
        <f>"1552376642353130"</f>
        <v>1552376642353130</v>
      </c>
      <c r="C5263" t="s">
        <v>40</v>
      </c>
      <c r="D5263">
        <v>4.8578799999999998</v>
      </c>
      <c r="E5263">
        <v>0.40660180000000001</v>
      </c>
      <c r="F5263" t="s">
        <v>43</v>
      </c>
      <c r="G5263">
        <v>-420.15179999999998</v>
      </c>
      <c r="H5263" s="1">
        <v>-1.774074E-6</v>
      </c>
      <c r="I5263">
        <v>73.630369999999999</v>
      </c>
      <c r="J5263">
        <v>-420.61750000000001</v>
      </c>
      <c r="K5263">
        <v>1.1116889999999999</v>
      </c>
      <c r="L5263">
        <v>106.14319999999999</v>
      </c>
      <c r="M5263">
        <v>-0.21124219999999999</v>
      </c>
      <c r="N5263">
        <v>0</v>
      </c>
      <c r="O5263">
        <v>-0.97737870000000004</v>
      </c>
      <c r="P5263">
        <v>-0.227322</v>
      </c>
      <c r="Q5263">
        <v>1.213208E-2</v>
      </c>
      <c r="R5263">
        <v>-0.97374419999999995</v>
      </c>
      <c r="S5263">
        <v>3.9794919999999998E-2</v>
      </c>
      <c r="T5263">
        <v>-0.1051093</v>
      </c>
      <c r="U5263">
        <v>-3.094757</v>
      </c>
      <c r="V5263">
        <v>1.6394450000000001E-2</v>
      </c>
      <c r="W5263">
        <v>2.2584730000000001E-2</v>
      </c>
      <c r="X5263">
        <v>0.99961049999999996</v>
      </c>
      <c r="Y5263">
        <v>-0.2237952</v>
      </c>
      <c r="Z5263">
        <v>3.2362870000000002E-2</v>
      </c>
      <c r="AA5263">
        <v>0.97409869999999998</v>
      </c>
      <c r="AB5263">
        <v>23</v>
      </c>
      <c r="AC5263">
        <v>0.46570000000002598</v>
      </c>
      <c r="AD5263">
        <v>-1.1116907740740001</v>
      </c>
      <c r="AE5263">
        <v>-32.512829999999902</v>
      </c>
      <c r="AF5263">
        <v>-7.3150906041204298</v>
      </c>
      <c r="AG5263">
        <v>-1.1116907740740001</v>
      </c>
      <c r="AH5263">
        <v>31.643689019323102</v>
      </c>
      <c r="AI5263">
        <v>91.960401982313002</v>
      </c>
      <c r="AJ5263">
        <v>103.016448923149</v>
      </c>
      <c r="AK5263">
        <v>32.4972223686161</v>
      </c>
      <c r="AL5263">
        <v>88.705880258196899</v>
      </c>
      <c r="AM5263">
        <v>89.060385437022902</v>
      </c>
      <c r="AN5263">
        <v>0.99999999986511201</v>
      </c>
    </row>
    <row r="5264" spans="1:40" x14ac:dyDescent="0.25">
      <c r="A5264" t="str">
        <f>"20190312154402381"</f>
        <v>20190312154402381</v>
      </c>
      <c r="B5264" t="str">
        <f>"1552376642372650"</f>
        <v>1552376642372650</v>
      </c>
      <c r="C5264" t="s">
        <v>40</v>
      </c>
      <c r="D5264">
        <v>4.8365010000000002</v>
      </c>
      <c r="E5264">
        <v>0.40686519999999998</v>
      </c>
      <c r="F5264" t="s">
        <v>43</v>
      </c>
      <c r="G5264">
        <v>-420.08690000000001</v>
      </c>
      <c r="H5264" s="1">
        <v>-1.7451039999999999E-6</v>
      </c>
      <c r="I5264">
        <v>73.603080000000006</v>
      </c>
      <c r="J5264">
        <v>-420.6703</v>
      </c>
      <c r="K5264">
        <v>1.111742</v>
      </c>
      <c r="L5264">
        <v>105.8822</v>
      </c>
      <c r="M5264">
        <v>-0.20810890000000001</v>
      </c>
      <c r="N5264">
        <v>0</v>
      </c>
      <c r="O5264">
        <v>-0.97805500000000001</v>
      </c>
      <c r="P5264">
        <v>-0.22160389999999999</v>
      </c>
      <c r="Q5264">
        <v>1.0665890000000001E-2</v>
      </c>
      <c r="R5264">
        <v>-0.97507889999999997</v>
      </c>
      <c r="S5264">
        <v>5.044556E-2</v>
      </c>
      <c r="T5264">
        <v>-0.1057022</v>
      </c>
      <c r="U5264">
        <v>-3.0939939999999999</v>
      </c>
      <c r="V5264">
        <v>1.373136E-2</v>
      </c>
      <c r="W5264">
        <v>2.0686409999999999E-2</v>
      </c>
      <c r="X5264">
        <v>0.99969169999999996</v>
      </c>
      <c r="Y5264">
        <v>-0.22402639999999999</v>
      </c>
      <c r="Z5264">
        <v>3.2585780000000002E-2</v>
      </c>
      <c r="AA5264">
        <v>0.97403810000000002</v>
      </c>
      <c r="AB5264">
        <v>23</v>
      </c>
      <c r="AC5264">
        <v>0.58339999999998304</v>
      </c>
      <c r="AD5264">
        <v>-1.111743745104</v>
      </c>
      <c r="AE5264">
        <v>-32.279119999999899</v>
      </c>
      <c r="AF5264">
        <v>-7.2798978528069798</v>
      </c>
      <c r="AG5264">
        <v>-1.111743745104</v>
      </c>
      <c r="AH5264">
        <v>31.4136510536269</v>
      </c>
      <c r="AI5264">
        <v>91.974592260519103</v>
      </c>
      <c r="AJ5264">
        <v>103.047584482753</v>
      </c>
      <c r="AK5264">
        <v>32.265312014935098</v>
      </c>
      <c r="AL5264">
        <v>88.814671448255893</v>
      </c>
      <c r="AM5264">
        <v>89.213057882911599</v>
      </c>
      <c r="AN5264">
        <v>0.99999998642751298</v>
      </c>
    </row>
    <row r="5265" spans="1:40" x14ac:dyDescent="0.25">
      <c r="A5265" t="str">
        <f>"20190312154402404"</f>
        <v>20190312154402404</v>
      </c>
      <c r="B5265" t="str">
        <f>"1552376642393146"</f>
        <v>1552376642393146</v>
      </c>
      <c r="C5265" t="s">
        <v>40</v>
      </c>
      <c r="D5265">
        <v>4.9046409999999998</v>
      </c>
      <c r="E5265">
        <v>0.40726380000000001</v>
      </c>
      <c r="F5265" t="s">
        <v>43</v>
      </c>
      <c r="G5265">
        <v>-420.01549999999997</v>
      </c>
      <c r="H5265" s="1">
        <v>-2.4233359999999999E-6</v>
      </c>
      <c r="I5265">
        <v>75.228369999999998</v>
      </c>
      <c r="J5265">
        <v>-420.71609999999998</v>
      </c>
      <c r="K5265">
        <v>1.1117900000000001</v>
      </c>
      <c r="L5265">
        <v>105.652</v>
      </c>
      <c r="M5265">
        <v>-0.20520740000000001</v>
      </c>
      <c r="N5265">
        <v>0</v>
      </c>
      <c r="O5265">
        <v>-0.97867170000000003</v>
      </c>
      <c r="P5265">
        <v>-0.2160098</v>
      </c>
      <c r="Q5265">
        <v>1.012675E-2</v>
      </c>
      <c r="R5265">
        <v>-0.97633899999999996</v>
      </c>
      <c r="S5265">
        <v>6.607056E-2</v>
      </c>
      <c r="T5265">
        <v>-0.11217340000000001</v>
      </c>
      <c r="U5265">
        <v>-3.0929259999999998</v>
      </c>
      <c r="V5265">
        <v>1.0963280000000001E-2</v>
      </c>
      <c r="W5265">
        <v>1.9751049999999999E-2</v>
      </c>
      <c r="X5265">
        <v>0.99974479999999999</v>
      </c>
      <c r="Y5265">
        <v>-0.2260576</v>
      </c>
      <c r="Z5265">
        <v>3.4613140000000001E-2</v>
      </c>
      <c r="AA5265">
        <v>0.9734988</v>
      </c>
      <c r="AB5265">
        <v>23</v>
      </c>
      <c r="AC5265">
        <v>0.70060000000000799</v>
      </c>
      <c r="AD5265">
        <v>-1.1117924233359999</v>
      </c>
      <c r="AE5265">
        <v>-30.423629999999999</v>
      </c>
      <c r="AF5265">
        <v>-6.9198926331238502</v>
      </c>
      <c r="AG5265">
        <v>-1.1117924233359999</v>
      </c>
      <c r="AH5265">
        <v>29.592836373556299</v>
      </c>
      <c r="AI5265">
        <v>92.095105249580996</v>
      </c>
      <c r="AJ5265">
        <v>103.16137352729299</v>
      </c>
      <c r="AK5265">
        <v>30.4114610151933</v>
      </c>
      <c r="AL5265">
        <v>88.868274582991205</v>
      </c>
      <c r="AM5265">
        <v>89.371715165627705</v>
      </c>
      <c r="AN5265">
        <v>0.99999998130574996</v>
      </c>
    </row>
    <row r="5266" spans="1:40" x14ac:dyDescent="0.25">
      <c r="A5266" t="str">
        <f>"20190312154402422"</f>
        <v>20190312154402422</v>
      </c>
      <c r="B5266" t="str">
        <f>"1552376642412666"</f>
        <v>1552376642412666</v>
      </c>
      <c r="C5266" t="s">
        <v>40</v>
      </c>
      <c r="D5266">
        <v>4.8432240000000002</v>
      </c>
      <c r="E5266">
        <v>0.41700930000000003</v>
      </c>
      <c r="F5266" t="s">
        <v>43</v>
      </c>
      <c r="G5266">
        <v>-419.92489999999998</v>
      </c>
      <c r="H5266" s="1">
        <v>-2.5235130000000002E-6</v>
      </c>
      <c r="I5266">
        <v>75.484089999999995</v>
      </c>
      <c r="J5266">
        <v>-420.75560000000002</v>
      </c>
      <c r="K5266">
        <v>1.1118410000000001</v>
      </c>
      <c r="L5266">
        <v>105.4494</v>
      </c>
      <c r="M5266">
        <v>-0.2025315</v>
      </c>
      <c r="N5266">
        <v>0</v>
      </c>
      <c r="O5266">
        <v>-0.9792324</v>
      </c>
      <c r="P5266">
        <v>-0.2117579</v>
      </c>
      <c r="Q5266">
        <v>1.0907999999999999E-2</v>
      </c>
      <c r="R5266">
        <v>-0.97726170000000001</v>
      </c>
      <c r="S5266">
        <v>8.1085210000000005E-2</v>
      </c>
      <c r="T5266">
        <v>-0.1139444</v>
      </c>
      <c r="U5266">
        <v>-3.0918269999999999</v>
      </c>
      <c r="V5266">
        <v>9.3399659999999999E-3</v>
      </c>
      <c r="W5266">
        <v>2.0178209999999999E-2</v>
      </c>
      <c r="X5266">
        <v>0.9997528</v>
      </c>
      <c r="Y5266">
        <v>-0.22812540000000001</v>
      </c>
      <c r="Z5266">
        <v>3.5191069999999998E-2</v>
      </c>
      <c r="AA5266">
        <v>0.97299559999999996</v>
      </c>
      <c r="AB5266">
        <v>23</v>
      </c>
      <c r="AC5266">
        <v>0.83070000000003497</v>
      </c>
      <c r="AD5266">
        <v>-1.111843523513</v>
      </c>
      <c r="AE5266">
        <v>-29.965309999999899</v>
      </c>
      <c r="AF5266">
        <v>-6.8732044038910498</v>
      </c>
      <c r="AG5266">
        <v>-1.111843523513</v>
      </c>
      <c r="AH5266">
        <v>29.135916452732101</v>
      </c>
      <c r="AI5266">
        <v>92.127052313513602</v>
      </c>
      <c r="AJ5266">
        <v>103.273486585813</v>
      </c>
      <c r="AK5266">
        <v>29.956280849581901</v>
      </c>
      <c r="AL5266">
        <v>88.843795292245801</v>
      </c>
      <c r="AM5266">
        <v>89.464742619652299</v>
      </c>
      <c r="AN5266">
        <v>1.0000000281157599</v>
      </c>
    </row>
    <row r="5267" spans="1:40" x14ac:dyDescent="0.25">
      <c r="A5267" t="str">
        <f>"20190312154402444"</f>
        <v>20190312154402444</v>
      </c>
      <c r="B5267" t="str">
        <f>"1552376642433162"</f>
        <v>1552376642433162</v>
      </c>
      <c r="C5267" t="s">
        <v>40</v>
      </c>
      <c r="D5267">
        <v>4.8629639999999998</v>
      </c>
      <c r="E5267">
        <v>0.41861599999999999</v>
      </c>
      <c r="F5267" t="s">
        <v>43</v>
      </c>
      <c r="G5267">
        <v>-420.54129999999998</v>
      </c>
      <c r="H5267" s="1">
        <v>-4.011374E-6</v>
      </c>
      <c r="I5267">
        <v>68.603980000000007</v>
      </c>
      <c r="J5267">
        <v>-420.79910000000001</v>
      </c>
      <c r="K5267">
        <v>1.1119049999999999</v>
      </c>
      <c r="L5267">
        <v>105.2226</v>
      </c>
      <c r="M5267">
        <v>-0.19939399999999999</v>
      </c>
      <c r="N5267">
        <v>0</v>
      </c>
      <c r="O5267">
        <v>-0.97987979999999997</v>
      </c>
      <c r="P5267">
        <v>-0.20847669999999999</v>
      </c>
      <c r="Q5267">
        <v>1.289742E-2</v>
      </c>
      <c r="R5267">
        <v>-0.97794250000000005</v>
      </c>
      <c r="S5267">
        <v>1.7883300000000001E-2</v>
      </c>
      <c r="T5267">
        <v>-9.2782260000000005E-2</v>
      </c>
      <c r="U5267">
        <v>-3.0747070000000001</v>
      </c>
      <c r="V5267">
        <v>9.1785289999999995E-3</v>
      </c>
      <c r="W5267">
        <v>2.1765719999999999E-2</v>
      </c>
      <c r="X5267">
        <v>0.99972099999999997</v>
      </c>
      <c r="Y5267">
        <v>-0.20509430000000001</v>
      </c>
      <c r="Z5267">
        <v>2.893277E-2</v>
      </c>
      <c r="AA5267">
        <v>0.97831449999999998</v>
      </c>
      <c r="AB5267">
        <v>24</v>
      </c>
      <c r="AC5267">
        <v>0.257800000000031</v>
      </c>
      <c r="AD5267">
        <v>-1.111909011374</v>
      </c>
      <c r="AE5267">
        <v>-36.6186199999999</v>
      </c>
      <c r="AF5267">
        <v>-7.5474807950202303</v>
      </c>
      <c r="AG5267">
        <v>-1.111909011374</v>
      </c>
      <c r="AH5267">
        <v>35.798827596380399</v>
      </c>
      <c r="AI5267">
        <v>91.740787280055002</v>
      </c>
      <c r="AJ5267">
        <v>101.905339800479</v>
      </c>
      <c r="AK5267">
        <v>36.602689317537099</v>
      </c>
      <c r="AL5267">
        <v>88.752817661521703</v>
      </c>
      <c r="AM5267">
        <v>89.473977041216898</v>
      </c>
      <c r="AN5267">
        <v>1.00000003490136</v>
      </c>
    </row>
    <row r="5268" spans="1:40" x14ac:dyDescent="0.25">
      <c r="A5268" t="str">
        <f>"20190312154402467"</f>
        <v>20190312154402467</v>
      </c>
      <c r="B5268" t="str">
        <f>"1552376642462441"</f>
        <v>1552376642462441</v>
      </c>
      <c r="C5268" t="s">
        <v>40</v>
      </c>
      <c r="D5268">
        <v>4.8411670000000004</v>
      </c>
      <c r="E5268">
        <v>0.41935699999999998</v>
      </c>
      <c r="F5268" t="s">
        <v>43</v>
      </c>
      <c r="G5268">
        <v>-420.61110000000002</v>
      </c>
      <c r="H5268" s="1">
        <v>-2.0916430000000001E-7</v>
      </c>
      <c r="I5268">
        <v>69.697680000000005</v>
      </c>
      <c r="J5268">
        <v>-420.84350000000001</v>
      </c>
      <c r="K5268">
        <v>1.1119779999999999</v>
      </c>
      <c r="L5268">
        <v>104.9864</v>
      </c>
      <c r="M5268">
        <v>-0.19595480000000001</v>
      </c>
      <c r="N5268">
        <v>0</v>
      </c>
      <c r="O5268">
        <v>-0.98057720000000004</v>
      </c>
      <c r="P5268">
        <v>-0.20544009999999999</v>
      </c>
      <c r="Q5268">
        <v>1.402927E-2</v>
      </c>
      <c r="R5268">
        <v>-0.97856949999999998</v>
      </c>
      <c r="S5268">
        <v>1.6265870000000002E-2</v>
      </c>
      <c r="T5268">
        <v>-9.6164459999999993E-2</v>
      </c>
      <c r="U5268">
        <v>-3.0724179999999999</v>
      </c>
      <c r="V5268">
        <v>9.5759309999999993E-3</v>
      </c>
      <c r="W5268">
        <v>2.246078E-2</v>
      </c>
      <c r="X5268">
        <v>0.99970190000000003</v>
      </c>
      <c r="Y5268">
        <v>-0.20114689999999999</v>
      </c>
      <c r="Z5268">
        <v>3.00542E-2</v>
      </c>
      <c r="AA5268">
        <v>0.97909990000000002</v>
      </c>
      <c r="AB5268">
        <v>24</v>
      </c>
      <c r="AC5268">
        <v>0.23239999999998401</v>
      </c>
      <c r="AD5268">
        <v>-1.1119782091643</v>
      </c>
      <c r="AE5268">
        <v>-35.288719999999998</v>
      </c>
      <c r="AF5268">
        <v>-7.1360451589378098</v>
      </c>
      <c r="AG5268">
        <v>-1.1119782091643</v>
      </c>
      <c r="AH5268">
        <v>34.524705873642198</v>
      </c>
      <c r="AI5268">
        <v>91.806594233766205</v>
      </c>
      <c r="AJ5268">
        <v>101.678232760171</v>
      </c>
      <c r="AK5268">
        <v>35.272013717812598</v>
      </c>
      <c r="AL5268">
        <v>88.712983919815798</v>
      </c>
      <c r="AM5268">
        <v>89.451192748867001</v>
      </c>
      <c r="AN5268">
        <v>1.0000000369781601</v>
      </c>
    </row>
    <row r="5269" spans="1:40" x14ac:dyDescent="0.25">
      <c r="A5269" t="str">
        <f>"20190312154402489"</f>
        <v>20190312154402489</v>
      </c>
      <c r="B5269" t="str">
        <f>"1552376642482938"</f>
        <v>1552376642482938</v>
      </c>
      <c r="C5269" t="s">
        <v>40</v>
      </c>
      <c r="D5269">
        <v>4.824268</v>
      </c>
      <c r="E5269">
        <v>0.41947440000000003</v>
      </c>
      <c r="F5269" t="s">
        <v>43</v>
      </c>
      <c r="G5269">
        <v>-420.61470000000003</v>
      </c>
      <c r="H5269" s="1">
        <v>-9.0953500000000005E-7</v>
      </c>
      <c r="I5269">
        <v>71.327979999999997</v>
      </c>
      <c r="J5269">
        <v>-420.88630000000001</v>
      </c>
      <c r="K5269">
        <v>1.11205</v>
      </c>
      <c r="L5269">
        <v>104.75230000000001</v>
      </c>
      <c r="M5269">
        <v>-0.1923473</v>
      </c>
      <c r="N5269">
        <v>0</v>
      </c>
      <c r="O5269">
        <v>-0.98129489999999997</v>
      </c>
      <c r="P5269">
        <v>-0.2032716</v>
      </c>
      <c r="Q5269">
        <v>1.4311900000000001E-2</v>
      </c>
      <c r="R5269">
        <v>-0.97901780000000005</v>
      </c>
      <c r="S5269">
        <v>2.087402E-2</v>
      </c>
      <c r="T5269">
        <v>-0.1014748</v>
      </c>
      <c r="U5269">
        <v>-3.0715330000000001</v>
      </c>
      <c r="V5269">
        <v>1.103229E-2</v>
      </c>
      <c r="W5269">
        <v>2.229774E-2</v>
      </c>
      <c r="X5269">
        <v>0.99969050000000004</v>
      </c>
      <c r="Y5269">
        <v>-0.1990133</v>
      </c>
      <c r="Z5269">
        <v>3.1763590000000001E-2</v>
      </c>
      <c r="AA5269">
        <v>0.97948190000000002</v>
      </c>
      <c r="AB5269">
        <v>24</v>
      </c>
      <c r="AC5269">
        <v>0.27159999999997803</v>
      </c>
      <c r="AD5269">
        <v>-1.112050909535</v>
      </c>
      <c r="AE5269">
        <v>-33.424319999999902</v>
      </c>
      <c r="AF5269">
        <v>-6.6884045960036804</v>
      </c>
      <c r="AG5269">
        <v>-1.112050909535</v>
      </c>
      <c r="AH5269">
        <v>32.711694604920197</v>
      </c>
      <c r="AI5269">
        <v>91.907613166203106</v>
      </c>
      <c r="AJ5269">
        <v>101.555719518435</v>
      </c>
      <c r="AK5269">
        <v>33.406980964924202</v>
      </c>
      <c r="AL5269">
        <v>88.722327713970103</v>
      </c>
      <c r="AM5269">
        <v>89.367726314681605</v>
      </c>
      <c r="AN5269">
        <v>0.99999999821100005</v>
      </c>
    </row>
    <row r="5270" spans="1:40" x14ac:dyDescent="0.25">
      <c r="A5270" t="str">
        <f>"20190312154402512"</f>
        <v>20190312154402512</v>
      </c>
      <c r="B5270" t="str">
        <f>"1552376642502458"</f>
        <v>1552376642502458</v>
      </c>
      <c r="C5270" t="s">
        <v>40</v>
      </c>
      <c r="D5270">
        <v>4.8738440000000001</v>
      </c>
      <c r="E5270">
        <v>0.4196937</v>
      </c>
      <c r="F5270" t="s">
        <v>43</v>
      </c>
      <c r="G5270">
        <v>-420.59660000000002</v>
      </c>
      <c r="H5270" s="1">
        <v>-7.1521319999999902E-7</v>
      </c>
      <c r="I5270">
        <v>70.886269999999996</v>
      </c>
      <c r="J5270">
        <v>-420.92840000000001</v>
      </c>
      <c r="K5270">
        <v>1.112125</v>
      </c>
      <c r="L5270">
        <v>104.51609999999999</v>
      </c>
      <c r="M5270">
        <v>-0.18851860000000001</v>
      </c>
      <c r="N5270">
        <v>0</v>
      </c>
      <c r="O5270">
        <v>-0.98204150000000001</v>
      </c>
      <c r="P5270">
        <v>-0.2017969</v>
      </c>
      <c r="Q5270">
        <v>1.36307999999999E-2</v>
      </c>
      <c r="R5270">
        <v>-0.97933289999999995</v>
      </c>
      <c r="S5270">
        <v>2.6275630000000001E-2</v>
      </c>
      <c r="T5270">
        <v>-0.1008493</v>
      </c>
      <c r="U5270">
        <v>-3.0712280000000001</v>
      </c>
      <c r="V5270">
        <v>1.342371E-2</v>
      </c>
      <c r="W5270">
        <v>2.116695E-2</v>
      </c>
      <c r="X5270">
        <v>0.99968579999999996</v>
      </c>
      <c r="Y5270">
        <v>-0.19691320000000001</v>
      </c>
      <c r="Z5270">
        <v>3.1614419999999997E-2</v>
      </c>
      <c r="AA5270">
        <v>0.97991110000000003</v>
      </c>
      <c r="AB5270">
        <v>24</v>
      </c>
      <c r="AC5270">
        <v>0.33179999999998699</v>
      </c>
      <c r="AD5270">
        <v>-1.1121257152132</v>
      </c>
      <c r="AE5270">
        <v>-33.629829999999998</v>
      </c>
      <c r="AF5270">
        <v>-6.6585927923173998</v>
      </c>
      <c r="AG5270">
        <v>-1.1121257152132</v>
      </c>
      <c r="AH5270">
        <v>32.928241728792102</v>
      </c>
      <c r="AI5270">
        <v>91.896036854982</v>
      </c>
      <c r="AJ5270">
        <v>101.431923351308</v>
      </c>
      <c r="AK5270">
        <v>33.613134113469798</v>
      </c>
      <c r="AL5270">
        <v>88.787132479787005</v>
      </c>
      <c r="AM5270">
        <v>89.230682573663401</v>
      </c>
      <c r="AN5270">
        <v>0.99999996724205198</v>
      </c>
    </row>
    <row r="5271" spans="1:40" x14ac:dyDescent="0.25">
      <c r="A5271" t="str">
        <f>"20190312154402534"</f>
        <v>20190312154402534</v>
      </c>
      <c r="B5271" t="str">
        <f>"1552376642522954"</f>
        <v>1552376642522954</v>
      </c>
      <c r="C5271" t="s">
        <v>40</v>
      </c>
      <c r="D5271">
        <v>4.9124670000000004</v>
      </c>
      <c r="E5271">
        <v>0.42010989999999998</v>
      </c>
      <c r="F5271" t="s">
        <v>43</v>
      </c>
      <c r="G5271">
        <v>-420.601</v>
      </c>
      <c r="H5271" s="1">
        <v>-4.3668250000000003E-6</v>
      </c>
      <c r="I5271">
        <v>69.505619999999993</v>
      </c>
      <c r="J5271">
        <v>-420.96940000000001</v>
      </c>
      <c r="K5271">
        <v>1.1121970000000001</v>
      </c>
      <c r="L5271">
        <v>104.28019999999999</v>
      </c>
      <c r="M5271">
        <v>-0.18454100000000001</v>
      </c>
      <c r="N5271">
        <v>0</v>
      </c>
      <c r="O5271">
        <v>-0.98279989999999995</v>
      </c>
      <c r="P5271">
        <v>-0.20009009999999999</v>
      </c>
      <c r="Q5271">
        <v>1.2048390000000001E-2</v>
      </c>
      <c r="R5271">
        <v>-0.97970369999999996</v>
      </c>
      <c r="S5271">
        <v>2.8717039999999999E-2</v>
      </c>
      <c r="T5271">
        <v>-9.7539070000000005E-2</v>
      </c>
      <c r="U5271">
        <v>-3.0705870000000002</v>
      </c>
      <c r="V5271">
        <v>1.5732159999999999E-2</v>
      </c>
      <c r="W5271">
        <v>1.9145100000000002E-2</v>
      </c>
      <c r="X5271">
        <v>0.9996929</v>
      </c>
      <c r="Y5271">
        <v>-0.19372339999999999</v>
      </c>
      <c r="Z5271">
        <v>3.0630089999999999E-2</v>
      </c>
      <c r="AA5271">
        <v>0.9805779</v>
      </c>
      <c r="AB5271">
        <v>24</v>
      </c>
      <c r="AC5271">
        <v>0.368400000000008</v>
      </c>
      <c r="AD5271">
        <v>-1.1122013668249999</v>
      </c>
      <c r="AE5271">
        <v>-34.77458</v>
      </c>
      <c r="AF5271">
        <v>-6.77263815876446</v>
      </c>
      <c r="AG5271">
        <v>-1.1122013668249999</v>
      </c>
      <c r="AH5271">
        <v>34.074452479736898</v>
      </c>
      <c r="AI5271">
        <v>91.833645864209501</v>
      </c>
      <c r="AJ5271">
        <v>101.241601987514</v>
      </c>
      <c r="AK5271">
        <v>34.7587964593679</v>
      </c>
      <c r="AL5271">
        <v>88.902999511479194</v>
      </c>
      <c r="AM5271">
        <v>89.098411150714298</v>
      </c>
      <c r="AN5271">
        <v>0.99999996501134203</v>
      </c>
    </row>
    <row r="5272" spans="1:40" x14ac:dyDescent="0.25">
      <c r="A5272" t="str">
        <f>"20190312154402556"</f>
        <v>20190312154402556</v>
      </c>
      <c r="B5272" t="str">
        <f>"1552376642542474"</f>
        <v>1552376642542474</v>
      </c>
      <c r="C5272" t="s">
        <v>40</v>
      </c>
      <c r="D5272">
        <v>4.8930749999999996</v>
      </c>
      <c r="E5272">
        <v>0.42014859999999998</v>
      </c>
      <c r="F5272" t="s">
        <v>43</v>
      </c>
      <c r="G5272">
        <v>-420.62970000000001</v>
      </c>
      <c r="H5272" s="1">
        <v>-4.9426999999999999E-7</v>
      </c>
      <c r="I5272">
        <v>70.350679999999997</v>
      </c>
      <c r="J5272">
        <v>-421.0095</v>
      </c>
      <c r="K5272">
        <v>1.1122609999999999</v>
      </c>
      <c r="L5272">
        <v>104.04349999999999</v>
      </c>
      <c r="M5272">
        <v>-0.1804008</v>
      </c>
      <c r="N5272">
        <v>0</v>
      </c>
      <c r="O5272">
        <v>-0.98357150000000004</v>
      </c>
      <c r="P5272">
        <v>-0.19692460000000001</v>
      </c>
      <c r="Q5272">
        <v>1.0160219999999999E-2</v>
      </c>
      <c r="R5272">
        <v>-0.98036630000000002</v>
      </c>
      <c r="S5272">
        <v>3.07312E-2</v>
      </c>
      <c r="T5272">
        <v>-0.1006228</v>
      </c>
      <c r="U5272">
        <v>-3.0696720000000002</v>
      </c>
      <c r="V5272">
        <v>1.671951E-2</v>
      </c>
      <c r="W5272">
        <v>1.681231E-2</v>
      </c>
      <c r="X5272">
        <v>0.99971880000000002</v>
      </c>
      <c r="Y5272">
        <v>-0.19023609999999999</v>
      </c>
      <c r="Z5272">
        <v>3.1655700000000002E-2</v>
      </c>
      <c r="AA5272">
        <v>0.98122790000000004</v>
      </c>
      <c r="AB5272">
        <v>24</v>
      </c>
      <c r="AC5272">
        <v>0.37979999999998798</v>
      </c>
      <c r="AD5272">
        <v>-1.11226149427</v>
      </c>
      <c r="AE5272">
        <v>-33.692819999999898</v>
      </c>
      <c r="AF5272">
        <v>-6.4448871241848202</v>
      </c>
      <c r="AG5272">
        <v>-1.11226149427</v>
      </c>
      <c r="AH5272">
        <v>33.035489772227201</v>
      </c>
      <c r="AI5272">
        <v>91.892690225781905</v>
      </c>
      <c r="AJ5272">
        <v>101.039165655575</v>
      </c>
      <c r="AK5272">
        <v>33.676657793879201</v>
      </c>
      <c r="AL5272">
        <v>89.036680148222004</v>
      </c>
      <c r="AM5272">
        <v>89.041862511558705</v>
      </c>
      <c r="AN5272">
        <v>0.99999993742780602</v>
      </c>
    </row>
    <row r="5273" spans="1:40" x14ac:dyDescent="0.25">
      <c r="A5273" t="str">
        <f>"20190312154402579"</f>
        <v>20190312154402579</v>
      </c>
      <c r="B5273" t="str">
        <f>"1552376642572734"</f>
        <v>1552376642572734</v>
      </c>
      <c r="C5273" t="s">
        <v>40</v>
      </c>
      <c r="D5273">
        <v>4.8962250000000003</v>
      </c>
      <c r="E5273">
        <v>0.42039300000000002</v>
      </c>
      <c r="F5273" t="s">
        <v>43</v>
      </c>
      <c r="G5273">
        <v>-420.58760000000001</v>
      </c>
      <c r="H5273" s="1">
        <v>-1.05222E-6</v>
      </c>
      <c r="I5273">
        <v>71.677440000000004</v>
      </c>
      <c r="J5273">
        <v>-421.05040000000002</v>
      </c>
      <c r="K5273">
        <v>1.1123099999999999</v>
      </c>
      <c r="L5273">
        <v>103.7945</v>
      </c>
      <c r="M5273">
        <v>-0.17589540000000001</v>
      </c>
      <c r="N5273">
        <v>0</v>
      </c>
      <c r="O5273">
        <v>-0.98439030000000005</v>
      </c>
      <c r="P5273">
        <v>-0.19341469999999999</v>
      </c>
      <c r="Q5273">
        <v>9.3429870000000005E-3</v>
      </c>
      <c r="R5273">
        <v>-0.98107279999999997</v>
      </c>
      <c r="S5273">
        <v>4.0008540000000002E-2</v>
      </c>
      <c r="T5273">
        <v>-0.1054739</v>
      </c>
      <c r="U5273">
        <v>-3.0692140000000001</v>
      </c>
      <c r="V5273">
        <v>1.772226E-2</v>
      </c>
      <c r="W5273">
        <v>1.551692E-2</v>
      </c>
      <c r="X5273">
        <v>0.99972249999999996</v>
      </c>
      <c r="Y5273">
        <v>-0.1887065</v>
      </c>
      <c r="Z5273">
        <v>3.3231490000000002E-2</v>
      </c>
      <c r="AA5273">
        <v>0.98147110000000004</v>
      </c>
      <c r="AB5273">
        <v>24</v>
      </c>
      <c r="AC5273">
        <v>0.46280000000001498</v>
      </c>
      <c r="AD5273">
        <v>-1.1123110522199999</v>
      </c>
      <c r="AE5273">
        <v>-32.117059999999903</v>
      </c>
      <c r="AF5273">
        <v>-6.0976182518201396</v>
      </c>
      <c r="AG5273">
        <v>-1.1123110522199999</v>
      </c>
      <c r="AH5273">
        <v>31.497122896380102</v>
      </c>
      <c r="AI5273">
        <v>91.985704330296002</v>
      </c>
      <c r="AJ5273">
        <v>100.956518985147</v>
      </c>
      <c r="AK5273">
        <v>32.101198341673999</v>
      </c>
      <c r="AL5273">
        <v>89.110910261141299</v>
      </c>
      <c r="AM5273">
        <v>88.984413818597901</v>
      </c>
      <c r="AN5273">
        <v>0.99999996515602096</v>
      </c>
    </row>
    <row r="5274" spans="1:40" x14ac:dyDescent="0.25">
      <c r="A5274" t="str">
        <f>"20190312154402602"</f>
        <v>20190312154402602</v>
      </c>
      <c r="B5274" t="str">
        <f>"1552376642593230"</f>
        <v>1552376642593230</v>
      </c>
      <c r="C5274" t="s">
        <v>40</v>
      </c>
      <c r="D5274">
        <v>4.9057769999999996</v>
      </c>
      <c r="E5274">
        <v>0.4206474</v>
      </c>
      <c r="F5274" t="s">
        <v>43</v>
      </c>
      <c r="G5274">
        <v>-420.52780000000001</v>
      </c>
      <c r="H5274" s="1">
        <v>-8.496181E-7</v>
      </c>
      <c r="I5274">
        <v>71.242199999999997</v>
      </c>
      <c r="J5274">
        <v>-421.09010000000001</v>
      </c>
      <c r="K5274">
        <v>1.1123459999999901</v>
      </c>
      <c r="L5274">
        <v>103.5446</v>
      </c>
      <c r="M5274">
        <v>-0.17123949999999999</v>
      </c>
      <c r="N5274">
        <v>0</v>
      </c>
      <c r="O5274">
        <v>-0.98521389999999998</v>
      </c>
      <c r="P5274">
        <v>-0.18890999999999999</v>
      </c>
      <c r="Q5274">
        <v>9.3431769999999994E-3</v>
      </c>
      <c r="R5274">
        <v>-0.9819502</v>
      </c>
      <c r="S5274">
        <v>4.925537E-2</v>
      </c>
      <c r="T5274">
        <v>-0.1048529</v>
      </c>
      <c r="U5274">
        <v>-3.0685730000000002</v>
      </c>
      <c r="V5274">
        <v>1.7860540000000001E-2</v>
      </c>
      <c r="W5274">
        <v>1.501486E-2</v>
      </c>
      <c r="X5274">
        <v>0.9997277</v>
      </c>
      <c r="Y5274">
        <v>-0.18702269999999999</v>
      </c>
      <c r="Z5274">
        <v>3.3089729999999998E-2</v>
      </c>
      <c r="AA5274">
        <v>0.98179810000000001</v>
      </c>
      <c r="AB5274">
        <v>25</v>
      </c>
      <c r="AC5274">
        <v>0.56229999999999303</v>
      </c>
      <c r="AD5274">
        <v>-1.1123468496180999</v>
      </c>
      <c r="AE5274">
        <v>-32.302399999999999</v>
      </c>
      <c r="AF5274">
        <v>-6.0783202455732397</v>
      </c>
      <c r="AG5274">
        <v>-1.1123468496180999</v>
      </c>
      <c r="AH5274">
        <v>31.691402814594401</v>
      </c>
      <c r="AI5274">
        <v>91.974262415757096</v>
      </c>
      <c r="AJ5274">
        <v>100.857314826471</v>
      </c>
      <c r="AK5274">
        <v>32.2882069009489</v>
      </c>
      <c r="AL5274">
        <v>89.139679529164198</v>
      </c>
      <c r="AM5274">
        <v>88.976496590726299</v>
      </c>
      <c r="AN5274">
        <v>0.99999995952859899</v>
      </c>
    </row>
    <row r="5275" spans="1:40" x14ac:dyDescent="0.25">
      <c r="A5275" t="str">
        <f>"20190312154402623"</f>
        <v>20190312154402623</v>
      </c>
      <c r="B5275" t="str">
        <f>"1552376642612751"</f>
        <v>1552376642612751</v>
      </c>
      <c r="C5275" t="s">
        <v>40</v>
      </c>
      <c r="D5275">
        <v>4.897456</v>
      </c>
      <c r="E5275">
        <v>0.42118159999999999</v>
      </c>
      <c r="F5275" t="s">
        <v>43</v>
      </c>
      <c r="G5275">
        <v>-420.42840000000001</v>
      </c>
      <c r="H5275" s="1">
        <v>-4.4005999999999998E-7</v>
      </c>
      <c r="I5275">
        <v>70.349209999999999</v>
      </c>
      <c r="J5275">
        <v>-421.12700000000001</v>
      </c>
      <c r="K5275">
        <v>1.1123609999999999</v>
      </c>
      <c r="L5275">
        <v>103.3053</v>
      </c>
      <c r="M5275">
        <v>-0.16668929999999901</v>
      </c>
      <c r="N5275">
        <v>0</v>
      </c>
      <c r="O5275">
        <v>-0.98599680000000001</v>
      </c>
      <c r="P5275">
        <v>-0.1841045</v>
      </c>
      <c r="Q5275">
        <v>1.130867E-2</v>
      </c>
      <c r="R5275">
        <v>-0.98284210000000005</v>
      </c>
      <c r="S5275">
        <v>6.115723E-2</v>
      </c>
      <c r="T5275">
        <v>-0.1028014</v>
      </c>
      <c r="U5275">
        <v>-3.0678709999999998</v>
      </c>
      <c r="V5275">
        <v>1.757533E-2</v>
      </c>
      <c r="W5275">
        <v>1.648525E-2</v>
      </c>
      <c r="X5275">
        <v>0.99970959999999998</v>
      </c>
      <c r="Y5275">
        <v>-0.18629870000000001</v>
      </c>
      <c r="Z5275">
        <v>3.249076E-2</v>
      </c>
      <c r="AA5275">
        <v>0.98195580000000005</v>
      </c>
      <c r="AB5275">
        <v>25</v>
      </c>
      <c r="AC5275">
        <v>0.69859999999994205</v>
      </c>
      <c r="AD5275">
        <v>-1.1123614400599999</v>
      </c>
      <c r="AE5275">
        <v>-32.956090000000003</v>
      </c>
      <c r="AF5275">
        <v>-6.1752901157198998</v>
      </c>
      <c r="AG5275">
        <v>-1.1123614400599999</v>
      </c>
      <c r="AH5275">
        <v>32.3417257848118</v>
      </c>
      <c r="AI5275">
        <v>91.934926393494607</v>
      </c>
      <c r="AJ5275">
        <v>100.809872945111</v>
      </c>
      <c r="AK5275">
        <v>32.944783847015898</v>
      </c>
      <c r="AL5275">
        <v>89.055421935525004</v>
      </c>
      <c r="AM5275">
        <v>88.992819007125107</v>
      </c>
      <c r="AN5275">
        <v>0.99999997001216501</v>
      </c>
    </row>
    <row r="5276" spans="1:40" x14ac:dyDescent="0.25">
      <c r="A5276" t="str">
        <f>"20190312154402646"</f>
        <v>20190312154402646</v>
      </c>
      <c r="B5276" t="str">
        <f>"1552376642643007"</f>
        <v>1552376642643007</v>
      </c>
      <c r="C5276" t="s">
        <v>40</v>
      </c>
      <c r="D5276">
        <v>4.9177280000000003</v>
      </c>
      <c r="E5276">
        <v>0.42197620000000002</v>
      </c>
      <c r="F5276" t="s">
        <v>43</v>
      </c>
      <c r="G5276">
        <v>-420.29270000000002</v>
      </c>
      <c r="H5276" s="1">
        <v>-3.5766179999999998E-6</v>
      </c>
      <c r="I5276">
        <v>67.744769999999903</v>
      </c>
      <c r="J5276">
        <v>-421.16419999999999</v>
      </c>
      <c r="K5276">
        <v>1.1123730000000001</v>
      </c>
      <c r="L5276">
        <v>103.05629999999999</v>
      </c>
      <c r="M5276">
        <v>-0.16189729999999999</v>
      </c>
      <c r="N5276">
        <v>0</v>
      </c>
      <c r="O5276">
        <v>-0.98679720000000004</v>
      </c>
      <c r="P5276">
        <v>-0.1796874</v>
      </c>
      <c r="Q5276">
        <v>1.2126400000000001E-2</v>
      </c>
      <c r="R5276">
        <v>-0.983649</v>
      </c>
      <c r="S5276">
        <v>7.1960449999999995E-2</v>
      </c>
      <c r="T5276">
        <v>-9.5937010000000003E-2</v>
      </c>
      <c r="U5276">
        <v>-3.0669559999999998</v>
      </c>
      <c r="V5276">
        <v>1.7937359999999999E-2</v>
      </c>
      <c r="W5276">
        <v>1.679276E-2</v>
      </c>
      <c r="X5276">
        <v>0.99969810000000003</v>
      </c>
      <c r="Y5276">
        <v>-0.18498999999999999</v>
      </c>
      <c r="Z5276">
        <v>3.037256E-2</v>
      </c>
      <c r="AA5276">
        <v>0.98227100000000001</v>
      </c>
      <c r="AB5276">
        <v>25</v>
      </c>
      <c r="AC5276">
        <v>0.87149999999996897</v>
      </c>
      <c r="AD5276">
        <v>-1.112376576618</v>
      </c>
      <c r="AE5276">
        <v>-35.311529999999998</v>
      </c>
      <c r="AF5276">
        <v>-6.5703864649483403</v>
      </c>
      <c r="AG5276">
        <v>-1.112376576618</v>
      </c>
      <c r="AH5276">
        <v>34.670197551882403</v>
      </c>
      <c r="AI5276">
        <v>91.805562022796707</v>
      </c>
      <c r="AJ5276">
        <v>100.730927463331</v>
      </c>
      <c r="AK5276">
        <v>35.3048149440489</v>
      </c>
      <c r="AL5276">
        <v>89.037800516862305</v>
      </c>
      <c r="AM5276">
        <v>88.972064912273098</v>
      </c>
      <c r="AN5276">
        <v>1.0000000184078901</v>
      </c>
    </row>
    <row r="5277" spans="1:40" x14ac:dyDescent="0.25">
      <c r="A5277" t="str">
        <f>"20190312154402669"</f>
        <v>20190312154402669</v>
      </c>
      <c r="B5277" t="str">
        <f>"1552376642663504"</f>
        <v>1552376642663504</v>
      </c>
      <c r="C5277" t="s">
        <v>40</v>
      </c>
      <c r="D5277">
        <v>4.919899</v>
      </c>
      <c r="E5277">
        <v>0.42226789999999997</v>
      </c>
      <c r="F5277" t="s">
        <v>43</v>
      </c>
      <c r="G5277">
        <v>-420.21769999999998</v>
      </c>
      <c r="H5277" s="1">
        <v>-3.0945749999999999E-6</v>
      </c>
      <c r="I5277">
        <v>66.667619999999999</v>
      </c>
      <c r="J5277">
        <v>-421.2004</v>
      </c>
      <c r="K5277">
        <v>1.1123719999999999</v>
      </c>
      <c r="L5277">
        <v>102.8057</v>
      </c>
      <c r="M5277">
        <v>-0.15705339999999901</v>
      </c>
      <c r="N5277">
        <v>0</v>
      </c>
      <c r="O5277">
        <v>-0.98758179999999995</v>
      </c>
      <c r="P5277">
        <v>-0.17465620000000001</v>
      </c>
      <c r="Q5277">
        <v>1.2818049999999999E-2</v>
      </c>
      <c r="R5277">
        <v>-0.98454609999999998</v>
      </c>
      <c r="S5277">
        <v>7.9742430000000003E-2</v>
      </c>
      <c r="T5277">
        <v>-9.3712690000000001E-2</v>
      </c>
      <c r="U5277">
        <v>-3.065582</v>
      </c>
      <c r="V5277">
        <v>1.772934E-2</v>
      </c>
      <c r="W5277">
        <v>1.6983950000000001E-2</v>
      </c>
      <c r="X5277">
        <v>0.99969859999999999</v>
      </c>
      <c r="Y5277">
        <v>-0.18267</v>
      </c>
      <c r="Z5277">
        <v>2.9723840000000001E-2</v>
      </c>
      <c r="AA5277">
        <v>0.98272479999999995</v>
      </c>
      <c r="AB5277">
        <v>25</v>
      </c>
      <c r="AC5277">
        <v>0.982700000000022</v>
      </c>
      <c r="AD5277">
        <v>-1.1123750945749999</v>
      </c>
      <c r="AE5277">
        <v>-36.138080000000002</v>
      </c>
      <c r="AF5277">
        <v>-6.6398729946546</v>
      </c>
      <c r="AG5277">
        <v>-1.1123750945749999</v>
      </c>
      <c r="AH5277">
        <v>35.5016529960401</v>
      </c>
      <c r="AI5277">
        <v>91.764095237089094</v>
      </c>
      <c r="AJ5277">
        <v>100.593636800147</v>
      </c>
      <c r="AK5277">
        <v>36.134369472669903</v>
      </c>
      <c r="AL5277">
        <v>89.026844592973802</v>
      </c>
      <c r="AM5277">
        <v>88.9839838949691</v>
      </c>
      <c r="AN5277">
        <v>1.0000000374481901</v>
      </c>
    </row>
    <row r="5278" spans="1:40" x14ac:dyDescent="0.25">
      <c r="A5278" t="str">
        <f>"20190312154402690"</f>
        <v>20190312154402690</v>
      </c>
      <c r="B5278" t="str">
        <f>"1552376642683026"</f>
        <v>1552376642683026</v>
      </c>
      <c r="C5278" t="s">
        <v>40</v>
      </c>
      <c r="D5278">
        <v>4.9184380000000001</v>
      </c>
      <c r="E5278">
        <v>0.43217990000000001</v>
      </c>
      <c r="F5278" t="s">
        <v>43</v>
      </c>
      <c r="G5278">
        <v>-420.07619999999997</v>
      </c>
      <c r="H5278" s="1">
        <v>-2.5957949999999999E-6</v>
      </c>
      <c r="I5278">
        <v>65.592730000000003</v>
      </c>
      <c r="J5278">
        <v>-421.2353</v>
      </c>
      <c r="K5278">
        <v>1.1123730000000001</v>
      </c>
      <c r="L5278">
        <v>102.5556</v>
      </c>
      <c r="M5278">
        <v>-0.15223059999999999</v>
      </c>
      <c r="N5278">
        <v>0</v>
      </c>
      <c r="O5278">
        <v>-0.98833859999999996</v>
      </c>
      <c r="P5278">
        <v>-0.16978760000000001</v>
      </c>
      <c r="Q5278">
        <v>1.2384330000000001E-2</v>
      </c>
      <c r="R5278">
        <v>-0.98540289999999997</v>
      </c>
      <c r="S5278">
        <v>9.2590329999999998E-2</v>
      </c>
      <c r="T5278">
        <v>-9.1610189999999994E-2</v>
      </c>
      <c r="U5278">
        <v>-3.0646969999999998</v>
      </c>
      <c r="V5278">
        <v>1.7672159999999999E-2</v>
      </c>
      <c r="W5278">
        <v>1.608762E-2</v>
      </c>
      <c r="X5278">
        <v>0.9997144</v>
      </c>
      <c r="Y5278">
        <v>-0.18199480000000001</v>
      </c>
      <c r="Z5278">
        <v>2.909991E-2</v>
      </c>
      <c r="AA5278">
        <v>0.98286879999999999</v>
      </c>
      <c r="AB5278">
        <v>26</v>
      </c>
      <c r="AC5278">
        <v>1.15910000000002</v>
      </c>
      <c r="AD5278">
        <v>-1.1123755957949999</v>
      </c>
      <c r="AE5278">
        <v>-36.962870000000002</v>
      </c>
      <c r="AF5278">
        <v>-6.7663838936218497</v>
      </c>
      <c r="AG5278">
        <v>-1.1123755957949999</v>
      </c>
      <c r="AH5278">
        <v>36.322746539230202</v>
      </c>
      <c r="AI5278">
        <v>91.724473680334498</v>
      </c>
      <c r="AJ5278">
        <v>100.55239200096899</v>
      </c>
      <c r="AK5278">
        <v>36.964351023859997</v>
      </c>
      <c r="AL5278">
        <v>89.078207506148601</v>
      </c>
      <c r="AM5278">
        <v>88.987276030820496</v>
      </c>
      <c r="AN5278">
        <v>0.99999999916184401</v>
      </c>
    </row>
    <row r="5279" spans="1:40" x14ac:dyDescent="0.25">
      <c r="A5279" t="str">
        <f>"20190312154402713"</f>
        <v>20190312154402713</v>
      </c>
      <c r="B5279" t="str">
        <f>"1552376642702542"</f>
        <v>1552376642702542</v>
      </c>
      <c r="C5279" t="s">
        <v>40</v>
      </c>
      <c r="D5279">
        <v>4.9253790000000004</v>
      </c>
      <c r="E5279">
        <v>0.43217860000000002</v>
      </c>
      <c r="F5279" t="s">
        <v>43</v>
      </c>
      <c r="G5279">
        <v>-420.93740000000003</v>
      </c>
      <c r="H5279" s="1">
        <v>-1.926567E-6</v>
      </c>
      <c r="I5279">
        <v>73.498570000000001</v>
      </c>
      <c r="J5279">
        <v>-421.27</v>
      </c>
      <c r="K5279">
        <v>1.1123769999999999</v>
      </c>
      <c r="L5279">
        <v>102.2971</v>
      </c>
      <c r="M5279">
        <v>-0.1472802</v>
      </c>
      <c r="N5279">
        <v>0</v>
      </c>
      <c r="O5279">
        <v>-0.98909000000000002</v>
      </c>
      <c r="P5279">
        <v>-0.1648744</v>
      </c>
      <c r="Q5279">
        <v>1.1658170000000001E-2</v>
      </c>
      <c r="R5279">
        <v>-0.98624590000000001</v>
      </c>
      <c r="S5279">
        <v>3.1280519999999999E-2</v>
      </c>
      <c r="T5279">
        <v>-0.1168101</v>
      </c>
      <c r="U5279">
        <v>-3.0512700000000001</v>
      </c>
      <c r="V5279">
        <v>1.7701160000000001E-2</v>
      </c>
      <c r="W5279">
        <v>1.4925229999999999E-2</v>
      </c>
      <c r="X5279">
        <v>0.99973190000000001</v>
      </c>
      <c r="Y5279">
        <v>-0.15740460000000001</v>
      </c>
      <c r="Z5279">
        <v>3.7389239999999997E-2</v>
      </c>
      <c r="AA5279">
        <v>0.98682610000000004</v>
      </c>
      <c r="AB5279">
        <v>26</v>
      </c>
      <c r="AC5279">
        <v>0.33259999999995599</v>
      </c>
      <c r="AD5279">
        <v>-1.1123789265670001</v>
      </c>
      <c r="AE5279">
        <v>-28.79853</v>
      </c>
      <c r="AF5279">
        <v>-4.5636383568112704</v>
      </c>
      <c r="AG5279">
        <v>-1.1123789265670001</v>
      </c>
      <c r="AH5279">
        <v>28.393131403154001</v>
      </c>
      <c r="AI5279">
        <v>92.215169853985401</v>
      </c>
      <c r="AJ5279">
        <v>99.1310745250194</v>
      </c>
      <c r="AK5279">
        <v>28.779056496083999</v>
      </c>
      <c r="AL5279">
        <v>89.144815545449703</v>
      </c>
      <c r="AM5279">
        <v>88.985632251383294</v>
      </c>
      <c r="AN5279">
        <v>0.99999998271675405</v>
      </c>
    </row>
    <row r="5280" spans="1:40" x14ac:dyDescent="0.25">
      <c r="A5280" t="str">
        <f>"20190312154402734"</f>
        <v>20190312154402734</v>
      </c>
      <c r="B5280" t="str">
        <f>"1552376642723038"</f>
        <v>1552376642723038</v>
      </c>
      <c r="C5280" t="s">
        <v>40</v>
      </c>
      <c r="D5280">
        <v>4.9457649999999997</v>
      </c>
      <c r="E5280">
        <v>0.43211339999999998</v>
      </c>
      <c r="F5280" t="s">
        <v>43</v>
      </c>
      <c r="G5280">
        <v>-420.79950000000002</v>
      </c>
      <c r="H5280" s="1">
        <v>-8.5531869999999995E-7</v>
      </c>
      <c r="I5280">
        <v>71.086979999999997</v>
      </c>
      <c r="J5280">
        <v>-421.30270000000002</v>
      </c>
      <c r="K5280">
        <v>1.112382</v>
      </c>
      <c r="L5280">
        <v>102.0449</v>
      </c>
      <c r="M5280">
        <v>-0.142489</v>
      </c>
      <c r="N5280">
        <v>0</v>
      </c>
      <c r="O5280">
        <v>-0.98979269999999997</v>
      </c>
      <c r="P5280">
        <v>-0.15980249999999999</v>
      </c>
      <c r="Q5280">
        <v>1.1567259999999999E-2</v>
      </c>
      <c r="R5280">
        <v>-0.98708149999999995</v>
      </c>
      <c r="S5280">
        <v>4.5989990000000001E-2</v>
      </c>
      <c r="T5280">
        <v>-0.1087357</v>
      </c>
      <c r="U5280">
        <v>-3.0508120000000001</v>
      </c>
      <c r="V5280">
        <v>1.7405070000000002E-2</v>
      </c>
      <c r="W5280">
        <v>1.4449389999999999E-2</v>
      </c>
      <c r="X5280">
        <v>0.99974410000000002</v>
      </c>
      <c r="Y5280">
        <v>-0.15738269999999999</v>
      </c>
      <c r="Z5280">
        <v>3.484976E-2</v>
      </c>
      <c r="AA5280">
        <v>0.98692259999999998</v>
      </c>
      <c r="AB5280">
        <v>26</v>
      </c>
      <c r="AC5280">
        <v>0.50319999999999199</v>
      </c>
      <c r="AD5280">
        <v>-1.1123828553186901</v>
      </c>
      <c r="AE5280">
        <v>-30.957919999999898</v>
      </c>
      <c r="AF5280">
        <v>-4.9029161003010797</v>
      </c>
      <c r="AG5280">
        <v>-1.1123828553186901</v>
      </c>
      <c r="AH5280">
        <v>30.5309257443703</v>
      </c>
      <c r="AI5280">
        <v>92.060253972921004</v>
      </c>
      <c r="AJ5280">
        <v>99.123151788418596</v>
      </c>
      <c r="AK5280">
        <v>30.942097677947601</v>
      </c>
      <c r="AL5280">
        <v>89.1720821198453</v>
      </c>
      <c r="AM5280">
        <v>89.002608447433104</v>
      </c>
      <c r="AN5280">
        <v>0.99999999340894297</v>
      </c>
    </row>
    <row r="5281" spans="1:40" x14ac:dyDescent="0.25">
      <c r="A5281" t="str">
        <f>"20190312154402758"</f>
        <v>20190312154402758</v>
      </c>
      <c r="B5281" t="str">
        <f>"1552376642753294"</f>
        <v>1552376642753294</v>
      </c>
      <c r="C5281" t="s">
        <v>40</v>
      </c>
      <c r="D5281">
        <v>4.9360470000000003</v>
      </c>
      <c r="E5281">
        <v>0.43292839999999999</v>
      </c>
      <c r="F5281" t="s">
        <v>43</v>
      </c>
      <c r="G5281">
        <v>-420.6182</v>
      </c>
      <c r="H5281" s="1">
        <v>-3.86088E-6</v>
      </c>
      <c r="I5281">
        <v>68.205510000000004</v>
      </c>
      <c r="J5281">
        <v>-421.33580000000001</v>
      </c>
      <c r="K5281">
        <v>1.112403</v>
      </c>
      <c r="L5281">
        <v>101.7787</v>
      </c>
      <c r="M5281">
        <v>-0.13747590000000001</v>
      </c>
      <c r="N5281">
        <v>0</v>
      </c>
      <c r="O5281">
        <v>-0.99050240000000001</v>
      </c>
      <c r="P5281">
        <v>-0.1534172</v>
      </c>
      <c r="Q5281">
        <v>1.2053970000000001E-2</v>
      </c>
      <c r="R5281">
        <v>-0.98808810000000002</v>
      </c>
      <c r="S5281">
        <v>6.1706539999999997E-2</v>
      </c>
      <c r="T5281">
        <v>-0.1002749</v>
      </c>
      <c r="U5281">
        <v>-3.0504150000000001</v>
      </c>
      <c r="V5281">
        <v>1.6000879999999999E-2</v>
      </c>
      <c r="W5281">
        <v>1.4565730000000001E-2</v>
      </c>
      <c r="X5281">
        <v>0.99976589999999999</v>
      </c>
      <c r="Y5281">
        <v>-0.15746979999999999</v>
      </c>
      <c r="Z5281">
        <v>3.2178489999999997E-2</v>
      </c>
      <c r="AA5281">
        <v>0.98699939999999997</v>
      </c>
      <c r="AB5281">
        <v>26</v>
      </c>
      <c r="AC5281">
        <v>0.71760000000000401</v>
      </c>
      <c r="AD5281">
        <v>-1.11240686088</v>
      </c>
      <c r="AE5281">
        <v>-33.573189999999997</v>
      </c>
      <c r="AF5281">
        <v>-5.3204649482365198</v>
      </c>
      <c r="AG5281">
        <v>-1.11240686088</v>
      </c>
      <c r="AH5281">
        <v>33.119418156133399</v>
      </c>
      <c r="AI5281">
        <v>91.899379211913796</v>
      </c>
      <c r="AJ5281">
        <v>99.126299900754603</v>
      </c>
      <c r="AK5281">
        <v>33.5624888125175</v>
      </c>
      <c r="AL5281">
        <v>89.165415650861604</v>
      </c>
      <c r="AM5281">
        <v>89.083080722064693</v>
      </c>
      <c r="AN5281">
        <v>1.000000021727</v>
      </c>
    </row>
    <row r="5282" spans="1:40" x14ac:dyDescent="0.25">
      <c r="A5282" t="str">
        <f>"20190312154402781"</f>
        <v>20190312154402781</v>
      </c>
      <c r="B5282" t="str">
        <f>"1552376642772814"</f>
        <v>1552376642772814</v>
      </c>
      <c r="C5282" t="s">
        <v>40</v>
      </c>
      <c r="D5282">
        <v>4.9477609999999999</v>
      </c>
      <c r="E5282">
        <v>0.4337396</v>
      </c>
      <c r="F5282" t="s">
        <v>43</v>
      </c>
      <c r="G5282">
        <v>-420.48020000000002</v>
      </c>
      <c r="H5282" s="1">
        <v>-3.228328E-6</v>
      </c>
      <c r="I5282">
        <v>66.816599999999994</v>
      </c>
      <c r="J5282">
        <v>-421.3682</v>
      </c>
      <c r="K5282">
        <v>1.1124099999999999</v>
      </c>
      <c r="L5282">
        <v>101.5074</v>
      </c>
      <c r="M5282">
        <v>-0.13240009999999999</v>
      </c>
      <c r="N5282">
        <v>0</v>
      </c>
      <c r="O5282">
        <v>-0.99119420000000003</v>
      </c>
      <c r="P5282">
        <v>-0.1469144</v>
      </c>
      <c r="Q5282">
        <v>1.2674019999999999E-2</v>
      </c>
      <c r="R5282">
        <v>-0.9890679</v>
      </c>
      <c r="S5282">
        <v>7.4615479999999998E-2</v>
      </c>
      <c r="T5282">
        <v>-9.7009780000000004E-2</v>
      </c>
      <c r="U5282">
        <v>-3.04895</v>
      </c>
      <c r="V5282">
        <v>1.454313E-2</v>
      </c>
      <c r="W5282">
        <v>1.485419E-2</v>
      </c>
      <c r="X5282">
        <v>0.99978389999999995</v>
      </c>
      <c r="Y5282">
        <v>-0.15659809999999999</v>
      </c>
      <c r="Z5282">
        <v>3.1180380000000001E-2</v>
      </c>
      <c r="AA5282">
        <v>0.98717010000000005</v>
      </c>
      <c r="AB5282">
        <v>26</v>
      </c>
      <c r="AC5282">
        <v>0.88799999999997603</v>
      </c>
      <c r="AD5282">
        <v>-1.1124132283279999</v>
      </c>
      <c r="AE5282">
        <v>-34.690800000000003</v>
      </c>
      <c r="AF5282">
        <v>-5.4676390455644999</v>
      </c>
      <c r="AG5282">
        <v>-1.1124132283279999</v>
      </c>
      <c r="AH5282">
        <v>34.232644582542498</v>
      </c>
      <c r="AI5282">
        <v>91.837931303599305</v>
      </c>
      <c r="AJ5282">
        <v>99.0746355827158</v>
      </c>
      <c r="AK5282">
        <v>34.6843840227532</v>
      </c>
      <c r="AL5282">
        <v>89.148886302103605</v>
      </c>
      <c r="AM5282">
        <v>89.166618699887195</v>
      </c>
      <c r="AN5282">
        <v>0.99999999814498097</v>
      </c>
    </row>
    <row r="5283" spans="1:40" x14ac:dyDescent="0.25">
      <c r="A5283" t="str">
        <f>"20190312154402804"</f>
        <v>20190312154402804</v>
      </c>
      <c r="B5283" t="str">
        <f>"1552376642793311"</f>
        <v>1552376642793311</v>
      </c>
      <c r="C5283" t="s">
        <v>40</v>
      </c>
      <c r="D5283">
        <v>4.9353280000000002</v>
      </c>
      <c r="E5283">
        <v>0.43462099999999998</v>
      </c>
      <c r="F5283" t="s">
        <v>43</v>
      </c>
      <c r="G5283">
        <v>-420.3372</v>
      </c>
      <c r="H5283" s="1">
        <v>-2.7518329999999999E-6</v>
      </c>
      <c r="I5283">
        <v>65.794579999999996</v>
      </c>
      <c r="J5283">
        <v>-421.39870000000002</v>
      </c>
      <c r="K5283">
        <v>1.112419</v>
      </c>
      <c r="L5283">
        <v>101.2418</v>
      </c>
      <c r="M5283">
        <v>-0.12745600000000001</v>
      </c>
      <c r="N5283">
        <v>0</v>
      </c>
      <c r="O5283">
        <v>-0.99184269999999997</v>
      </c>
      <c r="P5283">
        <v>-0.1411068</v>
      </c>
      <c r="Q5283">
        <v>1.349088E-2</v>
      </c>
      <c r="R5283">
        <v>-0.98990239999999996</v>
      </c>
      <c r="S5283">
        <v>8.7982179999999993E-2</v>
      </c>
      <c r="T5283">
        <v>-9.492362E-2</v>
      </c>
      <c r="U5283">
        <v>-3.0474239999999999</v>
      </c>
      <c r="V5283">
        <v>1.3655840000000001E-2</v>
      </c>
      <c r="W5283">
        <v>1.5391520000000001E-2</v>
      </c>
      <c r="X5283">
        <v>0.99978829999999996</v>
      </c>
      <c r="Y5283">
        <v>-0.1560127</v>
      </c>
      <c r="Z5283">
        <v>3.0555659999999998E-2</v>
      </c>
      <c r="AA5283">
        <v>0.98728229999999995</v>
      </c>
      <c r="AB5283">
        <v>27</v>
      </c>
      <c r="AC5283">
        <v>1.0615000000000201</v>
      </c>
      <c r="AD5283">
        <v>-1.112421751833</v>
      </c>
      <c r="AE5283">
        <v>-35.447219999999902</v>
      </c>
      <c r="AF5283">
        <v>-5.5653341631948097</v>
      </c>
      <c r="AG5283">
        <v>-1.112421751833</v>
      </c>
      <c r="AH5283">
        <v>34.988397041028897</v>
      </c>
      <c r="AI5283">
        <v>91.798455696156793</v>
      </c>
      <c r="AJ5283">
        <v>99.037882892054697</v>
      </c>
      <c r="AK5283">
        <v>35.445709952018902</v>
      </c>
      <c r="AL5283">
        <v>89.118096052347298</v>
      </c>
      <c r="AM5283">
        <v>89.217460989803001</v>
      </c>
      <c r="AN5283">
        <v>1.00000001283545</v>
      </c>
    </row>
    <row r="5284" spans="1:40" x14ac:dyDescent="0.25">
      <c r="A5284" t="str">
        <f>"20190312154402826"</f>
        <v>20190312154402826</v>
      </c>
      <c r="B5284" t="str">
        <f>"1552376642822592"</f>
        <v>1552376642822592</v>
      </c>
      <c r="C5284" t="s">
        <v>40</v>
      </c>
      <c r="D5284">
        <v>4.9276080000000002</v>
      </c>
      <c r="E5284">
        <v>0.44435370000000002</v>
      </c>
      <c r="F5284" t="s">
        <v>43</v>
      </c>
      <c r="G5284">
        <v>-420.21809999999999</v>
      </c>
      <c r="H5284" s="1">
        <v>-2.3203480000000001E-6</v>
      </c>
      <c r="I5284">
        <v>64.862610000000004</v>
      </c>
      <c r="J5284">
        <v>-421.42809999999997</v>
      </c>
      <c r="K5284">
        <v>1.112417</v>
      </c>
      <c r="L5284">
        <v>100.9736</v>
      </c>
      <c r="M5284">
        <v>-0.12248920000000001</v>
      </c>
      <c r="N5284">
        <v>0</v>
      </c>
      <c r="O5284">
        <v>-0.99246869999999998</v>
      </c>
      <c r="P5284">
        <v>-0.135816299999999</v>
      </c>
      <c r="Q5284">
        <v>1.406439E-2</v>
      </c>
      <c r="R5284">
        <v>-0.99063429999999997</v>
      </c>
      <c r="S5284">
        <v>9.8846439999999994E-2</v>
      </c>
      <c r="T5284">
        <v>-9.3140959999999995E-2</v>
      </c>
      <c r="U5284">
        <v>-3.0459589999999999</v>
      </c>
      <c r="V5284">
        <v>1.3316440000000001E-2</v>
      </c>
      <c r="W5284">
        <v>1.5724309999999998E-2</v>
      </c>
      <c r="X5284">
        <v>0.99978769999999995</v>
      </c>
      <c r="Y5284">
        <v>-0.15460019999999999</v>
      </c>
      <c r="Z5284">
        <v>3.0027189999999999E-2</v>
      </c>
      <c r="AA5284">
        <v>0.98752070000000003</v>
      </c>
      <c r="AB5284">
        <v>27</v>
      </c>
      <c r="AC5284">
        <v>1.20999999999997</v>
      </c>
      <c r="AD5284">
        <v>-1.112419320348</v>
      </c>
      <c r="AE5284">
        <v>-36.110990000000001</v>
      </c>
      <c r="AF5284">
        <v>-5.6187736633841396</v>
      </c>
      <c r="AG5284">
        <v>-1.112419320348</v>
      </c>
      <c r="AH5284">
        <v>35.657055998067797</v>
      </c>
      <c r="AI5284">
        <v>91.765152133288396</v>
      </c>
      <c r="AJ5284">
        <v>98.954929051199898</v>
      </c>
      <c r="AK5284">
        <v>36.114176394789403</v>
      </c>
      <c r="AL5284">
        <v>89.099026282398796</v>
      </c>
      <c r="AM5284">
        <v>89.236907298516698</v>
      </c>
      <c r="AN5284">
        <v>1.00000001328526</v>
      </c>
    </row>
    <row r="5285" spans="1:40" x14ac:dyDescent="0.25">
      <c r="A5285" t="str">
        <f>"20190312154402847"</f>
        <v>20190312154402847</v>
      </c>
      <c r="B5285" t="str">
        <f>"1552376642843087"</f>
        <v>1552376642843087</v>
      </c>
      <c r="C5285" t="s">
        <v>40</v>
      </c>
      <c r="D5285">
        <v>4.90245</v>
      </c>
      <c r="E5285">
        <v>0.44544</v>
      </c>
      <c r="F5285" t="s">
        <v>43</v>
      </c>
      <c r="G5285">
        <v>-421.08019999999999</v>
      </c>
      <c r="H5285" s="1">
        <v>-2.295996E-6</v>
      </c>
      <c r="I5285">
        <v>74.271159999999995</v>
      </c>
      <c r="J5285">
        <v>-421.45589999999999</v>
      </c>
      <c r="K5285">
        <v>1.112422</v>
      </c>
      <c r="L5285">
        <v>100.7089</v>
      </c>
      <c r="M5285">
        <v>-0.1176085</v>
      </c>
      <c r="N5285">
        <v>0</v>
      </c>
      <c r="O5285">
        <v>-0.99305909999999997</v>
      </c>
      <c r="P5285">
        <v>-0.13109870000000001</v>
      </c>
      <c r="Q5285">
        <v>1.466223E-2</v>
      </c>
      <c r="R5285">
        <v>-0.99126110000000001</v>
      </c>
      <c r="S5285">
        <v>3.9550780000000001E-2</v>
      </c>
      <c r="T5285">
        <v>-0.12646209999999999</v>
      </c>
      <c r="U5285">
        <v>-3.0355829999999999</v>
      </c>
      <c r="V5285">
        <v>1.3468590000000001E-2</v>
      </c>
      <c r="W5285">
        <v>1.6122899999999999E-2</v>
      </c>
      <c r="X5285">
        <v>0.99977930000000004</v>
      </c>
      <c r="Y5285">
        <v>-0.13052469999999999</v>
      </c>
      <c r="Z5285">
        <v>4.1010709999999999E-2</v>
      </c>
      <c r="AA5285">
        <v>0.99059649999999999</v>
      </c>
      <c r="AB5285">
        <v>27</v>
      </c>
      <c r="AC5285">
        <v>0.37569999999999398</v>
      </c>
      <c r="AD5285">
        <v>-1.112424295996</v>
      </c>
      <c r="AE5285">
        <v>-26.437740000000002</v>
      </c>
      <c r="AF5285">
        <v>-3.47624509785632</v>
      </c>
      <c r="AG5285">
        <v>-1.112424295996</v>
      </c>
      <c r="AH5285">
        <v>26.1637640114532</v>
      </c>
      <c r="AI5285">
        <v>92.4134373963402</v>
      </c>
      <c r="AJ5285">
        <v>97.568269604537605</v>
      </c>
      <c r="AK5285">
        <v>26.417121626735</v>
      </c>
      <c r="AL5285">
        <v>89.076185849397504</v>
      </c>
      <c r="AM5285">
        <v>89.228182974987007</v>
      </c>
      <c r="AN5285">
        <v>0.99999999976474396</v>
      </c>
    </row>
    <row r="5286" spans="1:40" x14ac:dyDescent="0.25">
      <c r="A5286" t="str">
        <f>"20190312154402871"</f>
        <v>20190312154402871</v>
      </c>
      <c r="B5286" t="str">
        <f>"1552376642863583"</f>
        <v>1552376642863583</v>
      </c>
      <c r="C5286" t="s">
        <v>40</v>
      </c>
      <c r="D5286">
        <v>4.8704450000000001</v>
      </c>
      <c r="E5286">
        <v>0.446413</v>
      </c>
      <c r="F5286" t="s">
        <v>43</v>
      </c>
      <c r="G5286">
        <v>-421.05309999999997</v>
      </c>
      <c r="H5286" s="1">
        <v>-2.084034E-6</v>
      </c>
      <c r="I5286">
        <v>73.793890000000005</v>
      </c>
      <c r="J5286">
        <v>-421.48349999999999</v>
      </c>
      <c r="K5286">
        <v>1.112433</v>
      </c>
      <c r="L5286">
        <v>100.432</v>
      </c>
      <c r="M5286">
        <v>-0.1125314</v>
      </c>
      <c r="N5286">
        <v>0</v>
      </c>
      <c r="O5286">
        <v>-0.99364759999999996</v>
      </c>
      <c r="P5286">
        <v>-0.1267942</v>
      </c>
      <c r="Q5286">
        <v>1.4298389999999999E-2</v>
      </c>
      <c r="R5286">
        <v>-0.99182610000000004</v>
      </c>
      <c r="S5286">
        <v>4.5410159999999998E-2</v>
      </c>
      <c r="T5286">
        <v>-0.12541089999999999</v>
      </c>
      <c r="U5286">
        <v>-3.0343019999999998</v>
      </c>
      <c r="V5286">
        <v>1.424137E-2</v>
      </c>
      <c r="W5286">
        <v>1.558796E-2</v>
      </c>
      <c r="X5286">
        <v>0.99977709999999997</v>
      </c>
      <c r="Y5286">
        <v>-0.12737490000000001</v>
      </c>
      <c r="Z5286">
        <v>4.0731870000000003E-2</v>
      </c>
      <c r="AA5286">
        <v>0.99101790000000001</v>
      </c>
      <c r="AB5286">
        <v>27</v>
      </c>
      <c r="AC5286">
        <v>0.43040000000001999</v>
      </c>
      <c r="AD5286">
        <v>-1.112435084034</v>
      </c>
      <c r="AE5286">
        <v>-26.638110000000001</v>
      </c>
      <c r="AF5286">
        <v>-3.4193299747508998</v>
      </c>
      <c r="AG5286">
        <v>-1.112435084034</v>
      </c>
      <c r="AH5286">
        <v>26.3744908068733</v>
      </c>
      <c r="AI5286">
        <v>92.395193893963693</v>
      </c>
      <c r="AJ5286">
        <v>97.386928725172396</v>
      </c>
      <c r="AK5286">
        <v>26.618472807699899</v>
      </c>
      <c r="AL5286">
        <v>89.106839530287004</v>
      </c>
      <c r="AM5286">
        <v>89.183902878468899</v>
      </c>
      <c r="AN5286">
        <v>1.00000002540042</v>
      </c>
    </row>
    <row r="5287" spans="1:40" x14ac:dyDescent="0.25">
      <c r="A5287" t="str">
        <f>"20190312154402892"</f>
        <v>20190312154402892</v>
      </c>
      <c r="B5287" t="str">
        <f>"1552376642883106"</f>
        <v>1552376642883106</v>
      </c>
      <c r="C5287" t="s">
        <v>40</v>
      </c>
      <c r="D5287">
        <v>4.8903569999999998</v>
      </c>
      <c r="E5287">
        <v>0.44709959999999999</v>
      </c>
      <c r="F5287" t="s">
        <v>43</v>
      </c>
      <c r="G5287">
        <v>-421.06270000000001</v>
      </c>
      <c r="H5287" s="1">
        <v>-2.7774330000000001E-6</v>
      </c>
      <c r="I5287">
        <v>75.404229999999998</v>
      </c>
      <c r="J5287">
        <v>-421.5095</v>
      </c>
      <c r="K5287">
        <v>1.112444</v>
      </c>
      <c r="L5287">
        <v>100.1587</v>
      </c>
      <c r="M5287">
        <v>-0.1075502</v>
      </c>
      <c r="N5287">
        <v>0</v>
      </c>
      <c r="O5287">
        <v>-0.99419919999999995</v>
      </c>
      <c r="P5287">
        <v>-0.12280489999999999</v>
      </c>
      <c r="Q5287">
        <v>1.411097E-2</v>
      </c>
      <c r="R5287">
        <v>-0.99233079999999996</v>
      </c>
      <c r="S5287">
        <v>5.0994869999999998E-2</v>
      </c>
      <c r="T5287">
        <v>-0.13481879999999999</v>
      </c>
      <c r="U5287">
        <v>-3.0331730000000001</v>
      </c>
      <c r="V5287">
        <v>1.523323E-2</v>
      </c>
      <c r="W5287">
        <v>1.526184E-2</v>
      </c>
      <c r="X5287">
        <v>0.99976750000000003</v>
      </c>
      <c r="Y5287">
        <v>-0.12423090000000001</v>
      </c>
      <c r="Z5287">
        <v>4.3842840000000001E-2</v>
      </c>
      <c r="AA5287">
        <v>0.99128430000000001</v>
      </c>
      <c r="AB5287">
        <v>28</v>
      </c>
      <c r="AC5287">
        <v>0.44679999999999598</v>
      </c>
      <c r="AD5287">
        <v>-1.112446777433</v>
      </c>
      <c r="AE5287">
        <v>-24.754470000000001</v>
      </c>
      <c r="AF5287">
        <v>-3.1002986877128098</v>
      </c>
      <c r="AG5287">
        <v>-1.112446777433</v>
      </c>
      <c r="AH5287">
        <v>24.5133425461635</v>
      </c>
      <c r="AI5287">
        <v>92.577865351935202</v>
      </c>
      <c r="AJ5287">
        <v>97.208151759625494</v>
      </c>
      <c r="AK5287">
        <v>24.733648185643901</v>
      </c>
      <c r="AL5287">
        <v>89.125527043296799</v>
      </c>
      <c r="AM5287">
        <v>89.127064788648795</v>
      </c>
      <c r="AN5287">
        <v>1.0000000145563299</v>
      </c>
    </row>
    <row r="5288" spans="1:40" x14ac:dyDescent="0.25">
      <c r="A5288" t="str">
        <f>"20190312154402914"</f>
        <v>20190312154402914</v>
      </c>
      <c r="B5288" t="str">
        <f>"1552376642902622"</f>
        <v>1552376642902622</v>
      </c>
      <c r="C5288" t="s">
        <v>40</v>
      </c>
      <c r="D5288">
        <v>4.9168079999999996</v>
      </c>
      <c r="E5288">
        <v>0.44785639999999999</v>
      </c>
      <c r="F5288" t="s">
        <v>43</v>
      </c>
      <c r="G5288">
        <v>-421.0498</v>
      </c>
      <c r="H5288" s="1">
        <v>-2.8751900000000002E-6</v>
      </c>
      <c r="I5288">
        <v>75.640140000000002</v>
      </c>
      <c r="J5288">
        <v>-421.53410000000002</v>
      </c>
      <c r="K5288">
        <v>1.1124639999999999</v>
      </c>
      <c r="L5288">
        <v>99.886049999999997</v>
      </c>
      <c r="M5288">
        <v>-0.10260560000000001</v>
      </c>
      <c r="N5288">
        <v>0</v>
      </c>
      <c r="O5288">
        <v>-0.99472169999999904</v>
      </c>
      <c r="P5288">
        <v>-0.1185266</v>
      </c>
      <c r="Q5288">
        <v>1.463997E-2</v>
      </c>
      <c r="R5288">
        <v>-0.99284300000000003</v>
      </c>
      <c r="S5288">
        <v>5.6854250000000002E-2</v>
      </c>
      <c r="T5288">
        <v>-0.13757549999999999</v>
      </c>
      <c r="U5288">
        <v>-3.0321959999999999</v>
      </c>
      <c r="V5288">
        <v>1.5890959999999999E-2</v>
      </c>
      <c r="W5288">
        <v>1.5672820000000001E-2</v>
      </c>
      <c r="X5288">
        <v>0.9997509</v>
      </c>
      <c r="Y5288">
        <v>-0.1212163</v>
      </c>
      <c r="Z5288">
        <v>4.4795069999999999E-2</v>
      </c>
      <c r="AA5288">
        <v>0.99161489999999997</v>
      </c>
      <c r="AB5288">
        <v>28</v>
      </c>
      <c r="AC5288">
        <v>0.48430000000001799</v>
      </c>
      <c r="AD5288">
        <v>-1.11246687519</v>
      </c>
      <c r="AE5288">
        <v>-24.245909999999899</v>
      </c>
      <c r="AF5288">
        <v>-2.9632752411655998</v>
      </c>
      <c r="AG5288">
        <v>-1.11246687519</v>
      </c>
      <c r="AH5288">
        <v>24.017708552857201</v>
      </c>
      <c r="AI5288">
        <v>92.632036622410993</v>
      </c>
      <c r="AJ5288">
        <v>97.033537377032701</v>
      </c>
      <c r="AK5288">
        <v>24.225377331081798</v>
      </c>
      <c r="AL5288">
        <v>89.101976803564099</v>
      </c>
      <c r="AM5288">
        <v>89.089364886300999</v>
      </c>
      <c r="AN5288">
        <v>1.00000001097364</v>
      </c>
    </row>
    <row r="5289" spans="1:40" x14ac:dyDescent="0.25">
      <c r="A5289" t="str">
        <f>"20190312154402936"</f>
        <v>20190312154402936</v>
      </c>
      <c r="B5289" t="str">
        <f>"1552376642932879"</f>
        <v>1552376642932879</v>
      </c>
      <c r="C5289" t="s">
        <v>40</v>
      </c>
      <c r="D5289">
        <v>4.762632</v>
      </c>
      <c r="E5289">
        <v>0.4485305</v>
      </c>
      <c r="F5289" t="s">
        <v>43</v>
      </c>
      <c r="G5289">
        <v>-421.01389999999998</v>
      </c>
      <c r="H5289" s="1">
        <v>-2.7378700000000001E-6</v>
      </c>
      <c r="I5289">
        <v>75.342290000000006</v>
      </c>
      <c r="J5289">
        <v>-421.55799999999999</v>
      </c>
      <c r="K5289">
        <v>1.1124799999999999</v>
      </c>
      <c r="L5289">
        <v>99.604920000000007</v>
      </c>
      <c r="M5289">
        <v>-9.7536079999999997E-2</v>
      </c>
      <c r="N5289">
        <v>0</v>
      </c>
      <c r="O5289">
        <v>-0.9952318</v>
      </c>
      <c r="P5289">
        <v>-0.1134698</v>
      </c>
      <c r="Q5289">
        <v>1.5873379999999999E-2</v>
      </c>
      <c r="R5289">
        <v>-0.99341469999999998</v>
      </c>
      <c r="S5289">
        <v>6.4239500000000005E-2</v>
      </c>
      <c r="T5289">
        <v>-0.13739670000000001</v>
      </c>
      <c r="U5289">
        <v>-3.0313110000000001</v>
      </c>
      <c r="V5289">
        <v>1.5884869999999999E-2</v>
      </c>
      <c r="W5289">
        <v>1.6799439999999999E-2</v>
      </c>
      <c r="X5289">
        <v>0.99973270000000003</v>
      </c>
      <c r="Y5289">
        <v>-0.1185787</v>
      </c>
      <c r="Z5289">
        <v>4.4790730000000001E-2</v>
      </c>
      <c r="AA5289">
        <v>0.99193390000000004</v>
      </c>
      <c r="AB5289">
        <v>28</v>
      </c>
      <c r="AC5289">
        <v>0.54410000000007097</v>
      </c>
      <c r="AD5289">
        <v>-1.11248273787</v>
      </c>
      <c r="AE5289">
        <v>-24.262629999999898</v>
      </c>
      <c r="AF5289">
        <v>-2.9018901881477599</v>
      </c>
      <c r="AG5289">
        <v>-1.11248273787</v>
      </c>
      <c r="AH5289">
        <v>24.0433532826654</v>
      </c>
      <c r="AI5289">
        <v>92.630118393732005</v>
      </c>
      <c r="AJ5289">
        <v>96.881973006315803</v>
      </c>
      <c r="AK5289">
        <v>24.243378922526102</v>
      </c>
      <c r="AL5289">
        <v>89.037417719802093</v>
      </c>
      <c r="AM5289">
        <v>89.089697247566093</v>
      </c>
      <c r="AN5289">
        <v>1.0000000108642599</v>
      </c>
    </row>
    <row r="5290" spans="1:40" x14ac:dyDescent="0.25">
      <c r="A5290" t="str">
        <f>"20190312154402959"</f>
        <v>20190312154402959</v>
      </c>
      <c r="B5290" t="str">
        <f>"1552376642952757"</f>
        <v>1552376642952757</v>
      </c>
      <c r="C5290" t="s">
        <v>40</v>
      </c>
      <c r="D5290">
        <v>4.8735799999999996</v>
      </c>
      <c r="E5290">
        <v>0.45357579999999997</v>
      </c>
      <c r="F5290" t="s">
        <v>43</v>
      </c>
      <c r="G5290">
        <v>-420.94450000000001</v>
      </c>
      <c r="H5290" s="1">
        <v>-2.4152880000000001E-6</v>
      </c>
      <c r="I5290">
        <v>74.633409999999998</v>
      </c>
      <c r="J5290">
        <v>-421.58069999999998</v>
      </c>
      <c r="K5290">
        <v>1.1124889999999901</v>
      </c>
      <c r="L5290">
        <v>99.323610000000002</v>
      </c>
      <c r="M5290">
        <v>-9.2493919999999993E-2</v>
      </c>
      <c r="N5290">
        <v>0</v>
      </c>
      <c r="O5290">
        <v>-0.99571319999999996</v>
      </c>
      <c r="P5290">
        <v>-0.1080382</v>
      </c>
      <c r="Q5290">
        <v>1.6650519999999999E-2</v>
      </c>
      <c r="R5290">
        <v>-0.99400750000000004</v>
      </c>
      <c r="S5290">
        <v>7.4462890000000004E-2</v>
      </c>
      <c r="T5290">
        <v>-0.1350111</v>
      </c>
      <c r="U5290">
        <v>-3.030548</v>
      </c>
      <c r="V5290">
        <v>1.5477670000000001E-2</v>
      </c>
      <c r="W5290">
        <v>1.7485029999999999E-2</v>
      </c>
      <c r="X5290">
        <v>0.99972729999999999</v>
      </c>
      <c r="Y5290">
        <v>-0.1168998</v>
      </c>
      <c r="Z5290">
        <v>4.4060479999999999E-2</v>
      </c>
      <c r="AA5290">
        <v>0.99216590000000005</v>
      </c>
      <c r="AB5290">
        <v>28</v>
      </c>
      <c r="AC5290">
        <v>0.63619999999997301</v>
      </c>
      <c r="AD5290">
        <v>-1.1124914152880001</v>
      </c>
      <c r="AE5290">
        <v>-24.690200000000001</v>
      </c>
      <c r="AF5290">
        <v>-2.91125967474153</v>
      </c>
      <c r="AG5290">
        <v>-1.1124914152880001</v>
      </c>
      <c r="AH5290">
        <v>24.475856103609701</v>
      </c>
      <c r="AI5290">
        <v>92.584259726349302</v>
      </c>
      <c r="AJ5290">
        <v>96.783128488631107</v>
      </c>
      <c r="AK5290">
        <v>24.673479731231101</v>
      </c>
      <c r="AL5290">
        <v>88.998130501694007</v>
      </c>
      <c r="AM5290">
        <v>89.113023796179704</v>
      </c>
      <c r="AN5290">
        <v>0.99999997945400898</v>
      </c>
    </row>
    <row r="5291" spans="1:40" x14ac:dyDescent="0.25">
      <c r="A5291" t="str">
        <f>"20190312154402981"</f>
        <v>20190312154402981</v>
      </c>
      <c r="B5291" t="str">
        <f>"1552376642973257"</f>
        <v>1552376642973257</v>
      </c>
      <c r="C5291" t="s">
        <v>40</v>
      </c>
      <c r="D5291">
        <v>4.8692219999999997</v>
      </c>
      <c r="E5291">
        <v>0.45410980000000001</v>
      </c>
      <c r="F5291" t="s">
        <v>43</v>
      </c>
      <c r="G5291">
        <v>-420.92039999999997</v>
      </c>
      <c r="H5291" s="1">
        <v>-4.3754639999999997E-6</v>
      </c>
      <c r="I5291">
        <v>59.364519999999999</v>
      </c>
      <c r="J5291">
        <v>-421.60210000000001</v>
      </c>
      <c r="K5291">
        <v>1.112509</v>
      </c>
      <c r="L5291">
        <v>99.041319999999999</v>
      </c>
      <c r="M5291">
        <v>-8.7467840000000005E-2</v>
      </c>
      <c r="N5291">
        <v>0</v>
      </c>
      <c r="O5291">
        <v>-0.99616709999999997</v>
      </c>
      <c r="P5291">
        <v>-0.10336190000000001</v>
      </c>
      <c r="Q5291">
        <v>1.6339329999999999E-2</v>
      </c>
      <c r="R5291">
        <v>-0.99450930000000004</v>
      </c>
      <c r="S5291">
        <v>4.9987789999999997E-2</v>
      </c>
      <c r="T5291">
        <v>-8.4215760000000001E-2</v>
      </c>
      <c r="U5291">
        <v>-3.024902</v>
      </c>
      <c r="V5291">
        <v>1.582254E-2</v>
      </c>
      <c r="W5291">
        <v>1.7104100000000001E-2</v>
      </c>
      <c r="X5291">
        <v>0.99972850000000002</v>
      </c>
      <c r="Y5291">
        <v>-0.1039094</v>
      </c>
      <c r="Z5291">
        <v>2.7592809999999999E-2</v>
      </c>
      <c r="AA5291">
        <v>0.99420390000000003</v>
      </c>
      <c r="AB5291">
        <v>28</v>
      </c>
      <c r="AC5291">
        <v>0.68170000000003395</v>
      </c>
      <c r="AD5291">
        <v>-1.112513375464</v>
      </c>
      <c r="AE5291">
        <v>-39.6768</v>
      </c>
      <c r="AF5291">
        <v>-4.1462732449092199</v>
      </c>
      <c r="AG5291">
        <v>-1.112513375464</v>
      </c>
      <c r="AH5291">
        <v>39.434111307404201</v>
      </c>
      <c r="AI5291">
        <v>91.607142671624999</v>
      </c>
      <c r="AJ5291">
        <v>96.002272195758906</v>
      </c>
      <c r="AK5291">
        <v>39.667094706277403</v>
      </c>
      <c r="AL5291">
        <v>89.019959457078897</v>
      </c>
      <c r="AM5291">
        <v>89.093264741589806</v>
      </c>
      <c r="AN5291">
        <v>0.99999998836055504</v>
      </c>
    </row>
    <row r="5292" spans="1:40" x14ac:dyDescent="0.25">
      <c r="A5292" t="str">
        <f>"20190312154403004"</f>
        <v>20190312154403004</v>
      </c>
      <c r="B5292" t="str">
        <f>"1552376642992774"</f>
        <v>1552376642992774</v>
      </c>
      <c r="C5292" t="s">
        <v>40</v>
      </c>
      <c r="D5292">
        <v>4.866187</v>
      </c>
      <c r="E5292">
        <v>0.45470300000000002</v>
      </c>
      <c r="F5292" t="s">
        <v>43</v>
      </c>
      <c r="G5292">
        <v>-420.85079999999999</v>
      </c>
      <c r="H5292" s="1">
        <v>-7.9642490000000002E-7</v>
      </c>
      <c r="I5292">
        <v>60.917909999999999</v>
      </c>
      <c r="J5292">
        <v>-421.62299999999999</v>
      </c>
      <c r="K5292">
        <v>1.1125240000000001</v>
      </c>
      <c r="L5292">
        <v>98.746830000000003</v>
      </c>
      <c r="M5292">
        <v>-8.2265270000000001E-2</v>
      </c>
      <c r="N5292">
        <v>0</v>
      </c>
      <c r="O5292">
        <v>-0.99661029999999995</v>
      </c>
      <c r="P5292">
        <v>-9.8611160000000003E-2</v>
      </c>
      <c r="Q5292">
        <v>1.6958589999999999E-2</v>
      </c>
      <c r="R5292">
        <v>-0.99498149999999996</v>
      </c>
      <c r="S5292">
        <v>5.960083E-2</v>
      </c>
      <c r="T5292">
        <v>-8.8252540000000004E-2</v>
      </c>
      <c r="U5292">
        <v>-3.0242309999999999</v>
      </c>
      <c r="V5292">
        <v>1.626242E-2</v>
      </c>
      <c r="W5292">
        <v>1.76662E-2</v>
      </c>
      <c r="X5292">
        <v>0.99971169999999998</v>
      </c>
      <c r="Y5292">
        <v>-0.1018781</v>
      </c>
      <c r="Z5292">
        <v>2.8942369999999999E-2</v>
      </c>
      <c r="AA5292">
        <v>0.99437580000000003</v>
      </c>
      <c r="AB5292">
        <v>29</v>
      </c>
      <c r="AC5292">
        <v>0.77220000000005395</v>
      </c>
      <c r="AD5292">
        <v>-1.1125247964248901</v>
      </c>
      <c r="AE5292">
        <v>-37.828919999999997</v>
      </c>
      <c r="AF5292">
        <v>-3.8782365089800499</v>
      </c>
      <c r="AG5292">
        <v>-1.1125247964248901</v>
      </c>
      <c r="AH5292">
        <v>37.604661232867102</v>
      </c>
      <c r="AI5292">
        <v>91.685651948293597</v>
      </c>
      <c r="AJ5292">
        <v>95.888199957892198</v>
      </c>
      <c r="AK5292">
        <v>37.8204835542982</v>
      </c>
      <c r="AL5292">
        <v>88.987748664568997</v>
      </c>
      <c r="AM5292">
        <v>89.068045461589307</v>
      </c>
      <c r="AN5292">
        <v>1.0000000220217899</v>
      </c>
    </row>
    <row r="5293" spans="1:40" x14ac:dyDescent="0.25">
      <c r="A5293" t="str">
        <f>"20190312154403026"</f>
        <v>20190312154403026</v>
      </c>
      <c r="B5293" t="str">
        <f>"1552376643013269"</f>
        <v>1552376643013269</v>
      </c>
      <c r="C5293" t="s">
        <v>40</v>
      </c>
      <c r="D5293">
        <v>4.8487070000000001</v>
      </c>
      <c r="E5293">
        <v>0.4595786</v>
      </c>
      <c r="F5293" t="s">
        <v>43</v>
      </c>
      <c r="G5293">
        <v>-420.74939999999998</v>
      </c>
      <c r="H5293" s="1">
        <v>-6.6884209999999999E-7</v>
      </c>
      <c r="I5293">
        <v>60.683430000000001</v>
      </c>
      <c r="J5293">
        <v>-421.642</v>
      </c>
      <c r="K5293">
        <v>1.1125290000000001</v>
      </c>
      <c r="L5293">
        <v>98.459199999999996</v>
      </c>
      <c r="M5293">
        <v>-7.7233449999999995E-2</v>
      </c>
      <c r="N5293">
        <v>0</v>
      </c>
      <c r="O5293">
        <v>-0.99701300000000004</v>
      </c>
      <c r="P5293">
        <v>-9.4390340000000003E-2</v>
      </c>
      <c r="Q5293">
        <v>1.706819E-2</v>
      </c>
      <c r="R5293">
        <v>-0.99538899999999997</v>
      </c>
      <c r="S5293">
        <v>6.9396970000000002E-2</v>
      </c>
      <c r="T5293">
        <v>-8.8372350000000002E-2</v>
      </c>
      <c r="U5293">
        <v>-3.0235289999999999</v>
      </c>
      <c r="V5293">
        <v>1.7067329999999999E-2</v>
      </c>
      <c r="W5293">
        <v>1.7734369999999999E-2</v>
      </c>
      <c r="X5293">
        <v>0.99969699999999995</v>
      </c>
      <c r="Y5293">
        <v>-0.10008110000000001</v>
      </c>
      <c r="Z5293">
        <v>2.9007649999999999E-2</v>
      </c>
      <c r="AA5293">
        <v>0.99455640000000001</v>
      </c>
      <c r="AB5293">
        <v>29</v>
      </c>
      <c r="AC5293">
        <v>0.89260000000001505</v>
      </c>
      <c r="AD5293">
        <v>-1.1125296688421</v>
      </c>
      <c r="AE5293">
        <v>-37.775770000000001</v>
      </c>
      <c r="AF5293">
        <v>-3.8041892456244399</v>
      </c>
      <c r="AG5293">
        <v>-1.1125296688421</v>
      </c>
      <c r="AH5293">
        <v>37.561435657147399</v>
      </c>
      <c r="AI5293">
        <v>91.687914153000705</v>
      </c>
      <c r="AJ5293">
        <v>95.783146607582296</v>
      </c>
      <c r="AK5293">
        <v>37.7699752012972</v>
      </c>
      <c r="AL5293">
        <v>88.9838421228432</v>
      </c>
      <c r="AM5293">
        <v>89.021912654623904</v>
      </c>
      <c r="AN5293">
        <v>0.99999994672081105</v>
      </c>
    </row>
    <row r="5294" spans="1:40" x14ac:dyDescent="0.25">
      <c r="A5294" t="str">
        <f>"20190312154403049"</f>
        <v>20190312154403049</v>
      </c>
      <c r="B5294" t="str">
        <f>"1552376643042549"</f>
        <v>1552376643042549</v>
      </c>
      <c r="C5294" t="s">
        <v>40</v>
      </c>
      <c r="D5294">
        <v>4.8284560000000001</v>
      </c>
      <c r="E5294">
        <v>0.46032889999999999</v>
      </c>
      <c r="F5294" t="s">
        <v>43</v>
      </c>
      <c r="G5294">
        <v>-421.26170000000002</v>
      </c>
      <c r="H5294" s="1">
        <v>-1.8610090000000001E-6</v>
      </c>
      <c r="I5294">
        <v>73.144660000000002</v>
      </c>
      <c r="J5294">
        <v>-421.65980000000002</v>
      </c>
      <c r="K5294">
        <v>1.11253</v>
      </c>
      <c r="L5294">
        <v>98.167820000000006</v>
      </c>
      <c r="M5294">
        <v>-7.2199810000000003E-2</v>
      </c>
      <c r="N5294">
        <v>0</v>
      </c>
      <c r="O5294">
        <v>-0.9973902</v>
      </c>
      <c r="P5294">
        <v>-9.0306109999999995E-2</v>
      </c>
      <c r="Q5294">
        <v>1.6605169999999999E-2</v>
      </c>
      <c r="R5294">
        <v>-0.99577570000000004</v>
      </c>
      <c r="S5294">
        <v>4.5379639999999999E-2</v>
      </c>
      <c r="T5294">
        <v>-0.1327448</v>
      </c>
      <c r="U5294">
        <v>-3.0204770000000001</v>
      </c>
      <c r="V5294">
        <v>1.8015819999999998E-2</v>
      </c>
      <c r="W5294">
        <v>1.7240930000000002E-2</v>
      </c>
      <c r="X5294">
        <v>0.99968900000000005</v>
      </c>
      <c r="Y5294">
        <v>-8.7160269999999998E-2</v>
      </c>
      <c r="Z5294">
        <v>4.3648029999999997E-2</v>
      </c>
      <c r="AA5294">
        <v>0.99523759999999994</v>
      </c>
      <c r="AB5294">
        <v>29</v>
      </c>
      <c r="AC5294">
        <v>0.39809999999999901</v>
      </c>
      <c r="AD5294">
        <v>-1.112531861009</v>
      </c>
      <c r="AE5294">
        <v>-25.023159999999901</v>
      </c>
      <c r="AF5294">
        <v>-2.1993819934405101</v>
      </c>
      <c r="AG5294">
        <v>-1.112531861009</v>
      </c>
      <c r="AH5294">
        <v>24.879943795302601</v>
      </c>
      <c r="AI5294">
        <v>92.550400700280207</v>
      </c>
      <c r="AJ5294">
        <v>95.051803470336097</v>
      </c>
      <c r="AK5294">
        <v>25.001732171036601</v>
      </c>
      <c r="AL5294">
        <v>89.012118489340494</v>
      </c>
      <c r="AM5294">
        <v>88.9675601854089</v>
      </c>
      <c r="AN5294">
        <v>0.999999958079267</v>
      </c>
    </row>
    <row r="5295" spans="1:40" x14ac:dyDescent="0.25">
      <c r="A5295" t="str">
        <f>"20190312154403070"</f>
        <v>20190312154403070</v>
      </c>
      <c r="B5295" t="str">
        <f>"1552376643063552"</f>
        <v>1552376643063552</v>
      </c>
      <c r="C5295" t="s">
        <v>40</v>
      </c>
      <c r="D5295">
        <v>4.7843119999999999</v>
      </c>
      <c r="E5295">
        <v>0.46073500000000001</v>
      </c>
      <c r="F5295" t="s">
        <v>43</v>
      </c>
      <c r="G5295">
        <v>-421.23</v>
      </c>
      <c r="H5295" s="1">
        <v>-1.8490870000000001E-6</v>
      </c>
      <c r="I5295">
        <v>73.136510000000001</v>
      </c>
      <c r="J5295">
        <v>-421.67590000000001</v>
      </c>
      <c r="K5295">
        <v>1.1125179999999999</v>
      </c>
      <c r="L5295">
        <v>97.881320000000002</v>
      </c>
      <c r="M5295">
        <v>-6.7332030000000001E-2</v>
      </c>
      <c r="N5295">
        <v>0</v>
      </c>
      <c r="O5295">
        <v>-0.99773069999999997</v>
      </c>
      <c r="P5295">
        <v>-8.5341100000000003E-2</v>
      </c>
      <c r="Q5295">
        <v>1.623289E-2</v>
      </c>
      <c r="R5295">
        <v>-0.99621950000000004</v>
      </c>
      <c r="S5295">
        <v>5.1849369999999999E-2</v>
      </c>
      <c r="T5295">
        <v>-0.13421029999999901</v>
      </c>
      <c r="U5295">
        <v>-3.0196529999999999</v>
      </c>
      <c r="V5295">
        <v>1.7913720000000001E-2</v>
      </c>
      <c r="W5295">
        <v>1.6836630000000002E-2</v>
      </c>
      <c r="X5295">
        <v>0.99969770000000002</v>
      </c>
      <c r="Y5295">
        <v>-8.4434350000000005E-2</v>
      </c>
      <c r="Z5295">
        <v>4.4168119999999998E-2</v>
      </c>
      <c r="AA5295">
        <v>0.99544969999999999</v>
      </c>
      <c r="AB5295">
        <v>29</v>
      </c>
      <c r="AC5295">
        <v>0.44589999999999402</v>
      </c>
      <c r="AD5295">
        <v>-1.1125198490870001</v>
      </c>
      <c r="AE5295">
        <v>-24.744810000000001</v>
      </c>
      <c r="AF5295">
        <v>-2.10674909647632</v>
      </c>
      <c r="AG5295">
        <v>-1.1125198490870001</v>
      </c>
      <c r="AH5295">
        <v>24.6089036557333</v>
      </c>
      <c r="AI5295">
        <v>92.579045620868399</v>
      </c>
      <c r="AJ5295">
        <v>94.893116597386296</v>
      </c>
      <c r="AK5295">
        <v>24.723960671932801</v>
      </c>
      <c r="AL5295">
        <v>89.035286512698306</v>
      </c>
      <c r="AM5295">
        <v>88.973418947390698</v>
      </c>
      <c r="AN5295">
        <v>0.99999993242964003</v>
      </c>
    </row>
    <row r="5296" spans="1:40" x14ac:dyDescent="0.25">
      <c r="A5296" t="str">
        <f>"20190312154403093"</f>
        <v>20190312154403093</v>
      </c>
      <c r="B5296" t="str">
        <f>"1552376643083076"</f>
        <v>1552376643083076</v>
      </c>
      <c r="C5296" t="s">
        <v>40</v>
      </c>
      <c r="D5296">
        <v>4.8018429999999999</v>
      </c>
      <c r="E5296">
        <v>0.46111930000000001</v>
      </c>
      <c r="F5296" t="s">
        <v>43</v>
      </c>
      <c r="G5296">
        <v>-421.16079999999999</v>
      </c>
      <c r="H5296" s="1">
        <v>-1.9555690000000002E-6</v>
      </c>
      <c r="I5296">
        <v>73.427619999999905</v>
      </c>
      <c r="J5296">
        <v>-421.69170000000003</v>
      </c>
      <c r="K5296">
        <v>1.112506</v>
      </c>
      <c r="L5296">
        <v>97.575990000000004</v>
      </c>
      <c r="M5296">
        <v>-6.2225629999999997E-2</v>
      </c>
      <c r="N5296">
        <v>0</v>
      </c>
      <c r="O5296">
        <v>-0.99806209999999995</v>
      </c>
      <c r="P5296">
        <v>-8.0130380000000001E-2</v>
      </c>
      <c r="Q5296">
        <v>1.5497179999999999E-2</v>
      </c>
      <c r="R5296">
        <v>-0.99666399999999999</v>
      </c>
      <c r="S5296">
        <v>6.3598630000000003E-2</v>
      </c>
      <c r="T5296">
        <v>-0.13735269999999999</v>
      </c>
      <c r="U5296">
        <v>-3.0190730000000001</v>
      </c>
      <c r="V5296">
        <v>1.7807819999999999E-2</v>
      </c>
      <c r="W5296">
        <v>1.6075220000000001E-2</v>
      </c>
      <c r="X5296">
        <v>0.99971220000000005</v>
      </c>
      <c r="Y5296">
        <v>-8.3210249999999999E-2</v>
      </c>
      <c r="Z5296">
        <v>4.5232059999999998E-2</v>
      </c>
      <c r="AA5296">
        <v>0.99550499999999997</v>
      </c>
      <c r="AB5296">
        <v>30</v>
      </c>
      <c r="AC5296">
        <v>0.53090000000003101</v>
      </c>
      <c r="AD5296">
        <v>-1.1125079555689901</v>
      </c>
      <c r="AE5296">
        <v>-24.14837</v>
      </c>
      <c r="AF5296">
        <v>-2.0282160817815602</v>
      </c>
      <c r="AG5296">
        <v>-1.1125079555689901</v>
      </c>
      <c r="AH5296">
        <v>24.017586778047001</v>
      </c>
      <c r="AI5296">
        <v>92.642683883493802</v>
      </c>
      <c r="AJ5296">
        <v>94.827011109848101</v>
      </c>
      <c r="AK5296">
        <v>24.128734095816501</v>
      </c>
      <c r="AL5296">
        <v>89.078918072911804</v>
      </c>
      <c r="AM5296">
        <v>88.979501267055298</v>
      </c>
      <c r="AN5296">
        <v>1.0000000069900199</v>
      </c>
    </row>
    <row r="5297" spans="1:40" x14ac:dyDescent="0.25">
      <c r="A5297" t="str">
        <f>"20190312154403114"</f>
        <v>20190312154403114</v>
      </c>
      <c r="B5297" t="str">
        <f>"1552376643102592"</f>
        <v>1552376643102592</v>
      </c>
      <c r="C5297" t="s">
        <v>40</v>
      </c>
      <c r="D5297">
        <v>4.8009709999999997</v>
      </c>
      <c r="E5297">
        <v>0.46183619999999997</v>
      </c>
      <c r="F5297" t="s">
        <v>43</v>
      </c>
      <c r="G5297">
        <v>-421.08229999999998</v>
      </c>
      <c r="H5297" s="1">
        <v>-1.9697430000000001E-6</v>
      </c>
      <c r="I5297">
        <v>73.509320000000002</v>
      </c>
      <c r="J5297">
        <v>-421.70510000000002</v>
      </c>
      <c r="K5297">
        <v>1.1124889999999901</v>
      </c>
      <c r="L5297">
        <v>97.290440000000004</v>
      </c>
      <c r="M5297">
        <v>-5.7534370000000001E-2</v>
      </c>
      <c r="N5297">
        <v>0</v>
      </c>
      <c r="O5297">
        <v>-0.99834350000000005</v>
      </c>
      <c r="P5297">
        <v>-7.5350109999999998E-2</v>
      </c>
      <c r="Q5297">
        <v>1.5081239999999999E-2</v>
      </c>
      <c r="R5297">
        <v>-0.99704300000000001</v>
      </c>
      <c r="S5297">
        <v>7.6416020000000001E-2</v>
      </c>
      <c r="T5297">
        <v>-0.13952609999999999</v>
      </c>
      <c r="U5297">
        <v>-3.0183409999999999</v>
      </c>
      <c r="V5297">
        <v>1.7716010000000001E-2</v>
      </c>
      <c r="W5297">
        <v>1.5641829999999999E-2</v>
      </c>
      <c r="X5297">
        <v>0.99972070000000002</v>
      </c>
      <c r="Y5297">
        <v>-8.275623E-2</v>
      </c>
      <c r="Z5297">
        <v>4.5975500000000002E-2</v>
      </c>
      <c r="AA5297">
        <v>0.99550870000000002</v>
      </c>
      <c r="AB5297">
        <v>30</v>
      </c>
      <c r="AC5297">
        <v>0.62280000000003999</v>
      </c>
      <c r="AD5297">
        <v>-1.1124909697430001</v>
      </c>
      <c r="AE5297">
        <v>-23.781120000000001</v>
      </c>
      <c r="AF5297">
        <v>-1.98565768916715</v>
      </c>
      <c r="AG5297">
        <v>-1.1124909697430001</v>
      </c>
      <c r="AH5297">
        <v>23.654165292814302</v>
      </c>
      <c r="AI5297">
        <v>92.683298548901107</v>
      </c>
      <c r="AJ5297">
        <v>94.798465274353006</v>
      </c>
      <c r="AK5297">
        <v>23.7634174376517</v>
      </c>
      <c r="AL5297">
        <v>89.103752608436906</v>
      </c>
      <c r="AM5297">
        <v>88.984770076591602</v>
      </c>
      <c r="AN5297">
        <v>1.00000000093227</v>
      </c>
    </row>
    <row r="5298" spans="1:40" x14ac:dyDescent="0.25">
      <c r="A5298" t="str">
        <f>"20190312154403137"</f>
        <v>20190312154403137</v>
      </c>
      <c r="B5298" t="str">
        <f>"1552376643132849"</f>
        <v>1552376643132849</v>
      </c>
      <c r="C5298" t="s">
        <v>40</v>
      </c>
      <c r="D5298">
        <v>4.8109769999999896</v>
      </c>
      <c r="E5298">
        <v>0.46649879999999999</v>
      </c>
      <c r="F5298" t="s">
        <v>43</v>
      </c>
      <c r="G5298">
        <v>-421.0301</v>
      </c>
      <c r="H5298" s="1">
        <v>-1.8848229999999999E-6</v>
      </c>
      <c r="I5298">
        <v>73.343779999999995</v>
      </c>
      <c r="J5298">
        <v>-421.71800000000002</v>
      </c>
      <c r="K5298">
        <v>1.1124609999999999</v>
      </c>
      <c r="L5298">
        <v>96.986969999999999</v>
      </c>
      <c r="M5298">
        <v>-5.265276E-2</v>
      </c>
      <c r="N5298">
        <v>0</v>
      </c>
      <c r="O5298">
        <v>-0.99861290000000003</v>
      </c>
      <c r="P5298">
        <v>-7.0318110000000003E-2</v>
      </c>
      <c r="Q5298">
        <v>1.5850489999999998E-2</v>
      </c>
      <c r="R5298">
        <v>-0.99739889999999998</v>
      </c>
      <c r="S5298">
        <v>8.5052489999999994E-2</v>
      </c>
      <c r="T5298">
        <v>-0.140182</v>
      </c>
      <c r="U5298">
        <v>-3.0174560000000001</v>
      </c>
      <c r="V5298">
        <v>1.755321E-2</v>
      </c>
      <c r="W5298">
        <v>1.6396569999999999E-2</v>
      </c>
      <c r="X5298">
        <v>0.99971149999999998</v>
      </c>
      <c r="Y5298">
        <v>-8.0738160000000003E-2</v>
      </c>
      <c r="Z5298">
        <v>4.6225500000000003E-2</v>
      </c>
      <c r="AA5298">
        <v>0.99566290000000002</v>
      </c>
      <c r="AB5298">
        <v>30</v>
      </c>
      <c r="AC5298">
        <v>0.68790000000001295</v>
      </c>
      <c r="AD5298">
        <v>-1.112462884823</v>
      </c>
      <c r="AE5298">
        <v>-23.643189999999901</v>
      </c>
      <c r="AF5298">
        <v>-1.92756115947215</v>
      </c>
      <c r="AG5298">
        <v>-1.112462884823</v>
      </c>
      <c r="AH5298">
        <v>23.5221425241226</v>
      </c>
      <c r="AI5298">
        <v>92.698712541404205</v>
      </c>
      <c r="AJ5298">
        <v>94.684730437302306</v>
      </c>
      <c r="AK5298">
        <v>23.627193117650499</v>
      </c>
      <c r="AL5298">
        <v>89.060503661999604</v>
      </c>
      <c r="AM5298">
        <v>88.994088278105195</v>
      </c>
      <c r="AN5298">
        <v>1.00000002296065</v>
      </c>
    </row>
    <row r="5299" spans="1:40" x14ac:dyDescent="0.25">
      <c r="A5299" t="str">
        <f>"20190312154403160"</f>
        <v>20190312154403160</v>
      </c>
      <c r="B5299" t="str">
        <f>"1552376643153347"</f>
        <v>1552376643153347</v>
      </c>
      <c r="C5299" t="s">
        <v>40</v>
      </c>
      <c r="D5299">
        <v>5.0300520000000004</v>
      </c>
      <c r="E5299">
        <v>0.46691120000000003</v>
      </c>
      <c r="F5299" t="s">
        <v>43</v>
      </c>
      <c r="G5299">
        <v>-421.21379999999999</v>
      </c>
      <c r="H5299" s="1">
        <v>-1.8106009999999999E-6</v>
      </c>
      <c r="I5299">
        <v>73.056820000000002</v>
      </c>
      <c r="J5299">
        <v>-421.72980000000001</v>
      </c>
      <c r="K5299">
        <v>1.112428</v>
      </c>
      <c r="L5299">
        <v>96.677890000000005</v>
      </c>
      <c r="M5299">
        <v>-4.7800759999999998E-2</v>
      </c>
      <c r="N5299">
        <v>0</v>
      </c>
      <c r="O5299">
        <v>-0.99885690000000005</v>
      </c>
      <c r="P5299">
        <v>-6.5739850000000002E-2</v>
      </c>
      <c r="Q5299">
        <v>1.6241769999999999E-2</v>
      </c>
      <c r="R5299">
        <v>-0.99770479999999995</v>
      </c>
      <c r="S5299">
        <v>6.3507079999999994E-2</v>
      </c>
      <c r="T5299">
        <v>-0.14013900000000001</v>
      </c>
      <c r="U5299">
        <v>-3.014526</v>
      </c>
      <c r="V5299">
        <v>1.7819539999999998E-2</v>
      </c>
      <c r="W5299">
        <v>1.6781319999999999E-2</v>
      </c>
      <c r="X5299">
        <v>0.99970040000000004</v>
      </c>
      <c r="Y5299">
        <v>-6.8805749999999999E-2</v>
      </c>
      <c r="Z5299">
        <v>4.6297970000000001E-2</v>
      </c>
      <c r="AA5299">
        <v>0.99655519999999997</v>
      </c>
      <c r="AB5299">
        <v>30</v>
      </c>
      <c r="AC5299">
        <v>0.516000000000019</v>
      </c>
      <c r="AD5299">
        <v>-1.112429810601</v>
      </c>
      <c r="AE5299">
        <v>-23.62107</v>
      </c>
      <c r="AF5299">
        <v>-1.6408776411424599</v>
      </c>
      <c r="AG5299">
        <v>-1.112429810601</v>
      </c>
      <c r="AH5299">
        <v>23.517268765540202</v>
      </c>
      <c r="AI5299">
        <v>92.701666604928207</v>
      </c>
      <c r="AJ5299">
        <v>93.991247585559293</v>
      </c>
      <c r="AK5299">
        <v>23.6006760434393</v>
      </c>
      <c r="AL5299">
        <v>89.038456073737606</v>
      </c>
      <c r="AM5299">
        <v>88.978817729540495</v>
      </c>
      <c r="AN5299">
        <v>1.0000000192334499</v>
      </c>
    </row>
    <row r="5300" spans="1:40" x14ac:dyDescent="0.25">
      <c r="A5300" t="str">
        <f>"20190312154403182"</f>
        <v>20190312154403182</v>
      </c>
      <c r="B5300" t="str">
        <f>"1552376643172864"</f>
        <v>1552376643172864</v>
      </c>
      <c r="C5300" t="s">
        <v>40</v>
      </c>
      <c r="D5300">
        <v>4.8017059999999896</v>
      </c>
      <c r="E5300">
        <v>0.46906009999999998</v>
      </c>
      <c r="F5300" t="s">
        <v>43</v>
      </c>
      <c r="G5300">
        <v>-421.13209999999998</v>
      </c>
      <c r="H5300" s="1">
        <v>-1.543802E-6</v>
      </c>
      <c r="I5300">
        <v>72.485590000000002</v>
      </c>
      <c r="J5300">
        <v>-421.74</v>
      </c>
      <c r="K5300">
        <v>1.112379</v>
      </c>
      <c r="L5300">
        <v>96.376009999999994</v>
      </c>
      <c r="M5300">
        <v>-4.3188259999999999E-2</v>
      </c>
      <c r="N5300">
        <v>0</v>
      </c>
      <c r="O5300">
        <v>-0.99906709999999999</v>
      </c>
      <c r="P5300">
        <v>-6.1862309999999997E-2</v>
      </c>
      <c r="Q5300">
        <v>1.6204980000000001E-2</v>
      </c>
      <c r="R5300">
        <v>-0.99795330000000004</v>
      </c>
      <c r="S5300">
        <v>7.4462890000000004E-2</v>
      </c>
      <c r="T5300">
        <v>-0.1385953</v>
      </c>
      <c r="U5300">
        <v>-3.0140690000000001</v>
      </c>
      <c r="V5300">
        <v>1.8552349999999999E-2</v>
      </c>
      <c r="W5300">
        <v>1.674556E-2</v>
      </c>
      <c r="X5300">
        <v>0.99968769999999996</v>
      </c>
      <c r="Y5300">
        <v>-6.7823599999999998E-2</v>
      </c>
      <c r="Z5300">
        <v>4.5810120000000003E-2</v>
      </c>
      <c r="AA5300">
        <v>0.99664509999999995</v>
      </c>
      <c r="AB5300">
        <v>30</v>
      </c>
      <c r="AC5300">
        <v>0.60790000000002897</v>
      </c>
      <c r="AD5300">
        <v>-1.112380543802</v>
      </c>
      <c r="AE5300">
        <v>-23.890419999999899</v>
      </c>
      <c r="AF5300">
        <v>-1.6355746869883401</v>
      </c>
      <c r="AG5300">
        <v>-1.112380543802</v>
      </c>
      <c r="AH5300">
        <v>23.7903308991025</v>
      </c>
      <c r="AI5300">
        <v>92.670772489707801</v>
      </c>
      <c r="AJ5300">
        <v>93.932870953973506</v>
      </c>
      <c r="AK5300">
        <v>23.872417961315499</v>
      </c>
      <c r="AL5300">
        <v>89.040505288721306</v>
      </c>
      <c r="AM5300">
        <v>88.936818618996995</v>
      </c>
      <c r="AN5300">
        <v>1.00000005050076</v>
      </c>
    </row>
    <row r="5301" spans="1:40" x14ac:dyDescent="0.25">
      <c r="A5301" t="str">
        <f>"20190312154403205"</f>
        <v>20190312154403205</v>
      </c>
      <c r="B5301" t="str">
        <f>"1552376643193360"</f>
        <v>1552376643193360</v>
      </c>
      <c r="C5301" t="s">
        <v>40</v>
      </c>
      <c r="D5301">
        <v>4.7881549999999997</v>
      </c>
      <c r="E5301">
        <v>0.46879310000000002</v>
      </c>
      <c r="F5301" t="s">
        <v>43</v>
      </c>
      <c r="G5301">
        <v>-420.99090000000001</v>
      </c>
      <c r="H5301" s="1">
        <v>-1.6103219999999901E-6</v>
      </c>
      <c r="I5301">
        <v>62.728200000000001</v>
      </c>
      <c r="J5301">
        <v>-421.74919999999997</v>
      </c>
      <c r="K5301">
        <v>1.1123209999999999</v>
      </c>
      <c r="L5301">
        <v>96.064059999999998</v>
      </c>
      <c r="M5301">
        <v>-3.8557510000000003E-2</v>
      </c>
      <c r="N5301">
        <v>0</v>
      </c>
      <c r="O5301">
        <v>-0.99925629999999999</v>
      </c>
      <c r="P5301">
        <v>-5.7698409999999999E-2</v>
      </c>
      <c r="Q5301">
        <v>1.627251E-2</v>
      </c>
      <c r="R5301">
        <v>-0.99820169999999997</v>
      </c>
      <c r="S5301">
        <v>6.7047120000000002E-2</v>
      </c>
      <c r="T5301">
        <v>-9.9573019999999998E-2</v>
      </c>
      <c r="U5301">
        <v>-3.0119319999999998</v>
      </c>
      <c r="V5301">
        <v>1.9016209999999999E-2</v>
      </c>
      <c r="W5301">
        <v>1.6815170000000001E-2</v>
      </c>
      <c r="X5301">
        <v>0.99967779999999995</v>
      </c>
      <c r="Y5301">
        <v>-6.0774290000000002E-2</v>
      </c>
      <c r="Z5301">
        <v>3.2969999999999999E-2</v>
      </c>
      <c r="AA5301">
        <v>0.99760689999999996</v>
      </c>
      <c r="AB5301">
        <v>31</v>
      </c>
      <c r="AC5301">
        <v>0.758299999999962</v>
      </c>
      <c r="AD5301">
        <v>-1.1123226103220001</v>
      </c>
      <c r="AE5301">
        <v>-33.335859999999997</v>
      </c>
      <c r="AF5301">
        <v>-2.0408129785109099</v>
      </c>
      <c r="AG5301">
        <v>-1.1123226103220001</v>
      </c>
      <c r="AH5301">
        <v>33.244838161098698</v>
      </c>
      <c r="AI5301">
        <v>91.912718415897203</v>
      </c>
      <c r="AJ5301">
        <v>93.512828702198803</v>
      </c>
      <c r="AK5301">
        <v>33.325987510654997</v>
      </c>
      <c r="AL5301">
        <v>89.036516353131802</v>
      </c>
      <c r="AM5301">
        <v>88.910231690283993</v>
      </c>
      <c r="AN5301">
        <v>1.00000003499886</v>
      </c>
    </row>
    <row r="5302" spans="1:40" x14ac:dyDescent="0.25">
      <c r="A5302" t="str">
        <f>"20190312154403227"</f>
        <v>20190312154403227</v>
      </c>
      <c r="B5302" t="str">
        <f>"1552376643212880"</f>
        <v>1552376643212880</v>
      </c>
      <c r="C5302" t="s">
        <v>40</v>
      </c>
      <c r="D5302">
        <v>4.8201830000000001</v>
      </c>
      <c r="E5302">
        <v>0.47218009999999999</v>
      </c>
      <c r="F5302" t="s">
        <v>43</v>
      </c>
      <c r="G5302">
        <v>-420.8218</v>
      </c>
      <c r="H5302" s="1">
        <v>-1.2922300000000001E-6</v>
      </c>
      <c r="I5302">
        <v>62.091619999999899</v>
      </c>
      <c r="J5302">
        <v>-421.75720000000001</v>
      </c>
      <c r="K5302">
        <v>1.1122650000000001</v>
      </c>
      <c r="L5302">
        <v>95.751949999999994</v>
      </c>
      <c r="M5302">
        <v>-3.4073590000000001E-2</v>
      </c>
      <c r="N5302">
        <v>0</v>
      </c>
      <c r="O5302">
        <v>-0.99941930000000001</v>
      </c>
      <c r="P5302">
        <v>-5.3859650000000002E-2</v>
      </c>
      <c r="Q5302">
        <v>1.6506659999999999E-2</v>
      </c>
      <c r="R5302">
        <v>-0.99841239999999998</v>
      </c>
      <c r="S5302">
        <v>8.221436E-2</v>
      </c>
      <c r="T5302">
        <v>-9.8610400000000001E-2</v>
      </c>
      <c r="U5302">
        <v>-3.011749</v>
      </c>
      <c r="V5302">
        <v>1.965776E-2</v>
      </c>
      <c r="W5302">
        <v>1.7062620000000001E-2</v>
      </c>
      <c r="X5302">
        <v>0.99966109999999997</v>
      </c>
      <c r="Y5302">
        <v>-6.1318190000000002E-2</v>
      </c>
      <c r="Z5302">
        <v>3.2658989999999999E-2</v>
      </c>
      <c r="AA5302">
        <v>0.99758380000000002</v>
      </c>
      <c r="AB5302">
        <v>31</v>
      </c>
      <c r="AC5302">
        <v>0.935400000000015</v>
      </c>
      <c r="AD5302">
        <v>-1.11226629223</v>
      </c>
      <c r="AE5302">
        <v>-33.660330000000002</v>
      </c>
      <c r="AF5302">
        <v>-2.0795162913575602</v>
      </c>
      <c r="AG5302">
        <v>-1.11226629223</v>
      </c>
      <c r="AH5302">
        <v>33.5722827897009</v>
      </c>
      <c r="AI5302">
        <v>91.893916272180107</v>
      </c>
      <c r="AJ5302">
        <v>93.544455942149099</v>
      </c>
      <c r="AK5302">
        <v>33.6550099691338</v>
      </c>
      <c r="AL5302">
        <v>89.022336383373798</v>
      </c>
      <c r="AM5302">
        <v>88.873456675132402</v>
      </c>
      <c r="AN5302">
        <v>0.99999993769134399</v>
      </c>
    </row>
    <row r="5303" spans="1:40" x14ac:dyDescent="0.25">
      <c r="A5303" t="str">
        <f>"20190312154403249"</f>
        <v>20190312154403249</v>
      </c>
      <c r="B5303" t="str">
        <f>"1552376643243139"</f>
        <v>1552376643243139</v>
      </c>
      <c r="C5303" t="s">
        <v>40</v>
      </c>
      <c r="D5303">
        <v>4.8195889999999997</v>
      </c>
      <c r="E5303">
        <v>0.47286329999999999</v>
      </c>
      <c r="F5303" t="s">
        <v>43</v>
      </c>
      <c r="G5303">
        <v>-421.17950000000002</v>
      </c>
      <c r="H5303" s="1">
        <v>-5.0977129999999899E-7</v>
      </c>
      <c r="I5303">
        <v>70.045850000000002</v>
      </c>
      <c r="J5303">
        <v>-421.76389999999998</v>
      </c>
      <c r="K5303">
        <v>1.112209</v>
      </c>
      <c r="L5303">
        <v>95.436890000000005</v>
      </c>
      <c r="M5303">
        <v>-2.9716090000000001E-2</v>
      </c>
      <c r="N5303">
        <v>0</v>
      </c>
      <c r="O5303">
        <v>-0.99955850000000002</v>
      </c>
      <c r="P5303">
        <v>-5.000462E-2</v>
      </c>
      <c r="Q5303">
        <v>1.6260130000000001E-2</v>
      </c>
      <c r="R5303">
        <v>-0.99861659999999997</v>
      </c>
      <c r="S5303">
        <v>6.7657469999999997E-2</v>
      </c>
      <c r="T5303">
        <v>-0.1302625</v>
      </c>
      <c r="U5303">
        <v>-3.0105590000000002</v>
      </c>
      <c r="V5303">
        <v>2.0160730000000002E-2</v>
      </c>
      <c r="W5303">
        <v>1.68495E-2</v>
      </c>
      <c r="X5303">
        <v>0.99965479999999995</v>
      </c>
      <c r="Y5303">
        <v>-5.2145410000000003E-2</v>
      </c>
      <c r="Z5303">
        <v>4.3164609999999999E-2</v>
      </c>
      <c r="AA5303">
        <v>0.99770619999999999</v>
      </c>
      <c r="AB5303">
        <v>31</v>
      </c>
      <c r="AC5303">
        <v>0.58439999999995895</v>
      </c>
      <c r="AD5303">
        <v>-1.1122095097713001</v>
      </c>
      <c r="AE5303">
        <v>-25.39104</v>
      </c>
      <c r="AF5303">
        <v>-1.33610200395534</v>
      </c>
      <c r="AG5303">
        <v>-1.1122095097713001</v>
      </c>
      <c r="AH5303">
        <v>25.313916046391199</v>
      </c>
      <c r="AI5303">
        <v>92.512275994153299</v>
      </c>
      <c r="AJ5303">
        <v>93.021343494049205</v>
      </c>
      <c r="AK5303">
        <v>25.3735398429613</v>
      </c>
      <c r="AL5303">
        <v>89.034549115138304</v>
      </c>
      <c r="AM5303">
        <v>88.844632998393607</v>
      </c>
      <c r="AN5303">
        <v>1.0000000399237099</v>
      </c>
    </row>
    <row r="5304" spans="1:40" x14ac:dyDescent="0.25">
      <c r="A5304" t="str">
        <f>"20190312154403271"</f>
        <v>20190312154403271</v>
      </c>
      <c r="B5304" t="str">
        <f>"1552376643262656"</f>
        <v>1552376643262656</v>
      </c>
      <c r="C5304" t="s">
        <v>40</v>
      </c>
      <c r="D5304">
        <v>4.8363969999999998</v>
      </c>
      <c r="E5304">
        <v>0.47322969999999998</v>
      </c>
      <c r="F5304" t="s">
        <v>43</v>
      </c>
      <c r="G5304">
        <v>-421.14010000000002</v>
      </c>
      <c r="H5304" s="1">
        <v>-5.3030289999999996E-7</v>
      </c>
      <c r="I5304">
        <v>70.11815</v>
      </c>
      <c r="J5304">
        <v>-421.76909999999998</v>
      </c>
      <c r="K5304">
        <v>1.112158</v>
      </c>
      <c r="L5304">
        <v>95.135559999999998</v>
      </c>
      <c r="M5304">
        <v>-2.5696170000000001E-2</v>
      </c>
      <c r="N5304">
        <v>0</v>
      </c>
      <c r="O5304">
        <v>-0.99966980000000005</v>
      </c>
      <c r="P5304">
        <v>-4.5973020000000003E-2</v>
      </c>
      <c r="Q5304">
        <v>1.5634329999999998E-2</v>
      </c>
      <c r="R5304">
        <v>-0.99882040000000005</v>
      </c>
      <c r="S5304">
        <v>7.4157710000000002E-2</v>
      </c>
      <c r="T5304">
        <v>-0.1322247</v>
      </c>
      <c r="U5304">
        <v>-3.0100099999999999</v>
      </c>
      <c r="V5304">
        <v>2.0152460000000001E-2</v>
      </c>
      <c r="W5304">
        <v>1.627547E-2</v>
      </c>
      <c r="X5304">
        <v>0.99966440000000001</v>
      </c>
      <c r="Y5304">
        <v>-5.0286110000000002E-2</v>
      </c>
      <c r="Z5304">
        <v>4.3829859999999998E-2</v>
      </c>
      <c r="AA5304">
        <v>0.99777260000000001</v>
      </c>
      <c r="AB5304">
        <v>31</v>
      </c>
      <c r="AC5304">
        <v>0.62899999999996203</v>
      </c>
      <c r="AD5304">
        <v>-1.1121585303029</v>
      </c>
      <c r="AE5304">
        <v>-25.017410000000002</v>
      </c>
      <c r="AF5304">
        <v>-1.26913733561385</v>
      </c>
      <c r="AG5304">
        <v>-1.1121585303029</v>
      </c>
      <c r="AH5304">
        <v>24.943721671387401</v>
      </c>
      <c r="AI5304">
        <v>92.549645840787505</v>
      </c>
      <c r="AJ5304">
        <v>92.912699335550002</v>
      </c>
      <c r="AK5304">
        <v>25.000737128989101</v>
      </c>
      <c r="AL5304">
        <v>89.067443050457697</v>
      </c>
      <c r="AM5304">
        <v>88.845117893172599</v>
      </c>
      <c r="AN5304">
        <v>0.99999996259756496</v>
      </c>
    </row>
    <row r="5305" spans="1:40" x14ac:dyDescent="0.25">
      <c r="A5305" t="str">
        <f>"20190312154403293"</f>
        <v>20190312154403293</v>
      </c>
      <c r="B5305" t="str">
        <f>"1552376643283153"</f>
        <v>1552376643283153</v>
      </c>
      <c r="C5305" t="s">
        <v>40</v>
      </c>
      <c r="D5305">
        <v>4.7255560000000001</v>
      </c>
      <c r="E5305">
        <v>0.47385349999999998</v>
      </c>
      <c r="F5305" t="s">
        <v>43</v>
      </c>
      <c r="G5305">
        <v>-421.08710000000002</v>
      </c>
      <c r="H5305" s="1">
        <v>-7.4073869999999899E-7</v>
      </c>
      <c r="I5305">
        <v>70.641540000000006</v>
      </c>
      <c r="J5305">
        <v>-421.77350000000001</v>
      </c>
      <c r="K5305">
        <v>1.112109</v>
      </c>
      <c r="L5305">
        <v>94.817229999999995</v>
      </c>
      <c r="M5305">
        <v>-2.1580390000000001E-2</v>
      </c>
      <c r="N5305">
        <v>0</v>
      </c>
      <c r="O5305">
        <v>-0.99976710000000002</v>
      </c>
      <c r="P5305">
        <v>-4.1827290000000003E-2</v>
      </c>
      <c r="Q5305">
        <v>1.5066049999999999E-2</v>
      </c>
      <c r="R5305">
        <v>-0.99901150000000005</v>
      </c>
      <c r="S5305">
        <v>8.3801269999999997E-2</v>
      </c>
      <c r="T5305">
        <v>-0.13664960000000001</v>
      </c>
      <c r="U5305">
        <v>-3.0095519999999998</v>
      </c>
      <c r="V5305">
        <v>2.0125290000000001E-2</v>
      </c>
      <c r="W5305">
        <v>1.5784389999999999E-2</v>
      </c>
      <c r="X5305">
        <v>0.99967280000000003</v>
      </c>
      <c r="Y5305">
        <v>-4.937126E-2</v>
      </c>
      <c r="Z5305">
        <v>4.5306310000000002E-2</v>
      </c>
      <c r="AA5305">
        <v>0.99775239999999998</v>
      </c>
      <c r="AB5305">
        <v>32</v>
      </c>
      <c r="AC5305">
        <v>0.68639999999999102</v>
      </c>
      <c r="AD5305">
        <v>-1.1121097407386999</v>
      </c>
      <c r="AE5305">
        <v>-24.175689999999999</v>
      </c>
      <c r="AF5305">
        <v>-1.2054122496031701</v>
      </c>
      <c r="AG5305">
        <v>-1.1121097407386999</v>
      </c>
      <c r="AH5305">
        <v>24.1042809524936</v>
      </c>
      <c r="AI5305">
        <v>92.638314857901193</v>
      </c>
      <c r="AJ5305">
        <v>92.862875176353796</v>
      </c>
      <c r="AK5305">
        <v>24.160011734344899</v>
      </c>
      <c r="AL5305">
        <v>89.095583459052193</v>
      </c>
      <c r="AM5305">
        <v>88.846684198854206</v>
      </c>
      <c r="AN5305">
        <v>0.99999994066254605</v>
      </c>
    </row>
    <row r="5306" spans="1:40" x14ac:dyDescent="0.25">
      <c r="A5306" t="str">
        <f>"20190312154403316"</f>
        <v>20190312154403316</v>
      </c>
      <c r="B5306" t="str">
        <f>"1552376643302673"</f>
        <v>1552376643302673</v>
      </c>
      <c r="C5306" t="s">
        <v>40</v>
      </c>
      <c r="D5306">
        <v>4.8763040000000002</v>
      </c>
      <c r="E5306">
        <v>0.4745125</v>
      </c>
      <c r="F5306" t="s">
        <v>43</v>
      </c>
      <c r="G5306">
        <v>-421.08479999999997</v>
      </c>
      <c r="H5306" s="1">
        <v>-1.4038260000000001E-6</v>
      </c>
      <c r="I5306">
        <v>72.188640000000007</v>
      </c>
      <c r="J5306">
        <v>-421.77670000000001</v>
      </c>
      <c r="K5306">
        <v>1.1120620000000001</v>
      </c>
      <c r="L5306">
        <v>94.502260000000007</v>
      </c>
      <c r="M5306">
        <v>-1.763847E-2</v>
      </c>
      <c r="N5306">
        <v>0</v>
      </c>
      <c r="O5306">
        <v>-0.99984439999999997</v>
      </c>
      <c r="P5306">
        <v>-3.7250970000000001E-2</v>
      </c>
      <c r="Q5306">
        <v>1.476133E-2</v>
      </c>
      <c r="R5306">
        <v>-0.99919720000000001</v>
      </c>
      <c r="S5306">
        <v>9.1583250000000005E-2</v>
      </c>
      <c r="T5306">
        <v>-0.14788270000000001</v>
      </c>
      <c r="U5306">
        <v>-3.0090330000000001</v>
      </c>
      <c r="V5306">
        <v>1.9491419999999999E-2</v>
      </c>
      <c r="W5306">
        <v>1.557508E-2</v>
      </c>
      <c r="X5306">
        <v>0.99968869999999999</v>
      </c>
      <c r="Y5306">
        <v>-4.801097E-2</v>
      </c>
      <c r="Z5306">
        <v>4.9035910000000002E-2</v>
      </c>
      <c r="AA5306">
        <v>0.99764249999999999</v>
      </c>
      <c r="AB5306">
        <v>32</v>
      </c>
      <c r="AC5306">
        <v>0.69190000000003204</v>
      </c>
      <c r="AD5306">
        <v>-1.112063403826</v>
      </c>
      <c r="AE5306">
        <v>-22.313619999999901</v>
      </c>
      <c r="AF5306">
        <v>-1.08268388796112</v>
      </c>
      <c r="AG5306">
        <v>-1.112063403826</v>
      </c>
      <c r="AH5306">
        <v>22.242750831534298</v>
      </c>
      <c r="AI5306">
        <v>92.8588355886627</v>
      </c>
      <c r="AJ5306">
        <v>92.786718911191002</v>
      </c>
      <c r="AK5306">
        <v>22.296835066194902</v>
      </c>
      <c r="AL5306">
        <v>89.107577564820701</v>
      </c>
      <c r="AM5306">
        <v>88.883017663338805</v>
      </c>
      <c r="AN5306">
        <v>0.99999999773915604</v>
      </c>
    </row>
    <row r="5307" spans="1:40" x14ac:dyDescent="0.25">
      <c r="A5307" t="str">
        <f>"20190312154403338"</f>
        <v>20190312154403338</v>
      </c>
      <c r="B5307" t="str">
        <f>"1552376643332928"</f>
        <v>1552376643332928</v>
      </c>
      <c r="C5307" t="s">
        <v>40</v>
      </c>
      <c r="D5307">
        <v>4.8778009999999998</v>
      </c>
      <c r="E5307">
        <v>0.47553309999999999</v>
      </c>
      <c r="F5307" t="s">
        <v>43</v>
      </c>
      <c r="G5307">
        <v>-421.0138</v>
      </c>
      <c r="H5307" s="1">
        <v>-1.124893E-6</v>
      </c>
      <c r="I5307">
        <v>71.582470000000001</v>
      </c>
      <c r="J5307">
        <v>-421.77879999999999</v>
      </c>
      <c r="K5307">
        <v>1.1120190000000001</v>
      </c>
      <c r="L5307">
        <v>94.172700000000006</v>
      </c>
      <c r="M5307">
        <v>-1.365676E-2</v>
      </c>
      <c r="N5307">
        <v>0</v>
      </c>
      <c r="O5307">
        <v>-0.99990659999999998</v>
      </c>
      <c r="P5307">
        <v>-3.2608190000000002E-2</v>
      </c>
      <c r="Q5307">
        <v>1.415741E-2</v>
      </c>
      <c r="R5307">
        <v>-0.99936820000000004</v>
      </c>
      <c r="S5307">
        <v>0.1001282</v>
      </c>
      <c r="T5307">
        <v>-0.14596199999999901</v>
      </c>
      <c r="U5307">
        <v>-3.0083009999999999</v>
      </c>
      <c r="V5307">
        <v>1.8833760000000001E-2</v>
      </c>
      <c r="W5307">
        <v>1.509925E-2</v>
      </c>
      <c r="X5307">
        <v>0.99970859999999995</v>
      </c>
      <c r="Y5307">
        <v>-4.6872629999999998E-2</v>
      </c>
      <c r="Z5307">
        <v>4.8415960000000001E-2</v>
      </c>
      <c r="AA5307">
        <v>0.99772689999999997</v>
      </c>
      <c r="AB5307">
        <v>32</v>
      </c>
      <c r="AC5307">
        <v>0.76499999999998602</v>
      </c>
      <c r="AD5307">
        <v>-1.112020124893</v>
      </c>
      <c r="AE5307">
        <v>-22.590229999999998</v>
      </c>
      <c r="AF5307">
        <v>-1.07084618032976</v>
      </c>
      <c r="AG5307">
        <v>-1.112020124893</v>
      </c>
      <c r="AH5307">
        <v>22.523160915026999</v>
      </c>
      <c r="AI5307">
        <v>92.823344847966297</v>
      </c>
      <c r="AJ5307">
        <v>92.722033530848904</v>
      </c>
      <c r="AK5307">
        <v>22.576006686398099</v>
      </c>
      <c r="AL5307">
        <v>89.134843817503096</v>
      </c>
      <c r="AM5307">
        <v>88.920718172902099</v>
      </c>
      <c r="AN5307">
        <v>0.99999999139012996</v>
      </c>
    </row>
    <row r="5308" spans="1:40" x14ac:dyDescent="0.25">
      <c r="A5308" t="str">
        <f>"20190312154403361"</f>
        <v>20190312154403361</v>
      </c>
      <c r="B5308" t="str">
        <f>"1552376643353425"</f>
        <v>1552376643353425</v>
      </c>
      <c r="C5308" t="s">
        <v>40</v>
      </c>
      <c r="D5308">
        <v>4.8320790000000002</v>
      </c>
      <c r="E5308">
        <v>0.47564509999999999</v>
      </c>
      <c r="F5308" t="s">
        <v>43</v>
      </c>
      <c r="G5308">
        <v>-420.9692</v>
      </c>
      <c r="H5308" s="1">
        <v>-9.5817839999999999E-7</v>
      </c>
      <c r="I5308">
        <v>71.221500000000006</v>
      </c>
      <c r="J5308">
        <v>-421.77969999999999</v>
      </c>
      <c r="K5308">
        <v>1.1119709999999901</v>
      </c>
      <c r="L5308">
        <v>93.855130000000003</v>
      </c>
      <c r="M5308">
        <v>-9.9672470000000003E-3</v>
      </c>
      <c r="N5308">
        <v>0</v>
      </c>
      <c r="O5308">
        <v>-0.99995009999999995</v>
      </c>
      <c r="P5308">
        <v>-2.8797219999999998E-2</v>
      </c>
      <c r="Q5308">
        <v>1.299704E-2</v>
      </c>
      <c r="R5308">
        <v>-0.99950090000000003</v>
      </c>
      <c r="S5308">
        <v>0.1060791</v>
      </c>
      <c r="T5308">
        <v>-0.1457138</v>
      </c>
      <c r="U5308">
        <v>-3.0074160000000001</v>
      </c>
      <c r="V5308">
        <v>1.8720859999999999E-2</v>
      </c>
      <c r="W5308">
        <v>1.409943E-2</v>
      </c>
      <c r="X5308">
        <v>0.99972530000000004</v>
      </c>
      <c r="Y5308">
        <v>-4.5168659999999999E-2</v>
      </c>
      <c r="Z5308">
        <v>4.8351430000000001E-2</v>
      </c>
      <c r="AA5308">
        <v>0.99780860000000005</v>
      </c>
      <c r="AB5308">
        <v>32</v>
      </c>
      <c r="AC5308">
        <v>0.81049999999999001</v>
      </c>
      <c r="AD5308">
        <v>-1.11197195817839</v>
      </c>
      <c r="AE5308">
        <v>-22.63363</v>
      </c>
      <c r="AF5308">
        <v>-1.0335632771027401</v>
      </c>
      <c r="AG5308">
        <v>-1.11197195817839</v>
      </c>
      <c r="AH5308">
        <v>22.570020252335901</v>
      </c>
      <c r="AI5308">
        <v>92.817600012268997</v>
      </c>
      <c r="AJ5308">
        <v>92.621950264388701</v>
      </c>
      <c r="AK5308">
        <v>22.6210200670616</v>
      </c>
      <c r="AL5308">
        <v>89.192135375279307</v>
      </c>
      <c r="AM5308">
        <v>88.927204386680003</v>
      </c>
      <c r="AN5308">
        <v>0.99999996999277596</v>
      </c>
    </row>
    <row r="5309" spans="1:40" x14ac:dyDescent="0.25">
      <c r="A5309" t="str">
        <f>"20190312154403384"</f>
        <v>20190312154403384</v>
      </c>
      <c r="B5309" t="str">
        <f>"1552376643372945"</f>
        <v>1552376643372945</v>
      </c>
      <c r="C5309" t="s">
        <v>40</v>
      </c>
      <c r="D5309">
        <v>4.8197199999999896</v>
      </c>
      <c r="E5309">
        <v>0.47474559999999999</v>
      </c>
      <c r="F5309" t="s">
        <v>43</v>
      </c>
      <c r="G5309">
        <v>-420.90129999999999</v>
      </c>
      <c r="H5309" s="1">
        <v>-9.3855109999999996E-7</v>
      </c>
      <c r="I5309">
        <v>71.217879999999994</v>
      </c>
      <c r="J5309">
        <v>-421.77949999999998</v>
      </c>
      <c r="K5309">
        <v>1.1119139999999901</v>
      </c>
      <c r="L5309">
        <v>93.525570000000002</v>
      </c>
      <c r="M5309">
        <v>-6.3039890000000003E-3</v>
      </c>
      <c r="N5309">
        <v>0</v>
      </c>
      <c r="O5309">
        <v>-0.99997959999999997</v>
      </c>
      <c r="P5309">
        <v>-2.5648979999999998E-2</v>
      </c>
      <c r="Q5309">
        <v>1.2448280000000001E-2</v>
      </c>
      <c r="R5309">
        <v>-0.99959390000000004</v>
      </c>
      <c r="S5309">
        <v>0.1166687</v>
      </c>
      <c r="T5309">
        <v>-0.14769689999999999</v>
      </c>
      <c r="U5309">
        <v>-3.0067750000000002</v>
      </c>
      <c r="V5309">
        <v>1.92401E-2</v>
      </c>
      <c r="W5309">
        <v>1.375757E-2</v>
      </c>
      <c r="X5309">
        <v>0.99972019999999995</v>
      </c>
      <c r="Y5309">
        <v>-4.5024639999999998E-2</v>
      </c>
      <c r="Z5309">
        <v>4.901747E-2</v>
      </c>
      <c r="AA5309">
        <v>0.99778259999999996</v>
      </c>
      <c r="AB5309">
        <v>32</v>
      </c>
      <c r="AC5309">
        <v>0.87819999999999199</v>
      </c>
      <c r="AD5309">
        <v>-1.11191493855109</v>
      </c>
      <c r="AE5309">
        <v>-22.307689999999901</v>
      </c>
      <c r="AF5309">
        <v>-1.01628902323966</v>
      </c>
      <c r="AG5309">
        <v>-1.11191493855109</v>
      </c>
      <c r="AH5309">
        <v>22.246525252322598</v>
      </c>
      <c r="AI5309">
        <v>92.858372383772505</v>
      </c>
      <c r="AJ5309">
        <v>92.615627155738906</v>
      </c>
      <c r="AK5309">
        <v>22.2974681076475</v>
      </c>
      <c r="AL5309">
        <v>89.211724407654899</v>
      </c>
      <c r="AM5309">
        <v>88.8974510517548</v>
      </c>
      <c r="AN5309">
        <v>0.999999965234176</v>
      </c>
    </row>
    <row r="5310" spans="1:40" x14ac:dyDescent="0.25">
      <c r="A5310" t="str">
        <f>"20190312154403407"</f>
        <v>20190312154403407</v>
      </c>
      <c r="B5310" t="str">
        <f>"1552376643393441"</f>
        <v>1552376643393441</v>
      </c>
      <c r="C5310" t="s">
        <v>40</v>
      </c>
      <c r="D5310">
        <v>4.7778479999999997</v>
      </c>
      <c r="E5310">
        <v>0.43315510000000002</v>
      </c>
      <c r="F5310" t="s">
        <v>43</v>
      </c>
      <c r="G5310">
        <v>-420.76499999999999</v>
      </c>
      <c r="H5310" s="1">
        <v>-6.8500959999999904E-7</v>
      </c>
      <c r="I5310">
        <v>70.711410000000001</v>
      </c>
      <c r="J5310">
        <v>-421.77839999999998</v>
      </c>
      <c r="K5310">
        <v>1.1118429999999999</v>
      </c>
      <c r="L5310">
        <v>93.189329999999998</v>
      </c>
      <c r="M5310">
        <v>-2.7536079999999998E-3</v>
      </c>
      <c r="N5310">
        <v>0</v>
      </c>
      <c r="O5310">
        <v>-0.99999539999999998</v>
      </c>
      <c r="P5310">
        <v>-2.2936000000000002E-2</v>
      </c>
      <c r="Q5310">
        <v>1.226004E-2</v>
      </c>
      <c r="R5310">
        <v>-0.99966189999999999</v>
      </c>
      <c r="S5310">
        <v>0.1336975</v>
      </c>
      <c r="T5310">
        <v>-0.1465291</v>
      </c>
      <c r="U5310">
        <v>-3.0064700000000002</v>
      </c>
      <c r="V5310">
        <v>2.0079449999999999E-2</v>
      </c>
      <c r="W5310">
        <v>1.382337E-2</v>
      </c>
      <c r="X5310">
        <v>0.9997028</v>
      </c>
      <c r="Y5310">
        <v>-4.7124190000000003E-2</v>
      </c>
      <c r="Z5310">
        <v>4.8628850000000001E-2</v>
      </c>
      <c r="AA5310">
        <v>0.99770460000000005</v>
      </c>
      <c r="AB5310">
        <v>32</v>
      </c>
      <c r="AC5310">
        <v>1.0133999999999901</v>
      </c>
      <c r="AD5310">
        <v>-1.1118436850096001</v>
      </c>
      <c r="AE5310">
        <v>-22.477920000000001</v>
      </c>
      <c r="AF5310">
        <v>-1.0726724376255901</v>
      </c>
      <c r="AG5310">
        <v>-1.1118436850096001</v>
      </c>
      <c r="AH5310">
        <v>22.420300490001299</v>
      </c>
      <c r="AI5310">
        <v>92.835787112196101</v>
      </c>
      <c r="AJ5310">
        <v>92.739159250891802</v>
      </c>
      <c r="AK5310">
        <v>22.473466501638999</v>
      </c>
      <c r="AL5310">
        <v>89.207953997672703</v>
      </c>
      <c r="AM5310">
        <v>88.849344956733404</v>
      </c>
      <c r="AN5310">
        <v>0.99999997909914895</v>
      </c>
    </row>
    <row r="5311" spans="1:40" x14ac:dyDescent="0.25">
      <c r="A5311" t="str">
        <f>"20190312154403430"</f>
        <v>20190312154403430</v>
      </c>
      <c r="B5311" t="str">
        <f>"1552376643422721"</f>
        <v>1552376643422721</v>
      </c>
      <c r="C5311" t="s">
        <v>40</v>
      </c>
      <c r="D5311">
        <v>4.7828670000000004</v>
      </c>
      <c r="E5311">
        <v>0.43053540000000001</v>
      </c>
      <c r="F5311" t="s">
        <v>70</v>
      </c>
      <c r="G5311">
        <v>-411.61630000000002</v>
      </c>
      <c r="H5311" s="1">
        <v>-1.0024240000000001E-5</v>
      </c>
      <c r="I5311">
        <v>27.917020000000001</v>
      </c>
      <c r="J5311">
        <v>-421.77629999999999</v>
      </c>
      <c r="K5311">
        <v>1.1117709999999901</v>
      </c>
      <c r="L5311">
        <v>92.869110000000006</v>
      </c>
      <c r="M5311">
        <v>4.177502E-4</v>
      </c>
      <c r="N5311">
        <v>0</v>
      </c>
      <c r="O5311">
        <v>-0.99999839999999995</v>
      </c>
      <c r="P5311">
        <v>-2.075248E-2</v>
      </c>
      <c r="Q5311">
        <v>1.219961E-2</v>
      </c>
      <c r="R5311">
        <v>-0.99971030000000005</v>
      </c>
      <c r="S5311">
        <v>0.46899410000000002</v>
      </c>
      <c r="T5311">
        <v>-5.1313280000000003E-2</v>
      </c>
      <c r="U5311">
        <v>-3.0123899999999999</v>
      </c>
      <c r="V5311">
        <v>2.1068719999999999E-2</v>
      </c>
      <c r="W5311">
        <v>1.406463E-2</v>
      </c>
      <c r="X5311">
        <v>0.99967910000000004</v>
      </c>
      <c r="Y5311">
        <v>-0.1534006</v>
      </c>
      <c r="Z5311">
        <v>1.6829469999999999E-2</v>
      </c>
      <c r="AA5311">
        <v>0.98802080000000003</v>
      </c>
      <c r="AB5311">
        <v>33</v>
      </c>
      <c r="AC5311">
        <v>10.159999999999901</v>
      </c>
      <c r="AD5311">
        <v>-1.1117810242399999</v>
      </c>
      <c r="AE5311">
        <v>-64.952089999999998</v>
      </c>
      <c r="AF5311">
        <v>-10.129968234565199</v>
      </c>
      <c r="AG5311">
        <v>-1.1117810242399999</v>
      </c>
      <c r="AH5311">
        <v>64.937757005812003</v>
      </c>
      <c r="AI5311">
        <v>90.969130575630501</v>
      </c>
      <c r="AJ5311">
        <v>98.866398809175095</v>
      </c>
      <c r="AK5311">
        <v>65.732523140566002</v>
      </c>
      <c r="AL5311">
        <v>89.194129493502899</v>
      </c>
      <c r="AM5311">
        <v>88.7926425044474</v>
      </c>
      <c r="AN5311">
        <v>1.00000000387814</v>
      </c>
    </row>
    <row r="5312" spans="1:40" x14ac:dyDescent="0.25">
      <c r="A5312" t="str">
        <f>"20190312154403451"</f>
        <v>20190312154403451</v>
      </c>
      <c r="B5312" t="str">
        <f>"1552376643443216"</f>
        <v>1552376643443216</v>
      </c>
      <c r="C5312" t="s">
        <v>40</v>
      </c>
      <c r="D5312">
        <v>4.8151659999999996</v>
      </c>
      <c r="E5312">
        <v>0.43080059999999898</v>
      </c>
      <c r="F5312" t="s">
        <v>43</v>
      </c>
      <c r="G5312">
        <v>-414.29300000000001</v>
      </c>
      <c r="H5312" s="1">
        <v>-4.4136489999999901E-6</v>
      </c>
      <c r="I5312">
        <v>47.561329999999998</v>
      </c>
      <c r="J5312">
        <v>-421.77330000000001</v>
      </c>
      <c r="K5312">
        <v>1.111694</v>
      </c>
      <c r="L5312">
        <v>92.551029999999997</v>
      </c>
      <c r="M5312">
        <v>3.354512E-3</v>
      </c>
      <c r="N5312">
        <v>0</v>
      </c>
      <c r="O5312">
        <v>-0.9999924</v>
      </c>
      <c r="P5312">
        <v>-1.8356230000000001E-2</v>
      </c>
      <c r="Q5312">
        <v>1.129957E-2</v>
      </c>
      <c r="R5312">
        <v>-0.99976799999999999</v>
      </c>
      <c r="S5312">
        <v>0.49749759999999998</v>
      </c>
      <c r="T5312">
        <v>-7.3912140000000001E-2</v>
      </c>
      <c r="U5312">
        <v>-3.0121150000000001</v>
      </c>
      <c r="V5312">
        <v>2.161691E-2</v>
      </c>
      <c r="W5312">
        <v>1.352919E-2</v>
      </c>
      <c r="X5312">
        <v>0.99967479999999997</v>
      </c>
      <c r="Y5312">
        <v>-0.1595994</v>
      </c>
      <c r="Z5312">
        <v>2.420957E-2</v>
      </c>
      <c r="AA5312">
        <v>0.98688500000000001</v>
      </c>
      <c r="AB5312">
        <v>33</v>
      </c>
      <c r="AC5312">
        <v>7.4802999999999997</v>
      </c>
      <c r="AD5312">
        <v>-1.111698413649</v>
      </c>
      <c r="AE5312">
        <v>-44.989699999999999</v>
      </c>
      <c r="AF5312">
        <v>-7.3249868983054398</v>
      </c>
      <c r="AG5312">
        <v>-1.111698413649</v>
      </c>
      <c r="AH5312">
        <v>44.987809633015999</v>
      </c>
      <c r="AI5312">
        <v>91.397162431012504</v>
      </c>
      <c r="AJ5312">
        <v>99.247837293683503</v>
      </c>
      <c r="AK5312">
        <v>45.5937969684446</v>
      </c>
      <c r="AL5312">
        <v>89.224810877011805</v>
      </c>
      <c r="AM5312">
        <v>88.761232437276206</v>
      </c>
      <c r="AN5312">
        <v>1.0000000177675199</v>
      </c>
    </row>
    <row r="5313" spans="1:40" x14ac:dyDescent="0.25">
      <c r="A5313" t="str">
        <f>"20190312154403473"</f>
        <v>20190312154403473</v>
      </c>
      <c r="B5313" t="str">
        <f>"1552376643462736"</f>
        <v>1552376643462736</v>
      </c>
      <c r="C5313" t="s">
        <v>40</v>
      </c>
      <c r="D5313">
        <v>4.7716529999999997</v>
      </c>
      <c r="E5313">
        <v>0.43121939999999997</v>
      </c>
      <c r="F5313" t="s">
        <v>43</v>
      </c>
      <c r="G5313">
        <v>-415.2276</v>
      </c>
      <c r="H5313" s="1">
        <v>-2.5318719999999999E-6</v>
      </c>
      <c r="I5313">
        <v>53.356699999999996</v>
      </c>
      <c r="J5313">
        <v>-421.76929999999999</v>
      </c>
      <c r="K5313">
        <v>1.1116140000000001</v>
      </c>
      <c r="L5313">
        <v>92.214659999999995</v>
      </c>
      <c r="M5313">
        <v>6.2778290000000004E-3</v>
      </c>
      <c r="N5313">
        <v>0</v>
      </c>
      <c r="O5313">
        <v>-0.99997709999999995</v>
      </c>
      <c r="P5313">
        <v>-1.6030869999999999E-2</v>
      </c>
      <c r="Q5313">
        <v>9.8108080000000007E-3</v>
      </c>
      <c r="R5313">
        <v>-0.99982349999999998</v>
      </c>
      <c r="S5313">
        <v>0.50283809999999995</v>
      </c>
      <c r="T5313">
        <v>-8.5400100000000007E-2</v>
      </c>
      <c r="U5313">
        <v>-3.0108950000000001</v>
      </c>
      <c r="V5313">
        <v>2.2225970000000001E-2</v>
      </c>
      <c r="W5313">
        <v>1.246355E-2</v>
      </c>
      <c r="X5313">
        <v>0.99967530000000004</v>
      </c>
      <c r="Y5313">
        <v>-0.15846499999999999</v>
      </c>
      <c r="Z5313">
        <v>2.797875E-2</v>
      </c>
      <c r="AA5313">
        <v>0.98696810000000001</v>
      </c>
      <c r="AB5313">
        <v>33</v>
      </c>
      <c r="AC5313">
        <v>6.5416999999999899</v>
      </c>
      <c r="AD5313">
        <v>-1.1116165318719999</v>
      </c>
      <c r="AE5313">
        <v>-38.857959999999999</v>
      </c>
      <c r="AF5313">
        <v>-6.2926189156367496</v>
      </c>
      <c r="AG5313">
        <v>-1.1116165318719999</v>
      </c>
      <c r="AH5313">
        <v>38.8673308297329</v>
      </c>
      <c r="AI5313">
        <v>91.617182764841701</v>
      </c>
      <c r="AJ5313">
        <v>99.196387228653293</v>
      </c>
      <c r="AK5313">
        <v>39.389112073760501</v>
      </c>
      <c r="AL5313">
        <v>89.285872711686494</v>
      </c>
      <c r="AM5313">
        <v>88.726341933485898</v>
      </c>
      <c r="AN5313">
        <v>1.0000000196255601</v>
      </c>
    </row>
    <row r="5314" spans="1:40" x14ac:dyDescent="0.25">
      <c r="A5314" t="str">
        <f>"20190312154403494"</f>
        <v>20190312154403494</v>
      </c>
      <c r="B5314" t="str">
        <f>"1552376643483232"</f>
        <v>1552376643483232</v>
      </c>
      <c r="C5314" t="s">
        <v>40</v>
      </c>
      <c r="D5314">
        <v>4.8197349999999997</v>
      </c>
      <c r="E5314">
        <v>0.43139189999999999</v>
      </c>
      <c r="F5314" t="s">
        <v>43</v>
      </c>
      <c r="G5314">
        <v>-415.76560000000001</v>
      </c>
      <c r="H5314" s="1">
        <v>-3.7062589999999999E-6</v>
      </c>
      <c r="I5314">
        <v>56.521270000000001</v>
      </c>
      <c r="J5314">
        <v>-421.76490000000001</v>
      </c>
      <c r="K5314">
        <v>1.1115429999999999</v>
      </c>
      <c r="L5314">
        <v>91.897769999999994</v>
      </c>
      <c r="M5314">
        <v>8.8503430000000001E-3</v>
      </c>
      <c r="N5314">
        <v>0</v>
      </c>
      <c r="O5314">
        <v>-0.99995670000000003</v>
      </c>
      <c r="P5314">
        <v>-1.3890069999999999E-2</v>
      </c>
      <c r="Q5314">
        <v>8.8767759999999994E-3</v>
      </c>
      <c r="R5314">
        <v>-0.99986410000000003</v>
      </c>
      <c r="S5314">
        <v>0.50622559999999905</v>
      </c>
      <c r="T5314">
        <v>-9.3729019999999996E-2</v>
      </c>
      <c r="U5314">
        <v>-3.0095830000000001</v>
      </c>
      <c r="V5314">
        <v>2.26646E-2</v>
      </c>
      <c r="W5314">
        <v>1.195099E-2</v>
      </c>
      <c r="X5314">
        <v>0.99967169999999905</v>
      </c>
      <c r="Y5314">
        <v>-0.1570619</v>
      </c>
      <c r="Z5314">
        <v>3.0717890000000001E-2</v>
      </c>
      <c r="AA5314">
        <v>0.98711090000000001</v>
      </c>
      <c r="AB5314">
        <v>33</v>
      </c>
      <c r="AC5314">
        <v>5.9992999999999999</v>
      </c>
      <c r="AD5314">
        <v>-1.1115467062590001</v>
      </c>
      <c r="AE5314">
        <v>-35.3765</v>
      </c>
      <c r="AF5314">
        <v>-5.6805182814089497</v>
      </c>
      <c r="AG5314">
        <v>-1.1115467062590001</v>
      </c>
      <c r="AH5314">
        <v>35.3942445198198</v>
      </c>
      <c r="AI5314">
        <v>91.776053860694702</v>
      </c>
      <c r="AJ5314">
        <v>99.117800447271804</v>
      </c>
      <c r="AK5314">
        <v>35.864416475866598</v>
      </c>
      <c r="AL5314">
        <v>89.315242417296304</v>
      </c>
      <c r="AM5314">
        <v>88.701210114712396</v>
      </c>
      <c r="AN5314">
        <v>1.0000000090180099</v>
      </c>
    </row>
    <row r="5315" spans="1:40" x14ac:dyDescent="0.25">
      <c r="A5315" t="str">
        <f>"20190312154403517"</f>
        <v>20190312154403517</v>
      </c>
      <c r="B5315" t="str">
        <f>"1552376643513489"</f>
        <v>1552376643513489</v>
      </c>
      <c r="C5315" t="s">
        <v>40</v>
      </c>
      <c r="D5315">
        <v>4.7577939999999996</v>
      </c>
      <c r="E5315">
        <v>0.43160110000000002</v>
      </c>
      <c r="F5315" t="s">
        <v>43</v>
      </c>
      <c r="G5315">
        <v>-416.04129999999998</v>
      </c>
      <c r="H5315" s="1">
        <v>-4.3983209999999998E-6</v>
      </c>
      <c r="I5315">
        <v>58.248480000000001</v>
      </c>
      <c r="J5315">
        <v>-421.75959999999998</v>
      </c>
      <c r="K5315">
        <v>1.111462</v>
      </c>
      <c r="L5315">
        <v>91.566220000000001</v>
      </c>
      <c r="M5315">
        <v>1.1324310000000001E-2</v>
      </c>
      <c r="N5315">
        <v>0</v>
      </c>
      <c r="O5315">
        <v>-0.99993030000000005</v>
      </c>
      <c r="P5315">
        <v>-1.1681850000000001E-2</v>
      </c>
      <c r="Q5315">
        <v>8.198014E-3</v>
      </c>
      <c r="R5315">
        <v>-0.99989839999999997</v>
      </c>
      <c r="S5315">
        <v>0.51171880000000003</v>
      </c>
      <c r="T5315">
        <v>-9.9377160000000006E-2</v>
      </c>
      <c r="U5315">
        <v>-3.0083920000000002</v>
      </c>
      <c r="V5315">
        <v>2.2935819999999999E-2</v>
      </c>
      <c r="W5315">
        <v>1.174453E-2</v>
      </c>
      <c r="X5315">
        <v>0.99966790000000005</v>
      </c>
      <c r="Y5315">
        <v>-0.156424799999999</v>
      </c>
      <c r="Z5315">
        <v>3.2575239999999998E-2</v>
      </c>
      <c r="AA5315">
        <v>0.98715249999999999</v>
      </c>
      <c r="AB5315">
        <v>33</v>
      </c>
      <c r="AC5315">
        <v>5.7182999999999904</v>
      </c>
      <c r="AD5315">
        <v>-1.111466398321</v>
      </c>
      <c r="AE5315">
        <v>-33.317739999999901</v>
      </c>
      <c r="AF5315">
        <v>-5.3348637139632302</v>
      </c>
      <c r="AG5315">
        <v>-1.111466398321</v>
      </c>
      <c r="AH5315">
        <v>33.3443138812626</v>
      </c>
      <c r="AI5315">
        <v>91.885175904842001</v>
      </c>
      <c r="AJ5315">
        <v>99.089897426749303</v>
      </c>
      <c r="AK5315">
        <v>33.786674838067697</v>
      </c>
      <c r="AL5315">
        <v>89.327072493147199</v>
      </c>
      <c r="AM5315">
        <v>88.685668337856399</v>
      </c>
      <c r="AN5315">
        <v>0.99999994805720005</v>
      </c>
    </row>
    <row r="5316" spans="1:40" x14ac:dyDescent="0.25">
      <c r="A5316" t="str">
        <f>"20190312154403539"</f>
        <v>20190312154403539</v>
      </c>
      <c r="B5316" t="str">
        <f>"1552376643533012"</f>
        <v>1552376643533012</v>
      </c>
      <c r="C5316" t="s">
        <v>40</v>
      </c>
      <c r="D5316">
        <v>4.8091589999999904</v>
      </c>
      <c r="E5316">
        <v>0.43187779999999998</v>
      </c>
      <c r="F5316" t="s">
        <v>43</v>
      </c>
      <c r="G5316">
        <v>-416.05399999999997</v>
      </c>
      <c r="H5316" s="1">
        <v>-4.4471740000000001E-6</v>
      </c>
      <c r="I5316">
        <v>58.367640000000002</v>
      </c>
      <c r="J5316">
        <v>-421.7534</v>
      </c>
      <c r="K5316">
        <v>1.1113679999999999</v>
      </c>
      <c r="L5316">
        <v>91.227199999999996</v>
      </c>
      <c r="M5316">
        <v>1.3611679999999999E-2</v>
      </c>
      <c r="N5316">
        <v>0</v>
      </c>
      <c r="O5316">
        <v>-0.99989950000000005</v>
      </c>
      <c r="P5316">
        <v>-9.4698969999999997E-3</v>
      </c>
      <c r="Q5316">
        <v>8.1890230000000001E-3</v>
      </c>
      <c r="R5316">
        <v>-0.99992170000000002</v>
      </c>
      <c r="S5316">
        <v>0.51681520000000003</v>
      </c>
      <c r="T5316">
        <v>-0.10067810000000001</v>
      </c>
      <c r="U5316">
        <v>-3.0071720000000002</v>
      </c>
      <c r="V5316">
        <v>2.3013289999999999E-2</v>
      </c>
      <c r="W5316">
        <v>1.227283E-2</v>
      </c>
      <c r="X5316">
        <v>0.99965979999999999</v>
      </c>
      <c r="Y5316">
        <v>-0.15585470000000001</v>
      </c>
      <c r="Z5316">
        <v>3.3009799999999999E-2</v>
      </c>
      <c r="AA5316">
        <v>0.98722829999999995</v>
      </c>
      <c r="AB5316">
        <v>33</v>
      </c>
      <c r="AC5316">
        <v>5.6993999999999598</v>
      </c>
      <c r="AD5316">
        <v>-1.1113724471740001</v>
      </c>
      <c r="AE5316">
        <v>-32.859559999999902</v>
      </c>
      <c r="AF5316">
        <v>-5.2457691633811798</v>
      </c>
      <c r="AG5316">
        <v>-1.1113724471740001</v>
      </c>
      <c r="AH5316">
        <v>32.897561627912999</v>
      </c>
      <c r="AI5316">
        <v>91.910755788833399</v>
      </c>
      <c r="AJ5316">
        <v>99.059977841327495</v>
      </c>
      <c r="AK5316">
        <v>33.331708685486703</v>
      </c>
      <c r="AL5316">
        <v>89.296800966931201</v>
      </c>
      <c r="AM5316">
        <v>88.681219821321605</v>
      </c>
      <c r="AN5316">
        <v>0.99999997480443603</v>
      </c>
    </row>
    <row r="5317" spans="1:40" x14ac:dyDescent="0.25">
      <c r="A5317" t="str">
        <f>"20190312154403562"</f>
        <v>20190312154403562</v>
      </c>
      <c r="B5317" t="str">
        <f>"1552376643553504"</f>
        <v>1552376643553504</v>
      </c>
      <c r="C5317" t="s">
        <v>40</v>
      </c>
      <c r="D5317">
        <v>4.8241759999999996</v>
      </c>
      <c r="E5317">
        <v>0.43216850000000001</v>
      </c>
      <c r="F5317" t="s">
        <v>43</v>
      </c>
      <c r="G5317">
        <v>-416.0034</v>
      </c>
      <c r="H5317" s="1">
        <v>-4.3181220000000004E-6</v>
      </c>
      <c r="I5317">
        <v>58.045909999999999</v>
      </c>
      <c r="J5317">
        <v>-421.74680000000001</v>
      </c>
      <c r="K5317">
        <v>1.1112850000000001</v>
      </c>
      <c r="L5317">
        <v>90.891170000000002</v>
      </c>
      <c r="M5317">
        <v>1.563028E-2</v>
      </c>
      <c r="N5317">
        <v>0</v>
      </c>
      <c r="O5317">
        <v>-0.99986750000000002</v>
      </c>
      <c r="P5317">
        <v>-7.5385419999999996E-3</v>
      </c>
      <c r="Q5317">
        <v>6.6207260000000004E-3</v>
      </c>
      <c r="R5317">
        <v>-0.99994970000000005</v>
      </c>
      <c r="S5317">
        <v>0.52090449999999999</v>
      </c>
      <c r="T5317">
        <v>-0.1006832</v>
      </c>
      <c r="U5317">
        <v>-3.0060120000000001</v>
      </c>
      <c r="V5317">
        <v>2.311123E-2</v>
      </c>
      <c r="W5317">
        <v>1.132494E-2</v>
      </c>
      <c r="X5317">
        <v>0.99966880000000002</v>
      </c>
      <c r="Y5317">
        <v>-0.15522810000000001</v>
      </c>
      <c r="Z5317">
        <v>3.3020389999999997E-2</v>
      </c>
      <c r="AA5317">
        <v>0.98732660000000005</v>
      </c>
      <c r="AB5317">
        <v>33</v>
      </c>
      <c r="AC5317">
        <v>5.7434000000000003</v>
      </c>
      <c r="AD5317">
        <v>-1.111289318122</v>
      </c>
      <c r="AE5317">
        <v>-32.845259999999897</v>
      </c>
      <c r="AF5317">
        <v>-5.2235102754088203</v>
      </c>
      <c r="AG5317">
        <v>-1.111289318122</v>
      </c>
      <c r="AH5317">
        <v>32.894480840568903</v>
      </c>
      <c r="AI5317">
        <v>91.910987885359802</v>
      </c>
      <c r="AJ5317">
        <v>99.022999214055105</v>
      </c>
      <c r="AK5317">
        <v>33.325169066584301</v>
      </c>
      <c r="AL5317">
        <v>89.351114894021606</v>
      </c>
      <c r="AM5317">
        <v>88.675621268261395</v>
      </c>
      <c r="AN5317">
        <v>1.0000000464557699</v>
      </c>
    </row>
    <row r="5318" spans="1:40" x14ac:dyDescent="0.25">
      <c r="A5318" t="str">
        <f>"20190312154403595"</f>
        <v>20190312154403595</v>
      </c>
      <c r="B5318" t="str">
        <f>"1552376643582784"</f>
        <v>1552376643582784</v>
      </c>
      <c r="C5318" t="s">
        <v>40</v>
      </c>
      <c r="D5318">
        <v>4.8148910000000003</v>
      </c>
      <c r="E5318">
        <v>0.43260690000000002</v>
      </c>
      <c r="F5318" t="s">
        <v>43</v>
      </c>
      <c r="G5318">
        <v>-416.08769999999998</v>
      </c>
      <c r="H5318" s="1">
        <v>-4.4726930000000004E-6</v>
      </c>
      <c r="I5318">
        <v>58.44106</v>
      </c>
      <c r="J5318">
        <v>-421.73649999999998</v>
      </c>
      <c r="K5318">
        <v>1.1111740000000001</v>
      </c>
      <c r="L5318">
        <v>90.407989999999998</v>
      </c>
      <c r="M5318">
        <v>1.8067759999999999E-2</v>
      </c>
      <c r="N5318">
        <v>0</v>
      </c>
      <c r="O5318">
        <v>-0.99982059999999995</v>
      </c>
      <c r="P5318">
        <v>-5.225833E-3</v>
      </c>
      <c r="Q5318">
        <v>5.7880939999999997E-3</v>
      </c>
      <c r="R5318">
        <v>-0.99996980000000002</v>
      </c>
      <c r="S5318">
        <v>0.52401730000000002</v>
      </c>
      <c r="T5318">
        <v>-0.1029024</v>
      </c>
      <c r="U5318">
        <v>-3.004791</v>
      </c>
      <c r="V5318">
        <v>2.32435E-2</v>
      </c>
      <c r="W5318">
        <v>1.160244E-2</v>
      </c>
      <c r="X5318">
        <v>0.99966250000000001</v>
      </c>
      <c r="Y5318">
        <v>-0.1538757</v>
      </c>
      <c r="Z5318">
        <v>3.3759409999999997E-2</v>
      </c>
      <c r="AA5318">
        <v>0.98751339999999999</v>
      </c>
      <c r="AB5318">
        <v>33</v>
      </c>
      <c r="AC5318">
        <v>5.6487999999999898</v>
      </c>
      <c r="AD5318">
        <v>-1.1111784726930001</v>
      </c>
      <c r="AE5318">
        <v>-31.966930000000001</v>
      </c>
      <c r="AF5318">
        <v>-5.0643638765802601</v>
      </c>
      <c r="AG5318">
        <v>-1.1111784726930001</v>
      </c>
      <c r="AH5318">
        <v>32.026249729499398</v>
      </c>
      <c r="AI5318">
        <v>91.962760511008497</v>
      </c>
      <c r="AJ5318">
        <v>98.985870359414605</v>
      </c>
      <c r="AK5318">
        <v>32.4432299688063</v>
      </c>
      <c r="AL5318">
        <v>89.335214237121903</v>
      </c>
      <c r="AM5318">
        <v>88.6680359265128</v>
      </c>
      <c r="AN5318">
        <v>0.99999999540622597</v>
      </c>
    </row>
    <row r="5319" spans="1:40" x14ac:dyDescent="0.25">
      <c r="A5319" t="str">
        <f>"20190312154403620"</f>
        <v>20190312154403620</v>
      </c>
      <c r="B5319" t="str">
        <f>"1552376643613042"</f>
        <v>1552376643613042</v>
      </c>
      <c r="C5319" t="s">
        <v>40</v>
      </c>
      <c r="D5319">
        <v>4.8256230000000002</v>
      </c>
      <c r="E5319">
        <v>0.4318053</v>
      </c>
      <c r="F5319" t="s">
        <v>43</v>
      </c>
      <c r="G5319">
        <v>-416.25619999999998</v>
      </c>
      <c r="H5319" s="1">
        <v>-4.7716329999999996E-6</v>
      </c>
      <c r="I5319">
        <v>59.207560000000001</v>
      </c>
      <c r="J5319">
        <v>-421.7287</v>
      </c>
      <c r="K5319">
        <v>1.1111009999999999</v>
      </c>
      <c r="L5319">
        <v>90.061610000000002</v>
      </c>
      <c r="M5319">
        <v>1.9507940000000001E-2</v>
      </c>
      <c r="N5319">
        <v>0</v>
      </c>
      <c r="O5319">
        <v>-0.9997878</v>
      </c>
      <c r="P5319">
        <v>-4.1371020000000001E-3</v>
      </c>
      <c r="Q5319">
        <v>5.7187499999999999E-3</v>
      </c>
      <c r="R5319">
        <v>-0.99997539999999996</v>
      </c>
      <c r="S5319">
        <v>0.52755739999999995</v>
      </c>
      <c r="T5319">
        <v>-0.10696650000000001</v>
      </c>
      <c r="U5319">
        <v>-3.003479</v>
      </c>
      <c r="V5319">
        <v>2.3598089999999999E-2</v>
      </c>
      <c r="W5319">
        <v>1.2436849999999999E-2</v>
      </c>
      <c r="X5319">
        <v>0.99964419999999998</v>
      </c>
      <c r="Y5319">
        <v>-0.15364659999999999</v>
      </c>
      <c r="Z5319">
        <v>3.5101849999999997E-2</v>
      </c>
      <c r="AA5319">
        <v>0.9875022</v>
      </c>
      <c r="AB5319">
        <v>33</v>
      </c>
      <c r="AC5319">
        <v>5.4725000000000197</v>
      </c>
      <c r="AD5319">
        <v>-1.111105771633</v>
      </c>
      <c r="AE5319">
        <v>-30.854050000000001</v>
      </c>
      <c r="AF5319">
        <v>-4.8634316827857704</v>
      </c>
      <c r="AG5319">
        <v>-1.111105771633</v>
      </c>
      <c r="AH5319">
        <v>30.916067450882501</v>
      </c>
      <c r="AI5319">
        <v>92.033307946965607</v>
      </c>
      <c r="AJ5319">
        <v>98.939981072693101</v>
      </c>
      <c r="AK5319">
        <v>31.315982347619201</v>
      </c>
      <c r="AL5319">
        <v>89.287402639104499</v>
      </c>
      <c r="AM5319">
        <v>88.647698960319303</v>
      </c>
      <c r="AN5319">
        <v>1.0000000358415999</v>
      </c>
    </row>
    <row r="5320" spans="1:40" x14ac:dyDescent="0.25">
      <c r="A5320" t="str">
        <f>"20190312154403641"</f>
        <v>20190312154403641</v>
      </c>
      <c r="B5320" t="str">
        <f>"1552376643632560"</f>
        <v>1552376643632560</v>
      </c>
      <c r="C5320" t="s">
        <v>40</v>
      </c>
      <c r="D5320">
        <v>4.7522339999999996</v>
      </c>
      <c r="E5320">
        <v>0.40563949999999999</v>
      </c>
      <c r="F5320" t="s">
        <v>43</v>
      </c>
      <c r="G5320">
        <v>-416.0822</v>
      </c>
      <c r="H5320" s="1">
        <v>-4.4921209999999997E-6</v>
      </c>
      <c r="I5320">
        <v>58.484079999999999</v>
      </c>
      <c r="J5320">
        <v>-421.721</v>
      </c>
      <c r="K5320">
        <v>1.1110279999999999</v>
      </c>
      <c r="L5320">
        <v>89.730130000000003</v>
      </c>
      <c r="M5320">
        <v>2.0678530000000001E-2</v>
      </c>
      <c r="N5320">
        <v>0</v>
      </c>
      <c r="O5320">
        <v>-0.99975809999999998</v>
      </c>
      <c r="P5320">
        <v>-3.3172369999999998E-3</v>
      </c>
      <c r="Q5320">
        <v>4.110959E-3</v>
      </c>
      <c r="R5320">
        <v>-0.99998609999999999</v>
      </c>
      <c r="S5320">
        <v>0.53695680000000001</v>
      </c>
      <c r="T5320">
        <v>-0.1056617</v>
      </c>
      <c r="U5320">
        <v>-3.0028990000000002</v>
      </c>
      <c r="V5320">
        <v>2.3957269999999999E-2</v>
      </c>
      <c r="W5320">
        <v>1.1684450000000001E-2</v>
      </c>
      <c r="X5320">
        <v>0.99964470000000005</v>
      </c>
      <c r="Y5320">
        <v>-0.1555213</v>
      </c>
      <c r="Z5320">
        <v>3.4665059999999998E-2</v>
      </c>
      <c r="AA5320">
        <v>0.98722410000000005</v>
      </c>
      <c r="AB5320">
        <v>33</v>
      </c>
      <c r="AC5320">
        <v>5.6387999999999998</v>
      </c>
      <c r="AD5320">
        <v>-1.111032492121</v>
      </c>
      <c r="AE5320">
        <v>-31.24605</v>
      </c>
      <c r="AF5320">
        <v>-4.9853493392432302</v>
      </c>
      <c r="AG5320">
        <v>-1.111032492121</v>
      </c>
      <c r="AH5320">
        <v>31.317626644072199</v>
      </c>
      <c r="AI5320">
        <v>92.006545056106702</v>
      </c>
      <c r="AJ5320">
        <v>99.044835124481807</v>
      </c>
      <c r="AK5320">
        <v>31.7314014794547</v>
      </c>
      <c r="AL5320">
        <v>89.330515095891599</v>
      </c>
      <c r="AM5320">
        <v>88.627124465121</v>
      </c>
      <c r="AN5320">
        <v>1.0000000016978701</v>
      </c>
    </row>
    <row r="5321" spans="1:40" x14ac:dyDescent="0.25">
      <c r="A5321" t="str">
        <f>"20190312154403662"</f>
        <v>20190312154403662</v>
      </c>
      <c r="B5321" t="str">
        <f>"1552376643653056"</f>
        <v>1552376643653056</v>
      </c>
      <c r="C5321" t="s">
        <v>40</v>
      </c>
      <c r="D5321">
        <v>4.786448</v>
      </c>
      <c r="E5321">
        <v>0.40525129999999998</v>
      </c>
      <c r="F5321" t="s">
        <v>43</v>
      </c>
      <c r="G5321">
        <v>-413.2783</v>
      </c>
      <c r="H5321" s="1">
        <v>-3.8870129999999999E-6</v>
      </c>
      <c r="I5321">
        <v>55.814729999999997</v>
      </c>
      <c r="J5321">
        <v>-421.7131</v>
      </c>
      <c r="K5321">
        <v>1.110946</v>
      </c>
      <c r="L5321">
        <v>89.405090000000001</v>
      </c>
      <c r="M5321">
        <v>2.1624419999999998E-2</v>
      </c>
      <c r="N5321">
        <v>0</v>
      </c>
      <c r="O5321">
        <v>-0.99973179999999995</v>
      </c>
      <c r="P5321">
        <v>-2.6566020000000001E-3</v>
      </c>
      <c r="Q5321">
        <v>2.5433420000000001E-3</v>
      </c>
      <c r="R5321">
        <v>-0.99999329999999997</v>
      </c>
      <c r="S5321">
        <v>0.74752810000000003</v>
      </c>
      <c r="T5321">
        <v>-9.8372699999999993E-2</v>
      </c>
      <c r="U5321">
        <v>-3.0029300000000001</v>
      </c>
      <c r="V5321">
        <v>2.4249969999999999E-2</v>
      </c>
      <c r="W5321">
        <v>1.0905349999999999E-2</v>
      </c>
      <c r="X5321">
        <v>0.99964640000000005</v>
      </c>
      <c r="Y5321">
        <v>-0.22039729999999999</v>
      </c>
      <c r="Z5321">
        <v>3.1841979999999999E-2</v>
      </c>
      <c r="AA5321">
        <v>0.97489029999999999</v>
      </c>
      <c r="AB5321">
        <v>33</v>
      </c>
      <c r="AC5321">
        <v>8.4347999999999903</v>
      </c>
      <c r="AD5321">
        <v>-1.1109498870129999</v>
      </c>
      <c r="AE5321">
        <v>-33.590359999999997</v>
      </c>
      <c r="AF5321">
        <v>-7.6985089473840898</v>
      </c>
      <c r="AG5321">
        <v>-1.1109498870129999</v>
      </c>
      <c r="AH5321">
        <v>33.7302013237015</v>
      </c>
      <c r="AI5321">
        <v>91.839170543245999</v>
      </c>
      <c r="AJ5321">
        <v>102.856837071657</v>
      </c>
      <c r="AK5321">
        <v>34.615426199916101</v>
      </c>
      <c r="AL5321">
        <v>89.375157058125595</v>
      </c>
      <c r="AM5321">
        <v>88.610360140321404</v>
      </c>
      <c r="AN5321">
        <v>0.99999995636828998</v>
      </c>
    </row>
    <row r="5322" spans="1:40" x14ac:dyDescent="0.25">
      <c r="A5322" t="str">
        <f>"20190312154403684"</f>
        <v>20190312154403684</v>
      </c>
      <c r="B5322" t="str">
        <f>"1552376643672576"</f>
        <v>1552376643672576</v>
      </c>
      <c r="C5322" t="s">
        <v>40</v>
      </c>
      <c r="D5322">
        <v>4.6606019999999999</v>
      </c>
      <c r="E5322">
        <v>0.40407599999999999</v>
      </c>
      <c r="F5322" t="s">
        <v>43</v>
      </c>
      <c r="G5322">
        <v>-413.74630000000002</v>
      </c>
      <c r="H5322" s="1">
        <v>-4.5399959999999996E-6</v>
      </c>
      <c r="I5322">
        <v>57.629809999999999</v>
      </c>
      <c r="J5322">
        <v>-421.70530000000002</v>
      </c>
      <c r="K5322">
        <v>1.1108579999999999</v>
      </c>
      <c r="L5322">
        <v>89.084319999999906</v>
      </c>
      <c r="M5322">
        <v>2.237809E-2</v>
      </c>
      <c r="N5322">
        <v>0</v>
      </c>
      <c r="O5322">
        <v>-0.99970910000000002</v>
      </c>
      <c r="P5322">
        <v>-1.9755290000000002E-3</v>
      </c>
      <c r="Q5322">
        <v>1.705811E-3</v>
      </c>
      <c r="R5322">
        <v>-0.99999689999999997</v>
      </c>
      <c r="S5322">
        <v>0.75274659999999904</v>
      </c>
      <c r="T5322">
        <v>-0.1049682</v>
      </c>
      <c r="U5322">
        <v>-3.0022890000000002</v>
      </c>
      <c r="V5322">
        <v>2.4327540000000002E-2</v>
      </c>
      <c r="W5322">
        <v>1.078424E-2</v>
      </c>
      <c r="X5322">
        <v>0.99964589999999998</v>
      </c>
      <c r="Y5322">
        <v>-0.2212885</v>
      </c>
      <c r="Z5322">
        <v>3.3970069999999998E-2</v>
      </c>
      <c r="AA5322">
        <v>0.9746165</v>
      </c>
      <c r="AB5322">
        <v>33</v>
      </c>
      <c r="AC5322">
        <v>7.9589999999999996</v>
      </c>
      <c r="AD5322">
        <v>-1.1108625399959999</v>
      </c>
      <c r="AE5322">
        <v>-31.4545099999999</v>
      </c>
      <c r="AF5322">
        <v>-7.2445942608267702</v>
      </c>
      <c r="AG5322">
        <v>-1.1108625399959999</v>
      </c>
      <c r="AH5322">
        <v>31.58771970163</v>
      </c>
      <c r="AI5322">
        <v>91.963192312219604</v>
      </c>
      <c r="AJ5322">
        <v>102.917303497365</v>
      </c>
      <c r="AK5322">
        <v>32.426874618678802</v>
      </c>
      <c r="AL5322">
        <v>89.382096602152799</v>
      </c>
      <c r="AM5322">
        <v>88.605916060785802</v>
      </c>
      <c r="AN5322">
        <v>1.00000002721081</v>
      </c>
    </row>
    <row r="5323" spans="1:40" x14ac:dyDescent="0.25">
      <c r="A5323" t="str">
        <f>"20190312154403706"</f>
        <v>20190312154403706</v>
      </c>
      <c r="B5323" t="str">
        <f>"1552376643702833"</f>
        <v>1552376643702833</v>
      </c>
      <c r="C5323" t="s">
        <v>40</v>
      </c>
      <c r="D5323">
        <v>4.6690519999999998</v>
      </c>
      <c r="E5323">
        <v>0.40337089999999998</v>
      </c>
      <c r="F5323" t="s">
        <v>43</v>
      </c>
      <c r="G5323">
        <v>-413.93889999999999</v>
      </c>
      <c r="H5323" s="1">
        <v>-4.9107350000000002E-6</v>
      </c>
      <c r="I5323">
        <v>58.573659999999997</v>
      </c>
      <c r="J5323">
        <v>-421.697</v>
      </c>
      <c r="K5323">
        <v>1.11076</v>
      </c>
      <c r="L5323">
        <v>88.752870000000001</v>
      </c>
      <c r="M5323">
        <v>2.299957E-2</v>
      </c>
      <c r="N5323">
        <v>0</v>
      </c>
      <c r="O5323">
        <v>-0.99968840000000003</v>
      </c>
      <c r="P5323">
        <v>-1.4865029999999999E-3</v>
      </c>
      <c r="Q5323">
        <v>2.644694E-3</v>
      </c>
      <c r="R5323">
        <v>-0.99999550000000004</v>
      </c>
      <c r="S5323">
        <v>0.76406859999999999</v>
      </c>
      <c r="T5323">
        <v>-0.10928930000000001</v>
      </c>
      <c r="U5323">
        <v>-3.001709</v>
      </c>
      <c r="V5323">
        <v>2.446129E-2</v>
      </c>
      <c r="W5323">
        <v>1.2396320000000001E-2</v>
      </c>
      <c r="X5323">
        <v>0.99962390000000001</v>
      </c>
      <c r="Y5323">
        <v>-0.22416929999999999</v>
      </c>
      <c r="Z5323">
        <v>3.5344739999999999E-2</v>
      </c>
      <c r="AA5323">
        <v>0.97390909999999997</v>
      </c>
      <c r="AB5323">
        <v>33</v>
      </c>
      <c r="AC5323">
        <v>7.75809999999995</v>
      </c>
      <c r="AD5323">
        <v>-1.1107649107349999</v>
      </c>
      <c r="AE5323">
        <v>-30.179210000000001</v>
      </c>
      <c r="AF5323">
        <v>-7.0529440175226297</v>
      </c>
      <c r="AG5323">
        <v>-1.1107649107349999</v>
      </c>
      <c r="AH5323">
        <v>30.311151586357798</v>
      </c>
      <c r="AI5323">
        <v>92.044129609658995</v>
      </c>
      <c r="AJ5323">
        <v>103.098777224307</v>
      </c>
      <c r="AK5323">
        <v>31.140708541913199</v>
      </c>
      <c r="AL5323">
        <v>89.289724978072798</v>
      </c>
      <c r="AM5323">
        <v>88.598223760526295</v>
      </c>
      <c r="AN5323">
        <v>0.99999998245460797</v>
      </c>
    </row>
    <row r="5324" spans="1:40" x14ac:dyDescent="0.25">
      <c r="A5324" t="str">
        <f>"20190312154403731"</f>
        <v>20190312154403731</v>
      </c>
      <c r="B5324" t="str">
        <f>"1552376643723328"</f>
        <v>1552376643723328</v>
      </c>
      <c r="C5324" t="s">
        <v>40</v>
      </c>
      <c r="D5324">
        <v>4.644425</v>
      </c>
      <c r="E5324">
        <v>0.4030551</v>
      </c>
      <c r="F5324" t="s">
        <v>43</v>
      </c>
      <c r="G5324">
        <v>-413.3734</v>
      </c>
      <c r="H5324" s="1">
        <v>-4.0613539999999998E-6</v>
      </c>
      <c r="I5324">
        <v>56.35989</v>
      </c>
      <c r="J5324">
        <v>-421.68849999999998</v>
      </c>
      <c r="K5324">
        <v>1.1106480000000001</v>
      </c>
      <c r="L5324">
        <v>88.412869999999998</v>
      </c>
      <c r="M5324">
        <v>2.3491060000000001E-2</v>
      </c>
      <c r="N5324">
        <v>0</v>
      </c>
      <c r="O5324">
        <v>-0.99967070000000002</v>
      </c>
      <c r="P5324">
        <v>-1.5484590000000001E-3</v>
      </c>
      <c r="Q5324">
        <v>2.9880869999999999E-3</v>
      </c>
      <c r="R5324">
        <v>-0.9999943</v>
      </c>
      <c r="S5324">
        <v>0.77124019999999904</v>
      </c>
      <c r="T5324">
        <v>-0.1029201</v>
      </c>
      <c r="U5324">
        <v>-3.0014340000000002</v>
      </c>
      <c r="V5324">
        <v>2.5018169999999999E-2</v>
      </c>
      <c r="W5324">
        <v>1.3354680000000001E-2</v>
      </c>
      <c r="X5324">
        <v>0.99959779999999998</v>
      </c>
      <c r="Y5324">
        <v>-0.2259129</v>
      </c>
      <c r="Z5324">
        <v>3.3273190000000001E-2</v>
      </c>
      <c r="AA5324">
        <v>0.97357910000000003</v>
      </c>
      <c r="AB5324">
        <v>33</v>
      </c>
      <c r="AC5324">
        <v>8.3150999999999708</v>
      </c>
      <c r="AD5324">
        <v>-1.1106520613540001</v>
      </c>
      <c r="AE5324">
        <v>-32.052979999999998</v>
      </c>
      <c r="AF5324">
        <v>-7.5513116835509404</v>
      </c>
      <c r="AG5324">
        <v>-1.1106520613540001</v>
      </c>
      <c r="AH5324">
        <v>32.203247779608603</v>
      </c>
      <c r="AI5324">
        <v>91.923156696078095</v>
      </c>
      <c r="AJ5324">
        <v>103.196809436287</v>
      </c>
      <c r="AK5324">
        <v>33.095392786585698</v>
      </c>
      <c r="AL5324">
        <v>89.234810460080098</v>
      </c>
      <c r="AM5324">
        <v>88.566287003419205</v>
      </c>
      <c r="AN5324">
        <v>1.00000000903644</v>
      </c>
    </row>
    <row r="5325" spans="1:40" x14ac:dyDescent="0.25">
      <c r="A5325" t="str">
        <f>"20190312154403751"</f>
        <v>20190312154403751</v>
      </c>
      <c r="B5325" t="str">
        <f>"1552376643742849"</f>
        <v>1552376643742849</v>
      </c>
      <c r="C5325" t="s">
        <v>40</v>
      </c>
      <c r="D5325">
        <v>4.6174559999999998</v>
      </c>
      <c r="E5325">
        <v>0.40313900000000003</v>
      </c>
      <c r="F5325" t="s">
        <v>43</v>
      </c>
      <c r="G5325">
        <v>-413.15449999999998</v>
      </c>
      <c r="H5325" s="1">
        <v>-3.740291E-6</v>
      </c>
      <c r="I5325">
        <v>55.286810000000003</v>
      </c>
      <c r="J5325">
        <v>-421.68040000000002</v>
      </c>
      <c r="K5325">
        <v>1.110544</v>
      </c>
      <c r="L5325">
        <v>88.088679999999997</v>
      </c>
      <c r="M5325">
        <v>2.385075E-2</v>
      </c>
      <c r="N5325">
        <v>0</v>
      </c>
      <c r="O5325">
        <v>-0.99965669999999995</v>
      </c>
      <c r="P5325">
        <v>-1.7895949999999999E-3</v>
      </c>
      <c r="Q5325">
        <v>1.389829E-3</v>
      </c>
      <c r="R5325">
        <v>-0.99999760000000004</v>
      </c>
      <c r="S5325">
        <v>0.77325440000000001</v>
      </c>
      <c r="T5325">
        <v>-0.1006353</v>
      </c>
      <c r="U5325">
        <v>-3.0015260000000001</v>
      </c>
      <c r="V5325">
        <v>2.5625060000000002E-2</v>
      </c>
      <c r="W5325">
        <v>1.227807E-2</v>
      </c>
      <c r="X5325">
        <v>0.99959620000000005</v>
      </c>
      <c r="Y5325">
        <v>-0.22617390000000001</v>
      </c>
      <c r="Z5325">
        <v>3.253031E-2</v>
      </c>
      <c r="AA5325">
        <v>0.97354359999999995</v>
      </c>
      <c r="AB5325">
        <v>33</v>
      </c>
      <c r="AC5325">
        <v>8.5259000000000302</v>
      </c>
      <c r="AD5325">
        <v>-1.110547740291</v>
      </c>
      <c r="AE5325">
        <v>-32.801870000000001</v>
      </c>
      <c r="AF5325">
        <v>-7.7327764106204002</v>
      </c>
      <c r="AG5325">
        <v>-1.110547740291</v>
      </c>
      <c r="AH5325">
        <v>32.960508941775203</v>
      </c>
      <c r="AI5325">
        <v>91.878778906361205</v>
      </c>
      <c r="AJ5325">
        <v>103.203227472615</v>
      </c>
      <c r="AK5325">
        <v>33.873651958431601</v>
      </c>
      <c r="AL5325">
        <v>89.296500717282498</v>
      </c>
      <c r="AM5325">
        <v>88.531520736367497</v>
      </c>
      <c r="AN5325">
        <v>0.99999997887868397</v>
      </c>
    </row>
    <row r="5326" spans="1:40" x14ac:dyDescent="0.25">
      <c r="A5326" t="str">
        <f>"20190312154403774"</f>
        <v>20190312154403774</v>
      </c>
      <c r="B5326" t="str">
        <f>"1552376643763345"</f>
        <v>1552376643763345</v>
      </c>
      <c r="C5326" t="s">
        <v>40</v>
      </c>
      <c r="D5326">
        <v>4.6046610000000001</v>
      </c>
      <c r="E5326">
        <v>0.40306170000000002</v>
      </c>
      <c r="F5326" t="s">
        <v>43</v>
      </c>
      <c r="G5326">
        <v>-413.4606</v>
      </c>
      <c r="H5326" s="1">
        <v>-3.9378309999999996E-6</v>
      </c>
      <c r="I5326">
        <v>56.106610000000003</v>
      </c>
      <c r="J5326">
        <v>-421.67230000000001</v>
      </c>
      <c r="K5326">
        <v>1.1104529999999999</v>
      </c>
      <c r="L5326">
        <v>87.767669999999995</v>
      </c>
      <c r="M5326">
        <v>2.4129749999999998E-2</v>
      </c>
      <c r="N5326">
        <v>0</v>
      </c>
      <c r="O5326">
        <v>-0.99964470000000005</v>
      </c>
      <c r="P5326">
        <v>-2.1385950000000001E-3</v>
      </c>
      <c r="Q5326">
        <v>-6.6592720000000004E-4</v>
      </c>
      <c r="R5326">
        <v>-0.99999740000000004</v>
      </c>
      <c r="S5326">
        <v>0.77142330000000003</v>
      </c>
      <c r="T5326">
        <v>-0.1042252</v>
      </c>
      <c r="U5326">
        <v>-3.0015260000000001</v>
      </c>
      <c r="V5326">
        <v>2.6258099999999999E-2</v>
      </c>
      <c r="W5326">
        <v>1.067982E-2</v>
      </c>
      <c r="X5326">
        <v>0.99959810000000004</v>
      </c>
      <c r="Y5326">
        <v>-0.22533529999999999</v>
      </c>
      <c r="Z5326">
        <v>3.36949E-2</v>
      </c>
      <c r="AA5326">
        <v>0.97369839999999996</v>
      </c>
      <c r="AB5326">
        <v>33</v>
      </c>
      <c r="AC5326">
        <v>8.2117000000000004</v>
      </c>
      <c r="AD5326">
        <v>-1.1104569378309901</v>
      </c>
      <c r="AE5326">
        <v>-31.661059999999999</v>
      </c>
      <c r="AF5326">
        <v>-7.4367147286149402</v>
      </c>
      <c r="AG5326">
        <v>-1.1104569378309901</v>
      </c>
      <c r="AH5326">
        <v>31.813331157830799</v>
      </c>
      <c r="AI5326">
        <v>91.946682252993</v>
      </c>
      <c r="AJ5326">
        <v>103.157256054847</v>
      </c>
      <c r="AK5326">
        <v>32.689843681537901</v>
      </c>
      <c r="AL5326">
        <v>89.388079727026394</v>
      </c>
      <c r="AM5326">
        <v>88.495262846156095</v>
      </c>
      <c r="AN5326">
        <v>0.99999995394722496</v>
      </c>
    </row>
    <row r="5327" spans="1:40" x14ac:dyDescent="0.25">
      <c r="A5327" t="str">
        <f>"20190312154403797"</f>
        <v>20190312154403797</v>
      </c>
      <c r="B5327" t="str">
        <f>"1552376643792624"</f>
        <v>1552376643792624</v>
      </c>
      <c r="C5327" t="s">
        <v>40</v>
      </c>
      <c r="D5327">
        <v>4.5850809999999997</v>
      </c>
      <c r="E5327">
        <v>0.40298630000000002</v>
      </c>
      <c r="F5327" t="s">
        <v>43</v>
      </c>
      <c r="G5327">
        <v>-413.77420000000001</v>
      </c>
      <c r="H5327" s="1">
        <v>-4.2764040000000004E-6</v>
      </c>
      <c r="I5327">
        <v>57.026919999999997</v>
      </c>
      <c r="J5327">
        <v>-421.66370000000001</v>
      </c>
      <c r="K5327">
        <v>1.11039</v>
      </c>
      <c r="L5327">
        <v>87.42859</v>
      </c>
      <c r="M5327">
        <v>2.4358669999999999E-2</v>
      </c>
      <c r="N5327">
        <v>0</v>
      </c>
      <c r="O5327">
        <v>-0.99963449999999998</v>
      </c>
      <c r="P5327">
        <v>-3.6949439999999999E-3</v>
      </c>
      <c r="Q5327">
        <v>-1.5925879999999901E-3</v>
      </c>
      <c r="R5327">
        <v>-0.99999229999999995</v>
      </c>
      <c r="S5327">
        <v>0.77117919999999995</v>
      </c>
      <c r="T5327">
        <v>-0.1084272</v>
      </c>
      <c r="U5327">
        <v>-3.0015869999999998</v>
      </c>
      <c r="V5327">
        <v>2.8045649999999998E-2</v>
      </c>
      <c r="W5327">
        <v>1.017917E-2</v>
      </c>
      <c r="X5327">
        <v>0.99955479999999997</v>
      </c>
      <c r="Y5327">
        <v>-0.22502130000000001</v>
      </c>
      <c r="Z5327">
        <v>3.505233E-2</v>
      </c>
      <c r="AA5327">
        <v>0.97372309999999995</v>
      </c>
      <c r="AB5327">
        <v>33</v>
      </c>
      <c r="AC5327">
        <v>7.8894999999999902</v>
      </c>
      <c r="AD5327">
        <v>-1.110394276404</v>
      </c>
      <c r="AE5327">
        <v>-30.401669999999999</v>
      </c>
      <c r="AF5327">
        <v>-7.13764264184955</v>
      </c>
      <c r="AG5327">
        <v>-1.110394276404</v>
      </c>
      <c r="AH5327">
        <v>30.546660554570099</v>
      </c>
      <c r="AI5327">
        <v>92.027268207609893</v>
      </c>
      <c r="AJ5327">
        <v>103.15196677377099</v>
      </c>
      <c r="AK5327">
        <v>31.3891285155856</v>
      </c>
      <c r="AL5327">
        <v>89.416766439641407</v>
      </c>
      <c r="AM5327">
        <v>88.392808582245095</v>
      </c>
      <c r="AN5327">
        <v>0.99999998609442498</v>
      </c>
    </row>
    <row r="5328" spans="1:40" x14ac:dyDescent="0.25">
      <c r="A5328" t="str">
        <f>"20190312154403819"</f>
        <v>20190312154403819</v>
      </c>
      <c r="B5328" t="str">
        <f>"1552376643813121"</f>
        <v>1552376643813121</v>
      </c>
      <c r="C5328" t="s">
        <v>40</v>
      </c>
      <c r="D5328">
        <v>4.5783250000000004</v>
      </c>
      <c r="E5328">
        <v>0.40292919999999999</v>
      </c>
      <c r="F5328" t="s">
        <v>43</v>
      </c>
      <c r="G5328">
        <v>-413.8236</v>
      </c>
      <c r="H5328" s="1">
        <v>-4.1410650000000001E-6</v>
      </c>
      <c r="I5328">
        <v>56.731830000000002</v>
      </c>
      <c r="J5328">
        <v>-421.65550000000002</v>
      </c>
      <c r="K5328">
        <v>1.110352</v>
      </c>
      <c r="L5328">
        <v>87.101039999999998</v>
      </c>
      <c r="M5328">
        <v>2.4537170000000001E-2</v>
      </c>
      <c r="N5328">
        <v>0</v>
      </c>
      <c r="O5328">
        <v>-0.9996256</v>
      </c>
      <c r="P5328">
        <v>-4.8980530000000003E-3</v>
      </c>
      <c r="Q5328">
        <v>-9.5928430000000002E-4</v>
      </c>
      <c r="R5328">
        <v>-0.99998750000000003</v>
      </c>
      <c r="S5328">
        <v>0.76690669999999905</v>
      </c>
      <c r="T5328">
        <v>-0.1086162</v>
      </c>
      <c r="U5328">
        <v>-3.0026860000000002</v>
      </c>
      <c r="V5328">
        <v>2.942782E-2</v>
      </c>
      <c r="W5328">
        <v>1.117189E-2</v>
      </c>
      <c r="X5328">
        <v>0.99950439999999996</v>
      </c>
      <c r="Y5328">
        <v>-0.2234604</v>
      </c>
      <c r="Z5328">
        <v>3.5113199999999997E-2</v>
      </c>
      <c r="AA5328">
        <v>0.97408030000000001</v>
      </c>
      <c r="AB5328">
        <v>33</v>
      </c>
      <c r="AC5328">
        <v>7.8319000000000099</v>
      </c>
      <c r="AD5328">
        <v>-1.110356141065</v>
      </c>
      <c r="AE5328">
        <v>-30.369209999999899</v>
      </c>
      <c r="AF5328">
        <v>-7.0754440739667004</v>
      </c>
      <c r="AG5328">
        <v>-1.110356141065</v>
      </c>
      <c r="AH5328">
        <v>30.514005169683902</v>
      </c>
      <c r="AI5328">
        <v>92.030167106544496</v>
      </c>
      <c r="AJ5328">
        <v>103.054770981343</v>
      </c>
      <c r="AK5328">
        <v>31.343249849039701</v>
      </c>
      <c r="AL5328">
        <v>89.359884490813002</v>
      </c>
      <c r="AM5328">
        <v>88.313561260270504</v>
      </c>
      <c r="AN5328">
        <v>0.99999992666773896</v>
      </c>
    </row>
    <row r="5329" spans="1:40" x14ac:dyDescent="0.25">
      <c r="A5329" t="str">
        <f>"20190312154403842"</f>
        <v>20190312154403842</v>
      </c>
      <c r="B5329" t="str">
        <f>"1552376643832641"</f>
        <v>1552376643832641</v>
      </c>
      <c r="C5329" t="s">
        <v>40</v>
      </c>
      <c r="D5329">
        <v>4.5997760000000003</v>
      </c>
      <c r="E5329">
        <v>0.4030396</v>
      </c>
      <c r="F5329" t="s">
        <v>43</v>
      </c>
      <c r="G5329">
        <v>-413.5215</v>
      </c>
      <c r="H5329" s="1">
        <v>-3.5887929999999999E-6</v>
      </c>
      <c r="I5329">
        <v>55.128520000000002</v>
      </c>
      <c r="J5329">
        <v>-421.64710000000002</v>
      </c>
      <c r="K5329">
        <v>1.1103259999999999</v>
      </c>
      <c r="L5329">
        <v>86.769440000000003</v>
      </c>
      <c r="M5329">
        <v>2.4695040000000001E-2</v>
      </c>
      <c r="N5329">
        <v>0</v>
      </c>
      <c r="O5329">
        <v>-0.99961789999999995</v>
      </c>
      <c r="P5329">
        <v>-6.5281280000000002E-3</v>
      </c>
      <c r="Q5329">
        <v>5.7404859999999995E-4</v>
      </c>
      <c r="R5329">
        <v>-0.99997910000000001</v>
      </c>
      <c r="S5329">
        <v>0.76416019999999996</v>
      </c>
      <c r="T5329">
        <v>-0.1043135</v>
      </c>
      <c r="U5329">
        <v>-3.0036930000000002</v>
      </c>
      <c r="V5329">
        <v>3.1215340000000001E-2</v>
      </c>
      <c r="W5329">
        <v>1.3022830000000001E-2</v>
      </c>
      <c r="X5329">
        <v>0.99942790000000004</v>
      </c>
      <c r="Y5329">
        <v>-0.2224034</v>
      </c>
      <c r="Z5329">
        <v>3.3720609999999998E-2</v>
      </c>
      <c r="AA5329">
        <v>0.9743714</v>
      </c>
      <c r="AB5329">
        <v>33</v>
      </c>
      <c r="AC5329">
        <v>8.1256000000000199</v>
      </c>
      <c r="AD5329">
        <v>-1.110329588793</v>
      </c>
      <c r="AE5329">
        <v>-31.640920000000001</v>
      </c>
      <c r="AF5329">
        <v>-7.33321596211269</v>
      </c>
      <c r="AG5329">
        <v>-1.110329588793</v>
      </c>
      <c r="AH5329">
        <v>31.795215676475799</v>
      </c>
      <c r="AI5329">
        <v>91.948906362534998</v>
      </c>
      <c r="AJ5329">
        <v>102.98753084662999</v>
      </c>
      <c r="AK5329">
        <v>32.648807452284501</v>
      </c>
      <c r="AL5329">
        <v>89.253825755888002</v>
      </c>
      <c r="AM5329">
        <v>88.211050534658398</v>
      </c>
      <c r="AN5329">
        <v>1.0000000594254601</v>
      </c>
    </row>
    <row r="5330" spans="1:40" x14ac:dyDescent="0.25">
      <c r="A5330" t="str">
        <f>"20190312154403862"</f>
        <v>20190312154403862</v>
      </c>
      <c r="B5330" t="str">
        <f>"1552376643853137"</f>
        <v>1552376643853137</v>
      </c>
      <c r="C5330" t="s">
        <v>40</v>
      </c>
      <c r="D5330">
        <v>4.8303099999999999</v>
      </c>
      <c r="E5330">
        <v>0.44000539999999999</v>
      </c>
      <c r="F5330" t="s">
        <v>43</v>
      </c>
      <c r="G5330">
        <v>-413.12560000000002</v>
      </c>
      <c r="H5330" s="1">
        <v>-2.9678140000000002E-6</v>
      </c>
      <c r="I5330">
        <v>52.994250000000001</v>
      </c>
      <c r="J5330">
        <v>-421.63929999999999</v>
      </c>
      <c r="K5330">
        <v>1.110314</v>
      </c>
      <c r="L5330">
        <v>86.45984</v>
      </c>
      <c r="M5330">
        <v>2.4835909999999999E-2</v>
      </c>
      <c r="N5330">
        <v>0</v>
      </c>
      <c r="O5330">
        <v>-0.99961120000000003</v>
      </c>
      <c r="P5330">
        <v>-7.1836460000000001E-3</v>
      </c>
      <c r="Q5330">
        <v>1.4125590000000001E-3</v>
      </c>
      <c r="R5330">
        <v>-0.99997369999999997</v>
      </c>
      <c r="S5330">
        <v>0.75817869999999998</v>
      </c>
      <c r="T5330">
        <v>-9.8788860000000006E-2</v>
      </c>
      <c r="U5330">
        <v>-3.0050659999999998</v>
      </c>
      <c r="V5330">
        <v>3.2011890000000001E-2</v>
      </c>
      <c r="W5330">
        <v>1.4120890000000001E-2</v>
      </c>
      <c r="X5330">
        <v>0.99938769999999999</v>
      </c>
      <c r="Y5330">
        <v>-0.22035080000000001</v>
      </c>
      <c r="Z5330">
        <v>3.1937529999999999E-2</v>
      </c>
      <c r="AA5330">
        <v>0.97489769999999998</v>
      </c>
      <c r="AB5330">
        <v>33</v>
      </c>
      <c r="AC5330">
        <v>8.5136999999999698</v>
      </c>
      <c r="AD5330">
        <v>-1.1103169678139999</v>
      </c>
      <c r="AE5330">
        <v>-33.465589999999999</v>
      </c>
      <c r="AF5330">
        <v>-7.6719266171753899</v>
      </c>
      <c r="AG5330">
        <v>-1.1103169678139999</v>
      </c>
      <c r="AH5330">
        <v>33.631957340514198</v>
      </c>
      <c r="AI5330">
        <v>91.843538616340098</v>
      </c>
      <c r="AJ5330">
        <v>102.850101848656</v>
      </c>
      <c r="AK5330">
        <v>34.513762709135499</v>
      </c>
      <c r="AL5330">
        <v>89.1909056835987</v>
      </c>
      <c r="AM5330">
        <v>88.1653573596911</v>
      </c>
      <c r="AN5330">
        <v>0.99999996777352596</v>
      </c>
    </row>
    <row r="5331" spans="1:40" x14ac:dyDescent="0.25">
      <c r="A5331" t="str">
        <f>"20190312154403886"</f>
        <v>20190312154403886</v>
      </c>
      <c r="B5331" t="str">
        <f>"1552376643872656"</f>
        <v>1552376643872656</v>
      </c>
      <c r="C5331" t="s">
        <v>40</v>
      </c>
      <c r="D5331">
        <v>4.8034520000000001</v>
      </c>
      <c r="E5331">
        <v>0.46145199999999997</v>
      </c>
      <c r="F5331" t="s">
        <v>43</v>
      </c>
      <c r="G5331">
        <v>-415.5496</v>
      </c>
      <c r="H5331" s="1">
        <v>-3.8506269999999997E-6</v>
      </c>
      <c r="I5331">
        <v>46.768509999999999</v>
      </c>
      <c r="J5331">
        <v>-421.6309</v>
      </c>
      <c r="K5331">
        <v>1.1103130000000001</v>
      </c>
      <c r="L5331">
        <v>86.130519999999905</v>
      </c>
      <c r="M5331">
        <v>2.498597E-2</v>
      </c>
      <c r="N5331">
        <v>0</v>
      </c>
      <c r="O5331">
        <v>-0.9996043</v>
      </c>
      <c r="P5331">
        <v>-7.5499429999999999E-3</v>
      </c>
      <c r="Q5331">
        <v>2.5184500000000002E-3</v>
      </c>
      <c r="R5331">
        <v>-0.99996879999999999</v>
      </c>
      <c r="S5331">
        <v>0.46081539999999999</v>
      </c>
      <c r="T5331">
        <v>-8.4019659999999996E-2</v>
      </c>
      <c r="U5331">
        <v>-3.0035099999999999</v>
      </c>
      <c r="V5331">
        <v>3.2528269999999998E-2</v>
      </c>
      <c r="W5331">
        <v>1.546781E-2</v>
      </c>
      <c r="X5331">
        <v>0.99935110000000005</v>
      </c>
      <c r="Y5331">
        <v>-0.12684669999999901</v>
      </c>
      <c r="Z5331">
        <v>2.7675089999999999E-2</v>
      </c>
      <c r="AA5331">
        <v>0.99153619999999998</v>
      </c>
      <c r="AB5331">
        <v>33</v>
      </c>
      <c r="AC5331">
        <v>6.0812999999999899</v>
      </c>
      <c r="AD5331">
        <v>-1.11031685062699</v>
      </c>
      <c r="AE5331">
        <v>-39.362009999999898</v>
      </c>
      <c r="AF5331">
        <v>-5.0918639557291403</v>
      </c>
      <c r="AG5331">
        <v>-1.11031685062699</v>
      </c>
      <c r="AH5331">
        <v>39.471004883928401</v>
      </c>
      <c r="AI5331">
        <v>91.598066273514505</v>
      </c>
      <c r="AJ5331">
        <v>97.350710329110797</v>
      </c>
      <c r="AK5331">
        <v>39.813566891193503</v>
      </c>
      <c r="AL5331">
        <v>89.113724409000994</v>
      </c>
      <c r="AM5331">
        <v>88.1357154469748</v>
      </c>
      <c r="AN5331">
        <v>0.99999998128329903</v>
      </c>
    </row>
    <row r="5332" spans="1:40" x14ac:dyDescent="0.25">
      <c r="A5332" t="str">
        <f>"20190312154403909"</f>
        <v>20190312154403909</v>
      </c>
      <c r="B5332" t="str">
        <f>"1552376643902929"</f>
        <v>1552376643902929</v>
      </c>
      <c r="C5332" t="s">
        <v>40</v>
      </c>
      <c r="D5332">
        <v>4.8004280000000001</v>
      </c>
      <c r="E5332">
        <v>0.47600569999999998</v>
      </c>
      <c r="F5332" t="s">
        <v>43</v>
      </c>
      <c r="G5332">
        <v>-418.34859999999998</v>
      </c>
      <c r="H5332" s="1">
        <v>-1.3289429999999901E-6</v>
      </c>
      <c r="I5332">
        <v>52.047739999999997</v>
      </c>
      <c r="J5332">
        <v>-421.6223</v>
      </c>
      <c r="K5332">
        <v>1.110312</v>
      </c>
      <c r="L5332">
        <v>85.79486</v>
      </c>
      <c r="M5332">
        <v>2.5143349999999998E-2</v>
      </c>
      <c r="N5332">
        <v>0</v>
      </c>
      <c r="O5332">
        <v>-0.99959730000000002</v>
      </c>
      <c r="P5332">
        <v>-7.2849369999999896E-3</v>
      </c>
      <c r="Q5332">
        <v>1.4294100000000001E-3</v>
      </c>
      <c r="R5332">
        <v>-0.99997290000000005</v>
      </c>
      <c r="S5332">
        <v>0.28915410000000002</v>
      </c>
      <c r="T5332">
        <v>-9.7813490000000003E-2</v>
      </c>
      <c r="U5332">
        <v>-3.0025330000000001</v>
      </c>
      <c r="V5332">
        <v>3.2421789999999999E-2</v>
      </c>
      <c r="W5332">
        <v>1.4590519999999999E-2</v>
      </c>
      <c r="X5332">
        <v>0.99936780000000003</v>
      </c>
      <c r="Y5332">
        <v>-7.0749430000000002E-2</v>
      </c>
      <c r="Z5332">
        <v>3.2428569999999997E-2</v>
      </c>
      <c r="AA5332">
        <v>0.99696680000000004</v>
      </c>
      <c r="AB5332">
        <v>33</v>
      </c>
      <c r="AC5332">
        <v>3.2737000000000198</v>
      </c>
      <c r="AD5332">
        <v>-1.1103133289430001</v>
      </c>
      <c r="AE5332">
        <v>-33.747119999999903</v>
      </c>
      <c r="AF5332">
        <v>-2.4214790302932401</v>
      </c>
      <c r="AG5332">
        <v>-1.1103133289430001</v>
      </c>
      <c r="AH5332">
        <v>33.7825402884041</v>
      </c>
      <c r="AI5332">
        <v>91.877619454589393</v>
      </c>
      <c r="AJ5332">
        <v>94.099858992164798</v>
      </c>
      <c r="AK5332">
        <v>33.887407465314098</v>
      </c>
      <c r="AL5332">
        <v>89.163995142566407</v>
      </c>
      <c r="AM5332">
        <v>88.141844852687896</v>
      </c>
      <c r="AN5332">
        <v>1.00000002770875</v>
      </c>
    </row>
    <row r="5333" spans="1:40" x14ac:dyDescent="0.25">
      <c r="A5333" t="str">
        <f>"20190312154403930"</f>
        <v>20190312154403930</v>
      </c>
      <c r="B5333" t="str">
        <f>"1552376643923412"</f>
        <v>1552376643923412</v>
      </c>
      <c r="C5333" t="s">
        <v>40</v>
      </c>
      <c r="D5333">
        <v>4.7869099999999998</v>
      </c>
      <c r="E5333">
        <v>0.48012870000000002</v>
      </c>
      <c r="F5333" t="s">
        <v>43</v>
      </c>
      <c r="G5333">
        <v>-419.80470000000003</v>
      </c>
      <c r="H5333" s="1">
        <v>-2.0998429999999999E-6</v>
      </c>
      <c r="I5333">
        <v>54.446779999999997</v>
      </c>
      <c r="J5333">
        <v>-421.61419999999998</v>
      </c>
      <c r="K5333">
        <v>1.11032</v>
      </c>
      <c r="L5333">
        <v>85.478819999999999</v>
      </c>
      <c r="M5333">
        <v>2.5295350000000001E-2</v>
      </c>
      <c r="N5333">
        <v>0</v>
      </c>
      <c r="O5333">
        <v>-0.99959140000000002</v>
      </c>
      <c r="P5333">
        <v>-6.7677369999999898E-3</v>
      </c>
      <c r="Q5333">
        <v>1.942385E-3</v>
      </c>
      <c r="R5333">
        <v>-0.99997570000000002</v>
      </c>
      <c r="S5333">
        <v>0.17404169999999999</v>
      </c>
      <c r="T5333">
        <v>-0.10631069999999999</v>
      </c>
      <c r="U5333">
        <v>-3.0015260000000001</v>
      </c>
      <c r="V5333">
        <v>3.2056939999999999E-2</v>
      </c>
      <c r="W5333">
        <v>1.527423E-2</v>
      </c>
      <c r="X5333">
        <v>0.99936930000000002</v>
      </c>
      <c r="Y5333">
        <v>-3.257732E-2</v>
      </c>
      <c r="Z5333">
        <v>3.5340690000000001E-2</v>
      </c>
      <c r="AA5333">
        <v>0.99884419999999996</v>
      </c>
      <c r="AB5333">
        <v>33</v>
      </c>
      <c r="AC5333">
        <v>1.8094999999999499</v>
      </c>
      <c r="AD5333">
        <v>-1.1103220998429999</v>
      </c>
      <c r="AE5333">
        <v>-31.032039999999899</v>
      </c>
      <c r="AF5333">
        <v>-1.02258036462031</v>
      </c>
      <c r="AG5333">
        <v>-1.1103220998429999</v>
      </c>
      <c r="AH5333">
        <v>31.028296868575101</v>
      </c>
      <c r="AI5333">
        <v>92.048296812368804</v>
      </c>
      <c r="AJ5333">
        <v>91.887578340194594</v>
      </c>
      <c r="AK5333">
        <v>31.064991426555</v>
      </c>
      <c r="AL5333">
        <v>89.124817030032602</v>
      </c>
      <c r="AM5333">
        <v>88.162743451311897</v>
      </c>
      <c r="AN5333">
        <v>0.99999997364337201</v>
      </c>
    </row>
    <row r="5334" spans="1:40" x14ac:dyDescent="0.25">
      <c r="A5334" t="str">
        <f>"20190312154403952"</f>
        <v>20190312154403952</v>
      </c>
      <c r="B5334" t="str">
        <f>"1552376643942929"</f>
        <v>1552376643942929</v>
      </c>
      <c r="C5334" t="s">
        <v>40</v>
      </c>
      <c r="D5334">
        <v>4.7658050000000003</v>
      </c>
      <c r="E5334">
        <v>0.4825218</v>
      </c>
      <c r="F5334" t="s">
        <v>43</v>
      </c>
      <c r="G5334">
        <v>-420.08800000000002</v>
      </c>
      <c r="H5334" s="1">
        <v>-1.661451E-6</v>
      </c>
      <c r="I5334">
        <v>53.407420000000002</v>
      </c>
      <c r="J5334">
        <v>-421.60570000000001</v>
      </c>
      <c r="K5334">
        <v>1.1103270000000001</v>
      </c>
      <c r="L5334">
        <v>85.152979999999999</v>
      </c>
      <c r="M5334">
        <v>2.545592E-2</v>
      </c>
      <c r="N5334">
        <v>0</v>
      </c>
      <c r="O5334">
        <v>-0.99958519999999895</v>
      </c>
      <c r="P5334">
        <v>-5.0339879999999997E-3</v>
      </c>
      <c r="Q5334">
        <v>2.7897629999999998E-3</v>
      </c>
      <c r="R5334">
        <v>-0.99998379999999998</v>
      </c>
      <c r="S5334">
        <v>0.14282230000000001</v>
      </c>
      <c r="T5334">
        <v>-0.1039032</v>
      </c>
      <c r="U5334">
        <v>-3.0012210000000001</v>
      </c>
      <c r="V5334">
        <v>3.048445E-2</v>
      </c>
      <c r="W5334">
        <v>1.627499E-2</v>
      </c>
      <c r="X5334">
        <v>0.99940280000000004</v>
      </c>
      <c r="Y5334">
        <v>-2.2061009999999999E-2</v>
      </c>
      <c r="Z5334">
        <v>3.4559029999999998E-2</v>
      </c>
      <c r="AA5334">
        <v>0.99915920000000003</v>
      </c>
      <c r="AB5334">
        <v>33</v>
      </c>
      <c r="AC5334">
        <v>1.5176999999999901</v>
      </c>
      <c r="AD5334">
        <v>-1.110328661451</v>
      </c>
      <c r="AE5334">
        <v>-31.745560000000001</v>
      </c>
      <c r="AF5334">
        <v>-0.70815801966126402</v>
      </c>
      <c r="AG5334">
        <v>-1.110328661451</v>
      </c>
      <c r="AH5334">
        <v>31.7351753186034</v>
      </c>
      <c r="AI5334">
        <v>92.003309981853604</v>
      </c>
      <c r="AJ5334">
        <v>91.278320752456494</v>
      </c>
      <c r="AK5334">
        <v>31.762488410383401</v>
      </c>
      <c r="AL5334">
        <v>89.067470653274697</v>
      </c>
      <c r="AM5334">
        <v>88.252867680248499</v>
      </c>
      <c r="AN5334">
        <v>1.0000000668195601</v>
      </c>
    </row>
    <row r="5335" spans="1:40" x14ac:dyDescent="0.25">
      <c r="A5335" t="str">
        <f>"20190312154403975"</f>
        <v>20190312154403975</v>
      </c>
      <c r="B5335" t="str">
        <f>"1552376643963425"</f>
        <v>1552376643963425</v>
      </c>
      <c r="C5335" t="s">
        <v>40</v>
      </c>
      <c r="D5335">
        <v>4.7909660000000001</v>
      </c>
      <c r="E5335">
        <v>0.48432799999999998</v>
      </c>
      <c r="F5335" t="s">
        <v>43</v>
      </c>
      <c r="G5335">
        <v>-420.21230000000003</v>
      </c>
      <c r="H5335" s="1">
        <v>-1.3901240000000001E-6</v>
      </c>
      <c r="I5335">
        <v>52.697859999999999</v>
      </c>
      <c r="J5335">
        <v>-421.59739999999999</v>
      </c>
      <c r="K5335">
        <v>1.1103510000000001</v>
      </c>
      <c r="L5335">
        <v>84.833529999999996</v>
      </c>
      <c r="M5335">
        <v>2.5614950000000001E-2</v>
      </c>
      <c r="N5335">
        <v>0</v>
      </c>
      <c r="O5335">
        <v>-0.99957940000000001</v>
      </c>
      <c r="P5335">
        <v>-1.000991E-4</v>
      </c>
      <c r="Q5335">
        <v>3.7232260000000001E-3</v>
      </c>
      <c r="R5335">
        <v>-0.99999340000000003</v>
      </c>
      <c r="S5335">
        <v>0.12884519999999999</v>
      </c>
      <c r="T5335">
        <v>-0.10266699999999999</v>
      </c>
      <c r="U5335">
        <v>-3.0009769999999998</v>
      </c>
      <c r="V5335">
        <v>2.5711319999999999E-2</v>
      </c>
      <c r="W5335">
        <v>1.7338180000000002E-2</v>
      </c>
      <c r="X5335">
        <v>0.99951909999999999</v>
      </c>
      <c r="Y5335">
        <v>-1.7262050000000001E-2</v>
      </c>
      <c r="Z5335">
        <v>3.4156110000000003E-2</v>
      </c>
      <c r="AA5335">
        <v>0.99926740000000003</v>
      </c>
      <c r="AB5335">
        <v>33</v>
      </c>
      <c r="AC5335">
        <v>1.38509999999996</v>
      </c>
      <c r="AD5335">
        <v>-1.110352390124</v>
      </c>
      <c r="AE5335">
        <v>-32.135669999999998</v>
      </c>
      <c r="AF5335">
        <v>-0.56074754847609498</v>
      </c>
      <c r="AG5335">
        <v>-1.110352390124</v>
      </c>
      <c r="AH5335">
        <v>32.122328466450803</v>
      </c>
      <c r="AI5335">
        <v>91.979417728370393</v>
      </c>
      <c r="AJ5335">
        <v>91.000089547866196</v>
      </c>
      <c r="AK5335">
        <v>32.146404252263302</v>
      </c>
      <c r="AL5335">
        <v>89.006545740683507</v>
      </c>
      <c r="AM5335">
        <v>88.526466058737199</v>
      </c>
      <c r="AN5335">
        <v>1.0000000578633299</v>
      </c>
    </row>
    <row r="5336" spans="1:40" x14ac:dyDescent="0.25">
      <c r="A5336" t="str">
        <f>"20190312154403997"</f>
        <v>20190312154403997</v>
      </c>
      <c r="B5336" t="str">
        <f>"1552376643992705"</f>
        <v>1552376643992705</v>
      </c>
      <c r="C5336" t="s">
        <v>40</v>
      </c>
      <c r="D5336">
        <v>4.7846169999999999</v>
      </c>
      <c r="E5336">
        <v>0.4864019</v>
      </c>
      <c r="F5336" t="s">
        <v>43</v>
      </c>
      <c r="G5336">
        <v>-420.1678</v>
      </c>
      <c r="H5336" s="1">
        <v>-8.5826659999999997E-7</v>
      </c>
      <c r="I5336">
        <v>51.485709999999997</v>
      </c>
      <c r="J5336">
        <v>-421.58870000000002</v>
      </c>
      <c r="K5336">
        <v>1.110387</v>
      </c>
      <c r="L5336">
        <v>84.503200000000007</v>
      </c>
      <c r="M5336">
        <v>2.5780299999999999E-2</v>
      </c>
      <c r="N5336">
        <v>0</v>
      </c>
      <c r="O5336">
        <v>-0.9995735</v>
      </c>
      <c r="P5336">
        <v>7.1496729999999996E-3</v>
      </c>
      <c r="Q5336">
        <v>6.0698740000000003E-3</v>
      </c>
      <c r="R5336">
        <v>-0.99995650000000003</v>
      </c>
      <c r="S5336">
        <v>0.12863160000000001</v>
      </c>
      <c r="T5336">
        <v>-9.9901439999999994E-2</v>
      </c>
      <c r="U5336">
        <v>-3.000397</v>
      </c>
      <c r="V5336">
        <v>1.8627729999999999E-2</v>
      </c>
      <c r="W5336">
        <v>1.9799669999999998E-2</v>
      </c>
      <c r="X5336">
        <v>0.99963049999999998</v>
      </c>
      <c r="Y5336">
        <v>-1.70352E-2</v>
      </c>
      <c r="Z5336">
        <v>3.3243380000000003E-2</v>
      </c>
      <c r="AA5336">
        <v>0.99930209999999997</v>
      </c>
      <c r="AB5336">
        <v>33</v>
      </c>
      <c r="AC5336">
        <v>1.42090000000001</v>
      </c>
      <c r="AD5336">
        <v>-1.1103878582666</v>
      </c>
      <c r="AE5336">
        <v>-33.017490000000002</v>
      </c>
      <c r="AF5336">
        <v>-0.56850495770339904</v>
      </c>
      <c r="AG5336">
        <v>-1.1103878582666</v>
      </c>
      <c r="AH5336">
        <v>33.005888139036301</v>
      </c>
      <c r="AI5336">
        <v>91.926538911310701</v>
      </c>
      <c r="AJ5336">
        <v>90.986784961458298</v>
      </c>
      <c r="AK5336">
        <v>33.029453688023601</v>
      </c>
      <c r="AL5336">
        <v>88.865488426874705</v>
      </c>
      <c r="AM5336">
        <v>88.932438737931804</v>
      </c>
      <c r="AN5336">
        <v>1.00000007789365</v>
      </c>
    </row>
    <row r="5337" spans="1:40" x14ac:dyDescent="0.25">
      <c r="A5337" t="str">
        <f>"20190312154404021"</f>
        <v>20190312154404021</v>
      </c>
      <c r="B5337" t="str">
        <f>"1552376644013204"</f>
        <v>1552376644013204</v>
      </c>
      <c r="C5337" t="s">
        <v>40</v>
      </c>
      <c r="D5337">
        <v>4.8245389999999997</v>
      </c>
      <c r="E5337">
        <v>0.48750640000000001</v>
      </c>
      <c r="F5337" t="s">
        <v>43</v>
      </c>
      <c r="G5337">
        <v>-419.9846</v>
      </c>
      <c r="H5337" s="1">
        <v>-3.9149859999999998E-6</v>
      </c>
      <c r="I5337">
        <v>48.724559999999997</v>
      </c>
      <c r="J5337">
        <v>-421.58</v>
      </c>
      <c r="K5337">
        <v>1.1104210000000001</v>
      </c>
      <c r="L5337">
        <v>84.173429999999996</v>
      </c>
      <c r="M5337">
        <v>2.594573E-2</v>
      </c>
      <c r="N5337">
        <v>0</v>
      </c>
      <c r="O5337">
        <v>-0.99956769999999995</v>
      </c>
      <c r="P5337">
        <v>1.2705869999999999E-2</v>
      </c>
      <c r="Q5337">
        <v>8.9933449999999998E-3</v>
      </c>
      <c r="R5337">
        <v>-0.99987919999999997</v>
      </c>
      <c r="S5337">
        <v>0.134491</v>
      </c>
      <c r="T5337">
        <v>-9.3097449999999998E-2</v>
      </c>
      <c r="U5337">
        <v>-2.9997560000000001</v>
      </c>
      <c r="V5337">
        <v>1.3236049999999999E-2</v>
      </c>
      <c r="W5337">
        <v>2.282118E-2</v>
      </c>
      <c r="X5337">
        <v>0.99965199999999999</v>
      </c>
      <c r="Y5337">
        <v>-1.883021E-2</v>
      </c>
      <c r="Z5337">
        <v>3.0986119999999999E-2</v>
      </c>
      <c r="AA5337">
        <v>0.99934239999999996</v>
      </c>
      <c r="AB5337">
        <v>32</v>
      </c>
      <c r="AC5337">
        <v>1.5953999999999799</v>
      </c>
      <c r="AD5337">
        <v>-1.1104249149859999</v>
      </c>
      <c r="AE5337">
        <v>-35.448869999999999</v>
      </c>
      <c r="AF5337">
        <v>-0.67436766896032896</v>
      </c>
      <c r="AG5337">
        <v>-1.1104249149859999</v>
      </c>
      <c r="AH5337">
        <v>35.443623465446699</v>
      </c>
      <c r="AI5337">
        <v>91.7941268365322</v>
      </c>
      <c r="AJ5337">
        <v>91.090005931783296</v>
      </c>
      <c r="AK5337">
        <v>35.467425330930404</v>
      </c>
      <c r="AL5337">
        <v>88.692329257269407</v>
      </c>
      <c r="AM5337">
        <v>89.241410521647893</v>
      </c>
      <c r="AN5337">
        <v>1.00000006019009</v>
      </c>
    </row>
    <row r="5338" spans="1:40" x14ac:dyDescent="0.25">
      <c r="A5338" t="str">
        <f>"20190312154404043"</f>
        <v>20190312154404043</v>
      </c>
      <c r="B5338" t="str">
        <f>"1552376644032721"</f>
        <v>1552376644032721</v>
      </c>
      <c r="C5338" t="s">
        <v>40</v>
      </c>
      <c r="D5338">
        <v>4.7944370000000003</v>
      </c>
      <c r="E5338">
        <v>0.48843730000000002</v>
      </c>
      <c r="F5338" t="s">
        <v>43</v>
      </c>
      <c r="G5338">
        <v>-419.73489999999998</v>
      </c>
      <c r="H5338" s="1">
        <v>-2.4821700000000002E-6</v>
      </c>
      <c r="I5338">
        <v>45.309170000000002</v>
      </c>
      <c r="J5338">
        <v>-421.57130000000001</v>
      </c>
      <c r="K5338">
        <v>1.110449</v>
      </c>
      <c r="L5338">
        <v>83.843140000000005</v>
      </c>
      <c r="M5338">
        <v>2.6111430000000001E-2</v>
      </c>
      <c r="N5338">
        <v>0</v>
      </c>
      <c r="O5338">
        <v>-0.99956250000000002</v>
      </c>
      <c r="P5338">
        <v>1.7165389999999999E-2</v>
      </c>
      <c r="Q5338">
        <v>1.249167E-2</v>
      </c>
      <c r="R5338">
        <v>-0.99977519999999998</v>
      </c>
      <c r="S5338">
        <v>0.14239499999999999</v>
      </c>
      <c r="T5338">
        <v>-8.5696339999999996E-2</v>
      </c>
      <c r="U5338">
        <v>-2.9993289999999999</v>
      </c>
      <c r="V5338">
        <v>8.9400880000000005E-3</v>
      </c>
      <c r="W5338">
        <v>2.640352E-2</v>
      </c>
      <c r="X5338">
        <v>0.99961140000000004</v>
      </c>
      <c r="Y5338">
        <v>-2.1302169999999999E-2</v>
      </c>
      <c r="Z5338">
        <v>2.8526289999999999E-2</v>
      </c>
      <c r="AA5338">
        <v>0.99936599999999998</v>
      </c>
      <c r="AB5338">
        <v>32</v>
      </c>
      <c r="AC5338">
        <v>1.83640000000002</v>
      </c>
      <c r="AD5338">
        <v>-1.11045148217</v>
      </c>
      <c r="AE5338">
        <v>-38.533969999999997</v>
      </c>
      <c r="AF5338">
        <v>-0.82881284097299102</v>
      </c>
      <c r="AG5338">
        <v>-1.11045148217</v>
      </c>
      <c r="AH5338">
        <v>38.536854242918999</v>
      </c>
      <c r="AI5338">
        <v>91.650157656534603</v>
      </c>
      <c r="AJ5338">
        <v>91.232071453450203</v>
      </c>
      <c r="AK5338">
        <v>38.561757845819201</v>
      </c>
      <c r="AL5338">
        <v>88.487013926326597</v>
      </c>
      <c r="AM5338">
        <v>89.487585221370594</v>
      </c>
      <c r="AN5338">
        <v>1.00000001102589</v>
      </c>
    </row>
    <row r="5339" spans="1:40" x14ac:dyDescent="0.25">
      <c r="A5339" t="str">
        <f>"20190312154404064"</f>
        <v>20190312154404064</v>
      </c>
      <c r="B5339" t="str">
        <f>"1552376644053217"</f>
        <v>1552376644053217</v>
      </c>
      <c r="C5339" t="s">
        <v>40</v>
      </c>
      <c r="D5339">
        <v>4.7865460000000004</v>
      </c>
      <c r="E5339">
        <v>0.4892939</v>
      </c>
      <c r="F5339" t="s">
        <v>43</v>
      </c>
      <c r="G5339">
        <v>-419.4366</v>
      </c>
      <c r="H5339" s="1">
        <v>-5.7129279999999997E-7</v>
      </c>
      <c r="I5339">
        <v>40.731520000000003</v>
      </c>
      <c r="J5339">
        <v>-421.56290000000001</v>
      </c>
      <c r="K5339">
        <v>1.1104689999999999</v>
      </c>
      <c r="L5339">
        <v>83.528869999999998</v>
      </c>
      <c r="M5339">
        <v>2.6268710000000001E-2</v>
      </c>
      <c r="N5339">
        <v>0</v>
      </c>
      <c r="O5339">
        <v>-0.99955749999999999</v>
      </c>
      <c r="P5339">
        <v>1.993584E-2</v>
      </c>
      <c r="Q5339">
        <v>1.429767E-2</v>
      </c>
      <c r="R5339">
        <v>-0.99969960000000002</v>
      </c>
      <c r="S5339">
        <v>0.14849849999999901</v>
      </c>
      <c r="T5339">
        <v>-7.724905E-2</v>
      </c>
      <c r="U5339">
        <v>-2.9990839999999999</v>
      </c>
      <c r="V5339">
        <v>6.3254690000000002E-3</v>
      </c>
      <c r="W5339">
        <v>2.827822E-2</v>
      </c>
      <c r="X5339">
        <v>0.99958009999999997</v>
      </c>
      <c r="Y5339">
        <v>-2.3181489999999999E-2</v>
      </c>
      <c r="Z5339">
        <v>2.571648E-2</v>
      </c>
      <c r="AA5339">
        <v>0.99940039999999997</v>
      </c>
      <c r="AB5339">
        <v>32</v>
      </c>
      <c r="AC5339">
        <v>2.1263000000000098</v>
      </c>
      <c r="AD5339">
        <v>-1.1104695712928001</v>
      </c>
      <c r="AE5339">
        <v>-42.797350000000002</v>
      </c>
      <c r="AF5339">
        <v>-1.0005534710358699</v>
      </c>
      <c r="AG5339">
        <v>-1.1104695712928001</v>
      </c>
      <c r="AH5339">
        <v>42.809688254285597</v>
      </c>
      <c r="AI5339">
        <v>91.485495423653006</v>
      </c>
      <c r="AJ5339">
        <v>91.338880480640995</v>
      </c>
      <c r="AK5339">
        <v>42.835775449340098</v>
      </c>
      <c r="AL5339">
        <v>88.379561363811405</v>
      </c>
      <c r="AM5339">
        <v>89.637429917325704</v>
      </c>
      <c r="AN5339">
        <v>1.0000000228002199</v>
      </c>
    </row>
    <row r="5340" spans="1:40" x14ac:dyDescent="0.25">
      <c r="A5340" t="str">
        <f>"20190312154404086"</f>
        <v>20190312154404086</v>
      </c>
      <c r="B5340" t="str">
        <f>"1552376644072737"</f>
        <v>1552376644072737</v>
      </c>
      <c r="C5340" t="s">
        <v>40</v>
      </c>
      <c r="D5340">
        <v>4.8110569999999999</v>
      </c>
      <c r="E5340">
        <v>0.48969390000000002</v>
      </c>
      <c r="F5340" t="s">
        <v>70</v>
      </c>
      <c r="G5340">
        <v>-419.30689999999998</v>
      </c>
      <c r="H5340" s="1">
        <v>-8.9622450000000003E-7</v>
      </c>
      <c r="I5340">
        <v>38.476320000000001</v>
      </c>
      <c r="J5340">
        <v>-421.55450000000002</v>
      </c>
      <c r="K5340">
        <v>1.110476</v>
      </c>
      <c r="L5340">
        <v>83.215360000000004</v>
      </c>
      <c r="M5340">
        <v>2.642531E-2</v>
      </c>
      <c r="N5340">
        <v>0</v>
      </c>
      <c r="O5340">
        <v>-0.9995522</v>
      </c>
      <c r="P5340">
        <v>1.826974E-2</v>
      </c>
      <c r="Q5340">
        <v>1.426562E-2</v>
      </c>
      <c r="R5340">
        <v>-0.99973140000000005</v>
      </c>
      <c r="S5340">
        <v>0.150177</v>
      </c>
      <c r="T5340">
        <v>-7.391942E-2</v>
      </c>
      <c r="U5340">
        <v>-2.9989620000000001</v>
      </c>
      <c r="V5340">
        <v>8.1485919999999996E-3</v>
      </c>
      <c r="W5340">
        <v>2.8306339999999999E-2</v>
      </c>
      <c r="X5340">
        <v>0.99956610000000001</v>
      </c>
      <c r="Y5340">
        <v>-2.358619E-2</v>
      </c>
      <c r="Z5340">
        <v>2.4609099999999998E-2</v>
      </c>
      <c r="AA5340">
        <v>0.9994189</v>
      </c>
      <c r="AB5340">
        <v>32</v>
      </c>
      <c r="AC5340">
        <v>2.24760000000003</v>
      </c>
      <c r="AD5340">
        <v>-1.1104768962245</v>
      </c>
      <c r="AE5340">
        <v>-44.739040000000003</v>
      </c>
      <c r="AF5340">
        <v>-1.0638016822015901</v>
      </c>
      <c r="AG5340">
        <v>-1.1104768962245</v>
      </c>
      <c r="AH5340">
        <v>44.755309021478098</v>
      </c>
      <c r="AI5340">
        <v>91.420940527064303</v>
      </c>
      <c r="AJ5340">
        <v>91.361623304799494</v>
      </c>
      <c r="AK5340">
        <v>44.781720808429199</v>
      </c>
      <c r="AL5340">
        <v>88.377949554096503</v>
      </c>
      <c r="AM5340">
        <v>89.532927748876403</v>
      </c>
      <c r="AN5340">
        <v>1.00000001835249</v>
      </c>
    </row>
    <row r="5341" spans="1:40" x14ac:dyDescent="0.25">
      <c r="A5341" t="str">
        <f>"20190312154404109"</f>
        <v>20190312154404109</v>
      </c>
      <c r="B5341" t="str">
        <f>"1552376644102993"</f>
        <v>1552376644102993</v>
      </c>
      <c r="C5341" t="s">
        <v>40</v>
      </c>
      <c r="D5341">
        <v>4.8285130000000001</v>
      </c>
      <c r="E5341">
        <v>0.500552</v>
      </c>
      <c r="F5341" t="s">
        <v>70</v>
      </c>
      <c r="G5341">
        <v>-419.46359999999999</v>
      </c>
      <c r="H5341" s="1">
        <v>-5.310376E-7</v>
      </c>
      <c r="I5341">
        <v>38.985230000000001</v>
      </c>
      <c r="J5341">
        <v>-421.54579999999999</v>
      </c>
      <c r="K5341">
        <v>1.110482</v>
      </c>
      <c r="L5341">
        <v>82.88937</v>
      </c>
      <c r="M5341">
        <v>2.6587900000000001E-2</v>
      </c>
      <c r="N5341">
        <v>0</v>
      </c>
      <c r="O5341">
        <v>-0.99954719999999997</v>
      </c>
      <c r="P5341">
        <v>1.555514E-2</v>
      </c>
      <c r="Q5341">
        <v>1.4098289999999999E-2</v>
      </c>
      <c r="R5341">
        <v>-0.9997798</v>
      </c>
      <c r="S5341">
        <v>0.14178470000000001</v>
      </c>
      <c r="T5341">
        <v>-7.5302720000000004E-2</v>
      </c>
      <c r="U5341">
        <v>-2.999298</v>
      </c>
      <c r="V5341">
        <v>1.1026299999999999E-2</v>
      </c>
      <c r="W5341">
        <v>2.8192430000000001E-2</v>
      </c>
      <c r="X5341">
        <v>0.99954169999999998</v>
      </c>
      <c r="Y5341">
        <v>-2.0627469999999998E-2</v>
      </c>
      <c r="Z5341">
        <v>2.506891E-2</v>
      </c>
      <c r="AA5341">
        <v>0.9994729</v>
      </c>
      <c r="AB5341">
        <v>32</v>
      </c>
      <c r="AC5341">
        <v>2.0821999999999998</v>
      </c>
      <c r="AD5341">
        <v>-1.1104825310376001</v>
      </c>
      <c r="AE5341">
        <v>-43.904139999999998</v>
      </c>
      <c r="AF5341">
        <v>-0.91344593944010899</v>
      </c>
      <c r="AG5341">
        <v>-1.1104825310376001</v>
      </c>
      <c r="AH5341">
        <v>43.915950394458498</v>
      </c>
      <c r="AI5341">
        <v>91.448190366676599</v>
      </c>
      <c r="AJ5341">
        <v>91.1915727905929</v>
      </c>
      <c r="AK5341">
        <v>43.939483997704897</v>
      </c>
      <c r="AL5341">
        <v>88.384478694287793</v>
      </c>
      <c r="AM5341">
        <v>89.367975514142103</v>
      </c>
      <c r="AN5341">
        <v>1.0000000012199399</v>
      </c>
    </row>
    <row r="5342" spans="1:40" x14ac:dyDescent="0.25">
      <c r="A5342" t="str">
        <f>"20190312154404132"</f>
        <v>20190312154404132</v>
      </c>
      <c r="B5342" t="str">
        <f>"1552376644123493"</f>
        <v>1552376644123493</v>
      </c>
      <c r="C5342" t="s">
        <v>40</v>
      </c>
      <c r="D5342">
        <v>4.7780329999999998</v>
      </c>
      <c r="E5342">
        <v>0.50082299999999902</v>
      </c>
      <c r="F5342" t="s">
        <v>43</v>
      </c>
      <c r="G5342">
        <v>-421.05630000000002</v>
      </c>
      <c r="H5342" s="1">
        <v>-1.560481E-6</v>
      </c>
      <c r="I5342">
        <v>52.5715</v>
      </c>
      <c r="J5342">
        <v>-421.53699999999998</v>
      </c>
      <c r="K5342">
        <v>1.110487</v>
      </c>
      <c r="L5342">
        <v>82.566590000000005</v>
      </c>
      <c r="M5342">
        <v>2.6748290000000001E-2</v>
      </c>
      <c r="N5342">
        <v>0</v>
      </c>
      <c r="O5342">
        <v>-0.99954219999999905</v>
      </c>
      <c r="P5342">
        <v>1.1301520000000001E-2</v>
      </c>
      <c r="Q5342">
        <v>1.293449E-2</v>
      </c>
      <c r="R5342">
        <v>-0.99985299999999999</v>
      </c>
      <c r="S5342">
        <v>4.8461909999999997E-2</v>
      </c>
      <c r="T5342">
        <v>-0.1099377</v>
      </c>
      <c r="U5342">
        <v>-3.001465</v>
      </c>
      <c r="V5342">
        <v>1.5441180000000001E-2</v>
      </c>
      <c r="W5342">
        <v>2.70742E-2</v>
      </c>
      <c r="X5342">
        <v>0.99951420000000002</v>
      </c>
      <c r="Y5342">
        <v>1.062008E-2</v>
      </c>
      <c r="Z5342">
        <v>3.6580399999999999E-2</v>
      </c>
      <c r="AA5342">
        <v>0.99927429999999995</v>
      </c>
      <c r="AB5342">
        <v>32</v>
      </c>
      <c r="AC5342">
        <v>0.480699999999956</v>
      </c>
      <c r="AD5342">
        <v>-1.110488560481</v>
      </c>
      <c r="AE5342">
        <v>-29.995090000000001</v>
      </c>
      <c r="AF5342">
        <v>0.32142915092336399</v>
      </c>
      <c r="AG5342">
        <v>-1.110488560481</v>
      </c>
      <c r="AH5342">
        <v>29.956165817304399</v>
      </c>
      <c r="AI5342">
        <v>92.122886127782294</v>
      </c>
      <c r="AJ5342">
        <v>89.385240850221905</v>
      </c>
      <c r="AK5342">
        <v>29.9784651377595</v>
      </c>
      <c r="AL5342">
        <v>88.448573091874394</v>
      </c>
      <c r="AM5342">
        <v>89.114925958785904</v>
      </c>
      <c r="AN5342">
        <v>1.00000003917353</v>
      </c>
    </row>
    <row r="5343" spans="1:40" x14ac:dyDescent="0.25">
      <c r="A5343" t="str">
        <f>"20190312154404153"</f>
        <v>20190312154404153</v>
      </c>
      <c r="B5343" t="str">
        <f>"1552376644143010"</f>
        <v>1552376644143010</v>
      </c>
      <c r="C5343" t="s">
        <v>40</v>
      </c>
      <c r="D5343">
        <v>4.8137840000000001</v>
      </c>
      <c r="E5343">
        <v>0.50133539999999999</v>
      </c>
      <c r="F5343" t="s">
        <v>43</v>
      </c>
      <c r="G5343">
        <v>-421.21280000000002</v>
      </c>
      <c r="H5343" s="1">
        <v>-1.872398E-6</v>
      </c>
      <c r="I5343">
        <v>53.20149</v>
      </c>
      <c r="J5343">
        <v>-421.52839999999998</v>
      </c>
      <c r="K5343">
        <v>1.1104860000000001</v>
      </c>
      <c r="L5343">
        <v>82.248900000000006</v>
      </c>
      <c r="M5343">
        <v>2.6906220000000002E-2</v>
      </c>
      <c r="N5343">
        <v>0</v>
      </c>
      <c r="O5343">
        <v>-0.99953749999999997</v>
      </c>
      <c r="P5343">
        <v>5.7406080000000003E-3</v>
      </c>
      <c r="Q5343">
        <v>1.14238E-2</v>
      </c>
      <c r="R5343">
        <v>-0.99991850000000004</v>
      </c>
      <c r="S5343">
        <v>3.3142089999999999E-2</v>
      </c>
      <c r="T5343">
        <v>-0.1135087</v>
      </c>
      <c r="U5343">
        <v>-3.0015559999999999</v>
      </c>
      <c r="V5343">
        <v>2.1160310000000002E-2</v>
      </c>
      <c r="W5343">
        <v>2.5601280000000001E-2</v>
      </c>
      <c r="X5343">
        <v>0.99944820000000001</v>
      </c>
      <c r="Y5343">
        <v>1.587819E-2</v>
      </c>
      <c r="Z5343">
        <v>3.7765559999999997E-2</v>
      </c>
      <c r="AA5343">
        <v>0.99916050000000001</v>
      </c>
      <c r="AB5343">
        <v>32</v>
      </c>
      <c r="AC5343">
        <v>0.31559999999996002</v>
      </c>
      <c r="AD5343">
        <v>-1.1104878723980001</v>
      </c>
      <c r="AE5343">
        <v>-29.047409999999999</v>
      </c>
      <c r="AF5343">
        <v>0.46546855831793399</v>
      </c>
      <c r="AG5343">
        <v>-1.1104878723980001</v>
      </c>
      <c r="AH5343">
        <v>29.002999834031399</v>
      </c>
      <c r="AI5343">
        <v>92.192429157311906</v>
      </c>
      <c r="AJ5343">
        <v>89.080540128543504</v>
      </c>
      <c r="AK5343">
        <v>29.027983802984899</v>
      </c>
      <c r="AL5343">
        <v>88.532994342317494</v>
      </c>
      <c r="AM5343">
        <v>88.787115378932299</v>
      </c>
      <c r="AN5343">
        <v>0.99999994437008499</v>
      </c>
    </row>
    <row r="5344" spans="1:40" x14ac:dyDescent="0.25">
      <c r="A5344" t="str">
        <f>"20190312154404176"</f>
        <v>20190312154404176</v>
      </c>
      <c r="B5344" t="str">
        <f>"1552376644163505"</f>
        <v>1552376644163505</v>
      </c>
      <c r="C5344" t="s">
        <v>40</v>
      </c>
      <c r="D5344">
        <v>4.7123419999999996</v>
      </c>
      <c r="E5344">
        <v>0.52775780000000005</v>
      </c>
      <c r="F5344" t="s">
        <v>43</v>
      </c>
      <c r="G5344">
        <v>-421.41070000000002</v>
      </c>
      <c r="H5344" s="1">
        <v>-2.3036249999999999E-6</v>
      </c>
      <c r="I5344">
        <v>54.083950000000002</v>
      </c>
      <c r="J5344">
        <v>-421.51960000000003</v>
      </c>
      <c r="K5344">
        <v>1.110493</v>
      </c>
      <c r="L5344">
        <v>81.928190000000001</v>
      </c>
      <c r="M5344">
        <v>2.7065410000000002E-2</v>
      </c>
      <c r="N5344">
        <v>0</v>
      </c>
      <c r="O5344">
        <v>-0.99953289999999995</v>
      </c>
      <c r="P5344">
        <v>9.5312870000000005E-4</v>
      </c>
      <c r="Q5344">
        <v>1.088047E-2</v>
      </c>
      <c r="R5344">
        <v>-0.99994099999999997</v>
      </c>
      <c r="S5344">
        <v>1.254272E-2</v>
      </c>
      <c r="T5344">
        <v>-0.1183442</v>
      </c>
      <c r="U5344">
        <v>-3.0015260000000001</v>
      </c>
      <c r="V5344">
        <v>2.610604E-2</v>
      </c>
      <c r="W5344">
        <v>2.5090749999999998E-2</v>
      </c>
      <c r="X5344">
        <v>0.99934420000000002</v>
      </c>
      <c r="Y5344">
        <v>2.289393E-2</v>
      </c>
      <c r="Z5344">
        <v>3.9370420000000003E-2</v>
      </c>
      <c r="AA5344">
        <v>0.99896240000000003</v>
      </c>
      <c r="AB5344">
        <v>32</v>
      </c>
      <c r="AC5344">
        <v>0.10890000000000501</v>
      </c>
      <c r="AD5344">
        <v>-1.110495303625</v>
      </c>
      <c r="AE5344">
        <v>-27.844239999999999</v>
      </c>
      <c r="AF5344">
        <v>0.64380756263622696</v>
      </c>
      <c r="AG5344">
        <v>-1.110495303625</v>
      </c>
      <c r="AH5344">
        <v>27.792778641809001</v>
      </c>
      <c r="AI5344">
        <v>92.287494544741904</v>
      </c>
      <c r="AJ5344">
        <v>88.673005644472596</v>
      </c>
      <c r="AK5344">
        <v>27.822405227256599</v>
      </c>
      <c r="AL5344">
        <v>88.562254967809906</v>
      </c>
      <c r="AM5344">
        <v>88.503592852050005</v>
      </c>
      <c r="AN5344">
        <v>0.99999995056683999</v>
      </c>
    </row>
    <row r="5345" spans="1:40" x14ac:dyDescent="0.25">
      <c r="A5345" t="str">
        <f>"20190312154404199"</f>
        <v>20190312154404199</v>
      </c>
      <c r="B5345" t="str">
        <f>"1552376644192785"</f>
        <v>1552376644192785</v>
      </c>
      <c r="C5345" t="s">
        <v>40</v>
      </c>
      <c r="D5345">
        <v>4.6710699999999896</v>
      </c>
      <c r="E5345">
        <v>0.53083040000000004</v>
      </c>
      <c r="F5345" t="s">
        <v>43</v>
      </c>
      <c r="G5345">
        <v>-423.39170000000001</v>
      </c>
      <c r="H5345" s="1">
        <v>-3.4421859999999999E-6</v>
      </c>
      <c r="I5345">
        <v>55.509329999999999</v>
      </c>
      <c r="J5345">
        <v>-421.51049999999998</v>
      </c>
      <c r="K5345">
        <v>1.1105050000000001</v>
      </c>
      <c r="L5345">
        <v>81.595860000000002</v>
      </c>
      <c r="M5345">
        <v>2.722896E-2</v>
      </c>
      <c r="N5345">
        <v>0</v>
      </c>
      <c r="O5345">
        <v>-0.99952790000000002</v>
      </c>
      <c r="P5345">
        <v>-2.4659E-3</v>
      </c>
      <c r="Q5345">
        <v>1.051304E-2</v>
      </c>
      <c r="R5345">
        <v>-0.99994190000000005</v>
      </c>
      <c r="S5345">
        <v>-0.21270749999999999</v>
      </c>
      <c r="T5345">
        <v>-0.12617709999999999</v>
      </c>
      <c r="U5345">
        <v>-3.00177</v>
      </c>
      <c r="V5345">
        <v>2.968761E-2</v>
      </c>
      <c r="W5345">
        <v>2.4750870000000001E-2</v>
      </c>
      <c r="X5345">
        <v>0.99925269999999999</v>
      </c>
      <c r="Y5345">
        <v>9.7758929999999994E-2</v>
      </c>
      <c r="Z5345">
        <v>4.1820839999999998E-2</v>
      </c>
      <c r="AA5345">
        <v>0.99433110000000002</v>
      </c>
      <c r="AB5345">
        <v>32</v>
      </c>
      <c r="AC5345">
        <v>-1.88120000000003</v>
      </c>
      <c r="AD5345">
        <v>-1.1105084421860001</v>
      </c>
      <c r="AE5345">
        <v>-26.08653</v>
      </c>
      <c r="AF5345">
        <v>2.5862208305629801</v>
      </c>
      <c r="AG5345">
        <v>-1.1105084421860001</v>
      </c>
      <c r="AH5345">
        <v>25.978791709046799</v>
      </c>
      <c r="AI5345">
        <v>92.435692118946903</v>
      </c>
      <c r="AJ5345">
        <v>84.314865684739402</v>
      </c>
      <c r="AK5345">
        <v>26.130812958012701</v>
      </c>
      <c r="AL5345">
        <v>88.581734720374698</v>
      </c>
      <c r="AM5345">
        <v>88.298253731428701</v>
      </c>
      <c r="AN5345">
        <v>0.99999995910527795</v>
      </c>
    </row>
    <row r="5346" spans="1:40" x14ac:dyDescent="0.25">
      <c r="A5346" t="str">
        <f>"20190312154404221"</f>
        <v>20190312154404221</v>
      </c>
      <c r="B5346" t="str">
        <f>"1552376644213281"</f>
        <v>1552376644213281</v>
      </c>
      <c r="C5346" t="s">
        <v>40</v>
      </c>
      <c r="D5346">
        <v>4.6719269999999904</v>
      </c>
      <c r="E5346">
        <v>0.5313428</v>
      </c>
      <c r="F5346" t="s">
        <v>43</v>
      </c>
      <c r="G5346">
        <v>-423.8374</v>
      </c>
      <c r="H5346" s="1">
        <v>-2.6573029999999998E-6</v>
      </c>
      <c r="I5346">
        <v>53.4032699999999</v>
      </c>
      <c r="J5346">
        <v>-421.50200000000001</v>
      </c>
      <c r="K5346">
        <v>1.1105100000000001</v>
      </c>
      <c r="L5346">
        <v>81.290369999999996</v>
      </c>
      <c r="M5346">
        <v>2.737245E-2</v>
      </c>
      <c r="N5346">
        <v>0</v>
      </c>
      <c r="O5346">
        <v>-0.99952359999999896</v>
      </c>
      <c r="P5346">
        <v>-3.9578119999999998E-3</v>
      </c>
      <c r="Q5346">
        <v>1.109983E-2</v>
      </c>
      <c r="R5346">
        <v>-0.9999306</v>
      </c>
      <c r="S5346">
        <v>-0.2476807</v>
      </c>
      <c r="T5346">
        <v>-0.11820269999999999</v>
      </c>
      <c r="U5346">
        <v>-3.0008240000000002</v>
      </c>
      <c r="V5346">
        <v>3.132219E-2</v>
      </c>
      <c r="W5346">
        <v>2.5359119999999999E-2</v>
      </c>
      <c r="X5346">
        <v>0.99918759999999995</v>
      </c>
      <c r="Y5346">
        <v>0.1094463</v>
      </c>
      <c r="Z5346">
        <v>3.9152729999999997E-2</v>
      </c>
      <c r="AA5346">
        <v>0.99322129999999997</v>
      </c>
      <c r="AB5346">
        <v>32</v>
      </c>
      <c r="AC5346">
        <v>-2.3354000000000399</v>
      </c>
      <c r="AD5346">
        <v>-1.110512657303</v>
      </c>
      <c r="AE5346">
        <v>-27.8871</v>
      </c>
      <c r="AF5346">
        <v>3.0930698822781801</v>
      </c>
      <c r="AG5346">
        <v>-1.110512657303</v>
      </c>
      <c r="AH5346">
        <v>27.768988015057801</v>
      </c>
      <c r="AI5346">
        <v>92.2760407896007</v>
      </c>
      <c r="AJ5346">
        <v>83.644264308601606</v>
      </c>
      <c r="AK5346">
        <v>27.962779100781699</v>
      </c>
      <c r="AL5346">
        <v>88.546873694003096</v>
      </c>
      <c r="AM5346">
        <v>88.204499543100098</v>
      </c>
      <c r="AN5346">
        <v>1.0000000122736601</v>
      </c>
    </row>
    <row r="5347" spans="1:40" x14ac:dyDescent="0.25">
      <c r="A5347" t="str">
        <f>"20190312154404244"</f>
        <v>20190312154404244</v>
      </c>
      <c r="B5347" t="str">
        <f>"1552376644232801"</f>
        <v>1552376644232801</v>
      </c>
      <c r="C5347" t="s">
        <v>40</v>
      </c>
      <c r="D5347">
        <v>4.6519820000000003</v>
      </c>
      <c r="E5347">
        <v>0.53137219999999996</v>
      </c>
      <c r="F5347" t="s">
        <v>43</v>
      </c>
      <c r="G5347">
        <v>-424.05459999999999</v>
      </c>
      <c r="H5347" s="1">
        <v>-1.8733680000000001E-6</v>
      </c>
      <c r="I5347">
        <v>51.441189999999999</v>
      </c>
      <c r="J5347">
        <v>-421.49279999999999</v>
      </c>
      <c r="K5347">
        <v>1.110519</v>
      </c>
      <c r="L5347">
        <v>80.959559999999996</v>
      </c>
      <c r="M5347">
        <v>2.751193E-2</v>
      </c>
      <c r="N5347">
        <v>0</v>
      </c>
      <c r="O5347">
        <v>-0.99951959999999995</v>
      </c>
      <c r="P5347">
        <v>-4.5096249999999997E-3</v>
      </c>
      <c r="Q5347">
        <v>1.182067E-2</v>
      </c>
      <c r="R5347">
        <v>-0.99992020000000004</v>
      </c>
      <c r="S5347">
        <v>-0.25659179999999998</v>
      </c>
      <c r="T5347">
        <v>-0.1116294</v>
      </c>
      <c r="U5347">
        <v>-3.0004580000000001</v>
      </c>
      <c r="V5347">
        <v>3.2013399999999997E-2</v>
      </c>
      <c r="W5347">
        <v>2.6099399999999998E-2</v>
      </c>
      <c r="X5347">
        <v>0.9991466</v>
      </c>
      <c r="Y5347">
        <v>0.11253059999999999</v>
      </c>
      <c r="Z5347">
        <v>3.6971810000000001E-2</v>
      </c>
      <c r="AA5347">
        <v>0.99296019999999896</v>
      </c>
      <c r="AB5347">
        <v>32</v>
      </c>
      <c r="AC5347">
        <v>-2.5617999999999999</v>
      </c>
      <c r="AD5347">
        <v>-1.1105208733679901</v>
      </c>
      <c r="AE5347">
        <v>-29.518370000000001</v>
      </c>
      <c r="AF5347">
        <v>3.3682884161009801</v>
      </c>
      <c r="AG5347">
        <v>-1.1105208733679901</v>
      </c>
      <c r="AH5347">
        <v>29.395412810269601</v>
      </c>
      <c r="AI5347">
        <v>92.149480109377294</v>
      </c>
      <c r="AJ5347">
        <v>83.463243162080403</v>
      </c>
      <c r="AK5347">
        <v>29.608595335651898</v>
      </c>
      <c r="AL5347">
        <v>88.5044446829679</v>
      </c>
      <c r="AM5347">
        <v>88.164828450476804</v>
      </c>
      <c r="AN5347">
        <v>0.99999998237573895</v>
      </c>
    </row>
    <row r="5348" spans="1:40" x14ac:dyDescent="0.25">
      <c r="A5348" t="str">
        <f>"20190312154404266"</f>
        <v>20190312154404266</v>
      </c>
      <c r="B5348" t="str">
        <f>"1552376644253297"</f>
        <v>1552376644253297</v>
      </c>
      <c r="C5348" t="s">
        <v>40</v>
      </c>
      <c r="D5348">
        <v>4.6678169999999897</v>
      </c>
      <c r="E5348">
        <v>0.53138209999999997</v>
      </c>
      <c r="F5348" t="s">
        <v>43</v>
      </c>
      <c r="G5348">
        <v>-424.12639999999999</v>
      </c>
      <c r="H5348" s="1">
        <v>-1.417875E-6</v>
      </c>
      <c r="I5348">
        <v>50.334879999999998</v>
      </c>
      <c r="J5348">
        <v>-421.48379999999997</v>
      </c>
      <c r="K5348">
        <v>1.110514</v>
      </c>
      <c r="L5348">
        <v>80.638030000000001</v>
      </c>
      <c r="M5348">
        <v>2.762011E-2</v>
      </c>
      <c r="N5348">
        <v>0</v>
      </c>
      <c r="O5348">
        <v>-0.99951650000000003</v>
      </c>
      <c r="P5348">
        <v>-4.7801720000000001E-3</v>
      </c>
      <c r="Q5348">
        <v>1.2915899999999999E-2</v>
      </c>
      <c r="R5348">
        <v>-0.99990540000000006</v>
      </c>
      <c r="S5348">
        <v>-0.25802609999999998</v>
      </c>
      <c r="T5348">
        <v>-0.1088001</v>
      </c>
      <c r="U5348">
        <v>-3.0003660000000001</v>
      </c>
      <c r="V5348">
        <v>3.2392549999999999E-2</v>
      </c>
      <c r="W5348">
        <v>2.7209089999999998E-2</v>
      </c>
      <c r="X5348">
        <v>0.99910480000000002</v>
      </c>
      <c r="Y5348">
        <v>0.1131149</v>
      </c>
      <c r="Z5348">
        <v>3.6034980000000001E-2</v>
      </c>
      <c r="AA5348">
        <v>0.99292829999999999</v>
      </c>
      <c r="AB5348">
        <v>32</v>
      </c>
      <c r="AC5348">
        <v>-2.6426000000000101</v>
      </c>
      <c r="AD5348">
        <v>-1.1105154178749901</v>
      </c>
      <c r="AE5348">
        <v>-30.303149999999999</v>
      </c>
      <c r="AF5348">
        <v>3.4740229244388998</v>
      </c>
      <c r="AG5348">
        <v>-1.1105154178749901</v>
      </c>
      <c r="AH5348">
        <v>30.178366968432801</v>
      </c>
      <c r="AI5348">
        <v>92.093627675637606</v>
      </c>
      <c r="AJ5348">
        <v>83.433225327271899</v>
      </c>
      <c r="AK5348">
        <v>30.397959021195199</v>
      </c>
      <c r="AL5348">
        <v>88.440841565424293</v>
      </c>
      <c r="AM5348">
        <v>88.143031130383903</v>
      </c>
      <c r="AN5348">
        <v>1.0000000066285799</v>
      </c>
    </row>
    <row r="5349" spans="1:40" x14ac:dyDescent="0.25">
      <c r="A5349" t="str">
        <f>"20190312154404288"</f>
        <v>20190312154404288</v>
      </c>
      <c r="B5349" t="str">
        <f>"1552376644282577"</f>
        <v>1552376644282577</v>
      </c>
      <c r="C5349" t="s">
        <v>40</v>
      </c>
      <c r="D5349">
        <v>4.6500069999999996</v>
      </c>
      <c r="E5349">
        <v>0.53117349999999997</v>
      </c>
      <c r="F5349" t="s">
        <v>43</v>
      </c>
      <c r="G5349">
        <v>-424.286</v>
      </c>
      <c r="H5349" s="1">
        <v>-4.5602580000000003E-6</v>
      </c>
      <c r="I5349">
        <v>48.153239999999997</v>
      </c>
      <c r="J5349">
        <v>-421.47500000000002</v>
      </c>
      <c r="K5349">
        <v>1.110498</v>
      </c>
      <c r="L5349">
        <v>80.325409999999906</v>
      </c>
      <c r="M5349">
        <v>2.7694079999999999E-2</v>
      </c>
      <c r="N5349">
        <v>0</v>
      </c>
      <c r="O5349">
        <v>-0.99951409999999996</v>
      </c>
      <c r="P5349">
        <v>-4.6428110000000002E-3</v>
      </c>
      <c r="Q5349">
        <v>1.4025920000000001E-2</v>
      </c>
      <c r="R5349">
        <v>-0.99989130000000004</v>
      </c>
      <c r="S5349">
        <v>-0.25881959999999998</v>
      </c>
      <c r="T5349">
        <v>-0.10256989999999901</v>
      </c>
      <c r="U5349">
        <v>-3.0003660000000001</v>
      </c>
      <c r="V5349">
        <v>3.2330280000000003E-2</v>
      </c>
      <c r="W5349">
        <v>2.833018E-2</v>
      </c>
      <c r="X5349">
        <v>0.99907570000000001</v>
      </c>
      <c r="Y5349">
        <v>0.1134553</v>
      </c>
      <c r="Z5349">
        <v>3.3972870000000002E-2</v>
      </c>
      <c r="AA5349">
        <v>0.99296209999999996</v>
      </c>
      <c r="AB5349">
        <v>32</v>
      </c>
      <c r="AC5349">
        <v>-2.8109999999999702</v>
      </c>
      <c r="AD5349">
        <v>-1.1105025602580001</v>
      </c>
      <c r="AE5349">
        <v>-32.172169999999902</v>
      </c>
      <c r="AF5349">
        <v>3.69662042315906</v>
      </c>
      <c r="AG5349">
        <v>-1.1105025602580001</v>
      </c>
      <c r="AH5349">
        <v>32.044081774520997</v>
      </c>
      <c r="AI5349">
        <v>91.971751273142203</v>
      </c>
      <c r="AJ5349">
        <v>83.419420443849404</v>
      </c>
      <c r="AK5349">
        <v>32.275709059003603</v>
      </c>
      <c r="AL5349">
        <v>88.376583126465306</v>
      </c>
      <c r="AM5349">
        <v>88.146544446552099</v>
      </c>
      <c r="AN5349">
        <v>1.00000005021709</v>
      </c>
    </row>
    <row r="5350" spans="1:40" x14ac:dyDescent="0.25">
      <c r="A5350" t="str">
        <f>"20190312154404310"</f>
        <v>20190312154404310</v>
      </c>
      <c r="B5350" t="str">
        <f>"1552376644303076"</f>
        <v>1552376644303076</v>
      </c>
      <c r="C5350" t="s">
        <v>40</v>
      </c>
      <c r="D5350">
        <v>4.6725529999999997</v>
      </c>
      <c r="E5350">
        <v>0.53112369999999898</v>
      </c>
      <c r="F5350" t="s">
        <v>43</v>
      </c>
      <c r="G5350">
        <v>-424.39400000000001</v>
      </c>
      <c r="H5350" s="1">
        <v>-3.9147900000000003E-6</v>
      </c>
      <c r="I5350">
        <v>46.200220000000002</v>
      </c>
      <c r="J5350">
        <v>-421.46620000000001</v>
      </c>
      <c r="K5350">
        <v>1.1104750000000001</v>
      </c>
      <c r="L5350">
        <v>80.010710000000003</v>
      </c>
      <c r="M5350">
        <v>2.7738140000000001E-2</v>
      </c>
      <c r="N5350">
        <v>0</v>
      </c>
      <c r="O5350">
        <v>-0.99951290000000004</v>
      </c>
      <c r="P5350">
        <v>-4.7827590000000001E-3</v>
      </c>
      <c r="Q5350">
        <v>1.437808E-2</v>
      </c>
      <c r="R5350">
        <v>-0.99988560000000004</v>
      </c>
      <c r="S5350">
        <v>-0.25665280000000001</v>
      </c>
      <c r="T5350">
        <v>-9.7642900000000005E-2</v>
      </c>
      <c r="U5350">
        <v>-3.0005190000000002</v>
      </c>
      <c r="V5350">
        <v>3.2515889999999999E-2</v>
      </c>
      <c r="W5350">
        <v>2.8691000000000001E-2</v>
      </c>
      <c r="X5350">
        <v>0.99905929999999998</v>
      </c>
      <c r="Y5350">
        <v>0.1127876</v>
      </c>
      <c r="Z5350">
        <v>3.2343249999999997E-2</v>
      </c>
      <c r="AA5350">
        <v>0.99309259999999999</v>
      </c>
      <c r="AB5350">
        <v>32</v>
      </c>
      <c r="AC5350">
        <v>-2.9277999999999902</v>
      </c>
      <c r="AD5350">
        <v>-1.11047891479</v>
      </c>
      <c r="AE5350">
        <v>-33.810490000000001</v>
      </c>
      <c r="AF5350">
        <v>3.8604757995891399</v>
      </c>
      <c r="AG5350">
        <v>-1.11047891479</v>
      </c>
      <c r="AH5350">
        <v>33.680195992408898</v>
      </c>
      <c r="AI5350">
        <v>91.8761551699357</v>
      </c>
      <c r="AJ5350">
        <v>83.461205871101996</v>
      </c>
      <c r="AK5350">
        <v>33.918903857679197</v>
      </c>
      <c r="AL5350">
        <v>88.355901126163801</v>
      </c>
      <c r="AM5350">
        <v>88.135880559002402</v>
      </c>
      <c r="AN5350">
        <v>0.99999997074999003</v>
      </c>
    </row>
    <row r="5351" spans="1:40" x14ac:dyDescent="0.25">
      <c r="A5351" t="str">
        <f>"20190312154404333"</f>
        <v>20190312154404333</v>
      </c>
      <c r="B5351" t="str">
        <f>"1552376644322594"</f>
        <v>1552376644322594</v>
      </c>
      <c r="C5351" t="s">
        <v>40</v>
      </c>
      <c r="D5351">
        <v>4.6586449999999999</v>
      </c>
      <c r="E5351">
        <v>0.53099680000000005</v>
      </c>
      <c r="F5351" t="s">
        <v>43</v>
      </c>
      <c r="G5351">
        <v>-424.42989999999998</v>
      </c>
      <c r="H5351" s="1">
        <v>-3.6488149999999999E-6</v>
      </c>
      <c r="I5351">
        <v>45.399900000000002</v>
      </c>
      <c r="J5351">
        <v>-421.4572</v>
      </c>
      <c r="K5351">
        <v>1.1104560000000001</v>
      </c>
      <c r="L5351">
        <v>79.683139999999995</v>
      </c>
      <c r="M5351">
        <v>2.7753340000000001E-2</v>
      </c>
      <c r="N5351">
        <v>0</v>
      </c>
      <c r="O5351">
        <v>-0.99951219999999996</v>
      </c>
      <c r="P5351">
        <v>-5.1232459999999997E-3</v>
      </c>
      <c r="Q5351">
        <v>1.440161E-2</v>
      </c>
      <c r="R5351">
        <v>-0.99988350000000004</v>
      </c>
      <c r="S5351">
        <v>-0.25692749999999998</v>
      </c>
      <c r="T5351">
        <v>-9.6269850000000004E-2</v>
      </c>
      <c r="U5351">
        <v>-3.0004879999999998</v>
      </c>
      <c r="V5351">
        <v>3.2873109999999997E-2</v>
      </c>
      <c r="W5351">
        <v>2.8721980000000001E-2</v>
      </c>
      <c r="X5351">
        <v>0.99904669999999896</v>
      </c>
      <c r="Y5351">
        <v>0.112895</v>
      </c>
      <c r="Z5351">
        <v>3.1888880000000001E-2</v>
      </c>
      <c r="AA5351">
        <v>0.99309499999999995</v>
      </c>
      <c r="AB5351">
        <v>32</v>
      </c>
      <c r="AC5351">
        <v>-2.9726999999999699</v>
      </c>
      <c r="AD5351">
        <v>-1.11045964881499</v>
      </c>
      <c r="AE5351">
        <v>-34.283239999999999</v>
      </c>
      <c r="AF5351">
        <v>3.9190456746078</v>
      </c>
      <c r="AG5351">
        <v>-1.11045964881499</v>
      </c>
      <c r="AH5351">
        <v>34.151957145131099</v>
      </c>
      <c r="AI5351">
        <v>91.850197240044395</v>
      </c>
      <c r="AJ5351">
        <v>83.453761169251294</v>
      </c>
      <c r="AK5351">
        <v>34.394014253561302</v>
      </c>
      <c r="AL5351">
        <v>88.354125338758195</v>
      </c>
      <c r="AM5351">
        <v>88.115392254358596</v>
      </c>
      <c r="AN5351">
        <v>0.99999995113853901</v>
      </c>
    </row>
    <row r="5352" spans="1:40" x14ac:dyDescent="0.25">
      <c r="A5352" t="str">
        <f>"20190312154404355"</f>
        <v>20190312154404355</v>
      </c>
      <c r="B5352" t="str">
        <f>"1552376644343090"</f>
        <v>1552376644343090</v>
      </c>
      <c r="C5352" t="s">
        <v>40</v>
      </c>
      <c r="D5352">
        <v>4.6780489999999997</v>
      </c>
      <c r="E5352">
        <v>0.53093049999999997</v>
      </c>
      <c r="F5352" t="s">
        <v>43</v>
      </c>
      <c r="G5352">
        <v>-424.41019999999997</v>
      </c>
      <c r="H5352" s="1">
        <v>-3.5901280000000001E-6</v>
      </c>
      <c r="I5352">
        <v>45.23771</v>
      </c>
      <c r="J5352">
        <v>-421.44850000000002</v>
      </c>
      <c r="K5352">
        <v>1.1104419999999999</v>
      </c>
      <c r="L5352">
        <v>79.37079</v>
      </c>
      <c r="M5352">
        <v>2.7720459999999999E-2</v>
      </c>
      <c r="N5352">
        <v>0</v>
      </c>
      <c r="O5352">
        <v>-0.99951310000000004</v>
      </c>
      <c r="P5352">
        <v>-5.3655159999999999E-3</v>
      </c>
      <c r="Q5352">
        <v>1.4811639999999999E-2</v>
      </c>
      <c r="R5352">
        <v>-0.9998764</v>
      </c>
      <c r="S5352">
        <v>-0.25723269999999998</v>
      </c>
      <c r="T5352">
        <v>-9.6728439999999999E-2</v>
      </c>
      <c r="U5352">
        <v>-3.0004270000000002</v>
      </c>
      <c r="V5352">
        <v>3.3084229999999999E-2</v>
      </c>
      <c r="W5352">
        <v>2.9137130000000001E-2</v>
      </c>
      <c r="X5352">
        <v>0.99902769999999996</v>
      </c>
      <c r="Y5352">
        <v>0.11296390000000001</v>
      </c>
      <c r="Z5352">
        <v>3.2041069999999998E-2</v>
      </c>
      <c r="AA5352">
        <v>0.99308229999999997</v>
      </c>
      <c r="AB5352">
        <v>32</v>
      </c>
      <c r="AC5352">
        <v>-2.9616999999999498</v>
      </c>
      <c r="AD5352">
        <v>-1.1104455901279999</v>
      </c>
      <c r="AE5352">
        <v>-34.13308</v>
      </c>
      <c r="AF5352">
        <v>3.9027436324626801</v>
      </c>
      <c r="AG5352">
        <v>-1.1104455901279999</v>
      </c>
      <c r="AH5352">
        <v>34.002133919136099</v>
      </c>
      <c r="AI5352">
        <v>91.858315019331798</v>
      </c>
      <c r="AJ5352">
        <v>83.452279878287499</v>
      </c>
      <c r="AK5352">
        <v>34.243387804424799</v>
      </c>
      <c r="AL5352">
        <v>88.330329019409206</v>
      </c>
      <c r="AM5352">
        <v>88.103261560136602</v>
      </c>
      <c r="AN5352">
        <v>0.99999994199330799</v>
      </c>
    </row>
    <row r="5353" spans="1:40" x14ac:dyDescent="0.25">
      <c r="A5353" t="str">
        <f>"20190312154404378"</f>
        <v>20190312154404378</v>
      </c>
      <c r="B5353" t="str">
        <f>"1552376644362610"</f>
        <v>1552376644362610</v>
      </c>
      <c r="C5353" t="s">
        <v>40</v>
      </c>
      <c r="D5353">
        <v>4.6638210000000004</v>
      </c>
      <c r="E5353">
        <v>0.53086309999999903</v>
      </c>
      <c r="F5353" t="s">
        <v>43</v>
      </c>
      <c r="G5353">
        <v>-424.42360000000002</v>
      </c>
      <c r="H5353" s="1">
        <v>-3.3720460000000001E-6</v>
      </c>
      <c r="I5353">
        <v>44.705820000000003</v>
      </c>
      <c r="J5353">
        <v>-421.43979999999999</v>
      </c>
      <c r="K5353">
        <v>1.1103989999999999</v>
      </c>
      <c r="L5353">
        <v>79.053960000000004</v>
      </c>
      <c r="M5353">
        <v>2.7618609999999998E-2</v>
      </c>
      <c r="N5353">
        <v>0</v>
      </c>
      <c r="O5353">
        <v>-0.99951579999999995</v>
      </c>
      <c r="P5353">
        <v>-5.7268639999999999E-3</v>
      </c>
      <c r="Q5353">
        <v>1.5642329999999999E-2</v>
      </c>
      <c r="R5353">
        <v>-0.99986169999999996</v>
      </c>
      <c r="S5353">
        <v>-0.25750729999999999</v>
      </c>
      <c r="T5353">
        <v>-9.6114640000000001E-2</v>
      </c>
      <c r="U5353">
        <v>-3.0004270000000002</v>
      </c>
      <c r="V5353">
        <v>3.3346430000000003E-2</v>
      </c>
      <c r="W5353">
        <v>2.9969800000000001E-2</v>
      </c>
      <c r="X5353">
        <v>0.99899439999999995</v>
      </c>
      <c r="Y5353">
        <v>0.1129535</v>
      </c>
      <c r="Z5353">
        <v>3.1837980000000002E-2</v>
      </c>
      <c r="AA5353">
        <v>0.99309000000000003</v>
      </c>
      <c r="AB5353">
        <v>32</v>
      </c>
      <c r="AC5353">
        <v>-2.98380000000002</v>
      </c>
      <c r="AD5353">
        <v>-1.1104023720459999</v>
      </c>
      <c r="AE5353">
        <v>-34.348140000000001</v>
      </c>
      <c r="AF5353">
        <v>3.9273331784072498</v>
      </c>
      <c r="AG5353">
        <v>-1.1104023720459999</v>
      </c>
      <c r="AH5353">
        <v>34.217125575788501</v>
      </c>
      <c r="AI5353">
        <v>91.8465757503877</v>
      </c>
      <c r="AJ5353">
        <v>83.452423765563495</v>
      </c>
      <c r="AK5353">
        <v>34.459666597216902</v>
      </c>
      <c r="AL5353">
        <v>88.2825997767725</v>
      </c>
      <c r="AM5353">
        <v>88.088176911700202</v>
      </c>
      <c r="AN5353">
        <v>0.99999999226857195</v>
      </c>
    </row>
    <row r="5354" spans="1:40" x14ac:dyDescent="0.25">
      <c r="A5354" t="str">
        <f>"20190312154404399"</f>
        <v>20190312154404399</v>
      </c>
      <c r="B5354" t="str">
        <f>"1552376644392865"</f>
        <v>1552376644392865</v>
      </c>
      <c r="C5354" t="s">
        <v>40</v>
      </c>
      <c r="D5354">
        <v>4.6462370000000002</v>
      </c>
      <c r="E5354">
        <v>0.53087229999999996</v>
      </c>
      <c r="F5354" t="s">
        <v>43</v>
      </c>
      <c r="G5354">
        <v>-424.5102</v>
      </c>
      <c r="H5354" s="1">
        <v>-2.8172930000000001E-6</v>
      </c>
      <c r="I5354">
        <v>43.358960000000003</v>
      </c>
      <c r="J5354">
        <v>-421.4314</v>
      </c>
      <c r="K5354">
        <v>1.1103430000000001</v>
      </c>
      <c r="L5354">
        <v>78.743930000000006</v>
      </c>
      <c r="M5354">
        <v>2.7435950000000001E-2</v>
      </c>
      <c r="N5354">
        <v>0</v>
      </c>
      <c r="O5354">
        <v>-0.99952090000000005</v>
      </c>
      <c r="P5354">
        <v>-6.3846659999999998E-3</v>
      </c>
      <c r="Q5354">
        <v>1.5438240000000001E-2</v>
      </c>
      <c r="R5354">
        <v>-0.99986090000000005</v>
      </c>
      <c r="S5354">
        <v>-0.25808720000000002</v>
      </c>
      <c r="T5354">
        <v>-9.3336459999999996E-2</v>
      </c>
      <c r="U5354">
        <v>-3.000397</v>
      </c>
      <c r="V5354">
        <v>3.3825809999999998E-2</v>
      </c>
      <c r="W5354">
        <v>2.976533E-2</v>
      </c>
      <c r="X5354">
        <v>0.99898439999999999</v>
      </c>
      <c r="Y5354">
        <v>0.1129657</v>
      </c>
      <c r="Z5354">
        <v>3.0918879999999999E-2</v>
      </c>
      <c r="AA5354">
        <v>0.99311769999999999</v>
      </c>
      <c r="AB5354">
        <v>32</v>
      </c>
      <c r="AC5354">
        <v>-3.0788000000000002</v>
      </c>
      <c r="AD5354">
        <v>-1.1103458172930001</v>
      </c>
      <c r="AE5354">
        <v>-35.384970000000003</v>
      </c>
      <c r="AF5354">
        <v>4.0446081247778398</v>
      </c>
      <c r="AG5354">
        <v>-1.1103458172930001</v>
      </c>
      <c r="AH5354">
        <v>35.252718058717903</v>
      </c>
      <c r="AI5354">
        <v>91.792284110830394</v>
      </c>
      <c r="AJ5354">
        <v>83.454969691831906</v>
      </c>
      <c r="AK5354">
        <v>35.501350020026699</v>
      </c>
      <c r="AL5354">
        <v>88.294320279988298</v>
      </c>
      <c r="AM5354">
        <v>88.060694457103693</v>
      </c>
      <c r="AN5354">
        <v>0.999999995867762</v>
      </c>
    </row>
    <row r="5355" spans="1:40" x14ac:dyDescent="0.25">
      <c r="A5355" t="str">
        <f>"20190312154404423"</f>
        <v>20190312154404423</v>
      </c>
      <c r="B5355" t="str">
        <f>"1552376644413361"</f>
        <v>1552376644413361</v>
      </c>
      <c r="C5355" t="s">
        <v>40</v>
      </c>
      <c r="D5355">
        <v>4.6955679999999997</v>
      </c>
      <c r="E5355">
        <v>0.53095479999999995</v>
      </c>
      <c r="F5355" t="s">
        <v>43</v>
      </c>
      <c r="G5355">
        <v>-424.49849999999998</v>
      </c>
      <c r="H5355" s="1">
        <v>-2.7900879999999999E-6</v>
      </c>
      <c r="I5355">
        <v>43.302779999999998</v>
      </c>
      <c r="J5355">
        <v>-421.4228</v>
      </c>
      <c r="K5355">
        <v>1.110266</v>
      </c>
      <c r="L5355">
        <v>78.420900000000003</v>
      </c>
      <c r="M5355">
        <v>2.71395E-2</v>
      </c>
      <c r="N5355">
        <v>0</v>
      </c>
      <c r="O5355">
        <v>-0.99952859999999999</v>
      </c>
      <c r="P5355">
        <v>-7.5249660000000001E-3</v>
      </c>
      <c r="Q5355">
        <v>1.568806E-2</v>
      </c>
      <c r="R5355">
        <v>-0.99984879999999998</v>
      </c>
      <c r="S5355">
        <v>-0.25964359999999997</v>
      </c>
      <c r="T5355">
        <v>-9.3994499999999995E-2</v>
      </c>
      <c r="U5355">
        <v>-3.0002140000000002</v>
      </c>
      <c r="V5355">
        <v>3.4675259999999999E-2</v>
      </c>
      <c r="W5355">
        <v>3.0012219999999999E-2</v>
      </c>
      <c r="X5355">
        <v>0.9989479</v>
      </c>
      <c r="Y5355">
        <v>0.113187</v>
      </c>
      <c r="Z5355">
        <v>3.113784E-2</v>
      </c>
      <c r="AA5355">
        <v>0.99308569999999996</v>
      </c>
      <c r="AB5355">
        <v>32</v>
      </c>
      <c r="AC5355">
        <v>-3.0756999999999799</v>
      </c>
      <c r="AD5355">
        <v>-1.1102687900879999</v>
      </c>
      <c r="AE5355">
        <v>-35.118119999999998</v>
      </c>
      <c r="AF5355">
        <v>4.0237620270849499</v>
      </c>
      <c r="AG5355">
        <v>-1.1102687900879999</v>
      </c>
      <c r="AH5355">
        <v>34.986996037862198</v>
      </c>
      <c r="AI5355">
        <v>91.805705743829606</v>
      </c>
      <c r="AJ5355">
        <v>83.439387441835194</v>
      </c>
      <c r="AK5355">
        <v>35.235113869409297</v>
      </c>
      <c r="AL5355">
        <v>88.280168221259103</v>
      </c>
      <c r="AM5355">
        <v>88.0119597034398</v>
      </c>
      <c r="AN5355">
        <v>1.0000000069599</v>
      </c>
    </row>
    <row r="5356" spans="1:40" x14ac:dyDescent="0.25">
      <c r="A5356" t="str">
        <f>"20190312154404445"</f>
        <v>20190312154404445</v>
      </c>
      <c r="B5356" t="str">
        <f>"1552376644432881"</f>
        <v>1552376644432881</v>
      </c>
      <c r="C5356" t="s">
        <v>40</v>
      </c>
      <c r="D5356">
        <v>4.6893969999999996</v>
      </c>
      <c r="E5356">
        <v>0.53096100000000002</v>
      </c>
      <c r="F5356" t="s">
        <v>43</v>
      </c>
      <c r="G5356">
        <v>-424.54149999999998</v>
      </c>
      <c r="H5356" s="1">
        <v>-2.6641029999999999E-6</v>
      </c>
      <c r="I5356">
        <v>42.982439999999997</v>
      </c>
      <c r="J5356">
        <v>-421.4144</v>
      </c>
      <c r="K5356">
        <v>1.1101700000000001</v>
      </c>
      <c r="L5356">
        <v>78.098389999999995</v>
      </c>
      <c r="M5356">
        <v>2.6714829999999998E-2</v>
      </c>
      <c r="N5356">
        <v>0</v>
      </c>
      <c r="O5356">
        <v>-0.99954030000000005</v>
      </c>
      <c r="P5356">
        <v>-8.4022850000000007E-3</v>
      </c>
      <c r="Q5356">
        <v>1.61993E-2</v>
      </c>
      <c r="R5356">
        <v>-0.99983390000000005</v>
      </c>
      <c r="S5356">
        <v>-0.26400759999999901</v>
      </c>
      <c r="T5356">
        <v>-9.3986509999999995E-2</v>
      </c>
      <c r="U5356">
        <v>-2.9999389999999999</v>
      </c>
      <c r="V5356">
        <v>3.5135079999999999E-2</v>
      </c>
      <c r="W5356">
        <v>3.0517430000000002E-2</v>
      </c>
      <c r="X5356">
        <v>0.99891649999999998</v>
      </c>
      <c r="Y5356">
        <v>0.1142063</v>
      </c>
      <c r="Z5356">
        <v>3.1134780000000001E-2</v>
      </c>
      <c r="AA5356">
        <v>0.99296899999999999</v>
      </c>
      <c r="AB5356">
        <v>32</v>
      </c>
      <c r="AC5356">
        <v>-3.12709999999998</v>
      </c>
      <c r="AD5356">
        <v>-1.1101726641030001</v>
      </c>
      <c r="AE5356">
        <v>-35.115949999999998</v>
      </c>
      <c r="AF5356">
        <v>4.0601706231725299</v>
      </c>
      <c r="AG5356">
        <v>-1.1101726641030001</v>
      </c>
      <c r="AH5356">
        <v>34.985174120328601</v>
      </c>
      <c r="AI5356">
        <v>91.805428163471603</v>
      </c>
      <c r="AJ5356">
        <v>83.380207247734802</v>
      </c>
      <c r="AK5356">
        <v>35.237478301704698</v>
      </c>
      <c r="AL5356">
        <v>88.251208508423801</v>
      </c>
      <c r="AM5356">
        <v>87.985555104141497</v>
      </c>
      <c r="AN5356">
        <v>0.99999998067633</v>
      </c>
    </row>
    <row r="5357" spans="1:40" x14ac:dyDescent="0.25">
      <c r="A5357" t="str">
        <f>"20190312154404468"</f>
        <v>20190312154404468</v>
      </c>
      <c r="B5357" t="str">
        <f>"1552376644453377"</f>
        <v>1552376644453377</v>
      </c>
      <c r="C5357" t="s">
        <v>40</v>
      </c>
      <c r="D5357">
        <v>4.706213</v>
      </c>
      <c r="E5357">
        <v>0.53090509999999902</v>
      </c>
      <c r="F5357" t="s">
        <v>43</v>
      </c>
      <c r="G5357">
        <v>-424.59249999999997</v>
      </c>
      <c r="H5357" s="1">
        <v>-2.4105419999999999E-6</v>
      </c>
      <c r="I5357">
        <v>42.359769999999997</v>
      </c>
      <c r="J5357">
        <v>-421.40660000000003</v>
      </c>
      <c r="K5357">
        <v>1.110061</v>
      </c>
      <c r="L5357">
        <v>77.785679999999999</v>
      </c>
      <c r="M5357">
        <v>2.61599E-2</v>
      </c>
      <c r="N5357">
        <v>0</v>
      </c>
      <c r="O5357">
        <v>-0.99955490000000002</v>
      </c>
      <c r="P5357">
        <v>-9.6297899999999992E-3</v>
      </c>
      <c r="Q5357">
        <v>1.584381E-2</v>
      </c>
      <c r="R5357">
        <v>-0.99982850000000001</v>
      </c>
      <c r="S5357">
        <v>-0.2667542</v>
      </c>
      <c r="T5357">
        <v>-9.31834E-2</v>
      </c>
      <c r="U5357">
        <v>-2.9997560000000001</v>
      </c>
      <c r="V5357">
        <v>3.5815140000000002E-2</v>
      </c>
      <c r="W5357">
        <v>3.015425E-2</v>
      </c>
      <c r="X5357">
        <v>0.9989034</v>
      </c>
      <c r="Y5357">
        <v>0.1145629</v>
      </c>
      <c r="Z5357">
        <v>3.0869669999999998E-2</v>
      </c>
      <c r="AA5357">
        <v>0.99293629999999999</v>
      </c>
      <c r="AB5357">
        <v>32</v>
      </c>
      <c r="AC5357">
        <v>-3.1858999999999398</v>
      </c>
      <c r="AD5357">
        <v>-1.110063410542</v>
      </c>
      <c r="AE5357">
        <v>-35.425909999999902</v>
      </c>
      <c r="AF5357">
        <v>4.10764223462568</v>
      </c>
      <c r="AG5357">
        <v>-1.110063410542</v>
      </c>
      <c r="AH5357">
        <v>35.296054280417401</v>
      </c>
      <c r="AI5357">
        <v>91.789294541590195</v>
      </c>
      <c r="AJ5357">
        <v>83.361960000839403</v>
      </c>
      <c r="AK5357">
        <v>35.551602119584999</v>
      </c>
      <c r="AL5357">
        <v>88.272026809711605</v>
      </c>
      <c r="AM5357">
        <v>87.946570501900396</v>
      </c>
      <c r="AN5357">
        <v>1.00000000278892</v>
      </c>
    </row>
    <row r="5358" spans="1:40" x14ac:dyDescent="0.25">
      <c r="A5358" t="str">
        <f>"20190312154404490"</f>
        <v>20190312154404490</v>
      </c>
      <c r="B5358" t="str">
        <f>"1552376644482659"</f>
        <v>1552376644482659</v>
      </c>
      <c r="C5358" t="s">
        <v>40</v>
      </c>
      <c r="D5358">
        <v>4.6924630000000001</v>
      </c>
      <c r="E5358">
        <v>0.53089200000000003</v>
      </c>
      <c r="F5358" t="s">
        <v>43</v>
      </c>
      <c r="G5358">
        <v>-424.57510000000002</v>
      </c>
      <c r="H5358" s="1">
        <v>-2.5025089999999998E-6</v>
      </c>
      <c r="I5358">
        <v>42.584910000000001</v>
      </c>
      <c r="J5358">
        <v>-421.39909999999998</v>
      </c>
      <c r="K5358">
        <v>1.109939</v>
      </c>
      <c r="L5358">
        <v>77.47363</v>
      </c>
      <c r="M5358">
        <v>2.544333E-2</v>
      </c>
      <c r="N5358">
        <v>0</v>
      </c>
      <c r="O5358">
        <v>-0.99957339999999995</v>
      </c>
      <c r="P5358">
        <v>-1.09633E-2</v>
      </c>
      <c r="Q5358">
        <v>1.5766909999999999E-2</v>
      </c>
      <c r="R5358">
        <v>-0.99981580000000003</v>
      </c>
      <c r="S5358">
        <v>-0.26998899999999998</v>
      </c>
      <c r="T5358">
        <v>-9.4587329999999997E-2</v>
      </c>
      <c r="U5358">
        <v>-2.9994200000000002</v>
      </c>
      <c r="V5358">
        <v>3.644025E-2</v>
      </c>
      <c r="W5358">
        <v>3.0067980000000001E-2</v>
      </c>
      <c r="X5358">
        <v>0.99888339999999998</v>
      </c>
      <c r="Y5358">
        <v>0.1149217</v>
      </c>
      <c r="Z5358">
        <v>3.133652E-2</v>
      </c>
      <c r="AA5358">
        <v>0.99288019999999999</v>
      </c>
      <c r="AB5358">
        <v>32</v>
      </c>
      <c r="AC5358">
        <v>-3.1760000000000401</v>
      </c>
      <c r="AD5358">
        <v>-1.109941502509</v>
      </c>
      <c r="AE5358">
        <v>-34.888719999999999</v>
      </c>
      <c r="AF5358">
        <v>4.0586740325327</v>
      </c>
      <c r="AG5358">
        <v>-1.109941502509</v>
      </c>
      <c r="AH5358">
        <v>34.761712976255197</v>
      </c>
      <c r="AI5358">
        <v>91.816501710818002</v>
      </c>
      <c r="AJ5358">
        <v>83.340467634209602</v>
      </c>
      <c r="AK5358">
        <v>35.015446507004597</v>
      </c>
      <c r="AL5358">
        <v>88.2769719731224</v>
      </c>
      <c r="AM5358">
        <v>87.910720065292097</v>
      </c>
      <c r="AN5358">
        <v>1.0000000110184499</v>
      </c>
    </row>
    <row r="5359" spans="1:40" x14ac:dyDescent="0.25">
      <c r="A5359" t="str">
        <f>"20190312154404504"</f>
        <v>20190312154404504</v>
      </c>
      <c r="B5359" t="str">
        <f>"1552376644493394"</f>
        <v>1552376644493394</v>
      </c>
      <c r="C5359" t="s">
        <v>40</v>
      </c>
      <c r="D5359">
        <v>4.693492</v>
      </c>
      <c r="E5359">
        <v>0.53087609999999996</v>
      </c>
      <c r="F5359" t="s">
        <v>43</v>
      </c>
      <c r="G5359">
        <v>-424.59930000000003</v>
      </c>
      <c r="H5359" s="1">
        <v>-2.453543E-6</v>
      </c>
      <c r="I5359">
        <v>42.455739999999999</v>
      </c>
      <c r="J5359">
        <v>-421.39429999999999</v>
      </c>
      <c r="K5359">
        <v>1.109855</v>
      </c>
      <c r="L5359">
        <v>77.259860000000003</v>
      </c>
      <c r="M5359">
        <v>2.4856320000000001E-2</v>
      </c>
      <c r="N5359">
        <v>0</v>
      </c>
      <c r="O5359">
        <v>-0.99958800000000003</v>
      </c>
      <c r="P5359">
        <v>-1.1682329999999999E-2</v>
      </c>
      <c r="Q5359">
        <v>1.61636E-2</v>
      </c>
      <c r="R5359">
        <v>-0.99980150000000001</v>
      </c>
      <c r="S5359">
        <v>-0.2740784</v>
      </c>
      <c r="T5359">
        <v>-9.5059279999999996E-2</v>
      </c>
      <c r="U5359">
        <v>-2.9990540000000001</v>
      </c>
      <c r="V5359">
        <v>3.657879E-2</v>
      </c>
      <c r="W5359">
        <v>3.0458329999999999E-2</v>
      </c>
      <c r="X5359">
        <v>0.99886649999999999</v>
      </c>
      <c r="Y5359">
        <v>0.1156914</v>
      </c>
      <c r="Z5359">
        <v>3.1493899999999998E-2</v>
      </c>
      <c r="AA5359">
        <v>0.99278580000000005</v>
      </c>
      <c r="AB5359">
        <v>32</v>
      </c>
      <c r="AC5359">
        <v>-3.20500000000004</v>
      </c>
      <c r="AD5359">
        <v>-1.1098574535429999</v>
      </c>
      <c r="AE5359">
        <v>-34.804119999999998</v>
      </c>
      <c r="AF5359">
        <v>4.06510202653861</v>
      </c>
      <c r="AG5359">
        <v>-1.1098574535429999</v>
      </c>
      <c r="AH5359">
        <v>34.678723931400498</v>
      </c>
      <c r="AI5359">
        <v>91.820610445662993</v>
      </c>
      <c r="AJ5359">
        <v>83.314197952733707</v>
      </c>
      <c r="AK5359">
        <v>34.933804996931599</v>
      </c>
      <c r="AL5359">
        <v>88.2545962998813</v>
      </c>
      <c r="AM5359">
        <v>87.902748585272406</v>
      </c>
      <c r="AN5359">
        <v>1.00000000128325</v>
      </c>
    </row>
    <row r="5360" spans="1:40" x14ac:dyDescent="0.25">
      <c r="A5360" t="str">
        <f>"20190312154404522"</f>
        <v>20190312154404522</v>
      </c>
      <c r="B5360" t="str">
        <f>"1552376644512913"</f>
        <v>1552376644512913</v>
      </c>
      <c r="C5360" t="s">
        <v>40</v>
      </c>
      <c r="D5360">
        <v>4.6935310000000001</v>
      </c>
      <c r="E5360">
        <v>0.53085819999999995</v>
      </c>
      <c r="F5360" t="s">
        <v>43</v>
      </c>
      <c r="G5360">
        <v>-424.64859999999999</v>
      </c>
      <c r="H5360" s="1">
        <v>-2.211596E-6</v>
      </c>
      <c r="I5360">
        <v>41.861229999999999</v>
      </c>
      <c r="J5360">
        <v>-421.38850000000002</v>
      </c>
      <c r="K5360">
        <v>1.1097649999999999</v>
      </c>
      <c r="L5360">
        <v>77.000369999999904</v>
      </c>
      <c r="M5360">
        <v>2.4064260000000001E-2</v>
      </c>
      <c r="N5360">
        <v>0</v>
      </c>
      <c r="O5360">
        <v>-0.99960729999999998</v>
      </c>
      <c r="P5360">
        <v>-1.248633E-2</v>
      </c>
      <c r="Q5360">
        <v>1.6571539999999999E-2</v>
      </c>
      <c r="R5360">
        <v>-0.99978509999999998</v>
      </c>
      <c r="S5360">
        <v>-0.27569579999999999</v>
      </c>
      <c r="T5360">
        <v>-9.402394E-2</v>
      </c>
      <c r="U5360">
        <v>-2.9988709999999998</v>
      </c>
      <c r="V5360">
        <v>3.659838E-2</v>
      </c>
      <c r="W5360">
        <v>3.0858690000000001E-2</v>
      </c>
      <c r="X5360">
        <v>0.99885349999999995</v>
      </c>
      <c r="Y5360">
        <v>0.1154418</v>
      </c>
      <c r="Z5360">
        <v>3.1153710000000001E-2</v>
      </c>
      <c r="AA5360">
        <v>0.99282559999999997</v>
      </c>
      <c r="AB5360">
        <v>32</v>
      </c>
      <c r="AC5360">
        <v>-3.26009999999996</v>
      </c>
      <c r="AD5360">
        <v>-1.10976721159599</v>
      </c>
      <c r="AE5360">
        <v>-35.139139999999898</v>
      </c>
      <c r="AF5360">
        <v>4.1007849718519598</v>
      </c>
      <c r="AG5360">
        <v>-1.10976721159599</v>
      </c>
      <c r="AH5360">
        <v>35.015874357510398</v>
      </c>
      <c r="AI5360">
        <v>91.802968637925503</v>
      </c>
      <c r="AJ5360">
        <v>83.320393645165296</v>
      </c>
      <c r="AK5360">
        <v>35.272644891902502</v>
      </c>
      <c r="AL5360">
        <v>88.231646583872902</v>
      </c>
      <c r="AM5360">
        <v>87.901599107204305</v>
      </c>
      <c r="AN5360">
        <v>1.00000000731469</v>
      </c>
    </row>
    <row r="5361" spans="1:40" x14ac:dyDescent="0.25">
      <c r="A5361" t="str">
        <f>"20190312154404545"</f>
        <v>20190312154404545</v>
      </c>
      <c r="B5361" t="str">
        <f>"1552376644532433"</f>
        <v>1552376644532433</v>
      </c>
      <c r="C5361" t="s">
        <v>40</v>
      </c>
      <c r="D5361">
        <v>4.6854610000000001</v>
      </c>
      <c r="E5361">
        <v>0.53080799999999995</v>
      </c>
      <c r="F5361" t="s">
        <v>43</v>
      </c>
      <c r="G5361">
        <v>-424.70760000000001</v>
      </c>
      <c r="H5361" s="1">
        <v>-1.9524749999999999E-6</v>
      </c>
      <c r="I5361">
        <v>41.220619999999997</v>
      </c>
      <c r="J5361">
        <v>-421.38229999999999</v>
      </c>
      <c r="K5361">
        <v>1.109653</v>
      </c>
      <c r="L5361">
        <v>76.69699</v>
      </c>
      <c r="M5361">
        <v>2.3014949999999999E-2</v>
      </c>
      <c r="N5361">
        <v>0</v>
      </c>
      <c r="O5361">
        <v>-0.99963210000000002</v>
      </c>
      <c r="P5361">
        <v>-1.299283E-2</v>
      </c>
      <c r="Q5361">
        <v>1.590186E-2</v>
      </c>
      <c r="R5361">
        <v>-0.9997895</v>
      </c>
      <c r="S5361">
        <v>-0.27816770000000002</v>
      </c>
      <c r="T5361">
        <v>-9.301007E-2</v>
      </c>
      <c r="U5361">
        <v>-2.9987180000000002</v>
      </c>
      <c r="V5361">
        <v>3.6063060000000001E-2</v>
      </c>
      <c r="W5361">
        <v>3.0181900000000001E-2</v>
      </c>
      <c r="X5361">
        <v>0.99889360000000005</v>
      </c>
      <c r="Y5361">
        <v>0.1152162</v>
      </c>
      <c r="Z5361">
        <v>3.0820050000000002E-2</v>
      </c>
      <c r="AA5361">
        <v>0.99286220000000003</v>
      </c>
      <c r="AB5361">
        <v>32</v>
      </c>
      <c r="AC5361">
        <v>-3.3253000000000199</v>
      </c>
      <c r="AD5361">
        <v>-1.1096549524749999</v>
      </c>
      <c r="AE5361">
        <v>-35.476370000000003</v>
      </c>
      <c r="AF5361">
        <v>4.1369778069977201</v>
      </c>
      <c r="AG5361">
        <v>-1.1096549524749999</v>
      </c>
      <c r="AH5361">
        <v>35.356141939073296</v>
      </c>
      <c r="AI5361">
        <v>91.785468952658306</v>
      </c>
      <c r="AJ5361">
        <v>83.326239244849504</v>
      </c>
      <c r="AK5361">
        <v>35.614641543963998</v>
      </c>
      <c r="AL5361">
        <v>88.270441782090202</v>
      </c>
      <c r="AM5361">
        <v>87.932348254483003</v>
      </c>
      <c r="AN5361">
        <v>0.999999957752566</v>
      </c>
    </row>
    <row r="5362" spans="1:40" x14ac:dyDescent="0.25">
      <c r="A5362" t="str">
        <f>"20190312154404567"</f>
        <v>20190312154404567</v>
      </c>
      <c r="B5362" t="str">
        <f>"1552376644552930"</f>
        <v>1552376644552930</v>
      </c>
      <c r="C5362" t="s">
        <v>40</v>
      </c>
      <c r="D5362">
        <v>4.8678319999999999</v>
      </c>
      <c r="E5362">
        <v>0.50499680000000002</v>
      </c>
      <c r="F5362" t="s">
        <v>43</v>
      </c>
      <c r="G5362">
        <v>-424.63369999999998</v>
      </c>
      <c r="H5362" s="1">
        <v>-2.196482E-6</v>
      </c>
      <c r="I5362">
        <v>41.835189999999997</v>
      </c>
      <c r="J5362">
        <v>-421.37630000000001</v>
      </c>
      <c r="K5362">
        <v>1.1095360000000001</v>
      </c>
      <c r="L5362">
        <v>76.380889999999994</v>
      </c>
      <c r="M5362">
        <v>2.1773250000000001E-2</v>
      </c>
      <c r="N5362">
        <v>0</v>
      </c>
      <c r="O5362">
        <v>-0.99965970000000004</v>
      </c>
      <c r="P5362">
        <v>-1.3193E-2</v>
      </c>
      <c r="Q5362">
        <v>1.5706319999999999E-2</v>
      </c>
      <c r="R5362">
        <v>-0.99978999999999996</v>
      </c>
      <c r="S5362">
        <v>-0.2796631</v>
      </c>
      <c r="T5362">
        <v>-9.5443730000000004E-2</v>
      </c>
      <c r="U5362">
        <v>-2.998535</v>
      </c>
      <c r="V5362">
        <v>3.5030119999999998E-2</v>
      </c>
      <c r="W5362">
        <v>2.9980280000000002E-2</v>
      </c>
      <c r="X5362">
        <v>0.9989365</v>
      </c>
      <c r="Y5362">
        <v>0.11447640000000001</v>
      </c>
      <c r="Z5362">
        <v>3.1629539999999998E-2</v>
      </c>
      <c r="AA5362">
        <v>0.99292230000000004</v>
      </c>
      <c r="AB5362">
        <v>31</v>
      </c>
      <c r="AC5362">
        <v>-3.2573999999999601</v>
      </c>
      <c r="AD5362">
        <v>-1.1095381964819999</v>
      </c>
      <c r="AE5362">
        <v>-34.545699999999997</v>
      </c>
      <c r="AF5362">
        <v>4.0047826405863303</v>
      </c>
      <c r="AG5362">
        <v>-1.1095381964819999</v>
      </c>
      <c r="AH5362">
        <v>34.431372036523399</v>
      </c>
      <c r="AI5362">
        <v>91.833345537457703</v>
      </c>
      <c r="AJ5362">
        <v>83.365622327276</v>
      </c>
      <c r="AK5362">
        <v>34.681244777621302</v>
      </c>
      <c r="AL5362">
        <v>88.281999109777402</v>
      </c>
      <c r="AM5362">
        <v>87.991608153971896</v>
      </c>
      <c r="AN5362">
        <v>1.0000000287641699</v>
      </c>
    </row>
    <row r="5363" spans="1:40" x14ac:dyDescent="0.25">
      <c r="A5363" t="str">
        <f>"20190312154404590"</f>
        <v>20190312154404590</v>
      </c>
      <c r="B5363" t="str">
        <f>"1552376644583196"</f>
        <v>1552376644583196</v>
      </c>
      <c r="C5363" t="s">
        <v>40</v>
      </c>
      <c r="D5363">
        <v>4.8148470000000003</v>
      </c>
      <c r="E5363">
        <v>0.48451230000000001</v>
      </c>
      <c r="F5363" t="s">
        <v>43</v>
      </c>
      <c r="G5363">
        <v>-422.01240000000001</v>
      </c>
      <c r="H5363" s="1">
        <v>-8.3038619999999899E-7</v>
      </c>
      <c r="I5363">
        <v>50.276600000000002</v>
      </c>
      <c r="J5363">
        <v>-421.3707</v>
      </c>
      <c r="K5363">
        <v>1.109415</v>
      </c>
      <c r="L5363">
        <v>76.060940000000002</v>
      </c>
      <c r="M5363">
        <v>2.036263E-2</v>
      </c>
      <c r="N5363">
        <v>0</v>
      </c>
      <c r="O5363">
        <v>-0.99968950000000001</v>
      </c>
      <c r="P5363">
        <v>-1.315621E-2</v>
      </c>
      <c r="Q5363">
        <v>1.5709420000000002E-2</v>
      </c>
      <c r="R5363">
        <v>-0.99979039999999997</v>
      </c>
      <c r="S5363">
        <v>-7.3150629999999994E-2</v>
      </c>
      <c r="T5363">
        <v>-0.12758340000000001</v>
      </c>
      <c r="U5363">
        <v>-3.0016780000000001</v>
      </c>
      <c r="V5363">
        <v>3.3591849999999999E-2</v>
      </c>
      <c r="W5363">
        <v>2.9978379999999999E-2</v>
      </c>
      <c r="X5363">
        <v>0.99898589999999998</v>
      </c>
      <c r="Y5363">
        <v>4.4694360000000002E-2</v>
      </c>
      <c r="Z5363">
        <v>4.2424959999999998E-2</v>
      </c>
      <c r="AA5363">
        <v>0.99809939999999997</v>
      </c>
      <c r="AB5363">
        <v>31</v>
      </c>
      <c r="AC5363">
        <v>-0.64170000000001404</v>
      </c>
      <c r="AD5363">
        <v>-1.1094158303861901</v>
      </c>
      <c r="AE5363">
        <v>-25.78434</v>
      </c>
      <c r="AF5363">
        <v>1.1645035446741101</v>
      </c>
      <c r="AG5363">
        <v>-1.1094158303861901</v>
      </c>
      <c r="AH5363">
        <v>25.718341847080499</v>
      </c>
      <c r="AI5363">
        <v>92.467519959356096</v>
      </c>
      <c r="AJ5363">
        <v>87.407469051784403</v>
      </c>
      <c r="AK5363">
        <v>25.768585125178301</v>
      </c>
      <c r="AL5363">
        <v>88.282107923210106</v>
      </c>
      <c r="AM5363">
        <v>88.074100634163898</v>
      </c>
      <c r="AN5363">
        <v>0.99999997202632795</v>
      </c>
    </row>
    <row r="5364" spans="1:40" x14ac:dyDescent="0.25">
      <c r="A5364" t="str">
        <f>"20190312154404624"</f>
        <v>20190312154404624</v>
      </c>
      <c r="B5364" t="str">
        <f>"1552376644612465"</f>
        <v>1552376644612465</v>
      </c>
      <c r="C5364" t="s">
        <v>40</v>
      </c>
      <c r="D5364">
        <v>4.7654589999999999</v>
      </c>
      <c r="E5364">
        <v>0.47805540000000002</v>
      </c>
      <c r="F5364" t="s">
        <v>43</v>
      </c>
      <c r="G5364">
        <v>-420.47910000000002</v>
      </c>
      <c r="H5364" s="1">
        <v>-2.9126869999999999E-6</v>
      </c>
      <c r="I5364">
        <v>46.081479999999999</v>
      </c>
      <c r="J5364">
        <v>-421.36369999999999</v>
      </c>
      <c r="K5364">
        <v>1.109264</v>
      </c>
      <c r="L5364">
        <v>75.594819999999999</v>
      </c>
      <c r="M5364">
        <v>1.8082009999999999E-2</v>
      </c>
      <c r="N5364">
        <v>0</v>
      </c>
      <c r="O5364">
        <v>-0.99973330000000005</v>
      </c>
      <c r="P5364">
        <v>-1.5230850000000001E-2</v>
      </c>
      <c r="Q5364">
        <v>1.5952350000000001E-2</v>
      </c>
      <c r="R5364">
        <v>-0.99975689999999995</v>
      </c>
      <c r="S5364">
        <v>8.932495E-2</v>
      </c>
      <c r="T5364">
        <v>-0.1111487</v>
      </c>
      <c r="U5364">
        <v>-3.0035400000000001</v>
      </c>
      <c r="V5364">
        <v>3.3397990000000002E-2</v>
      </c>
      <c r="W5364">
        <v>3.021049E-2</v>
      </c>
      <c r="X5364">
        <v>0.99898540000000002</v>
      </c>
      <c r="Y5364">
        <v>-1.1625689999999999E-2</v>
      </c>
      <c r="Z5364">
        <v>3.6962120000000001E-2</v>
      </c>
      <c r="AA5364">
        <v>0.99924900000000005</v>
      </c>
      <c r="AB5364">
        <v>31</v>
      </c>
      <c r="AC5364">
        <v>0.88459999999997696</v>
      </c>
      <c r="AD5364">
        <v>-1.1092669126870001</v>
      </c>
      <c r="AE5364">
        <v>-29.513339999999999</v>
      </c>
      <c r="AF5364">
        <v>-0.350245430029334</v>
      </c>
      <c r="AG5364">
        <v>-1.1092669126870001</v>
      </c>
      <c r="AH5364">
        <v>29.4828990656065</v>
      </c>
      <c r="AI5364">
        <v>92.1545327130749</v>
      </c>
      <c r="AJ5364">
        <v>90.680619668903304</v>
      </c>
      <c r="AK5364">
        <v>29.505838104645999</v>
      </c>
      <c r="AL5364">
        <v>88.268802959920905</v>
      </c>
      <c r="AM5364">
        <v>88.085205826291201</v>
      </c>
      <c r="AN5364">
        <v>0.99999996442761896</v>
      </c>
    </row>
    <row r="5365" spans="1:40" x14ac:dyDescent="0.25">
      <c r="A5365" t="str">
        <f>"20190312154404646"</f>
        <v>20190312154404646</v>
      </c>
      <c r="B5365" t="str">
        <f>"1552376644632961"</f>
        <v>1552376644632961</v>
      </c>
      <c r="C5365" t="s">
        <v>40</v>
      </c>
      <c r="D5365">
        <v>4.8011010000000001</v>
      </c>
      <c r="E5365">
        <v>0.47612120000000002</v>
      </c>
      <c r="F5365" t="s">
        <v>43</v>
      </c>
      <c r="G5365">
        <v>-419.97489999999999</v>
      </c>
      <c r="H5365" s="1">
        <v>-2.1984680000000002E-6</v>
      </c>
      <c r="I5365">
        <v>44.729349999999997</v>
      </c>
      <c r="J5365">
        <v>-421.35969999999998</v>
      </c>
      <c r="K5365">
        <v>1.1091789999999999</v>
      </c>
      <c r="L5365">
        <v>75.27722</v>
      </c>
      <c r="M5365">
        <v>1.641314E-2</v>
      </c>
      <c r="N5365">
        <v>0</v>
      </c>
      <c r="O5365">
        <v>-0.99976209999999999</v>
      </c>
      <c r="P5365">
        <v>-1.735577E-2</v>
      </c>
      <c r="Q5365">
        <v>1.5931250000000001E-2</v>
      </c>
      <c r="R5365">
        <v>-0.99972249999999996</v>
      </c>
      <c r="S5365">
        <v>0.13519289999999901</v>
      </c>
      <c r="T5365">
        <v>-0.10797859999999999</v>
      </c>
      <c r="U5365">
        <v>-3.0045169999999999</v>
      </c>
      <c r="V5365">
        <v>3.3860260000000003E-2</v>
      </c>
      <c r="W5365">
        <v>3.018094E-2</v>
      </c>
      <c r="X5365">
        <v>0.99897069999999999</v>
      </c>
      <c r="Y5365">
        <v>-2.8517819999999999E-2</v>
      </c>
      <c r="Z5365">
        <v>3.5882890000000001E-2</v>
      </c>
      <c r="AA5365">
        <v>0.99894910000000003</v>
      </c>
      <c r="AB5365">
        <v>31</v>
      </c>
      <c r="AC5365">
        <v>1.38479999999998</v>
      </c>
      <c r="AD5365">
        <v>-1.109181198468</v>
      </c>
      <c r="AE5365">
        <v>-30.54787</v>
      </c>
      <c r="AF5365">
        <v>-0.88201476370855103</v>
      </c>
      <c r="AG5365">
        <v>-1.109181198468</v>
      </c>
      <c r="AH5365">
        <v>30.5263224800707</v>
      </c>
      <c r="AI5365">
        <v>92.080073012536403</v>
      </c>
      <c r="AJ5365">
        <v>91.6550197763694</v>
      </c>
      <c r="AK5365">
        <v>30.5591982409831</v>
      </c>
      <c r="AL5365">
        <v>88.270496768118704</v>
      </c>
      <c r="AM5365">
        <v>88.058694273315496</v>
      </c>
      <c r="AN5365">
        <v>0.99999993290251799</v>
      </c>
    </row>
    <row r="5366" spans="1:40" x14ac:dyDescent="0.25">
      <c r="A5366" t="str">
        <f>"20190312154404669"</f>
        <v>20190312154404669</v>
      </c>
      <c r="B5366" t="str">
        <f>"1552376644663217"</f>
        <v>1552376644663217</v>
      </c>
      <c r="C5366" t="s">
        <v>40</v>
      </c>
      <c r="D5366">
        <v>4.8075739999999998</v>
      </c>
      <c r="E5366">
        <v>0.4743134</v>
      </c>
      <c r="F5366" t="s">
        <v>43</v>
      </c>
      <c r="G5366">
        <v>-419.9006</v>
      </c>
      <c r="H5366" s="1">
        <v>-2.2559190000000002E-6</v>
      </c>
      <c r="I5366">
        <v>44.850270000000002</v>
      </c>
      <c r="J5366">
        <v>-421.35640000000001</v>
      </c>
      <c r="K5366">
        <v>1.109103</v>
      </c>
      <c r="L5366">
        <v>74.966980000000007</v>
      </c>
      <c r="M5366">
        <v>1.4697379999999999E-2</v>
      </c>
      <c r="N5366">
        <v>0</v>
      </c>
      <c r="O5366">
        <v>-0.99978880000000003</v>
      </c>
      <c r="P5366">
        <v>-2.0316190000000001E-2</v>
      </c>
      <c r="Q5366">
        <v>1.543604E-2</v>
      </c>
      <c r="R5366">
        <v>-0.99967430000000002</v>
      </c>
      <c r="S5366">
        <v>0.14410400000000001</v>
      </c>
      <c r="T5366">
        <v>-0.10954750000000001</v>
      </c>
      <c r="U5366">
        <v>-3.005096</v>
      </c>
      <c r="V5366">
        <v>3.5108300000000002E-2</v>
      </c>
      <c r="W5366">
        <v>2.9674289999999999E-2</v>
      </c>
      <c r="X5366">
        <v>0.99894289999999997</v>
      </c>
      <c r="Y5366">
        <v>-3.3179229999999997E-2</v>
      </c>
      <c r="Z5366">
        <v>3.6392899999999999E-2</v>
      </c>
      <c r="AA5366">
        <v>0.99878659999999997</v>
      </c>
      <c r="AB5366">
        <v>31</v>
      </c>
      <c r="AC5366">
        <v>1.45580000000001</v>
      </c>
      <c r="AD5366">
        <v>-1.109105255919</v>
      </c>
      <c r="AE5366">
        <v>-30.116710000000001</v>
      </c>
      <c r="AF5366">
        <v>-1.0115915740261401</v>
      </c>
      <c r="AG5366">
        <v>-1.109105255919</v>
      </c>
      <c r="AH5366">
        <v>30.094135851939601</v>
      </c>
      <c r="AI5366">
        <v>92.109463466313898</v>
      </c>
      <c r="AJ5366">
        <v>91.925229316459095</v>
      </c>
      <c r="AK5366">
        <v>30.131552310764601</v>
      </c>
      <c r="AL5366">
        <v>88.299538862647097</v>
      </c>
      <c r="AM5366">
        <v>87.9871424062095</v>
      </c>
      <c r="AN5366">
        <v>1.0000000368381501</v>
      </c>
    </row>
    <row r="5367" spans="1:40" x14ac:dyDescent="0.25">
      <c r="A5367" t="str">
        <f>"20190312154404690"</f>
        <v>20190312154404690</v>
      </c>
      <c r="B5367" t="str">
        <f>"1552376644682737"</f>
        <v>1552376644682737</v>
      </c>
      <c r="C5367" t="s">
        <v>40</v>
      </c>
      <c r="D5367">
        <v>4.7873659999999996</v>
      </c>
      <c r="E5367">
        <v>0.47365259999999998</v>
      </c>
      <c r="F5367" t="s">
        <v>43</v>
      </c>
      <c r="G5367">
        <v>-419.8972</v>
      </c>
      <c r="H5367" s="1">
        <v>-2.6119470000000002E-6</v>
      </c>
      <c r="I5367">
        <v>45.67877</v>
      </c>
      <c r="J5367">
        <v>-421.3537</v>
      </c>
      <c r="K5367">
        <v>1.1090390000000001</v>
      </c>
      <c r="L5367">
        <v>74.656739999999999</v>
      </c>
      <c r="M5367">
        <v>1.2911260000000001E-2</v>
      </c>
      <c r="N5367">
        <v>0</v>
      </c>
      <c r="O5367">
        <v>-0.99981339999999996</v>
      </c>
      <c r="P5367">
        <v>-2.364378E-2</v>
      </c>
      <c r="Q5367">
        <v>1.4546709999999999E-2</v>
      </c>
      <c r="R5367">
        <v>-0.99961440000000001</v>
      </c>
      <c r="S5367">
        <v>0.14974979999999999</v>
      </c>
      <c r="T5367">
        <v>-0.1138245</v>
      </c>
      <c r="U5367">
        <v>-3.0057680000000002</v>
      </c>
      <c r="V5367">
        <v>3.6650679999999998E-2</v>
      </c>
      <c r="W5367">
        <v>2.8773449999999999E-2</v>
      </c>
      <c r="X5367">
        <v>0.99891379999999996</v>
      </c>
      <c r="Y5367">
        <v>-3.6822779999999999E-2</v>
      </c>
      <c r="Z5367">
        <v>3.7800599999999997E-2</v>
      </c>
      <c r="AA5367">
        <v>0.99860660000000001</v>
      </c>
      <c r="AB5367">
        <v>31</v>
      </c>
      <c r="AC5367">
        <v>1.4564999999999999</v>
      </c>
      <c r="AD5367">
        <v>-1.1090416119469999</v>
      </c>
      <c r="AE5367">
        <v>-28.977969999999999</v>
      </c>
      <c r="AF5367">
        <v>-1.0806190012291199</v>
      </c>
      <c r="AG5367">
        <v>-1.1090416119469999</v>
      </c>
      <c r="AH5367">
        <v>28.952060966567501</v>
      </c>
      <c r="AI5367">
        <v>92.192182452846794</v>
      </c>
      <c r="AJ5367">
        <v>92.137539729275503</v>
      </c>
      <c r="AK5367">
        <v>28.993439687879199</v>
      </c>
      <c r="AL5367">
        <v>88.351175156077005</v>
      </c>
      <c r="AM5367">
        <v>87.898729864636906</v>
      </c>
      <c r="AN5367">
        <v>0.99999998179990202</v>
      </c>
    </row>
    <row r="5368" spans="1:40" x14ac:dyDescent="0.25">
      <c r="A5368" t="str">
        <f>"20190312154404712"</f>
        <v>20190312154404712</v>
      </c>
      <c r="B5368" t="str">
        <f>"1552376644703234"</f>
        <v>1552376644703234</v>
      </c>
      <c r="C5368" t="s">
        <v>40</v>
      </c>
      <c r="D5368">
        <v>5.1880889999999997</v>
      </c>
      <c r="E5368">
        <v>0.47306930000000003</v>
      </c>
      <c r="F5368" t="s">
        <v>43</v>
      </c>
      <c r="G5368">
        <v>-420.03699999999998</v>
      </c>
      <c r="H5368" s="1">
        <v>-3.4169899999999998E-6</v>
      </c>
      <c r="I5368">
        <v>47.53125</v>
      </c>
      <c r="J5368">
        <v>-421.35160000000002</v>
      </c>
      <c r="K5368">
        <v>1.108986</v>
      </c>
      <c r="L5368">
        <v>74.339419999999905</v>
      </c>
      <c r="M5368">
        <v>1.104342E-2</v>
      </c>
      <c r="N5368">
        <v>0</v>
      </c>
      <c r="O5368">
        <v>-0.99983610000000001</v>
      </c>
      <c r="P5368">
        <v>-2.758615E-2</v>
      </c>
      <c r="Q5368">
        <v>1.301184E-2</v>
      </c>
      <c r="R5368">
        <v>-0.99953519999999896</v>
      </c>
      <c r="S5368">
        <v>0.14593510000000001</v>
      </c>
      <c r="T5368">
        <v>-0.12291879999999999</v>
      </c>
      <c r="U5368">
        <v>-3.0064090000000001</v>
      </c>
      <c r="V5368">
        <v>3.8722699999999999E-2</v>
      </c>
      <c r="W5368">
        <v>2.7225780000000002E-2</v>
      </c>
      <c r="X5368">
        <v>0.99887899999999996</v>
      </c>
      <c r="Y5368">
        <v>-3.7409320000000003E-2</v>
      </c>
      <c r="Z5368">
        <v>4.0809459999999999E-2</v>
      </c>
      <c r="AA5368">
        <v>0.99846639999999998</v>
      </c>
      <c r="AB5368">
        <v>31</v>
      </c>
      <c r="AC5368">
        <v>1.31460000000004</v>
      </c>
      <c r="AD5368">
        <v>-1.1089894169900001</v>
      </c>
      <c r="AE5368">
        <v>-26.808169999999901</v>
      </c>
      <c r="AF5368">
        <v>-1.0166997850235899</v>
      </c>
      <c r="AG5368">
        <v>-1.1089894169900001</v>
      </c>
      <c r="AH5368">
        <v>26.775343934893101</v>
      </c>
      <c r="AI5368">
        <v>92.370032557264196</v>
      </c>
      <c r="AJ5368">
        <v>92.174561573589301</v>
      </c>
      <c r="AK5368">
        <v>26.8175796598366</v>
      </c>
      <c r="AL5368">
        <v>88.439884892962397</v>
      </c>
      <c r="AM5368">
        <v>87.779974474377596</v>
      </c>
      <c r="AN5368">
        <v>0.99999997361644799</v>
      </c>
    </row>
    <row r="5369" spans="1:40" x14ac:dyDescent="0.25">
      <c r="A5369" t="str">
        <f>"20190312154404734"</f>
        <v>20190312154404734</v>
      </c>
      <c r="B5369" t="str">
        <f>"1552376644722754"</f>
        <v>1552376644722754</v>
      </c>
      <c r="C5369" t="s">
        <v>40</v>
      </c>
      <c r="D5369">
        <v>4.8095829999999999</v>
      </c>
      <c r="E5369">
        <v>0.47275139999999999</v>
      </c>
      <c r="F5369" t="s">
        <v>43</v>
      </c>
      <c r="G5369">
        <v>-420.17619999999999</v>
      </c>
      <c r="H5369" s="1">
        <v>-4.0112709999999999E-6</v>
      </c>
      <c r="I5369">
        <v>48.830199999999998</v>
      </c>
      <c r="J5369">
        <v>-421.3501</v>
      </c>
      <c r="K5369">
        <v>1.1089519999999999</v>
      </c>
      <c r="L5369">
        <v>74.040589999999995</v>
      </c>
      <c r="M5369">
        <v>9.2634929999999994E-3</v>
      </c>
      <c r="N5369">
        <v>0</v>
      </c>
      <c r="O5369">
        <v>-0.99985400000000002</v>
      </c>
      <c r="P5369">
        <v>-3.109553E-2</v>
      </c>
      <c r="Q5369">
        <v>1.2111419999999999E-2</v>
      </c>
      <c r="R5369">
        <v>-0.99944319999999998</v>
      </c>
      <c r="S5369">
        <v>0.138549799999999</v>
      </c>
      <c r="T5369">
        <v>-0.130722</v>
      </c>
      <c r="U5369">
        <v>-3.0068969999999999</v>
      </c>
      <c r="V5369">
        <v>4.0450960000000001E-2</v>
      </c>
      <c r="W5369">
        <v>2.631439E-2</v>
      </c>
      <c r="X5369">
        <v>0.99883500000000003</v>
      </c>
      <c r="Y5369">
        <v>-3.6728539999999997E-2</v>
      </c>
      <c r="Z5369">
        <v>4.339262E-2</v>
      </c>
      <c r="AA5369">
        <v>0.99838269999999996</v>
      </c>
      <c r="AB5369">
        <v>31</v>
      </c>
      <c r="AC5369">
        <v>1.1738999999999999</v>
      </c>
      <c r="AD5369">
        <v>-1.108956011271</v>
      </c>
      <c r="AE5369">
        <v>-25.21039</v>
      </c>
      <c r="AF5369">
        <v>-0.938477295431278</v>
      </c>
      <c r="AG5369">
        <v>-1.108956011271</v>
      </c>
      <c r="AH5369">
        <v>25.171583256209299</v>
      </c>
      <c r="AI5369">
        <v>92.520835082226398</v>
      </c>
      <c r="AJ5369">
        <v>92.135181324923906</v>
      </c>
      <c r="AK5369">
        <v>25.213471135352499</v>
      </c>
      <c r="AL5369">
        <v>88.492122521205104</v>
      </c>
      <c r="AM5369">
        <v>87.680894781066399</v>
      </c>
      <c r="AN5369">
        <v>1.00000004225549</v>
      </c>
    </row>
    <row r="5370" spans="1:40" x14ac:dyDescent="0.25">
      <c r="A5370" t="str">
        <f>"20190312154404756"</f>
        <v>20190312154404756</v>
      </c>
      <c r="B5370" t="str">
        <f>"1552376644753010"</f>
        <v>1552376644753010</v>
      </c>
      <c r="C5370" t="s">
        <v>40</v>
      </c>
      <c r="D5370">
        <v>4.832255</v>
      </c>
      <c r="E5370">
        <v>0.47242679999999998</v>
      </c>
      <c r="F5370" t="s">
        <v>43</v>
      </c>
      <c r="G5370">
        <v>-420.25560000000002</v>
      </c>
      <c r="H5370" s="1">
        <v>-4.0313410000000003E-6</v>
      </c>
      <c r="I5370">
        <v>48.827759999999998</v>
      </c>
      <c r="J5370">
        <v>-421.3492</v>
      </c>
      <c r="K5370">
        <v>1.1089329999999999</v>
      </c>
      <c r="L5370">
        <v>73.729609999999994</v>
      </c>
      <c r="M5370">
        <v>7.3993169999999999E-3</v>
      </c>
      <c r="N5370">
        <v>0</v>
      </c>
      <c r="O5370">
        <v>-0.99986960000000003</v>
      </c>
      <c r="P5370">
        <v>-3.3981509999999999E-2</v>
      </c>
      <c r="Q5370">
        <v>1.199324E-2</v>
      </c>
      <c r="R5370">
        <v>-0.99935079999999998</v>
      </c>
      <c r="S5370">
        <v>0.13055419999999901</v>
      </c>
      <c r="T5370">
        <v>-0.13227359999999999</v>
      </c>
      <c r="U5370">
        <v>-3.0073240000000001</v>
      </c>
      <c r="V5370">
        <v>4.14741E-2</v>
      </c>
      <c r="W5370">
        <v>2.6188070000000001E-2</v>
      </c>
      <c r="X5370">
        <v>0.99879629999999997</v>
      </c>
      <c r="Y5370">
        <v>-3.5935109999999999E-2</v>
      </c>
      <c r="Z5370">
        <v>4.3904690000000003E-2</v>
      </c>
      <c r="AA5370">
        <v>0.99838919999999998</v>
      </c>
      <c r="AB5370">
        <v>31</v>
      </c>
      <c r="AC5370">
        <v>1.0935999999999799</v>
      </c>
      <c r="AD5370">
        <v>-1.1089370313410001</v>
      </c>
      <c r="AE5370">
        <v>-24.90185</v>
      </c>
      <c r="AF5370">
        <v>-0.90749816979916897</v>
      </c>
      <c r="AG5370">
        <v>-1.1089370313410001</v>
      </c>
      <c r="AH5370">
        <v>24.860055142113101</v>
      </c>
      <c r="AI5370">
        <v>92.552412361341197</v>
      </c>
      <c r="AJ5370">
        <v>92.090612322407495</v>
      </c>
      <c r="AK5370">
        <v>24.901317955814498</v>
      </c>
      <c r="AL5370">
        <v>88.499362529089794</v>
      </c>
      <c r="AM5370">
        <v>87.622211328187902</v>
      </c>
      <c r="AN5370">
        <v>0.99999998243741195</v>
      </c>
    </row>
    <row r="5371" spans="1:40" x14ac:dyDescent="0.25">
      <c r="A5371" t="str">
        <f>"20190312154404780"</f>
        <v>20190312154404780</v>
      </c>
      <c r="B5371" t="str">
        <f>"1552376644773219"</f>
        <v>1552376644773219</v>
      </c>
      <c r="C5371" t="s">
        <v>40</v>
      </c>
      <c r="D5371">
        <v>4.8107550000000003</v>
      </c>
      <c r="E5371">
        <v>0.472051</v>
      </c>
      <c r="F5371" t="s">
        <v>43</v>
      </c>
      <c r="G5371">
        <v>-420.3202</v>
      </c>
      <c r="H5371" s="1">
        <v>-4.0306769999999998E-6</v>
      </c>
      <c r="I5371">
        <v>48.78613</v>
      </c>
      <c r="J5371">
        <v>-421.34890000000001</v>
      </c>
      <c r="K5371">
        <v>1.1089279999999999</v>
      </c>
      <c r="L5371">
        <v>73.410740000000004</v>
      </c>
      <c r="M5371">
        <v>5.4825769999999998E-3</v>
      </c>
      <c r="N5371">
        <v>0</v>
      </c>
      <c r="O5371">
        <v>-0.99988189999999999</v>
      </c>
      <c r="P5371">
        <v>-3.6136979999999999E-2</v>
      </c>
      <c r="Q5371">
        <v>1.235486E-2</v>
      </c>
      <c r="R5371">
        <v>-0.99927060000000001</v>
      </c>
      <c r="S5371">
        <v>0.1240845</v>
      </c>
      <c r="T5371">
        <v>-0.133719899999999</v>
      </c>
      <c r="U5371">
        <v>-3.0077820000000002</v>
      </c>
      <c r="V5371">
        <v>4.1715889999999999E-2</v>
      </c>
      <c r="W5371">
        <v>2.6545570000000001E-2</v>
      </c>
      <c r="X5371">
        <v>0.99877680000000002</v>
      </c>
      <c r="Y5371">
        <v>-3.5699710000000003E-2</v>
      </c>
      <c r="Z5371">
        <v>4.4380120000000002E-2</v>
      </c>
      <c r="AA5371">
        <v>0.99837670000000001</v>
      </c>
      <c r="AB5371">
        <v>31</v>
      </c>
      <c r="AC5371">
        <v>1.0287000000000099</v>
      </c>
      <c r="AD5371">
        <v>-1.1089320306770001</v>
      </c>
      <c r="AE5371">
        <v>-24.624610000000001</v>
      </c>
      <c r="AF5371">
        <v>-0.89185874741195204</v>
      </c>
      <c r="AG5371">
        <v>-1.1089320306770001</v>
      </c>
      <c r="AH5371">
        <v>24.580118335953902</v>
      </c>
      <c r="AI5371">
        <v>92.581451082187996</v>
      </c>
      <c r="AJ5371">
        <v>92.077993877157695</v>
      </c>
      <c r="AK5371">
        <v>24.621278595627299</v>
      </c>
      <c r="AL5371">
        <v>88.478872174393899</v>
      </c>
      <c r="AM5371">
        <v>87.608318460080795</v>
      </c>
      <c r="AN5371">
        <v>0.99999998949167801</v>
      </c>
    </row>
    <row r="5372" spans="1:40" x14ac:dyDescent="0.25">
      <c r="A5372" t="str">
        <f>"20190312154404801"</f>
        <v>20190312154404801</v>
      </c>
      <c r="B5372" t="str">
        <f>"1552376644792739"</f>
        <v>1552376644792739</v>
      </c>
      <c r="C5372" t="s">
        <v>40</v>
      </c>
      <c r="D5372">
        <v>4.7981550000000004</v>
      </c>
      <c r="E5372">
        <v>0.47165439999999997</v>
      </c>
      <c r="F5372" t="s">
        <v>43</v>
      </c>
      <c r="G5372">
        <v>-420.35629999999998</v>
      </c>
      <c r="H5372" s="1">
        <v>-3.9960859999999998E-6</v>
      </c>
      <c r="I5372">
        <v>48.683120000000002</v>
      </c>
      <c r="J5372">
        <v>-421.34910000000002</v>
      </c>
      <c r="K5372">
        <v>1.1089230000000001</v>
      </c>
      <c r="L5372">
        <v>73.109409999999997</v>
      </c>
      <c r="M5372">
        <v>3.671484E-3</v>
      </c>
      <c r="N5372">
        <v>0</v>
      </c>
      <c r="O5372">
        <v>-0.99989039999999996</v>
      </c>
      <c r="P5372">
        <v>-3.6915860000000002E-2</v>
      </c>
      <c r="Q5372">
        <v>1.2285269999999999E-2</v>
      </c>
      <c r="R5372">
        <v>-0.99924310000000005</v>
      </c>
      <c r="S5372">
        <v>0.12075809999999999</v>
      </c>
      <c r="T5372">
        <v>-0.1349072</v>
      </c>
      <c r="U5372">
        <v>-3.0082399999999998</v>
      </c>
      <c r="V5372">
        <v>4.0685079999999998E-2</v>
      </c>
      <c r="W5372">
        <v>2.647789E-2</v>
      </c>
      <c r="X5372">
        <v>0.99882110000000002</v>
      </c>
      <c r="Y5372">
        <v>-3.6400740000000001E-2</v>
      </c>
      <c r="Z5372">
        <v>4.4767599999999998E-2</v>
      </c>
      <c r="AA5372">
        <v>0.9983341</v>
      </c>
      <c r="AB5372">
        <v>31</v>
      </c>
      <c r="AC5372">
        <v>0.99280000000004498</v>
      </c>
      <c r="AD5372">
        <v>-1.108926996086</v>
      </c>
      <c r="AE5372">
        <v>-24.426289999999899</v>
      </c>
      <c r="AF5372">
        <v>-0.90124888329417197</v>
      </c>
      <c r="AG5372">
        <v>-1.108926996086</v>
      </c>
      <c r="AH5372">
        <v>24.3796057711121</v>
      </c>
      <c r="AI5372">
        <v>92.602576632120602</v>
      </c>
      <c r="AJ5372">
        <v>92.117107824616795</v>
      </c>
      <c r="AK5372">
        <v>24.4214484866711</v>
      </c>
      <c r="AL5372">
        <v>88.482751289907597</v>
      </c>
      <c r="AM5372">
        <v>87.667454740524306</v>
      </c>
      <c r="AN5372">
        <v>0.999999972099333</v>
      </c>
    </row>
    <row r="5373" spans="1:40" x14ac:dyDescent="0.25">
      <c r="A5373" t="str">
        <f>"20190312154404822"</f>
        <v>20190312154404822</v>
      </c>
      <c r="B5373" t="str">
        <f>"1552376644813236"</f>
        <v>1552376644813236</v>
      </c>
      <c r="C5373" t="s">
        <v>40</v>
      </c>
      <c r="D5373">
        <v>4.8214459999999999</v>
      </c>
      <c r="E5373">
        <v>0.47120380000000001</v>
      </c>
      <c r="F5373" t="s">
        <v>43</v>
      </c>
      <c r="G5373">
        <v>-420.36770000000001</v>
      </c>
      <c r="H5373" s="1">
        <v>-4.0649809999999997E-6</v>
      </c>
      <c r="I5373">
        <v>48.83663</v>
      </c>
      <c r="J5373">
        <v>-421.35</v>
      </c>
      <c r="K5373">
        <v>1.1089199999999999</v>
      </c>
      <c r="L5373">
        <v>72.805179999999993</v>
      </c>
      <c r="M5373">
        <v>1.845983E-3</v>
      </c>
      <c r="N5373">
        <v>0</v>
      </c>
      <c r="O5373">
        <v>-0.99989539999999999</v>
      </c>
      <c r="P5373">
        <v>-3.7200749999999998E-2</v>
      </c>
      <c r="Q5373">
        <v>1.236572E-2</v>
      </c>
      <c r="R5373">
        <v>-0.99923150000000005</v>
      </c>
      <c r="S5373">
        <v>0.1216431</v>
      </c>
      <c r="T5373">
        <v>-0.13744439999999999</v>
      </c>
      <c r="U5373">
        <v>-3.0084529999999998</v>
      </c>
      <c r="V5373">
        <v>3.9146269999999997E-2</v>
      </c>
      <c r="W5373">
        <v>2.6562249999999999E-2</v>
      </c>
      <c r="X5373">
        <v>0.9988804</v>
      </c>
      <c r="Y5373">
        <v>-3.8513980000000003E-2</v>
      </c>
      <c r="Z5373">
        <v>4.5602820000000002E-2</v>
      </c>
      <c r="AA5373">
        <v>0.99821689999999996</v>
      </c>
      <c r="AB5373">
        <v>31</v>
      </c>
      <c r="AC5373">
        <v>0.98230000000000905</v>
      </c>
      <c r="AD5373">
        <v>-1.1089240649809999</v>
      </c>
      <c r="AE5373">
        <v>-23.96855</v>
      </c>
      <c r="AF5373">
        <v>-0.93604796355272302</v>
      </c>
      <c r="AG5373">
        <v>-1.1089240649809999</v>
      </c>
      <c r="AH5373">
        <v>23.919208859895999</v>
      </c>
      <c r="AI5373">
        <v>92.652375123777702</v>
      </c>
      <c r="AJ5373">
        <v>92.241054257060696</v>
      </c>
      <c r="AK5373">
        <v>23.963189496711301</v>
      </c>
      <c r="AL5373">
        <v>88.477916187896099</v>
      </c>
      <c r="AM5373">
        <v>87.755718464780699</v>
      </c>
      <c r="AN5373">
        <v>1.0000000185420601</v>
      </c>
    </row>
    <row r="5374" spans="1:40" x14ac:dyDescent="0.25">
      <c r="A5374" t="str">
        <f>"20190312154404847"</f>
        <v>20190312154404847</v>
      </c>
      <c r="B5374" t="str">
        <f>"1552376644842518"</f>
        <v>1552376644842518</v>
      </c>
      <c r="C5374" t="s">
        <v>40</v>
      </c>
      <c r="D5374">
        <v>4.8227690000000001</v>
      </c>
      <c r="E5374">
        <v>0.47051730000000003</v>
      </c>
      <c r="F5374" t="s">
        <v>43</v>
      </c>
      <c r="G5374">
        <v>-420.35449999999997</v>
      </c>
      <c r="H5374" s="1">
        <v>-3.9814469999999999E-6</v>
      </c>
      <c r="I5374">
        <v>48.650089999999999</v>
      </c>
      <c r="J5374">
        <v>-421.35140000000001</v>
      </c>
      <c r="K5374">
        <v>1.1089230000000001</v>
      </c>
      <c r="L5374">
        <v>72.482089999999999</v>
      </c>
      <c r="M5374" s="1">
        <v>-8.878639E-5</v>
      </c>
      <c r="N5374">
        <v>0</v>
      </c>
      <c r="O5374">
        <v>-0.99989720000000004</v>
      </c>
      <c r="P5374">
        <v>-3.7344160000000001E-2</v>
      </c>
      <c r="Q5374">
        <v>1.315178E-2</v>
      </c>
      <c r="R5374">
        <v>-0.99921610000000005</v>
      </c>
      <c r="S5374">
        <v>0.1239929</v>
      </c>
      <c r="T5374">
        <v>-0.13812199999999999</v>
      </c>
      <c r="U5374">
        <v>-3.0086360000000001</v>
      </c>
      <c r="V5374">
        <v>3.7359299999999998E-2</v>
      </c>
      <c r="W5374">
        <v>2.7353510000000001E-2</v>
      </c>
      <c r="X5374">
        <v>0.99892749999999997</v>
      </c>
      <c r="Y5374">
        <v>-4.1222849999999998E-2</v>
      </c>
      <c r="Z5374">
        <v>4.5821290000000001E-2</v>
      </c>
      <c r="AA5374">
        <v>0.99809870000000001</v>
      </c>
      <c r="AB5374">
        <v>31</v>
      </c>
      <c r="AC5374">
        <v>0.99690000000003898</v>
      </c>
      <c r="AD5374">
        <v>-1.108926981447</v>
      </c>
      <c r="AE5374">
        <v>-23.831999999999901</v>
      </c>
      <c r="AF5374">
        <v>-0.99686160121829204</v>
      </c>
      <c r="AG5374">
        <v>-1.108926981447</v>
      </c>
      <c r="AH5374">
        <v>23.780513306308499</v>
      </c>
      <c r="AI5374">
        <v>92.667529125081501</v>
      </c>
      <c r="AJ5374">
        <v>92.400391522657898</v>
      </c>
      <c r="AK5374">
        <v>23.827216900294498</v>
      </c>
      <c r="AL5374">
        <v>88.432563881925304</v>
      </c>
      <c r="AM5374">
        <v>87.858169832775104</v>
      </c>
      <c r="AN5374">
        <v>1.0000000410310199</v>
      </c>
    </row>
    <row r="5375" spans="1:40" x14ac:dyDescent="0.25">
      <c r="A5375" t="str">
        <f>"20190312154404870"</f>
        <v>20190312154404870</v>
      </c>
      <c r="B5375" t="str">
        <f>"1552376644862582"</f>
        <v>1552376644862582</v>
      </c>
      <c r="C5375" t="s">
        <v>40</v>
      </c>
      <c r="D5375">
        <v>4.8472949999999999</v>
      </c>
      <c r="E5375">
        <v>0.4701188</v>
      </c>
      <c r="F5375" t="s">
        <v>43</v>
      </c>
      <c r="G5375">
        <v>-420.26429999999999</v>
      </c>
      <c r="H5375" s="1">
        <v>-3.3461629999999999E-6</v>
      </c>
      <c r="I5375">
        <v>47.225189999999998</v>
      </c>
      <c r="J5375">
        <v>-421.35340000000002</v>
      </c>
      <c r="K5375">
        <v>1.1089290000000001</v>
      </c>
      <c r="L5375">
        <v>72.169919999999905</v>
      </c>
      <c r="M5375">
        <v>-1.954258E-3</v>
      </c>
      <c r="N5375">
        <v>0</v>
      </c>
      <c r="O5375">
        <v>-0.99989530000000004</v>
      </c>
      <c r="P5375">
        <v>-3.8079340000000003E-2</v>
      </c>
      <c r="Q5375">
        <v>1.41102E-2</v>
      </c>
      <c r="R5375">
        <v>-0.99917520000000004</v>
      </c>
      <c r="S5375">
        <v>0.12951660000000001</v>
      </c>
      <c r="T5375">
        <v>-0.13211020000000001</v>
      </c>
      <c r="U5375">
        <v>-3.0089419999999998</v>
      </c>
      <c r="V5375">
        <v>3.6233910000000001E-2</v>
      </c>
      <c r="W5375">
        <v>2.831492E-2</v>
      </c>
      <c r="X5375">
        <v>0.99894210000000006</v>
      </c>
      <c r="Y5375">
        <v>-4.4915339999999998E-2</v>
      </c>
      <c r="Z5375">
        <v>4.3821119999999998E-2</v>
      </c>
      <c r="AA5375">
        <v>0.99802919999999995</v>
      </c>
      <c r="AB5375">
        <v>31</v>
      </c>
      <c r="AC5375">
        <v>1.0891000000000299</v>
      </c>
      <c r="AD5375">
        <v>-1.1089323461630001</v>
      </c>
      <c r="AE5375">
        <v>-24.9447299999999</v>
      </c>
      <c r="AF5375">
        <v>-1.1356113327569299</v>
      </c>
      <c r="AG5375">
        <v>-1.1089323461630001</v>
      </c>
      <c r="AH5375">
        <v>24.893450475348299</v>
      </c>
      <c r="AI5375">
        <v>92.548031061366999</v>
      </c>
      <c r="AJ5375">
        <v>92.611958400775507</v>
      </c>
      <c r="AK5375">
        <v>24.944001696120701</v>
      </c>
      <c r="AL5375">
        <v>88.377457688898602</v>
      </c>
      <c r="AM5375">
        <v>87.922662019319304</v>
      </c>
      <c r="AN5375">
        <v>0.99999997504045102</v>
      </c>
    </row>
    <row r="5376" spans="1:40" x14ac:dyDescent="0.25">
      <c r="A5376" t="str">
        <f>"20190312154404890"</f>
        <v>20190312154404890</v>
      </c>
      <c r="B5376" t="str">
        <f>"1552376644883082"</f>
        <v>1552376644883082</v>
      </c>
      <c r="C5376" t="s">
        <v>40</v>
      </c>
      <c r="D5376">
        <v>4.811547</v>
      </c>
      <c r="E5376">
        <v>0.46973989999999999</v>
      </c>
      <c r="F5376" t="s">
        <v>43</v>
      </c>
      <c r="G5376">
        <v>-420.22070000000002</v>
      </c>
      <c r="H5376" s="1">
        <v>-2.8404419999999998E-6</v>
      </c>
      <c r="I5376">
        <v>46.073360000000001</v>
      </c>
      <c r="J5376">
        <v>-421.35590000000002</v>
      </c>
      <c r="K5376">
        <v>1.1089359999999999</v>
      </c>
      <c r="L5376">
        <v>71.873319999999893</v>
      </c>
      <c r="M5376">
        <v>-3.7255119999999998E-3</v>
      </c>
      <c r="N5376">
        <v>0</v>
      </c>
      <c r="O5376">
        <v>-0.99989019999999995</v>
      </c>
      <c r="P5376">
        <v>-3.9482839999999998E-2</v>
      </c>
      <c r="Q5376">
        <v>1.4618630000000001E-2</v>
      </c>
      <c r="R5376">
        <v>-0.99911369999999999</v>
      </c>
      <c r="S5376">
        <v>0.13061519999999999</v>
      </c>
      <c r="T5376">
        <v>-0.12787309999999999</v>
      </c>
      <c r="U5376">
        <v>-3.0092469999999998</v>
      </c>
      <c r="V5376">
        <v>3.5869289999999998E-2</v>
      </c>
      <c r="W5376">
        <v>2.8822070000000002E-2</v>
      </c>
      <c r="X5376">
        <v>0.99894079999999996</v>
      </c>
      <c r="Y5376">
        <v>-4.7046879999999999E-2</v>
      </c>
      <c r="Z5376">
        <v>4.2411190000000001E-2</v>
      </c>
      <c r="AA5376">
        <v>0.99799190000000004</v>
      </c>
      <c r="AB5376">
        <v>31</v>
      </c>
      <c r="AC5376">
        <v>1.13519999999999</v>
      </c>
      <c r="AD5376">
        <v>-1.108938840442</v>
      </c>
      <c r="AE5376">
        <v>-25.799959999999899</v>
      </c>
      <c r="AF5376">
        <v>-1.22905381747173</v>
      </c>
      <c r="AG5376">
        <v>-1.108938840442</v>
      </c>
      <c r="AH5376">
        <v>25.748074431782999</v>
      </c>
      <c r="AI5376">
        <v>92.463335456918898</v>
      </c>
      <c r="AJ5376">
        <v>92.732871758522094</v>
      </c>
      <c r="AK5376">
        <v>25.801233605832099</v>
      </c>
      <c r="AL5376">
        <v>88.348388342162195</v>
      </c>
      <c r="AM5376">
        <v>87.943545452908495</v>
      </c>
      <c r="AN5376">
        <v>1.0000000197944101</v>
      </c>
    </row>
    <row r="5377" spans="1:40" x14ac:dyDescent="0.25">
      <c r="A5377" t="str">
        <f>"20190312154404913"</f>
        <v>20190312154404913</v>
      </c>
      <c r="B5377" t="str">
        <f>"1552376644902598"</f>
        <v>1552376644902598</v>
      </c>
      <c r="C5377" t="s">
        <v>40</v>
      </c>
      <c r="D5377">
        <v>4.8606220000000002</v>
      </c>
      <c r="E5377">
        <v>0.46931040000000002</v>
      </c>
      <c r="F5377" t="s">
        <v>43</v>
      </c>
      <c r="G5377">
        <v>-420.21089999999998</v>
      </c>
      <c r="H5377" s="1">
        <v>-2.467551E-6</v>
      </c>
      <c r="I5377">
        <v>45.210209999999996</v>
      </c>
      <c r="J5377">
        <v>-421.35910000000001</v>
      </c>
      <c r="K5377">
        <v>1.108938</v>
      </c>
      <c r="L5377">
        <v>71.560940000000002</v>
      </c>
      <c r="M5377">
        <v>-5.5908750000000004E-3</v>
      </c>
      <c r="N5377">
        <v>0</v>
      </c>
      <c r="O5377">
        <v>-0.99988160000000004</v>
      </c>
      <c r="P5377">
        <v>-4.1907569999999998E-2</v>
      </c>
      <c r="Q5377">
        <v>1.4318060000000001E-2</v>
      </c>
      <c r="R5377">
        <v>-0.9990192</v>
      </c>
      <c r="S5377">
        <v>0.12924189999999999</v>
      </c>
      <c r="T5377">
        <v>-0.12517200000000001</v>
      </c>
      <c r="U5377">
        <v>-3.0096129999999999</v>
      </c>
      <c r="V5377">
        <v>3.6428960000000003E-2</v>
      </c>
      <c r="W5377">
        <v>2.851654E-2</v>
      </c>
      <c r="X5377">
        <v>0.99892930000000002</v>
      </c>
      <c r="Y5377">
        <v>-4.8452149999999999E-2</v>
      </c>
      <c r="Z5377">
        <v>4.151034E-2</v>
      </c>
      <c r="AA5377">
        <v>0.99796260000000003</v>
      </c>
      <c r="AB5377">
        <v>31</v>
      </c>
      <c r="AC5377">
        <v>1.1482000000000301</v>
      </c>
      <c r="AD5377">
        <v>-1.108940467551</v>
      </c>
      <c r="AE5377">
        <v>-26.350729999999999</v>
      </c>
      <c r="AF5377">
        <v>-1.29323478570517</v>
      </c>
      <c r="AG5377">
        <v>-1.108940467551</v>
      </c>
      <c r="AH5377">
        <v>26.297412168648101</v>
      </c>
      <c r="AI5377">
        <v>92.411774656642194</v>
      </c>
      <c r="AJ5377">
        <v>92.815381571805901</v>
      </c>
      <c r="AK5377">
        <v>26.352534829486299</v>
      </c>
      <c r="AL5377">
        <v>88.365901094664594</v>
      </c>
      <c r="AM5377">
        <v>87.911462683327201</v>
      </c>
      <c r="AN5377">
        <v>1.00000000428937</v>
      </c>
    </row>
    <row r="5378" spans="1:40" x14ac:dyDescent="0.25">
      <c r="A5378" t="str">
        <f>"20190312154404935"</f>
        <v>20190312154404935</v>
      </c>
      <c r="B5378" t="str">
        <f>"1552376644932853"</f>
        <v>1552376644932853</v>
      </c>
      <c r="C5378" t="s">
        <v>40</v>
      </c>
      <c r="D5378">
        <v>4.7909459999999999</v>
      </c>
      <c r="E5378">
        <v>0.46874589999999999</v>
      </c>
      <c r="F5378" t="s">
        <v>43</v>
      </c>
      <c r="G5378">
        <v>-420.25189999999998</v>
      </c>
      <c r="H5378" s="1">
        <v>-2.3675339999999999E-6</v>
      </c>
      <c r="I5378">
        <v>44.951639999999998</v>
      </c>
      <c r="J5378">
        <v>-421.36279999999999</v>
      </c>
      <c r="K5378">
        <v>1.108938</v>
      </c>
      <c r="L5378">
        <v>71.255459999999999</v>
      </c>
      <c r="M5378">
        <v>-7.416031E-3</v>
      </c>
      <c r="N5378">
        <v>0</v>
      </c>
      <c r="O5378">
        <v>-0.99986960000000003</v>
      </c>
      <c r="P5378">
        <v>-4.4417890000000002E-2</v>
      </c>
      <c r="Q5378">
        <v>1.366443E-2</v>
      </c>
      <c r="R5378">
        <v>-0.99891960000000002</v>
      </c>
      <c r="S5378">
        <v>0.1252441</v>
      </c>
      <c r="T5378">
        <v>-0.1254419</v>
      </c>
      <c r="U5378">
        <v>-3.0100099999999999</v>
      </c>
      <c r="V5378">
        <v>3.7113210000000001E-2</v>
      </c>
      <c r="W5378">
        <v>2.7857819999999998E-2</v>
      </c>
      <c r="X5378">
        <v>0.99892270000000005</v>
      </c>
      <c r="Y5378">
        <v>-4.8946509999999999E-2</v>
      </c>
      <c r="Z5378">
        <v>4.1594140000000002E-2</v>
      </c>
      <c r="AA5378">
        <v>0.99793489999999996</v>
      </c>
      <c r="AB5378">
        <v>31</v>
      </c>
      <c r="AC5378">
        <v>1.11090000000001</v>
      </c>
      <c r="AD5378">
        <v>-1.1089403675339999</v>
      </c>
      <c r="AE5378">
        <v>-26.303819999999899</v>
      </c>
      <c r="AF5378">
        <v>-1.30364652236222</v>
      </c>
      <c r="AG5378">
        <v>-1.1089403675339999</v>
      </c>
      <c r="AH5378">
        <v>26.248287252959699</v>
      </c>
      <c r="AI5378">
        <v>92.416224697745903</v>
      </c>
      <c r="AJ5378">
        <v>92.843313854534202</v>
      </c>
      <c r="AK5378">
        <v>26.304026815449699</v>
      </c>
      <c r="AL5378">
        <v>88.403657973681405</v>
      </c>
      <c r="AM5378">
        <v>87.872255088834606</v>
      </c>
      <c r="AN5378">
        <v>1.00000000453347</v>
      </c>
    </row>
    <row r="5379" spans="1:40" x14ac:dyDescent="0.25">
      <c r="A5379" t="str">
        <f>"20190312154404958"</f>
        <v>20190312154404958</v>
      </c>
      <c r="B5379" t="str">
        <f>"1552376644953354"</f>
        <v>1552376644953354</v>
      </c>
      <c r="C5379" t="s">
        <v>40</v>
      </c>
      <c r="D5379">
        <v>4.8207129999999996</v>
      </c>
      <c r="E5379">
        <v>0.46841509999999997</v>
      </c>
      <c r="F5379" t="s">
        <v>43</v>
      </c>
      <c r="G5379">
        <v>-420.29450000000003</v>
      </c>
      <c r="H5379" s="1">
        <v>-2.3501359999999999E-6</v>
      </c>
      <c r="I5379">
        <v>44.884650000000001</v>
      </c>
      <c r="J5379">
        <v>-421.36700000000002</v>
      </c>
      <c r="K5379">
        <v>1.108941</v>
      </c>
      <c r="L5379">
        <v>70.950289999999995</v>
      </c>
      <c r="M5379">
        <v>-9.2399230000000006E-3</v>
      </c>
      <c r="N5379">
        <v>0</v>
      </c>
      <c r="O5379">
        <v>-0.99985449999999998</v>
      </c>
      <c r="P5379">
        <v>-4.7230689999999999E-2</v>
      </c>
      <c r="Q5379">
        <v>1.2789419999999999E-2</v>
      </c>
      <c r="R5379">
        <v>-0.99880239999999998</v>
      </c>
      <c r="S5379">
        <v>0.12194820000000001</v>
      </c>
      <c r="T5379">
        <v>-0.12659300000000001</v>
      </c>
      <c r="U5379">
        <v>-3.0104060000000001</v>
      </c>
      <c r="V5379">
        <v>3.8100670000000003E-2</v>
      </c>
      <c r="W5379">
        <v>2.697695E-2</v>
      </c>
      <c r="X5379">
        <v>0.99890970000000001</v>
      </c>
      <c r="Y5379">
        <v>-4.9671600000000003E-2</v>
      </c>
      <c r="Z5379">
        <v>4.1968859999999997E-2</v>
      </c>
      <c r="AA5379">
        <v>0.99788339999999998</v>
      </c>
      <c r="AB5379">
        <v>31</v>
      </c>
      <c r="AC5379">
        <v>1.0724999999999301</v>
      </c>
      <c r="AD5379">
        <v>-1.108943350136</v>
      </c>
      <c r="AE5379">
        <v>-26.065639999999899</v>
      </c>
      <c r="AF5379">
        <v>-1.3109546403132499</v>
      </c>
      <c r="AG5379">
        <v>-1.108943350136</v>
      </c>
      <c r="AH5379">
        <v>26.007621621273099</v>
      </c>
      <c r="AI5379">
        <v>92.438473269229902</v>
      </c>
      <c r="AJ5379">
        <v>92.885640617176506</v>
      </c>
      <c r="AK5379">
        <v>26.064242552164899</v>
      </c>
      <c r="AL5379">
        <v>88.454147085968899</v>
      </c>
      <c r="AM5379">
        <v>87.815668548910693</v>
      </c>
      <c r="AN5379">
        <v>1.0000000028199201</v>
      </c>
    </row>
    <row r="5380" spans="1:40" x14ac:dyDescent="0.25">
      <c r="A5380" t="str">
        <f>"20190312154404980"</f>
        <v>20190312154404980</v>
      </c>
      <c r="B5380" t="str">
        <f>"1552376644972870"</f>
        <v>1552376644972870</v>
      </c>
      <c r="C5380" t="s">
        <v>40</v>
      </c>
      <c r="D5380">
        <v>4.8243489999999998</v>
      </c>
      <c r="E5380">
        <v>0.46811049999999899</v>
      </c>
      <c r="F5380" t="s">
        <v>43</v>
      </c>
      <c r="G5380">
        <v>-420.36509999999998</v>
      </c>
      <c r="H5380" s="1">
        <v>-2.4006310000000002E-6</v>
      </c>
      <c r="I5380">
        <v>44.95861</v>
      </c>
      <c r="J5380">
        <v>-421.37180000000001</v>
      </c>
      <c r="K5380">
        <v>1.108941</v>
      </c>
      <c r="L5380">
        <v>70.643069999999994</v>
      </c>
      <c r="M5380">
        <v>-1.107646E-2</v>
      </c>
      <c r="N5380">
        <v>0</v>
      </c>
      <c r="O5380">
        <v>-0.99983580000000005</v>
      </c>
      <c r="P5380">
        <v>-4.9946749999999998E-2</v>
      </c>
      <c r="Q5380">
        <v>1.242303E-2</v>
      </c>
      <c r="R5380">
        <v>-0.99867459999999997</v>
      </c>
      <c r="S5380">
        <v>0.1160583</v>
      </c>
      <c r="T5380">
        <v>-0.12845299999999901</v>
      </c>
      <c r="U5380">
        <v>-3.0107119999999998</v>
      </c>
      <c r="V5380">
        <v>3.8980960000000002E-2</v>
      </c>
      <c r="W5380">
        <v>2.6603720000000001E-2</v>
      </c>
      <c r="X5380">
        <v>0.99888580000000005</v>
      </c>
      <c r="Y5380">
        <v>-4.9551930000000001E-2</v>
      </c>
      <c r="Z5380">
        <v>4.2580659999999999E-2</v>
      </c>
      <c r="AA5380">
        <v>0.99786350000000001</v>
      </c>
      <c r="AB5380">
        <v>31</v>
      </c>
      <c r="AC5380">
        <v>1.0067000000000199</v>
      </c>
      <c r="AD5380">
        <v>-1.1089434006309999</v>
      </c>
      <c r="AE5380">
        <v>-25.684459999999898</v>
      </c>
      <c r="AF5380">
        <v>-1.2887616431823401</v>
      </c>
      <c r="AG5380">
        <v>-1.1089434006309999</v>
      </c>
      <c r="AH5380">
        <v>25.624038764903499</v>
      </c>
      <c r="AI5380">
        <v>92.474945260360997</v>
      </c>
      <c r="AJ5380">
        <v>92.879266450595296</v>
      </c>
      <c r="AK5380">
        <v>25.680382097313501</v>
      </c>
      <c r="AL5380">
        <v>88.475539351092806</v>
      </c>
      <c r="AM5380">
        <v>87.765198235730907</v>
      </c>
      <c r="AN5380">
        <v>1.00000005730099</v>
      </c>
    </row>
    <row r="5381" spans="1:40" x14ac:dyDescent="0.25">
      <c r="A5381" t="str">
        <f>"20190312154405003"</f>
        <v>20190312154405003</v>
      </c>
      <c r="B5381" t="str">
        <f>"1552376644993366"</f>
        <v>1552376644993366</v>
      </c>
      <c r="C5381" t="s">
        <v>40</v>
      </c>
      <c r="D5381">
        <v>4.7678180000000001</v>
      </c>
      <c r="E5381">
        <v>0.46794419999999998</v>
      </c>
      <c r="F5381" t="s">
        <v>43</v>
      </c>
      <c r="G5381">
        <v>-420.42140000000001</v>
      </c>
      <c r="H5381" s="1">
        <v>-2.2846169999999999E-6</v>
      </c>
      <c r="I5381">
        <v>44.653210000000001</v>
      </c>
      <c r="J5381">
        <v>-421.37729999999999</v>
      </c>
      <c r="K5381">
        <v>1.108949</v>
      </c>
      <c r="L5381">
        <v>70.328580000000002</v>
      </c>
      <c r="M5381">
        <v>-1.2956759999999999E-2</v>
      </c>
      <c r="N5381">
        <v>0</v>
      </c>
      <c r="O5381">
        <v>-0.99981330000000002</v>
      </c>
      <c r="P5381">
        <v>-5.1966680000000001E-2</v>
      </c>
      <c r="Q5381">
        <v>1.2929599999999999E-2</v>
      </c>
      <c r="R5381">
        <v>-0.99856500000000004</v>
      </c>
      <c r="S5381">
        <v>0.11010739999999899</v>
      </c>
      <c r="T5381">
        <v>-0.1284776</v>
      </c>
      <c r="U5381">
        <v>-3.0110779999999999</v>
      </c>
      <c r="V5381">
        <v>3.9124689999999997E-2</v>
      </c>
      <c r="W5381">
        <v>2.710661E-2</v>
      </c>
      <c r="X5381">
        <v>0.99886660000000005</v>
      </c>
      <c r="Y5381">
        <v>-4.9456229999999997E-2</v>
      </c>
      <c r="Z5381">
        <v>4.2583849999999999E-2</v>
      </c>
      <c r="AA5381">
        <v>0.99786810000000004</v>
      </c>
      <c r="AB5381">
        <v>31</v>
      </c>
      <c r="AC5381">
        <v>0.95589999999998498</v>
      </c>
      <c r="AD5381">
        <v>-1.108951284617</v>
      </c>
      <c r="AE5381">
        <v>-25.675370000000001</v>
      </c>
      <c r="AF5381">
        <v>-1.2861276055997899</v>
      </c>
      <c r="AG5381">
        <v>-1.108951284617</v>
      </c>
      <c r="AH5381">
        <v>25.613112952799099</v>
      </c>
      <c r="AI5381">
        <v>92.476027356541906</v>
      </c>
      <c r="AJ5381">
        <v>92.874615179454693</v>
      </c>
      <c r="AK5381">
        <v>25.669348497817101</v>
      </c>
      <c r="AL5381">
        <v>88.446715388642303</v>
      </c>
      <c r="AM5381">
        <v>87.756923438895896</v>
      </c>
      <c r="AN5381">
        <v>0.999999997134424</v>
      </c>
    </row>
    <row r="5382" spans="1:40" x14ac:dyDescent="0.25">
      <c r="A5382" t="str">
        <f>"20190312154405024"</f>
        <v>20190312154405024</v>
      </c>
      <c r="B5382" t="str">
        <f>"1552376645012887"</f>
        <v>1552376645012887</v>
      </c>
      <c r="C5382" t="s">
        <v>40</v>
      </c>
      <c r="D5382">
        <v>4.8126360000000004</v>
      </c>
      <c r="E5382">
        <v>0.45887440000000002</v>
      </c>
      <c r="F5382" t="s">
        <v>43</v>
      </c>
      <c r="G5382">
        <v>-420.45350000000002</v>
      </c>
      <c r="H5382" s="1">
        <v>-1.978186E-6</v>
      </c>
      <c r="I5382">
        <v>43.919049999999999</v>
      </c>
      <c r="J5382">
        <v>-421.38299999999998</v>
      </c>
      <c r="K5382">
        <v>1.1089549999999999</v>
      </c>
      <c r="L5382">
        <v>70.034239999999997</v>
      </c>
      <c r="M5382">
        <v>-1.471627E-2</v>
      </c>
      <c r="N5382">
        <v>0</v>
      </c>
      <c r="O5382">
        <v>-0.99978920000000004</v>
      </c>
      <c r="P5382">
        <v>-5.2835460000000001E-2</v>
      </c>
      <c r="Q5382">
        <v>1.413437E-2</v>
      </c>
      <c r="R5382">
        <v>-0.99850349999999999</v>
      </c>
      <c r="S5382">
        <v>0.1053467</v>
      </c>
      <c r="T5382">
        <v>-0.1264509</v>
      </c>
      <c r="U5382">
        <v>-3.0114139999999998</v>
      </c>
      <c r="V5382">
        <v>3.8240089999999997E-2</v>
      </c>
      <c r="W5382">
        <v>2.831206E-2</v>
      </c>
      <c r="X5382">
        <v>0.99886739999999996</v>
      </c>
      <c r="Y5382">
        <v>-4.9635350000000002E-2</v>
      </c>
      <c r="Z5382">
        <v>4.1908099999999997E-2</v>
      </c>
      <c r="AA5382">
        <v>0.99788779999999999</v>
      </c>
      <c r="AB5382">
        <v>31</v>
      </c>
      <c r="AC5382">
        <v>0.92950000000001798</v>
      </c>
      <c r="AD5382">
        <v>-1.10895697818599</v>
      </c>
      <c r="AE5382">
        <v>-26.115189999999998</v>
      </c>
      <c r="AF5382">
        <v>-1.3113951957927501</v>
      </c>
      <c r="AG5382">
        <v>-1.10895697818599</v>
      </c>
      <c r="AH5382">
        <v>26.051764216014298</v>
      </c>
      <c r="AI5382">
        <v>92.434384698120496</v>
      </c>
      <c r="AJ5382">
        <v>92.881725844809594</v>
      </c>
      <c r="AK5382">
        <v>26.1083121190516</v>
      </c>
      <c r="AL5382">
        <v>88.377621628607997</v>
      </c>
      <c r="AM5382">
        <v>87.807590562501304</v>
      </c>
      <c r="AN5382">
        <v>0.99999998000370505</v>
      </c>
    </row>
    <row r="5383" spans="1:40" x14ac:dyDescent="0.25">
      <c r="A5383" t="str">
        <f>"20190312154405048"</f>
        <v>20190312154405048</v>
      </c>
      <c r="B5383" t="str">
        <f>"1552376645043143"</f>
        <v>1552376645043143</v>
      </c>
      <c r="C5383" t="s">
        <v>40</v>
      </c>
      <c r="D5383">
        <v>4.8164809999999996</v>
      </c>
      <c r="E5383">
        <v>0.4585301</v>
      </c>
      <c r="F5383" t="s">
        <v>43</v>
      </c>
      <c r="G5383">
        <v>-419.8381</v>
      </c>
      <c r="H5383" s="1">
        <v>-1.6629819999999999E-6</v>
      </c>
      <c r="I5383">
        <v>43.442259999999997</v>
      </c>
      <c r="J5383">
        <v>-421.38959999999997</v>
      </c>
      <c r="K5383">
        <v>1.1089639999999901</v>
      </c>
      <c r="L5383">
        <v>69.720919999999893</v>
      </c>
      <c r="M5383">
        <v>-1.6585059999999999E-2</v>
      </c>
      <c r="N5383">
        <v>0</v>
      </c>
      <c r="O5383">
        <v>-0.99975999999999998</v>
      </c>
      <c r="P5383">
        <v>-5.3660909999999999E-2</v>
      </c>
      <c r="Q5383">
        <v>1.4954E-2</v>
      </c>
      <c r="R5383">
        <v>-0.99844750000000004</v>
      </c>
      <c r="S5383">
        <v>0.17520139999999901</v>
      </c>
      <c r="T5383">
        <v>-0.12575710000000001</v>
      </c>
      <c r="U5383">
        <v>-3.0155639999999999</v>
      </c>
      <c r="V5383">
        <v>3.720126E-2</v>
      </c>
      <c r="W5383">
        <v>2.913379E-2</v>
      </c>
      <c r="X5383">
        <v>0.99888299999999997</v>
      </c>
      <c r="Y5383">
        <v>-7.4501940000000003E-2</v>
      </c>
      <c r="Z5383">
        <v>4.156497E-2</v>
      </c>
      <c r="AA5383">
        <v>0.99635430000000003</v>
      </c>
      <c r="AB5383">
        <v>31</v>
      </c>
      <c r="AC5383">
        <v>1.5514999999999699</v>
      </c>
      <c r="AD5383">
        <v>-1.1089656629819999</v>
      </c>
      <c r="AE5383">
        <v>-26.278659999999899</v>
      </c>
      <c r="AF5383">
        <v>-1.98364404531469</v>
      </c>
      <c r="AG5383">
        <v>-1.1089656629819999</v>
      </c>
      <c r="AH5383">
        <v>26.202809053852398</v>
      </c>
      <c r="AI5383">
        <v>92.416541918684302</v>
      </c>
      <c r="AJ5383">
        <v>94.329232664596006</v>
      </c>
      <c r="AK5383">
        <v>26.301175845441499</v>
      </c>
      <c r="AL5383">
        <v>88.330520531362595</v>
      </c>
      <c r="AM5383">
        <v>87.867127044822695</v>
      </c>
      <c r="AN5383">
        <v>0.99999997957717501</v>
      </c>
    </row>
    <row r="5384" spans="1:40" x14ac:dyDescent="0.25">
      <c r="A5384" t="str">
        <f>"20190312154405070"</f>
        <v>20190312154405070</v>
      </c>
      <c r="B5384" t="str">
        <f>"1552376645063169"</f>
        <v>1552376645063169</v>
      </c>
      <c r="C5384" t="s">
        <v>40</v>
      </c>
      <c r="D5384">
        <v>4.7930479999999998</v>
      </c>
      <c r="E5384">
        <v>0.45838220000000002</v>
      </c>
      <c r="F5384" t="s">
        <v>43</v>
      </c>
      <c r="G5384">
        <v>-420.00209999999998</v>
      </c>
      <c r="H5384" s="1">
        <v>-2.702672E-6</v>
      </c>
      <c r="I5384">
        <v>45.887779999999999</v>
      </c>
      <c r="J5384">
        <v>-421.39670000000001</v>
      </c>
      <c r="K5384">
        <v>1.108976</v>
      </c>
      <c r="L5384">
        <v>69.415769999999995</v>
      </c>
      <c r="M5384">
        <v>-1.8393690000000001E-2</v>
      </c>
      <c r="N5384">
        <v>0</v>
      </c>
      <c r="O5384">
        <v>-0.99972810000000001</v>
      </c>
      <c r="P5384">
        <v>-5.4254940000000001E-2</v>
      </c>
      <c r="Q5384">
        <v>1.508615E-2</v>
      </c>
      <c r="R5384">
        <v>-0.9984132</v>
      </c>
      <c r="S5384">
        <v>0.17559810000000001</v>
      </c>
      <c r="T5384">
        <v>-0.14034549999999901</v>
      </c>
      <c r="U5384">
        <v>-3.0162049999999998</v>
      </c>
      <c r="V5384">
        <v>3.5987890000000002E-2</v>
      </c>
      <c r="W5384">
        <v>2.9268679999999998E-2</v>
      </c>
      <c r="X5384">
        <v>0.99892349999999996</v>
      </c>
      <c r="Y5384">
        <v>-7.6411960000000001E-2</v>
      </c>
      <c r="Z5384">
        <v>4.6361279999999998E-2</v>
      </c>
      <c r="AA5384">
        <v>0.99599789999999999</v>
      </c>
      <c r="AB5384">
        <v>31</v>
      </c>
      <c r="AC5384">
        <v>1.39460000000002</v>
      </c>
      <c r="AD5384">
        <v>-1.1089787026719999</v>
      </c>
      <c r="AE5384">
        <v>-23.527989999999999</v>
      </c>
      <c r="AF5384">
        <v>-1.82313881565267</v>
      </c>
      <c r="AG5384">
        <v>-1.1089787026719999</v>
      </c>
      <c r="AH5384">
        <v>23.446446724233098</v>
      </c>
      <c r="AI5384">
        <v>92.699841254868403</v>
      </c>
      <c r="AJ5384">
        <v>94.446234216380006</v>
      </c>
      <c r="AK5384">
        <v>23.543354325508101</v>
      </c>
      <c r="AL5384">
        <v>88.322788592448006</v>
      </c>
      <c r="AM5384">
        <v>87.936716054839906</v>
      </c>
      <c r="AN5384">
        <v>0.99999997135392105</v>
      </c>
    </row>
    <row r="5385" spans="1:40" x14ac:dyDescent="0.25">
      <c r="A5385" t="str">
        <f>"20190312154405091"</f>
        <v>20190312154405091</v>
      </c>
      <c r="B5385" t="str">
        <f>"1552376645082689"</f>
        <v>1552376645082689</v>
      </c>
      <c r="C5385" t="s">
        <v>40</v>
      </c>
      <c r="D5385">
        <v>4.7924699999999998</v>
      </c>
      <c r="E5385">
        <v>0.45817570000000002</v>
      </c>
      <c r="F5385" t="s">
        <v>43</v>
      </c>
      <c r="G5385">
        <v>-420.06479999999999</v>
      </c>
      <c r="H5385" s="1">
        <v>-3.0058149999999999E-6</v>
      </c>
      <c r="I5385">
        <v>46.555540000000001</v>
      </c>
      <c r="J5385">
        <v>-421.4042</v>
      </c>
      <c r="K5385">
        <v>1.1089899999999999</v>
      </c>
      <c r="L5385">
        <v>69.114170000000001</v>
      </c>
      <c r="M5385">
        <v>-2.016132E-2</v>
      </c>
      <c r="N5385">
        <v>0</v>
      </c>
      <c r="O5385">
        <v>-0.99969430000000004</v>
      </c>
      <c r="P5385">
        <v>-5.5720890000000002E-2</v>
      </c>
      <c r="Q5385">
        <v>1.4965859999999999E-2</v>
      </c>
      <c r="R5385">
        <v>-0.99833459999999996</v>
      </c>
      <c r="S5385">
        <v>0.17575070000000001</v>
      </c>
      <c r="T5385">
        <v>-0.1463362</v>
      </c>
      <c r="U5385">
        <v>-3.0165410000000001</v>
      </c>
      <c r="V5385">
        <v>3.5686660000000002E-2</v>
      </c>
      <c r="W5385">
        <v>2.9148090000000001E-2</v>
      </c>
      <c r="X5385">
        <v>0.99893779999999999</v>
      </c>
      <c r="Y5385">
        <v>-7.8213130000000006E-2</v>
      </c>
      <c r="Z5385">
        <v>4.8324400000000003E-2</v>
      </c>
      <c r="AA5385">
        <v>0.99576469999999995</v>
      </c>
      <c r="AB5385">
        <v>30</v>
      </c>
      <c r="AC5385">
        <v>1.3394000000000099</v>
      </c>
      <c r="AD5385">
        <v>-1.1089930058149999</v>
      </c>
      <c r="AE5385">
        <v>-22.558629999999901</v>
      </c>
      <c r="AF5385">
        <v>-1.78967603212421</v>
      </c>
      <c r="AG5385">
        <v>-1.1089930058149999</v>
      </c>
      <c r="AH5385">
        <v>22.472916269022001</v>
      </c>
      <c r="AI5385">
        <v>92.816237315994897</v>
      </c>
      <c r="AJ5385">
        <v>94.553255570946703</v>
      </c>
      <c r="AK5385">
        <v>22.571326310639801</v>
      </c>
      <c r="AL5385">
        <v>88.329700785062897</v>
      </c>
      <c r="AM5385">
        <v>87.954000917022995</v>
      </c>
      <c r="AN5385">
        <v>0.999999938560719</v>
      </c>
    </row>
    <row r="5386" spans="1:40" x14ac:dyDescent="0.25">
      <c r="A5386" t="str">
        <f>"20190312154405113"</f>
        <v>20190312154405113</v>
      </c>
      <c r="B5386" t="str">
        <f>"1552376645103185"</f>
        <v>1552376645103185</v>
      </c>
      <c r="C5386" t="s">
        <v>40</v>
      </c>
      <c r="D5386">
        <v>4.7973860000000004</v>
      </c>
      <c r="E5386">
        <v>0.45773359999999902</v>
      </c>
      <c r="F5386" t="s">
        <v>43</v>
      </c>
      <c r="G5386">
        <v>-420.13889999999998</v>
      </c>
      <c r="H5386" s="1">
        <v>-3.2187490000000001E-6</v>
      </c>
      <c r="I5386">
        <v>47.005980000000001</v>
      </c>
      <c r="J5386">
        <v>-421.41210000000001</v>
      </c>
      <c r="K5386">
        <v>1.1090120000000001</v>
      </c>
      <c r="L5386">
        <v>68.812929999999994</v>
      </c>
      <c r="M5386">
        <v>-2.1907260000000001E-2</v>
      </c>
      <c r="N5386">
        <v>0</v>
      </c>
      <c r="O5386">
        <v>-0.99965740000000003</v>
      </c>
      <c r="P5386">
        <v>-5.7619139999999999E-2</v>
      </c>
      <c r="Q5386">
        <v>1.461027E-2</v>
      </c>
      <c r="R5386">
        <v>-0.9982318</v>
      </c>
      <c r="S5386">
        <v>0.1726685</v>
      </c>
      <c r="T5386">
        <v>-0.15133440000000001</v>
      </c>
      <c r="U5386">
        <v>-3.0169069999999998</v>
      </c>
      <c r="V5386">
        <v>3.5838689999999999E-2</v>
      </c>
      <c r="W5386">
        <v>2.8790610000000001E-2</v>
      </c>
      <c r="X5386">
        <v>0.99894280000000002</v>
      </c>
      <c r="Y5386">
        <v>-7.8928670000000006E-2</v>
      </c>
      <c r="Z5386">
        <v>4.996213E-2</v>
      </c>
      <c r="AA5386">
        <v>0.9956275</v>
      </c>
      <c r="AB5386">
        <v>30</v>
      </c>
      <c r="AC5386">
        <v>1.2732000000000301</v>
      </c>
      <c r="AD5386">
        <v>-1.1090152187489899</v>
      </c>
      <c r="AE5386">
        <v>-21.806950000000001</v>
      </c>
      <c r="AF5386">
        <v>-1.74617306384745</v>
      </c>
      <c r="AG5386">
        <v>-1.1090152187489899</v>
      </c>
      <c r="AH5386">
        <v>21.7178413887336</v>
      </c>
      <c r="AI5386">
        <v>92.9138660680985</v>
      </c>
      <c r="AJ5386">
        <v>94.5968467493975</v>
      </c>
      <c r="AK5386">
        <v>21.816133243783501</v>
      </c>
      <c r="AL5386">
        <v>88.350191606618495</v>
      </c>
      <c r="AM5386">
        <v>87.945302414913201</v>
      </c>
      <c r="AN5386">
        <v>1.00000001429846</v>
      </c>
    </row>
    <row r="5387" spans="1:40" x14ac:dyDescent="0.25">
      <c r="A5387" t="str">
        <f>"20190312154405136"</f>
        <v>20190312154405136</v>
      </c>
      <c r="B5387" t="str">
        <f>"1552376645122706"</f>
        <v>1552376645122706</v>
      </c>
      <c r="C5387" t="s">
        <v>40</v>
      </c>
      <c r="D5387">
        <v>4.7871230000000002</v>
      </c>
      <c r="E5387">
        <v>0.45729890000000001</v>
      </c>
      <c r="F5387" t="s">
        <v>43</v>
      </c>
      <c r="G5387">
        <v>-420.2</v>
      </c>
      <c r="H5387" s="1">
        <v>-3.3956769999999999E-6</v>
      </c>
      <c r="I5387">
        <v>47.380459999999999</v>
      </c>
      <c r="J5387">
        <v>-421.42059999999998</v>
      </c>
      <c r="K5387">
        <v>1.1090359999999999</v>
      </c>
      <c r="L5387">
        <v>68.512270000000001</v>
      </c>
      <c r="M5387">
        <v>-2.3619379999999999E-2</v>
      </c>
      <c r="N5387">
        <v>0</v>
      </c>
      <c r="O5387">
        <v>-0.99961880000000003</v>
      </c>
      <c r="P5387">
        <v>-5.9866639999999999E-2</v>
      </c>
      <c r="Q5387">
        <v>1.4378E-2</v>
      </c>
      <c r="R5387">
        <v>-0.99810339999999997</v>
      </c>
      <c r="S5387">
        <v>0.17065429999999901</v>
      </c>
      <c r="T5387">
        <v>-0.1561372</v>
      </c>
      <c r="U5387">
        <v>-3.0174560000000001</v>
      </c>
      <c r="V5387">
        <v>3.6374499999999997E-2</v>
      </c>
      <c r="W5387">
        <v>2.8554670000000001E-2</v>
      </c>
      <c r="X5387">
        <v>0.99893019999999999</v>
      </c>
      <c r="Y5387">
        <v>-7.9958710000000002E-2</v>
      </c>
      <c r="Z5387">
        <v>5.1530090000000001E-2</v>
      </c>
      <c r="AA5387">
        <v>0.9954653</v>
      </c>
      <c r="AB5387">
        <v>30</v>
      </c>
      <c r="AC5387">
        <v>1.2205999999999899</v>
      </c>
      <c r="AD5387">
        <v>-1.1090393956769999</v>
      </c>
      <c r="AE5387">
        <v>-21.131810000000002</v>
      </c>
      <c r="AF5387">
        <v>-1.71472341616007</v>
      </c>
      <c r="AG5387">
        <v>-1.1090393956769999</v>
      </c>
      <c r="AH5387">
        <v>21.0393236026664</v>
      </c>
      <c r="AI5387">
        <v>93.007468644781994</v>
      </c>
      <c r="AJ5387">
        <v>94.659358306235703</v>
      </c>
      <c r="AK5387">
        <v>21.138197237059</v>
      </c>
      <c r="AL5387">
        <v>88.363715524211798</v>
      </c>
      <c r="AM5387">
        <v>87.914584090710605</v>
      </c>
      <c r="AN5387">
        <v>1.0000000089505401</v>
      </c>
    </row>
    <row r="5388" spans="1:40" x14ac:dyDescent="0.25">
      <c r="A5388" t="str">
        <f>"20190312154405159"</f>
        <v>20190312154405159</v>
      </c>
      <c r="B5388" t="str">
        <f>"1552376645152961"</f>
        <v>1552376645152961</v>
      </c>
      <c r="C5388" t="s">
        <v>40</v>
      </c>
      <c r="D5388">
        <v>4.8292029999999997</v>
      </c>
      <c r="E5388">
        <v>0.45665319999999998</v>
      </c>
      <c r="F5388" t="s">
        <v>43</v>
      </c>
      <c r="G5388">
        <v>-420.2593</v>
      </c>
      <c r="H5388" s="1">
        <v>-3.4948259999999999E-6</v>
      </c>
      <c r="I5388">
        <v>47.574779999999997</v>
      </c>
      <c r="J5388">
        <v>-421.43</v>
      </c>
      <c r="K5388">
        <v>1.1090709999999999</v>
      </c>
      <c r="L5388">
        <v>68.197199999999995</v>
      </c>
      <c r="M5388">
        <v>-2.5369550000000001E-2</v>
      </c>
      <c r="N5388">
        <v>0</v>
      </c>
      <c r="O5388">
        <v>-0.99957569999999996</v>
      </c>
      <c r="P5388">
        <v>-6.1512839999999999E-2</v>
      </c>
      <c r="Q5388">
        <v>1.3991440000000001E-2</v>
      </c>
      <c r="R5388">
        <v>-0.99800840000000002</v>
      </c>
      <c r="S5388">
        <v>0.16738889999999901</v>
      </c>
      <c r="T5388">
        <v>-0.15986259999999999</v>
      </c>
      <c r="U5388">
        <v>-3.0180359999999999</v>
      </c>
      <c r="V5388">
        <v>3.6269259999999998E-2</v>
      </c>
      <c r="W5388">
        <v>2.816811E-2</v>
      </c>
      <c r="X5388">
        <v>0.99894499999999997</v>
      </c>
      <c r="Y5388">
        <v>-8.0615969999999995E-2</v>
      </c>
      <c r="Z5388">
        <v>5.2742879999999999E-2</v>
      </c>
      <c r="AA5388">
        <v>0.99534880000000003</v>
      </c>
      <c r="AB5388">
        <v>30</v>
      </c>
      <c r="AC5388">
        <v>1.1707000000000101</v>
      </c>
      <c r="AD5388">
        <v>-1.1090744948259901</v>
      </c>
      <c r="AE5388">
        <v>-20.622420000000002</v>
      </c>
      <c r="AF5388">
        <v>-1.6886897266655601</v>
      </c>
      <c r="AG5388">
        <v>-1.1090744948259901</v>
      </c>
      <c r="AH5388">
        <v>20.526898879524001</v>
      </c>
      <c r="AI5388">
        <v>93.082308400682905</v>
      </c>
      <c r="AJ5388">
        <v>94.702970563931302</v>
      </c>
      <c r="AK5388">
        <v>20.6260829252242</v>
      </c>
      <c r="AL5388">
        <v>88.385872691126195</v>
      </c>
      <c r="AM5388">
        <v>87.920643166485704</v>
      </c>
      <c r="AN5388">
        <v>1.0000000073334501</v>
      </c>
    </row>
    <row r="5389" spans="1:40" x14ac:dyDescent="0.25">
      <c r="A5389" t="str">
        <f>"20190312154405181"</f>
        <v>20190312154405181</v>
      </c>
      <c r="B5389" t="str">
        <f>"1552376645173461"</f>
        <v>1552376645173461</v>
      </c>
      <c r="C5389" t="s">
        <v>40</v>
      </c>
      <c r="D5389">
        <v>4.8212669999999997</v>
      </c>
      <c r="E5389">
        <v>0.45440350000000002</v>
      </c>
      <c r="F5389" t="s">
        <v>43</v>
      </c>
      <c r="G5389">
        <v>-420.30200000000002</v>
      </c>
      <c r="H5389" s="1">
        <v>-3.6406770000000001E-6</v>
      </c>
      <c r="I5389">
        <v>47.888309999999997</v>
      </c>
      <c r="J5389">
        <v>-421.4393</v>
      </c>
      <c r="K5389">
        <v>1.1091139999999999</v>
      </c>
      <c r="L5389">
        <v>67.898679999999999</v>
      </c>
      <c r="M5389">
        <v>-2.6975240000000001E-2</v>
      </c>
      <c r="N5389">
        <v>0</v>
      </c>
      <c r="O5389">
        <v>-0.99953369999999997</v>
      </c>
      <c r="P5389">
        <v>-6.365171E-2</v>
      </c>
      <c r="Q5389">
        <v>1.387294E-2</v>
      </c>
      <c r="R5389">
        <v>-0.99787579999999998</v>
      </c>
      <c r="S5389">
        <v>0.1676636</v>
      </c>
      <c r="T5389">
        <v>-0.1648492</v>
      </c>
      <c r="U5389">
        <v>-3.0186459999999999</v>
      </c>
      <c r="V5389">
        <v>3.6802519999999998E-2</v>
      </c>
      <c r="W5389">
        <v>2.804705E-2</v>
      </c>
      <c r="X5389">
        <v>0.99892890000000001</v>
      </c>
      <c r="Y5389">
        <v>-8.2291359999999994E-2</v>
      </c>
      <c r="Z5389">
        <v>5.4365009999999998E-2</v>
      </c>
      <c r="AA5389">
        <v>0.99512440000000002</v>
      </c>
      <c r="AB5389">
        <v>30</v>
      </c>
      <c r="AC5389">
        <v>1.13730000000003</v>
      </c>
      <c r="AD5389">
        <v>-1.109117640677</v>
      </c>
      <c r="AE5389">
        <v>-20.010370000000002</v>
      </c>
      <c r="AF5389">
        <v>-1.6716069257649999</v>
      </c>
      <c r="AG5389">
        <v>-1.109117640677</v>
      </c>
      <c r="AH5389">
        <v>19.911430394806001</v>
      </c>
      <c r="AI5389">
        <v>93.177073584487502</v>
      </c>
      <c r="AJ5389">
        <v>94.798849615185205</v>
      </c>
      <c r="AK5389">
        <v>20.0122330593647</v>
      </c>
      <c r="AL5389">
        <v>88.392811655752197</v>
      </c>
      <c r="AM5389">
        <v>87.890064236432394</v>
      </c>
      <c r="AN5389">
        <v>1.0000000048736299</v>
      </c>
    </row>
    <row r="5390" spans="1:40" x14ac:dyDescent="0.25">
      <c r="A5390" t="str">
        <f>"20190312154405203"</f>
        <v>20190312154405203</v>
      </c>
      <c r="B5390" t="str">
        <f>"1552376645192978"</f>
        <v>1552376645192978</v>
      </c>
      <c r="C5390" t="s">
        <v>40</v>
      </c>
      <c r="D5390">
        <v>4.9203250000000001</v>
      </c>
      <c r="E5390">
        <v>0.46103620000000001</v>
      </c>
      <c r="F5390" t="s">
        <v>43</v>
      </c>
      <c r="G5390">
        <v>-420.38170000000002</v>
      </c>
      <c r="H5390" s="1">
        <v>-3.4877989999999999E-7</v>
      </c>
      <c r="I5390">
        <v>50.165410000000001</v>
      </c>
      <c r="J5390">
        <v>-421.44909999999999</v>
      </c>
      <c r="K5390">
        <v>1.1091599999999999</v>
      </c>
      <c r="L5390">
        <v>67.599490000000003</v>
      </c>
      <c r="M5390">
        <v>-2.8526639999999999E-2</v>
      </c>
      <c r="N5390">
        <v>0</v>
      </c>
      <c r="O5390">
        <v>-0.99949060000000001</v>
      </c>
      <c r="P5390">
        <v>-6.5344550000000001E-2</v>
      </c>
      <c r="Q5390">
        <v>1.3924850000000001E-2</v>
      </c>
      <c r="R5390">
        <v>-0.99776580000000004</v>
      </c>
      <c r="S5390">
        <v>0.18014530000000001</v>
      </c>
      <c r="T5390">
        <v>-0.18891549999999999</v>
      </c>
      <c r="U5390">
        <v>-3.020508</v>
      </c>
      <c r="V5390">
        <v>3.6943700000000003E-2</v>
      </c>
      <c r="W5390">
        <v>2.809853E-2</v>
      </c>
      <c r="X5390">
        <v>0.99892219999999998</v>
      </c>
      <c r="Y5390">
        <v>-8.7874190000000005E-2</v>
      </c>
      <c r="Z5390">
        <v>6.2208369999999999E-2</v>
      </c>
      <c r="AA5390">
        <v>0.99418720000000005</v>
      </c>
      <c r="AB5390">
        <v>30</v>
      </c>
      <c r="AC5390">
        <v>1.0673999999999599</v>
      </c>
      <c r="AD5390">
        <v>-1.1091603487799</v>
      </c>
      <c r="AE5390">
        <v>-17.434080000000002</v>
      </c>
      <c r="AF5390">
        <v>-1.55806937655283</v>
      </c>
      <c r="AG5390">
        <v>-1.1091603487799</v>
      </c>
      <c r="AH5390">
        <v>17.326662619825299</v>
      </c>
      <c r="AI5390">
        <v>93.648091993494802</v>
      </c>
      <c r="AJ5390">
        <v>95.138400973729802</v>
      </c>
      <c r="AK5390">
        <v>17.431897613361201</v>
      </c>
      <c r="AL5390">
        <v>88.389860838660596</v>
      </c>
      <c r="AM5390">
        <v>87.881963370177601</v>
      </c>
      <c r="AN5390">
        <v>0.99999996300534399</v>
      </c>
    </row>
    <row r="5391" spans="1:40" x14ac:dyDescent="0.25">
      <c r="A5391" t="str">
        <f>"20190312154405226"</f>
        <v>20190312154405226</v>
      </c>
      <c r="B5391" t="str">
        <f>"1552376645213474"</f>
        <v>1552376645213474</v>
      </c>
      <c r="C5391" t="s">
        <v>40</v>
      </c>
      <c r="D5391">
        <v>4.9376600000000002</v>
      </c>
      <c r="E5391">
        <v>0.46672789999999997</v>
      </c>
      <c r="F5391" t="s">
        <v>43</v>
      </c>
      <c r="G5391">
        <v>-420.7364</v>
      </c>
      <c r="H5391" s="1">
        <v>-3.5733399999999999E-7</v>
      </c>
      <c r="I5391">
        <v>49.965339999999998</v>
      </c>
      <c r="J5391">
        <v>-421.45920000000001</v>
      </c>
      <c r="K5391">
        <v>1.109202</v>
      </c>
      <c r="L5391">
        <v>67.301760000000002</v>
      </c>
      <c r="M5391">
        <v>-3.0007780000000001E-2</v>
      </c>
      <c r="N5391">
        <v>0</v>
      </c>
      <c r="O5391">
        <v>-0.99944750000000004</v>
      </c>
      <c r="P5391">
        <v>-6.6549789999999998E-2</v>
      </c>
      <c r="Q5391">
        <v>1.3484869999999999E-2</v>
      </c>
      <c r="R5391">
        <v>-0.99769229999999998</v>
      </c>
      <c r="S5391">
        <v>0.12194820000000001</v>
      </c>
      <c r="T5391">
        <v>-0.1897857</v>
      </c>
      <c r="U5391">
        <v>-3.017334</v>
      </c>
      <c r="V5391">
        <v>3.6664849999999999E-2</v>
      </c>
      <c r="W5391">
        <v>2.7660480000000001E-2</v>
      </c>
      <c r="X5391">
        <v>0.99894479999999997</v>
      </c>
      <c r="Y5391">
        <v>-7.0271719999999996E-2</v>
      </c>
      <c r="Z5391">
        <v>6.2628939999999994E-2</v>
      </c>
      <c r="AA5391">
        <v>0.99555990000000005</v>
      </c>
      <c r="AB5391">
        <v>30</v>
      </c>
      <c r="AC5391">
        <v>0.72280000000000599</v>
      </c>
      <c r="AD5391">
        <v>-1.109202357334</v>
      </c>
      <c r="AE5391">
        <v>-17.336419999999901</v>
      </c>
      <c r="AF5391">
        <v>-1.23769722515116</v>
      </c>
      <c r="AG5391">
        <v>-1.109202357334</v>
      </c>
      <c r="AH5391">
        <v>17.236482978120598</v>
      </c>
      <c r="AI5391">
        <v>93.672591451682806</v>
      </c>
      <c r="AJ5391">
        <v>94.107178878979795</v>
      </c>
      <c r="AK5391">
        <v>17.316424854620099</v>
      </c>
      <c r="AL5391">
        <v>88.414969174969997</v>
      </c>
      <c r="AM5391">
        <v>87.897983368558499</v>
      </c>
      <c r="AN5391">
        <v>1.00000006341319</v>
      </c>
    </row>
    <row r="5392" spans="1:40" x14ac:dyDescent="0.25">
      <c r="A5392" t="str">
        <f>"20190312154405249"</f>
        <v>20190312154405249</v>
      </c>
      <c r="B5392" t="str">
        <f>"1552376645242753"</f>
        <v>1552376645242753</v>
      </c>
      <c r="C5392" t="s">
        <v>40</v>
      </c>
      <c r="D5392">
        <v>4.9007189999999996</v>
      </c>
      <c r="E5392">
        <v>0.46990209999999999</v>
      </c>
      <c r="F5392" t="s">
        <v>43</v>
      </c>
      <c r="G5392">
        <v>-421.03800000000001</v>
      </c>
      <c r="H5392" s="1">
        <v>-3.8251130000000001E-7</v>
      </c>
      <c r="I5392">
        <v>49.836950000000002</v>
      </c>
      <c r="J5392">
        <v>-421.47</v>
      </c>
      <c r="K5392">
        <v>1.109256</v>
      </c>
      <c r="L5392">
        <v>66.993470000000002</v>
      </c>
      <c r="M5392">
        <v>-3.1471659999999999E-2</v>
      </c>
      <c r="N5392">
        <v>0</v>
      </c>
      <c r="O5392">
        <v>-0.99940249999999997</v>
      </c>
      <c r="P5392">
        <v>-6.7297330000000002E-2</v>
      </c>
      <c r="Q5392">
        <v>1.3268139999999999E-2</v>
      </c>
      <c r="R5392">
        <v>-0.9976448</v>
      </c>
      <c r="S5392">
        <v>7.2692870000000007E-2</v>
      </c>
      <c r="T5392">
        <v>-0.19144510000000001</v>
      </c>
      <c r="U5392">
        <v>-3.0143740000000001</v>
      </c>
      <c r="V5392">
        <v>3.5945329999999998E-2</v>
      </c>
      <c r="W5392">
        <v>2.744694E-2</v>
      </c>
      <c r="X5392">
        <v>0.9989768</v>
      </c>
      <c r="Y5392">
        <v>-5.5513809999999997E-2</v>
      </c>
      <c r="Z5392">
        <v>6.3277910000000007E-2</v>
      </c>
      <c r="AA5392">
        <v>0.99645079999999997</v>
      </c>
      <c r="AB5392">
        <v>30</v>
      </c>
      <c r="AC5392">
        <v>0.43200000000001598</v>
      </c>
      <c r="AD5392">
        <v>-1.1092563825113</v>
      </c>
      <c r="AE5392">
        <v>-17.15652</v>
      </c>
      <c r="AF5392">
        <v>-0.96774238592304596</v>
      </c>
      <c r="AG5392">
        <v>-1.1092563825113</v>
      </c>
      <c r="AH5392">
        <v>17.0631390250404</v>
      </c>
      <c r="AI5392">
        <v>93.713552342772104</v>
      </c>
      <c r="AJ5392">
        <v>93.2460743164809</v>
      </c>
      <c r="AK5392">
        <v>17.126520032847001</v>
      </c>
      <c r="AL5392">
        <v>88.427208700200893</v>
      </c>
      <c r="AM5392">
        <v>87.9392638913328</v>
      </c>
      <c r="AN5392">
        <v>1.0000000241011999</v>
      </c>
    </row>
    <row r="5393" spans="1:40" x14ac:dyDescent="0.25">
      <c r="A5393" t="str">
        <f>"20190312154405271"</f>
        <v>20190312154405271</v>
      </c>
      <c r="B5393" t="str">
        <f>"1552376645263250"</f>
        <v>1552376645263250</v>
      </c>
      <c r="C5393" t="s">
        <v>40</v>
      </c>
      <c r="D5393">
        <v>4.9426889999999997</v>
      </c>
      <c r="E5393">
        <v>0.4710259</v>
      </c>
      <c r="F5393" t="s">
        <v>43</v>
      </c>
      <c r="G5393">
        <v>-421.22199999999998</v>
      </c>
      <c r="H5393" s="1">
        <v>-8.0662319999999896E-7</v>
      </c>
      <c r="I5393">
        <v>50.711449999999999</v>
      </c>
      <c r="J5393">
        <v>-421.4812</v>
      </c>
      <c r="K5393">
        <v>1.1093139999999999</v>
      </c>
      <c r="L5393">
        <v>66.687989999999999</v>
      </c>
      <c r="M5393">
        <v>-3.2842740000000002E-2</v>
      </c>
      <c r="N5393">
        <v>0</v>
      </c>
      <c r="O5393">
        <v>-0.99935850000000004</v>
      </c>
      <c r="P5393">
        <v>-6.7724820000000005E-2</v>
      </c>
      <c r="Q5393">
        <v>1.267097E-2</v>
      </c>
      <c r="R5393">
        <v>-0.99762390000000001</v>
      </c>
      <c r="S5393">
        <v>4.5898439999999999E-2</v>
      </c>
      <c r="T5393">
        <v>-0.20526249999999999</v>
      </c>
      <c r="U5393">
        <v>-3.0129090000000001</v>
      </c>
      <c r="V5393">
        <v>3.499671E-2</v>
      </c>
      <c r="W5393">
        <v>2.6853019999999998E-2</v>
      </c>
      <c r="X5393">
        <v>0.99902659999999999</v>
      </c>
      <c r="Y5393">
        <v>-4.8031030000000002E-2</v>
      </c>
      <c r="Z5393">
        <v>6.7872000000000002E-2</v>
      </c>
      <c r="AA5393">
        <v>0.99653720000000001</v>
      </c>
      <c r="AB5393">
        <v>30</v>
      </c>
      <c r="AC5393">
        <v>0.25920000000002102</v>
      </c>
      <c r="AD5393">
        <v>-1.1093148066231999</v>
      </c>
      <c r="AE5393">
        <v>-15.97654</v>
      </c>
      <c r="AF5393">
        <v>-0.78006722923678196</v>
      </c>
      <c r="AG5393">
        <v>-1.1093148066231999</v>
      </c>
      <c r="AH5393">
        <v>15.8828533727202</v>
      </c>
      <c r="AI5393">
        <v>93.990458067353103</v>
      </c>
      <c r="AJ5393">
        <v>92.8117539059959</v>
      </c>
      <c r="AK5393">
        <v>15.940643509019701</v>
      </c>
      <c r="AL5393">
        <v>88.461250322349301</v>
      </c>
      <c r="AM5393">
        <v>87.993702904480699</v>
      </c>
      <c r="AN5393">
        <v>1.0000000009507499</v>
      </c>
    </row>
    <row r="5394" spans="1:40" x14ac:dyDescent="0.25">
      <c r="A5394" t="str">
        <f>"20190312154405294"</f>
        <v>20190312154405294</v>
      </c>
      <c r="B5394" t="str">
        <f>"1552376645282770"</f>
        <v>1552376645282770</v>
      </c>
      <c r="C5394" t="s">
        <v>40</v>
      </c>
      <c r="D5394">
        <v>4.9251209999999999</v>
      </c>
      <c r="E5394">
        <v>0.47158689999999998</v>
      </c>
      <c r="F5394" t="s">
        <v>43</v>
      </c>
      <c r="G5394">
        <v>-421.29320000000001</v>
      </c>
      <c r="H5394" s="1">
        <v>-7.1968369999999897E-7</v>
      </c>
      <c r="I5394">
        <v>50.464649999999999</v>
      </c>
      <c r="J5394">
        <v>-421.49279999999999</v>
      </c>
      <c r="K5394">
        <v>1.109375</v>
      </c>
      <c r="L5394">
        <v>66.380340000000004</v>
      </c>
      <c r="M5394">
        <v>-3.4162789999999998E-2</v>
      </c>
      <c r="N5394">
        <v>0</v>
      </c>
      <c r="O5394">
        <v>-0.99931420000000004</v>
      </c>
      <c r="P5394">
        <v>-6.8491869999999996E-2</v>
      </c>
      <c r="Q5394">
        <v>1.2406810000000001E-2</v>
      </c>
      <c r="R5394">
        <v>-0.99757499999999999</v>
      </c>
      <c r="S5394">
        <v>3.4912110000000003E-2</v>
      </c>
      <c r="T5394">
        <v>-0.20596159999999999</v>
      </c>
      <c r="U5394">
        <v>-3.0121150000000001</v>
      </c>
      <c r="V5394">
        <v>3.4440720000000001E-2</v>
      </c>
      <c r="W5394">
        <v>2.659133E-2</v>
      </c>
      <c r="X5394">
        <v>0.99905290000000002</v>
      </c>
      <c r="Y5394">
        <v>-4.572002E-2</v>
      </c>
      <c r="Z5394">
        <v>6.8120769999999997E-2</v>
      </c>
      <c r="AA5394">
        <v>0.99662890000000004</v>
      </c>
      <c r="AB5394">
        <v>30</v>
      </c>
      <c r="AC5394">
        <v>0.19959999999997499</v>
      </c>
      <c r="AD5394">
        <v>-1.1093757196837</v>
      </c>
      <c r="AE5394">
        <v>-15.91569</v>
      </c>
      <c r="AF5394">
        <v>-0.73967016185499102</v>
      </c>
      <c r="AG5394">
        <v>-1.1093757196837</v>
      </c>
      <c r="AH5394">
        <v>15.8227149242613</v>
      </c>
      <c r="AI5394">
        <v>94.006246686224998</v>
      </c>
      <c r="AJ5394">
        <v>92.676477956686398</v>
      </c>
      <c r="AK5394">
        <v>15.8787951057441</v>
      </c>
      <c r="AL5394">
        <v>88.476249378434204</v>
      </c>
      <c r="AM5394">
        <v>88.025603294302002</v>
      </c>
      <c r="AN5394">
        <v>0.99999997951184805</v>
      </c>
    </row>
    <row r="5395" spans="1:40" x14ac:dyDescent="0.25">
      <c r="A5395" t="str">
        <f>"20190312154405315"</f>
        <v>20190312154405315</v>
      </c>
      <c r="B5395" t="str">
        <f>"1552376645303265"</f>
        <v>1552376645303265</v>
      </c>
      <c r="C5395" t="s">
        <v>40</v>
      </c>
      <c r="D5395">
        <v>4.895664</v>
      </c>
      <c r="E5395">
        <v>0.4718234</v>
      </c>
      <c r="F5395" t="s">
        <v>43</v>
      </c>
      <c r="G5395">
        <v>-421.34350000000001</v>
      </c>
      <c r="H5395" s="1">
        <v>-6.2129309999999899E-7</v>
      </c>
      <c r="I5395">
        <v>50.204070000000002</v>
      </c>
      <c r="J5395">
        <v>-421.50420000000003</v>
      </c>
      <c r="K5395">
        <v>1.1094269999999999</v>
      </c>
      <c r="L5395">
        <v>66.088200000000001</v>
      </c>
      <c r="M5395">
        <v>-3.5357970000000002E-2</v>
      </c>
      <c r="N5395">
        <v>0</v>
      </c>
      <c r="O5395">
        <v>-0.99927259999999996</v>
      </c>
      <c r="P5395">
        <v>-6.9700940000000003E-2</v>
      </c>
      <c r="Q5395">
        <v>1.213462E-2</v>
      </c>
      <c r="R5395">
        <v>-0.99749399999999999</v>
      </c>
      <c r="S5395">
        <v>2.7801510000000001E-2</v>
      </c>
      <c r="T5395">
        <v>-0.20654919999999999</v>
      </c>
      <c r="U5395">
        <v>-3.0117799999999999</v>
      </c>
      <c r="V5395">
        <v>3.4452789999999997E-2</v>
      </c>
      <c r="W5395">
        <v>2.6319149999999999E-2</v>
      </c>
      <c r="X5395">
        <v>0.99905969999999999</v>
      </c>
      <c r="Y5395">
        <v>-4.4563199999999997E-2</v>
      </c>
      <c r="Z5395">
        <v>6.8320130000000007E-2</v>
      </c>
      <c r="AA5395">
        <v>0.99666770000000005</v>
      </c>
      <c r="AB5395">
        <v>30</v>
      </c>
      <c r="AC5395">
        <v>0.16070000000001899</v>
      </c>
      <c r="AD5395">
        <v>-1.1094276212931</v>
      </c>
      <c r="AE5395">
        <v>-15.884130000000001</v>
      </c>
      <c r="AF5395">
        <v>-0.71878131371656595</v>
      </c>
      <c r="AG5395">
        <v>-1.1094276212931</v>
      </c>
      <c r="AH5395">
        <v>15.791485027598201</v>
      </c>
      <c r="AI5395">
        <v>94.014557542812398</v>
      </c>
      <c r="AJ5395">
        <v>92.606134245129994</v>
      </c>
      <c r="AK5395">
        <v>15.84671813344</v>
      </c>
      <c r="AL5395">
        <v>88.491849617392901</v>
      </c>
      <c r="AM5395">
        <v>88.024925333187795</v>
      </c>
      <c r="AN5395">
        <v>0.99999998827979797</v>
      </c>
    </row>
    <row r="5396" spans="1:40" x14ac:dyDescent="0.25">
      <c r="A5396" t="str">
        <f>"20190312154405338"</f>
        <v>20190312154405338</v>
      </c>
      <c r="B5396" t="str">
        <f>"1552376645322786"</f>
        <v>1552376645322786</v>
      </c>
      <c r="C5396" t="s">
        <v>40</v>
      </c>
      <c r="D5396">
        <v>4.9260390000000003</v>
      </c>
      <c r="E5396">
        <v>0.4720955</v>
      </c>
      <c r="F5396" t="s">
        <v>43</v>
      </c>
      <c r="G5396">
        <v>-421.38490000000002</v>
      </c>
      <c r="H5396" s="1">
        <v>-6.3032079999999999E-7</v>
      </c>
      <c r="I5396">
        <v>50.199480000000001</v>
      </c>
      <c r="J5396">
        <v>-421.51600000000002</v>
      </c>
      <c r="K5396">
        <v>1.1094850000000001</v>
      </c>
      <c r="L5396">
        <v>65.79074</v>
      </c>
      <c r="M5396">
        <v>-3.650581E-2</v>
      </c>
      <c r="N5396">
        <v>0</v>
      </c>
      <c r="O5396">
        <v>-0.99923150000000005</v>
      </c>
      <c r="P5396">
        <v>-7.1291880000000002E-2</v>
      </c>
      <c r="Q5396">
        <v>1.211483E-2</v>
      </c>
      <c r="R5396">
        <v>-0.99738190000000004</v>
      </c>
      <c r="S5396">
        <v>2.261353E-2</v>
      </c>
      <c r="T5396">
        <v>-0.21028859999999999</v>
      </c>
      <c r="U5396">
        <v>-3.0116580000000002</v>
      </c>
      <c r="V5396">
        <v>3.4895299999999997E-2</v>
      </c>
      <c r="W5396">
        <v>2.62977E-2</v>
      </c>
      <c r="X5396">
        <v>0.99904490000000001</v>
      </c>
      <c r="Y5396">
        <v>-4.3993709999999998E-2</v>
      </c>
      <c r="Z5396">
        <v>6.9550979999999998E-2</v>
      </c>
      <c r="AA5396">
        <v>0.99660780000000004</v>
      </c>
      <c r="AB5396">
        <v>30</v>
      </c>
      <c r="AC5396">
        <v>0.13109999999994601</v>
      </c>
      <c r="AD5396">
        <v>-1.1094856303208001</v>
      </c>
      <c r="AE5396">
        <v>-15.591259999999901</v>
      </c>
      <c r="AF5396">
        <v>-0.696714352127908</v>
      </c>
      <c r="AG5396">
        <v>-1.1094856303208001</v>
      </c>
      <c r="AH5396">
        <v>15.497606956606999</v>
      </c>
      <c r="AI5396">
        <v>94.0907451526393</v>
      </c>
      <c r="AJ5396">
        <v>92.574070419898902</v>
      </c>
      <c r="AK5396">
        <v>15.5528836758275</v>
      </c>
      <c r="AL5396">
        <v>88.493079027346994</v>
      </c>
      <c r="AM5396">
        <v>87.9995484371385</v>
      </c>
      <c r="AN5396">
        <v>0.99999998160169401</v>
      </c>
    </row>
    <row r="5397" spans="1:40" x14ac:dyDescent="0.25">
      <c r="A5397" t="str">
        <f>"20190312154405360"</f>
        <v>20190312154405360</v>
      </c>
      <c r="B5397" t="str">
        <f>"1552376645353042"</f>
        <v>1552376645353042</v>
      </c>
      <c r="C5397" t="s">
        <v>40</v>
      </c>
      <c r="D5397">
        <v>4.9686719999999998</v>
      </c>
      <c r="E5397">
        <v>0.472632</v>
      </c>
      <c r="F5397" t="s">
        <v>43</v>
      </c>
      <c r="G5397">
        <v>-421.43290000000002</v>
      </c>
      <c r="H5397" s="1">
        <v>-4.4675359999999998E-7</v>
      </c>
      <c r="I5397">
        <v>49.741779999999999</v>
      </c>
      <c r="J5397">
        <v>-421.5283</v>
      </c>
      <c r="K5397">
        <v>1.1095469999999901</v>
      </c>
      <c r="L5397">
        <v>65.487300000000005</v>
      </c>
      <c r="M5397">
        <v>-3.7593929999999998E-2</v>
      </c>
      <c r="N5397">
        <v>0</v>
      </c>
      <c r="O5397">
        <v>-0.9991913</v>
      </c>
      <c r="P5397">
        <v>-7.2383810000000007E-2</v>
      </c>
      <c r="Q5397">
        <v>1.200069E-2</v>
      </c>
      <c r="R5397">
        <v>-0.99730490000000005</v>
      </c>
      <c r="S5397">
        <v>1.5594480000000001E-2</v>
      </c>
      <c r="T5397">
        <v>-0.2081914</v>
      </c>
      <c r="U5397">
        <v>-3.011536</v>
      </c>
      <c r="V5397">
        <v>3.4896690000000001E-2</v>
      </c>
      <c r="W5397">
        <v>2.618521E-2</v>
      </c>
      <c r="X5397">
        <v>0.99904780000000004</v>
      </c>
      <c r="Y5397">
        <v>-4.2759440000000003E-2</v>
      </c>
      <c r="Z5397">
        <v>6.8861619999999998E-2</v>
      </c>
      <c r="AA5397">
        <v>0.99670950000000003</v>
      </c>
      <c r="AB5397">
        <v>30</v>
      </c>
      <c r="AC5397">
        <v>9.5399999999983706E-2</v>
      </c>
      <c r="AD5397">
        <v>-1.10954744675359</v>
      </c>
      <c r="AE5397">
        <v>-15.745520000000001</v>
      </c>
      <c r="AF5397">
        <v>-0.68393268771355498</v>
      </c>
      <c r="AG5397">
        <v>-1.10954744675359</v>
      </c>
      <c r="AH5397">
        <v>15.6530752420631</v>
      </c>
      <c r="AI5397">
        <v>94.050701746879</v>
      </c>
      <c r="AJ5397">
        <v>92.501843728257796</v>
      </c>
      <c r="AK5397">
        <v>15.7072474988971</v>
      </c>
      <c r="AL5397">
        <v>88.4995264407343</v>
      </c>
      <c r="AM5397">
        <v>87.999474619359702</v>
      </c>
      <c r="AN5397">
        <v>0.99999997544026997</v>
      </c>
    </row>
    <row r="5398" spans="1:40" x14ac:dyDescent="0.25">
      <c r="A5398" t="str">
        <f>"20190312154405383"</f>
        <v>20190312154405383</v>
      </c>
      <c r="B5398" t="str">
        <f>"1552376645373537"</f>
        <v>1552376645373537</v>
      </c>
      <c r="C5398" t="s">
        <v>40</v>
      </c>
      <c r="D5398">
        <v>4.9381579999999996</v>
      </c>
      <c r="E5398">
        <v>0.47275679999999998</v>
      </c>
      <c r="F5398" t="s">
        <v>43</v>
      </c>
      <c r="G5398">
        <v>-421.48500000000001</v>
      </c>
      <c r="H5398" s="1">
        <v>-4.5356339999999999E-6</v>
      </c>
      <c r="I5398">
        <v>49.540889999999997</v>
      </c>
      <c r="J5398">
        <v>-421.54059999999998</v>
      </c>
      <c r="K5398">
        <v>1.1096299999999999</v>
      </c>
      <c r="L5398">
        <v>65.188689999999994</v>
      </c>
      <c r="M5398">
        <v>-3.8570479999999997E-2</v>
      </c>
      <c r="N5398">
        <v>0</v>
      </c>
      <c r="O5398">
        <v>-0.99915399999999999</v>
      </c>
      <c r="P5398">
        <v>-7.2647219999999998E-2</v>
      </c>
      <c r="Q5398">
        <v>1.2060120000000001E-2</v>
      </c>
      <c r="R5398">
        <v>-0.99728470000000002</v>
      </c>
      <c r="S5398">
        <v>8.178711E-3</v>
      </c>
      <c r="T5398">
        <v>-0.2095214</v>
      </c>
      <c r="U5398">
        <v>-3.0112299999999999</v>
      </c>
      <c r="V5398">
        <v>3.4179180000000003E-2</v>
      </c>
      <c r="W5398">
        <v>2.6247650000000001E-2</v>
      </c>
      <c r="X5398">
        <v>0.99907100000000004</v>
      </c>
      <c r="Y5398">
        <v>-4.1281739999999997E-2</v>
      </c>
      <c r="Z5398">
        <v>6.9305050000000007E-2</v>
      </c>
      <c r="AA5398">
        <v>0.99674099999999999</v>
      </c>
      <c r="AB5398">
        <v>30</v>
      </c>
      <c r="AC5398">
        <v>5.5599999999969799E-2</v>
      </c>
      <c r="AD5398">
        <v>-1.1096345356339901</v>
      </c>
      <c r="AE5398">
        <v>-15.6478</v>
      </c>
      <c r="AF5398">
        <v>-0.655865136981446</v>
      </c>
      <c r="AG5398">
        <v>-1.1096345356339901</v>
      </c>
      <c r="AH5398">
        <v>15.5557851220385</v>
      </c>
      <c r="AI5398">
        <v>94.076536186055506</v>
      </c>
      <c r="AJ5398">
        <v>92.414282579286294</v>
      </c>
      <c r="AK5398">
        <v>15.6090966632799</v>
      </c>
      <c r="AL5398">
        <v>88.495947712988198</v>
      </c>
      <c r="AM5398">
        <v>88.040620439517895</v>
      </c>
      <c r="AN5398">
        <v>1.00000000925849</v>
      </c>
    </row>
    <row r="5399" spans="1:40" x14ac:dyDescent="0.25">
      <c r="A5399" t="str">
        <f>"20190312154405404"</f>
        <v>20190312154405404</v>
      </c>
      <c r="B5399" t="str">
        <f>"1552376645393058"</f>
        <v>1552376645393058</v>
      </c>
      <c r="C5399" t="s">
        <v>40</v>
      </c>
      <c r="D5399">
        <v>4.9258810000000004</v>
      </c>
      <c r="E5399">
        <v>0.47272760000000003</v>
      </c>
      <c r="F5399" t="s">
        <v>43</v>
      </c>
      <c r="G5399">
        <v>-421.50560000000002</v>
      </c>
      <c r="H5399" s="1">
        <v>-4.4224619999999998E-6</v>
      </c>
      <c r="I5399">
        <v>49.197569999999999</v>
      </c>
      <c r="J5399">
        <v>-421.55290000000002</v>
      </c>
      <c r="K5399">
        <v>1.109715</v>
      </c>
      <c r="L5399">
        <v>64.899169999999998</v>
      </c>
      <c r="M5399">
        <v>-3.9414190000000002E-2</v>
      </c>
      <c r="N5399">
        <v>0</v>
      </c>
      <c r="O5399">
        <v>-0.99912120000000004</v>
      </c>
      <c r="P5399">
        <v>-7.3129040000000006E-2</v>
      </c>
      <c r="Q5399">
        <v>1.256581E-2</v>
      </c>
      <c r="R5399">
        <v>-0.99724349999999995</v>
      </c>
      <c r="S5399">
        <v>6.5917969999999999E-3</v>
      </c>
      <c r="T5399">
        <v>-0.2089471</v>
      </c>
      <c r="U5399">
        <v>-3.0111690000000002</v>
      </c>
      <c r="V5399">
        <v>3.381377E-2</v>
      </c>
      <c r="W5399">
        <v>2.675721E-2</v>
      </c>
      <c r="X5399">
        <v>0.99906989999999996</v>
      </c>
      <c r="Y5399">
        <v>-4.1600230000000002E-2</v>
      </c>
      <c r="Z5399">
        <v>6.9113519999999998E-2</v>
      </c>
      <c r="AA5399">
        <v>0.99674110000000005</v>
      </c>
      <c r="AB5399">
        <v>30</v>
      </c>
      <c r="AC5399">
        <v>4.7300000000007003E-2</v>
      </c>
      <c r="AD5399">
        <v>-1.1097194224619999</v>
      </c>
      <c r="AE5399">
        <v>-15.701599999999999</v>
      </c>
      <c r="AF5399">
        <v>-0.66288093319462604</v>
      </c>
      <c r="AG5399">
        <v>-1.1097194224619999</v>
      </c>
      <c r="AH5399">
        <v>15.6095626407481</v>
      </c>
      <c r="AI5399">
        <v>94.062796666041194</v>
      </c>
      <c r="AJ5399">
        <v>92.4316807751607</v>
      </c>
      <c r="AK5399">
        <v>15.6629925034657</v>
      </c>
      <c r="AL5399">
        <v>88.466741790780404</v>
      </c>
      <c r="AM5399">
        <v>88.061549988458296</v>
      </c>
      <c r="AN5399">
        <v>0.99999999220730296</v>
      </c>
    </row>
    <row r="5400" spans="1:40" x14ac:dyDescent="0.25">
      <c r="A5400" t="str">
        <f>"20190312154405427"</f>
        <v>20190312154405427</v>
      </c>
      <c r="B5400" t="str">
        <f>"1552376645413553"</f>
        <v>1552376645413553</v>
      </c>
      <c r="C5400" t="s">
        <v>40</v>
      </c>
      <c r="D5400">
        <v>4.950634</v>
      </c>
      <c r="E5400">
        <v>0.47272019999999998</v>
      </c>
      <c r="F5400" t="s">
        <v>43</v>
      </c>
      <c r="G5400">
        <v>-421.52600000000001</v>
      </c>
      <c r="H5400" s="1">
        <v>-4.275118E-6</v>
      </c>
      <c r="I5400">
        <v>48.753970000000002</v>
      </c>
      <c r="J5400">
        <v>-421.56549999999999</v>
      </c>
      <c r="K5400">
        <v>1.1098159999999999</v>
      </c>
      <c r="L5400">
        <v>64.600129999999993</v>
      </c>
      <c r="M5400">
        <v>-4.0167609999999999E-2</v>
      </c>
      <c r="N5400">
        <v>0</v>
      </c>
      <c r="O5400">
        <v>-0.99909130000000002</v>
      </c>
      <c r="P5400">
        <v>-7.3995519999999995E-2</v>
      </c>
      <c r="Q5400">
        <v>1.294149E-2</v>
      </c>
      <c r="R5400">
        <v>-0.99717469999999997</v>
      </c>
      <c r="S5400">
        <v>5.0048829999999999E-3</v>
      </c>
      <c r="T5400">
        <v>-0.2069752</v>
      </c>
      <c r="U5400">
        <v>-3.0112610000000002</v>
      </c>
      <c r="V5400">
        <v>3.3922870000000001E-2</v>
      </c>
      <c r="W5400">
        <v>2.7136159999999999E-2</v>
      </c>
      <c r="X5400">
        <v>0.99905600000000006</v>
      </c>
      <c r="Y5400">
        <v>-4.1828410000000003E-2</v>
      </c>
      <c r="Z5400">
        <v>6.8458930000000001E-2</v>
      </c>
      <c r="AA5400">
        <v>0.99677669999999996</v>
      </c>
      <c r="AB5400">
        <v>30</v>
      </c>
      <c r="AC5400">
        <v>3.9499999999975402E-2</v>
      </c>
      <c r="AD5400">
        <v>-1.109820275118</v>
      </c>
      <c r="AE5400">
        <v>-15.846159999999999</v>
      </c>
      <c r="AF5400">
        <v>-0.67273526428035801</v>
      </c>
      <c r="AG5400">
        <v>-1.109820275118</v>
      </c>
      <c r="AH5400">
        <v>15.7545034667063</v>
      </c>
      <c r="AI5400">
        <v>94.025867138317494</v>
      </c>
      <c r="AJ5400">
        <v>92.445109719157401</v>
      </c>
      <c r="AK5400">
        <v>15.807866815650099</v>
      </c>
      <c r="AL5400">
        <v>88.4450216979901</v>
      </c>
      <c r="AM5400">
        <v>88.055273345436802</v>
      </c>
      <c r="AN5400">
        <v>1.00000001171229</v>
      </c>
    </row>
    <row r="5401" spans="1:40" x14ac:dyDescent="0.25">
      <c r="A5401" t="str">
        <f>"20190312154405450"</f>
        <v>20190312154405450</v>
      </c>
      <c r="B5401" t="str">
        <f>"1552376645442834"</f>
        <v>1552376645442834</v>
      </c>
      <c r="C5401" t="s">
        <v>40</v>
      </c>
      <c r="D5401">
        <v>4.9096109999999999</v>
      </c>
      <c r="E5401">
        <v>0.47250999999999999</v>
      </c>
      <c r="F5401" t="s">
        <v>43</v>
      </c>
      <c r="G5401">
        <v>-421.54969999999997</v>
      </c>
      <c r="H5401" s="1">
        <v>-4.1249250000000002E-6</v>
      </c>
      <c r="I5401">
        <v>48.3003</v>
      </c>
      <c r="J5401">
        <v>-421.57859999999999</v>
      </c>
      <c r="K5401">
        <v>1.1099239999999999</v>
      </c>
      <c r="L5401">
        <v>64.293120000000002</v>
      </c>
      <c r="M5401">
        <v>-4.0795890000000001E-2</v>
      </c>
      <c r="N5401">
        <v>0</v>
      </c>
      <c r="O5401">
        <v>-0.99906589999999995</v>
      </c>
      <c r="P5401">
        <v>-7.4865390000000004E-2</v>
      </c>
      <c r="Q5401">
        <v>1.281856E-2</v>
      </c>
      <c r="R5401">
        <v>-0.99711130000000003</v>
      </c>
      <c r="S5401">
        <v>2.9296880000000002E-3</v>
      </c>
      <c r="T5401">
        <v>-0.20503850000000001</v>
      </c>
      <c r="U5401">
        <v>-3.0113829999999999</v>
      </c>
      <c r="V5401">
        <v>3.4158849999999998E-2</v>
      </c>
      <c r="W5401">
        <v>2.7016519999999999E-2</v>
      </c>
      <c r="X5401">
        <v>0.99905120000000003</v>
      </c>
      <c r="Y5401">
        <v>-4.1769790000000001E-2</v>
      </c>
      <c r="Z5401">
        <v>6.7816109999999999E-2</v>
      </c>
      <c r="AA5401">
        <v>0.99682309999999996</v>
      </c>
      <c r="AB5401">
        <v>30</v>
      </c>
      <c r="AC5401">
        <v>2.8900000000021402E-2</v>
      </c>
      <c r="AD5401">
        <v>-1.1099281249249999</v>
      </c>
      <c r="AE5401">
        <v>-15.99282</v>
      </c>
      <c r="AF5401">
        <v>-0.67811729988321801</v>
      </c>
      <c r="AG5401">
        <v>-1.1099281249249999</v>
      </c>
      <c r="AH5401">
        <v>15.901732307001801</v>
      </c>
      <c r="AI5401">
        <v>93.989109849106896</v>
      </c>
      <c r="AJ5401">
        <v>92.441855532310996</v>
      </c>
      <c r="AK5401">
        <v>15.954838572622601</v>
      </c>
      <c r="AL5401">
        <v>88.451879076150107</v>
      </c>
      <c r="AM5401">
        <v>88.041746204418203</v>
      </c>
      <c r="AN5401">
        <v>1.00000000980383</v>
      </c>
    </row>
    <row r="5402" spans="1:40" x14ac:dyDescent="0.25">
      <c r="A5402" t="str">
        <f>"20190312154405473"</f>
        <v>20190312154405473</v>
      </c>
      <c r="B5402" t="str">
        <f>"1552376645463330"</f>
        <v>1552376645463330</v>
      </c>
      <c r="C5402" t="s">
        <v>40</v>
      </c>
      <c r="D5402">
        <v>4.856427</v>
      </c>
      <c r="E5402">
        <v>0.47242139999999999</v>
      </c>
      <c r="F5402" t="s">
        <v>43</v>
      </c>
      <c r="G5402">
        <v>-421.57130000000001</v>
      </c>
      <c r="H5402" s="1">
        <v>-4.1403739999999999E-6</v>
      </c>
      <c r="I5402">
        <v>48.334400000000002</v>
      </c>
      <c r="J5402">
        <v>-421.59160000000003</v>
      </c>
      <c r="K5402">
        <v>1.1100350000000001</v>
      </c>
      <c r="L5402">
        <v>63.991639999999997</v>
      </c>
      <c r="M5402">
        <v>-4.127165E-2</v>
      </c>
      <c r="N5402">
        <v>0</v>
      </c>
      <c r="O5402">
        <v>-0.99904660000000001</v>
      </c>
      <c r="P5402">
        <v>-7.6034370000000004E-2</v>
      </c>
      <c r="Q5402">
        <v>1.2436910000000001E-2</v>
      </c>
      <c r="R5402">
        <v>-0.99702789999999997</v>
      </c>
      <c r="S5402">
        <v>1.373291E-3</v>
      </c>
      <c r="T5402">
        <v>-0.209448</v>
      </c>
      <c r="U5402">
        <v>-3.0114749999999999</v>
      </c>
      <c r="V5402">
        <v>3.4846990000000001E-2</v>
      </c>
      <c r="W5402">
        <v>2.6638040000000002E-2</v>
      </c>
      <c r="X5402">
        <v>0.99903759999999997</v>
      </c>
      <c r="Y5402">
        <v>-4.1730330000000003E-2</v>
      </c>
      <c r="Z5402">
        <v>6.9263539999999998E-2</v>
      </c>
      <c r="AA5402">
        <v>0.99672519999999998</v>
      </c>
      <c r="AB5402">
        <v>30</v>
      </c>
      <c r="AC5402">
        <v>2.0300000000020101E-2</v>
      </c>
      <c r="AD5402">
        <v>-1.110039140374</v>
      </c>
      <c r="AE5402">
        <v>-15.65724</v>
      </c>
      <c r="AF5402">
        <v>-0.66321478693773295</v>
      </c>
      <c r="AG5402">
        <v>-1.110039140374</v>
      </c>
      <c r="AH5402">
        <v>15.5648258912383</v>
      </c>
      <c r="AI5402">
        <v>94.075579936447696</v>
      </c>
      <c r="AJ5402">
        <v>92.439888262276</v>
      </c>
      <c r="AK5402">
        <v>15.618445689995401</v>
      </c>
      <c r="AL5402">
        <v>88.4735721938316</v>
      </c>
      <c r="AM5402">
        <v>88.002301085750304</v>
      </c>
      <c r="AN5402">
        <v>1.00000001205043</v>
      </c>
    </row>
    <row r="5403" spans="1:40" x14ac:dyDescent="0.25">
      <c r="A5403" t="str">
        <f>"20190312154405495"</f>
        <v>20190312154405495</v>
      </c>
      <c r="B5403" t="str">
        <f>"1552376645482850"</f>
        <v>1552376645482850</v>
      </c>
      <c r="C5403" t="s">
        <v>40</v>
      </c>
      <c r="D5403">
        <v>4.9204749999999997</v>
      </c>
      <c r="E5403">
        <v>0.47230460000000002</v>
      </c>
      <c r="F5403" t="s">
        <v>43</v>
      </c>
      <c r="G5403">
        <v>-421.59809999999999</v>
      </c>
      <c r="H5403" s="1">
        <v>-4.1280969999999996E-6</v>
      </c>
      <c r="I5403">
        <v>48.284390000000002</v>
      </c>
      <c r="J5403">
        <v>-421.60430000000002</v>
      </c>
      <c r="K5403">
        <v>1.1101259999999999</v>
      </c>
      <c r="L5403">
        <v>63.695430000000002</v>
      </c>
      <c r="M5403">
        <v>-4.1630609999999998E-2</v>
      </c>
      <c r="N5403">
        <v>0</v>
      </c>
      <c r="O5403">
        <v>-0.99903160000000002</v>
      </c>
      <c r="P5403">
        <v>-7.6459550000000001E-2</v>
      </c>
      <c r="Q5403">
        <v>1.239846E-2</v>
      </c>
      <c r="R5403">
        <v>-0.99699570000000004</v>
      </c>
      <c r="S5403">
        <v>-1.2512210000000001E-3</v>
      </c>
      <c r="T5403">
        <v>-0.2128245</v>
      </c>
      <c r="U5403">
        <v>-3.0115050000000001</v>
      </c>
      <c r="V5403">
        <v>3.4908000000000002E-2</v>
      </c>
      <c r="W5403">
        <v>2.6603729999999999E-2</v>
      </c>
      <c r="X5403">
        <v>0.99903640000000005</v>
      </c>
      <c r="Y5403">
        <v>-4.1220689999999997E-2</v>
      </c>
      <c r="Z5403">
        <v>7.0373080000000005E-2</v>
      </c>
      <c r="AA5403">
        <v>0.99666869999999996</v>
      </c>
      <c r="AB5403">
        <v>30</v>
      </c>
      <c r="AC5403">
        <v>6.2000000000352797E-3</v>
      </c>
      <c r="AD5403">
        <v>-1.110130128097</v>
      </c>
      <c r="AE5403">
        <v>-15.41104</v>
      </c>
      <c r="AF5403">
        <v>-0.64448642930343902</v>
      </c>
      <c r="AG5403">
        <v>-1.110130128097</v>
      </c>
      <c r="AH5403">
        <v>15.3179340803324</v>
      </c>
      <c r="AI5403">
        <v>94.141474435314194</v>
      </c>
      <c r="AJ5403">
        <v>92.409240438110501</v>
      </c>
      <c r="AK5403">
        <v>15.371625032776301</v>
      </c>
      <c r="AL5403">
        <v>88.475538732825598</v>
      </c>
      <c r="AM5403">
        <v>87.998803960342698</v>
      </c>
      <c r="AN5403">
        <v>1.0000000277194301</v>
      </c>
    </row>
    <row r="5404" spans="1:40" x14ac:dyDescent="0.25">
      <c r="A5404" t="str">
        <f>"20190312154405516"</f>
        <v>20190312154405516</v>
      </c>
      <c r="B5404" t="str">
        <f>"1552376645503346"</f>
        <v>1552376645503346</v>
      </c>
      <c r="C5404" t="s">
        <v>40</v>
      </c>
      <c r="D5404">
        <v>4.8782170000000002</v>
      </c>
      <c r="E5404">
        <v>0.47222710000000001</v>
      </c>
      <c r="F5404" t="s">
        <v>43</v>
      </c>
      <c r="G5404">
        <v>-421.61450000000002</v>
      </c>
      <c r="H5404" s="1">
        <v>-4.0886799999999998E-6</v>
      </c>
      <c r="I5404">
        <v>48.159990000000001</v>
      </c>
      <c r="J5404">
        <v>-421.6164</v>
      </c>
      <c r="K5404">
        <v>1.1102110000000001</v>
      </c>
      <c r="L5404">
        <v>63.412779999999998</v>
      </c>
      <c r="M5404">
        <v>-4.187229E-2</v>
      </c>
      <c r="N5404">
        <v>0</v>
      </c>
      <c r="O5404">
        <v>-0.99902150000000001</v>
      </c>
      <c r="P5404">
        <v>-7.6975199999999994E-2</v>
      </c>
      <c r="Q5404">
        <v>1.2601899999999999E-2</v>
      </c>
      <c r="R5404">
        <v>-0.99695339999999999</v>
      </c>
      <c r="S5404">
        <v>-1.9836430000000002E-3</v>
      </c>
      <c r="T5404">
        <v>-0.21520020000000001</v>
      </c>
      <c r="U5404">
        <v>-3.0115660000000002</v>
      </c>
      <c r="V5404">
        <v>3.5178029999999999E-2</v>
      </c>
      <c r="W5404">
        <v>2.6809650000000001E-2</v>
      </c>
      <c r="X5404">
        <v>0.99902139999999995</v>
      </c>
      <c r="Y5404">
        <v>-4.1220060000000003E-2</v>
      </c>
      <c r="Z5404">
        <v>7.1152170000000001E-2</v>
      </c>
      <c r="AA5404">
        <v>0.99661339999999998</v>
      </c>
      <c r="AB5404">
        <v>30</v>
      </c>
      <c r="AC5404">
        <v>1.8999999999778001E-3</v>
      </c>
      <c r="AD5404">
        <v>-1.11021508868</v>
      </c>
      <c r="AE5404">
        <v>-15.252789999999999</v>
      </c>
      <c r="AF5404">
        <v>-0.63725612390090602</v>
      </c>
      <c r="AG5404">
        <v>-1.11021508868</v>
      </c>
      <c r="AH5404">
        <v>15.1590174224969</v>
      </c>
      <c r="AI5404">
        <v>94.185062760091498</v>
      </c>
      <c r="AJ5404">
        <v>92.407187752592407</v>
      </c>
      <c r="AK5404">
        <v>15.212970851419801</v>
      </c>
      <c r="AL5404">
        <v>88.463736140548804</v>
      </c>
      <c r="AM5404">
        <v>87.983306234631996</v>
      </c>
      <c r="AN5404">
        <v>1.0000000043928801</v>
      </c>
    </row>
    <row r="5405" spans="1:40" x14ac:dyDescent="0.25">
      <c r="A5405" t="str">
        <f>"20190312154405539"</f>
        <v>20190312154405539</v>
      </c>
      <c r="B5405" t="str">
        <f>"1552376645533604"</f>
        <v>1552376645533604</v>
      </c>
      <c r="C5405" t="s">
        <v>40</v>
      </c>
      <c r="D5405">
        <v>4.880509</v>
      </c>
      <c r="E5405">
        <v>0.47208050000000001</v>
      </c>
      <c r="F5405" t="s">
        <v>43</v>
      </c>
      <c r="G5405">
        <v>-421.6309</v>
      </c>
      <c r="H5405" s="1">
        <v>-3.9743929999999996E-6</v>
      </c>
      <c r="I5405">
        <v>47.841999999999999</v>
      </c>
      <c r="J5405">
        <v>-421.6293</v>
      </c>
      <c r="K5405">
        <v>1.1102909999999999</v>
      </c>
      <c r="L5405">
        <v>63.109830000000002</v>
      </c>
      <c r="M5405">
        <v>-4.2027439999999999E-2</v>
      </c>
      <c r="N5405">
        <v>0</v>
      </c>
      <c r="O5405">
        <v>-0.99901499999999999</v>
      </c>
      <c r="P5405">
        <v>-7.6939179999999996E-2</v>
      </c>
      <c r="Q5405">
        <v>1.240222E-2</v>
      </c>
      <c r="R5405">
        <v>-0.99695869999999998</v>
      </c>
      <c r="S5405">
        <v>-2.8076170000000001E-3</v>
      </c>
      <c r="T5405">
        <v>-0.2147348</v>
      </c>
      <c r="U5405">
        <v>-3.0116580000000002</v>
      </c>
      <c r="V5405">
        <v>3.498105E-2</v>
      </c>
      <c r="W5405">
        <v>2.661326E-2</v>
      </c>
      <c r="X5405">
        <v>0.99903359999999997</v>
      </c>
      <c r="Y5405">
        <v>-4.1102569999999998E-2</v>
      </c>
      <c r="Z5405">
        <v>7.0996379999999998E-2</v>
      </c>
      <c r="AA5405">
        <v>0.9966294</v>
      </c>
      <c r="AB5405">
        <v>30</v>
      </c>
      <c r="AC5405">
        <v>-1.59999999999627E-3</v>
      </c>
      <c r="AD5405">
        <v>-1.110294974393</v>
      </c>
      <c r="AE5405">
        <v>-15.26783</v>
      </c>
      <c r="AF5405">
        <v>-0.63676681317788997</v>
      </c>
      <c r="AG5405">
        <v>-1.110294974393</v>
      </c>
      <c r="AH5405">
        <v>15.174158113052499</v>
      </c>
      <c r="AI5405">
        <v>94.181214473368598</v>
      </c>
      <c r="AJ5405">
        <v>92.402944367621402</v>
      </c>
      <c r="AK5405">
        <v>15.2280432539589</v>
      </c>
      <c r="AL5405">
        <v>88.474992524357404</v>
      </c>
      <c r="AM5405">
        <v>87.9946139702312</v>
      </c>
      <c r="AN5405">
        <v>1.00000003669794</v>
      </c>
    </row>
    <row r="5406" spans="1:40" x14ac:dyDescent="0.25">
      <c r="A5406" t="str">
        <f>"20190312154405560"</f>
        <v>20190312154405560</v>
      </c>
      <c r="B5406" t="str">
        <f>"1552376645553122"</f>
        <v>1552376645553122</v>
      </c>
      <c r="C5406" t="s">
        <v>40</v>
      </c>
      <c r="D5406">
        <v>4.8540210000000004</v>
      </c>
      <c r="E5406">
        <v>0.47196690000000002</v>
      </c>
      <c r="F5406" t="s">
        <v>43</v>
      </c>
      <c r="G5406">
        <v>-421.63729999999998</v>
      </c>
      <c r="H5406" s="1">
        <v>-3.9001719999999996E-6</v>
      </c>
      <c r="I5406">
        <v>47.664990000000003</v>
      </c>
      <c r="J5406">
        <v>-421.64159999999998</v>
      </c>
      <c r="K5406">
        <v>1.110365</v>
      </c>
      <c r="L5406">
        <v>62.822049999999997</v>
      </c>
      <c r="M5406">
        <v>-4.2094289999999999E-2</v>
      </c>
      <c r="N5406">
        <v>0</v>
      </c>
      <c r="O5406">
        <v>-0.99901240000000002</v>
      </c>
      <c r="P5406">
        <v>-7.6738550000000003E-2</v>
      </c>
      <c r="Q5406">
        <v>1.214818E-2</v>
      </c>
      <c r="R5406">
        <v>-0.99697729999999996</v>
      </c>
      <c r="S5406">
        <v>-1.556396E-3</v>
      </c>
      <c r="T5406">
        <v>-0.2165058</v>
      </c>
      <c r="U5406">
        <v>-3.0117189999999998</v>
      </c>
      <c r="V5406">
        <v>3.4708120000000002E-2</v>
      </c>
      <c r="W5406">
        <v>2.6361579999999999E-2</v>
      </c>
      <c r="X5406">
        <v>0.99904979999999999</v>
      </c>
      <c r="Y5406">
        <v>-4.1583509999999997E-2</v>
      </c>
      <c r="Z5406">
        <v>7.1576479999999998E-2</v>
      </c>
      <c r="AA5406">
        <v>0.99656789999999995</v>
      </c>
      <c r="AB5406">
        <v>30</v>
      </c>
      <c r="AC5406">
        <v>4.3000000000006297E-3</v>
      </c>
      <c r="AD5406">
        <v>-1.1103689001719901</v>
      </c>
      <c r="AE5406">
        <v>-15.1570599999999</v>
      </c>
      <c r="AF5406">
        <v>-0.63895734077418898</v>
      </c>
      <c r="AG5406">
        <v>-1.1103689001719901</v>
      </c>
      <c r="AH5406">
        <v>15.0626057030965</v>
      </c>
      <c r="AI5406">
        <v>94.212267956468395</v>
      </c>
      <c r="AJ5406">
        <v>92.429036788374106</v>
      </c>
      <c r="AK5406">
        <v>15.1169863446639</v>
      </c>
      <c r="AL5406">
        <v>88.489417798875095</v>
      </c>
      <c r="AM5406">
        <v>88.010280054375698</v>
      </c>
      <c r="AN5406">
        <v>1.0000000446870301</v>
      </c>
    </row>
    <row r="5407" spans="1:40" x14ac:dyDescent="0.25">
      <c r="A5407" t="str">
        <f>"20190312154405583"</f>
        <v>20190312154405583</v>
      </c>
      <c r="B5407" t="str">
        <f>"1552376645572642"</f>
        <v>1552376645572642</v>
      </c>
      <c r="C5407" t="s">
        <v>40</v>
      </c>
      <c r="D5407">
        <v>4.8599730000000001</v>
      </c>
      <c r="E5407">
        <v>0.47181899999999899</v>
      </c>
      <c r="F5407" t="s">
        <v>43</v>
      </c>
      <c r="G5407">
        <v>-421.64249999999998</v>
      </c>
      <c r="H5407" s="1">
        <v>-3.8186339999999998E-6</v>
      </c>
      <c r="I5407">
        <v>47.471690000000002</v>
      </c>
      <c r="J5407">
        <v>-421.65429999999998</v>
      </c>
      <c r="K5407">
        <v>1.110439</v>
      </c>
      <c r="L5407">
        <v>62.521509999999999</v>
      </c>
      <c r="M5407">
        <v>-4.2088010000000002E-2</v>
      </c>
      <c r="N5407">
        <v>0</v>
      </c>
      <c r="O5407">
        <v>-0.99901260000000003</v>
      </c>
      <c r="P5407">
        <v>-7.631483E-2</v>
      </c>
      <c r="Q5407">
        <v>1.2191489999999999E-2</v>
      </c>
      <c r="R5407">
        <v>-0.99700929999999999</v>
      </c>
      <c r="S5407">
        <v>-1.8310550000000001E-4</v>
      </c>
      <c r="T5407">
        <v>-0.21785489999999999</v>
      </c>
      <c r="U5407">
        <v>-3.011749</v>
      </c>
      <c r="V5407">
        <v>3.4285160000000002E-2</v>
      </c>
      <c r="W5407">
        <v>2.6406860000000001E-2</v>
      </c>
      <c r="X5407">
        <v>0.99906320000000004</v>
      </c>
      <c r="Y5407">
        <v>-4.203163E-2</v>
      </c>
      <c r="Z5407">
        <v>7.2018789999999999E-2</v>
      </c>
      <c r="AA5407">
        <v>0.99651719999999999</v>
      </c>
      <c r="AB5407">
        <v>30</v>
      </c>
      <c r="AC5407">
        <v>1.17999999999938E-2</v>
      </c>
      <c r="AD5407">
        <v>-1.1104428186340001</v>
      </c>
      <c r="AE5407">
        <v>-15.049819999999899</v>
      </c>
      <c r="AF5407">
        <v>-0.64177671175266904</v>
      </c>
      <c r="AG5407">
        <v>-1.1104428186340001</v>
      </c>
      <c r="AH5407">
        <v>14.954570253362901</v>
      </c>
      <c r="AI5407">
        <v>94.242779973545595</v>
      </c>
      <c r="AJ5407">
        <v>92.457345642603897</v>
      </c>
      <c r="AK5407">
        <v>15.0094680806473</v>
      </c>
      <c r="AL5407">
        <v>88.486822529509595</v>
      </c>
      <c r="AM5407">
        <v>88.034534380797595</v>
      </c>
      <c r="AN5407">
        <v>1.0000000360227601</v>
      </c>
    </row>
    <row r="5408" spans="1:40" x14ac:dyDescent="0.25">
      <c r="A5408" t="str">
        <f>"20190312154405605"</f>
        <v>20190312154405605</v>
      </c>
      <c r="B5408" t="str">
        <f>"1552376645593139"</f>
        <v>1552376645593139</v>
      </c>
      <c r="C5408" t="s">
        <v>40</v>
      </c>
      <c r="D5408">
        <v>4.8475609999999998</v>
      </c>
      <c r="E5408">
        <v>0.47163529999999998</v>
      </c>
      <c r="F5408" t="s">
        <v>43</v>
      </c>
      <c r="G5408">
        <v>-421.64240000000001</v>
      </c>
      <c r="H5408" s="1">
        <v>-3.7051790000000002E-6</v>
      </c>
      <c r="I5408">
        <v>47.207320000000003</v>
      </c>
      <c r="J5408">
        <v>-421.66640000000001</v>
      </c>
      <c r="K5408">
        <v>1.1105080000000001</v>
      </c>
      <c r="L5408">
        <v>62.23395</v>
      </c>
      <c r="M5408">
        <v>-4.2004760000000002E-2</v>
      </c>
      <c r="N5408">
        <v>0</v>
      </c>
      <c r="O5408">
        <v>-0.99901600000000002</v>
      </c>
      <c r="P5408">
        <v>-7.5943170000000004E-2</v>
      </c>
      <c r="Q5408">
        <v>1.225325E-2</v>
      </c>
      <c r="R5408">
        <v>-0.99703679999999995</v>
      </c>
      <c r="S5408">
        <v>2.3498540000000002E-3</v>
      </c>
      <c r="T5408">
        <v>-0.21839069999999999</v>
      </c>
      <c r="U5408">
        <v>-3.011841</v>
      </c>
      <c r="V5408">
        <v>3.3991750000000001E-2</v>
      </c>
      <c r="W5408">
        <v>2.647074E-2</v>
      </c>
      <c r="X5408">
        <v>0.9990715</v>
      </c>
      <c r="Y5408">
        <v>-4.2786440000000002E-2</v>
      </c>
      <c r="Z5408">
        <v>7.2192039999999999E-2</v>
      </c>
      <c r="AA5408">
        <v>0.99647260000000004</v>
      </c>
      <c r="AB5408">
        <v>30</v>
      </c>
      <c r="AC5408">
        <v>2.4000000000000899E-2</v>
      </c>
      <c r="AD5408">
        <v>-1.1105117051790001</v>
      </c>
      <c r="AE5408">
        <v>-15.0266299999999</v>
      </c>
      <c r="AF5408">
        <v>-0.65167356212893401</v>
      </c>
      <c r="AG5408">
        <v>-1.1105117051790001</v>
      </c>
      <c r="AH5408">
        <v>14.930810242881099</v>
      </c>
      <c r="AI5408">
        <v>94.249635887716593</v>
      </c>
      <c r="AJ5408">
        <v>92.499158555223801</v>
      </c>
      <c r="AK5408">
        <v>14.9862273167012</v>
      </c>
      <c r="AL5408">
        <v>88.483161141666699</v>
      </c>
      <c r="AM5408">
        <v>88.051357850671394</v>
      </c>
      <c r="AN5408">
        <v>1.0000000006282299</v>
      </c>
    </row>
    <row r="5409" spans="1:40" x14ac:dyDescent="0.25">
      <c r="A5409" t="str">
        <f>"20190312154405629"</f>
        <v>20190312154405629</v>
      </c>
      <c r="B5409" t="str">
        <f>"1552376645623397"</f>
        <v>1552376645623397</v>
      </c>
      <c r="C5409" t="s">
        <v>40</v>
      </c>
      <c r="D5409">
        <v>4.853847</v>
      </c>
      <c r="E5409">
        <v>0.4713947</v>
      </c>
      <c r="F5409" t="s">
        <v>43</v>
      </c>
      <c r="G5409">
        <v>-421.64109999999999</v>
      </c>
      <c r="H5409" s="1">
        <v>-3.6081429999999999E-6</v>
      </c>
      <c r="I5409">
        <v>46.981960000000001</v>
      </c>
      <c r="J5409">
        <v>-421.6789</v>
      </c>
      <c r="K5409">
        <v>1.110581</v>
      </c>
      <c r="L5409">
        <v>61.933720000000001</v>
      </c>
      <c r="M5409">
        <v>-4.1836940000000003E-2</v>
      </c>
      <c r="N5409">
        <v>0</v>
      </c>
      <c r="O5409">
        <v>-0.99902340000000001</v>
      </c>
      <c r="P5409">
        <v>-7.5289350000000005E-2</v>
      </c>
      <c r="Q5409">
        <v>1.2798449999999999E-2</v>
      </c>
      <c r="R5409">
        <v>-0.99707979999999996</v>
      </c>
      <c r="S5409">
        <v>5.0048829999999999E-3</v>
      </c>
      <c r="T5409">
        <v>-0.2193061</v>
      </c>
      <c r="U5409">
        <v>-3.0119929999999999</v>
      </c>
      <c r="V5409">
        <v>3.3500050000000003E-2</v>
      </c>
      <c r="W5409">
        <v>2.7017949999999999E-2</v>
      </c>
      <c r="X5409">
        <v>0.9990734</v>
      </c>
      <c r="Y5409">
        <v>-4.349687E-2</v>
      </c>
      <c r="Z5409">
        <v>7.2488990000000003E-2</v>
      </c>
      <c r="AA5409">
        <v>0.99642030000000004</v>
      </c>
      <c r="AB5409">
        <v>30</v>
      </c>
      <c r="AC5409">
        <v>3.7800000000004198E-2</v>
      </c>
      <c r="AD5409">
        <v>-1.110584608143</v>
      </c>
      <c r="AE5409">
        <v>-14.951759999999901</v>
      </c>
      <c r="AF5409">
        <v>-0.65972612903027295</v>
      </c>
      <c r="AG5409">
        <v>-1.110584608143</v>
      </c>
      <c r="AH5409">
        <v>14.8551266054224</v>
      </c>
      <c r="AI5409">
        <v>94.2713433405724</v>
      </c>
      <c r="AJ5409">
        <v>92.5428730724079</v>
      </c>
      <c r="AK5409">
        <v>14.911184500243399</v>
      </c>
      <c r="AL5409">
        <v>88.451797006378001</v>
      </c>
      <c r="AM5409">
        <v>88.079527881646897</v>
      </c>
      <c r="AN5409">
        <v>0.99999994077987997</v>
      </c>
    </row>
    <row r="5410" spans="1:40" x14ac:dyDescent="0.25">
      <c r="A5410" t="str">
        <f>"20190312154405662"</f>
        <v>20190312154405662</v>
      </c>
      <c r="B5410" t="str">
        <f>"1552376645652674"</f>
        <v>1552376645652674</v>
      </c>
      <c r="C5410" t="s">
        <v>40</v>
      </c>
      <c r="D5410">
        <v>4.8668290000000001</v>
      </c>
      <c r="E5410">
        <v>0.47124490000000002</v>
      </c>
      <c r="F5410" t="s">
        <v>43</v>
      </c>
      <c r="G5410">
        <v>-421.63569999999999</v>
      </c>
      <c r="H5410" s="1">
        <v>-3.467782E-6</v>
      </c>
      <c r="I5410">
        <v>46.658079999999998</v>
      </c>
      <c r="J5410">
        <v>-421.69729999999998</v>
      </c>
      <c r="K5410">
        <v>1.110679</v>
      </c>
      <c r="L5410">
        <v>61.485599999999998</v>
      </c>
      <c r="M5410">
        <v>-4.143409E-2</v>
      </c>
      <c r="N5410">
        <v>0</v>
      </c>
      <c r="O5410">
        <v>-0.99904000000000004</v>
      </c>
      <c r="P5410">
        <v>-7.4247809999999997E-2</v>
      </c>
      <c r="Q5410">
        <v>1.2377849999999999E-2</v>
      </c>
      <c r="R5410">
        <v>-0.99716289999999996</v>
      </c>
      <c r="S5410">
        <v>8.5144039999999997E-3</v>
      </c>
      <c r="T5410">
        <v>-0.21899869999999999</v>
      </c>
      <c r="U5410">
        <v>-3.012238</v>
      </c>
      <c r="V5410">
        <v>3.2852630000000001E-2</v>
      </c>
      <c r="W5410">
        <v>2.6600390000000002E-2</v>
      </c>
      <c r="X5410">
        <v>0.99910620000000006</v>
      </c>
      <c r="Y5410">
        <v>-4.4254809999999999E-2</v>
      </c>
      <c r="Z5410">
        <v>7.2382589999999997E-2</v>
      </c>
      <c r="AA5410">
        <v>0.99639460000000002</v>
      </c>
      <c r="AB5410">
        <v>29</v>
      </c>
      <c r="AC5410">
        <v>6.1599999999998503E-2</v>
      </c>
      <c r="AD5410">
        <v>-1.110682467782</v>
      </c>
      <c r="AE5410">
        <v>-14.82752</v>
      </c>
      <c r="AF5410">
        <v>-0.67220235429624897</v>
      </c>
      <c r="AG5410">
        <v>-1.110682467782</v>
      </c>
      <c r="AH5410">
        <v>14.7295847790183</v>
      </c>
      <c r="AI5410">
        <v>94.307753817896398</v>
      </c>
      <c r="AJ5410">
        <v>92.612948996175106</v>
      </c>
      <c r="AK5410">
        <v>14.7866879087796</v>
      </c>
      <c r="AL5410">
        <v>88.475730183326704</v>
      </c>
      <c r="AM5410">
        <v>88.116677605925304</v>
      </c>
      <c r="AN5410">
        <v>1.00000003746225</v>
      </c>
    </row>
    <row r="5411" spans="1:40" x14ac:dyDescent="0.25">
      <c r="A5411" t="str">
        <f>"20190312154405684"</f>
        <v>20190312154405684</v>
      </c>
      <c r="B5411" t="str">
        <f>"1552376645673169"</f>
        <v>1552376645673169</v>
      </c>
      <c r="C5411" t="s">
        <v>40</v>
      </c>
      <c r="D5411">
        <v>4.8527719999999999</v>
      </c>
      <c r="E5411">
        <v>0.47114840000000002</v>
      </c>
      <c r="F5411" t="s">
        <v>43</v>
      </c>
      <c r="G5411">
        <v>-421.6311</v>
      </c>
      <c r="H5411" s="1">
        <v>-3.312767E-6</v>
      </c>
      <c r="I5411">
        <v>46.299590000000002</v>
      </c>
      <c r="J5411">
        <v>-421.709</v>
      </c>
      <c r="K5411">
        <v>1.110727</v>
      </c>
      <c r="L5411">
        <v>61.196010000000001</v>
      </c>
      <c r="M5411">
        <v>-4.11054E-2</v>
      </c>
      <c r="N5411">
        <v>0</v>
      </c>
      <c r="O5411">
        <v>-0.99905370000000004</v>
      </c>
      <c r="P5411">
        <v>-7.3649930000000002E-2</v>
      </c>
      <c r="Q5411">
        <v>1.2062949999999999E-2</v>
      </c>
      <c r="R5411">
        <v>-0.99721130000000002</v>
      </c>
      <c r="S5411">
        <v>1.312256E-2</v>
      </c>
      <c r="T5411">
        <v>-0.2203106</v>
      </c>
      <c r="U5411">
        <v>-3.012238</v>
      </c>
      <c r="V5411">
        <v>3.2578860000000001E-2</v>
      </c>
      <c r="W5411">
        <v>2.6286259999999999E-2</v>
      </c>
      <c r="X5411">
        <v>0.99912350000000005</v>
      </c>
      <c r="Y5411">
        <v>-4.5450230000000001E-2</v>
      </c>
      <c r="Z5411">
        <v>7.2813219999999998E-2</v>
      </c>
      <c r="AA5411">
        <v>0.99630949999999996</v>
      </c>
      <c r="AB5411">
        <v>29</v>
      </c>
      <c r="AC5411">
        <v>7.7899999999999595E-2</v>
      </c>
      <c r="AD5411">
        <v>-1.1107303127670001</v>
      </c>
      <c r="AE5411">
        <v>-14.896420000000001</v>
      </c>
      <c r="AF5411">
        <v>-0.68640320925308596</v>
      </c>
      <c r="AG5411">
        <v>-1.1107303127670001</v>
      </c>
      <c r="AH5411">
        <v>14.798352260701099</v>
      </c>
      <c r="AI5411">
        <v>94.287848045321496</v>
      </c>
      <c r="AJ5411">
        <v>92.655690206111203</v>
      </c>
      <c r="AK5411">
        <v>14.855843995720001</v>
      </c>
      <c r="AL5411">
        <v>88.493734834230494</v>
      </c>
      <c r="AM5411">
        <v>88.132393003594302</v>
      </c>
      <c r="AN5411">
        <v>1.0000000589179601</v>
      </c>
    </row>
    <row r="5412" spans="1:40" x14ac:dyDescent="0.25">
      <c r="A5412" t="str">
        <f>"20190312154405706"</f>
        <v>20190312154405706</v>
      </c>
      <c r="B5412" t="str">
        <f>"1552376645692690"</f>
        <v>1552376645692690</v>
      </c>
      <c r="C5412" t="s">
        <v>40</v>
      </c>
      <c r="D5412">
        <v>5.1272209999999996</v>
      </c>
      <c r="E5412">
        <v>0.47103050000000002</v>
      </c>
      <c r="F5412" t="s">
        <v>43</v>
      </c>
      <c r="G5412">
        <v>-421.6293</v>
      </c>
      <c r="H5412" s="1">
        <v>-3.2175039999999998E-6</v>
      </c>
      <c r="I5412">
        <v>46.07864</v>
      </c>
      <c r="J5412">
        <v>-421.72019999999998</v>
      </c>
      <c r="K5412">
        <v>1.11077</v>
      </c>
      <c r="L5412">
        <v>60.914670000000001</v>
      </c>
      <c r="M5412">
        <v>-4.07333E-2</v>
      </c>
      <c r="N5412">
        <v>0</v>
      </c>
      <c r="O5412">
        <v>-0.99906899999999998</v>
      </c>
      <c r="P5412">
        <v>-7.2830240000000004E-2</v>
      </c>
      <c r="Q5412">
        <v>1.1762470000000001E-2</v>
      </c>
      <c r="R5412">
        <v>-0.99727509999999997</v>
      </c>
      <c r="S5412">
        <v>1.586914E-2</v>
      </c>
      <c r="T5412">
        <v>-0.2213204</v>
      </c>
      <c r="U5412">
        <v>-3.012238</v>
      </c>
      <c r="V5412">
        <v>3.2126889999999998E-2</v>
      </c>
      <c r="W5412">
        <v>2.5986430000000001E-2</v>
      </c>
      <c r="X5412">
        <v>0.99914590000000003</v>
      </c>
      <c r="Y5412">
        <v>-4.5986440000000003E-2</v>
      </c>
      <c r="Z5412">
        <v>7.3145799999999997E-2</v>
      </c>
      <c r="AA5412">
        <v>0.99626049999999999</v>
      </c>
      <c r="AB5412">
        <v>29</v>
      </c>
      <c r="AC5412">
        <v>9.0899999999976402E-2</v>
      </c>
      <c r="AD5412">
        <v>-1.1107732175039999</v>
      </c>
      <c r="AE5412">
        <v>-14.8360299999999</v>
      </c>
      <c r="AF5412">
        <v>-0.69133090925279805</v>
      </c>
      <c r="AG5412">
        <v>-1.1107732175039999</v>
      </c>
      <c r="AH5412">
        <v>14.737403775289</v>
      </c>
      <c r="AI5412">
        <v>94.305575093172095</v>
      </c>
      <c r="AJ5412">
        <v>92.685773389212997</v>
      </c>
      <c r="AK5412">
        <v>14.795365004038</v>
      </c>
      <c r="AL5412">
        <v>88.510919580691194</v>
      </c>
      <c r="AM5412">
        <v>88.158325807142901</v>
      </c>
      <c r="AN5412">
        <v>0.99999998054601302</v>
      </c>
    </row>
    <row r="5413" spans="1:40" x14ac:dyDescent="0.25">
      <c r="A5413" t="str">
        <f>"20190312154405729"</f>
        <v>20190312154405729</v>
      </c>
      <c r="B5413" t="str">
        <f>"1552376645722946"</f>
        <v>1552376645722946</v>
      </c>
      <c r="C5413" t="s">
        <v>40</v>
      </c>
      <c r="D5413">
        <v>4.8522480000000003</v>
      </c>
      <c r="E5413">
        <v>0.4708695</v>
      </c>
      <c r="F5413" t="s">
        <v>43</v>
      </c>
      <c r="G5413">
        <v>-421.62459999999999</v>
      </c>
      <c r="H5413" s="1">
        <v>-3.0972979999999999E-6</v>
      </c>
      <c r="I5413">
        <v>45.801340000000003</v>
      </c>
      <c r="J5413">
        <v>-421.7321</v>
      </c>
      <c r="K5413">
        <v>1.1108119999999999</v>
      </c>
      <c r="L5413">
        <v>60.612400000000001</v>
      </c>
      <c r="M5413">
        <v>-4.0284460000000001E-2</v>
      </c>
      <c r="N5413">
        <v>0</v>
      </c>
      <c r="O5413">
        <v>-0.99908750000000002</v>
      </c>
      <c r="P5413">
        <v>-7.1558849999999993E-2</v>
      </c>
      <c r="Q5413">
        <v>1.217467E-2</v>
      </c>
      <c r="R5413">
        <v>-0.99736230000000003</v>
      </c>
      <c r="S5413">
        <v>1.9042969999999999E-2</v>
      </c>
      <c r="T5413">
        <v>-0.221386</v>
      </c>
      <c r="U5413">
        <v>-3.0122070000000001</v>
      </c>
      <c r="V5413">
        <v>3.1299269999999997E-2</v>
      </c>
      <c r="W5413">
        <v>2.639733E-2</v>
      </c>
      <c r="X5413">
        <v>0.99916139999999998</v>
      </c>
      <c r="Y5413">
        <v>-4.6587370000000003E-2</v>
      </c>
      <c r="Z5413">
        <v>7.3168830000000004E-2</v>
      </c>
      <c r="AA5413">
        <v>0.99623079999999997</v>
      </c>
      <c r="AB5413">
        <v>29</v>
      </c>
      <c r="AC5413">
        <v>0.107500000000015</v>
      </c>
      <c r="AD5413">
        <v>-1.110815097298</v>
      </c>
      <c r="AE5413">
        <v>-14.8110599999999</v>
      </c>
      <c r="AF5413">
        <v>-0.70019008526331095</v>
      </c>
      <c r="AG5413">
        <v>-1.110815097298</v>
      </c>
      <c r="AH5413">
        <v>14.7119554649635</v>
      </c>
      <c r="AI5413">
        <v>94.313018246827895</v>
      </c>
      <c r="AJ5413">
        <v>92.724837449306506</v>
      </c>
      <c r="AK5413">
        <v>14.770437025997399</v>
      </c>
      <c r="AL5413">
        <v>88.487368668897503</v>
      </c>
      <c r="AM5413">
        <v>88.205765524372595</v>
      </c>
      <c r="AN5413">
        <v>0.99999998329180995</v>
      </c>
    </row>
    <row r="5414" spans="1:40" x14ac:dyDescent="0.25">
      <c r="A5414" t="str">
        <f>"20190312154405751"</f>
        <v>20190312154405751</v>
      </c>
      <c r="B5414" t="str">
        <f>"1552376645743442"</f>
        <v>1552376645743442</v>
      </c>
      <c r="C5414" t="s">
        <v>40</v>
      </c>
      <c r="D5414">
        <v>4.8398349999999999</v>
      </c>
      <c r="E5414">
        <v>0.47077079999999999</v>
      </c>
      <c r="F5414" t="s">
        <v>43</v>
      </c>
      <c r="G5414">
        <v>-421.61110000000002</v>
      </c>
      <c r="H5414" s="1">
        <v>-2.8633670000000001E-6</v>
      </c>
      <c r="I5414">
        <v>45.264449999999997</v>
      </c>
      <c r="J5414">
        <v>-421.74310000000003</v>
      </c>
      <c r="K5414">
        <v>1.1108450000000001</v>
      </c>
      <c r="L5414">
        <v>60.325710000000001</v>
      </c>
      <c r="M5414">
        <v>-3.9827170000000002E-2</v>
      </c>
      <c r="N5414">
        <v>0</v>
      </c>
      <c r="O5414">
        <v>-0.99910569999999999</v>
      </c>
      <c r="P5414">
        <v>-7.027891E-2</v>
      </c>
      <c r="Q5414">
        <v>1.268618E-2</v>
      </c>
      <c r="R5414">
        <v>-0.99744690000000003</v>
      </c>
      <c r="S5414">
        <v>2.3742679999999999E-2</v>
      </c>
      <c r="T5414">
        <v>-0.2180165</v>
      </c>
      <c r="U5414">
        <v>-3.0122990000000001</v>
      </c>
      <c r="V5414">
        <v>3.047219E-2</v>
      </c>
      <c r="W5414">
        <v>2.6907360000000002E-2</v>
      </c>
      <c r="X5414">
        <v>0.99917339999999999</v>
      </c>
      <c r="Y5414">
        <v>-4.7684799999999999E-2</v>
      </c>
      <c r="Z5414">
        <v>7.20586E-2</v>
      </c>
      <c r="AA5414">
        <v>0.99625989999999998</v>
      </c>
      <c r="AB5414">
        <v>29</v>
      </c>
      <c r="AC5414">
        <v>0.132000000000005</v>
      </c>
      <c r="AD5414">
        <v>-1.110847863367</v>
      </c>
      <c r="AE5414">
        <v>-15.061260000000001</v>
      </c>
      <c r="AF5414">
        <v>-0.72784402823400396</v>
      </c>
      <c r="AG5414">
        <v>-1.110847863367</v>
      </c>
      <c r="AH5414">
        <v>14.9626617062422</v>
      </c>
      <c r="AI5414">
        <v>94.240929047900295</v>
      </c>
      <c r="AJ5414">
        <v>92.784901895634206</v>
      </c>
      <c r="AK5414">
        <v>15.0214841224305</v>
      </c>
      <c r="AL5414">
        <v>88.458135776474407</v>
      </c>
      <c r="AM5414">
        <v>88.253169179062198</v>
      </c>
      <c r="AN5414">
        <v>1.0000000218265599</v>
      </c>
    </row>
    <row r="5415" spans="1:40" x14ac:dyDescent="0.25">
      <c r="A5415" t="str">
        <f>"20190312154405772"</f>
        <v>20190312154405772</v>
      </c>
      <c r="B5415" t="str">
        <f>"1552376645762962"</f>
        <v>1552376645762962</v>
      </c>
      <c r="C5415" t="s">
        <v>40</v>
      </c>
      <c r="D5415">
        <v>4.7996569999999998</v>
      </c>
      <c r="E5415">
        <v>0.47056179999999997</v>
      </c>
      <c r="F5415" t="s">
        <v>43</v>
      </c>
      <c r="G5415">
        <v>-421.59910000000002</v>
      </c>
      <c r="H5415" s="1">
        <v>-2.6538540000000001E-6</v>
      </c>
      <c r="I5415">
        <v>44.783520000000003</v>
      </c>
      <c r="J5415">
        <v>-421.75420000000003</v>
      </c>
      <c r="K5415">
        <v>1.110865</v>
      </c>
      <c r="L5415">
        <v>60.035029999999999</v>
      </c>
      <c r="M5415">
        <v>-3.9347739999999999E-2</v>
      </c>
      <c r="N5415">
        <v>0</v>
      </c>
      <c r="O5415">
        <v>-0.99912460000000003</v>
      </c>
      <c r="P5415">
        <v>-6.8407099999999998E-2</v>
      </c>
      <c r="Q5415">
        <v>1.299757E-2</v>
      </c>
      <c r="R5415">
        <v>-0.99757280000000004</v>
      </c>
      <c r="S5415">
        <v>2.792358E-2</v>
      </c>
      <c r="T5415">
        <v>-0.21530460000000001</v>
      </c>
      <c r="U5415">
        <v>-3.0123899999999999</v>
      </c>
      <c r="V5415">
        <v>2.9074920000000001E-2</v>
      </c>
      <c r="W5415">
        <v>2.721672E-2</v>
      </c>
      <c r="X5415">
        <v>0.9992067</v>
      </c>
      <c r="Y5415">
        <v>-4.8588449999999998E-2</v>
      </c>
      <c r="Z5415">
        <v>7.1164759999999994E-2</v>
      </c>
      <c r="AA5415">
        <v>0.99628039999999995</v>
      </c>
      <c r="AB5415">
        <v>29</v>
      </c>
      <c r="AC5415">
        <v>0.15510000000000401</v>
      </c>
      <c r="AD5415">
        <v>-1.1108676538540001</v>
      </c>
      <c r="AE5415">
        <v>-15.25151</v>
      </c>
      <c r="AF5415">
        <v>-0.75116821042161097</v>
      </c>
      <c r="AG5415">
        <v>-1.1108676538540001</v>
      </c>
      <c r="AH5415">
        <v>15.1532110742441</v>
      </c>
      <c r="AI5415">
        <v>94.187675657638707</v>
      </c>
      <c r="AJ5415">
        <v>92.837917734057697</v>
      </c>
      <c r="AK5415">
        <v>15.2124319714279</v>
      </c>
      <c r="AL5415">
        <v>88.440404327840994</v>
      </c>
      <c r="AM5415">
        <v>88.333277505320297</v>
      </c>
      <c r="AN5415">
        <v>1.0000000650727201</v>
      </c>
    </row>
    <row r="5416" spans="1:40" x14ac:dyDescent="0.25">
      <c r="A5416" t="str">
        <f>"20190312154405796"</f>
        <v>20190312154405796</v>
      </c>
      <c r="B5416" t="str">
        <f>"1552376645793218"</f>
        <v>1552376645793218</v>
      </c>
      <c r="C5416" t="s">
        <v>40</v>
      </c>
      <c r="D5416">
        <v>4.8322440000000002</v>
      </c>
      <c r="E5416">
        <v>0.4529089</v>
      </c>
      <c r="F5416" t="s">
        <v>43</v>
      </c>
      <c r="G5416">
        <v>-421.57069999999999</v>
      </c>
      <c r="H5416" s="1">
        <v>-2.4551419999999999E-6</v>
      </c>
      <c r="I5416">
        <v>44.337910000000001</v>
      </c>
      <c r="J5416">
        <v>-421.7654</v>
      </c>
      <c r="K5416">
        <v>1.1108800000000001</v>
      </c>
      <c r="L5416">
        <v>59.739199999999997</v>
      </c>
      <c r="M5416">
        <v>-3.885102E-2</v>
      </c>
      <c r="N5416">
        <v>0</v>
      </c>
      <c r="O5416">
        <v>-0.99914409999999998</v>
      </c>
      <c r="P5416">
        <v>-6.6852179999999997E-2</v>
      </c>
      <c r="Q5416">
        <v>1.295236E-2</v>
      </c>
      <c r="R5416">
        <v>-0.99767910000000004</v>
      </c>
      <c r="S5416">
        <v>3.5217289999999998E-2</v>
      </c>
      <c r="T5416">
        <v>-0.21318980000000001</v>
      </c>
      <c r="U5416">
        <v>-3.0124819999999999</v>
      </c>
      <c r="V5416">
        <v>2.8013260000000002E-2</v>
      </c>
      <c r="W5416">
        <v>2.716905E-2</v>
      </c>
      <c r="X5416">
        <v>0.99923830000000002</v>
      </c>
      <c r="Y5416">
        <v>-5.0503970000000002E-2</v>
      </c>
      <c r="Z5416">
        <v>7.0464940000000004E-2</v>
      </c>
      <c r="AA5416">
        <v>0.99623499999999998</v>
      </c>
      <c r="AB5416">
        <v>29</v>
      </c>
      <c r="AC5416">
        <v>0.194700000000011</v>
      </c>
      <c r="AD5416">
        <v>-1.11088245514199</v>
      </c>
      <c r="AE5416">
        <v>-15.4012899999999</v>
      </c>
      <c r="AF5416">
        <v>-0.78886563196578696</v>
      </c>
      <c r="AG5416">
        <v>-1.11088245514199</v>
      </c>
      <c r="AH5416">
        <v>15.302494514207901</v>
      </c>
      <c r="AI5416">
        <v>94.146608467385306</v>
      </c>
      <c r="AJ5416">
        <v>92.951067601269102</v>
      </c>
      <c r="AK5416">
        <v>15.3630305334528</v>
      </c>
      <c r="AL5416">
        <v>88.443136588975193</v>
      </c>
      <c r="AM5416">
        <v>88.394155550269502</v>
      </c>
      <c r="AN5416">
        <v>1.0000000401003</v>
      </c>
    </row>
    <row r="5417" spans="1:40" x14ac:dyDescent="0.25">
      <c r="A5417" t="str">
        <f>"20190312154405817"</f>
        <v>20190312154405817</v>
      </c>
      <c r="B5417" t="str">
        <f>"1552376645812737"</f>
        <v>1552376645812737</v>
      </c>
      <c r="C5417" t="s">
        <v>40</v>
      </c>
      <c r="D5417">
        <v>4.8435639999999998</v>
      </c>
      <c r="E5417">
        <v>0.45334999999999998</v>
      </c>
      <c r="F5417" t="s">
        <v>43</v>
      </c>
      <c r="G5417">
        <v>-420.64049999999997</v>
      </c>
      <c r="H5417" s="1">
        <v>-7.0365350000000002E-7</v>
      </c>
      <c r="I5417">
        <v>40.832079999999998</v>
      </c>
      <c r="J5417">
        <v>-421.77589999999998</v>
      </c>
      <c r="K5417">
        <v>1.1108899999999999</v>
      </c>
      <c r="L5417">
        <v>59.453130000000002</v>
      </c>
      <c r="M5417">
        <v>-3.8367680000000001E-2</v>
      </c>
      <c r="N5417">
        <v>0</v>
      </c>
      <c r="O5417">
        <v>-0.99916300000000002</v>
      </c>
      <c r="P5417">
        <v>-6.5481860000000003E-2</v>
      </c>
      <c r="Q5417">
        <v>1.3415710000000001E-2</v>
      </c>
      <c r="R5417">
        <v>-0.99776399999999998</v>
      </c>
      <c r="S5417">
        <v>0.17974849999999901</v>
      </c>
      <c r="T5417">
        <v>-0.17751729999999999</v>
      </c>
      <c r="U5417">
        <v>-3.0213320000000001</v>
      </c>
      <c r="V5417">
        <v>2.712347E-2</v>
      </c>
      <c r="W5417">
        <v>2.7629029999999999E-2</v>
      </c>
      <c r="X5417">
        <v>0.99925019999999998</v>
      </c>
      <c r="Y5417">
        <v>-9.7546659999999993E-2</v>
      </c>
      <c r="Z5417">
        <v>5.8397360000000002E-2</v>
      </c>
      <c r="AA5417">
        <v>0.99351619999999996</v>
      </c>
      <c r="AB5417">
        <v>29</v>
      </c>
      <c r="AC5417">
        <v>1.1354</v>
      </c>
      <c r="AD5417">
        <v>-1.1108907036534901</v>
      </c>
      <c r="AE5417">
        <v>-18.62105</v>
      </c>
      <c r="AF5417">
        <v>-1.8425487672457801</v>
      </c>
      <c r="AG5417">
        <v>-1.1108907036534901</v>
      </c>
      <c r="AH5417">
        <v>18.498177203153599</v>
      </c>
      <c r="AI5417">
        <v>93.419834121411199</v>
      </c>
      <c r="AJ5417">
        <v>95.688300520051897</v>
      </c>
      <c r="AK5417">
        <v>18.622879045797699</v>
      </c>
      <c r="AL5417">
        <v>88.416771722080796</v>
      </c>
      <c r="AM5417">
        <v>88.445155322613303</v>
      </c>
      <c r="AN5417">
        <v>1.00000000406181</v>
      </c>
    </row>
    <row r="5418" spans="1:40" x14ac:dyDescent="0.25">
      <c r="A5418" t="str">
        <f>"20190312154405840"</f>
        <v>20190312154405840</v>
      </c>
      <c r="B5418" t="str">
        <f>"1552376645833234"</f>
        <v>1552376645833234</v>
      </c>
      <c r="C5418" t="s">
        <v>40</v>
      </c>
      <c r="D5418">
        <v>4.8426609999999997</v>
      </c>
      <c r="E5418">
        <v>0.45378550000000001</v>
      </c>
      <c r="F5418" t="s">
        <v>70</v>
      </c>
      <c r="G5418">
        <v>-420.56470000000002</v>
      </c>
      <c r="H5418" s="1">
        <v>-3.7950770000000001E-7</v>
      </c>
      <c r="I5418">
        <v>39.149740000000001</v>
      </c>
      <c r="J5418">
        <v>-421.78640000000001</v>
      </c>
      <c r="K5418">
        <v>1.1108929999999999</v>
      </c>
      <c r="L5418">
        <v>59.166600000000003</v>
      </c>
      <c r="M5418">
        <v>-3.788453E-2</v>
      </c>
      <c r="N5418">
        <v>0</v>
      </c>
      <c r="O5418">
        <v>-0.99918130000000005</v>
      </c>
      <c r="P5418">
        <v>-6.4962660000000005E-2</v>
      </c>
      <c r="Q5418">
        <v>1.3501310000000001E-2</v>
      </c>
      <c r="R5418">
        <v>-0.99779649999999998</v>
      </c>
      <c r="S5418">
        <v>0.18020630000000001</v>
      </c>
      <c r="T5418">
        <v>-0.1652807</v>
      </c>
      <c r="U5418">
        <v>-3.0207820000000001</v>
      </c>
      <c r="V5418">
        <v>2.7086599999999999E-2</v>
      </c>
      <c r="W5418">
        <v>2.771148E-2</v>
      </c>
      <c r="X5418">
        <v>0.9992489</v>
      </c>
      <c r="Y5418">
        <v>-9.7239619999999999E-2</v>
      </c>
      <c r="Z5418">
        <v>5.4396279999999998E-2</v>
      </c>
      <c r="AA5418">
        <v>0.99377329999999997</v>
      </c>
      <c r="AB5418">
        <v>29</v>
      </c>
      <c r="AC5418">
        <v>1.22169999999999</v>
      </c>
      <c r="AD5418">
        <v>-1.1108933795076901</v>
      </c>
      <c r="AE5418">
        <v>-20.016860000000001</v>
      </c>
      <c r="AF5418">
        <v>-1.97317368692729</v>
      </c>
      <c r="AG5418">
        <v>-1.1108933795076901</v>
      </c>
      <c r="AH5418">
        <v>19.895149331413201</v>
      </c>
      <c r="AI5418">
        <v>93.180357493133499</v>
      </c>
      <c r="AJ5418">
        <v>95.663994367543495</v>
      </c>
      <c r="AK5418">
        <v>20.023597714163301</v>
      </c>
      <c r="AL5418">
        <v>88.412045848614</v>
      </c>
      <c r="AM5418">
        <v>88.447265829694203</v>
      </c>
      <c r="AN5418">
        <v>0.99999998708728</v>
      </c>
    </row>
    <row r="5419" spans="1:40" x14ac:dyDescent="0.25">
      <c r="A5419" t="str">
        <f>"20190312154405863"</f>
        <v>20190312154405863</v>
      </c>
      <c r="B5419" t="str">
        <f>"1552376645852753"</f>
        <v>1552376645852753</v>
      </c>
      <c r="C5419" t="s">
        <v>40</v>
      </c>
      <c r="D5419">
        <v>4.8254669999999997</v>
      </c>
      <c r="E5419">
        <v>0.45387870000000002</v>
      </c>
      <c r="F5419" t="s">
        <v>70</v>
      </c>
      <c r="G5419">
        <v>-420.57400000000001</v>
      </c>
      <c r="H5419" s="1">
        <v>-6.8093769999999902E-7</v>
      </c>
      <c r="I5419">
        <v>38.67754</v>
      </c>
      <c r="J5419">
        <v>-421.79719999999998</v>
      </c>
      <c r="K5419">
        <v>1.1108929999999999</v>
      </c>
      <c r="L5419">
        <v>58.867159999999998</v>
      </c>
      <c r="M5419">
        <v>-3.738317E-2</v>
      </c>
      <c r="N5419">
        <v>0</v>
      </c>
      <c r="O5419">
        <v>-0.99920039999999999</v>
      </c>
      <c r="P5419">
        <v>-6.5091199999999905E-2</v>
      </c>
      <c r="Q5419">
        <v>1.350414E-2</v>
      </c>
      <c r="R5419">
        <v>-0.99778809999999996</v>
      </c>
      <c r="S5419">
        <v>0.1787415</v>
      </c>
      <c r="T5419">
        <v>-0.16376689999999999</v>
      </c>
      <c r="U5419">
        <v>-3.0204770000000001</v>
      </c>
      <c r="V5419">
        <v>2.7716919999999999E-2</v>
      </c>
      <c r="W5419">
        <v>2.7711489999999998E-2</v>
      </c>
      <c r="X5419">
        <v>0.9992316</v>
      </c>
      <c r="Y5419">
        <v>-9.6267469999999994E-2</v>
      </c>
      <c r="Z5419">
        <v>5.3909800000000001E-2</v>
      </c>
      <c r="AA5419">
        <v>0.99389450000000001</v>
      </c>
      <c r="AB5419">
        <v>29</v>
      </c>
      <c r="AC5419">
        <v>1.2231999999999601</v>
      </c>
      <c r="AD5419">
        <v>-1.1108936809376999</v>
      </c>
      <c r="AE5419">
        <v>-20.189620000000001</v>
      </c>
      <c r="AF5419">
        <v>-1.9712265753182101</v>
      </c>
      <c r="AG5419">
        <v>-1.1108936809376999</v>
      </c>
      <c r="AH5419">
        <v>20.069234992530198</v>
      </c>
      <c r="AI5419">
        <v>93.153121460518307</v>
      </c>
      <c r="AJ5419">
        <v>95.609673129907307</v>
      </c>
      <c r="AK5419">
        <v>20.196386116505799</v>
      </c>
      <c r="AL5419">
        <v>88.412045252084297</v>
      </c>
      <c r="AM5419">
        <v>88.411123672610103</v>
      </c>
      <c r="AN5419">
        <v>0.99999997238543203</v>
      </c>
    </row>
    <row r="5420" spans="1:40" x14ac:dyDescent="0.25">
      <c r="A5420" t="str">
        <f>"20190312154405885"</f>
        <v>20190312154405885</v>
      </c>
      <c r="B5420" t="str">
        <f>"1552376645873252"</f>
        <v>1552376645873252</v>
      </c>
      <c r="C5420" t="s">
        <v>40</v>
      </c>
      <c r="D5420">
        <v>4.8521960000000002</v>
      </c>
      <c r="E5420">
        <v>0.45411249999999997</v>
      </c>
      <c r="F5420" t="s">
        <v>70</v>
      </c>
      <c r="G5420">
        <v>-420.58620000000002</v>
      </c>
      <c r="H5420" s="1">
        <v>-9.7859219999999991E-7</v>
      </c>
      <c r="I5420">
        <v>38.211930000000002</v>
      </c>
      <c r="J5420">
        <v>-421.8075</v>
      </c>
      <c r="K5420">
        <v>1.110886</v>
      </c>
      <c r="L5420">
        <v>58.580350000000003</v>
      </c>
      <c r="M5420">
        <v>-3.6907099999999998E-2</v>
      </c>
      <c r="N5420">
        <v>0</v>
      </c>
      <c r="O5420">
        <v>-0.9992183</v>
      </c>
      <c r="P5420">
        <v>-6.4862959999999997E-2</v>
      </c>
      <c r="Q5420">
        <v>1.354492E-2</v>
      </c>
      <c r="R5420">
        <v>-0.99780279999999999</v>
      </c>
      <c r="S5420">
        <v>0.17709349999999999</v>
      </c>
      <c r="T5420">
        <v>-0.16244610000000001</v>
      </c>
      <c r="U5420">
        <v>-3.020416</v>
      </c>
      <c r="V5420">
        <v>2.7964550000000001E-2</v>
      </c>
      <c r="W5420">
        <v>2.7749139999999999E-2</v>
      </c>
      <c r="X5420">
        <v>0.99922370000000005</v>
      </c>
      <c r="Y5420">
        <v>-9.5255320000000004E-2</v>
      </c>
      <c r="Z5420">
        <v>5.3482259999999997E-2</v>
      </c>
      <c r="AA5420">
        <v>0.99401510000000004</v>
      </c>
      <c r="AB5420">
        <v>29</v>
      </c>
      <c r="AC5420">
        <v>1.2212999999999801</v>
      </c>
      <c r="AD5420">
        <v>-1.1108869785922</v>
      </c>
      <c r="AE5420">
        <v>-20.36842</v>
      </c>
      <c r="AF5420">
        <v>-1.9664540950837399</v>
      </c>
      <c r="AG5420">
        <v>-1.1108869785922</v>
      </c>
      <c r="AH5420">
        <v>20.249443334784299</v>
      </c>
      <c r="AI5420">
        <v>93.125432435916096</v>
      </c>
      <c r="AJ5420">
        <v>95.546687233397407</v>
      </c>
      <c r="AK5420">
        <v>20.375008391554601</v>
      </c>
      <c r="AL5420">
        <v>88.409887306579293</v>
      </c>
      <c r="AM5420">
        <v>88.396922954976702</v>
      </c>
      <c r="AN5420">
        <v>1.00000001673456</v>
      </c>
    </row>
    <row r="5421" spans="1:40" x14ac:dyDescent="0.25">
      <c r="A5421" t="str">
        <f>"20190312154405907"</f>
        <v>20190312154405907</v>
      </c>
      <c r="B5421" t="str">
        <f>"1552376645903508"</f>
        <v>1552376645903508</v>
      </c>
      <c r="C5421" t="s">
        <v>40</v>
      </c>
      <c r="D5421">
        <v>4.8245389999999997</v>
      </c>
      <c r="E5421">
        <v>0.45429039999999998</v>
      </c>
      <c r="F5421" t="s">
        <v>70</v>
      </c>
      <c r="G5421">
        <v>-420.59649999999999</v>
      </c>
      <c r="H5421" s="1">
        <v>-1.254016E-6</v>
      </c>
      <c r="I5421">
        <v>37.780880000000003</v>
      </c>
      <c r="J5421">
        <v>-421.81760000000003</v>
      </c>
      <c r="K5421">
        <v>1.1108899999999999</v>
      </c>
      <c r="L5421">
        <v>58.290799999999997</v>
      </c>
      <c r="M5421">
        <v>-3.6429860000000001E-2</v>
      </c>
      <c r="N5421">
        <v>0</v>
      </c>
      <c r="O5421">
        <v>-0.99923569999999995</v>
      </c>
      <c r="P5421">
        <v>-6.4983550000000001E-2</v>
      </c>
      <c r="Q5421">
        <v>1.3804189999999999E-2</v>
      </c>
      <c r="R5421">
        <v>-0.99779110000000004</v>
      </c>
      <c r="S5421">
        <v>0.17584229999999901</v>
      </c>
      <c r="T5421">
        <v>-0.1613088</v>
      </c>
      <c r="U5421">
        <v>-3.0202330000000002</v>
      </c>
      <c r="V5421">
        <v>2.8562730000000001E-2</v>
      </c>
      <c r="W5421">
        <v>2.8006059999999999E-2</v>
      </c>
      <c r="X5421">
        <v>0.99919959999999997</v>
      </c>
      <c r="Y5421">
        <v>-9.4374120000000006E-2</v>
      </c>
      <c r="Z5421">
        <v>5.311635E-2</v>
      </c>
      <c r="AA5421">
        <v>0.99411879999999997</v>
      </c>
      <c r="AB5421">
        <v>29</v>
      </c>
      <c r="AC5421">
        <v>1.2211000000000301</v>
      </c>
      <c r="AD5421">
        <v>-1.1108912540160001</v>
      </c>
      <c r="AE5421">
        <v>-20.509920000000001</v>
      </c>
      <c r="AF5421">
        <v>-1.9618028527834801</v>
      </c>
      <c r="AG5421">
        <v>-1.1108912540160001</v>
      </c>
      <c r="AH5421">
        <v>20.392200844299801</v>
      </c>
      <c r="AI5421">
        <v>93.103876729303195</v>
      </c>
      <c r="AJ5421">
        <v>95.495148333887201</v>
      </c>
      <c r="AK5421">
        <v>20.516447184775998</v>
      </c>
      <c r="AL5421">
        <v>88.395161132534398</v>
      </c>
      <c r="AM5421">
        <v>88.362611089916101</v>
      </c>
      <c r="AN5421">
        <v>1.0000000047909601</v>
      </c>
    </row>
    <row r="5422" spans="1:40" x14ac:dyDescent="0.25">
      <c r="A5422" t="str">
        <f>"20190312154405930"</f>
        <v>20190312154405930</v>
      </c>
      <c r="B5422" t="str">
        <f>"1552376645923026"</f>
        <v>1552376645923026</v>
      </c>
      <c r="C5422" t="s">
        <v>40</v>
      </c>
      <c r="D5422">
        <v>4.9092070000000003</v>
      </c>
      <c r="E5422">
        <v>0.45435769999999998</v>
      </c>
      <c r="F5422" t="s">
        <v>70</v>
      </c>
      <c r="G5422">
        <v>-420.66419999999999</v>
      </c>
      <c r="H5422" s="1">
        <v>-9.3909729999999998E-7</v>
      </c>
      <c r="I5422">
        <v>38.291139999999999</v>
      </c>
      <c r="J5422">
        <v>-421.82760000000002</v>
      </c>
      <c r="K5422">
        <v>1.1108899999999999</v>
      </c>
      <c r="L5422">
        <v>58.002870000000001</v>
      </c>
      <c r="M5422">
        <v>-3.5957309999999999E-2</v>
      </c>
      <c r="N5422">
        <v>0</v>
      </c>
      <c r="O5422">
        <v>-0.9992529</v>
      </c>
      <c r="P5422">
        <v>-6.4510369999999997E-2</v>
      </c>
      <c r="Q5422">
        <v>1.389432E-2</v>
      </c>
      <c r="R5422">
        <v>-0.99782040000000005</v>
      </c>
      <c r="S5422">
        <v>0.1741943</v>
      </c>
      <c r="T5422">
        <v>-0.16776369999999999</v>
      </c>
      <c r="U5422">
        <v>-3.0202939999999998</v>
      </c>
      <c r="V5422">
        <v>2.8561489999999998E-2</v>
      </c>
      <c r="W5422">
        <v>2.8092809999999999E-2</v>
      </c>
      <c r="X5422">
        <v>0.99919720000000001</v>
      </c>
      <c r="Y5422">
        <v>-9.3354880000000001E-2</v>
      </c>
      <c r="Z5422">
        <v>5.5239299999999998E-2</v>
      </c>
      <c r="AA5422">
        <v>0.99409930000000002</v>
      </c>
      <c r="AB5422">
        <v>29</v>
      </c>
      <c r="AC5422">
        <v>1.16340000000002</v>
      </c>
      <c r="AD5422">
        <v>-1.1108909390973001</v>
      </c>
      <c r="AE5422">
        <v>-19.7117299999999</v>
      </c>
      <c r="AF5422">
        <v>-1.8655947017413299</v>
      </c>
      <c r="AG5422">
        <v>-1.1108909390973001</v>
      </c>
      <c r="AH5422">
        <v>19.595123545947001</v>
      </c>
      <c r="AI5422">
        <v>93.230175734466201</v>
      </c>
      <c r="AJ5422">
        <v>95.438571555956798</v>
      </c>
      <c r="AK5422">
        <v>19.715054883277901</v>
      </c>
      <c r="AL5422">
        <v>88.390188766913496</v>
      </c>
      <c r="AM5422">
        <v>88.362678204963203</v>
      </c>
      <c r="AN5422">
        <v>1.00000000458627</v>
      </c>
    </row>
    <row r="5423" spans="1:40" x14ac:dyDescent="0.25">
      <c r="A5423" t="str">
        <f>"20190312154405952"</f>
        <v>20190312154405952</v>
      </c>
      <c r="B5423" t="str">
        <f>"1552376645943523"</f>
        <v>1552376645943523</v>
      </c>
      <c r="C5423" t="s">
        <v>40</v>
      </c>
      <c r="D5423">
        <v>4.9015839999999997</v>
      </c>
      <c r="E5423">
        <v>0.45435500000000001</v>
      </c>
      <c r="F5423" t="s">
        <v>70</v>
      </c>
      <c r="G5423">
        <v>-420.69470000000001</v>
      </c>
      <c r="H5423" s="1">
        <v>-8.4763020000000001E-7</v>
      </c>
      <c r="I5423">
        <v>38.44173</v>
      </c>
      <c r="J5423">
        <v>-421.83760000000001</v>
      </c>
      <c r="K5423">
        <v>1.1108899999999999</v>
      </c>
      <c r="L5423">
        <v>57.7104199999999</v>
      </c>
      <c r="M5423">
        <v>-3.5477910000000001E-2</v>
      </c>
      <c r="N5423">
        <v>0</v>
      </c>
      <c r="O5423">
        <v>-0.99927029999999994</v>
      </c>
      <c r="P5423">
        <v>-6.3336890000000007E-2</v>
      </c>
      <c r="Q5423">
        <v>1.395157E-2</v>
      </c>
      <c r="R5423">
        <v>-0.99789510000000003</v>
      </c>
      <c r="S5423">
        <v>0.17492679999999999</v>
      </c>
      <c r="T5423">
        <v>-0.17152120000000001</v>
      </c>
      <c r="U5423">
        <v>-3.0202330000000002</v>
      </c>
      <c r="V5423">
        <v>2.78657E-2</v>
      </c>
      <c r="W5423">
        <v>2.8146669999999999E-2</v>
      </c>
      <c r="X5423">
        <v>0.99921530000000003</v>
      </c>
      <c r="Y5423">
        <v>-9.3114630000000004E-2</v>
      </c>
      <c r="Z5423">
        <v>5.647543E-2</v>
      </c>
      <c r="AA5423">
        <v>0.99405239999999995</v>
      </c>
      <c r="AB5423">
        <v>29</v>
      </c>
      <c r="AC5423">
        <v>1.14289999999999</v>
      </c>
      <c r="AD5423">
        <v>-1.1108908476302</v>
      </c>
      <c r="AE5423">
        <v>-19.2686899999999</v>
      </c>
      <c r="AF5423">
        <v>-1.8198340327218701</v>
      </c>
      <c r="AG5423">
        <v>-1.1108908476302</v>
      </c>
      <c r="AH5423">
        <v>19.152568767322801</v>
      </c>
      <c r="AI5423">
        <v>93.304709809711497</v>
      </c>
      <c r="AJ5423">
        <v>95.427820524365202</v>
      </c>
      <c r="AK5423">
        <v>19.270878671431401</v>
      </c>
      <c r="AL5423">
        <v>88.387101546130296</v>
      </c>
      <c r="AM5423">
        <v>88.402573200764394</v>
      </c>
      <c r="AN5423">
        <v>0.999999974011334</v>
      </c>
    </row>
    <row r="5424" spans="1:40" x14ac:dyDescent="0.25">
      <c r="A5424" t="str">
        <f>"20190312154405973"</f>
        <v>20190312154405973</v>
      </c>
      <c r="B5424" t="str">
        <f>"1552376645963042"</f>
        <v>1552376645963042</v>
      </c>
      <c r="C5424" t="s">
        <v>40</v>
      </c>
      <c r="D5424">
        <v>4.9032770000000001</v>
      </c>
      <c r="E5424">
        <v>0.45433430000000002</v>
      </c>
      <c r="F5424" t="s">
        <v>70</v>
      </c>
      <c r="G5424">
        <v>-420.6977</v>
      </c>
      <c r="H5424" s="1">
        <v>-8.055583E-7</v>
      </c>
      <c r="I5424">
        <v>38.508580000000002</v>
      </c>
      <c r="J5424">
        <v>-421.84690000000001</v>
      </c>
      <c r="K5424">
        <v>1.1108819999999999</v>
      </c>
      <c r="L5424">
        <v>57.432250000000003</v>
      </c>
      <c r="M5424">
        <v>-3.5022009999999999E-2</v>
      </c>
      <c r="N5424">
        <v>0</v>
      </c>
      <c r="O5424">
        <v>-0.99928620000000001</v>
      </c>
      <c r="P5424">
        <v>-6.2726699999999996E-2</v>
      </c>
      <c r="Q5424">
        <v>1.3982120000000001E-2</v>
      </c>
      <c r="R5424">
        <v>-0.99793310000000002</v>
      </c>
      <c r="S5424">
        <v>0.1792908</v>
      </c>
      <c r="T5424">
        <v>-0.1747271</v>
      </c>
      <c r="U5424">
        <v>-3.0201720000000001</v>
      </c>
      <c r="V5424">
        <v>2.7710640000000002E-2</v>
      </c>
      <c r="W5424">
        <v>2.8173839999999999E-2</v>
      </c>
      <c r="X5424">
        <v>0.99921890000000002</v>
      </c>
      <c r="Y5424">
        <v>-9.4089400000000004E-2</v>
      </c>
      <c r="Z5424">
        <v>5.7525010000000001E-2</v>
      </c>
      <c r="AA5424">
        <v>0.99390040000000002</v>
      </c>
      <c r="AB5424">
        <v>29</v>
      </c>
      <c r="AC5424">
        <v>1.1492</v>
      </c>
      <c r="AD5424">
        <v>-1.1108828055583</v>
      </c>
      <c r="AE5424">
        <v>-18.923670000000001</v>
      </c>
      <c r="AF5424">
        <v>-1.8051086003894199</v>
      </c>
      <c r="AG5424">
        <v>-1.1108828055583</v>
      </c>
      <c r="AH5424">
        <v>18.807234295390099</v>
      </c>
      <c r="AI5424">
        <v>93.364922117709199</v>
      </c>
      <c r="AJ5424">
        <v>95.482425567231701</v>
      </c>
      <c r="AK5424">
        <v>18.926292281072499</v>
      </c>
      <c r="AL5424">
        <v>88.385544288486003</v>
      </c>
      <c r="AM5424">
        <v>88.411463310432296</v>
      </c>
      <c r="AN5424">
        <v>1.00000002747338</v>
      </c>
    </row>
    <row r="5425" spans="1:40" x14ac:dyDescent="0.25">
      <c r="A5425" t="str">
        <f>"20190312154405996"</f>
        <v>20190312154405996</v>
      </c>
      <c r="B5425" t="str">
        <f>"1552376645983538"</f>
        <v>1552376645983538</v>
      </c>
      <c r="C5425" t="s">
        <v>40</v>
      </c>
      <c r="D5425">
        <v>4.9292360000000004</v>
      </c>
      <c r="E5425">
        <v>0.45435199999999998</v>
      </c>
      <c r="F5425" t="s">
        <v>70</v>
      </c>
      <c r="G5425">
        <v>-420.71899999999999</v>
      </c>
      <c r="H5425" s="1">
        <v>-7.5283559999999998E-7</v>
      </c>
      <c r="I5425">
        <v>38.59619</v>
      </c>
      <c r="J5425">
        <v>-421.85669999999999</v>
      </c>
      <c r="K5425">
        <v>1.1108830000000001</v>
      </c>
      <c r="L5425">
        <v>57.140839999999997</v>
      </c>
      <c r="M5425">
        <v>-3.4543730000000002E-2</v>
      </c>
      <c r="N5425">
        <v>0</v>
      </c>
      <c r="O5425">
        <v>-0.99930289999999999</v>
      </c>
      <c r="P5425">
        <v>-6.1672280000000003E-2</v>
      </c>
      <c r="Q5425">
        <v>1.4491830000000001E-2</v>
      </c>
      <c r="R5425">
        <v>-0.99799159999999998</v>
      </c>
      <c r="S5425">
        <v>0.18084720000000001</v>
      </c>
      <c r="T5425">
        <v>-0.178113299999999</v>
      </c>
      <c r="U5425">
        <v>-3.0200809999999998</v>
      </c>
      <c r="V5425">
        <v>2.7132860000000002E-2</v>
      </c>
      <c r="W5425">
        <v>2.867956E-2</v>
      </c>
      <c r="X5425">
        <v>0.99922040000000001</v>
      </c>
      <c r="Y5425">
        <v>-9.4121200000000002E-2</v>
      </c>
      <c r="Z5425">
        <v>5.8638290000000003E-2</v>
      </c>
      <c r="AA5425">
        <v>0.9938323</v>
      </c>
      <c r="AB5425">
        <v>29</v>
      </c>
      <c r="AC5425">
        <v>1.1376999999999899</v>
      </c>
      <c r="AD5425">
        <v>-1.1108837528355999</v>
      </c>
      <c r="AE5425">
        <v>-18.544650000000001</v>
      </c>
      <c r="AF5425">
        <v>-1.7713539850462201</v>
      </c>
      <c r="AG5425">
        <v>-1.1108837528355999</v>
      </c>
      <c r="AH5425">
        <v>18.428395394965001</v>
      </c>
      <c r="AI5425">
        <v>93.433888930650397</v>
      </c>
      <c r="AJ5425">
        <v>95.490454273562193</v>
      </c>
      <c r="AK5425">
        <v>18.546630812247798</v>
      </c>
      <c r="AL5425">
        <v>88.356557004015997</v>
      </c>
      <c r="AM5425">
        <v>88.4445709443022</v>
      </c>
      <c r="AN5425">
        <v>1.0000000585148601</v>
      </c>
    </row>
    <row r="5426" spans="1:40" x14ac:dyDescent="0.25">
      <c r="A5426" t="str">
        <f>"20190312154406018"</f>
        <v>20190312154406018</v>
      </c>
      <c r="B5426" t="str">
        <f>"1552376646012818"</f>
        <v>1552376646012818</v>
      </c>
      <c r="C5426" t="s">
        <v>40</v>
      </c>
      <c r="D5426">
        <v>4.9229289999999999</v>
      </c>
      <c r="E5426">
        <v>0.4542852</v>
      </c>
      <c r="F5426" t="s">
        <v>70</v>
      </c>
      <c r="G5426">
        <v>-420.71039999999999</v>
      </c>
      <c r="H5426" s="1">
        <v>-9.3101199999999997E-7</v>
      </c>
      <c r="I5426">
        <v>38.314</v>
      </c>
      <c r="J5426">
        <v>-421.86610000000002</v>
      </c>
      <c r="K5426">
        <v>1.110887</v>
      </c>
      <c r="L5426">
        <v>56.851559999999999</v>
      </c>
      <c r="M5426">
        <v>-3.4067229999999997E-2</v>
      </c>
      <c r="N5426">
        <v>0</v>
      </c>
      <c r="O5426">
        <v>-0.99931919999999996</v>
      </c>
      <c r="P5426">
        <v>-6.077929E-2</v>
      </c>
      <c r="Q5426">
        <v>1.455496E-2</v>
      </c>
      <c r="R5426">
        <v>-0.99804530000000002</v>
      </c>
      <c r="S5426">
        <v>0.18386839999999999</v>
      </c>
      <c r="T5426">
        <v>-0.17819549999999901</v>
      </c>
      <c r="U5426">
        <v>-3.0199889999999998</v>
      </c>
      <c r="V5426">
        <v>2.671513E-2</v>
      </c>
      <c r="W5426">
        <v>2.8739609999999999E-2</v>
      </c>
      <c r="X5426">
        <v>0.99922979999999995</v>
      </c>
      <c r="Y5426">
        <v>-9.4638799999999995E-2</v>
      </c>
      <c r="Z5426">
        <v>5.8665229999999999E-2</v>
      </c>
      <c r="AA5426">
        <v>0.99378160000000004</v>
      </c>
      <c r="AB5426">
        <v>29</v>
      </c>
      <c r="AC5426">
        <v>1.1557000000000199</v>
      </c>
      <c r="AD5426">
        <v>-1.1108879310119999</v>
      </c>
      <c r="AE5426">
        <v>-18.537559999999999</v>
      </c>
      <c r="AF5426">
        <v>-1.78024728135009</v>
      </c>
      <c r="AG5426">
        <v>-1.1108879310119999</v>
      </c>
      <c r="AH5426">
        <v>18.4215235465518</v>
      </c>
      <c r="AI5426">
        <v>93.435009993576799</v>
      </c>
      <c r="AJ5426">
        <v>95.519895692517096</v>
      </c>
      <c r="AK5426">
        <v>18.540654846962202</v>
      </c>
      <c r="AL5426">
        <v>88.353114759295394</v>
      </c>
      <c r="AM5426">
        <v>88.468520805902202</v>
      </c>
      <c r="AN5426">
        <v>0.99999992828095097</v>
      </c>
    </row>
    <row r="5427" spans="1:40" x14ac:dyDescent="0.25">
      <c r="A5427" t="str">
        <f>"20190312154406041"</f>
        <v>20190312154406041</v>
      </c>
      <c r="B5427" t="str">
        <f>"1552376646033314"</f>
        <v>1552376646033314</v>
      </c>
      <c r="C5427" t="s">
        <v>40</v>
      </c>
      <c r="D5427">
        <v>4.9188210000000003</v>
      </c>
      <c r="E5427">
        <v>0.45423560000000002</v>
      </c>
      <c r="F5427" t="s">
        <v>70</v>
      </c>
      <c r="G5427">
        <v>-420.721</v>
      </c>
      <c r="H5427" s="1">
        <v>-8.8817969999999902E-7</v>
      </c>
      <c r="I5427">
        <v>38.383699999999997</v>
      </c>
      <c r="J5427">
        <v>-421.87520000000001</v>
      </c>
      <c r="K5427">
        <v>1.110897</v>
      </c>
      <c r="L5427">
        <v>56.568539999999999</v>
      </c>
      <c r="M5427">
        <v>-3.3597099999999998E-2</v>
      </c>
      <c r="N5427">
        <v>0</v>
      </c>
      <c r="O5427">
        <v>-0.99933519999999998</v>
      </c>
      <c r="P5427">
        <v>-6.0101300000000003E-2</v>
      </c>
      <c r="Q5427">
        <v>1.4661260000000001E-2</v>
      </c>
      <c r="R5427">
        <v>-0.99808470000000005</v>
      </c>
      <c r="S5427">
        <v>0.1872559</v>
      </c>
      <c r="T5427">
        <v>-0.18165609999999999</v>
      </c>
      <c r="U5427">
        <v>-3.0199280000000002</v>
      </c>
      <c r="V5427">
        <v>2.6506229999999999E-2</v>
      </c>
      <c r="W5427">
        <v>2.8842570000000001E-2</v>
      </c>
      <c r="X5427">
        <v>0.99923249999999997</v>
      </c>
      <c r="Y5427">
        <v>-9.5278050000000003E-2</v>
      </c>
      <c r="Z5427">
        <v>5.9799249999999998E-2</v>
      </c>
      <c r="AA5427">
        <v>0.99365289999999995</v>
      </c>
      <c r="AB5427">
        <v>29</v>
      </c>
      <c r="AC5427">
        <v>1.1541999999999999</v>
      </c>
      <c r="AD5427">
        <v>-1.1108978881797</v>
      </c>
      <c r="AE5427">
        <v>-18.184840000000001</v>
      </c>
      <c r="AF5427">
        <v>-1.7580329194379101</v>
      </c>
      <c r="AG5427">
        <v>-1.1108978881797</v>
      </c>
      <c r="AH5427">
        <v>18.0686305150676</v>
      </c>
      <c r="AI5427">
        <v>93.501743294391204</v>
      </c>
      <c r="AJ5427">
        <v>95.557244788638499</v>
      </c>
      <c r="AK5427">
        <v>18.1879130895719</v>
      </c>
      <c r="AL5427">
        <v>88.347213309651096</v>
      </c>
      <c r="AM5427">
        <v>88.480494734554796</v>
      </c>
      <c r="AN5427">
        <v>1.00000003156463</v>
      </c>
    </row>
    <row r="5428" spans="1:40" x14ac:dyDescent="0.25">
      <c r="A5428" t="str">
        <f>"20190312154406063"</f>
        <v>20190312154406063</v>
      </c>
      <c r="B5428" t="str">
        <f>"1552376646052834"</f>
        <v>1552376646052834</v>
      </c>
      <c r="C5428" t="s">
        <v>40</v>
      </c>
      <c r="D5428">
        <v>4.9450209999999997</v>
      </c>
      <c r="E5428">
        <v>0.4542273</v>
      </c>
      <c r="F5428" t="s">
        <v>70</v>
      </c>
      <c r="G5428">
        <v>-420.73129999999998</v>
      </c>
      <c r="H5428" s="1">
        <v>-9.0455039999999995E-7</v>
      </c>
      <c r="I5428">
        <v>38.360199999999999</v>
      </c>
      <c r="J5428">
        <v>-421.88440000000003</v>
      </c>
      <c r="K5428">
        <v>1.110903</v>
      </c>
      <c r="L5428">
        <v>56.280459999999998</v>
      </c>
      <c r="M5428">
        <v>-3.3109960000000001E-2</v>
      </c>
      <c r="N5428">
        <v>0</v>
      </c>
      <c r="O5428">
        <v>-0.99935160000000001</v>
      </c>
      <c r="P5428">
        <v>-6.0479659999999998E-2</v>
      </c>
      <c r="Q5428">
        <v>1.452989E-2</v>
      </c>
      <c r="R5428">
        <v>-0.99806410000000001</v>
      </c>
      <c r="S5428">
        <v>0.1897278</v>
      </c>
      <c r="T5428">
        <v>-0.18424499999999999</v>
      </c>
      <c r="U5428">
        <v>-3.0198969999999998</v>
      </c>
      <c r="V5428">
        <v>2.7372130000000001E-2</v>
      </c>
      <c r="W5428">
        <v>2.8708629999999999E-2</v>
      </c>
      <c r="X5428">
        <v>0.99921300000000002</v>
      </c>
      <c r="Y5428">
        <v>-9.5600400000000002E-2</v>
      </c>
      <c r="Z5428">
        <v>6.0647949999999999E-2</v>
      </c>
      <c r="AA5428">
        <v>0.99357050000000002</v>
      </c>
      <c r="AB5428">
        <v>29</v>
      </c>
      <c r="AC5428">
        <v>1.15310000000005</v>
      </c>
      <c r="AD5428">
        <v>-1.1109039045503999</v>
      </c>
      <c r="AE5428">
        <v>-17.920259999999999</v>
      </c>
      <c r="AF5428">
        <v>-1.73920998102575</v>
      </c>
      <c r="AG5428">
        <v>-1.1109039045503999</v>
      </c>
      <c r="AH5428">
        <v>17.8041115743797</v>
      </c>
      <c r="AI5428">
        <v>93.553523251378294</v>
      </c>
      <c r="AJ5428">
        <v>95.579285700099206</v>
      </c>
      <c r="AK5428">
        <v>17.923318548645099</v>
      </c>
      <c r="AL5428">
        <v>88.354890664925193</v>
      </c>
      <c r="AM5428">
        <v>88.430849670278107</v>
      </c>
      <c r="AN5428">
        <v>1.0000000191531</v>
      </c>
    </row>
    <row r="5429" spans="1:40" x14ac:dyDescent="0.25">
      <c r="A5429" t="str">
        <f>"20190312154406098"</f>
        <v>20190312154406098</v>
      </c>
      <c r="B5429" t="str">
        <f>"1552376646092850"</f>
        <v>1552376646092850</v>
      </c>
      <c r="C5429" t="s">
        <v>40</v>
      </c>
      <c r="D5429">
        <v>4.9956559999999897</v>
      </c>
      <c r="E5429">
        <v>0.45424540000000002</v>
      </c>
      <c r="F5429" t="s">
        <v>70</v>
      </c>
      <c r="G5429">
        <v>-420.75909999999999</v>
      </c>
      <c r="H5429" s="1">
        <v>-9.4156510000000005E-7</v>
      </c>
      <c r="I5429">
        <v>38.308059999999998</v>
      </c>
      <c r="J5429">
        <v>-421.89789999999999</v>
      </c>
      <c r="K5429">
        <v>1.1109169999999999</v>
      </c>
      <c r="L5429">
        <v>55.843229999999998</v>
      </c>
      <c r="M5429">
        <v>-3.2339710000000001E-2</v>
      </c>
      <c r="N5429">
        <v>0</v>
      </c>
      <c r="O5429">
        <v>-0.99937699999999996</v>
      </c>
      <c r="P5429">
        <v>-6.0687440000000002E-2</v>
      </c>
      <c r="Q5429">
        <v>1.448488E-2</v>
      </c>
      <c r="R5429">
        <v>-0.99805219999999994</v>
      </c>
      <c r="S5429">
        <v>0.1890869</v>
      </c>
      <c r="T5429">
        <v>-0.18667049999999999</v>
      </c>
      <c r="U5429">
        <v>-3.0199889999999998</v>
      </c>
      <c r="V5429">
        <v>2.8349539999999999E-2</v>
      </c>
      <c r="W5429">
        <v>2.8660970000000001E-2</v>
      </c>
      <c r="X5429">
        <v>0.99918709999999999</v>
      </c>
      <c r="Y5429">
        <v>-9.4618170000000001E-2</v>
      </c>
      <c r="Z5429">
        <v>6.1447120000000001E-2</v>
      </c>
      <c r="AA5429">
        <v>0.99361540000000004</v>
      </c>
      <c r="AB5429">
        <v>29</v>
      </c>
      <c r="AC5429">
        <v>1.1388</v>
      </c>
      <c r="AD5429">
        <v>-1.1109179415651</v>
      </c>
      <c r="AE5429">
        <v>-17.535170000000001</v>
      </c>
      <c r="AF5429">
        <v>-1.6985543341123399</v>
      </c>
      <c r="AG5429">
        <v>-1.1109179415651</v>
      </c>
      <c r="AH5429">
        <v>17.419540971917499</v>
      </c>
      <c r="AI5429">
        <v>93.631874407063293</v>
      </c>
      <c r="AJ5429">
        <v>95.569222839573001</v>
      </c>
      <c r="AK5429">
        <v>17.537378172666902</v>
      </c>
      <c r="AL5429">
        <v>88.357622481315502</v>
      </c>
      <c r="AM5429">
        <v>88.374805534652893</v>
      </c>
      <c r="AN5429">
        <v>1.00000000421298</v>
      </c>
    </row>
    <row r="5430" spans="1:40" x14ac:dyDescent="0.25">
      <c r="A5430" t="str">
        <f>"20190312154406120"</f>
        <v>20190312154406120</v>
      </c>
      <c r="B5430" t="str">
        <f>"1552376646113346"</f>
        <v>1552376646113346</v>
      </c>
      <c r="C5430" t="s">
        <v>40</v>
      </c>
      <c r="D5430">
        <v>4.986809</v>
      </c>
      <c r="E5430">
        <v>0.4542525</v>
      </c>
      <c r="F5430" t="s">
        <v>70</v>
      </c>
      <c r="G5430">
        <v>-420.803</v>
      </c>
      <c r="H5430" s="1">
        <v>-9.6102169999999993E-7</v>
      </c>
      <c r="I5430">
        <v>38.28707</v>
      </c>
      <c r="J5430">
        <v>-421.9067</v>
      </c>
      <c r="K5430">
        <v>1.1109359999999999</v>
      </c>
      <c r="L5430">
        <v>55.556370000000001</v>
      </c>
      <c r="M5430">
        <v>-3.18091E-2</v>
      </c>
      <c r="N5430">
        <v>0</v>
      </c>
      <c r="O5430">
        <v>-0.99939389999999995</v>
      </c>
      <c r="P5430">
        <v>-6.029081E-2</v>
      </c>
      <c r="Q5430">
        <v>1.48641E-2</v>
      </c>
      <c r="R5430">
        <v>-0.99807060000000003</v>
      </c>
      <c r="S5430">
        <v>0.18835450000000001</v>
      </c>
      <c r="T5430">
        <v>-0.19110450000000001</v>
      </c>
      <c r="U5430">
        <v>-3.0200809999999998</v>
      </c>
      <c r="V5430">
        <v>2.848181E-2</v>
      </c>
      <c r="W5430">
        <v>2.9037509999999999E-2</v>
      </c>
      <c r="X5430">
        <v>0.99917239999999996</v>
      </c>
      <c r="Y5430">
        <v>-9.3842040000000002E-2</v>
      </c>
      <c r="Z5430">
        <v>6.2903459999999994E-2</v>
      </c>
      <c r="AA5430">
        <v>0.99359790000000003</v>
      </c>
      <c r="AB5430">
        <v>29</v>
      </c>
      <c r="AC5430">
        <v>1.10369999999994</v>
      </c>
      <c r="AD5430">
        <v>-1.1109369610216999</v>
      </c>
      <c r="AE5430">
        <v>-17.269299999999902</v>
      </c>
      <c r="AF5430">
        <v>-1.64573425727832</v>
      </c>
      <c r="AG5430">
        <v>-1.1109369610216999</v>
      </c>
      <c r="AH5430">
        <v>17.154744236006099</v>
      </c>
      <c r="AI5430">
        <v>93.688399337335397</v>
      </c>
      <c r="AJ5430">
        <v>95.479879914594903</v>
      </c>
      <c r="AK5430">
        <v>17.2692753750622</v>
      </c>
      <c r="AL5430">
        <v>88.336039234301296</v>
      </c>
      <c r="AM5430">
        <v>88.367202976947198</v>
      </c>
      <c r="AN5430">
        <v>0.99999993770481599</v>
      </c>
    </row>
    <row r="5431" spans="1:40" x14ac:dyDescent="0.25">
      <c r="A5431" t="str">
        <f>"20190312154406141"</f>
        <v>20190312154406141</v>
      </c>
      <c r="B5431" t="str">
        <f>"1552376646132866"</f>
        <v>1552376646132866</v>
      </c>
      <c r="C5431" t="s">
        <v>40</v>
      </c>
      <c r="D5431">
        <v>5.0363439999999997</v>
      </c>
      <c r="E5431">
        <v>0.45419500000000002</v>
      </c>
      <c r="F5431" t="s">
        <v>70</v>
      </c>
      <c r="G5431">
        <v>-420.81439999999998</v>
      </c>
      <c r="H5431" s="1">
        <v>-1.07295E-6</v>
      </c>
      <c r="I5431">
        <v>38.11347</v>
      </c>
      <c r="J5431">
        <v>-421.91489999999999</v>
      </c>
      <c r="K5431">
        <v>1.1109530000000001</v>
      </c>
      <c r="L5431">
        <v>55.2772199999999</v>
      </c>
      <c r="M5431">
        <v>-3.126806E-2</v>
      </c>
      <c r="N5431">
        <v>0</v>
      </c>
      <c r="O5431">
        <v>-0.99941089999999999</v>
      </c>
      <c r="P5431">
        <v>-5.9427170000000001E-2</v>
      </c>
      <c r="Q5431">
        <v>1.4515480000000001E-2</v>
      </c>
      <c r="R5431">
        <v>-0.99812719999999999</v>
      </c>
      <c r="S5431">
        <v>0.18911739999999999</v>
      </c>
      <c r="T5431">
        <v>-0.19234870000000001</v>
      </c>
      <c r="U5431">
        <v>-3.0200809999999998</v>
      </c>
      <c r="V5431">
        <v>2.815703E-2</v>
      </c>
      <c r="W5431">
        <v>2.868718E-2</v>
      </c>
      <c r="X5431">
        <v>0.99919179999999996</v>
      </c>
      <c r="Y5431">
        <v>-9.3551499999999996E-2</v>
      </c>
      <c r="Z5431">
        <v>6.3313339999999996E-2</v>
      </c>
      <c r="AA5431">
        <v>0.99359929999999996</v>
      </c>
      <c r="AB5431">
        <v>29</v>
      </c>
      <c r="AC5431">
        <v>1.10050000000001</v>
      </c>
      <c r="AD5431">
        <v>-1.11095407295</v>
      </c>
      <c r="AE5431">
        <v>-17.163749999999901</v>
      </c>
      <c r="AF5431">
        <v>-1.6298921055542901</v>
      </c>
      <c r="AG5431">
        <v>-1.11095407295</v>
      </c>
      <c r="AH5431">
        <v>17.049803271698099</v>
      </c>
      <c r="AI5431">
        <v>93.711214012220907</v>
      </c>
      <c r="AJ5431">
        <v>95.460650491424602</v>
      </c>
      <c r="AK5431">
        <v>17.163524079616</v>
      </c>
      <c r="AL5431">
        <v>88.356120155502197</v>
      </c>
      <c r="AM5431">
        <v>88.385843288274202</v>
      </c>
      <c r="AN5431">
        <v>1.000000012911</v>
      </c>
    </row>
    <row r="5432" spans="1:40" x14ac:dyDescent="0.25">
      <c r="A5432" t="str">
        <f>"20190312154406164"</f>
        <v>20190312154406164</v>
      </c>
      <c r="B5432" t="str">
        <f>"1552376646153362"</f>
        <v>1552376646153362</v>
      </c>
      <c r="C5432" t="s">
        <v>40</v>
      </c>
      <c r="D5432">
        <v>5.0283170000000004</v>
      </c>
      <c r="E5432">
        <v>0.45415559999999999</v>
      </c>
      <c r="F5432" t="s">
        <v>70</v>
      </c>
      <c r="G5432">
        <v>-420.8193</v>
      </c>
      <c r="H5432" s="1">
        <v>-1.0922019999999999E-6</v>
      </c>
      <c r="I5432">
        <v>38.08426</v>
      </c>
      <c r="J5432">
        <v>-421.92309999999998</v>
      </c>
      <c r="K5432">
        <v>1.11097</v>
      </c>
      <c r="L5432">
        <v>54.996490000000001</v>
      </c>
      <c r="M5432">
        <v>-3.068968E-2</v>
      </c>
      <c r="N5432">
        <v>0</v>
      </c>
      <c r="O5432">
        <v>-0.99942900000000001</v>
      </c>
      <c r="P5432">
        <v>-5.857105E-2</v>
      </c>
      <c r="Q5432">
        <v>1.4472199999999999E-2</v>
      </c>
      <c r="R5432">
        <v>-0.99817900000000004</v>
      </c>
      <c r="S5432">
        <v>0.1924438</v>
      </c>
      <c r="T5432">
        <v>-0.19513810000000001</v>
      </c>
      <c r="U5432">
        <v>-3.0199280000000002</v>
      </c>
      <c r="V5432">
        <v>2.7876689999999999E-2</v>
      </c>
      <c r="W5432">
        <v>2.8642379999999999E-2</v>
      </c>
      <c r="X5432">
        <v>0.99920089999999995</v>
      </c>
      <c r="Y5432">
        <v>-9.4064789999999995E-2</v>
      </c>
      <c r="Z5432">
        <v>6.4228880000000002E-2</v>
      </c>
      <c r="AA5432">
        <v>0.99349209999999999</v>
      </c>
      <c r="AB5432">
        <v>29</v>
      </c>
      <c r="AC5432">
        <v>1.1037999999999699</v>
      </c>
      <c r="AD5432">
        <v>-1.110971092202</v>
      </c>
      <c r="AE5432">
        <v>-16.912229999999902</v>
      </c>
      <c r="AF5432">
        <v>-1.61542140938231</v>
      </c>
      <c r="AG5432">
        <v>-1.110971092202</v>
      </c>
      <c r="AH5432">
        <v>16.798202820666901</v>
      </c>
      <c r="AI5432">
        <v>93.766495078489996</v>
      </c>
      <c r="AJ5432">
        <v>95.493032915627396</v>
      </c>
      <c r="AK5432">
        <v>16.9122281530809</v>
      </c>
      <c r="AL5432">
        <v>88.358687986496193</v>
      </c>
      <c r="AM5432">
        <v>88.401920497084802</v>
      </c>
      <c r="AN5432">
        <v>0.99999996716911399</v>
      </c>
    </row>
    <row r="5433" spans="1:40" x14ac:dyDescent="0.25">
      <c r="A5433" t="str">
        <f>"20190312154406186"</f>
        <v>20190312154406186</v>
      </c>
      <c r="B5433" t="str">
        <f>"1552376646172883"</f>
        <v>1552376646172883</v>
      </c>
      <c r="C5433" t="s">
        <v>40</v>
      </c>
      <c r="D5433">
        <v>5.0310959999999998</v>
      </c>
      <c r="E5433">
        <v>0.45408779999999999</v>
      </c>
      <c r="F5433" t="s">
        <v>70</v>
      </c>
      <c r="G5433">
        <v>-420.82299999999998</v>
      </c>
      <c r="H5433" s="1">
        <v>-1.1458210000000001E-6</v>
      </c>
      <c r="I5433">
        <v>38.000720000000001</v>
      </c>
      <c r="J5433">
        <v>-421.93119999999999</v>
      </c>
      <c r="K5433">
        <v>1.1110009999999999</v>
      </c>
      <c r="L5433">
        <v>54.71396</v>
      </c>
      <c r="M5433">
        <v>-3.006843E-2</v>
      </c>
      <c r="N5433">
        <v>0</v>
      </c>
      <c r="O5433">
        <v>-0.9994478</v>
      </c>
      <c r="P5433">
        <v>-5.7633009999999998E-2</v>
      </c>
      <c r="Q5433">
        <v>1.4400059999999999E-2</v>
      </c>
      <c r="R5433">
        <v>-0.99823430000000002</v>
      </c>
      <c r="S5433">
        <v>0.1954651</v>
      </c>
      <c r="T5433">
        <v>-0.19739709999999999</v>
      </c>
      <c r="U5433">
        <v>-3.019806</v>
      </c>
      <c r="V5433">
        <v>2.7556870000000001E-2</v>
      </c>
      <c r="W5433">
        <v>2.856945E-2</v>
      </c>
      <c r="X5433">
        <v>0.99921190000000004</v>
      </c>
      <c r="Y5433">
        <v>-9.4435279999999996E-2</v>
      </c>
      <c r="Z5433">
        <v>6.4970520000000004E-2</v>
      </c>
      <c r="AA5433">
        <v>0.99340870000000003</v>
      </c>
      <c r="AB5433">
        <v>29</v>
      </c>
      <c r="AC5433">
        <v>1.1081999999999499</v>
      </c>
      <c r="AD5433">
        <v>-1.111002145821</v>
      </c>
      <c r="AE5433">
        <v>-16.713239999999999</v>
      </c>
      <c r="AF5433">
        <v>-1.60323652535225</v>
      </c>
      <c r="AG5433">
        <v>-1.111002145821</v>
      </c>
      <c r="AH5433">
        <v>16.599327572236501</v>
      </c>
      <c r="AI5433">
        <v>93.811443433756494</v>
      </c>
      <c r="AJ5433">
        <v>95.516767957890806</v>
      </c>
      <c r="AK5433">
        <v>16.713538493528301</v>
      </c>
      <c r="AL5433">
        <v>88.3628683451321</v>
      </c>
      <c r="AM5433">
        <v>88.420262769943207</v>
      </c>
      <c r="AN5433">
        <v>1.0000000078295499</v>
      </c>
    </row>
    <row r="5434" spans="1:40" x14ac:dyDescent="0.25">
      <c r="A5434" t="str">
        <f>"20190312154406208"</f>
        <v>20190312154406208</v>
      </c>
      <c r="B5434" t="str">
        <f>"1552376646203138"</f>
        <v>1552376646203138</v>
      </c>
      <c r="C5434" t="s">
        <v>40</v>
      </c>
      <c r="D5434">
        <v>5.0362999999999998</v>
      </c>
      <c r="E5434">
        <v>0.4540283</v>
      </c>
      <c r="F5434" t="s">
        <v>70</v>
      </c>
      <c r="G5434">
        <v>-420.82339999999999</v>
      </c>
      <c r="H5434" s="1">
        <v>-1.224404E-6</v>
      </c>
      <c r="I5434">
        <v>37.87717</v>
      </c>
      <c r="J5434">
        <v>-421.9391</v>
      </c>
      <c r="K5434">
        <v>1.1110359999999999</v>
      </c>
      <c r="L5434">
        <v>54.425899999999999</v>
      </c>
      <c r="M5434">
        <v>-2.9387529999999999E-2</v>
      </c>
      <c r="N5434">
        <v>0</v>
      </c>
      <c r="O5434">
        <v>-0.99946809999999997</v>
      </c>
      <c r="P5434">
        <v>-5.6889040000000002E-2</v>
      </c>
      <c r="Q5434">
        <v>1.4610089999999999E-2</v>
      </c>
      <c r="R5434">
        <v>-0.99827379999999999</v>
      </c>
      <c r="S5434">
        <v>0.1986694</v>
      </c>
      <c r="T5434">
        <v>-0.19925670000000001</v>
      </c>
      <c r="U5434">
        <v>-3.0196529999999999</v>
      </c>
      <c r="V5434">
        <v>2.749045E-2</v>
      </c>
      <c r="W5434">
        <v>2.877822E-2</v>
      </c>
      <c r="X5434">
        <v>0.99920770000000003</v>
      </c>
      <c r="Y5434">
        <v>-9.4807359999999993E-2</v>
      </c>
      <c r="Z5434">
        <v>6.5581810000000004E-2</v>
      </c>
      <c r="AA5434">
        <v>0.99333309999999997</v>
      </c>
      <c r="AB5434">
        <v>29</v>
      </c>
      <c r="AC5434">
        <v>1.1156999999999999</v>
      </c>
      <c r="AD5434">
        <v>-1.1110372244040001</v>
      </c>
      <c r="AE5434">
        <v>-16.548729999999999</v>
      </c>
      <c r="AF5434">
        <v>-1.59443865420613</v>
      </c>
      <c r="AG5434">
        <v>-1.1110372244040001</v>
      </c>
      <c r="AH5434">
        <v>16.435045682681</v>
      </c>
      <c r="AI5434">
        <v>93.8493908500934</v>
      </c>
      <c r="AJ5434">
        <v>95.541183792719394</v>
      </c>
      <c r="AK5434">
        <v>16.549542740748102</v>
      </c>
      <c r="AL5434">
        <v>88.350901721300602</v>
      </c>
      <c r="AM5434">
        <v>88.424061848779999</v>
      </c>
      <c r="AN5434">
        <v>0.99999996926342904</v>
      </c>
    </row>
    <row r="5435" spans="1:40" x14ac:dyDescent="0.25">
      <c r="A5435" t="str">
        <f>"20190312154406231"</f>
        <v>20190312154406231</v>
      </c>
      <c r="B5435" t="str">
        <f>"1552376646223634"</f>
        <v>1552376646223634</v>
      </c>
      <c r="C5435" t="s">
        <v>40</v>
      </c>
      <c r="D5435">
        <v>5.0233790000000003</v>
      </c>
      <c r="E5435">
        <v>0.45397680000000001</v>
      </c>
      <c r="F5435" t="s">
        <v>70</v>
      </c>
      <c r="G5435">
        <v>-420.82420000000002</v>
      </c>
      <c r="H5435" s="1">
        <v>-1.303372E-6</v>
      </c>
      <c r="I5435">
        <v>37.753120000000003</v>
      </c>
      <c r="J5435">
        <v>-421.94650000000001</v>
      </c>
      <c r="K5435">
        <v>1.111075</v>
      </c>
      <c r="L5435">
        <v>54.145359999999997</v>
      </c>
      <c r="M5435">
        <v>-2.8671769999999999E-2</v>
      </c>
      <c r="N5435">
        <v>0</v>
      </c>
      <c r="O5435">
        <v>-0.99948890000000001</v>
      </c>
      <c r="P5435">
        <v>-5.631212E-2</v>
      </c>
      <c r="Q5435">
        <v>1.463822E-2</v>
      </c>
      <c r="R5435">
        <v>-0.99830629999999998</v>
      </c>
      <c r="S5435">
        <v>0.20190430000000001</v>
      </c>
      <c r="T5435">
        <v>-0.20122290000000001</v>
      </c>
      <c r="U5435">
        <v>-3.0196529999999999</v>
      </c>
      <c r="V5435">
        <v>2.7626080000000001E-2</v>
      </c>
      <c r="W5435">
        <v>2.880682E-2</v>
      </c>
      <c r="X5435">
        <v>0.99920310000000001</v>
      </c>
      <c r="Y5435">
        <v>-9.5151079999999999E-2</v>
      </c>
      <c r="Z5435">
        <v>6.6224770000000002E-2</v>
      </c>
      <c r="AA5435">
        <v>0.99325750000000002</v>
      </c>
      <c r="AB5435">
        <v>28</v>
      </c>
      <c r="AC5435">
        <v>1.1222999999999901</v>
      </c>
      <c r="AD5435">
        <v>-1.1110763033719999</v>
      </c>
      <c r="AE5435">
        <v>-16.392239999999902</v>
      </c>
      <c r="AF5435">
        <v>-1.5846338392060899</v>
      </c>
      <c r="AG5435">
        <v>-1.1110763033719999</v>
      </c>
      <c r="AH5435">
        <v>16.278878231856002</v>
      </c>
      <c r="AI5435">
        <v>93.886220213750406</v>
      </c>
      <c r="AJ5435">
        <v>95.559822710819006</v>
      </c>
      <c r="AK5435">
        <v>16.393517970340199</v>
      </c>
      <c r="AL5435">
        <v>88.349262324259996</v>
      </c>
      <c r="AM5435">
        <v>88.416283284511394</v>
      </c>
      <c r="AN5435">
        <v>0.99999993411214205</v>
      </c>
    </row>
    <row r="5436" spans="1:40" x14ac:dyDescent="0.25">
      <c r="A5436" t="str">
        <f>"20190312154406252"</f>
        <v>20190312154406252</v>
      </c>
      <c r="B5436" t="str">
        <f>"1552376646243155"</f>
        <v>1552376646243155</v>
      </c>
      <c r="C5436" t="s">
        <v>40</v>
      </c>
      <c r="D5436">
        <v>5.0366689999999998</v>
      </c>
      <c r="E5436">
        <v>0.45276100000000002</v>
      </c>
      <c r="F5436" t="s">
        <v>70</v>
      </c>
      <c r="G5436">
        <v>-420.82940000000002</v>
      </c>
      <c r="H5436" s="1">
        <v>-1.3999600000000001E-6</v>
      </c>
      <c r="I5436">
        <v>37.6023</v>
      </c>
      <c r="J5436">
        <v>-421.95389999999998</v>
      </c>
      <c r="K5436">
        <v>1.1111040000000001</v>
      </c>
      <c r="L5436">
        <v>53.858150000000002</v>
      </c>
      <c r="M5436">
        <v>-2.7894869999999999E-2</v>
      </c>
      <c r="N5436">
        <v>0</v>
      </c>
      <c r="O5436">
        <v>-0.99951100000000004</v>
      </c>
      <c r="P5436">
        <v>-5.5459250000000002E-2</v>
      </c>
      <c r="Q5436">
        <v>1.5003030000000001E-2</v>
      </c>
      <c r="R5436">
        <v>-0.99834869999999998</v>
      </c>
      <c r="S5436">
        <v>0.20388790000000001</v>
      </c>
      <c r="T5436">
        <v>-0.2028018</v>
      </c>
      <c r="U5436">
        <v>-3.0195620000000001</v>
      </c>
      <c r="V5436">
        <v>2.7546330000000001E-2</v>
      </c>
      <c r="W5436">
        <v>2.9170970000000001E-2</v>
      </c>
      <c r="X5436">
        <v>0.99919480000000005</v>
      </c>
      <c r="Y5436">
        <v>-9.5026600000000003E-2</v>
      </c>
      <c r="Z5436">
        <v>6.6745269999999995E-2</v>
      </c>
      <c r="AA5436">
        <v>0.99323459999999997</v>
      </c>
      <c r="AB5436">
        <v>28</v>
      </c>
      <c r="AC5436">
        <v>1.1244999999999501</v>
      </c>
      <c r="AD5436">
        <v>-1.11110539996</v>
      </c>
      <c r="AE5436">
        <v>-16.255849999999999</v>
      </c>
      <c r="AF5436">
        <v>-1.5702612937556799</v>
      </c>
      <c r="AG5436">
        <v>-1.11110539996</v>
      </c>
      <c r="AH5436">
        <v>16.1430927345383</v>
      </c>
      <c r="AI5436">
        <v>93.918936459907698</v>
      </c>
      <c r="AJ5436">
        <v>95.555762537144204</v>
      </c>
      <c r="AK5436">
        <v>16.257297400748701</v>
      </c>
      <c r="AL5436">
        <v>88.328389397692405</v>
      </c>
      <c r="AM5436">
        <v>88.420839673360703</v>
      </c>
      <c r="AN5436">
        <v>0.99999999706712495</v>
      </c>
    </row>
    <row r="5437" spans="1:40" x14ac:dyDescent="0.25">
      <c r="A5437" t="str">
        <f>"20190312154406276"</f>
        <v>20190312154406276</v>
      </c>
      <c r="B5437" t="str">
        <f>"1552376646263651"</f>
        <v>1552376646263651</v>
      </c>
      <c r="C5437" t="s">
        <v>40</v>
      </c>
      <c r="D5437">
        <v>5.0379759999999996</v>
      </c>
      <c r="E5437">
        <v>0.45328600000000002</v>
      </c>
      <c r="F5437" t="s">
        <v>43</v>
      </c>
      <c r="G5437">
        <v>-420.95859999999999</v>
      </c>
      <c r="H5437" s="1">
        <v>-4.2541730000000001E-7</v>
      </c>
      <c r="I5437">
        <v>39.986179999999997</v>
      </c>
      <c r="J5437">
        <v>-421.96100000000001</v>
      </c>
      <c r="K5437">
        <v>1.1111409999999999</v>
      </c>
      <c r="L5437">
        <v>53.571319999999901</v>
      </c>
      <c r="M5437">
        <v>-2.7070360000000002E-2</v>
      </c>
      <c r="N5437">
        <v>0</v>
      </c>
      <c r="O5437">
        <v>-0.99953349999999996</v>
      </c>
      <c r="P5437">
        <v>-5.470394E-2</v>
      </c>
      <c r="Q5437">
        <v>1.543079E-2</v>
      </c>
      <c r="R5437">
        <v>-0.99838360000000004</v>
      </c>
      <c r="S5437">
        <v>0.21670529999999999</v>
      </c>
      <c r="T5437">
        <v>-0.24194360000000001</v>
      </c>
      <c r="U5437">
        <v>-3.0206300000000001</v>
      </c>
      <c r="V5437">
        <v>2.7611810000000001E-2</v>
      </c>
      <c r="W5437">
        <v>2.9598510000000001E-2</v>
      </c>
      <c r="X5437">
        <v>0.99918039999999997</v>
      </c>
      <c r="Y5437">
        <v>-9.8308499999999993E-2</v>
      </c>
      <c r="Z5437">
        <v>7.9502489999999995E-2</v>
      </c>
      <c r="AA5437">
        <v>0.99197519999999995</v>
      </c>
      <c r="AB5437">
        <v>28</v>
      </c>
      <c r="AC5437">
        <v>1.0024000000000199</v>
      </c>
      <c r="AD5437">
        <v>-1.1111414254173</v>
      </c>
      <c r="AE5437">
        <v>-13.5851399999999</v>
      </c>
      <c r="AF5437">
        <v>-1.36077005559023</v>
      </c>
      <c r="AG5437">
        <v>-1.1111414254173</v>
      </c>
      <c r="AH5437">
        <v>13.463442952678999</v>
      </c>
      <c r="AI5437">
        <v>94.694135458011701</v>
      </c>
      <c r="AJ5437">
        <v>95.771369905743498</v>
      </c>
      <c r="AK5437">
        <v>13.577578081215799</v>
      </c>
      <c r="AL5437">
        <v>88.303882544512206</v>
      </c>
      <c r="AM5437">
        <v>88.417064979676994</v>
      </c>
      <c r="AN5437">
        <v>0.999999977794927</v>
      </c>
    </row>
    <row r="5438" spans="1:40" x14ac:dyDescent="0.25">
      <c r="A5438" t="str">
        <f>"20190312154406298"</f>
        <v>20190312154406298</v>
      </c>
      <c r="B5438" t="str">
        <f>"1552376646292930"</f>
        <v>1552376646292930</v>
      </c>
      <c r="C5438" t="s">
        <v>40</v>
      </c>
      <c r="D5438">
        <v>5.0345490000000002</v>
      </c>
      <c r="E5438">
        <v>0.4523528</v>
      </c>
      <c r="F5438" t="s">
        <v>70</v>
      </c>
      <c r="G5438">
        <v>-420.96199999999999</v>
      </c>
      <c r="H5438" s="1">
        <v>-2.9509820000000002E-7</v>
      </c>
      <c r="I5438">
        <v>39.539160000000003</v>
      </c>
      <c r="J5438">
        <v>-421.96769999999998</v>
      </c>
      <c r="K5438">
        <v>1.1111819999999999</v>
      </c>
      <c r="L5438">
        <v>53.289580000000001</v>
      </c>
      <c r="M5438">
        <v>-2.620399E-2</v>
      </c>
      <c r="N5438">
        <v>0</v>
      </c>
      <c r="O5438">
        <v>-0.99955709999999998</v>
      </c>
      <c r="P5438">
        <v>-5.3229770000000003E-2</v>
      </c>
      <c r="Q5438">
        <v>1.5927449999999999E-2</v>
      </c>
      <c r="R5438">
        <v>-0.99845609999999996</v>
      </c>
      <c r="S5438">
        <v>0.21502689999999999</v>
      </c>
      <c r="T5438">
        <v>-0.2391654</v>
      </c>
      <c r="U5438">
        <v>-3.0203250000000001</v>
      </c>
      <c r="V5438">
        <v>2.6999160000000001E-2</v>
      </c>
      <c r="W5438">
        <v>3.0094200000000002E-2</v>
      </c>
      <c r="X5438">
        <v>0.99918229999999997</v>
      </c>
      <c r="Y5438">
        <v>-9.690957E-2</v>
      </c>
      <c r="Z5438">
        <v>7.8612849999999998E-2</v>
      </c>
      <c r="AA5438">
        <v>0.9921837</v>
      </c>
      <c r="AB5438">
        <v>28</v>
      </c>
      <c r="AC5438">
        <v>1.00569999999999</v>
      </c>
      <c r="AD5438">
        <v>-1.1111822950982</v>
      </c>
      <c r="AE5438">
        <v>-13.75042</v>
      </c>
      <c r="AF5438">
        <v>-1.35689242805785</v>
      </c>
      <c r="AG5438">
        <v>-1.1111822950982</v>
      </c>
      <c r="AH5438">
        <v>13.630800699264899</v>
      </c>
      <c r="AI5438">
        <v>94.637623376858699</v>
      </c>
      <c r="AJ5438">
        <v>95.684840331822201</v>
      </c>
      <c r="AK5438">
        <v>13.743165969213299</v>
      </c>
      <c r="AL5438">
        <v>88.2754688787129</v>
      </c>
      <c r="AM5438">
        <v>88.4521727564087</v>
      </c>
      <c r="AN5438">
        <v>0.99999994207381504</v>
      </c>
    </row>
    <row r="5439" spans="1:40" x14ac:dyDescent="0.25">
      <c r="A5439" t="str">
        <f>"20190312154406321"</f>
        <v>20190312154406321</v>
      </c>
      <c r="B5439" t="str">
        <f>"1552376646313428"</f>
        <v>1552376646313428</v>
      </c>
      <c r="C5439" t="s">
        <v>40</v>
      </c>
      <c r="D5439">
        <v>5.0984889999999998</v>
      </c>
      <c r="E5439">
        <v>0.44939479999999998</v>
      </c>
      <c r="F5439" t="s">
        <v>43</v>
      </c>
      <c r="G5439">
        <v>-420.94779999999997</v>
      </c>
      <c r="H5439" s="1">
        <v>-3.1929899999999998E-7</v>
      </c>
      <c r="I5439">
        <v>39.745570000000001</v>
      </c>
      <c r="J5439">
        <v>-421.97410000000002</v>
      </c>
      <c r="K5439">
        <v>1.1112340000000001</v>
      </c>
      <c r="L5439">
        <v>53.0096699999999</v>
      </c>
      <c r="M5439">
        <v>-2.5276030000000001E-2</v>
      </c>
      <c r="N5439">
        <v>0</v>
      </c>
      <c r="O5439">
        <v>-0.99958089999999999</v>
      </c>
      <c r="P5439">
        <v>-5.142509E-2</v>
      </c>
      <c r="Q5439">
        <v>1.6510730000000001E-2</v>
      </c>
      <c r="R5439">
        <v>-0.99854050000000005</v>
      </c>
      <c r="S5439">
        <v>0.22747800000000001</v>
      </c>
      <c r="T5439">
        <v>-0.24782689999999999</v>
      </c>
      <c r="U5439">
        <v>-3.020721</v>
      </c>
      <c r="V5439">
        <v>2.6116569999999999E-2</v>
      </c>
      <c r="W5439">
        <v>3.0676620000000002E-2</v>
      </c>
      <c r="X5439">
        <v>0.99918810000000002</v>
      </c>
      <c r="Y5439">
        <v>-0.1000269</v>
      </c>
      <c r="Z5439">
        <v>8.1408770000000005E-2</v>
      </c>
      <c r="AA5439">
        <v>0.99164870000000005</v>
      </c>
      <c r="AB5439">
        <v>28</v>
      </c>
      <c r="AC5439">
        <v>1.02630000000004</v>
      </c>
      <c r="AD5439">
        <v>-1.111234319299</v>
      </c>
      <c r="AE5439">
        <v>-13.2640999999999</v>
      </c>
      <c r="AF5439">
        <v>-1.3518375640099201</v>
      </c>
      <c r="AG5439">
        <v>-1.111234319299</v>
      </c>
      <c r="AH5439">
        <v>13.142225841830101</v>
      </c>
      <c r="AI5439">
        <v>94.8078713762701</v>
      </c>
      <c r="AJ5439">
        <v>95.872911985078005</v>
      </c>
      <c r="AK5439">
        <v>13.2582203402087</v>
      </c>
      <c r="AL5439">
        <v>88.2420833453792</v>
      </c>
      <c r="AM5439">
        <v>88.502755776681596</v>
      </c>
      <c r="AN5439">
        <v>0.99999999471239898</v>
      </c>
    </row>
    <row r="5440" spans="1:40" x14ac:dyDescent="0.25">
      <c r="A5440" t="str">
        <f>"20190312154406343"</f>
        <v>20190312154406343</v>
      </c>
      <c r="B5440" t="str">
        <f>"1552376646332947"</f>
        <v>1552376646332947</v>
      </c>
      <c r="C5440" t="s">
        <v>40</v>
      </c>
      <c r="D5440">
        <v>4.9970059999999998</v>
      </c>
      <c r="E5440">
        <v>0.41281600000000002</v>
      </c>
      <c r="F5440" t="s">
        <v>70</v>
      </c>
      <c r="G5440">
        <v>-420.83569999999997</v>
      </c>
      <c r="H5440" s="1">
        <v>-2.4430100000000001E-7</v>
      </c>
      <c r="I5440">
        <v>39.584130000000002</v>
      </c>
      <c r="J5440">
        <v>-421.98009999999999</v>
      </c>
      <c r="K5440">
        <v>1.1112899999999999</v>
      </c>
      <c r="L5440">
        <v>52.727690000000003</v>
      </c>
      <c r="M5440">
        <v>-2.4260070000000002E-2</v>
      </c>
      <c r="N5440">
        <v>0</v>
      </c>
      <c r="O5440">
        <v>-0.99960610000000005</v>
      </c>
      <c r="P5440">
        <v>-4.9255140000000003E-2</v>
      </c>
      <c r="Q5440">
        <v>1.6831539999999999E-2</v>
      </c>
      <c r="R5440">
        <v>-0.99864459999999999</v>
      </c>
      <c r="S5440">
        <v>0.2562256</v>
      </c>
      <c r="T5440">
        <v>-0.25010900000000003</v>
      </c>
      <c r="U5440">
        <v>-3.0217290000000001</v>
      </c>
      <c r="V5440">
        <v>2.4955689999999999E-2</v>
      </c>
      <c r="W5440">
        <v>3.0996909999999999E-2</v>
      </c>
      <c r="X5440">
        <v>0.99920790000000004</v>
      </c>
      <c r="Y5440">
        <v>-0.1083567</v>
      </c>
      <c r="Z5440">
        <v>8.2062460000000004E-2</v>
      </c>
      <c r="AA5440">
        <v>0.99071920000000002</v>
      </c>
      <c r="AB5440">
        <v>28</v>
      </c>
      <c r="AC5440">
        <v>1.1444000000000101</v>
      </c>
      <c r="AD5440">
        <v>-1.111290244301</v>
      </c>
      <c r="AE5440">
        <v>-13.143560000000001</v>
      </c>
      <c r="AF5440">
        <v>-1.4526520613932601</v>
      </c>
      <c r="AG5440">
        <v>-1.111290244301</v>
      </c>
      <c r="AH5440">
        <v>13.0195518500253</v>
      </c>
      <c r="AI5440">
        <v>94.848741719334797</v>
      </c>
      <c r="AJ5440">
        <v>96.366425867384393</v>
      </c>
      <c r="AK5440">
        <v>13.1473911630424</v>
      </c>
      <c r="AL5440">
        <v>88.223723377811297</v>
      </c>
      <c r="AM5440">
        <v>88.5693082283845</v>
      </c>
      <c r="AN5440">
        <v>1.0000000111576599</v>
      </c>
    </row>
    <row r="5441" spans="1:40" x14ac:dyDescent="0.25">
      <c r="A5441" t="str">
        <f>"20190312154406365"</f>
        <v>20190312154406365</v>
      </c>
      <c r="B5441" t="str">
        <f>"1552376646353442"</f>
        <v>1552376646353442</v>
      </c>
      <c r="C5441" t="s">
        <v>40</v>
      </c>
      <c r="D5441">
        <v>5.0184009999999999</v>
      </c>
      <c r="E5441">
        <v>0.40911979999999998</v>
      </c>
      <c r="F5441" t="s">
        <v>70</v>
      </c>
      <c r="G5441">
        <v>-419.54500000000002</v>
      </c>
      <c r="H5441" s="1">
        <v>-2.4193679999999999E-7</v>
      </c>
      <c r="I5441">
        <v>39.405990000000003</v>
      </c>
      <c r="J5441">
        <v>-421.98570000000001</v>
      </c>
      <c r="K5441">
        <v>1.111367</v>
      </c>
      <c r="L5441">
        <v>52.448300000000003</v>
      </c>
      <c r="M5441">
        <v>-2.315422E-2</v>
      </c>
      <c r="N5441">
        <v>0</v>
      </c>
      <c r="O5441">
        <v>-0.99963219999999997</v>
      </c>
      <c r="P5441">
        <v>-4.7129810000000001E-2</v>
      </c>
      <c r="Q5441">
        <v>1.681508E-2</v>
      </c>
      <c r="R5441">
        <v>-0.9987473</v>
      </c>
      <c r="S5441">
        <v>0.55490109999999904</v>
      </c>
      <c r="T5441">
        <v>-0.2532372</v>
      </c>
      <c r="U5441">
        <v>-3.0357059999999998</v>
      </c>
      <c r="V5441">
        <v>2.392884E-2</v>
      </c>
      <c r="W5441">
        <v>3.0981660000000001E-2</v>
      </c>
      <c r="X5441">
        <v>0.9992335</v>
      </c>
      <c r="Y5441">
        <v>-0.20194290000000001</v>
      </c>
      <c r="Z5441">
        <v>8.1569600000000006E-2</v>
      </c>
      <c r="AA5441">
        <v>0.97599460000000005</v>
      </c>
      <c r="AB5441">
        <v>28</v>
      </c>
      <c r="AC5441">
        <v>2.4406999999999899</v>
      </c>
      <c r="AD5441">
        <v>-1.1113672419367999</v>
      </c>
      <c r="AE5441">
        <v>-13.042310000000001</v>
      </c>
      <c r="AF5441">
        <v>-2.7229573020148399</v>
      </c>
      <c r="AG5441">
        <v>-1.1113672419367999</v>
      </c>
      <c r="AH5441">
        <v>12.8918520800456</v>
      </c>
      <c r="AI5441">
        <v>94.821261480236998</v>
      </c>
      <c r="AJ5441">
        <v>101.926457120725</v>
      </c>
      <c r="AK5441">
        <v>13.223066348953401</v>
      </c>
      <c r="AL5441">
        <v>88.224597574141299</v>
      </c>
      <c r="AM5441">
        <v>88.628188955123704</v>
      </c>
      <c r="AN5441">
        <v>1.0000000200811701</v>
      </c>
    </row>
    <row r="5442" spans="1:40" x14ac:dyDescent="0.25">
      <c r="A5442" t="str">
        <f>"20190312154406388"</f>
        <v>20190312154406388</v>
      </c>
      <c r="B5442" t="str">
        <f>"1552376646382722"</f>
        <v>1552376646382722</v>
      </c>
      <c r="C5442" t="s">
        <v>40</v>
      </c>
      <c r="D5442">
        <v>5.0421199999999997</v>
      </c>
      <c r="E5442">
        <v>0.40758</v>
      </c>
      <c r="F5442" t="s">
        <v>70</v>
      </c>
      <c r="G5442">
        <v>-419.2901</v>
      </c>
      <c r="H5442" s="1">
        <v>-8.1802019999999899E-7</v>
      </c>
      <c r="I5442">
        <v>38.606369999999998</v>
      </c>
      <c r="J5442">
        <v>-421.99099999999999</v>
      </c>
      <c r="K5442">
        <v>1.111467</v>
      </c>
      <c r="L5442">
        <v>52.164090000000002</v>
      </c>
      <c r="M5442">
        <v>-2.190303E-2</v>
      </c>
      <c r="N5442">
        <v>0</v>
      </c>
      <c r="O5442">
        <v>-0.9996604</v>
      </c>
      <c r="P5442">
        <v>-4.5649710000000003E-2</v>
      </c>
      <c r="Q5442">
        <v>1.705688E-2</v>
      </c>
      <c r="R5442">
        <v>-0.99881200000000003</v>
      </c>
      <c r="S5442">
        <v>0.59118649999999995</v>
      </c>
      <c r="T5442">
        <v>-0.2437415</v>
      </c>
      <c r="U5442">
        <v>-3.0357669999999999</v>
      </c>
      <c r="V5442">
        <v>2.3691319999999998E-2</v>
      </c>
      <c r="W5442">
        <v>3.1227109999999999E-2</v>
      </c>
      <c r="X5442">
        <v>0.99923150000000005</v>
      </c>
      <c r="Y5442">
        <v>-0.21201639999999999</v>
      </c>
      <c r="Z5442">
        <v>7.8362249999999994E-2</v>
      </c>
      <c r="AA5442">
        <v>0.97411930000000002</v>
      </c>
      <c r="AB5442">
        <v>28</v>
      </c>
      <c r="AC5442">
        <v>2.7008999999999901</v>
      </c>
      <c r="AD5442">
        <v>-1.1114678180202</v>
      </c>
      <c r="AE5442">
        <v>-13.55772</v>
      </c>
      <c r="AF5442">
        <v>-2.9779862324054398</v>
      </c>
      <c r="AG5442">
        <v>-1.1114678180202</v>
      </c>
      <c r="AH5442">
        <v>13.408626372297499</v>
      </c>
      <c r="AI5442">
        <v>94.626310133556004</v>
      </c>
      <c r="AJ5442">
        <v>102.52185049365499</v>
      </c>
      <c r="AK5442">
        <v>13.7802403427067</v>
      </c>
      <c r="AL5442">
        <v>88.210527482907906</v>
      </c>
      <c r="AM5442">
        <v>88.641797841825806</v>
      </c>
      <c r="AN5442">
        <v>1.00000000081727</v>
      </c>
    </row>
    <row r="5443" spans="1:40" x14ac:dyDescent="0.25">
      <c r="A5443" t="str">
        <f>"20190312154406410"</f>
        <v>20190312154406410</v>
      </c>
      <c r="B5443" t="str">
        <f>"1552376646403219"</f>
        <v>1552376646403219</v>
      </c>
      <c r="C5443" t="s">
        <v>40</v>
      </c>
      <c r="D5443">
        <v>5.0126339999999896</v>
      </c>
      <c r="E5443">
        <v>0.40703509999999998</v>
      </c>
      <c r="F5443" t="s">
        <v>70</v>
      </c>
      <c r="G5443">
        <v>-419.08300000000003</v>
      </c>
      <c r="H5443" s="1">
        <v>-1.48636599999999E-6</v>
      </c>
      <c r="I5443">
        <v>37.641599999999997</v>
      </c>
      <c r="J5443">
        <v>-421.99560000000002</v>
      </c>
      <c r="K5443">
        <v>1.1115759999999999</v>
      </c>
      <c r="L5443">
        <v>51.887630000000001</v>
      </c>
      <c r="M5443">
        <v>-2.0517509999999999E-2</v>
      </c>
      <c r="N5443">
        <v>0</v>
      </c>
      <c r="O5443">
        <v>-0.99968990000000002</v>
      </c>
      <c r="P5443">
        <v>-4.4203119999999999E-2</v>
      </c>
      <c r="Q5443">
        <v>1.7914389999999999E-2</v>
      </c>
      <c r="R5443">
        <v>-0.99886229999999998</v>
      </c>
      <c r="S5443">
        <v>0.60778809999999905</v>
      </c>
      <c r="T5443">
        <v>-0.23230519999999999</v>
      </c>
      <c r="U5443">
        <v>-3.0353089999999998</v>
      </c>
      <c r="V5443">
        <v>2.3618819999999999E-2</v>
      </c>
      <c r="W5443">
        <v>3.2089270000000003E-2</v>
      </c>
      <c r="X5443">
        <v>0.99920589999999998</v>
      </c>
      <c r="Y5443">
        <v>-0.21587190000000001</v>
      </c>
      <c r="Z5443">
        <v>7.4650469999999997E-2</v>
      </c>
      <c r="AA5443">
        <v>0.97356379999999998</v>
      </c>
      <c r="AB5443">
        <v>28</v>
      </c>
      <c r="AC5443">
        <v>2.9125999999999901</v>
      </c>
      <c r="AD5443">
        <v>-1.111577486366</v>
      </c>
      <c r="AE5443">
        <v>-14.246029999999999</v>
      </c>
      <c r="AF5443">
        <v>-3.1856918598483301</v>
      </c>
      <c r="AG5443">
        <v>-1.111577486366</v>
      </c>
      <c r="AH5443">
        <v>14.100860356514501</v>
      </c>
      <c r="AI5443">
        <v>94.396967658754804</v>
      </c>
      <c r="AJ5443">
        <v>102.730644283776</v>
      </c>
      <c r="AK5443">
        <v>14.4989137499339</v>
      </c>
      <c r="AL5443">
        <v>88.161104578066798</v>
      </c>
      <c r="AM5443">
        <v>88.6459179739023</v>
      </c>
      <c r="AN5443">
        <v>1.0000000002510601</v>
      </c>
    </row>
    <row r="5444" spans="1:40" x14ac:dyDescent="0.25">
      <c r="A5444" t="str">
        <f>"20190312154406432"</f>
        <v>20190312154406432</v>
      </c>
      <c r="B5444" t="str">
        <f>"1552376646422738"</f>
        <v>1552376646422738</v>
      </c>
      <c r="C5444" t="s">
        <v>40</v>
      </c>
      <c r="D5444">
        <v>4.9775169999999997</v>
      </c>
      <c r="E5444">
        <v>0.40666239999999998</v>
      </c>
      <c r="F5444" t="s">
        <v>70</v>
      </c>
      <c r="G5444">
        <v>-418.91890000000001</v>
      </c>
      <c r="H5444" s="1">
        <v>-2.1008930000000001E-6</v>
      </c>
      <c r="I5444">
        <v>36.743510000000001</v>
      </c>
      <c r="J5444">
        <v>-421.99970000000002</v>
      </c>
      <c r="K5444">
        <v>1.1117170000000001</v>
      </c>
      <c r="L5444">
        <v>51.602780000000003</v>
      </c>
      <c r="M5444">
        <v>-1.889439E-2</v>
      </c>
      <c r="N5444">
        <v>0</v>
      </c>
      <c r="O5444">
        <v>-0.999722</v>
      </c>
      <c r="P5444">
        <v>-4.2999179999999998E-2</v>
      </c>
      <c r="Q5444">
        <v>1.8365840000000001E-2</v>
      </c>
      <c r="R5444">
        <v>-0.99890659999999998</v>
      </c>
      <c r="S5444">
        <v>0.61654659999999994</v>
      </c>
      <c r="T5444">
        <v>-0.22274669999999999</v>
      </c>
      <c r="U5444">
        <v>-3.0346980000000001</v>
      </c>
      <c r="V5444">
        <v>2.402528E-2</v>
      </c>
      <c r="W5444">
        <v>3.2549660000000001E-2</v>
      </c>
      <c r="X5444">
        <v>0.99918130000000005</v>
      </c>
      <c r="Y5444">
        <v>-0.21706919999999999</v>
      </c>
      <c r="Z5444">
        <v>7.15832E-2</v>
      </c>
      <c r="AA5444">
        <v>0.97352799999999995</v>
      </c>
      <c r="AB5444">
        <v>28</v>
      </c>
      <c r="AC5444">
        <v>3.0808</v>
      </c>
      <c r="AD5444">
        <v>-1.1117191008930001</v>
      </c>
      <c r="AE5444">
        <v>-14.859269999999899</v>
      </c>
      <c r="AF5444">
        <v>-3.3430929370175302</v>
      </c>
      <c r="AG5444">
        <v>-1.1117191008930001</v>
      </c>
      <c r="AH5444">
        <v>14.719404942886801</v>
      </c>
      <c r="AI5444">
        <v>94.212326055711799</v>
      </c>
      <c r="AJ5444">
        <v>102.796025231803</v>
      </c>
      <c r="AK5444">
        <v>15.135160112053899</v>
      </c>
      <c r="AL5444">
        <v>88.134712352966403</v>
      </c>
      <c r="AM5444">
        <v>88.622590365458805</v>
      </c>
      <c r="AN5444">
        <v>0.99999998235744103</v>
      </c>
    </row>
    <row r="5445" spans="1:40" x14ac:dyDescent="0.25">
      <c r="A5445" t="str">
        <f>"20190312154406454"</f>
        <v>20190312154406454</v>
      </c>
      <c r="B5445" t="str">
        <f>"1552376646443235"</f>
        <v>1552376646443235</v>
      </c>
      <c r="C5445" t="s">
        <v>40</v>
      </c>
      <c r="D5445">
        <v>5.0061239999999998</v>
      </c>
      <c r="E5445">
        <v>0.40615830000000003</v>
      </c>
      <c r="F5445" t="s">
        <v>70</v>
      </c>
      <c r="G5445">
        <v>-418.92989999999998</v>
      </c>
      <c r="H5445" s="1">
        <v>-2.1584559999999998E-6</v>
      </c>
      <c r="I5445">
        <v>36.648330000000001</v>
      </c>
      <c r="J5445">
        <v>-422.00310000000002</v>
      </c>
      <c r="K5445">
        <v>1.111861</v>
      </c>
      <c r="L5445">
        <v>51.322389999999999</v>
      </c>
      <c r="M5445">
        <v>-1.71234E-2</v>
      </c>
      <c r="N5445">
        <v>0</v>
      </c>
      <c r="O5445">
        <v>-0.99975369999999997</v>
      </c>
      <c r="P5445">
        <v>-4.1549599999999999E-2</v>
      </c>
      <c r="Q5445">
        <v>1.9158120000000001E-2</v>
      </c>
      <c r="R5445">
        <v>-0.99895279999999997</v>
      </c>
      <c r="S5445">
        <v>0.62286379999999997</v>
      </c>
      <c r="T5445">
        <v>-0.2255664</v>
      </c>
      <c r="U5445">
        <v>-3.0342410000000002</v>
      </c>
      <c r="V5445">
        <v>2.4332599999999999E-2</v>
      </c>
      <c r="W5445">
        <v>3.3351739999999998E-2</v>
      </c>
      <c r="X5445">
        <v>0.99914740000000002</v>
      </c>
      <c r="Y5445">
        <v>-0.21730160000000001</v>
      </c>
      <c r="Z5445">
        <v>7.2481920000000005E-2</v>
      </c>
      <c r="AA5445">
        <v>0.97340970000000004</v>
      </c>
      <c r="AB5445">
        <v>28</v>
      </c>
      <c r="AC5445">
        <v>3.0732000000000399</v>
      </c>
      <c r="AD5445">
        <v>-1.1118631584559999</v>
      </c>
      <c r="AE5445">
        <v>-14.674060000000001</v>
      </c>
      <c r="AF5445">
        <v>-3.3058620743760501</v>
      </c>
      <c r="AG5445">
        <v>-1.1118631584559999</v>
      </c>
      <c r="AH5445">
        <v>14.539313633663101</v>
      </c>
      <c r="AI5445">
        <v>94.264629430396297</v>
      </c>
      <c r="AJ5445">
        <v>102.809784109647</v>
      </c>
      <c r="AK5445">
        <v>14.9518094114375</v>
      </c>
      <c r="AL5445">
        <v>88.088731560770995</v>
      </c>
      <c r="AM5445">
        <v>88.604930799525505</v>
      </c>
      <c r="AN5445">
        <v>0.999999970455273</v>
      </c>
    </row>
    <row r="5446" spans="1:40" x14ac:dyDescent="0.25">
      <c r="A5446" t="str">
        <f>"20190312154406476"</f>
        <v>20190312154406476</v>
      </c>
      <c r="B5446" t="str">
        <f>"1552376646472858"</f>
        <v>1552376646472858</v>
      </c>
      <c r="C5446" t="s">
        <v>40</v>
      </c>
      <c r="D5446">
        <v>5.1669159999999996</v>
      </c>
      <c r="E5446">
        <v>0.40575709999999998</v>
      </c>
      <c r="F5446" t="s">
        <v>70</v>
      </c>
      <c r="G5446">
        <v>-418.94459999999998</v>
      </c>
      <c r="H5446" s="1">
        <v>-2.1593179999999999E-6</v>
      </c>
      <c r="I5446">
        <v>36.640819999999998</v>
      </c>
      <c r="J5446">
        <v>-422.00569999999999</v>
      </c>
      <c r="K5446">
        <v>1.111998</v>
      </c>
      <c r="L5446">
        <v>51.054600000000001</v>
      </c>
      <c r="M5446">
        <v>-1.524793E-2</v>
      </c>
      <c r="N5446">
        <v>0</v>
      </c>
      <c r="O5446">
        <v>-0.99978409999999995</v>
      </c>
      <c r="P5446">
        <v>-4.0163299999999999E-2</v>
      </c>
      <c r="Q5446">
        <v>1.9666639999999999E-2</v>
      </c>
      <c r="R5446">
        <v>-0.99899970000000005</v>
      </c>
      <c r="S5446">
        <v>0.632019</v>
      </c>
      <c r="T5446">
        <v>-0.22975870000000001</v>
      </c>
      <c r="U5446">
        <v>-3.0338440000000002</v>
      </c>
      <c r="V5446">
        <v>2.4808219999999999E-2</v>
      </c>
      <c r="W5446">
        <v>3.3870249999999998E-2</v>
      </c>
      <c r="X5446">
        <v>0.99911830000000001</v>
      </c>
      <c r="Y5446">
        <v>-0.21829290000000001</v>
      </c>
      <c r="Z5446">
        <v>7.3803949999999993E-2</v>
      </c>
      <c r="AA5446">
        <v>0.97308850000000002</v>
      </c>
      <c r="AB5446">
        <v>28</v>
      </c>
      <c r="AC5446">
        <v>3.0611000000000099</v>
      </c>
      <c r="AD5446">
        <v>-1.112000159318</v>
      </c>
      <c r="AE5446">
        <v>-14.413779999999999</v>
      </c>
      <c r="AF5446">
        <v>-3.26196929080605</v>
      </c>
      <c r="AG5446">
        <v>-1.112000159318</v>
      </c>
      <c r="AH5446">
        <v>14.284075814556401</v>
      </c>
      <c r="AI5446">
        <v>94.340149567080203</v>
      </c>
      <c r="AJ5446">
        <v>102.863708652231</v>
      </c>
      <c r="AK5446">
        <v>14.693937861733399</v>
      </c>
      <c r="AL5446">
        <v>88.059006405720297</v>
      </c>
      <c r="AM5446">
        <v>88.577631601879503</v>
      </c>
      <c r="AN5446">
        <v>1.0000000095047601</v>
      </c>
    </row>
    <row r="5447" spans="1:40" x14ac:dyDescent="0.25">
      <c r="A5447" t="str">
        <f>"20190312154406499"</f>
        <v>20190312154406499</v>
      </c>
      <c r="B5447" t="str">
        <f>"1552376646493354"</f>
        <v>1552376646493354</v>
      </c>
      <c r="C5447" t="s">
        <v>40</v>
      </c>
      <c r="D5447">
        <v>4.9794869999999998</v>
      </c>
      <c r="E5447">
        <v>0.40541080000000002</v>
      </c>
      <c r="F5447" t="s">
        <v>70</v>
      </c>
      <c r="G5447">
        <v>-418.89299999999997</v>
      </c>
      <c r="H5447" s="1">
        <v>-2.3909759999999998E-6</v>
      </c>
      <c r="I5447">
        <v>36.297939999999997</v>
      </c>
      <c r="J5447">
        <v>-422.0077</v>
      </c>
      <c r="K5447">
        <v>1.1121460000000001</v>
      </c>
      <c r="L5447">
        <v>50.769129999999997</v>
      </c>
      <c r="M5447">
        <v>-1.301863E-2</v>
      </c>
      <c r="N5447">
        <v>0</v>
      </c>
      <c r="O5447">
        <v>-0.99981549999999997</v>
      </c>
      <c r="P5447">
        <v>-3.8045700000000002E-2</v>
      </c>
      <c r="Q5447">
        <v>1.978688E-2</v>
      </c>
      <c r="R5447">
        <v>-0.99907999999999997</v>
      </c>
      <c r="S5447">
        <v>0.63980099999999995</v>
      </c>
      <c r="T5447">
        <v>-0.22857189999999999</v>
      </c>
      <c r="U5447">
        <v>-3.0332340000000002</v>
      </c>
      <c r="V5447">
        <v>2.4905219999999999E-2</v>
      </c>
      <c r="W5447">
        <v>3.4001299999999998E-2</v>
      </c>
      <c r="X5447">
        <v>0.99911139999999998</v>
      </c>
      <c r="Y5447">
        <v>-0.21855359999999999</v>
      </c>
      <c r="Z5447">
        <v>7.3421550000000002E-2</v>
      </c>
      <c r="AA5447">
        <v>0.97305889999999995</v>
      </c>
      <c r="AB5447">
        <v>28</v>
      </c>
      <c r="AC5447">
        <v>3.1146999999999698</v>
      </c>
      <c r="AD5447">
        <v>-1.1121483909759999</v>
      </c>
      <c r="AE5447">
        <v>-14.471189999999901</v>
      </c>
      <c r="AF5447">
        <v>-3.2843105131305501</v>
      </c>
      <c r="AG5447">
        <v>-1.1121483909759999</v>
      </c>
      <c r="AH5447">
        <v>14.3484160003753</v>
      </c>
      <c r="AI5447">
        <v>94.320836865156494</v>
      </c>
      <c r="AJ5447">
        <v>102.89273230297</v>
      </c>
      <c r="AK5447">
        <v>14.761456950790301</v>
      </c>
      <c r="AL5447">
        <v>88.051493397333203</v>
      </c>
      <c r="AM5447">
        <v>88.572062590175506</v>
      </c>
      <c r="AN5447">
        <v>0.999999973997448</v>
      </c>
    </row>
    <row r="5448" spans="1:40" x14ac:dyDescent="0.25">
      <c r="A5448" t="str">
        <f>"20190312154406521"</f>
        <v>20190312154406521</v>
      </c>
      <c r="B5448" t="str">
        <f>"1552376646512874"</f>
        <v>1552376646512874</v>
      </c>
      <c r="C5448" t="s">
        <v>40</v>
      </c>
      <c r="D5448">
        <v>4.97363</v>
      </c>
      <c r="E5448">
        <v>0.40516659999999999</v>
      </c>
      <c r="F5448" t="s">
        <v>70</v>
      </c>
      <c r="G5448">
        <v>-418.88409999999999</v>
      </c>
      <c r="H5448" s="1">
        <v>-2.4661969999999999E-6</v>
      </c>
      <c r="I5448">
        <v>36.183329999999998</v>
      </c>
      <c r="J5448">
        <v>-422.00880000000001</v>
      </c>
      <c r="K5448">
        <v>1.1123160000000001</v>
      </c>
      <c r="L5448">
        <v>50.489260000000002</v>
      </c>
      <c r="M5448">
        <v>-1.0584390000000001E-2</v>
      </c>
      <c r="N5448">
        <v>0</v>
      </c>
      <c r="O5448">
        <v>-0.99984430000000002</v>
      </c>
      <c r="P5448">
        <v>-3.5407059999999997E-2</v>
      </c>
      <c r="Q5448">
        <v>1.8927699999999999E-2</v>
      </c>
      <c r="R5448">
        <v>-0.99919389999999997</v>
      </c>
      <c r="S5448">
        <v>0.64932250000000002</v>
      </c>
      <c r="T5448">
        <v>-0.2311916</v>
      </c>
      <c r="U5448">
        <v>-3.0320740000000002</v>
      </c>
      <c r="V5448">
        <v>2.4688470000000001E-2</v>
      </c>
      <c r="W5448">
        <v>3.3154910000000003E-2</v>
      </c>
      <c r="X5448">
        <v>0.99914530000000001</v>
      </c>
      <c r="Y5448">
        <v>-0.21916389999999999</v>
      </c>
      <c r="Z5448">
        <v>7.4260240000000005E-2</v>
      </c>
      <c r="AA5448">
        <v>0.972858</v>
      </c>
      <c r="AB5448">
        <v>28</v>
      </c>
      <c r="AC5448">
        <v>3.12470000000001</v>
      </c>
      <c r="AD5448">
        <v>-1.112318466197</v>
      </c>
      <c r="AE5448">
        <v>-14.305929999999901</v>
      </c>
      <c r="AF5448">
        <v>-3.2571652773767399</v>
      </c>
      <c r="AG5448">
        <v>-1.112318466197</v>
      </c>
      <c r="AH5448">
        <v>14.1901728891559</v>
      </c>
      <c r="AI5448">
        <v>94.368894860892794</v>
      </c>
      <c r="AJ5448">
        <v>102.927549823692</v>
      </c>
      <c r="AK5448">
        <v>14.601622671419999</v>
      </c>
      <c r="AL5448">
        <v>88.100015480186599</v>
      </c>
      <c r="AM5448">
        <v>88.584532851191994</v>
      </c>
      <c r="AN5448">
        <v>1.0000000495600601</v>
      </c>
    </row>
    <row r="5449" spans="1:40" x14ac:dyDescent="0.25">
      <c r="A5449" t="str">
        <f>"20190312154406544"</f>
        <v>20190312154406544</v>
      </c>
      <c r="B5449" t="str">
        <f>"1552376646533370"</f>
        <v>1552376646533370</v>
      </c>
      <c r="C5449" t="s">
        <v>40</v>
      </c>
      <c r="D5449">
        <v>4.9886249999999999</v>
      </c>
      <c r="E5449">
        <v>0.40491630000000001</v>
      </c>
      <c r="F5449" t="s">
        <v>70</v>
      </c>
      <c r="G5449">
        <v>-418.89530000000002</v>
      </c>
      <c r="H5449" s="1">
        <v>-2.464345E-6</v>
      </c>
      <c r="I5449">
        <v>36.181579999999997</v>
      </c>
      <c r="J5449">
        <v>-422.00889999999998</v>
      </c>
      <c r="K5449">
        <v>1.112498</v>
      </c>
      <c r="L5449">
        <v>50.212519999999998</v>
      </c>
      <c r="M5449">
        <v>-7.9236429999999993E-3</v>
      </c>
      <c r="N5449">
        <v>0</v>
      </c>
      <c r="O5449">
        <v>-0.9998688</v>
      </c>
      <c r="P5449">
        <v>-3.3325929999999997E-2</v>
      </c>
      <c r="Q5449">
        <v>1.8909019999999999E-2</v>
      </c>
      <c r="R5449">
        <v>-0.99926590000000004</v>
      </c>
      <c r="S5449">
        <v>0.6594238</v>
      </c>
      <c r="T5449">
        <v>-0.23557939999999999</v>
      </c>
      <c r="U5449">
        <v>-3.030243</v>
      </c>
      <c r="V5449">
        <v>2.5251679999999999E-2</v>
      </c>
      <c r="W5449">
        <v>3.3154919999999997E-2</v>
      </c>
      <c r="X5449">
        <v>0.9991312</v>
      </c>
      <c r="Y5449">
        <v>-0.21976409999999999</v>
      </c>
      <c r="Z5449">
        <v>7.5677369999999994E-2</v>
      </c>
      <c r="AA5449">
        <v>0.97261330000000001</v>
      </c>
      <c r="AB5449">
        <v>28</v>
      </c>
      <c r="AC5449">
        <v>3.11359999999996</v>
      </c>
      <c r="AD5449">
        <v>-1.1125004643449901</v>
      </c>
      <c r="AE5449">
        <v>-14.030939999999999</v>
      </c>
      <c r="AF5449">
        <v>-3.20548318319709</v>
      </c>
      <c r="AG5449">
        <v>-1.1125004643449901</v>
      </c>
      <c r="AH5449">
        <v>13.9224069708967</v>
      </c>
      <c r="AI5449">
        <v>94.452631265383104</v>
      </c>
      <c r="AJ5449">
        <v>102.965777827911</v>
      </c>
      <c r="AK5449">
        <v>14.3299056376586</v>
      </c>
      <c r="AL5449">
        <v>88.100014861065702</v>
      </c>
      <c r="AM5449">
        <v>88.552235428739607</v>
      </c>
      <c r="AN5449">
        <v>1.00000002543823</v>
      </c>
    </row>
    <row r="5450" spans="1:40" x14ac:dyDescent="0.25">
      <c r="A5450" t="str">
        <f>"20190312154406565"</f>
        <v>20190312154406565</v>
      </c>
      <c r="B5450" t="str">
        <f>"1552376646562651"</f>
        <v>1552376646562651</v>
      </c>
      <c r="C5450" t="s">
        <v>40</v>
      </c>
      <c r="D5450">
        <v>5.0651510000000002</v>
      </c>
      <c r="E5450">
        <v>0.40461530000000001</v>
      </c>
      <c r="F5450" t="s">
        <v>70</v>
      </c>
      <c r="G5450">
        <v>-418.88200000000001</v>
      </c>
      <c r="H5450" s="1">
        <v>-2.567891E-6</v>
      </c>
      <c r="I5450">
        <v>36.02422</v>
      </c>
      <c r="J5450">
        <v>-422.00810000000001</v>
      </c>
      <c r="K5450">
        <v>1.1126940000000001</v>
      </c>
      <c r="L5450">
        <v>49.942990000000002</v>
      </c>
      <c r="M5450">
        <v>-5.0738210000000001E-3</v>
      </c>
      <c r="N5450">
        <v>0</v>
      </c>
      <c r="O5450">
        <v>-0.99988730000000003</v>
      </c>
      <c r="P5450">
        <v>-3.1048679999999999E-2</v>
      </c>
      <c r="Q5450">
        <v>1.9620060000000002E-2</v>
      </c>
      <c r="R5450">
        <v>-0.99932529999999997</v>
      </c>
      <c r="S5450">
        <v>0.66754150000000001</v>
      </c>
      <c r="T5450">
        <v>-0.23750009999999999</v>
      </c>
      <c r="U5450">
        <v>-3.0289609999999998</v>
      </c>
      <c r="V5450">
        <v>2.5803420000000001E-2</v>
      </c>
      <c r="W5450">
        <v>3.3886449999999999E-2</v>
      </c>
      <c r="X5450">
        <v>0.99909250000000005</v>
      </c>
      <c r="Y5450">
        <v>-0.21954660000000001</v>
      </c>
      <c r="Z5450">
        <v>7.6304629999999998E-2</v>
      </c>
      <c r="AA5450">
        <v>0.97261350000000002</v>
      </c>
      <c r="AB5450">
        <v>28</v>
      </c>
      <c r="AC5450">
        <v>3.1261000000000601</v>
      </c>
      <c r="AD5450">
        <v>-1.1126965678909999</v>
      </c>
      <c r="AE5450">
        <v>-13.91877</v>
      </c>
      <c r="AF5450">
        <v>-3.1773575558778</v>
      </c>
      <c r="AG5450">
        <v>-1.1126965678909999</v>
      </c>
      <c r="AH5450">
        <v>13.8186571859266</v>
      </c>
      <c r="AI5450">
        <v>94.487012462535603</v>
      </c>
      <c r="AJ5450">
        <v>102.949088005786</v>
      </c>
      <c r="AK5450">
        <v>14.222833090219799</v>
      </c>
      <c r="AL5450">
        <v>88.058077596011202</v>
      </c>
      <c r="AM5450">
        <v>88.520558929449606</v>
      </c>
      <c r="AN5450">
        <v>0.99999996576677297</v>
      </c>
    </row>
    <row r="5451" spans="1:40" x14ac:dyDescent="0.25">
      <c r="A5451" t="str">
        <f>"20190312154406589"</f>
        <v>20190312154406589</v>
      </c>
      <c r="B5451" t="str">
        <f>"1552376646583150"</f>
        <v>1552376646583150</v>
      </c>
      <c r="C5451" t="s">
        <v>40</v>
      </c>
      <c r="D5451">
        <v>5.0143769999999996</v>
      </c>
      <c r="E5451">
        <v>0.38186700000000001</v>
      </c>
      <c r="F5451" t="s">
        <v>70</v>
      </c>
      <c r="G5451">
        <v>-418.83940000000001</v>
      </c>
      <c r="H5451" s="1">
        <v>-2.7424569999999999E-6</v>
      </c>
      <c r="I5451">
        <v>35.767429999999997</v>
      </c>
      <c r="J5451">
        <v>-422.0061</v>
      </c>
      <c r="K5451">
        <v>1.1129089999999999</v>
      </c>
      <c r="L5451">
        <v>49.659179999999999</v>
      </c>
      <c r="M5451">
        <v>-1.7901060000000001E-3</v>
      </c>
      <c r="N5451">
        <v>0</v>
      </c>
      <c r="O5451">
        <v>-0.99989830000000002</v>
      </c>
      <c r="P5451">
        <v>-2.8074700000000001E-2</v>
      </c>
      <c r="Q5451">
        <v>2.0279169999999999E-2</v>
      </c>
      <c r="R5451">
        <v>-0.99940030000000002</v>
      </c>
      <c r="S5451">
        <v>0.67678830000000001</v>
      </c>
      <c r="T5451">
        <v>-0.23765700000000001</v>
      </c>
      <c r="U5451">
        <v>-3.0277099999999999</v>
      </c>
      <c r="V5451">
        <v>2.60904E-2</v>
      </c>
      <c r="W5451">
        <v>3.4567920000000002E-2</v>
      </c>
      <c r="X5451">
        <v>0.9990618</v>
      </c>
      <c r="Y5451">
        <v>-0.2192576</v>
      </c>
      <c r="Z5451">
        <v>7.6364399999999902E-2</v>
      </c>
      <c r="AA5451">
        <v>0.97267400000000004</v>
      </c>
      <c r="AB5451">
        <v>28</v>
      </c>
      <c r="AC5451">
        <v>3.1666999999999899</v>
      </c>
      <c r="AD5451">
        <v>-1.1129117424570001</v>
      </c>
      <c r="AE5451">
        <v>-13.89175</v>
      </c>
      <c r="AF5451">
        <v>-3.1722112024308502</v>
      </c>
      <c r="AG5451">
        <v>-1.1129117424570001</v>
      </c>
      <c r="AH5451">
        <v>13.8018522243335</v>
      </c>
      <c r="AI5451">
        <v>94.493409423402198</v>
      </c>
      <c r="AJ5451">
        <v>102.94403179074099</v>
      </c>
      <c r="AK5451">
        <v>14.2053729722829</v>
      </c>
      <c r="AL5451">
        <v>88.019009545053294</v>
      </c>
      <c r="AM5451">
        <v>88.5040663980825</v>
      </c>
      <c r="AN5451">
        <v>1.00000006514226</v>
      </c>
    </row>
    <row r="5452" spans="1:40" x14ac:dyDescent="0.25">
      <c r="A5452" t="str">
        <f>"20190312154406611"</f>
        <v>20190312154406611</v>
      </c>
      <c r="B5452" t="str">
        <f>"1552376646602666"</f>
        <v>1552376646602666</v>
      </c>
      <c r="C5452" t="s">
        <v>40</v>
      </c>
      <c r="D5452">
        <v>4.7966579999999999</v>
      </c>
      <c r="E5452">
        <v>0.3713842</v>
      </c>
      <c r="F5452" t="s">
        <v>70</v>
      </c>
      <c r="G5452">
        <v>-419.11160000000001</v>
      </c>
      <c r="H5452" s="1">
        <v>-2.5666890000000001E-7</v>
      </c>
      <c r="I5452">
        <v>39.564250000000001</v>
      </c>
      <c r="J5452">
        <v>-422.00290000000001</v>
      </c>
      <c r="K5452">
        <v>1.113105</v>
      </c>
      <c r="L5452">
        <v>49.386780000000002</v>
      </c>
      <c r="M5452">
        <v>1.642948E-3</v>
      </c>
      <c r="N5452">
        <v>0</v>
      </c>
      <c r="O5452">
        <v>-0.99989859999999997</v>
      </c>
      <c r="P5452">
        <v>-2.4196349999999998E-2</v>
      </c>
      <c r="Q5452">
        <v>2.0992799999999999E-2</v>
      </c>
      <c r="R5452">
        <v>-0.99948700000000001</v>
      </c>
      <c r="S5452">
        <v>0.86965939999999997</v>
      </c>
      <c r="T5452">
        <v>-0.33437339999999999</v>
      </c>
      <c r="U5452">
        <v>-3.03302</v>
      </c>
      <c r="V5452">
        <v>2.5622800000000001E-2</v>
      </c>
      <c r="W5452">
        <v>3.5299419999999998E-2</v>
      </c>
      <c r="X5452">
        <v>0.99904820000000005</v>
      </c>
      <c r="Y5452">
        <v>-0.272509</v>
      </c>
      <c r="Z5452">
        <v>0.105408</v>
      </c>
      <c r="AA5452">
        <v>0.95636180000000004</v>
      </c>
      <c r="AB5452">
        <v>28</v>
      </c>
      <c r="AC5452">
        <v>2.8913000000000002</v>
      </c>
      <c r="AD5452">
        <v>-1.1131052566688999</v>
      </c>
      <c r="AE5452">
        <v>-9.8225300000000004</v>
      </c>
      <c r="AF5452">
        <v>-2.8415752741464702</v>
      </c>
      <c r="AG5452">
        <v>-1.1131052566688999</v>
      </c>
      <c r="AH5452">
        <v>9.7124867876365197</v>
      </c>
      <c r="AI5452">
        <v>96.2769949981205</v>
      </c>
      <c r="AJ5452">
        <v>106.307854583392</v>
      </c>
      <c r="AK5452">
        <v>10.180665643811199</v>
      </c>
      <c r="AL5452">
        <v>87.977071836527102</v>
      </c>
      <c r="AM5452">
        <v>88.5308451226702</v>
      </c>
      <c r="AN5452">
        <v>0.99999994142770599</v>
      </c>
    </row>
    <row r="5453" spans="1:40" x14ac:dyDescent="0.25">
      <c r="A5453" t="str">
        <f>"20190312154406632"</f>
        <v>20190312154406632</v>
      </c>
      <c r="B5453" t="str">
        <f>"1552376646623163"</f>
        <v>1552376646623163</v>
      </c>
      <c r="C5453" t="s">
        <v>40</v>
      </c>
      <c r="D5453">
        <v>5.0395130000000004</v>
      </c>
      <c r="E5453">
        <v>0.32557259999999999</v>
      </c>
      <c r="F5453" t="s">
        <v>70</v>
      </c>
      <c r="G5453">
        <v>-418.8569</v>
      </c>
      <c r="H5453" s="1">
        <v>-3.64833E-7</v>
      </c>
      <c r="I5453">
        <v>39.500709999999998</v>
      </c>
      <c r="J5453">
        <v>-421.9984</v>
      </c>
      <c r="K5453">
        <v>1.113272</v>
      </c>
      <c r="L5453">
        <v>49.108829999999998</v>
      </c>
      <c r="M5453">
        <v>5.3629219999999896E-3</v>
      </c>
      <c r="N5453">
        <v>0</v>
      </c>
      <c r="O5453">
        <v>-0.99988520000000003</v>
      </c>
      <c r="P5453">
        <v>-1.9823540000000001E-2</v>
      </c>
      <c r="Q5453">
        <v>2.20834E-2</v>
      </c>
      <c r="R5453">
        <v>-0.99955959999999999</v>
      </c>
      <c r="S5453">
        <v>0.96490480000000001</v>
      </c>
      <c r="T5453">
        <v>-0.34139120000000001</v>
      </c>
      <c r="U5453">
        <v>-3.0320740000000002</v>
      </c>
      <c r="V5453">
        <v>2.4946869999999999E-2</v>
      </c>
      <c r="W5453">
        <v>3.6404499999999999E-2</v>
      </c>
      <c r="X5453">
        <v>0.99902570000000002</v>
      </c>
      <c r="Y5453">
        <v>-0.29639969999999999</v>
      </c>
      <c r="Z5453">
        <v>0.1067647</v>
      </c>
      <c r="AA5453">
        <v>0.94907770000000002</v>
      </c>
      <c r="AB5453">
        <v>28</v>
      </c>
      <c r="AC5453">
        <v>3.1415000000000002</v>
      </c>
      <c r="AD5453">
        <v>-1.1132723648330001</v>
      </c>
      <c r="AE5453">
        <v>-9.6081199999999995</v>
      </c>
      <c r="AF5453">
        <v>-3.0528942758366102</v>
      </c>
      <c r="AG5453">
        <v>-1.1132723648330001</v>
      </c>
      <c r="AH5453">
        <v>9.5094929316096906</v>
      </c>
      <c r="AI5453">
        <v>96.360294226891398</v>
      </c>
      <c r="AJ5453">
        <v>107.798525837859</v>
      </c>
      <c r="AK5453">
        <v>10.0493778232322</v>
      </c>
      <c r="AL5453">
        <v>87.913714782707004</v>
      </c>
      <c r="AM5453">
        <v>88.569552936879305</v>
      </c>
      <c r="AN5453">
        <v>0.999999991601768</v>
      </c>
    </row>
    <row r="5454" spans="1:40" x14ac:dyDescent="0.25">
      <c r="A5454" t="str">
        <f>"20190312154406655"</f>
        <v>20190312154406655</v>
      </c>
      <c r="B5454" t="str">
        <f>"1552376646653418"</f>
        <v>1552376646653418</v>
      </c>
      <c r="C5454" t="s">
        <v>40</v>
      </c>
      <c r="D5454">
        <v>4.9806499999999998</v>
      </c>
      <c r="E5454">
        <v>0.32998139999999998</v>
      </c>
      <c r="F5454" t="s">
        <v>43</v>
      </c>
      <c r="G5454">
        <v>-418.50080000000003</v>
      </c>
      <c r="H5454" s="1">
        <v>-9.4266989999999996E-7</v>
      </c>
      <c r="I5454">
        <v>41.210270000000001</v>
      </c>
      <c r="J5454">
        <v>-421.99290000000002</v>
      </c>
      <c r="K5454">
        <v>1.113407</v>
      </c>
      <c r="L5454">
        <v>48.838230000000003</v>
      </c>
      <c r="M5454">
        <v>9.1787659999999997E-3</v>
      </c>
      <c r="N5454">
        <v>0</v>
      </c>
      <c r="O5454">
        <v>-0.99985749999999995</v>
      </c>
      <c r="P5454">
        <v>-1.507203E-2</v>
      </c>
      <c r="Q5454">
        <v>2.1672980000000001E-2</v>
      </c>
      <c r="R5454">
        <v>-0.99965179999999998</v>
      </c>
      <c r="S5454">
        <v>1.345032</v>
      </c>
      <c r="T5454">
        <v>-0.42812159999999999</v>
      </c>
      <c r="U5454">
        <v>-3.0374759999999998</v>
      </c>
      <c r="V5454">
        <v>2.4000879999999999E-2</v>
      </c>
      <c r="W5454">
        <v>3.6003750000000001E-2</v>
      </c>
      <c r="X5454">
        <v>0.99906340000000005</v>
      </c>
      <c r="Y5454">
        <v>-0.39315070000000002</v>
      </c>
      <c r="Z5454">
        <v>0.12805549999999999</v>
      </c>
      <c r="AA5454">
        <v>0.91051320000000002</v>
      </c>
      <c r="AB5454">
        <v>28</v>
      </c>
      <c r="AC5454">
        <v>3.49209999999999</v>
      </c>
      <c r="AD5454">
        <v>-1.1134079426699</v>
      </c>
      <c r="AE5454">
        <v>-7.6279599999999901</v>
      </c>
      <c r="AF5454">
        <v>-3.3627002367052299</v>
      </c>
      <c r="AG5454">
        <v>-1.1134079426699</v>
      </c>
      <c r="AH5454">
        <v>7.5271130096406598</v>
      </c>
      <c r="AI5454">
        <v>97.691549647181404</v>
      </c>
      <c r="AJ5454">
        <v>114.07246571626899</v>
      </c>
      <c r="AK5454">
        <v>8.3189458700390393</v>
      </c>
      <c r="AL5454">
        <v>87.936691136097195</v>
      </c>
      <c r="AM5454">
        <v>88.623826398944203</v>
      </c>
      <c r="AN5454">
        <v>0.99999999473719803</v>
      </c>
    </row>
    <row r="5455" spans="1:40" x14ac:dyDescent="0.25">
      <c r="A5455" t="str">
        <f>"20190312154406678"</f>
        <v>20190312154406678</v>
      </c>
      <c r="B5455" t="str">
        <f>"1552376646673443"</f>
        <v>1552376646673443</v>
      </c>
      <c r="C5455" t="s">
        <v>40</v>
      </c>
      <c r="D5455">
        <v>4.9625260000000004</v>
      </c>
      <c r="E5455">
        <v>0.33179170000000002</v>
      </c>
      <c r="F5455" t="s">
        <v>43</v>
      </c>
      <c r="G5455">
        <v>-418.79660000000001</v>
      </c>
      <c r="H5455" s="1">
        <v>-1.025893E-6</v>
      </c>
      <c r="I5455">
        <v>41.52655</v>
      </c>
      <c r="J5455">
        <v>-421.98590000000002</v>
      </c>
      <c r="K5455">
        <v>1.1135250000000001</v>
      </c>
      <c r="L5455">
        <v>48.560850000000002</v>
      </c>
      <c r="M5455">
        <v>1.3280729999999999E-2</v>
      </c>
      <c r="N5455">
        <v>0</v>
      </c>
      <c r="O5455">
        <v>-0.99981129999999996</v>
      </c>
      <c r="P5455">
        <v>-8.8603729999999995E-3</v>
      </c>
      <c r="Q5455">
        <v>1.940474E-2</v>
      </c>
      <c r="R5455">
        <v>-0.99977249999999995</v>
      </c>
      <c r="S5455">
        <v>1.3250120000000001</v>
      </c>
      <c r="T5455">
        <v>-0.46156049999999899</v>
      </c>
      <c r="U5455">
        <v>-3.0310359999999998</v>
      </c>
      <c r="V5455">
        <v>2.1896780000000001E-2</v>
      </c>
      <c r="W5455">
        <v>3.3735849999999998E-2</v>
      </c>
      <c r="X5455">
        <v>0.99919089999999999</v>
      </c>
      <c r="Y5455">
        <v>-0.38448450000000001</v>
      </c>
      <c r="Z5455">
        <v>0.1385469</v>
      </c>
      <c r="AA5455">
        <v>0.91267540000000003</v>
      </c>
      <c r="AB5455">
        <v>28</v>
      </c>
      <c r="AC5455">
        <v>3.1892999999999998</v>
      </c>
      <c r="AD5455">
        <v>-1.113526025893</v>
      </c>
      <c r="AE5455">
        <v>-7.0343</v>
      </c>
      <c r="AF5455">
        <v>-3.0325543370378099</v>
      </c>
      <c r="AG5455">
        <v>-1.113526025893</v>
      </c>
      <c r="AH5455">
        <v>6.93195325526061</v>
      </c>
      <c r="AI5455">
        <v>98.372112584235893</v>
      </c>
      <c r="AJ5455">
        <v>113.62816217358299</v>
      </c>
      <c r="AK5455">
        <v>7.6477645067396001</v>
      </c>
      <c r="AL5455">
        <v>88.066711373477801</v>
      </c>
      <c r="AM5455">
        <v>88.744591950252399</v>
      </c>
      <c r="AN5455">
        <v>1.0000000155962001</v>
      </c>
    </row>
    <row r="5456" spans="1:40" x14ac:dyDescent="0.25">
      <c r="A5456" t="str">
        <f>"20190312154406700"</f>
        <v>20190312154406700</v>
      </c>
      <c r="B5456" t="str">
        <f>"1552376646692965"</f>
        <v>1552376646692965</v>
      </c>
      <c r="C5456" t="s">
        <v>40</v>
      </c>
      <c r="D5456">
        <v>4.9503069999999996</v>
      </c>
      <c r="E5456">
        <v>0.33326709999999998</v>
      </c>
      <c r="F5456" t="s">
        <v>43</v>
      </c>
      <c r="G5456">
        <v>-418.8879</v>
      </c>
      <c r="H5456" s="1">
        <v>-1.0069620000000001E-6</v>
      </c>
      <c r="I5456">
        <v>41.520180000000003</v>
      </c>
      <c r="J5456">
        <v>-421.9776</v>
      </c>
      <c r="K5456">
        <v>1.1136440000000001</v>
      </c>
      <c r="L5456">
        <v>48.28098</v>
      </c>
      <c r="M5456">
        <v>1.760099E-2</v>
      </c>
      <c r="N5456">
        <v>0</v>
      </c>
      <c r="O5456">
        <v>-0.99974459999999998</v>
      </c>
      <c r="P5456">
        <v>-8.7517129999999999E-4</v>
      </c>
      <c r="Q5456">
        <v>1.791183E-2</v>
      </c>
      <c r="R5456">
        <v>-0.99983929999999999</v>
      </c>
      <c r="S5456">
        <v>1.32962</v>
      </c>
      <c r="T5456">
        <v>-0.47790539999999998</v>
      </c>
      <c r="U5456">
        <v>-3.0217290000000001</v>
      </c>
      <c r="V5456">
        <v>1.8234130000000001E-2</v>
      </c>
      <c r="W5456">
        <v>3.223082E-2</v>
      </c>
      <c r="X5456">
        <v>0.99931409999999998</v>
      </c>
      <c r="Y5456">
        <v>-0.38240259999999998</v>
      </c>
      <c r="Z5456">
        <v>0.14375060000000001</v>
      </c>
      <c r="AA5456">
        <v>0.91274529999999998</v>
      </c>
      <c r="AB5456">
        <v>28</v>
      </c>
      <c r="AC5456">
        <v>3.0896999999999899</v>
      </c>
      <c r="AD5456">
        <v>-1.1136450069620001</v>
      </c>
      <c r="AE5456">
        <v>-6.7607999999999997</v>
      </c>
      <c r="AF5456">
        <v>-2.9050088737478501</v>
      </c>
      <c r="AG5456">
        <v>-1.1136450069620001</v>
      </c>
      <c r="AH5456">
        <v>6.6645521244152004</v>
      </c>
      <c r="AI5456">
        <v>98.708879309760206</v>
      </c>
      <c r="AJ5456">
        <v>113.55188577246</v>
      </c>
      <c r="AK5456">
        <v>7.3549668100632699</v>
      </c>
      <c r="AL5456">
        <v>88.152990143939505</v>
      </c>
      <c r="AM5456">
        <v>88.954660231327097</v>
      </c>
      <c r="AN5456">
        <v>0.99999998985676897</v>
      </c>
    </row>
    <row r="5457" spans="1:40" x14ac:dyDescent="0.25">
      <c r="A5457" t="str">
        <f>"20190312154406723"</f>
        <v>20190312154406723</v>
      </c>
      <c r="B5457" t="str">
        <f>"1552376646713458"</f>
        <v>1552376646713458</v>
      </c>
      <c r="C5457" t="s">
        <v>40</v>
      </c>
      <c r="D5457">
        <v>4.8941999999999997</v>
      </c>
      <c r="E5457">
        <v>0.33343210000000001</v>
      </c>
      <c r="F5457" t="s">
        <v>43</v>
      </c>
      <c r="G5457">
        <v>-418.95979999999997</v>
      </c>
      <c r="H5457" s="1">
        <v>-9.8793490000000007E-7</v>
      </c>
      <c r="I5457">
        <v>41.505549999999999</v>
      </c>
      <c r="J5457">
        <v>-421.96800000000002</v>
      </c>
      <c r="K5457">
        <v>1.113777</v>
      </c>
      <c r="L5457">
        <v>48.005279999999999</v>
      </c>
      <c r="M5457">
        <v>2.2030790000000001E-2</v>
      </c>
      <c r="N5457">
        <v>0</v>
      </c>
      <c r="O5457">
        <v>-0.99965660000000001</v>
      </c>
      <c r="P5457">
        <v>6.1150240000000002E-3</v>
      </c>
      <c r="Q5457">
        <v>1.8526049999999999E-2</v>
      </c>
      <c r="R5457">
        <v>-0.99980959999999997</v>
      </c>
      <c r="S5457">
        <v>1.3409120000000001</v>
      </c>
      <c r="T5457">
        <v>-0.49482660000000001</v>
      </c>
      <c r="U5457">
        <v>-3.010529</v>
      </c>
      <c r="V5457">
        <v>1.5659739999999998E-2</v>
      </c>
      <c r="W5457">
        <v>3.2838939999999997E-2</v>
      </c>
      <c r="X5457">
        <v>0.99933799999999995</v>
      </c>
      <c r="Y5457">
        <v>-0.38210739999999999</v>
      </c>
      <c r="Z5457">
        <v>0.14909910000000001</v>
      </c>
      <c r="AA5457">
        <v>0.9120106</v>
      </c>
      <c r="AB5457">
        <v>28</v>
      </c>
      <c r="AC5457">
        <v>3.00820000000004</v>
      </c>
      <c r="AD5457">
        <v>-1.1137779879348999</v>
      </c>
      <c r="AE5457">
        <v>-6.4997299999999996</v>
      </c>
      <c r="AF5457">
        <v>-2.7966293713403201</v>
      </c>
      <c r="AG5457">
        <v>-1.1137779879348999</v>
      </c>
      <c r="AH5457">
        <v>6.4094305729091596</v>
      </c>
      <c r="AI5457">
        <v>99.049523649426405</v>
      </c>
      <c r="AJ5457">
        <v>113.573106225337</v>
      </c>
      <c r="AK5457">
        <v>7.0811325023610703</v>
      </c>
      <c r="AL5457">
        <v>88.118129055284896</v>
      </c>
      <c r="AM5457">
        <v>89.102242102766994</v>
      </c>
      <c r="AN5457">
        <v>1.0000000308405901</v>
      </c>
    </row>
    <row r="5458" spans="1:40" x14ac:dyDescent="0.25">
      <c r="A5458" t="str">
        <f>"20190312154406744"</f>
        <v>20190312154406744</v>
      </c>
      <c r="B5458" t="str">
        <f>"1552376646732979"</f>
        <v>1552376646732979</v>
      </c>
      <c r="C5458" t="s">
        <v>40</v>
      </c>
      <c r="D5458">
        <v>4.7958449999999999</v>
      </c>
      <c r="E5458">
        <v>0.3318972</v>
      </c>
      <c r="F5458" t="s">
        <v>43</v>
      </c>
      <c r="G5458">
        <v>-418.93950000000001</v>
      </c>
      <c r="H5458" s="1">
        <v>-9.1177739999999997E-7</v>
      </c>
      <c r="I5458">
        <v>41.319629999999997</v>
      </c>
      <c r="J5458">
        <v>-421.95749999999998</v>
      </c>
      <c r="K5458">
        <v>1.1139139999999901</v>
      </c>
      <c r="L5458">
        <v>47.739719999999998</v>
      </c>
      <c r="M5458">
        <v>2.6472510000000001E-2</v>
      </c>
      <c r="N5458">
        <v>0</v>
      </c>
      <c r="O5458">
        <v>-0.99954860000000001</v>
      </c>
      <c r="P5458">
        <v>1.2350440000000001E-2</v>
      </c>
      <c r="Q5458">
        <v>1.9348859999999999E-2</v>
      </c>
      <c r="R5458">
        <v>-0.99973659999999998</v>
      </c>
      <c r="S5458">
        <v>1.35968</v>
      </c>
      <c r="T5458">
        <v>-0.50003160000000002</v>
      </c>
      <c r="U5458">
        <v>-3.0015260000000001</v>
      </c>
      <c r="V5458">
        <v>1.384935E-2</v>
      </c>
      <c r="W5458">
        <v>3.3660080000000002E-2</v>
      </c>
      <c r="X5458">
        <v>0.99933740000000004</v>
      </c>
      <c r="Y5458">
        <v>-0.38366470000000003</v>
      </c>
      <c r="Z5458">
        <v>0.15077650000000001</v>
      </c>
      <c r="AA5458">
        <v>0.91108060000000002</v>
      </c>
      <c r="AB5458">
        <v>28</v>
      </c>
      <c r="AC5458">
        <v>3.01799999999997</v>
      </c>
      <c r="AD5458">
        <v>-1.1139149117774001</v>
      </c>
      <c r="AE5458">
        <v>-6.4200900000000001</v>
      </c>
      <c r="AF5458">
        <v>-2.77846479826291</v>
      </c>
      <c r="AG5458">
        <v>-1.1139149117774001</v>
      </c>
      <c r="AH5458">
        <v>6.3413918968877203</v>
      </c>
      <c r="AI5458">
        <v>99.140096482457494</v>
      </c>
      <c r="AJ5458">
        <v>113.660507596977</v>
      </c>
      <c r="AK5458">
        <v>7.0124121567246398</v>
      </c>
      <c r="AL5458">
        <v>88.0710551544732</v>
      </c>
      <c r="AM5458">
        <v>89.206015396130695</v>
      </c>
      <c r="AN5458">
        <v>1.0000000222598899</v>
      </c>
    </row>
    <row r="5459" spans="1:40" x14ac:dyDescent="0.25">
      <c r="A5459" t="str">
        <f>"20190312154406767"</f>
        <v>20190312154406767</v>
      </c>
      <c r="B5459" t="str">
        <f>"1552376646763235"</f>
        <v>1552376646763235</v>
      </c>
      <c r="C5459" t="s">
        <v>40</v>
      </c>
      <c r="D5459">
        <v>4.825774</v>
      </c>
      <c r="E5459">
        <v>0.3310263</v>
      </c>
      <c r="F5459" t="s">
        <v>43</v>
      </c>
      <c r="G5459">
        <v>-418.75240000000002</v>
      </c>
      <c r="H5459" s="1">
        <v>-7.4121289999999999E-7</v>
      </c>
      <c r="I5459">
        <v>40.84469</v>
      </c>
      <c r="J5459">
        <v>-421.9452</v>
      </c>
      <c r="K5459">
        <v>1.1140589999999999</v>
      </c>
      <c r="L5459">
        <v>47.465910000000001</v>
      </c>
      <c r="M5459">
        <v>3.1247830000000001E-2</v>
      </c>
      <c r="N5459">
        <v>0</v>
      </c>
      <c r="O5459">
        <v>-0.99941060000000004</v>
      </c>
      <c r="P5459">
        <v>1.8984649999999999E-2</v>
      </c>
      <c r="Q5459">
        <v>1.9128989999999998E-2</v>
      </c>
      <c r="R5459">
        <v>-0.99963679999999999</v>
      </c>
      <c r="S5459">
        <v>1.391235</v>
      </c>
      <c r="T5459">
        <v>-0.48352099999999998</v>
      </c>
      <c r="U5459">
        <v>-2.99295</v>
      </c>
      <c r="V5459">
        <v>1.198129E-2</v>
      </c>
      <c r="W5459">
        <v>3.3439900000000002E-2</v>
      </c>
      <c r="X5459">
        <v>0.9993689</v>
      </c>
      <c r="Y5459">
        <v>-0.388484</v>
      </c>
      <c r="Z5459">
        <v>0.14580360000000001</v>
      </c>
      <c r="AA5459">
        <v>0.90984699999999996</v>
      </c>
      <c r="AB5459">
        <v>28</v>
      </c>
      <c r="AC5459">
        <v>3.1927999999999699</v>
      </c>
      <c r="AD5459">
        <v>-1.1140597412129001</v>
      </c>
      <c r="AE5459">
        <v>-6.6212200000000001</v>
      </c>
      <c r="AF5459">
        <v>-2.91731258008129</v>
      </c>
      <c r="AG5459">
        <v>-1.1140597412129001</v>
      </c>
      <c r="AH5459">
        <v>6.5669271647801502</v>
      </c>
      <c r="AI5459">
        <v>98.812803241111197</v>
      </c>
      <c r="AJ5459">
        <v>113.952858579634</v>
      </c>
      <c r="AK5459">
        <v>7.2716142763776599</v>
      </c>
      <c r="AL5459">
        <v>88.083677579710894</v>
      </c>
      <c r="AM5459">
        <v>89.313122048107402</v>
      </c>
      <c r="AN5459">
        <v>0.99999998825464198</v>
      </c>
    </row>
    <row r="5460" spans="1:40" x14ac:dyDescent="0.25">
      <c r="A5460" t="str">
        <f>"20190312154406801"</f>
        <v>20190312154406801</v>
      </c>
      <c r="B5460" t="str">
        <f>"1552376646793491"</f>
        <v>1552376646793491</v>
      </c>
      <c r="C5460" t="s">
        <v>40</v>
      </c>
      <c r="D5460">
        <v>4.8046259999999998</v>
      </c>
      <c r="E5460">
        <v>0.33048620000000001</v>
      </c>
      <c r="F5460" t="s">
        <v>43</v>
      </c>
      <c r="G5460">
        <v>-418.61950000000002</v>
      </c>
      <c r="H5460" s="1">
        <v>-6.4583739999999996E-7</v>
      </c>
      <c r="I5460">
        <v>40.466500000000003</v>
      </c>
      <c r="J5460">
        <v>-421.92380000000003</v>
      </c>
      <c r="K5460">
        <v>1.1143099999999999</v>
      </c>
      <c r="L5460">
        <v>47.06082</v>
      </c>
      <c r="M5460">
        <v>3.8783369999999998E-2</v>
      </c>
      <c r="N5460">
        <v>0</v>
      </c>
      <c r="O5460">
        <v>-0.99914650000000005</v>
      </c>
      <c r="P5460">
        <v>2.7005370000000001E-2</v>
      </c>
      <c r="Q5460">
        <v>1.8545889999999999E-2</v>
      </c>
      <c r="R5460">
        <v>-0.9994634</v>
      </c>
      <c r="S5460">
        <v>1.4174500000000001</v>
      </c>
      <c r="T5460">
        <v>-0.47482730000000001</v>
      </c>
      <c r="U5460">
        <v>-2.9832459999999998</v>
      </c>
      <c r="V5460">
        <v>1.1483449999999999E-2</v>
      </c>
      <c r="W5460">
        <v>3.2878499999999998E-2</v>
      </c>
      <c r="X5460">
        <v>0.99939339999999999</v>
      </c>
      <c r="Y5460">
        <v>-0.38938250000000002</v>
      </c>
      <c r="Z5460">
        <v>0.14331869999999999</v>
      </c>
      <c r="AA5460">
        <v>0.90985769999999999</v>
      </c>
      <c r="AB5460">
        <v>28</v>
      </c>
      <c r="AC5460">
        <v>3.3043000000000098</v>
      </c>
      <c r="AD5460">
        <v>-1.1143106458373999</v>
      </c>
      <c r="AE5460">
        <v>-6.59431999999999</v>
      </c>
      <c r="AF5460">
        <v>-2.97806716212822</v>
      </c>
      <c r="AG5460">
        <v>-1.1143106458373999</v>
      </c>
      <c r="AH5460">
        <v>6.56762503655112</v>
      </c>
      <c r="AI5460">
        <v>98.784055953495297</v>
      </c>
      <c r="AJ5460">
        <v>114.391753649409</v>
      </c>
      <c r="AK5460">
        <v>7.2968671947833998</v>
      </c>
      <c r="AL5460">
        <v>88.115861182995403</v>
      </c>
      <c r="AM5460">
        <v>89.341676395825701</v>
      </c>
      <c r="AN5460">
        <v>1.0000000166748499</v>
      </c>
    </row>
    <row r="5461" spans="1:40" x14ac:dyDescent="0.25">
      <c r="A5461" t="str">
        <f>"20190312154406822"</f>
        <v>20190312154406822</v>
      </c>
      <c r="B5461" t="str">
        <f>"1552376646813011"</f>
        <v>1552376646813011</v>
      </c>
      <c r="C5461" t="s">
        <v>40</v>
      </c>
      <c r="D5461">
        <v>4.7618589999999896</v>
      </c>
      <c r="E5461">
        <v>0.33045780000000002</v>
      </c>
      <c r="F5461" t="s">
        <v>43</v>
      </c>
      <c r="G5461">
        <v>-418.47590000000002</v>
      </c>
      <c r="H5461" s="1">
        <v>-5.1694859999999998E-7</v>
      </c>
      <c r="I5461">
        <v>39.97551</v>
      </c>
      <c r="J5461">
        <v>-421.9076</v>
      </c>
      <c r="K5461">
        <v>1.1144750000000001</v>
      </c>
      <c r="L5461">
        <v>46.789000000000001</v>
      </c>
      <c r="M5461">
        <v>4.4124940000000001E-2</v>
      </c>
      <c r="N5461">
        <v>0</v>
      </c>
      <c r="O5461">
        <v>-0.99892460000000005</v>
      </c>
      <c r="P5461">
        <v>3.2669219999999999E-2</v>
      </c>
      <c r="Q5461">
        <v>1.9854900000000002E-2</v>
      </c>
      <c r="R5461">
        <v>-0.99926930000000003</v>
      </c>
      <c r="S5461">
        <v>1.445862</v>
      </c>
      <c r="T5461">
        <v>-0.46728579999999997</v>
      </c>
      <c r="U5461">
        <v>-2.971222</v>
      </c>
      <c r="V5461">
        <v>1.11355E-2</v>
      </c>
      <c r="W5461">
        <v>3.4202879999999998E-2</v>
      </c>
      <c r="X5461">
        <v>0.99935289999999999</v>
      </c>
      <c r="Y5461">
        <v>-0.39308880000000002</v>
      </c>
      <c r="Z5461">
        <v>0.14116020000000001</v>
      </c>
      <c r="AA5461">
        <v>0.90860059999999998</v>
      </c>
      <c r="AB5461">
        <v>27</v>
      </c>
      <c r="AC5461">
        <v>3.43169999999997</v>
      </c>
      <c r="AD5461">
        <v>-1.1144755169486</v>
      </c>
      <c r="AE5461">
        <v>-6.8134899999999901</v>
      </c>
      <c r="AF5461">
        <v>-3.06232820631406</v>
      </c>
      <c r="AG5461">
        <v>-1.1144755169486</v>
      </c>
      <c r="AH5461">
        <v>6.8128967434487304</v>
      </c>
      <c r="AI5461">
        <v>98.486129396607197</v>
      </c>
      <c r="AJ5461">
        <v>114.203435346124</v>
      </c>
      <c r="AK5461">
        <v>7.5521832444637402</v>
      </c>
      <c r="AL5461">
        <v>88.039937097054704</v>
      </c>
      <c r="AM5461">
        <v>89.361596139529397</v>
      </c>
      <c r="AN5461">
        <v>1.00000002754947</v>
      </c>
    </row>
    <row r="5462" spans="1:40" x14ac:dyDescent="0.25">
      <c r="A5462" t="str">
        <f>"20190312154406845"</f>
        <v>20190312154406845</v>
      </c>
      <c r="B5462" t="str">
        <f>"1552376646843267"</f>
        <v>1552376646843267</v>
      </c>
      <c r="C5462" t="s">
        <v>40</v>
      </c>
      <c r="D5462">
        <v>4.787331</v>
      </c>
      <c r="E5462">
        <v>0.33024999999999999</v>
      </c>
      <c r="F5462" t="s">
        <v>70</v>
      </c>
      <c r="G5462">
        <v>-418.36540000000002</v>
      </c>
      <c r="H5462" s="1">
        <v>-4.2677839999999998E-7</v>
      </c>
      <c r="I5462">
        <v>39.608989999999999</v>
      </c>
      <c r="J5462">
        <v>-421.8897</v>
      </c>
      <c r="K5462">
        <v>1.1146469999999999</v>
      </c>
      <c r="L5462">
        <v>46.519680000000001</v>
      </c>
      <c r="M5462">
        <v>4.9676909999999998E-2</v>
      </c>
      <c r="N5462">
        <v>0</v>
      </c>
      <c r="O5462">
        <v>-0.99866370000000004</v>
      </c>
      <c r="P5462">
        <v>3.9497259999999999E-2</v>
      </c>
      <c r="Q5462">
        <v>2.0424609999999999E-2</v>
      </c>
      <c r="R5462">
        <v>-0.99901110000000004</v>
      </c>
      <c r="S5462">
        <v>1.4620359999999999</v>
      </c>
      <c r="T5462">
        <v>-0.45999719999999999</v>
      </c>
      <c r="U5462">
        <v>-2.9635310000000001</v>
      </c>
      <c r="V5462">
        <v>9.8396300000000003E-3</v>
      </c>
      <c r="W5462">
        <v>3.4779989999999997E-2</v>
      </c>
      <c r="X5462">
        <v>0.99934659999999997</v>
      </c>
      <c r="Y5462">
        <v>-0.39304109999999998</v>
      </c>
      <c r="Z5462">
        <v>0.1391136</v>
      </c>
      <c r="AA5462">
        <v>0.90893679999999999</v>
      </c>
      <c r="AB5462">
        <v>27</v>
      </c>
      <c r="AC5462">
        <v>3.5242999999999798</v>
      </c>
      <c r="AD5462">
        <v>-1.1146474267783999</v>
      </c>
      <c r="AE5462">
        <v>-6.91068999999999</v>
      </c>
      <c r="AF5462">
        <v>-3.11235371765307</v>
      </c>
      <c r="AG5462">
        <v>-1.1146474267783999</v>
      </c>
      <c r="AH5462">
        <v>6.9340891468255403</v>
      </c>
      <c r="AI5462">
        <v>98.343155900047506</v>
      </c>
      <c r="AJ5462">
        <v>114.17284356742</v>
      </c>
      <c r="AK5462">
        <v>7.6818472287553599</v>
      </c>
      <c r="AL5462">
        <v>88.006851481751397</v>
      </c>
      <c r="AM5462">
        <v>89.435880350388302</v>
      </c>
      <c r="AN5462">
        <v>1.0000000464772401</v>
      </c>
    </row>
    <row r="5463" spans="1:40" x14ac:dyDescent="0.25">
      <c r="A5463" t="str">
        <f>"20190312154406868"</f>
        <v>20190312154406868</v>
      </c>
      <c r="B5463" t="str">
        <f>"1552376646862787"</f>
        <v>1552376646862787</v>
      </c>
      <c r="C5463" t="s">
        <v>40</v>
      </c>
      <c r="D5463">
        <v>4.7773640000000004</v>
      </c>
      <c r="E5463">
        <v>0.33032080000000003</v>
      </c>
      <c r="F5463" t="s">
        <v>70</v>
      </c>
      <c r="G5463">
        <v>-418.25799999999998</v>
      </c>
      <c r="H5463" s="1">
        <v>-6.6179830000000004E-7</v>
      </c>
      <c r="I5463">
        <v>39.284179999999999</v>
      </c>
      <c r="J5463">
        <v>-421.86959999999999</v>
      </c>
      <c r="K5463">
        <v>1.1148469999999999</v>
      </c>
      <c r="L5463">
        <v>46.244169999999997</v>
      </c>
      <c r="M5463">
        <v>5.5674630000000003E-2</v>
      </c>
      <c r="N5463">
        <v>0</v>
      </c>
      <c r="O5463">
        <v>-0.99834670000000003</v>
      </c>
      <c r="P5463">
        <v>4.7658230000000003E-2</v>
      </c>
      <c r="Q5463">
        <v>2.1049479999999999E-2</v>
      </c>
      <c r="R5463">
        <v>-0.99864169999999997</v>
      </c>
      <c r="S5463">
        <v>1.482513</v>
      </c>
      <c r="T5463">
        <v>-0.45501649999999999</v>
      </c>
      <c r="U5463">
        <v>-2.9536440000000002</v>
      </c>
      <c r="V5463">
        <v>7.6520319999999996E-3</v>
      </c>
      <c r="W5463">
        <v>3.5404739999999997E-2</v>
      </c>
      <c r="X5463">
        <v>0.9993438</v>
      </c>
      <c r="Y5463">
        <v>-0.39386870000000002</v>
      </c>
      <c r="Z5463">
        <v>0.1377535</v>
      </c>
      <c r="AA5463">
        <v>0.90878570000000003</v>
      </c>
      <c r="AB5463">
        <v>27</v>
      </c>
      <c r="AC5463">
        <v>3.61159999999995</v>
      </c>
      <c r="AD5463">
        <v>-1.1148476617983001</v>
      </c>
      <c r="AE5463">
        <v>-6.9599900000000003</v>
      </c>
      <c r="AF5463">
        <v>-3.1546924534223502</v>
      </c>
      <c r="AG5463">
        <v>-1.1148476617983001</v>
      </c>
      <c r="AH5463">
        <v>7.0086126642079902</v>
      </c>
      <c r="AI5463">
        <v>98.253272684980402</v>
      </c>
      <c r="AJ5463">
        <v>114.233297684118</v>
      </c>
      <c r="AK5463">
        <v>7.7663132348363098</v>
      </c>
      <c r="AL5463">
        <v>87.971033870221504</v>
      </c>
      <c r="AM5463">
        <v>89.561291549356298</v>
      </c>
      <c r="AN5463">
        <v>1.00000003990331</v>
      </c>
    </row>
    <row r="5464" spans="1:40" x14ac:dyDescent="0.25">
      <c r="A5464" t="str">
        <f>"20190312154406890"</f>
        <v>20190312154406890</v>
      </c>
      <c r="B5464" t="str">
        <f>"1552376646883287"</f>
        <v>1552376646883287</v>
      </c>
      <c r="C5464" t="s">
        <v>40</v>
      </c>
      <c r="D5464">
        <v>4.6941759999999997</v>
      </c>
      <c r="E5464">
        <v>0.3305323</v>
      </c>
      <c r="F5464" t="s">
        <v>41</v>
      </c>
      <c r="G5464">
        <v>-421.37880000000001</v>
      </c>
      <c r="H5464">
        <v>0.9669953</v>
      </c>
      <c r="I5464">
        <v>45.283830000000002</v>
      </c>
      <c r="J5464">
        <v>-421.84800000000001</v>
      </c>
      <c r="K5464">
        <v>1.115062</v>
      </c>
      <c r="L5464">
        <v>45.976260000000003</v>
      </c>
      <c r="M5464">
        <v>6.1871089999999997E-2</v>
      </c>
      <c r="N5464">
        <v>0</v>
      </c>
      <c r="O5464">
        <v>-0.99798180000000003</v>
      </c>
      <c r="P5464">
        <v>5.6051160000000003E-2</v>
      </c>
      <c r="Q5464">
        <v>2.130988E-2</v>
      </c>
      <c r="R5464">
        <v>-0.99820050000000005</v>
      </c>
      <c r="S5464">
        <v>1.504089</v>
      </c>
      <c r="T5464">
        <v>-0.45292700000000002</v>
      </c>
      <c r="U5464">
        <v>-2.9418639999999998</v>
      </c>
      <c r="V5464">
        <v>5.4319169999999996E-3</v>
      </c>
      <c r="W5464">
        <v>3.5667310000000001E-2</v>
      </c>
      <c r="X5464">
        <v>0.99934889999999998</v>
      </c>
      <c r="Y5464">
        <v>-0.39496110000000001</v>
      </c>
      <c r="Z5464">
        <v>0.13729330000000001</v>
      </c>
      <c r="AA5464">
        <v>0.90838110000000005</v>
      </c>
      <c r="AB5464">
        <v>27</v>
      </c>
      <c r="AC5464">
        <v>0.46920000000000001</v>
      </c>
      <c r="AD5464">
        <v>-0.148066699999999</v>
      </c>
      <c r="AE5464">
        <v>-0.69242999999999399</v>
      </c>
      <c r="AF5464">
        <v>-0.41252766498316201</v>
      </c>
      <c r="AG5464">
        <v>-0.148066699999999</v>
      </c>
      <c r="AH5464">
        <v>0.698254677049855</v>
      </c>
      <c r="AI5464">
        <v>100.34656869112</v>
      </c>
      <c r="AJ5464">
        <v>120.574520971322</v>
      </c>
      <c r="AK5464">
        <v>0.82441640937535199</v>
      </c>
      <c r="AL5464">
        <v>87.9559800125149</v>
      </c>
      <c r="AM5464">
        <v>89.688574376928798</v>
      </c>
      <c r="AN5464">
        <v>0.99999994332806796</v>
      </c>
    </row>
    <row r="5465" spans="1:40" x14ac:dyDescent="0.25">
      <c r="A5465" t="str">
        <f>"20190312154406913"</f>
        <v>20190312154406913</v>
      </c>
      <c r="B5465" t="str">
        <f>"1552376646902803"</f>
        <v>1552376646902803</v>
      </c>
      <c r="C5465" t="s">
        <v>40</v>
      </c>
      <c r="D5465">
        <v>4.6953100000000001</v>
      </c>
      <c r="E5465">
        <v>0.33084180000000002</v>
      </c>
      <c r="F5465" t="s">
        <v>41</v>
      </c>
      <c r="G5465">
        <v>-421.3417</v>
      </c>
      <c r="H5465">
        <v>0.96528510000000001</v>
      </c>
      <c r="I5465">
        <v>45.003740000000001</v>
      </c>
      <c r="J5465">
        <v>-421.82330000000002</v>
      </c>
      <c r="K5465">
        <v>1.115273</v>
      </c>
      <c r="L5465">
        <v>45.697690000000001</v>
      </c>
      <c r="M5465">
        <v>6.8618100000000001E-2</v>
      </c>
      <c r="N5465">
        <v>0</v>
      </c>
      <c r="O5465">
        <v>-0.99754030000000005</v>
      </c>
      <c r="P5465">
        <v>6.5028069999999993E-2</v>
      </c>
      <c r="Q5465">
        <v>2.042277E-2</v>
      </c>
      <c r="R5465">
        <v>-0.99767459999999997</v>
      </c>
      <c r="S5465">
        <v>1.525665</v>
      </c>
      <c r="T5465">
        <v>-0.45115420000000001</v>
      </c>
      <c r="U5465">
        <v>-2.9293819999999999</v>
      </c>
      <c r="V5465">
        <v>3.1910340000000001E-3</v>
      </c>
      <c r="W5465">
        <v>3.4783330000000001E-2</v>
      </c>
      <c r="X5465">
        <v>0.99938979999999999</v>
      </c>
      <c r="Y5465">
        <v>-0.39563019999999999</v>
      </c>
      <c r="Z5465">
        <v>0.13694779999999901</v>
      </c>
      <c r="AA5465">
        <v>0.90814209999999995</v>
      </c>
      <c r="AB5465">
        <v>27</v>
      </c>
      <c r="AC5465">
        <v>0.48160000000001402</v>
      </c>
      <c r="AD5465">
        <v>-0.14998789999999901</v>
      </c>
      <c r="AE5465">
        <v>-0.69395000000000095</v>
      </c>
      <c r="AF5465">
        <v>-0.41961211941519699</v>
      </c>
      <c r="AG5465">
        <v>-0.14998789999999901</v>
      </c>
      <c r="AH5465">
        <v>0.70319266419692406</v>
      </c>
      <c r="AI5465">
        <v>100.379450937827</v>
      </c>
      <c r="AJ5465">
        <v>120.82555243588401</v>
      </c>
      <c r="AK5465">
        <v>0.832496620946231</v>
      </c>
      <c r="AL5465">
        <v>88.0066599402994</v>
      </c>
      <c r="AM5465">
        <v>89.817056208546902</v>
      </c>
      <c r="AN5465">
        <v>1.0000000175439501</v>
      </c>
    </row>
    <row r="5466" spans="1:40" x14ac:dyDescent="0.25">
      <c r="A5466" t="str">
        <f>"20190312154406935"</f>
        <v>20190312154406935</v>
      </c>
      <c r="B5466" t="str">
        <f>"1552376646923299"</f>
        <v>1552376646923299</v>
      </c>
      <c r="C5466" t="s">
        <v>40</v>
      </c>
      <c r="D5466">
        <v>4.7419840000000004</v>
      </c>
      <c r="E5466">
        <v>0.33086149999999998</v>
      </c>
      <c r="F5466" t="s">
        <v>70</v>
      </c>
      <c r="G5466">
        <v>-418.05149999999998</v>
      </c>
      <c r="H5466" s="1">
        <v>-1.1631659999999901E-6</v>
      </c>
      <c r="I5466">
        <v>38.581859999999999</v>
      </c>
      <c r="J5466">
        <v>-421.79910000000001</v>
      </c>
      <c r="K5466">
        <v>1.115456</v>
      </c>
      <c r="L5466">
        <v>45.44547</v>
      </c>
      <c r="M5466">
        <v>7.5002330000000006E-2</v>
      </c>
      <c r="N5466">
        <v>0</v>
      </c>
      <c r="O5466">
        <v>-0.99708019999999997</v>
      </c>
      <c r="P5466">
        <v>7.3498759999999996E-2</v>
      </c>
      <c r="Q5466">
        <v>1.8639670000000001E-2</v>
      </c>
      <c r="R5466">
        <v>-0.99712149999999999</v>
      </c>
      <c r="S5466">
        <v>1.54547099999999</v>
      </c>
      <c r="T5466">
        <v>-0.45696900000000001</v>
      </c>
      <c r="U5466">
        <v>-2.915619</v>
      </c>
      <c r="V5466">
        <v>1.107205E-3</v>
      </c>
      <c r="W5466">
        <v>3.300003E-2</v>
      </c>
      <c r="X5466">
        <v>0.99945470000000003</v>
      </c>
      <c r="Y5466">
        <v>-0.39621899999999999</v>
      </c>
      <c r="Z5466">
        <v>0.13892560000000001</v>
      </c>
      <c r="AA5466">
        <v>0.90758479999999997</v>
      </c>
      <c r="AB5466">
        <v>27</v>
      </c>
      <c r="AC5466">
        <v>3.74760000000003</v>
      </c>
      <c r="AD5466">
        <v>-1.115457163166</v>
      </c>
      <c r="AE5466">
        <v>-6.8636100000000004</v>
      </c>
      <c r="AF5466">
        <v>-3.1579501737126399</v>
      </c>
      <c r="AG5466">
        <v>-1.115457163166</v>
      </c>
      <c r="AH5466">
        <v>6.9832977267028404</v>
      </c>
      <c r="AI5466">
        <v>98.280817162263702</v>
      </c>
      <c r="AJ5466">
        <v>114.33318406424399</v>
      </c>
      <c r="AK5466">
        <v>7.7448912918312196</v>
      </c>
      <c r="AL5466">
        <v>88.108894144185797</v>
      </c>
      <c r="AM5466">
        <v>89.936527240699803</v>
      </c>
      <c r="AN5466">
        <v>0.99999996261750002</v>
      </c>
    </row>
    <row r="5467" spans="1:40" x14ac:dyDescent="0.25">
      <c r="A5467" t="str">
        <f>"20190312154406957"</f>
        <v>20190312154406957</v>
      </c>
      <c r="B5467" t="str">
        <f>"1552376646952579"</f>
        <v>1552376646952579</v>
      </c>
      <c r="C5467" t="s">
        <v>40</v>
      </c>
      <c r="D5467">
        <v>4.6902589999999904</v>
      </c>
      <c r="E5467">
        <v>0.33129360000000002</v>
      </c>
      <c r="F5467" t="s">
        <v>70</v>
      </c>
      <c r="G5467">
        <v>-417.98399999999998</v>
      </c>
      <c r="H5467" s="1">
        <v>-1.3005929999999999E-6</v>
      </c>
      <c r="I5467">
        <v>38.393880000000003</v>
      </c>
      <c r="J5467">
        <v>-421.77030000000002</v>
      </c>
      <c r="K5467">
        <v>1.1156539999999999</v>
      </c>
      <c r="L5467">
        <v>45.167909999999999</v>
      </c>
      <c r="M5467">
        <v>8.2367979999999993E-2</v>
      </c>
      <c r="N5467">
        <v>0</v>
      </c>
      <c r="O5467">
        <v>-0.99649829999999995</v>
      </c>
      <c r="P5467">
        <v>8.2109810000000005E-2</v>
      </c>
      <c r="Q5467">
        <v>1.6278270000000001E-2</v>
      </c>
      <c r="R5467">
        <v>-0.99649049999999995</v>
      </c>
      <c r="S5467">
        <v>1.5697939999999999</v>
      </c>
      <c r="T5467">
        <v>-0.45897779999999999</v>
      </c>
      <c r="U5467">
        <v>-2.9015200000000001</v>
      </c>
      <c r="V5467">
        <v>-1.266044E-4</v>
      </c>
      <c r="W5467">
        <v>3.0650409999999999E-2</v>
      </c>
      <c r="X5467">
        <v>0.99953009999999998</v>
      </c>
      <c r="Y5467">
        <v>-0.39712629999999999</v>
      </c>
      <c r="Z5467">
        <v>0.13970160000000001</v>
      </c>
      <c r="AA5467">
        <v>0.90706900000000001</v>
      </c>
      <c r="AB5467">
        <v>27</v>
      </c>
      <c r="AC5467">
        <v>3.7862999999999798</v>
      </c>
      <c r="AD5467">
        <v>-1.1156553005930001</v>
      </c>
      <c r="AE5467">
        <v>-6.7740299999999998</v>
      </c>
      <c r="AF5467">
        <v>-3.15030089331314</v>
      </c>
      <c r="AG5467">
        <v>-1.1156553005930001</v>
      </c>
      <c r="AH5467">
        <v>6.9198903556432603</v>
      </c>
      <c r="AI5467">
        <v>98.347677752366195</v>
      </c>
      <c r="AJ5467">
        <v>114.477543857161</v>
      </c>
      <c r="AK5467">
        <v>7.6846577674139498</v>
      </c>
      <c r="AL5467">
        <v>88.243585682061706</v>
      </c>
      <c r="AM5467">
        <v>90.007257307958</v>
      </c>
      <c r="AN5467">
        <v>0.99999994223392397</v>
      </c>
    </row>
    <row r="5468" spans="1:40" x14ac:dyDescent="0.25">
      <c r="A5468" t="str">
        <f>"20190312154406979"</f>
        <v>20190312154406979</v>
      </c>
      <c r="B5468" t="str">
        <f>"1552376646973079"</f>
        <v>1552376646973079</v>
      </c>
      <c r="C5468" t="s">
        <v>40</v>
      </c>
      <c r="D5468">
        <v>4.7027380000000001</v>
      </c>
      <c r="E5468">
        <v>0.33174419999999999</v>
      </c>
      <c r="F5468" t="s">
        <v>70</v>
      </c>
      <c r="G5468">
        <v>-417.89159999999998</v>
      </c>
      <c r="H5468" s="1">
        <v>-1.490894E-6</v>
      </c>
      <c r="I5468">
        <v>38.13317</v>
      </c>
      <c r="J5468">
        <v>-421.7407</v>
      </c>
      <c r="K5468">
        <v>1.1158600000000001</v>
      </c>
      <c r="L5468">
        <v>44.905149999999999</v>
      </c>
      <c r="M5468">
        <v>8.9676569999999997E-2</v>
      </c>
      <c r="N5468">
        <v>0</v>
      </c>
      <c r="O5468">
        <v>-0.99586699999999995</v>
      </c>
      <c r="P5468">
        <v>9.0185360000000006E-2</v>
      </c>
      <c r="Q5468">
        <v>1.4667879999999999E-2</v>
      </c>
      <c r="R5468">
        <v>-0.99581719999999896</v>
      </c>
      <c r="S5468">
        <v>1.5917049999999999</v>
      </c>
      <c r="T5468">
        <v>-0.45784069999999999</v>
      </c>
      <c r="U5468">
        <v>-2.8869020000000001</v>
      </c>
      <c r="V5468">
        <v>-8.9018089999999995E-4</v>
      </c>
      <c r="W5468">
        <v>2.9058009999999999E-2</v>
      </c>
      <c r="X5468">
        <v>0.9995773</v>
      </c>
      <c r="Y5468">
        <v>-0.3976325</v>
      </c>
      <c r="Z5468">
        <v>0.1395855</v>
      </c>
      <c r="AA5468">
        <v>0.90686509999999998</v>
      </c>
      <c r="AB5468">
        <v>27</v>
      </c>
      <c r="AC5468">
        <v>3.8491000000000199</v>
      </c>
      <c r="AD5468">
        <v>-1.1158614908939899</v>
      </c>
      <c r="AE5468">
        <v>-6.7719799999999903</v>
      </c>
      <c r="AF5468">
        <v>-3.1613618771550498</v>
      </c>
      <c r="AG5468">
        <v>-1.1158614908939899</v>
      </c>
      <c r="AH5468">
        <v>6.9473299253588001</v>
      </c>
      <c r="AI5468">
        <v>98.317321327669006</v>
      </c>
      <c r="AJ5468">
        <v>114.46776771166201</v>
      </c>
      <c r="AK5468">
        <v>7.71393212810273</v>
      </c>
      <c r="AL5468">
        <v>88.334864227895693</v>
      </c>
      <c r="AM5468">
        <v>90.051025163426203</v>
      </c>
      <c r="AN5468">
        <v>0.99999996952124104</v>
      </c>
    </row>
    <row r="5469" spans="1:40" x14ac:dyDescent="0.25">
      <c r="A5469" t="str">
        <f>"20190312154407002"</f>
        <v>20190312154407002</v>
      </c>
      <c r="B5469" t="str">
        <f>"1552376646992595"</f>
        <v>1552376646992595</v>
      </c>
      <c r="C5469" t="s">
        <v>40</v>
      </c>
      <c r="D5469">
        <v>4.7013569999999998</v>
      </c>
      <c r="E5469">
        <v>0.33215220000000001</v>
      </c>
      <c r="F5469" t="s">
        <v>70</v>
      </c>
      <c r="G5469">
        <v>-417.79500000000002</v>
      </c>
      <c r="H5469" s="1">
        <v>-1.682154E-6</v>
      </c>
      <c r="I5469">
        <v>37.872750000000003</v>
      </c>
      <c r="J5469">
        <v>-421.7088</v>
      </c>
      <c r="K5469">
        <v>1.1160890000000001</v>
      </c>
      <c r="L5469">
        <v>44.642090000000003</v>
      </c>
      <c r="M5469">
        <v>9.7329479999999996E-2</v>
      </c>
      <c r="N5469">
        <v>0</v>
      </c>
      <c r="O5469">
        <v>-0.99514760000000002</v>
      </c>
      <c r="P5469">
        <v>9.8487329999999998E-2</v>
      </c>
      <c r="Q5469">
        <v>1.334072E-2</v>
      </c>
      <c r="R5469">
        <v>-0.99504910000000002</v>
      </c>
      <c r="S5469">
        <v>1.612152</v>
      </c>
      <c r="T5469">
        <v>-0.45591769999999998</v>
      </c>
      <c r="U5469">
        <v>-2.873291</v>
      </c>
      <c r="V5469">
        <v>-1.5394149999999999E-3</v>
      </c>
      <c r="W5469">
        <v>2.775296E-2</v>
      </c>
      <c r="X5469">
        <v>0.99961359999999999</v>
      </c>
      <c r="Y5469">
        <v>-0.39735759999999998</v>
      </c>
      <c r="Z5469">
        <v>0.13921029999999901</v>
      </c>
      <c r="AA5469">
        <v>0.90704320000000005</v>
      </c>
      <c r="AB5469">
        <v>27</v>
      </c>
      <c r="AC5469">
        <v>3.9137999999999802</v>
      </c>
      <c r="AD5469">
        <v>-1.116090682154</v>
      </c>
      <c r="AE5469">
        <v>-6.7693399999999997</v>
      </c>
      <c r="AF5469">
        <v>-3.1716719573813301</v>
      </c>
      <c r="AG5469">
        <v>-1.116090682154</v>
      </c>
      <c r="AH5469">
        <v>6.9760370074806204</v>
      </c>
      <c r="AI5469">
        <v>98.286463655974302</v>
      </c>
      <c r="AJ5469">
        <v>114.449032793716</v>
      </c>
      <c r="AK5469">
        <v>7.7440463419177199</v>
      </c>
      <c r="AL5469">
        <v>88.409668282722393</v>
      </c>
      <c r="AM5469">
        <v>90.088236007084802</v>
      </c>
      <c r="AN5469">
        <v>0.99999997294613097</v>
      </c>
    </row>
    <row r="5470" spans="1:40" x14ac:dyDescent="0.25">
      <c r="A5470" t="str">
        <f>"20190312154407023"</f>
        <v>20190312154407023</v>
      </c>
      <c r="B5470" t="str">
        <f>"1552376647013091"</f>
        <v>1552376647013091</v>
      </c>
      <c r="C5470" t="s">
        <v>40</v>
      </c>
      <c r="D5470">
        <v>4.7113940000000003</v>
      </c>
      <c r="E5470">
        <v>0.34169440000000001</v>
      </c>
      <c r="F5470" t="s">
        <v>70</v>
      </c>
      <c r="G5470">
        <v>-417.67590000000001</v>
      </c>
      <c r="H5470" s="1">
        <v>-1.895766E-6</v>
      </c>
      <c r="I5470">
        <v>37.586530000000003</v>
      </c>
      <c r="J5470">
        <v>-421.67489999999998</v>
      </c>
      <c r="K5470">
        <v>1.116314</v>
      </c>
      <c r="L5470">
        <v>44.381990000000002</v>
      </c>
      <c r="M5470">
        <v>0.1052318</v>
      </c>
      <c r="N5470">
        <v>0</v>
      </c>
      <c r="O5470">
        <v>-0.99434259999999997</v>
      </c>
      <c r="P5470">
        <v>0.1073976</v>
      </c>
      <c r="Q5470">
        <v>1.331531E-2</v>
      </c>
      <c r="R5470">
        <v>-0.99412719999999999</v>
      </c>
      <c r="S5470">
        <v>1.6343080000000001</v>
      </c>
      <c r="T5470">
        <v>-0.45228889999999999</v>
      </c>
      <c r="U5470">
        <v>-2.8592219999999999</v>
      </c>
      <c r="V5470">
        <v>-2.5694619999999998E-3</v>
      </c>
      <c r="W5470">
        <v>2.7746280000000002E-2</v>
      </c>
      <c r="X5470">
        <v>0.99961169999999999</v>
      </c>
      <c r="Y5470">
        <v>-0.39736470000000002</v>
      </c>
      <c r="Z5470">
        <v>0.13829279999999999</v>
      </c>
      <c r="AA5470">
        <v>0.90718049999999995</v>
      </c>
      <c r="AB5470">
        <v>27</v>
      </c>
      <c r="AC5470">
        <v>3.9989999999999601</v>
      </c>
      <c r="AD5470">
        <v>-1.116315895766</v>
      </c>
      <c r="AE5470">
        <v>-6.7954600000000003</v>
      </c>
      <c r="AF5470">
        <v>-3.1975262757590599</v>
      </c>
      <c r="AG5470">
        <v>-1.116315895766</v>
      </c>
      <c r="AH5470">
        <v>7.0375253205891202</v>
      </c>
      <c r="AI5470">
        <v>98.217602301864304</v>
      </c>
      <c r="AJ5470">
        <v>114.434852784935</v>
      </c>
      <c r="AK5470">
        <v>7.8100638986657698</v>
      </c>
      <c r="AL5470">
        <v>88.4100512161409</v>
      </c>
      <c r="AM5470">
        <v>90.147276191326497</v>
      </c>
      <c r="AN5470">
        <v>1.0000000044828401</v>
      </c>
    </row>
    <row r="5471" spans="1:40" x14ac:dyDescent="0.25">
      <c r="A5471" t="str">
        <f>"20190312154407046"</f>
        <v>20190312154407046</v>
      </c>
      <c r="B5471" t="str">
        <f>"1552376647043347"</f>
        <v>1552376647043347</v>
      </c>
      <c r="C5471" t="s">
        <v>40</v>
      </c>
      <c r="D5471">
        <v>4.676634</v>
      </c>
      <c r="E5471">
        <v>0.34279090000000001</v>
      </c>
      <c r="F5471" t="s">
        <v>70</v>
      </c>
      <c r="G5471">
        <v>-416.36579999999998</v>
      </c>
      <c r="H5471" s="1">
        <v>-3.8613599999999997E-6</v>
      </c>
      <c r="I5471">
        <v>34.820459999999997</v>
      </c>
      <c r="J5471">
        <v>-421.6379</v>
      </c>
      <c r="K5471">
        <v>1.116555</v>
      </c>
      <c r="L5471">
        <v>44.117649999999998</v>
      </c>
      <c r="M5471">
        <v>0.1136002</v>
      </c>
      <c r="N5471">
        <v>0</v>
      </c>
      <c r="O5471">
        <v>-0.99342070000000005</v>
      </c>
      <c r="P5471">
        <v>0.1166558</v>
      </c>
      <c r="Q5471">
        <v>1.408625E-2</v>
      </c>
      <c r="R5471">
        <v>-0.99307259999999997</v>
      </c>
      <c r="S5471">
        <v>1.5831299999999999</v>
      </c>
      <c r="T5471">
        <v>-0.33287660000000002</v>
      </c>
      <c r="U5471">
        <v>-2.8511660000000001</v>
      </c>
      <c r="V5471">
        <v>-3.4964710000000001E-3</v>
      </c>
      <c r="W5471">
        <v>2.8537989999999999E-2</v>
      </c>
      <c r="X5471">
        <v>0.99958659999999999</v>
      </c>
      <c r="Y5471">
        <v>-0.38038689999999997</v>
      </c>
      <c r="Z5471">
        <v>0.10317709999999999</v>
      </c>
      <c r="AA5471">
        <v>0.91905400000000004</v>
      </c>
      <c r="AB5471">
        <v>27</v>
      </c>
      <c r="AC5471">
        <v>5.2721000000000204</v>
      </c>
      <c r="AD5471">
        <v>-1.1165588613599999</v>
      </c>
      <c r="AE5471">
        <v>-9.2971899999999899</v>
      </c>
      <c r="AF5471">
        <v>-4.1365453072215903</v>
      </c>
      <c r="AG5471">
        <v>-1.1165588613599999</v>
      </c>
      <c r="AH5471">
        <v>9.7297789473753493</v>
      </c>
      <c r="AI5471">
        <v>96.028595206674197</v>
      </c>
      <c r="AJ5471">
        <v>113.032420954885</v>
      </c>
      <c r="AK5471">
        <v>10.6313832183007</v>
      </c>
      <c r="AL5471">
        <v>88.364671603496404</v>
      </c>
      <c r="AM5471">
        <v>90.200415066030999</v>
      </c>
      <c r="AN5471">
        <v>1.0000000065411201</v>
      </c>
    </row>
    <row r="5472" spans="1:40" x14ac:dyDescent="0.25">
      <c r="A5472" t="str">
        <f>"20190312154407069"</f>
        <v>20190312154407069</v>
      </c>
      <c r="B5472" t="str">
        <f>"1552376647062868"</f>
        <v>1552376647062868</v>
      </c>
      <c r="C5472" t="s">
        <v>40</v>
      </c>
      <c r="D5472">
        <v>4.6862349999999999</v>
      </c>
      <c r="E5472">
        <v>0.3429392</v>
      </c>
      <c r="F5472" t="s">
        <v>70</v>
      </c>
      <c r="G5472">
        <v>-416.26429999999999</v>
      </c>
      <c r="H5472" s="1">
        <v>-4.0049189999999999E-6</v>
      </c>
      <c r="I5472">
        <v>34.597830000000002</v>
      </c>
      <c r="J5472">
        <v>-421.59769999999997</v>
      </c>
      <c r="K5472">
        <v>1.1167940000000001</v>
      </c>
      <c r="L5472">
        <v>43.849400000000003</v>
      </c>
      <c r="M5472">
        <v>0.1224567</v>
      </c>
      <c r="N5472">
        <v>0</v>
      </c>
      <c r="O5472">
        <v>-0.99236740000000001</v>
      </c>
      <c r="P5472">
        <v>0.12606600000000001</v>
      </c>
      <c r="Q5472">
        <v>1.5286630000000001E-2</v>
      </c>
      <c r="R5472">
        <v>-0.99190460000000003</v>
      </c>
      <c r="S5472">
        <v>1.6016539999999999</v>
      </c>
      <c r="T5472">
        <v>-0.33280359999999998</v>
      </c>
      <c r="U5472">
        <v>-2.837494</v>
      </c>
      <c r="V5472">
        <v>-4.095937E-3</v>
      </c>
      <c r="W5472">
        <v>2.9764849999999999E-2</v>
      </c>
      <c r="X5472">
        <v>0.99954860000000001</v>
      </c>
      <c r="Y5472">
        <v>-0.37857869999999999</v>
      </c>
      <c r="Z5472">
        <v>0.1033043</v>
      </c>
      <c r="AA5472">
        <v>0.91978599999999999</v>
      </c>
      <c r="AB5472">
        <v>27</v>
      </c>
      <c r="AC5472">
        <v>5.3333999999999797</v>
      </c>
      <c r="AD5472">
        <v>-1.1167980049190001</v>
      </c>
      <c r="AE5472">
        <v>-9.2515699999999992</v>
      </c>
      <c r="AF5472">
        <v>-4.1152064337569803</v>
      </c>
      <c r="AG5472">
        <v>-1.1167980049190001</v>
      </c>
      <c r="AH5472">
        <v>9.7287017866587604</v>
      </c>
      <c r="AI5472">
        <v>96.035159348706301</v>
      </c>
      <c r="AJ5472">
        <v>112.928190134556</v>
      </c>
      <c r="AK5472">
        <v>10.6221372722236</v>
      </c>
      <c r="AL5472">
        <v>88.294347909337702</v>
      </c>
      <c r="AM5472">
        <v>90.234784571449794</v>
      </c>
      <c r="AN5472">
        <v>1.0000000633786901</v>
      </c>
    </row>
    <row r="5473" spans="1:40" x14ac:dyDescent="0.25">
      <c r="A5473" t="str">
        <f>"20190312154407092"</f>
        <v>20190312154407092</v>
      </c>
      <c r="B5473" t="str">
        <f>"1552376647083367"</f>
        <v>1552376647083367</v>
      </c>
      <c r="C5473" t="s">
        <v>40</v>
      </c>
      <c r="D5473">
        <v>4.8214739999999896</v>
      </c>
      <c r="E5473">
        <v>0.34405590000000003</v>
      </c>
      <c r="F5473" t="s">
        <v>70</v>
      </c>
      <c r="G5473">
        <v>-415.92</v>
      </c>
      <c r="H5473" s="1">
        <v>-4.3812249999999997E-6</v>
      </c>
      <c r="I5473">
        <v>34.009140000000002</v>
      </c>
      <c r="J5473">
        <v>-421.55560000000003</v>
      </c>
      <c r="K5473">
        <v>1.1170169999999999</v>
      </c>
      <c r="L5473">
        <v>43.588590000000003</v>
      </c>
      <c r="M5473">
        <v>0.13142300000000001</v>
      </c>
      <c r="N5473">
        <v>0</v>
      </c>
      <c r="O5473">
        <v>-0.99121919999999997</v>
      </c>
      <c r="P5473">
        <v>0.13538620000000001</v>
      </c>
      <c r="Q5473">
        <v>1.4991030000000001E-2</v>
      </c>
      <c r="R5473">
        <v>-0.99067939999999999</v>
      </c>
      <c r="S5473">
        <v>1.6285099999999999</v>
      </c>
      <c r="T5473">
        <v>-0.3203278</v>
      </c>
      <c r="U5473">
        <v>-2.8224490000000002</v>
      </c>
      <c r="V5473">
        <v>-4.46869E-3</v>
      </c>
      <c r="W5473">
        <v>2.950032E-2</v>
      </c>
      <c r="X5473">
        <v>0.99955479999999997</v>
      </c>
      <c r="Y5473">
        <v>-0.37910110000000002</v>
      </c>
      <c r="Z5473">
        <v>9.9526379999999998E-2</v>
      </c>
      <c r="AA5473">
        <v>0.91998740000000001</v>
      </c>
      <c r="AB5473">
        <v>27</v>
      </c>
      <c r="AC5473">
        <v>5.6356000000000099</v>
      </c>
      <c r="AD5473">
        <v>-1.1170213812249901</v>
      </c>
      <c r="AE5473">
        <v>-9.5794499999999996</v>
      </c>
      <c r="AF5473">
        <v>-4.2843385055789103</v>
      </c>
      <c r="AG5473">
        <v>-1.1170213812249901</v>
      </c>
      <c r="AH5473">
        <v>10.134699159623199</v>
      </c>
      <c r="AI5473">
        <v>95.796751210572296</v>
      </c>
      <c r="AJ5473">
        <v>112.91570472238401</v>
      </c>
      <c r="AK5473">
        <v>11.059630204150899</v>
      </c>
      <c r="AL5473">
        <v>88.309510943222506</v>
      </c>
      <c r="AM5473">
        <v>90.256149408886699</v>
      </c>
      <c r="AN5473">
        <v>1.0000000181367199</v>
      </c>
    </row>
    <row r="5474" spans="1:40" x14ac:dyDescent="0.25">
      <c r="A5474" t="str">
        <f>"20190312154407113"</f>
        <v>20190312154407113</v>
      </c>
      <c r="B5474" t="str">
        <f>"1552376647102883"</f>
        <v>1552376647102883</v>
      </c>
      <c r="C5474" t="s">
        <v>40</v>
      </c>
      <c r="D5474">
        <v>4.7228659999999998</v>
      </c>
      <c r="E5474">
        <v>0.3448832</v>
      </c>
      <c r="F5474" t="s">
        <v>70</v>
      </c>
      <c r="G5474">
        <v>-415.69110000000001</v>
      </c>
      <c r="H5474" s="1">
        <v>-4.6460949999999999E-6</v>
      </c>
      <c r="I5474">
        <v>33.588909999999998</v>
      </c>
      <c r="J5474">
        <v>-421.5104</v>
      </c>
      <c r="K5474">
        <v>1.117205</v>
      </c>
      <c r="L5474">
        <v>43.324979999999996</v>
      </c>
      <c r="M5474">
        <v>0.14077300000000001</v>
      </c>
      <c r="N5474">
        <v>0</v>
      </c>
      <c r="O5474">
        <v>-0.98993399999999998</v>
      </c>
      <c r="P5474">
        <v>0.14423610000000001</v>
      </c>
      <c r="Q5474">
        <v>1.317654E-2</v>
      </c>
      <c r="R5474">
        <v>-0.98945570000000005</v>
      </c>
      <c r="S5474">
        <v>1.6467590000000001</v>
      </c>
      <c r="T5474">
        <v>-0.31366119999999997</v>
      </c>
      <c r="U5474">
        <v>-2.807922</v>
      </c>
      <c r="V5474">
        <v>-3.949368E-3</v>
      </c>
      <c r="W5474">
        <v>2.7731510000000001E-2</v>
      </c>
      <c r="X5474">
        <v>0.99960760000000004</v>
      </c>
      <c r="Y5474">
        <v>-0.37698860000000001</v>
      </c>
      <c r="Z5474">
        <v>9.7612530000000003E-2</v>
      </c>
      <c r="AA5474">
        <v>0.92105999999999999</v>
      </c>
      <c r="AB5474">
        <v>27</v>
      </c>
      <c r="AC5474">
        <v>5.8192999999999904</v>
      </c>
      <c r="AD5474">
        <v>-1.1172096460950001</v>
      </c>
      <c r="AE5474">
        <v>-9.7360699999999891</v>
      </c>
      <c r="AF5474">
        <v>-4.3484296140988299</v>
      </c>
      <c r="AG5474">
        <v>-1.1172096460950001</v>
      </c>
      <c r="AH5474">
        <v>10.3578964848619</v>
      </c>
      <c r="AI5474">
        <v>95.679508434105799</v>
      </c>
      <c r="AJ5474">
        <v>112.773532630511</v>
      </c>
      <c r="AK5474">
        <v>11.289066263124401</v>
      </c>
      <c r="AL5474">
        <v>88.410897784006394</v>
      </c>
      <c r="AM5474">
        <v>90.226369768249199</v>
      </c>
      <c r="AN5474">
        <v>0.99999999406611895</v>
      </c>
    </row>
    <row r="5475" spans="1:40" x14ac:dyDescent="0.25">
      <c r="A5475" t="str">
        <f>"20190312154407136"</f>
        <v>20190312154407136</v>
      </c>
      <c r="B5475" t="str">
        <f>"1552376647133139"</f>
        <v>1552376647133139</v>
      </c>
      <c r="C5475" t="s">
        <v>40</v>
      </c>
      <c r="D5475">
        <v>4.7844959999999999</v>
      </c>
      <c r="E5475">
        <v>0.34620309999999999</v>
      </c>
      <c r="F5475" t="s">
        <v>70</v>
      </c>
      <c r="G5475">
        <v>-415.63420000000002</v>
      </c>
      <c r="H5475" s="1">
        <v>-4.7176029999999901E-6</v>
      </c>
      <c r="I5475">
        <v>33.473350000000003</v>
      </c>
      <c r="J5475">
        <v>-421.46409999999997</v>
      </c>
      <c r="K5475">
        <v>1.1173679999999999</v>
      </c>
      <c r="L5475">
        <v>43.070889999999999</v>
      </c>
      <c r="M5475">
        <v>0.15005170000000001</v>
      </c>
      <c r="N5475">
        <v>0</v>
      </c>
      <c r="O5475">
        <v>-0.98856960000000005</v>
      </c>
      <c r="P5475">
        <v>0.15326119999999999</v>
      </c>
      <c r="Q5475">
        <v>1.181026E-2</v>
      </c>
      <c r="R5475">
        <v>-0.98811539999999998</v>
      </c>
      <c r="S5475">
        <v>1.6661379999999999</v>
      </c>
      <c r="T5475">
        <v>-0.31677070000000002</v>
      </c>
      <c r="U5475">
        <v>-2.793304</v>
      </c>
      <c r="V5475">
        <v>-3.6844830000000001E-3</v>
      </c>
      <c r="W5475">
        <v>2.6404469999999999E-2</v>
      </c>
      <c r="X5475">
        <v>0.99964459999999999</v>
      </c>
      <c r="Y5475">
        <v>-0.37508150000000001</v>
      </c>
      <c r="Z5475">
        <v>9.868238E-2</v>
      </c>
      <c r="AA5475">
        <v>0.92172430000000005</v>
      </c>
      <c r="AB5475">
        <v>27</v>
      </c>
      <c r="AC5475">
        <v>5.8298999999999497</v>
      </c>
      <c r="AD5475">
        <v>-1.1173727176029999</v>
      </c>
      <c r="AE5475">
        <v>-9.5975400000000004</v>
      </c>
      <c r="AF5475">
        <v>-4.2812104501521704</v>
      </c>
      <c r="AG5475">
        <v>-1.1173727176029999</v>
      </c>
      <c r="AH5475">
        <v>10.262129547191099</v>
      </c>
      <c r="AI5475">
        <v>95.738331042456096</v>
      </c>
      <c r="AJ5475">
        <v>112.64518407455699</v>
      </c>
      <c r="AK5475">
        <v>11.175356260624</v>
      </c>
      <c r="AL5475">
        <v>88.486959533641098</v>
      </c>
      <c r="AM5475">
        <v>90.211179422802104</v>
      </c>
      <c r="AN5475">
        <v>1.00000004888005</v>
      </c>
    </row>
    <row r="5476" spans="1:40" x14ac:dyDescent="0.25">
      <c r="A5476" t="str">
        <f>"20190312154407158"</f>
        <v>20190312154407158</v>
      </c>
      <c r="B5476" t="str">
        <f>"1552376647152659"</f>
        <v>1552376647152659</v>
      </c>
      <c r="C5476" t="s">
        <v>40</v>
      </c>
      <c r="D5476">
        <v>4.8366490000000004</v>
      </c>
      <c r="E5476">
        <v>0.34652919999999998</v>
      </c>
      <c r="F5476" t="s">
        <v>70</v>
      </c>
      <c r="G5476">
        <v>-415.6103</v>
      </c>
      <c r="H5476" s="1">
        <v>-4.76145E-6</v>
      </c>
      <c r="I5476">
        <v>33.397709999999996</v>
      </c>
      <c r="J5476">
        <v>-421.41329999999999</v>
      </c>
      <c r="K5476">
        <v>1.1175310000000001</v>
      </c>
      <c r="L5476">
        <v>42.80771</v>
      </c>
      <c r="M5476">
        <v>0.1599526</v>
      </c>
      <c r="N5476">
        <v>0</v>
      </c>
      <c r="O5476">
        <v>-0.98701539999999999</v>
      </c>
      <c r="P5476">
        <v>0.16318060000000001</v>
      </c>
      <c r="Q5476">
        <v>1.1907340000000001E-2</v>
      </c>
      <c r="R5476">
        <v>-0.98652439999999997</v>
      </c>
      <c r="S5476">
        <v>1.6817930000000001</v>
      </c>
      <c r="T5476">
        <v>-0.32101829999999998</v>
      </c>
      <c r="U5476">
        <v>-2.779083</v>
      </c>
      <c r="V5476">
        <v>-3.72165E-3</v>
      </c>
      <c r="W5476">
        <v>2.653556E-2</v>
      </c>
      <c r="X5476">
        <v>0.99964090000000005</v>
      </c>
      <c r="Y5476">
        <v>-0.37160260000000001</v>
      </c>
      <c r="Z5476">
        <v>0.1001266</v>
      </c>
      <c r="AA5476">
        <v>0.92297689999999999</v>
      </c>
      <c r="AB5476">
        <v>27</v>
      </c>
      <c r="AC5476">
        <v>5.8029999999999902</v>
      </c>
      <c r="AD5476">
        <v>-1.1175357614499899</v>
      </c>
      <c r="AE5476">
        <v>-9.41</v>
      </c>
      <c r="AF5476">
        <v>-4.1802379110416803</v>
      </c>
      <c r="AG5476">
        <v>-1.1175357614499899</v>
      </c>
      <c r="AH5476">
        <v>10.113778541629101</v>
      </c>
      <c r="AI5476">
        <v>95.830691622367794</v>
      </c>
      <c r="AJ5476">
        <v>112.456339575179</v>
      </c>
      <c r="AK5476">
        <v>11.0005359669493</v>
      </c>
      <c r="AL5476">
        <v>88.479445859039103</v>
      </c>
      <c r="AM5476">
        <v>90.213310452426597</v>
      </c>
      <c r="AN5476">
        <v>0.99999995778802198</v>
      </c>
    </row>
    <row r="5477" spans="1:40" x14ac:dyDescent="0.25">
      <c r="A5477" t="str">
        <f>"20190312154407180"</f>
        <v>20190312154407180</v>
      </c>
      <c r="B5477" t="str">
        <f>"1552376647173158"</f>
        <v>1552376647173158</v>
      </c>
      <c r="C5477" t="s">
        <v>40</v>
      </c>
      <c r="D5477">
        <v>4.8994479999999996</v>
      </c>
      <c r="E5477">
        <v>0.32702769999999998</v>
      </c>
      <c r="F5477" t="s">
        <v>70</v>
      </c>
      <c r="G5477">
        <v>-415.47309999999999</v>
      </c>
      <c r="H5477" s="1">
        <v>-4.8967960000000002E-6</v>
      </c>
      <c r="I5477">
        <v>33.191759999999903</v>
      </c>
      <c r="J5477">
        <v>-421.36090000000002</v>
      </c>
      <c r="K5477">
        <v>1.1177090000000001</v>
      </c>
      <c r="L5477">
        <v>42.552</v>
      </c>
      <c r="M5477">
        <v>0.16986370000000001</v>
      </c>
      <c r="N5477">
        <v>0</v>
      </c>
      <c r="O5477">
        <v>-0.9853575</v>
      </c>
      <c r="P5477">
        <v>0.173915299999999</v>
      </c>
      <c r="Q5477">
        <v>1.12725E-2</v>
      </c>
      <c r="R5477">
        <v>-0.98469609999999996</v>
      </c>
      <c r="S5477">
        <v>1.7065429999999999</v>
      </c>
      <c r="T5477">
        <v>-0.321057599999999</v>
      </c>
      <c r="U5477">
        <v>-2.7625730000000002</v>
      </c>
      <c r="V5477">
        <v>-4.562562E-3</v>
      </c>
      <c r="W5477">
        <v>2.5922560000000001E-2</v>
      </c>
      <c r="X5477">
        <v>0.99965349999999997</v>
      </c>
      <c r="Y5477">
        <v>-0.37072480000000002</v>
      </c>
      <c r="Z5477">
        <v>0.10019260000000001</v>
      </c>
      <c r="AA5477">
        <v>0.92332259999999999</v>
      </c>
      <c r="AB5477">
        <v>27</v>
      </c>
      <c r="AC5477">
        <v>5.8878000000000199</v>
      </c>
      <c r="AD5477">
        <v>-1.1177138967960001</v>
      </c>
      <c r="AE5477">
        <v>-9.3602399999999992</v>
      </c>
      <c r="AF5477">
        <v>-4.1694819769297098</v>
      </c>
      <c r="AG5477">
        <v>-1.1177138967960001</v>
      </c>
      <c r="AH5477">
        <v>10.121013200337099</v>
      </c>
      <c r="AI5477">
        <v>95.830247013535697</v>
      </c>
      <c r="AJ5477">
        <v>112.389843957716</v>
      </c>
      <c r="AK5477">
        <v>11.0031255792357</v>
      </c>
      <c r="AL5477">
        <v>88.514580262017105</v>
      </c>
      <c r="AM5477">
        <v>90.261504342426306</v>
      </c>
      <c r="AN5477">
        <v>0.99999995807560205</v>
      </c>
    </row>
    <row r="5478" spans="1:40" x14ac:dyDescent="0.25">
      <c r="A5478" t="str">
        <f>"20190312154407203"</f>
        <v>20190312154407203</v>
      </c>
      <c r="B5478" t="str">
        <f>"1552376647192675"</f>
        <v>1552376647192675</v>
      </c>
      <c r="C5478" t="s">
        <v>40</v>
      </c>
      <c r="D5478">
        <v>4.8967549999999997</v>
      </c>
      <c r="E5478">
        <v>0.32032729999999998</v>
      </c>
      <c r="F5478" t="s">
        <v>70</v>
      </c>
      <c r="G5478">
        <v>-417.26310000000001</v>
      </c>
      <c r="H5478" s="1">
        <v>-2.5852369999999998E-6</v>
      </c>
      <c r="I5478">
        <v>36.674590000000002</v>
      </c>
      <c r="J5478">
        <v>-421.30560000000003</v>
      </c>
      <c r="K5478">
        <v>1.1178889999999999</v>
      </c>
      <c r="L5478">
        <v>42.295679999999997</v>
      </c>
      <c r="M5478">
        <v>0.180094899999999</v>
      </c>
      <c r="N5478">
        <v>0</v>
      </c>
      <c r="O5478">
        <v>-0.98353840000000003</v>
      </c>
      <c r="P5478">
        <v>0.1840705</v>
      </c>
      <c r="Q5478">
        <v>9.7057670000000006E-3</v>
      </c>
      <c r="R5478">
        <v>-0.98286530000000005</v>
      </c>
      <c r="S5478">
        <v>1.8949279999999999</v>
      </c>
      <c r="T5478">
        <v>-0.51685879999999995</v>
      </c>
      <c r="U5478">
        <v>-2.7178650000000002</v>
      </c>
      <c r="V5478">
        <v>-4.4745480000000001E-3</v>
      </c>
      <c r="W5478">
        <v>2.4398119999999999E-2</v>
      </c>
      <c r="X5478">
        <v>0.99969229999999998</v>
      </c>
      <c r="Y5478">
        <v>-0.40765059999999997</v>
      </c>
      <c r="Z5478">
        <v>0.157605</v>
      </c>
      <c r="AA5478">
        <v>0.89943410000000001</v>
      </c>
      <c r="AB5478">
        <v>27</v>
      </c>
      <c r="AC5478">
        <v>4.0425000000000102</v>
      </c>
      <c r="AD5478">
        <v>-1.1178915852369999</v>
      </c>
      <c r="AE5478">
        <v>-5.6210899999999899</v>
      </c>
      <c r="AF5478">
        <v>-2.8886449780815799</v>
      </c>
      <c r="AG5478">
        <v>-1.1178915852369999</v>
      </c>
      <c r="AH5478">
        <v>6.0983004369247302</v>
      </c>
      <c r="AI5478">
        <v>99.406541573181499</v>
      </c>
      <c r="AJ5478">
        <v>115.3459944617</v>
      </c>
      <c r="AK5478">
        <v>6.8398259937469197</v>
      </c>
      <c r="AL5478">
        <v>88.601951959452094</v>
      </c>
      <c r="AM5478">
        <v>90.256449913238498</v>
      </c>
      <c r="AN5478">
        <v>0.99999999225931402</v>
      </c>
    </row>
    <row r="5479" spans="1:40" x14ac:dyDescent="0.25">
      <c r="A5479" t="str">
        <f>"20190312154407224"</f>
        <v>20190312154407224</v>
      </c>
      <c r="B5479" t="str">
        <f>"1552376647213175"</f>
        <v>1552376647213175</v>
      </c>
      <c r="C5479" t="s">
        <v>40</v>
      </c>
      <c r="D5479">
        <v>4.8670450000000001</v>
      </c>
      <c r="E5479">
        <v>0.31674790000000003</v>
      </c>
      <c r="F5479" t="s">
        <v>70</v>
      </c>
      <c r="G5479">
        <v>-417.1925</v>
      </c>
      <c r="H5479" s="1">
        <v>-2.5826239999999999E-6</v>
      </c>
      <c r="I5479">
        <v>36.708260000000003</v>
      </c>
      <c r="J5479">
        <v>-421.24880000000002</v>
      </c>
      <c r="K5479">
        <v>1.118079</v>
      </c>
      <c r="L5479">
        <v>42.04712</v>
      </c>
      <c r="M5479">
        <v>0.19031410000000001</v>
      </c>
      <c r="N5479">
        <v>0</v>
      </c>
      <c r="O5479">
        <v>-0.98161140000000002</v>
      </c>
      <c r="P5479">
        <v>0.19399520000000001</v>
      </c>
      <c r="Q5479">
        <v>7.201084E-3</v>
      </c>
      <c r="R5479">
        <v>-0.98097599999999996</v>
      </c>
      <c r="S5479">
        <v>1.9780880000000001</v>
      </c>
      <c r="T5479">
        <v>-0.53762869999999996</v>
      </c>
      <c r="U5479">
        <v>-2.6871640000000001</v>
      </c>
      <c r="V5479">
        <v>-4.1434840000000002E-3</v>
      </c>
      <c r="W5479">
        <v>2.1941160000000001E-2</v>
      </c>
      <c r="X5479">
        <v>0.99975069999999999</v>
      </c>
      <c r="Y5479">
        <v>-0.42074660000000003</v>
      </c>
      <c r="Z5479">
        <v>0.16293869999999999</v>
      </c>
      <c r="AA5479">
        <v>0.89242549999999898</v>
      </c>
      <c r="AB5479">
        <v>27</v>
      </c>
      <c r="AC5479">
        <v>4.0563000000000198</v>
      </c>
      <c r="AD5479">
        <v>-1.118081582624</v>
      </c>
      <c r="AE5479">
        <v>-5.3388600000000004</v>
      </c>
      <c r="AF5479">
        <v>-2.8857329155954301</v>
      </c>
      <c r="AG5479">
        <v>-1.118081582624</v>
      </c>
      <c r="AH5479">
        <v>5.8506304098372102</v>
      </c>
      <c r="AI5479">
        <v>99.725449773909801</v>
      </c>
      <c r="AJ5479">
        <v>116.254106249324</v>
      </c>
      <c r="AK5479">
        <v>6.6187186885428</v>
      </c>
      <c r="AL5479">
        <v>88.7427632736444</v>
      </c>
      <c r="AM5479">
        <v>90.237461985668105</v>
      </c>
      <c r="AN5479">
        <v>1.0000000225561401</v>
      </c>
    </row>
    <row r="5480" spans="1:40" x14ac:dyDescent="0.25">
      <c r="A5480" t="str">
        <f>"20190312154407247"</f>
        <v>20190312154407247</v>
      </c>
      <c r="B5480" t="str">
        <f>"1552376647243428"</f>
        <v>1552376647243428</v>
      </c>
      <c r="C5480" t="s">
        <v>40</v>
      </c>
      <c r="D5480">
        <v>4.8081680000000002</v>
      </c>
      <c r="E5480">
        <v>0.31499379999999999</v>
      </c>
      <c r="F5480" t="s">
        <v>70</v>
      </c>
      <c r="G5480">
        <v>-417.04910000000001</v>
      </c>
      <c r="H5480" s="1">
        <v>-2.7204069999999998E-6</v>
      </c>
      <c r="I5480">
        <v>36.551549999999999</v>
      </c>
      <c r="J5480">
        <v>-421.1859</v>
      </c>
      <c r="K5480">
        <v>1.1182840000000001</v>
      </c>
      <c r="L5480">
        <v>41.785580000000003</v>
      </c>
      <c r="M5480">
        <v>0.20138400000000001</v>
      </c>
      <c r="N5480">
        <v>0</v>
      </c>
      <c r="O5480">
        <v>-0.97939960000000004</v>
      </c>
      <c r="P5480">
        <v>0.2041974</v>
      </c>
      <c r="Q5480">
        <v>5.5610900000000003E-3</v>
      </c>
      <c r="R5480">
        <v>-0.97891399999999995</v>
      </c>
      <c r="S5480">
        <v>2.0328979999999999</v>
      </c>
      <c r="T5480">
        <v>-0.54120639999999998</v>
      </c>
      <c r="U5480">
        <v>-2.660126</v>
      </c>
      <c r="V5480">
        <v>-3.2430699999999998E-3</v>
      </c>
      <c r="W5480">
        <v>2.0365089999999999E-2</v>
      </c>
      <c r="X5480">
        <v>0.99978730000000005</v>
      </c>
      <c r="Y5480">
        <v>-0.42650169999999998</v>
      </c>
      <c r="Z5480">
        <v>0.16361199999999901</v>
      </c>
      <c r="AA5480">
        <v>0.88956579999999996</v>
      </c>
      <c r="AB5480">
        <v>27</v>
      </c>
      <c r="AC5480">
        <v>4.1367999999999903</v>
      </c>
      <c r="AD5480">
        <v>-1.1182867204069999</v>
      </c>
      <c r="AE5480">
        <v>-5.23402999999999</v>
      </c>
      <c r="AF5480">
        <v>-2.9159313610550099</v>
      </c>
      <c r="AG5480">
        <v>-1.1182867204069999</v>
      </c>
      <c r="AH5480">
        <v>5.79706789952332</v>
      </c>
      <c r="AI5480">
        <v>99.777890532312995</v>
      </c>
      <c r="AJ5480">
        <v>116.702444935486</v>
      </c>
      <c r="AK5480">
        <v>6.5847716075127796</v>
      </c>
      <c r="AL5480">
        <v>88.833085565142099</v>
      </c>
      <c r="AM5480">
        <v>90.185853102913498</v>
      </c>
      <c r="AN5480">
        <v>0.99999994981750995</v>
      </c>
    </row>
    <row r="5481" spans="1:40" x14ac:dyDescent="0.25">
      <c r="A5481" t="str">
        <f>"20190312154407270"</f>
        <v>20190312154407270</v>
      </c>
      <c r="B5481" t="str">
        <f>"1552376647262964"</f>
        <v>1552376647262964</v>
      </c>
      <c r="C5481" t="s">
        <v>40</v>
      </c>
      <c r="D5481">
        <v>4.8309559999999996</v>
      </c>
      <c r="E5481">
        <v>0.31449670000000002</v>
      </c>
      <c r="F5481" t="s">
        <v>70</v>
      </c>
      <c r="G5481">
        <v>-416.9984</v>
      </c>
      <c r="H5481" s="1">
        <v>-2.7884380000000001E-6</v>
      </c>
      <c r="I5481">
        <v>36.465730000000001</v>
      </c>
      <c r="J5481">
        <v>-421.12220000000002</v>
      </c>
      <c r="K5481">
        <v>1.118482</v>
      </c>
      <c r="L5481">
        <v>41.535769999999999</v>
      </c>
      <c r="M5481">
        <v>0.21230779999999999</v>
      </c>
      <c r="N5481">
        <v>0</v>
      </c>
      <c r="O5481">
        <v>-0.97708919999999999</v>
      </c>
      <c r="P5481">
        <v>0.21487700000000001</v>
      </c>
      <c r="Q5481">
        <v>5.2281410000000004E-3</v>
      </c>
      <c r="R5481">
        <v>-0.97662720000000003</v>
      </c>
      <c r="S5481">
        <v>2.0742189999999998</v>
      </c>
      <c r="T5481">
        <v>-0.55392469999999905</v>
      </c>
      <c r="U5481">
        <v>-2.6351010000000001</v>
      </c>
      <c r="V5481">
        <v>-3.0028120000000001E-3</v>
      </c>
      <c r="W5481">
        <v>2.0083810000000001E-2</v>
      </c>
      <c r="X5481">
        <v>0.99979379999999995</v>
      </c>
      <c r="Y5481">
        <v>-0.4288015</v>
      </c>
      <c r="Z5481">
        <v>0.1671686</v>
      </c>
      <c r="AA5481">
        <v>0.88779719999999995</v>
      </c>
      <c r="AB5481">
        <v>27</v>
      </c>
      <c r="AC5481">
        <v>4.1238000000000099</v>
      </c>
      <c r="AD5481">
        <v>-1.118484788438</v>
      </c>
      <c r="AE5481">
        <v>-5.0700399999999899</v>
      </c>
      <c r="AF5481">
        <v>-2.8692003512792099</v>
      </c>
      <c r="AG5481">
        <v>-1.118484788438</v>
      </c>
      <c r="AH5481">
        <v>5.6641407167648499</v>
      </c>
      <c r="AI5481">
        <v>99.990507286344396</v>
      </c>
      <c r="AJ5481">
        <v>116.864734250228</v>
      </c>
      <c r="AK5481">
        <v>6.4471551041572903</v>
      </c>
      <c r="AL5481">
        <v>88.849205088449594</v>
      </c>
      <c r="AM5481">
        <v>90.172083420548603</v>
      </c>
      <c r="AN5481">
        <v>1.00000000941123</v>
      </c>
    </row>
    <row r="5482" spans="1:40" x14ac:dyDescent="0.25">
      <c r="A5482" t="str">
        <f>"20190312154407293"</f>
        <v>20190312154407293</v>
      </c>
      <c r="B5482" t="str">
        <f>"1552376647283444"</f>
        <v>1552376647283444</v>
      </c>
      <c r="C5482" t="s">
        <v>40</v>
      </c>
      <c r="D5482">
        <v>4.8785290000000003</v>
      </c>
      <c r="E5482">
        <v>0.31444699999999998</v>
      </c>
      <c r="F5482" t="s">
        <v>70</v>
      </c>
      <c r="G5482">
        <v>-416.86500000000001</v>
      </c>
      <c r="H5482" s="1">
        <v>-2.9563099999999998E-6</v>
      </c>
      <c r="I5482">
        <v>36.257489999999997</v>
      </c>
      <c r="J5482">
        <v>-421.05360000000002</v>
      </c>
      <c r="K5482">
        <v>1.1186830000000001</v>
      </c>
      <c r="L5482">
        <v>41.280209999999997</v>
      </c>
      <c r="M5482">
        <v>0.2238134</v>
      </c>
      <c r="N5482">
        <v>0</v>
      </c>
      <c r="O5482">
        <v>-0.97451719999999997</v>
      </c>
      <c r="P5482">
        <v>0.22573550000000001</v>
      </c>
      <c r="Q5482">
        <v>4.6745980000000003E-3</v>
      </c>
      <c r="R5482">
        <v>-0.97417759999999998</v>
      </c>
      <c r="S5482">
        <v>2.1062319999999999</v>
      </c>
      <c r="T5482">
        <v>-0.5533555</v>
      </c>
      <c r="U5482">
        <v>-2.6113590000000002</v>
      </c>
      <c r="V5482">
        <v>-2.3435050000000001E-3</v>
      </c>
      <c r="W5482">
        <v>1.9593719999999998E-2</v>
      </c>
      <c r="X5482">
        <v>0.99980530000000001</v>
      </c>
      <c r="Y5482">
        <v>-0.4287513</v>
      </c>
      <c r="Z5482">
        <v>0.16694619999999999</v>
      </c>
      <c r="AA5482">
        <v>0.88786330000000002</v>
      </c>
      <c r="AB5482">
        <v>27</v>
      </c>
      <c r="AC5482">
        <v>4.1886000000000001</v>
      </c>
      <c r="AD5482">
        <v>-1.11868595631</v>
      </c>
      <c r="AE5482">
        <v>-5.0227199999999899</v>
      </c>
      <c r="AF5482">
        <v>-2.87395339344598</v>
      </c>
      <c r="AG5482">
        <v>-1.11868595631</v>
      </c>
      <c r="AH5482">
        <v>5.6670341370577804</v>
      </c>
      <c r="AI5482">
        <v>99.984979982882606</v>
      </c>
      <c r="AJ5482">
        <v>116.891177613284</v>
      </c>
      <c r="AK5482">
        <v>6.4518479745824102</v>
      </c>
      <c r="AL5482">
        <v>88.877290718528599</v>
      </c>
      <c r="AM5482">
        <v>90.134298847848797</v>
      </c>
      <c r="AN5482">
        <v>1.0000000218936</v>
      </c>
    </row>
    <row r="5483" spans="1:40" x14ac:dyDescent="0.25">
      <c r="A5483" t="str">
        <f>"20190312154407315"</f>
        <v>20190312154407315</v>
      </c>
      <c r="B5483" t="str">
        <f>"1552376647302963"</f>
        <v>1552376647302963</v>
      </c>
      <c r="C5483" t="s">
        <v>40</v>
      </c>
      <c r="D5483">
        <v>4.8969440000000004</v>
      </c>
      <c r="E5483">
        <v>0.31470520000000002</v>
      </c>
      <c r="F5483" t="s">
        <v>70</v>
      </c>
      <c r="G5483">
        <v>-416.77289999999999</v>
      </c>
      <c r="H5483" s="1">
        <v>-3.074408E-6</v>
      </c>
      <c r="I5483">
        <v>36.094250000000002</v>
      </c>
      <c r="J5483">
        <v>-420.98230000000001</v>
      </c>
      <c r="K5483">
        <v>1.118849</v>
      </c>
      <c r="L5483">
        <v>41.027740000000001</v>
      </c>
      <c r="M5483">
        <v>0.23546800000000001</v>
      </c>
      <c r="N5483">
        <v>0</v>
      </c>
      <c r="O5483">
        <v>-0.97176609999999997</v>
      </c>
      <c r="P5483">
        <v>0.2369725</v>
      </c>
      <c r="Q5483">
        <v>3.0808699999999999E-3</v>
      </c>
      <c r="R5483">
        <v>-0.97151149999999997</v>
      </c>
      <c r="S5483">
        <v>2.1356809999999999</v>
      </c>
      <c r="T5483">
        <v>-0.55811929999999998</v>
      </c>
      <c r="U5483">
        <v>-2.5873110000000001</v>
      </c>
      <c r="V5483">
        <v>-1.893989E-3</v>
      </c>
      <c r="W5483">
        <v>1.8059530000000001E-2</v>
      </c>
      <c r="X5483">
        <v>0.99983509999999998</v>
      </c>
      <c r="Y5483">
        <v>-0.42787750000000002</v>
      </c>
      <c r="Z5483">
        <v>0.16831779999999999</v>
      </c>
      <c r="AA5483">
        <v>0.88802590000000003</v>
      </c>
      <c r="AB5483">
        <v>27</v>
      </c>
      <c r="AC5483">
        <v>4.2094000000000102</v>
      </c>
      <c r="AD5483">
        <v>-1.1188520744079999</v>
      </c>
      <c r="AE5483">
        <v>-4.9334899999999902</v>
      </c>
      <c r="AF5483">
        <v>-2.84453828971218</v>
      </c>
      <c r="AG5483">
        <v>-1.1188520744079999</v>
      </c>
      <c r="AH5483">
        <v>5.6187913370556499</v>
      </c>
      <c r="AI5483">
        <v>100.073932277764</v>
      </c>
      <c r="AJ5483">
        <v>116.85101763918099</v>
      </c>
      <c r="AK5483">
        <v>6.3964086904619704</v>
      </c>
      <c r="AL5483">
        <v>88.965208876698497</v>
      </c>
      <c r="AM5483">
        <v>90.108535343821998</v>
      </c>
      <c r="AN5483">
        <v>0.99999998050508099</v>
      </c>
    </row>
    <row r="5484" spans="1:40" x14ac:dyDescent="0.25">
      <c r="A5484" t="str">
        <f>"20190312154407338"</f>
        <v>20190312154407338</v>
      </c>
      <c r="B5484" t="str">
        <f>"1552376647333220"</f>
        <v>1552376647333220</v>
      </c>
      <c r="C5484" t="s">
        <v>40</v>
      </c>
      <c r="D5484">
        <v>4.8753010000000003</v>
      </c>
      <c r="E5484">
        <v>0.31509039999999999</v>
      </c>
      <c r="F5484" t="s">
        <v>70</v>
      </c>
      <c r="G5484">
        <v>-416.67110000000002</v>
      </c>
      <c r="H5484" s="1">
        <v>-3.1907799999999999E-6</v>
      </c>
      <c r="I5484">
        <v>35.92277</v>
      </c>
      <c r="J5484">
        <v>-420.9085</v>
      </c>
      <c r="K5484">
        <v>1.118997</v>
      </c>
      <c r="L5484">
        <v>40.778410000000001</v>
      </c>
      <c r="M5484">
        <v>0.247248</v>
      </c>
      <c r="N5484">
        <v>0</v>
      </c>
      <c r="O5484">
        <v>-0.96883549999999996</v>
      </c>
      <c r="P5484">
        <v>0.2486006</v>
      </c>
      <c r="Q5484">
        <v>1.9582940000000002E-3</v>
      </c>
      <c r="R5484">
        <v>-0.96860429999999997</v>
      </c>
      <c r="S5484">
        <v>2.1636660000000001</v>
      </c>
      <c r="T5484">
        <v>-0.56150719999999898</v>
      </c>
      <c r="U5484">
        <v>-2.5619809999999998</v>
      </c>
      <c r="V5484">
        <v>-1.7238189999999999E-3</v>
      </c>
      <c r="W5484">
        <v>1.6987760000000001E-2</v>
      </c>
      <c r="X5484">
        <v>0.99985420000000003</v>
      </c>
      <c r="Y5484">
        <v>-0.42681029999999998</v>
      </c>
      <c r="Z5484">
        <v>0.16932639999999999</v>
      </c>
      <c r="AA5484">
        <v>0.88834769999999896</v>
      </c>
      <c r="AB5484">
        <v>26</v>
      </c>
      <c r="AC5484">
        <v>4.2373999999999796</v>
      </c>
      <c r="AD5484">
        <v>-1.11900019078</v>
      </c>
      <c r="AE5484">
        <v>-4.8556400000000002</v>
      </c>
      <c r="AF5484">
        <v>-2.82010233383278</v>
      </c>
      <c r="AG5484">
        <v>-1.11900019078</v>
      </c>
      <c r="AH5484">
        <v>5.58429626558517</v>
      </c>
      <c r="AI5484">
        <v>100.14118021407</v>
      </c>
      <c r="AJ5484">
        <v>116.794043120469</v>
      </c>
      <c r="AK5484">
        <v>6.3552736669700698</v>
      </c>
      <c r="AL5484">
        <v>89.026626216816595</v>
      </c>
      <c r="AM5484">
        <v>90.098781857879999</v>
      </c>
      <c r="AN5484">
        <v>0.99999998839970095</v>
      </c>
    </row>
    <row r="5485" spans="1:40" x14ac:dyDescent="0.25">
      <c r="A5485" t="str">
        <f>"20190312154407352"</f>
        <v>20190312154407352</v>
      </c>
      <c r="B5485" t="str">
        <f>"1552376647342980"</f>
        <v>1552376647342980</v>
      </c>
      <c r="C5485" t="s">
        <v>40</v>
      </c>
      <c r="D5485">
        <v>4.9712449999999997</v>
      </c>
      <c r="E5485">
        <v>0.31534689999999999</v>
      </c>
      <c r="F5485" t="s">
        <v>70</v>
      </c>
      <c r="G5485">
        <v>-416.56630000000001</v>
      </c>
      <c r="H5485" s="1">
        <v>-3.3088969999999999E-6</v>
      </c>
      <c r="I5485">
        <v>35.749279999999999</v>
      </c>
      <c r="J5485">
        <v>-420.85930000000002</v>
      </c>
      <c r="K5485">
        <v>1.1190850000000001</v>
      </c>
      <c r="L5485">
        <v>40.618380000000002</v>
      </c>
      <c r="M5485">
        <v>0.2549419</v>
      </c>
      <c r="N5485">
        <v>0</v>
      </c>
      <c r="O5485">
        <v>-0.96683850000000005</v>
      </c>
      <c r="P5485">
        <v>0.25631029999999999</v>
      </c>
      <c r="Q5485">
        <v>8.2321209999999996E-4</v>
      </c>
      <c r="R5485">
        <v>-0.96659430000000002</v>
      </c>
      <c r="S5485">
        <v>2.1899109999999999</v>
      </c>
      <c r="T5485">
        <v>-0.56434659999999903</v>
      </c>
      <c r="U5485">
        <v>-2.536346</v>
      </c>
      <c r="V5485">
        <v>-1.7224199999999999E-3</v>
      </c>
      <c r="W5485">
        <v>1.5882130000000001E-2</v>
      </c>
      <c r="X5485">
        <v>0.99987239999999999</v>
      </c>
      <c r="Y5485">
        <v>-0.42923230000000001</v>
      </c>
      <c r="Z5485">
        <v>0.1703047</v>
      </c>
      <c r="AA5485">
        <v>0.88699259999999902</v>
      </c>
      <c r="AB5485">
        <v>26</v>
      </c>
      <c r="AC5485">
        <v>4.2930000000000001</v>
      </c>
      <c r="AD5485">
        <v>-1.1190883088970001</v>
      </c>
      <c r="AE5485">
        <v>-4.8691000000000004</v>
      </c>
      <c r="AF5485">
        <v>-2.8256521358351998</v>
      </c>
      <c r="AG5485">
        <v>-1.1190883088970001</v>
      </c>
      <c r="AH5485">
        <v>5.6352774803080399</v>
      </c>
      <c r="AI5485">
        <v>100.06626935027801</v>
      </c>
      <c r="AJ5485">
        <v>116.630194027367</v>
      </c>
      <c r="AK5485">
        <v>6.4025792393321401</v>
      </c>
      <c r="AL5485">
        <v>89.089982732555498</v>
      </c>
      <c r="AM5485">
        <v>90.098699893037505</v>
      </c>
      <c r="AN5485">
        <v>1.0000000125328701</v>
      </c>
    </row>
    <row r="5486" spans="1:40" x14ac:dyDescent="0.25">
      <c r="A5486" t="str">
        <f>"20190312154407371"</f>
        <v>20190312154407371</v>
      </c>
      <c r="B5486" t="str">
        <f>"1552376647363476"</f>
        <v>1552376647363476</v>
      </c>
      <c r="C5486" t="s">
        <v>40</v>
      </c>
      <c r="D5486">
        <v>4.9520819999999999</v>
      </c>
      <c r="E5486">
        <v>0.3158764</v>
      </c>
      <c r="F5486" t="s">
        <v>70</v>
      </c>
      <c r="G5486">
        <v>-416.49939999999998</v>
      </c>
      <c r="H5486" s="1">
        <v>-3.3816689999999999E-6</v>
      </c>
      <c r="I5486">
        <v>35.643349999999998</v>
      </c>
      <c r="J5486">
        <v>-420.7928</v>
      </c>
      <c r="K5486">
        <v>1.1191949999999999</v>
      </c>
      <c r="L5486">
        <v>40.409700000000001</v>
      </c>
      <c r="M5486">
        <v>0.26516129999999999</v>
      </c>
      <c r="N5486">
        <v>0</v>
      </c>
      <c r="O5486">
        <v>-0.96408530000000003</v>
      </c>
      <c r="P5486">
        <v>0.26592470000000001</v>
      </c>
      <c r="Q5486">
        <v>-1.717882E-3</v>
      </c>
      <c r="R5486">
        <v>-0.96399259999999998</v>
      </c>
      <c r="S5486">
        <v>2.2074280000000002</v>
      </c>
      <c r="T5486">
        <v>-0.5665886</v>
      </c>
      <c r="U5486">
        <v>-2.5188290000000002</v>
      </c>
      <c r="V5486">
        <v>-1.048773E-3</v>
      </c>
      <c r="W5486">
        <v>1.3393779999999999E-2</v>
      </c>
      <c r="X5486">
        <v>0.99990979999999996</v>
      </c>
      <c r="Y5486">
        <v>-0.4261703</v>
      </c>
      <c r="Z5486">
        <v>0.17090520000000001</v>
      </c>
      <c r="AA5486">
        <v>0.88835259999999905</v>
      </c>
      <c r="AB5486">
        <v>26</v>
      </c>
      <c r="AC5486">
        <v>4.2934000000000196</v>
      </c>
      <c r="AD5486">
        <v>-1.1191983816689901</v>
      </c>
      <c r="AE5486">
        <v>-4.7663500000000001</v>
      </c>
      <c r="AF5486">
        <v>-2.7907345248840998</v>
      </c>
      <c r="AG5486">
        <v>-1.1191983816689901</v>
      </c>
      <c r="AH5486">
        <v>5.5648790402680799</v>
      </c>
      <c r="AI5486">
        <v>100.191666978866</v>
      </c>
      <c r="AJ5486">
        <v>116.633334470159</v>
      </c>
      <c r="AK5486">
        <v>6.32524172966738</v>
      </c>
      <c r="AL5486">
        <v>89.232570026713404</v>
      </c>
      <c r="AM5486">
        <v>90.060095665160702</v>
      </c>
      <c r="AN5486">
        <v>1.0000000507017599</v>
      </c>
    </row>
    <row r="5487" spans="1:40" x14ac:dyDescent="0.25">
      <c r="A5487" t="str">
        <f>"20190312154407384"</f>
        <v>20190312154407384</v>
      </c>
      <c r="B5487" t="str">
        <f>"1552376647373236"</f>
        <v>1552376647373236</v>
      </c>
      <c r="C5487" t="s">
        <v>40</v>
      </c>
      <c r="D5487">
        <v>4.8745479999999999</v>
      </c>
      <c r="E5487">
        <v>0.316162</v>
      </c>
      <c r="F5487" t="s">
        <v>70</v>
      </c>
      <c r="G5487">
        <v>-416.40190000000001</v>
      </c>
      <c r="H5487" s="1">
        <v>-3.4865450000000002E-6</v>
      </c>
      <c r="I5487">
        <v>35.491129999999998</v>
      </c>
      <c r="J5487">
        <v>-420.74099999999999</v>
      </c>
      <c r="K5487">
        <v>1.1192869999999999</v>
      </c>
      <c r="L5487">
        <v>40.252749999999999</v>
      </c>
      <c r="M5487">
        <v>0.27297860000000002</v>
      </c>
      <c r="N5487">
        <v>0</v>
      </c>
      <c r="O5487">
        <v>-0.96190059999999999</v>
      </c>
      <c r="P5487">
        <v>0.27354129999999999</v>
      </c>
      <c r="Q5487">
        <v>-3.4799359999999999E-3</v>
      </c>
      <c r="R5487">
        <v>-0.96185419999999999</v>
      </c>
      <c r="S5487">
        <v>2.2285460000000001</v>
      </c>
      <c r="T5487">
        <v>-0.56802359999999996</v>
      </c>
      <c r="U5487">
        <v>-2.4963069999999998</v>
      </c>
      <c r="V5487">
        <v>-8.0800890000000002E-4</v>
      </c>
      <c r="W5487">
        <v>1.1667759999999999E-2</v>
      </c>
      <c r="X5487">
        <v>0.99993160000000003</v>
      </c>
      <c r="Y5487">
        <v>-0.42694470000000001</v>
      </c>
      <c r="Z5487">
        <v>0.17142650000000001</v>
      </c>
      <c r="AA5487">
        <v>0.88788020000000001</v>
      </c>
      <c r="AB5487">
        <v>26</v>
      </c>
      <c r="AC5487">
        <v>4.33909999999997</v>
      </c>
      <c r="AD5487">
        <v>-1.119290486545</v>
      </c>
      <c r="AE5487">
        <v>-4.7616199999999997</v>
      </c>
      <c r="AF5487">
        <v>-2.79006745661101</v>
      </c>
      <c r="AG5487">
        <v>-1.119290486545</v>
      </c>
      <c r="AH5487">
        <v>5.5964071346394197</v>
      </c>
      <c r="AI5487">
        <v>100.147958560643</v>
      </c>
      <c r="AJ5487">
        <v>116.498374707382</v>
      </c>
      <c r="AK5487">
        <v>6.3527207102432097</v>
      </c>
      <c r="AL5487">
        <v>89.331471424560803</v>
      </c>
      <c r="AM5487">
        <v>90.046298656530595</v>
      </c>
      <c r="AN5487">
        <v>0.99999999709017995</v>
      </c>
    </row>
    <row r="5488" spans="1:40" x14ac:dyDescent="0.25">
      <c r="A5488" t="str">
        <f>"20190312154407404"</f>
        <v>20190312154407404</v>
      </c>
      <c r="B5488" t="str">
        <f>"1552376647392755"</f>
        <v>1552376647392755</v>
      </c>
      <c r="C5488" t="s">
        <v>40</v>
      </c>
      <c r="D5488">
        <v>4.9297019999999998</v>
      </c>
      <c r="E5488">
        <v>0.3167526</v>
      </c>
      <c r="F5488" t="s">
        <v>70</v>
      </c>
      <c r="G5488">
        <v>-416.32960000000003</v>
      </c>
      <c r="H5488" s="1">
        <v>-3.5598619999999998E-6</v>
      </c>
      <c r="I5488">
        <v>35.386360000000003</v>
      </c>
      <c r="J5488">
        <v>-420.6705</v>
      </c>
      <c r="K5488">
        <v>1.1194029999999999</v>
      </c>
      <c r="L5488">
        <v>40.046140000000001</v>
      </c>
      <c r="M5488">
        <v>0.28344019999999998</v>
      </c>
      <c r="N5488">
        <v>0</v>
      </c>
      <c r="O5488">
        <v>-0.95886950000000004</v>
      </c>
      <c r="P5488">
        <v>0.28342349999999999</v>
      </c>
      <c r="Q5488">
        <v>-6.7244449999999999E-3</v>
      </c>
      <c r="R5488">
        <v>-0.95897169999999998</v>
      </c>
      <c r="S5488">
        <v>2.2463989999999998</v>
      </c>
      <c r="T5488">
        <v>-0.56997119999999901</v>
      </c>
      <c r="U5488">
        <v>-2.4780880000000001</v>
      </c>
      <c r="V5488">
        <v>-1.4239440000000001E-4</v>
      </c>
      <c r="W5488">
        <v>8.4788429999999998E-3</v>
      </c>
      <c r="X5488">
        <v>0.99996410000000002</v>
      </c>
      <c r="Y5488">
        <v>-0.4238189</v>
      </c>
      <c r="Z5488">
        <v>0.17188789999999901</v>
      </c>
      <c r="AA5488">
        <v>0.88928739999999995</v>
      </c>
      <c r="AB5488">
        <v>26</v>
      </c>
      <c r="AC5488">
        <v>4.3408999999999702</v>
      </c>
      <c r="AD5488">
        <v>-1.119406559862</v>
      </c>
      <c r="AE5488">
        <v>-4.6597799999999996</v>
      </c>
      <c r="AF5488">
        <v>-2.7567419339769899</v>
      </c>
      <c r="AG5488">
        <v>-1.119406559862</v>
      </c>
      <c r="AH5488">
        <v>5.5283573083213398</v>
      </c>
      <c r="AI5488">
        <v>100.270835592655</v>
      </c>
      <c r="AJ5488">
        <v>116.50335879563499</v>
      </c>
      <c r="AK5488">
        <v>6.27817104460203</v>
      </c>
      <c r="AL5488">
        <v>89.514192287267207</v>
      </c>
      <c r="AM5488">
        <v>90.008158890995304</v>
      </c>
      <c r="AN5488">
        <v>1.0000000561717901</v>
      </c>
    </row>
    <row r="5489" spans="1:40" x14ac:dyDescent="0.25">
      <c r="A5489" t="str">
        <f>"20190312154407426"</f>
        <v>20190312154407426</v>
      </c>
      <c r="B5489" t="str">
        <f>"1552376647423012"</f>
        <v>1552376647423012</v>
      </c>
      <c r="C5489" t="s">
        <v>40</v>
      </c>
      <c r="D5489">
        <v>4.9069140000000004</v>
      </c>
      <c r="E5489">
        <v>0.31780170000000002</v>
      </c>
      <c r="F5489" t="s">
        <v>70</v>
      </c>
      <c r="G5489">
        <v>-416.28480000000002</v>
      </c>
      <c r="H5489" s="1">
        <v>-3.6179679999999999E-6</v>
      </c>
      <c r="I5489">
        <v>35.298310000000001</v>
      </c>
      <c r="J5489">
        <v>-420.58429999999998</v>
      </c>
      <c r="K5489">
        <v>1.119551</v>
      </c>
      <c r="L5489">
        <v>39.80359</v>
      </c>
      <c r="M5489">
        <v>0.29595969999999999</v>
      </c>
      <c r="N5489">
        <v>0</v>
      </c>
      <c r="O5489">
        <v>-0.9550786</v>
      </c>
      <c r="P5489">
        <v>0.29532249999999999</v>
      </c>
      <c r="Q5489">
        <v>-7.5524310000000001E-3</v>
      </c>
      <c r="R5489">
        <v>-0.95536779999999999</v>
      </c>
      <c r="S5489">
        <v>2.26709</v>
      </c>
      <c r="T5489">
        <v>-0.57865169999999999</v>
      </c>
      <c r="U5489">
        <v>-2.454285</v>
      </c>
      <c r="V5489">
        <v>5.2115609999999998E-4</v>
      </c>
      <c r="W5489">
        <v>7.7164039999999996E-3</v>
      </c>
      <c r="X5489">
        <v>0.99997009999999997</v>
      </c>
      <c r="Y5489">
        <v>-0.42002990000000001</v>
      </c>
      <c r="Z5489">
        <v>0.17434920000000001</v>
      </c>
      <c r="AA5489">
        <v>0.89060499999999998</v>
      </c>
      <c r="AB5489">
        <v>26</v>
      </c>
      <c r="AC5489">
        <v>4.2994999999999601</v>
      </c>
      <c r="AD5489">
        <v>-1.119554617968</v>
      </c>
      <c r="AE5489">
        <v>-4.5052799999999902</v>
      </c>
      <c r="AF5489">
        <v>-2.68647981135737</v>
      </c>
      <c r="AG5489">
        <v>-1.119554617968</v>
      </c>
      <c r="AH5489">
        <v>5.4014589976574001</v>
      </c>
      <c r="AI5489">
        <v>100.51347885515101</v>
      </c>
      <c r="AJ5489">
        <v>116.44400118679199</v>
      </c>
      <c r="AK5489">
        <v>6.13566097684825</v>
      </c>
      <c r="AL5489">
        <v>89.557878233575195</v>
      </c>
      <c r="AM5489">
        <v>89.970139064864</v>
      </c>
      <c r="AN5489">
        <v>1.00000000769419</v>
      </c>
    </row>
    <row r="5490" spans="1:40" x14ac:dyDescent="0.25">
      <c r="A5490" t="str">
        <f>"20190312154407439"</f>
        <v>20190312154407439</v>
      </c>
      <c r="B5490" t="str">
        <f>"1552376647432771"</f>
        <v>1552376647432771</v>
      </c>
      <c r="C5490" t="s">
        <v>40</v>
      </c>
      <c r="D5490">
        <v>5.0085579999999998</v>
      </c>
      <c r="E5490">
        <v>0.31831159999999997</v>
      </c>
      <c r="F5490" t="s">
        <v>70</v>
      </c>
      <c r="G5490">
        <v>-416.13929999999999</v>
      </c>
      <c r="H5490" s="1">
        <v>-3.7647379999999999E-6</v>
      </c>
      <c r="I5490">
        <v>35.088909999999998</v>
      </c>
      <c r="J5490">
        <v>-420.53129999999999</v>
      </c>
      <c r="K5490">
        <v>1.119651</v>
      </c>
      <c r="L5490">
        <v>39.660679999999999</v>
      </c>
      <c r="M5490">
        <v>0.30349969999999998</v>
      </c>
      <c r="N5490">
        <v>0</v>
      </c>
      <c r="O5490">
        <v>-0.95270900000000003</v>
      </c>
      <c r="P5490">
        <v>0.30214980000000002</v>
      </c>
      <c r="Q5490">
        <v>-6.6324599999999997E-3</v>
      </c>
      <c r="R5490">
        <v>-0.95323720000000001</v>
      </c>
      <c r="S5490">
        <v>2.2890929999999998</v>
      </c>
      <c r="T5490">
        <v>-0.57655190000000001</v>
      </c>
      <c r="U5490">
        <v>-2.4279790000000001</v>
      </c>
      <c r="V5490">
        <v>1.249895E-3</v>
      </c>
      <c r="W5490">
        <v>8.6843509999999999E-3</v>
      </c>
      <c r="X5490">
        <v>0.99996149999999995</v>
      </c>
      <c r="Y5490">
        <v>-0.42201159999999999</v>
      </c>
      <c r="Z5490">
        <v>0.1738953</v>
      </c>
      <c r="AA5490">
        <v>0.88975659999999901</v>
      </c>
      <c r="AB5490">
        <v>26</v>
      </c>
      <c r="AC5490">
        <v>4.3919999999999897</v>
      </c>
      <c r="AD5490">
        <v>-1.119654764738</v>
      </c>
      <c r="AE5490">
        <v>-4.5717699999999999</v>
      </c>
      <c r="AF5490">
        <v>-2.71248600881533</v>
      </c>
      <c r="AG5490">
        <v>-1.119654764738</v>
      </c>
      <c r="AH5490">
        <v>5.5171119859288398</v>
      </c>
      <c r="AI5490">
        <v>100.321654124342</v>
      </c>
      <c r="AJ5490">
        <v>116.181020942999</v>
      </c>
      <c r="AK5490">
        <v>6.2489784609565699</v>
      </c>
      <c r="AL5490">
        <v>89.5024170807487</v>
      </c>
      <c r="AM5490">
        <v>89.928383571728304</v>
      </c>
      <c r="AN5490">
        <v>0.99999999083602598</v>
      </c>
    </row>
    <row r="5491" spans="1:40" x14ac:dyDescent="0.25">
      <c r="A5491" t="str">
        <f>"20190312154407452"</f>
        <v>20190312154407452</v>
      </c>
      <c r="B5491" t="str">
        <f>"1552376647443508"</f>
        <v>1552376647443508</v>
      </c>
      <c r="C5491" t="s">
        <v>40</v>
      </c>
      <c r="D5491">
        <v>4.9253859999999996</v>
      </c>
      <c r="E5491">
        <v>0.3187178</v>
      </c>
      <c r="F5491" t="s">
        <v>70</v>
      </c>
      <c r="G5491">
        <v>-416.041</v>
      </c>
      <c r="H5491" s="1">
        <v>-3.8597090000000001E-6</v>
      </c>
      <c r="I5491">
        <v>34.955129999999997</v>
      </c>
      <c r="J5491">
        <v>-420.47969999999998</v>
      </c>
      <c r="K5491">
        <v>1.1197509999999999</v>
      </c>
      <c r="L5491">
        <v>39.523859999999999</v>
      </c>
      <c r="M5491">
        <v>0.31078260000000002</v>
      </c>
      <c r="N5491">
        <v>0</v>
      </c>
      <c r="O5491">
        <v>-0.95035769999999997</v>
      </c>
      <c r="P5491">
        <v>0.30855009999999999</v>
      </c>
      <c r="Q5491">
        <v>-5.7287669999999897E-3</v>
      </c>
      <c r="R5491">
        <v>-0.95119109999999996</v>
      </c>
      <c r="S5491">
        <v>2.3028559999999998</v>
      </c>
      <c r="T5491">
        <v>-0.57421460000000002</v>
      </c>
      <c r="U5491">
        <v>-2.4132389999999999</v>
      </c>
      <c r="V5491">
        <v>2.160375E-3</v>
      </c>
      <c r="W5491">
        <v>9.6398930000000001E-3</v>
      </c>
      <c r="X5491">
        <v>0.99995120000000004</v>
      </c>
      <c r="Y5491">
        <v>-0.42055579999999998</v>
      </c>
      <c r="Z5491">
        <v>0.1731086</v>
      </c>
      <c r="AA5491">
        <v>0.89059880000000002</v>
      </c>
      <c r="AB5491">
        <v>26</v>
      </c>
      <c r="AC5491">
        <v>4.4386999999999803</v>
      </c>
      <c r="AD5491">
        <v>-1.1197548597089999</v>
      </c>
      <c r="AE5491">
        <v>-4.5687300000000004</v>
      </c>
      <c r="AF5491">
        <v>-2.7149036194970999</v>
      </c>
      <c r="AG5491">
        <v>-1.1197548597089999</v>
      </c>
      <c r="AH5491">
        <v>5.5505473355503598</v>
      </c>
      <c r="AI5491">
        <v>100.271735359231</v>
      </c>
      <c r="AJ5491">
        <v>116.064347449396</v>
      </c>
      <c r="AK5491">
        <v>6.2795802672778702</v>
      </c>
      <c r="AL5491">
        <v>89.447666260624402</v>
      </c>
      <c r="AM5491">
        <v>89.876213782155304</v>
      </c>
      <c r="AN5491">
        <v>0.99999999856931598</v>
      </c>
    </row>
    <row r="5492" spans="1:40" x14ac:dyDescent="0.25">
      <c r="A5492" t="str">
        <f>"20190312154407464"</f>
        <v>20190312154407464</v>
      </c>
      <c r="B5492" t="str">
        <f>"1552376647453268"</f>
        <v>1552376647453268</v>
      </c>
      <c r="C5492" t="s">
        <v>40</v>
      </c>
      <c r="D5492">
        <v>4.9070390000000002</v>
      </c>
      <c r="E5492">
        <v>0.3191271</v>
      </c>
      <c r="F5492" t="s">
        <v>70</v>
      </c>
      <c r="G5492">
        <v>-415.92140000000001</v>
      </c>
      <c r="H5492" s="1">
        <v>-3.9693079999999996E-6</v>
      </c>
      <c r="I5492">
        <v>34.803220000000003</v>
      </c>
      <c r="J5492">
        <v>-420.42880000000002</v>
      </c>
      <c r="K5492">
        <v>1.1198490000000001</v>
      </c>
      <c r="L5492">
        <v>39.392429999999997</v>
      </c>
      <c r="M5492">
        <v>0.31786959999999997</v>
      </c>
      <c r="N5492">
        <v>0</v>
      </c>
      <c r="O5492">
        <v>-0.94801040000000003</v>
      </c>
      <c r="P5492">
        <v>0.3144113</v>
      </c>
      <c r="Q5492">
        <v>-4.7426229999999996E-3</v>
      </c>
      <c r="R5492">
        <v>-0.94927510000000004</v>
      </c>
      <c r="S5492">
        <v>2.3165279999999999</v>
      </c>
      <c r="T5492">
        <v>-0.56906999999999996</v>
      </c>
      <c r="U5492">
        <v>-2.3990779999999998</v>
      </c>
      <c r="V5492">
        <v>3.4344039999999998E-3</v>
      </c>
      <c r="W5492">
        <v>1.0686019999999999E-2</v>
      </c>
      <c r="X5492">
        <v>0.99993699999999996</v>
      </c>
      <c r="Y5492">
        <v>-0.41925459999999898</v>
      </c>
      <c r="Z5492">
        <v>0.1714704</v>
      </c>
      <c r="AA5492">
        <v>0.89152869999999995</v>
      </c>
      <c r="AB5492">
        <v>26</v>
      </c>
      <c r="AC5492">
        <v>4.5074000000000103</v>
      </c>
      <c r="AD5492">
        <v>-1.1198529693079999</v>
      </c>
      <c r="AE5492">
        <v>-4.5892099999999898</v>
      </c>
      <c r="AF5492">
        <v>-2.73182646473657</v>
      </c>
      <c r="AG5492">
        <v>-1.1198529693079999</v>
      </c>
      <c r="AH5492">
        <v>5.61391769097136</v>
      </c>
      <c r="AI5492">
        <v>100.168917927602</v>
      </c>
      <c r="AJ5492">
        <v>115.94833107045601</v>
      </c>
      <c r="AK5492">
        <v>6.3429502873114396</v>
      </c>
      <c r="AL5492">
        <v>89.387724498079194</v>
      </c>
      <c r="AM5492">
        <v>89.803211521744601</v>
      </c>
      <c r="AN5492">
        <v>0.99999999506163695</v>
      </c>
    </row>
    <row r="5493" spans="1:40" x14ac:dyDescent="0.25">
      <c r="A5493" t="str">
        <f>"20190312154407477"</f>
        <v>20190312154407477</v>
      </c>
      <c r="B5493" t="str">
        <f>"1552376647472788"</f>
        <v>1552376647472788</v>
      </c>
      <c r="C5493" t="s">
        <v>40</v>
      </c>
      <c r="D5493">
        <v>4.8915819999999997</v>
      </c>
      <c r="E5493">
        <v>0.31994230000000001</v>
      </c>
      <c r="F5493" t="s">
        <v>70</v>
      </c>
      <c r="G5493">
        <v>-415.7869</v>
      </c>
      <c r="H5493" s="1">
        <v>-4.0900160000000002E-6</v>
      </c>
      <c r="I5493">
        <v>34.637059999999998</v>
      </c>
      <c r="J5493">
        <v>-420.37700000000001</v>
      </c>
      <c r="K5493">
        <v>1.119939</v>
      </c>
      <c r="L5493">
        <v>39.262540000000001</v>
      </c>
      <c r="M5493">
        <v>0.32497389999999998</v>
      </c>
      <c r="N5493">
        <v>0</v>
      </c>
      <c r="O5493">
        <v>-0.94559820000000006</v>
      </c>
      <c r="P5493">
        <v>0.320046</v>
      </c>
      <c r="Q5493">
        <v>-3.9440589999999998E-3</v>
      </c>
      <c r="R5493">
        <v>-0.94739410000000002</v>
      </c>
      <c r="S5493">
        <v>2.3291629999999999</v>
      </c>
      <c r="T5493">
        <v>-0.56190369999999901</v>
      </c>
      <c r="U5493">
        <v>-2.3860779999999999</v>
      </c>
      <c r="V5493">
        <v>4.9752429999999999E-3</v>
      </c>
      <c r="W5493">
        <v>1.15519E-2</v>
      </c>
      <c r="X5493">
        <v>0.9999209</v>
      </c>
      <c r="Y5493">
        <v>-0.4175837</v>
      </c>
      <c r="Z5493">
        <v>0.16920499999999999</v>
      </c>
      <c r="AA5493">
        <v>0.89274500000000001</v>
      </c>
      <c r="AB5493">
        <v>26</v>
      </c>
      <c r="AC5493">
        <v>4.5900999999999499</v>
      </c>
      <c r="AD5493">
        <v>-1.1199430900159999</v>
      </c>
      <c r="AE5493">
        <v>-4.6254799999999996</v>
      </c>
      <c r="AF5493">
        <v>-2.7561556116335701</v>
      </c>
      <c r="AG5493">
        <v>-1.1199430900159999</v>
      </c>
      <c r="AH5493">
        <v>5.6979001974272201</v>
      </c>
      <c r="AI5493">
        <v>100.034086155314</v>
      </c>
      <c r="AJ5493">
        <v>115.813716490223</v>
      </c>
      <c r="AK5493">
        <v>6.4278093422452196</v>
      </c>
      <c r="AL5493">
        <v>89.338110164835101</v>
      </c>
      <c r="AM5493">
        <v>89.714919376545495</v>
      </c>
      <c r="AN5493">
        <v>1.00000000284666</v>
      </c>
    </row>
    <row r="5494" spans="1:40" x14ac:dyDescent="0.25">
      <c r="A5494" t="str">
        <f>"20190312154407491"</f>
        <v>20190312154407491</v>
      </c>
      <c r="B5494" t="str">
        <f>"1552376647483524"</f>
        <v>1552376647483524</v>
      </c>
      <c r="C5494" t="s">
        <v>40</v>
      </c>
      <c r="D5494">
        <v>4.8263910000000001</v>
      </c>
      <c r="E5494">
        <v>0.32028390000000001</v>
      </c>
      <c r="F5494" t="s">
        <v>70</v>
      </c>
      <c r="G5494">
        <v>-415.63200000000001</v>
      </c>
      <c r="H5494" s="1">
        <v>-4.2235679999999996E-6</v>
      </c>
      <c r="I5494">
        <v>34.443860000000001</v>
      </c>
      <c r="J5494">
        <v>-420.31900000000002</v>
      </c>
      <c r="K5494">
        <v>1.1200399999999999</v>
      </c>
      <c r="L5494">
        <v>39.11938</v>
      </c>
      <c r="M5494">
        <v>0.33286749999999998</v>
      </c>
      <c r="N5494">
        <v>0</v>
      </c>
      <c r="O5494">
        <v>-0.94284760000000001</v>
      </c>
      <c r="P5494">
        <v>0.32592110000000002</v>
      </c>
      <c r="Q5494">
        <v>-3.8776280000000002E-3</v>
      </c>
      <c r="R5494">
        <v>-0.94538929999999999</v>
      </c>
      <c r="S5494">
        <v>2.338104</v>
      </c>
      <c r="T5494">
        <v>-0.55185569999999995</v>
      </c>
      <c r="U5494">
        <v>-2.3744200000000002</v>
      </c>
      <c r="V5494">
        <v>7.1217290000000003E-3</v>
      </c>
      <c r="W5494">
        <v>1.1704010000000001E-2</v>
      </c>
      <c r="X5494">
        <v>0.99990610000000002</v>
      </c>
      <c r="Y5494">
        <v>-0.41427890000000001</v>
      </c>
      <c r="Z5494">
        <v>0.16608919999999999</v>
      </c>
      <c r="AA5494">
        <v>0.89486719999999897</v>
      </c>
      <c r="AB5494">
        <v>26</v>
      </c>
      <c r="AC5494">
        <v>4.6870000000000598</v>
      </c>
      <c r="AD5494">
        <v>-1.1200442235679999</v>
      </c>
      <c r="AE5494">
        <v>-4.6755199999999899</v>
      </c>
      <c r="AF5494">
        <v>-2.78346724980883</v>
      </c>
      <c r="AG5494">
        <v>-1.1200442235679999</v>
      </c>
      <c r="AH5494">
        <v>5.8030614028605099</v>
      </c>
      <c r="AI5494">
        <v>99.872069790745897</v>
      </c>
      <c r="AJ5494">
        <v>115.624936775802</v>
      </c>
      <c r="AK5494">
        <v>6.5328179707440004</v>
      </c>
      <c r="AL5494">
        <v>89.329394283057098</v>
      </c>
      <c r="AM5494">
        <v>89.591923566720993</v>
      </c>
      <c r="AN5494">
        <v>0.99999995584561796</v>
      </c>
    </row>
    <row r="5495" spans="1:40" x14ac:dyDescent="0.25">
      <c r="A5495" t="str">
        <f>"20190312154407504"</f>
        <v>20190312154407504</v>
      </c>
      <c r="B5495" t="str">
        <f>"1552376647493284"</f>
        <v>1552376647493284</v>
      </c>
      <c r="C5495" t="s">
        <v>40</v>
      </c>
      <c r="D5495">
        <v>4.8597739999999998</v>
      </c>
      <c r="E5495">
        <v>0.32058730000000002</v>
      </c>
      <c r="F5495" t="s">
        <v>70</v>
      </c>
      <c r="G5495">
        <v>-415.4923</v>
      </c>
      <c r="H5495" s="1">
        <v>-4.3412540000000003E-6</v>
      </c>
      <c r="I5495">
        <v>34.273719999999997</v>
      </c>
      <c r="J5495">
        <v>-420.25490000000002</v>
      </c>
      <c r="K5495">
        <v>1.1201380000000001</v>
      </c>
      <c r="L5495">
        <v>38.96613</v>
      </c>
      <c r="M5495">
        <v>0.3414489</v>
      </c>
      <c r="N5495">
        <v>0</v>
      </c>
      <c r="O5495">
        <v>-0.93977339999999998</v>
      </c>
      <c r="P5495">
        <v>0.33138620000000002</v>
      </c>
      <c r="Q5495">
        <v>-6.0017830000000001E-3</v>
      </c>
      <c r="R5495">
        <v>-0.94347610000000004</v>
      </c>
      <c r="S5495">
        <v>2.3512569999999999</v>
      </c>
      <c r="T5495">
        <v>-0.54560819999999999</v>
      </c>
      <c r="U5495">
        <v>-2.360474</v>
      </c>
      <c r="V5495">
        <v>1.0493769999999999E-2</v>
      </c>
      <c r="W5495">
        <v>9.6971100000000001E-3</v>
      </c>
      <c r="X5495">
        <v>0.99989790000000001</v>
      </c>
      <c r="Y5495">
        <v>-0.41139419999999999</v>
      </c>
      <c r="Z5495">
        <v>0.16400479999999901</v>
      </c>
      <c r="AA5495">
        <v>0.89658090000000001</v>
      </c>
      <c r="AB5495">
        <v>26</v>
      </c>
      <c r="AC5495">
        <v>4.7626000000000097</v>
      </c>
      <c r="AD5495">
        <v>-1.1201423412539999</v>
      </c>
      <c r="AE5495">
        <v>-4.69240999999999</v>
      </c>
      <c r="AF5495">
        <v>-2.7954243950914099</v>
      </c>
      <c r="AG5495">
        <v>-1.1201423412539999</v>
      </c>
      <c r="AH5495">
        <v>5.8718882443119496</v>
      </c>
      <c r="AI5495">
        <v>99.772792704410193</v>
      </c>
      <c r="AJ5495">
        <v>115.45767466589599</v>
      </c>
      <c r="AK5495">
        <v>6.5991050883457696</v>
      </c>
      <c r="AL5495">
        <v>89.444387805440599</v>
      </c>
      <c r="AM5495">
        <v>89.398711949035899</v>
      </c>
      <c r="AN5495">
        <v>0.99999998178778704</v>
      </c>
    </row>
    <row r="5496" spans="1:40" x14ac:dyDescent="0.25">
      <c r="A5496" t="str">
        <f>"20190312154407528"</f>
        <v>20190312154407528</v>
      </c>
      <c r="B5496" t="str">
        <f>"1552376647523539"</f>
        <v>1552376647523539</v>
      </c>
      <c r="C5496" t="s">
        <v>40</v>
      </c>
      <c r="D5496">
        <v>4.8643999999999998</v>
      </c>
      <c r="E5496">
        <v>0.3205363</v>
      </c>
      <c r="F5496" t="s">
        <v>70</v>
      </c>
      <c r="G5496">
        <v>-415.41579999999999</v>
      </c>
      <c r="H5496" s="1">
        <v>-4.4152160000000001E-6</v>
      </c>
      <c r="I5496">
        <v>34.161850000000001</v>
      </c>
      <c r="J5496">
        <v>-420.15320000000003</v>
      </c>
      <c r="K5496">
        <v>1.1202799999999999</v>
      </c>
      <c r="L5496">
        <v>38.730559999999997</v>
      </c>
      <c r="M5496">
        <v>0.35484120000000002</v>
      </c>
      <c r="N5496">
        <v>0</v>
      </c>
      <c r="O5496">
        <v>-0.93479809999999997</v>
      </c>
      <c r="P5496">
        <v>0.3426302</v>
      </c>
      <c r="Q5496">
        <v>-8.0561539999999994E-3</v>
      </c>
      <c r="R5496">
        <v>-0.93943580000000004</v>
      </c>
      <c r="S5496">
        <v>2.3632200000000001</v>
      </c>
      <c r="T5496">
        <v>-0.54702659999999903</v>
      </c>
      <c r="U5496">
        <v>-2.3461910000000001</v>
      </c>
      <c r="V5496">
        <v>1.287785E-2</v>
      </c>
      <c r="W5496">
        <v>7.7578880000000001E-3</v>
      </c>
      <c r="X5496">
        <v>0.99988699999999997</v>
      </c>
      <c r="Y5496">
        <v>-0.40337630000000002</v>
      </c>
      <c r="Z5496">
        <v>0.16390679999999999</v>
      </c>
      <c r="AA5496">
        <v>0.90023449999999905</v>
      </c>
      <c r="AB5496">
        <v>26</v>
      </c>
      <c r="AC5496">
        <v>4.7374000000000303</v>
      </c>
      <c r="AD5496">
        <v>-1.1202844152160001</v>
      </c>
      <c r="AE5496">
        <v>-4.5687099999999896</v>
      </c>
      <c r="AF5496">
        <v>-2.72862425904085</v>
      </c>
      <c r="AG5496">
        <v>-1.1202844152160001</v>
      </c>
      <c r="AH5496">
        <v>5.7849484342265001</v>
      </c>
      <c r="AI5496">
        <v>99.934539567466004</v>
      </c>
      <c r="AJ5496">
        <v>115.252150657952</v>
      </c>
      <c r="AK5496">
        <v>6.4935395513280598</v>
      </c>
      <c r="AL5496">
        <v>89.555501309047301</v>
      </c>
      <c r="AM5496">
        <v>89.262110957406406</v>
      </c>
      <c r="AN5496">
        <v>1.0000000183079201</v>
      </c>
    </row>
    <row r="5497" spans="1:40" x14ac:dyDescent="0.25">
      <c r="A5497" t="str">
        <f>"20190312154407542"</f>
        <v>20190312154407542</v>
      </c>
      <c r="B5497" t="str">
        <f>"1552376647533300"</f>
        <v>1552376647533300</v>
      </c>
      <c r="C5497" t="s">
        <v>40</v>
      </c>
      <c r="D5497">
        <v>4.8256969999999999</v>
      </c>
      <c r="E5497">
        <v>0.32055440000000002</v>
      </c>
      <c r="F5497" t="s">
        <v>70</v>
      </c>
      <c r="G5497">
        <v>-415.14019999999999</v>
      </c>
      <c r="H5497" s="1">
        <v>-4.6236799999999997E-6</v>
      </c>
      <c r="I5497">
        <v>33.872639999999997</v>
      </c>
      <c r="J5497">
        <v>-420.08600000000001</v>
      </c>
      <c r="K5497">
        <v>1.1203689999999999</v>
      </c>
      <c r="L5497">
        <v>38.581240000000001</v>
      </c>
      <c r="M5497">
        <v>0.36350100000000002</v>
      </c>
      <c r="N5497">
        <v>0</v>
      </c>
      <c r="O5497">
        <v>-0.93146439999999997</v>
      </c>
      <c r="P5497">
        <v>0.35077059999999999</v>
      </c>
      <c r="Q5497">
        <v>-8.4426399999999995E-3</v>
      </c>
      <c r="R5497">
        <v>-0.93642349999999996</v>
      </c>
      <c r="S5497">
        <v>2.3908079999999998</v>
      </c>
      <c r="T5497">
        <v>-0.53429150000000003</v>
      </c>
      <c r="U5497">
        <v>-2.3168639999999998</v>
      </c>
      <c r="V5497">
        <v>1.348471E-2</v>
      </c>
      <c r="W5497">
        <v>7.4236349999999996E-3</v>
      </c>
      <c r="X5497">
        <v>0.99988149999999998</v>
      </c>
      <c r="Y5497">
        <v>-0.40625600000000001</v>
      </c>
      <c r="Z5497">
        <v>0.160082</v>
      </c>
      <c r="AA5497">
        <v>0.89962759999999997</v>
      </c>
      <c r="AB5497">
        <v>26</v>
      </c>
      <c r="AC5497">
        <v>4.9458000000000197</v>
      </c>
      <c r="AD5497">
        <v>-1.1203736236799999</v>
      </c>
      <c r="AE5497">
        <v>-4.7085999999999899</v>
      </c>
      <c r="AF5497">
        <v>-2.8197040526018702</v>
      </c>
      <c r="AG5497">
        <v>-1.1203736236799999</v>
      </c>
      <c r="AH5497">
        <v>6.0223328144275499</v>
      </c>
      <c r="AI5497">
        <v>99.5635745198379</v>
      </c>
      <c r="AJ5497">
        <v>115.089366793285</v>
      </c>
      <c r="AK5497">
        <v>6.74347540431698</v>
      </c>
      <c r="AL5497">
        <v>89.574653130833397</v>
      </c>
      <c r="AM5497">
        <v>89.227338304842306</v>
      </c>
      <c r="AN5497">
        <v>0.99999998090132303</v>
      </c>
    </row>
    <row r="5498" spans="1:40" x14ac:dyDescent="0.25">
      <c r="A5498" t="str">
        <f>"20190312154407554"</f>
        <v>20190312154407554</v>
      </c>
      <c r="B5498" t="str">
        <f>"1552376647543060"</f>
        <v>1552376647543060</v>
      </c>
      <c r="C5498" t="s">
        <v>40</v>
      </c>
      <c r="D5498">
        <v>4.8253719999999998</v>
      </c>
      <c r="E5498">
        <v>0.32037389999999999</v>
      </c>
      <c r="F5498" t="s">
        <v>70</v>
      </c>
      <c r="G5498">
        <v>-414.99930000000001</v>
      </c>
      <c r="H5498" s="1">
        <v>-4.7249089999999999E-6</v>
      </c>
      <c r="I5498">
        <v>33.735309999999998</v>
      </c>
      <c r="J5498">
        <v>-420.02600000000001</v>
      </c>
      <c r="K5498">
        <v>1.1204400000000001</v>
      </c>
      <c r="L5498">
        <v>38.450470000000003</v>
      </c>
      <c r="M5498">
        <v>0.37114930000000002</v>
      </c>
      <c r="N5498">
        <v>0</v>
      </c>
      <c r="O5498">
        <v>-0.92844289999999996</v>
      </c>
      <c r="P5498">
        <v>0.35770600000000002</v>
      </c>
      <c r="Q5498">
        <v>-8.10406199999999E-3</v>
      </c>
      <c r="R5498">
        <v>-0.9337993</v>
      </c>
      <c r="S5498">
        <v>2.4101870000000001</v>
      </c>
      <c r="T5498">
        <v>-0.53085109999999902</v>
      </c>
      <c r="U5498">
        <v>-2.2960820000000002</v>
      </c>
      <c r="V5498">
        <v>1.428288E-2</v>
      </c>
      <c r="W5498">
        <v>7.8146299999999995E-3</v>
      </c>
      <c r="X5498">
        <v>0.99986739999999996</v>
      </c>
      <c r="Y5498">
        <v>-0.4065761</v>
      </c>
      <c r="Z5498">
        <v>0.15889200000000001</v>
      </c>
      <c r="AA5498">
        <v>0.89969399999999999</v>
      </c>
      <c r="AB5498">
        <v>26</v>
      </c>
      <c r="AC5498">
        <v>5.0266999999999999</v>
      </c>
      <c r="AD5498">
        <v>-1.1204447249089999</v>
      </c>
      <c r="AE5498">
        <v>-4.71516</v>
      </c>
      <c r="AF5498">
        <v>-2.8422113516958598</v>
      </c>
      <c r="AG5498">
        <v>-1.1204447249089999</v>
      </c>
      <c r="AH5498">
        <v>6.0833897207350196</v>
      </c>
      <c r="AI5498">
        <v>99.473492190011001</v>
      </c>
      <c r="AJ5498">
        <v>115.04238087889</v>
      </c>
      <c r="AK5498">
        <v>6.8074365398165702</v>
      </c>
      <c r="AL5498">
        <v>89.552250099864906</v>
      </c>
      <c r="AM5498">
        <v>89.181598392496696</v>
      </c>
      <c r="AN5498">
        <v>0.99999994334294395</v>
      </c>
    </row>
    <row r="5499" spans="1:40" x14ac:dyDescent="0.25">
      <c r="A5499" t="str">
        <f>"20190312154407566"</f>
        <v>20190312154407566</v>
      </c>
      <c r="B5499" t="str">
        <f>"1552376647563555"</f>
        <v>1552376647563555</v>
      </c>
      <c r="C5499" t="s">
        <v>40</v>
      </c>
      <c r="D5499">
        <v>4.8764789999999998</v>
      </c>
      <c r="E5499">
        <v>0.32052049999999999</v>
      </c>
      <c r="F5499" t="s">
        <v>70</v>
      </c>
      <c r="G5499">
        <v>-414.81180000000001</v>
      </c>
      <c r="H5499" s="1">
        <v>-4.8565570000000001E-6</v>
      </c>
      <c r="I5499">
        <v>33.558500000000002</v>
      </c>
      <c r="J5499">
        <v>-419.96719999999999</v>
      </c>
      <c r="K5499">
        <v>1.120512</v>
      </c>
      <c r="L5499">
        <v>38.32452</v>
      </c>
      <c r="M5499">
        <v>0.37856830000000002</v>
      </c>
      <c r="N5499">
        <v>0</v>
      </c>
      <c r="O5499">
        <v>-0.92544219999999999</v>
      </c>
      <c r="P5499">
        <v>0.36454700000000001</v>
      </c>
      <c r="Q5499">
        <v>-7.2355719999999896E-3</v>
      </c>
      <c r="R5499">
        <v>-0.93115709999999996</v>
      </c>
      <c r="S5499">
        <v>2.42807</v>
      </c>
      <c r="T5499">
        <v>-0.52175819999999995</v>
      </c>
      <c r="U5499">
        <v>-2.2780459999999998</v>
      </c>
      <c r="V5499">
        <v>1.49292E-2</v>
      </c>
      <c r="W5499">
        <v>8.7301259999999995E-3</v>
      </c>
      <c r="X5499">
        <v>0.99985049999999998</v>
      </c>
      <c r="Y5499">
        <v>-0.40649239999999998</v>
      </c>
      <c r="Z5499">
        <v>0.15598409999999999</v>
      </c>
      <c r="AA5499">
        <v>0.9002405</v>
      </c>
      <c r="AB5499">
        <v>26</v>
      </c>
      <c r="AC5499">
        <v>5.1553999999999798</v>
      </c>
      <c r="AD5499">
        <v>-1.1205168565570001</v>
      </c>
      <c r="AE5499">
        <v>-4.7660199999999904</v>
      </c>
      <c r="AF5499">
        <v>-2.8934216834881998</v>
      </c>
      <c r="AG5499">
        <v>-1.1205168565570001</v>
      </c>
      <c r="AH5499">
        <v>6.2050684938968699</v>
      </c>
      <c r="AI5499">
        <v>99.294760020906196</v>
      </c>
      <c r="AJ5499">
        <v>114.999626275271</v>
      </c>
      <c r="AK5499">
        <v>6.9376020409259302</v>
      </c>
      <c r="AL5499">
        <v>89.4997943012024</v>
      </c>
      <c r="AM5499">
        <v>89.144555519378301</v>
      </c>
      <c r="AN5499">
        <v>1.00000005923143</v>
      </c>
    </row>
    <row r="5500" spans="1:40" x14ac:dyDescent="0.25">
      <c r="A5500" t="str">
        <f>"20190312154407583"</f>
        <v>20190312154407583</v>
      </c>
      <c r="B5500" t="str">
        <f>"1552376647573316"</f>
        <v>1552376647573316</v>
      </c>
      <c r="C5500" t="s">
        <v>40</v>
      </c>
      <c r="D5500">
        <v>4.8628359999999997</v>
      </c>
      <c r="E5500">
        <v>0.32296320000000001</v>
      </c>
      <c r="F5500" t="s">
        <v>70</v>
      </c>
      <c r="G5500">
        <v>-408.68419999999998</v>
      </c>
      <c r="H5500" s="1">
        <v>-3.4184320000000002E-6</v>
      </c>
      <c r="I5500">
        <v>27.822780000000002</v>
      </c>
      <c r="J5500">
        <v>-419.88810000000001</v>
      </c>
      <c r="K5500">
        <v>1.1206020000000001</v>
      </c>
      <c r="L5500">
        <v>38.160829999999997</v>
      </c>
      <c r="M5500">
        <v>0.38836159999999997</v>
      </c>
      <c r="N5500">
        <v>0</v>
      </c>
      <c r="O5500">
        <v>-0.92137460000000004</v>
      </c>
      <c r="P5500">
        <v>0.37340380000000001</v>
      </c>
      <c r="Q5500">
        <v>-6.0640779999999997E-3</v>
      </c>
      <c r="R5500">
        <v>-0.92764930000000001</v>
      </c>
      <c r="S5500">
        <v>2.4351500000000001</v>
      </c>
      <c r="T5500">
        <v>-0.24183550000000001</v>
      </c>
      <c r="U5500">
        <v>-2.2665410000000001</v>
      </c>
      <c r="V5500">
        <v>1.5976000000000001E-2</v>
      </c>
      <c r="W5500">
        <v>9.9693730000000001E-3</v>
      </c>
      <c r="X5500">
        <v>0.99982269999999895</v>
      </c>
      <c r="Y5500">
        <v>-0.40783180000000002</v>
      </c>
      <c r="Z5500">
        <v>7.2839219999999996E-2</v>
      </c>
      <c r="AA5500">
        <v>0.91014709999999999</v>
      </c>
      <c r="AB5500">
        <v>26</v>
      </c>
      <c r="AC5500">
        <v>11.203900000000001</v>
      </c>
      <c r="AD5500">
        <v>-1.120605418432</v>
      </c>
      <c r="AE5500">
        <v>-10.338050000000001</v>
      </c>
      <c r="AF5500">
        <v>-6.2749514726239299</v>
      </c>
      <c r="AG5500">
        <v>-1.120605418432</v>
      </c>
      <c r="AH5500">
        <v>13.803489931379101</v>
      </c>
      <c r="AI5500">
        <v>94.226747615295494</v>
      </c>
      <c r="AJ5500">
        <v>114.44614904566799</v>
      </c>
      <c r="AK5500">
        <v>15.204180568951699</v>
      </c>
      <c r="AL5500">
        <v>89.428787555428897</v>
      </c>
      <c r="AM5500">
        <v>89.084558210699896</v>
      </c>
      <c r="AN5500">
        <v>1.00000002620465</v>
      </c>
    </row>
    <row r="5501" spans="1:40" x14ac:dyDescent="0.25">
      <c r="A5501" t="str">
        <f>"20190312154407596"</f>
        <v>20190312154407596</v>
      </c>
      <c r="B5501" t="str">
        <f>"1552376647592836"</f>
        <v>1552376647592836</v>
      </c>
      <c r="C5501" t="s">
        <v>40</v>
      </c>
      <c r="D5501">
        <v>4.8934040000000003</v>
      </c>
      <c r="E5501">
        <v>0.32653140000000003</v>
      </c>
      <c r="F5501" t="s">
        <v>70</v>
      </c>
      <c r="G5501">
        <v>-409.80029999999999</v>
      </c>
      <c r="H5501" s="1">
        <v>-3.0230620000000001E-6</v>
      </c>
      <c r="I5501">
        <v>28.86553</v>
      </c>
      <c r="J5501">
        <v>-419.82069999999999</v>
      </c>
      <c r="K5501">
        <v>1.1206700000000001</v>
      </c>
      <c r="L5501">
        <v>38.024810000000002</v>
      </c>
      <c r="M5501">
        <v>0.39658139999999997</v>
      </c>
      <c r="N5501">
        <v>0</v>
      </c>
      <c r="O5501">
        <v>-0.91786590000000001</v>
      </c>
      <c r="P5501">
        <v>0.38106839999999997</v>
      </c>
      <c r="Q5501">
        <v>-6.0246259999999999E-3</v>
      </c>
      <c r="R5501">
        <v>-0.92452730000000005</v>
      </c>
      <c r="S5501">
        <v>2.441284</v>
      </c>
      <c r="T5501">
        <v>-0.2711924</v>
      </c>
      <c r="U5501">
        <v>-2.2495120000000002</v>
      </c>
      <c r="V5501">
        <v>1.6634409999999999E-2</v>
      </c>
      <c r="W5501">
        <v>1.005901E-2</v>
      </c>
      <c r="X5501">
        <v>0.99981109999999895</v>
      </c>
      <c r="Y5501">
        <v>-0.40370060000000002</v>
      </c>
      <c r="Z5501">
        <v>8.1587770000000004E-2</v>
      </c>
      <c r="AA5501">
        <v>0.911246</v>
      </c>
      <c r="AB5501">
        <v>26</v>
      </c>
      <c r="AC5501">
        <v>10.020399999999899</v>
      </c>
      <c r="AD5501">
        <v>-1.1206730230619999</v>
      </c>
      <c r="AE5501">
        <v>-9.1592799999999901</v>
      </c>
      <c r="AF5501">
        <v>-5.5279960497719802</v>
      </c>
      <c r="AG5501">
        <v>-1.1206730230619999</v>
      </c>
      <c r="AH5501">
        <v>12.2986061627017</v>
      </c>
      <c r="AI5501">
        <v>94.751058141359707</v>
      </c>
      <c r="AJ5501">
        <v>114.20303584496899</v>
      </c>
      <c r="AK5501">
        <v>13.530349659050099</v>
      </c>
      <c r="AL5501">
        <v>89.423651496565697</v>
      </c>
      <c r="AM5501">
        <v>89.046826383456605</v>
      </c>
      <c r="AN5501">
        <v>1.0000000614807101</v>
      </c>
    </row>
    <row r="5502" spans="1:40" x14ac:dyDescent="0.25">
      <c r="A5502" t="str">
        <f>"20190312154407609"</f>
        <v>20190312154407609</v>
      </c>
      <c r="B5502" t="str">
        <f>"1552376647603571"</f>
        <v>1552376647603571</v>
      </c>
      <c r="C5502" t="s">
        <v>40</v>
      </c>
      <c r="D5502">
        <v>4.9088529999999997</v>
      </c>
      <c r="E5502">
        <v>0.32802330000000002</v>
      </c>
      <c r="F5502" t="s">
        <v>70</v>
      </c>
      <c r="G5502">
        <v>-410.85500000000002</v>
      </c>
      <c r="H5502" s="1">
        <v>-7.0836030000000001E-6</v>
      </c>
      <c r="I5502">
        <v>29.781169999999999</v>
      </c>
      <c r="J5502">
        <v>-419.75599999999997</v>
      </c>
      <c r="K5502">
        <v>1.12073</v>
      </c>
      <c r="L5502">
        <v>37.896239999999999</v>
      </c>
      <c r="M5502">
        <v>0.40439409999999998</v>
      </c>
      <c r="N5502">
        <v>0</v>
      </c>
      <c r="O5502">
        <v>-0.91445050000000005</v>
      </c>
      <c r="P5502">
        <v>0.38839509999999999</v>
      </c>
      <c r="Q5502">
        <v>-6.1962700000000002E-3</v>
      </c>
      <c r="R5502">
        <v>-0.92147250000000003</v>
      </c>
      <c r="S5502">
        <v>2.4352719999999999</v>
      </c>
      <c r="T5502">
        <v>-0.30439809999999901</v>
      </c>
      <c r="U5502">
        <v>-2.2391359999999998</v>
      </c>
      <c r="V5502">
        <v>1.7225730000000002E-2</v>
      </c>
      <c r="W5502">
        <v>9.9340880000000006E-3</v>
      </c>
      <c r="X5502">
        <v>0.99980230000000003</v>
      </c>
      <c r="Y5502">
        <v>-0.39618819999999999</v>
      </c>
      <c r="Z5502">
        <v>9.1504160000000001E-2</v>
      </c>
      <c r="AA5502">
        <v>0.91359840000000003</v>
      </c>
      <c r="AB5502">
        <v>26</v>
      </c>
      <c r="AC5502">
        <v>8.9009999999999501</v>
      </c>
      <c r="AD5502">
        <v>-1.120737083603</v>
      </c>
      <c r="AE5502">
        <v>-8.1150699999999993</v>
      </c>
      <c r="AF5502">
        <v>-4.81673339239053</v>
      </c>
      <c r="AG5502">
        <v>-1.120737083603</v>
      </c>
      <c r="AH5502">
        <v>10.9270942450046</v>
      </c>
      <c r="AI5502">
        <v>95.361580576101005</v>
      </c>
      <c r="AJ5502">
        <v>113.788193582891</v>
      </c>
      <c r="AK5502">
        <v>11.994096915697501</v>
      </c>
      <c r="AL5502">
        <v>89.430809336662705</v>
      </c>
      <c r="AM5502">
        <v>89.012940870582796</v>
      </c>
      <c r="AN5502">
        <v>1.00000002548185</v>
      </c>
    </row>
    <row r="5503" spans="1:40" x14ac:dyDescent="0.25">
      <c r="A5503" t="str">
        <f>"20190312154407622"</f>
        <v>20190312154407622</v>
      </c>
      <c r="B5503" t="str">
        <f>"1552376647613332"</f>
        <v>1552376647613332</v>
      </c>
      <c r="C5503" t="s">
        <v>40</v>
      </c>
      <c r="D5503">
        <v>4.8914999999999997</v>
      </c>
      <c r="E5503">
        <v>0.32931969999999999</v>
      </c>
      <c r="F5503" t="s">
        <v>70</v>
      </c>
      <c r="G5503">
        <v>-411.05459999999999</v>
      </c>
      <c r="H5503" s="1">
        <v>-6.9796309999999999E-6</v>
      </c>
      <c r="I5503">
        <v>29.97353</v>
      </c>
      <c r="J5503">
        <v>-419.68790000000001</v>
      </c>
      <c r="K5503">
        <v>1.12079</v>
      </c>
      <c r="L5503">
        <v>37.765140000000002</v>
      </c>
      <c r="M5503">
        <v>0.41246769999999999</v>
      </c>
      <c r="N5503">
        <v>0</v>
      </c>
      <c r="O5503">
        <v>-0.9108368</v>
      </c>
      <c r="P5503">
        <v>0.39544800000000002</v>
      </c>
      <c r="Q5503">
        <v>-6.9880599999999999E-3</v>
      </c>
      <c r="R5503">
        <v>-0.918462</v>
      </c>
      <c r="S5503">
        <v>2.442596</v>
      </c>
      <c r="T5503">
        <v>-0.3146042</v>
      </c>
      <c r="U5503">
        <v>-2.2239990000000001</v>
      </c>
      <c r="V5503">
        <v>1.8420809999999999E-2</v>
      </c>
      <c r="W5503">
        <v>9.2036070000000008E-3</v>
      </c>
      <c r="X5503">
        <v>0.99978800000000001</v>
      </c>
      <c r="Y5503">
        <v>-0.39229920000000001</v>
      </c>
      <c r="Z5503">
        <v>9.4416189999999997E-2</v>
      </c>
      <c r="AA5503">
        <v>0.91497919999999999</v>
      </c>
      <c r="AB5503">
        <v>26</v>
      </c>
      <c r="AC5503">
        <v>8.6333000000000197</v>
      </c>
      <c r="AD5503">
        <v>-1.120796979631</v>
      </c>
      <c r="AE5503">
        <v>-7.7916100000000004</v>
      </c>
      <c r="AF5503">
        <v>-4.6075173192109098</v>
      </c>
      <c r="AG5503">
        <v>-1.120796979631</v>
      </c>
      <c r="AH5503">
        <v>10.5610625830048</v>
      </c>
      <c r="AI5503">
        <v>95.555756750267804</v>
      </c>
      <c r="AJ5503">
        <v>113.570393148137</v>
      </c>
      <c r="AK5503">
        <v>11.576763131312701</v>
      </c>
      <c r="AL5503">
        <v>89.472664738099397</v>
      </c>
      <c r="AM5503">
        <v>88.9444609627175</v>
      </c>
      <c r="AN5503">
        <v>1.00000003878343</v>
      </c>
    </row>
    <row r="5504" spans="1:40" x14ac:dyDescent="0.25">
      <c r="A5504" t="str">
        <f>"20190312154407639"</f>
        <v>20190312154407639</v>
      </c>
      <c r="B5504" t="str">
        <f>"1552376647633409"</f>
        <v>1552376647633409</v>
      </c>
      <c r="C5504" t="s">
        <v>40</v>
      </c>
      <c r="D5504">
        <v>5.1701459999999999</v>
      </c>
      <c r="E5504">
        <v>0.34794229999999998</v>
      </c>
      <c r="F5504" t="s">
        <v>70</v>
      </c>
      <c r="G5504">
        <v>-411.13889999999998</v>
      </c>
      <c r="H5504" s="1">
        <v>-6.9337019999999998E-6</v>
      </c>
      <c r="I5504">
        <v>30.060099999999998</v>
      </c>
      <c r="J5504">
        <v>-419.60050000000001</v>
      </c>
      <c r="K5504">
        <v>1.1208480000000001</v>
      </c>
      <c r="L5504">
        <v>37.600589999999997</v>
      </c>
      <c r="M5504">
        <v>0.42267680000000002</v>
      </c>
      <c r="N5504">
        <v>0</v>
      </c>
      <c r="O5504">
        <v>-0.90614360000000005</v>
      </c>
      <c r="P5504">
        <v>0.40464280000000002</v>
      </c>
      <c r="Q5504">
        <v>-8.9034649999999993E-3</v>
      </c>
      <c r="R5504">
        <v>-0.91443180000000002</v>
      </c>
      <c r="S5504">
        <v>2.4506839999999999</v>
      </c>
      <c r="T5504">
        <v>-0.32128990000000002</v>
      </c>
      <c r="U5504">
        <v>-2.2087400000000001</v>
      </c>
      <c r="V5504">
        <v>1.9664540000000001E-2</v>
      </c>
      <c r="W5504">
        <v>7.3578330000000003E-3</v>
      </c>
      <c r="X5504">
        <v>0.99977959999999999</v>
      </c>
      <c r="Y5504">
        <v>-0.38646039999999998</v>
      </c>
      <c r="Z5504">
        <v>9.6143740000000005E-2</v>
      </c>
      <c r="AA5504">
        <v>0.91728120000000002</v>
      </c>
      <c r="AB5504">
        <v>26</v>
      </c>
      <c r="AC5504">
        <v>8.4616000000000309</v>
      </c>
      <c r="AD5504">
        <v>-1.120854933702</v>
      </c>
      <c r="AE5504">
        <v>-7.5404900000000001</v>
      </c>
      <c r="AF5504">
        <v>-4.4373926817338996</v>
      </c>
      <c r="AG5504">
        <v>-1.120854933702</v>
      </c>
      <c r="AH5504">
        <v>10.3097509219683</v>
      </c>
      <c r="AI5504">
        <v>95.702711044041905</v>
      </c>
      <c r="AJ5504">
        <v>113.287399794091</v>
      </c>
      <c r="AK5504">
        <v>11.279970463939</v>
      </c>
      <c r="AL5504">
        <v>89.5784234357657</v>
      </c>
      <c r="AM5504">
        <v>88.873201764726204</v>
      </c>
      <c r="AN5504">
        <v>1.00000004020801</v>
      </c>
    </row>
    <row r="5505" spans="1:40" x14ac:dyDescent="0.25">
      <c r="A5505" t="str">
        <f>"20190312154407650"</f>
        <v>20190312154407650</v>
      </c>
      <c r="B5505" t="str">
        <f>"1552376647643165"</f>
        <v>1552376647643165</v>
      </c>
      <c r="C5505" t="s">
        <v>40</v>
      </c>
      <c r="D5505">
        <v>4.918787</v>
      </c>
      <c r="E5505">
        <v>0.34703339999999999</v>
      </c>
      <c r="F5505" t="s">
        <v>70</v>
      </c>
      <c r="G5505">
        <v>-412.70699999999999</v>
      </c>
      <c r="H5505" s="1">
        <v>-6.3355879999999996E-6</v>
      </c>
      <c r="I5505">
        <v>30.99333</v>
      </c>
      <c r="J5505">
        <v>-419.53730000000002</v>
      </c>
      <c r="K5505">
        <v>1.120892</v>
      </c>
      <c r="L5505">
        <v>37.484189999999998</v>
      </c>
      <c r="M5505">
        <v>0.42994009999999999</v>
      </c>
      <c r="N5505">
        <v>0</v>
      </c>
      <c r="O5505">
        <v>-0.90271950000000001</v>
      </c>
      <c r="P5505">
        <v>0.41140300000000002</v>
      </c>
      <c r="Q5505">
        <v>-9.6233789999999996E-3</v>
      </c>
      <c r="R5505">
        <v>-0.91140279999999996</v>
      </c>
      <c r="S5505">
        <v>2.3390810000000002</v>
      </c>
      <c r="T5505">
        <v>-0.38032820000000001</v>
      </c>
      <c r="U5505">
        <v>-2.2419739999999999</v>
      </c>
      <c r="V5505">
        <v>2.0303999999999999E-2</v>
      </c>
      <c r="W5505">
        <v>6.6797879999999999E-3</v>
      </c>
      <c r="X5505">
        <v>0.99977150000000004</v>
      </c>
      <c r="Y5505">
        <v>-0.34909390000000001</v>
      </c>
      <c r="Z5505">
        <v>0.1144001</v>
      </c>
      <c r="AA5505">
        <v>0.93007859999999998</v>
      </c>
      <c r="AB5505">
        <v>26</v>
      </c>
      <c r="AC5505">
        <v>6.8303000000000198</v>
      </c>
      <c r="AD5505">
        <v>-1.120898335588</v>
      </c>
      <c r="AE5505">
        <v>-6.4908599999999996</v>
      </c>
      <c r="AF5505">
        <v>-3.3284819545706901</v>
      </c>
      <c r="AG5505">
        <v>-1.120898335588</v>
      </c>
      <c r="AH5505">
        <v>8.6743872447570194</v>
      </c>
      <c r="AI5505">
        <v>96.879070901400098</v>
      </c>
      <c r="AJ5505">
        <v>110.99249647944799</v>
      </c>
      <c r="AK5505">
        <v>9.3584293165375794</v>
      </c>
      <c r="AL5505">
        <v>89.617273478833596</v>
      </c>
      <c r="AM5505">
        <v>88.836560542715404</v>
      </c>
      <c r="AN5505">
        <v>0.99999996209798603</v>
      </c>
    </row>
    <row r="5506" spans="1:40" x14ac:dyDescent="0.25">
      <c r="A5506" t="str">
        <f>"20190312154407662"</f>
        <v>20190312154407662</v>
      </c>
      <c r="B5506" t="str">
        <f>"1552376647652926"</f>
        <v>1552376647652926</v>
      </c>
      <c r="C5506" t="s">
        <v>40</v>
      </c>
      <c r="D5506">
        <v>4.5554750000000004</v>
      </c>
      <c r="E5506">
        <v>0.34680149999999998</v>
      </c>
      <c r="F5506" t="s">
        <v>70</v>
      </c>
      <c r="G5506">
        <v>-412.5643</v>
      </c>
      <c r="H5506" s="1">
        <v>-6.3821100000000001E-6</v>
      </c>
      <c r="I5506">
        <v>30.929279999999999</v>
      </c>
      <c r="J5506">
        <v>-419.4692</v>
      </c>
      <c r="K5506">
        <v>1.120932</v>
      </c>
      <c r="L5506">
        <v>37.361660000000001</v>
      </c>
      <c r="M5506">
        <v>0.43765920000000003</v>
      </c>
      <c r="N5506">
        <v>0</v>
      </c>
      <c r="O5506">
        <v>-0.89900199999999997</v>
      </c>
      <c r="P5506">
        <v>0.41872310000000001</v>
      </c>
      <c r="Q5506">
        <v>-1.0718800000000001E-2</v>
      </c>
      <c r="R5506">
        <v>-0.90805069999999999</v>
      </c>
      <c r="S5506">
        <v>2.362762</v>
      </c>
      <c r="T5506">
        <v>-0.37981120000000002</v>
      </c>
      <c r="U5506">
        <v>-2.2210999999999999</v>
      </c>
      <c r="V5506">
        <v>2.084768E-2</v>
      </c>
      <c r="W5506">
        <v>5.6245669999999996E-3</v>
      </c>
      <c r="X5506">
        <v>0.99976679999999996</v>
      </c>
      <c r="Y5506">
        <v>-0.35012939999999998</v>
      </c>
      <c r="Z5506">
        <v>0.11391030000000001</v>
      </c>
      <c r="AA5506">
        <v>0.92974939999999995</v>
      </c>
      <c r="AB5506">
        <v>26</v>
      </c>
      <c r="AC5506">
        <v>6.9048999999999898</v>
      </c>
      <c r="AD5506">
        <v>-1.1209383821100001</v>
      </c>
      <c r="AE5506">
        <v>-6.4323800000000002</v>
      </c>
      <c r="AF5506">
        <v>-3.3455481669554299</v>
      </c>
      <c r="AG5506">
        <v>-1.1209383821100001</v>
      </c>
      <c r="AH5506">
        <v>8.6832978291304901</v>
      </c>
      <c r="AI5506">
        <v>96.868739957981006</v>
      </c>
      <c r="AJ5506">
        <v>111.070947190214</v>
      </c>
      <c r="AK5506">
        <v>9.3727720863834296</v>
      </c>
      <c r="AL5506">
        <v>89.677734336558203</v>
      </c>
      <c r="AM5506">
        <v>88.805410431840798</v>
      </c>
      <c r="AN5506">
        <v>0.99999995794877905</v>
      </c>
    </row>
    <row r="5507" spans="1:40" x14ac:dyDescent="0.25">
      <c r="A5507" t="str">
        <f>"20190312154407675"</f>
        <v>20190312154407675</v>
      </c>
      <c r="B5507" t="str">
        <f>"1552376647663661"</f>
        <v>1552376647663661</v>
      </c>
      <c r="C5507" t="s">
        <v>40</v>
      </c>
      <c r="D5507">
        <v>4.8805170000000002</v>
      </c>
      <c r="E5507">
        <v>0.34699089999999999</v>
      </c>
      <c r="F5507" t="s">
        <v>70</v>
      </c>
      <c r="G5507">
        <v>-412.38749999999999</v>
      </c>
      <c r="H5507" s="1">
        <v>-6.4517000000000004E-6</v>
      </c>
      <c r="I5507">
        <v>30.8184</v>
      </c>
      <c r="J5507">
        <v>-419.40350000000001</v>
      </c>
      <c r="K5507">
        <v>1.1209639999999901</v>
      </c>
      <c r="L5507">
        <v>37.24597</v>
      </c>
      <c r="M5507">
        <v>0.44499309999999997</v>
      </c>
      <c r="N5507">
        <v>0</v>
      </c>
      <c r="O5507">
        <v>-0.89539429999999998</v>
      </c>
      <c r="P5507">
        <v>0.42600769999999999</v>
      </c>
      <c r="Q5507">
        <v>-1.1341250000000001E-2</v>
      </c>
      <c r="R5507">
        <v>-0.90464880000000003</v>
      </c>
      <c r="S5507">
        <v>2.3820190000000001</v>
      </c>
      <c r="T5507">
        <v>-0.37703969999999998</v>
      </c>
      <c r="U5507">
        <v>-2.2008969999999999</v>
      </c>
      <c r="V5507">
        <v>2.099647E-2</v>
      </c>
      <c r="W5507">
        <v>5.0294830000000004E-3</v>
      </c>
      <c r="X5507">
        <v>0.99976690000000001</v>
      </c>
      <c r="Y5507">
        <v>-0.35057070000000001</v>
      </c>
      <c r="Z5507">
        <v>0.1128297</v>
      </c>
      <c r="AA5507">
        <v>0.92971479999999995</v>
      </c>
      <c r="AB5507">
        <v>26</v>
      </c>
      <c r="AC5507">
        <v>7.0160000000000098</v>
      </c>
      <c r="AD5507">
        <v>-1.1209704517000001</v>
      </c>
      <c r="AE5507">
        <v>-6.4275699999999896</v>
      </c>
      <c r="AF5507">
        <v>-3.3754425125952099</v>
      </c>
      <c r="AG5507">
        <v>-1.1209704517000001</v>
      </c>
      <c r="AH5507">
        <v>8.7568555275452997</v>
      </c>
      <c r="AI5507">
        <v>96.811378179757796</v>
      </c>
      <c r="AJ5507">
        <v>111.079798095662</v>
      </c>
      <c r="AK5507">
        <v>9.4515980468765299</v>
      </c>
      <c r="AL5507">
        <v>89.711830636308406</v>
      </c>
      <c r="AM5507">
        <v>88.796887257294003</v>
      </c>
      <c r="AN5507">
        <v>1.00000000089365</v>
      </c>
    </row>
    <row r="5508" spans="1:40" x14ac:dyDescent="0.25">
      <c r="A5508" t="str">
        <f>"20190312154407687"</f>
        <v>20190312154407687</v>
      </c>
      <c r="B5508" t="str">
        <f>"1552376647683647"</f>
        <v>1552376647683647</v>
      </c>
      <c r="C5508" t="s">
        <v>40</v>
      </c>
      <c r="D5508">
        <v>4.8962960000000004</v>
      </c>
      <c r="E5508">
        <v>0.348143599999999</v>
      </c>
      <c r="F5508" t="s">
        <v>70</v>
      </c>
      <c r="G5508">
        <v>-412.19569999999999</v>
      </c>
      <c r="H5508" s="1">
        <v>-6.5310629999999996E-6</v>
      </c>
      <c r="I5508">
        <v>30.687819999999999</v>
      </c>
      <c r="J5508">
        <v>-419.33249999999998</v>
      </c>
      <c r="K5508">
        <v>1.121003</v>
      </c>
      <c r="L5508">
        <v>37.122500000000002</v>
      </c>
      <c r="M5508">
        <v>0.45283820000000002</v>
      </c>
      <c r="N5508">
        <v>0</v>
      </c>
      <c r="O5508">
        <v>-0.89145200000000002</v>
      </c>
      <c r="P5508">
        <v>0.43416320000000003</v>
      </c>
      <c r="Q5508">
        <v>-1.212243E-2</v>
      </c>
      <c r="R5508">
        <v>-0.90075289999999997</v>
      </c>
      <c r="S5508">
        <v>2.398285</v>
      </c>
      <c r="T5508">
        <v>-0.3729867</v>
      </c>
      <c r="U5508">
        <v>-2.1821290000000002</v>
      </c>
      <c r="V5508">
        <v>2.0758100000000002E-2</v>
      </c>
      <c r="W5508">
        <v>4.2665519999999998E-3</v>
      </c>
      <c r="X5508">
        <v>0.99977539999999998</v>
      </c>
      <c r="Y5508">
        <v>-0.3495974</v>
      </c>
      <c r="Z5508">
        <v>0.1113408</v>
      </c>
      <c r="AA5508">
        <v>0.93026070000000005</v>
      </c>
      <c r="AB5508">
        <v>26</v>
      </c>
      <c r="AC5508">
        <v>7.1367999999999903</v>
      </c>
      <c r="AD5508">
        <v>-1.1210095310629999</v>
      </c>
      <c r="AE5508">
        <v>-6.4346800000000002</v>
      </c>
      <c r="AF5508">
        <v>-3.4023747047142301</v>
      </c>
      <c r="AG5508">
        <v>-1.1210095310629999</v>
      </c>
      <c r="AH5508">
        <v>8.84872497950699</v>
      </c>
      <c r="AI5508">
        <v>96.743694575298406</v>
      </c>
      <c r="AJ5508">
        <v>111.031977051342</v>
      </c>
      <c r="AK5508">
        <v>9.5463474566435291</v>
      </c>
      <c r="AL5508">
        <v>89.755543829874398</v>
      </c>
      <c r="AM5508">
        <v>88.810552191896306</v>
      </c>
      <c r="AN5508">
        <v>0.99999997631336901</v>
      </c>
    </row>
    <row r="5509" spans="1:40" x14ac:dyDescent="0.25">
      <c r="A5509" t="str">
        <f>"20190312154407701"</f>
        <v>20190312154407701</v>
      </c>
      <c r="B5509" t="str">
        <f>"1552376647693406"</f>
        <v>1552376647693406</v>
      </c>
      <c r="C5509" t="s">
        <v>40</v>
      </c>
      <c r="D5509">
        <v>4.875356</v>
      </c>
      <c r="E5509">
        <v>0.3491303</v>
      </c>
      <c r="F5509" t="s">
        <v>70</v>
      </c>
      <c r="G5509">
        <v>-412.1019</v>
      </c>
      <c r="H5509" s="1">
        <v>-6.5680709999999997E-6</v>
      </c>
      <c r="I5509">
        <v>30.628769999999999</v>
      </c>
      <c r="J5509">
        <v>-419.25709999999998</v>
      </c>
      <c r="K5509">
        <v>1.1210310000000001</v>
      </c>
      <c r="L5509">
        <v>36.995609999999999</v>
      </c>
      <c r="M5509">
        <v>0.46099980000000002</v>
      </c>
      <c r="N5509">
        <v>0</v>
      </c>
      <c r="O5509">
        <v>-0.8872584</v>
      </c>
      <c r="P5509">
        <v>0.44309209999999899</v>
      </c>
      <c r="Q5509">
        <v>-1.2628230000000001E-2</v>
      </c>
      <c r="R5509">
        <v>-0.8963875</v>
      </c>
      <c r="S5509">
        <v>2.409637</v>
      </c>
      <c r="T5509">
        <v>-0.3735812</v>
      </c>
      <c r="U5509">
        <v>-2.1640630000000001</v>
      </c>
      <c r="V5509">
        <v>2.0007980000000002E-2</v>
      </c>
      <c r="W5509">
        <v>3.7653999999999999E-3</v>
      </c>
      <c r="X5509">
        <v>0.99979280000000004</v>
      </c>
      <c r="Y5509">
        <v>-0.34703299999999998</v>
      </c>
      <c r="Z5509">
        <v>0.11125839999999899</v>
      </c>
      <c r="AA5509">
        <v>0.93123020000000001</v>
      </c>
      <c r="AB5509">
        <v>26</v>
      </c>
      <c r="AC5509">
        <v>7.1551999999999696</v>
      </c>
      <c r="AD5509">
        <v>-1.1210375680710001</v>
      </c>
      <c r="AE5509">
        <v>-6.3668399999999901</v>
      </c>
      <c r="AF5509">
        <v>-3.36769252451032</v>
      </c>
      <c r="AG5509">
        <v>-1.1210375680710001</v>
      </c>
      <c r="AH5509">
        <v>8.8277663126405308</v>
      </c>
      <c r="AI5509">
        <v>96.7664742473941</v>
      </c>
      <c r="AJ5509">
        <v>110.88128449381099</v>
      </c>
      <c r="AK5509">
        <v>9.5145959577514496</v>
      </c>
      <c r="AL5509">
        <v>89.784257977161104</v>
      </c>
      <c r="AM5509">
        <v>88.853542641808403</v>
      </c>
      <c r="AN5509">
        <v>1.0000000702163301</v>
      </c>
    </row>
    <row r="5510" spans="1:40" x14ac:dyDescent="0.25">
      <c r="A5510" t="str">
        <f>"20190312154407714"</f>
        <v>20190312154407714</v>
      </c>
      <c r="B5510" t="str">
        <f>"1552376647703166"</f>
        <v>1552376647703166</v>
      </c>
      <c r="C5510" t="s">
        <v>40</v>
      </c>
      <c r="D5510">
        <v>4.8793759999999997</v>
      </c>
      <c r="E5510">
        <v>0.3499834</v>
      </c>
      <c r="F5510" t="s">
        <v>70</v>
      </c>
      <c r="G5510">
        <v>-411.94799999999998</v>
      </c>
      <c r="H5510" s="1">
        <v>-6.6289549999999998E-6</v>
      </c>
      <c r="I5510">
        <v>30.531389999999998</v>
      </c>
      <c r="J5510">
        <v>-419.17570000000001</v>
      </c>
      <c r="K5510">
        <v>1.121059</v>
      </c>
      <c r="L5510">
        <v>36.860840000000003</v>
      </c>
      <c r="M5510">
        <v>0.46969240000000001</v>
      </c>
      <c r="N5510">
        <v>0</v>
      </c>
      <c r="O5510">
        <v>-0.88268719999999901</v>
      </c>
      <c r="P5510">
        <v>0.45240950000000002</v>
      </c>
      <c r="Q5510">
        <v>-1.280419E-2</v>
      </c>
      <c r="R5510">
        <v>-0.89171880000000003</v>
      </c>
      <c r="S5510">
        <v>2.423645</v>
      </c>
      <c r="T5510">
        <v>-0.37172899999999998</v>
      </c>
      <c r="U5510">
        <v>-2.143494</v>
      </c>
      <c r="V5510">
        <v>1.941209E-2</v>
      </c>
      <c r="W5510">
        <v>3.5980309999999998E-3</v>
      </c>
      <c r="X5510">
        <v>0.9998051</v>
      </c>
      <c r="Y5510">
        <v>-0.34499010000000002</v>
      </c>
      <c r="Z5510">
        <v>0.11042059999999999</v>
      </c>
      <c r="AA5510">
        <v>0.93208860000000004</v>
      </c>
      <c r="AB5510">
        <v>26</v>
      </c>
      <c r="AC5510">
        <v>7.2276999999999703</v>
      </c>
      <c r="AD5510">
        <v>-1.1210656289550001</v>
      </c>
      <c r="AE5510">
        <v>-6.3294499999999996</v>
      </c>
      <c r="AF5510">
        <v>-3.36156228467746</v>
      </c>
      <c r="AG5510">
        <v>-1.1210656289550001</v>
      </c>
      <c r="AH5510">
        <v>8.8621853159008293</v>
      </c>
      <c r="AI5510">
        <v>96.7454292238627</v>
      </c>
      <c r="AJ5510">
        <v>110.77250176806299</v>
      </c>
      <c r="AK5510">
        <v>9.5443814734931092</v>
      </c>
      <c r="AL5510">
        <v>89.793847565684104</v>
      </c>
      <c r="AM5510">
        <v>88.887692112566697</v>
      </c>
      <c r="AN5510">
        <v>1.00000000652562</v>
      </c>
    </row>
    <row r="5511" spans="1:40" x14ac:dyDescent="0.25">
      <c r="A5511" t="str">
        <f>"20190312154407729"</f>
        <v>20190312154407729</v>
      </c>
      <c r="B5511" t="str">
        <f>"1552376647723662"</f>
        <v>1552376647723662</v>
      </c>
      <c r="C5511" t="s">
        <v>40</v>
      </c>
      <c r="D5511">
        <v>4.9448080000000001</v>
      </c>
      <c r="E5511">
        <v>0.3518906</v>
      </c>
      <c r="F5511" t="s">
        <v>70</v>
      </c>
      <c r="G5511">
        <v>-411.7627</v>
      </c>
      <c r="H5511" s="1">
        <v>-6.7023570000000003E-6</v>
      </c>
      <c r="I5511">
        <v>30.41394</v>
      </c>
      <c r="J5511">
        <v>-419.09429999999998</v>
      </c>
      <c r="K5511">
        <v>1.1210830000000001</v>
      </c>
      <c r="L5511">
        <v>36.728639999999999</v>
      </c>
      <c r="M5511">
        <v>0.47825380000000001</v>
      </c>
      <c r="N5511">
        <v>0</v>
      </c>
      <c r="O5511">
        <v>-0.87807760000000001</v>
      </c>
      <c r="P5511">
        <v>0.46215659999999997</v>
      </c>
      <c r="Q5511">
        <v>-1.423721E-2</v>
      </c>
      <c r="R5511">
        <v>-0.88668440000000004</v>
      </c>
      <c r="S5511">
        <v>2.4393310000000001</v>
      </c>
      <c r="T5511">
        <v>-0.36890020000000001</v>
      </c>
      <c r="U5511">
        <v>-2.121429</v>
      </c>
      <c r="V5511">
        <v>1.8202599999999999E-2</v>
      </c>
      <c r="W5511">
        <v>2.1556050000000001E-3</v>
      </c>
      <c r="X5511">
        <v>0.99983200000000005</v>
      </c>
      <c r="Y5511">
        <v>-0.34372209999999997</v>
      </c>
      <c r="Z5511">
        <v>0.10929709999999999</v>
      </c>
      <c r="AA5511">
        <v>0.9326892</v>
      </c>
      <c r="AB5511">
        <v>26</v>
      </c>
      <c r="AC5511">
        <v>7.3315999999999804</v>
      </c>
      <c r="AD5511">
        <v>-1.1210897023569999</v>
      </c>
      <c r="AE5511">
        <v>-6.3147000000000002</v>
      </c>
      <c r="AF5511">
        <v>-3.3728405488081998</v>
      </c>
      <c r="AG5511">
        <v>-1.1210897023569999</v>
      </c>
      <c r="AH5511">
        <v>8.9324006247286896</v>
      </c>
      <c r="AI5511">
        <v>96.696805857034803</v>
      </c>
      <c r="AJ5511">
        <v>110.68634596832401</v>
      </c>
      <c r="AK5511">
        <v>9.6135673092286194</v>
      </c>
      <c r="AL5511">
        <v>89.876492836140699</v>
      </c>
      <c r="AM5511">
        <v>88.957007823471898</v>
      </c>
      <c r="AN5511">
        <v>1.00000000475183</v>
      </c>
    </row>
    <row r="5512" spans="1:40" x14ac:dyDescent="0.25">
      <c r="A5512" t="str">
        <f>"20190312154407751"</f>
        <v>20190312154407751</v>
      </c>
      <c r="B5512" t="str">
        <f>"1552376647743182"</f>
        <v>1552376647743182</v>
      </c>
      <c r="C5512" t="s">
        <v>40</v>
      </c>
      <c r="D5512">
        <v>5.0137309999999999</v>
      </c>
      <c r="E5512">
        <v>0.36373620000000001</v>
      </c>
      <c r="F5512" t="s">
        <v>70</v>
      </c>
      <c r="G5512">
        <v>-411.70280000000002</v>
      </c>
      <c r="H5512" s="1">
        <v>-6.7218779999999998E-6</v>
      </c>
      <c r="I5512">
        <v>30.387070000000001</v>
      </c>
      <c r="J5512">
        <v>-418.96039999999999</v>
      </c>
      <c r="K5512">
        <v>1.1211139999999999</v>
      </c>
      <c r="L5512">
        <v>36.518520000000002</v>
      </c>
      <c r="M5512">
        <v>0.4919926</v>
      </c>
      <c r="N5512">
        <v>0</v>
      </c>
      <c r="O5512">
        <v>-0.87045329999999999</v>
      </c>
      <c r="P5512">
        <v>0.47613080000000002</v>
      </c>
      <c r="Q5512">
        <v>-1.7328619999999999E-2</v>
      </c>
      <c r="R5512">
        <v>-0.87920370000000003</v>
      </c>
      <c r="S5512">
        <v>2.4488530000000002</v>
      </c>
      <c r="T5512">
        <v>-0.37142619999999998</v>
      </c>
      <c r="U5512">
        <v>-2.101013</v>
      </c>
      <c r="V5512">
        <v>1.8144670000000002E-2</v>
      </c>
      <c r="W5512">
        <v>-9.0497859999999996E-4</v>
      </c>
      <c r="X5512">
        <v>0.99983500000000003</v>
      </c>
      <c r="Y5512">
        <v>-0.33518550000000003</v>
      </c>
      <c r="Z5512">
        <v>0.1093915</v>
      </c>
      <c r="AA5512">
        <v>0.93577999999999995</v>
      </c>
      <c r="AB5512">
        <v>26</v>
      </c>
      <c r="AC5512">
        <v>7.2575999999999601</v>
      </c>
      <c r="AD5512">
        <v>-1.1211207218779999</v>
      </c>
      <c r="AE5512">
        <v>-6.1314500000000001</v>
      </c>
      <c r="AF5512">
        <v>-3.2558580986602501</v>
      </c>
      <c r="AG5512">
        <v>-1.1211207218779999</v>
      </c>
      <c r="AH5512">
        <v>8.7866118801519395</v>
      </c>
      <c r="AI5512">
        <v>96.822687161057701</v>
      </c>
      <c r="AJ5512">
        <v>110.332066798162</v>
      </c>
      <c r="AK5512">
        <v>9.4372703661632507</v>
      </c>
      <c r="AL5512">
        <v>90.051851459456003</v>
      </c>
      <c r="AM5512">
        <v>88.960329548098102</v>
      </c>
      <c r="AN5512">
        <v>1.00000003763033</v>
      </c>
    </row>
    <row r="5513" spans="1:40" x14ac:dyDescent="0.25">
      <c r="A5513" t="str">
        <f>"20190312154407764"</f>
        <v>20190312154407764</v>
      </c>
      <c r="B5513" t="str">
        <f>"1552376647752942"</f>
        <v>1552376647752942</v>
      </c>
      <c r="C5513" t="s">
        <v>40</v>
      </c>
      <c r="D5513">
        <v>5.0191119999999998</v>
      </c>
      <c r="E5513">
        <v>0.36433290000000002</v>
      </c>
      <c r="F5513" t="s">
        <v>70</v>
      </c>
      <c r="G5513">
        <v>-411.68209999999999</v>
      </c>
      <c r="H5513" s="1">
        <v>-6.8226100000000004E-6</v>
      </c>
      <c r="I5513">
        <v>30.129439999999999</v>
      </c>
      <c r="J5513">
        <v>-418.87849999999997</v>
      </c>
      <c r="K5513">
        <v>1.1211329999999999</v>
      </c>
      <c r="L5513">
        <v>36.393549999999998</v>
      </c>
      <c r="M5513">
        <v>0.50020739999999997</v>
      </c>
      <c r="N5513">
        <v>0</v>
      </c>
      <c r="O5513">
        <v>-0.86575859999999905</v>
      </c>
      <c r="P5513">
        <v>0.48398459999999899</v>
      </c>
      <c r="Q5513">
        <v>-1.8866310000000001E-2</v>
      </c>
      <c r="R5513">
        <v>-0.87487320000000002</v>
      </c>
      <c r="S5513">
        <v>2.3988649999999998</v>
      </c>
      <c r="T5513">
        <v>-0.36951519999999999</v>
      </c>
      <c r="U5513">
        <v>-2.105804</v>
      </c>
      <c r="V5513">
        <v>1.8677059999999999E-2</v>
      </c>
      <c r="W5513">
        <v>-2.4110160000000002E-3</v>
      </c>
      <c r="X5513">
        <v>0.99982269999999895</v>
      </c>
      <c r="Y5513">
        <v>-0.31560559999999999</v>
      </c>
      <c r="Z5513">
        <v>0.1090121</v>
      </c>
      <c r="AA5513">
        <v>0.9426078</v>
      </c>
      <c r="AB5513">
        <v>26</v>
      </c>
      <c r="AC5513">
        <v>7.1963999999999801</v>
      </c>
      <c r="AD5513">
        <v>-1.12113982261</v>
      </c>
      <c r="AE5513">
        <v>-6.2641099999999899</v>
      </c>
      <c r="AF5513">
        <v>-3.05519748603915</v>
      </c>
      <c r="AG5513">
        <v>-1.12113982261</v>
      </c>
      <c r="AH5513">
        <v>8.9011366762091697</v>
      </c>
      <c r="AI5513">
        <v>96.793766314832396</v>
      </c>
      <c r="AJ5513">
        <v>108.94410575537999</v>
      </c>
      <c r="AK5513">
        <v>9.4774163308940906</v>
      </c>
      <c r="AL5513">
        <v>90.138141169655697</v>
      </c>
      <c r="AM5513">
        <v>88.929817993618201</v>
      </c>
      <c r="AN5513">
        <v>1.0000000385018399</v>
      </c>
    </row>
    <row r="5514" spans="1:40" x14ac:dyDescent="0.25">
      <c r="A5514" t="str">
        <f>"20190312154407784"</f>
        <v>20190312154407784</v>
      </c>
      <c r="B5514" t="str">
        <f>"1552376647773439"</f>
        <v>1552376647773439</v>
      </c>
      <c r="C5514" t="s">
        <v>40</v>
      </c>
      <c r="D5514">
        <v>4.9765240000000004</v>
      </c>
      <c r="E5514">
        <v>0.36658449999999998</v>
      </c>
      <c r="F5514" t="s">
        <v>70</v>
      </c>
      <c r="G5514">
        <v>-411.71390000000002</v>
      </c>
      <c r="H5514" s="1">
        <v>-6.7895719999999901E-6</v>
      </c>
      <c r="I5514">
        <v>30.203620000000001</v>
      </c>
      <c r="J5514">
        <v>-418.7568</v>
      </c>
      <c r="K5514">
        <v>1.1211519999999999</v>
      </c>
      <c r="L5514">
        <v>36.21255</v>
      </c>
      <c r="M5514">
        <v>0.5121734</v>
      </c>
      <c r="N5514">
        <v>0</v>
      </c>
      <c r="O5514">
        <v>-0.85873330000000003</v>
      </c>
      <c r="P5514">
        <v>0.49468119999999999</v>
      </c>
      <c r="Q5514">
        <v>-1.9913110000000001E-2</v>
      </c>
      <c r="R5514">
        <v>-0.86884649999999997</v>
      </c>
      <c r="S5514">
        <v>2.41391</v>
      </c>
      <c r="T5514">
        <v>-0.37773420000000002</v>
      </c>
      <c r="U5514">
        <v>-2.0855100000000002</v>
      </c>
      <c r="V5514">
        <v>2.030057E-2</v>
      </c>
      <c r="W5514">
        <v>-3.3913440000000001E-3</v>
      </c>
      <c r="X5514">
        <v>0.99978820000000002</v>
      </c>
      <c r="Y5514">
        <v>-0.30969239999999998</v>
      </c>
      <c r="Z5514">
        <v>0.11069080000000001</v>
      </c>
      <c r="AA5514">
        <v>0.94437179999999998</v>
      </c>
      <c r="AB5514">
        <v>26</v>
      </c>
      <c r="AC5514">
        <v>7.0428999999999702</v>
      </c>
      <c r="AD5514">
        <v>-1.1211587895720001</v>
      </c>
      <c r="AE5514">
        <v>-6.0089299999999897</v>
      </c>
      <c r="AF5514">
        <v>-2.9277998371075902</v>
      </c>
      <c r="AG5514">
        <v>-1.1211587895720001</v>
      </c>
      <c r="AH5514">
        <v>8.6416385409246104</v>
      </c>
      <c r="AI5514">
        <v>97.005290977085807</v>
      </c>
      <c r="AJ5514">
        <v>108.71645577355299</v>
      </c>
      <c r="AK5514">
        <v>9.1927648501196604</v>
      </c>
      <c r="AL5514">
        <v>90.194310064792006</v>
      </c>
      <c r="AM5514">
        <v>88.836776456063305</v>
      </c>
      <c r="AN5514">
        <v>1.00000002960784</v>
      </c>
    </row>
    <row r="5515" spans="1:40" x14ac:dyDescent="0.25">
      <c r="A5515" t="str">
        <f>"20190312154407796"</f>
        <v>20190312154407796</v>
      </c>
      <c r="B5515" t="str">
        <f>"1552376647792958"</f>
        <v>1552376647792958</v>
      </c>
      <c r="C5515" t="s">
        <v>40</v>
      </c>
      <c r="D5515">
        <v>4.9804309999999896</v>
      </c>
      <c r="E5515">
        <v>0.36892730000000001</v>
      </c>
      <c r="F5515" t="s">
        <v>70</v>
      </c>
      <c r="G5515">
        <v>-411.35610000000003</v>
      </c>
      <c r="H5515" s="1">
        <v>-6.9556739999999999E-6</v>
      </c>
      <c r="I5515">
        <v>29.912379999999999</v>
      </c>
      <c r="J5515">
        <v>-418.68130000000002</v>
      </c>
      <c r="K5515">
        <v>1.1211610000000001</v>
      </c>
      <c r="L5515">
        <v>36.103209999999997</v>
      </c>
      <c r="M5515">
        <v>0.51944440000000003</v>
      </c>
      <c r="N5515">
        <v>0</v>
      </c>
      <c r="O5515">
        <v>-0.85435450000000002</v>
      </c>
      <c r="P5515">
        <v>0.50124230000000003</v>
      </c>
      <c r="Q5515">
        <v>-1.94083E-2</v>
      </c>
      <c r="R5515">
        <v>-0.86508949999999996</v>
      </c>
      <c r="S5515">
        <v>2.4245299999999999</v>
      </c>
      <c r="T5515">
        <v>-0.36730190000000001</v>
      </c>
      <c r="U5515">
        <v>-2.0639949999999998</v>
      </c>
      <c r="V5515">
        <v>2.1213269999999999E-2</v>
      </c>
      <c r="W5515">
        <v>-2.8487679999999998E-3</v>
      </c>
      <c r="X5515">
        <v>0.99977090000000002</v>
      </c>
      <c r="Y5515">
        <v>-0.3088072</v>
      </c>
      <c r="Z5515">
        <v>0.1074705</v>
      </c>
      <c r="AA5515">
        <v>0.94503340000000002</v>
      </c>
      <c r="AB5515">
        <v>25</v>
      </c>
      <c r="AC5515">
        <v>7.3251999999999899</v>
      </c>
      <c r="AD5515">
        <v>-1.121167955674</v>
      </c>
      <c r="AE5515">
        <v>-6.1908299999999903</v>
      </c>
      <c r="AF5515">
        <v>-3.00189269663103</v>
      </c>
      <c r="AG5515">
        <v>-1.121167955674</v>
      </c>
      <c r="AH5515">
        <v>8.9727446318883803</v>
      </c>
      <c r="AI5515">
        <v>96.757859599689098</v>
      </c>
      <c r="AJ5515">
        <v>108.498014979429</v>
      </c>
      <c r="AK5515">
        <v>9.5277764234893105</v>
      </c>
      <c r="AL5515">
        <v>90.163222606367896</v>
      </c>
      <c r="AM5515">
        <v>88.784473032181296</v>
      </c>
      <c r="AN5515">
        <v>0.99999998539501</v>
      </c>
    </row>
    <row r="5516" spans="1:40" x14ac:dyDescent="0.25">
      <c r="A5516" t="str">
        <f>"20190312154407808"</f>
        <v>20190312154407808</v>
      </c>
      <c r="B5516" t="str">
        <f>"1552376647803694"</f>
        <v>1552376647803694</v>
      </c>
      <c r="C5516" t="s">
        <v>40</v>
      </c>
      <c r="D5516">
        <v>4.9972050000000001</v>
      </c>
      <c r="E5516">
        <v>0.37008150000000001</v>
      </c>
      <c r="F5516" t="s">
        <v>70</v>
      </c>
      <c r="G5516">
        <v>-411.0496</v>
      </c>
      <c r="H5516" s="1">
        <v>-7.1100490000000004E-6</v>
      </c>
      <c r="I5516">
        <v>29.630970000000001</v>
      </c>
      <c r="J5516">
        <v>-418.6053</v>
      </c>
      <c r="K5516">
        <v>1.121173</v>
      </c>
      <c r="L5516">
        <v>35.994349999999997</v>
      </c>
      <c r="M5516">
        <v>0.52667989999999998</v>
      </c>
      <c r="N5516">
        <v>0</v>
      </c>
      <c r="O5516">
        <v>-0.84991299999999903</v>
      </c>
      <c r="P5516">
        <v>0.50807060000000004</v>
      </c>
      <c r="Q5516">
        <v>-1.832953E-2</v>
      </c>
      <c r="R5516">
        <v>-0.86112069999999996</v>
      </c>
      <c r="S5516">
        <v>2.423737</v>
      </c>
      <c r="T5516">
        <v>-0.35607050000000001</v>
      </c>
      <c r="U5516">
        <v>-2.0555110000000001</v>
      </c>
      <c r="V5516">
        <v>2.177596E-2</v>
      </c>
      <c r="W5516">
        <v>-1.7417190000000001E-3</v>
      </c>
      <c r="X5516">
        <v>0.99976129999999996</v>
      </c>
      <c r="Y5516">
        <v>-0.30281659999999999</v>
      </c>
      <c r="Z5516">
        <v>0.10386099999999999</v>
      </c>
      <c r="AA5516">
        <v>0.94737269999999896</v>
      </c>
      <c r="AB5516">
        <v>25</v>
      </c>
      <c r="AC5516">
        <v>7.5556999999999999</v>
      </c>
      <c r="AD5516">
        <v>-1.121180110049</v>
      </c>
      <c r="AE5516">
        <v>-6.3633799999999896</v>
      </c>
      <c r="AF5516">
        <v>-3.0315639232510101</v>
      </c>
      <c r="AG5516">
        <v>-1.121180110049</v>
      </c>
      <c r="AH5516">
        <v>9.26954673836733</v>
      </c>
      <c r="AI5516">
        <v>96.558000414247502</v>
      </c>
      <c r="AJ5516">
        <v>108.110101933584</v>
      </c>
      <c r="AK5516">
        <v>9.8169201583135504</v>
      </c>
      <c r="AL5516">
        <v>90.099793204091</v>
      </c>
      <c r="AM5516">
        <v>88.7522288041948</v>
      </c>
      <c r="AN5516">
        <v>0.99999994149834104</v>
      </c>
    </row>
    <row r="5517" spans="1:40" x14ac:dyDescent="0.25">
      <c r="A5517" t="str">
        <f>"20190312154407821"</f>
        <v>20190312154407821</v>
      </c>
      <c r="B5517" t="str">
        <f>"1552376647813455"</f>
        <v>1552376647813455</v>
      </c>
      <c r="C5517" t="s">
        <v>40</v>
      </c>
      <c r="D5517">
        <v>5.0128500000000003</v>
      </c>
      <c r="E5517">
        <v>0.37008150000000001</v>
      </c>
      <c r="F5517" t="s">
        <v>70</v>
      </c>
      <c r="G5517">
        <v>-410.84649999999999</v>
      </c>
      <c r="H5517" s="1">
        <v>-1.0470019999999999E-5</v>
      </c>
      <c r="I5517">
        <v>29.482690000000002</v>
      </c>
      <c r="J5517">
        <v>-418.52289999999999</v>
      </c>
      <c r="K5517">
        <v>1.121183</v>
      </c>
      <c r="L5517">
        <v>35.879759999999997</v>
      </c>
      <c r="M5517">
        <v>0.53436649999999997</v>
      </c>
      <c r="N5517">
        <v>0</v>
      </c>
      <c r="O5517">
        <v>-0.84510110000000005</v>
      </c>
      <c r="P5517">
        <v>0.51555899999999999</v>
      </c>
      <c r="Q5517">
        <v>-1.7208480000000002E-2</v>
      </c>
      <c r="R5517">
        <v>-0.85668149999999998</v>
      </c>
      <c r="S5517">
        <v>2.4322509999999999</v>
      </c>
      <c r="T5517">
        <v>-0.35147109999999998</v>
      </c>
      <c r="U5517">
        <v>-2.04129</v>
      </c>
      <c r="V5517">
        <v>2.2108969999999999E-2</v>
      </c>
      <c r="W5517">
        <v>-5.9867320000000005E-4</v>
      </c>
      <c r="X5517">
        <v>0.99975539999999996</v>
      </c>
      <c r="Y5517">
        <v>-0.29919770000000001</v>
      </c>
      <c r="Z5517">
        <v>0.1021072</v>
      </c>
      <c r="AA5517">
        <v>0.94871220000000001</v>
      </c>
      <c r="AB5517">
        <v>25</v>
      </c>
      <c r="AC5517">
        <v>7.6764000000000001</v>
      </c>
      <c r="AD5517">
        <v>-1.1211934700199999</v>
      </c>
      <c r="AE5517">
        <v>-6.3970699999999896</v>
      </c>
      <c r="AF5517">
        <v>-3.03118629538826</v>
      </c>
      <c r="AG5517">
        <v>-1.1211934700199999</v>
      </c>
      <c r="AH5517">
        <v>9.3911700800162095</v>
      </c>
      <c r="AI5517">
        <v>96.481941788529198</v>
      </c>
      <c r="AJ5517">
        <v>107.88851350251601</v>
      </c>
      <c r="AK5517">
        <v>9.9317289847416195</v>
      </c>
      <c r="AL5517">
        <v>90.034301449291306</v>
      </c>
      <c r="AM5517">
        <v>88.733145896217394</v>
      </c>
      <c r="AN5517">
        <v>1.00000001239661</v>
      </c>
    </row>
    <row r="5518" spans="1:40" x14ac:dyDescent="0.25">
      <c r="A5518" t="str">
        <f>"20190312154407831"</f>
        <v>20190312154407831</v>
      </c>
      <c r="B5518" t="str">
        <f>"1552376647823216"</f>
        <v>1552376647823216</v>
      </c>
      <c r="C5518" t="s">
        <v>40</v>
      </c>
      <c r="D5518">
        <v>5.036721</v>
      </c>
      <c r="E5518">
        <v>0.38051020000000002</v>
      </c>
      <c r="F5518" t="s">
        <v>70</v>
      </c>
      <c r="G5518">
        <v>-410.65219999999999</v>
      </c>
      <c r="H5518" s="1">
        <v>-1.052769E-5</v>
      </c>
      <c r="I5518">
        <v>29.389019999999999</v>
      </c>
      <c r="J5518">
        <v>-418.44889999999998</v>
      </c>
      <c r="K5518">
        <v>1.121192</v>
      </c>
      <c r="L5518">
        <v>35.778080000000003</v>
      </c>
      <c r="M5518">
        <v>0.54118789999999894</v>
      </c>
      <c r="N5518">
        <v>0</v>
      </c>
      <c r="O5518">
        <v>-0.84074879999999996</v>
      </c>
      <c r="P5518">
        <v>0.52196480000000001</v>
      </c>
      <c r="Q5518">
        <v>-1.6221369999999999E-2</v>
      </c>
      <c r="R5518">
        <v>-0.85281260000000003</v>
      </c>
      <c r="S5518">
        <v>2.4499819999999999</v>
      </c>
      <c r="T5518">
        <v>-0.34900130000000001</v>
      </c>
      <c r="U5518">
        <v>-2.020416</v>
      </c>
      <c r="V5518">
        <v>2.2690599999999998E-2</v>
      </c>
      <c r="W5518">
        <v>4.1515029999999997E-4</v>
      </c>
      <c r="X5518">
        <v>0.99974240000000003</v>
      </c>
      <c r="Y5518">
        <v>-0.299745599999999</v>
      </c>
      <c r="Z5518">
        <v>0.101046</v>
      </c>
      <c r="AA5518">
        <v>0.94865290000000002</v>
      </c>
      <c r="AB5518">
        <v>25</v>
      </c>
      <c r="AC5518">
        <v>7.79669999999998</v>
      </c>
      <c r="AD5518">
        <v>-1.12120252769</v>
      </c>
      <c r="AE5518">
        <v>-6.38905999999999</v>
      </c>
      <c r="AF5518">
        <v>-3.0599252758931699</v>
      </c>
      <c r="AG5518">
        <v>-1.12120252769</v>
      </c>
      <c r="AH5518">
        <v>9.4750823646448303</v>
      </c>
      <c r="AI5518">
        <v>96.424745373554401</v>
      </c>
      <c r="AJ5518">
        <v>107.897574534052</v>
      </c>
      <c r="AK5518">
        <v>10.0198514768908</v>
      </c>
      <c r="AL5518">
        <v>89.976213638098002</v>
      </c>
      <c r="AM5518">
        <v>88.699812623556099</v>
      </c>
      <c r="AN5518">
        <v>0.99999995101794403</v>
      </c>
    </row>
    <row r="5519" spans="1:40" x14ac:dyDescent="0.25">
      <c r="A5519" t="str">
        <f>"20190312154407843"</f>
        <v>20190312154407843</v>
      </c>
      <c r="B5519" t="str">
        <f>"1552376647832974"</f>
        <v>1552376647832974</v>
      </c>
      <c r="C5519" t="s">
        <v>40</v>
      </c>
      <c r="D5519">
        <v>5.0366200000000001</v>
      </c>
      <c r="E5519">
        <v>0.38130920000000001</v>
      </c>
      <c r="F5519" t="s">
        <v>70</v>
      </c>
      <c r="G5519">
        <v>-410.14679999999998</v>
      </c>
      <c r="H5519" s="1">
        <v>-1.063407E-5</v>
      </c>
      <c r="I5519">
        <v>28.673279999999998</v>
      </c>
      <c r="J5519">
        <v>-418.37329999999997</v>
      </c>
      <c r="K5519">
        <v>1.121197</v>
      </c>
      <c r="L5519">
        <v>35.676029999999997</v>
      </c>
      <c r="M5519">
        <v>0.54805609999999905</v>
      </c>
      <c r="N5519">
        <v>0</v>
      </c>
      <c r="O5519">
        <v>-0.83628769999999997</v>
      </c>
      <c r="P5519">
        <v>0.52835580000000004</v>
      </c>
      <c r="Q5519">
        <v>-1.6055730000000001E-2</v>
      </c>
      <c r="R5519">
        <v>-0.84887139999999905</v>
      </c>
      <c r="S5519">
        <v>2.392395</v>
      </c>
      <c r="T5519">
        <v>-0.32309290000000002</v>
      </c>
      <c r="U5519">
        <v>-2.0473629999999998</v>
      </c>
      <c r="V5519">
        <v>2.3366749999999999E-2</v>
      </c>
      <c r="W5519">
        <v>6.0874620000000003E-4</v>
      </c>
      <c r="X5519">
        <v>0.99972680000000003</v>
      </c>
      <c r="Y5519">
        <v>-0.27517730000000001</v>
      </c>
      <c r="Z5519">
        <v>9.3315369999999995E-2</v>
      </c>
      <c r="AA5519">
        <v>0.95685399999999998</v>
      </c>
      <c r="AB5519">
        <v>25</v>
      </c>
      <c r="AC5519">
        <v>8.2264999999999802</v>
      </c>
      <c r="AD5519">
        <v>-1.1212076340699999</v>
      </c>
      <c r="AE5519">
        <v>-7.00274999999999</v>
      </c>
      <c r="AF5519">
        <v>-3.0097944242309498</v>
      </c>
      <c r="AG5519">
        <v>-1.1212076340699999</v>
      </c>
      <c r="AH5519">
        <v>10.2557680807212</v>
      </c>
      <c r="AI5519">
        <v>95.988455117828593</v>
      </c>
      <c r="AJ5519">
        <v>106.35555705754599</v>
      </c>
      <c r="AK5519">
        <v>10.7469413304608</v>
      </c>
      <c r="AL5519">
        <v>89.965121410666896</v>
      </c>
      <c r="AM5519">
        <v>88.661061766223398</v>
      </c>
      <c r="AN5519">
        <v>1.00000002510786</v>
      </c>
    </row>
    <row r="5520" spans="1:40" x14ac:dyDescent="0.25">
      <c r="A5520" t="str">
        <f>"20190312154407854"</f>
        <v>20190312154407854</v>
      </c>
      <c r="B5520" t="str">
        <f>"1552376647843711"</f>
        <v>1552376647843711</v>
      </c>
      <c r="C5520" t="s">
        <v>40</v>
      </c>
      <c r="D5520">
        <v>5.0475849999999998</v>
      </c>
      <c r="E5520">
        <v>0.38197599999999998</v>
      </c>
      <c r="F5520" t="s">
        <v>70</v>
      </c>
      <c r="G5520">
        <v>-410.1857</v>
      </c>
      <c r="H5520" s="1">
        <v>-1.062755E-5</v>
      </c>
      <c r="I5520">
        <v>28.749669999999998</v>
      </c>
      <c r="J5520">
        <v>-418.30500000000001</v>
      </c>
      <c r="K5520">
        <v>1.1211949999999999</v>
      </c>
      <c r="L5520">
        <v>35.585540000000002</v>
      </c>
      <c r="M5520">
        <v>0.55416449999999995</v>
      </c>
      <c r="N5520">
        <v>0</v>
      </c>
      <c r="O5520">
        <v>-0.83225229999999994</v>
      </c>
      <c r="P5520">
        <v>0.53428549999999997</v>
      </c>
      <c r="Q5520">
        <v>-1.672013E-2</v>
      </c>
      <c r="R5520">
        <v>-0.84513850000000001</v>
      </c>
      <c r="S5520">
        <v>2.4025569999999998</v>
      </c>
      <c r="T5520">
        <v>-0.3290073</v>
      </c>
      <c r="U5520">
        <v>-2.0324710000000001</v>
      </c>
      <c r="V5520">
        <v>2.369798E-2</v>
      </c>
      <c r="W5520" s="1">
        <v>-3.908234E-5</v>
      </c>
      <c r="X5520">
        <v>0.99971909999999997</v>
      </c>
      <c r="Y5520">
        <v>-0.27346019999999999</v>
      </c>
      <c r="Z5520">
        <v>9.468435E-2</v>
      </c>
      <c r="AA5520">
        <v>0.95721179999999995</v>
      </c>
      <c r="AB5520">
        <v>25</v>
      </c>
      <c r="AC5520">
        <v>8.1193000000000097</v>
      </c>
      <c r="AD5520">
        <v>-1.12120562755</v>
      </c>
      <c r="AE5520">
        <v>-6.8358699999999999</v>
      </c>
      <c r="AF5520">
        <v>-2.93672112836432</v>
      </c>
      <c r="AG5520">
        <v>-1.12120562755</v>
      </c>
      <c r="AH5520">
        <v>10.0774541951776</v>
      </c>
      <c r="AI5520">
        <v>96.096970227427605</v>
      </c>
      <c r="AJ5520">
        <v>106.24691388126899</v>
      </c>
      <c r="AK5520">
        <v>10.5563495632219</v>
      </c>
      <c r="AL5520">
        <v>90.002239253276301</v>
      </c>
      <c r="AM5520">
        <v>88.642078556510697</v>
      </c>
      <c r="AN5520">
        <v>0.99999993734415704</v>
      </c>
    </row>
    <row r="5521" spans="1:40" x14ac:dyDescent="0.25">
      <c r="A5521" t="str">
        <f>"20190312154407864"</f>
        <v>20190312154407864</v>
      </c>
      <c r="B5521" t="str">
        <f>"1552376647853471"</f>
        <v>1552376647853471</v>
      </c>
      <c r="C5521" t="s">
        <v>40</v>
      </c>
      <c r="D5521">
        <v>5.0587819999999999</v>
      </c>
      <c r="E5521">
        <v>0.38268439999999998</v>
      </c>
      <c r="F5521" t="s">
        <v>70</v>
      </c>
      <c r="G5521">
        <v>-410.15289999999999</v>
      </c>
      <c r="H5521" s="1">
        <v>-1.0640910000000001E-5</v>
      </c>
      <c r="I5521">
        <v>28.763780000000001</v>
      </c>
      <c r="J5521">
        <v>-418.2319</v>
      </c>
      <c r="K5521">
        <v>1.121197</v>
      </c>
      <c r="L5521">
        <v>35.489899999999999</v>
      </c>
      <c r="M5521">
        <v>0.56062539999999905</v>
      </c>
      <c r="N5521">
        <v>0</v>
      </c>
      <c r="O5521">
        <v>-0.82791409999999999</v>
      </c>
      <c r="P5521">
        <v>0.53994560000000003</v>
      </c>
      <c r="Q5521">
        <v>-1.7737510000000001E-2</v>
      </c>
      <c r="R5521">
        <v>-0.84151319999999996</v>
      </c>
      <c r="S5521">
        <v>2.4119570000000001</v>
      </c>
      <c r="T5521">
        <v>-0.33172929999999901</v>
      </c>
      <c r="U5521">
        <v>-2.0183409999999999</v>
      </c>
      <c r="V5521">
        <v>2.478429E-2</v>
      </c>
      <c r="W5521">
        <v>-1.020228E-3</v>
      </c>
      <c r="X5521">
        <v>0.99969229999999998</v>
      </c>
      <c r="Y5521">
        <v>-0.27105699999999999</v>
      </c>
      <c r="Z5521">
        <v>9.5083989999999993E-2</v>
      </c>
      <c r="AA5521">
        <v>0.95785549999999997</v>
      </c>
      <c r="AB5521">
        <v>25</v>
      </c>
      <c r="AC5521">
        <v>8.0790000000000006</v>
      </c>
      <c r="AD5521">
        <v>-1.12120764091</v>
      </c>
      <c r="AE5521">
        <v>-6.7261199999999901</v>
      </c>
      <c r="AF5521">
        <v>-2.8854368957449399</v>
      </c>
      <c r="AG5521">
        <v>-1.12120764091</v>
      </c>
      <c r="AH5521">
        <v>9.9856512439262399</v>
      </c>
      <c r="AI5521">
        <v>96.156621380877297</v>
      </c>
      <c r="AJ5521">
        <v>106.11708925580299</v>
      </c>
      <c r="AK5521">
        <v>10.454476716636099</v>
      </c>
      <c r="AL5521">
        <v>90.058454768781701</v>
      </c>
      <c r="AM5521">
        <v>88.579818624163295</v>
      </c>
      <c r="AN5521">
        <v>0.99999999828763297</v>
      </c>
    </row>
    <row r="5522" spans="1:40" x14ac:dyDescent="0.25">
      <c r="A5522" t="str">
        <f>"20190312154407875"</f>
        <v>20190312154407875</v>
      </c>
      <c r="B5522" t="str">
        <f>"1552376647863230"</f>
        <v>1552376647863230</v>
      </c>
      <c r="C5522" t="s">
        <v>40</v>
      </c>
      <c r="D5522">
        <v>5.0308979999999996</v>
      </c>
      <c r="E5522">
        <v>0.38268439999999998</v>
      </c>
      <c r="F5522" t="s">
        <v>70</v>
      </c>
      <c r="G5522">
        <v>-410.13060000000002</v>
      </c>
      <c r="H5522" s="1">
        <v>-1.065052E-5</v>
      </c>
      <c r="I5522">
        <v>28.778929999999999</v>
      </c>
      <c r="J5522">
        <v>-418.16090000000003</v>
      </c>
      <c r="K5522">
        <v>1.121192</v>
      </c>
      <c r="L5522">
        <v>35.398899999999998</v>
      </c>
      <c r="M5522">
        <v>0.56680180000000002</v>
      </c>
      <c r="N5522">
        <v>0</v>
      </c>
      <c r="O5522">
        <v>-0.82369740000000002</v>
      </c>
      <c r="P5522">
        <v>0.54534499999999997</v>
      </c>
      <c r="Q5522">
        <v>-1.8837079999999999E-2</v>
      </c>
      <c r="R5522">
        <v>-0.83800010000000003</v>
      </c>
      <c r="S5522">
        <v>2.4203190000000001</v>
      </c>
      <c r="T5522">
        <v>-0.33496759999999998</v>
      </c>
      <c r="U5522">
        <v>-2.0049440000000001</v>
      </c>
      <c r="V5522">
        <v>2.5848759999999998E-2</v>
      </c>
      <c r="W5522">
        <v>-2.085857E-3</v>
      </c>
      <c r="X5522">
        <v>0.99966370000000004</v>
      </c>
      <c r="Y5522">
        <v>-0.26856259999999998</v>
      </c>
      <c r="Z5522">
        <v>9.5634430000000006E-2</v>
      </c>
      <c r="AA5522">
        <v>0.95850310000000005</v>
      </c>
      <c r="AB5522">
        <v>25</v>
      </c>
      <c r="AC5522">
        <v>8.0303000000000093</v>
      </c>
      <c r="AD5522">
        <v>-1.1212026505199999</v>
      </c>
      <c r="AE5522">
        <v>-6.6199699999999897</v>
      </c>
      <c r="AF5522">
        <v>-2.8298514441842499</v>
      </c>
      <c r="AG5522">
        <v>-1.1212026505199999</v>
      </c>
      <c r="AH5522">
        <v>9.8909339613763994</v>
      </c>
      <c r="AI5522">
        <v>96.219765073415502</v>
      </c>
      <c r="AJ5522">
        <v>105.966121478947</v>
      </c>
      <c r="AK5522">
        <v>10.348706644213699</v>
      </c>
      <c r="AL5522">
        <v>90.119510888097196</v>
      </c>
      <c r="AM5522">
        <v>88.518806963817497</v>
      </c>
      <c r="AN5522">
        <v>1.00000001114532</v>
      </c>
    </row>
    <row r="5523" spans="1:40" x14ac:dyDescent="0.25">
      <c r="A5523" t="str">
        <f>"20190312154407885"</f>
        <v>20190312154407885</v>
      </c>
      <c r="B5523" t="str">
        <f>"1552376647883726"</f>
        <v>1552376647883726</v>
      </c>
      <c r="C5523" t="s">
        <v>40</v>
      </c>
      <c r="D5523">
        <v>5.0121549999999999</v>
      </c>
      <c r="E5523">
        <v>0.38286409999999998</v>
      </c>
      <c r="F5523" t="s">
        <v>70</v>
      </c>
      <c r="G5523">
        <v>-410.07830000000001</v>
      </c>
      <c r="H5523" s="1">
        <v>-1.067098E-5</v>
      </c>
      <c r="I5523">
        <v>28.79335</v>
      </c>
      <c r="J5523">
        <v>-418.0856</v>
      </c>
      <c r="K5523">
        <v>1.121189</v>
      </c>
      <c r="L5523">
        <v>35.303249999999998</v>
      </c>
      <c r="M5523">
        <v>0.57328059999999903</v>
      </c>
      <c r="N5523">
        <v>0</v>
      </c>
      <c r="O5523">
        <v>-0.81920149999999903</v>
      </c>
      <c r="P5523">
        <v>0.55130480000000004</v>
      </c>
      <c r="Q5523">
        <v>-1.9696729999999999E-2</v>
      </c>
      <c r="R5523">
        <v>-0.83407160000000002</v>
      </c>
      <c r="S5523">
        <v>2.4334720000000001</v>
      </c>
      <c r="T5523">
        <v>-0.33756710000000001</v>
      </c>
      <c r="U5523">
        <v>-1.9887699999999999</v>
      </c>
      <c r="V5523">
        <v>2.6618119999999999E-2</v>
      </c>
      <c r="W5523">
        <v>-2.9193550000000002E-3</v>
      </c>
      <c r="X5523">
        <v>0.99964140000000001</v>
      </c>
      <c r="Y5523">
        <v>-0.26728200000000002</v>
      </c>
      <c r="Z5523">
        <v>9.5948119999999998E-2</v>
      </c>
      <c r="AA5523">
        <v>0.95882959999999995</v>
      </c>
      <c r="AB5523">
        <v>25</v>
      </c>
      <c r="AC5523">
        <v>8.0072999999999794</v>
      </c>
      <c r="AD5523">
        <v>-1.1211996709799901</v>
      </c>
      <c r="AE5523">
        <v>-6.5098999999999902</v>
      </c>
      <c r="AF5523">
        <v>-2.7949658401308901</v>
      </c>
      <c r="AG5523">
        <v>-1.1211996709799901</v>
      </c>
      <c r="AH5523">
        <v>9.8088463095954008</v>
      </c>
      <c r="AI5523">
        <v>96.273296229738506</v>
      </c>
      <c r="AJ5523">
        <v>105.904551606095</v>
      </c>
      <c r="AK5523">
        <v>10.260720670350899</v>
      </c>
      <c r="AL5523">
        <v>90.1672669600391</v>
      </c>
      <c r="AM5523">
        <v>88.474707392246103</v>
      </c>
      <c r="AN5523">
        <v>0.99999998776995502</v>
      </c>
    </row>
    <row r="5524" spans="1:40" x14ac:dyDescent="0.25">
      <c r="A5524" t="str">
        <f>"20190312154407897"</f>
        <v>20190312154407897</v>
      </c>
      <c r="B5524" t="str">
        <f>"1552376647893487"</f>
        <v>1552376647893487</v>
      </c>
      <c r="C5524" t="s">
        <v>40</v>
      </c>
      <c r="D5524">
        <v>5.0262129999999896</v>
      </c>
      <c r="E5524">
        <v>0.37942340000000002</v>
      </c>
      <c r="F5524" t="s">
        <v>70</v>
      </c>
      <c r="G5524">
        <v>-410.02550000000002</v>
      </c>
      <c r="H5524" s="1">
        <v>-1.0691350000000001E-5</v>
      </c>
      <c r="I5524">
        <v>28.805299999999999</v>
      </c>
      <c r="J5524">
        <v>-418.01299999999998</v>
      </c>
      <c r="K5524">
        <v>1.121184</v>
      </c>
      <c r="L5524">
        <v>35.213470000000001</v>
      </c>
      <c r="M5524">
        <v>0.57940179999999997</v>
      </c>
      <c r="N5524">
        <v>0</v>
      </c>
      <c r="O5524">
        <v>-0.81488340000000004</v>
      </c>
      <c r="P5524">
        <v>0.55676579999999998</v>
      </c>
      <c r="Q5524">
        <v>-1.9747830000000001E-2</v>
      </c>
      <c r="R5524">
        <v>-0.83043500000000003</v>
      </c>
      <c r="S5524">
        <v>2.4460449999999998</v>
      </c>
      <c r="T5524">
        <v>-0.340259599999999</v>
      </c>
      <c r="U5524">
        <v>-1.9719850000000001</v>
      </c>
      <c r="V5524">
        <v>2.7548019999999999E-2</v>
      </c>
      <c r="W5524">
        <v>-2.9416479999999998E-3</v>
      </c>
      <c r="X5524">
        <v>0.99961610000000001</v>
      </c>
      <c r="Y5524">
        <v>-0.26640940000000002</v>
      </c>
      <c r="Z5524">
        <v>9.632889E-2</v>
      </c>
      <c r="AA5524">
        <v>0.95903430000000001</v>
      </c>
      <c r="AB5524">
        <v>25</v>
      </c>
      <c r="AC5524">
        <v>7.9875000000000096</v>
      </c>
      <c r="AD5524">
        <v>-1.1211946913499999</v>
      </c>
      <c r="AE5524">
        <v>-6.4081700000000001</v>
      </c>
      <c r="AF5524">
        <v>-2.7632132107630798</v>
      </c>
      <c r="AG5524">
        <v>-1.1211946913499999</v>
      </c>
      <c r="AH5524">
        <v>9.7344641767950701</v>
      </c>
      <c r="AI5524">
        <v>96.322606281639594</v>
      </c>
      <c r="AJ5524">
        <v>105.84705921492299</v>
      </c>
      <c r="AK5524">
        <v>10.180973312672601</v>
      </c>
      <c r="AL5524">
        <v>90.168544267217101</v>
      </c>
      <c r="AM5524">
        <v>88.4214080987758</v>
      </c>
      <c r="AN5524">
        <v>0.99999994703904105</v>
      </c>
    </row>
    <row r="5525" spans="1:40" x14ac:dyDescent="0.25">
      <c r="A5525" t="str">
        <f>"20190312154407910"</f>
        <v>20190312154407910</v>
      </c>
      <c r="B5525" t="str">
        <f>"1552376647903247"</f>
        <v>1552376647903247</v>
      </c>
      <c r="C5525" t="s">
        <v>40</v>
      </c>
      <c r="D5525">
        <v>5.0341300000000002</v>
      </c>
      <c r="E5525">
        <v>0.37772909999999998</v>
      </c>
      <c r="F5525" t="s">
        <v>70</v>
      </c>
      <c r="G5525">
        <v>-409.87619999999998</v>
      </c>
      <c r="H5525" s="1">
        <v>-2.9753469999999999E-6</v>
      </c>
      <c r="I5525">
        <v>28.852879999999999</v>
      </c>
      <c r="J5525">
        <v>-417.92689999999999</v>
      </c>
      <c r="K5525">
        <v>1.121175</v>
      </c>
      <c r="L5525">
        <v>35.107669999999999</v>
      </c>
      <c r="M5525">
        <v>0.58659410000000001</v>
      </c>
      <c r="N5525">
        <v>0</v>
      </c>
      <c r="O5525">
        <v>-0.80972159999999904</v>
      </c>
      <c r="P5525">
        <v>0.56331290000000001</v>
      </c>
      <c r="Q5525">
        <v>-1.9821720000000001E-2</v>
      </c>
      <c r="R5525">
        <v>-0.82600620000000002</v>
      </c>
      <c r="S5525">
        <v>2.4821170000000001</v>
      </c>
      <c r="T5525">
        <v>-0.34201479999999901</v>
      </c>
      <c r="U5525">
        <v>-1.940277</v>
      </c>
      <c r="V5525">
        <v>2.849689E-2</v>
      </c>
      <c r="W5525">
        <v>-2.9858860000000001E-3</v>
      </c>
      <c r="X5525">
        <v>0.99958939999999996</v>
      </c>
      <c r="Y5525">
        <v>-0.27226650000000002</v>
      </c>
      <c r="Z5525">
        <v>9.6308649999999996E-2</v>
      </c>
      <c r="AA5525">
        <v>0.95738999999999996</v>
      </c>
      <c r="AB5525">
        <v>25</v>
      </c>
      <c r="AC5525">
        <v>8.0507000000000009</v>
      </c>
      <c r="AD5525">
        <v>-1.1211779753469999</v>
      </c>
      <c r="AE5525">
        <v>-6.2547899999999998</v>
      </c>
      <c r="AF5525">
        <v>-2.8161118537885601</v>
      </c>
      <c r="AG5525">
        <v>-1.1211779753469999</v>
      </c>
      <c r="AH5525">
        <v>9.6714263201169999</v>
      </c>
      <c r="AI5525">
        <v>96.351129246559296</v>
      </c>
      <c r="AJ5525">
        <v>106.234426707252</v>
      </c>
      <c r="AK5525">
        <v>10.1352855456027</v>
      </c>
      <c r="AL5525">
        <v>90.171078923808494</v>
      </c>
      <c r="AM5525">
        <v>88.367020090796203</v>
      </c>
      <c r="AN5525">
        <v>0.99999997842361799</v>
      </c>
    </row>
    <row r="5526" spans="1:40" x14ac:dyDescent="0.25">
      <c r="A5526" t="str">
        <f>"20190312154407922"</f>
        <v>20190312154407922</v>
      </c>
      <c r="B5526" t="str">
        <f>"1552376647913006"</f>
        <v>1552376647913006</v>
      </c>
      <c r="C5526" t="s">
        <v>40</v>
      </c>
      <c r="D5526">
        <v>5.0345950000000004</v>
      </c>
      <c r="E5526">
        <v>0.37642609999999999</v>
      </c>
      <c r="F5526" t="s">
        <v>70</v>
      </c>
      <c r="G5526">
        <v>-409.80700000000002</v>
      </c>
      <c r="H5526" s="1">
        <v>-3.0304670000000002E-6</v>
      </c>
      <c r="I5526">
        <v>28.91656</v>
      </c>
      <c r="J5526">
        <v>-417.83150000000001</v>
      </c>
      <c r="K5526">
        <v>1.121164</v>
      </c>
      <c r="L5526">
        <v>34.993409999999997</v>
      </c>
      <c r="M5526">
        <v>0.59440280000000001</v>
      </c>
      <c r="N5526">
        <v>0</v>
      </c>
      <c r="O5526">
        <v>-0.80400649999999996</v>
      </c>
      <c r="P5526">
        <v>0.57106140000000005</v>
      </c>
      <c r="Q5526">
        <v>-1.962299E-2</v>
      </c>
      <c r="R5526">
        <v>-0.82067289999999904</v>
      </c>
      <c r="S5526">
        <v>2.5086979999999999</v>
      </c>
      <c r="T5526">
        <v>-0.34639490000000001</v>
      </c>
      <c r="U5526">
        <v>-1.9127810000000001</v>
      </c>
      <c r="V5526">
        <v>2.876099E-2</v>
      </c>
      <c r="W5526">
        <v>-2.77662E-3</v>
      </c>
      <c r="X5526">
        <v>0.99958250000000004</v>
      </c>
      <c r="Y5526">
        <v>-0.27441719999999997</v>
      </c>
      <c r="Z5526">
        <v>9.69719E-2</v>
      </c>
      <c r="AA5526">
        <v>0.95670869999999997</v>
      </c>
      <c r="AB5526">
        <v>25</v>
      </c>
      <c r="AC5526">
        <v>8.0245000000000406</v>
      </c>
      <c r="AD5526">
        <v>-1.1211670304670001</v>
      </c>
      <c r="AE5526">
        <v>-6.0768500000000003</v>
      </c>
      <c r="AF5526">
        <v>-2.8052187138891802</v>
      </c>
      <c r="AG5526">
        <v>-1.1211670304670001</v>
      </c>
      <c r="AH5526">
        <v>9.5385242985661201</v>
      </c>
      <c r="AI5526">
        <v>96.433805333102399</v>
      </c>
      <c r="AJ5526">
        <v>106.388270924409</v>
      </c>
      <c r="AK5526">
        <v>10.005484163062601</v>
      </c>
      <c r="AL5526">
        <v>90.159088805489105</v>
      </c>
      <c r="AM5526">
        <v>88.351883096828601</v>
      </c>
      <c r="AN5526">
        <v>1.0000000392353201</v>
      </c>
    </row>
    <row r="5527" spans="1:40" x14ac:dyDescent="0.25">
      <c r="A5527" t="str">
        <f>"20190312154407936"</f>
        <v>20190312154407936</v>
      </c>
      <c r="B5527" t="str">
        <f>"1552376647933503"</f>
        <v>1552376647933503</v>
      </c>
      <c r="C5527" t="s">
        <v>40</v>
      </c>
      <c r="D5527">
        <v>5.0547019999999998</v>
      </c>
      <c r="E5527">
        <v>0.3749748</v>
      </c>
      <c r="F5527" t="s">
        <v>70</v>
      </c>
      <c r="G5527">
        <v>-409.57929999999999</v>
      </c>
      <c r="H5527" s="1">
        <v>-3.1532799999999998E-6</v>
      </c>
      <c r="I5527">
        <v>28.86375</v>
      </c>
      <c r="J5527">
        <v>-417.74160000000001</v>
      </c>
      <c r="K5527">
        <v>1.1211500000000001</v>
      </c>
      <c r="L5527">
        <v>34.88776</v>
      </c>
      <c r="M5527">
        <v>0.60162850000000001</v>
      </c>
      <c r="N5527">
        <v>0</v>
      </c>
      <c r="O5527">
        <v>-0.79861380000000004</v>
      </c>
      <c r="P5527">
        <v>0.57824160000000002</v>
      </c>
      <c r="Q5527">
        <v>-1.9276160000000001E-2</v>
      </c>
      <c r="R5527">
        <v>-0.81563790000000003</v>
      </c>
      <c r="S5527">
        <v>2.5352480000000002</v>
      </c>
      <c r="T5527">
        <v>-0.34444950000000002</v>
      </c>
      <c r="U5527">
        <v>-1.8831789999999999</v>
      </c>
      <c r="V5527">
        <v>2.8997470000000001E-2</v>
      </c>
      <c r="W5527">
        <v>-2.4211219999999999E-3</v>
      </c>
      <c r="X5527">
        <v>0.99957660000000004</v>
      </c>
      <c r="Y5527">
        <v>-0.27783279999999999</v>
      </c>
      <c r="Z5527">
        <v>9.5974790000000004E-2</v>
      </c>
      <c r="AA5527">
        <v>0.95582310000000004</v>
      </c>
      <c r="AB5527">
        <v>25</v>
      </c>
      <c r="AC5527">
        <v>8.1623000000000108</v>
      </c>
      <c r="AD5527">
        <v>-1.1211531532799901</v>
      </c>
      <c r="AE5527">
        <v>-6.0240099999999996</v>
      </c>
      <c r="AF5527">
        <v>-2.85975483802304</v>
      </c>
      <c r="AG5527">
        <v>-1.1211531532799901</v>
      </c>
      <c r="AH5527">
        <v>9.6054667540593499</v>
      </c>
      <c r="AI5527">
        <v>96.383008686756696</v>
      </c>
      <c r="AJ5527">
        <v>106.57940480291801</v>
      </c>
      <c r="AK5527">
        <v>10.0846503999913</v>
      </c>
      <c r="AL5527">
        <v>90.138720201267006</v>
      </c>
      <c r="AM5527">
        <v>88.338329634287604</v>
      </c>
      <c r="AN5527">
        <v>1.0000000471828401</v>
      </c>
    </row>
    <row r="5528" spans="1:40" x14ac:dyDescent="0.25">
      <c r="A5528" t="str">
        <f>"20190312154407953"</f>
        <v>20190312154407953</v>
      </c>
      <c r="B5528" t="str">
        <f>"1552376647943263"</f>
        <v>1552376647943263</v>
      </c>
      <c r="C5528" t="s">
        <v>40</v>
      </c>
      <c r="D5528">
        <v>5.0135519999999998</v>
      </c>
      <c r="E5528">
        <v>0.37471759999999998</v>
      </c>
      <c r="F5528" t="s">
        <v>70</v>
      </c>
      <c r="G5528">
        <v>-409.41469999999998</v>
      </c>
      <c r="H5528" s="1">
        <v>-3.2352590000000001E-6</v>
      </c>
      <c r="I5528">
        <v>28.85896</v>
      </c>
      <c r="J5528">
        <v>-417.61880000000002</v>
      </c>
      <c r="K5528">
        <v>1.1211359999999999</v>
      </c>
      <c r="L5528">
        <v>34.746119999999998</v>
      </c>
      <c r="M5528">
        <v>0.6113246</v>
      </c>
      <c r="N5528">
        <v>0</v>
      </c>
      <c r="O5528">
        <v>-0.79121629999999998</v>
      </c>
      <c r="P5528">
        <v>0.58808340000000003</v>
      </c>
      <c r="Q5528">
        <v>-1.9151499999999998E-2</v>
      </c>
      <c r="R5528">
        <v>-0.8085734</v>
      </c>
      <c r="S5528">
        <v>2.5610659999999998</v>
      </c>
      <c r="T5528">
        <v>-0.34482770000000001</v>
      </c>
      <c r="U5528">
        <v>-1.8542479999999999</v>
      </c>
      <c r="V5528">
        <v>2.907442E-2</v>
      </c>
      <c r="W5528">
        <v>-2.2925129999999999E-3</v>
      </c>
      <c r="X5528">
        <v>0.99957459999999998</v>
      </c>
      <c r="Y5528">
        <v>-0.27783049999999998</v>
      </c>
      <c r="Z5528">
        <v>9.5317040000000006E-2</v>
      </c>
      <c r="AA5528">
        <v>0.95588960000000001</v>
      </c>
      <c r="AB5528">
        <v>25</v>
      </c>
      <c r="AC5528">
        <v>8.2041000000000395</v>
      </c>
      <c r="AD5528">
        <v>-1.1211392352589999</v>
      </c>
      <c r="AE5528">
        <v>-5.8871599999999997</v>
      </c>
      <c r="AF5528">
        <v>-2.8574027859131901</v>
      </c>
      <c r="AG5528">
        <v>-1.1211392352589999</v>
      </c>
      <c r="AH5528">
        <v>9.5568291972487494</v>
      </c>
      <c r="AI5528">
        <v>96.412933103574403</v>
      </c>
      <c r="AJ5528">
        <v>106.646174256667</v>
      </c>
      <c r="AK5528">
        <v>10.037663481665801</v>
      </c>
      <c r="AL5528">
        <v>90.131351437161399</v>
      </c>
      <c r="AM5528">
        <v>88.3339192435174</v>
      </c>
      <c r="AN5528">
        <v>0.99999997923967499</v>
      </c>
    </row>
    <row r="5529" spans="1:40" x14ac:dyDescent="0.25">
      <c r="A5529" t="str">
        <f>"20190312154407974"</f>
        <v>20190312154407974</v>
      </c>
      <c r="B5529" t="str">
        <f>"1552376647962783"</f>
        <v>1552376647962783</v>
      </c>
      <c r="C5529" t="s">
        <v>40</v>
      </c>
      <c r="D5529">
        <v>4.9824760000000001</v>
      </c>
      <c r="E5529">
        <v>0.37473879999999998</v>
      </c>
      <c r="F5529" t="s">
        <v>70</v>
      </c>
      <c r="G5529">
        <v>-409.24439999999998</v>
      </c>
      <c r="H5529" s="1">
        <v>-3.3180050000000002E-6</v>
      </c>
      <c r="I5529">
        <v>28.842269999999999</v>
      </c>
      <c r="J5529">
        <v>-417.46069999999997</v>
      </c>
      <c r="K5529">
        <v>1.121113</v>
      </c>
      <c r="L5529">
        <v>34.56915</v>
      </c>
      <c r="M5529">
        <v>0.62347379999999997</v>
      </c>
      <c r="N5529">
        <v>0</v>
      </c>
      <c r="O5529">
        <v>-0.78167869999999995</v>
      </c>
      <c r="P5529">
        <v>0.60058999999999996</v>
      </c>
      <c r="Q5529">
        <v>-1.9344119999999999E-2</v>
      </c>
      <c r="R5529">
        <v>-0.79932360000000002</v>
      </c>
      <c r="S5529">
        <v>2.584686</v>
      </c>
      <c r="T5529">
        <v>-0.3460299</v>
      </c>
      <c r="U5529">
        <v>-1.822174</v>
      </c>
      <c r="V5529">
        <v>2.8968420000000002E-2</v>
      </c>
      <c r="W5529">
        <v>-2.4876939999999999E-3</v>
      </c>
      <c r="X5529">
        <v>0.99957720000000005</v>
      </c>
      <c r="Y5529">
        <v>-0.27505859999999999</v>
      </c>
      <c r="Z5529">
        <v>9.4682050000000004E-2</v>
      </c>
      <c r="AA5529">
        <v>0.95675399999999999</v>
      </c>
      <c r="AB5529">
        <v>25</v>
      </c>
      <c r="AC5529">
        <v>8.2162999999999897</v>
      </c>
      <c r="AD5529">
        <v>-1.1211163180049999</v>
      </c>
      <c r="AE5529">
        <v>-5.7268799999999898</v>
      </c>
      <c r="AF5529">
        <v>-2.8170166632856701</v>
      </c>
      <c r="AG5529">
        <v>-1.1211163180049999</v>
      </c>
      <c r="AH5529">
        <v>9.4816573740421699</v>
      </c>
      <c r="AI5529">
        <v>96.466530575292097</v>
      </c>
      <c r="AJ5529">
        <v>106.546774786287</v>
      </c>
      <c r="AK5529">
        <v>9.9546125609415093</v>
      </c>
      <c r="AL5529">
        <v>90.142534518444094</v>
      </c>
      <c r="AM5529">
        <v>88.339994378821899</v>
      </c>
      <c r="AN5529">
        <v>0.99999996836928595</v>
      </c>
    </row>
    <row r="5530" spans="1:40" x14ac:dyDescent="0.25">
      <c r="A5530" t="str">
        <f>"20190312154407987"</f>
        <v>20190312154407987</v>
      </c>
      <c r="B5530" t="str">
        <f>"1552376647983278"</f>
        <v>1552376647983278</v>
      </c>
      <c r="C5530" t="s">
        <v>40</v>
      </c>
      <c r="D5530">
        <v>5.0502779999999996</v>
      </c>
      <c r="E5530">
        <v>0.37515130000000002</v>
      </c>
      <c r="F5530" t="s">
        <v>70</v>
      </c>
      <c r="G5530">
        <v>-409.00310000000002</v>
      </c>
      <c r="H5530" s="1">
        <v>-3.4317819999999998E-6</v>
      </c>
      <c r="I5530">
        <v>28.799420000000001</v>
      </c>
      <c r="J5530">
        <v>-417.36930000000001</v>
      </c>
      <c r="K5530">
        <v>1.121097</v>
      </c>
      <c r="L5530">
        <v>34.46884</v>
      </c>
      <c r="M5530">
        <v>0.63035759999999996</v>
      </c>
      <c r="N5530">
        <v>0</v>
      </c>
      <c r="O5530">
        <v>-0.7761382</v>
      </c>
      <c r="P5530">
        <v>0.608050599999999</v>
      </c>
      <c r="Q5530">
        <v>-1.909249E-2</v>
      </c>
      <c r="R5530">
        <v>-0.79366899999999996</v>
      </c>
      <c r="S5530">
        <v>2.6122130000000001</v>
      </c>
      <c r="T5530">
        <v>-0.34626879999999999</v>
      </c>
      <c r="U5530">
        <v>-1.782043</v>
      </c>
      <c r="V5530">
        <v>2.8436889999999999E-2</v>
      </c>
      <c r="W5530">
        <v>-2.25019E-3</v>
      </c>
      <c r="X5530">
        <v>0.99959310000000001</v>
      </c>
      <c r="Y5530">
        <v>-0.28128350000000002</v>
      </c>
      <c r="Z5530">
        <v>9.4486180000000003E-2</v>
      </c>
      <c r="AA5530">
        <v>0.95496179999999997</v>
      </c>
      <c r="AB5530">
        <v>25</v>
      </c>
      <c r="AC5530">
        <v>8.3661999999999903</v>
      </c>
      <c r="AD5530">
        <v>-1.1211004317819999</v>
      </c>
      <c r="AE5530">
        <v>-5.6694199999999899</v>
      </c>
      <c r="AF5530">
        <v>-2.88444768132389</v>
      </c>
      <c r="AG5530">
        <v>-1.1211004317819999</v>
      </c>
      <c r="AH5530">
        <v>9.5575888927600001</v>
      </c>
      <c r="AI5530">
        <v>96.407293296295904</v>
      </c>
      <c r="AJ5530">
        <v>106.793634808943</v>
      </c>
      <c r="AK5530">
        <v>10.0461141765085</v>
      </c>
      <c r="AL5530">
        <v>90.128926493382394</v>
      </c>
      <c r="AM5530">
        <v>88.370462491198197</v>
      </c>
      <c r="AN5530">
        <v>1.00000004281775</v>
      </c>
    </row>
    <row r="5531" spans="1:40" x14ac:dyDescent="0.25">
      <c r="A5531" t="str">
        <f>"20190312154407998"</f>
        <v>20190312154407998</v>
      </c>
      <c r="B5531" t="str">
        <f>"1552376647993039"</f>
        <v>1552376647993039</v>
      </c>
      <c r="C5531" t="s">
        <v>40</v>
      </c>
      <c r="D5531">
        <v>5.0490750000000002</v>
      </c>
      <c r="E5531">
        <v>0.37553039999999999</v>
      </c>
      <c r="F5531" t="s">
        <v>70</v>
      </c>
      <c r="G5531">
        <v>-408.86399999999998</v>
      </c>
      <c r="H5531" s="1">
        <v>-3.4966929999999999E-6</v>
      </c>
      <c r="I5531">
        <v>28.770659999999999</v>
      </c>
      <c r="J5531">
        <v>-417.2799</v>
      </c>
      <c r="K5531">
        <v>1.121081</v>
      </c>
      <c r="L5531">
        <v>34.373259999999902</v>
      </c>
      <c r="M5531">
        <v>0.63694819999999996</v>
      </c>
      <c r="N5531">
        <v>0</v>
      </c>
      <c r="O5531">
        <v>-0.77073840000000005</v>
      </c>
      <c r="P5531">
        <v>0.61498649999999999</v>
      </c>
      <c r="Q5531">
        <v>-1.8756020000000002E-2</v>
      </c>
      <c r="R5531">
        <v>-0.78831450000000003</v>
      </c>
      <c r="S5531">
        <v>2.6262819999999998</v>
      </c>
      <c r="T5531">
        <v>-0.34617520000000002</v>
      </c>
      <c r="U5531">
        <v>-1.7594909999999999</v>
      </c>
      <c r="V5531">
        <v>2.8185959999999999E-2</v>
      </c>
      <c r="W5531">
        <v>-1.921435E-3</v>
      </c>
      <c r="X5531">
        <v>0.99960079999999996</v>
      </c>
      <c r="Y5531">
        <v>-0.28115889999999999</v>
      </c>
      <c r="Z5531">
        <v>9.4002139999999998E-2</v>
      </c>
      <c r="AA5531">
        <v>0.95504619999999996</v>
      </c>
      <c r="AB5531">
        <v>25</v>
      </c>
      <c r="AC5531">
        <v>8.4158999999999597</v>
      </c>
      <c r="AD5531">
        <v>-1.121084496693</v>
      </c>
      <c r="AE5531">
        <v>-5.60259999999999</v>
      </c>
      <c r="AF5531">
        <v>-2.8828231796058699</v>
      </c>
      <c r="AG5531">
        <v>-1.121084496693</v>
      </c>
      <c r="AH5531">
        <v>9.5623104806984802</v>
      </c>
      <c r="AI5531">
        <v>96.404625569577604</v>
      </c>
      <c r="AJ5531">
        <v>106.77688676524799</v>
      </c>
      <c r="AK5531">
        <v>10.050138390234901</v>
      </c>
      <c r="AL5531">
        <v>90.1100901893751</v>
      </c>
      <c r="AM5531">
        <v>88.384846479997606</v>
      </c>
      <c r="AN5531">
        <v>0.99999994980710905</v>
      </c>
    </row>
    <row r="5532" spans="1:40" x14ac:dyDescent="0.25">
      <c r="A5532" t="str">
        <f>"20190312154408011"</f>
        <v>20190312154408011</v>
      </c>
      <c r="B5532" t="str">
        <f>"1552376648002799"</f>
        <v>1552376648002799</v>
      </c>
      <c r="C5532" t="s">
        <v>40</v>
      </c>
      <c r="D5532">
        <v>5.0602609999999997</v>
      </c>
      <c r="E5532">
        <v>0.37595440000000002</v>
      </c>
      <c r="F5532" t="s">
        <v>70</v>
      </c>
      <c r="G5532">
        <v>-408.74540000000002</v>
      </c>
      <c r="H5532" s="1">
        <v>-3.5525739999999998E-6</v>
      </c>
      <c r="I5532">
        <v>28.749320000000001</v>
      </c>
      <c r="J5532">
        <v>-417.18979999999999</v>
      </c>
      <c r="K5532">
        <v>1.121068</v>
      </c>
      <c r="L5532">
        <v>34.277830000000002</v>
      </c>
      <c r="M5532">
        <v>0.64351369999999997</v>
      </c>
      <c r="N5532">
        <v>0</v>
      </c>
      <c r="O5532">
        <v>-0.76526530000000004</v>
      </c>
      <c r="P5532">
        <v>0.62245150000000005</v>
      </c>
      <c r="Q5532">
        <v>-1.8474330000000001E-2</v>
      </c>
      <c r="R5532">
        <v>-0.78244029999999998</v>
      </c>
      <c r="S5532">
        <v>2.6387330000000002</v>
      </c>
      <c r="T5532">
        <v>-0.34662090000000001</v>
      </c>
      <c r="U5532">
        <v>-1.738831</v>
      </c>
      <c r="V5532">
        <v>2.7227350000000001E-2</v>
      </c>
      <c r="W5532">
        <v>-1.6658860000000001E-3</v>
      </c>
      <c r="X5532">
        <v>0.99962790000000001</v>
      </c>
      <c r="Y5532">
        <v>-0.28025450000000002</v>
      </c>
      <c r="Z5532">
        <v>9.3627290000000002E-2</v>
      </c>
      <c r="AA5532">
        <v>0.9553488</v>
      </c>
      <c r="AB5532">
        <v>25</v>
      </c>
      <c r="AC5532">
        <v>8.4443999999999697</v>
      </c>
      <c r="AD5532">
        <v>-1.121071552574</v>
      </c>
      <c r="AE5532">
        <v>-5.5285099999999998</v>
      </c>
      <c r="AF5532">
        <v>-2.8695095700501998</v>
      </c>
      <c r="AG5532">
        <v>-1.121071552574</v>
      </c>
      <c r="AH5532">
        <v>9.5483186063330301</v>
      </c>
      <c r="AI5532">
        <v>96.415531545877002</v>
      </c>
      <c r="AJ5532">
        <v>106.72684300474501</v>
      </c>
      <c r="AK5532">
        <v>10.033009259770701</v>
      </c>
      <c r="AL5532">
        <v>90.095448279082504</v>
      </c>
      <c r="AM5532">
        <v>88.439792813885106</v>
      </c>
      <c r="AN5532">
        <v>1.00000002111129</v>
      </c>
    </row>
    <row r="5533" spans="1:40" x14ac:dyDescent="0.25">
      <c r="A5533" t="str">
        <f>"20190312154408021"</f>
        <v>20190312154408021</v>
      </c>
      <c r="B5533" t="str">
        <f>"1552376648013534"</f>
        <v>1552376648013534</v>
      </c>
      <c r="C5533" t="s">
        <v>40</v>
      </c>
      <c r="D5533">
        <v>5.0703019999999999</v>
      </c>
      <c r="E5533">
        <v>0.37636389999999997</v>
      </c>
      <c r="F5533" t="s">
        <v>70</v>
      </c>
      <c r="G5533">
        <v>-408.6388</v>
      </c>
      <c r="H5533" s="1">
        <v>-3.60576E-6</v>
      </c>
      <c r="I5533">
        <v>28.746829999999999</v>
      </c>
      <c r="J5533">
        <v>-417.10680000000002</v>
      </c>
      <c r="K5533">
        <v>1.1210560000000001</v>
      </c>
      <c r="L5533">
        <v>34.191769999999998</v>
      </c>
      <c r="M5533">
        <v>0.64945620000000004</v>
      </c>
      <c r="N5533">
        <v>0</v>
      </c>
      <c r="O5533">
        <v>-0.76022869999999998</v>
      </c>
      <c r="P5533">
        <v>0.62910580000000005</v>
      </c>
      <c r="Q5533">
        <v>-1.8886670000000001E-2</v>
      </c>
      <c r="R5533">
        <v>-0.77709039999999996</v>
      </c>
      <c r="S5533">
        <v>2.6525880000000002</v>
      </c>
      <c r="T5533">
        <v>-0.3477652</v>
      </c>
      <c r="U5533">
        <v>-1.715759</v>
      </c>
      <c r="V5533">
        <v>2.6489539999999999E-2</v>
      </c>
      <c r="W5533">
        <v>-2.0994329999999999E-3</v>
      </c>
      <c r="X5533">
        <v>0.9996469</v>
      </c>
      <c r="Y5533">
        <v>-0.28089899999999901</v>
      </c>
      <c r="Z5533">
        <v>9.3531359999999994E-2</v>
      </c>
      <c r="AA5533">
        <v>0.95516889999999999</v>
      </c>
      <c r="AB5533">
        <v>25</v>
      </c>
      <c r="AC5533">
        <v>8.4680000000000106</v>
      </c>
      <c r="AD5533">
        <v>-1.12105960576</v>
      </c>
      <c r="AE5533">
        <v>-5.4449399999999901</v>
      </c>
      <c r="AF5533">
        <v>-2.86620200045415</v>
      </c>
      <c r="AG5533">
        <v>-1.12105960576</v>
      </c>
      <c r="AH5533">
        <v>9.5221700550301094</v>
      </c>
      <c r="AI5533">
        <v>96.432092794182694</v>
      </c>
      <c r="AJ5533">
        <v>106.75195366378099</v>
      </c>
      <c r="AK5533">
        <v>10.0071779790301</v>
      </c>
      <c r="AL5533">
        <v>90.120288736949306</v>
      </c>
      <c r="AM5533">
        <v>88.482080277493395</v>
      </c>
      <c r="AN5533">
        <v>1.00000001401397</v>
      </c>
    </row>
    <row r="5534" spans="1:40" x14ac:dyDescent="0.25">
      <c r="A5534" t="str">
        <f>"20190312154408033"</f>
        <v>20190312154408033</v>
      </c>
      <c r="B5534" t="str">
        <f>"1552376648023295"</f>
        <v>1552376648023295</v>
      </c>
      <c r="C5534" t="s">
        <v>40</v>
      </c>
      <c r="D5534">
        <v>5.0624200000000004</v>
      </c>
      <c r="E5534">
        <v>0.37686449999999999</v>
      </c>
      <c r="F5534" t="s">
        <v>70</v>
      </c>
      <c r="G5534">
        <v>-408.55309999999997</v>
      </c>
      <c r="H5534" s="1">
        <v>-3.6494749999999999E-6</v>
      </c>
      <c r="I5534">
        <v>28.75019</v>
      </c>
      <c r="J5534">
        <v>-417.02519999999998</v>
      </c>
      <c r="K5534">
        <v>1.12104</v>
      </c>
      <c r="L5534">
        <v>34.108339999999998</v>
      </c>
      <c r="M5534">
        <v>0.65521370000000001</v>
      </c>
      <c r="N5534">
        <v>0</v>
      </c>
      <c r="O5534">
        <v>-0.75527230000000001</v>
      </c>
      <c r="P5534">
        <v>0.63548369999999998</v>
      </c>
      <c r="Q5534">
        <v>-1.8786980000000002E-2</v>
      </c>
      <c r="R5534">
        <v>-0.77188610000000002</v>
      </c>
      <c r="S5534">
        <v>2.6644290000000002</v>
      </c>
      <c r="T5534">
        <v>-0.3492072</v>
      </c>
      <c r="U5534">
        <v>-1.695038</v>
      </c>
      <c r="V5534">
        <v>2.5852070000000001E-2</v>
      </c>
      <c r="W5534">
        <v>-2.0181660000000001E-3</v>
      </c>
      <c r="X5534">
        <v>0.99966379999999999</v>
      </c>
      <c r="Y5534">
        <v>-0.28079999999999999</v>
      </c>
      <c r="Z5534">
        <v>9.3495400000000006E-2</v>
      </c>
      <c r="AA5534">
        <v>0.95520150000000004</v>
      </c>
      <c r="AB5534">
        <v>25</v>
      </c>
      <c r="AC5534">
        <v>8.47210000000001</v>
      </c>
      <c r="AD5534">
        <v>-1.121043649475</v>
      </c>
      <c r="AE5534">
        <v>-5.3581500000000002</v>
      </c>
      <c r="AF5534">
        <v>-2.8527053153687101</v>
      </c>
      <c r="AG5534">
        <v>-1.121043649475</v>
      </c>
      <c r="AH5534">
        <v>9.4805708060412606</v>
      </c>
      <c r="AI5534">
        <v>96.460168385875704</v>
      </c>
      <c r="AJ5534">
        <v>106.746549593526</v>
      </c>
      <c r="AK5534">
        <v>9.9637286840179904</v>
      </c>
      <c r="AL5534">
        <v>90.115632465971402</v>
      </c>
      <c r="AM5534">
        <v>88.518617525883897</v>
      </c>
      <c r="AN5534">
        <v>1.0000000577738599</v>
      </c>
    </row>
    <row r="5535" spans="1:40" x14ac:dyDescent="0.25">
      <c r="A5535" t="str">
        <f>"20190312154408042"</f>
        <v>20190312154408042</v>
      </c>
      <c r="B5535" t="str">
        <f>"1552376648033055"</f>
        <v>1552376648033055</v>
      </c>
      <c r="C5535" t="s">
        <v>40</v>
      </c>
      <c r="D5535">
        <v>5.0593490000000001</v>
      </c>
      <c r="E5535">
        <v>0.37746679999999999</v>
      </c>
      <c r="F5535" t="s">
        <v>70</v>
      </c>
      <c r="G5535">
        <v>-408.43950000000001</v>
      </c>
      <c r="H5535" s="1">
        <v>-3.7032859999999998E-6</v>
      </c>
      <c r="I5535">
        <v>28.731069999999999</v>
      </c>
      <c r="J5535">
        <v>-416.94150000000002</v>
      </c>
      <c r="K5535">
        <v>1.1210199999999999</v>
      </c>
      <c r="L5535">
        <v>34.024079999999998</v>
      </c>
      <c r="M5535">
        <v>0.6610374</v>
      </c>
      <c r="N5535">
        <v>0</v>
      </c>
      <c r="O5535">
        <v>-0.75018039999999997</v>
      </c>
      <c r="P5535">
        <v>0.64193210000000001</v>
      </c>
      <c r="Q5535">
        <v>-1.929606E-2</v>
      </c>
      <c r="R5535">
        <v>-0.76651879999999994</v>
      </c>
      <c r="S5535">
        <v>2.6752929999999999</v>
      </c>
      <c r="T5535">
        <v>-0.34931329999999999</v>
      </c>
      <c r="U5535">
        <v>-1.6755369999999901</v>
      </c>
      <c r="V5535">
        <v>2.521135E-2</v>
      </c>
      <c r="W5535">
        <v>-2.5463980000000001E-3</v>
      </c>
      <c r="X5535">
        <v>0.99967890000000004</v>
      </c>
      <c r="Y5535">
        <v>-0.28014230000000001</v>
      </c>
      <c r="Z5535">
        <v>9.3067159999999996E-2</v>
      </c>
      <c r="AA5535">
        <v>0.95543650000000002</v>
      </c>
      <c r="AB5535">
        <v>25</v>
      </c>
      <c r="AC5535">
        <v>8.5020000000000095</v>
      </c>
      <c r="AD5535">
        <v>-1.121023703286</v>
      </c>
      <c r="AE5535">
        <v>-5.29300999999999</v>
      </c>
      <c r="AF5535">
        <v>-2.8438968022667899</v>
      </c>
      <c r="AG5535">
        <v>-1.121023703286</v>
      </c>
      <c r="AH5535">
        <v>9.4733986147623295</v>
      </c>
      <c r="AI5535">
        <v>96.466144388607503</v>
      </c>
      <c r="AJ5535">
        <v>106.709659762342</v>
      </c>
      <c r="AK5535">
        <v>9.9543821746732792</v>
      </c>
      <c r="AL5535">
        <v>90.1458980160739</v>
      </c>
      <c r="AM5535">
        <v>88.555338296221194</v>
      </c>
      <c r="AN5535">
        <v>0.99999999970840303</v>
      </c>
    </row>
    <row r="5536" spans="1:40" x14ac:dyDescent="0.25">
      <c r="A5536" t="str">
        <f>"20190312154408054"</f>
        <v>20190312154408054</v>
      </c>
      <c r="B5536" t="str">
        <f>"1552376648042816"</f>
        <v>1552376648042816</v>
      </c>
      <c r="C5536" t="s">
        <v>40</v>
      </c>
      <c r="D5536">
        <v>5.0417100000000001</v>
      </c>
      <c r="E5536">
        <v>0.37794800000000001</v>
      </c>
      <c r="F5536" t="s">
        <v>70</v>
      </c>
      <c r="G5536">
        <v>-408.38479999999998</v>
      </c>
      <c r="H5536" s="1">
        <v>-3.7335590000000001E-6</v>
      </c>
      <c r="I5536">
        <v>28.746590000000001</v>
      </c>
      <c r="J5536">
        <v>-416.8571</v>
      </c>
      <c r="K5536">
        <v>1.1210039999999999</v>
      </c>
      <c r="L5536">
        <v>33.940519999999999</v>
      </c>
      <c r="M5536">
        <v>0.666821</v>
      </c>
      <c r="N5536">
        <v>0</v>
      </c>
      <c r="O5536">
        <v>-0.74504419999999905</v>
      </c>
      <c r="P5536">
        <v>0.64840030000000004</v>
      </c>
      <c r="Q5536">
        <v>-1.9401720000000001E-2</v>
      </c>
      <c r="R5536">
        <v>-0.76105249999999902</v>
      </c>
      <c r="S5536">
        <v>2.6852420000000001</v>
      </c>
      <c r="T5536">
        <v>-0.35179450000000001</v>
      </c>
      <c r="U5536">
        <v>-1.656158</v>
      </c>
      <c r="V5536">
        <v>2.4480310000000002E-2</v>
      </c>
      <c r="W5536">
        <v>-2.6735819999999999E-3</v>
      </c>
      <c r="X5536">
        <v>0.99969669999999999</v>
      </c>
      <c r="Y5536">
        <v>-0.27924759999999998</v>
      </c>
      <c r="Z5536">
        <v>9.3263319999999997E-2</v>
      </c>
      <c r="AA5536">
        <v>0.95567919999999995</v>
      </c>
      <c r="AB5536">
        <v>25</v>
      </c>
      <c r="AC5536">
        <v>8.4723000000000095</v>
      </c>
      <c r="AD5536">
        <v>-1.1210077335590001</v>
      </c>
      <c r="AE5536">
        <v>-5.1939299999999902</v>
      </c>
      <c r="AF5536">
        <v>-2.8133855073236198</v>
      </c>
      <c r="AG5536">
        <v>-1.1210077335590001</v>
      </c>
      <c r="AH5536">
        <v>9.4008240271440204</v>
      </c>
      <c r="AI5536">
        <v>96.517192457525496</v>
      </c>
      <c r="AJ5536">
        <v>106.660869164128</v>
      </c>
      <c r="AK5536">
        <v>9.8766030972620307</v>
      </c>
      <c r="AL5536">
        <v>90.153185152975894</v>
      </c>
      <c r="AM5536">
        <v>88.597236356496296</v>
      </c>
      <c r="AN5536">
        <v>0.99999996280464698</v>
      </c>
    </row>
    <row r="5537" spans="1:40" x14ac:dyDescent="0.25">
      <c r="A5537" t="str">
        <f>"20190312154408065"</f>
        <v>20190312154408065</v>
      </c>
      <c r="B5537" t="str">
        <f>"1552376648053550"</f>
        <v>1552376648053550</v>
      </c>
      <c r="C5537" t="s">
        <v>40</v>
      </c>
      <c r="D5537">
        <v>5.0695889999999997</v>
      </c>
      <c r="E5537">
        <v>0.3785268</v>
      </c>
      <c r="F5537" t="s">
        <v>70</v>
      </c>
      <c r="G5537">
        <v>-408.28300000000002</v>
      </c>
      <c r="H5537" s="1">
        <v>-3.7834259999999999E-6</v>
      </c>
      <c r="I5537">
        <v>28.738910000000001</v>
      </c>
      <c r="J5537">
        <v>-416.77010000000001</v>
      </c>
      <c r="K5537">
        <v>1.1209849999999999</v>
      </c>
      <c r="L5537">
        <v>33.855350000000001</v>
      </c>
      <c r="M5537">
        <v>0.67271040000000004</v>
      </c>
      <c r="N5537">
        <v>0</v>
      </c>
      <c r="O5537">
        <v>-0.73973109999999997</v>
      </c>
      <c r="P5537">
        <v>0.6546206</v>
      </c>
      <c r="Q5537">
        <v>-1.964716E-2</v>
      </c>
      <c r="R5537">
        <v>-0.7557024</v>
      </c>
      <c r="S5537">
        <v>2.696259</v>
      </c>
      <c r="T5537">
        <v>-0.35251470000000001</v>
      </c>
      <c r="U5537">
        <v>-1.6357120000000001</v>
      </c>
      <c r="V5537">
        <v>2.4213390000000001E-2</v>
      </c>
      <c r="W5537">
        <v>-2.9288249999999999E-3</v>
      </c>
      <c r="X5537">
        <v>0.99970250000000005</v>
      </c>
      <c r="Y5537">
        <v>-0.27866580000000002</v>
      </c>
      <c r="Z5537">
        <v>9.2971200000000004E-2</v>
      </c>
      <c r="AA5537">
        <v>0.95587750000000005</v>
      </c>
      <c r="AB5537">
        <v>25</v>
      </c>
      <c r="AC5537">
        <v>8.4870999999999892</v>
      </c>
      <c r="AD5537">
        <v>-1.1209887834259999</v>
      </c>
      <c r="AE5537">
        <v>-5.1164399999999999</v>
      </c>
      <c r="AF5537">
        <v>-2.8008188033736601</v>
      </c>
      <c r="AG5537">
        <v>-1.1209887834259999</v>
      </c>
      <c r="AH5537">
        <v>9.3754164460896092</v>
      </c>
      <c r="AI5537">
        <v>96.535533397998705</v>
      </c>
      <c r="AJ5537">
        <v>106.633028149277</v>
      </c>
      <c r="AK5537">
        <v>9.8488392899623403</v>
      </c>
      <c r="AL5537">
        <v>90.167809555139499</v>
      </c>
      <c r="AM5537">
        <v>88.612533364043202</v>
      </c>
      <c r="AN5537">
        <v>0.99999997738871105</v>
      </c>
    </row>
    <row r="5538" spans="1:40" x14ac:dyDescent="0.25">
      <c r="A5538" t="str">
        <f>"20190312154408085"</f>
        <v>20190312154408085</v>
      </c>
      <c r="B5538" t="str">
        <f>"1552376648082831"</f>
        <v>1552376648082831</v>
      </c>
      <c r="C5538" t="s">
        <v>40</v>
      </c>
      <c r="D5538">
        <v>5.0302259999999999</v>
      </c>
      <c r="E5538">
        <v>0.39565250000000002</v>
      </c>
      <c r="F5538" t="s">
        <v>70</v>
      </c>
      <c r="G5538">
        <v>-408.18759999999997</v>
      </c>
      <c r="H5538" s="1">
        <v>-3.8295819999999996E-6</v>
      </c>
      <c r="I5538">
        <v>28.7286</v>
      </c>
      <c r="J5538">
        <v>-416.6121</v>
      </c>
      <c r="K5538">
        <v>1.1209579999999999</v>
      </c>
      <c r="L5538">
        <v>33.704560000000001</v>
      </c>
      <c r="M5538">
        <v>0.6831701</v>
      </c>
      <c r="N5538">
        <v>0</v>
      </c>
      <c r="O5538">
        <v>-0.73008219999999902</v>
      </c>
      <c r="P5538">
        <v>0.66615369999999996</v>
      </c>
      <c r="Q5538">
        <v>-1.9470930000000001E-2</v>
      </c>
      <c r="R5538">
        <v>-0.74556060000000002</v>
      </c>
      <c r="S5538">
        <v>2.7061160000000002</v>
      </c>
      <c r="T5538">
        <v>-0.35345280000000001</v>
      </c>
      <c r="U5538">
        <v>-1.6164860000000001</v>
      </c>
      <c r="V5538">
        <v>2.3081049999999999E-2</v>
      </c>
      <c r="W5538">
        <v>-2.7872629999999999E-3</v>
      </c>
      <c r="X5538">
        <v>0.99972969999999906</v>
      </c>
      <c r="Y5538">
        <v>-0.27157579999999998</v>
      </c>
      <c r="Z5538">
        <v>9.2064800000000002E-2</v>
      </c>
      <c r="AA5538">
        <v>0.95800350000000001</v>
      </c>
      <c r="AB5538">
        <v>25</v>
      </c>
      <c r="AC5538">
        <v>8.4245000000000196</v>
      </c>
      <c r="AD5538">
        <v>-1.1209618295820001</v>
      </c>
      <c r="AE5538">
        <v>-4.9759599999999997</v>
      </c>
      <c r="AF5538">
        <v>-2.71585861762484</v>
      </c>
      <c r="AG5538">
        <v>-1.1209618295820001</v>
      </c>
      <c r="AH5538">
        <v>9.2677940680649993</v>
      </c>
      <c r="AI5538">
        <v>96.620767129467197</v>
      </c>
      <c r="AJ5538">
        <v>106.332833144002</v>
      </c>
      <c r="AK5538">
        <v>9.7223685561887603</v>
      </c>
      <c r="AL5538">
        <v>90.159698614927294</v>
      </c>
      <c r="AM5538">
        <v>88.677430647494404</v>
      </c>
      <c r="AN5538">
        <v>0.99999998838311099</v>
      </c>
    </row>
    <row r="5539" spans="1:40" x14ac:dyDescent="0.25">
      <c r="A5539" t="str">
        <f>"20190312154408097"</f>
        <v>20190312154408097</v>
      </c>
      <c r="B5539" t="str">
        <f>"1552376648093567"</f>
        <v>1552376648093567</v>
      </c>
      <c r="C5539" t="s">
        <v>40</v>
      </c>
      <c r="D5539">
        <v>5.0348709999999999</v>
      </c>
      <c r="E5539">
        <v>0.39654349999999999</v>
      </c>
      <c r="F5539" t="s">
        <v>70</v>
      </c>
      <c r="G5539">
        <v>-408.3965</v>
      </c>
      <c r="H5539" s="1">
        <v>-3.6838429999999999E-6</v>
      </c>
      <c r="I5539">
        <v>28.500309999999999</v>
      </c>
      <c r="J5539">
        <v>-416.52289999999999</v>
      </c>
      <c r="K5539">
        <v>1.120941</v>
      </c>
      <c r="L5539">
        <v>33.621580000000002</v>
      </c>
      <c r="M5539">
        <v>0.68894849999999996</v>
      </c>
      <c r="N5539">
        <v>0</v>
      </c>
      <c r="O5539">
        <v>-0.72463199999999905</v>
      </c>
      <c r="P5539">
        <v>0.67256899999999997</v>
      </c>
      <c r="Q5539">
        <v>-1.9181730000000001E-2</v>
      </c>
      <c r="R5539">
        <v>-0.73978569999999999</v>
      </c>
      <c r="S5539">
        <v>2.629089</v>
      </c>
      <c r="T5539">
        <v>-0.35871789999999998</v>
      </c>
      <c r="U5539">
        <v>-1.665405</v>
      </c>
      <c r="V5539">
        <v>2.2385349999999998E-2</v>
      </c>
      <c r="W5539">
        <v>-2.5192270000000002E-3</v>
      </c>
      <c r="X5539">
        <v>0.99974629999999998</v>
      </c>
      <c r="Y5539">
        <v>-0.23857200000000001</v>
      </c>
      <c r="Z5539">
        <v>9.2704490000000001E-2</v>
      </c>
      <c r="AA5539">
        <v>0.96668989999999999</v>
      </c>
      <c r="AB5539">
        <v>25</v>
      </c>
      <c r="AC5539">
        <v>8.1263999999999896</v>
      </c>
      <c r="AD5539">
        <v>-1.1209446838429999</v>
      </c>
      <c r="AE5539">
        <v>-5.12127</v>
      </c>
      <c r="AF5539">
        <v>-2.3289466081379699</v>
      </c>
      <c r="AG5539">
        <v>-1.1209446838429999</v>
      </c>
      <c r="AH5539">
        <v>9.1858138458324099</v>
      </c>
      <c r="AI5539">
        <v>96.746020029186795</v>
      </c>
      <c r="AJ5539">
        <v>104.22683557240001</v>
      </c>
      <c r="AK5539">
        <v>9.5425198610262107</v>
      </c>
      <c r="AL5539">
        <v>90.144341219130197</v>
      </c>
      <c r="AM5539">
        <v>88.717302782375398</v>
      </c>
      <c r="AN5539">
        <v>1.00000005738149</v>
      </c>
    </row>
    <row r="5540" spans="1:40" x14ac:dyDescent="0.25">
      <c r="A5540" t="str">
        <f>"20190312154408108"</f>
        <v>20190312154408108</v>
      </c>
      <c r="B5540" t="str">
        <f>"1552376648103327"</f>
        <v>1552376648103327</v>
      </c>
      <c r="C5540" t="s">
        <v>40</v>
      </c>
      <c r="D5540">
        <v>5.1079299999999996</v>
      </c>
      <c r="E5540">
        <v>0.39501649999999999</v>
      </c>
      <c r="F5540" t="s">
        <v>70</v>
      </c>
      <c r="G5540">
        <v>-408.23439999999999</v>
      </c>
      <c r="H5540" s="1">
        <v>-3.755465E-6</v>
      </c>
      <c r="I5540">
        <v>28.444659999999999</v>
      </c>
      <c r="J5540">
        <v>-416.43349999999998</v>
      </c>
      <c r="K5540">
        <v>1.1209309999999999</v>
      </c>
      <c r="L5540">
        <v>33.538969999999999</v>
      </c>
      <c r="M5540">
        <v>0.69467250000000003</v>
      </c>
      <c r="N5540">
        <v>0</v>
      </c>
      <c r="O5540">
        <v>-0.71914659999999997</v>
      </c>
      <c r="P5540">
        <v>0.67891499999999905</v>
      </c>
      <c r="Q5540">
        <v>-1.8772090000000002E-2</v>
      </c>
      <c r="R5540">
        <v>-0.73397749999999995</v>
      </c>
      <c r="S5540">
        <v>2.6380309999999998</v>
      </c>
      <c r="T5540">
        <v>-0.35677330000000002</v>
      </c>
      <c r="U5540">
        <v>-1.647705</v>
      </c>
      <c r="V5540">
        <v>2.1699820000000002E-2</v>
      </c>
      <c r="W5540">
        <v>-2.1302199999999999E-3</v>
      </c>
      <c r="X5540">
        <v>0.99976220000000005</v>
      </c>
      <c r="Y5540">
        <v>-0.23709160000000001</v>
      </c>
      <c r="Z5540">
        <v>9.1654830000000007E-2</v>
      </c>
      <c r="AA5540">
        <v>0.96715410000000002</v>
      </c>
      <c r="AB5540">
        <v>25</v>
      </c>
      <c r="AC5540">
        <v>8.1990999999999801</v>
      </c>
      <c r="AD5540">
        <v>-1.120934755465</v>
      </c>
      <c r="AE5540">
        <v>-5.0943100000000001</v>
      </c>
      <c r="AF5540">
        <v>-2.3264106937345801</v>
      </c>
      <c r="AG5540">
        <v>-1.120934755465</v>
      </c>
      <c r="AH5540">
        <v>9.2359077361695103</v>
      </c>
      <c r="AI5540">
        <v>96.712312353062799</v>
      </c>
      <c r="AJ5540">
        <v>104.137988183213</v>
      </c>
      <c r="AK5540">
        <v>9.5901341571934093</v>
      </c>
      <c r="AL5540">
        <v>90.122052715275899</v>
      </c>
      <c r="AM5540">
        <v>88.756591403465706</v>
      </c>
      <c r="AN5540">
        <v>0.99999993828705802</v>
      </c>
    </row>
    <row r="5541" spans="1:40" x14ac:dyDescent="0.25">
      <c r="A5541" t="str">
        <f>"20190312154408121"</f>
        <v>20190312154408121</v>
      </c>
      <c r="B5541" t="str">
        <f>"1552376648113086"</f>
        <v>1552376648113086</v>
      </c>
      <c r="C5541" t="s">
        <v>40</v>
      </c>
      <c r="D5541">
        <v>5.002675</v>
      </c>
      <c r="E5541">
        <v>0.39501649999999999</v>
      </c>
      <c r="F5541" t="s">
        <v>70</v>
      </c>
      <c r="G5541">
        <v>-408.07420000000002</v>
      </c>
      <c r="H5541" s="1">
        <v>-3.8388039999999997E-6</v>
      </c>
      <c r="I5541">
        <v>28.459990000000001</v>
      </c>
      <c r="J5541">
        <v>-416.32330000000002</v>
      </c>
      <c r="K5541">
        <v>1.120914</v>
      </c>
      <c r="L5541">
        <v>33.44</v>
      </c>
      <c r="M5541">
        <v>0.70158369999999903</v>
      </c>
      <c r="N5541">
        <v>0</v>
      </c>
      <c r="O5541">
        <v>-0.71240559999999997</v>
      </c>
      <c r="P5541">
        <v>0.68634910000000005</v>
      </c>
      <c r="Q5541">
        <v>-1.8564310000000001E-2</v>
      </c>
      <c r="R5541">
        <v>-0.7270354</v>
      </c>
      <c r="S5541">
        <v>2.6610109999999998</v>
      </c>
      <c r="T5541">
        <v>-0.35682730000000001</v>
      </c>
      <c r="U5541">
        <v>-1.6167910000000001</v>
      </c>
      <c r="V5541">
        <v>2.1177290000000001E-2</v>
      </c>
      <c r="W5541">
        <v>-1.940324E-3</v>
      </c>
      <c r="X5541">
        <v>0.99977389999999999</v>
      </c>
      <c r="Y5541">
        <v>-0.2396759</v>
      </c>
      <c r="Z5541">
        <v>9.1008099999999995E-2</v>
      </c>
      <c r="AA5541">
        <v>0.96657800000000005</v>
      </c>
      <c r="AB5541">
        <v>25</v>
      </c>
      <c r="AC5541">
        <v>8.2490999999999897</v>
      </c>
      <c r="AD5541">
        <v>-1.120917838804</v>
      </c>
      <c r="AE5541">
        <v>-4.9800099999999903</v>
      </c>
      <c r="AF5541">
        <v>-2.3513006159434502</v>
      </c>
      <c r="AG5541">
        <v>-1.120917838804</v>
      </c>
      <c r="AH5541">
        <v>9.2117710430935702</v>
      </c>
      <c r="AI5541">
        <v>96.724299399782794</v>
      </c>
      <c r="AJ5541">
        <v>104.318977415563</v>
      </c>
      <c r="AK5541">
        <v>9.5729722206983503</v>
      </c>
      <c r="AL5541">
        <v>90.111172440643699</v>
      </c>
      <c r="AM5541">
        <v>88.786537720529196</v>
      </c>
      <c r="AN5541">
        <v>1.00000004679508</v>
      </c>
    </row>
    <row r="5542" spans="1:40" x14ac:dyDescent="0.25">
      <c r="A5542" t="str">
        <f>"20190312154408134"</f>
        <v>20190312154408134</v>
      </c>
      <c r="B5542" t="str">
        <f>"1552376648122848"</f>
        <v>1552376648122848</v>
      </c>
      <c r="C5542" t="s">
        <v>40</v>
      </c>
      <c r="D5542">
        <v>5.0304489999999999</v>
      </c>
      <c r="E5542">
        <v>0.3701586</v>
      </c>
      <c r="F5542" t="s">
        <v>70</v>
      </c>
      <c r="G5542">
        <v>-407.90140000000002</v>
      </c>
      <c r="H5542" s="1">
        <v>-3.9222609999999997E-6</v>
      </c>
      <c r="I5542">
        <v>28.44032</v>
      </c>
      <c r="J5542">
        <v>-416.2201</v>
      </c>
      <c r="K5542">
        <v>1.120897</v>
      </c>
      <c r="L5542">
        <v>33.348599999999998</v>
      </c>
      <c r="M5542">
        <v>0.70796029999999999</v>
      </c>
      <c r="N5542">
        <v>0</v>
      </c>
      <c r="O5542">
        <v>-0.70606930000000001</v>
      </c>
      <c r="P5542">
        <v>0.69317850000000003</v>
      </c>
      <c r="Q5542">
        <v>-1.8242149999999999E-2</v>
      </c>
      <c r="R5542">
        <v>-0.72053529999999999</v>
      </c>
      <c r="S5542">
        <v>2.6775509999999998</v>
      </c>
      <c r="T5542">
        <v>-0.35637069999999998</v>
      </c>
      <c r="U5542">
        <v>-1.589539</v>
      </c>
      <c r="V5542">
        <v>2.0730189999999999E-2</v>
      </c>
      <c r="W5542">
        <v>-1.633731E-3</v>
      </c>
      <c r="X5542">
        <v>0.9997838</v>
      </c>
      <c r="Y5542">
        <v>-0.24088950000000001</v>
      </c>
      <c r="Z5542">
        <v>9.0308970000000002E-2</v>
      </c>
      <c r="AA5542">
        <v>0.96634189999999998</v>
      </c>
      <c r="AB5542">
        <v>25</v>
      </c>
      <c r="AC5542">
        <v>8.3186999999999696</v>
      </c>
      <c r="AD5542">
        <v>-1.120900922261</v>
      </c>
      <c r="AE5542">
        <v>-4.9082799999999898</v>
      </c>
      <c r="AF5542">
        <v>-2.3671415174222599</v>
      </c>
      <c r="AG5542">
        <v>-1.120900922261</v>
      </c>
      <c r="AH5542">
        <v>9.2317740399526507</v>
      </c>
      <c r="AI5542">
        <v>96.707905987737803</v>
      </c>
      <c r="AJ5542">
        <v>104.38151087873899</v>
      </c>
      <c r="AK5542">
        <v>9.5961153476692491</v>
      </c>
      <c r="AL5542">
        <v>90.093605930151</v>
      </c>
      <c r="AM5542">
        <v>88.812160965274202</v>
      </c>
      <c r="AN5542">
        <v>1.0000000282984201</v>
      </c>
    </row>
    <row r="5543" spans="1:40" x14ac:dyDescent="0.25">
      <c r="A5543" t="str">
        <f>"20190312154408146"</f>
        <v>20190312154408146</v>
      </c>
      <c r="B5543" t="str">
        <f>"1552376648143343"</f>
        <v>1552376648143343</v>
      </c>
      <c r="C5543" t="s">
        <v>40</v>
      </c>
      <c r="D5543">
        <v>5.0341809999999896</v>
      </c>
      <c r="E5543">
        <v>0.36729210000000001</v>
      </c>
      <c r="F5543" t="s">
        <v>70</v>
      </c>
      <c r="G5543">
        <v>-407.4683</v>
      </c>
      <c r="H5543" s="1">
        <v>-4.2303330000000002E-6</v>
      </c>
      <c r="I5543">
        <v>28.94632</v>
      </c>
      <c r="J5543">
        <v>-416.12029999999999</v>
      </c>
      <c r="K5543">
        <v>1.1208849999999999</v>
      </c>
      <c r="L5543">
        <v>33.261409999999998</v>
      </c>
      <c r="M5543">
        <v>0.71403459999999996</v>
      </c>
      <c r="N5543">
        <v>0</v>
      </c>
      <c r="O5543">
        <v>-0.69992600000000005</v>
      </c>
      <c r="P5543">
        <v>0.69978819999999997</v>
      </c>
      <c r="Q5543">
        <v>-1.8075520000000001E-2</v>
      </c>
      <c r="R5543">
        <v>-0.71412200000000003</v>
      </c>
      <c r="S5543">
        <v>2.835693</v>
      </c>
      <c r="T5543">
        <v>-0.3631856</v>
      </c>
      <c r="U5543">
        <v>-1.4263920000000001</v>
      </c>
      <c r="V5543">
        <v>2.0155409999999999E-2</v>
      </c>
      <c r="W5543">
        <v>-1.485816E-3</v>
      </c>
      <c r="X5543">
        <v>0.99979569999999995</v>
      </c>
      <c r="Y5543">
        <v>-0.29916150000000002</v>
      </c>
      <c r="Z5543">
        <v>9.2190359999999999E-2</v>
      </c>
      <c r="AA5543">
        <v>0.94973859999999999</v>
      </c>
      <c r="AB5543">
        <v>25</v>
      </c>
      <c r="AC5543">
        <v>8.6519999999999797</v>
      </c>
      <c r="AD5543">
        <v>-1.120889230333</v>
      </c>
      <c r="AE5543">
        <v>-4.3150899999999899</v>
      </c>
      <c r="AF5543">
        <v>-2.9355643856958298</v>
      </c>
      <c r="AG5543">
        <v>-1.120889230333</v>
      </c>
      <c r="AH5543">
        <v>9.0772545097743293</v>
      </c>
      <c r="AI5543">
        <v>96.701075091846306</v>
      </c>
      <c r="AJ5543">
        <v>107.921094628585</v>
      </c>
      <c r="AK5543">
        <v>9.6057524621687396</v>
      </c>
      <c r="AL5543">
        <v>90.085131021940995</v>
      </c>
      <c r="AM5543">
        <v>88.845100530690303</v>
      </c>
      <c r="AN5543">
        <v>0.99999994496997002</v>
      </c>
    </row>
    <row r="5544" spans="1:40" x14ac:dyDescent="0.25">
      <c r="A5544" t="str">
        <f>"20190312154408160"</f>
        <v>20190312154408160</v>
      </c>
      <c r="B5544" t="str">
        <f>"1552376648153102"</f>
        <v>1552376648153102</v>
      </c>
      <c r="C5544" t="s">
        <v>40</v>
      </c>
      <c r="D5544">
        <v>5.0184550000000003</v>
      </c>
      <c r="E5544">
        <v>0.36728070000000002</v>
      </c>
      <c r="F5544" t="s">
        <v>70</v>
      </c>
      <c r="G5544">
        <v>-407.55360000000002</v>
      </c>
      <c r="H5544" s="1">
        <v>-4.2191719999999901E-6</v>
      </c>
      <c r="I5544">
        <v>29.124880000000001</v>
      </c>
      <c r="J5544">
        <v>-416.01679999999999</v>
      </c>
      <c r="K5544">
        <v>1.12087</v>
      </c>
      <c r="L5544">
        <v>33.173459999999999</v>
      </c>
      <c r="M5544">
        <v>0.72020439999999997</v>
      </c>
      <c r="N5544">
        <v>0</v>
      </c>
      <c r="O5544">
        <v>-0.69357579999999996</v>
      </c>
      <c r="P5544">
        <v>0.70644069999999903</v>
      </c>
      <c r="Q5544">
        <v>-1.7845179999999999E-2</v>
      </c>
      <c r="R5544">
        <v>-0.70754729999999999</v>
      </c>
      <c r="S5544">
        <v>2.8654169999999999</v>
      </c>
      <c r="T5544">
        <v>-0.37491980000000003</v>
      </c>
      <c r="U5544">
        <v>-1.3836059999999999</v>
      </c>
      <c r="V5544">
        <v>1.9650310000000001E-2</v>
      </c>
      <c r="W5544">
        <v>-1.27282E-3</v>
      </c>
      <c r="X5544">
        <v>0.99980610000000003</v>
      </c>
      <c r="Y5544">
        <v>-0.30579240000000002</v>
      </c>
      <c r="Z5544">
        <v>9.4583130000000001E-2</v>
      </c>
      <c r="AA5544">
        <v>0.94738849999999997</v>
      </c>
      <c r="AB5544">
        <v>25</v>
      </c>
      <c r="AC5544">
        <v>8.4631999999999703</v>
      </c>
      <c r="AD5544">
        <v>-1.120874219172</v>
      </c>
      <c r="AE5544">
        <v>-4.0485800000000003</v>
      </c>
      <c r="AF5544">
        <v>-2.9128685260145901</v>
      </c>
      <c r="AG5544">
        <v>-1.120874219172</v>
      </c>
      <c r="AH5544">
        <v>8.7790675672165293</v>
      </c>
      <c r="AI5544">
        <v>96.909391112463595</v>
      </c>
      <c r="AJ5544">
        <v>108.35569090544401</v>
      </c>
      <c r="AK5544">
        <v>9.3173595731196297</v>
      </c>
      <c r="AL5544">
        <v>90.072927234049899</v>
      </c>
      <c r="AM5544">
        <v>88.874046784921603</v>
      </c>
      <c r="AN5544">
        <v>0.99999999617552904</v>
      </c>
    </row>
    <row r="5545" spans="1:40" x14ac:dyDescent="0.25">
      <c r="A5545" t="str">
        <f>"20190312154408176"</f>
        <v>20190312154408176</v>
      </c>
      <c r="B5545" t="str">
        <f>"1552376648173599"</f>
        <v>1552376648173599</v>
      </c>
      <c r="C5545" t="s">
        <v>40</v>
      </c>
      <c r="D5545">
        <v>4.9862070000000003</v>
      </c>
      <c r="E5545">
        <v>0.36925140000000001</v>
      </c>
      <c r="F5545" t="s">
        <v>70</v>
      </c>
      <c r="G5545">
        <v>-407.36239999999998</v>
      </c>
      <c r="H5545" s="1">
        <v>-4.3099580000000004E-6</v>
      </c>
      <c r="I5545">
        <v>29.094449999999998</v>
      </c>
      <c r="J5545">
        <v>-415.88310000000001</v>
      </c>
      <c r="K5545">
        <v>1.1208530000000001</v>
      </c>
      <c r="L5545">
        <v>33.061549999999997</v>
      </c>
      <c r="M5545">
        <v>0.72804499999999905</v>
      </c>
      <c r="N5545">
        <v>0</v>
      </c>
      <c r="O5545">
        <v>-0.68534119999999998</v>
      </c>
      <c r="P5545">
        <v>0.71518369999999998</v>
      </c>
      <c r="Q5545">
        <v>-1.7432369999999999E-2</v>
      </c>
      <c r="R5545">
        <v>-0.69871949999999905</v>
      </c>
      <c r="S5545">
        <v>2.8784179999999999</v>
      </c>
      <c r="T5545">
        <v>-0.37279709999999999</v>
      </c>
      <c r="U5545">
        <v>-1.3566590000000001</v>
      </c>
      <c r="V5545">
        <v>1.858574E-2</v>
      </c>
      <c r="W5545">
        <v>-8.9271559999999997E-4</v>
      </c>
      <c r="X5545">
        <v>0.99982680000000002</v>
      </c>
      <c r="Y5545">
        <v>-0.30400179999999999</v>
      </c>
      <c r="Z5545">
        <v>9.3153330000000006E-2</v>
      </c>
      <c r="AA5545">
        <v>0.94810620000000001</v>
      </c>
      <c r="AB5545">
        <v>25</v>
      </c>
      <c r="AC5545">
        <v>8.5207000000000299</v>
      </c>
      <c r="AD5545">
        <v>-1.1208573099579999</v>
      </c>
      <c r="AE5545">
        <v>-3.9670999999999998</v>
      </c>
      <c r="AF5545">
        <v>-2.9103508688997399</v>
      </c>
      <c r="AG5545">
        <v>-1.1208573099579999</v>
      </c>
      <c r="AH5545">
        <v>8.7982968710266896</v>
      </c>
      <c r="AI5545">
        <v>96.896394351967601</v>
      </c>
      <c r="AJ5545">
        <v>108.303477264061</v>
      </c>
      <c r="AK5545">
        <v>9.3346928776532199</v>
      </c>
      <c r="AL5545">
        <v>90.051148846644793</v>
      </c>
      <c r="AM5545">
        <v>88.9350537214887</v>
      </c>
      <c r="AN5545">
        <v>0.999999928335362</v>
      </c>
    </row>
    <row r="5546" spans="1:40" x14ac:dyDescent="0.25">
      <c r="A5546" t="str">
        <f>"20190312154408186"</f>
        <v>20190312154408186</v>
      </c>
      <c r="B5546" t="str">
        <f>"1552376648183360"</f>
        <v>1552376648183360</v>
      </c>
      <c r="C5546" t="s">
        <v>40</v>
      </c>
      <c r="D5546">
        <v>4.9756320000000001</v>
      </c>
      <c r="E5546">
        <v>0.3700542</v>
      </c>
      <c r="F5546" t="s">
        <v>70</v>
      </c>
      <c r="G5546">
        <v>-407.03309999999999</v>
      </c>
      <c r="H5546" s="1">
        <v>-4.4539870000000003E-6</v>
      </c>
      <c r="I5546">
        <v>28.9726</v>
      </c>
      <c r="J5546">
        <v>-415.78789999999998</v>
      </c>
      <c r="K5546">
        <v>1.120838</v>
      </c>
      <c r="L5546">
        <v>32.983089999999997</v>
      </c>
      <c r="M5546">
        <v>0.73353699999999999</v>
      </c>
      <c r="N5546">
        <v>0</v>
      </c>
      <c r="O5546">
        <v>-0.67945999999999995</v>
      </c>
      <c r="P5546">
        <v>0.72122189999999997</v>
      </c>
      <c r="Q5546">
        <v>-1.7621290000000001E-2</v>
      </c>
      <c r="R5546">
        <v>-0.69248009999999904</v>
      </c>
      <c r="S5546">
        <v>2.8840029999999999</v>
      </c>
      <c r="T5546">
        <v>-0.36525990000000003</v>
      </c>
      <c r="U5546">
        <v>-1.332489</v>
      </c>
      <c r="V5546">
        <v>1.7954810000000002E-2</v>
      </c>
      <c r="W5546">
        <v>-1.101847E-3</v>
      </c>
      <c r="X5546">
        <v>0.99983820000000001</v>
      </c>
      <c r="Y5546">
        <v>-0.30381609999999998</v>
      </c>
      <c r="Z5546">
        <v>9.0852279999999994E-2</v>
      </c>
      <c r="AA5546">
        <v>0.94838900000000004</v>
      </c>
      <c r="AB5546">
        <v>25</v>
      </c>
      <c r="AC5546">
        <v>8.7547999999999799</v>
      </c>
      <c r="AD5546">
        <v>-1.1208424539869899</v>
      </c>
      <c r="AE5546">
        <v>-4.0104899999999999</v>
      </c>
      <c r="AF5546">
        <v>-2.9668863555670999</v>
      </c>
      <c r="AG5546">
        <v>-1.1208424539869899</v>
      </c>
      <c r="AH5546">
        <v>9.0258359936866395</v>
      </c>
      <c r="AI5546">
        <v>96.728175256069605</v>
      </c>
      <c r="AJ5546">
        <v>108.196233140095</v>
      </c>
      <c r="AK5546">
        <v>9.5668394905757204</v>
      </c>
      <c r="AL5546">
        <v>90.063131195055703</v>
      </c>
      <c r="AM5546">
        <v>88.971209267290305</v>
      </c>
      <c r="AN5546">
        <v>1.00000000772409</v>
      </c>
    </row>
    <row r="5547" spans="1:40" x14ac:dyDescent="0.25">
      <c r="A5547" t="str">
        <f>"20190312154408198"</f>
        <v>20190312154408198</v>
      </c>
      <c r="B5547" t="str">
        <f>"1552376648193118"</f>
        <v>1552376648193118</v>
      </c>
      <c r="C5547" t="s">
        <v>40</v>
      </c>
      <c r="D5547">
        <v>5.0408019999999896</v>
      </c>
      <c r="E5547">
        <v>0.37097570000000002</v>
      </c>
      <c r="F5547" t="s">
        <v>70</v>
      </c>
      <c r="G5547">
        <v>-406.95170000000002</v>
      </c>
      <c r="H5547" s="1">
        <v>-4.4950930000000004E-6</v>
      </c>
      <c r="I5547">
        <v>28.973240000000001</v>
      </c>
      <c r="J5547">
        <v>-415.69920000000002</v>
      </c>
      <c r="K5547">
        <v>1.1208229999999999</v>
      </c>
      <c r="L5547">
        <v>32.911900000000003</v>
      </c>
      <c r="M5547">
        <v>0.73855890000000002</v>
      </c>
      <c r="N5547">
        <v>0</v>
      </c>
      <c r="O5547">
        <v>-0.67399759999999997</v>
      </c>
      <c r="P5547">
        <v>0.72665139999999995</v>
      </c>
      <c r="Q5547">
        <v>-1.7854539999999999E-2</v>
      </c>
      <c r="R5547">
        <v>-0.68677410000000005</v>
      </c>
      <c r="S5547">
        <v>2.8909910000000001</v>
      </c>
      <c r="T5547">
        <v>-0.36671019999999999</v>
      </c>
      <c r="U5547">
        <v>-1.31192</v>
      </c>
      <c r="V5547">
        <v>1.7504539999999999E-2</v>
      </c>
      <c r="W5547">
        <v>-1.350752E-3</v>
      </c>
      <c r="X5547">
        <v>0.99984589999999995</v>
      </c>
      <c r="Y5547">
        <v>-0.30318869999999998</v>
      </c>
      <c r="Z5547">
        <v>9.0707990000000002E-2</v>
      </c>
      <c r="AA5547">
        <v>0.94860359999999999</v>
      </c>
      <c r="AB5547">
        <v>25</v>
      </c>
      <c r="AC5547">
        <v>8.7475000000000005</v>
      </c>
      <c r="AD5547">
        <v>-1.1208274950929999</v>
      </c>
      <c r="AE5547">
        <v>-3.9386599999999898</v>
      </c>
      <c r="AF5547">
        <v>-2.94701950466209</v>
      </c>
      <c r="AG5547">
        <v>-1.1208274950929999</v>
      </c>
      <c r="AH5547">
        <v>8.9936027370686809</v>
      </c>
      <c r="AI5547">
        <v>96.754021199384795</v>
      </c>
      <c r="AJ5547">
        <v>108.142910771716</v>
      </c>
      <c r="AK5547">
        <v>9.5302711622925305</v>
      </c>
      <c r="AL5547">
        <v>90.077392410089601</v>
      </c>
      <c r="AM5547">
        <v>88.997011624117604</v>
      </c>
      <c r="AN5547">
        <v>1.0000000285991899</v>
      </c>
    </row>
    <row r="5548" spans="1:40" x14ac:dyDescent="0.25">
      <c r="A5548" t="str">
        <f>"20190312154408209"</f>
        <v>20190312154408209</v>
      </c>
      <c r="B5548" t="str">
        <f>"1552376648202879"</f>
        <v>1552376648202879</v>
      </c>
      <c r="C5548" t="s">
        <v>40</v>
      </c>
      <c r="D5548">
        <v>5.0415660000000004</v>
      </c>
      <c r="E5548">
        <v>0.37192160000000002</v>
      </c>
      <c r="F5548" t="s">
        <v>70</v>
      </c>
      <c r="G5548">
        <v>-406.8947</v>
      </c>
      <c r="H5548" s="1">
        <v>-4.5244619999999998E-6</v>
      </c>
      <c r="I5548">
        <v>28.9773</v>
      </c>
      <c r="J5548">
        <v>-415.60289999999998</v>
      </c>
      <c r="K5548">
        <v>1.120806</v>
      </c>
      <c r="L5548">
        <v>32.83493</v>
      </c>
      <c r="M5548">
        <v>0.74395840000000002</v>
      </c>
      <c r="N5548">
        <v>0</v>
      </c>
      <c r="O5548">
        <v>-0.66803290000000004</v>
      </c>
      <c r="P5548">
        <v>0.73224100000000003</v>
      </c>
      <c r="Q5548">
        <v>-1.8405250000000001E-2</v>
      </c>
      <c r="R5548">
        <v>-0.68079690000000004</v>
      </c>
      <c r="S5548">
        <v>2.8962400000000001</v>
      </c>
      <c r="T5548">
        <v>-0.36869499999999999</v>
      </c>
      <c r="U5548">
        <v>-1.294281</v>
      </c>
      <c r="V5548">
        <v>1.7380139999999999E-2</v>
      </c>
      <c r="W5548">
        <v>-1.909156E-3</v>
      </c>
      <c r="X5548">
        <v>0.99984709999999999</v>
      </c>
      <c r="Y5548">
        <v>-0.30095539999999998</v>
      </c>
      <c r="Z5548">
        <v>9.0570289999999998E-2</v>
      </c>
      <c r="AA5548">
        <v>0.94932760000000005</v>
      </c>
      <c r="AB5548">
        <v>25</v>
      </c>
      <c r="AC5548">
        <v>8.7081999999999695</v>
      </c>
      <c r="AD5548">
        <v>-1.1208105244619999</v>
      </c>
      <c r="AE5548">
        <v>-3.8576299999999999</v>
      </c>
      <c r="AF5548">
        <v>-2.9075638682252598</v>
      </c>
      <c r="AG5548">
        <v>-1.1208105244619999</v>
      </c>
      <c r="AH5548">
        <v>8.9330251155840195</v>
      </c>
      <c r="AI5548">
        <v>96.803656866144195</v>
      </c>
      <c r="AJ5548">
        <v>108.029281221061</v>
      </c>
      <c r="AK5548">
        <v>9.4609239292581098</v>
      </c>
      <c r="AL5548">
        <v>90.109386651099399</v>
      </c>
      <c r="AM5548">
        <v>89.004139343779599</v>
      </c>
      <c r="AN5548">
        <v>0.99999996876073005</v>
      </c>
    </row>
    <row r="5549" spans="1:40" x14ac:dyDescent="0.25">
      <c r="A5549" t="str">
        <f>"20190312154408220"</f>
        <v>20190312154408220</v>
      </c>
      <c r="B5549" t="str">
        <f>"1552376648213615"</f>
        <v>1552376648213615</v>
      </c>
      <c r="C5549" t="s">
        <v>40</v>
      </c>
      <c r="D5549">
        <v>5.0267589999999904</v>
      </c>
      <c r="E5549">
        <v>0.37286439999999998</v>
      </c>
      <c r="F5549" t="s">
        <v>70</v>
      </c>
      <c r="G5549">
        <v>-406.81880000000001</v>
      </c>
      <c r="H5549" s="1">
        <v>-4.5616310000000003E-6</v>
      </c>
      <c r="I5549">
        <v>28.971630000000001</v>
      </c>
      <c r="J5549">
        <v>-415.50880000000001</v>
      </c>
      <c r="K5549">
        <v>1.1207910000000001</v>
      </c>
      <c r="L5549">
        <v>32.761780000000002</v>
      </c>
      <c r="M5549">
        <v>0.74913319999999906</v>
      </c>
      <c r="N5549">
        <v>0</v>
      </c>
      <c r="O5549">
        <v>-0.66222499999999995</v>
      </c>
      <c r="P5549">
        <v>0.73745939999999999</v>
      </c>
      <c r="Q5549">
        <v>-1.8899320000000001E-2</v>
      </c>
      <c r="R5549">
        <v>-0.67512729999999999</v>
      </c>
      <c r="S5549">
        <v>2.9013369999999998</v>
      </c>
      <c r="T5549">
        <v>-0.37019920000000001</v>
      </c>
      <c r="U5549">
        <v>-1.2760309999999999</v>
      </c>
      <c r="V5549">
        <v>1.7465519999999998E-2</v>
      </c>
      <c r="W5549">
        <v>-2.4056699999999999E-3</v>
      </c>
      <c r="X5549">
        <v>0.99984459999999997</v>
      </c>
      <c r="Y5549">
        <v>-0.2991433</v>
      </c>
      <c r="Z5549">
        <v>9.0349070000000004E-2</v>
      </c>
      <c r="AA5549">
        <v>0.94992129999999997</v>
      </c>
      <c r="AB5549">
        <v>25</v>
      </c>
      <c r="AC5549">
        <v>8.6899999999999906</v>
      </c>
      <c r="AD5549">
        <v>-1.1207955616309999</v>
      </c>
      <c r="AE5549">
        <v>-3.7901500000000001</v>
      </c>
      <c r="AF5549">
        <v>-2.87559414074931</v>
      </c>
      <c r="AG5549">
        <v>-1.1207955616309999</v>
      </c>
      <c r="AH5549">
        <v>8.8967204430309703</v>
      </c>
      <c r="AI5549">
        <v>96.8355680310043</v>
      </c>
      <c r="AJ5549">
        <v>107.911847709928</v>
      </c>
      <c r="AK5549">
        <v>9.4168391190849601</v>
      </c>
      <c r="AL5549">
        <v>90.137834867004202</v>
      </c>
      <c r="AM5549">
        <v>88.999245665475399</v>
      </c>
      <c r="AN5549">
        <v>1.0000000278930801</v>
      </c>
    </row>
    <row r="5550" spans="1:40" x14ac:dyDescent="0.25">
      <c r="A5550" t="str">
        <f>"20190312154408232"</f>
        <v>20190312154408232</v>
      </c>
      <c r="B5550" t="str">
        <f>"1552376648223374"</f>
        <v>1552376648223374</v>
      </c>
      <c r="C5550" t="s">
        <v>40</v>
      </c>
      <c r="D5550">
        <v>5.0451920000000001</v>
      </c>
      <c r="E5550">
        <v>0.37381890000000001</v>
      </c>
      <c r="F5550" t="s">
        <v>70</v>
      </c>
      <c r="G5550">
        <v>-406.73719999999997</v>
      </c>
      <c r="H5550" s="1">
        <v>-4.6009869999999999E-6</v>
      </c>
      <c r="I5550">
        <v>28.961770000000001</v>
      </c>
      <c r="J5550">
        <v>-415.4074</v>
      </c>
      <c r="K5550">
        <v>1.1207739999999999</v>
      </c>
      <c r="L5550">
        <v>32.683590000000002</v>
      </c>
      <c r="M5550">
        <v>0.75464430000000005</v>
      </c>
      <c r="N5550">
        <v>0</v>
      </c>
      <c r="O5550">
        <v>-0.65593780000000002</v>
      </c>
      <c r="P5550">
        <v>0.74292919999999996</v>
      </c>
      <c r="Q5550">
        <v>-1.9084469999999999E-2</v>
      </c>
      <c r="R5550">
        <v>-0.66909799999999997</v>
      </c>
      <c r="S5550">
        <v>2.9059750000000002</v>
      </c>
      <c r="T5550">
        <v>-0.37130960000000002</v>
      </c>
      <c r="U5550">
        <v>-1.2589109999999999</v>
      </c>
      <c r="V5550">
        <v>1.7689659999999999E-2</v>
      </c>
      <c r="W5550">
        <v>-2.589881E-3</v>
      </c>
      <c r="X5550">
        <v>0.99984019999999996</v>
      </c>
      <c r="Y5550">
        <v>-0.2964386</v>
      </c>
      <c r="Z5550">
        <v>8.9930330000000003E-2</v>
      </c>
      <c r="AA5550">
        <v>0.95080849999999995</v>
      </c>
      <c r="AB5550">
        <v>25</v>
      </c>
      <c r="AC5550">
        <v>8.6702000000000208</v>
      </c>
      <c r="AD5550">
        <v>-1.120778600987</v>
      </c>
      <c r="AE5550">
        <v>-3.7218200000000001</v>
      </c>
      <c r="AF5550">
        <v>-2.8387769445007001</v>
      </c>
      <c r="AG5550">
        <v>-1.120778600987</v>
      </c>
      <c r="AH5550">
        <v>8.8603362431109094</v>
      </c>
      <c r="AI5550">
        <v>96.868875778917698</v>
      </c>
      <c r="AJ5550">
        <v>107.76502008519699</v>
      </c>
      <c r="AK5550">
        <v>9.3712516535436095</v>
      </c>
      <c r="AL5550">
        <v>90.148389412392206</v>
      </c>
      <c r="AM5550">
        <v>88.9864009024339</v>
      </c>
      <c r="AN5550">
        <v>1.0000000285452699</v>
      </c>
    </row>
    <row r="5551" spans="1:40" x14ac:dyDescent="0.25">
      <c r="A5551" t="str">
        <f>"20190312154408243"</f>
        <v>20190312154408243</v>
      </c>
      <c r="B5551" t="str">
        <f>"1552376648233135"</f>
        <v>1552376648233135</v>
      </c>
      <c r="C5551" t="s">
        <v>40</v>
      </c>
      <c r="D5551">
        <v>5.048279</v>
      </c>
      <c r="E5551">
        <v>0.37381890000000001</v>
      </c>
      <c r="F5551" t="s">
        <v>70</v>
      </c>
      <c r="G5551">
        <v>-406.63529999999997</v>
      </c>
      <c r="H5551" s="1">
        <v>-4.6491580000000004E-6</v>
      </c>
      <c r="I5551">
        <v>28.944459999999999</v>
      </c>
      <c r="J5551">
        <v>-415.30410000000001</v>
      </c>
      <c r="K5551">
        <v>1.120757</v>
      </c>
      <c r="L5551">
        <v>32.605620000000002</v>
      </c>
      <c r="M5551">
        <v>0.76015869999999996</v>
      </c>
      <c r="N5551">
        <v>0</v>
      </c>
      <c r="O5551">
        <v>-0.64953939999999999</v>
      </c>
      <c r="P5551">
        <v>0.74857439999999997</v>
      </c>
      <c r="Q5551">
        <v>-1.9472139999999999E-2</v>
      </c>
      <c r="R5551">
        <v>-0.6627651</v>
      </c>
      <c r="S5551">
        <v>2.911041</v>
      </c>
      <c r="T5551">
        <v>-0.37193419999999999</v>
      </c>
      <c r="U5551">
        <v>-1.240845</v>
      </c>
      <c r="V5551">
        <v>1.7661929999999999E-2</v>
      </c>
      <c r="W5551">
        <v>-2.9832819999999999E-3</v>
      </c>
      <c r="X5551">
        <v>0.99983949999999999</v>
      </c>
      <c r="Y5551">
        <v>-0.29398479999999999</v>
      </c>
      <c r="Z5551">
        <v>8.9384630000000007E-2</v>
      </c>
      <c r="AA5551">
        <v>0.95162139999999995</v>
      </c>
      <c r="AB5551">
        <v>25</v>
      </c>
      <c r="AC5551">
        <v>8.6688000000000294</v>
      </c>
      <c r="AD5551">
        <v>-1.1207616491579999</v>
      </c>
      <c r="AE5551">
        <v>-3.6611600000000002</v>
      </c>
      <c r="AF5551">
        <v>-2.8081968939593001</v>
      </c>
      <c r="AG5551">
        <v>-1.1207616491579999</v>
      </c>
      <c r="AH5551">
        <v>8.8434417989730996</v>
      </c>
      <c r="AI5551">
        <v>96.8873870663746</v>
      </c>
      <c r="AJ5551">
        <v>107.617021771973</v>
      </c>
      <c r="AK5551">
        <v>9.34604404661623</v>
      </c>
      <c r="AL5551">
        <v>90.170929732395805</v>
      </c>
      <c r="AM5551">
        <v>88.987988763477404</v>
      </c>
      <c r="AN5551">
        <v>0.99999993475153104</v>
      </c>
    </row>
    <row r="5552" spans="1:40" x14ac:dyDescent="0.25">
      <c r="A5552" t="str">
        <f>"20190312154408254"</f>
        <v>20190312154408254</v>
      </c>
      <c r="B5552" t="str">
        <f>"1552376648242896"</f>
        <v>1552376648242896</v>
      </c>
      <c r="C5552" t="s">
        <v>40</v>
      </c>
      <c r="D5552">
        <v>5.0474759999999996</v>
      </c>
      <c r="E5552">
        <v>0.38833030000000002</v>
      </c>
      <c r="F5552" t="s">
        <v>70</v>
      </c>
      <c r="G5552">
        <v>-406.5145</v>
      </c>
      <c r="H5552" s="1">
        <v>-4.7105369999999996E-6</v>
      </c>
      <c r="I5552">
        <v>28.947610000000001</v>
      </c>
      <c r="J5552">
        <v>-415.21420000000001</v>
      </c>
      <c r="K5552">
        <v>1.120744</v>
      </c>
      <c r="L5552">
        <v>32.538879999999999</v>
      </c>
      <c r="M5552">
        <v>0.76488889999999998</v>
      </c>
      <c r="N5552">
        <v>0</v>
      </c>
      <c r="O5552">
        <v>-0.6439627</v>
      </c>
      <c r="P5552">
        <v>0.75313339999999995</v>
      </c>
      <c r="Q5552">
        <v>-1.9602140000000001E-2</v>
      </c>
      <c r="R5552">
        <v>-0.65757600000000005</v>
      </c>
      <c r="S5552">
        <v>2.9214479999999998</v>
      </c>
      <c r="T5552">
        <v>-0.37251030000000002</v>
      </c>
      <c r="U5552">
        <v>-1.2158199999999999</v>
      </c>
      <c r="V5552">
        <v>1.8069829999999999E-2</v>
      </c>
      <c r="W5552">
        <v>-3.1073479999999998E-3</v>
      </c>
      <c r="X5552">
        <v>0.9998319</v>
      </c>
      <c r="Y5552">
        <v>-0.29516049999999999</v>
      </c>
      <c r="Z5552">
        <v>8.901394E-2</v>
      </c>
      <c r="AA5552">
        <v>0.95129220000000003</v>
      </c>
      <c r="AB5552">
        <v>25</v>
      </c>
      <c r="AC5552">
        <v>8.6997</v>
      </c>
      <c r="AD5552">
        <v>-1.120748710537</v>
      </c>
      <c r="AE5552">
        <v>-3.5912700000000002</v>
      </c>
      <c r="AF5552">
        <v>-2.8157991896441201</v>
      </c>
      <c r="AG5552">
        <v>-1.120748710537</v>
      </c>
      <c r="AH5552">
        <v>8.8427122629147998</v>
      </c>
      <c r="AI5552">
        <v>96.886126003942493</v>
      </c>
      <c r="AJ5552">
        <v>107.663120071645</v>
      </c>
      <c r="AK5552">
        <v>9.3476394299991306</v>
      </c>
      <c r="AL5552">
        <v>90.178038212156693</v>
      </c>
      <c r="AM5552">
        <v>88.964613656188206</v>
      </c>
      <c r="AN5552">
        <v>1.0000000013127099</v>
      </c>
    </row>
    <row r="5553" spans="1:40" x14ac:dyDescent="0.25">
      <c r="A5553" t="str">
        <f>"20190312154408266"</f>
        <v>20190312154408266</v>
      </c>
      <c r="B5553" t="str">
        <f>"1552376648263391"</f>
        <v>1552376648263391</v>
      </c>
      <c r="C5553" t="s">
        <v>40</v>
      </c>
      <c r="D5553">
        <v>5.0373159999999997</v>
      </c>
      <c r="E5553">
        <v>0.39000560000000001</v>
      </c>
      <c r="F5553" t="s">
        <v>70</v>
      </c>
      <c r="G5553">
        <v>-406.68439999999998</v>
      </c>
      <c r="H5553" s="1">
        <v>-4.5817550000000001E-6</v>
      </c>
      <c r="I5553">
        <v>28.70476</v>
      </c>
      <c r="J5553">
        <v>-415.11380000000003</v>
      </c>
      <c r="K5553">
        <v>1.12073</v>
      </c>
      <c r="L5553">
        <v>32.465269999999997</v>
      </c>
      <c r="M5553">
        <v>0.77009899999999998</v>
      </c>
      <c r="N5553">
        <v>0</v>
      </c>
      <c r="O5553">
        <v>-0.63772309999999999</v>
      </c>
      <c r="P5553">
        <v>0.75835390000000003</v>
      </c>
      <c r="Q5553">
        <v>-1.9702870000000001E-2</v>
      </c>
      <c r="R5553">
        <v>-0.65154559999999995</v>
      </c>
      <c r="S5553">
        <v>2.8536380000000001</v>
      </c>
      <c r="T5553">
        <v>-0.37494909999999998</v>
      </c>
      <c r="U5553">
        <v>-1.282715</v>
      </c>
      <c r="V5553">
        <v>1.822435E-2</v>
      </c>
      <c r="W5553">
        <v>-3.2088920000000001E-3</v>
      </c>
      <c r="X5553">
        <v>0.99982879999999996</v>
      </c>
      <c r="Y5553">
        <v>-0.26052209999999998</v>
      </c>
      <c r="Z5553">
        <v>8.8259169999999998E-2</v>
      </c>
      <c r="AA5553">
        <v>0.96142519999999998</v>
      </c>
      <c r="AB5553">
        <v>25</v>
      </c>
      <c r="AC5553">
        <v>8.4294000000000402</v>
      </c>
      <c r="AD5553">
        <v>-1.1207345817550001</v>
      </c>
      <c r="AE5553">
        <v>-3.76051</v>
      </c>
      <c r="AF5553">
        <v>-2.4439454957922102</v>
      </c>
      <c r="AG5553">
        <v>-1.1207345817550001</v>
      </c>
      <c r="AH5553">
        <v>8.7616059912301996</v>
      </c>
      <c r="AI5553">
        <v>97.024055943154494</v>
      </c>
      <c r="AJ5553">
        <v>105.585810377188</v>
      </c>
      <c r="AK5553">
        <v>9.1648597989661305</v>
      </c>
      <c r="AL5553">
        <v>90.1838562791485</v>
      </c>
      <c r="AM5553">
        <v>88.955758502947802</v>
      </c>
      <c r="AN5553">
        <v>1.0000000266151099</v>
      </c>
    </row>
    <row r="5554" spans="1:40" x14ac:dyDescent="0.25">
      <c r="A5554" t="str">
        <f>"20190312154408278"</f>
        <v>20190312154408278</v>
      </c>
      <c r="B5554" t="str">
        <f>"1552376648273151"</f>
        <v>1552376648273151</v>
      </c>
      <c r="C5554" t="s">
        <v>40</v>
      </c>
      <c r="D5554">
        <v>5.0741360000000002</v>
      </c>
      <c r="E5554">
        <v>0.39101459999999999</v>
      </c>
      <c r="F5554" t="s">
        <v>70</v>
      </c>
      <c r="G5554">
        <v>-406.6284</v>
      </c>
      <c r="H5554" s="1">
        <v>-4.607435E-6</v>
      </c>
      <c r="I5554">
        <v>28.6906</v>
      </c>
      <c r="J5554">
        <v>-415.0147</v>
      </c>
      <c r="K5554">
        <v>1.1207100000000001</v>
      </c>
      <c r="L5554">
        <v>32.394350000000003</v>
      </c>
      <c r="M5554">
        <v>0.77515089999999998</v>
      </c>
      <c r="N5554">
        <v>0</v>
      </c>
      <c r="O5554">
        <v>-0.63157280000000005</v>
      </c>
      <c r="P5554">
        <v>0.76320790000000005</v>
      </c>
      <c r="Q5554">
        <v>-1.9365810000000001E-2</v>
      </c>
      <c r="R5554">
        <v>-0.64586269999999901</v>
      </c>
      <c r="S5554">
        <v>2.8549799999999999</v>
      </c>
      <c r="T5554">
        <v>-0.3770809</v>
      </c>
      <c r="U5554">
        <v>-1.2700199999999999</v>
      </c>
      <c r="V5554">
        <v>1.8700669999999999E-2</v>
      </c>
      <c r="W5554">
        <v>-2.8645519999999998E-3</v>
      </c>
      <c r="X5554">
        <v>0.99982099999999996</v>
      </c>
      <c r="Y5554">
        <v>-0.25655509999999998</v>
      </c>
      <c r="Z5554">
        <v>8.8016609999999995E-2</v>
      </c>
      <c r="AA5554">
        <v>0.96251370000000003</v>
      </c>
      <c r="AB5554">
        <v>25</v>
      </c>
      <c r="AC5554">
        <v>8.3863000000000003</v>
      </c>
      <c r="AD5554">
        <v>-1.1207146074349901</v>
      </c>
      <c r="AE5554">
        <v>-3.7037499999999999</v>
      </c>
      <c r="AF5554">
        <v>-2.3901867351960902</v>
      </c>
      <c r="AG5554">
        <v>-1.1207146074349901</v>
      </c>
      <c r="AH5554">
        <v>8.7107981226778897</v>
      </c>
      <c r="AI5554">
        <v>97.072660015385495</v>
      </c>
      <c r="AJ5554">
        <v>105.34394168974001</v>
      </c>
      <c r="AK5554">
        <v>9.1020326188425802</v>
      </c>
      <c r="AL5554">
        <v>90.164126968134795</v>
      </c>
      <c r="AM5554">
        <v>88.928463651435607</v>
      </c>
      <c r="AN5554">
        <v>0.999999976378804</v>
      </c>
    </row>
    <row r="5555" spans="1:40" x14ac:dyDescent="0.25">
      <c r="A5555" t="str">
        <f>"20190312154408290"</f>
        <v>20190312154408290</v>
      </c>
      <c r="B5555" t="str">
        <f>"1552376648282822"</f>
        <v>1552376648282822</v>
      </c>
      <c r="C5555" t="s">
        <v>40</v>
      </c>
      <c r="D5555">
        <v>5.0517310000000002</v>
      </c>
      <c r="E5555">
        <v>0.3920631</v>
      </c>
      <c r="F5555" t="s">
        <v>70</v>
      </c>
      <c r="G5555">
        <v>-406.46910000000003</v>
      </c>
      <c r="H5555" s="1">
        <v>-4.6792619999999996E-6</v>
      </c>
      <c r="I5555">
        <v>28.64387</v>
      </c>
      <c r="J5555">
        <v>-414.90440000000001</v>
      </c>
      <c r="K5555">
        <v>1.120695</v>
      </c>
      <c r="L5555">
        <v>32.316220000000001</v>
      </c>
      <c r="M5555">
        <v>0.7806978</v>
      </c>
      <c r="N5555">
        <v>0</v>
      </c>
      <c r="O5555">
        <v>-0.62470349999999997</v>
      </c>
      <c r="P5555">
        <v>0.76882139999999999</v>
      </c>
      <c r="Q5555">
        <v>-1.9234520000000001E-2</v>
      </c>
      <c r="R5555">
        <v>-0.63917460000000004</v>
      </c>
      <c r="S5555">
        <v>2.859283</v>
      </c>
      <c r="T5555">
        <v>-0.37498330000000002</v>
      </c>
      <c r="U5555">
        <v>-1.254883</v>
      </c>
      <c r="V5555">
        <v>1.8794390000000001E-2</v>
      </c>
      <c r="W5555">
        <v>-2.736114E-3</v>
      </c>
      <c r="X5555">
        <v>0.99981960000000003</v>
      </c>
      <c r="Y5555">
        <v>-0.25294060000000002</v>
      </c>
      <c r="Z5555">
        <v>8.6682170000000003E-2</v>
      </c>
      <c r="AA5555">
        <v>0.96359079999999997</v>
      </c>
      <c r="AB5555">
        <v>25</v>
      </c>
      <c r="AC5555">
        <v>8.4352999999999803</v>
      </c>
      <c r="AD5555">
        <v>-1.1206996792620001</v>
      </c>
      <c r="AE5555">
        <v>-3.6723499999999998</v>
      </c>
      <c r="AF5555">
        <v>-2.3677394766088802</v>
      </c>
      <c r="AG5555">
        <v>-1.1206996792620001</v>
      </c>
      <c r="AH5555">
        <v>8.7508365417673897</v>
      </c>
      <c r="AI5555">
        <v>97.047290220149094</v>
      </c>
      <c r="AJ5555">
        <v>105.14016669040799</v>
      </c>
      <c r="AK5555">
        <v>9.1345113816186991</v>
      </c>
      <c r="AL5555">
        <v>90.156767984148701</v>
      </c>
      <c r="AM5555">
        <v>88.923093309699496</v>
      </c>
      <c r="AN5555">
        <v>0.99999997397972595</v>
      </c>
    </row>
    <row r="5556" spans="1:40" x14ac:dyDescent="0.25">
      <c r="A5556" t="str">
        <f>"20190312154408302"</f>
        <v>20190312154408302</v>
      </c>
      <c r="B5556" t="str">
        <f>"1552376648293557"</f>
        <v>1552376648293557</v>
      </c>
      <c r="C5556" t="s">
        <v>40</v>
      </c>
      <c r="D5556">
        <v>5.0590609999999998</v>
      </c>
      <c r="E5556">
        <v>0.39286409999999999</v>
      </c>
      <c r="F5556" t="s">
        <v>70</v>
      </c>
      <c r="G5556">
        <v>-406.28109999999998</v>
      </c>
      <c r="H5556" s="1">
        <v>-4.7651649999999998E-6</v>
      </c>
      <c r="I5556">
        <v>28.59469</v>
      </c>
      <c r="J5556">
        <v>-414.7998</v>
      </c>
      <c r="K5556">
        <v>1.1206799999999999</v>
      </c>
      <c r="L5556">
        <v>32.243870000000001</v>
      </c>
      <c r="M5556">
        <v>0.78586210000000001</v>
      </c>
      <c r="N5556">
        <v>0</v>
      </c>
      <c r="O5556">
        <v>-0.61819429999999997</v>
      </c>
      <c r="P5556">
        <v>0.77369540000000003</v>
      </c>
      <c r="Q5556">
        <v>-1.933578E-2</v>
      </c>
      <c r="R5556">
        <v>-0.63326280000000001</v>
      </c>
      <c r="S5556">
        <v>2.8648380000000002</v>
      </c>
      <c r="T5556">
        <v>-0.3723166</v>
      </c>
      <c r="U5556">
        <v>-1.236359</v>
      </c>
      <c r="V5556">
        <v>1.9443180000000001E-2</v>
      </c>
      <c r="W5556">
        <v>-2.826556E-3</v>
      </c>
      <c r="X5556">
        <v>0.99980690000000005</v>
      </c>
      <c r="Y5556">
        <v>-0.2509518</v>
      </c>
      <c r="Z5556">
        <v>8.5344459999999997E-2</v>
      </c>
      <c r="AA5556">
        <v>0.96423000000000003</v>
      </c>
      <c r="AB5556">
        <v>24</v>
      </c>
      <c r="AC5556">
        <v>8.5187000000000204</v>
      </c>
      <c r="AD5556">
        <v>-1.12068476516499</v>
      </c>
      <c r="AE5556">
        <v>-3.6491799999999901</v>
      </c>
      <c r="AF5556">
        <v>-2.3641945107159099</v>
      </c>
      <c r="AG5556">
        <v>-1.12068476516499</v>
      </c>
      <c r="AH5556">
        <v>8.8225576441887998</v>
      </c>
      <c r="AI5556">
        <v>96.994999686679705</v>
      </c>
      <c r="AJ5556">
        <v>105.001195564111</v>
      </c>
      <c r="AK5556">
        <v>9.2023297817675704</v>
      </c>
      <c r="AL5556">
        <v>90.1619499560218</v>
      </c>
      <c r="AM5556">
        <v>88.885913117246005</v>
      </c>
      <c r="AN5556">
        <v>0.99999993197746895</v>
      </c>
    </row>
    <row r="5557" spans="1:40" x14ac:dyDescent="0.25">
      <c r="A5557" t="str">
        <f>"20190312154408314"</f>
        <v>20190312154408314</v>
      </c>
      <c r="B5557" t="str">
        <f>"1552376648303317"</f>
        <v>1552376648303317</v>
      </c>
      <c r="C5557" t="s">
        <v>40</v>
      </c>
      <c r="D5557">
        <v>5.0539339999999999</v>
      </c>
      <c r="E5557">
        <v>0.39286409999999999</v>
      </c>
      <c r="F5557" t="s">
        <v>70</v>
      </c>
      <c r="G5557">
        <v>-406.16090000000003</v>
      </c>
      <c r="H5557" s="1">
        <v>-4.8218689999999997E-6</v>
      </c>
      <c r="I5557">
        <v>28.573509999999999</v>
      </c>
      <c r="J5557">
        <v>-414.70389999999998</v>
      </c>
      <c r="K5557">
        <v>1.1206640000000001</v>
      </c>
      <c r="L5557">
        <v>32.178530000000002</v>
      </c>
      <c r="M5557">
        <v>0.79052559999999905</v>
      </c>
      <c r="N5557">
        <v>0</v>
      </c>
      <c r="O5557">
        <v>-0.61221979999999998</v>
      </c>
      <c r="P5557">
        <v>0.77843839999999997</v>
      </c>
      <c r="Q5557">
        <v>-1.925081E-2</v>
      </c>
      <c r="R5557">
        <v>-0.62742589999999998</v>
      </c>
      <c r="S5557">
        <v>2.8700869999999998</v>
      </c>
      <c r="T5557">
        <v>-0.37232209999999899</v>
      </c>
      <c r="U5557">
        <v>-1.2193909999999999</v>
      </c>
      <c r="V5557">
        <v>1.949861E-2</v>
      </c>
      <c r="W5557">
        <v>-2.7451089999999999E-3</v>
      </c>
      <c r="X5557">
        <v>0.99980610000000003</v>
      </c>
      <c r="Y5557">
        <v>-0.2491188</v>
      </c>
      <c r="Z5557">
        <v>8.4668030000000005E-2</v>
      </c>
      <c r="AA5557">
        <v>0.96476479999999998</v>
      </c>
      <c r="AB5557">
        <v>24</v>
      </c>
      <c r="AC5557">
        <v>8.5429999999999495</v>
      </c>
      <c r="AD5557">
        <v>-1.120668821869</v>
      </c>
      <c r="AE5557">
        <v>-3.6050200000000001</v>
      </c>
      <c r="AF5557">
        <v>-2.3463646895878498</v>
      </c>
      <c r="AG5557">
        <v>-1.120668821869</v>
      </c>
      <c r="AH5557">
        <v>8.8326539594511697</v>
      </c>
      <c r="AI5557">
        <v>96.99099181631</v>
      </c>
      <c r="AJ5557">
        <v>104.876839208456</v>
      </c>
      <c r="AK5557">
        <v>9.2074481715762193</v>
      </c>
      <c r="AL5557">
        <v>90.157283359978706</v>
      </c>
      <c r="AM5557">
        <v>88.882736909322801</v>
      </c>
      <c r="AN5557">
        <v>0.99999998450628103</v>
      </c>
    </row>
    <row r="5558" spans="1:40" x14ac:dyDescent="0.25">
      <c r="A5558" t="str">
        <f>"20190312154408326"</f>
        <v>20190312154408326</v>
      </c>
      <c r="B5558" t="str">
        <f>"1552376648313077"</f>
        <v>1552376648313077</v>
      </c>
      <c r="C5558" t="s">
        <v>40</v>
      </c>
      <c r="D5558">
        <v>5.0618339999999904</v>
      </c>
      <c r="E5558">
        <v>0.40101809999999899</v>
      </c>
      <c r="F5558" t="s">
        <v>70</v>
      </c>
      <c r="G5558">
        <v>-406.02859999999998</v>
      </c>
      <c r="H5558" s="1">
        <v>-4.887814E-6</v>
      </c>
      <c r="I5558">
        <v>28.569949999999999</v>
      </c>
      <c r="J5558">
        <v>-414.58690000000001</v>
      </c>
      <c r="K5558">
        <v>1.12064599999999</v>
      </c>
      <c r="L5558">
        <v>32.100009999999997</v>
      </c>
      <c r="M5558">
        <v>0.79612939999999999</v>
      </c>
      <c r="N5558">
        <v>0</v>
      </c>
      <c r="O5558">
        <v>-0.60491470000000003</v>
      </c>
      <c r="P5558">
        <v>0.78400550000000002</v>
      </c>
      <c r="Q5558">
        <v>-1.9376500000000001E-2</v>
      </c>
      <c r="R5558">
        <v>-0.62045159999999999</v>
      </c>
      <c r="S5558">
        <v>2.8793639999999998</v>
      </c>
      <c r="T5558">
        <v>-0.37195230000000001</v>
      </c>
      <c r="U5558">
        <v>-1.1976929999999999</v>
      </c>
      <c r="V5558">
        <v>1.9784340000000001E-2</v>
      </c>
      <c r="W5558">
        <v>-2.8699239999999998E-3</v>
      </c>
      <c r="X5558">
        <v>0.99980009999999997</v>
      </c>
      <c r="Y5558">
        <v>-0.24757119999999999</v>
      </c>
      <c r="Z5558">
        <v>8.3723249999999999E-2</v>
      </c>
      <c r="AA5558">
        <v>0.96524549999999998</v>
      </c>
      <c r="AB5558">
        <v>24</v>
      </c>
      <c r="AC5558">
        <v>8.5583000000000293</v>
      </c>
      <c r="AD5558">
        <v>-1.12065088781399</v>
      </c>
      <c r="AE5558">
        <v>-3.53005999999999</v>
      </c>
      <c r="AF5558">
        <v>-2.3327776454219702</v>
      </c>
      <c r="AG5558">
        <v>-1.12065088781399</v>
      </c>
      <c r="AH5558">
        <v>8.8207937115318096</v>
      </c>
      <c r="AI5558">
        <v>97.002218743211202</v>
      </c>
      <c r="AJ5558">
        <v>104.81349905560501</v>
      </c>
      <c r="AK5558">
        <v>9.1926117973477997</v>
      </c>
      <c r="AL5558">
        <v>90.164434766957399</v>
      </c>
      <c r="AM5558">
        <v>88.866362127019002</v>
      </c>
      <c r="AN5558">
        <v>0.99999994826650396</v>
      </c>
    </row>
    <row r="5559" spans="1:40" x14ac:dyDescent="0.25">
      <c r="A5559" t="str">
        <f>"20190312154408340"</f>
        <v>20190312154408340</v>
      </c>
      <c r="B5559" t="str">
        <f>"1552376648333573"</f>
        <v>1552376648333573</v>
      </c>
      <c r="C5559" t="s">
        <v>40</v>
      </c>
      <c r="D5559">
        <v>5.0642329999999998</v>
      </c>
      <c r="E5559">
        <v>0.40370679999999998</v>
      </c>
      <c r="F5559" t="s">
        <v>70</v>
      </c>
      <c r="G5559">
        <v>-405.8021</v>
      </c>
      <c r="H5559" s="1">
        <v>-4.9586649999999997E-6</v>
      </c>
      <c r="I5559">
        <v>28.3277</v>
      </c>
      <c r="J5559">
        <v>-414.4692</v>
      </c>
      <c r="K5559">
        <v>1.120628</v>
      </c>
      <c r="L5559">
        <v>32.023099999999999</v>
      </c>
      <c r="M5559">
        <v>0.80165140000000001</v>
      </c>
      <c r="N5559">
        <v>0</v>
      </c>
      <c r="O5559">
        <v>-0.59757780000000005</v>
      </c>
      <c r="P5559">
        <v>0.78947679999999998</v>
      </c>
      <c r="Q5559">
        <v>-1.9664569999999999E-2</v>
      </c>
      <c r="R5559">
        <v>-0.61346579999999995</v>
      </c>
      <c r="S5559">
        <v>2.8492739999999999</v>
      </c>
      <c r="T5559">
        <v>-0.36347210000000002</v>
      </c>
      <c r="U5559">
        <v>-1.223511</v>
      </c>
      <c r="V5559">
        <v>2.009992E-2</v>
      </c>
      <c r="W5559">
        <v>-3.157085E-3</v>
      </c>
      <c r="X5559">
        <v>0.99979300000000004</v>
      </c>
      <c r="Y5559">
        <v>-0.22792799999999999</v>
      </c>
      <c r="Z5559">
        <v>8.0557279999999995E-2</v>
      </c>
      <c r="AA5559">
        <v>0.97033979999999997</v>
      </c>
      <c r="AB5559">
        <v>24</v>
      </c>
      <c r="AC5559">
        <v>8.6670999999999996</v>
      </c>
      <c r="AD5559">
        <v>-1.1206329586649999</v>
      </c>
      <c r="AE5559">
        <v>-3.6953999999999998</v>
      </c>
      <c r="AF5559">
        <v>-2.1862012467837801</v>
      </c>
      <c r="AG5559">
        <v>-1.1206329586649999</v>
      </c>
      <c r="AH5559">
        <v>9.02971751656729</v>
      </c>
      <c r="AI5559">
        <v>96.877793705624399</v>
      </c>
      <c r="AJ5559">
        <v>103.61008620264001</v>
      </c>
      <c r="AK5559">
        <v>9.3579427519347096</v>
      </c>
      <c r="AL5559">
        <v>90.1808879450343</v>
      </c>
      <c r="AM5559">
        <v>88.8482761254228</v>
      </c>
      <c r="AN5559">
        <v>1.0000000084093501</v>
      </c>
    </row>
    <row r="5560" spans="1:40" x14ac:dyDescent="0.25">
      <c r="A5560" t="str">
        <f>"20190312154408356"</f>
        <v>20190312154408356</v>
      </c>
      <c r="B5560" t="str">
        <f>"1552376648343333"</f>
        <v>1552376648343333</v>
      </c>
      <c r="C5560" t="s">
        <v>40</v>
      </c>
      <c r="D5560">
        <v>5.0733800000000002</v>
      </c>
      <c r="E5560">
        <v>0.40474979999999999</v>
      </c>
      <c r="F5560" t="s">
        <v>70</v>
      </c>
      <c r="G5560">
        <v>-405.66919999999999</v>
      </c>
      <c r="H5560" s="1">
        <v>-5.0147919999999996E-6</v>
      </c>
      <c r="I5560">
        <v>28.267209999999999</v>
      </c>
      <c r="J5560">
        <v>-414.32310000000001</v>
      </c>
      <c r="K5560">
        <v>1.1206069999999999</v>
      </c>
      <c r="L5560">
        <v>31.92944</v>
      </c>
      <c r="M5560">
        <v>0.80836589999999997</v>
      </c>
      <c r="N5560">
        <v>0</v>
      </c>
      <c r="O5560">
        <v>-0.58846299999999996</v>
      </c>
      <c r="P5560">
        <v>0.79607119999999998</v>
      </c>
      <c r="Q5560">
        <v>-1.928326E-2</v>
      </c>
      <c r="R5560">
        <v>-0.60489609999999905</v>
      </c>
      <c r="S5560">
        <v>2.8468019999999998</v>
      </c>
      <c r="T5560">
        <v>-0.36252420000000002</v>
      </c>
      <c r="U5560">
        <v>-1.2150270000000001</v>
      </c>
      <c r="V5560">
        <v>2.059737E-2</v>
      </c>
      <c r="W5560">
        <v>-2.7722889999999998E-3</v>
      </c>
      <c r="X5560">
        <v>0.99978400000000001</v>
      </c>
      <c r="Y5560">
        <v>-0.21914459999999999</v>
      </c>
      <c r="Z5560">
        <v>7.9092220000000005E-2</v>
      </c>
      <c r="AA5560">
        <v>0.97248140000000005</v>
      </c>
      <c r="AB5560">
        <v>24</v>
      </c>
      <c r="AC5560">
        <v>8.6539000000000197</v>
      </c>
      <c r="AD5560">
        <v>-1.120612014792</v>
      </c>
      <c r="AE5560">
        <v>-3.6622300000000001</v>
      </c>
      <c r="AF5560">
        <v>-2.1024512566351699</v>
      </c>
      <c r="AG5560">
        <v>-1.120612014792</v>
      </c>
      <c r="AH5560">
        <v>9.0234498955082003</v>
      </c>
      <c r="AI5560">
        <v>96.896379861545995</v>
      </c>
      <c r="AJ5560">
        <v>103.11583280178201</v>
      </c>
      <c r="AK5560">
        <v>9.3326695318633206</v>
      </c>
      <c r="AL5560">
        <v>90.158840664034102</v>
      </c>
      <c r="AM5560">
        <v>88.819769622232997</v>
      </c>
      <c r="AN5560">
        <v>0.99999999194660805</v>
      </c>
    </row>
    <row r="5561" spans="1:40" x14ac:dyDescent="0.25">
      <c r="A5561" t="str">
        <f>"20190312154408370"</f>
        <v>20190312154408370</v>
      </c>
      <c r="B5561" t="str">
        <f>"1552376648362854"</f>
        <v>1552376648362854</v>
      </c>
      <c r="C5561" t="s">
        <v>40</v>
      </c>
      <c r="D5561">
        <v>5.0875339999999998</v>
      </c>
      <c r="E5561">
        <v>0.40676689999999999</v>
      </c>
      <c r="F5561" t="s">
        <v>70</v>
      </c>
      <c r="G5561">
        <v>-405.50760000000002</v>
      </c>
      <c r="H5561" s="1">
        <v>-5.0937610000000002E-6</v>
      </c>
      <c r="I5561">
        <v>28.254239999999999</v>
      </c>
      <c r="J5561">
        <v>-414.19630000000001</v>
      </c>
      <c r="K5561">
        <v>1.1205799999999999</v>
      </c>
      <c r="L5561">
        <v>31.849730000000001</v>
      </c>
      <c r="M5561">
        <v>0.81407369999999901</v>
      </c>
      <c r="N5561">
        <v>0</v>
      </c>
      <c r="O5561">
        <v>-0.58054139999999999</v>
      </c>
      <c r="P5561">
        <v>0.80177580000000004</v>
      </c>
      <c r="Q5561">
        <v>-1.8767619999999999E-2</v>
      </c>
      <c r="R5561">
        <v>-0.59733049999999999</v>
      </c>
      <c r="S5561">
        <v>2.8552550000000001</v>
      </c>
      <c r="T5561">
        <v>-0.36295719999999998</v>
      </c>
      <c r="U5561">
        <v>-1.190369</v>
      </c>
      <c r="V5561">
        <v>2.0872439999999999E-2</v>
      </c>
      <c r="W5561">
        <v>-2.2580719999999999E-3</v>
      </c>
      <c r="X5561">
        <v>0.99977959999999999</v>
      </c>
      <c r="Y5561">
        <v>-0.217832</v>
      </c>
      <c r="Z5561">
        <v>7.8317399999999995E-2</v>
      </c>
      <c r="AA5561">
        <v>0.97283889999999995</v>
      </c>
      <c r="AB5561">
        <v>24</v>
      </c>
      <c r="AC5561">
        <v>8.6886999999999794</v>
      </c>
      <c r="AD5561">
        <v>-1.120585093761</v>
      </c>
      <c r="AE5561">
        <v>-3.5954899999999901</v>
      </c>
      <c r="AF5561">
        <v>-2.0877773838194398</v>
      </c>
      <c r="AG5561">
        <v>-1.120585093761</v>
      </c>
      <c r="AH5561">
        <v>9.0334557779347708</v>
      </c>
      <c r="AI5561">
        <v>96.891479254594799</v>
      </c>
      <c r="AJ5561">
        <v>103.013486523878</v>
      </c>
      <c r="AK5561">
        <v>9.33904966517742</v>
      </c>
      <c r="AL5561">
        <v>90.129378104982095</v>
      </c>
      <c r="AM5561">
        <v>88.804007382738803</v>
      </c>
      <c r="AN5561">
        <v>1.00000000310843</v>
      </c>
    </row>
    <row r="5562" spans="1:40" x14ac:dyDescent="0.25">
      <c r="A5562" t="str">
        <f>"20190312154408383"</f>
        <v>20190312154408383</v>
      </c>
      <c r="B5562" t="str">
        <f>"1552376648373589"</f>
        <v>1552376648373589</v>
      </c>
      <c r="C5562" t="s">
        <v>40</v>
      </c>
      <c r="D5562">
        <v>5.03965</v>
      </c>
      <c r="E5562">
        <v>0.40676689999999999</v>
      </c>
      <c r="F5562" t="s">
        <v>70</v>
      </c>
      <c r="G5562">
        <v>-405.1902</v>
      </c>
      <c r="H5562" s="1">
        <v>-5.2333460000000004E-6</v>
      </c>
      <c r="I5562">
        <v>28.14086</v>
      </c>
      <c r="J5562">
        <v>-414.0718</v>
      </c>
      <c r="K5562">
        <v>1.1205510000000001</v>
      </c>
      <c r="L5562">
        <v>31.77356</v>
      </c>
      <c r="M5562">
        <v>0.81955230000000001</v>
      </c>
      <c r="N5562">
        <v>0</v>
      </c>
      <c r="O5562">
        <v>-0.57278169999999995</v>
      </c>
      <c r="P5562">
        <v>0.80743310000000001</v>
      </c>
      <c r="Q5562">
        <v>-1.840427E-2</v>
      </c>
      <c r="R5562">
        <v>-0.58967230000000004</v>
      </c>
      <c r="S5562">
        <v>2.856903</v>
      </c>
      <c r="T5562">
        <v>-0.3554678</v>
      </c>
      <c r="U5562">
        <v>-1.1765139999999901</v>
      </c>
      <c r="V5562">
        <v>2.0840910000000001E-2</v>
      </c>
      <c r="W5562">
        <v>-1.9049480000000001E-3</v>
      </c>
      <c r="X5562">
        <v>0.99978100000000003</v>
      </c>
      <c r="Y5562">
        <v>-0.21304049999999999</v>
      </c>
      <c r="Z5562">
        <v>7.5756329999999997E-2</v>
      </c>
      <c r="AA5562">
        <v>0.97410200000000002</v>
      </c>
      <c r="AB5562">
        <v>24</v>
      </c>
      <c r="AC5562">
        <v>8.8815999999999899</v>
      </c>
      <c r="AD5562">
        <v>-1.120556233346</v>
      </c>
      <c r="AE5562">
        <v>-3.6326999999999998</v>
      </c>
      <c r="AF5562">
        <v>-2.0819094414867498</v>
      </c>
      <c r="AG5562">
        <v>-1.120556233346</v>
      </c>
      <c r="AH5562">
        <v>9.2349411581694003</v>
      </c>
      <c r="AI5562">
        <v>96.750584785798395</v>
      </c>
      <c r="AJ5562">
        <v>102.70428395115999</v>
      </c>
      <c r="AK5562">
        <v>9.5327924234976091</v>
      </c>
      <c r="AL5562">
        <v>90.109145545494897</v>
      </c>
      <c r="AM5562">
        <v>88.8058152026355</v>
      </c>
      <c r="AN5562">
        <v>1.0000000101587501</v>
      </c>
    </row>
    <row r="5563" spans="1:40" x14ac:dyDescent="0.25">
      <c r="A5563" t="str">
        <f>"20190312154408400"</f>
        <v>20190312154408400</v>
      </c>
      <c r="B5563" t="str">
        <f>"1552376648393618"</f>
        <v>1552376648393618</v>
      </c>
      <c r="C5563" t="s">
        <v>40</v>
      </c>
      <c r="D5563">
        <v>5.0548390000000003</v>
      </c>
      <c r="E5563">
        <v>0.40839619999999999</v>
      </c>
      <c r="F5563" t="s">
        <v>70</v>
      </c>
      <c r="G5563">
        <v>-405.00170000000003</v>
      </c>
      <c r="H5563" s="1">
        <v>-5.3277440000000002E-6</v>
      </c>
      <c r="I5563">
        <v>28.13833</v>
      </c>
      <c r="J5563">
        <v>-413.92090000000002</v>
      </c>
      <c r="K5563">
        <v>1.120512</v>
      </c>
      <c r="L5563">
        <v>31.68329</v>
      </c>
      <c r="M5563">
        <v>0.82604319999999898</v>
      </c>
      <c r="N5563">
        <v>0</v>
      </c>
      <c r="O5563">
        <v>-0.56338069999999996</v>
      </c>
      <c r="P5563">
        <v>0.81397659999999905</v>
      </c>
      <c r="Q5563">
        <v>-1.7545470000000001E-2</v>
      </c>
      <c r="R5563">
        <v>-0.58063310000000001</v>
      </c>
      <c r="S5563">
        <v>2.86795</v>
      </c>
      <c r="T5563">
        <v>-0.3543152</v>
      </c>
      <c r="U5563">
        <v>-1.1494450000000001</v>
      </c>
      <c r="V5563">
        <v>2.1084459999999999E-2</v>
      </c>
      <c r="W5563">
        <v>-1.053086E-3</v>
      </c>
      <c r="X5563">
        <v>0.99977709999999997</v>
      </c>
      <c r="Y5563">
        <v>-0.2111933</v>
      </c>
      <c r="Z5563">
        <v>7.4429800000000004E-2</v>
      </c>
      <c r="AA5563">
        <v>0.97460639999999998</v>
      </c>
      <c r="AB5563">
        <v>24</v>
      </c>
      <c r="AC5563">
        <v>8.9191999999999894</v>
      </c>
      <c r="AD5563">
        <v>-1.1205173277439999</v>
      </c>
      <c r="AE5563">
        <v>-3.5449600000000001</v>
      </c>
      <c r="AF5563">
        <v>-2.0686864937918399</v>
      </c>
      <c r="AG5563">
        <v>-1.1205173277439999</v>
      </c>
      <c r="AH5563">
        <v>9.2400600469519993</v>
      </c>
      <c r="AI5563">
        <v>96.748872122086496</v>
      </c>
      <c r="AJ5563">
        <v>102.61941874314699</v>
      </c>
      <c r="AK5563">
        <v>9.5348692997151101</v>
      </c>
      <c r="AL5563">
        <v>90.060337397037401</v>
      </c>
      <c r="AM5563">
        <v>88.791859180907807</v>
      </c>
      <c r="AN5563">
        <v>0.99999995656401097</v>
      </c>
    </row>
    <row r="5564" spans="1:40" x14ac:dyDescent="0.25">
      <c r="A5564" t="str">
        <f>"20190312154408421"</f>
        <v>20190312154408421</v>
      </c>
      <c r="B5564" t="str">
        <f>"1552376648413138"</f>
        <v>1552376648413138</v>
      </c>
      <c r="C5564" t="s">
        <v>40</v>
      </c>
      <c r="D5564">
        <v>5.0824189999999998</v>
      </c>
      <c r="E5564">
        <v>0.41084720000000002</v>
      </c>
      <c r="F5564" t="s">
        <v>70</v>
      </c>
      <c r="G5564">
        <v>-402.43290000000002</v>
      </c>
      <c r="H5564" s="1">
        <v>-6.1811239999999998E-6</v>
      </c>
      <c r="I5564">
        <v>27.15362</v>
      </c>
      <c r="J5564">
        <v>-413.72250000000003</v>
      </c>
      <c r="K5564">
        <v>1.1204480000000001</v>
      </c>
      <c r="L5564">
        <v>31.567869999999999</v>
      </c>
      <c r="M5564">
        <v>0.83432430000000002</v>
      </c>
      <c r="N5564">
        <v>0</v>
      </c>
      <c r="O5564">
        <v>-0.55104299999999995</v>
      </c>
      <c r="P5564">
        <v>0.82273050000000003</v>
      </c>
      <c r="Q5564">
        <v>-1.7819649999999999E-2</v>
      </c>
      <c r="R5564">
        <v>-0.56815249999999995</v>
      </c>
      <c r="S5564">
        <v>2.8718569999999999</v>
      </c>
      <c r="T5564">
        <v>-0.28011419999999998</v>
      </c>
      <c r="U5564">
        <v>-1.132355</v>
      </c>
      <c r="V5564">
        <v>2.0705830000000001E-2</v>
      </c>
      <c r="W5564">
        <v>-1.356922E-3</v>
      </c>
      <c r="X5564">
        <v>0.99978469999999997</v>
      </c>
      <c r="Y5564">
        <v>-0.20387369999999999</v>
      </c>
      <c r="Z5564">
        <v>5.7661629999999998E-2</v>
      </c>
      <c r="AA5564">
        <v>0.97729759999999999</v>
      </c>
      <c r="AB5564">
        <v>24</v>
      </c>
      <c r="AC5564">
        <v>11.2896</v>
      </c>
      <c r="AD5564">
        <v>-1.1204541811240001</v>
      </c>
      <c r="AE5564">
        <v>-4.41425</v>
      </c>
      <c r="AF5564">
        <v>-2.5169580023948299</v>
      </c>
      <c r="AG5564">
        <v>-1.1204541811240001</v>
      </c>
      <c r="AH5564">
        <v>11.752726218163099</v>
      </c>
      <c r="AI5564">
        <v>95.3258276373234</v>
      </c>
      <c r="AJ5564">
        <v>102.087842983454</v>
      </c>
      <c r="AK5564">
        <v>12.071332516210299</v>
      </c>
      <c r="AL5564">
        <v>90.077745926848394</v>
      </c>
      <c r="AM5564">
        <v>88.813557460781198</v>
      </c>
      <c r="AN5564">
        <v>1.0000000094936901</v>
      </c>
    </row>
    <row r="5565" spans="1:40" x14ac:dyDescent="0.25">
      <c r="A5565" t="str">
        <f>"20190312154408434"</f>
        <v>20190312154408434</v>
      </c>
      <c r="B5565" t="str">
        <f>"1552376648422899"</f>
        <v>1552376648422899</v>
      </c>
      <c r="C5565" t="s">
        <v>40</v>
      </c>
      <c r="D5565">
        <v>5.0829319999999996</v>
      </c>
      <c r="E5565">
        <v>0.41084720000000002</v>
      </c>
      <c r="F5565" t="s">
        <v>70</v>
      </c>
      <c r="G5565">
        <v>-402.37900000000002</v>
      </c>
      <c r="H5565" s="1">
        <v>-6.2059610000000004E-6</v>
      </c>
      <c r="I5565">
        <v>27.214089999999999</v>
      </c>
      <c r="J5565">
        <v>-413.61250000000001</v>
      </c>
      <c r="K5565">
        <v>1.120403</v>
      </c>
      <c r="L5565">
        <v>31.505649999999999</v>
      </c>
      <c r="M5565">
        <v>0.83878589999999997</v>
      </c>
      <c r="N5565">
        <v>0</v>
      </c>
      <c r="O5565">
        <v>-0.54422780000000004</v>
      </c>
      <c r="P5565">
        <v>0.82718649999999905</v>
      </c>
      <c r="Q5565">
        <v>-1.755311E-2</v>
      </c>
      <c r="R5565">
        <v>-0.56165369999999903</v>
      </c>
      <c r="S5565">
        <v>2.8775330000000001</v>
      </c>
      <c r="T5565">
        <v>-0.28422730000000002</v>
      </c>
      <c r="U5565">
        <v>-1.1044309999999999</v>
      </c>
      <c r="V5565">
        <v>2.0965020000000001E-2</v>
      </c>
      <c r="W5565">
        <v>-1.0972429999999999E-3</v>
      </c>
      <c r="X5565">
        <v>0.99977959999999999</v>
      </c>
      <c r="Y5565">
        <v>-0.2047301</v>
      </c>
      <c r="Z5565">
        <v>5.8045659999999999E-2</v>
      </c>
      <c r="AA5565">
        <v>0.97709579999999996</v>
      </c>
      <c r="AB5565">
        <v>24</v>
      </c>
      <c r="AC5565">
        <v>11.2334999999999</v>
      </c>
      <c r="AD5565">
        <v>-1.120409205961</v>
      </c>
      <c r="AE5565">
        <v>-4.2915599999999898</v>
      </c>
      <c r="AF5565">
        <v>-2.4925653220654498</v>
      </c>
      <c r="AG5565">
        <v>-1.120409205961</v>
      </c>
      <c r="AH5565">
        <v>11.658379434244299</v>
      </c>
      <c r="AI5565">
        <v>95.368854688566898</v>
      </c>
      <c r="AJ5565">
        <v>102.068164684248</v>
      </c>
      <c r="AK5565">
        <v>11.9743897425453</v>
      </c>
      <c r="AL5565">
        <v>90.062867406099699</v>
      </c>
      <c r="AM5565">
        <v>88.798704091825897</v>
      </c>
      <c r="AN5565">
        <v>0.99999999229098002</v>
      </c>
    </row>
    <row r="5566" spans="1:40" x14ac:dyDescent="0.25">
      <c r="A5566" t="str">
        <f>"20190312154408446"</f>
        <v>20190312154408446</v>
      </c>
      <c r="B5566" t="str">
        <f>"1552376648433634"</f>
        <v>1552376648433634</v>
      </c>
      <c r="C5566" t="s">
        <v>40</v>
      </c>
      <c r="D5566">
        <v>5.0914970000000004</v>
      </c>
      <c r="E5566">
        <v>0.41910799999999998</v>
      </c>
      <c r="F5566" t="s">
        <v>70</v>
      </c>
      <c r="G5566">
        <v>-402.20170000000002</v>
      </c>
      <c r="H5566" s="1">
        <v>-6.26700299999999E-6</v>
      </c>
      <c r="I5566">
        <v>27.229109999999999</v>
      </c>
      <c r="J5566">
        <v>-413.50439999999998</v>
      </c>
      <c r="K5566">
        <v>1.120358</v>
      </c>
      <c r="L5566">
        <v>31.445309999999999</v>
      </c>
      <c r="M5566">
        <v>0.84309080000000003</v>
      </c>
      <c r="N5566">
        <v>0</v>
      </c>
      <c r="O5566">
        <v>-0.53753549999999894</v>
      </c>
      <c r="P5566">
        <v>0.83161960000000001</v>
      </c>
      <c r="Q5566">
        <v>-1.7348160000000001E-2</v>
      </c>
      <c r="R5566">
        <v>-0.55507479999999998</v>
      </c>
      <c r="S5566">
        <v>2.8862299999999999</v>
      </c>
      <c r="T5566">
        <v>-0.28339309999999901</v>
      </c>
      <c r="U5566">
        <v>-1.081696</v>
      </c>
      <c r="V5566">
        <v>2.09844E-2</v>
      </c>
      <c r="W5566">
        <v>-9.0585570000000003E-4</v>
      </c>
      <c r="X5566">
        <v>0.99977939999999998</v>
      </c>
      <c r="Y5566">
        <v>-0.20470150000000001</v>
      </c>
      <c r="Z5566">
        <v>5.7301640000000001E-2</v>
      </c>
      <c r="AA5566">
        <v>0.97714570000000001</v>
      </c>
      <c r="AB5566">
        <v>24</v>
      </c>
      <c r="AC5566">
        <v>11.3026999999999</v>
      </c>
      <c r="AD5566">
        <v>-1.1203642670029901</v>
      </c>
      <c r="AE5566">
        <v>-4.2161999999999997</v>
      </c>
      <c r="AF5566">
        <v>-2.4997218129775698</v>
      </c>
      <c r="AG5566">
        <v>-1.1203642670029901</v>
      </c>
      <c r="AH5566">
        <v>11.6961719668609</v>
      </c>
      <c r="AI5566">
        <v>95.351480266778594</v>
      </c>
      <c r="AJ5566">
        <v>102.06383813347701</v>
      </c>
      <c r="AK5566">
        <v>12.012670973244701</v>
      </c>
      <c r="AL5566">
        <v>90.051901715185394</v>
      </c>
      <c r="AM5566">
        <v>88.797593702983207</v>
      </c>
      <c r="AN5566">
        <v>1.0000000071411299</v>
      </c>
    </row>
    <row r="5567" spans="1:40" x14ac:dyDescent="0.25">
      <c r="A5567" t="str">
        <f>"20190312154408458"</f>
        <v>20190312154408458</v>
      </c>
      <c r="B5567" t="str">
        <f>"1552376648453155"</f>
        <v>1552376648453155</v>
      </c>
      <c r="C5567" t="s">
        <v>40</v>
      </c>
      <c r="D5567">
        <v>5.0281549999999999</v>
      </c>
      <c r="E5567">
        <v>0.42115419999999998</v>
      </c>
      <c r="F5567" t="s">
        <v>70</v>
      </c>
      <c r="G5567">
        <v>-402.91989999999998</v>
      </c>
      <c r="H5567" s="1">
        <v>-6.0374469999999901E-6</v>
      </c>
      <c r="I5567">
        <v>27.325530000000001</v>
      </c>
      <c r="J5567">
        <v>-413.39580000000001</v>
      </c>
      <c r="K5567">
        <v>1.1203050000000001</v>
      </c>
      <c r="L5567">
        <v>31.38626</v>
      </c>
      <c r="M5567">
        <v>0.84731000000000001</v>
      </c>
      <c r="N5567">
        <v>0</v>
      </c>
      <c r="O5567">
        <v>-0.53086</v>
      </c>
      <c r="P5567">
        <v>0.83578940000000002</v>
      </c>
      <c r="Q5567">
        <v>-1.6608979999999999E-2</v>
      </c>
      <c r="R5567">
        <v>-0.54879909999999998</v>
      </c>
      <c r="S5567">
        <v>2.8585210000000001</v>
      </c>
      <c r="T5567">
        <v>-0.30257079999999997</v>
      </c>
      <c r="U5567">
        <v>-1.1126100000000001</v>
      </c>
      <c r="V5567">
        <v>2.1329029999999999E-2</v>
      </c>
      <c r="W5567">
        <v>-1.7516529999999999E-4</v>
      </c>
      <c r="X5567">
        <v>0.99977249999999995</v>
      </c>
      <c r="Y5567">
        <v>-0.18429860000000001</v>
      </c>
      <c r="Z5567">
        <v>5.9962689999999999E-2</v>
      </c>
      <c r="AA5567">
        <v>0.98103949999999995</v>
      </c>
      <c r="AB5567">
        <v>24</v>
      </c>
      <c r="AC5567">
        <v>10.475899999999999</v>
      </c>
      <c r="AD5567">
        <v>-1.12031103744699</v>
      </c>
      <c r="AE5567">
        <v>-4.0607299999999897</v>
      </c>
      <c r="AF5567">
        <v>-2.0999290892510798</v>
      </c>
      <c r="AG5567">
        <v>-1.12031103744699</v>
      </c>
      <c r="AH5567">
        <v>10.924791063293</v>
      </c>
      <c r="AI5567">
        <v>95.750532550521896</v>
      </c>
      <c r="AJ5567">
        <v>100.88050854296</v>
      </c>
      <c r="AK5567">
        <v>11.181049091078901</v>
      </c>
      <c r="AL5567">
        <v>90.010036232408495</v>
      </c>
      <c r="AM5567">
        <v>88.777843909873994</v>
      </c>
      <c r="AN5567">
        <v>1.00000000497993</v>
      </c>
    </row>
    <row r="5568" spans="1:40" x14ac:dyDescent="0.25">
      <c r="A5568" t="str">
        <f>"20190312154408469"</f>
        <v>20190312154408469</v>
      </c>
      <c r="B5568" t="str">
        <f>"1552376648462914"</f>
        <v>1552376648462914</v>
      </c>
      <c r="C5568" t="s">
        <v>40</v>
      </c>
      <c r="D5568">
        <v>5.0716210000000004</v>
      </c>
      <c r="E5568">
        <v>0.42115419999999998</v>
      </c>
      <c r="F5568" t="s">
        <v>70</v>
      </c>
      <c r="G5568">
        <v>-402.88099999999997</v>
      </c>
      <c r="H5568" s="1">
        <v>-6.0501269999999996E-6</v>
      </c>
      <c r="I5568">
        <v>27.32254</v>
      </c>
      <c r="J5568">
        <v>-413.28050000000002</v>
      </c>
      <c r="K5568">
        <v>1.120242</v>
      </c>
      <c r="L5568">
        <v>31.324249999999999</v>
      </c>
      <c r="M5568">
        <v>0.8517072</v>
      </c>
      <c r="N5568">
        <v>0</v>
      </c>
      <c r="O5568">
        <v>-0.52377689999999999</v>
      </c>
      <c r="P5568">
        <v>0.84049560000000001</v>
      </c>
      <c r="Q5568">
        <v>-1.5532610000000001E-2</v>
      </c>
      <c r="R5568">
        <v>-0.54159579999999996</v>
      </c>
      <c r="S5568">
        <v>2.8580930000000002</v>
      </c>
      <c r="T5568">
        <v>-0.30451830000000002</v>
      </c>
      <c r="U5568">
        <v>-1.104584</v>
      </c>
      <c r="V5568">
        <v>2.1036530000000001E-2</v>
      </c>
      <c r="W5568">
        <v>8.7577499999999997E-4</v>
      </c>
      <c r="X5568">
        <v>0.99977830000000001</v>
      </c>
      <c r="Y5568">
        <v>-0.178454799999999</v>
      </c>
      <c r="Z5568">
        <v>5.9497330000000001E-2</v>
      </c>
      <c r="AA5568">
        <v>0.98214760000000001</v>
      </c>
      <c r="AB5568">
        <v>24</v>
      </c>
      <c r="AC5568">
        <v>10.3995</v>
      </c>
      <c r="AD5568">
        <v>-1.120248050127</v>
      </c>
      <c r="AE5568">
        <v>-4.0017099999999903</v>
      </c>
      <c r="AF5568">
        <v>-2.0185877235441501</v>
      </c>
      <c r="AG5568">
        <v>-1.120248050127</v>
      </c>
      <c r="AH5568">
        <v>10.845101273050799</v>
      </c>
      <c r="AI5568">
        <v>95.798577502709705</v>
      </c>
      <c r="AJ5568">
        <v>100.54375110829901</v>
      </c>
      <c r="AK5568">
        <v>11.0880960364792</v>
      </c>
      <c r="AL5568">
        <v>89.949821781071506</v>
      </c>
      <c r="AM5568">
        <v>88.794606207918903</v>
      </c>
      <c r="AN5568">
        <v>0.99999997586359002</v>
      </c>
    </row>
    <row r="5569" spans="1:40" x14ac:dyDescent="0.25">
      <c r="A5569" t="str">
        <f>"20190312154408481"</f>
        <v>20190312154408481</v>
      </c>
      <c r="B5569" t="str">
        <f>"1552376648473651"</f>
        <v>1552376648473651</v>
      </c>
      <c r="C5569" t="s">
        <v>40</v>
      </c>
      <c r="D5569">
        <v>5.1562859999999997</v>
      </c>
      <c r="E5569">
        <v>0.4168944</v>
      </c>
      <c r="F5569" t="s">
        <v>70</v>
      </c>
      <c r="G5569">
        <v>-402.62580000000003</v>
      </c>
      <c r="H5569" s="1">
        <v>-6.1342599999999996E-6</v>
      </c>
      <c r="I5569">
        <v>27.31101</v>
      </c>
      <c r="J5569">
        <v>-413.17140000000001</v>
      </c>
      <c r="K5569">
        <v>1.1201749999999999</v>
      </c>
      <c r="L5569">
        <v>31.267119999999998</v>
      </c>
      <c r="M5569">
        <v>0.85575159999999995</v>
      </c>
      <c r="N5569">
        <v>0</v>
      </c>
      <c r="O5569">
        <v>-0.51714309999999997</v>
      </c>
      <c r="P5569">
        <v>0.84448619999999996</v>
      </c>
      <c r="Q5569">
        <v>-1.4453260000000001E-2</v>
      </c>
      <c r="R5569">
        <v>-0.53538260000000004</v>
      </c>
      <c r="S5569">
        <v>2.867737</v>
      </c>
      <c r="T5569">
        <v>-0.30151650000000002</v>
      </c>
      <c r="U5569">
        <v>-1.0801700000000001</v>
      </c>
      <c r="V5569">
        <v>2.139684E-2</v>
      </c>
      <c r="W5569">
        <v>1.942458E-3</v>
      </c>
      <c r="X5569">
        <v>0.99976920000000002</v>
      </c>
      <c r="Y5569">
        <v>-0.1793111</v>
      </c>
      <c r="Z5569">
        <v>5.8331050000000002E-2</v>
      </c>
      <c r="AA5569">
        <v>0.98206159999999998</v>
      </c>
      <c r="AB5569">
        <v>24</v>
      </c>
      <c r="AC5569">
        <v>10.545599999999901</v>
      </c>
      <c r="AD5569">
        <v>-1.1201811342600001</v>
      </c>
      <c r="AE5569">
        <v>-3.9561099999999998</v>
      </c>
      <c r="AF5569">
        <v>-2.0481390611857702</v>
      </c>
      <c r="AG5569">
        <v>-1.1201811342600001</v>
      </c>
      <c r="AH5569">
        <v>10.9632454215182</v>
      </c>
      <c r="AI5569">
        <v>95.735460289814796</v>
      </c>
      <c r="AJ5569">
        <v>100.581939759688</v>
      </c>
      <c r="AK5569">
        <v>11.2090333909729</v>
      </c>
      <c r="AL5569">
        <v>89.888705287577693</v>
      </c>
      <c r="AM5569">
        <v>88.773955526865606</v>
      </c>
      <c r="AN5569">
        <v>1.00000002558685</v>
      </c>
    </row>
    <row r="5570" spans="1:40" x14ac:dyDescent="0.25">
      <c r="A5570" t="str">
        <f>"20190312154408493"</f>
        <v>20190312154408493</v>
      </c>
      <c r="B5570" t="str">
        <f>"1552376648483410"</f>
        <v>1552376648483410</v>
      </c>
      <c r="C5570" t="s">
        <v>40</v>
      </c>
      <c r="D5570">
        <v>5.1199870000000001</v>
      </c>
      <c r="E5570">
        <v>0.4151628</v>
      </c>
      <c r="F5570" t="s">
        <v>70</v>
      </c>
      <c r="G5570">
        <v>-401.95139999999998</v>
      </c>
      <c r="H5570" s="1">
        <v>-6.3553279999999999E-6</v>
      </c>
      <c r="I5570">
        <v>27.26962</v>
      </c>
      <c r="J5570">
        <v>-413.06139999999999</v>
      </c>
      <c r="K5570">
        <v>1.120101</v>
      </c>
      <c r="L5570">
        <v>31.210270000000001</v>
      </c>
      <c r="M5570">
        <v>0.85974609999999996</v>
      </c>
      <c r="N5570">
        <v>0</v>
      </c>
      <c r="O5570">
        <v>-0.51047500000000001</v>
      </c>
      <c r="P5570">
        <v>0.84867019999999904</v>
      </c>
      <c r="Q5570">
        <v>-1.3245089999999999E-2</v>
      </c>
      <c r="R5570">
        <v>-0.52875660000000002</v>
      </c>
      <c r="S5570">
        <v>2.8938600000000001</v>
      </c>
      <c r="T5570">
        <v>-0.2889177</v>
      </c>
      <c r="U5570">
        <v>-1.0310360000000001</v>
      </c>
      <c r="V5570">
        <v>2.130607E-2</v>
      </c>
      <c r="W5570">
        <v>3.1259650000000001E-3</v>
      </c>
      <c r="X5570">
        <v>0.99976810000000005</v>
      </c>
      <c r="Y5570">
        <v>-0.18955179999999999</v>
      </c>
      <c r="Z5570">
        <v>5.5602480000000003E-2</v>
      </c>
      <c r="AA5570">
        <v>0.98029509999999997</v>
      </c>
      <c r="AB5570">
        <v>24</v>
      </c>
      <c r="AC5570">
        <v>11.11</v>
      </c>
      <c r="AD5570">
        <v>-1.1201073553280001</v>
      </c>
      <c r="AE5570">
        <v>-3.9406500000000002</v>
      </c>
      <c r="AF5570">
        <v>-2.2632719688358902</v>
      </c>
      <c r="AG5570">
        <v>-1.1201073553280001</v>
      </c>
      <c r="AH5570">
        <v>11.4613577013165</v>
      </c>
      <c r="AI5570">
        <v>95.4766394124226</v>
      </c>
      <c r="AJ5570">
        <v>101.17047065747801</v>
      </c>
      <c r="AK5570">
        <v>11.7362583837399</v>
      </c>
      <c r="AL5570">
        <v>89.820895104578</v>
      </c>
      <c r="AM5570">
        <v>88.779153751044305</v>
      </c>
      <c r="AN5570">
        <v>0.99999998702681703</v>
      </c>
    </row>
    <row r="5571" spans="1:40" x14ac:dyDescent="0.25">
      <c r="A5571" t="str">
        <f>"20190312154408504"</f>
        <v>20190312154408504</v>
      </c>
      <c r="B5571" t="str">
        <f>"1552376648493171"</f>
        <v>1552376648493171</v>
      </c>
      <c r="C5571" t="s">
        <v>40</v>
      </c>
      <c r="D5571">
        <v>5.1207070000000003</v>
      </c>
      <c r="E5571">
        <v>0.4140395</v>
      </c>
      <c r="F5571" t="s">
        <v>70</v>
      </c>
      <c r="G5571">
        <v>-401.78590000000003</v>
      </c>
      <c r="H5571" s="1">
        <v>-6.4195860000000004E-6</v>
      </c>
      <c r="I5571">
        <v>27.348109999999998</v>
      </c>
      <c r="J5571">
        <v>-412.94920000000002</v>
      </c>
      <c r="K5571">
        <v>1.12002</v>
      </c>
      <c r="L5571">
        <v>31.153199999999998</v>
      </c>
      <c r="M5571">
        <v>0.86373029999999995</v>
      </c>
      <c r="N5571">
        <v>0</v>
      </c>
      <c r="O5571">
        <v>-0.50370530000000002</v>
      </c>
      <c r="P5571">
        <v>0.85291609999999995</v>
      </c>
      <c r="Q5571">
        <v>-1.2586780000000001E-2</v>
      </c>
      <c r="R5571">
        <v>-0.52189620000000003</v>
      </c>
      <c r="S5571">
        <v>2.9095149999999999</v>
      </c>
      <c r="T5571">
        <v>-0.2890297</v>
      </c>
      <c r="U5571">
        <v>-0.99658199999999997</v>
      </c>
      <c r="V5571">
        <v>2.1079489999999999E-2</v>
      </c>
      <c r="W5571">
        <v>3.7539549999999998E-3</v>
      </c>
      <c r="X5571">
        <v>0.99977079999999996</v>
      </c>
      <c r="Y5571">
        <v>-0.19387460000000001</v>
      </c>
      <c r="Z5571">
        <v>5.5144609999999997E-2</v>
      </c>
      <c r="AA5571">
        <v>0.97947519999999999</v>
      </c>
      <c r="AB5571">
        <v>24</v>
      </c>
      <c r="AC5571">
        <v>11.1632999999999</v>
      </c>
      <c r="AD5571">
        <v>-1.1200264195859999</v>
      </c>
      <c r="AE5571">
        <v>-3.8050899999999999</v>
      </c>
      <c r="AF5571">
        <v>-2.3158494997660699</v>
      </c>
      <c r="AG5571">
        <v>-1.1200264195859999</v>
      </c>
      <c r="AH5571">
        <v>11.456851054871001</v>
      </c>
      <c r="AI5571">
        <v>95.473506939879798</v>
      </c>
      <c r="AJ5571">
        <v>101.427596525691</v>
      </c>
      <c r="AK5571">
        <v>11.7421060368077</v>
      </c>
      <c r="AL5571">
        <v>89.784913726480497</v>
      </c>
      <c r="AM5571">
        <v>88.792136268845994</v>
      </c>
      <c r="AN5571">
        <v>1.0000000448047199</v>
      </c>
    </row>
    <row r="5572" spans="1:40" x14ac:dyDescent="0.25">
      <c r="A5572" t="str">
        <f>"20190312154408517"</f>
        <v>20190312154408517</v>
      </c>
      <c r="B5572" t="str">
        <f>"1552376648513667"</f>
        <v>1552376648513667</v>
      </c>
      <c r="C5572" t="s">
        <v>40</v>
      </c>
      <c r="D5572">
        <v>5.123786</v>
      </c>
      <c r="E5572">
        <v>0.41317179999999998</v>
      </c>
      <c r="F5572" t="s">
        <v>70</v>
      </c>
      <c r="G5572">
        <v>-401.68079999999998</v>
      </c>
      <c r="H5572" s="1">
        <v>-6.4639360000000002E-6</v>
      </c>
      <c r="I5572">
        <v>27.4298</v>
      </c>
      <c r="J5572">
        <v>-412.83499999999998</v>
      </c>
      <c r="K5572">
        <v>1.119923</v>
      </c>
      <c r="L5572">
        <v>31.096589999999999</v>
      </c>
      <c r="M5572">
        <v>0.8676623</v>
      </c>
      <c r="N5572">
        <v>0</v>
      </c>
      <c r="O5572">
        <v>-0.49690210000000001</v>
      </c>
      <c r="P5572">
        <v>0.85700469999999895</v>
      </c>
      <c r="Q5572">
        <v>-1.2414909999999999E-2</v>
      </c>
      <c r="R5572">
        <v>-0.51515900000000003</v>
      </c>
      <c r="S5572">
        <v>2.92218</v>
      </c>
      <c r="T5572">
        <v>-0.29045260000000001</v>
      </c>
      <c r="U5572">
        <v>-0.9655762</v>
      </c>
      <c r="V5572">
        <v>2.105431E-2</v>
      </c>
      <c r="W5572">
        <v>3.8955750000000001E-3</v>
      </c>
      <c r="X5572">
        <v>0.99977079999999996</v>
      </c>
      <c r="Y5572">
        <v>-0.19680149999999999</v>
      </c>
      <c r="Z5572">
        <v>5.4896569999999999E-2</v>
      </c>
      <c r="AA5572">
        <v>0.97890529999999998</v>
      </c>
      <c r="AB5572">
        <v>24</v>
      </c>
      <c r="AC5572">
        <v>11.154199999999999</v>
      </c>
      <c r="AD5572">
        <v>-1.119929463936</v>
      </c>
      <c r="AE5572">
        <v>-3.6667900000000002</v>
      </c>
      <c r="AF5572">
        <v>-2.3400165610322299</v>
      </c>
      <c r="AG5572">
        <v>-1.119929463936</v>
      </c>
      <c r="AH5572">
        <v>11.397858883128199</v>
      </c>
      <c r="AI5572">
        <v>95.497804221189497</v>
      </c>
      <c r="AJ5572">
        <v>101.601795048171</v>
      </c>
      <c r="AK5572">
        <v>11.689358691981401</v>
      </c>
      <c r="AL5572">
        <v>89.776799441690699</v>
      </c>
      <c r="AM5572">
        <v>88.7935786668681</v>
      </c>
      <c r="AN5572">
        <v>1.0000000560033899</v>
      </c>
    </row>
    <row r="5573" spans="1:40" x14ac:dyDescent="0.25">
      <c r="A5573" t="str">
        <f>"20190312154408535"</f>
        <v>20190312154408535</v>
      </c>
      <c r="B5573" t="str">
        <f>"1552376648523426"</f>
        <v>1552376648523426</v>
      </c>
      <c r="C5573" t="s">
        <v>40</v>
      </c>
      <c r="D5573">
        <v>5.1433460000000002</v>
      </c>
      <c r="E5573">
        <v>0.41327019999999998</v>
      </c>
      <c r="F5573" t="s">
        <v>70</v>
      </c>
      <c r="G5573">
        <v>-401.75389999999999</v>
      </c>
      <c r="H5573" s="1">
        <v>-6.4539339999999998E-6</v>
      </c>
      <c r="I5573">
        <v>27.558299999999999</v>
      </c>
      <c r="J5573">
        <v>-412.66680000000002</v>
      </c>
      <c r="K5573">
        <v>1.119764</v>
      </c>
      <c r="L5573">
        <v>31.014710000000001</v>
      </c>
      <c r="M5573">
        <v>0.87327389999999905</v>
      </c>
      <c r="N5573">
        <v>0</v>
      </c>
      <c r="O5573">
        <v>-0.48697380000000001</v>
      </c>
      <c r="P5573">
        <v>0.86334840000000002</v>
      </c>
      <c r="Q5573">
        <v>-1.273906E-2</v>
      </c>
      <c r="R5573">
        <v>-0.5044476</v>
      </c>
      <c r="S5573">
        <v>2.9332579999999999</v>
      </c>
      <c r="T5573">
        <v>-0.29645480000000002</v>
      </c>
      <c r="U5573">
        <v>-0.93661499999999998</v>
      </c>
      <c r="V5573">
        <v>2.0020509999999998E-2</v>
      </c>
      <c r="W5573">
        <v>3.5017099999999999E-3</v>
      </c>
      <c r="X5573">
        <v>0.99979340000000005</v>
      </c>
      <c r="Y5573">
        <v>-0.1954022</v>
      </c>
      <c r="Z5573">
        <v>5.5036979999999999E-2</v>
      </c>
      <c r="AA5573">
        <v>0.97917770000000004</v>
      </c>
      <c r="AB5573">
        <v>24</v>
      </c>
      <c r="AC5573">
        <v>10.9129</v>
      </c>
      <c r="AD5573">
        <v>-1.1197704539340001</v>
      </c>
      <c r="AE5573">
        <v>-3.4564099999999902</v>
      </c>
      <c r="AF5573">
        <v>-2.2744262124669299</v>
      </c>
      <c r="AG5573">
        <v>-1.1197704539340001</v>
      </c>
      <c r="AH5573">
        <v>11.1082361845984</v>
      </c>
      <c r="AI5573">
        <v>95.640047424941201</v>
      </c>
      <c r="AJ5573">
        <v>101.571452822526</v>
      </c>
      <c r="AK5573">
        <v>11.3938497268606</v>
      </c>
      <c r="AL5573">
        <v>89.799366378416494</v>
      </c>
      <c r="AM5573">
        <v>88.8528255528106</v>
      </c>
      <c r="AN5573">
        <v>0.99999996273857095</v>
      </c>
    </row>
    <row r="5574" spans="1:40" x14ac:dyDescent="0.25">
      <c r="A5574" t="str">
        <f>"20190312154408549"</f>
        <v>20190312154408549</v>
      </c>
      <c r="B5574" t="str">
        <f>"1552376648542946"</f>
        <v>1552376648542946</v>
      </c>
      <c r="C5574" t="s">
        <v>40</v>
      </c>
      <c r="D5574">
        <v>5.0628500000000001</v>
      </c>
      <c r="E5574">
        <v>0.41291650000000002</v>
      </c>
      <c r="F5574" t="s">
        <v>70</v>
      </c>
      <c r="G5574">
        <v>-401.68290000000002</v>
      </c>
      <c r="H5574" s="1">
        <v>-6.4885650000000001E-6</v>
      </c>
      <c r="I5574">
        <v>27.655010000000001</v>
      </c>
      <c r="J5574">
        <v>-412.53629999999998</v>
      </c>
      <c r="K5574">
        <v>1.1196280000000001</v>
      </c>
      <c r="L5574">
        <v>30.952480000000001</v>
      </c>
      <c r="M5574">
        <v>0.87747830000000004</v>
      </c>
      <c r="N5574">
        <v>0</v>
      </c>
      <c r="O5574">
        <v>-0.4793579</v>
      </c>
      <c r="P5574">
        <v>0.86777469999999901</v>
      </c>
      <c r="Q5574">
        <v>-1.2868559999999999E-2</v>
      </c>
      <c r="R5574">
        <v>-0.4967915</v>
      </c>
      <c r="S5574">
        <v>2.9442439999999999</v>
      </c>
      <c r="T5574">
        <v>-0.30015639999999999</v>
      </c>
      <c r="U5574">
        <v>-0.90057369999999903</v>
      </c>
      <c r="V5574">
        <v>1.9881610000000001E-2</v>
      </c>
      <c r="W5574">
        <v>3.3300500000000002E-3</v>
      </c>
      <c r="X5574">
        <v>0.99979680000000004</v>
      </c>
      <c r="Y5574">
        <v>-0.19879959999999999</v>
      </c>
      <c r="Z5574">
        <v>5.5175439999999999E-2</v>
      </c>
      <c r="AA5574">
        <v>0.97848579999999996</v>
      </c>
      <c r="AB5574">
        <v>24</v>
      </c>
      <c r="AC5574">
        <v>10.853399999999899</v>
      </c>
      <c r="AD5574">
        <v>-1.119634488565</v>
      </c>
      <c r="AE5574">
        <v>-3.2974700000000001</v>
      </c>
      <c r="AF5574">
        <v>-2.2872074330232102</v>
      </c>
      <c r="AG5574">
        <v>-1.119634488565</v>
      </c>
      <c r="AH5574">
        <v>10.998513021693499</v>
      </c>
      <c r="AI5574">
        <v>95.691670704574193</v>
      </c>
      <c r="AJ5574">
        <v>101.74757037347401</v>
      </c>
      <c r="AK5574">
        <v>11.2894724375421</v>
      </c>
      <c r="AL5574">
        <v>89.809201837649894</v>
      </c>
      <c r="AM5574">
        <v>88.860786285724402</v>
      </c>
      <c r="AN5574">
        <v>1.0000000044697099</v>
      </c>
    </row>
    <row r="5575" spans="1:40" x14ac:dyDescent="0.25">
      <c r="A5575" t="str">
        <f>"20190312154408562"</f>
        <v>20190312154408562</v>
      </c>
      <c r="B5575" t="str">
        <f>"1552376648552707"</f>
        <v>1552376648552707</v>
      </c>
      <c r="C5575" t="s">
        <v>40</v>
      </c>
      <c r="D5575">
        <v>5.0798249999999996</v>
      </c>
      <c r="E5575">
        <v>0.41276370000000001</v>
      </c>
      <c r="F5575" t="s">
        <v>70</v>
      </c>
      <c r="G5575">
        <v>-401.5625</v>
      </c>
      <c r="H5575" s="1">
        <v>-6.5351920000000003E-6</v>
      </c>
      <c r="I5575">
        <v>27.71115</v>
      </c>
      <c r="J5575">
        <v>-412.40960000000001</v>
      </c>
      <c r="K5575">
        <v>1.119486</v>
      </c>
      <c r="L5575">
        <v>30.893709999999999</v>
      </c>
      <c r="M5575">
        <v>0.88140229999999997</v>
      </c>
      <c r="N5575">
        <v>0</v>
      </c>
      <c r="O5575">
        <v>-0.4721051</v>
      </c>
      <c r="P5575">
        <v>0.87217869999999997</v>
      </c>
      <c r="Q5575">
        <v>-1.307203E-2</v>
      </c>
      <c r="R5575">
        <v>-0.48901309999999898</v>
      </c>
      <c r="S5575">
        <v>2.9533079999999998</v>
      </c>
      <c r="T5575">
        <v>-0.30131829999999998</v>
      </c>
      <c r="U5575">
        <v>-0.87231449999999999</v>
      </c>
      <c r="V5575">
        <v>1.9196230000000002E-2</v>
      </c>
      <c r="W5575">
        <v>3.0687449999999999E-3</v>
      </c>
      <c r="X5575">
        <v>0.99981109999999895</v>
      </c>
      <c r="Y5575">
        <v>-0.2001531</v>
      </c>
      <c r="Z5575">
        <v>5.4769690000000003E-2</v>
      </c>
      <c r="AA5575">
        <v>0.97823260000000001</v>
      </c>
      <c r="AB5575">
        <v>24</v>
      </c>
      <c r="AC5575">
        <v>10.847099999999999</v>
      </c>
      <c r="AD5575">
        <v>-1.119492535192</v>
      </c>
      <c r="AE5575">
        <v>-3.1825599999999898</v>
      </c>
      <c r="AF5575">
        <v>-2.2936467262909699</v>
      </c>
      <c r="AG5575">
        <v>-1.119492535192</v>
      </c>
      <c r="AH5575">
        <v>10.957067190348299</v>
      </c>
      <c r="AI5575">
        <v>95.710779114369302</v>
      </c>
      <c r="AJ5575">
        <v>101.82302670615699</v>
      </c>
      <c r="AK5575">
        <v>11.2503955599429</v>
      </c>
      <c r="AL5575">
        <v>89.824173600154296</v>
      </c>
      <c r="AM5575">
        <v>88.900064379859899</v>
      </c>
      <c r="AN5575">
        <v>1.00000007406264</v>
      </c>
    </row>
    <row r="5576" spans="1:40" x14ac:dyDescent="0.25">
      <c r="A5576" t="str">
        <f>"20190312154408579"</f>
        <v>20190312154408579</v>
      </c>
      <c r="B5576" t="str">
        <f>"1552376648573203"</f>
        <v>1552376648573203</v>
      </c>
      <c r="C5576" t="s">
        <v>40</v>
      </c>
      <c r="D5576">
        <v>5.0927259999999999</v>
      </c>
      <c r="E5576">
        <v>0.41297509999999998</v>
      </c>
      <c r="F5576" t="s">
        <v>70</v>
      </c>
      <c r="G5576">
        <v>-401.36340000000001</v>
      </c>
      <c r="H5576" s="1">
        <v>-6.6052800000000004E-6</v>
      </c>
      <c r="I5576">
        <v>27.741910000000001</v>
      </c>
      <c r="J5576">
        <v>-412.25130000000001</v>
      </c>
      <c r="K5576">
        <v>1.1193010000000001</v>
      </c>
      <c r="L5576">
        <v>30.82159</v>
      </c>
      <c r="M5576">
        <v>0.88613489999999995</v>
      </c>
      <c r="N5576">
        <v>0</v>
      </c>
      <c r="O5576">
        <v>-0.46316249999999998</v>
      </c>
      <c r="P5576">
        <v>0.87718799999999997</v>
      </c>
      <c r="Q5576">
        <v>-1.162941E-2</v>
      </c>
      <c r="R5576">
        <v>-0.48000660000000001</v>
      </c>
      <c r="S5576">
        <v>2.961395</v>
      </c>
      <c r="T5576">
        <v>-0.30012699999999998</v>
      </c>
      <c r="U5576">
        <v>-0.84497069999999996</v>
      </c>
      <c r="V5576">
        <v>1.8979960000000001E-2</v>
      </c>
      <c r="W5576">
        <v>4.4506090000000003E-3</v>
      </c>
      <c r="X5576">
        <v>0.99980999999999998</v>
      </c>
      <c r="Y5576">
        <v>-0.1993663</v>
      </c>
      <c r="Z5576">
        <v>5.3695090000000001E-2</v>
      </c>
      <c r="AA5576">
        <v>0.97845280000000001</v>
      </c>
      <c r="AB5576">
        <v>24</v>
      </c>
      <c r="AC5576">
        <v>10.8879</v>
      </c>
      <c r="AD5576">
        <v>-1.11930760528</v>
      </c>
      <c r="AE5576">
        <v>-3.0796800000000002</v>
      </c>
      <c r="AF5576">
        <v>-2.2917134243939699</v>
      </c>
      <c r="AG5576">
        <v>-1.11930760528</v>
      </c>
      <c r="AH5576">
        <v>10.968566505632401</v>
      </c>
      <c r="AI5576">
        <v>95.704344636916701</v>
      </c>
      <c r="AJ5576">
        <v>101.801303824085</v>
      </c>
      <c r="AK5576">
        <v>11.261183380234399</v>
      </c>
      <c r="AL5576">
        <v>89.7449980567594</v>
      </c>
      <c r="AM5576">
        <v>88.912452367204196</v>
      </c>
      <c r="AN5576">
        <v>1.0000000414510299</v>
      </c>
    </row>
    <row r="5577" spans="1:40" x14ac:dyDescent="0.25">
      <c r="A5577" t="str">
        <f>"20190312154408589"</f>
        <v>20190312154408589</v>
      </c>
      <c r="B5577" t="str">
        <f>"1552376648582963"</f>
        <v>1552376648582963</v>
      </c>
      <c r="C5577" t="s">
        <v>40</v>
      </c>
      <c r="D5577">
        <v>5.090624</v>
      </c>
      <c r="E5577">
        <v>0.41339870000000001</v>
      </c>
      <c r="F5577" t="s">
        <v>70</v>
      </c>
      <c r="G5577">
        <v>-400.81220000000002</v>
      </c>
      <c r="H5577" s="1">
        <v>-6.7824280000000004E-6</v>
      </c>
      <c r="I5577">
        <v>27.676310000000001</v>
      </c>
      <c r="J5577">
        <v>-412.14319999999998</v>
      </c>
      <c r="K5577">
        <v>1.119173</v>
      </c>
      <c r="L5577">
        <v>30.773099999999999</v>
      </c>
      <c r="M5577">
        <v>0.8892658</v>
      </c>
      <c r="N5577">
        <v>0</v>
      </c>
      <c r="O5577">
        <v>-0.45712370000000002</v>
      </c>
      <c r="P5577">
        <v>0.88063549999999902</v>
      </c>
      <c r="Q5577">
        <v>-1.0561869999999999E-2</v>
      </c>
      <c r="R5577">
        <v>-0.4736766</v>
      </c>
      <c r="S5577">
        <v>2.9694210000000001</v>
      </c>
      <c r="T5577">
        <v>-0.2905548</v>
      </c>
      <c r="U5577">
        <v>-0.81646730000000001</v>
      </c>
      <c r="V5577">
        <v>1.8554629999999999E-2</v>
      </c>
      <c r="W5577">
        <v>5.4695969999999997E-3</v>
      </c>
      <c r="X5577">
        <v>0.9998129</v>
      </c>
      <c r="Y5577">
        <v>-0.20230600000000001</v>
      </c>
      <c r="Z5577">
        <v>5.1579609999999998E-2</v>
      </c>
      <c r="AA5577">
        <v>0.97796309999999997</v>
      </c>
      <c r="AB5577">
        <v>24</v>
      </c>
      <c r="AC5577">
        <v>11.3309999999999</v>
      </c>
      <c r="AD5577">
        <v>-1.1191797824280001</v>
      </c>
      <c r="AE5577">
        <v>-3.0967899999999999</v>
      </c>
      <c r="AF5577">
        <v>-2.4042701564651101</v>
      </c>
      <c r="AG5577">
        <v>-1.1191797824280001</v>
      </c>
      <c r="AH5577">
        <v>11.3898959911515</v>
      </c>
      <c r="AI5577">
        <v>95.491660051951897</v>
      </c>
      <c r="AJ5577">
        <v>101.91946985816899</v>
      </c>
      <c r="AK5577">
        <v>11.6945632265559</v>
      </c>
      <c r="AL5577">
        <v>89.686613617720596</v>
      </c>
      <c r="AM5577">
        <v>88.936821109816805</v>
      </c>
      <c r="AN5577">
        <v>1.00000001289609</v>
      </c>
    </row>
    <row r="5578" spans="1:40" x14ac:dyDescent="0.25">
      <c r="A5578" t="str">
        <f>"20190312154408601"</f>
        <v>20190312154408601</v>
      </c>
      <c r="B5578" t="str">
        <f>"1552376648592722"</f>
        <v>1552376648592722</v>
      </c>
      <c r="C5578" t="s">
        <v>40</v>
      </c>
      <c r="D5578">
        <v>4.9724009999999996</v>
      </c>
      <c r="E5578">
        <v>0.41396179999999999</v>
      </c>
      <c r="F5578" t="s">
        <v>70</v>
      </c>
      <c r="G5578">
        <v>-400.4896</v>
      </c>
      <c r="H5578" s="1">
        <v>-6.8867919999999996E-6</v>
      </c>
      <c r="I5578">
        <v>27.644169999999999</v>
      </c>
      <c r="J5578">
        <v>-412.03089999999997</v>
      </c>
      <c r="K5578">
        <v>1.119027</v>
      </c>
      <c r="L5578">
        <v>30.72391</v>
      </c>
      <c r="M5578">
        <v>0.89238430000000002</v>
      </c>
      <c r="N5578">
        <v>0</v>
      </c>
      <c r="O5578">
        <v>-0.45100659999999998</v>
      </c>
      <c r="P5578">
        <v>0.88406719999999905</v>
      </c>
      <c r="Q5578">
        <v>-9.6950460000000006E-3</v>
      </c>
      <c r="R5578">
        <v>-0.46725899999999998</v>
      </c>
      <c r="S5578">
        <v>2.9737239999999998</v>
      </c>
      <c r="T5578">
        <v>-0.28558919999999999</v>
      </c>
      <c r="U5578">
        <v>-0.79843140000000001</v>
      </c>
      <c r="V5578">
        <v>1.8128620000000002E-2</v>
      </c>
      <c r="W5578">
        <v>6.2830669999999998E-3</v>
      </c>
      <c r="X5578">
        <v>0.99981589999999998</v>
      </c>
      <c r="Y5578">
        <v>-0.2015874</v>
      </c>
      <c r="Z5578">
        <v>5.0145229999999999E-2</v>
      </c>
      <c r="AA5578">
        <v>0.97818609999999995</v>
      </c>
      <c r="AB5578">
        <v>24</v>
      </c>
      <c r="AC5578">
        <v>11.5412999999999</v>
      </c>
      <c r="AD5578">
        <v>-1.119033886792</v>
      </c>
      <c r="AE5578">
        <v>-3.0797399999999899</v>
      </c>
      <c r="AF5578">
        <v>-2.4358127430997301</v>
      </c>
      <c r="AG5578">
        <v>-1.119033886792</v>
      </c>
      <c r="AH5578">
        <v>11.587982335033599</v>
      </c>
      <c r="AI5578">
        <v>95.398604092278603</v>
      </c>
      <c r="AJ5578">
        <v>101.870843119146</v>
      </c>
      <c r="AK5578">
        <v>11.8939797862737</v>
      </c>
      <c r="AL5578">
        <v>89.640004402272297</v>
      </c>
      <c r="AM5578">
        <v>88.961229155127796</v>
      </c>
      <c r="AN5578">
        <v>0.99999997884341996</v>
      </c>
    </row>
    <row r="5579" spans="1:40" x14ac:dyDescent="0.25">
      <c r="A5579" t="str">
        <f>"20190312154408613"</f>
        <v>20190312154408613</v>
      </c>
      <c r="B5579" t="str">
        <f>"1552376648603458"</f>
        <v>1552376648603458</v>
      </c>
      <c r="C5579" t="s">
        <v>40</v>
      </c>
      <c r="D5579">
        <v>5.1026030000000002</v>
      </c>
      <c r="E5579">
        <v>0.41439199999999998</v>
      </c>
      <c r="F5579" t="s">
        <v>70</v>
      </c>
      <c r="G5579">
        <v>-400.15980000000002</v>
      </c>
      <c r="H5579" s="1">
        <v>-6.9933709999999997E-6</v>
      </c>
      <c r="I5579">
        <v>27.610119999999998</v>
      </c>
      <c r="J5579">
        <v>-411.9255</v>
      </c>
      <c r="K5579">
        <v>1.1188819999999999</v>
      </c>
      <c r="L5579">
        <v>30.678249999999998</v>
      </c>
      <c r="M5579">
        <v>0.895229099999999</v>
      </c>
      <c r="N5579">
        <v>0</v>
      </c>
      <c r="O5579">
        <v>-0.44533450000000002</v>
      </c>
      <c r="P5579">
        <v>0.88698920000000003</v>
      </c>
      <c r="Q5579">
        <v>-8.9913100000000006E-3</v>
      </c>
      <c r="R5579">
        <v>-0.46170309999999998</v>
      </c>
      <c r="S5579">
        <v>2.9775390000000002</v>
      </c>
      <c r="T5579">
        <v>-0.28067769999999997</v>
      </c>
      <c r="U5579">
        <v>-0.78100590000000003</v>
      </c>
      <c r="V5579">
        <v>1.8185659999999999E-2</v>
      </c>
      <c r="W5579">
        <v>6.9444260000000001E-3</v>
      </c>
      <c r="X5579">
        <v>0.99981050000000005</v>
      </c>
      <c r="Y5579">
        <v>-0.20114679999999999</v>
      </c>
      <c r="Z5579">
        <v>4.8791639999999997E-2</v>
      </c>
      <c r="AA5579">
        <v>0.97834520000000003</v>
      </c>
      <c r="AB5579">
        <v>24</v>
      </c>
      <c r="AC5579">
        <v>11.765699999999899</v>
      </c>
      <c r="AD5579">
        <v>-1.118888993371</v>
      </c>
      <c r="AE5579">
        <v>-3.0681299999999898</v>
      </c>
      <c r="AF5579">
        <v>-2.4723593547710201</v>
      </c>
      <c r="AG5579">
        <v>-1.118888993371</v>
      </c>
      <c r="AH5579">
        <v>11.8008550336122</v>
      </c>
      <c r="AI5579">
        <v>95.301833635794097</v>
      </c>
      <c r="AJ5579">
        <v>101.83271161808</v>
      </c>
      <c r="AK5579">
        <v>12.1088667051438</v>
      </c>
      <c r="AL5579">
        <v>89.602110496835394</v>
      </c>
      <c r="AM5579">
        <v>88.957955852943897</v>
      </c>
      <c r="AN5579">
        <v>0.99999998959617697</v>
      </c>
    </row>
    <row r="5580" spans="1:40" x14ac:dyDescent="0.25">
      <c r="A5580" t="str">
        <f>"20190312154408623"</f>
        <v>20190312154408623</v>
      </c>
      <c r="B5580" t="str">
        <f>"1552376648613218"</f>
        <v>1552376648613218</v>
      </c>
      <c r="C5580" t="s">
        <v>40</v>
      </c>
      <c r="D5580">
        <v>5.1264649999999996</v>
      </c>
      <c r="E5580">
        <v>0.41497519999999999</v>
      </c>
      <c r="F5580" t="s">
        <v>43</v>
      </c>
      <c r="G5580">
        <v>-399.8526</v>
      </c>
      <c r="H5580" s="1">
        <v>-2.1683979999999998E-6</v>
      </c>
      <c r="I5580">
        <v>27.577369999999998</v>
      </c>
      <c r="J5580">
        <v>-411.81139999999999</v>
      </c>
      <c r="K5580">
        <v>1.118714</v>
      </c>
      <c r="L5580">
        <v>30.62961</v>
      </c>
      <c r="M5580">
        <v>0.89820250000000001</v>
      </c>
      <c r="N5580">
        <v>0</v>
      </c>
      <c r="O5580">
        <v>-0.43930799999999998</v>
      </c>
      <c r="P5580">
        <v>0.89008709999999902</v>
      </c>
      <c r="Q5580">
        <v>-8.4875619999999902E-3</v>
      </c>
      <c r="R5580">
        <v>-0.4557117</v>
      </c>
      <c r="S5580">
        <v>2.9808650000000001</v>
      </c>
      <c r="T5580">
        <v>-0.27625820000000001</v>
      </c>
      <c r="U5580">
        <v>-0.765625</v>
      </c>
      <c r="V5580">
        <v>1.8155290000000001E-2</v>
      </c>
      <c r="W5580">
        <v>7.3978869999999997E-3</v>
      </c>
      <c r="X5580">
        <v>0.99980780000000002</v>
      </c>
      <c r="Y5580">
        <v>-0.1996677</v>
      </c>
      <c r="Z5580">
        <v>4.7463180000000001E-2</v>
      </c>
      <c r="AA5580">
        <v>0.97871350000000001</v>
      </c>
      <c r="AB5580">
        <v>24</v>
      </c>
      <c r="AC5580">
        <v>11.958799999999901</v>
      </c>
      <c r="AD5580">
        <v>-1.118716168398</v>
      </c>
      <c r="AE5580">
        <v>-3.0522399999999901</v>
      </c>
      <c r="AF5580">
        <v>-2.4918960976981799</v>
      </c>
      <c r="AG5580">
        <v>-1.118716168398</v>
      </c>
      <c r="AH5580">
        <v>11.9852818678101</v>
      </c>
      <c r="AI5580">
        <v>95.2215575042014</v>
      </c>
      <c r="AJ5580">
        <v>101.745206336983</v>
      </c>
      <c r="AK5580">
        <v>12.292601574850501</v>
      </c>
      <c r="AL5580">
        <v>89.576128427009195</v>
      </c>
      <c r="AM5580">
        <v>88.959692872179602</v>
      </c>
      <c r="AN5580">
        <v>0.99999999011394403</v>
      </c>
    </row>
    <row r="5581" spans="1:40" x14ac:dyDescent="0.25">
      <c r="A5581" t="str">
        <f>"20190312154408635"</f>
        <v>20190312154408635</v>
      </c>
      <c r="B5581" t="str">
        <f>"1552376648622979"</f>
        <v>1552376648622979</v>
      </c>
      <c r="C5581" t="s">
        <v>40</v>
      </c>
      <c r="D5581">
        <v>5.2140969999999998</v>
      </c>
      <c r="E5581">
        <v>0.4154292</v>
      </c>
      <c r="F5581" t="s">
        <v>43</v>
      </c>
      <c r="G5581">
        <v>-399.6114</v>
      </c>
      <c r="H5581" s="1">
        <v>-2.2788699999999999E-6</v>
      </c>
      <c r="I5581">
        <v>27.564080000000001</v>
      </c>
      <c r="J5581">
        <v>-411.7088</v>
      </c>
      <c r="K5581">
        <v>1.1185529999999999</v>
      </c>
      <c r="L5581">
        <v>30.58661</v>
      </c>
      <c r="M5581">
        <v>0.90076880000000004</v>
      </c>
      <c r="N5581">
        <v>0</v>
      </c>
      <c r="O5581">
        <v>-0.4340231</v>
      </c>
      <c r="P5581">
        <v>0.89282519999999999</v>
      </c>
      <c r="Q5581">
        <v>-8.4339229999999994E-3</v>
      </c>
      <c r="R5581">
        <v>-0.45032440000000001</v>
      </c>
      <c r="S5581">
        <v>2.9839479999999998</v>
      </c>
      <c r="T5581">
        <v>-0.27362239999999999</v>
      </c>
      <c r="U5581">
        <v>-0.74978639999999996</v>
      </c>
      <c r="V5581">
        <v>1.7990320000000001E-2</v>
      </c>
      <c r="W5581">
        <v>7.4002709999999999E-3</v>
      </c>
      <c r="X5581">
        <v>0.9998108</v>
      </c>
      <c r="Y5581">
        <v>-0.19910149999999999</v>
      </c>
      <c r="Z5581">
        <v>4.6557199999999903E-2</v>
      </c>
      <c r="AA5581">
        <v>0.97887230000000003</v>
      </c>
      <c r="AB5581">
        <v>24</v>
      </c>
      <c r="AC5581">
        <v>12.097399999999899</v>
      </c>
      <c r="AD5581">
        <v>-1.1185552788699999</v>
      </c>
      <c r="AE5581">
        <v>-3.0225299999999899</v>
      </c>
      <c r="AF5581">
        <v>-2.50807074638363</v>
      </c>
      <c r="AG5581">
        <v>-1.1185552788699999</v>
      </c>
      <c r="AH5581">
        <v>12.1127993100766</v>
      </c>
      <c r="AI5581">
        <v>95.167020029186403</v>
      </c>
      <c r="AJ5581">
        <v>101.69832451047201</v>
      </c>
      <c r="AK5581">
        <v>12.420204986510701</v>
      </c>
      <c r="AL5581">
        <v>89.575991845223896</v>
      </c>
      <c r="AM5581">
        <v>88.969146778359999</v>
      </c>
      <c r="AN5581">
        <v>1.0000000257106001</v>
      </c>
    </row>
    <row r="5582" spans="1:40" x14ac:dyDescent="0.25">
      <c r="A5582" t="str">
        <f>"20190312154408647"</f>
        <v>20190312154408647</v>
      </c>
      <c r="B5582" t="str">
        <f>"1552376648643474"</f>
        <v>1552376648643474</v>
      </c>
      <c r="C5582" t="s">
        <v>40</v>
      </c>
      <c r="D5582">
        <v>5.104355</v>
      </c>
      <c r="E5582">
        <v>0.4161184</v>
      </c>
      <c r="F5582" t="s">
        <v>43</v>
      </c>
      <c r="G5582">
        <v>-399.61939999999998</v>
      </c>
      <c r="H5582" s="1">
        <v>-2.287597E-6</v>
      </c>
      <c r="I5582">
        <v>27.6111</v>
      </c>
      <c r="J5582">
        <v>-411.58800000000002</v>
      </c>
      <c r="K5582">
        <v>1.1183510000000001</v>
      </c>
      <c r="L5582">
        <v>30.53641</v>
      </c>
      <c r="M5582">
        <v>0.90371159999999995</v>
      </c>
      <c r="N5582">
        <v>0</v>
      </c>
      <c r="O5582">
        <v>-0.42786400000000002</v>
      </c>
      <c r="P5582">
        <v>0.89590439999999905</v>
      </c>
      <c r="Q5582">
        <v>-8.3525070000000003E-3</v>
      </c>
      <c r="R5582">
        <v>-0.44416899999999998</v>
      </c>
      <c r="S5582">
        <v>2.9867249999999999</v>
      </c>
      <c r="T5582">
        <v>-0.27634199999999998</v>
      </c>
      <c r="U5582">
        <v>-0.73510739999999997</v>
      </c>
      <c r="V5582">
        <v>1.7937379999999999E-2</v>
      </c>
      <c r="W5582">
        <v>7.4236349999999996E-3</v>
      </c>
      <c r="X5582">
        <v>0.99981149999999996</v>
      </c>
      <c r="Y5582">
        <v>-0.19714100000000001</v>
      </c>
      <c r="Z5582">
        <v>4.6423649999999997E-2</v>
      </c>
      <c r="AA5582">
        <v>0.97927540000000002</v>
      </c>
      <c r="AB5582">
        <v>24</v>
      </c>
      <c r="AC5582">
        <v>11.9686</v>
      </c>
      <c r="AD5582">
        <v>-1.1183532875969999</v>
      </c>
      <c r="AE5582">
        <v>-2.9253099999999899</v>
      </c>
      <c r="AF5582">
        <v>-2.4573450496653702</v>
      </c>
      <c r="AG5582">
        <v>-1.1183532875969999</v>
      </c>
      <c r="AH5582">
        <v>11.9706068907433</v>
      </c>
      <c r="AI5582">
        <v>95.228947381513706</v>
      </c>
      <c r="AJ5582">
        <v>101.60060783935199</v>
      </c>
      <c r="AK5582">
        <v>12.2712952902986</v>
      </c>
      <c r="AL5582">
        <v>89.574653116730303</v>
      </c>
      <c r="AM5582">
        <v>88.972180331314107</v>
      </c>
      <c r="AN5582">
        <v>0.99999994774506196</v>
      </c>
    </row>
    <row r="5583" spans="1:40" x14ac:dyDescent="0.25">
      <c r="A5583" t="str">
        <f>"20190312154408658"</f>
        <v>20190312154408658</v>
      </c>
      <c r="B5583" t="str">
        <f>"1552376648653236"</f>
        <v>1552376648653236</v>
      </c>
      <c r="C5583" t="s">
        <v>40</v>
      </c>
      <c r="D5583">
        <v>5.1165039999999999</v>
      </c>
      <c r="E5583">
        <v>0.43472899999999998</v>
      </c>
      <c r="F5583" t="s">
        <v>43</v>
      </c>
      <c r="G5583">
        <v>-399.48180000000002</v>
      </c>
      <c r="H5583" s="1">
        <v>-2.355365E-6</v>
      </c>
      <c r="I5583">
        <v>27.621390000000002</v>
      </c>
      <c r="J5583">
        <v>-411.48430000000002</v>
      </c>
      <c r="K5583">
        <v>1.1181620000000001</v>
      </c>
      <c r="L5583">
        <v>30.494350000000001</v>
      </c>
      <c r="M5583">
        <v>0.90609189999999995</v>
      </c>
      <c r="N5583">
        <v>0</v>
      </c>
      <c r="O5583">
        <v>-0.42280109999999899</v>
      </c>
      <c r="P5583">
        <v>0.89834890000000001</v>
      </c>
      <c r="Q5583">
        <v>-8.1449390000000003E-3</v>
      </c>
      <c r="R5583">
        <v>-0.43920730000000002</v>
      </c>
      <c r="S5583">
        <v>2.989166</v>
      </c>
      <c r="T5583">
        <v>-0.2761363</v>
      </c>
      <c r="U5583">
        <v>-0.71975710000000004</v>
      </c>
      <c r="V5583">
        <v>1.8001630000000001E-2</v>
      </c>
      <c r="W5583">
        <v>7.5781260000000001E-3</v>
      </c>
      <c r="X5583">
        <v>0.99980930000000001</v>
      </c>
      <c r="Y5583">
        <v>-0.19661300000000001</v>
      </c>
      <c r="Z5583">
        <v>4.5953889999999997E-2</v>
      </c>
      <c r="AA5583">
        <v>0.97940369999999999</v>
      </c>
      <c r="AB5583">
        <v>24</v>
      </c>
      <c r="AC5583">
        <v>12.0024999999999</v>
      </c>
      <c r="AD5583">
        <v>-1.118164355365</v>
      </c>
      <c r="AE5583">
        <v>-2.8729599999999902</v>
      </c>
      <c r="AF5583">
        <v>-2.45167205290057</v>
      </c>
      <c r="AG5583">
        <v>-1.118164355365</v>
      </c>
      <c r="AH5583">
        <v>11.9930430899523</v>
      </c>
      <c r="AI5583">
        <v>95.219216961842093</v>
      </c>
      <c r="AJ5583">
        <v>101.553479747617</v>
      </c>
      <c r="AK5583">
        <v>12.292032782987301</v>
      </c>
      <c r="AL5583">
        <v>89.565801234366106</v>
      </c>
      <c r="AM5583">
        <v>88.968497303167695</v>
      </c>
      <c r="AN5583">
        <v>1.0000000615214</v>
      </c>
    </row>
    <row r="5584" spans="1:40" x14ac:dyDescent="0.25">
      <c r="A5584" t="str">
        <f>"20190312154408669"</f>
        <v>20190312154408669</v>
      </c>
      <c r="B5584" t="str">
        <f>"1552376648662995"</f>
        <v>1552376648662995</v>
      </c>
      <c r="C5584" t="s">
        <v>40</v>
      </c>
      <c r="D5584">
        <v>5.0880269999999896</v>
      </c>
      <c r="E5584">
        <v>0.4350367</v>
      </c>
      <c r="F5584" t="s">
        <v>43</v>
      </c>
      <c r="G5584">
        <v>-398.63869999999997</v>
      </c>
      <c r="H5584" s="1">
        <v>-2.5398019999999999E-6</v>
      </c>
      <c r="I5584">
        <v>26.816610000000001</v>
      </c>
      <c r="J5584">
        <v>-411.37290000000002</v>
      </c>
      <c r="K5584">
        <v>1.1179570000000001</v>
      </c>
      <c r="L5584">
        <v>30.449339999999999</v>
      </c>
      <c r="M5584">
        <v>0.90859540000000005</v>
      </c>
      <c r="N5584">
        <v>0</v>
      </c>
      <c r="O5584">
        <v>-0.41739569999999998</v>
      </c>
      <c r="P5584">
        <v>0.90077039999999997</v>
      </c>
      <c r="Q5584">
        <v>-8.0210699999999999E-3</v>
      </c>
      <c r="R5584">
        <v>-0.43422139999999998</v>
      </c>
      <c r="S5584">
        <v>2.9273380000000002</v>
      </c>
      <c r="T5584">
        <v>-0.25481310000000001</v>
      </c>
      <c r="U5584">
        <v>-0.83810419999999997</v>
      </c>
      <c r="V5584">
        <v>1.8418609999999998E-2</v>
      </c>
      <c r="W5584">
        <v>7.6525100000000004E-3</v>
      </c>
      <c r="X5584">
        <v>0.9998011</v>
      </c>
      <c r="Y5584">
        <v>-0.14935029999999999</v>
      </c>
      <c r="Z5584">
        <v>4.0563809999999999E-2</v>
      </c>
      <c r="AA5584">
        <v>0.98795189999999999</v>
      </c>
      <c r="AB5584">
        <v>24</v>
      </c>
      <c r="AC5584">
        <v>12.7342</v>
      </c>
      <c r="AD5584">
        <v>-1.1179595398019999</v>
      </c>
      <c r="AE5584">
        <v>-3.63273</v>
      </c>
      <c r="AF5584">
        <v>-2.0004972231753801</v>
      </c>
      <c r="AG5584">
        <v>-1.1179595398019999</v>
      </c>
      <c r="AH5584">
        <v>12.995437395287301</v>
      </c>
      <c r="AI5584">
        <v>94.859916446347697</v>
      </c>
      <c r="AJ5584">
        <v>98.751326953012295</v>
      </c>
      <c r="AK5584">
        <v>13.1959545227846</v>
      </c>
      <c r="AL5584">
        <v>89.561539204814693</v>
      </c>
      <c r="AM5584">
        <v>88.944600822913998</v>
      </c>
      <c r="AN5584">
        <v>1.00000002283242</v>
      </c>
    </row>
    <row r="5585" spans="1:40" x14ac:dyDescent="0.25">
      <c r="A5585" t="str">
        <f>"20190312154408681"</f>
        <v>20190312154408681</v>
      </c>
      <c r="B5585" t="str">
        <f>"1552376648672756"</f>
        <v>1552376648672756</v>
      </c>
      <c r="C5585" t="s">
        <v>40</v>
      </c>
      <c r="D5585">
        <v>5.0971570000000002</v>
      </c>
      <c r="E5585">
        <v>0.43547269999999999</v>
      </c>
      <c r="F5585" t="s">
        <v>43</v>
      </c>
      <c r="G5585">
        <v>-398.72190000000001</v>
      </c>
      <c r="H5585" s="1">
        <v>-2.5206250000000001E-6</v>
      </c>
      <c r="I5585">
        <v>26.892340000000001</v>
      </c>
      <c r="J5585">
        <v>-411.2509</v>
      </c>
      <c r="K5585">
        <v>1.1177159999999999</v>
      </c>
      <c r="L5585">
        <v>30.401</v>
      </c>
      <c r="M5585">
        <v>0.91117789999999999</v>
      </c>
      <c r="N5585">
        <v>0</v>
      </c>
      <c r="O5585">
        <v>-0.41173009999999899</v>
      </c>
      <c r="P5585">
        <v>0.90332369999999995</v>
      </c>
      <c r="Q5585">
        <v>-7.8605669999999902E-3</v>
      </c>
      <c r="R5585">
        <v>-0.42888779999999999</v>
      </c>
      <c r="S5585">
        <v>2.9309080000000001</v>
      </c>
      <c r="T5585">
        <v>-0.25900230000000002</v>
      </c>
      <c r="U5585">
        <v>-0.82406619999999997</v>
      </c>
      <c r="V5585">
        <v>1.8735129999999999E-2</v>
      </c>
      <c r="W5585">
        <v>7.7507359999999898E-3</v>
      </c>
      <c r="X5585">
        <v>0.99979439999999997</v>
      </c>
      <c r="Y5585">
        <v>-0.14785400000000001</v>
      </c>
      <c r="Z5585">
        <v>4.0710160000000002E-2</v>
      </c>
      <c r="AA5585">
        <v>0.98817100000000002</v>
      </c>
      <c r="AB5585">
        <v>24</v>
      </c>
      <c r="AC5585">
        <v>12.5289999999999</v>
      </c>
      <c r="AD5585">
        <v>-1.117718520625</v>
      </c>
      <c r="AE5585">
        <v>-3.5086599999999901</v>
      </c>
      <c r="AF5585">
        <v>-1.9474102612236099</v>
      </c>
      <c r="AG5585">
        <v>-1.117718520625</v>
      </c>
      <c r="AH5585">
        <v>12.768043261402299</v>
      </c>
      <c r="AI5585">
        <v>94.946026500121107</v>
      </c>
      <c r="AJ5585">
        <v>98.672045442335204</v>
      </c>
      <c r="AK5585">
        <v>12.9639743189312</v>
      </c>
      <c r="AL5585">
        <v>89.555911075164204</v>
      </c>
      <c r="AM5585">
        <v>88.926461022709205</v>
      </c>
      <c r="AN5585">
        <v>0.999999960638008</v>
      </c>
    </row>
    <row r="5586" spans="1:40" x14ac:dyDescent="0.25">
      <c r="A5586" t="str">
        <f>"20190312154408694"</f>
        <v>20190312154408694</v>
      </c>
      <c r="B5586" t="str">
        <f>"1552376648683491"</f>
        <v>1552376648683491</v>
      </c>
      <c r="C5586" t="s">
        <v>40</v>
      </c>
      <c r="D5586">
        <v>5.1205999999999996</v>
      </c>
      <c r="E5586">
        <v>0.43612509999999999</v>
      </c>
      <c r="F5586" t="s">
        <v>43</v>
      </c>
      <c r="G5586">
        <v>-398.67689999999999</v>
      </c>
      <c r="H5586" s="1">
        <v>-2.5519519999999998E-6</v>
      </c>
      <c r="I5586">
        <v>26.93027</v>
      </c>
      <c r="J5586">
        <v>-411.14010000000002</v>
      </c>
      <c r="K5586">
        <v>1.1174900000000001</v>
      </c>
      <c r="L5586">
        <v>30.357569999999999</v>
      </c>
      <c r="M5586">
        <v>0.91343110000000005</v>
      </c>
      <c r="N5586">
        <v>0</v>
      </c>
      <c r="O5586">
        <v>-0.40670830000000002</v>
      </c>
      <c r="P5586">
        <v>0.90555269999999999</v>
      </c>
      <c r="Q5586">
        <v>-7.5877849999999997E-3</v>
      </c>
      <c r="R5586">
        <v>-0.42416589999999998</v>
      </c>
      <c r="S5586">
        <v>2.9342649999999999</v>
      </c>
      <c r="T5586">
        <v>-0.26083240000000002</v>
      </c>
      <c r="U5586">
        <v>-0.80993649999999995</v>
      </c>
      <c r="V5586">
        <v>1.9018319999999998E-2</v>
      </c>
      <c r="W5586">
        <v>7.9667360000000003E-3</v>
      </c>
      <c r="X5586">
        <v>0.99978739999999999</v>
      </c>
      <c r="Y5586">
        <v>-0.147113299999999</v>
      </c>
      <c r="Z5586">
        <v>4.0559810000000002E-2</v>
      </c>
      <c r="AA5586">
        <v>0.98828769999999999</v>
      </c>
      <c r="AB5586">
        <v>24</v>
      </c>
      <c r="AC5586">
        <v>12.463200000000001</v>
      </c>
      <c r="AD5586">
        <v>-1.11749255195199</v>
      </c>
      <c r="AE5586">
        <v>-3.4272999999999998</v>
      </c>
      <c r="AF5586">
        <v>-1.92412782654818</v>
      </c>
      <c r="AG5586">
        <v>-1.11749255195199</v>
      </c>
      <c r="AH5586">
        <v>12.684857801837801</v>
      </c>
      <c r="AI5586">
        <v>94.9779129111527</v>
      </c>
      <c r="AJ5586">
        <v>98.625272289222295</v>
      </c>
      <c r="AK5586">
        <v>12.878535434955699</v>
      </c>
      <c r="AL5586">
        <v>89.543534824476396</v>
      </c>
      <c r="AM5586">
        <v>88.910230249415704</v>
      </c>
      <c r="AN5586">
        <v>1.0000000052884299</v>
      </c>
    </row>
    <row r="5587" spans="1:40" x14ac:dyDescent="0.25">
      <c r="A5587" t="str">
        <f>"20190312154408704"</f>
        <v>20190312154408704</v>
      </c>
      <c r="B5587" t="str">
        <f>"1552376648693251"</f>
        <v>1552376648693251</v>
      </c>
      <c r="C5587" t="s">
        <v>40</v>
      </c>
      <c r="D5587">
        <v>5.0939519999999998</v>
      </c>
      <c r="E5587">
        <v>0.43696669999999999</v>
      </c>
      <c r="F5587" t="s">
        <v>43</v>
      </c>
      <c r="G5587">
        <v>-398.59019999999998</v>
      </c>
      <c r="H5587" s="1">
        <v>-2.5954120000000001E-6</v>
      </c>
      <c r="I5587">
        <v>26.939499999999999</v>
      </c>
      <c r="J5587">
        <v>-411.02379999999999</v>
      </c>
      <c r="K5587">
        <v>1.117251</v>
      </c>
      <c r="L5587">
        <v>30.312529999999999</v>
      </c>
      <c r="M5587">
        <v>0.91570370000000001</v>
      </c>
      <c r="N5587">
        <v>0</v>
      </c>
      <c r="O5587">
        <v>-0.40156779999999997</v>
      </c>
      <c r="P5587">
        <v>0.90780139999999998</v>
      </c>
      <c r="Q5587">
        <v>-7.2274080000000003E-3</v>
      </c>
      <c r="R5587">
        <v>-0.41933789999999999</v>
      </c>
      <c r="S5587">
        <v>2.9361269999999999</v>
      </c>
      <c r="T5587">
        <v>-0.26144489999999998</v>
      </c>
      <c r="U5587">
        <v>-0.79968260000000002</v>
      </c>
      <c r="V5587">
        <v>1.9312679999999999E-2</v>
      </c>
      <c r="W5587">
        <v>8.2671350000000001E-3</v>
      </c>
      <c r="X5587">
        <v>0.99977930000000004</v>
      </c>
      <c r="Y5587">
        <v>-0.1449396</v>
      </c>
      <c r="Z5587">
        <v>4.0153950000000001E-2</v>
      </c>
      <c r="AA5587">
        <v>0.98862539999999999</v>
      </c>
      <c r="AB5587">
        <v>24</v>
      </c>
      <c r="AC5587">
        <v>12.4336</v>
      </c>
      <c r="AD5587">
        <v>-1.117253595412</v>
      </c>
      <c r="AE5587">
        <v>-3.37303</v>
      </c>
      <c r="AF5587">
        <v>-1.8902401135950699</v>
      </c>
      <c r="AG5587">
        <v>-1.117253595412</v>
      </c>
      <c r="AH5587">
        <v>12.646347522342101</v>
      </c>
      <c r="AI5587">
        <v>94.993554798140593</v>
      </c>
      <c r="AJ5587">
        <v>98.501022876237698</v>
      </c>
      <c r="AK5587">
        <v>12.835550979188699</v>
      </c>
      <c r="AL5587">
        <v>89.526322653913596</v>
      </c>
      <c r="AM5587">
        <v>88.893358310701501</v>
      </c>
      <c r="AN5587">
        <v>0.99999998691919001</v>
      </c>
    </row>
    <row r="5588" spans="1:40" x14ac:dyDescent="0.25">
      <c r="A5588" t="str">
        <f>"20190312154408716"</f>
        <v>20190312154408716</v>
      </c>
      <c r="B5588" t="str">
        <f>"1552376648712771"</f>
        <v>1552376648712771</v>
      </c>
      <c r="C5588" t="s">
        <v>40</v>
      </c>
      <c r="D5588">
        <v>5.1032529999999996</v>
      </c>
      <c r="E5588">
        <v>0.4385038</v>
      </c>
      <c r="F5588" t="s">
        <v>43</v>
      </c>
      <c r="G5588">
        <v>-398.55549999999999</v>
      </c>
      <c r="H5588" s="1">
        <v>-2.61666E-6</v>
      </c>
      <c r="I5588">
        <v>26.95778</v>
      </c>
      <c r="J5588">
        <v>-410.91379999999998</v>
      </c>
      <c r="K5588">
        <v>1.117024</v>
      </c>
      <c r="L5588">
        <v>30.27054</v>
      </c>
      <c r="M5588">
        <v>0.91773320000000003</v>
      </c>
      <c r="N5588">
        <v>0</v>
      </c>
      <c r="O5588">
        <v>-0.39690940000000002</v>
      </c>
      <c r="P5588">
        <v>0.90991270000000002</v>
      </c>
      <c r="Q5588">
        <v>-7.3679590000000003E-3</v>
      </c>
      <c r="R5588">
        <v>-0.41473480000000001</v>
      </c>
      <c r="S5588">
        <v>2.9375</v>
      </c>
      <c r="T5588">
        <v>-0.26322289999999998</v>
      </c>
      <c r="U5588">
        <v>-0.79037480000000004</v>
      </c>
      <c r="V5588">
        <v>1.9337710000000001E-2</v>
      </c>
      <c r="W5588">
        <v>8.0644840000000002E-3</v>
      </c>
      <c r="X5588">
        <v>0.99978049999999996</v>
      </c>
      <c r="Y5588">
        <v>-0.1429435</v>
      </c>
      <c r="Z5588">
        <v>3.9970829999999999E-2</v>
      </c>
      <c r="AA5588">
        <v>0.98892340000000001</v>
      </c>
      <c r="AB5588">
        <v>24</v>
      </c>
      <c r="AC5588">
        <v>12.3582999999999</v>
      </c>
      <c r="AD5588">
        <v>-1.11702661666</v>
      </c>
      <c r="AE5588">
        <v>-3.3127599999999999</v>
      </c>
      <c r="AF5588">
        <v>-1.8510004289270801</v>
      </c>
      <c r="AG5588">
        <v>-1.11702661666</v>
      </c>
      <c r="AH5588">
        <v>12.562185409780501</v>
      </c>
      <c r="AI5588">
        <v>95.027364068530005</v>
      </c>
      <c r="AJ5588">
        <v>98.382047655008805</v>
      </c>
      <c r="AK5588">
        <v>12.7468605279856</v>
      </c>
      <c r="AL5588">
        <v>89.537934101465794</v>
      </c>
      <c r="AM5588">
        <v>88.891925746155806</v>
      </c>
      <c r="AN5588">
        <v>1.00000001555524</v>
      </c>
    </row>
    <row r="5589" spans="1:40" x14ac:dyDescent="0.25">
      <c r="A5589" t="str">
        <f>"20190312154408729"</f>
        <v>20190312154408729</v>
      </c>
      <c r="B5589" t="str">
        <f>"1552376648723506"</f>
        <v>1552376648723506</v>
      </c>
      <c r="C5589" t="s">
        <v>40</v>
      </c>
      <c r="D5589">
        <v>5.089645</v>
      </c>
      <c r="E5589">
        <v>0.4385038</v>
      </c>
      <c r="F5589" t="s">
        <v>43</v>
      </c>
      <c r="G5589">
        <v>-398.65530000000001</v>
      </c>
      <c r="H5589" s="1">
        <v>-2.5772359999999998E-6</v>
      </c>
      <c r="I5589">
        <v>26.98685</v>
      </c>
      <c r="J5589">
        <v>-410.79719999999998</v>
      </c>
      <c r="K5589">
        <v>1.1167849999999999</v>
      </c>
      <c r="L5589">
        <v>30.226289999999999</v>
      </c>
      <c r="M5589">
        <v>0.91982249999999999</v>
      </c>
      <c r="N5589">
        <v>0</v>
      </c>
      <c r="O5589">
        <v>-0.39204529999999999</v>
      </c>
      <c r="P5589">
        <v>0.91201900000000002</v>
      </c>
      <c r="Q5589">
        <v>-7.3088390000000001E-3</v>
      </c>
      <c r="R5589">
        <v>-0.41008289999999997</v>
      </c>
      <c r="S5589">
        <v>2.93634</v>
      </c>
      <c r="T5589">
        <v>-0.26756740000000001</v>
      </c>
      <c r="U5589">
        <v>-0.78656009999999998</v>
      </c>
      <c r="V5589">
        <v>1.9530079999999998E-2</v>
      </c>
      <c r="W5589">
        <v>8.0625780000000008E-3</v>
      </c>
      <c r="X5589">
        <v>0.99977680000000002</v>
      </c>
      <c r="Y5589">
        <v>-0.13876949999999999</v>
      </c>
      <c r="Z5589">
        <v>4.0070679999999997E-2</v>
      </c>
      <c r="AA5589">
        <v>0.98951369999999905</v>
      </c>
      <c r="AB5589">
        <v>24</v>
      </c>
      <c r="AC5589">
        <v>12.1418999999999</v>
      </c>
      <c r="AD5589">
        <v>-1.1167875772360001</v>
      </c>
      <c r="AE5589">
        <v>-3.2394400000000001</v>
      </c>
      <c r="AF5589">
        <v>-1.76671407921891</v>
      </c>
      <c r="AG5589">
        <v>-1.1167875772360001</v>
      </c>
      <c r="AH5589">
        <v>12.342335355470899</v>
      </c>
      <c r="AI5589">
        <v>95.118398507479199</v>
      </c>
      <c r="AJ5589">
        <v>98.146130576787101</v>
      </c>
      <c r="AK5589">
        <v>12.518056364998801</v>
      </c>
      <c r="AL5589">
        <v>89.538043321833598</v>
      </c>
      <c r="AM5589">
        <v>88.880901360619106</v>
      </c>
      <c r="AN5589">
        <v>1.00000003950352</v>
      </c>
    </row>
    <row r="5590" spans="1:40" x14ac:dyDescent="0.25">
      <c r="A5590" t="str">
        <f>"20190312154408749"</f>
        <v>20190312154408749</v>
      </c>
      <c r="B5590" t="str">
        <f>"1552376648743027"</f>
        <v>1552376648743027</v>
      </c>
      <c r="C5590" t="s">
        <v>40</v>
      </c>
      <c r="D5590">
        <v>5.0999040000000004</v>
      </c>
      <c r="E5590">
        <v>0.44984109999999999</v>
      </c>
      <c r="F5590" t="s">
        <v>43</v>
      </c>
      <c r="G5590">
        <v>-398.55790000000002</v>
      </c>
      <c r="H5590" s="1">
        <v>-2.6301820000000002E-6</v>
      </c>
      <c r="I5590">
        <v>27.012689999999999</v>
      </c>
      <c r="J5590">
        <v>-410.59519999999998</v>
      </c>
      <c r="K5590">
        <v>1.116371</v>
      </c>
      <c r="L5590">
        <v>30.151060000000001</v>
      </c>
      <c r="M5590">
        <v>0.92315009999999997</v>
      </c>
      <c r="N5590">
        <v>0</v>
      </c>
      <c r="O5590">
        <v>-0.38414799999999999</v>
      </c>
      <c r="P5590">
        <v>0.91525840000000003</v>
      </c>
      <c r="Q5590">
        <v>-7.5038409999999998E-3</v>
      </c>
      <c r="R5590">
        <v>-0.40279769999999998</v>
      </c>
      <c r="S5590">
        <v>2.9401549999999999</v>
      </c>
      <c r="T5590">
        <v>-0.2682756</v>
      </c>
      <c r="U5590">
        <v>-0.77197269999999996</v>
      </c>
      <c r="V5590">
        <v>2.013966E-2</v>
      </c>
      <c r="W5590">
        <v>7.7626559999999997E-3</v>
      </c>
      <c r="X5590">
        <v>0.99976710000000002</v>
      </c>
      <c r="Y5590">
        <v>-0.13522100000000001</v>
      </c>
      <c r="Z5590">
        <v>3.9355830000000001E-2</v>
      </c>
      <c r="AA5590">
        <v>0.99003350000000001</v>
      </c>
      <c r="AB5590">
        <v>24</v>
      </c>
      <c r="AC5590">
        <v>12.037299999999901</v>
      </c>
      <c r="AD5590">
        <v>-1.116373630182</v>
      </c>
      <c r="AE5590">
        <v>-3.1383699999999899</v>
      </c>
      <c r="AF5590">
        <v>-1.7133131181968699</v>
      </c>
      <c r="AG5590">
        <v>-1.116373630182</v>
      </c>
      <c r="AH5590">
        <v>12.220790786776201</v>
      </c>
      <c r="AI5590">
        <v>95.169227778596607</v>
      </c>
      <c r="AJ5590">
        <v>97.980656992135494</v>
      </c>
      <c r="AK5590">
        <v>12.390700520039401</v>
      </c>
      <c r="AL5590">
        <v>89.555228132865295</v>
      </c>
      <c r="AM5590">
        <v>88.845969754150801</v>
      </c>
      <c r="AN5590">
        <v>1.0000000594877401</v>
      </c>
    </row>
    <row r="5591" spans="1:40" x14ac:dyDescent="0.25">
      <c r="A5591" t="str">
        <f>"20190312154408762"</f>
        <v>20190312154408762</v>
      </c>
      <c r="B5591" t="str">
        <f>"1552376648752787"</f>
        <v>1552376648752787</v>
      </c>
      <c r="C5591" t="s">
        <v>40</v>
      </c>
      <c r="D5591">
        <v>5.1550050000000001</v>
      </c>
      <c r="E5591">
        <v>0.4511175</v>
      </c>
      <c r="F5591" t="s">
        <v>43</v>
      </c>
      <c r="G5591">
        <v>-398.35199999999998</v>
      </c>
      <c r="H5591" s="1">
        <v>-2.6306599999999998E-6</v>
      </c>
      <c r="I5591">
        <v>26.648710000000001</v>
      </c>
      <c r="J5591">
        <v>-410.46530000000001</v>
      </c>
      <c r="K5591">
        <v>1.1161140000000001</v>
      </c>
      <c r="L5591">
        <v>30.10342</v>
      </c>
      <c r="M5591">
        <v>0.92512930000000004</v>
      </c>
      <c r="N5591">
        <v>0</v>
      </c>
      <c r="O5591">
        <v>-0.37935920000000001</v>
      </c>
      <c r="P5591">
        <v>0.9171262</v>
      </c>
      <c r="Q5591">
        <v>-7.9118439999999995E-3</v>
      </c>
      <c r="R5591">
        <v>-0.3985186</v>
      </c>
      <c r="S5591">
        <v>2.9093019999999998</v>
      </c>
      <c r="T5591">
        <v>-0.2652775</v>
      </c>
      <c r="U5591">
        <v>-0.83224489999999995</v>
      </c>
      <c r="V5591">
        <v>2.066409E-2</v>
      </c>
      <c r="W5591">
        <v>7.2886929999999997E-3</v>
      </c>
      <c r="X5591">
        <v>0.99975990000000003</v>
      </c>
      <c r="Y5591">
        <v>-0.108535199999999</v>
      </c>
      <c r="Z5591">
        <v>3.7594910000000002E-2</v>
      </c>
      <c r="AA5591">
        <v>0.99338139999999997</v>
      </c>
      <c r="AB5591">
        <v>24</v>
      </c>
      <c r="AC5591">
        <v>12.113300000000001</v>
      </c>
      <c r="AD5591">
        <v>-1.1161166306599899</v>
      </c>
      <c r="AE5591">
        <v>-3.4547099999999999</v>
      </c>
      <c r="AF5591">
        <v>-1.38849271522767</v>
      </c>
      <c r="AG5591">
        <v>-1.1161166306599899</v>
      </c>
      <c r="AH5591">
        <v>12.4208192195908</v>
      </c>
      <c r="AI5591">
        <v>95.103107315054601</v>
      </c>
      <c r="AJ5591">
        <v>96.378472276446999</v>
      </c>
      <c r="AK5591">
        <v>12.547923271969401</v>
      </c>
      <c r="AL5591">
        <v>89.582384952591397</v>
      </c>
      <c r="AM5591">
        <v>88.815919114976793</v>
      </c>
      <c r="AN5591">
        <v>0.99999999365459302</v>
      </c>
    </row>
    <row r="5592" spans="1:40" x14ac:dyDescent="0.25">
      <c r="A5592" t="str">
        <f>"20190312154408783"</f>
        <v>20190312154408783</v>
      </c>
      <c r="B5592" t="str">
        <f>"1552376648773282"</f>
        <v>1552376648773282</v>
      </c>
      <c r="C5592" t="s">
        <v>40</v>
      </c>
      <c r="D5592">
        <v>5.4798530000000003</v>
      </c>
      <c r="E5592">
        <v>0.45186680000000001</v>
      </c>
      <c r="F5592" t="s">
        <v>43</v>
      </c>
      <c r="G5592">
        <v>-398.30439999999999</v>
      </c>
      <c r="H5592" s="1">
        <v>-2.651095E-6</v>
      </c>
      <c r="I5592">
        <v>26.640920000000001</v>
      </c>
      <c r="J5592">
        <v>-410.26100000000002</v>
      </c>
      <c r="K5592">
        <v>1.11574</v>
      </c>
      <c r="L5592">
        <v>30.02948</v>
      </c>
      <c r="M5592">
        <v>0.92805349999999998</v>
      </c>
      <c r="N5592">
        <v>0</v>
      </c>
      <c r="O5592">
        <v>-0.37215189999999998</v>
      </c>
      <c r="P5592">
        <v>0.91969129999999999</v>
      </c>
      <c r="Q5592">
        <v>-8.1690579999999999E-3</v>
      </c>
      <c r="R5592">
        <v>-0.39255820000000002</v>
      </c>
      <c r="S5592">
        <v>2.9088440000000002</v>
      </c>
      <c r="T5592">
        <v>-0.26697080000000001</v>
      </c>
      <c r="U5592">
        <v>-0.82821659999999997</v>
      </c>
      <c r="V5592">
        <v>2.1964310000000001E-2</v>
      </c>
      <c r="W5592">
        <v>6.935844E-3</v>
      </c>
      <c r="X5592">
        <v>0.99973469999999998</v>
      </c>
      <c r="Y5592">
        <v>-0.10205599999999999</v>
      </c>
      <c r="Z5592">
        <v>3.6965329999999998E-2</v>
      </c>
      <c r="AA5592">
        <v>0.99409159999999996</v>
      </c>
      <c r="AB5592">
        <v>24</v>
      </c>
      <c r="AC5592">
        <v>11.9565999999999</v>
      </c>
      <c r="AD5592">
        <v>-1.1157426510949999</v>
      </c>
      <c r="AE5592">
        <v>-3.3885599999999898</v>
      </c>
      <c r="AF5592">
        <v>-1.29461456918905</v>
      </c>
      <c r="AG5592">
        <v>-1.1157426510949999</v>
      </c>
      <c r="AH5592">
        <v>12.2599598268914</v>
      </c>
      <c r="AI5592">
        <v>95.171399624397196</v>
      </c>
      <c r="AJ5592">
        <v>96.027921535122701</v>
      </c>
      <c r="AK5592">
        <v>12.3785105526966</v>
      </c>
      <c r="AL5592">
        <v>89.602602226633607</v>
      </c>
      <c r="AM5592">
        <v>88.741406254663602</v>
      </c>
      <c r="AN5592">
        <v>1.0000000036149199</v>
      </c>
    </row>
    <row r="5593" spans="1:40" x14ac:dyDescent="0.25">
      <c r="A5593" t="str">
        <f>"20190312154408795"</f>
        <v>20190312154408795</v>
      </c>
      <c r="B5593" t="str">
        <f>"1552376648783044"</f>
        <v>1552376648783044</v>
      </c>
      <c r="C5593" t="s">
        <v>40</v>
      </c>
      <c r="D5593">
        <v>5.1826220000000003</v>
      </c>
      <c r="E5593">
        <v>0.45901069999999999</v>
      </c>
      <c r="F5593" t="s">
        <v>43</v>
      </c>
      <c r="G5593">
        <v>-397.9667</v>
      </c>
      <c r="H5593" s="1">
        <v>-2.7967100000000001E-6</v>
      </c>
      <c r="I5593">
        <v>26.588270000000001</v>
      </c>
      <c r="J5593">
        <v>-410.13920000000002</v>
      </c>
      <c r="K5593">
        <v>1.11551</v>
      </c>
      <c r="L5593">
        <v>29.98593</v>
      </c>
      <c r="M5593">
        <v>0.92966930000000003</v>
      </c>
      <c r="N5593">
        <v>0</v>
      </c>
      <c r="O5593">
        <v>-0.36810019999999999</v>
      </c>
      <c r="P5593">
        <v>0.92108319999999999</v>
      </c>
      <c r="Q5593">
        <v>-7.9470369999999901E-3</v>
      </c>
      <c r="R5593">
        <v>-0.3892852</v>
      </c>
      <c r="S5593">
        <v>2.911743</v>
      </c>
      <c r="T5593">
        <v>-0.26424789999999998</v>
      </c>
      <c r="U5593">
        <v>-0.81500240000000002</v>
      </c>
      <c r="V5593">
        <v>2.2771949999999999E-2</v>
      </c>
      <c r="W5593">
        <v>7.0679239999999997E-3</v>
      </c>
      <c r="X5593">
        <v>0.99971569999999998</v>
      </c>
      <c r="Y5593">
        <v>-0.10220460000000001</v>
      </c>
      <c r="Z5593">
        <v>3.6259609999999998E-2</v>
      </c>
      <c r="AA5593">
        <v>0.99410240000000005</v>
      </c>
      <c r="AB5593">
        <v>24</v>
      </c>
      <c r="AC5593">
        <v>12.172499999999999</v>
      </c>
      <c r="AD5593">
        <v>-1.11551279671</v>
      </c>
      <c r="AE5593">
        <v>-3.3976599999999899</v>
      </c>
      <c r="AF5593">
        <v>-1.3119216115749099</v>
      </c>
      <c r="AG5593">
        <v>-1.11551279671</v>
      </c>
      <c r="AH5593">
        <v>12.4712774045749</v>
      </c>
      <c r="AI5593">
        <v>95.083406578474197</v>
      </c>
      <c r="AJ5593">
        <v>96.005168944538696</v>
      </c>
      <c r="AK5593">
        <v>12.5896094941981</v>
      </c>
      <c r="AL5593">
        <v>89.595034412731806</v>
      </c>
      <c r="AM5593">
        <v>88.695117982642998</v>
      </c>
      <c r="AN5593">
        <v>0.99999999904148096</v>
      </c>
    </row>
    <row r="5594" spans="1:40" x14ac:dyDescent="0.25">
      <c r="A5594" t="str">
        <f>"20190312154408810"</f>
        <v>20190312154408810</v>
      </c>
      <c r="B5594" t="str">
        <f>"1552376648803538"</f>
        <v>1552376648803538</v>
      </c>
      <c r="C5594" t="s">
        <v>40</v>
      </c>
      <c r="D5594">
        <v>5.1769119999999997</v>
      </c>
      <c r="E5594">
        <v>0.44231350000000003</v>
      </c>
      <c r="F5594" t="s">
        <v>43</v>
      </c>
      <c r="G5594">
        <v>-395.50599999999997</v>
      </c>
      <c r="H5594" s="1">
        <v>-3.665389E-6</v>
      </c>
      <c r="I5594">
        <v>25.64002</v>
      </c>
      <c r="J5594">
        <v>-409.99290000000002</v>
      </c>
      <c r="K5594">
        <v>1.1152219999999999</v>
      </c>
      <c r="L5594">
        <v>29.934139999999999</v>
      </c>
      <c r="M5594">
        <v>0.93150719999999998</v>
      </c>
      <c r="N5594">
        <v>0</v>
      </c>
      <c r="O5594">
        <v>-0.36343029999999998</v>
      </c>
      <c r="P5594">
        <v>0.92276400000000003</v>
      </c>
      <c r="Q5594">
        <v>-7.8537759999999998E-3</v>
      </c>
      <c r="R5594">
        <v>-0.38528600000000002</v>
      </c>
      <c r="S5594">
        <v>2.8920590000000002</v>
      </c>
      <c r="T5594">
        <v>-0.22046789999999999</v>
      </c>
      <c r="U5594">
        <v>-0.85891719999999905</v>
      </c>
      <c r="V5594">
        <v>2.3457780000000001E-2</v>
      </c>
      <c r="W5594">
        <v>7.0116579999999996E-3</v>
      </c>
      <c r="X5594">
        <v>0.99970020000000004</v>
      </c>
      <c r="Y5594">
        <v>-8.2074720000000004E-2</v>
      </c>
      <c r="Z5594">
        <v>2.931636E-2</v>
      </c>
      <c r="AA5594">
        <v>0.99619489999999999</v>
      </c>
      <c r="AB5594">
        <v>24</v>
      </c>
      <c r="AC5594">
        <v>14.4869</v>
      </c>
      <c r="AD5594">
        <v>-1.115225665389</v>
      </c>
      <c r="AE5594">
        <v>-4.2941200000000004</v>
      </c>
      <c r="AF5594">
        <v>-1.2582548966160401</v>
      </c>
      <c r="AG5594">
        <v>-1.115225665389</v>
      </c>
      <c r="AH5594">
        <v>14.9752881576094</v>
      </c>
      <c r="AI5594">
        <v>94.244116108994703</v>
      </c>
      <c r="AJ5594">
        <v>94.802829715059502</v>
      </c>
      <c r="AK5594">
        <v>15.069379186716301</v>
      </c>
      <c r="AL5594">
        <v>89.598258281401897</v>
      </c>
      <c r="AM5594">
        <v>88.655811813705299</v>
      </c>
      <c r="AN5594">
        <v>0.99999996033523797</v>
      </c>
    </row>
    <row r="5595" spans="1:40" x14ac:dyDescent="0.25">
      <c r="A5595" t="str">
        <f>"20190312154408825"</f>
        <v>20190312154408825</v>
      </c>
      <c r="B5595" t="str">
        <f>"1552376648813299"</f>
        <v>1552376648813299</v>
      </c>
      <c r="C5595" t="s">
        <v>40</v>
      </c>
      <c r="D5595">
        <v>5.1847370000000002</v>
      </c>
      <c r="E5595">
        <v>0.43664799999999998</v>
      </c>
      <c r="F5595" t="s">
        <v>43</v>
      </c>
      <c r="G5595">
        <v>-394.29379999999998</v>
      </c>
      <c r="H5595" s="1">
        <v>-4.2084750000000004E-6</v>
      </c>
      <c r="I5595">
        <v>26.07734</v>
      </c>
      <c r="J5595">
        <v>-409.84739999999999</v>
      </c>
      <c r="K5595">
        <v>1.114916</v>
      </c>
      <c r="L5595">
        <v>29.883150000000001</v>
      </c>
      <c r="M5595">
        <v>0.93318679999999998</v>
      </c>
      <c r="N5595">
        <v>0</v>
      </c>
      <c r="O5595">
        <v>-0.35910419999999998</v>
      </c>
      <c r="P5595">
        <v>0.92410789999999998</v>
      </c>
      <c r="Q5595">
        <v>-7.7394169999999898E-3</v>
      </c>
      <c r="R5595">
        <v>-0.38205349999999999</v>
      </c>
      <c r="S5595">
        <v>2.9470209999999999</v>
      </c>
      <c r="T5595">
        <v>-0.20935010000000001</v>
      </c>
      <c r="U5595">
        <v>-0.72399899999999995</v>
      </c>
      <c r="V5595">
        <v>2.4603570000000002E-2</v>
      </c>
      <c r="W5595">
        <v>6.9105719999999898E-3</v>
      </c>
      <c r="X5595">
        <v>0.99967340000000005</v>
      </c>
      <c r="Y5595">
        <v>-0.1250134</v>
      </c>
      <c r="Z5595">
        <v>2.8778669999999999E-2</v>
      </c>
      <c r="AA5595">
        <v>0.9917376</v>
      </c>
      <c r="AB5595">
        <v>24</v>
      </c>
      <c r="AC5595">
        <v>15.553599999999999</v>
      </c>
      <c r="AD5595">
        <v>-1.1149202084750001</v>
      </c>
      <c r="AE5595">
        <v>-3.8058100000000001</v>
      </c>
      <c r="AF5595">
        <v>-2.0242278617492402</v>
      </c>
      <c r="AG5595">
        <v>-1.1149202084750001</v>
      </c>
      <c r="AH5595">
        <v>15.8061074662459</v>
      </c>
      <c r="AI5595">
        <v>94.002227770537203</v>
      </c>
      <c r="AJ5595">
        <v>97.297927194582002</v>
      </c>
      <c r="AK5595">
        <v>15.974153459324899</v>
      </c>
      <c r="AL5595">
        <v>89.604050238508805</v>
      </c>
      <c r="AM5595">
        <v>88.590143344685799</v>
      </c>
      <c r="AN5595">
        <v>0.99999999916483595</v>
      </c>
    </row>
    <row r="5596" spans="1:40" x14ac:dyDescent="0.25">
      <c r="A5596" t="str">
        <f>"20190312154408836"</f>
        <v>20190312154408836</v>
      </c>
      <c r="B5596" t="str">
        <f>"1552376648832819"</f>
        <v>1552376648832819</v>
      </c>
      <c r="C5596" t="s">
        <v>40</v>
      </c>
      <c r="D5596">
        <v>5.2178779999999998</v>
      </c>
      <c r="E5596">
        <v>0.42818040000000002</v>
      </c>
      <c r="F5596" t="s">
        <v>43</v>
      </c>
      <c r="G5596">
        <v>-394.6728</v>
      </c>
      <c r="H5596" s="1">
        <v>-4.1286580000000001E-6</v>
      </c>
      <c r="I5596">
        <v>26.447800000000001</v>
      </c>
      <c r="J5596">
        <v>-409.73129999999998</v>
      </c>
      <c r="K5596">
        <v>1.114665</v>
      </c>
      <c r="L5596">
        <v>29.842829999999999</v>
      </c>
      <c r="M5596">
        <v>0.9344327</v>
      </c>
      <c r="N5596">
        <v>0</v>
      </c>
      <c r="O5596">
        <v>-0.35585719999999998</v>
      </c>
      <c r="P5596">
        <v>0.92513060000000003</v>
      </c>
      <c r="Q5596">
        <v>-7.8876199999999997E-3</v>
      </c>
      <c r="R5596">
        <v>-0.37956659999999998</v>
      </c>
      <c r="S5596">
        <v>2.9668580000000002</v>
      </c>
      <c r="T5596">
        <v>-0.21798339999999999</v>
      </c>
      <c r="U5596">
        <v>-0.67166139999999996</v>
      </c>
      <c r="V5596">
        <v>2.5399749999999999E-2</v>
      </c>
      <c r="W5596">
        <v>6.5581959999999996E-3</v>
      </c>
      <c r="X5596">
        <v>0.99965579999999998</v>
      </c>
      <c r="Y5596">
        <v>-0.13955020000000001</v>
      </c>
      <c r="Z5596">
        <v>3.0156599999999999E-2</v>
      </c>
      <c r="AA5596">
        <v>0.98975570000000002</v>
      </c>
      <c r="AB5596">
        <v>24</v>
      </c>
      <c r="AC5596">
        <v>15.058499999999899</v>
      </c>
      <c r="AD5596">
        <v>-1.1146691286579999</v>
      </c>
      <c r="AE5596">
        <v>-3.39502999999999</v>
      </c>
      <c r="AF5596">
        <v>-2.1751267871989599</v>
      </c>
      <c r="AG5596">
        <v>-1.1146691286579999</v>
      </c>
      <c r="AH5596">
        <v>15.201572343790501</v>
      </c>
      <c r="AI5596">
        <v>94.151626021375705</v>
      </c>
      <c r="AJ5596">
        <v>98.142932320194902</v>
      </c>
      <c r="AK5596">
        <v>15.3968004965405</v>
      </c>
      <c r="AL5596">
        <v>89.6242403310291</v>
      </c>
      <c r="AM5596">
        <v>88.544513600820295</v>
      </c>
      <c r="AN5596">
        <v>0.99999993785423602</v>
      </c>
    </row>
    <row r="5597" spans="1:40" x14ac:dyDescent="0.25">
      <c r="A5597" t="str">
        <f>"20190312154408850"</f>
        <v>20190312154408850</v>
      </c>
      <c r="B5597" t="str">
        <f>"1552376648843554"</f>
        <v>1552376648843554</v>
      </c>
      <c r="C5597" t="s">
        <v>40</v>
      </c>
      <c r="D5597">
        <v>5.2407839999999997</v>
      </c>
      <c r="E5597">
        <v>0.42615259999999999</v>
      </c>
      <c r="F5597" t="s">
        <v>43</v>
      </c>
      <c r="G5597">
        <v>-395.70609999999999</v>
      </c>
      <c r="H5597" s="1">
        <v>-3.8351209999999999E-6</v>
      </c>
      <c r="I5597">
        <v>27.029910000000001</v>
      </c>
      <c r="J5597">
        <v>-409.59910000000002</v>
      </c>
      <c r="K5597">
        <v>1.1143719999999999</v>
      </c>
      <c r="L5597">
        <v>29.797149999999998</v>
      </c>
      <c r="M5597">
        <v>0.93578760000000005</v>
      </c>
      <c r="N5597">
        <v>0</v>
      </c>
      <c r="O5597">
        <v>-0.35228900000000002</v>
      </c>
      <c r="P5597">
        <v>0.92632910000000002</v>
      </c>
      <c r="Q5597">
        <v>-8.1013819999999903E-3</v>
      </c>
      <c r="R5597">
        <v>-0.37662820000000002</v>
      </c>
      <c r="S5597">
        <v>2.994354</v>
      </c>
      <c r="T5597">
        <v>-0.23797989999999999</v>
      </c>
      <c r="U5597">
        <v>-0.60055539999999996</v>
      </c>
      <c r="V5597">
        <v>2.6051810000000002E-2</v>
      </c>
      <c r="W5597">
        <v>6.0937659999999996E-3</v>
      </c>
      <c r="X5597">
        <v>0.99964200000000003</v>
      </c>
      <c r="Y5597">
        <v>-0.15991569999999999</v>
      </c>
      <c r="Z5597">
        <v>3.326904E-2</v>
      </c>
      <c r="AA5597">
        <v>0.9865699</v>
      </c>
      <c r="AB5597">
        <v>24</v>
      </c>
      <c r="AC5597">
        <v>13.893000000000001</v>
      </c>
      <c r="AD5597">
        <v>-1.114375835121</v>
      </c>
      <c r="AE5597">
        <v>-2.7672400000000001</v>
      </c>
      <c r="AF5597">
        <v>-2.2908492715360098</v>
      </c>
      <c r="AG5597">
        <v>-1.114375835121</v>
      </c>
      <c r="AH5597">
        <v>13.891158149439301</v>
      </c>
      <c r="AI5597">
        <v>94.525687190808796</v>
      </c>
      <c r="AJ5597">
        <v>99.364599496584006</v>
      </c>
      <c r="AK5597">
        <v>14.1228219070954</v>
      </c>
      <c r="AL5597">
        <v>89.6508507587873</v>
      </c>
      <c r="AM5597">
        <v>88.507144587934306</v>
      </c>
      <c r="AN5597">
        <v>0.99999997947616903</v>
      </c>
    </row>
    <row r="5598" spans="1:40" x14ac:dyDescent="0.25">
      <c r="A5598" t="str">
        <f>"20190312154408863"</f>
        <v>20190312154408863</v>
      </c>
      <c r="B5598" t="str">
        <f>"1552376648853314"</f>
        <v>1552376648853314</v>
      </c>
      <c r="C5598" t="s">
        <v>40</v>
      </c>
      <c r="D5598">
        <v>5.2165150000000002</v>
      </c>
      <c r="E5598">
        <v>0.42476239999999998</v>
      </c>
      <c r="F5598" t="s">
        <v>43</v>
      </c>
      <c r="G5598">
        <v>-395.86290000000002</v>
      </c>
      <c r="H5598" s="1">
        <v>-3.7984680000000001E-6</v>
      </c>
      <c r="I5598">
        <v>27.16272</v>
      </c>
      <c r="J5598">
        <v>-409.46800000000002</v>
      </c>
      <c r="K5598">
        <v>1.1140699999999999</v>
      </c>
      <c r="L5598">
        <v>29.752109999999998</v>
      </c>
      <c r="M5598">
        <v>0.93701710000000005</v>
      </c>
      <c r="N5598">
        <v>0</v>
      </c>
      <c r="O5598">
        <v>-0.34901599999999999</v>
      </c>
      <c r="P5598">
        <v>0.92748960000000003</v>
      </c>
      <c r="Q5598">
        <v>-7.8132219999999999E-3</v>
      </c>
      <c r="R5598">
        <v>-0.37376749999999997</v>
      </c>
      <c r="S5598">
        <v>3.002319</v>
      </c>
      <c r="T5598">
        <v>-0.24356810000000001</v>
      </c>
      <c r="U5598">
        <v>-0.57580569999999998</v>
      </c>
      <c r="V5598">
        <v>2.6464580000000001E-2</v>
      </c>
      <c r="W5598">
        <v>6.1052099999999998E-3</v>
      </c>
      <c r="X5598">
        <v>0.99963109999999999</v>
      </c>
      <c r="Y5598">
        <v>-0.1647276</v>
      </c>
      <c r="Z5598">
        <v>3.3944299999999997E-2</v>
      </c>
      <c r="AA5598">
        <v>0.98575480000000004</v>
      </c>
      <c r="AB5598">
        <v>24</v>
      </c>
      <c r="AC5598">
        <v>13.605099999999901</v>
      </c>
      <c r="AD5598">
        <v>-1.114073798468</v>
      </c>
      <c r="AE5598">
        <v>-2.5893899999999901</v>
      </c>
      <c r="AF5598">
        <v>-2.3073807249776199</v>
      </c>
      <c r="AG5598">
        <v>-1.114073798468</v>
      </c>
      <c r="AH5598">
        <v>13.565443167076801</v>
      </c>
      <c r="AI5598">
        <v>94.628743659276495</v>
      </c>
      <c r="AJ5598">
        <v>99.6531986266763</v>
      </c>
      <c r="AK5598">
        <v>13.8053038560411</v>
      </c>
      <c r="AL5598">
        <v>89.650195057998999</v>
      </c>
      <c r="AM5598">
        <v>88.483485924193701</v>
      </c>
      <c r="AN5598">
        <v>0.99999999183546495</v>
      </c>
    </row>
    <row r="5599" spans="1:40" x14ac:dyDescent="0.25">
      <c r="A5599" t="str">
        <f>"20190312154408874"</f>
        <v>20190312154408874</v>
      </c>
      <c r="B5599" t="str">
        <f>"1552376648863075"</f>
        <v>1552376648863075</v>
      </c>
      <c r="C5599" t="s">
        <v>40</v>
      </c>
      <c r="D5599">
        <v>5.2107700000000001</v>
      </c>
      <c r="E5599">
        <v>0.42394199999999999</v>
      </c>
      <c r="F5599" t="s">
        <v>43</v>
      </c>
      <c r="G5599">
        <v>-395.83569999999997</v>
      </c>
      <c r="H5599" s="1">
        <v>-3.8211410000000002E-6</v>
      </c>
      <c r="I5599">
        <v>27.231770000000001</v>
      </c>
      <c r="J5599">
        <v>-409.35419999999999</v>
      </c>
      <c r="K5599">
        <v>1.1138140000000001</v>
      </c>
      <c r="L5599">
        <v>29.71332</v>
      </c>
      <c r="M5599">
        <v>0.93802050000000003</v>
      </c>
      <c r="N5599">
        <v>0</v>
      </c>
      <c r="O5599">
        <v>-0.34631960000000001</v>
      </c>
      <c r="P5599">
        <v>0.92821180000000003</v>
      </c>
      <c r="Q5599">
        <v>-7.7205099999999999E-3</v>
      </c>
      <c r="R5599">
        <v>-0.37197249999999998</v>
      </c>
      <c r="S5599">
        <v>3.0083310000000001</v>
      </c>
      <c r="T5599">
        <v>-0.24585119999999999</v>
      </c>
      <c r="U5599">
        <v>-0.55618290000000004</v>
      </c>
      <c r="V5599">
        <v>2.741126E-2</v>
      </c>
      <c r="W5599">
        <v>5.9535789999999996E-3</v>
      </c>
      <c r="X5599">
        <v>0.99960649999999995</v>
      </c>
      <c r="Y5599">
        <v>-0.16843350000000001</v>
      </c>
      <c r="Z5599">
        <v>3.4168820000000003E-2</v>
      </c>
      <c r="AA5599">
        <v>0.98512060000000001</v>
      </c>
      <c r="AB5599">
        <v>24</v>
      </c>
      <c r="AC5599">
        <v>13.5185</v>
      </c>
      <c r="AD5599">
        <v>-1.1138178211409999</v>
      </c>
      <c r="AE5599">
        <v>-2.4815499999999902</v>
      </c>
      <c r="AF5599">
        <v>-2.3388294664170601</v>
      </c>
      <c r="AG5599">
        <v>-1.1138178211409999</v>
      </c>
      <c r="AH5599">
        <v>13.452912633396799</v>
      </c>
      <c r="AI5599">
        <v>94.663306931426405</v>
      </c>
      <c r="AJ5599">
        <v>99.862468687634106</v>
      </c>
      <c r="AK5599">
        <v>13.700057362415601</v>
      </c>
      <c r="AL5599">
        <v>89.658883031225301</v>
      </c>
      <c r="AM5599">
        <v>88.429225881835194</v>
      </c>
      <c r="AN5599">
        <v>0.99999998855997296</v>
      </c>
    </row>
    <row r="5600" spans="1:40" x14ac:dyDescent="0.25">
      <c r="A5600" t="str">
        <f>"20190312154408892"</f>
        <v>20190312154408892</v>
      </c>
      <c r="B5600" t="str">
        <f>"1552376648883571"</f>
        <v>1552376648883571</v>
      </c>
      <c r="C5600" t="s">
        <v>40</v>
      </c>
      <c r="D5600">
        <v>5.2026599999999998</v>
      </c>
      <c r="E5600">
        <v>0.42362129999999998</v>
      </c>
      <c r="F5600" t="s">
        <v>43</v>
      </c>
      <c r="G5600">
        <v>-395.58260000000001</v>
      </c>
      <c r="H5600" s="1">
        <v>-3.9170309999999997E-6</v>
      </c>
      <c r="I5600">
        <v>27.224350000000001</v>
      </c>
      <c r="J5600">
        <v>-409.17469999999997</v>
      </c>
      <c r="K5600">
        <v>1.1134189999999999</v>
      </c>
      <c r="L5600">
        <v>29.652249999999999</v>
      </c>
      <c r="M5600">
        <v>0.93948889999999996</v>
      </c>
      <c r="N5600">
        <v>0</v>
      </c>
      <c r="O5600">
        <v>-0.34233140000000001</v>
      </c>
      <c r="P5600">
        <v>0.92942360000000002</v>
      </c>
      <c r="Q5600">
        <v>-5.8080600000000003E-3</v>
      </c>
      <c r="R5600">
        <v>-0.36896980000000001</v>
      </c>
      <c r="S5600">
        <v>3.0118710000000002</v>
      </c>
      <c r="T5600">
        <v>-0.2435937</v>
      </c>
      <c r="U5600">
        <v>-0.54434199999999999</v>
      </c>
      <c r="V5600">
        <v>2.8416230000000001E-2</v>
      </c>
      <c r="W5600">
        <v>7.4589189999999996E-3</v>
      </c>
      <c r="X5600">
        <v>0.99956829999999997</v>
      </c>
      <c r="Y5600">
        <v>-0.1682427</v>
      </c>
      <c r="Z5600">
        <v>3.3526889999999997E-2</v>
      </c>
      <c r="AA5600">
        <v>0.98517529999999998</v>
      </c>
      <c r="AB5600">
        <v>24</v>
      </c>
      <c r="AC5600">
        <v>13.592099999999901</v>
      </c>
      <c r="AD5600">
        <v>-1.1134229170309999</v>
      </c>
      <c r="AE5600">
        <v>-2.42789999999999</v>
      </c>
      <c r="AF5600">
        <v>-2.3568923377467601</v>
      </c>
      <c r="AG5600">
        <v>-1.1134229170309999</v>
      </c>
      <c r="AH5600">
        <v>13.514048070459401</v>
      </c>
      <c r="AI5600">
        <v>94.640234991319801</v>
      </c>
      <c r="AJ5600">
        <v>99.893060439416999</v>
      </c>
      <c r="AK5600">
        <v>13.7631445293067</v>
      </c>
      <c r="AL5600">
        <v>89.572631438177496</v>
      </c>
      <c r="AM5600">
        <v>88.371605368053096</v>
      </c>
      <c r="AN5600">
        <v>0.99999995198247404</v>
      </c>
    </row>
    <row r="5601" spans="1:40" x14ac:dyDescent="0.25">
      <c r="A5601" t="str">
        <f>"20190312154408904"</f>
        <v>20190312154408904</v>
      </c>
      <c r="B5601" t="str">
        <f>"1552376648893331"</f>
        <v>1552376648893331</v>
      </c>
      <c r="C5601" t="s">
        <v>40</v>
      </c>
      <c r="D5601">
        <v>5.1723270000000001</v>
      </c>
      <c r="E5601">
        <v>0.42373539999999998</v>
      </c>
      <c r="F5601" t="s">
        <v>43</v>
      </c>
      <c r="G5601">
        <v>-395.5564</v>
      </c>
      <c r="H5601" s="1">
        <v>-3.9314250000000002E-6</v>
      </c>
      <c r="I5601">
        <v>27.248840000000001</v>
      </c>
      <c r="J5601">
        <v>-409.05009999999999</v>
      </c>
      <c r="K5601">
        <v>1.1131519999999999</v>
      </c>
      <c r="L5601">
        <v>29.610140000000001</v>
      </c>
      <c r="M5601">
        <v>0.9404188</v>
      </c>
      <c r="N5601">
        <v>0</v>
      </c>
      <c r="O5601">
        <v>-0.33977889999999999</v>
      </c>
      <c r="P5601">
        <v>0.93023180000000005</v>
      </c>
      <c r="Q5601">
        <v>-4.8376649999999997E-3</v>
      </c>
      <c r="R5601">
        <v>-0.36694090000000001</v>
      </c>
      <c r="S5601">
        <v>3.015015</v>
      </c>
      <c r="T5601">
        <v>-0.2465067</v>
      </c>
      <c r="U5601">
        <v>-0.53210449999999998</v>
      </c>
      <c r="V5601">
        <v>2.894828E-2</v>
      </c>
      <c r="W5601">
        <v>8.1288539999999996E-3</v>
      </c>
      <c r="X5601">
        <v>0.99954779999999999</v>
      </c>
      <c r="Y5601">
        <v>-0.169587299999999</v>
      </c>
      <c r="Z5601">
        <v>3.376912E-2</v>
      </c>
      <c r="AA5601">
        <v>0.98493649999999999</v>
      </c>
      <c r="AB5601">
        <v>24</v>
      </c>
      <c r="AC5601">
        <v>13.493699999999899</v>
      </c>
      <c r="AD5601">
        <v>-1.1131559314249999</v>
      </c>
      <c r="AE5601">
        <v>-2.3613</v>
      </c>
      <c r="AF5601">
        <v>-2.3489456712369399</v>
      </c>
      <c r="AG5601">
        <v>-1.1131559314249999</v>
      </c>
      <c r="AH5601">
        <v>13.404634690261499</v>
      </c>
      <c r="AI5601">
        <v>94.676170003506797</v>
      </c>
      <c r="AJ5601">
        <v>99.939245164307906</v>
      </c>
      <c r="AK5601">
        <v>13.6543360539226</v>
      </c>
      <c r="AL5601">
        <v>89.534245817428499</v>
      </c>
      <c r="AM5601">
        <v>88.341099070766504</v>
      </c>
      <c r="AN5601">
        <v>0.99999994283357396</v>
      </c>
    </row>
    <row r="5602" spans="1:40" x14ac:dyDescent="0.25">
      <c r="A5602" t="str">
        <f>"20190312154408925"</f>
        <v>20190312154408925</v>
      </c>
      <c r="B5602" t="str">
        <f>"1552376648912850"</f>
        <v>1552376648912850</v>
      </c>
      <c r="C5602" t="s">
        <v>40</v>
      </c>
      <c r="D5602">
        <v>5.1700089999999896</v>
      </c>
      <c r="E5602">
        <v>0.42427219999999999</v>
      </c>
      <c r="F5602" t="s">
        <v>43</v>
      </c>
      <c r="G5602">
        <v>-395.17419999999998</v>
      </c>
      <c r="H5602" s="1">
        <v>-4.0674339999999999E-6</v>
      </c>
      <c r="I5602">
        <v>27.188089999999999</v>
      </c>
      <c r="J5602">
        <v>-408.8372</v>
      </c>
      <c r="K5602">
        <v>1.112727</v>
      </c>
      <c r="L5602">
        <v>29.538509999999999</v>
      </c>
      <c r="M5602">
        <v>0.94185459999999999</v>
      </c>
      <c r="N5602">
        <v>0</v>
      </c>
      <c r="O5602">
        <v>-0.33579769999999998</v>
      </c>
      <c r="P5602">
        <v>0.93147159999999996</v>
      </c>
      <c r="Q5602">
        <v>-3.2095819999999999E-3</v>
      </c>
      <c r="R5602">
        <v>-0.36380059999999997</v>
      </c>
      <c r="S5602">
        <v>3.0160830000000001</v>
      </c>
      <c r="T5602">
        <v>-0.24195649999999999</v>
      </c>
      <c r="U5602">
        <v>-0.52645869999999995</v>
      </c>
      <c r="V5602">
        <v>2.980412E-2</v>
      </c>
      <c r="W5602">
        <v>9.2255400000000008E-3</v>
      </c>
      <c r="X5602">
        <v>0.99951319999999999</v>
      </c>
      <c r="Y5602">
        <v>-0.1673412</v>
      </c>
      <c r="Z5602">
        <v>3.2757189999999999E-2</v>
      </c>
      <c r="AA5602">
        <v>0.98535470000000003</v>
      </c>
      <c r="AB5602">
        <v>24</v>
      </c>
      <c r="AC5602">
        <v>13.663</v>
      </c>
      <c r="AD5602">
        <v>-1.1127310674339901</v>
      </c>
      <c r="AE5602">
        <v>-2.35041999999999</v>
      </c>
      <c r="AF5602">
        <v>-2.3592297401073301</v>
      </c>
      <c r="AG5602">
        <v>-1.1127310674339901</v>
      </c>
      <c r="AH5602">
        <v>13.5714207965228</v>
      </c>
      <c r="AI5602">
        <v>94.618284005933901</v>
      </c>
      <c r="AJ5602">
        <v>99.861637918280806</v>
      </c>
      <c r="AK5602">
        <v>13.8198262590863</v>
      </c>
      <c r="AL5602">
        <v>89.471408004717404</v>
      </c>
      <c r="AM5602">
        <v>88.292024119074995</v>
      </c>
      <c r="AN5602">
        <v>1.0000000165657501</v>
      </c>
    </row>
    <row r="5603" spans="1:40" x14ac:dyDescent="0.25">
      <c r="A5603" t="str">
        <f>"20190312154408937"</f>
        <v>20190312154408937</v>
      </c>
      <c r="B5603" t="str">
        <f>"1552376648933346"</f>
        <v>1552376648933346</v>
      </c>
      <c r="C5603" t="s">
        <v>40</v>
      </c>
      <c r="D5603">
        <v>5.1373379999999997</v>
      </c>
      <c r="E5603">
        <v>0.42506719999999998</v>
      </c>
      <c r="F5603" t="s">
        <v>43</v>
      </c>
      <c r="G5603">
        <v>-394.65219999999999</v>
      </c>
      <c r="H5603" s="1">
        <v>-4.2509399999999997E-6</v>
      </c>
      <c r="I5603">
        <v>27.09262</v>
      </c>
      <c r="J5603">
        <v>-408.72179999999997</v>
      </c>
      <c r="K5603">
        <v>1.112509</v>
      </c>
      <c r="L5603">
        <v>29.499849999999999</v>
      </c>
      <c r="M5603">
        <v>0.94253849999999995</v>
      </c>
      <c r="N5603">
        <v>0</v>
      </c>
      <c r="O5603">
        <v>-0.3338834</v>
      </c>
      <c r="P5603">
        <v>0.93201590000000001</v>
      </c>
      <c r="Q5603">
        <v>-2.45386E-3</v>
      </c>
      <c r="R5603">
        <v>-0.36240939999999999</v>
      </c>
      <c r="S5603">
        <v>3.0167540000000002</v>
      </c>
      <c r="T5603">
        <v>-0.236647</v>
      </c>
      <c r="U5603">
        <v>-0.52017209999999903</v>
      </c>
      <c r="V5603">
        <v>3.0344409999999999E-2</v>
      </c>
      <c r="W5603">
        <v>9.6799469999999995E-3</v>
      </c>
      <c r="X5603">
        <v>0.99949259999999995</v>
      </c>
      <c r="Y5603">
        <v>-0.16743839999999999</v>
      </c>
      <c r="Z5603">
        <v>3.190523E-2</v>
      </c>
      <c r="AA5603">
        <v>0.98536619999999997</v>
      </c>
      <c r="AB5603">
        <v>24</v>
      </c>
      <c r="AC5603">
        <v>14.0695999999999</v>
      </c>
      <c r="AD5603">
        <v>-1.11251325094</v>
      </c>
      <c r="AE5603">
        <v>-2.40722999999999</v>
      </c>
      <c r="AF5603">
        <v>-2.41420737095198</v>
      </c>
      <c r="AG5603">
        <v>-1.11251325094</v>
      </c>
      <c r="AH5603">
        <v>13.980951530100199</v>
      </c>
      <c r="AI5603">
        <v>94.483561771665805</v>
      </c>
      <c r="AJ5603">
        <v>99.797125709416804</v>
      </c>
      <c r="AK5603">
        <v>14.231412039937799</v>
      </c>
      <c r="AL5603">
        <v>89.445371213108302</v>
      </c>
      <c r="AM5603">
        <v>88.261044902689406</v>
      </c>
      <c r="AN5603">
        <v>0.99999997102346405</v>
      </c>
    </row>
    <row r="5604" spans="1:40" x14ac:dyDescent="0.25">
      <c r="A5604" t="str">
        <f>"20190312154408950"</f>
        <v>20190312154408950</v>
      </c>
      <c r="B5604" t="str">
        <f>"1552376648943107"</f>
        <v>1552376648943107</v>
      </c>
      <c r="C5604" t="s">
        <v>40</v>
      </c>
      <c r="D5604">
        <v>5.165476</v>
      </c>
      <c r="E5604">
        <v>0.42557109999999898</v>
      </c>
      <c r="F5604" t="s">
        <v>43</v>
      </c>
      <c r="G5604">
        <v>-394.39229999999998</v>
      </c>
      <c r="H5604" s="1">
        <v>-4.3382100000000001E-6</v>
      </c>
      <c r="I5604">
        <v>27.021850000000001</v>
      </c>
      <c r="J5604">
        <v>-408.5806</v>
      </c>
      <c r="K5604">
        <v>1.112249</v>
      </c>
      <c r="L5604">
        <v>29.45261</v>
      </c>
      <c r="M5604">
        <v>0.94332340000000003</v>
      </c>
      <c r="N5604">
        <v>0</v>
      </c>
      <c r="O5604">
        <v>-0.33167259999999998</v>
      </c>
      <c r="P5604">
        <v>0.93273479999999998</v>
      </c>
      <c r="Q5604">
        <v>-1.72711E-3</v>
      </c>
      <c r="R5604">
        <v>-0.36055939999999997</v>
      </c>
      <c r="S5604">
        <v>3.0154109999999998</v>
      </c>
      <c r="T5604">
        <v>-0.23410990000000001</v>
      </c>
      <c r="U5604">
        <v>-0.52145390000000003</v>
      </c>
      <c r="V5604">
        <v>3.070875E-2</v>
      </c>
      <c r="W5604">
        <v>1.00304E-2</v>
      </c>
      <c r="X5604">
        <v>0.99947799999999998</v>
      </c>
      <c r="Y5604">
        <v>-0.16468829999999901</v>
      </c>
      <c r="Z5604">
        <v>3.131047E-2</v>
      </c>
      <c r="AA5604">
        <v>0.98584859999999996</v>
      </c>
      <c r="AB5604">
        <v>24</v>
      </c>
      <c r="AC5604">
        <v>14.1883</v>
      </c>
      <c r="AD5604">
        <v>-1.1122533382099999</v>
      </c>
      <c r="AE5604">
        <v>-2.43075999999999</v>
      </c>
      <c r="AF5604">
        <v>-2.39871889840397</v>
      </c>
      <c r="AG5604">
        <v>-1.1122533382099999</v>
      </c>
      <c r="AH5604">
        <v>14.107103378024799</v>
      </c>
      <c r="AI5604">
        <v>94.444541687009107</v>
      </c>
      <c r="AJ5604">
        <v>99.650063707147496</v>
      </c>
      <c r="AK5604">
        <v>14.352746272410601</v>
      </c>
      <c r="AL5604">
        <v>89.425290749857993</v>
      </c>
      <c r="AM5604">
        <v>88.240152934989098</v>
      </c>
      <c r="AN5604">
        <v>0.99999995436736</v>
      </c>
    </row>
    <row r="5605" spans="1:40" x14ac:dyDescent="0.25">
      <c r="A5605" t="str">
        <f>"20190312154408973"</f>
        <v>20190312154408973</v>
      </c>
      <c r="B5605" t="str">
        <f>"1552376648963603"</f>
        <v>1552376648963603</v>
      </c>
      <c r="C5605" t="s">
        <v>40</v>
      </c>
      <c r="D5605">
        <v>5.1827249999999996</v>
      </c>
      <c r="E5605">
        <v>0.42655949999999998</v>
      </c>
      <c r="F5605" t="s">
        <v>43</v>
      </c>
      <c r="G5605">
        <v>-394.12610000000001</v>
      </c>
      <c r="H5605" s="1">
        <v>-4.4301430000000003E-6</v>
      </c>
      <c r="I5605">
        <v>26.963840000000001</v>
      </c>
      <c r="J5605">
        <v>-408.35849999999999</v>
      </c>
      <c r="K5605">
        <v>1.1118479999999999</v>
      </c>
      <c r="L5605">
        <v>29.37857</v>
      </c>
      <c r="M5605">
        <v>0.94437519999999997</v>
      </c>
      <c r="N5605">
        <v>0</v>
      </c>
      <c r="O5605">
        <v>-0.32868579999999997</v>
      </c>
      <c r="P5605">
        <v>0.93374500000000005</v>
      </c>
      <c r="Q5605">
        <v>6.0913899999999997E-4</v>
      </c>
      <c r="R5605">
        <v>-0.3579386</v>
      </c>
      <c r="S5605">
        <v>3.0152589999999999</v>
      </c>
      <c r="T5605">
        <v>-0.23201949999999999</v>
      </c>
      <c r="U5605">
        <v>-0.51916499999999999</v>
      </c>
      <c r="V5605">
        <v>3.10665E-2</v>
      </c>
      <c r="W5605">
        <v>1.1755969999999999E-2</v>
      </c>
      <c r="X5605">
        <v>0.99944820000000001</v>
      </c>
      <c r="Y5605">
        <v>-0.16232199999999999</v>
      </c>
      <c r="Z5605">
        <v>3.0731140000000001E-2</v>
      </c>
      <c r="AA5605">
        <v>0.9862592</v>
      </c>
      <c r="AB5605">
        <v>24</v>
      </c>
      <c r="AC5605">
        <v>14.232399999999901</v>
      </c>
      <c r="AD5605">
        <v>-1.1118524301429999</v>
      </c>
      <c r="AE5605">
        <v>-2.4147299999999898</v>
      </c>
      <c r="AF5605">
        <v>-2.3835820770352498</v>
      </c>
      <c r="AG5605">
        <v>-1.1118524301429999</v>
      </c>
      <c r="AH5605">
        <v>14.151327256748999</v>
      </c>
      <c r="AI5605">
        <v>94.430279059690704</v>
      </c>
      <c r="AJ5605">
        <v>99.560886438440505</v>
      </c>
      <c r="AK5605">
        <v>14.393670222427099</v>
      </c>
      <c r="AL5605">
        <v>89.3264170308302</v>
      </c>
      <c r="AM5605">
        <v>88.219611183210503</v>
      </c>
      <c r="AN5605">
        <v>1.0000000173680601</v>
      </c>
    </row>
    <row r="5606" spans="1:40" x14ac:dyDescent="0.25">
      <c r="A5606" t="str">
        <f>"20190312154408989"</f>
        <v>20190312154408989</v>
      </c>
      <c r="B5606" t="str">
        <f>"1552376648983123"</f>
        <v>1552376648983123</v>
      </c>
      <c r="C5606" t="s">
        <v>40</v>
      </c>
      <c r="D5606">
        <v>5.1725680000000001</v>
      </c>
      <c r="E5606">
        <v>0.42752240000000002</v>
      </c>
      <c r="F5606" t="s">
        <v>43</v>
      </c>
      <c r="G5606">
        <v>-393.5274</v>
      </c>
      <c r="H5606" s="1">
        <v>-4.6363640000000001E-6</v>
      </c>
      <c r="I5606">
        <v>26.830259999999999</v>
      </c>
      <c r="J5606">
        <v>-408.18819999999999</v>
      </c>
      <c r="K5606">
        <v>1.1115619999999999</v>
      </c>
      <c r="L5606">
        <v>29.321929999999998</v>
      </c>
      <c r="M5606">
        <v>0.94507750000000001</v>
      </c>
      <c r="N5606">
        <v>0</v>
      </c>
      <c r="O5606">
        <v>-0.32667620000000003</v>
      </c>
      <c r="P5606">
        <v>0.93454610000000005</v>
      </c>
      <c r="Q5606">
        <v>1.795219E-3</v>
      </c>
      <c r="R5606">
        <v>-0.3558383</v>
      </c>
      <c r="S5606">
        <v>3.0144350000000002</v>
      </c>
      <c r="T5606">
        <v>-0.2259842</v>
      </c>
      <c r="U5606">
        <v>-0.51794430000000002</v>
      </c>
      <c r="V5606">
        <v>3.095111E-2</v>
      </c>
      <c r="W5606">
        <v>1.2474519999999999E-2</v>
      </c>
      <c r="X5606">
        <v>0.99944310000000003</v>
      </c>
      <c r="Y5606">
        <v>-0.16064289999999901</v>
      </c>
      <c r="Z5606">
        <v>2.974017E-2</v>
      </c>
      <c r="AA5606">
        <v>0.98656449999999996</v>
      </c>
      <c r="AB5606">
        <v>24</v>
      </c>
      <c r="AC5606">
        <v>14.660799999999901</v>
      </c>
      <c r="AD5606">
        <v>-1.111566636364</v>
      </c>
      <c r="AE5606">
        <v>-2.4916699999999898</v>
      </c>
      <c r="AF5606">
        <v>-2.4211213960813902</v>
      </c>
      <c r="AG5606">
        <v>-1.111566636364</v>
      </c>
      <c r="AH5606">
        <v>14.5888671008749</v>
      </c>
      <c r="AI5606">
        <v>94.298539891375796</v>
      </c>
      <c r="AJ5606">
        <v>99.422743387052805</v>
      </c>
      <c r="AK5606">
        <v>14.830119773239501</v>
      </c>
      <c r="AL5606">
        <v>89.285244148054005</v>
      </c>
      <c r="AM5606">
        <v>88.226210786288206</v>
      </c>
      <c r="AN5606">
        <v>1.00000004749853</v>
      </c>
    </row>
    <row r="5607" spans="1:40" x14ac:dyDescent="0.25">
      <c r="A5607" t="str">
        <f>"20190312154409003"</f>
        <v>20190312154409003</v>
      </c>
      <c r="B5607" t="str">
        <f>"1552376648992883"</f>
        <v>1552376648992883</v>
      </c>
      <c r="C5607" t="s">
        <v>40</v>
      </c>
      <c r="D5607">
        <v>5.2933640000000004</v>
      </c>
      <c r="E5607">
        <v>0.42713479999999998</v>
      </c>
      <c r="F5607" t="s">
        <v>43</v>
      </c>
      <c r="G5607">
        <v>-393.27350000000001</v>
      </c>
      <c r="H5607" s="1">
        <v>-4.7206899999999997E-6</v>
      </c>
      <c r="I5607">
        <v>26.756049999999998</v>
      </c>
      <c r="J5607">
        <v>-408.03109999999998</v>
      </c>
      <c r="K5607">
        <v>1.1113200000000001</v>
      </c>
      <c r="L5607">
        <v>29.26971</v>
      </c>
      <c r="M5607">
        <v>0.94563600000000003</v>
      </c>
      <c r="N5607">
        <v>0</v>
      </c>
      <c r="O5607">
        <v>-0.32506859999999999</v>
      </c>
      <c r="P5607">
        <v>0.93523449999999997</v>
      </c>
      <c r="Q5607">
        <v>2.7799360000000002E-3</v>
      </c>
      <c r="R5607">
        <v>-0.354018099999999</v>
      </c>
      <c r="S5607">
        <v>3.013153</v>
      </c>
      <c r="T5607">
        <v>-0.2245646</v>
      </c>
      <c r="U5607">
        <v>-0.51837159999999904</v>
      </c>
      <c r="V5607">
        <v>3.071111E-2</v>
      </c>
      <c r="W5607">
        <v>1.3039520000000001E-2</v>
      </c>
      <c r="X5607">
        <v>0.99944319999999998</v>
      </c>
      <c r="Y5607">
        <v>-0.15878100000000001</v>
      </c>
      <c r="Z5607">
        <v>2.9384799999999999E-2</v>
      </c>
      <c r="AA5607">
        <v>0.98687650000000005</v>
      </c>
      <c r="AB5607">
        <v>24</v>
      </c>
      <c r="AC5607">
        <v>14.757599999999901</v>
      </c>
      <c r="AD5607">
        <v>-1.1113247206899901</v>
      </c>
      <c r="AE5607">
        <v>-2.51365999999999</v>
      </c>
      <c r="AF5607">
        <v>-2.4070841612382399</v>
      </c>
      <c r="AG5607">
        <v>-1.1113247206899901</v>
      </c>
      <c r="AH5607">
        <v>14.692221576486</v>
      </c>
      <c r="AI5607">
        <v>94.268937006516893</v>
      </c>
      <c r="AJ5607">
        <v>99.304331857294898</v>
      </c>
      <c r="AK5607">
        <v>14.929516792135701</v>
      </c>
      <c r="AL5607">
        <v>89.252869330675594</v>
      </c>
      <c r="AM5607">
        <v>88.239956530972705</v>
      </c>
      <c r="AN5607">
        <v>0.99999995569275002</v>
      </c>
    </row>
    <row r="5608" spans="1:40" x14ac:dyDescent="0.25">
      <c r="A5608" t="str">
        <f>"20190312154409015"</f>
        <v>20190312154409015</v>
      </c>
      <c r="B5608" t="str">
        <f>"1552376649003618"</f>
        <v>1552376649003618</v>
      </c>
      <c r="C5608" t="s">
        <v>40</v>
      </c>
      <c r="D5608">
        <v>5.1832099999999999</v>
      </c>
      <c r="E5608">
        <v>0.42713479999999998</v>
      </c>
      <c r="F5608" t="s">
        <v>43</v>
      </c>
      <c r="G5608">
        <v>-392.71710000000002</v>
      </c>
      <c r="H5608" s="1">
        <v>-4.9212380000000002E-6</v>
      </c>
      <c r="I5608">
        <v>26.682040000000001</v>
      </c>
      <c r="J5608">
        <v>-407.91579999999999</v>
      </c>
      <c r="K5608">
        <v>1.111151</v>
      </c>
      <c r="L5608">
        <v>29.231449999999999</v>
      </c>
      <c r="M5608">
        <v>0.94600300000000004</v>
      </c>
      <c r="N5608">
        <v>0</v>
      </c>
      <c r="O5608">
        <v>-0.32400780000000001</v>
      </c>
      <c r="P5608">
        <v>0.9357105</v>
      </c>
      <c r="Q5608">
        <v>2.7551070000000001E-3</v>
      </c>
      <c r="R5608">
        <v>-0.35275849999999997</v>
      </c>
      <c r="S5608">
        <v>3.0155639999999999</v>
      </c>
      <c r="T5608">
        <v>-0.2188367</v>
      </c>
      <c r="U5608">
        <v>-0.509552</v>
      </c>
      <c r="V5608">
        <v>3.049236E-2</v>
      </c>
      <c r="W5608">
        <v>1.2711490000000001E-2</v>
      </c>
      <c r="X5608">
        <v>0.99945410000000001</v>
      </c>
      <c r="Y5608">
        <v>-0.16067149999999999</v>
      </c>
      <c r="Z5608">
        <v>2.8620400000000001E-2</v>
      </c>
      <c r="AA5608">
        <v>0.98659289999999999</v>
      </c>
      <c r="AB5608">
        <v>24</v>
      </c>
      <c r="AC5608">
        <v>15.198699999999899</v>
      </c>
      <c r="AD5608">
        <v>-1.111155921238</v>
      </c>
      <c r="AE5608">
        <v>-2.5494099999999902</v>
      </c>
      <c r="AF5608">
        <v>-2.4998742100997999</v>
      </c>
      <c r="AG5608">
        <v>-1.111155921238</v>
      </c>
      <c r="AH5608">
        <v>15.1261492135424</v>
      </c>
      <c r="AI5608">
        <v>94.145329299929401</v>
      </c>
      <c r="AJ5608">
        <v>99.38435407275</v>
      </c>
      <c r="AK5608">
        <v>15.371546069864699</v>
      </c>
      <c r="AL5608">
        <v>89.271665606966906</v>
      </c>
      <c r="AM5608">
        <v>88.252504265933794</v>
      </c>
      <c r="AN5608">
        <v>0.99999993200159698</v>
      </c>
    </row>
    <row r="5609" spans="1:40" x14ac:dyDescent="0.25">
      <c r="A5609" t="str">
        <f>"20190312154409027"</f>
        <v>20190312154409027</v>
      </c>
      <c r="B5609" t="str">
        <f>"1552376649023139"</f>
        <v>1552376649023139</v>
      </c>
      <c r="C5609" t="s">
        <v>40</v>
      </c>
      <c r="D5609">
        <v>5.2645520000000001</v>
      </c>
      <c r="E5609">
        <v>0.40728409999999998</v>
      </c>
      <c r="F5609" t="s">
        <v>43</v>
      </c>
      <c r="G5609">
        <v>-392.57260000000002</v>
      </c>
      <c r="H5609" s="1">
        <v>-4.972973E-6</v>
      </c>
      <c r="I5609">
        <v>26.660889999999998</v>
      </c>
      <c r="J5609">
        <v>-407.78879999999998</v>
      </c>
      <c r="K5609">
        <v>1.1109709999999999</v>
      </c>
      <c r="L5609">
        <v>29.189360000000001</v>
      </c>
      <c r="M5609">
        <v>0.94638060000000002</v>
      </c>
      <c r="N5609">
        <v>0</v>
      </c>
      <c r="O5609">
        <v>-0.32291310000000001</v>
      </c>
      <c r="P5609">
        <v>0.93608740000000001</v>
      </c>
      <c r="Q5609">
        <v>2.4329009999999999E-3</v>
      </c>
      <c r="R5609">
        <v>-0.35175959999999901</v>
      </c>
      <c r="S5609">
        <v>3.0162960000000001</v>
      </c>
      <c r="T5609">
        <v>-0.2184402</v>
      </c>
      <c r="U5609">
        <v>-0.50534060000000003</v>
      </c>
      <c r="V5609">
        <v>3.0589129999999999E-2</v>
      </c>
      <c r="W5609">
        <v>1.206018E-2</v>
      </c>
      <c r="X5609">
        <v>0.99945930000000005</v>
      </c>
      <c r="Y5609">
        <v>-0.160914</v>
      </c>
      <c r="Z5609">
        <v>2.850084E-2</v>
      </c>
      <c r="AA5609">
        <v>0.98655680000000001</v>
      </c>
      <c r="AB5609">
        <v>25</v>
      </c>
      <c r="AC5609">
        <v>15.216199999999899</v>
      </c>
      <c r="AD5609">
        <v>-1.110975972973</v>
      </c>
      <c r="AE5609">
        <v>-2.5284699999999898</v>
      </c>
      <c r="AF5609">
        <v>-2.5077208271778</v>
      </c>
      <c r="AG5609">
        <v>-1.110975972973</v>
      </c>
      <c r="AH5609">
        <v>15.1389491283787</v>
      </c>
      <c r="AI5609">
        <v>94.140916625233302</v>
      </c>
      <c r="AJ5609">
        <v>99.405466717058204</v>
      </c>
      <c r="AK5609">
        <v>15.3854058143171</v>
      </c>
      <c r="AL5609">
        <v>89.308985846196407</v>
      </c>
      <c r="AM5609">
        <v>88.246971015209695</v>
      </c>
      <c r="AN5609">
        <v>1.0000000175861301</v>
      </c>
    </row>
    <row r="5610" spans="1:40" x14ac:dyDescent="0.25">
      <c r="A5610" t="str">
        <f>"20190312154409039"</f>
        <v>20190312154409039</v>
      </c>
      <c r="B5610" t="str">
        <f>"1552376649032899"</f>
        <v>1552376649032899</v>
      </c>
      <c r="C5610" t="s">
        <v>40</v>
      </c>
      <c r="D5610">
        <v>5.2660330000000002</v>
      </c>
      <c r="E5610">
        <v>0.40797699999999998</v>
      </c>
      <c r="F5610" t="s">
        <v>43</v>
      </c>
      <c r="G5610">
        <v>-396.09570000000002</v>
      </c>
      <c r="H5610" s="1">
        <v>-3.8319399999999999E-6</v>
      </c>
      <c r="I5610">
        <v>27.85547</v>
      </c>
      <c r="J5610">
        <v>-407.66160000000002</v>
      </c>
      <c r="K5610">
        <v>1.1107880000000001</v>
      </c>
      <c r="L5610">
        <v>29.14716</v>
      </c>
      <c r="M5610">
        <v>0.9466869</v>
      </c>
      <c r="N5610">
        <v>0</v>
      </c>
      <c r="O5610">
        <v>-0.32202350000000002</v>
      </c>
      <c r="P5610">
        <v>0.9364576</v>
      </c>
      <c r="Q5610">
        <v>1.8191150000000001E-3</v>
      </c>
      <c r="R5610">
        <v>-0.3507769</v>
      </c>
      <c r="S5610">
        <v>3.0738219999999998</v>
      </c>
      <c r="T5610">
        <v>-0.29204669999999999</v>
      </c>
      <c r="U5610">
        <v>-0.35064699999999999</v>
      </c>
      <c r="V5610">
        <v>3.0486559999999999E-2</v>
      </c>
      <c r="W5610">
        <v>1.1114189999999999E-2</v>
      </c>
      <c r="X5610">
        <v>0.99947339999999996</v>
      </c>
      <c r="Y5610">
        <v>-0.2103536</v>
      </c>
      <c r="Z5610">
        <v>3.9813939999999999E-2</v>
      </c>
      <c r="AA5610">
        <v>0.97681430000000002</v>
      </c>
      <c r="AB5610">
        <v>25</v>
      </c>
      <c r="AC5610">
        <v>11.565899999999999</v>
      </c>
      <c r="AD5610">
        <v>-1.1107918319400001</v>
      </c>
      <c r="AE5610">
        <v>-1.29168999999999</v>
      </c>
      <c r="AF5610">
        <v>-2.4791860122078999</v>
      </c>
      <c r="AG5610">
        <v>-1.1107918319400001</v>
      </c>
      <c r="AH5610">
        <v>11.2631142374251</v>
      </c>
      <c r="AI5610">
        <v>95.501551638730007</v>
      </c>
      <c r="AJ5610">
        <v>102.413730481497</v>
      </c>
      <c r="AK5610">
        <v>11.586110827293099</v>
      </c>
      <c r="AL5610">
        <v>89.363190719965601</v>
      </c>
      <c r="AM5610">
        <v>88.252870170936205</v>
      </c>
      <c r="AN5610">
        <v>1.0000000164337699</v>
      </c>
    </row>
    <row r="5611" spans="1:40" x14ac:dyDescent="0.25">
      <c r="A5611" t="str">
        <f>"20190312154409051"</f>
        <v>20190312154409051</v>
      </c>
      <c r="B5611" t="str">
        <f>"1552376649043635"</f>
        <v>1552376649043635</v>
      </c>
      <c r="C5611" t="s">
        <v>40</v>
      </c>
      <c r="D5611">
        <v>5.2685370000000002</v>
      </c>
      <c r="E5611">
        <v>0.40902179999999999</v>
      </c>
      <c r="F5611" t="s">
        <v>43</v>
      </c>
      <c r="G5611">
        <v>-396.221</v>
      </c>
      <c r="H5611" s="1">
        <v>-3.7804440000000002E-6</v>
      </c>
      <c r="I5611">
        <v>27.836410000000001</v>
      </c>
      <c r="J5611">
        <v>-407.53300000000002</v>
      </c>
      <c r="K5611">
        <v>1.110603</v>
      </c>
      <c r="L5611">
        <v>29.104489999999998</v>
      </c>
      <c r="M5611">
        <v>0.94696910000000001</v>
      </c>
      <c r="N5611">
        <v>0</v>
      </c>
      <c r="O5611">
        <v>-0.32120189999999998</v>
      </c>
      <c r="P5611">
        <v>0.9368088</v>
      </c>
      <c r="Q5611">
        <v>1.1793299999999999E-3</v>
      </c>
      <c r="R5611">
        <v>-0.3498405</v>
      </c>
      <c r="S5611">
        <v>3.0722960000000001</v>
      </c>
      <c r="T5611">
        <v>-0.29829509999999998</v>
      </c>
      <c r="U5611">
        <v>-0.35198970000000002</v>
      </c>
      <c r="V5611">
        <v>3.0361409999999998E-2</v>
      </c>
      <c r="W5611">
        <v>1.0138640000000001E-2</v>
      </c>
      <c r="X5611">
        <v>0.99948760000000003</v>
      </c>
      <c r="Y5611">
        <v>-0.2089367</v>
      </c>
      <c r="Z5611">
        <v>4.0536500000000003E-2</v>
      </c>
      <c r="AA5611">
        <v>0.97708859999999997</v>
      </c>
      <c r="AB5611">
        <v>25</v>
      </c>
      <c r="AC5611">
        <v>11.311999999999999</v>
      </c>
      <c r="AD5611">
        <v>-1.1106067804440001</v>
      </c>
      <c r="AE5611">
        <v>-1.2680800000000001</v>
      </c>
      <c r="AF5611">
        <v>-2.4097593202349601</v>
      </c>
      <c r="AG5611">
        <v>-1.1106067804440001</v>
      </c>
      <c r="AH5611">
        <v>11.0150043102942</v>
      </c>
      <c r="AI5611">
        <v>95.625329087261804</v>
      </c>
      <c r="AJ5611">
        <v>102.340214750352</v>
      </c>
      <c r="AK5611">
        <v>11.330079759561601</v>
      </c>
      <c r="AL5611">
        <v>89.419088785806395</v>
      </c>
      <c r="AM5611">
        <v>88.260062579122206</v>
      </c>
      <c r="AN5611">
        <v>1.0000000348959901</v>
      </c>
    </row>
    <row r="5612" spans="1:40" x14ac:dyDescent="0.25">
      <c r="A5612" t="str">
        <f>"20190312154409063"</f>
        <v>20190312154409063</v>
      </c>
      <c r="B5612" t="str">
        <f>"1552376649053396"</f>
        <v>1552376649053396</v>
      </c>
      <c r="C5612" t="s">
        <v>40</v>
      </c>
      <c r="D5612">
        <v>5.1721879999999896</v>
      </c>
      <c r="E5612">
        <v>0.40823369999999998</v>
      </c>
      <c r="F5612" t="s">
        <v>43</v>
      </c>
      <c r="G5612">
        <v>-396.15559999999999</v>
      </c>
      <c r="H5612" s="1">
        <v>-3.7961730000000001E-6</v>
      </c>
      <c r="I5612">
        <v>27.783460000000002</v>
      </c>
      <c r="J5612">
        <v>-407.40809999999999</v>
      </c>
      <c r="K5612">
        <v>1.1104229999999999</v>
      </c>
      <c r="L5612">
        <v>29.063020000000002</v>
      </c>
      <c r="M5612">
        <v>0.94719180000000003</v>
      </c>
      <c r="N5612">
        <v>0</v>
      </c>
      <c r="O5612">
        <v>-0.32055280000000003</v>
      </c>
      <c r="P5612">
        <v>0.93711909999999998</v>
      </c>
      <c r="Q5612">
        <v>8.1241319999999996E-4</v>
      </c>
      <c r="R5612">
        <v>-0.34900910000000002</v>
      </c>
      <c r="S5612">
        <v>3.0696110000000001</v>
      </c>
      <c r="T5612">
        <v>-0.29964099999999999</v>
      </c>
      <c r="U5612">
        <v>-0.35641479999999998</v>
      </c>
      <c r="V5612">
        <v>3.016543E-2</v>
      </c>
      <c r="W5612">
        <v>9.4448759999999996E-3</v>
      </c>
      <c r="X5612">
        <v>0.99950030000000001</v>
      </c>
      <c r="Y5612">
        <v>-0.20676629999999999</v>
      </c>
      <c r="Z5612">
        <v>4.0583380000000002E-2</v>
      </c>
      <c r="AA5612">
        <v>0.97754830000000004</v>
      </c>
      <c r="AB5612">
        <v>25</v>
      </c>
      <c r="AC5612">
        <v>11.2524999999999</v>
      </c>
      <c r="AD5612">
        <v>-1.1104267961730001</v>
      </c>
      <c r="AE5612">
        <v>-1.27956</v>
      </c>
      <c r="AF5612">
        <v>-2.37231247534192</v>
      </c>
      <c r="AG5612">
        <v>-1.1104267961730001</v>
      </c>
      <c r="AH5612">
        <v>10.963447503405</v>
      </c>
      <c r="AI5612">
        <v>95.653486385220702</v>
      </c>
      <c r="AJ5612">
        <v>102.209641637038</v>
      </c>
      <c r="AK5612">
        <v>11.2720049374652</v>
      </c>
      <c r="AL5612">
        <v>89.458840423534099</v>
      </c>
      <c r="AM5612">
        <v>88.271308824273106</v>
      </c>
      <c r="AN5612">
        <v>1.00000000427491</v>
      </c>
    </row>
    <row r="5613" spans="1:40" x14ac:dyDescent="0.25">
      <c r="A5613" t="str">
        <f>"20190312154409082"</f>
        <v>20190312154409082</v>
      </c>
      <c r="B5613" t="str">
        <f>"1552376649072916"</f>
        <v>1552376649072916</v>
      </c>
      <c r="C5613" t="s">
        <v>40</v>
      </c>
      <c r="D5613">
        <v>5.179748</v>
      </c>
      <c r="E5613">
        <v>0.4074586</v>
      </c>
      <c r="F5613" t="s">
        <v>43</v>
      </c>
      <c r="G5613">
        <v>-395.48450000000003</v>
      </c>
      <c r="H5613" s="1">
        <v>-4.041057E-6</v>
      </c>
      <c r="I5613">
        <v>27.711179999999999</v>
      </c>
      <c r="J5613">
        <v>-407.21080000000001</v>
      </c>
      <c r="K5613">
        <v>1.110141</v>
      </c>
      <c r="L5613">
        <v>28.997440000000001</v>
      </c>
      <c r="M5613">
        <v>0.94746969999999997</v>
      </c>
      <c r="N5613">
        <v>0</v>
      </c>
      <c r="O5613">
        <v>-0.31974360000000002</v>
      </c>
      <c r="P5613">
        <v>0.93735800000000002</v>
      </c>
      <c r="Q5613">
        <v>-1.3966670000000001E-4</v>
      </c>
      <c r="R5613">
        <v>-0.34836850000000003</v>
      </c>
      <c r="S5613">
        <v>3.0718079999999999</v>
      </c>
      <c r="T5613">
        <v>-0.28607320000000003</v>
      </c>
      <c r="U5613">
        <v>-0.34826659999999998</v>
      </c>
      <c r="V5613">
        <v>3.0344099999999999E-2</v>
      </c>
      <c r="W5613">
        <v>7.9891470000000003E-3</v>
      </c>
      <c r="X5613">
        <v>0.99950760000000005</v>
      </c>
      <c r="Y5613">
        <v>-0.2087784</v>
      </c>
      <c r="Z5613">
        <v>3.8757319999999998E-2</v>
      </c>
      <c r="AA5613">
        <v>0.97719469999999997</v>
      </c>
      <c r="AB5613">
        <v>25</v>
      </c>
      <c r="AC5613">
        <v>11.726299999999901</v>
      </c>
      <c r="AD5613">
        <v>-1.110145041057</v>
      </c>
      <c r="AE5613">
        <v>-1.28626</v>
      </c>
      <c r="AF5613">
        <v>-2.5085832027238402</v>
      </c>
      <c r="AG5613">
        <v>-1.110145041057</v>
      </c>
      <c r="AH5613">
        <v>11.4208188750136</v>
      </c>
      <c r="AI5613">
        <v>95.423425552063705</v>
      </c>
      <c r="AJ5613">
        <v>102.38829099497799</v>
      </c>
      <c r="AK5613">
        <v>11.745659431170299</v>
      </c>
      <c r="AL5613">
        <v>89.542250733111302</v>
      </c>
      <c r="AM5613">
        <v>88.261088737921298</v>
      </c>
      <c r="AN5613">
        <v>1.00000001666617</v>
      </c>
    </row>
    <row r="5614" spans="1:40" x14ac:dyDescent="0.25">
      <c r="A5614" t="str">
        <f>"20190312154409094"</f>
        <v>20190312154409094</v>
      </c>
      <c r="B5614" t="str">
        <f>"1552376649083650"</f>
        <v>1552376649083650</v>
      </c>
      <c r="C5614" t="s">
        <v>40</v>
      </c>
      <c r="D5614">
        <v>5.1797490000000002</v>
      </c>
      <c r="E5614">
        <v>0.40733920000000001</v>
      </c>
      <c r="F5614" t="s">
        <v>43</v>
      </c>
      <c r="G5614">
        <v>-394.88260000000002</v>
      </c>
      <c r="H5614" s="1">
        <v>-4.2578939999999998E-6</v>
      </c>
      <c r="I5614">
        <v>27.630510000000001</v>
      </c>
      <c r="J5614">
        <v>-407.07960000000003</v>
      </c>
      <c r="K5614">
        <v>1.1099669999999999</v>
      </c>
      <c r="L5614">
        <v>28.953800000000001</v>
      </c>
      <c r="M5614">
        <v>0.9476078</v>
      </c>
      <c r="N5614">
        <v>0</v>
      </c>
      <c r="O5614">
        <v>-0.31934200000000001</v>
      </c>
      <c r="P5614">
        <v>0.9374787</v>
      </c>
      <c r="Q5614">
        <v>-5.4395759999999996E-4</v>
      </c>
      <c r="R5614">
        <v>-0.34804259999999998</v>
      </c>
      <c r="S5614">
        <v>3.0738219999999998</v>
      </c>
      <c r="T5614">
        <v>-0.27679569999999998</v>
      </c>
      <c r="U5614">
        <v>-0.34082030000000002</v>
      </c>
      <c r="V5614">
        <v>3.0424860000000001E-2</v>
      </c>
      <c r="W5614">
        <v>7.2586539999999998E-3</v>
      </c>
      <c r="X5614">
        <v>0.99951069999999997</v>
      </c>
      <c r="Y5614">
        <v>-0.21090739999999999</v>
      </c>
      <c r="Z5614">
        <v>3.7550149999999997E-2</v>
      </c>
      <c r="AA5614">
        <v>0.97678449999999994</v>
      </c>
      <c r="AB5614">
        <v>25</v>
      </c>
      <c r="AC5614">
        <v>12.196999999999999</v>
      </c>
      <c r="AD5614">
        <v>-1.109971257894</v>
      </c>
      <c r="AE5614">
        <v>-1.3232900000000001</v>
      </c>
      <c r="AF5614">
        <v>-2.6196908839686399</v>
      </c>
      <c r="AG5614">
        <v>-1.109971257894</v>
      </c>
      <c r="AH5614">
        <v>11.8836433672093</v>
      </c>
      <c r="AI5614">
        <v>95.211713650938293</v>
      </c>
      <c r="AJ5614">
        <v>102.43174096895901</v>
      </c>
      <c r="AK5614">
        <v>12.219484285349999</v>
      </c>
      <c r="AL5614">
        <v>89.584106108605098</v>
      </c>
      <c r="AM5614">
        <v>88.256468929763699</v>
      </c>
      <c r="AN5614">
        <v>0.99999999978919996</v>
      </c>
    </row>
    <row r="5615" spans="1:40" x14ac:dyDescent="0.25">
      <c r="A5615" t="str">
        <f>"20190312154409107"</f>
        <v>20190312154409107</v>
      </c>
      <c r="B5615" t="str">
        <f>"1552376649103171"</f>
        <v>1552376649103171</v>
      </c>
      <c r="C5615" t="s">
        <v>40</v>
      </c>
      <c r="D5615">
        <v>5.1817669999999998</v>
      </c>
      <c r="E5615">
        <v>0.40725650000000002</v>
      </c>
      <c r="F5615" t="s">
        <v>43</v>
      </c>
      <c r="G5615">
        <v>-394.56189999999998</v>
      </c>
      <c r="H5615" s="1">
        <v>-4.3709790000000002E-6</v>
      </c>
      <c r="I5615">
        <v>27.573689999999999</v>
      </c>
      <c r="J5615">
        <v>-406.94330000000002</v>
      </c>
      <c r="K5615">
        <v>1.109793</v>
      </c>
      <c r="L5615">
        <v>28.908329999999999</v>
      </c>
      <c r="M5615">
        <v>0.9477217</v>
      </c>
      <c r="N5615">
        <v>0</v>
      </c>
      <c r="O5615">
        <v>-0.3190114</v>
      </c>
      <c r="P5615">
        <v>0.93743449999999995</v>
      </c>
      <c r="Q5615">
        <v>-1.1288190000000001E-3</v>
      </c>
      <c r="R5615">
        <v>-0.34816029999999998</v>
      </c>
      <c r="S5615">
        <v>3.0741269999999998</v>
      </c>
      <c r="T5615">
        <v>-0.27258789999999999</v>
      </c>
      <c r="U5615">
        <v>-0.33892820000000001</v>
      </c>
      <c r="V5615">
        <v>3.0902909999999999E-2</v>
      </c>
      <c r="W5615">
        <v>6.3421939999999998E-3</v>
      </c>
      <c r="X5615">
        <v>0.99950220000000001</v>
      </c>
      <c r="Y5615">
        <v>-0.21123259999999999</v>
      </c>
      <c r="Z5615">
        <v>3.6966430000000002E-2</v>
      </c>
      <c r="AA5615">
        <v>0.97673650000000001</v>
      </c>
      <c r="AB5615">
        <v>25</v>
      </c>
      <c r="AC5615">
        <v>12.381399999999999</v>
      </c>
      <c r="AD5615">
        <v>-1.1097973709790001</v>
      </c>
      <c r="AE5615">
        <v>-1.3346399999999901</v>
      </c>
      <c r="AF5615">
        <v>-2.6638583071472901</v>
      </c>
      <c r="AG5615">
        <v>-1.1097973709790001</v>
      </c>
      <c r="AH5615">
        <v>12.0644074060073</v>
      </c>
      <c r="AI5615">
        <v>95.132861185397701</v>
      </c>
      <c r="AJ5615">
        <v>102.451299967697</v>
      </c>
      <c r="AK5615">
        <v>12.4047457589148</v>
      </c>
      <c r="AL5615">
        <v>89.636616589590005</v>
      </c>
      <c r="AM5615">
        <v>88.2290759915671</v>
      </c>
      <c r="AN5615">
        <v>0.99999993053801794</v>
      </c>
    </row>
    <row r="5616" spans="1:40" x14ac:dyDescent="0.25">
      <c r="A5616" t="str">
        <f>"20190312154409118"</f>
        <v>20190312154409118</v>
      </c>
      <c r="B5616" t="str">
        <f>"1552376649112931"</f>
        <v>1552376649112931</v>
      </c>
      <c r="C5616" t="s">
        <v>40</v>
      </c>
      <c r="D5616">
        <v>5.1879660000000003</v>
      </c>
      <c r="E5616">
        <v>0.40726030000000002</v>
      </c>
      <c r="F5616" t="s">
        <v>43</v>
      </c>
      <c r="G5616">
        <v>-394.19380000000001</v>
      </c>
      <c r="H5616" s="1">
        <v>-4.4997369999999998E-6</v>
      </c>
      <c r="I5616">
        <v>27.502739999999999</v>
      </c>
      <c r="J5616">
        <v>-406.82010000000002</v>
      </c>
      <c r="K5616">
        <v>1.109653</v>
      </c>
      <c r="L5616">
        <v>28.867190000000001</v>
      </c>
      <c r="M5616">
        <v>0.94778130000000005</v>
      </c>
      <c r="N5616">
        <v>0</v>
      </c>
      <c r="O5616">
        <v>-0.31884069999999998</v>
      </c>
      <c r="P5616">
        <v>0.93723319999999999</v>
      </c>
      <c r="Q5616">
        <v>-1.5904459999999999E-3</v>
      </c>
      <c r="R5616">
        <v>-0.34870000000000001</v>
      </c>
      <c r="S5616">
        <v>3.0740050000000001</v>
      </c>
      <c r="T5616">
        <v>-0.26758120000000002</v>
      </c>
      <c r="U5616">
        <v>-0.33889770000000002</v>
      </c>
      <c r="V5616">
        <v>3.1661300000000003E-2</v>
      </c>
      <c r="W5616">
        <v>5.588328E-3</v>
      </c>
      <c r="X5616">
        <v>0.99948300000000001</v>
      </c>
      <c r="Y5616">
        <v>-0.21113489999999999</v>
      </c>
      <c r="Z5616">
        <v>3.6273159999999999E-2</v>
      </c>
      <c r="AA5616">
        <v>0.97678359999999997</v>
      </c>
      <c r="AB5616">
        <v>25</v>
      </c>
      <c r="AC5616">
        <v>12.626300000000001</v>
      </c>
      <c r="AD5616">
        <v>-1.1096574997369999</v>
      </c>
      <c r="AE5616">
        <v>-1.3644499999999899</v>
      </c>
      <c r="AF5616">
        <v>-2.71194364349497</v>
      </c>
      <c r="AG5616">
        <v>-1.1096574997369999</v>
      </c>
      <c r="AH5616">
        <v>12.308362012991701</v>
      </c>
      <c r="AI5616">
        <v>95.031517726259494</v>
      </c>
      <c r="AJ5616">
        <v>102.42563953452201</v>
      </c>
      <c r="AK5616">
        <v>12.6523418201957</v>
      </c>
      <c r="AL5616">
        <v>89.679810714029102</v>
      </c>
      <c r="AM5616">
        <v>88.185609518867096</v>
      </c>
      <c r="AN5616">
        <v>0.99999996730826202</v>
      </c>
    </row>
    <row r="5617" spans="1:40" x14ac:dyDescent="0.25">
      <c r="A5617" t="str">
        <f>"20190312154409130"</f>
        <v>20190312154409130</v>
      </c>
      <c r="B5617" t="str">
        <f>"1552376649123668"</f>
        <v>1552376649123668</v>
      </c>
      <c r="C5617" t="s">
        <v>40</v>
      </c>
      <c r="D5617">
        <v>5.3589320000000003</v>
      </c>
      <c r="E5617">
        <v>0.40774290000000002</v>
      </c>
      <c r="F5617" t="s">
        <v>43</v>
      </c>
      <c r="G5617">
        <v>-393.9973</v>
      </c>
      <c r="H5617" s="1">
        <v>-4.5651709999999998E-6</v>
      </c>
      <c r="I5617">
        <v>27.446249999999999</v>
      </c>
      <c r="J5617">
        <v>-406.6925</v>
      </c>
      <c r="K5617">
        <v>1.1095139999999999</v>
      </c>
      <c r="L5617">
        <v>28.82452</v>
      </c>
      <c r="M5617">
        <v>0.94783059999999997</v>
      </c>
      <c r="N5617">
        <v>0</v>
      </c>
      <c r="O5617">
        <v>-0.31870090000000001</v>
      </c>
      <c r="P5617">
        <v>0.93706040000000002</v>
      </c>
      <c r="Q5617">
        <v>-2.1410399999999999E-3</v>
      </c>
      <c r="R5617">
        <v>-0.34916130000000001</v>
      </c>
      <c r="S5617">
        <v>3.0737000000000001</v>
      </c>
      <c r="T5617">
        <v>-0.265991799999999</v>
      </c>
      <c r="U5617">
        <v>-0.34060669999999998</v>
      </c>
      <c r="V5617">
        <v>3.2303539999999999E-2</v>
      </c>
      <c r="W5617">
        <v>4.7371849999999997E-3</v>
      </c>
      <c r="X5617">
        <v>0.99946690000000005</v>
      </c>
      <c r="Y5617">
        <v>-0.2104685</v>
      </c>
      <c r="Z5617">
        <v>3.6020169999999997E-2</v>
      </c>
      <c r="AA5617">
        <v>0.97693680000000005</v>
      </c>
      <c r="AB5617">
        <v>25</v>
      </c>
      <c r="AC5617">
        <v>12.6952</v>
      </c>
      <c r="AD5617">
        <v>-1.10951856517099</v>
      </c>
      <c r="AE5617">
        <v>-1.3782700000000001</v>
      </c>
      <c r="AF5617">
        <v>-2.7191420608980201</v>
      </c>
      <c r="AG5617">
        <v>-1.10951856517099</v>
      </c>
      <c r="AH5617">
        <v>12.3789957875649</v>
      </c>
      <c r="AI5617">
        <v>95.003036837936406</v>
      </c>
      <c r="AJ5617">
        <v>102.388711657968</v>
      </c>
      <c r="AK5617">
        <v>12.722590211995101</v>
      </c>
      <c r="AL5617">
        <v>89.728578283508</v>
      </c>
      <c r="AM5617">
        <v>88.148800704765705</v>
      </c>
      <c r="AN5617">
        <v>1.00000002190693</v>
      </c>
    </row>
    <row r="5618" spans="1:40" x14ac:dyDescent="0.25">
      <c r="A5618" t="str">
        <f>"20190312154409149"</f>
        <v>20190312154409149</v>
      </c>
      <c r="B5618" t="str">
        <f>"1552376649143187"</f>
        <v>1552376649143187</v>
      </c>
      <c r="C5618" t="s">
        <v>40</v>
      </c>
      <c r="D5618">
        <v>5.197165</v>
      </c>
      <c r="E5618">
        <v>0.40773160000000003</v>
      </c>
      <c r="F5618" t="s">
        <v>43</v>
      </c>
      <c r="G5618">
        <v>-393.76889999999997</v>
      </c>
      <c r="H5618" s="1">
        <v>-4.6392910000000002E-6</v>
      </c>
      <c r="I5618">
        <v>27.369679999999999</v>
      </c>
      <c r="J5618">
        <v>-406.5009</v>
      </c>
      <c r="K5618">
        <v>1.1093200000000001</v>
      </c>
      <c r="L5618">
        <v>28.760280000000002</v>
      </c>
      <c r="M5618">
        <v>0.94785319999999995</v>
      </c>
      <c r="N5618">
        <v>0</v>
      </c>
      <c r="O5618">
        <v>-0.31864229999999999</v>
      </c>
      <c r="P5618">
        <v>0.93651660000000003</v>
      </c>
      <c r="Q5618">
        <v>-3.411865E-3</v>
      </c>
      <c r="R5618">
        <v>-0.3506069</v>
      </c>
      <c r="S5618">
        <v>3.0720209999999999</v>
      </c>
      <c r="T5618">
        <v>-0.26373970000000002</v>
      </c>
      <c r="U5618">
        <v>-0.3458252</v>
      </c>
      <c r="V5618">
        <v>3.391106E-2</v>
      </c>
      <c r="W5618">
        <v>3.0201070000000002E-3</v>
      </c>
      <c r="X5618">
        <v>0.99942030000000004</v>
      </c>
      <c r="Y5618">
        <v>-0.2087463</v>
      </c>
      <c r="Z5618">
        <v>3.5652059999999999E-2</v>
      </c>
      <c r="AA5618">
        <v>0.97731979999999996</v>
      </c>
      <c r="AB5618">
        <v>25</v>
      </c>
      <c r="AC5618">
        <v>12.731999999999999</v>
      </c>
      <c r="AD5618">
        <v>-1.1093246392909999</v>
      </c>
      <c r="AE5618">
        <v>-1.3905999999999901</v>
      </c>
      <c r="AF5618">
        <v>-2.7185315178451699</v>
      </c>
      <c r="AG5618">
        <v>-1.1093246392909999</v>
      </c>
      <c r="AH5618">
        <v>12.418268707497999</v>
      </c>
      <c r="AI5618">
        <v>94.987199476141001</v>
      </c>
      <c r="AJ5618">
        <v>102.34804839582399</v>
      </c>
      <c r="AK5618">
        <v>12.7606587784675</v>
      </c>
      <c r="AL5618">
        <v>89.826960353649397</v>
      </c>
      <c r="AM5618">
        <v>88.056657953054696</v>
      </c>
      <c r="AN5618">
        <v>1.0000000085443499</v>
      </c>
    </row>
    <row r="5619" spans="1:40" x14ac:dyDescent="0.25">
      <c r="A5619" t="str">
        <f>"20190312154409162"</f>
        <v>20190312154409162</v>
      </c>
      <c r="B5619" t="str">
        <f>"1552376649152947"</f>
        <v>1552376649152947</v>
      </c>
      <c r="C5619" t="s">
        <v>40</v>
      </c>
      <c r="D5619">
        <v>5.2143519999999999</v>
      </c>
      <c r="E5619">
        <v>0.40775040000000001</v>
      </c>
      <c r="F5619" t="s">
        <v>43</v>
      </c>
      <c r="G5619">
        <v>-393.61040000000003</v>
      </c>
      <c r="H5619" s="1">
        <v>-4.6861080000000001E-6</v>
      </c>
      <c r="I5619">
        <v>27.29036</v>
      </c>
      <c r="J5619">
        <v>-406.34589999999997</v>
      </c>
      <c r="K5619">
        <v>1.1091899999999999</v>
      </c>
      <c r="L5619">
        <v>28.708189999999998</v>
      </c>
      <c r="M5619">
        <v>0.94783039999999996</v>
      </c>
      <c r="N5619">
        <v>0</v>
      </c>
      <c r="O5619">
        <v>-0.31871680000000002</v>
      </c>
      <c r="P5619">
        <v>0.93610099999999996</v>
      </c>
      <c r="Q5619">
        <v>-3.7706049999999998E-3</v>
      </c>
      <c r="R5619">
        <v>-0.35171149999999901</v>
      </c>
      <c r="S5619">
        <v>3.071259</v>
      </c>
      <c r="T5619">
        <v>-0.26430360000000003</v>
      </c>
      <c r="U5619">
        <v>-0.35021970000000002</v>
      </c>
      <c r="V5619">
        <v>3.5013059999999999E-2</v>
      </c>
      <c r="W5619">
        <v>2.3100989999999999E-3</v>
      </c>
      <c r="X5619">
        <v>0.99938419999999895</v>
      </c>
      <c r="Y5619">
        <v>-0.2074107</v>
      </c>
      <c r="Z5619">
        <v>3.568122E-2</v>
      </c>
      <c r="AA5619">
        <v>0.977603</v>
      </c>
      <c r="AB5619">
        <v>26</v>
      </c>
      <c r="AC5619">
        <v>12.735499999999901</v>
      </c>
      <c r="AD5619">
        <v>-1.109194686108</v>
      </c>
      <c r="AE5619">
        <v>-1.4178299999999999</v>
      </c>
      <c r="AF5619">
        <v>-2.6950131243915298</v>
      </c>
      <c r="AG5619">
        <v>-1.109194686108</v>
      </c>
      <c r="AH5619">
        <v>12.430078914389201</v>
      </c>
      <c r="AI5619">
        <v>94.984069678382696</v>
      </c>
      <c r="AJ5619">
        <v>102.233176663495</v>
      </c>
      <c r="AK5619">
        <v>12.767155924883101</v>
      </c>
      <c r="AL5619">
        <v>89.867640961313299</v>
      </c>
      <c r="AM5619">
        <v>87.993483997400901</v>
      </c>
      <c r="AN5619">
        <v>1.00000001506879</v>
      </c>
    </row>
    <row r="5620" spans="1:40" x14ac:dyDescent="0.25">
      <c r="A5620" t="str">
        <f>"20190312154409176"</f>
        <v>20190312154409176</v>
      </c>
      <c r="B5620" t="str">
        <f>"1552376649162708"</f>
        <v>1552376649162708</v>
      </c>
      <c r="C5620" t="s">
        <v>40</v>
      </c>
      <c r="D5620">
        <v>5.1906210000000002</v>
      </c>
      <c r="E5620">
        <v>0.40778449999999999</v>
      </c>
      <c r="F5620" t="s">
        <v>43</v>
      </c>
      <c r="G5620">
        <v>-393.47449999999998</v>
      </c>
      <c r="H5620" s="1">
        <v>-4.7265079999999998E-6</v>
      </c>
      <c r="I5620">
        <v>27.224060000000001</v>
      </c>
      <c r="J5620">
        <v>-406.1995</v>
      </c>
      <c r="K5620">
        <v>1.1090819999999999</v>
      </c>
      <c r="L5620">
        <v>28.658940000000001</v>
      </c>
      <c r="M5620">
        <v>0.94779279999999999</v>
      </c>
      <c r="N5620">
        <v>0</v>
      </c>
      <c r="O5620">
        <v>-0.31883450000000002</v>
      </c>
      <c r="P5620">
        <v>0.93580110000000005</v>
      </c>
      <c r="Q5620">
        <v>-4.0790699999999997E-3</v>
      </c>
      <c r="R5620">
        <v>-0.35250490000000001</v>
      </c>
      <c r="S5620">
        <v>3.0706790000000002</v>
      </c>
      <c r="T5620">
        <v>-0.26461770000000001</v>
      </c>
      <c r="U5620">
        <v>-0.35406490000000002</v>
      </c>
      <c r="V5620">
        <v>3.5737310000000001E-2</v>
      </c>
      <c r="W5620">
        <v>1.679245E-3</v>
      </c>
      <c r="X5620">
        <v>0.99935980000000002</v>
      </c>
      <c r="Y5620">
        <v>-0.20630119999999999</v>
      </c>
      <c r="Z5620">
        <v>3.5688249999999998E-2</v>
      </c>
      <c r="AA5620">
        <v>0.97783750000000003</v>
      </c>
      <c r="AB5620">
        <v>26</v>
      </c>
      <c r="AC5620">
        <v>12.725</v>
      </c>
      <c r="AD5620">
        <v>-1.109086726508</v>
      </c>
      <c r="AE5620">
        <v>-1.4348799999999999</v>
      </c>
      <c r="AF5620">
        <v>-2.6771632639582301</v>
      </c>
      <c r="AG5620">
        <v>-1.109086726508</v>
      </c>
      <c r="AH5620">
        <v>12.4251584447206</v>
      </c>
      <c r="AI5620">
        <v>94.986934338920094</v>
      </c>
      <c r="AJ5620">
        <v>102.159239576427</v>
      </c>
      <c r="AK5620">
        <v>12.7585986254453</v>
      </c>
      <c r="AL5620">
        <v>89.903786302793804</v>
      </c>
      <c r="AM5620">
        <v>87.951963961113805</v>
      </c>
      <c r="AN5620">
        <v>0.99999999252292304</v>
      </c>
    </row>
    <row r="5621" spans="1:40" x14ac:dyDescent="0.25">
      <c r="A5621" t="str">
        <f>"20190312154409195"</f>
        <v>20190312154409195</v>
      </c>
      <c r="B5621" t="str">
        <f>"1552376649182669"</f>
        <v>1552376649182669</v>
      </c>
      <c r="C5621" t="s">
        <v>40</v>
      </c>
      <c r="D5621">
        <v>5.2301270000000004</v>
      </c>
      <c r="E5621">
        <v>0.40784819999999999</v>
      </c>
      <c r="F5621" t="s">
        <v>43</v>
      </c>
      <c r="G5621">
        <v>-393.33199999999999</v>
      </c>
      <c r="H5621" s="1">
        <v>-4.7703550000000003E-6</v>
      </c>
      <c r="I5621">
        <v>27.162759999999999</v>
      </c>
      <c r="J5621">
        <v>-405.98680000000002</v>
      </c>
      <c r="K5621">
        <v>1.108948</v>
      </c>
      <c r="L5621">
        <v>28.587250000000001</v>
      </c>
      <c r="M5621">
        <v>0.94771079999999996</v>
      </c>
      <c r="N5621">
        <v>0</v>
      </c>
      <c r="O5621">
        <v>-0.31908619999999999</v>
      </c>
      <c r="P5621">
        <v>0.93522660000000002</v>
      </c>
      <c r="Q5621">
        <v>-4.906466E-3</v>
      </c>
      <c r="R5621">
        <v>-0.354016099999999</v>
      </c>
      <c r="S5621">
        <v>3.0702210000000001</v>
      </c>
      <c r="T5621">
        <v>-0.26463229999999999</v>
      </c>
      <c r="U5621">
        <v>-0.3569946</v>
      </c>
      <c r="V5621">
        <v>3.7087780000000001E-2</v>
      </c>
      <c r="W5621">
        <v>4.0179890000000001E-4</v>
      </c>
      <c r="X5621">
        <v>0.99931190000000003</v>
      </c>
      <c r="Y5621">
        <v>-0.2056239</v>
      </c>
      <c r="Z5621">
        <v>3.5683899999999998E-2</v>
      </c>
      <c r="AA5621">
        <v>0.97798030000000002</v>
      </c>
      <c r="AB5621">
        <v>26</v>
      </c>
      <c r="AC5621">
        <v>12.6548</v>
      </c>
      <c r="AD5621">
        <v>-1.108952770355</v>
      </c>
      <c r="AE5621">
        <v>-1.42449</v>
      </c>
      <c r="AF5621">
        <v>-2.6677754099110298</v>
      </c>
      <c r="AG5621">
        <v>-1.108952770355</v>
      </c>
      <c r="AH5621">
        <v>12.354118869217899</v>
      </c>
      <c r="AI5621">
        <v>95.014369412064696</v>
      </c>
      <c r="AJ5621">
        <v>102.18546821478201</v>
      </c>
      <c r="AK5621">
        <v>12.6874368932172</v>
      </c>
      <c r="AL5621">
        <v>89.976978617487902</v>
      </c>
      <c r="AM5621">
        <v>87.874539044176998</v>
      </c>
      <c r="AN5621">
        <v>0.99999996917464595</v>
      </c>
    </row>
    <row r="5622" spans="1:40" x14ac:dyDescent="0.25">
      <c r="A5622" t="str">
        <f>"20190312154409209"</f>
        <v>20190312154409209</v>
      </c>
      <c r="B5622" t="str">
        <f>"1552376649203166"</f>
        <v>1552376649203166</v>
      </c>
      <c r="C5622" t="s">
        <v>40</v>
      </c>
      <c r="D5622">
        <v>5.2892169999999998</v>
      </c>
      <c r="E5622">
        <v>0.40791680000000002</v>
      </c>
      <c r="F5622" t="s">
        <v>43</v>
      </c>
      <c r="G5622">
        <v>-393.13600000000002</v>
      </c>
      <c r="H5622" s="1">
        <v>-4.8291549999999997E-6</v>
      </c>
      <c r="I5622">
        <v>27.069769999999998</v>
      </c>
      <c r="J5622">
        <v>-405.83249999999998</v>
      </c>
      <c r="K5622">
        <v>1.108868</v>
      </c>
      <c r="L5622">
        <v>28.535160000000001</v>
      </c>
      <c r="M5622">
        <v>0.94763779999999997</v>
      </c>
      <c r="N5622">
        <v>0</v>
      </c>
      <c r="O5622">
        <v>-0.31930799999999998</v>
      </c>
      <c r="P5622">
        <v>0.93503709999999995</v>
      </c>
      <c r="Q5622">
        <v>-5.2567109999999998E-3</v>
      </c>
      <c r="R5622">
        <v>-0.35451149999999998</v>
      </c>
      <c r="S5622">
        <v>3.0692140000000001</v>
      </c>
      <c r="T5622">
        <v>-0.26485560000000002</v>
      </c>
      <c r="U5622">
        <v>-0.36242679999999999</v>
      </c>
      <c r="V5622">
        <v>3.7383840000000002E-2</v>
      </c>
      <c r="W5622">
        <v>-2.6401929999999999E-4</v>
      </c>
      <c r="X5622">
        <v>0.99930099999999999</v>
      </c>
      <c r="Y5622">
        <v>-0.20410880000000001</v>
      </c>
      <c r="Z5622">
        <v>3.5672929999999999E-2</v>
      </c>
      <c r="AA5622">
        <v>0.978298</v>
      </c>
      <c r="AB5622">
        <v>26</v>
      </c>
      <c r="AC5622">
        <v>12.6965</v>
      </c>
      <c r="AD5622">
        <v>-1.1088728291550001</v>
      </c>
      <c r="AE5622">
        <v>-1.46538999999999</v>
      </c>
      <c r="AF5622">
        <v>-2.64555408700179</v>
      </c>
      <c r="AG5622">
        <v>-1.1088728291550001</v>
      </c>
      <c r="AH5622">
        <v>12.406361954585</v>
      </c>
      <c r="AI5622">
        <v>94.995755598675004</v>
      </c>
      <c r="AJ5622">
        <v>102.03755503479699</v>
      </c>
      <c r="AK5622">
        <v>12.733670811147199</v>
      </c>
      <c r="AL5622">
        <v>90.015127190945194</v>
      </c>
      <c r="AM5622">
        <v>87.857564563916696</v>
      </c>
      <c r="AN5622">
        <v>1.00000005490016</v>
      </c>
    </row>
    <row r="5623" spans="1:40" x14ac:dyDescent="0.25">
      <c r="A5623" t="str">
        <f>"20190312154409226"</f>
        <v>20190312154409226</v>
      </c>
      <c r="B5623" t="str">
        <f>"1552376649222686"</f>
        <v>1552376649222686</v>
      </c>
      <c r="C5623" t="s">
        <v>40</v>
      </c>
      <c r="D5623">
        <v>5.3055260000000004</v>
      </c>
      <c r="E5623">
        <v>0.44814569999999998</v>
      </c>
      <c r="F5623" t="s">
        <v>43</v>
      </c>
      <c r="G5623">
        <v>-392.92079999999999</v>
      </c>
      <c r="H5623" s="1">
        <v>-4.8996959999999998E-6</v>
      </c>
      <c r="I5623">
        <v>27.001650000000001</v>
      </c>
      <c r="J5623">
        <v>-405.63549999999998</v>
      </c>
      <c r="K5623">
        <v>1.108792</v>
      </c>
      <c r="L5623">
        <v>28.468440000000001</v>
      </c>
      <c r="M5623">
        <v>0.94753080000000001</v>
      </c>
      <c r="N5623">
        <v>0</v>
      </c>
      <c r="O5623">
        <v>-0.31963079999999999</v>
      </c>
      <c r="P5623">
        <v>0.93434740000000005</v>
      </c>
      <c r="Q5623">
        <v>-6.5171869999999998E-3</v>
      </c>
      <c r="R5623">
        <v>-0.35630420000000002</v>
      </c>
      <c r="S5623">
        <v>3.068756</v>
      </c>
      <c r="T5623">
        <v>-0.26354809999999901</v>
      </c>
      <c r="U5623">
        <v>-0.3644714</v>
      </c>
      <c r="V5623">
        <v>3.8961759999999998E-2</v>
      </c>
      <c r="W5623">
        <v>-1.910005E-3</v>
      </c>
      <c r="X5623">
        <v>0.99923879999999998</v>
      </c>
      <c r="Y5623">
        <v>-0.20379990000000001</v>
      </c>
      <c r="Z5623">
        <v>3.5513540000000003E-2</v>
      </c>
      <c r="AA5623">
        <v>0.97836820000000002</v>
      </c>
      <c r="AB5623">
        <v>26</v>
      </c>
      <c r="AC5623">
        <v>12.714699999999899</v>
      </c>
      <c r="AD5623">
        <v>-1.108796899696</v>
      </c>
      <c r="AE5623">
        <v>-1.46678999999999</v>
      </c>
      <c r="AF5623">
        <v>-2.6542894077466901</v>
      </c>
      <c r="AG5623">
        <v>-1.108796899696</v>
      </c>
      <c r="AH5623">
        <v>12.423299150564</v>
      </c>
      <c r="AI5623">
        <v>94.988221305924498</v>
      </c>
      <c r="AJ5623">
        <v>102.060155233191</v>
      </c>
      <c r="AK5623">
        <v>12.751981987489501</v>
      </c>
      <c r="AL5623">
        <v>90.1094353002986</v>
      </c>
      <c r="AM5623">
        <v>87.767086166591298</v>
      </c>
      <c r="AN5623">
        <v>0.99999992314341501</v>
      </c>
    </row>
    <row r="5624" spans="1:40" x14ac:dyDescent="0.25">
      <c r="A5624" t="str">
        <f>"20190312154409238"</f>
        <v>20190312154409238</v>
      </c>
      <c r="B5624" t="str">
        <f>"1552376649233422"</f>
        <v>1552376649233422</v>
      </c>
      <c r="C5624" t="s">
        <v>40</v>
      </c>
      <c r="D5624">
        <v>5.2755769999999904</v>
      </c>
      <c r="E5624">
        <v>0.45233620000000002</v>
      </c>
      <c r="F5624" t="s">
        <v>43</v>
      </c>
      <c r="G5624">
        <v>-391.8888</v>
      </c>
      <c r="H5624" s="1">
        <v>-5.0019259999999998E-6</v>
      </c>
      <c r="I5624">
        <v>25.343730000000001</v>
      </c>
      <c r="J5624">
        <v>-405.50839999999999</v>
      </c>
      <c r="K5624">
        <v>1.108751</v>
      </c>
      <c r="L5624">
        <v>28.425380000000001</v>
      </c>
      <c r="M5624">
        <v>0.94745840000000003</v>
      </c>
      <c r="N5624">
        <v>0</v>
      </c>
      <c r="O5624">
        <v>-0.31984869999999999</v>
      </c>
      <c r="P5624">
        <v>0.93391570000000002</v>
      </c>
      <c r="Q5624">
        <v>-6.9512050000000002E-3</v>
      </c>
      <c r="R5624">
        <v>-0.35742590000000002</v>
      </c>
      <c r="S5624">
        <v>2.953125</v>
      </c>
      <c r="T5624">
        <v>-0.2381964</v>
      </c>
      <c r="U5624">
        <v>-0.67126459999999999</v>
      </c>
      <c r="V5624">
        <v>3.9932469999999998E-2</v>
      </c>
      <c r="W5624">
        <v>-2.5823349999999998E-3</v>
      </c>
      <c r="X5624">
        <v>0.99919899999999995</v>
      </c>
      <c r="Y5624">
        <v>-0.10063800000000001</v>
      </c>
      <c r="Z5624">
        <v>2.886845E-2</v>
      </c>
      <c r="AA5624">
        <v>0.99450419999999995</v>
      </c>
      <c r="AB5624">
        <v>26</v>
      </c>
      <c r="AC5624">
        <v>13.619599999999901</v>
      </c>
      <c r="AD5624">
        <v>-1.1087560019259901</v>
      </c>
      <c r="AE5624">
        <v>-3.0816499999999998</v>
      </c>
      <c r="AF5624">
        <v>-1.4274903071101901</v>
      </c>
      <c r="AG5624">
        <v>-1.1087560019259901</v>
      </c>
      <c r="AH5624">
        <v>13.8027794384272</v>
      </c>
      <c r="AI5624">
        <v>94.568358226414702</v>
      </c>
      <c r="AJ5624">
        <v>95.904566340265205</v>
      </c>
      <c r="AK5624">
        <v>13.920624579183499</v>
      </c>
      <c r="AL5624">
        <v>90.147957067724207</v>
      </c>
      <c r="AM5624">
        <v>87.711421766648201</v>
      </c>
      <c r="AN5624">
        <v>0.999999956107675</v>
      </c>
    </row>
    <row r="5625" spans="1:40" x14ac:dyDescent="0.25">
      <c r="A5625" t="str">
        <f>"20190312154409250"</f>
        <v>20190312154409250</v>
      </c>
      <c r="B5625" t="str">
        <f>"1552376649243183"</f>
        <v>1552376649243183</v>
      </c>
      <c r="C5625" t="s">
        <v>40</v>
      </c>
      <c r="D5625">
        <v>5.2674240000000001</v>
      </c>
      <c r="E5625">
        <v>0.45485710000000001</v>
      </c>
      <c r="F5625" t="s">
        <v>43</v>
      </c>
      <c r="G5625">
        <v>-392.2364</v>
      </c>
      <c r="H5625" s="1">
        <v>-4.8501219999999997E-6</v>
      </c>
      <c r="I5625">
        <v>25.240449999999999</v>
      </c>
      <c r="J5625">
        <v>-405.36840000000001</v>
      </c>
      <c r="K5625">
        <v>1.108711</v>
      </c>
      <c r="L5625">
        <v>28.3779</v>
      </c>
      <c r="M5625">
        <v>0.94737839999999995</v>
      </c>
      <c r="N5625">
        <v>0</v>
      </c>
      <c r="O5625">
        <v>-0.32008920000000002</v>
      </c>
      <c r="P5625">
        <v>0.93348690000000001</v>
      </c>
      <c r="Q5625">
        <v>-6.9841850000000004E-3</v>
      </c>
      <c r="R5625">
        <v>-0.35854360000000002</v>
      </c>
      <c r="S5625">
        <v>2.9404300000000001</v>
      </c>
      <c r="T5625">
        <v>-0.24564639999999999</v>
      </c>
      <c r="U5625">
        <v>-0.70562740000000002</v>
      </c>
      <c r="V5625">
        <v>4.087495E-2</v>
      </c>
      <c r="W5625">
        <v>-2.8743319999999998E-3</v>
      </c>
      <c r="X5625">
        <v>0.9991601</v>
      </c>
      <c r="Y5625">
        <v>-8.8889389999999999E-2</v>
      </c>
      <c r="Z5625">
        <v>2.9377420000000001E-2</v>
      </c>
      <c r="AA5625">
        <v>0.99560820000000005</v>
      </c>
      <c r="AB5625">
        <v>26</v>
      </c>
      <c r="AC5625">
        <v>13.132</v>
      </c>
      <c r="AD5625">
        <v>-1.108715850122</v>
      </c>
      <c r="AE5625">
        <v>-3.1374499999999999</v>
      </c>
      <c r="AF5625">
        <v>-1.22282369229246</v>
      </c>
      <c r="AG5625">
        <v>-1.108715850122</v>
      </c>
      <c r="AH5625">
        <v>13.3552934389139</v>
      </c>
      <c r="AI5625">
        <v>94.725960936353502</v>
      </c>
      <c r="AJ5625">
        <v>95.231470798663594</v>
      </c>
      <c r="AK5625">
        <v>13.4569094318956</v>
      </c>
      <c r="AL5625">
        <v>90.1646873251551</v>
      </c>
      <c r="AM5625">
        <v>87.657375476977805</v>
      </c>
      <c r="AN5625">
        <v>0.99999996437697802</v>
      </c>
    </row>
    <row r="5626" spans="1:40" x14ac:dyDescent="0.25">
      <c r="A5626" t="str">
        <f>"20190312154409261"</f>
        <v>20190312154409261</v>
      </c>
      <c r="B5626" t="str">
        <f>"1552376649252942"</f>
        <v>1552376649252942</v>
      </c>
      <c r="C5626" t="s">
        <v>40</v>
      </c>
      <c r="D5626">
        <v>5.2087339999999998</v>
      </c>
      <c r="E5626">
        <v>0.45701999999999998</v>
      </c>
      <c r="F5626" t="s">
        <v>43</v>
      </c>
      <c r="G5626">
        <v>-392.2894</v>
      </c>
      <c r="H5626" s="1">
        <v>-4.8106259999999996E-6</v>
      </c>
      <c r="I5626">
        <v>25.132539999999999</v>
      </c>
      <c r="J5626">
        <v>-405.23160000000001</v>
      </c>
      <c r="K5626">
        <v>1.108679</v>
      </c>
      <c r="L5626">
        <v>28.331420000000001</v>
      </c>
      <c r="M5626">
        <v>0.94730130000000001</v>
      </c>
      <c r="N5626">
        <v>0</v>
      </c>
      <c r="O5626">
        <v>-0.32031999999999999</v>
      </c>
      <c r="P5626">
        <v>0.93300510000000003</v>
      </c>
      <c r="Q5626">
        <v>-7.52819699999999E-3</v>
      </c>
      <c r="R5626">
        <v>-0.35978490000000002</v>
      </c>
      <c r="S5626">
        <v>2.932404</v>
      </c>
      <c r="T5626">
        <v>-0.24858089999999999</v>
      </c>
      <c r="U5626">
        <v>-0.72763059999999902</v>
      </c>
      <c r="V5626">
        <v>4.1961190000000002E-2</v>
      </c>
      <c r="W5626">
        <v>-3.6653810000000001E-3</v>
      </c>
      <c r="X5626">
        <v>0.99911249999999996</v>
      </c>
      <c r="Y5626">
        <v>-8.1450659999999994E-2</v>
      </c>
      <c r="Z5626">
        <v>2.9479990000000001E-2</v>
      </c>
      <c r="AA5626">
        <v>0.9962413</v>
      </c>
      <c r="AB5626">
        <v>27</v>
      </c>
      <c r="AC5626">
        <v>12.9422</v>
      </c>
      <c r="AD5626">
        <v>-1.108683810626</v>
      </c>
      <c r="AE5626">
        <v>-3.1988799999999999</v>
      </c>
      <c r="AF5626">
        <v>-1.1076902440449401</v>
      </c>
      <c r="AG5626">
        <v>-1.108683810626</v>
      </c>
      <c r="AH5626">
        <v>13.1936843302813</v>
      </c>
      <c r="AI5626">
        <v>94.786598826207197</v>
      </c>
      <c r="AJ5626">
        <v>94.799075520139496</v>
      </c>
      <c r="AK5626">
        <v>13.286439089380099</v>
      </c>
      <c r="AL5626">
        <v>90.210011335625694</v>
      </c>
      <c r="AM5626">
        <v>87.595078613439398</v>
      </c>
      <c r="AN5626">
        <v>0.99999998207017005</v>
      </c>
    </row>
    <row r="5627" spans="1:40" x14ac:dyDescent="0.25">
      <c r="A5627" t="str">
        <f>"20190312154409274"</f>
        <v>20190312154409274</v>
      </c>
      <c r="B5627" t="str">
        <f>"1552376649262702"</f>
        <v>1552376649262702</v>
      </c>
      <c r="C5627" t="s">
        <v>40</v>
      </c>
      <c r="D5627">
        <v>5.2682500000000001</v>
      </c>
      <c r="E5627">
        <v>0.45810059999999903</v>
      </c>
      <c r="F5627" t="s">
        <v>43</v>
      </c>
      <c r="G5627">
        <v>-392.10129999999998</v>
      </c>
      <c r="H5627" s="1">
        <v>-4.8547390000000003E-6</v>
      </c>
      <c r="I5627">
        <v>24.974129999999999</v>
      </c>
      <c r="J5627">
        <v>-405.101</v>
      </c>
      <c r="K5627">
        <v>1.108654</v>
      </c>
      <c r="L5627">
        <v>28.28708</v>
      </c>
      <c r="M5627">
        <v>0.94723060000000003</v>
      </c>
      <c r="N5627">
        <v>0</v>
      </c>
      <c r="O5627">
        <v>-0.32053209999999999</v>
      </c>
      <c r="P5627">
        <v>0.93270399999999998</v>
      </c>
      <c r="Q5627">
        <v>-7.6126680000000004E-3</v>
      </c>
      <c r="R5627">
        <v>-0.36056319999999997</v>
      </c>
      <c r="S5627">
        <v>2.9249879999999999</v>
      </c>
      <c r="T5627">
        <v>-0.24697839999999999</v>
      </c>
      <c r="U5627">
        <v>-0.74789430000000001</v>
      </c>
      <c r="V5627">
        <v>4.2571369999999997E-2</v>
      </c>
      <c r="W5627">
        <v>-3.9799559999999998E-3</v>
      </c>
      <c r="X5627">
        <v>0.99908549999999996</v>
      </c>
      <c r="Y5627">
        <v>-7.4627319999999997E-2</v>
      </c>
      <c r="Z5627">
        <v>2.9064159999999999E-2</v>
      </c>
      <c r="AA5627">
        <v>0.9967878</v>
      </c>
      <c r="AB5627">
        <v>27</v>
      </c>
      <c r="AC5627">
        <v>12.999700000000001</v>
      </c>
      <c r="AD5627">
        <v>-1.1086588547389999</v>
      </c>
      <c r="AE5627">
        <v>-3.3129499999999998</v>
      </c>
      <c r="AF5627">
        <v>-1.0217223510991</v>
      </c>
      <c r="AG5627">
        <v>-1.1086588547389999</v>
      </c>
      <c r="AH5627">
        <v>13.284977551586699</v>
      </c>
      <c r="AI5627">
        <v>94.756416431594999</v>
      </c>
      <c r="AJ5627">
        <v>94.397852154630996</v>
      </c>
      <c r="AK5627">
        <v>13.370253160097199</v>
      </c>
      <c r="AL5627">
        <v>90.2280352837045</v>
      </c>
      <c r="AM5627">
        <v>87.560083473893798</v>
      </c>
      <c r="AN5627">
        <v>0.99999999895184399</v>
      </c>
    </row>
    <row r="5628" spans="1:40" x14ac:dyDescent="0.25">
      <c r="A5628" t="str">
        <f>"20190312154409285"</f>
        <v>20190312154409285</v>
      </c>
      <c r="B5628" t="str">
        <f>"1552376649273438"</f>
        <v>1552376649273438</v>
      </c>
      <c r="C5628" t="s">
        <v>40</v>
      </c>
      <c r="D5628">
        <v>5.2742449999999996</v>
      </c>
      <c r="E5628">
        <v>0.45895390000000003</v>
      </c>
      <c r="F5628" t="s">
        <v>43</v>
      </c>
      <c r="G5628">
        <v>-392.13709999999998</v>
      </c>
      <c r="H5628" s="1">
        <v>-4.8317480000000003E-6</v>
      </c>
      <c r="I5628">
        <v>24.92192</v>
      </c>
      <c r="J5628">
        <v>-404.96300000000002</v>
      </c>
      <c r="K5628">
        <v>1.1086320000000001</v>
      </c>
      <c r="L5628">
        <v>28.240169999999999</v>
      </c>
      <c r="M5628">
        <v>0.94715830000000001</v>
      </c>
      <c r="N5628">
        <v>0</v>
      </c>
      <c r="O5628">
        <v>-0.32074799999999998</v>
      </c>
      <c r="P5628">
        <v>0.93213760000000001</v>
      </c>
      <c r="Q5628">
        <v>-8.5375380000000008E-3</v>
      </c>
      <c r="R5628">
        <v>-0.36200329999999997</v>
      </c>
      <c r="S5628">
        <v>2.921265</v>
      </c>
      <c r="T5628">
        <v>-0.24982370000000001</v>
      </c>
      <c r="U5628">
        <v>-0.7583008</v>
      </c>
      <c r="V5628">
        <v>4.3888829999999997E-2</v>
      </c>
      <c r="W5628">
        <v>-5.1436499999999996E-3</v>
      </c>
      <c r="X5628">
        <v>0.9990232</v>
      </c>
      <c r="Y5628">
        <v>-7.1199330000000005E-2</v>
      </c>
      <c r="Z5628">
        <v>2.9290420000000001E-2</v>
      </c>
      <c r="AA5628">
        <v>0.99703200000000003</v>
      </c>
      <c r="AB5628">
        <v>27</v>
      </c>
      <c r="AC5628">
        <v>12.825900000000001</v>
      </c>
      <c r="AD5628">
        <v>-1.108636831748</v>
      </c>
      <c r="AE5628">
        <v>-3.3182499999999999</v>
      </c>
      <c r="AF5628">
        <v>-0.96422731341063805</v>
      </c>
      <c r="AG5628">
        <v>-1.108636831748</v>
      </c>
      <c r="AH5628">
        <v>13.120677950035599</v>
      </c>
      <c r="AI5628">
        <v>94.816829067910405</v>
      </c>
      <c r="AJ5628">
        <v>94.203061890731703</v>
      </c>
      <c r="AK5628">
        <v>13.202689112646199</v>
      </c>
      <c r="AL5628">
        <v>90.294710729842507</v>
      </c>
      <c r="AM5628">
        <v>87.484514028857703</v>
      </c>
      <c r="AN5628">
        <v>1.0000000203361601</v>
      </c>
    </row>
    <row r="5629" spans="1:40" x14ac:dyDescent="0.25">
      <c r="A5629" t="str">
        <f>"20190312154409297"</f>
        <v>20190312154409297</v>
      </c>
      <c r="B5629" t="str">
        <f>"1552376649292958"</f>
        <v>1552376649292958</v>
      </c>
      <c r="C5629" t="s">
        <v>40</v>
      </c>
      <c r="D5629">
        <v>5.2851900000000001</v>
      </c>
      <c r="E5629">
        <v>0.46003909999999998</v>
      </c>
      <c r="F5629" t="s">
        <v>43</v>
      </c>
      <c r="G5629">
        <v>-392.29579999999999</v>
      </c>
      <c r="H5629" s="1">
        <v>-4.7671609999999998E-6</v>
      </c>
      <c r="I5629">
        <v>24.901409999999998</v>
      </c>
      <c r="J5629">
        <v>-404.83769999999998</v>
      </c>
      <c r="K5629">
        <v>1.108616</v>
      </c>
      <c r="L5629">
        <v>28.19754</v>
      </c>
      <c r="M5629">
        <v>0.94709929999999998</v>
      </c>
      <c r="N5629">
        <v>0</v>
      </c>
      <c r="O5629">
        <v>-0.3209245</v>
      </c>
      <c r="P5629">
        <v>0.93159159999999996</v>
      </c>
      <c r="Q5629">
        <v>-8.9047910000000004E-3</v>
      </c>
      <c r="R5629">
        <v>-0.36339830000000001</v>
      </c>
      <c r="S5629">
        <v>2.917389</v>
      </c>
      <c r="T5629">
        <v>-0.25533080000000002</v>
      </c>
      <c r="U5629">
        <v>-0.76895139999999995</v>
      </c>
      <c r="V5629">
        <v>4.5198839999999997E-2</v>
      </c>
      <c r="W5629">
        <v>-5.7159869999999996E-3</v>
      </c>
      <c r="X5629">
        <v>0.99896160000000001</v>
      </c>
      <c r="Y5629">
        <v>-6.7609030000000001E-2</v>
      </c>
      <c r="Z5629">
        <v>2.981458E-2</v>
      </c>
      <c r="AA5629">
        <v>0.99726630000000005</v>
      </c>
      <c r="AB5629">
        <v>27</v>
      </c>
      <c r="AC5629">
        <v>12.541899999999901</v>
      </c>
      <c r="AD5629">
        <v>-1.108620767161</v>
      </c>
      <c r="AE5629">
        <v>-3.2961299999999998</v>
      </c>
      <c r="AF5629">
        <v>-0.89669170583358804</v>
      </c>
      <c r="AG5629">
        <v>-1.108620767161</v>
      </c>
      <c r="AH5629">
        <v>12.842440577787</v>
      </c>
      <c r="AI5629">
        <v>94.921889980123794</v>
      </c>
      <c r="AJ5629">
        <v>93.994054174492305</v>
      </c>
      <c r="AK5629">
        <v>12.9213534900444</v>
      </c>
      <c r="AL5629">
        <v>90.327503732943796</v>
      </c>
      <c r="AM5629">
        <v>87.409372153465995</v>
      </c>
      <c r="AN5629">
        <v>0.99999994295964301</v>
      </c>
    </row>
    <row r="5630" spans="1:40" x14ac:dyDescent="0.25">
      <c r="A5630" t="str">
        <f>"20190312154409308"</f>
        <v>20190312154409308</v>
      </c>
      <c r="B5630" t="str">
        <f>"1552376649302719"</f>
        <v>1552376649302719</v>
      </c>
      <c r="C5630" t="s">
        <v>40</v>
      </c>
      <c r="D5630">
        <v>5.2583950000000002</v>
      </c>
      <c r="E5630">
        <v>0.46038630000000003</v>
      </c>
      <c r="F5630" t="s">
        <v>43</v>
      </c>
      <c r="G5630">
        <v>-392.53480000000002</v>
      </c>
      <c r="H5630" s="1">
        <v>-4.6748499999999998E-6</v>
      </c>
      <c r="I5630">
        <v>24.898420000000002</v>
      </c>
      <c r="J5630">
        <v>-404.70580000000001</v>
      </c>
      <c r="K5630">
        <v>1.108603</v>
      </c>
      <c r="L5630">
        <v>28.15268</v>
      </c>
      <c r="M5630">
        <v>0.94703899999999996</v>
      </c>
      <c r="N5630">
        <v>0</v>
      </c>
      <c r="O5630">
        <v>-0.32110460000000002</v>
      </c>
      <c r="P5630">
        <v>0.93116500000000002</v>
      </c>
      <c r="Q5630">
        <v>-9.2281900000000007E-3</v>
      </c>
      <c r="R5630">
        <v>-0.36448180000000002</v>
      </c>
      <c r="S5630">
        <v>2.9130549999999999</v>
      </c>
      <c r="T5630">
        <v>-0.26249650000000002</v>
      </c>
      <c r="U5630">
        <v>-0.78115840000000003</v>
      </c>
      <c r="V5630">
        <v>4.6172129999999999E-2</v>
      </c>
      <c r="W5630">
        <v>-6.2513300000000003E-3</v>
      </c>
      <c r="X5630">
        <v>0.99891390000000002</v>
      </c>
      <c r="Y5630">
        <v>-6.3466880000000003E-2</v>
      </c>
      <c r="Z5630">
        <v>3.050303E-2</v>
      </c>
      <c r="AA5630">
        <v>0.99751769999999995</v>
      </c>
      <c r="AB5630">
        <v>27</v>
      </c>
      <c r="AC5630">
        <v>12.1709999999999</v>
      </c>
      <c r="AD5630">
        <v>-1.10860767485</v>
      </c>
      <c r="AE5630">
        <v>-3.2542599999999902</v>
      </c>
      <c r="AF5630">
        <v>-0.81990802859147405</v>
      </c>
      <c r="AG5630">
        <v>-1.10860767485</v>
      </c>
      <c r="AH5630">
        <v>12.4748320691236</v>
      </c>
      <c r="AI5630">
        <v>95.067518058570798</v>
      </c>
      <c r="AJ5630">
        <v>93.760355285553601</v>
      </c>
      <c r="AK5630">
        <v>12.5508045680315</v>
      </c>
      <c r="AL5630">
        <v>90.358177171796399</v>
      </c>
      <c r="AM5630">
        <v>87.353539105012601</v>
      </c>
      <c r="AN5630">
        <v>0.99999996216435705</v>
      </c>
    </row>
    <row r="5631" spans="1:40" x14ac:dyDescent="0.25">
      <c r="A5631" t="str">
        <f>"20190312154409320"</f>
        <v>20190312154409320</v>
      </c>
      <c r="B5631" t="str">
        <f>"1552376649313454"</f>
        <v>1552376649313454</v>
      </c>
      <c r="C5631" t="s">
        <v>40</v>
      </c>
      <c r="D5631">
        <v>5.2565059999999999</v>
      </c>
      <c r="E5631">
        <v>0.46063470000000001</v>
      </c>
      <c r="F5631" t="s">
        <v>43</v>
      </c>
      <c r="G5631">
        <v>-392.53149999999999</v>
      </c>
      <c r="H5631" s="1">
        <v>-4.6693770000000001E-6</v>
      </c>
      <c r="I5631">
        <v>24.860479999999999</v>
      </c>
      <c r="J5631">
        <v>-404.56799999999998</v>
      </c>
      <c r="K5631">
        <v>1.1086039999999999</v>
      </c>
      <c r="L5631">
        <v>28.105740000000001</v>
      </c>
      <c r="M5631">
        <v>0.94698660000000001</v>
      </c>
      <c r="N5631">
        <v>0</v>
      </c>
      <c r="O5631">
        <v>-0.32126130000000003</v>
      </c>
      <c r="P5631">
        <v>0.93076119999999996</v>
      </c>
      <c r="Q5631">
        <v>-9.7521410000000006E-3</v>
      </c>
      <c r="R5631">
        <v>-0.36549789999999999</v>
      </c>
      <c r="S5631">
        <v>2.9110109999999998</v>
      </c>
      <c r="T5631">
        <v>-0.2650807</v>
      </c>
      <c r="U5631">
        <v>-0.78720089999999998</v>
      </c>
      <c r="V5631">
        <v>4.7098849999999998E-2</v>
      </c>
      <c r="W5631">
        <v>-6.9785359999999996E-3</v>
      </c>
      <c r="X5631">
        <v>0.99886580000000003</v>
      </c>
      <c r="Y5631">
        <v>-6.1504370000000003E-2</v>
      </c>
      <c r="Z5631">
        <v>3.0737960000000002E-2</v>
      </c>
      <c r="AA5631">
        <v>0.9976334</v>
      </c>
      <c r="AB5631">
        <v>27</v>
      </c>
      <c r="AC5631">
        <v>12.0365</v>
      </c>
      <c r="AD5631">
        <v>-1.1086086693770001</v>
      </c>
      <c r="AE5631">
        <v>-3.24526</v>
      </c>
      <c r="AF5631">
        <v>-0.78741979198983802</v>
      </c>
      <c r="AG5631">
        <v>-1.1086086693770001</v>
      </c>
      <c r="AH5631">
        <v>12.3434128994018</v>
      </c>
      <c r="AI5631">
        <v>95.121825410245293</v>
      </c>
      <c r="AJ5631">
        <v>93.650107176558507</v>
      </c>
      <c r="AK5631">
        <v>12.4180870151466</v>
      </c>
      <c r="AL5631">
        <v>90.399843927804696</v>
      </c>
      <c r="AM5631">
        <v>87.300370035826305</v>
      </c>
      <c r="AN5631">
        <v>0.99999994402283099</v>
      </c>
    </row>
    <row r="5632" spans="1:40" x14ac:dyDescent="0.25">
      <c r="A5632" t="str">
        <f>"20190312154409332"</f>
        <v>20190312154409332</v>
      </c>
      <c r="B5632" t="str">
        <f>"1552376649323214"</f>
        <v>1552376649323214</v>
      </c>
      <c r="C5632" t="s">
        <v>40</v>
      </c>
      <c r="D5632">
        <v>5.2517310000000004</v>
      </c>
      <c r="E5632">
        <v>0.46079300000000001</v>
      </c>
      <c r="F5632" t="s">
        <v>43</v>
      </c>
      <c r="G5632">
        <v>-392.50569999999999</v>
      </c>
      <c r="H5632" s="1">
        <v>-4.6722389999999999E-6</v>
      </c>
      <c r="I5632">
        <v>24.820679999999999</v>
      </c>
      <c r="J5632">
        <v>-404.4248</v>
      </c>
      <c r="K5632">
        <v>1.1086009999999999</v>
      </c>
      <c r="L5632">
        <v>28.057009999999998</v>
      </c>
      <c r="M5632">
        <v>0.94693609999999995</v>
      </c>
      <c r="N5632">
        <v>0</v>
      </c>
      <c r="O5632">
        <v>-0.32141130000000001</v>
      </c>
      <c r="P5632">
        <v>0.93025789999999997</v>
      </c>
      <c r="Q5632">
        <v>-9.9702790000000003E-3</v>
      </c>
      <c r="R5632">
        <v>-0.36677110000000002</v>
      </c>
      <c r="S5632">
        <v>2.9092099999999999</v>
      </c>
      <c r="T5632">
        <v>-0.26737610000000001</v>
      </c>
      <c r="U5632">
        <v>-0.79229740000000004</v>
      </c>
      <c r="V5632">
        <v>4.8308329999999997E-2</v>
      </c>
      <c r="W5632">
        <v>-7.4001300000000004E-3</v>
      </c>
      <c r="X5632">
        <v>0.99880500000000005</v>
      </c>
      <c r="Y5632">
        <v>-5.9859339999999997E-2</v>
      </c>
      <c r="Z5632">
        <v>3.095111E-2</v>
      </c>
      <c r="AA5632">
        <v>0.99772689999999997</v>
      </c>
      <c r="AB5632">
        <v>27</v>
      </c>
      <c r="AC5632">
        <v>11.9191</v>
      </c>
      <c r="AD5632">
        <v>-1.1086056722390001</v>
      </c>
      <c r="AE5632">
        <v>-3.2363299999999899</v>
      </c>
      <c r="AF5632">
        <v>-0.76021327598990796</v>
      </c>
      <c r="AG5632">
        <v>-1.1086056722390001</v>
      </c>
      <c r="AH5632">
        <v>12.2283371639059</v>
      </c>
      <c r="AI5632">
        <v>95.170274903851194</v>
      </c>
      <c r="AJ5632">
        <v>93.557395188682605</v>
      </c>
      <c r="AK5632">
        <v>12.3019982342575</v>
      </c>
      <c r="AL5632">
        <v>90.424000111196406</v>
      </c>
      <c r="AM5632">
        <v>87.230982847244107</v>
      </c>
      <c r="AN5632">
        <v>0.999999942348201</v>
      </c>
    </row>
    <row r="5633" spans="1:40" x14ac:dyDescent="0.25">
      <c r="A5633" t="str">
        <f>"20190312154409345"</f>
        <v>20190312154409345</v>
      </c>
      <c r="B5633" t="str">
        <f>"1552376649332976"</f>
        <v>1552376649332976</v>
      </c>
      <c r="C5633" t="s">
        <v>40</v>
      </c>
      <c r="D5633">
        <v>5.2610109999999999</v>
      </c>
      <c r="E5633">
        <v>0.46092820000000001</v>
      </c>
      <c r="F5633" t="s">
        <v>43</v>
      </c>
      <c r="G5633">
        <v>-392.42669999999998</v>
      </c>
      <c r="H5633" s="1">
        <v>-4.6928710000000003E-6</v>
      </c>
      <c r="I5633">
        <v>24.76595</v>
      </c>
      <c r="J5633">
        <v>-404.27120000000002</v>
      </c>
      <c r="K5633">
        <v>1.108606</v>
      </c>
      <c r="L5633">
        <v>28.004670000000001</v>
      </c>
      <c r="M5633">
        <v>0.94688950000000005</v>
      </c>
      <c r="N5633">
        <v>0</v>
      </c>
      <c r="O5633">
        <v>-0.32155080000000003</v>
      </c>
      <c r="P5633">
        <v>0.92984089999999997</v>
      </c>
      <c r="Q5633">
        <v>-1.0405910000000001E-2</v>
      </c>
      <c r="R5633">
        <v>-0.36781560000000002</v>
      </c>
      <c r="S5633">
        <v>2.9075929999999999</v>
      </c>
      <c r="T5633">
        <v>-0.26865630000000001</v>
      </c>
      <c r="U5633">
        <v>-0.79754639999999999</v>
      </c>
      <c r="V5633">
        <v>4.9284649999999999E-2</v>
      </c>
      <c r="W5633">
        <v>-8.0400929999999999E-3</v>
      </c>
      <c r="X5633">
        <v>0.99875239999999998</v>
      </c>
      <c r="Y5633">
        <v>-5.8181009999999998E-2</v>
      </c>
      <c r="Z5633">
        <v>3.1041860000000001E-2</v>
      </c>
      <c r="AA5633">
        <v>0.99782329999999997</v>
      </c>
      <c r="AB5633">
        <v>27</v>
      </c>
      <c r="AC5633">
        <v>11.8445</v>
      </c>
      <c r="AD5633">
        <v>-1.108610692871</v>
      </c>
      <c r="AE5633">
        <v>-3.2387199999999998</v>
      </c>
      <c r="AF5633">
        <v>-0.73590214913942498</v>
      </c>
      <c r="AG5633">
        <v>-1.108610692871</v>
      </c>
      <c r="AH5633">
        <v>12.1577806351271</v>
      </c>
      <c r="AI5633">
        <v>95.200657532249906</v>
      </c>
      <c r="AJ5633">
        <v>93.463848203712402</v>
      </c>
      <c r="AK5633">
        <v>12.2303801908742</v>
      </c>
      <c r="AL5633">
        <v>90.460668364507896</v>
      </c>
      <c r="AM5633">
        <v>87.174961731877104</v>
      </c>
      <c r="AN5633">
        <v>0.99999998816341495</v>
      </c>
    </row>
    <row r="5634" spans="1:40" x14ac:dyDescent="0.25">
      <c r="A5634" t="str">
        <f>"20190312154409364"</f>
        <v>20190312154409364</v>
      </c>
      <c r="B5634" t="str">
        <f>"1552376649353470"</f>
        <v>1552376649353470</v>
      </c>
      <c r="C5634" t="s">
        <v>40</v>
      </c>
      <c r="D5634">
        <v>5.2663149999999996</v>
      </c>
      <c r="E5634">
        <v>0.46103300000000003</v>
      </c>
      <c r="F5634" t="s">
        <v>43</v>
      </c>
      <c r="G5634">
        <v>-392.37670000000003</v>
      </c>
      <c r="H5634" s="1">
        <v>-4.704431E-6</v>
      </c>
      <c r="I5634">
        <v>24.722930000000002</v>
      </c>
      <c r="J5634">
        <v>-404.06560000000002</v>
      </c>
      <c r="K5634">
        <v>1.108619</v>
      </c>
      <c r="L5634">
        <v>27.934660000000001</v>
      </c>
      <c r="M5634">
        <v>0.94684080000000004</v>
      </c>
      <c r="N5634">
        <v>0</v>
      </c>
      <c r="O5634">
        <v>-0.32169530000000002</v>
      </c>
      <c r="P5634">
        <v>0.92906730000000004</v>
      </c>
      <c r="Q5634">
        <v>-1.056991E-2</v>
      </c>
      <c r="R5634">
        <v>-0.36975970000000002</v>
      </c>
      <c r="S5634">
        <v>2.906158</v>
      </c>
      <c r="T5634">
        <v>-0.27086440000000001</v>
      </c>
      <c r="U5634">
        <v>-0.80181880000000005</v>
      </c>
      <c r="V5634">
        <v>5.1222459999999997E-2</v>
      </c>
      <c r="W5634">
        <v>-8.4524349999999995E-3</v>
      </c>
      <c r="X5634">
        <v>0.99865150000000003</v>
      </c>
      <c r="Y5634">
        <v>-5.6824449999999999E-2</v>
      </c>
      <c r="Z5634">
        <v>3.1253540000000003E-2</v>
      </c>
      <c r="AA5634">
        <v>0.99789490000000003</v>
      </c>
      <c r="AB5634">
        <v>27</v>
      </c>
      <c r="AC5634">
        <v>11.688899999999901</v>
      </c>
      <c r="AD5634">
        <v>-1.1086237044309999</v>
      </c>
      <c r="AE5634">
        <v>-3.21172999999999</v>
      </c>
      <c r="AF5634">
        <v>-0.71330282228209296</v>
      </c>
      <c r="AG5634">
        <v>-1.1086237044309999</v>
      </c>
      <c r="AH5634">
        <v>12.0003832259235</v>
      </c>
      <c r="AI5634">
        <v>95.268890726151795</v>
      </c>
      <c r="AJ5634">
        <v>93.401658958967801</v>
      </c>
      <c r="AK5634">
        <v>12.0725740835718</v>
      </c>
      <c r="AL5634">
        <v>90.4842946182454</v>
      </c>
      <c r="AM5634">
        <v>87.063779358489995</v>
      </c>
      <c r="AN5634">
        <v>1.00000000125906</v>
      </c>
    </row>
    <row r="5635" spans="1:40" x14ac:dyDescent="0.25">
      <c r="A5635" t="str">
        <f>"20190312154409379"</f>
        <v>20190312154409379</v>
      </c>
      <c r="B5635" t="str">
        <f>"1552376649372991"</f>
        <v>1552376649372991</v>
      </c>
      <c r="C5635" t="s">
        <v>40</v>
      </c>
      <c r="D5635">
        <v>5.2232479999999999</v>
      </c>
      <c r="E5635">
        <v>0.46112819999999999</v>
      </c>
      <c r="F5635" t="s">
        <v>43</v>
      </c>
      <c r="G5635">
        <v>-392.3888</v>
      </c>
      <c r="H5635" s="1">
        <v>-4.6927050000000003E-6</v>
      </c>
      <c r="I5635">
        <v>24.683039999999998</v>
      </c>
      <c r="J5635">
        <v>-403.88080000000002</v>
      </c>
      <c r="K5635">
        <v>1.108633</v>
      </c>
      <c r="L5635">
        <v>27.871729999999999</v>
      </c>
      <c r="M5635">
        <v>0.9468086</v>
      </c>
      <c r="N5635">
        <v>0</v>
      </c>
      <c r="O5635">
        <v>-0.32179190000000002</v>
      </c>
      <c r="P5635">
        <v>0.92889259999999996</v>
      </c>
      <c r="Q5635">
        <v>-1.047173E-2</v>
      </c>
      <c r="R5635">
        <v>-0.37020199999999998</v>
      </c>
      <c r="S5635">
        <v>2.9040530000000002</v>
      </c>
      <c r="T5635">
        <v>-0.27571679999999998</v>
      </c>
      <c r="U5635">
        <v>-0.80868530000000005</v>
      </c>
      <c r="V5635">
        <v>5.159648E-2</v>
      </c>
      <c r="W5635">
        <v>-8.5556569999999995E-3</v>
      </c>
      <c r="X5635">
        <v>0.99863139999999995</v>
      </c>
      <c r="Y5635">
        <v>-5.4505159999999997E-2</v>
      </c>
      <c r="Z5635">
        <v>3.172121E-2</v>
      </c>
      <c r="AA5635">
        <v>0.99800949999999999</v>
      </c>
      <c r="AB5635">
        <v>28</v>
      </c>
      <c r="AC5635">
        <v>11.492000000000001</v>
      </c>
      <c r="AD5635">
        <v>-1.1086376927049999</v>
      </c>
      <c r="AE5635">
        <v>-3.1886899999999998</v>
      </c>
      <c r="AF5635">
        <v>-0.67313782011599199</v>
      </c>
      <c r="AG5635">
        <v>-1.1086376927049999</v>
      </c>
      <c r="AH5635">
        <v>11.8048311055817</v>
      </c>
      <c r="AI5635">
        <v>95.356483097991898</v>
      </c>
      <c r="AJ5635">
        <v>93.263599068520406</v>
      </c>
      <c r="AK5635">
        <v>11.875867525779601</v>
      </c>
      <c r="AL5635">
        <v>90.490209000743207</v>
      </c>
      <c r="AM5635">
        <v>87.042317947125198</v>
      </c>
      <c r="AN5635">
        <v>1.00000003454052</v>
      </c>
    </row>
    <row r="5636" spans="1:40" x14ac:dyDescent="0.25">
      <c r="A5636" t="str">
        <f>"20190312154409397"</f>
        <v>20190312154409397</v>
      </c>
      <c r="B5636" t="str">
        <f>"1552376649393486"</f>
        <v>1552376649393486</v>
      </c>
      <c r="C5636" t="s">
        <v>40</v>
      </c>
      <c r="D5636">
        <v>5.1832640000000003</v>
      </c>
      <c r="E5636">
        <v>0.46148529999999999</v>
      </c>
      <c r="F5636" t="s">
        <v>43</v>
      </c>
      <c r="G5636">
        <v>-392.29579999999999</v>
      </c>
      <c r="H5636" s="1">
        <v>-4.7202479999999998E-6</v>
      </c>
      <c r="I5636">
        <v>24.636970000000002</v>
      </c>
      <c r="J5636">
        <v>-403.68169999999998</v>
      </c>
      <c r="K5636">
        <v>1.1086499999999999</v>
      </c>
      <c r="L5636">
        <v>27.80396</v>
      </c>
      <c r="M5636">
        <v>0.94678370000000001</v>
      </c>
      <c r="N5636">
        <v>0</v>
      </c>
      <c r="O5636">
        <v>-0.32186629999999999</v>
      </c>
      <c r="P5636">
        <v>0.92865019999999998</v>
      </c>
      <c r="Q5636">
        <v>-1.0454379999999999E-2</v>
      </c>
      <c r="R5636">
        <v>-0.37080999999999997</v>
      </c>
      <c r="S5636">
        <v>2.9034420000000001</v>
      </c>
      <c r="T5636">
        <v>-0.27784759999999997</v>
      </c>
      <c r="U5636">
        <v>-0.81069950000000002</v>
      </c>
      <c r="V5636">
        <v>5.2172530000000002E-2</v>
      </c>
      <c r="W5636">
        <v>-8.7358249999999991E-3</v>
      </c>
      <c r="X5636">
        <v>0.99859989999999998</v>
      </c>
      <c r="Y5636">
        <v>-5.3865749999999997E-2</v>
      </c>
      <c r="Z5636">
        <v>3.1944590000000002E-2</v>
      </c>
      <c r="AA5636">
        <v>0.99803710000000001</v>
      </c>
      <c r="AB5636">
        <v>28</v>
      </c>
      <c r="AC5636">
        <v>11.3858999999999</v>
      </c>
      <c r="AD5636">
        <v>-1.1086547202479999</v>
      </c>
      <c r="AE5636">
        <v>-3.16698999999999</v>
      </c>
      <c r="AF5636">
        <v>-0.66047159620475304</v>
      </c>
      <c r="AG5636">
        <v>-1.1086547202479999</v>
      </c>
      <c r="AH5636">
        <v>11.696416718303601</v>
      </c>
      <c r="AI5636">
        <v>95.406090739842995</v>
      </c>
      <c r="AJ5636">
        <v>93.231937707730097</v>
      </c>
      <c r="AK5636">
        <v>11.767391472468899</v>
      </c>
      <c r="AL5636">
        <v>90.500532257561403</v>
      </c>
      <c r="AM5636">
        <v>87.009262291050703</v>
      </c>
      <c r="AN5636">
        <v>1.00000002390252</v>
      </c>
    </row>
    <row r="5637" spans="1:40" x14ac:dyDescent="0.25">
      <c r="A5637" t="str">
        <f>"20190312154409413"</f>
        <v>20190312154409413</v>
      </c>
      <c r="B5637" t="str">
        <f>"1552376649403246"</f>
        <v>1552376649403246</v>
      </c>
      <c r="C5637" t="s">
        <v>40</v>
      </c>
      <c r="D5637">
        <v>5.2149510000000001</v>
      </c>
      <c r="E5637">
        <v>0.46157379999999998</v>
      </c>
      <c r="F5637" t="s">
        <v>43</v>
      </c>
      <c r="G5637">
        <v>-392.1071</v>
      </c>
      <c r="H5637" s="1">
        <v>-4.7776480000000003E-6</v>
      </c>
      <c r="I5637">
        <v>24.552060000000001</v>
      </c>
      <c r="J5637">
        <v>-403.47640000000001</v>
      </c>
      <c r="K5637">
        <v>1.108662</v>
      </c>
      <c r="L5637">
        <v>27.73404</v>
      </c>
      <c r="M5637">
        <v>0.94676700000000003</v>
      </c>
      <c r="N5637">
        <v>0</v>
      </c>
      <c r="O5637">
        <v>-0.32191599999999998</v>
      </c>
      <c r="P5637">
        <v>0.92861119999999997</v>
      </c>
      <c r="Q5637">
        <v>-1.0477480000000001E-2</v>
      </c>
      <c r="R5637">
        <v>-0.37090590000000001</v>
      </c>
      <c r="S5637">
        <v>2.9018549999999999</v>
      </c>
      <c r="T5637">
        <v>-0.277949</v>
      </c>
      <c r="U5637">
        <v>-0.81527709999999998</v>
      </c>
      <c r="V5637">
        <v>5.2224420000000001E-2</v>
      </c>
      <c r="W5637">
        <v>-8.9420869999999996E-3</v>
      </c>
      <c r="X5637">
        <v>0.99859540000000002</v>
      </c>
      <c r="Y5637">
        <v>-5.2321230000000003E-2</v>
      </c>
      <c r="Z5637">
        <v>3.1896380000000002E-2</v>
      </c>
      <c r="AA5637">
        <v>0.99812080000000003</v>
      </c>
      <c r="AB5637">
        <v>28</v>
      </c>
      <c r="AC5637">
        <v>11.369300000000001</v>
      </c>
      <c r="AD5637">
        <v>-1.1086667776479999</v>
      </c>
      <c r="AE5637">
        <v>-3.1819799999999998</v>
      </c>
      <c r="AF5637">
        <v>-0.64170792811510402</v>
      </c>
      <c r="AG5637">
        <v>-1.1086667776479999</v>
      </c>
      <c r="AH5637">
        <v>11.6853773851995</v>
      </c>
      <c r="AI5637">
        <v>95.411689780743501</v>
      </c>
      <c r="AJ5637">
        <v>93.143267162920793</v>
      </c>
      <c r="AK5637">
        <v>11.7553807136731</v>
      </c>
      <c r="AL5637">
        <v>90.512350641566499</v>
      </c>
      <c r="AM5637">
        <v>87.006279691163201</v>
      </c>
      <c r="AN5637">
        <v>1.0000000619327001</v>
      </c>
    </row>
    <row r="5638" spans="1:40" x14ac:dyDescent="0.25">
      <c r="A5638" t="str">
        <f>"20190312154409428"</f>
        <v>20190312154409428</v>
      </c>
      <c r="B5638" t="str">
        <f>"1552376649422768"</f>
        <v>1552376649422768</v>
      </c>
      <c r="C5638" t="s">
        <v>40</v>
      </c>
      <c r="D5638">
        <v>5.1573630000000001</v>
      </c>
      <c r="E5638">
        <v>0.46170430000000001</v>
      </c>
      <c r="F5638" t="s">
        <v>43</v>
      </c>
      <c r="G5638">
        <v>-391.83249999999998</v>
      </c>
      <c r="H5638" s="1">
        <v>-4.866419E-6</v>
      </c>
      <c r="I5638">
        <v>24.457940000000001</v>
      </c>
      <c r="J5638">
        <v>-403.29689999999999</v>
      </c>
      <c r="K5638">
        <v>1.1086720000000001</v>
      </c>
      <c r="L5638">
        <v>27.672969999999999</v>
      </c>
      <c r="M5638">
        <v>0.94675779999999998</v>
      </c>
      <c r="N5638">
        <v>0</v>
      </c>
      <c r="O5638">
        <v>-0.3219436</v>
      </c>
      <c r="P5638">
        <v>0.92900039999999995</v>
      </c>
      <c r="Q5638">
        <v>-1.064929E-2</v>
      </c>
      <c r="R5638">
        <v>-0.36992550000000002</v>
      </c>
      <c r="S5638">
        <v>2.901459</v>
      </c>
      <c r="T5638">
        <v>-0.27626030000000001</v>
      </c>
      <c r="U5638">
        <v>-0.81634519999999899</v>
      </c>
      <c r="V5638">
        <v>5.1142130000000001E-2</v>
      </c>
      <c r="W5638">
        <v>-9.2592409999999997E-3</v>
      </c>
      <c r="X5638">
        <v>0.99864850000000005</v>
      </c>
      <c r="Y5638">
        <v>-5.1993610000000003E-2</v>
      </c>
      <c r="Z5638">
        <v>3.1692730000000002E-2</v>
      </c>
      <c r="AA5638">
        <v>0.99814440000000004</v>
      </c>
      <c r="AB5638">
        <v>28</v>
      </c>
      <c r="AC5638">
        <v>11.464399999999999</v>
      </c>
      <c r="AD5638">
        <v>-1.1086768664190001</v>
      </c>
      <c r="AE5638">
        <v>-3.2150299999999898</v>
      </c>
      <c r="AF5638">
        <v>-0.64147441024376795</v>
      </c>
      <c r="AG5638">
        <v>-1.1086768664190001</v>
      </c>
      <c r="AH5638">
        <v>11.7868856242699</v>
      </c>
      <c r="AI5638">
        <v>95.365549451172399</v>
      </c>
      <c r="AJ5638">
        <v>93.115119269955002</v>
      </c>
      <c r="AK5638">
        <v>11.8562779375633</v>
      </c>
      <c r="AL5638">
        <v>90.530522991008098</v>
      </c>
      <c r="AM5638">
        <v>87.068367277779799</v>
      </c>
      <c r="AN5638">
        <v>1.0000000387785399</v>
      </c>
    </row>
    <row r="5639" spans="1:40" x14ac:dyDescent="0.25">
      <c r="A5639" t="str">
        <f>"20190312154409438"</f>
        <v>20190312154409438</v>
      </c>
      <c r="B5639" t="str">
        <f>"1552376649433503"</f>
        <v>1552376649433503</v>
      </c>
      <c r="C5639" t="s">
        <v>40</v>
      </c>
      <c r="D5639">
        <v>5.1910740000000004</v>
      </c>
      <c r="E5639">
        <v>0.4618042</v>
      </c>
      <c r="F5639" t="s">
        <v>41</v>
      </c>
      <c r="G5639">
        <v>-402.34879999999998</v>
      </c>
      <c r="H5639">
        <v>1.018365</v>
      </c>
      <c r="I5639">
        <v>27.406569999999999</v>
      </c>
      <c r="J5639">
        <v>-403.1696</v>
      </c>
      <c r="K5639">
        <v>1.1086750000000001</v>
      </c>
      <c r="L5639">
        <v>27.629639999999998</v>
      </c>
      <c r="M5639">
        <v>0.94675489999999995</v>
      </c>
      <c r="N5639">
        <v>0</v>
      </c>
      <c r="O5639">
        <v>-0.32195259999999998</v>
      </c>
      <c r="P5639">
        <v>0.92926160000000002</v>
      </c>
      <c r="Q5639">
        <v>-1.085641E-2</v>
      </c>
      <c r="R5639">
        <v>-0.36926300000000001</v>
      </c>
      <c r="S5639">
        <v>2.9019170000000001</v>
      </c>
      <c r="T5639">
        <v>-0.27642060000000002</v>
      </c>
      <c r="U5639">
        <v>-0.81420899999999996</v>
      </c>
      <c r="V5639">
        <v>5.0421710000000002E-2</v>
      </c>
      <c r="W5639">
        <v>-9.5566609999999993E-3</v>
      </c>
      <c r="X5639">
        <v>0.99868230000000002</v>
      </c>
      <c r="Y5639">
        <v>-5.2720459999999997E-2</v>
      </c>
      <c r="Z5639">
        <v>3.1744849999999998E-2</v>
      </c>
      <c r="AA5639">
        <v>0.99810460000000001</v>
      </c>
      <c r="AB5639">
        <v>28</v>
      </c>
      <c r="AC5639">
        <v>0.82080000000001896</v>
      </c>
      <c r="AD5639">
        <v>-9.0310000000000099E-2</v>
      </c>
      <c r="AE5639">
        <v>-0.22306999999999899</v>
      </c>
      <c r="AF5639">
        <v>-5.2474563898146899E-2</v>
      </c>
      <c r="AG5639">
        <v>-9.0310000000000099E-2</v>
      </c>
      <c r="AH5639">
        <v>0.83945174669714695</v>
      </c>
      <c r="AI5639">
        <v>96.128513960679797</v>
      </c>
      <c r="AJ5639">
        <v>93.576934692292596</v>
      </c>
      <c r="AK5639">
        <v>0.84592476674299499</v>
      </c>
      <c r="AL5639">
        <v>90.547564672487894</v>
      </c>
      <c r="AM5639">
        <v>87.109691219218305</v>
      </c>
      <c r="AN5639">
        <v>1.00000000747104</v>
      </c>
    </row>
    <row r="5640" spans="1:40" x14ac:dyDescent="0.25">
      <c r="A5640" t="str">
        <f>"20190312154409450"</f>
        <v>20190312154409450</v>
      </c>
      <c r="B5640" t="str">
        <f>"1552376649443263"</f>
        <v>1552376649443263</v>
      </c>
      <c r="C5640" t="s">
        <v>40</v>
      </c>
      <c r="D5640">
        <v>5.1977440000000001</v>
      </c>
      <c r="E5640">
        <v>0.46185320000000002</v>
      </c>
      <c r="F5640" t="s">
        <v>43</v>
      </c>
      <c r="G5640">
        <v>-391.524</v>
      </c>
      <c r="H5640" s="1">
        <v>-4.9687660000000001E-6</v>
      </c>
      <c r="I5640">
        <v>24.367260000000002</v>
      </c>
      <c r="J5640">
        <v>-403.02719999999999</v>
      </c>
      <c r="K5640">
        <v>1.1086689999999999</v>
      </c>
      <c r="L5640">
        <v>27.581209999999999</v>
      </c>
      <c r="M5640">
        <v>0.94675220000000004</v>
      </c>
      <c r="N5640">
        <v>0</v>
      </c>
      <c r="O5640">
        <v>-0.32196130000000001</v>
      </c>
      <c r="P5640">
        <v>0.92953649999999999</v>
      </c>
      <c r="Q5640">
        <v>-1.090853E-2</v>
      </c>
      <c r="R5640">
        <v>-0.36856889999999998</v>
      </c>
      <c r="S5640">
        <v>2.902069</v>
      </c>
      <c r="T5640">
        <v>-0.27628399999999997</v>
      </c>
      <c r="U5640">
        <v>-0.8129883</v>
      </c>
      <c r="V5640">
        <v>4.9667349999999999E-2</v>
      </c>
      <c r="W5640">
        <v>-9.7070999999999998E-3</v>
      </c>
      <c r="X5640">
        <v>0.99871860000000001</v>
      </c>
      <c r="Y5640">
        <v>-5.3132029999999997E-2</v>
      </c>
      <c r="Z5640">
        <v>3.1749779999999998E-2</v>
      </c>
      <c r="AA5640">
        <v>0.99808260000000004</v>
      </c>
      <c r="AB5640">
        <v>28</v>
      </c>
      <c r="AC5640">
        <v>11.5031999999999</v>
      </c>
      <c r="AD5640">
        <v>-1.1086739687659899</v>
      </c>
      <c r="AE5640">
        <v>-3.2139499999999899</v>
      </c>
      <c r="AF5640">
        <v>-0.65512654592432196</v>
      </c>
      <c r="AG5640">
        <v>-1.1086739687659899</v>
      </c>
      <c r="AH5640">
        <v>11.8235777064777</v>
      </c>
      <c r="AI5640">
        <v>95.348694375735704</v>
      </c>
      <c r="AJ5640">
        <v>93.171429543747905</v>
      </c>
      <c r="AK5640">
        <v>11.893499844087501</v>
      </c>
      <c r="AL5640">
        <v>90.556184619737195</v>
      </c>
      <c r="AM5640">
        <v>87.152964799709196</v>
      </c>
      <c r="AN5640">
        <v>0.99999995771619499</v>
      </c>
    </row>
    <row r="5641" spans="1:40" x14ac:dyDescent="0.25">
      <c r="A5641" t="str">
        <f>"20190312154409462"</f>
        <v>20190312154409462</v>
      </c>
      <c r="B5641" t="str">
        <f>"1552376649453022"</f>
        <v>1552376649453022</v>
      </c>
      <c r="C5641" t="s">
        <v>40</v>
      </c>
      <c r="D5641">
        <v>5.2029839999999998</v>
      </c>
      <c r="E5641">
        <v>0.46186349999999998</v>
      </c>
      <c r="F5641" t="s">
        <v>43</v>
      </c>
      <c r="G5641">
        <v>-391.36279999999999</v>
      </c>
      <c r="H5641" s="1">
        <v>-5.0225270000000003E-6</v>
      </c>
      <c r="I5641">
        <v>24.32124</v>
      </c>
      <c r="J5641">
        <v>-402.87849999999997</v>
      </c>
      <c r="K5641">
        <v>1.1086659999999999</v>
      </c>
      <c r="L5641">
        <v>27.530609999999999</v>
      </c>
      <c r="M5641">
        <v>0.94675140000000002</v>
      </c>
      <c r="N5641">
        <v>0</v>
      </c>
      <c r="O5641">
        <v>-0.32196390000000003</v>
      </c>
      <c r="P5641">
        <v>0.92999169999999998</v>
      </c>
      <c r="Q5641">
        <v>-1.080413E-2</v>
      </c>
      <c r="R5641">
        <v>-0.36742190000000002</v>
      </c>
      <c r="S5641">
        <v>2.9024960000000002</v>
      </c>
      <c r="T5641">
        <v>-0.27587499999999998</v>
      </c>
      <c r="U5641">
        <v>-0.81118769999999996</v>
      </c>
      <c r="V5641">
        <v>4.8432419999999997E-2</v>
      </c>
      <c r="W5641">
        <v>-9.6943680000000001E-3</v>
      </c>
      <c r="X5641">
        <v>0.99877939999999998</v>
      </c>
      <c r="Y5641">
        <v>-5.3749169999999999E-2</v>
      </c>
      <c r="Z5641">
        <v>3.1730750000000002E-2</v>
      </c>
      <c r="AA5641">
        <v>0.9980502</v>
      </c>
      <c r="AB5641">
        <v>29</v>
      </c>
      <c r="AC5641">
        <v>11.515699999999899</v>
      </c>
      <c r="AD5641">
        <v>-1.108671022527</v>
      </c>
      <c r="AE5641">
        <v>-3.2093699999999998</v>
      </c>
      <c r="AF5641">
        <v>-0.66345822141961697</v>
      </c>
      <c r="AG5641">
        <v>-1.108671022527</v>
      </c>
      <c r="AH5641">
        <v>11.8340304971005</v>
      </c>
      <c r="AI5641">
        <v>95.3437898230233</v>
      </c>
      <c r="AJ5641">
        <v>93.208847906698793</v>
      </c>
      <c r="AK5641">
        <v>11.9043523996085</v>
      </c>
      <c r="AL5641">
        <v>90.555455080375694</v>
      </c>
      <c r="AM5641">
        <v>87.223810118924604</v>
      </c>
      <c r="AN5641">
        <v>0.99999998497116704</v>
      </c>
    </row>
    <row r="5642" spans="1:40" x14ac:dyDescent="0.25">
      <c r="A5642" t="str">
        <f>"20190312154409474"</f>
        <v>20190312154409474</v>
      </c>
      <c r="B5642" t="str">
        <f>"1552376649462783"</f>
        <v>1552376649462783</v>
      </c>
      <c r="C5642" t="s">
        <v>40</v>
      </c>
      <c r="D5642">
        <v>5.2275070000000001</v>
      </c>
      <c r="E5642">
        <v>0.46186860000000002</v>
      </c>
      <c r="F5642" t="s">
        <v>43</v>
      </c>
      <c r="G5642">
        <v>-391.166</v>
      </c>
      <c r="H5642" s="1">
        <v>-5.0894510000000003E-6</v>
      </c>
      <c r="I5642">
        <v>24.27243</v>
      </c>
      <c r="J5642">
        <v>-402.73950000000002</v>
      </c>
      <c r="K5642">
        <v>1.108663</v>
      </c>
      <c r="L5642">
        <v>27.483339999999998</v>
      </c>
      <c r="M5642">
        <v>0.94675129999999996</v>
      </c>
      <c r="N5642">
        <v>0</v>
      </c>
      <c r="O5642">
        <v>-0.32196429999999998</v>
      </c>
      <c r="P5642">
        <v>0.93029189999999995</v>
      </c>
      <c r="Q5642">
        <v>-1.081287E-2</v>
      </c>
      <c r="R5642">
        <v>-0.36666070000000001</v>
      </c>
      <c r="S5642">
        <v>2.9035639999999998</v>
      </c>
      <c r="T5642">
        <v>-0.27484150000000002</v>
      </c>
      <c r="U5642">
        <v>-0.80770869999999995</v>
      </c>
      <c r="V5642">
        <v>4.7614919999999998E-2</v>
      </c>
      <c r="W5642">
        <v>-9.7827230000000001E-3</v>
      </c>
      <c r="X5642">
        <v>0.99881790000000004</v>
      </c>
      <c r="Y5642">
        <v>-5.4960990000000001E-2</v>
      </c>
      <c r="Z5642">
        <v>3.1663789999999997E-2</v>
      </c>
      <c r="AA5642">
        <v>0.99798629999999999</v>
      </c>
      <c r="AB5642">
        <v>29</v>
      </c>
      <c r="AC5642">
        <v>11.573499999999999</v>
      </c>
      <c r="AD5642">
        <v>-1.1086680894509999</v>
      </c>
      <c r="AE5642">
        <v>-3.2109100000000002</v>
      </c>
      <c r="AF5642">
        <v>-0.68052248748426702</v>
      </c>
      <c r="AG5642">
        <v>-1.1086680894509999</v>
      </c>
      <c r="AH5642">
        <v>11.889722893948401</v>
      </c>
      <c r="AI5642">
        <v>95.318538833673898</v>
      </c>
      <c r="AJ5642">
        <v>93.275818303762193</v>
      </c>
      <c r="AK5642">
        <v>11.9606758288744</v>
      </c>
      <c r="AL5642">
        <v>90.5605176583814</v>
      </c>
      <c r="AM5642">
        <v>87.270703534598695</v>
      </c>
      <c r="AN5642">
        <v>1.0000000398181501</v>
      </c>
    </row>
    <row r="5643" spans="1:40" x14ac:dyDescent="0.25">
      <c r="A5643" t="str">
        <f>"20190312154409486"</f>
        <v>20190312154409486</v>
      </c>
      <c r="B5643" t="str">
        <f>"1552376649473518"</f>
        <v>1552376649473518</v>
      </c>
      <c r="C5643" t="s">
        <v>40</v>
      </c>
      <c r="D5643">
        <v>5.1893219999999998</v>
      </c>
      <c r="E5643">
        <v>0.46189089999999999</v>
      </c>
      <c r="F5643" t="s">
        <v>43</v>
      </c>
      <c r="G5643">
        <v>-390.99790000000002</v>
      </c>
      <c r="H5643" s="1">
        <v>-5.1459470000000004E-6</v>
      </c>
      <c r="I5643">
        <v>24.227039999999999</v>
      </c>
      <c r="J5643">
        <v>-402.58190000000002</v>
      </c>
      <c r="K5643">
        <v>1.108657</v>
      </c>
      <c r="L5643">
        <v>27.429780000000001</v>
      </c>
      <c r="M5643">
        <v>0.94675200000000004</v>
      </c>
      <c r="N5643">
        <v>0</v>
      </c>
      <c r="O5643">
        <v>-0.3219629</v>
      </c>
      <c r="P5643">
        <v>0.93068790000000001</v>
      </c>
      <c r="Q5643">
        <v>-1.103346E-2</v>
      </c>
      <c r="R5643">
        <v>-0.36564839999999998</v>
      </c>
      <c r="S5643">
        <v>2.9042050000000001</v>
      </c>
      <c r="T5643">
        <v>-0.27422069999999998</v>
      </c>
      <c r="U5643">
        <v>-0.80541989999999997</v>
      </c>
      <c r="V5643">
        <v>4.653057E-2</v>
      </c>
      <c r="W5643">
        <v>-1.008738E-2</v>
      </c>
      <c r="X5643">
        <v>0.99886600000000003</v>
      </c>
      <c r="Y5643">
        <v>-5.5750309999999997E-2</v>
      </c>
      <c r="Z5643">
        <v>3.1626429999999997E-2</v>
      </c>
      <c r="AA5643">
        <v>0.99794369999999999</v>
      </c>
      <c r="AB5643">
        <v>29</v>
      </c>
      <c r="AC5643">
        <v>11.584</v>
      </c>
      <c r="AD5643">
        <v>-1.1086621459469901</v>
      </c>
      <c r="AE5643">
        <v>-3.2027399999999902</v>
      </c>
      <c r="AF5643">
        <v>-0.69153349284327803</v>
      </c>
      <c r="AG5643">
        <v>-1.1086621459469901</v>
      </c>
      <c r="AH5643">
        <v>11.897106460821499</v>
      </c>
      <c r="AI5643">
        <v>95.314958234449904</v>
      </c>
      <c r="AJ5643">
        <v>93.326642318239394</v>
      </c>
      <c r="AK5643">
        <v>11.9686462252712</v>
      </c>
      <c r="AL5643">
        <v>90.577974063555203</v>
      </c>
      <c r="AM5643">
        <v>87.332896139759299</v>
      </c>
      <c r="AN5643">
        <v>1.0000000675678899</v>
      </c>
    </row>
    <row r="5644" spans="1:40" x14ac:dyDescent="0.25">
      <c r="A5644" t="str">
        <f>"20190312154409498"</f>
        <v>20190312154409498</v>
      </c>
      <c r="B5644" t="str">
        <f>"1552376649493039"</f>
        <v>1552376649493039</v>
      </c>
      <c r="C5644" t="s">
        <v>40</v>
      </c>
      <c r="D5644">
        <v>5.225015</v>
      </c>
      <c r="E5644">
        <v>0.46200570000000002</v>
      </c>
      <c r="F5644" t="s">
        <v>43</v>
      </c>
      <c r="G5644">
        <v>-390.86970000000002</v>
      </c>
      <c r="H5644" s="1">
        <v>-5.1892780000000003E-6</v>
      </c>
      <c r="I5644">
        <v>24.1938</v>
      </c>
      <c r="J5644">
        <v>-402.43119999999999</v>
      </c>
      <c r="K5644">
        <v>1.108652</v>
      </c>
      <c r="L5644">
        <v>27.37848</v>
      </c>
      <c r="M5644">
        <v>0.94675279999999995</v>
      </c>
      <c r="N5644">
        <v>0</v>
      </c>
      <c r="O5644">
        <v>-0.32195980000000002</v>
      </c>
      <c r="P5644">
        <v>0.93107490000000004</v>
      </c>
      <c r="Q5644">
        <v>-1.108688E-2</v>
      </c>
      <c r="R5644">
        <v>-0.36465969999999998</v>
      </c>
      <c r="S5644">
        <v>2.904846</v>
      </c>
      <c r="T5644">
        <v>-0.27496809999999899</v>
      </c>
      <c r="U5644">
        <v>-0.80258180000000001</v>
      </c>
      <c r="V5644">
        <v>4.5473359999999997E-2</v>
      </c>
      <c r="W5644">
        <v>-1.021095E-2</v>
      </c>
      <c r="X5644">
        <v>0.9989133</v>
      </c>
      <c r="Y5644">
        <v>-5.6697600000000001E-2</v>
      </c>
      <c r="Z5644">
        <v>3.1754350000000001E-2</v>
      </c>
      <c r="AA5644">
        <v>0.9978863</v>
      </c>
      <c r="AB5644">
        <v>29</v>
      </c>
      <c r="AC5644">
        <v>11.561499999999899</v>
      </c>
      <c r="AD5644">
        <v>-1.1086571892779999</v>
      </c>
      <c r="AE5644">
        <v>-3.18467999999999</v>
      </c>
      <c r="AF5644">
        <v>-0.70124051283013</v>
      </c>
      <c r="AG5644">
        <v>-1.1086571892779999</v>
      </c>
      <c r="AH5644">
        <v>11.869778810612001</v>
      </c>
      <c r="AI5644">
        <v>95.326806455860904</v>
      </c>
      <c r="AJ5644">
        <v>93.380979294802898</v>
      </c>
      <c r="AK5644">
        <v>11.942047899461199</v>
      </c>
      <c r="AL5644">
        <v>90.585054544528404</v>
      </c>
      <c r="AM5644">
        <v>87.393533479674801</v>
      </c>
      <c r="AN5644">
        <v>0.99999993544323895</v>
      </c>
    </row>
    <row r="5645" spans="1:40" x14ac:dyDescent="0.25">
      <c r="A5645" t="str">
        <f>"20190312154409511"</f>
        <v>20190312154409511</v>
      </c>
      <c r="B5645" t="str">
        <f>"1552376649502799"</f>
        <v>1552376649502799</v>
      </c>
      <c r="C5645" t="s">
        <v>40</v>
      </c>
      <c r="D5645">
        <v>5.2201149999999998</v>
      </c>
      <c r="E5645">
        <v>0.46206540000000002</v>
      </c>
      <c r="F5645" t="s">
        <v>43</v>
      </c>
      <c r="G5645">
        <v>-390.72239999999999</v>
      </c>
      <c r="H5645" s="1">
        <v>-5.2385119999999901E-6</v>
      </c>
      <c r="I5645">
        <v>24.152419999999999</v>
      </c>
      <c r="J5645">
        <v>-402.27629999999999</v>
      </c>
      <c r="K5645">
        <v>1.108644</v>
      </c>
      <c r="L5645">
        <v>27.325839999999999</v>
      </c>
      <c r="M5645">
        <v>0.94675399999999998</v>
      </c>
      <c r="N5645">
        <v>0</v>
      </c>
      <c r="O5645">
        <v>-0.32195659999999998</v>
      </c>
      <c r="P5645">
        <v>0.93140469999999997</v>
      </c>
      <c r="Q5645">
        <v>-1.1029860000000001E-2</v>
      </c>
      <c r="R5645">
        <v>-0.36381799999999997</v>
      </c>
      <c r="S5645">
        <v>2.9052730000000002</v>
      </c>
      <c r="T5645">
        <v>-0.27508880000000002</v>
      </c>
      <c r="U5645">
        <v>-0.80047609999999902</v>
      </c>
      <c r="V5645">
        <v>4.4573849999999998E-2</v>
      </c>
      <c r="W5645">
        <v>-1.0221900000000001E-2</v>
      </c>
      <c r="X5645">
        <v>0.9989538</v>
      </c>
      <c r="Y5645">
        <v>-5.7399869999999999E-2</v>
      </c>
      <c r="Z5645">
        <v>3.1799859999999999E-2</v>
      </c>
      <c r="AA5645">
        <v>0.99784470000000003</v>
      </c>
      <c r="AB5645">
        <v>29</v>
      </c>
      <c r="AC5645">
        <v>11.553900000000001</v>
      </c>
      <c r="AD5645">
        <v>-1.1086492385119999</v>
      </c>
      <c r="AE5645">
        <v>-3.1734200000000001</v>
      </c>
      <c r="AF5645">
        <v>-0.70933367717324303</v>
      </c>
      <c r="AG5645">
        <v>-1.1086492385119999</v>
      </c>
      <c r="AH5645">
        <v>11.858880688692199</v>
      </c>
      <c r="AI5645">
        <v>95.331404151635596</v>
      </c>
      <c r="AJ5645">
        <v>93.423043171723194</v>
      </c>
      <c r="AK5645">
        <v>11.9316934501462</v>
      </c>
      <c r="AL5645">
        <v>90.585681925395306</v>
      </c>
      <c r="AM5645">
        <v>87.445126514892095</v>
      </c>
      <c r="AN5645">
        <v>1.0000000049389299</v>
      </c>
    </row>
    <row r="5646" spans="1:40" x14ac:dyDescent="0.25">
      <c r="A5646" t="str">
        <f>"20190312154409528"</f>
        <v>20190312154409528</v>
      </c>
      <c r="B5646" t="str">
        <f>"1552376649523295"</f>
        <v>1552376649523295</v>
      </c>
      <c r="C5646" t="s">
        <v>40</v>
      </c>
      <c r="D5646">
        <v>5.2737749999999997</v>
      </c>
      <c r="E5646">
        <v>0.46210800000000002</v>
      </c>
      <c r="F5646" t="s">
        <v>43</v>
      </c>
      <c r="G5646">
        <v>-390.57</v>
      </c>
      <c r="H5646" s="1">
        <v>-5.2892909999999999E-6</v>
      </c>
      <c r="I5646">
        <v>24.10887</v>
      </c>
      <c r="J5646">
        <v>-402.07409999999999</v>
      </c>
      <c r="K5646">
        <v>1.108636</v>
      </c>
      <c r="L5646">
        <v>27.25705</v>
      </c>
      <c r="M5646">
        <v>0.94675560000000003</v>
      </c>
      <c r="N5646">
        <v>0</v>
      </c>
      <c r="O5646">
        <v>-0.32195269999999998</v>
      </c>
      <c r="P5646">
        <v>0.9319096</v>
      </c>
      <c r="Q5646">
        <v>-1.1138489999999999E-2</v>
      </c>
      <c r="R5646">
        <v>-0.36251990000000001</v>
      </c>
      <c r="S5646">
        <v>2.9057620000000002</v>
      </c>
      <c r="T5646">
        <v>-0.27519110000000002</v>
      </c>
      <c r="U5646">
        <v>-0.79852290000000004</v>
      </c>
      <c r="V5646">
        <v>4.3186599999999999E-2</v>
      </c>
      <c r="W5646">
        <v>-1.040985E-2</v>
      </c>
      <c r="X5646">
        <v>0.99901280000000003</v>
      </c>
      <c r="Y5646">
        <v>-5.8058440000000003E-2</v>
      </c>
      <c r="Z5646">
        <v>3.1840239999999999E-2</v>
      </c>
      <c r="AA5646">
        <v>0.99780530000000001</v>
      </c>
      <c r="AB5646">
        <v>29</v>
      </c>
      <c r="AC5646">
        <v>11.5040999999999</v>
      </c>
      <c r="AD5646">
        <v>-1.108641289291</v>
      </c>
      <c r="AE5646">
        <v>-3.14818</v>
      </c>
      <c r="AF5646">
        <v>-0.71702403329181597</v>
      </c>
      <c r="AG5646">
        <v>-1.108641289291</v>
      </c>
      <c r="AH5646">
        <v>11.8031586636274</v>
      </c>
      <c r="AI5646">
        <v>95.356090452656204</v>
      </c>
      <c r="AJ5646">
        <v>93.476359768703503</v>
      </c>
      <c r="AK5646">
        <v>11.8767741163753</v>
      </c>
      <c r="AL5646">
        <v>90.596451236549797</v>
      </c>
      <c r="AM5646">
        <v>87.524686100541004</v>
      </c>
      <c r="AN5646">
        <v>1.0000000109802101</v>
      </c>
    </row>
    <row r="5647" spans="1:40" x14ac:dyDescent="0.25">
      <c r="A5647" t="str">
        <f>"20190312154409538"</f>
        <v>20190312154409538</v>
      </c>
      <c r="B5647" t="str">
        <f>"1552376649533054"</f>
        <v>1552376649533054</v>
      </c>
      <c r="C5647" t="s">
        <v>40</v>
      </c>
      <c r="D5647">
        <v>5.2612809999999897</v>
      </c>
      <c r="E5647">
        <v>0.46212999999999999</v>
      </c>
      <c r="F5647" t="s">
        <v>43</v>
      </c>
      <c r="G5647">
        <v>-390.40109999999999</v>
      </c>
      <c r="H5647" s="1">
        <v>-5.3463099999999998E-6</v>
      </c>
      <c r="I5647">
        <v>24.064540000000001</v>
      </c>
      <c r="J5647">
        <v>-401.93450000000001</v>
      </c>
      <c r="K5647">
        <v>1.108627</v>
      </c>
      <c r="L5647">
        <v>27.209589999999999</v>
      </c>
      <c r="M5647">
        <v>0.9467563</v>
      </c>
      <c r="N5647">
        <v>0</v>
      </c>
      <c r="O5647">
        <v>-0.32195049999999997</v>
      </c>
      <c r="P5647">
        <v>0.93204589999999998</v>
      </c>
      <c r="Q5647">
        <v>-1.148243E-2</v>
      </c>
      <c r="R5647">
        <v>-0.3621586</v>
      </c>
      <c r="S5647">
        <v>2.906647</v>
      </c>
      <c r="T5647">
        <v>-0.27605800000000003</v>
      </c>
      <c r="U5647">
        <v>-0.7949524</v>
      </c>
      <c r="V5647">
        <v>4.2802840000000002E-2</v>
      </c>
      <c r="W5647">
        <v>-1.080009E-2</v>
      </c>
      <c r="X5647">
        <v>0.99902519999999995</v>
      </c>
      <c r="Y5647">
        <v>-5.925971E-2</v>
      </c>
      <c r="Z5647">
        <v>3.1992979999999997E-2</v>
      </c>
      <c r="AA5647">
        <v>0.9977298</v>
      </c>
      <c r="AB5647">
        <v>29</v>
      </c>
      <c r="AC5647">
        <v>11.5334</v>
      </c>
      <c r="AD5647">
        <v>-1.1086323463100001</v>
      </c>
      <c r="AE5647">
        <v>-3.1450499999999999</v>
      </c>
      <c r="AF5647">
        <v>-0.72931584657705195</v>
      </c>
      <c r="AG5647">
        <v>-1.1086323463100001</v>
      </c>
      <c r="AH5647">
        <v>11.8301298858048</v>
      </c>
      <c r="AI5647">
        <v>95.343615447938504</v>
      </c>
      <c r="AJ5647">
        <v>93.527763644115197</v>
      </c>
      <c r="AK5647">
        <v>11.9043244410745</v>
      </c>
      <c r="AL5647">
        <v>90.618811582360706</v>
      </c>
      <c r="AM5647">
        <v>87.546685379651706</v>
      </c>
      <c r="AN5647">
        <v>1.00000003764555</v>
      </c>
    </row>
    <row r="5648" spans="1:40" x14ac:dyDescent="0.25">
      <c r="A5648" t="str">
        <f>"20190312154409551"</f>
        <v>20190312154409551</v>
      </c>
      <c r="B5648" t="str">
        <f>"1552376649542815"</f>
        <v>1552376649542815</v>
      </c>
      <c r="C5648" t="s">
        <v>40</v>
      </c>
      <c r="D5648">
        <v>5.2573919999999896</v>
      </c>
      <c r="E5648">
        <v>0.4621635</v>
      </c>
      <c r="F5648" t="s">
        <v>43</v>
      </c>
      <c r="G5648">
        <v>-390.32940000000002</v>
      </c>
      <c r="H5648" s="1">
        <v>-5.3694130000000004E-6</v>
      </c>
      <c r="I5648">
        <v>24.039570000000001</v>
      </c>
      <c r="J5648">
        <v>-401.78629999999998</v>
      </c>
      <c r="K5648">
        <v>1.1086210000000001</v>
      </c>
      <c r="L5648">
        <v>27.159210000000002</v>
      </c>
      <c r="M5648">
        <v>0.94675699999999996</v>
      </c>
      <c r="N5648">
        <v>0</v>
      </c>
      <c r="O5648">
        <v>-0.32194840000000002</v>
      </c>
      <c r="P5648">
        <v>0.93225239999999998</v>
      </c>
      <c r="Q5648">
        <v>-1.174801E-2</v>
      </c>
      <c r="R5648">
        <v>-0.3616181</v>
      </c>
      <c r="S5648">
        <v>2.9067690000000002</v>
      </c>
      <c r="T5648">
        <v>-0.27768229999999999</v>
      </c>
      <c r="U5648">
        <v>-0.79400630000000005</v>
      </c>
      <c r="V5648">
        <v>4.2226920000000001E-2</v>
      </c>
      <c r="W5648">
        <v>-1.1112769999999999E-2</v>
      </c>
      <c r="X5648">
        <v>0.99904630000000005</v>
      </c>
      <c r="Y5648">
        <v>-5.9551029999999998E-2</v>
      </c>
      <c r="Z5648">
        <v>3.219429E-2</v>
      </c>
      <c r="AA5648">
        <v>0.99770599999999998</v>
      </c>
      <c r="AB5648">
        <v>29</v>
      </c>
      <c r="AC5648">
        <v>11.4568999999999</v>
      </c>
      <c r="AD5648">
        <v>-1.1086263694130001</v>
      </c>
      <c r="AE5648">
        <v>-3.1196399999999902</v>
      </c>
      <c r="AF5648">
        <v>-0.72863813082444595</v>
      </c>
      <c r="AG5648">
        <v>-1.1086263694130001</v>
      </c>
      <c r="AH5648">
        <v>11.7488495121565</v>
      </c>
      <c r="AI5648">
        <v>95.380216858512298</v>
      </c>
      <c r="AJ5648">
        <v>93.548814638754493</v>
      </c>
      <c r="AK5648">
        <v>11.823511780006299</v>
      </c>
      <c r="AL5648">
        <v>90.636727888544897</v>
      </c>
      <c r="AM5648">
        <v>87.579706708322107</v>
      </c>
      <c r="AN5648">
        <v>1.0000000579867201</v>
      </c>
    </row>
    <row r="5649" spans="1:40" x14ac:dyDescent="0.25">
      <c r="A5649" t="str">
        <f>"20190312154409564"</f>
        <v>20190312154409564</v>
      </c>
      <c r="B5649" t="str">
        <f>"1552376649553550"</f>
        <v>1552376649553550</v>
      </c>
      <c r="C5649" t="s">
        <v>40</v>
      </c>
      <c r="D5649">
        <v>5.2945580000000003</v>
      </c>
      <c r="E5649">
        <v>0.46220040000000001</v>
      </c>
      <c r="F5649" t="s">
        <v>43</v>
      </c>
      <c r="G5649">
        <v>-390.2312</v>
      </c>
      <c r="H5649" s="1">
        <v>-5.4015650000000002E-6</v>
      </c>
      <c r="I5649">
        <v>24.008379999999999</v>
      </c>
      <c r="J5649">
        <v>-401.61450000000002</v>
      </c>
      <c r="K5649">
        <v>1.108611</v>
      </c>
      <c r="L5649">
        <v>27.100770000000001</v>
      </c>
      <c r="M5649">
        <v>0.94675759999999998</v>
      </c>
      <c r="N5649">
        <v>0</v>
      </c>
      <c r="O5649">
        <v>-0.32194679999999998</v>
      </c>
      <c r="P5649">
        <v>0.93249230000000005</v>
      </c>
      <c r="Q5649">
        <v>-1.1895050000000001E-2</v>
      </c>
      <c r="R5649">
        <v>-0.3609945</v>
      </c>
      <c r="S5649">
        <v>2.9070429999999998</v>
      </c>
      <c r="T5649">
        <v>-0.27891080000000001</v>
      </c>
      <c r="U5649">
        <v>-0.79269409999999996</v>
      </c>
      <c r="V5649">
        <v>4.1560819999999998E-2</v>
      </c>
      <c r="W5649">
        <v>-1.130754E-2</v>
      </c>
      <c r="X5649">
        <v>0.99907199999999996</v>
      </c>
      <c r="Y5649">
        <v>-5.9977059999999999E-2</v>
      </c>
      <c r="Z5649">
        <v>3.2355450000000001E-2</v>
      </c>
      <c r="AA5649">
        <v>0.99767519999999998</v>
      </c>
      <c r="AB5649">
        <v>30</v>
      </c>
      <c r="AC5649">
        <v>11.3833</v>
      </c>
      <c r="AD5649">
        <v>-1.108616401565</v>
      </c>
      <c r="AE5649">
        <v>-3.09239</v>
      </c>
      <c r="AF5649">
        <v>-0.73061989642718606</v>
      </c>
      <c r="AG5649">
        <v>-1.108616401565</v>
      </c>
      <c r="AH5649">
        <v>11.669735088834599</v>
      </c>
      <c r="AI5649">
        <v>95.416229902882094</v>
      </c>
      <c r="AJ5649">
        <v>93.582503687301298</v>
      </c>
      <c r="AK5649">
        <v>11.7450224692187</v>
      </c>
      <c r="AL5649">
        <v>90.647888118139406</v>
      </c>
      <c r="AM5649">
        <v>87.617902009008006</v>
      </c>
      <c r="AN5649">
        <v>1.0000000117019601</v>
      </c>
    </row>
    <row r="5650" spans="1:40" x14ac:dyDescent="0.25">
      <c r="A5650" t="str">
        <f>"20190312154409577"</f>
        <v>20190312154409577</v>
      </c>
      <c r="B5650" t="str">
        <f>"1552376649573072"</f>
        <v>1552376649573072</v>
      </c>
      <c r="C5650" t="s">
        <v>40</v>
      </c>
      <c r="D5650">
        <v>5.2804200000000003</v>
      </c>
      <c r="E5650">
        <v>0.46230159999999998</v>
      </c>
      <c r="F5650" t="s">
        <v>43</v>
      </c>
      <c r="G5650">
        <v>-390.11579999999998</v>
      </c>
      <c r="H5650" s="1">
        <v>-5.4394620000000004E-6</v>
      </c>
      <c r="I5650">
        <v>23.972200000000001</v>
      </c>
      <c r="J5650">
        <v>-401.45339999999999</v>
      </c>
      <c r="K5650">
        <v>1.1086</v>
      </c>
      <c r="L5650">
        <v>27.04599</v>
      </c>
      <c r="M5650">
        <v>0.94675799999999999</v>
      </c>
      <c r="N5650">
        <v>0</v>
      </c>
      <c r="O5650">
        <v>-0.32194610000000001</v>
      </c>
      <c r="P5650">
        <v>0.93252219999999997</v>
      </c>
      <c r="Q5650">
        <v>-1.218237E-2</v>
      </c>
      <c r="R5650">
        <v>-0.36090739999999999</v>
      </c>
      <c r="S5650">
        <v>2.9073790000000002</v>
      </c>
      <c r="T5650">
        <v>-0.28030899999999997</v>
      </c>
      <c r="U5650">
        <v>-0.79104609999999997</v>
      </c>
      <c r="V5650">
        <v>4.1469789999999999E-2</v>
      </c>
      <c r="W5650">
        <v>-1.163399E-2</v>
      </c>
      <c r="X5650">
        <v>0.99907199999999996</v>
      </c>
      <c r="Y5650">
        <v>-6.0514060000000001E-2</v>
      </c>
      <c r="Z5650">
        <v>3.2541670000000002E-2</v>
      </c>
      <c r="AA5650">
        <v>0.99763670000000004</v>
      </c>
      <c r="AB5650">
        <v>30</v>
      </c>
      <c r="AC5650">
        <v>11.3376</v>
      </c>
      <c r="AD5650">
        <v>-1.108605439462</v>
      </c>
      <c r="AE5650">
        <v>-3.0737899999999998</v>
      </c>
      <c r="AF5650">
        <v>-0.73342852847844497</v>
      </c>
      <c r="AG5650">
        <v>-1.108605439462</v>
      </c>
      <c r="AH5650">
        <v>11.6200637748129</v>
      </c>
      <c r="AI5650">
        <v>95.439017763860605</v>
      </c>
      <c r="AJ5650">
        <v>93.611571334736993</v>
      </c>
      <c r="AK5650">
        <v>11.6958456537999</v>
      </c>
      <c r="AL5650">
        <v>90.666593578885497</v>
      </c>
      <c r="AM5650">
        <v>87.623113489630398</v>
      </c>
      <c r="AN5650">
        <v>0.99999997719498102</v>
      </c>
    </row>
    <row r="5651" spans="1:40" x14ac:dyDescent="0.25">
      <c r="A5651" t="str">
        <f>"20190312154409590"</f>
        <v>20190312154409590</v>
      </c>
      <c r="B5651" t="str">
        <f>"1552376649582830"</f>
        <v>1552376649582830</v>
      </c>
      <c r="C5651" t="s">
        <v>40</v>
      </c>
      <c r="D5651">
        <v>5.3064099999999996</v>
      </c>
      <c r="E5651">
        <v>0.46233570000000002</v>
      </c>
      <c r="F5651" t="s">
        <v>43</v>
      </c>
      <c r="G5651">
        <v>-390.05630000000002</v>
      </c>
      <c r="H5651" s="1">
        <v>-5.4571109999999999E-6</v>
      </c>
      <c r="I5651">
        <v>23.942810000000001</v>
      </c>
      <c r="J5651">
        <v>-401.29259999999999</v>
      </c>
      <c r="K5651">
        <v>1.1085849999999999</v>
      </c>
      <c r="L5651">
        <v>26.991330000000001</v>
      </c>
      <c r="M5651">
        <v>0.94675830000000005</v>
      </c>
      <c r="N5651">
        <v>0</v>
      </c>
      <c r="O5651">
        <v>-0.32194509999999998</v>
      </c>
      <c r="P5651">
        <v>0.93258450000000004</v>
      </c>
      <c r="Q5651">
        <v>-1.2419319999999999E-2</v>
      </c>
      <c r="R5651">
        <v>-0.36073820000000001</v>
      </c>
      <c r="S5651">
        <v>2.9070740000000002</v>
      </c>
      <c r="T5651">
        <v>-0.28277479999999999</v>
      </c>
      <c r="U5651">
        <v>-0.79153439999999997</v>
      </c>
      <c r="V5651">
        <v>4.12907E-2</v>
      </c>
      <c r="W5651">
        <v>-1.190685E-2</v>
      </c>
      <c r="X5651">
        <v>0.99907619999999997</v>
      </c>
      <c r="Y5651">
        <v>-6.0303349999999999E-2</v>
      </c>
      <c r="Z5651">
        <v>3.281891E-2</v>
      </c>
      <c r="AA5651">
        <v>0.99764039999999998</v>
      </c>
      <c r="AB5651">
        <v>30</v>
      </c>
      <c r="AC5651">
        <v>11.2362999999999</v>
      </c>
      <c r="AD5651">
        <v>-1.1085904571109999</v>
      </c>
      <c r="AE5651">
        <v>-3.0485199999999901</v>
      </c>
      <c r="AF5651">
        <v>-0.72468959536935595</v>
      </c>
      <c r="AG5651">
        <v>-1.1085904571109999</v>
      </c>
      <c r="AH5651">
        <v>11.5151126735608</v>
      </c>
      <c r="AI5651">
        <v>95.488277930975599</v>
      </c>
      <c r="AJ5651">
        <v>93.601090898143696</v>
      </c>
      <c r="AK5651">
        <v>11.5910296219117</v>
      </c>
      <c r="AL5651">
        <v>90.682228390817897</v>
      </c>
      <c r="AM5651">
        <v>87.633376470472896</v>
      </c>
      <c r="AN5651">
        <v>0.99999997419492503</v>
      </c>
    </row>
    <row r="5652" spans="1:40" x14ac:dyDescent="0.25">
      <c r="A5652" t="str">
        <f>"20190312154409607"</f>
        <v>20190312154409607</v>
      </c>
      <c r="B5652" t="str">
        <f>"1552376649603327"</f>
        <v>1552376649603327</v>
      </c>
      <c r="C5652" t="s">
        <v>40</v>
      </c>
      <c r="D5652">
        <v>5.2393749999999999</v>
      </c>
      <c r="E5652">
        <v>0.46239760000000002</v>
      </c>
      <c r="F5652" t="s">
        <v>71</v>
      </c>
      <c r="G5652">
        <v>-389.95859999999999</v>
      </c>
      <c r="H5652" s="1">
        <v>-1.1614720000000001E-6</v>
      </c>
      <c r="I5652">
        <v>23.906300000000002</v>
      </c>
      <c r="J5652">
        <v>-401.06950000000001</v>
      </c>
      <c r="K5652">
        <v>1.1085719999999999</v>
      </c>
      <c r="L5652">
        <v>26.915469999999999</v>
      </c>
      <c r="M5652">
        <v>0.94675880000000001</v>
      </c>
      <c r="N5652">
        <v>0</v>
      </c>
      <c r="O5652">
        <v>-0.3219436</v>
      </c>
      <c r="P5652">
        <v>0.93257460000000003</v>
      </c>
      <c r="Q5652">
        <v>-1.235078E-2</v>
      </c>
      <c r="R5652">
        <v>-0.36076609999999998</v>
      </c>
      <c r="S5652">
        <v>2.9069820000000002</v>
      </c>
      <c r="T5652">
        <v>-0.28433350000000002</v>
      </c>
      <c r="U5652">
        <v>-0.79125979999999996</v>
      </c>
      <c r="V5652">
        <v>4.1321829999999997E-2</v>
      </c>
      <c r="W5652">
        <v>-1.188027E-2</v>
      </c>
      <c r="X5652">
        <v>0.99907520000000005</v>
      </c>
      <c r="Y5652">
        <v>-6.0363390000000003E-2</v>
      </c>
      <c r="Z5652">
        <v>3.3003230000000001E-2</v>
      </c>
      <c r="AA5652">
        <v>0.99763069999999998</v>
      </c>
      <c r="AB5652">
        <v>30</v>
      </c>
      <c r="AC5652">
        <v>11.110900000000001</v>
      </c>
      <c r="AD5652">
        <v>-1.10857316147199</v>
      </c>
      <c r="AE5652">
        <v>-3.0091700000000001</v>
      </c>
      <c r="AF5652">
        <v>-0.72143408013519295</v>
      </c>
      <c r="AG5652">
        <v>-1.10857316147199</v>
      </c>
      <c r="AH5652">
        <v>11.382558676875099</v>
      </c>
      <c r="AI5652">
        <v>95.551552712248196</v>
      </c>
      <c r="AJ5652">
        <v>93.6265933662268</v>
      </c>
      <c r="AK5652">
        <v>11.4591467229816</v>
      </c>
      <c r="AL5652">
        <v>90.680705381208398</v>
      </c>
      <c r="AM5652">
        <v>87.631591882192595</v>
      </c>
      <c r="AN5652">
        <v>0.99999994485242905</v>
      </c>
    </row>
    <row r="5653" spans="1:40" x14ac:dyDescent="0.25">
      <c r="A5653" t="str">
        <f>"20190312154409619"</f>
        <v>20190312154409619</v>
      </c>
      <c r="B5653" t="str">
        <f>"1552376649613087"</f>
        <v>1552376649613087</v>
      </c>
      <c r="C5653" t="s">
        <v>40</v>
      </c>
      <c r="D5653">
        <v>5.2210769999999904</v>
      </c>
      <c r="E5653">
        <v>0.46248099999999998</v>
      </c>
      <c r="F5653" t="s">
        <v>71</v>
      </c>
      <c r="G5653">
        <v>-389.82119999999998</v>
      </c>
      <c r="H5653" s="1">
        <v>-1.2115350000000001E-6</v>
      </c>
      <c r="I5653">
        <v>23.850390000000001</v>
      </c>
      <c r="J5653">
        <v>-400.90449999999998</v>
      </c>
      <c r="K5653">
        <v>1.1085670000000001</v>
      </c>
      <c r="L5653">
        <v>26.85934</v>
      </c>
      <c r="M5653">
        <v>0.9467605</v>
      </c>
      <c r="N5653">
        <v>0</v>
      </c>
      <c r="O5653">
        <v>-0.32193850000000002</v>
      </c>
      <c r="P5653">
        <v>0.93261740000000004</v>
      </c>
      <c r="Q5653">
        <v>-1.2420209999999999E-2</v>
      </c>
      <c r="R5653">
        <v>-0.36065370000000002</v>
      </c>
      <c r="S5653">
        <v>2.9067080000000001</v>
      </c>
      <c r="T5653">
        <v>-0.28646899999999997</v>
      </c>
      <c r="U5653">
        <v>-0.79205319999999901</v>
      </c>
      <c r="V5653">
        <v>4.1206810000000003E-2</v>
      </c>
      <c r="W5653">
        <v>-1.197464E-2</v>
      </c>
      <c r="X5653">
        <v>0.99907889999999999</v>
      </c>
      <c r="Y5653">
        <v>-6.0057489999999998E-2</v>
      </c>
      <c r="Z5653">
        <v>3.3236269999999998E-2</v>
      </c>
      <c r="AA5653">
        <v>0.99764140000000001</v>
      </c>
      <c r="AB5653">
        <v>30</v>
      </c>
      <c r="AC5653">
        <v>11.083299999999999</v>
      </c>
      <c r="AD5653">
        <v>-1.108568211535</v>
      </c>
      <c r="AE5653">
        <v>-3.00895</v>
      </c>
      <c r="AF5653">
        <v>-0.71274498553147003</v>
      </c>
      <c r="AG5653">
        <v>-1.108568211535</v>
      </c>
      <c r="AH5653">
        <v>11.356117138437</v>
      </c>
      <c r="AI5653">
        <v>95.564587735087201</v>
      </c>
      <c r="AJ5653">
        <v>93.591349339047895</v>
      </c>
      <c r="AK5653">
        <v>11.432336828309801</v>
      </c>
      <c r="AL5653">
        <v>90.686112716756298</v>
      </c>
      <c r="AM5653">
        <v>87.638185646479798</v>
      </c>
      <c r="AN5653">
        <v>1.00000002080935</v>
      </c>
    </row>
    <row r="5654" spans="1:40" x14ac:dyDescent="0.25">
      <c r="A5654" t="str">
        <f>"20190312154409632"</f>
        <v>20190312154409632</v>
      </c>
      <c r="B5654" t="str">
        <f>"1552376649622847"</f>
        <v>1552376649622847</v>
      </c>
      <c r="C5654" t="s">
        <v>40</v>
      </c>
      <c r="D5654">
        <v>5.2401229999999996</v>
      </c>
      <c r="E5654">
        <v>0.46254450000000003</v>
      </c>
      <c r="F5654" t="s">
        <v>71</v>
      </c>
      <c r="G5654">
        <v>-389.66390000000001</v>
      </c>
      <c r="H5654" s="1">
        <v>-1.271299E-6</v>
      </c>
      <c r="I5654">
        <v>23.795590000000001</v>
      </c>
      <c r="J5654">
        <v>-400.75470000000001</v>
      </c>
      <c r="K5654">
        <v>1.108562</v>
      </c>
      <c r="L5654">
        <v>26.808409999999999</v>
      </c>
      <c r="M5654">
        <v>0.94676389999999999</v>
      </c>
      <c r="N5654">
        <v>0</v>
      </c>
      <c r="O5654">
        <v>-0.32192880000000001</v>
      </c>
      <c r="P5654">
        <v>0.93252360000000001</v>
      </c>
      <c r="Q5654">
        <v>-1.218432E-2</v>
      </c>
      <c r="R5654">
        <v>-0.3609038</v>
      </c>
      <c r="S5654">
        <v>2.9066160000000001</v>
      </c>
      <c r="T5654">
        <v>-0.2866571</v>
      </c>
      <c r="U5654">
        <v>-0.7922363</v>
      </c>
      <c r="V5654">
        <v>4.1484269999999997E-2</v>
      </c>
      <c r="W5654">
        <v>-1.175927E-2</v>
      </c>
      <c r="X5654">
        <v>0.99906989999999996</v>
      </c>
      <c r="Y5654">
        <v>-5.9978820000000002E-2</v>
      </c>
      <c r="Z5654">
        <v>3.3253959999999999E-2</v>
      </c>
      <c r="AA5654">
        <v>0.99764560000000002</v>
      </c>
      <c r="AB5654">
        <v>30</v>
      </c>
      <c r="AC5654">
        <v>11.0908</v>
      </c>
      <c r="AD5654">
        <v>-1.1085632712989999</v>
      </c>
      <c r="AE5654">
        <v>-3.0128199999999898</v>
      </c>
      <c r="AF5654">
        <v>-0.71139977612226701</v>
      </c>
      <c r="AG5654">
        <v>-1.1085632712989999</v>
      </c>
      <c r="AH5654">
        <v>11.3645455444103</v>
      </c>
      <c r="AI5654">
        <v>95.560518956607297</v>
      </c>
      <c r="AJ5654">
        <v>93.581937292604294</v>
      </c>
      <c r="AK5654">
        <v>11.4406248779914</v>
      </c>
      <c r="AL5654">
        <v>90.673772107012297</v>
      </c>
      <c r="AM5654">
        <v>87.622279512793995</v>
      </c>
      <c r="AN5654">
        <v>0.99999994508718604</v>
      </c>
    </row>
    <row r="5655" spans="1:40" x14ac:dyDescent="0.25">
      <c r="A5655" t="str">
        <f>"20190312154409643"</f>
        <v>20190312154409643</v>
      </c>
      <c r="B5655" t="str">
        <f>"1552376649633582"</f>
        <v>1552376649633582</v>
      </c>
      <c r="C5655" t="s">
        <v>40</v>
      </c>
      <c r="D5655">
        <v>5.2489299999999997</v>
      </c>
      <c r="E5655">
        <v>0.46262330000000002</v>
      </c>
      <c r="F5655" t="s">
        <v>71</v>
      </c>
      <c r="G5655">
        <v>-389.49369999999999</v>
      </c>
      <c r="H5655" s="1">
        <v>-1.3351909999999999E-6</v>
      </c>
      <c r="I5655">
        <v>23.733170000000001</v>
      </c>
      <c r="J5655">
        <v>-400.60640000000001</v>
      </c>
      <c r="K5655">
        <v>1.108563</v>
      </c>
      <c r="L5655">
        <v>26.757999999999999</v>
      </c>
      <c r="M5655">
        <v>0.94677049999999996</v>
      </c>
      <c r="N5655">
        <v>0</v>
      </c>
      <c r="O5655">
        <v>-0.32190980000000002</v>
      </c>
      <c r="P5655">
        <v>0.93246289999999998</v>
      </c>
      <c r="Q5655">
        <v>-1.194125E-2</v>
      </c>
      <c r="R5655">
        <v>-0.36106880000000002</v>
      </c>
      <c r="S5655">
        <v>2.9061889999999999</v>
      </c>
      <c r="T5655">
        <v>-0.28609179999999901</v>
      </c>
      <c r="U5655">
        <v>-0.79364009999999996</v>
      </c>
      <c r="V5655">
        <v>4.1680389999999998E-2</v>
      </c>
      <c r="W5655">
        <v>-1.1532880000000001E-2</v>
      </c>
      <c r="X5655">
        <v>0.99906439999999996</v>
      </c>
      <c r="Y5655">
        <v>-5.9481659999999999E-2</v>
      </c>
      <c r="Z5655">
        <v>3.3165029999999998E-2</v>
      </c>
      <c r="AA5655">
        <v>0.99767830000000002</v>
      </c>
      <c r="AB5655">
        <v>30</v>
      </c>
      <c r="AC5655">
        <v>11.1127</v>
      </c>
      <c r="AD5655">
        <v>-1.1085643351909999</v>
      </c>
      <c r="AE5655">
        <v>-3.0248300000000001</v>
      </c>
      <c r="AF5655">
        <v>-0.706917580562621</v>
      </c>
      <c r="AG5655">
        <v>-1.1085643351909999</v>
      </c>
      <c r="AH5655">
        <v>11.389375569381</v>
      </c>
      <c r="AI5655">
        <v>95.5486589270064</v>
      </c>
      <c r="AJ5655">
        <v>93.551687356262505</v>
      </c>
      <c r="AK5655">
        <v>11.465013005286</v>
      </c>
      <c r="AL5655">
        <v>90.660800019347306</v>
      </c>
      <c r="AM5655">
        <v>87.611038517291206</v>
      </c>
      <c r="AN5655">
        <v>0.99999996878950204</v>
      </c>
    </row>
    <row r="5656" spans="1:40" x14ac:dyDescent="0.25">
      <c r="A5656" t="str">
        <f>"20190312154409655"</f>
        <v>20190312154409655</v>
      </c>
      <c r="B5656" t="str">
        <f>"1552376649643343"</f>
        <v>1552376649643343</v>
      </c>
      <c r="C5656" t="s">
        <v>40</v>
      </c>
      <c r="D5656">
        <v>5.2310140000000001</v>
      </c>
      <c r="E5656">
        <v>0.46268330000000002</v>
      </c>
      <c r="F5656" t="s">
        <v>71</v>
      </c>
      <c r="G5656">
        <v>-389.32319999999999</v>
      </c>
      <c r="H5656" s="1">
        <v>-1.3995840000000001E-6</v>
      </c>
      <c r="I5656">
        <v>23.6724</v>
      </c>
      <c r="J5656">
        <v>-400.45920000000001</v>
      </c>
      <c r="K5656">
        <v>1.108573</v>
      </c>
      <c r="L5656">
        <v>26.708010000000002</v>
      </c>
      <c r="M5656">
        <v>0.94678150000000005</v>
      </c>
      <c r="N5656">
        <v>0</v>
      </c>
      <c r="O5656">
        <v>-0.32187729999999998</v>
      </c>
      <c r="P5656">
        <v>0.93231819999999999</v>
      </c>
      <c r="Q5656">
        <v>-1.151398E-2</v>
      </c>
      <c r="R5656">
        <v>-0.36145650000000001</v>
      </c>
      <c r="S5656">
        <v>2.9059140000000001</v>
      </c>
      <c r="T5656">
        <v>-0.28550429999999999</v>
      </c>
      <c r="U5656">
        <v>-0.79467769999999904</v>
      </c>
      <c r="V5656">
        <v>4.2128579999999999E-2</v>
      </c>
      <c r="W5656">
        <v>-1.111914E-2</v>
      </c>
      <c r="X5656">
        <v>0.99905029999999995</v>
      </c>
      <c r="Y5656">
        <v>-5.9100319999999998E-2</v>
      </c>
      <c r="Z5656">
        <v>3.3077009999999997E-2</v>
      </c>
      <c r="AA5656">
        <v>0.99770389999999998</v>
      </c>
      <c r="AB5656">
        <v>30</v>
      </c>
      <c r="AC5656">
        <v>11.135999999999999</v>
      </c>
      <c r="AD5656">
        <v>-1.1085743995840001</v>
      </c>
      <c r="AE5656">
        <v>-3.0356099999999899</v>
      </c>
      <c r="AF5656">
        <v>-0.703873275572927</v>
      </c>
      <c r="AG5656">
        <v>-1.1085743995840001</v>
      </c>
      <c r="AH5656">
        <v>11.4151525413186</v>
      </c>
      <c r="AI5656">
        <v>95.536395130326994</v>
      </c>
      <c r="AJ5656">
        <v>93.528465547710496</v>
      </c>
      <c r="AK5656">
        <v>11.490434383827701</v>
      </c>
      <c r="AL5656">
        <v>90.637092936642702</v>
      </c>
      <c r="AM5656">
        <v>87.585346176033795</v>
      </c>
      <c r="AN5656">
        <v>0.99999997722862199</v>
      </c>
    </row>
    <row r="5657" spans="1:40" x14ac:dyDescent="0.25">
      <c r="A5657" t="str">
        <f>"20190312154409667"</f>
        <v>20190312154409667</v>
      </c>
      <c r="B5657" t="str">
        <f>"1552376649663839"</f>
        <v>1552376649663839</v>
      </c>
      <c r="C5657" t="s">
        <v>40</v>
      </c>
      <c r="D5657">
        <v>5.2658860000000001</v>
      </c>
      <c r="E5657">
        <v>0.46276460000000003</v>
      </c>
      <c r="F5657" t="s">
        <v>71</v>
      </c>
      <c r="G5657">
        <v>-389.13310000000001</v>
      </c>
      <c r="H5657" s="1">
        <v>-1.4712509999999999E-6</v>
      </c>
      <c r="I5657">
        <v>23.603960000000001</v>
      </c>
      <c r="J5657">
        <v>-400.29509999999999</v>
      </c>
      <c r="K5657">
        <v>1.108581</v>
      </c>
      <c r="L5657">
        <v>26.65222</v>
      </c>
      <c r="M5657">
        <v>0.94679720000000001</v>
      </c>
      <c r="N5657">
        <v>0</v>
      </c>
      <c r="O5657">
        <v>-0.32183119999999998</v>
      </c>
      <c r="P5657">
        <v>0.93208400000000002</v>
      </c>
      <c r="Q5657">
        <v>-1.1224720000000001E-2</v>
      </c>
      <c r="R5657">
        <v>-0.36206909999999998</v>
      </c>
      <c r="S5657">
        <v>2.905548</v>
      </c>
      <c r="T5657">
        <v>-0.28438760000000002</v>
      </c>
      <c r="U5657">
        <v>-0.79629519999999998</v>
      </c>
      <c r="V5657">
        <v>4.2832990000000001E-2</v>
      </c>
      <c r="W5657">
        <v>-1.084274E-2</v>
      </c>
      <c r="X5657">
        <v>0.99902340000000001</v>
      </c>
      <c r="Y5657">
        <v>-5.8518390000000003E-2</v>
      </c>
      <c r="Z5657">
        <v>3.2917130000000003E-2</v>
      </c>
      <c r="AA5657">
        <v>0.99774350000000001</v>
      </c>
      <c r="AB5657">
        <v>31</v>
      </c>
      <c r="AC5657">
        <v>11.1619999999999</v>
      </c>
      <c r="AD5657">
        <v>-1.108582471251</v>
      </c>
      <c r="AE5657">
        <v>-3.0482599999999902</v>
      </c>
      <c r="AF5657">
        <v>-0.69977225393124998</v>
      </c>
      <c r="AG5657">
        <v>-1.108582471251</v>
      </c>
      <c r="AH5657">
        <v>11.444124049431201</v>
      </c>
      <c r="AI5657">
        <v>95.522678843114207</v>
      </c>
      <c r="AJ5657">
        <v>93.499100388660196</v>
      </c>
      <c r="AK5657">
        <v>11.518967469426499</v>
      </c>
      <c r="AL5657">
        <v>90.621255418781701</v>
      </c>
      <c r="AM5657">
        <v>87.544954978890104</v>
      </c>
      <c r="AN5657">
        <v>0.99999999189530298</v>
      </c>
    </row>
    <row r="5658" spans="1:40" x14ac:dyDescent="0.25">
      <c r="A5658" t="str">
        <f>"20190312154409685"</f>
        <v>20190312154409685</v>
      </c>
      <c r="B5658" t="str">
        <f>"1552376649673607"</f>
        <v>1552376649673607</v>
      </c>
      <c r="C5658" t="s">
        <v>40</v>
      </c>
      <c r="D5658">
        <v>5.2760819999999997</v>
      </c>
      <c r="E5658">
        <v>0.46284609999999898</v>
      </c>
      <c r="F5658" t="s">
        <v>71</v>
      </c>
      <c r="G5658">
        <v>-389.00080000000003</v>
      </c>
      <c r="H5658" s="1">
        <v>-1.5183290000000001E-6</v>
      </c>
      <c r="I5658">
        <v>23.545929999999998</v>
      </c>
      <c r="J5658">
        <v>-400.0641</v>
      </c>
      <c r="K5658">
        <v>1.108617</v>
      </c>
      <c r="L5658">
        <v>26.57376</v>
      </c>
      <c r="M5658">
        <v>0.94683640000000002</v>
      </c>
      <c r="N5658">
        <v>0</v>
      </c>
      <c r="O5658">
        <v>-0.32171569999999999</v>
      </c>
      <c r="P5658">
        <v>0.93169310000000005</v>
      </c>
      <c r="Q5658">
        <v>-1.0537019999999999E-2</v>
      </c>
      <c r="R5658">
        <v>-0.36309409999999998</v>
      </c>
      <c r="S5658">
        <v>2.9048159999999998</v>
      </c>
      <c r="T5658">
        <v>-0.28512110000000002</v>
      </c>
      <c r="U5658">
        <v>-0.79891969999999901</v>
      </c>
      <c r="V5658">
        <v>4.4051930000000003E-2</v>
      </c>
      <c r="W5658">
        <v>-1.0165759999999999E-2</v>
      </c>
      <c r="X5658">
        <v>0.99897749999999996</v>
      </c>
      <c r="Y5658">
        <v>-5.7490560000000003E-2</v>
      </c>
      <c r="Z5658">
        <v>3.2944889999999998E-2</v>
      </c>
      <c r="AA5658">
        <v>0.99780230000000003</v>
      </c>
      <c r="AB5658">
        <v>31</v>
      </c>
      <c r="AC5658">
        <v>11.0632999999999</v>
      </c>
      <c r="AD5658">
        <v>-1.108618518329</v>
      </c>
      <c r="AE5658">
        <v>-3.02782999999999</v>
      </c>
      <c r="AF5658">
        <v>-0.68596946925035296</v>
      </c>
      <c r="AG5658">
        <v>-1.108618518329</v>
      </c>
      <c r="AH5658">
        <v>11.3432692385762</v>
      </c>
      <c r="AI5658">
        <v>95.571880089510202</v>
      </c>
      <c r="AJ5658">
        <v>93.460673289947295</v>
      </c>
      <c r="AK5658">
        <v>11.417939663124599</v>
      </c>
      <c r="AL5658">
        <v>90.582465187528499</v>
      </c>
      <c r="AM5658">
        <v>87.475062682659299</v>
      </c>
      <c r="AN5658">
        <v>0.99999998035967597</v>
      </c>
    </row>
    <row r="5659" spans="1:40" x14ac:dyDescent="0.25">
      <c r="A5659" t="str">
        <f>"20190312154409697"</f>
        <v>20190312154409697</v>
      </c>
      <c r="B5659" t="str">
        <f>"1552376649693119"</f>
        <v>1552376649693119</v>
      </c>
      <c r="C5659" t="s">
        <v>40</v>
      </c>
      <c r="D5659">
        <v>5.2605709999999997</v>
      </c>
      <c r="E5659">
        <v>0.46303470000000002</v>
      </c>
      <c r="F5659" t="s">
        <v>71</v>
      </c>
      <c r="G5659">
        <v>-388.70069999999998</v>
      </c>
      <c r="H5659" s="1">
        <v>-1.6302409999999999E-6</v>
      </c>
      <c r="I5659">
        <v>23.433229999999998</v>
      </c>
      <c r="J5659">
        <v>-399.91149999999999</v>
      </c>
      <c r="K5659">
        <v>1.108646</v>
      </c>
      <c r="L5659">
        <v>26.522030000000001</v>
      </c>
      <c r="M5659">
        <v>0.94687520000000003</v>
      </c>
      <c r="N5659">
        <v>0</v>
      </c>
      <c r="O5659">
        <v>-0.32160139999999998</v>
      </c>
      <c r="P5659">
        <v>0.93146470000000003</v>
      </c>
      <c r="Q5659">
        <v>-1.032278E-2</v>
      </c>
      <c r="R5659">
        <v>-0.36368549999999999</v>
      </c>
      <c r="S5659">
        <v>2.9039920000000001</v>
      </c>
      <c r="T5659">
        <v>-0.28331450000000002</v>
      </c>
      <c r="U5659">
        <v>-0.80258180000000001</v>
      </c>
      <c r="V5659">
        <v>4.4806730000000003E-2</v>
      </c>
      <c r="W5659">
        <v>-9.9546679999999999E-3</v>
      </c>
      <c r="X5659">
        <v>0.99894609999999995</v>
      </c>
      <c r="Y5659">
        <v>-5.6154599999999902E-2</v>
      </c>
      <c r="Z5659">
        <v>3.2665090000000001E-2</v>
      </c>
      <c r="AA5659">
        <v>0.99788759999999999</v>
      </c>
      <c r="AB5659">
        <v>31</v>
      </c>
      <c r="AC5659">
        <v>11.210800000000001</v>
      </c>
      <c r="AD5659">
        <v>-1.108647630241</v>
      </c>
      <c r="AE5659">
        <v>-3.0887999999999902</v>
      </c>
      <c r="AF5659">
        <v>-0.67456936020968905</v>
      </c>
      <c r="AG5659">
        <v>-1.108647630241</v>
      </c>
      <c r="AH5659">
        <v>11.504025078424499</v>
      </c>
      <c r="AI5659">
        <v>95.495237593891204</v>
      </c>
      <c r="AJ5659">
        <v>93.355848973648605</v>
      </c>
      <c r="AK5659">
        <v>11.576991681554899</v>
      </c>
      <c r="AL5659">
        <v>90.570369869267793</v>
      </c>
      <c r="AM5659">
        <v>87.431776409617299</v>
      </c>
      <c r="AN5659">
        <v>1.00000002458674</v>
      </c>
    </row>
    <row r="5660" spans="1:40" x14ac:dyDescent="0.25">
      <c r="A5660" t="str">
        <f>"20190312154409708"</f>
        <v>20190312154409708</v>
      </c>
      <c r="B5660" t="str">
        <f>"1552376649703855"</f>
        <v>1552376649703855</v>
      </c>
      <c r="C5660" t="s">
        <v>40</v>
      </c>
      <c r="D5660">
        <v>5.2729460000000001</v>
      </c>
      <c r="E5660">
        <v>0.46313480000000001</v>
      </c>
      <c r="F5660" t="s">
        <v>71</v>
      </c>
      <c r="G5660">
        <v>-388.5292</v>
      </c>
      <c r="H5660" s="1">
        <v>-1.6924939999999999E-6</v>
      </c>
      <c r="I5660">
        <v>23.362629999999999</v>
      </c>
      <c r="J5660">
        <v>-399.76179999999999</v>
      </c>
      <c r="K5660">
        <v>1.108676</v>
      </c>
      <c r="L5660">
        <v>26.47128</v>
      </c>
      <c r="M5660">
        <v>0.94691740000000002</v>
      </c>
      <c r="N5660">
        <v>0</v>
      </c>
      <c r="O5660">
        <v>-0.32147690000000001</v>
      </c>
      <c r="P5660">
        <v>0.93133189999999999</v>
      </c>
      <c r="Q5660">
        <v>-1.0011620000000001E-2</v>
      </c>
      <c r="R5660">
        <v>-0.36403410000000003</v>
      </c>
      <c r="S5660">
        <v>2.9029850000000001</v>
      </c>
      <c r="T5660">
        <v>-0.2827538</v>
      </c>
      <c r="U5660">
        <v>-0.80578609999999995</v>
      </c>
      <c r="V5660">
        <v>4.5311659999999997E-2</v>
      </c>
      <c r="W5660">
        <v>-9.6453460000000008E-3</v>
      </c>
      <c r="X5660">
        <v>0.99892630000000004</v>
      </c>
      <c r="Y5660">
        <v>-5.4923079999999999E-2</v>
      </c>
      <c r="Z5660">
        <v>3.2535729999999999E-2</v>
      </c>
      <c r="AA5660">
        <v>0.99796039999999997</v>
      </c>
      <c r="AB5660">
        <v>31</v>
      </c>
      <c r="AC5660">
        <v>11.2325999999999</v>
      </c>
      <c r="AD5660">
        <v>-1.1086776924940001</v>
      </c>
      <c r="AE5660">
        <v>-3.1086499999999999</v>
      </c>
      <c r="AF5660">
        <v>-0.66140166439763004</v>
      </c>
      <c r="AG5660">
        <v>-1.1086776924940001</v>
      </c>
      <c r="AH5660">
        <v>11.531356942068699</v>
      </c>
      <c r="AI5660">
        <v>95.482843321968701</v>
      </c>
      <c r="AJ5660">
        <v>93.282705556982805</v>
      </c>
      <c r="AK5660">
        <v>11.6033965420862</v>
      </c>
      <c r="AL5660">
        <v>90.552646205770102</v>
      </c>
      <c r="AM5660">
        <v>87.402822927195999</v>
      </c>
      <c r="AN5660">
        <v>0.99999996603155195</v>
      </c>
    </row>
    <row r="5661" spans="1:40" x14ac:dyDescent="0.25">
      <c r="A5661" t="str">
        <f>"20190312154409720"</f>
        <v>20190312154409720</v>
      </c>
      <c r="B5661" t="str">
        <f>"1552376649713615"</f>
        <v>1552376649713615</v>
      </c>
      <c r="C5661" t="s">
        <v>40</v>
      </c>
      <c r="D5661">
        <v>5.2831939999999999</v>
      </c>
      <c r="E5661">
        <v>0.46321830000000003</v>
      </c>
      <c r="F5661" t="s">
        <v>41</v>
      </c>
      <c r="G5661">
        <v>-398.79840000000002</v>
      </c>
      <c r="H5661">
        <v>1.015117</v>
      </c>
      <c r="I5661">
        <v>26.20299</v>
      </c>
      <c r="J5661">
        <v>-399.60090000000002</v>
      </c>
      <c r="K5661">
        <v>1.1087260000000001</v>
      </c>
      <c r="L5661">
        <v>26.416779999999999</v>
      </c>
      <c r="M5661">
        <v>0.94698439999999995</v>
      </c>
      <c r="N5661">
        <v>0</v>
      </c>
      <c r="O5661">
        <v>-0.32128020000000002</v>
      </c>
      <c r="P5661">
        <v>0.93125650000000004</v>
      </c>
      <c r="Q5661">
        <v>-1.006425E-2</v>
      </c>
      <c r="R5661">
        <v>-0.36422589999999999</v>
      </c>
      <c r="S5661">
        <v>2.9024350000000001</v>
      </c>
      <c r="T5661">
        <v>-0.28189530000000002</v>
      </c>
      <c r="U5661">
        <v>-0.80767819999999901</v>
      </c>
      <c r="V5661">
        <v>4.5726349999999999E-2</v>
      </c>
      <c r="W5661">
        <v>-9.6952029999999995E-3</v>
      </c>
      <c r="X5661">
        <v>0.99890699999999999</v>
      </c>
      <c r="Y5661">
        <v>-5.407675E-2</v>
      </c>
      <c r="Z5661">
        <v>3.2381970000000003E-2</v>
      </c>
      <c r="AA5661">
        <v>0.9980116</v>
      </c>
      <c r="AB5661">
        <v>31</v>
      </c>
      <c r="AC5661">
        <v>0.80250000000000898</v>
      </c>
      <c r="AD5661">
        <v>-9.3608999999999998E-2</v>
      </c>
      <c r="AE5661">
        <v>-0.21378999999999901</v>
      </c>
      <c r="AF5661">
        <v>-5.4676896008750697E-2</v>
      </c>
      <c r="AG5661">
        <v>-9.3608999999999998E-2</v>
      </c>
      <c r="AH5661">
        <v>0.81824566894991602</v>
      </c>
      <c r="AI5661">
        <v>96.511985232349502</v>
      </c>
      <c r="AJ5661">
        <v>93.822941157060001</v>
      </c>
      <c r="AK5661">
        <v>0.82539577330723402</v>
      </c>
      <c r="AL5661">
        <v>90.555502891060698</v>
      </c>
      <c r="AM5661">
        <v>87.379036120635007</v>
      </c>
      <c r="AN5661">
        <v>1.0000000453472599</v>
      </c>
    </row>
    <row r="5662" spans="1:40" x14ac:dyDescent="0.25">
      <c r="A5662" t="str">
        <f>"20190312154409732"</f>
        <v>20190312154409732</v>
      </c>
      <c r="B5662" t="str">
        <f>"1552376649723375"</f>
        <v>1552376649723375</v>
      </c>
      <c r="C5662" t="s">
        <v>40</v>
      </c>
      <c r="D5662">
        <v>5.348325</v>
      </c>
      <c r="E5662">
        <v>0.463202</v>
      </c>
      <c r="F5662" t="s">
        <v>71</v>
      </c>
      <c r="G5662">
        <v>-388.20030000000003</v>
      </c>
      <c r="H5662" s="1">
        <v>-1.8150139999999999E-6</v>
      </c>
      <c r="I5662">
        <v>23.238769999999999</v>
      </c>
      <c r="J5662">
        <v>-399.44069999999999</v>
      </c>
      <c r="K5662">
        <v>1.108773</v>
      </c>
      <c r="L5662">
        <v>26.36261</v>
      </c>
      <c r="M5662">
        <v>0.94705870000000003</v>
      </c>
      <c r="N5662">
        <v>0</v>
      </c>
      <c r="O5662">
        <v>-0.32106059999999997</v>
      </c>
      <c r="P5662">
        <v>0.93115270000000006</v>
      </c>
      <c r="Q5662">
        <v>-9.9026749999999997E-3</v>
      </c>
      <c r="R5662">
        <v>-0.36449559999999998</v>
      </c>
      <c r="S5662">
        <v>2.9020079999999999</v>
      </c>
      <c r="T5662">
        <v>-0.28222619999999998</v>
      </c>
      <c r="U5662">
        <v>-0.80896000000000001</v>
      </c>
      <c r="V5662">
        <v>4.6247870000000003E-2</v>
      </c>
      <c r="W5662">
        <v>-9.5293879999999997E-3</v>
      </c>
      <c r="X5662">
        <v>0.99888460000000001</v>
      </c>
      <c r="Y5662">
        <v>-5.3398010000000003E-2</v>
      </c>
      <c r="Z5662">
        <v>3.2370080000000002E-2</v>
      </c>
      <c r="AA5662">
        <v>0.99804850000000001</v>
      </c>
      <c r="AB5662">
        <v>31</v>
      </c>
      <c r="AC5662">
        <v>11.2403999999999</v>
      </c>
      <c r="AD5662">
        <v>-1.108774815014</v>
      </c>
      <c r="AE5662">
        <v>-3.1238399999999902</v>
      </c>
      <c r="AF5662">
        <v>-0.64456756920193903</v>
      </c>
      <c r="AG5662">
        <v>-1.108774815014</v>
      </c>
      <c r="AH5662">
        <v>11.5439878195088</v>
      </c>
      <c r="AI5662">
        <v>95.477824790355598</v>
      </c>
      <c r="AJ5662">
        <v>93.1958361716148</v>
      </c>
      <c r="AK5662">
        <v>11.6150119982135</v>
      </c>
      <c r="AL5662">
        <v>90.546001945183207</v>
      </c>
      <c r="AM5662">
        <v>87.349126437187294</v>
      </c>
      <c r="AN5662">
        <v>1.00000005941617</v>
      </c>
    </row>
    <row r="5663" spans="1:40" x14ac:dyDescent="0.25">
      <c r="A5663" t="str">
        <f>"20190312154409743"</f>
        <v>20190312154409743</v>
      </c>
      <c r="B5663" t="str">
        <f>"1552376649733135"</f>
        <v>1552376649733135</v>
      </c>
      <c r="C5663" t="s">
        <v>40</v>
      </c>
      <c r="D5663">
        <v>5.3462699999999996</v>
      </c>
      <c r="E5663">
        <v>0.4632135</v>
      </c>
      <c r="F5663" t="s">
        <v>41</v>
      </c>
      <c r="G5663">
        <v>-398.52730000000003</v>
      </c>
      <c r="H5663">
        <v>1.0200149999999999</v>
      </c>
      <c r="I5663">
        <v>26.107790000000001</v>
      </c>
      <c r="J5663">
        <v>-399.28480000000002</v>
      </c>
      <c r="K5663">
        <v>1.1088249999999999</v>
      </c>
      <c r="L5663">
        <v>26.309940000000001</v>
      </c>
      <c r="M5663">
        <v>0.94714509999999996</v>
      </c>
      <c r="N5663">
        <v>0</v>
      </c>
      <c r="O5663">
        <v>-0.32080530000000002</v>
      </c>
      <c r="P5663">
        <v>0.93121120000000002</v>
      </c>
      <c r="Q5663">
        <v>-9.9469459999999999E-3</v>
      </c>
      <c r="R5663">
        <v>-0.3643441</v>
      </c>
      <c r="S5663">
        <v>2.9019170000000001</v>
      </c>
      <c r="T5663">
        <v>-0.28198289999999998</v>
      </c>
      <c r="U5663">
        <v>-0.80963130000000005</v>
      </c>
      <c r="V5663">
        <v>4.6356300000000003E-2</v>
      </c>
      <c r="W5663">
        <v>-9.5673389999999994E-3</v>
      </c>
      <c r="X5663">
        <v>0.99887910000000002</v>
      </c>
      <c r="Y5663">
        <v>-5.2912279999999999E-2</v>
      </c>
      <c r="Z5663">
        <v>3.2296169999999999E-2</v>
      </c>
      <c r="AA5663">
        <v>0.99807679999999999</v>
      </c>
      <c r="AB5663">
        <v>31</v>
      </c>
      <c r="AC5663">
        <v>0.75749999999999296</v>
      </c>
      <c r="AD5663">
        <v>-8.881E-2</v>
      </c>
      <c r="AE5663">
        <v>-0.20215000000000299</v>
      </c>
      <c r="AF5663">
        <v>-5.0891614569864803E-2</v>
      </c>
      <c r="AG5663">
        <v>-8.881E-2</v>
      </c>
      <c r="AH5663">
        <v>0.77240208985054404</v>
      </c>
      <c r="AI5663">
        <v>96.544940033914102</v>
      </c>
      <c r="AJ5663">
        <v>93.769625041030807</v>
      </c>
      <c r="AK5663">
        <v>0.77915477341733297</v>
      </c>
      <c r="AL5663">
        <v>90.548176537131496</v>
      </c>
      <c r="AM5663">
        <v>87.342905644262402</v>
      </c>
      <c r="AN5663">
        <v>0.99999994847101903</v>
      </c>
    </row>
    <row r="5664" spans="1:40" x14ac:dyDescent="0.25">
      <c r="A5664" t="str">
        <f>"20190312154409755"</f>
        <v>20190312154409755</v>
      </c>
      <c r="B5664" t="str">
        <f>"1552376649742894"</f>
        <v>1552376649742894</v>
      </c>
      <c r="C5664" t="s">
        <v>40</v>
      </c>
      <c r="D5664">
        <v>5.3475830000000002</v>
      </c>
      <c r="E5664">
        <v>0.46321760000000001</v>
      </c>
      <c r="F5664" t="s">
        <v>71</v>
      </c>
      <c r="G5664">
        <v>-387.88440000000003</v>
      </c>
      <c r="H5664" s="1">
        <v>-1.9358909999999999E-6</v>
      </c>
      <c r="I5664">
        <v>23.131799999999998</v>
      </c>
      <c r="J5664">
        <v>-399.13139999999999</v>
      </c>
      <c r="K5664">
        <v>1.1088819999999999</v>
      </c>
      <c r="L5664">
        <v>26.258209999999998</v>
      </c>
      <c r="M5664">
        <v>0.94724680000000006</v>
      </c>
      <c r="N5664">
        <v>0</v>
      </c>
      <c r="O5664">
        <v>-0.32050479999999998</v>
      </c>
      <c r="P5664">
        <v>0.93124879999999999</v>
      </c>
      <c r="Q5664">
        <v>-9.9873080000000003E-3</v>
      </c>
      <c r="R5664">
        <v>-0.36424770000000001</v>
      </c>
      <c r="S5664">
        <v>2.902069</v>
      </c>
      <c r="T5664">
        <v>-0.28226129999999999</v>
      </c>
      <c r="U5664">
        <v>-0.80902099999999999</v>
      </c>
      <c r="V5664">
        <v>4.6571099999999997E-2</v>
      </c>
      <c r="W5664">
        <v>-9.5954060000000008E-3</v>
      </c>
      <c r="X5664">
        <v>0.99886889999999995</v>
      </c>
      <c r="Y5664">
        <v>-5.2802439999999999E-2</v>
      </c>
      <c r="Z5664">
        <v>3.229539E-2</v>
      </c>
      <c r="AA5664">
        <v>0.99808260000000004</v>
      </c>
      <c r="AB5664">
        <v>31</v>
      </c>
      <c r="AC5664">
        <v>11.2469999999999</v>
      </c>
      <c r="AD5664">
        <v>-1.1088839358910001</v>
      </c>
      <c r="AE5664">
        <v>-3.1264099999999999</v>
      </c>
      <c r="AF5664">
        <v>-0.63748335988280003</v>
      </c>
      <c r="AG5664">
        <v>-1.1088839358910001</v>
      </c>
      <c r="AH5664">
        <v>11.5514807146132</v>
      </c>
      <c r="AI5664">
        <v>95.475024251753993</v>
      </c>
      <c r="AJ5664">
        <v>93.158737407592696</v>
      </c>
      <c r="AK5664">
        <v>11.622078786408499</v>
      </c>
      <c r="AL5664">
        <v>90.549784698245503</v>
      </c>
      <c r="AM5664">
        <v>87.3305840827108</v>
      </c>
      <c r="AN5664">
        <v>1.0000000092793599</v>
      </c>
    </row>
    <row r="5665" spans="1:40" x14ac:dyDescent="0.25">
      <c r="A5665" t="str">
        <f>"20190312154409769"</f>
        <v>20190312154409769</v>
      </c>
      <c r="B5665" t="str">
        <f>"1552376649763391"</f>
        <v>1552376649763391</v>
      </c>
      <c r="C5665" t="s">
        <v>40</v>
      </c>
      <c r="D5665">
        <v>5.3253680000000001</v>
      </c>
      <c r="E5665">
        <v>0.46318480000000001</v>
      </c>
      <c r="F5665" t="s">
        <v>71</v>
      </c>
      <c r="G5665">
        <v>-387.74270000000001</v>
      </c>
      <c r="H5665" s="1">
        <v>-1.9904539999999998E-6</v>
      </c>
      <c r="I5665">
        <v>23.085139999999999</v>
      </c>
      <c r="J5665">
        <v>-398.95699999999999</v>
      </c>
      <c r="K5665">
        <v>1.1089530000000001</v>
      </c>
      <c r="L5665">
        <v>26.199490000000001</v>
      </c>
      <c r="M5665">
        <v>0.94737389999999999</v>
      </c>
      <c r="N5665">
        <v>0</v>
      </c>
      <c r="O5665">
        <v>-0.32012960000000001</v>
      </c>
      <c r="P5665">
        <v>0.93138980000000005</v>
      </c>
      <c r="Q5665">
        <v>-9.8559670000000002E-3</v>
      </c>
      <c r="R5665">
        <v>-0.36389050000000001</v>
      </c>
      <c r="S5665">
        <v>2.9021910000000002</v>
      </c>
      <c r="T5665">
        <v>-0.28257729999999998</v>
      </c>
      <c r="U5665">
        <v>-0.80859380000000003</v>
      </c>
      <c r="V5665">
        <v>4.6584779999999999E-2</v>
      </c>
      <c r="W5665">
        <v>-9.4461200000000006E-3</v>
      </c>
      <c r="X5665">
        <v>0.99886969999999997</v>
      </c>
      <c r="Y5665">
        <v>-5.2553170000000003E-2</v>
      </c>
      <c r="Z5665">
        <v>3.228549E-2</v>
      </c>
      <c r="AA5665">
        <v>0.99809610000000004</v>
      </c>
      <c r="AB5665">
        <v>32</v>
      </c>
      <c r="AC5665">
        <v>11.2142999999999</v>
      </c>
      <c r="AD5665">
        <v>-1.1089549904539999</v>
      </c>
      <c r="AE5665">
        <v>-3.11435</v>
      </c>
      <c r="AF5665">
        <v>-0.63382118860422698</v>
      </c>
      <c r="AG5665">
        <v>-1.1089549904539999</v>
      </c>
      <c r="AH5665">
        <v>11.516575092935501</v>
      </c>
      <c r="AI5665">
        <v>95.491912166051804</v>
      </c>
      <c r="AJ5665">
        <v>93.1501275331089</v>
      </c>
      <c r="AK5665">
        <v>11.5871917366202</v>
      </c>
      <c r="AL5665">
        <v>90.541230844786597</v>
      </c>
      <c r="AM5665">
        <v>87.329803226913498</v>
      </c>
      <c r="AN5665">
        <v>1.0000000242443901</v>
      </c>
    </row>
    <row r="5666" spans="1:40" x14ac:dyDescent="0.25">
      <c r="A5666" t="str">
        <f>"20190312154409785"</f>
        <v>20190312154409785</v>
      </c>
      <c r="B5666" t="str">
        <f>"1552376649773151"</f>
        <v>1552376649773151</v>
      </c>
      <c r="C5666" t="s">
        <v>40</v>
      </c>
      <c r="D5666">
        <v>5.3574060000000001</v>
      </c>
      <c r="E5666">
        <v>0.46316170000000001</v>
      </c>
      <c r="F5666" t="s">
        <v>41</v>
      </c>
      <c r="G5666">
        <v>-397.99439999999998</v>
      </c>
      <c r="H5666">
        <v>1.015042</v>
      </c>
      <c r="I5666">
        <v>25.931899999999999</v>
      </c>
      <c r="J5666">
        <v>-398.71820000000002</v>
      </c>
      <c r="K5666">
        <v>1.1090739999999999</v>
      </c>
      <c r="L5666">
        <v>26.11938</v>
      </c>
      <c r="M5666">
        <v>0.94759369999999998</v>
      </c>
      <c r="N5666">
        <v>0</v>
      </c>
      <c r="O5666">
        <v>-0.31947769999999998</v>
      </c>
      <c r="P5666">
        <v>0.93154199999999998</v>
      </c>
      <c r="Q5666">
        <v>-9.0013260000000005E-3</v>
      </c>
      <c r="R5666">
        <v>-0.36352230000000002</v>
      </c>
      <c r="S5666">
        <v>2.9027099999999999</v>
      </c>
      <c r="T5666">
        <v>-0.28320479999999998</v>
      </c>
      <c r="U5666">
        <v>-0.80700680000000002</v>
      </c>
      <c r="V5666">
        <v>4.6876090000000002E-2</v>
      </c>
      <c r="W5666">
        <v>-8.545693E-3</v>
      </c>
      <c r="X5666">
        <v>0.99886419999999998</v>
      </c>
      <c r="Y5666">
        <v>-5.2415179999999999E-2</v>
      </c>
      <c r="Z5666">
        <v>3.2289350000000001E-2</v>
      </c>
      <c r="AA5666">
        <v>0.99810319999999997</v>
      </c>
      <c r="AB5666">
        <v>32</v>
      </c>
      <c r="AC5666">
        <v>0.72380000000003897</v>
      </c>
      <c r="AD5666">
        <v>-9.4031999999999893E-2</v>
      </c>
      <c r="AE5666">
        <v>-0.18748000000000001</v>
      </c>
      <c r="AF5666">
        <v>-5.2748792417295402E-2</v>
      </c>
      <c r="AG5666">
        <v>-9.4031999999999893E-2</v>
      </c>
      <c r="AH5666">
        <v>0.734152297652505</v>
      </c>
      <c r="AI5666">
        <v>97.280276651086695</v>
      </c>
      <c r="AJ5666">
        <v>94.109635673429594</v>
      </c>
      <c r="AK5666">
        <v>0.74202698621676499</v>
      </c>
      <c r="AL5666">
        <v>90.489638080424996</v>
      </c>
      <c r="AM5666">
        <v>87.313115225931099</v>
      </c>
      <c r="AN5666">
        <v>1.0000000433620799</v>
      </c>
    </row>
    <row r="5667" spans="1:40" x14ac:dyDescent="0.25">
      <c r="A5667" t="str">
        <f>"20190312154409798"</f>
        <v>20190312154409798</v>
      </c>
      <c r="B5667" t="str">
        <f>"1552376649793698"</f>
        <v>1552376649793698</v>
      </c>
      <c r="C5667" t="s">
        <v>40</v>
      </c>
      <c r="D5667">
        <v>5.3288580000000003</v>
      </c>
      <c r="E5667">
        <v>0.46321499999999999</v>
      </c>
      <c r="F5667" t="s">
        <v>71</v>
      </c>
      <c r="G5667">
        <v>-387.2484</v>
      </c>
      <c r="H5667" s="1">
        <v>-2.1849550000000001E-6</v>
      </c>
      <c r="I5667">
        <v>22.937950000000001</v>
      </c>
      <c r="J5667">
        <v>-398.5496</v>
      </c>
      <c r="K5667">
        <v>1.109167</v>
      </c>
      <c r="L5667">
        <v>26.063020000000002</v>
      </c>
      <c r="M5667">
        <v>0.94777699999999998</v>
      </c>
      <c r="N5667">
        <v>0</v>
      </c>
      <c r="O5667">
        <v>-0.31893379999999999</v>
      </c>
      <c r="P5667">
        <v>0.93175569999999996</v>
      </c>
      <c r="Q5667">
        <v>-8.9578309999999994E-3</v>
      </c>
      <c r="R5667">
        <v>-0.36297610000000002</v>
      </c>
      <c r="S5667">
        <v>2.9035030000000002</v>
      </c>
      <c r="T5667">
        <v>-0.28075529999999999</v>
      </c>
      <c r="U5667">
        <v>-0.80535889999999999</v>
      </c>
      <c r="V5667">
        <v>4.6865240000000002E-2</v>
      </c>
      <c r="W5667">
        <v>-8.45745E-3</v>
      </c>
      <c r="X5667">
        <v>0.99886540000000001</v>
      </c>
      <c r="Y5667">
        <v>-5.2467670000000001E-2</v>
      </c>
      <c r="Z5667">
        <v>3.1960189999999999E-2</v>
      </c>
      <c r="AA5667">
        <v>0.99811110000000003</v>
      </c>
      <c r="AB5667">
        <v>32</v>
      </c>
      <c r="AC5667">
        <v>11.3011999999999</v>
      </c>
      <c r="AD5667">
        <v>-1.1091691849550001</v>
      </c>
      <c r="AE5667">
        <v>-3.12507</v>
      </c>
      <c r="AF5667">
        <v>-0.63676713264294504</v>
      </c>
      <c r="AG5667">
        <v>-1.1091691849550001</v>
      </c>
      <c r="AH5667">
        <v>11.603871588363599</v>
      </c>
      <c r="AI5667">
        <v>95.451940056916698</v>
      </c>
      <c r="AJ5667">
        <v>93.140978712857205</v>
      </c>
      <c r="AK5667">
        <v>11.6741408463878</v>
      </c>
      <c r="AL5667">
        <v>90.484581975577797</v>
      </c>
      <c r="AM5667">
        <v>87.313739447122103</v>
      </c>
      <c r="AN5667">
        <v>0.999999983248959</v>
      </c>
    </row>
    <row r="5668" spans="1:40" x14ac:dyDescent="0.25">
      <c r="A5668" t="str">
        <f>"20190312154409812"</f>
        <v>20190312154409812</v>
      </c>
      <c r="B5668" t="str">
        <f>"1552376649803458"</f>
        <v>1552376649803458</v>
      </c>
      <c r="C5668" t="s">
        <v>40</v>
      </c>
      <c r="D5668">
        <v>5.3144900000000002</v>
      </c>
      <c r="E5668">
        <v>0.46321059999999997</v>
      </c>
      <c r="F5668" t="s">
        <v>71</v>
      </c>
      <c r="G5668">
        <v>-387.1</v>
      </c>
      <c r="H5668" s="1">
        <v>-2.2432509999999999E-6</v>
      </c>
      <c r="I5668">
        <v>22.893519999999999</v>
      </c>
      <c r="J5668">
        <v>-398.3682</v>
      </c>
      <c r="K5668">
        <v>1.1092759999999999</v>
      </c>
      <c r="L5668">
        <v>26.002500000000001</v>
      </c>
      <c r="M5668">
        <v>0.9479919</v>
      </c>
      <c r="N5668">
        <v>0</v>
      </c>
      <c r="O5668">
        <v>-0.31829449999999998</v>
      </c>
      <c r="P5668">
        <v>0.93195689999999998</v>
      </c>
      <c r="Q5668">
        <v>-8.739719E-3</v>
      </c>
      <c r="R5668">
        <v>-0.3624638</v>
      </c>
      <c r="S5668">
        <v>2.9039000000000001</v>
      </c>
      <c r="T5668">
        <v>-0.28131319999999999</v>
      </c>
      <c r="U5668">
        <v>-0.80386349999999995</v>
      </c>
      <c r="V5668">
        <v>4.6991030000000003E-2</v>
      </c>
      <c r="W5668">
        <v>-8.1822969999999998E-3</v>
      </c>
      <c r="X5668">
        <v>0.99886180000000002</v>
      </c>
      <c r="Y5668">
        <v>-5.2303839999999997E-2</v>
      </c>
      <c r="Z5668">
        <v>3.1957340000000001E-2</v>
      </c>
      <c r="AA5668">
        <v>0.9981198</v>
      </c>
      <c r="AB5668">
        <v>32</v>
      </c>
      <c r="AC5668">
        <v>11.268199999999901</v>
      </c>
      <c r="AD5668">
        <v>-1.109278243251</v>
      </c>
      <c r="AE5668">
        <v>-3.1089799999999901</v>
      </c>
      <c r="AF5668">
        <v>-0.63361220477567504</v>
      </c>
      <c r="AG5668">
        <v>-1.109278243251</v>
      </c>
      <c r="AH5668">
        <v>11.5675613742722</v>
      </c>
      <c r="AI5668">
        <v>95.469514260439695</v>
      </c>
      <c r="AJ5668">
        <v>93.135238482436193</v>
      </c>
      <c r="AK5668">
        <v>11.6378880727795</v>
      </c>
      <c r="AL5668">
        <v>90.468816315570393</v>
      </c>
      <c r="AM5668">
        <v>87.3065302224053</v>
      </c>
      <c r="AN5668">
        <v>1.0000000011919401</v>
      </c>
    </row>
    <row r="5669" spans="1:40" x14ac:dyDescent="0.25">
      <c r="A5669" t="str">
        <f>"20190312154409823"</f>
        <v>20190312154409823</v>
      </c>
      <c r="B5669" t="str">
        <f>"1552376649813217"</f>
        <v>1552376649813217</v>
      </c>
      <c r="C5669" t="s">
        <v>40</v>
      </c>
      <c r="D5669">
        <v>5.3440719999999997</v>
      </c>
      <c r="E5669">
        <v>0.4631961</v>
      </c>
      <c r="F5669" t="s">
        <v>41</v>
      </c>
      <c r="G5669">
        <v>-397.44589999999999</v>
      </c>
      <c r="H5669">
        <v>1.019995</v>
      </c>
      <c r="I5669">
        <v>25.747499999999999</v>
      </c>
      <c r="J5669">
        <v>-398.19940000000003</v>
      </c>
      <c r="K5669">
        <v>1.1093919999999999</v>
      </c>
      <c r="L5669">
        <v>25.946380000000001</v>
      </c>
      <c r="M5669">
        <v>0.94821940000000005</v>
      </c>
      <c r="N5669">
        <v>0</v>
      </c>
      <c r="O5669">
        <v>-0.3176156</v>
      </c>
      <c r="P5669">
        <v>0.93219269999999999</v>
      </c>
      <c r="Q5669">
        <v>-8.7893699999999995E-3</v>
      </c>
      <c r="R5669">
        <v>-0.3618555</v>
      </c>
      <c r="S5669">
        <v>2.9044490000000001</v>
      </c>
      <c r="T5669">
        <v>-0.28131119999999998</v>
      </c>
      <c r="U5669">
        <v>-0.80200199999999999</v>
      </c>
      <c r="V5669">
        <v>4.7056769999999998E-2</v>
      </c>
      <c r="W5669">
        <v>-8.1648209999999992E-3</v>
      </c>
      <c r="X5669">
        <v>0.99885889999999999</v>
      </c>
      <c r="Y5669">
        <v>-5.2234839999999998E-2</v>
      </c>
      <c r="Z5669">
        <v>3.1891059999999999E-2</v>
      </c>
      <c r="AA5669">
        <v>0.9981255</v>
      </c>
      <c r="AB5669">
        <v>32</v>
      </c>
      <c r="AC5669">
        <v>0.75350000000003003</v>
      </c>
      <c r="AD5669">
        <v>-8.9396999999999893E-2</v>
      </c>
      <c r="AE5669">
        <v>-0.198879999999999</v>
      </c>
      <c r="AF5669">
        <v>-5.00824400110461E-2</v>
      </c>
      <c r="AG5669">
        <v>-8.9396999999999893E-2</v>
      </c>
      <c r="AH5669">
        <v>0.76755042822222597</v>
      </c>
      <c r="AI5669">
        <v>96.629366040790103</v>
      </c>
      <c r="AJ5669">
        <v>93.733240666388596</v>
      </c>
      <c r="AK5669">
        <v>0.77436020963798402</v>
      </c>
      <c r="AL5669">
        <v>90.467814956839803</v>
      </c>
      <c r="AM5669">
        <v>87.302759825419997</v>
      </c>
      <c r="AN5669">
        <v>1.0000000530069999</v>
      </c>
    </row>
    <row r="5670" spans="1:40" x14ac:dyDescent="0.25">
      <c r="A5670" t="str">
        <f>"20190312154409842"</f>
        <v>20190312154409842</v>
      </c>
      <c r="B5670" t="str">
        <f>"1552376649833714"</f>
        <v>1552376649833714</v>
      </c>
      <c r="C5670" t="s">
        <v>40</v>
      </c>
      <c r="D5670">
        <v>5.322038</v>
      </c>
      <c r="E5670">
        <v>0.46323110000000001</v>
      </c>
      <c r="F5670" t="s">
        <v>71</v>
      </c>
      <c r="G5670">
        <v>-386.77080000000001</v>
      </c>
      <c r="H5670" s="1">
        <v>-2.374081E-6</v>
      </c>
      <c r="I5670">
        <v>22.800360000000001</v>
      </c>
      <c r="J5670">
        <v>-397.95940000000002</v>
      </c>
      <c r="K5670">
        <v>1.1095699999999999</v>
      </c>
      <c r="L5670">
        <v>25.866969999999998</v>
      </c>
      <c r="M5670">
        <v>0.9485867</v>
      </c>
      <c r="N5670">
        <v>0</v>
      </c>
      <c r="O5670">
        <v>-0.31651689999999999</v>
      </c>
      <c r="P5670">
        <v>0.9323977</v>
      </c>
      <c r="Q5670">
        <v>-8.6497329999999997E-3</v>
      </c>
      <c r="R5670">
        <v>-0.3613307</v>
      </c>
      <c r="S5670">
        <v>2.9051209999999998</v>
      </c>
      <c r="T5670">
        <v>-0.28200589999999998</v>
      </c>
      <c r="U5670">
        <v>-0.79971309999999995</v>
      </c>
      <c r="V5670">
        <v>4.7653630000000002E-2</v>
      </c>
      <c r="W5670">
        <v>-7.9063099999999997E-3</v>
      </c>
      <c r="X5670">
        <v>0.99883259999999996</v>
      </c>
      <c r="Y5670">
        <v>-5.1866540000000003E-2</v>
      </c>
      <c r="Z5670">
        <v>3.1851049999999999E-2</v>
      </c>
      <c r="AA5670">
        <v>0.99814599999999998</v>
      </c>
      <c r="AB5670">
        <v>32</v>
      </c>
      <c r="AC5670">
        <v>11.188599999999999</v>
      </c>
      <c r="AD5670">
        <v>-1.109572374081</v>
      </c>
      <c r="AE5670">
        <v>-3.0666099999999998</v>
      </c>
      <c r="AF5670">
        <v>-0.62670286915496298</v>
      </c>
      <c r="AG5670">
        <v>-1.109572374081</v>
      </c>
      <c r="AH5670">
        <v>11.4789889398303</v>
      </c>
      <c r="AI5670">
        <v>95.512964365195899</v>
      </c>
      <c r="AJ5670">
        <v>93.124997943761201</v>
      </c>
      <c r="AK5670">
        <v>11.5495062414061</v>
      </c>
      <c r="AL5670">
        <v>90.453002927482203</v>
      </c>
      <c r="AM5670">
        <v>87.268528168283495</v>
      </c>
      <c r="AN5670">
        <v>0.99999997050637601</v>
      </c>
    </row>
    <row r="5671" spans="1:40" x14ac:dyDescent="0.25">
      <c r="A5671" t="str">
        <f>"20190312154409854"</f>
        <v>20190312154409854</v>
      </c>
      <c r="B5671" t="str">
        <f>"1552376649843475"</f>
        <v>1552376649843475</v>
      </c>
      <c r="C5671" t="s">
        <v>40</v>
      </c>
      <c r="D5671">
        <v>5.2790720000000002</v>
      </c>
      <c r="E5671">
        <v>0.46328599999999998</v>
      </c>
      <c r="F5671" t="s">
        <v>71</v>
      </c>
      <c r="G5671">
        <v>-386.55579999999998</v>
      </c>
      <c r="H5671" s="1">
        <v>-2.4581229999999998E-6</v>
      </c>
      <c r="I5671">
        <v>22.734110000000001</v>
      </c>
      <c r="J5671">
        <v>-397.7878</v>
      </c>
      <c r="K5671">
        <v>1.1097049999999999</v>
      </c>
      <c r="L5671">
        <v>25.810420000000001</v>
      </c>
      <c r="M5671">
        <v>0.94887920000000003</v>
      </c>
      <c r="N5671">
        <v>0</v>
      </c>
      <c r="O5671">
        <v>-0.31563920000000001</v>
      </c>
      <c r="P5671">
        <v>0.93267869999999997</v>
      </c>
      <c r="Q5671">
        <v>-8.4002019999999903E-3</v>
      </c>
      <c r="R5671">
        <v>-0.36061070000000001</v>
      </c>
      <c r="S5671">
        <v>2.9055179999999998</v>
      </c>
      <c r="T5671">
        <v>-0.28270590000000001</v>
      </c>
      <c r="U5671">
        <v>-0.79821779999999998</v>
      </c>
      <c r="V5671">
        <v>4.7807299999999997E-2</v>
      </c>
      <c r="W5671">
        <v>-7.5557489999999996E-3</v>
      </c>
      <c r="X5671">
        <v>0.99882800000000005</v>
      </c>
      <c r="Y5671">
        <v>-5.14528E-2</v>
      </c>
      <c r="Z5671">
        <v>3.183006E-2</v>
      </c>
      <c r="AA5671">
        <v>0.9981681</v>
      </c>
      <c r="AB5671">
        <v>32</v>
      </c>
      <c r="AC5671">
        <v>11.231999999999999</v>
      </c>
      <c r="AD5671">
        <v>-1.109707458123</v>
      </c>
      <c r="AE5671">
        <v>-3.0763099999999901</v>
      </c>
      <c r="AF5671">
        <v>-0.62057808978429596</v>
      </c>
      <c r="AG5671">
        <v>-1.109707458123</v>
      </c>
      <c r="AH5671">
        <v>11.524175984490499</v>
      </c>
      <c r="AI5671">
        <v>95.492364561902804</v>
      </c>
      <c r="AJ5671">
        <v>93.082406569214598</v>
      </c>
      <c r="AK5671">
        <v>11.5941019458017</v>
      </c>
      <c r="AL5671">
        <v>90.432916647795096</v>
      </c>
      <c r="AM5671">
        <v>87.259720717794494</v>
      </c>
      <c r="AN5671">
        <v>1.0000000004301199</v>
      </c>
    </row>
    <row r="5672" spans="1:40" x14ac:dyDescent="0.25">
      <c r="A5672" t="str">
        <f>"20190312154409865"</f>
        <v>20190312154409865</v>
      </c>
      <c r="B5672" t="str">
        <f>"1552376649853235"</f>
        <v>1552376649853235</v>
      </c>
      <c r="C5672" t="s">
        <v>40</v>
      </c>
      <c r="D5672">
        <v>5.3106689999999999</v>
      </c>
      <c r="E5672">
        <v>0.46337509999999998</v>
      </c>
      <c r="F5672" t="s">
        <v>41</v>
      </c>
      <c r="G5672">
        <v>-396.88909999999998</v>
      </c>
      <c r="H5672">
        <v>1.0224610000000001</v>
      </c>
      <c r="I5672">
        <v>25.564250000000001</v>
      </c>
      <c r="J5672">
        <v>-397.62509999999997</v>
      </c>
      <c r="K5672">
        <v>1.1098399999999999</v>
      </c>
      <c r="L5672">
        <v>25.75705</v>
      </c>
      <c r="M5672">
        <v>0.94917620000000003</v>
      </c>
      <c r="N5672">
        <v>0</v>
      </c>
      <c r="O5672">
        <v>-0.31474469999999999</v>
      </c>
      <c r="P5672">
        <v>0.93293789999999999</v>
      </c>
      <c r="Q5672">
        <v>-8.1818489999999997E-3</v>
      </c>
      <c r="R5672">
        <v>-0.35994480000000001</v>
      </c>
      <c r="S5672">
        <v>2.906158</v>
      </c>
      <c r="T5672">
        <v>-0.28223690000000001</v>
      </c>
      <c r="U5672">
        <v>-0.79620360000000001</v>
      </c>
      <c r="V5672">
        <v>4.8036200000000001E-2</v>
      </c>
      <c r="W5672">
        <v>-7.2298650000000002E-3</v>
      </c>
      <c r="X5672">
        <v>0.99881940000000002</v>
      </c>
      <c r="Y5672">
        <v>-5.1221099999999999E-2</v>
      </c>
      <c r="Z5672">
        <v>3.1683490000000002E-2</v>
      </c>
      <c r="AA5672">
        <v>0.99818459999999998</v>
      </c>
      <c r="AB5672">
        <v>32</v>
      </c>
      <c r="AC5672">
        <v>0.73599999999999</v>
      </c>
      <c r="AD5672">
        <v>-8.7378999999999804E-2</v>
      </c>
      <c r="AE5672">
        <v>-0.192799999999998</v>
      </c>
      <c r="AF5672">
        <v>-4.80175980843488E-2</v>
      </c>
      <c r="AG5672">
        <v>-8.7378999999999804E-2</v>
      </c>
      <c r="AH5672">
        <v>0.74939232559746005</v>
      </c>
      <c r="AI5672">
        <v>96.637156468999507</v>
      </c>
      <c r="AJ5672">
        <v>93.666236896432096</v>
      </c>
      <c r="AK5672">
        <v>0.75599579167556197</v>
      </c>
      <c r="AL5672">
        <v>90.414244371990506</v>
      </c>
      <c r="AM5672">
        <v>87.246596809790802</v>
      </c>
      <c r="AN5672">
        <v>0.99999997063735802</v>
      </c>
    </row>
    <row r="5673" spans="1:40" x14ac:dyDescent="0.25">
      <c r="A5673" t="str">
        <f>"20190312154409878"</f>
        <v>20190312154409878</v>
      </c>
      <c r="B5673" t="str">
        <f>"1552376649873730"</f>
        <v>1552376649873730</v>
      </c>
      <c r="C5673" t="s">
        <v>40</v>
      </c>
      <c r="D5673">
        <v>5.3949290000000003</v>
      </c>
      <c r="E5673">
        <v>0.48770200000000002</v>
      </c>
      <c r="F5673" t="s">
        <v>71</v>
      </c>
      <c r="G5673">
        <v>-386.16789999999997</v>
      </c>
      <c r="H5673" s="1">
        <v>-2.6122600000000001E-6</v>
      </c>
      <c r="I5673">
        <v>22.624320000000001</v>
      </c>
      <c r="J5673">
        <v>-397.46519999999998</v>
      </c>
      <c r="K5673">
        <v>1.1099810000000001</v>
      </c>
      <c r="L5673">
        <v>25.70496</v>
      </c>
      <c r="M5673">
        <v>0.94950100000000004</v>
      </c>
      <c r="N5673">
        <v>0</v>
      </c>
      <c r="O5673">
        <v>-0.31376300000000001</v>
      </c>
      <c r="P5673">
        <v>0.93325530000000001</v>
      </c>
      <c r="Q5673">
        <v>-7.9422780000000005E-3</v>
      </c>
      <c r="R5673">
        <v>-0.35912709999999998</v>
      </c>
      <c r="S5673">
        <v>2.906555</v>
      </c>
      <c r="T5673">
        <v>-0.28155429999999998</v>
      </c>
      <c r="U5673">
        <v>-0.79473879999999997</v>
      </c>
      <c r="V5673">
        <v>4.819408E-2</v>
      </c>
      <c r="W5673">
        <v>-6.8663830000000002E-3</v>
      </c>
      <c r="X5673">
        <v>0.99881439999999999</v>
      </c>
      <c r="Y5673">
        <v>-5.0704609999999997E-2</v>
      </c>
      <c r="Z5673">
        <v>3.149366E-2</v>
      </c>
      <c r="AA5673">
        <v>0.99821700000000002</v>
      </c>
      <c r="AB5673">
        <v>32</v>
      </c>
      <c r="AC5673">
        <v>11.2973</v>
      </c>
      <c r="AD5673">
        <v>-1.10998361226</v>
      </c>
      <c r="AE5673">
        <v>-3.0806399999999901</v>
      </c>
      <c r="AF5673">
        <v>-0.614086400410642</v>
      </c>
      <c r="AG5673">
        <v>-1.10998361226</v>
      </c>
      <c r="AH5673">
        <v>11.5892587688906</v>
      </c>
      <c r="AI5673">
        <v>95.463308087212695</v>
      </c>
      <c r="AJ5673">
        <v>93.033126282345705</v>
      </c>
      <c r="AK5673">
        <v>11.658476939075801</v>
      </c>
      <c r="AL5673">
        <v>90.393417853518798</v>
      </c>
      <c r="AM5673">
        <v>87.237547420263496</v>
      </c>
      <c r="AN5673">
        <v>1.0000000111049501</v>
      </c>
    </row>
    <row r="5674" spans="1:40" x14ac:dyDescent="0.25">
      <c r="A5674" t="str">
        <f>"20190312154409890"</f>
        <v>20190312154409890</v>
      </c>
      <c r="B5674" t="str">
        <f>"1552376649883490"</f>
        <v>1552376649883490</v>
      </c>
      <c r="C5674" t="s">
        <v>40</v>
      </c>
      <c r="D5674">
        <v>5.3504199999999997</v>
      </c>
      <c r="E5674">
        <v>0.4920774</v>
      </c>
      <c r="F5674" t="s">
        <v>41</v>
      </c>
      <c r="G5674">
        <v>-396.64</v>
      </c>
      <c r="H5674">
        <v>1.02889599999999</v>
      </c>
      <c r="I5674">
        <v>25.421559999999999</v>
      </c>
      <c r="J5674">
        <v>-397.29149999999998</v>
      </c>
      <c r="K5674">
        <v>1.1101379999999901</v>
      </c>
      <c r="L5674">
        <v>25.64847</v>
      </c>
      <c r="M5674">
        <v>0.94986839999999995</v>
      </c>
      <c r="N5674">
        <v>0</v>
      </c>
      <c r="O5674">
        <v>-0.3126488</v>
      </c>
      <c r="P5674">
        <v>0.93357049999999997</v>
      </c>
      <c r="Q5674">
        <v>-8.0052739999999997E-3</v>
      </c>
      <c r="R5674">
        <v>-0.35830529999999999</v>
      </c>
      <c r="S5674">
        <v>2.837555</v>
      </c>
      <c r="T5674">
        <v>-0.278939099999999</v>
      </c>
      <c r="U5674">
        <v>-0.97354130000000005</v>
      </c>
      <c r="V5674">
        <v>4.8488700000000003E-2</v>
      </c>
      <c r="W5674">
        <v>-6.7856499999999998E-3</v>
      </c>
      <c r="X5674">
        <v>0.99880069999999999</v>
      </c>
      <c r="Y5674">
        <v>1.3748109999999999E-2</v>
      </c>
      <c r="Z5674">
        <v>2.8396319999999999E-2</v>
      </c>
      <c r="AA5674">
        <v>0.99950220000000001</v>
      </c>
      <c r="AB5674">
        <v>33</v>
      </c>
      <c r="AC5674">
        <v>0.65149999999999797</v>
      </c>
      <c r="AD5674">
        <v>-8.1241999999999995E-2</v>
      </c>
      <c r="AE5674">
        <v>-0.22691</v>
      </c>
      <c r="AF5674">
        <v>1.1681946589408999E-2</v>
      </c>
      <c r="AG5674">
        <v>-8.1241999999999995E-2</v>
      </c>
      <c r="AH5674">
        <v>0.68034771135467098</v>
      </c>
      <c r="AI5674">
        <v>96.808591746420902</v>
      </c>
      <c r="AJ5674">
        <v>89.0162964351141</v>
      </c>
      <c r="AK5674">
        <v>0.685280773687441</v>
      </c>
      <c r="AL5674">
        <v>90.388792082680695</v>
      </c>
      <c r="AM5674">
        <v>87.220648333981899</v>
      </c>
      <c r="AN5674">
        <v>1.0000000186970499</v>
      </c>
    </row>
    <row r="5675" spans="1:40" x14ac:dyDescent="0.25">
      <c r="A5675" t="str">
        <f>"20190312154409902"</f>
        <v>20190312154409902</v>
      </c>
      <c r="B5675" t="str">
        <f>"1552376649893251"</f>
        <v>1552376649893251</v>
      </c>
      <c r="C5675" t="s">
        <v>40</v>
      </c>
      <c r="D5675">
        <v>5.3249630000000003</v>
      </c>
      <c r="E5675">
        <v>0.49530429999999998</v>
      </c>
      <c r="F5675" t="s">
        <v>41</v>
      </c>
      <c r="G5675">
        <v>-396.37009999999998</v>
      </c>
      <c r="H5675">
        <v>1.0188919999999999</v>
      </c>
      <c r="I5675">
        <v>25.32131</v>
      </c>
      <c r="J5675">
        <v>-397.11579999999998</v>
      </c>
      <c r="K5675">
        <v>1.1103069999999999</v>
      </c>
      <c r="L5675">
        <v>25.59177</v>
      </c>
      <c r="M5675">
        <v>0.95027629999999996</v>
      </c>
      <c r="N5675">
        <v>0</v>
      </c>
      <c r="O5675">
        <v>-0.31140570000000001</v>
      </c>
      <c r="P5675">
        <v>0.93396699999999999</v>
      </c>
      <c r="Q5675">
        <v>-8.0634750000000005E-3</v>
      </c>
      <c r="R5675">
        <v>-0.3572688</v>
      </c>
      <c r="S5675">
        <v>2.825958</v>
      </c>
      <c r="T5675">
        <v>-0.2798909</v>
      </c>
      <c r="U5675">
        <v>-1.0034179999999999</v>
      </c>
      <c r="V5675">
        <v>4.8688960000000003E-2</v>
      </c>
      <c r="W5675">
        <v>-6.6757789999999997E-3</v>
      </c>
      <c r="X5675">
        <v>0.99879169999999995</v>
      </c>
      <c r="Y5675">
        <v>2.5685989999999999E-2</v>
      </c>
      <c r="Z5675">
        <v>2.7858839999999999E-2</v>
      </c>
      <c r="AA5675">
        <v>0.9992818</v>
      </c>
      <c r="AB5675">
        <v>33</v>
      </c>
      <c r="AC5675">
        <v>0.74569999999999903</v>
      </c>
      <c r="AD5675">
        <v>-9.1414999999999996E-2</v>
      </c>
      <c r="AE5675">
        <v>-0.27045999999999898</v>
      </c>
      <c r="AF5675">
        <v>2.4471506707862599E-2</v>
      </c>
      <c r="AG5675">
        <v>-9.1414999999999996E-2</v>
      </c>
      <c r="AH5675">
        <v>0.78245255552217796</v>
      </c>
      <c r="AI5675">
        <v>96.660507254946296</v>
      </c>
      <c r="AJ5675">
        <v>88.208636227599399</v>
      </c>
      <c r="AK5675">
        <v>0.788154527049575</v>
      </c>
      <c r="AL5675">
        <v>90.382496794947599</v>
      </c>
      <c r="AM5675">
        <v>87.209162518228695</v>
      </c>
      <c r="AN5675">
        <v>1.0000000204200099</v>
      </c>
    </row>
    <row r="5676" spans="1:40" x14ac:dyDescent="0.25">
      <c r="A5676" t="str">
        <f>"20190312154409919"</f>
        <v>20190312154409919</v>
      </c>
      <c r="B5676" t="str">
        <f>"1552376649913747"</f>
        <v>1552376649913747</v>
      </c>
      <c r="C5676" t="s">
        <v>40</v>
      </c>
      <c r="D5676">
        <v>5.3245969999999998</v>
      </c>
      <c r="E5676">
        <v>0.49782759999999998</v>
      </c>
      <c r="F5676" t="s">
        <v>41</v>
      </c>
      <c r="G5676">
        <v>-396.36349999999999</v>
      </c>
      <c r="H5676">
        <v>1.0341480000000001</v>
      </c>
      <c r="I5676">
        <v>25.318370000000002</v>
      </c>
      <c r="J5676">
        <v>-396.89240000000001</v>
      </c>
      <c r="K5676">
        <v>1.110522</v>
      </c>
      <c r="L5676">
        <v>25.520140000000001</v>
      </c>
      <c r="M5676">
        <v>0.95082869999999997</v>
      </c>
      <c r="N5676">
        <v>0</v>
      </c>
      <c r="O5676">
        <v>-0.3097142</v>
      </c>
      <c r="P5676">
        <v>0.93457840000000003</v>
      </c>
      <c r="Q5676">
        <v>-8.6835509999999994E-3</v>
      </c>
      <c r="R5676">
        <v>-0.3556513</v>
      </c>
      <c r="S5676">
        <v>2.8179630000000002</v>
      </c>
      <c r="T5676">
        <v>-0.2852151</v>
      </c>
      <c r="U5676">
        <v>-1.0239560000000001</v>
      </c>
      <c r="V5676">
        <v>4.8743799999999997E-2</v>
      </c>
      <c r="W5676">
        <v>-7.064908E-3</v>
      </c>
      <c r="X5676">
        <v>0.99878630000000002</v>
      </c>
      <c r="Y5676">
        <v>3.4807200000000003E-2</v>
      </c>
      <c r="Z5676">
        <v>2.781873E-2</v>
      </c>
      <c r="AA5676">
        <v>0.99900679999999997</v>
      </c>
      <c r="AB5676">
        <v>33</v>
      </c>
      <c r="AC5676">
        <v>0.52890000000002102</v>
      </c>
      <c r="AD5676">
        <v>-7.63739999999999E-2</v>
      </c>
      <c r="AE5676">
        <v>-0.20176999999999601</v>
      </c>
      <c r="AF5676">
        <v>2.7539598048613799E-2</v>
      </c>
      <c r="AG5676">
        <v>-7.63739999999999E-2</v>
      </c>
      <c r="AH5676">
        <v>0.55527732476881997</v>
      </c>
      <c r="AI5676">
        <v>97.821947966889894</v>
      </c>
      <c r="AJ5676">
        <v>87.160678436321206</v>
      </c>
      <c r="AK5676">
        <v>0.56118118708586195</v>
      </c>
      <c r="AL5676">
        <v>90.404792789822494</v>
      </c>
      <c r="AM5676">
        <v>87.206009001056003</v>
      </c>
      <c r="AN5676">
        <v>0.99999997201558799</v>
      </c>
    </row>
    <row r="5677" spans="1:40" x14ac:dyDescent="0.25">
      <c r="A5677" t="str">
        <f>"20190312154409931"</f>
        <v>20190312154409931</v>
      </c>
      <c r="B5677" t="str">
        <f>"1552376649923506"</f>
        <v>1552376649923506</v>
      </c>
      <c r="C5677" t="s">
        <v>40</v>
      </c>
      <c r="D5677">
        <v>5.350568</v>
      </c>
      <c r="E5677">
        <v>0.49854029999999999</v>
      </c>
      <c r="F5677" t="s">
        <v>41</v>
      </c>
      <c r="G5677">
        <v>-396.08929999999998</v>
      </c>
      <c r="H5677">
        <v>1.02689599999999</v>
      </c>
      <c r="I5677">
        <v>25.22353</v>
      </c>
      <c r="J5677">
        <v>-396.72179999999997</v>
      </c>
      <c r="K5677">
        <v>1.1106879999999999</v>
      </c>
      <c r="L5677">
        <v>25.46576</v>
      </c>
      <c r="M5677">
        <v>0.95127150000000005</v>
      </c>
      <c r="N5677">
        <v>0</v>
      </c>
      <c r="O5677">
        <v>-0.30835119999999999</v>
      </c>
      <c r="P5677">
        <v>0.93507229999999997</v>
      </c>
      <c r="Q5677">
        <v>-8.863414E-3</v>
      </c>
      <c r="R5677">
        <v>-0.35434660000000001</v>
      </c>
      <c r="S5677">
        <v>2.8124690000000001</v>
      </c>
      <c r="T5677">
        <v>-0.29303030000000002</v>
      </c>
      <c r="U5677">
        <v>-1.0375669999999999</v>
      </c>
      <c r="V5677">
        <v>4.8784099999999997E-2</v>
      </c>
      <c r="W5677">
        <v>-7.0571169999999999E-3</v>
      </c>
      <c r="X5677">
        <v>0.99878440000000002</v>
      </c>
      <c r="Y5677">
        <v>4.1159000000000001E-2</v>
      </c>
      <c r="Z5677">
        <v>2.815312E-2</v>
      </c>
      <c r="AA5677">
        <v>0.99875590000000003</v>
      </c>
      <c r="AB5677">
        <v>33</v>
      </c>
      <c r="AC5677">
        <v>0.63249999999999296</v>
      </c>
      <c r="AD5677">
        <v>-8.3792000000000005E-2</v>
      </c>
      <c r="AE5677">
        <v>-0.242229999999999</v>
      </c>
      <c r="AF5677">
        <v>3.4860836889179098E-2</v>
      </c>
      <c r="AG5677">
        <v>-8.3792000000000005E-2</v>
      </c>
      <c r="AH5677">
        <v>0.66617570846256602</v>
      </c>
      <c r="AI5677">
        <v>97.1593567227455</v>
      </c>
      <c r="AJ5677">
        <v>87.004456067278696</v>
      </c>
      <c r="AK5677">
        <v>0.672329124579782</v>
      </c>
      <c r="AL5677">
        <v>90.404346382215905</v>
      </c>
      <c r="AM5677">
        <v>87.203697361897795</v>
      </c>
      <c r="AN5677">
        <v>0.99999998449826</v>
      </c>
    </row>
    <row r="5678" spans="1:40" x14ac:dyDescent="0.25">
      <c r="A5678" t="str">
        <f>"20190312154409942"</f>
        <v>20190312154409942</v>
      </c>
      <c r="B5678" t="str">
        <f>"1552376649933266"</f>
        <v>1552376649933266</v>
      </c>
      <c r="C5678" t="s">
        <v>40</v>
      </c>
      <c r="D5678">
        <v>5.3360940000000001</v>
      </c>
      <c r="E5678">
        <v>0.49915540000000003</v>
      </c>
      <c r="F5678" t="s">
        <v>41</v>
      </c>
      <c r="G5678">
        <v>-395.81529999999998</v>
      </c>
      <c r="H5678">
        <v>1.0155379999999901</v>
      </c>
      <c r="I5678">
        <v>25.13073</v>
      </c>
      <c r="J5678">
        <v>-396.55770000000001</v>
      </c>
      <c r="K5678">
        <v>1.1108480000000001</v>
      </c>
      <c r="L5678">
        <v>25.41385</v>
      </c>
      <c r="M5678">
        <v>0.95172449999999997</v>
      </c>
      <c r="N5678">
        <v>0</v>
      </c>
      <c r="O5678">
        <v>-0.30694880000000002</v>
      </c>
      <c r="P5678">
        <v>0.93561419999999995</v>
      </c>
      <c r="Q5678">
        <v>-9.2598520000000007E-3</v>
      </c>
      <c r="R5678">
        <v>-0.35290349999999998</v>
      </c>
      <c r="S5678">
        <v>2.8118590000000001</v>
      </c>
      <c r="T5678">
        <v>-0.29522120000000002</v>
      </c>
      <c r="U5678">
        <v>-1.03891</v>
      </c>
      <c r="V5678">
        <v>4.8719510000000001E-2</v>
      </c>
      <c r="W5678">
        <v>-7.2592890000000004E-3</v>
      </c>
      <c r="X5678">
        <v>0.99878610000000001</v>
      </c>
      <c r="Y5678">
        <v>4.3124700000000002E-2</v>
      </c>
      <c r="Z5678">
        <v>2.8132910000000001E-2</v>
      </c>
      <c r="AA5678">
        <v>0.99867349999999999</v>
      </c>
      <c r="AB5678">
        <v>33</v>
      </c>
      <c r="AC5678">
        <v>0.74240000000003104</v>
      </c>
      <c r="AD5678">
        <v>-9.53100000000002E-2</v>
      </c>
      <c r="AE5678">
        <v>-0.28311999999999998</v>
      </c>
      <c r="AF5678">
        <v>4.09837954014333E-2</v>
      </c>
      <c r="AG5678">
        <v>-9.53100000000002E-2</v>
      </c>
      <c r="AH5678">
        <v>0.78220954343364202</v>
      </c>
      <c r="AI5678">
        <v>96.937658509174</v>
      </c>
      <c r="AJ5678">
        <v>87.000735572235499</v>
      </c>
      <c r="AK5678">
        <v>0.789059844006887</v>
      </c>
      <c r="AL5678">
        <v>90.415930283095705</v>
      </c>
      <c r="AM5678">
        <v>87.207398539209905</v>
      </c>
      <c r="AN5678">
        <v>0.999999980742317</v>
      </c>
    </row>
    <row r="5679" spans="1:40" x14ac:dyDescent="0.25">
      <c r="A5679" t="str">
        <f>"20190312154409964"</f>
        <v>20190312154409964</v>
      </c>
      <c r="B5679" t="str">
        <f>"1552376649953762"</f>
        <v>1552376649953762</v>
      </c>
      <c r="C5679" t="s">
        <v>40</v>
      </c>
      <c r="D5679">
        <v>5.297669</v>
      </c>
      <c r="E5679">
        <v>0.49971490000000002</v>
      </c>
      <c r="F5679" t="s">
        <v>41</v>
      </c>
      <c r="G5679">
        <v>-395.80540000000002</v>
      </c>
      <c r="H5679">
        <v>1.0319</v>
      </c>
      <c r="I5679">
        <v>25.13571</v>
      </c>
      <c r="J5679">
        <v>-396.25209999999998</v>
      </c>
      <c r="K5679">
        <v>1.1111359999999999</v>
      </c>
      <c r="L5679">
        <v>25.318020000000001</v>
      </c>
      <c r="M5679">
        <v>0.95261169999999995</v>
      </c>
      <c r="N5679">
        <v>0</v>
      </c>
      <c r="O5679">
        <v>-0.3041818</v>
      </c>
      <c r="P5679">
        <v>0.93641030000000003</v>
      </c>
      <c r="Q5679">
        <v>-9.6253080000000008E-3</v>
      </c>
      <c r="R5679">
        <v>-0.35077530000000001</v>
      </c>
      <c r="S5679">
        <v>2.8116150000000002</v>
      </c>
      <c r="T5679">
        <v>-0.29509459999999998</v>
      </c>
      <c r="U5679">
        <v>-1.039032</v>
      </c>
      <c r="V5679">
        <v>4.935606E-2</v>
      </c>
      <c r="W5679">
        <v>-7.2379319999999999E-3</v>
      </c>
      <c r="X5679">
        <v>0.99875499999999995</v>
      </c>
      <c r="Y5679">
        <v>4.6067509999999999E-2</v>
      </c>
      <c r="Z5679">
        <v>2.7711389999999999E-2</v>
      </c>
      <c r="AA5679">
        <v>0.99855389999999999</v>
      </c>
      <c r="AB5679">
        <v>33</v>
      </c>
      <c r="AC5679">
        <v>0.44669999999996401</v>
      </c>
      <c r="AD5679">
        <v>-7.9236000000000001E-2</v>
      </c>
      <c r="AE5679">
        <v>-0.182310000000001</v>
      </c>
      <c r="AF5679">
        <v>3.6800159954398601E-2</v>
      </c>
      <c r="AG5679">
        <v>-7.9236000000000001E-2</v>
      </c>
      <c r="AH5679">
        <v>0.46835587088282499</v>
      </c>
      <c r="AI5679">
        <v>99.5733655619415</v>
      </c>
      <c r="AJ5679">
        <v>85.507324888906993</v>
      </c>
      <c r="AK5679">
        <v>0.47643448370062302</v>
      </c>
      <c r="AL5679">
        <v>90.414706585611995</v>
      </c>
      <c r="AM5679">
        <v>87.170882447855703</v>
      </c>
      <c r="AN5679">
        <v>0.99999997917167904</v>
      </c>
    </row>
    <row r="5680" spans="1:40" x14ac:dyDescent="0.25">
      <c r="A5680" t="str">
        <f>"20190312154409977"</f>
        <v>20190312154409977</v>
      </c>
      <c r="B5680" t="str">
        <f>"1552376649963523"</f>
        <v>1552376649963523</v>
      </c>
      <c r="C5680" t="s">
        <v>40</v>
      </c>
      <c r="D5680">
        <v>5.2853199999999996</v>
      </c>
      <c r="E5680">
        <v>0.4998515</v>
      </c>
      <c r="F5680" t="s">
        <v>41</v>
      </c>
      <c r="G5680">
        <v>-395.52179999999998</v>
      </c>
      <c r="H5680">
        <v>1.0341899999999999</v>
      </c>
      <c r="I5680">
        <v>25.048480000000001</v>
      </c>
      <c r="J5680">
        <v>-396.07619999999997</v>
      </c>
      <c r="K5680">
        <v>1.1112949999999999</v>
      </c>
      <c r="L5680">
        <v>25.263459999999998</v>
      </c>
      <c r="M5680">
        <v>0.95315190000000005</v>
      </c>
      <c r="N5680">
        <v>0</v>
      </c>
      <c r="O5680">
        <v>-0.30248309999999901</v>
      </c>
      <c r="P5680">
        <v>0.93688640000000001</v>
      </c>
      <c r="Q5680">
        <v>-9.8369530000000007E-3</v>
      </c>
      <c r="R5680">
        <v>-0.34949540000000001</v>
      </c>
      <c r="S5680">
        <v>2.8122859999999998</v>
      </c>
      <c r="T5680">
        <v>-0.29660789999999998</v>
      </c>
      <c r="U5680">
        <v>-1.036835</v>
      </c>
      <c r="V5680">
        <v>4.9774529999999997E-2</v>
      </c>
      <c r="W5680">
        <v>-7.212553E-3</v>
      </c>
      <c r="X5680">
        <v>0.99873440000000002</v>
      </c>
      <c r="Y5680">
        <v>4.7083899999999998E-2</v>
      </c>
      <c r="Z5680">
        <v>2.763726E-2</v>
      </c>
      <c r="AA5680">
        <v>0.99850850000000002</v>
      </c>
      <c r="AB5680">
        <v>33</v>
      </c>
      <c r="AC5680">
        <v>0.55439999999998602</v>
      </c>
      <c r="AD5680">
        <v>-7.7105000000000201E-2</v>
      </c>
      <c r="AE5680">
        <v>-0.214980000000004</v>
      </c>
      <c r="AF5680">
        <v>3.6596712353221199E-2</v>
      </c>
      <c r="AG5680">
        <v>-7.7105000000000201E-2</v>
      </c>
      <c r="AH5680">
        <v>0.58364320341466303</v>
      </c>
      <c r="AI5680">
        <v>97.511172109449006</v>
      </c>
      <c r="AJ5680">
        <v>86.412027908154201</v>
      </c>
      <c r="AK5680">
        <v>0.58985073473904803</v>
      </c>
      <c r="AL5680">
        <v>90.413252444616305</v>
      </c>
      <c r="AM5680">
        <v>87.146876223898701</v>
      </c>
      <c r="AN5680">
        <v>0.99999996325042795</v>
      </c>
    </row>
    <row r="5681" spans="1:40" x14ac:dyDescent="0.25">
      <c r="A5681" t="str">
        <f>"20190312154409992"</f>
        <v>20190312154409992</v>
      </c>
      <c r="B5681" t="str">
        <f>"1552376649983043"</f>
        <v>1552376649983043</v>
      </c>
      <c r="C5681" t="s">
        <v>40</v>
      </c>
      <c r="D5681">
        <v>5.3386550000000002</v>
      </c>
      <c r="E5681">
        <v>0.50028030000000001</v>
      </c>
      <c r="F5681" t="s">
        <v>41</v>
      </c>
      <c r="G5681">
        <v>-395.24509999999998</v>
      </c>
      <c r="H5681">
        <v>1.023309</v>
      </c>
      <c r="I5681">
        <v>24.957830000000001</v>
      </c>
      <c r="J5681">
        <v>-395.86959999999999</v>
      </c>
      <c r="K5681">
        <v>1.1114759999999999</v>
      </c>
      <c r="L5681">
        <v>25.199739999999998</v>
      </c>
      <c r="M5681">
        <v>0.95380310000000001</v>
      </c>
      <c r="N5681">
        <v>0</v>
      </c>
      <c r="O5681">
        <v>-0.300421299999999</v>
      </c>
      <c r="P5681">
        <v>0.93750909999999998</v>
      </c>
      <c r="Q5681">
        <v>-9.9032630000000007E-3</v>
      </c>
      <c r="R5681">
        <v>-0.34781980000000001</v>
      </c>
      <c r="S5681">
        <v>2.8131710000000001</v>
      </c>
      <c r="T5681">
        <v>-0.29783809999999999</v>
      </c>
      <c r="U5681">
        <v>-1.034149</v>
      </c>
      <c r="V5681">
        <v>5.0149920000000001E-2</v>
      </c>
      <c r="W5681">
        <v>-6.9937849999999998E-3</v>
      </c>
      <c r="X5681">
        <v>0.99871719999999997</v>
      </c>
      <c r="Y5681">
        <v>4.8297220000000002E-2</v>
      </c>
      <c r="Z5681">
        <v>2.7488970000000001E-2</v>
      </c>
      <c r="AA5681">
        <v>0.99845470000000003</v>
      </c>
      <c r="AB5681">
        <v>33</v>
      </c>
      <c r="AC5681">
        <v>0.62450000000001105</v>
      </c>
      <c r="AD5681">
        <v>-8.8167000000000106E-2</v>
      </c>
      <c r="AE5681">
        <v>-0.24190999999999999</v>
      </c>
      <c r="AF5681">
        <v>4.2386932192813802E-2</v>
      </c>
      <c r="AG5681">
        <v>-8.8167000000000106E-2</v>
      </c>
      <c r="AH5681">
        <v>0.65694157568470601</v>
      </c>
      <c r="AI5681">
        <v>97.628218464882394</v>
      </c>
      <c r="AJ5681">
        <v>86.308300926963</v>
      </c>
      <c r="AK5681">
        <v>0.66418544531841694</v>
      </c>
      <c r="AL5681">
        <v>90.400717635479594</v>
      </c>
      <c r="AM5681">
        <v>87.125345041710503</v>
      </c>
      <c r="AN5681">
        <v>0.99999998654023603</v>
      </c>
    </row>
    <row r="5682" spans="1:40" x14ac:dyDescent="0.25">
      <c r="A5682" t="str">
        <f>"20190312154410009"</f>
        <v>20190312154410009</v>
      </c>
      <c r="B5682" t="str">
        <f>"1552376650003070"</f>
        <v>1552376650003070</v>
      </c>
      <c r="C5682" t="s">
        <v>40</v>
      </c>
      <c r="D5682">
        <v>5.3029190000000002</v>
      </c>
      <c r="E5682">
        <v>0.50064869999999995</v>
      </c>
      <c r="F5682" t="s">
        <v>41</v>
      </c>
      <c r="G5682">
        <v>-394.9658</v>
      </c>
      <c r="H5682">
        <v>1.0155419999999999</v>
      </c>
      <c r="I5682">
        <v>24.867920000000002</v>
      </c>
      <c r="J5682">
        <v>-395.61189999999999</v>
      </c>
      <c r="K5682">
        <v>1.111685</v>
      </c>
      <c r="L5682">
        <v>25.12115</v>
      </c>
      <c r="M5682">
        <v>0.95464660000000001</v>
      </c>
      <c r="N5682">
        <v>0</v>
      </c>
      <c r="O5682">
        <v>-0.29772670000000001</v>
      </c>
      <c r="P5682">
        <v>0.93814339999999996</v>
      </c>
      <c r="Q5682">
        <v>-9.6556000000000003E-3</v>
      </c>
      <c r="R5682">
        <v>-0.34611229999999998</v>
      </c>
      <c r="S5682">
        <v>2.8137819999999998</v>
      </c>
      <c r="T5682">
        <v>-0.29885600000000001</v>
      </c>
      <c r="U5682">
        <v>-1.03244</v>
      </c>
      <c r="V5682">
        <v>5.1149260000000002E-2</v>
      </c>
      <c r="W5682">
        <v>-6.3774490000000003E-3</v>
      </c>
      <c r="X5682">
        <v>0.99867059999999996</v>
      </c>
      <c r="Y5682">
        <v>5.0498399999999999E-2</v>
      </c>
      <c r="Z5682">
        <v>2.7208039999999999E-2</v>
      </c>
      <c r="AA5682">
        <v>0.9983535</v>
      </c>
      <c r="AB5682">
        <v>33</v>
      </c>
      <c r="AC5682">
        <v>0.64609999999998902</v>
      </c>
      <c r="AD5682">
        <v>-9.6143000000000006E-2</v>
      </c>
      <c r="AE5682">
        <v>-0.25322999999999801</v>
      </c>
      <c r="AF5682">
        <v>4.84541028729987E-2</v>
      </c>
      <c r="AG5682">
        <v>-9.6143000000000006E-2</v>
      </c>
      <c r="AH5682">
        <v>0.67915746123870802</v>
      </c>
      <c r="AI5682">
        <v>98.037215406731306</v>
      </c>
      <c r="AJ5682">
        <v>85.9191796483357</v>
      </c>
      <c r="AK5682">
        <v>0.687638083362487</v>
      </c>
      <c r="AL5682">
        <v>90.365403409563299</v>
      </c>
      <c r="AM5682">
        <v>87.068024047329104</v>
      </c>
      <c r="AN5682">
        <v>0.99999994297932504</v>
      </c>
    </row>
    <row r="5683" spans="1:40" x14ac:dyDescent="0.25">
      <c r="A5683" t="str">
        <f>"20190312154410032"</f>
        <v>20190312154410032</v>
      </c>
      <c r="B5683" t="str">
        <f>"1552376650023565"</f>
        <v>1552376650023565</v>
      </c>
      <c r="C5683" t="s">
        <v>40</v>
      </c>
      <c r="D5683">
        <v>5.2833360000000003</v>
      </c>
      <c r="E5683">
        <v>0.50094570000000005</v>
      </c>
      <c r="F5683" t="s">
        <v>41</v>
      </c>
      <c r="G5683">
        <v>-394.68209999999999</v>
      </c>
      <c r="H5683">
        <v>1.0132289999999999</v>
      </c>
      <c r="I5683">
        <v>24.780660000000001</v>
      </c>
      <c r="J5683">
        <v>-395.29050000000001</v>
      </c>
      <c r="K5683">
        <v>1.111912</v>
      </c>
      <c r="L5683">
        <v>25.024480000000001</v>
      </c>
      <c r="M5683">
        <v>0.95573629999999998</v>
      </c>
      <c r="N5683">
        <v>0</v>
      </c>
      <c r="O5683">
        <v>-0.29420550000000001</v>
      </c>
      <c r="P5683">
        <v>0.93927309999999997</v>
      </c>
      <c r="Q5683">
        <v>-9.5773100000000003E-3</v>
      </c>
      <c r="R5683">
        <v>-0.343037799999999</v>
      </c>
      <c r="S5683">
        <v>2.8146059999999999</v>
      </c>
      <c r="T5683">
        <v>-0.29818260000000002</v>
      </c>
      <c r="U5683">
        <v>-1.0303040000000001</v>
      </c>
      <c r="V5683">
        <v>5.1558149999999997E-2</v>
      </c>
      <c r="W5683">
        <v>-5.850844E-3</v>
      </c>
      <c r="X5683">
        <v>0.99865289999999995</v>
      </c>
      <c r="Y5683">
        <v>5.338242E-2</v>
      </c>
      <c r="Z5683">
        <v>2.6657759999999999E-2</v>
      </c>
      <c r="AA5683">
        <v>0.99821819999999895</v>
      </c>
      <c r="AB5683">
        <v>33</v>
      </c>
      <c r="AC5683">
        <v>0.60840000000001704</v>
      </c>
      <c r="AD5683">
        <v>-9.8682999999999799E-2</v>
      </c>
      <c r="AE5683">
        <v>-0.24381999999999901</v>
      </c>
      <c r="AF5683">
        <v>5.2835601586427E-2</v>
      </c>
      <c r="AG5683">
        <v>-9.8682999999999799E-2</v>
      </c>
      <c r="AH5683">
        <v>0.63872785824428802</v>
      </c>
      <c r="AI5683">
        <v>98.753284079080998</v>
      </c>
      <c r="AJ5683">
        <v>85.271256179685196</v>
      </c>
      <c r="AK5683">
        <v>0.64846219024807905</v>
      </c>
      <c r="AL5683">
        <v>90.335230565364796</v>
      </c>
      <c r="AM5683">
        <v>87.044574769357098</v>
      </c>
      <c r="AN5683">
        <v>1.00000004494267</v>
      </c>
    </row>
    <row r="5684" spans="1:40" x14ac:dyDescent="0.25">
      <c r="A5684" t="str">
        <f>"20190312154410044"</f>
        <v>20190312154410044</v>
      </c>
      <c r="B5684" t="str">
        <f>"1552376650033326"</f>
        <v>1552376650033326</v>
      </c>
      <c r="C5684" t="s">
        <v>40</v>
      </c>
      <c r="D5684">
        <v>5.3053319999999999</v>
      </c>
      <c r="E5684">
        <v>0.50105370000000005</v>
      </c>
      <c r="F5684" t="s">
        <v>41</v>
      </c>
      <c r="G5684">
        <v>-394.3931</v>
      </c>
      <c r="H5684">
        <v>1.0171190000000001</v>
      </c>
      <c r="I5684">
        <v>24.697870000000002</v>
      </c>
      <c r="J5684">
        <v>-395.1123</v>
      </c>
      <c r="K5684">
        <v>1.112025</v>
      </c>
      <c r="L5684">
        <v>24.971499999999999</v>
      </c>
      <c r="M5684">
        <v>0.9563509</v>
      </c>
      <c r="N5684">
        <v>0</v>
      </c>
      <c r="O5684">
        <v>-0.29219889999999998</v>
      </c>
      <c r="P5684">
        <v>0.94012359999999995</v>
      </c>
      <c r="Q5684">
        <v>-9.863185E-3</v>
      </c>
      <c r="R5684">
        <v>-0.34069120000000003</v>
      </c>
      <c r="S5684">
        <v>2.8168639999999998</v>
      </c>
      <c r="T5684">
        <v>-0.29776130000000001</v>
      </c>
      <c r="U5684">
        <v>-1.02417</v>
      </c>
      <c r="V5684">
        <v>5.1163189999999997E-2</v>
      </c>
      <c r="W5684">
        <v>-5.900761E-3</v>
      </c>
      <c r="X5684">
        <v>0.99867289999999997</v>
      </c>
      <c r="Y5684">
        <v>5.3289009999999998E-2</v>
      </c>
      <c r="Z5684">
        <v>2.642423E-2</v>
      </c>
      <c r="AA5684">
        <v>0.99822940000000004</v>
      </c>
      <c r="AB5684">
        <v>33</v>
      </c>
      <c r="AC5684">
        <v>0.71919999999999995</v>
      </c>
      <c r="AD5684">
        <v>-9.4905999999999893E-2</v>
      </c>
      <c r="AE5684">
        <v>-0.27362999999999699</v>
      </c>
      <c r="AF5684">
        <v>5.0764958236700797E-2</v>
      </c>
      <c r="AG5684">
        <v>-9.4905999999999893E-2</v>
      </c>
      <c r="AH5684">
        <v>0.75626284962241497</v>
      </c>
      <c r="AI5684">
        <v>97.136954759948395</v>
      </c>
      <c r="AJ5684">
        <v>86.159720166609603</v>
      </c>
      <c r="AK5684">
        <v>0.76388332063201203</v>
      </c>
      <c r="AL5684">
        <v>90.338090654408205</v>
      </c>
      <c r="AM5684">
        <v>87.0672336887623</v>
      </c>
      <c r="AN5684">
        <v>1.0000000260928801</v>
      </c>
    </row>
    <row r="5685" spans="1:40" x14ac:dyDescent="0.25">
      <c r="A5685" t="str">
        <f>"20190312154410055"</f>
        <v>20190312154410055</v>
      </c>
      <c r="B5685" t="str">
        <f>"1552376650043087"</f>
        <v>1552376650043087</v>
      </c>
      <c r="C5685" t="s">
        <v>40</v>
      </c>
      <c r="D5685">
        <v>5.3852250000000002</v>
      </c>
      <c r="E5685">
        <v>0.50105370000000005</v>
      </c>
      <c r="F5685" t="s">
        <v>41</v>
      </c>
      <c r="G5685">
        <v>-394.38139999999999</v>
      </c>
      <c r="H5685">
        <v>1.0344409999999999</v>
      </c>
      <c r="I5685">
        <v>24.707139999999999</v>
      </c>
      <c r="J5685">
        <v>-394.94940000000003</v>
      </c>
      <c r="K5685">
        <v>1.112117</v>
      </c>
      <c r="L5685">
        <v>24.923459999999999</v>
      </c>
      <c r="M5685">
        <v>0.95691839999999995</v>
      </c>
      <c r="N5685">
        <v>0</v>
      </c>
      <c r="O5685">
        <v>-0.29033229999999999</v>
      </c>
      <c r="P5685">
        <v>0.94110229999999995</v>
      </c>
      <c r="Q5685">
        <v>-1.0098040000000001E-2</v>
      </c>
      <c r="R5685">
        <v>-0.33797179999999999</v>
      </c>
      <c r="S5685">
        <v>2.8189389999999999</v>
      </c>
      <c r="T5685">
        <v>-0.29943449999999999</v>
      </c>
      <c r="U5685">
        <v>-1.018311</v>
      </c>
      <c r="V5685">
        <v>5.0226069999999998E-2</v>
      </c>
      <c r="W5685">
        <v>-5.929269E-3</v>
      </c>
      <c r="X5685">
        <v>0.99872030000000001</v>
      </c>
      <c r="Y5685">
        <v>5.3171370000000003E-2</v>
      </c>
      <c r="Z5685">
        <v>2.6390549999999999E-2</v>
      </c>
      <c r="AA5685">
        <v>0.99823660000000003</v>
      </c>
      <c r="AB5685">
        <v>33</v>
      </c>
      <c r="AC5685">
        <v>0.56800000000004003</v>
      </c>
      <c r="AD5685">
        <v>-7.7675999999999995E-2</v>
      </c>
      <c r="AE5685">
        <v>-0.21632000000000301</v>
      </c>
      <c r="AF5685">
        <v>4.1415717279916803E-2</v>
      </c>
      <c r="AG5685">
        <v>-7.7675999999999995E-2</v>
      </c>
      <c r="AH5685">
        <v>0.59659473764041304</v>
      </c>
      <c r="AI5685">
        <v>97.400508046659496</v>
      </c>
      <c r="AJ5685">
        <v>86.028887333072504</v>
      </c>
      <c r="AK5685">
        <v>0.60305398066345905</v>
      </c>
      <c r="AL5685">
        <v>90.339724071059294</v>
      </c>
      <c r="AM5685">
        <v>87.120996289777594</v>
      </c>
      <c r="AN5685">
        <v>1.0000000259852999</v>
      </c>
    </row>
    <row r="5686" spans="1:40" x14ac:dyDescent="0.25">
      <c r="A5686" t="str">
        <f>"20190312154410068"</f>
        <v>20190312154410068</v>
      </c>
      <c r="B5686" t="str">
        <f>"1552376650063582"</f>
        <v>1552376650063582</v>
      </c>
      <c r="C5686" t="s">
        <v>40</v>
      </c>
      <c r="D5686">
        <v>5.2597899999999997</v>
      </c>
      <c r="E5686">
        <v>0.47696450000000001</v>
      </c>
      <c r="F5686" t="s">
        <v>41</v>
      </c>
      <c r="G5686">
        <v>-394.10149999999999</v>
      </c>
      <c r="H5686">
        <v>1.0219830000000001</v>
      </c>
      <c r="I5686">
        <v>24.61966</v>
      </c>
      <c r="J5686">
        <v>-394.77269999999999</v>
      </c>
      <c r="K5686">
        <v>1.1122160000000001</v>
      </c>
      <c r="L5686">
        <v>24.871580000000002</v>
      </c>
      <c r="M5686">
        <v>0.95753440000000001</v>
      </c>
      <c r="N5686">
        <v>0</v>
      </c>
      <c r="O5686">
        <v>-0.28829159999999998</v>
      </c>
      <c r="P5686">
        <v>0.94230259999999999</v>
      </c>
      <c r="Q5686">
        <v>-1.034003E-2</v>
      </c>
      <c r="R5686">
        <v>-0.33460299999999998</v>
      </c>
      <c r="S5686">
        <v>2.8216860000000001</v>
      </c>
      <c r="T5686">
        <v>-0.30014429999999998</v>
      </c>
      <c r="U5686">
        <v>-1.0103759999999999</v>
      </c>
      <c r="V5686">
        <v>4.8784439999999998E-2</v>
      </c>
      <c r="W5686">
        <v>-5.9537879999999998E-3</v>
      </c>
      <c r="X5686">
        <v>0.9987916</v>
      </c>
      <c r="Y5686">
        <v>5.2502460000000001E-2</v>
      </c>
      <c r="Z5686">
        <v>2.6280350000000001E-2</v>
      </c>
      <c r="AA5686">
        <v>0.99827489999999997</v>
      </c>
      <c r="AB5686">
        <v>34</v>
      </c>
      <c r="AC5686">
        <v>0.67119999999999802</v>
      </c>
      <c r="AD5686">
        <v>-9.0232999999999994E-2</v>
      </c>
      <c r="AE5686">
        <v>-0.25191999999999798</v>
      </c>
      <c r="AF5686">
        <v>4.6976946596368203E-2</v>
      </c>
      <c r="AG5686">
        <v>-9.0232999999999994E-2</v>
      </c>
      <c r="AH5686">
        <v>0.70417414695853697</v>
      </c>
      <c r="AI5686">
        <v>97.286077506325498</v>
      </c>
      <c r="AJ5686">
        <v>86.183332704079803</v>
      </c>
      <c r="AK5686">
        <v>0.71148440393679802</v>
      </c>
      <c r="AL5686">
        <v>90.341128934886299</v>
      </c>
      <c r="AM5686">
        <v>87.203698029927693</v>
      </c>
      <c r="AN5686">
        <v>1.0000000147041099</v>
      </c>
    </row>
    <row r="5687" spans="1:40" x14ac:dyDescent="0.25">
      <c r="A5687" t="str">
        <f>"20190312154410081"</f>
        <v>20190312154410081</v>
      </c>
      <c r="B5687" t="str">
        <f>"1552376650073342"</f>
        <v>1552376650073342</v>
      </c>
      <c r="C5687" t="s">
        <v>40</v>
      </c>
      <c r="D5687">
        <v>5.3191689999999996</v>
      </c>
      <c r="E5687">
        <v>0.42980849999999998</v>
      </c>
      <c r="F5687" t="s">
        <v>41</v>
      </c>
      <c r="G5687">
        <v>-393.79770000000002</v>
      </c>
      <c r="H5687">
        <v>1.0164040000000001</v>
      </c>
      <c r="I5687">
        <v>24.594570000000001</v>
      </c>
      <c r="J5687">
        <v>-394.58280000000002</v>
      </c>
      <c r="K5687">
        <v>1.112309</v>
      </c>
      <c r="L5687">
        <v>24.816649999999999</v>
      </c>
      <c r="M5687">
        <v>0.9582041</v>
      </c>
      <c r="N5687">
        <v>0</v>
      </c>
      <c r="O5687">
        <v>-0.28605380000000002</v>
      </c>
      <c r="P5687">
        <v>0.94372789999999995</v>
      </c>
      <c r="Q5687">
        <v>-1.067048E-2</v>
      </c>
      <c r="R5687">
        <v>-0.33055109999999999</v>
      </c>
      <c r="S5687">
        <v>2.8895569999999999</v>
      </c>
      <c r="T5687">
        <v>-0.28428209999999998</v>
      </c>
      <c r="U5687">
        <v>-0.81970209999999999</v>
      </c>
      <c r="V5687">
        <v>4.6828790000000002E-2</v>
      </c>
      <c r="W5687">
        <v>-6.0532650000000004E-3</v>
      </c>
      <c r="X5687">
        <v>0.99888460000000001</v>
      </c>
      <c r="Y5687">
        <v>-1.241221E-2</v>
      </c>
      <c r="Z5687">
        <v>2.7570999999999998E-2</v>
      </c>
      <c r="AA5687">
        <v>0.99954279999999995</v>
      </c>
      <c r="AB5687">
        <v>34</v>
      </c>
      <c r="AC5687">
        <v>0.78509999999999902</v>
      </c>
      <c r="AD5687">
        <v>-9.5904999999999893E-2</v>
      </c>
      <c r="AE5687">
        <v>-0.222079999999998</v>
      </c>
      <c r="AF5687">
        <v>-1.16223959974763E-2</v>
      </c>
      <c r="AG5687">
        <v>-9.5904999999999893E-2</v>
      </c>
      <c r="AH5687">
        <v>0.80470197054192705</v>
      </c>
      <c r="AI5687">
        <v>96.795794655867496</v>
      </c>
      <c r="AJ5687">
        <v>90.827471492158196</v>
      </c>
      <c r="AK5687">
        <v>0.81048017280361795</v>
      </c>
      <c r="AL5687">
        <v>90.346828651115402</v>
      </c>
      <c r="AM5687">
        <v>87.315877179849394</v>
      </c>
      <c r="AN5687">
        <v>1.00000001085359</v>
      </c>
    </row>
    <row r="5688" spans="1:40" x14ac:dyDescent="0.25">
      <c r="A5688" t="str">
        <f>"20190312154410098"</f>
        <v>20190312154410098</v>
      </c>
      <c r="B5688" t="str">
        <f>"1552376650092861"</f>
        <v>1552376650092861</v>
      </c>
      <c r="C5688" t="s">
        <v>40</v>
      </c>
      <c r="D5688">
        <v>5.59999</v>
      </c>
      <c r="E5688">
        <v>0.42004859999999999</v>
      </c>
      <c r="F5688" t="s">
        <v>72</v>
      </c>
      <c r="G5688">
        <v>-378.32679999999999</v>
      </c>
      <c r="H5688" s="1">
        <v>-1.5020720000000001E-6</v>
      </c>
      <c r="I5688">
        <v>22.36234</v>
      </c>
      <c r="J5688">
        <v>-394.34160000000003</v>
      </c>
      <c r="K5688">
        <v>1.1124229999999999</v>
      </c>
      <c r="L5688">
        <v>24.74738</v>
      </c>
      <c r="M5688">
        <v>0.95905609999999997</v>
      </c>
      <c r="N5688">
        <v>0</v>
      </c>
      <c r="O5688">
        <v>-0.28317979999999998</v>
      </c>
      <c r="P5688">
        <v>0.94628319999999999</v>
      </c>
      <c r="Q5688">
        <v>-1.1452189999999999E-2</v>
      </c>
      <c r="R5688">
        <v>-0.3231369</v>
      </c>
      <c r="S5688">
        <v>3.017029</v>
      </c>
      <c r="T5688">
        <v>-0.20643829999999999</v>
      </c>
      <c r="U5688">
        <v>-0.4555054</v>
      </c>
      <c r="V5688">
        <v>4.1993740000000002E-2</v>
      </c>
      <c r="W5688">
        <v>-6.5617440000000004E-3</v>
      </c>
      <c r="X5688">
        <v>0.99909630000000005</v>
      </c>
      <c r="Y5688">
        <v>-0.13589949999999901</v>
      </c>
      <c r="Z5688">
        <v>2.3560919999999999E-2</v>
      </c>
      <c r="AA5688">
        <v>0.9904425</v>
      </c>
      <c r="AB5688">
        <v>34</v>
      </c>
      <c r="AC5688">
        <v>16.014800000000001</v>
      </c>
      <c r="AD5688">
        <v>-1.1124245020719901</v>
      </c>
      <c r="AE5688">
        <v>-2.38504</v>
      </c>
      <c r="AF5688">
        <v>-2.2371438263561201</v>
      </c>
      <c r="AG5688">
        <v>-1.1124245020719901</v>
      </c>
      <c r="AH5688">
        <v>15.9593189126008</v>
      </c>
      <c r="AI5688">
        <v>93.948797971109798</v>
      </c>
      <c r="AJ5688">
        <v>97.979607183907007</v>
      </c>
      <c r="AK5688">
        <v>16.1537042478408</v>
      </c>
      <c r="AL5688">
        <v>90.375962945314498</v>
      </c>
      <c r="AM5688">
        <v>87.593176289141297</v>
      </c>
      <c r="AN5688">
        <v>0.99999997367859905</v>
      </c>
    </row>
    <row r="5689" spans="1:40" x14ac:dyDescent="0.25">
      <c r="A5689" t="str">
        <f>"20190312154410111"</f>
        <v>20190312154410111</v>
      </c>
      <c r="B5689" t="str">
        <f>"1552376650103598"</f>
        <v>1552376650103598</v>
      </c>
      <c r="C5689" t="s">
        <v>40</v>
      </c>
      <c r="D5689">
        <v>5.3551029999999997</v>
      </c>
      <c r="E5689">
        <v>0.41737340000000001</v>
      </c>
      <c r="F5689" t="s">
        <v>71</v>
      </c>
      <c r="G5689">
        <v>-381.46120000000002</v>
      </c>
      <c r="H5689" s="1">
        <v>-4.8096980000000002E-6</v>
      </c>
      <c r="I5689">
        <v>23.242899999999999</v>
      </c>
      <c r="J5689">
        <v>-394.15120000000002</v>
      </c>
      <c r="K5689">
        <v>1.1125160000000001</v>
      </c>
      <c r="L5689">
        <v>24.693210000000001</v>
      </c>
      <c r="M5689">
        <v>0.95972959999999996</v>
      </c>
      <c r="N5689">
        <v>0</v>
      </c>
      <c r="O5689">
        <v>-0.280885</v>
      </c>
      <c r="P5689">
        <v>0.94841529999999996</v>
      </c>
      <c r="Q5689">
        <v>-1.205517E-2</v>
      </c>
      <c r="R5689">
        <v>-0.31680199999999997</v>
      </c>
      <c r="S5689">
        <v>3.0456539999999999</v>
      </c>
      <c r="T5689">
        <v>-0.26304090000000002</v>
      </c>
      <c r="U5689">
        <v>-0.35574339999999999</v>
      </c>
      <c r="V5689">
        <v>3.7708279999999997E-2</v>
      </c>
      <c r="W5689">
        <v>-6.9543110000000003E-3</v>
      </c>
      <c r="X5689">
        <v>0.99926459999999995</v>
      </c>
      <c r="Y5689">
        <v>-0.1660404</v>
      </c>
      <c r="Z5689">
        <v>3.0919309999999998E-2</v>
      </c>
      <c r="AA5689">
        <v>0.98563409999999996</v>
      </c>
      <c r="AB5689">
        <v>34</v>
      </c>
      <c r="AC5689">
        <v>12.6899999999999</v>
      </c>
      <c r="AD5689">
        <v>-1.1125208096979999</v>
      </c>
      <c r="AE5689">
        <v>-1.45031</v>
      </c>
      <c r="AF5689">
        <v>-2.1561913480577801</v>
      </c>
      <c r="AG5689">
        <v>-1.1125208096979999</v>
      </c>
      <c r="AH5689">
        <v>12.491710094534</v>
      </c>
      <c r="AI5689">
        <v>95.015593713460603</v>
      </c>
      <c r="AJ5689">
        <v>99.793311801520403</v>
      </c>
      <c r="AK5689">
        <v>12.725159518345199</v>
      </c>
      <c r="AL5689">
        <v>90.398455877968402</v>
      </c>
      <c r="AM5689">
        <v>87.838910097588297</v>
      </c>
      <c r="AN5689">
        <v>1.0000000088176</v>
      </c>
    </row>
    <row r="5690" spans="1:40" x14ac:dyDescent="0.25">
      <c r="A5690" t="str">
        <f>"20190312154410124"</f>
        <v>20190312154410124</v>
      </c>
      <c r="B5690" t="str">
        <f>"1552376650113358"</f>
        <v>1552376650113358</v>
      </c>
      <c r="C5690" t="s">
        <v>40</v>
      </c>
      <c r="D5690">
        <v>5.3385350000000003</v>
      </c>
      <c r="E5690">
        <v>0.41593190000000002</v>
      </c>
      <c r="F5690" t="s">
        <v>71</v>
      </c>
      <c r="G5690">
        <v>-381.51209999999998</v>
      </c>
      <c r="H5690" s="1">
        <v>-4.8162660000000003E-6</v>
      </c>
      <c r="I5690">
        <v>23.390170000000001</v>
      </c>
      <c r="J5690">
        <v>-393.9554</v>
      </c>
      <c r="K5690">
        <v>1.1126100000000001</v>
      </c>
      <c r="L5690">
        <v>24.638120000000001</v>
      </c>
      <c r="M5690">
        <v>0.96042559999999999</v>
      </c>
      <c r="N5690">
        <v>0</v>
      </c>
      <c r="O5690">
        <v>-0.2784915</v>
      </c>
      <c r="P5690">
        <v>0.95004330000000003</v>
      </c>
      <c r="Q5690">
        <v>-1.2004859999999999E-2</v>
      </c>
      <c r="R5690">
        <v>-0.31188759999999999</v>
      </c>
      <c r="S5690">
        <v>3.0545650000000002</v>
      </c>
      <c r="T5690">
        <v>-0.26886919999999997</v>
      </c>
      <c r="U5690">
        <v>-0.31491089999999999</v>
      </c>
      <c r="V5690">
        <v>3.5024430000000002E-2</v>
      </c>
      <c r="W5690">
        <v>-6.6737410000000004E-3</v>
      </c>
      <c r="X5690">
        <v>0.99936420000000004</v>
      </c>
      <c r="Y5690">
        <v>-0.17682419999999999</v>
      </c>
      <c r="Z5690">
        <v>3.1815709999999997E-2</v>
      </c>
      <c r="AA5690">
        <v>0.98372809999999999</v>
      </c>
      <c r="AB5690">
        <v>34</v>
      </c>
      <c r="AC5690">
        <v>12.443300000000001</v>
      </c>
      <c r="AD5690">
        <v>-1.1126148162659999</v>
      </c>
      <c r="AE5690">
        <v>-1.2479499999999899</v>
      </c>
      <c r="AF5690">
        <v>-2.2490168247156999</v>
      </c>
      <c r="AG5690">
        <v>-1.1126148162659999</v>
      </c>
      <c r="AH5690">
        <v>12.201978626739001</v>
      </c>
      <c r="AI5690">
        <v>95.124160394867801</v>
      </c>
      <c r="AJ5690">
        <v>100.443306169415</v>
      </c>
      <c r="AK5690">
        <v>12.457297893790001</v>
      </c>
      <c r="AL5690">
        <v>90.382380021080294</v>
      </c>
      <c r="AM5690">
        <v>87.992792806333497</v>
      </c>
      <c r="AN5690">
        <v>1.0000000268786899</v>
      </c>
    </row>
    <row r="5691" spans="1:40" x14ac:dyDescent="0.25">
      <c r="A5691" t="str">
        <f>"20190312154410137"</f>
        <v>20190312154410137</v>
      </c>
      <c r="B5691" t="str">
        <f>"1552376650123117"</f>
        <v>1552376650123117</v>
      </c>
      <c r="C5691" t="s">
        <v>40</v>
      </c>
      <c r="D5691">
        <v>5.4337869999999997</v>
      </c>
      <c r="E5691">
        <v>0.41465299999999999</v>
      </c>
      <c r="F5691" t="s">
        <v>71</v>
      </c>
      <c r="G5691">
        <v>-381.62520000000001</v>
      </c>
      <c r="H5691" s="1">
        <v>-4.7884919999999998E-6</v>
      </c>
      <c r="I5691">
        <v>23.478560000000002</v>
      </c>
      <c r="J5691">
        <v>-393.76560000000001</v>
      </c>
      <c r="K5691">
        <v>1.112706</v>
      </c>
      <c r="L5691">
        <v>24.585329999999999</v>
      </c>
      <c r="M5691">
        <v>0.96110399999999996</v>
      </c>
      <c r="N5691">
        <v>0</v>
      </c>
      <c r="O5691">
        <v>-0.27613680000000002</v>
      </c>
      <c r="P5691">
        <v>0.95144130000000005</v>
      </c>
      <c r="Q5691">
        <v>-1.140093E-2</v>
      </c>
      <c r="R5691">
        <v>-0.3076199</v>
      </c>
      <c r="S5691">
        <v>3.0597530000000002</v>
      </c>
      <c r="T5691">
        <v>-0.27609840000000002</v>
      </c>
      <c r="U5691">
        <v>-0.28775020000000001</v>
      </c>
      <c r="V5691">
        <v>3.2979090000000003E-2</v>
      </c>
      <c r="W5691">
        <v>-5.8440940000000002E-3</v>
      </c>
      <c r="X5691">
        <v>0.99943890000000002</v>
      </c>
      <c r="Y5691">
        <v>-0.18312200000000001</v>
      </c>
      <c r="Z5691">
        <v>3.2713909999999999E-2</v>
      </c>
      <c r="AA5691">
        <v>0.98254569999999997</v>
      </c>
      <c r="AB5691">
        <v>34</v>
      </c>
      <c r="AC5691">
        <v>12.1404</v>
      </c>
      <c r="AD5691">
        <v>-1.112710788492</v>
      </c>
      <c r="AE5691">
        <v>-1.10676999999999</v>
      </c>
      <c r="AF5691">
        <v>-2.2698115764131401</v>
      </c>
      <c r="AG5691">
        <v>-1.112710788492</v>
      </c>
      <c r="AH5691">
        <v>11.875039434438801</v>
      </c>
      <c r="AI5691">
        <v>95.258430298498396</v>
      </c>
      <c r="AJ5691">
        <v>100.82107226684001</v>
      </c>
      <c r="AK5691">
        <v>12.1411173892983</v>
      </c>
      <c r="AL5691">
        <v>90.334843845950701</v>
      </c>
      <c r="AM5691">
        <v>88.110062250740299</v>
      </c>
      <c r="AN5691">
        <v>0.99999994432255801</v>
      </c>
    </row>
    <row r="5692" spans="1:40" x14ac:dyDescent="0.25">
      <c r="A5692" t="str">
        <f>"20190312154410154"</f>
        <v>20190312154410154</v>
      </c>
      <c r="B5692" t="str">
        <f>"1552376650143623"</f>
        <v>1552376650143623</v>
      </c>
      <c r="C5692" t="s">
        <v>40</v>
      </c>
      <c r="D5692">
        <v>5.2641410000000004</v>
      </c>
      <c r="E5692">
        <v>0.41373470000000001</v>
      </c>
      <c r="F5692" t="s">
        <v>71</v>
      </c>
      <c r="G5692">
        <v>-381.98200000000003</v>
      </c>
      <c r="H5692" s="1">
        <v>-4.668053E-6</v>
      </c>
      <c r="I5692">
        <v>23.572040000000001</v>
      </c>
      <c r="J5692">
        <v>-393.52910000000003</v>
      </c>
      <c r="K5692">
        <v>1.1128450000000001</v>
      </c>
      <c r="L5692">
        <v>24.52017</v>
      </c>
      <c r="M5692">
        <v>0.96195339999999996</v>
      </c>
      <c r="N5692">
        <v>0</v>
      </c>
      <c r="O5692">
        <v>-0.27315660000000003</v>
      </c>
      <c r="P5692">
        <v>0.95334339999999995</v>
      </c>
      <c r="Q5692">
        <v>-8.7302979999999992E-3</v>
      </c>
      <c r="R5692">
        <v>-0.30176160000000002</v>
      </c>
      <c r="S5692">
        <v>3.0644529999999999</v>
      </c>
      <c r="T5692">
        <v>-0.28937420000000003</v>
      </c>
      <c r="U5692">
        <v>-0.26351930000000001</v>
      </c>
      <c r="V5692">
        <v>2.9895939999999999E-2</v>
      </c>
      <c r="W5692">
        <v>-2.8963970000000002E-3</v>
      </c>
      <c r="X5692">
        <v>0.99954880000000002</v>
      </c>
      <c r="Y5692">
        <v>-0.18773880000000001</v>
      </c>
      <c r="Z5692">
        <v>3.4194049999999997E-2</v>
      </c>
      <c r="AA5692">
        <v>0.98162360000000004</v>
      </c>
      <c r="AB5692">
        <v>34</v>
      </c>
      <c r="AC5692">
        <v>11.5471</v>
      </c>
      <c r="AD5692">
        <v>-1.112849668053</v>
      </c>
      <c r="AE5692">
        <v>-0.94813000000000203</v>
      </c>
      <c r="AF5692">
        <v>-2.2216478847451699</v>
      </c>
      <c r="AG5692">
        <v>-1.112849668053</v>
      </c>
      <c r="AH5692">
        <v>11.2630253932115</v>
      </c>
      <c r="AI5692">
        <v>95.536823268567701</v>
      </c>
      <c r="AJ5692">
        <v>101.158428361739</v>
      </c>
      <c r="AK5692">
        <v>11.533858622144001</v>
      </c>
      <c r="AL5692">
        <v>90.165951559251198</v>
      </c>
      <c r="AM5692">
        <v>88.286826330931007</v>
      </c>
      <c r="AN5692">
        <v>0.99999997996275203</v>
      </c>
    </row>
    <row r="5693" spans="1:40" x14ac:dyDescent="0.25">
      <c r="A5693" t="str">
        <f>"20190312154410168"</f>
        <v>20190312154410168</v>
      </c>
      <c r="B5693" t="str">
        <f>"1552376650163133"</f>
        <v>1552376650163133</v>
      </c>
      <c r="C5693" t="s">
        <v>40</v>
      </c>
      <c r="D5693">
        <v>5.3062699999999996</v>
      </c>
      <c r="E5693">
        <v>0.41388839999999999</v>
      </c>
      <c r="F5693" t="s">
        <v>71</v>
      </c>
      <c r="G5693">
        <v>-381.56740000000002</v>
      </c>
      <c r="H5693" s="1">
        <v>-4.8315089999999999E-6</v>
      </c>
      <c r="I5693">
        <v>23.595890000000001</v>
      </c>
      <c r="J5693">
        <v>-393.3168</v>
      </c>
      <c r="K5693">
        <v>1.1129639999999901</v>
      </c>
      <c r="L5693">
        <v>24.462340000000001</v>
      </c>
      <c r="M5693">
        <v>0.96272089999999999</v>
      </c>
      <c r="N5693">
        <v>0</v>
      </c>
      <c r="O5693">
        <v>-0.270433799999999</v>
      </c>
      <c r="P5693">
        <v>0.95426820000000001</v>
      </c>
      <c r="Q5693">
        <v>-7.7915299999999996E-3</v>
      </c>
      <c r="R5693">
        <v>-0.29885070000000002</v>
      </c>
      <c r="S5693">
        <v>3.0691220000000001</v>
      </c>
      <c r="T5693">
        <v>-0.28553460000000003</v>
      </c>
      <c r="U5693">
        <v>-0.2371521</v>
      </c>
      <c r="V5693">
        <v>2.9660599999999999E-2</v>
      </c>
      <c r="W5693">
        <v>-1.6845829999999999E-3</v>
      </c>
      <c r="X5693">
        <v>0.99955859999999996</v>
      </c>
      <c r="Y5693">
        <v>-0.1935055</v>
      </c>
      <c r="Z5693">
        <v>3.3734140000000003E-2</v>
      </c>
      <c r="AA5693">
        <v>0.98051909999999998</v>
      </c>
      <c r="AB5693">
        <v>34</v>
      </c>
      <c r="AC5693">
        <v>11.7493999999999</v>
      </c>
      <c r="AD5693">
        <v>-1.1129688315089901</v>
      </c>
      <c r="AE5693">
        <v>-0.86645000000000005</v>
      </c>
      <c r="AF5693">
        <v>-2.3225974374065399</v>
      </c>
      <c r="AG5693">
        <v>-1.1129688315089901</v>
      </c>
      <c r="AH5693">
        <v>11.443777853756901</v>
      </c>
      <c r="AI5693">
        <v>95.444536659759507</v>
      </c>
      <c r="AJ5693">
        <v>101.47275935469899</v>
      </c>
      <c r="AK5693">
        <v>11.7300132157766</v>
      </c>
      <c r="AL5693">
        <v>90.096519542569894</v>
      </c>
      <c r="AM5693">
        <v>88.300321098492105</v>
      </c>
      <c r="AN5693">
        <v>0.99999999192310096</v>
      </c>
    </row>
    <row r="5694" spans="1:40" x14ac:dyDescent="0.25">
      <c r="A5694" t="str">
        <f>"20190312154410180"</f>
        <v>20190312154410180</v>
      </c>
      <c r="B5694" t="str">
        <f>"1552376650172894"</f>
        <v>1552376650172894</v>
      </c>
      <c r="C5694" t="s">
        <v>40</v>
      </c>
      <c r="D5694">
        <v>5.3009519999999997</v>
      </c>
      <c r="E5694">
        <v>0.41410069999999999</v>
      </c>
      <c r="F5694" t="s">
        <v>71</v>
      </c>
      <c r="G5694">
        <v>-381.36239999999998</v>
      </c>
      <c r="H5694" s="1">
        <v>-4.9058209999999996E-6</v>
      </c>
      <c r="I5694">
        <v>23.571010000000001</v>
      </c>
      <c r="J5694">
        <v>-393.14490000000001</v>
      </c>
      <c r="K5694">
        <v>1.1130739999999999</v>
      </c>
      <c r="L5694">
        <v>24.416260000000001</v>
      </c>
      <c r="M5694">
        <v>0.96335320000000002</v>
      </c>
      <c r="N5694">
        <v>0</v>
      </c>
      <c r="O5694">
        <v>-0.26816760000000001</v>
      </c>
      <c r="P5694">
        <v>0.95509790000000006</v>
      </c>
      <c r="Q5694">
        <v>-6.9919099999999996E-3</v>
      </c>
      <c r="R5694">
        <v>-0.29620819999999998</v>
      </c>
      <c r="S5694">
        <v>3.0697329999999998</v>
      </c>
      <c r="T5694">
        <v>-0.28579589999999999</v>
      </c>
      <c r="U5694">
        <v>-0.2288818</v>
      </c>
      <c r="V5694">
        <v>2.923473E-2</v>
      </c>
      <c r="W5694">
        <v>-6.6039979999999896E-4</v>
      </c>
      <c r="X5694">
        <v>0.99957229999999997</v>
      </c>
      <c r="Y5694">
        <v>-0.19384370000000001</v>
      </c>
      <c r="Z5694">
        <v>3.3576509999999997E-2</v>
      </c>
      <c r="AA5694">
        <v>0.98045769999999999</v>
      </c>
      <c r="AB5694">
        <v>34</v>
      </c>
      <c r="AC5694">
        <v>11.782500000000001</v>
      </c>
      <c r="AD5694">
        <v>-1.113078905821</v>
      </c>
      <c r="AE5694">
        <v>-0.84524999999999995</v>
      </c>
      <c r="AF5694">
        <v>-2.3248123206954201</v>
      </c>
      <c r="AG5694">
        <v>-1.113078905821</v>
      </c>
      <c r="AH5694">
        <v>11.4757015617897</v>
      </c>
      <c r="AI5694">
        <v>95.430405819343605</v>
      </c>
      <c r="AJ5694">
        <v>101.45230959345</v>
      </c>
      <c r="AK5694">
        <v>11.761608024088501</v>
      </c>
      <c r="AL5694">
        <v>90.037838126191204</v>
      </c>
      <c r="AM5694">
        <v>88.324734206122301</v>
      </c>
      <c r="AN5694">
        <v>0.99999994424667704</v>
      </c>
    </row>
    <row r="5695" spans="1:40" x14ac:dyDescent="0.25">
      <c r="A5695" t="str">
        <f>"20190312154410201"</f>
        <v>20190312154410201</v>
      </c>
      <c r="B5695" t="str">
        <f>"1552376650193390"</f>
        <v>1552376650193390</v>
      </c>
      <c r="C5695" t="s">
        <v>40</v>
      </c>
      <c r="D5695">
        <v>5.2370489999999998</v>
      </c>
      <c r="E5695">
        <v>0.41267690000000001</v>
      </c>
      <c r="F5695" t="s">
        <v>71</v>
      </c>
      <c r="G5695">
        <v>-381.1789</v>
      </c>
      <c r="H5695" s="1">
        <v>-4.9729869999999999E-6</v>
      </c>
      <c r="I5695">
        <v>23.552389999999999</v>
      </c>
      <c r="J5695">
        <v>-392.85309999999998</v>
      </c>
      <c r="K5695">
        <v>1.1132629999999999</v>
      </c>
      <c r="L5695">
        <v>24.338840000000001</v>
      </c>
      <c r="M5695">
        <v>0.96443449999999997</v>
      </c>
      <c r="N5695">
        <v>0</v>
      </c>
      <c r="O5695">
        <v>-0.26424340000000002</v>
      </c>
      <c r="P5695">
        <v>0.95622470000000004</v>
      </c>
      <c r="Q5695">
        <v>-6.9161880000000002E-3</v>
      </c>
      <c r="R5695">
        <v>-0.29255179999999997</v>
      </c>
      <c r="S5695">
        <v>3.0701900000000002</v>
      </c>
      <c r="T5695">
        <v>-0.28558889999999998</v>
      </c>
      <c r="U5695">
        <v>-0.22164919999999999</v>
      </c>
      <c r="V5695">
        <v>2.947468E-2</v>
      </c>
      <c r="W5695">
        <v>-1.868951E-4</v>
      </c>
      <c r="X5695">
        <v>0.9995655</v>
      </c>
      <c r="Y5695">
        <v>-0.19218560000000001</v>
      </c>
      <c r="Z5695">
        <v>3.312358E-2</v>
      </c>
      <c r="AA5695">
        <v>0.98079939999999999</v>
      </c>
      <c r="AB5695">
        <v>34</v>
      </c>
      <c r="AC5695">
        <v>11.6741999999999</v>
      </c>
      <c r="AD5695">
        <v>-1.1132679729870001</v>
      </c>
      <c r="AE5695">
        <v>-0.78645000000000198</v>
      </c>
      <c r="AF5695">
        <v>-2.3055278063501898</v>
      </c>
      <c r="AG5695">
        <v>-1.1132679729870001</v>
      </c>
      <c r="AH5695">
        <v>11.364176906032201</v>
      </c>
      <c r="AI5695">
        <v>95.483991650315005</v>
      </c>
      <c r="AJ5695">
        <v>101.46833319009301</v>
      </c>
      <c r="AK5695">
        <v>11.649006000390299</v>
      </c>
      <c r="AL5695">
        <v>90.010708300608499</v>
      </c>
      <c r="AM5695">
        <v>88.310980569446301</v>
      </c>
      <c r="AN5695">
        <v>0.99999999024056496</v>
      </c>
    </row>
    <row r="5696" spans="1:40" x14ac:dyDescent="0.25">
      <c r="A5696" t="str">
        <f>"20190312154410218"</f>
        <v>20190312154410218</v>
      </c>
      <c r="B5696" t="str">
        <f>"1552376650212909"</f>
        <v>1552376650212909</v>
      </c>
      <c r="C5696" t="s">
        <v>40</v>
      </c>
      <c r="D5696">
        <v>5.2286710000000003</v>
      </c>
      <c r="E5696">
        <v>0.41200639999999999</v>
      </c>
      <c r="F5696" t="s">
        <v>42</v>
      </c>
      <c r="G5696">
        <v>-379.38499999999999</v>
      </c>
      <c r="H5696">
        <v>-0.05</v>
      </c>
      <c r="I5696">
        <v>23.46368</v>
      </c>
      <c r="J5696">
        <v>-392.58960000000002</v>
      </c>
      <c r="K5696">
        <v>1.1134520000000001</v>
      </c>
      <c r="L5696">
        <v>24.270199999999999</v>
      </c>
      <c r="M5696">
        <v>0.96542839999999996</v>
      </c>
      <c r="N5696">
        <v>0</v>
      </c>
      <c r="O5696">
        <v>-0.26057940000000002</v>
      </c>
      <c r="P5696">
        <v>0.9571828</v>
      </c>
      <c r="Q5696">
        <v>-7.3772780000000001E-3</v>
      </c>
      <c r="R5696">
        <v>-0.28939100000000001</v>
      </c>
      <c r="S5696">
        <v>3.0742799999999999</v>
      </c>
      <c r="T5696">
        <v>-0.26553130000000003</v>
      </c>
      <c r="U5696">
        <v>-0.1997681</v>
      </c>
      <c r="V5696">
        <v>2.9968689999999999E-2</v>
      </c>
      <c r="W5696">
        <v>-2.5860469999999997E-4</v>
      </c>
      <c r="X5696">
        <v>0.99955079999999996</v>
      </c>
      <c r="Y5696">
        <v>-0.19576579999999999</v>
      </c>
      <c r="Z5696">
        <v>3.062693E-2</v>
      </c>
      <c r="AA5696">
        <v>0.9801723</v>
      </c>
      <c r="AB5696">
        <v>34</v>
      </c>
      <c r="AC5696">
        <v>13.204599999999999</v>
      </c>
      <c r="AD5696">
        <v>-1.1634519999999999</v>
      </c>
      <c r="AE5696">
        <v>-0.80651999999999802</v>
      </c>
      <c r="AF5696">
        <v>-2.6418380155325201</v>
      </c>
      <c r="AG5696">
        <v>-1.1634519999999999</v>
      </c>
      <c r="AH5696">
        <v>12.859100830793899</v>
      </c>
      <c r="AI5696">
        <v>95.064658436074097</v>
      </c>
      <c r="AJ5696">
        <v>101.609592615233</v>
      </c>
      <c r="AK5696">
        <v>13.179127544459901</v>
      </c>
      <c r="AL5696">
        <v>90.014816958103793</v>
      </c>
      <c r="AM5696">
        <v>88.282663351809404</v>
      </c>
      <c r="AN5696">
        <v>0.99999999551867302</v>
      </c>
    </row>
    <row r="5697" spans="1:40" x14ac:dyDescent="0.25">
      <c r="A5697" t="str">
        <f>"20190312154410233"</f>
        <v>20190312154410233</v>
      </c>
      <c r="B5697" t="str">
        <f>"1552376650223645"</f>
        <v>1552376650223645</v>
      </c>
      <c r="C5697" t="s">
        <v>40</v>
      </c>
      <c r="D5697">
        <v>5.2764810000000004</v>
      </c>
      <c r="E5697">
        <v>0.41174769999999999</v>
      </c>
      <c r="F5697" t="s">
        <v>72</v>
      </c>
      <c r="G5697">
        <v>-379.54169999999999</v>
      </c>
      <c r="H5697" s="1">
        <v>-1.2272469999999999E-6</v>
      </c>
      <c r="I5697">
        <v>23.487909999999999</v>
      </c>
      <c r="J5697">
        <v>-392.37439999999998</v>
      </c>
      <c r="K5697">
        <v>1.113615</v>
      </c>
      <c r="L5697">
        <v>24.215029999999999</v>
      </c>
      <c r="M5697">
        <v>0.96625269999999996</v>
      </c>
      <c r="N5697">
        <v>0</v>
      </c>
      <c r="O5697">
        <v>-0.25749670000000002</v>
      </c>
      <c r="P5697">
        <v>0.95786020000000005</v>
      </c>
      <c r="Q5697">
        <v>-7.9799090000000003E-3</v>
      </c>
      <c r="R5697">
        <v>-0.28712369999999998</v>
      </c>
      <c r="S5697">
        <v>3.076416</v>
      </c>
      <c r="T5697">
        <v>-0.26252940000000002</v>
      </c>
      <c r="U5697">
        <v>-0.18444820000000001</v>
      </c>
      <c r="V5697">
        <v>3.0795989999999999E-2</v>
      </c>
      <c r="W5697">
        <v>-5.1066049999999997E-4</v>
      </c>
      <c r="X5697">
        <v>0.99952549999999996</v>
      </c>
      <c r="Y5697">
        <v>-0.19758609999999999</v>
      </c>
      <c r="Z5697">
        <v>3.0092460000000001E-2</v>
      </c>
      <c r="AA5697">
        <v>0.97982349999999996</v>
      </c>
      <c r="AB5697">
        <v>34</v>
      </c>
      <c r="AC5697">
        <v>12.8326999999999</v>
      </c>
      <c r="AD5697">
        <v>-1.113616227247</v>
      </c>
      <c r="AE5697">
        <v>-0.72711999999999899</v>
      </c>
      <c r="AF5697">
        <v>-2.5824771990390198</v>
      </c>
      <c r="AG5697">
        <v>-1.113616227247</v>
      </c>
      <c r="AH5697">
        <v>12.493401173516</v>
      </c>
      <c r="AI5697">
        <v>94.988759380703101</v>
      </c>
      <c r="AJ5697">
        <v>101.678970456512</v>
      </c>
      <c r="AK5697">
        <v>12.8060299260761</v>
      </c>
      <c r="AL5697">
        <v>90.0292586944569</v>
      </c>
      <c r="AM5697">
        <v>88.235240387479607</v>
      </c>
      <c r="AN5697">
        <v>0.99999993946223598</v>
      </c>
    </row>
    <row r="5698" spans="1:40" x14ac:dyDescent="0.25">
      <c r="A5698" t="str">
        <f>"20190312154410245"</f>
        <v>20190312154410245</v>
      </c>
      <c r="B5698" t="str">
        <f>"1552376650233406"</f>
        <v>1552376650233406</v>
      </c>
      <c r="C5698" t="s">
        <v>40</v>
      </c>
      <c r="D5698">
        <v>5.272348</v>
      </c>
      <c r="E5698">
        <v>0.4115781</v>
      </c>
      <c r="F5698" t="s">
        <v>72</v>
      </c>
      <c r="G5698">
        <v>-379.4742</v>
      </c>
      <c r="H5698" s="1">
        <v>-1.2576189999999999E-6</v>
      </c>
      <c r="I5698">
        <v>23.482130000000002</v>
      </c>
      <c r="J5698">
        <v>-392.19479999999999</v>
      </c>
      <c r="K5698">
        <v>1.1137629999999901</v>
      </c>
      <c r="L5698">
        <v>24.169589999999999</v>
      </c>
      <c r="M5698">
        <v>0.96695109999999995</v>
      </c>
      <c r="N5698">
        <v>0</v>
      </c>
      <c r="O5698">
        <v>-0.2548533</v>
      </c>
      <c r="P5698">
        <v>0.95859519999999998</v>
      </c>
      <c r="Q5698">
        <v>-8.7997370000000002E-3</v>
      </c>
      <c r="R5698">
        <v>-0.28463749999999999</v>
      </c>
      <c r="S5698">
        <v>3.0773619999999999</v>
      </c>
      <c r="T5698">
        <v>-0.26565490000000003</v>
      </c>
      <c r="U5698">
        <v>-0.1748352</v>
      </c>
      <c r="V5698">
        <v>3.0942750000000002E-2</v>
      </c>
      <c r="W5698">
        <v>-1.0202810000000001E-3</v>
      </c>
      <c r="X5698">
        <v>0.99952070000000004</v>
      </c>
      <c r="Y5698">
        <v>-0.1979445</v>
      </c>
      <c r="Z5698">
        <v>3.023969E-2</v>
      </c>
      <c r="AA5698">
        <v>0.97974660000000002</v>
      </c>
      <c r="AB5698">
        <v>34</v>
      </c>
      <c r="AC5698">
        <v>12.7205999999999</v>
      </c>
      <c r="AD5698">
        <v>-1.1137642576190001</v>
      </c>
      <c r="AE5698">
        <v>-0.68746000000000096</v>
      </c>
      <c r="AF5698">
        <v>-2.5576679322127398</v>
      </c>
      <c r="AG5698">
        <v>-1.1137642576190001</v>
      </c>
      <c r="AH5698">
        <v>12.381107260357901</v>
      </c>
      <c r="AI5698">
        <v>95.034568639848004</v>
      </c>
      <c r="AJ5698">
        <v>101.671881398811</v>
      </c>
      <c r="AK5698">
        <v>12.6914913649069</v>
      </c>
      <c r="AL5698">
        <v>90.058457801721104</v>
      </c>
      <c r="AM5698">
        <v>88.226827173822898</v>
      </c>
      <c r="AN5698">
        <v>1.0000000622396801</v>
      </c>
    </row>
    <row r="5699" spans="1:40" x14ac:dyDescent="0.25">
      <c r="A5699" t="str">
        <f>"20190312154410259"</f>
        <v>20190312154410259</v>
      </c>
      <c r="B5699" t="str">
        <f>"1552376650252926"</f>
        <v>1552376650252926</v>
      </c>
      <c r="C5699" t="s">
        <v>40</v>
      </c>
      <c r="D5699">
        <v>5.2738620000000003</v>
      </c>
      <c r="E5699">
        <v>0.4115415</v>
      </c>
      <c r="F5699" t="s">
        <v>72</v>
      </c>
      <c r="G5699">
        <v>-379.44290000000001</v>
      </c>
      <c r="H5699" s="1">
        <v>-1.273078E-6</v>
      </c>
      <c r="I5699">
        <v>23.484590000000001</v>
      </c>
      <c r="J5699">
        <v>-392.00830000000002</v>
      </c>
      <c r="K5699">
        <v>1.1139239999999999</v>
      </c>
      <c r="L5699">
        <v>24.123200000000001</v>
      </c>
      <c r="M5699">
        <v>0.96769090000000002</v>
      </c>
      <c r="N5699">
        <v>0</v>
      </c>
      <c r="O5699">
        <v>-0.25201869999999998</v>
      </c>
      <c r="P5699">
        <v>0.95935519999999996</v>
      </c>
      <c r="Q5699">
        <v>-9.9300570000000008E-3</v>
      </c>
      <c r="R5699">
        <v>-0.2820261</v>
      </c>
      <c r="S5699">
        <v>3.078033</v>
      </c>
      <c r="T5699">
        <v>-0.268839099999999</v>
      </c>
      <c r="U5699">
        <v>-0.1653442</v>
      </c>
      <c r="V5699">
        <v>3.1161080000000001E-2</v>
      </c>
      <c r="W5699">
        <v>-1.800816E-3</v>
      </c>
      <c r="X5699">
        <v>0.99951270000000003</v>
      </c>
      <c r="Y5699">
        <v>-0.19806779999999999</v>
      </c>
      <c r="Z5699">
        <v>3.0364519999999999E-2</v>
      </c>
      <c r="AA5699">
        <v>0.97971790000000003</v>
      </c>
      <c r="AB5699">
        <v>34</v>
      </c>
      <c r="AC5699">
        <v>12.5654</v>
      </c>
      <c r="AD5699">
        <v>-1.1139252730779901</v>
      </c>
      <c r="AE5699">
        <v>-0.63860999999999901</v>
      </c>
      <c r="AF5699">
        <v>-2.52899250554941</v>
      </c>
      <c r="AG5699">
        <v>-1.1139252730779901</v>
      </c>
      <c r="AH5699">
        <v>12.2249136973861</v>
      </c>
      <c r="AI5699">
        <v>95.098994530502196</v>
      </c>
      <c r="AJ5699">
        <v>101.68802091804901</v>
      </c>
      <c r="AK5699">
        <v>12.533361381356</v>
      </c>
      <c r="AL5699">
        <v>90.103179217751205</v>
      </c>
      <c r="AM5699">
        <v>88.214309572119006</v>
      </c>
      <c r="AN5699">
        <v>0.99999994665315906</v>
      </c>
    </row>
    <row r="5700" spans="1:40" x14ac:dyDescent="0.25">
      <c r="A5700" t="str">
        <f>"20190312154410277"</f>
        <v>20190312154410277</v>
      </c>
      <c r="B5700" t="str">
        <f>"1552376650263661"</f>
        <v>1552376650263661</v>
      </c>
      <c r="C5700" t="s">
        <v>40</v>
      </c>
      <c r="D5700">
        <v>5.271712</v>
      </c>
      <c r="E5700">
        <v>0.41158410000000001</v>
      </c>
      <c r="F5700" t="s">
        <v>72</v>
      </c>
      <c r="G5700">
        <v>-379.4271</v>
      </c>
      <c r="H5700" s="1">
        <v>-1.2802339999999999E-6</v>
      </c>
      <c r="I5700">
        <v>23.483470000000001</v>
      </c>
      <c r="J5700">
        <v>-391.74149999999997</v>
      </c>
      <c r="K5700">
        <v>1.114163</v>
      </c>
      <c r="L5700">
        <v>24.0578</v>
      </c>
      <c r="M5700">
        <v>0.96876379999999995</v>
      </c>
      <c r="N5700">
        <v>0</v>
      </c>
      <c r="O5700">
        <v>-0.24784619999999999</v>
      </c>
      <c r="P5700">
        <v>0.96046529999999997</v>
      </c>
      <c r="Q5700">
        <v>-1.150838E-2</v>
      </c>
      <c r="R5700">
        <v>-0.27816229999999997</v>
      </c>
      <c r="S5700">
        <v>3.0782470000000002</v>
      </c>
      <c r="T5700">
        <v>-0.27254489999999998</v>
      </c>
      <c r="U5700">
        <v>-0.15652469999999999</v>
      </c>
      <c r="V5700">
        <v>3.1461089999999997E-2</v>
      </c>
      <c r="W5700">
        <v>-2.8462280000000001E-3</v>
      </c>
      <c r="X5700">
        <v>0.99950090000000003</v>
      </c>
      <c r="Y5700">
        <v>-0.19662299999999999</v>
      </c>
      <c r="Z5700">
        <v>3.036169E-2</v>
      </c>
      <c r="AA5700">
        <v>0.98000900000000002</v>
      </c>
      <c r="AB5700">
        <v>34</v>
      </c>
      <c r="AC5700">
        <v>12.3143999999999</v>
      </c>
      <c r="AD5700">
        <v>-1.1141642802339999</v>
      </c>
      <c r="AE5700">
        <v>-0.57432999999999901</v>
      </c>
      <c r="AF5700">
        <v>-2.4755522923662001</v>
      </c>
      <c r="AG5700">
        <v>-1.1141642802339999</v>
      </c>
      <c r="AH5700">
        <v>11.974694582362501</v>
      </c>
      <c r="AI5700">
        <v>95.206216532581905</v>
      </c>
      <c r="AJ5700">
        <v>101.68032654627601</v>
      </c>
      <c r="AK5700">
        <v>12.2785598315296</v>
      </c>
      <c r="AL5700">
        <v>90.163077076166601</v>
      </c>
      <c r="AM5700">
        <v>88.1971074747822</v>
      </c>
      <c r="AN5700">
        <v>0.99999997514931205</v>
      </c>
    </row>
    <row r="5701" spans="1:40" x14ac:dyDescent="0.25">
      <c r="A5701" t="str">
        <f>"20190312154410292"</f>
        <v>20190312154410292</v>
      </c>
      <c r="B5701" t="str">
        <f>"1552376650283182"</f>
        <v>1552376650283182</v>
      </c>
      <c r="C5701" t="s">
        <v>40</v>
      </c>
      <c r="D5701">
        <v>5.2252589999999897</v>
      </c>
      <c r="E5701">
        <v>0.41175590000000001</v>
      </c>
      <c r="F5701" t="s">
        <v>72</v>
      </c>
      <c r="G5701">
        <v>-379.50130000000001</v>
      </c>
      <c r="H5701" s="1">
        <v>-1.2451500000000001E-6</v>
      </c>
      <c r="I5701">
        <v>23.483460000000001</v>
      </c>
      <c r="J5701">
        <v>-391.4907</v>
      </c>
      <c r="K5701">
        <v>1.1143970000000001</v>
      </c>
      <c r="L5701">
        <v>23.997620000000001</v>
      </c>
      <c r="M5701">
        <v>0.96979090000000001</v>
      </c>
      <c r="N5701">
        <v>0</v>
      </c>
      <c r="O5701">
        <v>-0.2437781</v>
      </c>
      <c r="P5701">
        <v>0.96155950000000001</v>
      </c>
      <c r="Q5701">
        <v>-1.250855E-2</v>
      </c>
      <c r="R5701">
        <v>-0.27431230000000001</v>
      </c>
      <c r="S5701">
        <v>3.0782780000000001</v>
      </c>
      <c r="T5701">
        <v>-0.28020129999999999</v>
      </c>
      <c r="U5701">
        <v>-0.1444397</v>
      </c>
      <c r="V5701">
        <v>3.166037E-2</v>
      </c>
      <c r="W5701">
        <v>-3.3177340000000001E-3</v>
      </c>
      <c r="X5701">
        <v>0.99949319999999997</v>
      </c>
      <c r="Y5701">
        <v>-0.19626840000000001</v>
      </c>
      <c r="Z5701">
        <v>3.0841070000000002E-2</v>
      </c>
      <c r="AA5701">
        <v>0.98006499999999996</v>
      </c>
      <c r="AB5701">
        <v>34</v>
      </c>
      <c r="AC5701">
        <v>11.9893999999999</v>
      </c>
      <c r="AD5701">
        <v>-1.1143982451500001</v>
      </c>
      <c r="AE5701">
        <v>-0.51415999999999995</v>
      </c>
      <c r="AF5701">
        <v>-2.4034930927200202</v>
      </c>
      <c r="AG5701">
        <v>-1.1143982451500001</v>
      </c>
      <c r="AH5701">
        <v>11.652522899228099</v>
      </c>
      <c r="AI5701">
        <v>95.350945445136006</v>
      </c>
      <c r="AJ5701">
        <v>101.65459636161501</v>
      </c>
      <c r="AK5701">
        <v>11.9498934059087</v>
      </c>
      <c r="AL5701">
        <v>90.190092500375002</v>
      </c>
      <c r="AM5701">
        <v>88.185681281310394</v>
      </c>
      <c r="AN5701">
        <v>1.0000000216168301</v>
      </c>
    </row>
    <row r="5702" spans="1:40" x14ac:dyDescent="0.25">
      <c r="A5702" t="str">
        <f>"20190312154410310"</f>
        <v>20190312154410310</v>
      </c>
      <c r="B5702" t="str">
        <f>"1552376650303677"</f>
        <v>1552376650303677</v>
      </c>
      <c r="C5702" t="s">
        <v>40</v>
      </c>
      <c r="D5702">
        <v>5.24796</v>
      </c>
      <c r="E5702">
        <v>0.41215760000000001</v>
      </c>
      <c r="F5702" t="s">
        <v>72</v>
      </c>
      <c r="G5702">
        <v>-379.49489999999997</v>
      </c>
      <c r="H5702" s="1">
        <v>-1.246605E-6</v>
      </c>
      <c r="I5702">
        <v>23.477550000000001</v>
      </c>
      <c r="J5702">
        <v>-391.24180000000001</v>
      </c>
      <c r="K5702">
        <v>1.1146259999999999</v>
      </c>
      <c r="L5702">
        <v>23.939119999999999</v>
      </c>
      <c r="M5702">
        <v>0.97082769999999996</v>
      </c>
      <c r="N5702">
        <v>0</v>
      </c>
      <c r="O5702">
        <v>-0.2395967</v>
      </c>
      <c r="P5702">
        <v>0.96262409999999998</v>
      </c>
      <c r="Q5702">
        <v>-1.3051139999999999E-2</v>
      </c>
      <c r="R5702">
        <v>-0.27052700000000002</v>
      </c>
      <c r="S5702">
        <v>3.0781860000000001</v>
      </c>
      <c r="T5702">
        <v>-0.2859604</v>
      </c>
      <c r="U5702">
        <v>-0.1334534</v>
      </c>
      <c r="V5702">
        <v>3.2037450000000002E-2</v>
      </c>
      <c r="W5702">
        <v>-3.3287199999999999E-3</v>
      </c>
      <c r="X5702">
        <v>0.99948110000000001</v>
      </c>
      <c r="Y5702">
        <v>-0.1954803</v>
      </c>
      <c r="Z5702">
        <v>3.1064230000000002E-2</v>
      </c>
      <c r="AA5702">
        <v>0.98021550000000002</v>
      </c>
      <c r="AB5702">
        <v>34</v>
      </c>
      <c r="AC5702">
        <v>11.7469</v>
      </c>
      <c r="AD5702">
        <v>-1.114627246605</v>
      </c>
      <c r="AE5702">
        <v>-0.46157000000000098</v>
      </c>
      <c r="AF5702">
        <v>-2.3454318668500602</v>
      </c>
      <c r="AG5702">
        <v>-1.114627246605</v>
      </c>
      <c r="AH5702">
        <v>11.4127112005367</v>
      </c>
      <c r="AI5702">
        <v>95.464633766754503</v>
      </c>
      <c r="AJ5702">
        <v>101.613192693402</v>
      </c>
      <c r="AK5702">
        <v>11.704418887230901</v>
      </c>
      <c r="AL5702">
        <v>90.190721964368095</v>
      </c>
      <c r="AM5702">
        <v>88.164064949427797</v>
      </c>
      <c r="AN5702">
        <v>0.999999973918275</v>
      </c>
    </row>
    <row r="5703" spans="1:40" x14ac:dyDescent="0.25">
      <c r="A5703" t="str">
        <f>"20190312154410322"</f>
        <v>20190312154410322</v>
      </c>
      <c r="B5703" t="str">
        <f>"1552376650313438"</f>
        <v>1552376650313438</v>
      </c>
      <c r="C5703" t="s">
        <v>40</v>
      </c>
      <c r="D5703">
        <v>5.142474</v>
      </c>
      <c r="E5703">
        <v>0.4121649</v>
      </c>
      <c r="F5703" t="s">
        <v>72</v>
      </c>
      <c r="G5703">
        <v>-379.28300000000002</v>
      </c>
      <c r="H5703" s="1">
        <v>-1.340433E-6</v>
      </c>
      <c r="I5703">
        <v>23.45374</v>
      </c>
      <c r="J5703">
        <v>-391.06240000000003</v>
      </c>
      <c r="K5703">
        <v>1.114784</v>
      </c>
      <c r="L5703">
        <v>23.897860000000001</v>
      </c>
      <c r="M5703">
        <v>0.97158809999999995</v>
      </c>
      <c r="N5703">
        <v>0</v>
      </c>
      <c r="O5703">
        <v>-0.2364791</v>
      </c>
      <c r="P5703">
        <v>0.96342689999999997</v>
      </c>
      <c r="Q5703">
        <v>-1.291688E-2</v>
      </c>
      <c r="R5703">
        <v>-0.26766050000000002</v>
      </c>
      <c r="S5703">
        <v>3.0774539999999999</v>
      </c>
      <c r="T5703">
        <v>-0.28683769999999997</v>
      </c>
      <c r="U5703">
        <v>-0.1249084</v>
      </c>
      <c r="V5703">
        <v>3.2263989999999999E-2</v>
      </c>
      <c r="W5703">
        <v>-2.8244759999999998E-3</v>
      </c>
      <c r="X5703">
        <v>0.99947540000000001</v>
      </c>
      <c r="Y5703">
        <v>-0.1950431</v>
      </c>
      <c r="Z5703">
        <v>3.0867220000000001E-2</v>
      </c>
      <c r="AA5703">
        <v>0.98030879999999998</v>
      </c>
      <c r="AB5703">
        <v>34</v>
      </c>
      <c r="AC5703">
        <v>11.779400000000001</v>
      </c>
      <c r="AD5703">
        <v>-1.1147853404329999</v>
      </c>
      <c r="AE5703">
        <v>-0.44412000000000101</v>
      </c>
      <c r="AF5703">
        <v>-2.33332245483163</v>
      </c>
      <c r="AG5703">
        <v>-1.1147853404329999</v>
      </c>
      <c r="AH5703">
        <v>11.447906870627101</v>
      </c>
      <c r="AI5703">
        <v>95.450500330231094</v>
      </c>
      <c r="AJ5703">
        <v>101.52027726784399</v>
      </c>
      <c r="AK5703">
        <v>11.736341497758801</v>
      </c>
      <c r="AL5703">
        <v>90.161830767858305</v>
      </c>
      <c r="AM5703">
        <v>88.151081311712204</v>
      </c>
      <c r="AN5703">
        <v>1.0000000089602701</v>
      </c>
    </row>
    <row r="5704" spans="1:40" x14ac:dyDescent="0.25">
      <c r="A5704" t="str">
        <f>"20190312154410333"</f>
        <v>20190312154410333</v>
      </c>
      <c r="B5704" t="str">
        <f>"1552376650323198"</f>
        <v>1552376650323198</v>
      </c>
      <c r="C5704" t="s">
        <v>40</v>
      </c>
      <c r="D5704">
        <v>5.1568129999999996</v>
      </c>
      <c r="E5704">
        <v>0.41216609999999998</v>
      </c>
      <c r="F5704" t="s">
        <v>72</v>
      </c>
      <c r="G5704">
        <v>-379.01429999999999</v>
      </c>
      <c r="H5704" s="1">
        <v>-1.465109E-6</v>
      </c>
      <c r="I5704">
        <v>23.444880000000001</v>
      </c>
      <c r="J5704">
        <v>-390.89330000000001</v>
      </c>
      <c r="K5704">
        <v>1.114932</v>
      </c>
      <c r="L5704">
        <v>23.859529999999999</v>
      </c>
      <c r="M5704">
        <v>0.9723096</v>
      </c>
      <c r="N5704">
        <v>0</v>
      </c>
      <c r="O5704">
        <v>-0.23348169999999999</v>
      </c>
      <c r="P5704">
        <v>0.96415839999999997</v>
      </c>
      <c r="Q5704">
        <v>-1.3528109999999999E-2</v>
      </c>
      <c r="R5704">
        <v>-0.26498300000000002</v>
      </c>
      <c r="S5704">
        <v>3.0779109999999998</v>
      </c>
      <c r="T5704">
        <v>-0.2847923</v>
      </c>
      <c r="U5704">
        <v>-0.115722699999999</v>
      </c>
      <c r="V5704">
        <v>3.2575510000000002E-2</v>
      </c>
      <c r="W5704">
        <v>-3.0982409999999998E-3</v>
      </c>
      <c r="X5704">
        <v>0.99946449999999998</v>
      </c>
      <c r="Y5704">
        <v>-0.1949861</v>
      </c>
      <c r="Z5704">
        <v>3.037459E-2</v>
      </c>
      <c r="AA5704">
        <v>0.98033550000000003</v>
      </c>
      <c r="AB5704">
        <v>34</v>
      </c>
      <c r="AC5704">
        <v>11.879</v>
      </c>
      <c r="AD5704">
        <v>-1.1149334651089999</v>
      </c>
      <c r="AE5704">
        <v>-0.41465000000000102</v>
      </c>
      <c r="AF5704">
        <v>-2.3498050742897698</v>
      </c>
      <c r="AG5704">
        <v>-1.1149334651089999</v>
      </c>
      <c r="AH5704">
        <v>11.5458767278673</v>
      </c>
      <c r="AI5704">
        <v>95.405557481174398</v>
      </c>
      <c r="AJ5704">
        <v>101.503668704155</v>
      </c>
      <c r="AK5704">
        <v>11.835198770358099</v>
      </c>
      <c r="AL5704">
        <v>90.177516412802603</v>
      </c>
      <c r="AM5704">
        <v>88.133221587669595</v>
      </c>
      <c r="AN5704">
        <v>1.0000000248546499</v>
      </c>
    </row>
    <row r="5705" spans="1:40" x14ac:dyDescent="0.25">
      <c r="A5705" t="str">
        <f>"20190312154410346"</f>
        <v>20190312154410346</v>
      </c>
      <c r="B5705" t="str">
        <f>"1552376650343695"</f>
        <v>1552376650343695</v>
      </c>
      <c r="C5705" t="s">
        <v>40</v>
      </c>
      <c r="D5705">
        <v>5.1531330000000004</v>
      </c>
      <c r="E5705">
        <v>0.4122171</v>
      </c>
      <c r="F5705" t="s">
        <v>72</v>
      </c>
      <c r="G5705">
        <v>-378.86849999999998</v>
      </c>
      <c r="H5705" s="1">
        <v>-1.5329939999999901E-6</v>
      </c>
      <c r="I5705">
        <v>23.440940000000001</v>
      </c>
      <c r="J5705">
        <v>-390.70389999999998</v>
      </c>
      <c r="K5705">
        <v>1.115081</v>
      </c>
      <c r="L5705">
        <v>23.817170000000001</v>
      </c>
      <c r="M5705">
        <v>0.97311899999999996</v>
      </c>
      <c r="N5705">
        <v>0</v>
      </c>
      <c r="O5705">
        <v>-0.2300691</v>
      </c>
      <c r="P5705">
        <v>0.96510660000000004</v>
      </c>
      <c r="Q5705">
        <v>-1.3794499999999999E-2</v>
      </c>
      <c r="R5705">
        <v>-0.26149430000000001</v>
      </c>
      <c r="S5705">
        <v>3.0780639999999999</v>
      </c>
      <c r="T5705">
        <v>-0.2853948</v>
      </c>
      <c r="U5705">
        <v>-0.1071472</v>
      </c>
      <c r="V5705">
        <v>3.246694E-2</v>
      </c>
      <c r="W5705">
        <v>-3.0045950000000001E-3</v>
      </c>
      <c r="X5705">
        <v>0.99946829999999998</v>
      </c>
      <c r="Y5705">
        <v>-0.19428580000000001</v>
      </c>
      <c r="Z5705">
        <v>3.009968E-2</v>
      </c>
      <c r="AA5705">
        <v>0.98048310000000005</v>
      </c>
      <c r="AB5705">
        <v>34</v>
      </c>
      <c r="AC5705">
        <v>11.8353999999999</v>
      </c>
      <c r="AD5705">
        <v>-1.115082532994</v>
      </c>
      <c r="AE5705">
        <v>-0.37623000000000301</v>
      </c>
      <c r="AF5705">
        <v>-2.3362529782858399</v>
      </c>
      <c r="AG5705">
        <v>-1.115082532994</v>
      </c>
      <c r="AH5705">
        <v>11.5024361633007</v>
      </c>
      <c r="AI5705">
        <v>95.427003206495499</v>
      </c>
      <c r="AJ5705">
        <v>101.481133293062</v>
      </c>
      <c r="AK5705">
        <v>11.7901452376443</v>
      </c>
      <c r="AL5705">
        <v>90.172150870589704</v>
      </c>
      <c r="AM5705">
        <v>88.139446009576503</v>
      </c>
      <c r="AN5705">
        <v>1.00000000624448</v>
      </c>
    </row>
    <row r="5706" spans="1:40" x14ac:dyDescent="0.25">
      <c r="A5706" t="str">
        <f>"20190312154410367"</f>
        <v>20190312154410367</v>
      </c>
      <c r="B5706" t="str">
        <f>"1552376650363214"</f>
        <v>1552376650363214</v>
      </c>
      <c r="C5706" t="s">
        <v>40</v>
      </c>
      <c r="D5706">
        <v>5.1616010000000001</v>
      </c>
      <c r="E5706">
        <v>0.41246450000000001</v>
      </c>
      <c r="F5706" t="s">
        <v>72</v>
      </c>
      <c r="G5706">
        <v>-378.57089999999999</v>
      </c>
      <c r="H5706" s="1">
        <v>-1.6725929999999999E-6</v>
      </c>
      <c r="I5706">
        <v>23.43695</v>
      </c>
      <c r="J5706">
        <v>-390.41590000000002</v>
      </c>
      <c r="K5706">
        <v>1.115313</v>
      </c>
      <c r="L5706">
        <v>23.754549999999998</v>
      </c>
      <c r="M5706">
        <v>0.97436840000000002</v>
      </c>
      <c r="N5706">
        <v>0</v>
      </c>
      <c r="O5706">
        <v>-0.2246957</v>
      </c>
      <c r="P5706">
        <v>0.96649750000000001</v>
      </c>
      <c r="Q5706">
        <v>-1.386486E-2</v>
      </c>
      <c r="R5706">
        <v>-0.25630209999999998</v>
      </c>
      <c r="S5706">
        <v>3.0782780000000001</v>
      </c>
      <c r="T5706">
        <v>-0.28290799999999999</v>
      </c>
      <c r="U5706">
        <v>-9.6466060000000006E-2</v>
      </c>
      <c r="V5706">
        <v>3.2603790000000001E-2</v>
      </c>
      <c r="W5706">
        <v>-2.5640770000000001E-3</v>
      </c>
      <c r="X5706">
        <v>0.99946500000000005</v>
      </c>
      <c r="Y5706">
        <v>-0.19233690000000001</v>
      </c>
      <c r="Z5706">
        <v>2.9269159999999999E-2</v>
      </c>
      <c r="AA5706">
        <v>0.9808924</v>
      </c>
      <c r="AB5706">
        <v>34</v>
      </c>
      <c r="AC5706">
        <v>11.845000000000001</v>
      </c>
      <c r="AD5706">
        <v>-1.1153146725929901</v>
      </c>
      <c r="AE5706">
        <v>-0.317599999999998</v>
      </c>
      <c r="AF5706">
        <v>-2.33154355082447</v>
      </c>
      <c r="AG5706">
        <v>-1.1153146725929901</v>
      </c>
      <c r="AH5706">
        <v>11.5114560975139</v>
      </c>
      <c r="AI5706">
        <v>95.4244952564393</v>
      </c>
      <c r="AJ5706">
        <v>101.44986106840901</v>
      </c>
      <c r="AK5706">
        <v>11.798035583658899</v>
      </c>
      <c r="AL5706">
        <v>90.146910961132306</v>
      </c>
      <c r="AM5706">
        <v>88.131603050772696</v>
      </c>
      <c r="AN5706">
        <v>0.99999993391911002</v>
      </c>
    </row>
    <row r="5707" spans="1:40" x14ac:dyDescent="0.25">
      <c r="A5707" t="str">
        <f>"20190312154410379"</f>
        <v>20190312154410379</v>
      </c>
      <c r="B5707" t="str">
        <f>"1552376650372973"</f>
        <v>1552376650372973</v>
      </c>
      <c r="C5707" t="s">
        <v>40</v>
      </c>
      <c r="D5707">
        <v>5.1723699999999999</v>
      </c>
      <c r="E5707">
        <v>0.41261009999999998</v>
      </c>
      <c r="F5707" t="s">
        <v>72</v>
      </c>
      <c r="G5707">
        <v>-378.26310000000001</v>
      </c>
      <c r="H5707" s="1">
        <v>-1.8161000000000001E-6</v>
      </c>
      <c r="I5707">
        <v>23.429480000000002</v>
      </c>
      <c r="J5707">
        <v>-390.22910000000002</v>
      </c>
      <c r="K5707">
        <v>1.1154569999999999</v>
      </c>
      <c r="L5707">
        <v>23.715060000000001</v>
      </c>
      <c r="M5707">
        <v>0.97518990000000005</v>
      </c>
      <c r="N5707">
        <v>0</v>
      </c>
      <c r="O5707">
        <v>-0.22108829999999999</v>
      </c>
      <c r="P5707">
        <v>0.96746259999999995</v>
      </c>
      <c r="Q5707">
        <v>-1.380939E-2</v>
      </c>
      <c r="R5707">
        <v>-0.25263679999999999</v>
      </c>
      <c r="S5707">
        <v>3.078125</v>
      </c>
      <c r="T5707">
        <v>-0.2824932</v>
      </c>
      <c r="U5707">
        <v>-8.2336430000000002E-2</v>
      </c>
      <c r="V5707">
        <v>3.2509389999999999E-2</v>
      </c>
      <c r="W5707">
        <v>-2.205083E-3</v>
      </c>
      <c r="X5707">
        <v>0.99946900000000005</v>
      </c>
      <c r="Y5707">
        <v>-0.1932198</v>
      </c>
      <c r="Z5707">
        <v>2.8949530000000001E-2</v>
      </c>
      <c r="AA5707">
        <v>0.9807283</v>
      </c>
      <c r="AB5707">
        <v>34</v>
      </c>
      <c r="AC5707">
        <v>11.965999999999999</v>
      </c>
      <c r="AD5707">
        <v>-1.1154588161000001</v>
      </c>
      <c r="AE5707">
        <v>-0.285580000000003</v>
      </c>
      <c r="AF5707">
        <v>-2.3468136740754102</v>
      </c>
      <c r="AG5707">
        <v>-1.1154588161000001</v>
      </c>
      <c r="AH5707">
        <v>11.631970069708601</v>
      </c>
      <c r="AI5707">
        <v>95.370128757521002</v>
      </c>
      <c r="AJ5707">
        <v>101.406612670594</v>
      </c>
      <c r="AK5707">
        <v>11.9186622778666</v>
      </c>
      <c r="AL5707">
        <v>90.126342051460995</v>
      </c>
      <c r="AM5707">
        <v>88.137016382239494</v>
      </c>
      <c r="AN5707">
        <v>1.0000000023950999</v>
      </c>
    </row>
    <row r="5708" spans="1:40" x14ac:dyDescent="0.25">
      <c r="A5708" t="str">
        <f>"20190312154410393"</f>
        <v>20190312154410393</v>
      </c>
      <c r="B5708" t="str">
        <f>"1552376650383710"</f>
        <v>1552376650383710</v>
      </c>
      <c r="C5708" t="s">
        <v>40</v>
      </c>
      <c r="D5708">
        <v>5.158512</v>
      </c>
      <c r="E5708">
        <v>0.41274650000000002</v>
      </c>
      <c r="F5708" t="s">
        <v>72</v>
      </c>
      <c r="G5708">
        <v>-378.0532</v>
      </c>
      <c r="H5708" s="1">
        <v>-1.9156310000000001E-6</v>
      </c>
      <c r="I5708">
        <v>23.43065</v>
      </c>
      <c r="J5708">
        <v>-390.03050000000002</v>
      </c>
      <c r="K5708">
        <v>1.115607</v>
      </c>
      <c r="L5708">
        <v>23.673770000000001</v>
      </c>
      <c r="M5708">
        <v>0.9760626</v>
      </c>
      <c r="N5708">
        <v>0</v>
      </c>
      <c r="O5708">
        <v>-0.21718779999999999</v>
      </c>
      <c r="P5708">
        <v>0.96843950000000001</v>
      </c>
      <c r="Q5708">
        <v>-1.33384E-2</v>
      </c>
      <c r="R5708">
        <v>-0.24889220000000001</v>
      </c>
      <c r="S5708">
        <v>3.0780940000000001</v>
      </c>
      <c r="T5708">
        <v>-0.28199020000000002</v>
      </c>
      <c r="U5708">
        <v>-7.1899409999999997E-2</v>
      </c>
      <c r="V5708">
        <v>3.2626219999999997E-2</v>
      </c>
      <c r="W5708">
        <v>-1.4219339999999999E-3</v>
      </c>
      <c r="X5708">
        <v>0.99946659999999998</v>
      </c>
      <c r="Y5708">
        <v>-0.19264609999999999</v>
      </c>
      <c r="Z5708">
        <v>2.8526030000000001E-2</v>
      </c>
      <c r="AA5708">
        <v>0.98085359999999999</v>
      </c>
      <c r="AB5708">
        <v>34</v>
      </c>
      <c r="AC5708">
        <v>11.9773</v>
      </c>
      <c r="AD5708">
        <v>-1.1156089156309901</v>
      </c>
      <c r="AE5708">
        <v>-0.243120000000001</v>
      </c>
      <c r="AF5708">
        <v>-2.3438520086992001</v>
      </c>
      <c r="AG5708">
        <v>-1.1156089156309901</v>
      </c>
      <c r="AH5708">
        <v>11.643196432416399</v>
      </c>
      <c r="AI5708">
        <v>95.366162597725193</v>
      </c>
      <c r="AJ5708">
        <v>101.38189636984799</v>
      </c>
      <c r="AK5708">
        <v>11.9290506183498</v>
      </c>
      <c r="AL5708">
        <v>90.081470845351802</v>
      </c>
      <c r="AM5708">
        <v>88.130321577277897</v>
      </c>
      <c r="AN5708">
        <v>0.99999998832167403</v>
      </c>
    </row>
    <row r="5709" spans="1:40" x14ac:dyDescent="0.25">
      <c r="A5709" t="str">
        <f>"20190312154410412"</f>
        <v>20190312154410412</v>
      </c>
      <c r="B5709" t="str">
        <f>"1552376650403230"</f>
        <v>1552376650403230</v>
      </c>
      <c r="C5709" t="s">
        <v>40</v>
      </c>
      <c r="D5709">
        <v>5.1751610000000001</v>
      </c>
      <c r="E5709">
        <v>0.41292000000000001</v>
      </c>
      <c r="F5709" t="s">
        <v>72</v>
      </c>
      <c r="G5709">
        <v>-377.77420000000001</v>
      </c>
      <c r="H5709" s="1">
        <v>-2.047449E-6</v>
      </c>
      <c r="I5709">
        <v>23.43038</v>
      </c>
      <c r="J5709">
        <v>-389.75380000000001</v>
      </c>
      <c r="K5709">
        <v>1.115802</v>
      </c>
      <c r="L5709">
        <v>23.61777</v>
      </c>
      <c r="M5709">
        <v>0.97728559999999998</v>
      </c>
      <c r="N5709">
        <v>0</v>
      </c>
      <c r="O5709">
        <v>-0.21159520000000001</v>
      </c>
      <c r="P5709">
        <v>0.96992619999999896</v>
      </c>
      <c r="Q5709">
        <v>-1.196235E-2</v>
      </c>
      <c r="R5709">
        <v>-0.2431053</v>
      </c>
      <c r="S5709">
        <v>3.0781860000000001</v>
      </c>
      <c r="T5709">
        <v>-0.28018700000000002</v>
      </c>
      <c r="U5709">
        <v>-6.1126710000000001E-2</v>
      </c>
      <c r="V5709">
        <v>3.2352199999999998E-2</v>
      </c>
      <c r="W5709">
        <v>3.5125420000000002E-4</v>
      </c>
      <c r="X5709">
        <v>0.99947649999999999</v>
      </c>
      <c r="Y5709">
        <v>-0.19051390000000001</v>
      </c>
      <c r="Z5709">
        <v>2.7751399999999999E-2</v>
      </c>
      <c r="AA5709">
        <v>0.98129219999999895</v>
      </c>
      <c r="AB5709">
        <v>34</v>
      </c>
      <c r="AC5709">
        <v>11.9796</v>
      </c>
      <c r="AD5709">
        <v>-1.1158040474490001</v>
      </c>
      <c r="AE5709">
        <v>-0.18739</v>
      </c>
      <c r="AF5709">
        <v>-2.3316343376170301</v>
      </c>
      <c r="AG5709">
        <v>-1.1158040474490001</v>
      </c>
      <c r="AH5709">
        <v>11.6469480911065</v>
      </c>
      <c r="AI5709">
        <v>95.366523618662498</v>
      </c>
      <c r="AJ5709">
        <v>101.320549994594</v>
      </c>
      <c r="AK5709">
        <v>11.9303368432575</v>
      </c>
      <c r="AL5709">
        <v>89.979874617016506</v>
      </c>
      <c r="AM5709">
        <v>88.146031915554303</v>
      </c>
      <c r="AN5709">
        <v>1.0000000311382999</v>
      </c>
    </row>
    <row r="5710" spans="1:40" x14ac:dyDescent="0.25">
      <c r="A5710" t="str">
        <f>"20190312154410434"</f>
        <v>20190312154410434</v>
      </c>
      <c r="B5710" t="str">
        <f>"1552376650423726"</f>
        <v>1552376650423726</v>
      </c>
      <c r="C5710" t="s">
        <v>40</v>
      </c>
      <c r="D5710">
        <v>5.1793839999999998</v>
      </c>
      <c r="E5710">
        <v>0.41324830000000001</v>
      </c>
      <c r="F5710" t="s">
        <v>72</v>
      </c>
      <c r="G5710">
        <v>-377.32909999999998</v>
      </c>
      <c r="H5710" s="1">
        <v>-2.2601950000000001E-6</v>
      </c>
      <c r="I5710">
        <v>23.439170000000001</v>
      </c>
      <c r="J5710">
        <v>-389.42939999999999</v>
      </c>
      <c r="K5710">
        <v>1.1160099999999999</v>
      </c>
      <c r="L5710">
        <v>23.554569999999998</v>
      </c>
      <c r="M5710">
        <v>0.97872250000000005</v>
      </c>
      <c r="N5710">
        <v>0</v>
      </c>
      <c r="O5710">
        <v>-0.20482249999999999</v>
      </c>
      <c r="P5710">
        <v>0.97168889999999997</v>
      </c>
      <c r="Q5710">
        <v>-1.1760609999999999E-2</v>
      </c>
      <c r="R5710">
        <v>-0.2359716</v>
      </c>
      <c r="S5710">
        <v>3.0784910000000001</v>
      </c>
      <c r="T5710">
        <v>-0.27646579999999998</v>
      </c>
      <c r="U5710">
        <v>-4.4250490000000003E-2</v>
      </c>
      <c r="V5710">
        <v>3.1918549999999997E-2</v>
      </c>
      <c r="W5710">
        <v>9.6828120000000005E-4</v>
      </c>
      <c r="X5710">
        <v>0.99948999999999999</v>
      </c>
      <c r="Y5710">
        <v>-0.18917349999999999</v>
      </c>
      <c r="Z5710">
        <v>2.6729349999999999E-2</v>
      </c>
      <c r="AA5710">
        <v>0.9815798</v>
      </c>
      <c r="AB5710">
        <v>34</v>
      </c>
      <c r="AC5710">
        <v>12.100300000000001</v>
      </c>
      <c r="AD5710">
        <v>-1.116012260195</v>
      </c>
      <c r="AE5710">
        <v>-0.115400000000001</v>
      </c>
      <c r="AF5710">
        <v>-2.3456949656660901</v>
      </c>
      <c r="AG5710">
        <v>-1.116012260195</v>
      </c>
      <c r="AH5710">
        <v>11.7672745297404</v>
      </c>
      <c r="AI5710">
        <v>95.313814073224606</v>
      </c>
      <c r="AJ5710">
        <v>101.273597336522</v>
      </c>
      <c r="AK5710">
        <v>12.050581649660399</v>
      </c>
      <c r="AL5710">
        <v>89.944521564953206</v>
      </c>
      <c r="AM5710">
        <v>88.170890260793499</v>
      </c>
      <c r="AN5710">
        <v>0.99999999575129195</v>
      </c>
    </row>
    <row r="5711" spans="1:40" x14ac:dyDescent="0.25">
      <c r="A5711" t="str">
        <f>"20190312154410447"</f>
        <v>20190312154410447</v>
      </c>
      <c r="B5711" t="str">
        <f>"1552376650443246"</f>
        <v>1552376650443246</v>
      </c>
      <c r="C5711" t="s">
        <v>40</v>
      </c>
      <c r="D5711">
        <v>5.2215669999999896</v>
      </c>
      <c r="E5711">
        <v>0.41357899999999997</v>
      </c>
      <c r="F5711" t="s">
        <v>72</v>
      </c>
      <c r="G5711">
        <v>-376.92680000000001</v>
      </c>
      <c r="H5711" s="1">
        <v>-2.455054E-6</v>
      </c>
      <c r="I5711">
        <v>23.456769999999999</v>
      </c>
      <c r="J5711">
        <v>-389.23860000000002</v>
      </c>
      <c r="K5711">
        <v>1.1161289999999999</v>
      </c>
      <c r="L5711">
        <v>23.518339999999998</v>
      </c>
      <c r="M5711">
        <v>0.97956120000000002</v>
      </c>
      <c r="N5711">
        <v>0</v>
      </c>
      <c r="O5711">
        <v>-0.20075850000000001</v>
      </c>
      <c r="P5711">
        <v>0.97273679999999996</v>
      </c>
      <c r="Q5711">
        <v>-1.241286E-2</v>
      </c>
      <c r="R5711">
        <v>-0.23157939999999999</v>
      </c>
      <c r="S5711">
        <v>3.078217</v>
      </c>
      <c r="T5711">
        <v>-0.27476889999999998</v>
      </c>
      <c r="U5711">
        <v>-2.4078370000000002E-2</v>
      </c>
      <c r="V5711">
        <v>3.1558919999999997E-2</v>
      </c>
      <c r="W5711">
        <v>5.3960489999999896E-4</v>
      </c>
      <c r="X5711">
        <v>0.9995018</v>
      </c>
      <c r="Y5711">
        <v>-0.19155440000000001</v>
      </c>
      <c r="Z5711">
        <v>2.6322290000000002E-2</v>
      </c>
      <c r="AA5711">
        <v>0.98112900000000003</v>
      </c>
      <c r="AB5711">
        <v>34</v>
      </c>
      <c r="AC5711">
        <v>12.3118</v>
      </c>
      <c r="AD5711">
        <v>-1.116131455054</v>
      </c>
      <c r="AE5711">
        <v>-6.15699999999961E-2</v>
      </c>
      <c r="AF5711">
        <v>-2.3919176243306399</v>
      </c>
      <c r="AG5711">
        <v>-1.116131455054</v>
      </c>
      <c r="AH5711">
        <v>11.9750499650974</v>
      </c>
      <c r="AI5711">
        <v>95.222284708589498</v>
      </c>
      <c r="AJ5711">
        <v>101.29570509880899</v>
      </c>
      <c r="AK5711">
        <v>12.2624973399844</v>
      </c>
      <c r="AL5711">
        <v>89.969082916745194</v>
      </c>
      <c r="AM5711">
        <v>88.191506625223397</v>
      </c>
      <c r="AN5711">
        <v>1.0000000524041199</v>
      </c>
    </row>
    <row r="5712" spans="1:40" x14ac:dyDescent="0.25">
      <c r="A5712" t="str">
        <f>"20190312154410459"</f>
        <v>20190312154410459</v>
      </c>
      <c r="B5712" t="str">
        <f>"1552376650453005"</f>
        <v>1552376650453005</v>
      </c>
      <c r="C5712" t="s">
        <v>40</v>
      </c>
      <c r="D5712">
        <v>5.2086489999999896</v>
      </c>
      <c r="E5712">
        <v>0.4134853</v>
      </c>
      <c r="F5712" t="s">
        <v>72</v>
      </c>
      <c r="G5712">
        <v>-376.82369999999997</v>
      </c>
      <c r="H5712" s="1">
        <v>-2.506689E-6</v>
      </c>
      <c r="I5712">
        <v>23.467739999999999</v>
      </c>
      <c r="J5712">
        <v>-389.0668</v>
      </c>
      <c r="K5712">
        <v>1.1162179999999999</v>
      </c>
      <c r="L5712">
        <v>23.486910000000002</v>
      </c>
      <c r="M5712">
        <v>0.98032070000000004</v>
      </c>
      <c r="N5712">
        <v>0</v>
      </c>
      <c r="O5712">
        <v>-0.19700480000000001</v>
      </c>
      <c r="P5712">
        <v>0.97367159999999997</v>
      </c>
      <c r="Q5712">
        <v>-1.326169E-2</v>
      </c>
      <c r="R5712">
        <v>-0.22756950000000001</v>
      </c>
      <c r="S5712">
        <v>3.0776059999999998</v>
      </c>
      <c r="T5712">
        <v>-0.27668490000000001</v>
      </c>
      <c r="U5712">
        <v>-1.254272E-2</v>
      </c>
      <c r="V5712">
        <v>3.1281209999999997E-2</v>
      </c>
      <c r="W5712">
        <v>-1.2741790000000001E-4</v>
      </c>
      <c r="X5712">
        <v>0.99951060000000003</v>
      </c>
      <c r="Y5712">
        <v>-0.19146489999999999</v>
      </c>
      <c r="Z5712">
        <v>2.6176769999999999E-2</v>
      </c>
      <c r="AA5712">
        <v>0.98115030000000003</v>
      </c>
      <c r="AB5712">
        <v>34</v>
      </c>
      <c r="AC5712">
        <v>12.2431</v>
      </c>
      <c r="AD5712">
        <v>-1.1162205066890001</v>
      </c>
      <c r="AE5712">
        <v>-1.9170000000002501E-2</v>
      </c>
      <c r="AF5712">
        <v>-2.3736187135852802</v>
      </c>
      <c r="AG5712">
        <v>-1.1162205066890001</v>
      </c>
      <c r="AH5712">
        <v>11.907923067613099</v>
      </c>
      <c r="AI5712">
        <v>95.252387732837605</v>
      </c>
      <c r="AJ5712">
        <v>101.273073441338</v>
      </c>
      <c r="AK5712">
        <v>12.193385329810001</v>
      </c>
      <c r="AL5712">
        <v>90.007300508034206</v>
      </c>
      <c r="AM5712">
        <v>88.207426223142605</v>
      </c>
      <c r="AN5712">
        <v>0.99999998492337205</v>
      </c>
    </row>
    <row r="5713" spans="1:40" x14ac:dyDescent="0.25">
      <c r="A5713" t="str">
        <f>"20190312154410472"</f>
        <v>20190312154410472</v>
      </c>
      <c r="B5713" t="str">
        <f>"1552376650463742"</f>
        <v>1552376650463742</v>
      </c>
      <c r="C5713" t="s">
        <v>40</v>
      </c>
      <c r="D5713">
        <v>5.1883780000000002</v>
      </c>
      <c r="E5713">
        <v>0.41339330000000002</v>
      </c>
      <c r="F5713" t="s">
        <v>72</v>
      </c>
      <c r="G5713">
        <v>-376.76240000000001</v>
      </c>
      <c r="H5713" s="1">
        <v>-2.5417609999999999E-6</v>
      </c>
      <c r="I5713">
        <v>23.490570000000002</v>
      </c>
      <c r="J5713">
        <v>-388.87990000000002</v>
      </c>
      <c r="K5713">
        <v>1.11632</v>
      </c>
      <c r="L5713">
        <v>23.453130000000002</v>
      </c>
      <c r="M5713">
        <v>0.98113890000000004</v>
      </c>
      <c r="N5713">
        <v>0</v>
      </c>
      <c r="O5713">
        <v>-0.19287699999999999</v>
      </c>
      <c r="P5713">
        <v>0.97467090000000001</v>
      </c>
      <c r="Q5713">
        <v>-1.4688669999999999E-2</v>
      </c>
      <c r="R5713">
        <v>-0.22316220000000001</v>
      </c>
      <c r="S5713">
        <v>3.0774840000000001</v>
      </c>
      <c r="T5713">
        <v>-0.27917950000000002</v>
      </c>
      <c r="U5713">
        <v>9.1552729999999996E-4</v>
      </c>
      <c r="V5713">
        <v>3.0988870000000002E-2</v>
      </c>
      <c r="W5713">
        <v>-1.364706E-3</v>
      </c>
      <c r="X5713">
        <v>0.99951880000000004</v>
      </c>
      <c r="Y5713">
        <v>-0.19161339999999999</v>
      </c>
      <c r="Z5713">
        <v>2.6053429999999999E-2</v>
      </c>
      <c r="AA5713">
        <v>0.98112460000000001</v>
      </c>
      <c r="AB5713">
        <v>34</v>
      </c>
      <c r="AC5713">
        <v>12.1175</v>
      </c>
      <c r="AD5713">
        <v>-1.1163225417610001</v>
      </c>
      <c r="AE5713">
        <v>3.7440000000003602E-2</v>
      </c>
      <c r="AF5713">
        <v>-2.3541373349547099</v>
      </c>
      <c r="AG5713">
        <v>-1.1163225417610001</v>
      </c>
      <c r="AH5713">
        <v>11.7827104960221</v>
      </c>
      <c r="AI5713">
        <v>95.307898252323</v>
      </c>
      <c r="AJ5713">
        <v>101.298688142719</v>
      </c>
      <c r="AK5713">
        <v>12.0673280075641</v>
      </c>
      <c r="AL5713">
        <v>90.078191918189304</v>
      </c>
      <c r="AM5713">
        <v>88.2241825868539</v>
      </c>
      <c r="AN5713">
        <v>1.00000000201989</v>
      </c>
    </row>
    <row r="5714" spans="1:40" x14ac:dyDescent="0.25">
      <c r="A5714" t="str">
        <f>"20190312154410489"</f>
        <v>20190312154410489</v>
      </c>
      <c r="B5714" t="str">
        <f>"1552376650483262"</f>
        <v>1552376650483262</v>
      </c>
      <c r="C5714" t="s">
        <v>40</v>
      </c>
      <c r="D5714">
        <v>5.3225290000000003</v>
      </c>
      <c r="E5714">
        <v>0.41356599999999999</v>
      </c>
      <c r="F5714" t="s">
        <v>72</v>
      </c>
      <c r="G5714">
        <v>-376.62819999999999</v>
      </c>
      <c r="H5714" s="1">
        <v>-2.611626E-6</v>
      </c>
      <c r="I5714">
        <v>23.51473</v>
      </c>
      <c r="J5714">
        <v>-388.63650000000001</v>
      </c>
      <c r="K5714">
        <v>1.116452</v>
      </c>
      <c r="L5714">
        <v>23.410489999999999</v>
      </c>
      <c r="M5714">
        <v>0.9821995</v>
      </c>
      <c r="N5714">
        <v>0</v>
      </c>
      <c r="O5714">
        <v>-0.1873853</v>
      </c>
      <c r="P5714">
        <v>0.97601020000000005</v>
      </c>
      <c r="Q5714">
        <v>-1.5782460000000002E-2</v>
      </c>
      <c r="R5714">
        <v>-0.2171527</v>
      </c>
      <c r="S5714">
        <v>3.0772400000000002</v>
      </c>
      <c r="T5714">
        <v>-0.280385</v>
      </c>
      <c r="U5714">
        <v>1.5472410000000001E-2</v>
      </c>
      <c r="V5714">
        <v>3.0438840000000002E-2</v>
      </c>
      <c r="W5714">
        <v>-2.2334080000000001E-3</v>
      </c>
      <c r="X5714">
        <v>0.99953409999999998</v>
      </c>
      <c r="Y5714">
        <v>-0.1907778</v>
      </c>
      <c r="Z5714">
        <v>2.5638919999999999E-2</v>
      </c>
      <c r="AA5714">
        <v>0.98129829999999996</v>
      </c>
      <c r="AB5714">
        <v>33</v>
      </c>
      <c r="AC5714">
        <v>12.0083</v>
      </c>
      <c r="AD5714">
        <v>-1.1164546116259999</v>
      </c>
      <c r="AE5714">
        <v>0.10424</v>
      </c>
      <c r="AF5714">
        <v>-2.3326027167090002</v>
      </c>
      <c r="AG5714">
        <v>-1.1164546116259999</v>
      </c>
      <c r="AH5714">
        <v>11.6751064447748</v>
      </c>
      <c r="AI5714">
        <v>95.357168597090904</v>
      </c>
      <c r="AJ5714">
        <v>101.298519342942</v>
      </c>
      <c r="AK5714">
        <v>11.9580774721792</v>
      </c>
      <c r="AL5714">
        <v>90.127964963311598</v>
      </c>
      <c r="AM5714">
        <v>88.255709096009099</v>
      </c>
      <c r="AN5714">
        <v>0.99999996407732406</v>
      </c>
    </row>
    <row r="5715" spans="1:40" x14ac:dyDescent="0.25">
      <c r="A5715" t="str">
        <f>"20190312154410512"</f>
        <v>20190312154410512</v>
      </c>
      <c r="B5715" t="str">
        <f>"1552376650503758"</f>
        <v>1552376650503758</v>
      </c>
      <c r="C5715" t="s">
        <v>40</v>
      </c>
      <c r="D5715">
        <v>5.2945760000000002</v>
      </c>
      <c r="E5715">
        <v>0.41380139999999999</v>
      </c>
      <c r="F5715" t="s">
        <v>72</v>
      </c>
      <c r="G5715">
        <v>-376.53890000000001</v>
      </c>
      <c r="H5715" s="1">
        <v>-2.6609190000000001E-6</v>
      </c>
      <c r="I5715">
        <v>23.541409999999999</v>
      </c>
      <c r="J5715">
        <v>-388.29020000000003</v>
      </c>
      <c r="K5715">
        <v>1.1166469999999999</v>
      </c>
      <c r="L5715">
        <v>23.352779999999999</v>
      </c>
      <c r="M5715">
        <v>0.98369790000000001</v>
      </c>
      <c r="N5715">
        <v>0</v>
      </c>
      <c r="O5715">
        <v>-0.17933289999999999</v>
      </c>
      <c r="P5715">
        <v>0.97765769999999996</v>
      </c>
      <c r="Q5715">
        <v>-1.5465380000000001E-2</v>
      </c>
      <c r="R5715">
        <v>-0.2096344</v>
      </c>
      <c r="S5715">
        <v>3.0765690000000001</v>
      </c>
      <c r="T5715">
        <v>-0.283929299999999</v>
      </c>
      <c r="U5715">
        <v>3.329468E-2</v>
      </c>
      <c r="V5715">
        <v>3.092369E-2</v>
      </c>
      <c r="W5715">
        <v>-1.611826E-3</v>
      </c>
      <c r="X5715">
        <v>0.99952039999999998</v>
      </c>
      <c r="Y5715">
        <v>-0.18842709999999999</v>
      </c>
      <c r="Z5715">
        <v>2.5128540000000001E-2</v>
      </c>
      <c r="AA5715">
        <v>0.98176560000000002</v>
      </c>
      <c r="AB5715">
        <v>33</v>
      </c>
      <c r="AC5715">
        <v>11.751300000000001</v>
      </c>
      <c r="AD5715">
        <v>-1.116649660919</v>
      </c>
      <c r="AE5715">
        <v>0.18862999999999899</v>
      </c>
      <c r="AF5715">
        <v>-2.2726384921743201</v>
      </c>
      <c r="AG5715">
        <v>-1.116649660919</v>
      </c>
      <c r="AH5715">
        <v>11.423804113167201</v>
      </c>
      <c r="AI5715">
        <v>95.476149784560405</v>
      </c>
      <c r="AJ5715">
        <v>101.25145977406</v>
      </c>
      <c r="AK5715">
        <v>11.701072284084001</v>
      </c>
      <c r="AL5715">
        <v>90.092350871594505</v>
      </c>
      <c r="AM5715">
        <v>88.227918178060904</v>
      </c>
      <c r="AN5715">
        <v>0.999999951301214</v>
      </c>
    </row>
    <row r="5716" spans="1:40" x14ac:dyDescent="0.25">
      <c r="A5716" t="str">
        <f>"20190312154410534"</f>
        <v>20190312154410534</v>
      </c>
      <c r="B5716" t="str">
        <f>"1552376650523278"</f>
        <v>1552376650523278</v>
      </c>
      <c r="C5716" t="s">
        <v>40</v>
      </c>
      <c r="D5716">
        <v>5.2324129999999904</v>
      </c>
      <c r="E5716">
        <v>0.41359960000000001</v>
      </c>
      <c r="F5716" t="s">
        <v>72</v>
      </c>
      <c r="G5716">
        <v>-376.13560000000001</v>
      </c>
      <c r="H5716" s="1">
        <v>-2.8597229999999999E-6</v>
      </c>
      <c r="I5716">
        <v>23.572009999999999</v>
      </c>
      <c r="J5716">
        <v>-387.97199999999998</v>
      </c>
      <c r="K5716">
        <v>1.1168359999999999</v>
      </c>
      <c r="L5716">
        <v>23.302430000000001</v>
      </c>
      <c r="M5716">
        <v>0.98505030000000005</v>
      </c>
      <c r="N5716">
        <v>0</v>
      </c>
      <c r="O5716">
        <v>-0.1717312</v>
      </c>
      <c r="P5716">
        <v>0.9790044</v>
      </c>
      <c r="Q5716">
        <v>-1.418093E-2</v>
      </c>
      <c r="R5716">
        <v>-0.20334650000000001</v>
      </c>
      <c r="S5716">
        <v>3.0759889999999999</v>
      </c>
      <c r="T5716">
        <v>-0.28259190000000001</v>
      </c>
      <c r="U5716">
        <v>5.5480960000000003E-2</v>
      </c>
      <c r="V5716">
        <v>3.218915E-2</v>
      </c>
      <c r="W5716" s="1">
        <v>-6.3139130000000002E-5</v>
      </c>
      <c r="X5716">
        <v>0.99948179999999998</v>
      </c>
      <c r="Y5716">
        <v>-0.187975</v>
      </c>
      <c r="Z5716">
        <v>2.4306890000000001E-2</v>
      </c>
      <c r="AA5716">
        <v>0.981873</v>
      </c>
      <c r="AB5716">
        <v>33</v>
      </c>
      <c r="AC5716">
        <v>11.8363999999999</v>
      </c>
      <c r="AD5716">
        <v>-1.1168388597229999</v>
      </c>
      <c r="AE5716">
        <v>0.26958000000000398</v>
      </c>
      <c r="AF5716">
        <v>-2.2781685772575102</v>
      </c>
      <c r="AG5716">
        <v>-1.1168388597229999</v>
      </c>
      <c r="AH5716">
        <v>11.5117868084518</v>
      </c>
      <c r="AI5716">
        <v>95.436536155316801</v>
      </c>
      <c r="AJ5716">
        <v>101.19412528152699</v>
      </c>
      <c r="AK5716">
        <v>11.788070946013001</v>
      </c>
      <c r="AL5716">
        <v>90.003617605648301</v>
      </c>
      <c r="AM5716">
        <v>88.155378926423296</v>
      </c>
      <c r="AN5716">
        <v>1.0000000069477499</v>
      </c>
    </row>
    <row r="5717" spans="1:40" x14ac:dyDescent="0.25">
      <c r="A5717" t="str">
        <f>"20190312154410545"</f>
        <v>20190312154410545</v>
      </c>
      <c r="B5717" t="str">
        <f>"1552376650543774"</f>
        <v>1552376650543774</v>
      </c>
      <c r="C5717" t="s">
        <v>40</v>
      </c>
      <c r="D5717">
        <v>5.2388960000000004</v>
      </c>
      <c r="E5717">
        <v>0.41188750000000002</v>
      </c>
      <c r="F5717" t="s">
        <v>72</v>
      </c>
      <c r="G5717">
        <v>-375.34789999999998</v>
      </c>
      <c r="H5717" s="1">
        <v>-3.2440039999999999E-6</v>
      </c>
      <c r="I5717">
        <v>23.616890000000001</v>
      </c>
      <c r="J5717">
        <v>-387.79880000000003</v>
      </c>
      <c r="K5717">
        <v>1.1169420000000001</v>
      </c>
      <c r="L5717">
        <v>23.276</v>
      </c>
      <c r="M5717">
        <v>0.98577239999999999</v>
      </c>
      <c r="N5717">
        <v>0</v>
      </c>
      <c r="O5717">
        <v>-0.16752590000000001</v>
      </c>
      <c r="P5717">
        <v>0.97969450000000002</v>
      </c>
      <c r="Q5717">
        <v>-1.3252180000000001E-2</v>
      </c>
      <c r="R5717">
        <v>-0.2000584</v>
      </c>
      <c r="S5717">
        <v>3.0763240000000001</v>
      </c>
      <c r="T5717">
        <v>-0.27215980000000001</v>
      </c>
      <c r="U5717">
        <v>7.6629639999999999E-2</v>
      </c>
      <c r="V5717">
        <v>3.307856E-2</v>
      </c>
      <c r="W5717">
        <v>1.003091E-3</v>
      </c>
      <c r="X5717">
        <v>0.99945220000000001</v>
      </c>
      <c r="Y5717">
        <v>-0.19064449999999999</v>
      </c>
      <c r="Z5717">
        <v>2.3161399999999999E-2</v>
      </c>
      <c r="AA5717">
        <v>0.98138590000000003</v>
      </c>
      <c r="AB5717">
        <v>33</v>
      </c>
      <c r="AC5717">
        <v>12.450900000000001</v>
      </c>
      <c r="AD5717">
        <v>-1.116945244004</v>
      </c>
      <c r="AE5717">
        <v>0.34088999999999797</v>
      </c>
      <c r="AF5717">
        <v>-2.4027936319969698</v>
      </c>
      <c r="AG5717">
        <v>-1.116945244004</v>
      </c>
      <c r="AH5717">
        <v>12.1203277030494</v>
      </c>
      <c r="AI5717">
        <v>95.1652424695516</v>
      </c>
      <c r="AJ5717">
        <v>101.21320995891899</v>
      </c>
      <c r="AK5717">
        <v>12.406584040152801</v>
      </c>
      <c r="AL5717">
        <v>89.942527106646097</v>
      </c>
      <c r="AM5717">
        <v>88.104391268251504</v>
      </c>
      <c r="AN5717">
        <v>0.99999994870403197</v>
      </c>
    </row>
    <row r="5718" spans="1:40" x14ac:dyDescent="0.25">
      <c r="A5718" t="str">
        <f>"20190312154410557"</f>
        <v>20190312154410557</v>
      </c>
      <c r="B5718" t="str">
        <f>"1552376650553534"</f>
        <v>1552376650553534</v>
      </c>
      <c r="C5718" t="s">
        <v>40</v>
      </c>
      <c r="D5718">
        <v>5.2373789999999998</v>
      </c>
      <c r="E5718">
        <v>0.41150500000000001</v>
      </c>
      <c r="F5718" t="s">
        <v>43</v>
      </c>
      <c r="G5718">
        <v>-355.58539999999999</v>
      </c>
      <c r="H5718" s="1">
        <v>-3.1072070000000001E-6</v>
      </c>
      <c r="I5718">
        <v>24.242830000000001</v>
      </c>
      <c r="J5718">
        <v>-387.64089999999999</v>
      </c>
      <c r="K5718">
        <v>1.1170329999999999</v>
      </c>
      <c r="L5718">
        <v>23.252929999999999</v>
      </c>
      <c r="M5718">
        <v>0.98642770000000002</v>
      </c>
      <c r="N5718">
        <v>0</v>
      </c>
      <c r="O5718">
        <v>-0.16361500000000001</v>
      </c>
      <c r="P5718">
        <v>0.98024199999999995</v>
      </c>
      <c r="Q5718">
        <v>-1.2469289999999999E-2</v>
      </c>
      <c r="R5718">
        <v>-0.19740849999999999</v>
      </c>
      <c r="S5718">
        <v>3.0796510000000001</v>
      </c>
      <c r="T5718">
        <v>-0.1067815</v>
      </c>
      <c r="U5718">
        <v>9.2437740000000004E-2</v>
      </c>
      <c r="V5718">
        <v>3.4322409999999998E-2</v>
      </c>
      <c r="W5718">
        <v>1.9090800000000001E-3</v>
      </c>
      <c r="X5718">
        <v>0.99940899999999999</v>
      </c>
      <c r="Y5718">
        <v>-0.1929411</v>
      </c>
      <c r="Z5718">
        <v>8.9980579999999998E-3</v>
      </c>
      <c r="AA5718">
        <v>0.98116910000000002</v>
      </c>
      <c r="AB5718">
        <v>33</v>
      </c>
      <c r="AC5718">
        <v>32.055499999999903</v>
      </c>
      <c r="AD5718">
        <v>-1.1170361072070001</v>
      </c>
      <c r="AE5718">
        <v>0.989899999999998</v>
      </c>
      <c r="AF5718">
        <v>-6.21427927748221</v>
      </c>
      <c r="AG5718">
        <v>-1.1170361072070001</v>
      </c>
      <c r="AH5718">
        <v>31.423346573234799</v>
      </c>
      <c r="AI5718">
        <v>91.997242968433994</v>
      </c>
      <c r="AJ5718">
        <v>101.18647013351899</v>
      </c>
      <c r="AK5718">
        <v>32.0513922703052</v>
      </c>
      <c r="AL5718">
        <v>89.890617707991396</v>
      </c>
      <c r="AM5718">
        <v>88.033080890729096</v>
      </c>
      <c r="AN5718">
        <v>1.00000001084782</v>
      </c>
    </row>
    <row r="5719" spans="1:40" x14ac:dyDescent="0.25">
      <c r="A5719" t="str">
        <f>"20190312154410569"</f>
        <v>20190312154410569</v>
      </c>
      <c r="B5719" t="str">
        <f>"1552376650563295"</f>
        <v>1552376650563295</v>
      </c>
      <c r="C5719" t="s">
        <v>40</v>
      </c>
      <c r="D5719">
        <v>5.1379849999999996</v>
      </c>
      <c r="E5719">
        <v>0.41165879999999999</v>
      </c>
      <c r="F5719" t="s">
        <v>43</v>
      </c>
      <c r="G5719">
        <v>-332.8141</v>
      </c>
      <c r="H5719" s="1">
        <v>-4.2845850000000002E-6</v>
      </c>
      <c r="I5719">
        <v>25.063389999999998</v>
      </c>
      <c r="J5719">
        <v>-387.46469999999999</v>
      </c>
      <c r="K5719">
        <v>1.117132</v>
      </c>
      <c r="L5719">
        <v>23.22748</v>
      </c>
      <c r="M5719">
        <v>0.9871451</v>
      </c>
      <c r="N5719">
        <v>0</v>
      </c>
      <c r="O5719">
        <v>-0.1592211</v>
      </c>
      <c r="P5719">
        <v>0.980904</v>
      </c>
      <c r="Q5719">
        <v>-1.2114430000000001E-2</v>
      </c>
      <c r="R5719">
        <v>-0.1941157</v>
      </c>
      <c r="S5719">
        <v>3.080139</v>
      </c>
      <c r="T5719">
        <v>-6.2754509999999999E-2</v>
      </c>
      <c r="U5719">
        <v>0.1017151</v>
      </c>
      <c r="V5719">
        <v>3.540691E-2</v>
      </c>
      <c r="W5719">
        <v>2.3935459999999999E-3</v>
      </c>
      <c r="X5719">
        <v>0.99937010000000004</v>
      </c>
      <c r="Y5719">
        <v>-0.1916609</v>
      </c>
      <c r="Z5719">
        <v>5.1864800000000003E-3</v>
      </c>
      <c r="AA5719">
        <v>0.98144750000000003</v>
      </c>
      <c r="AB5719">
        <v>33</v>
      </c>
      <c r="AC5719">
        <v>54.650599999999997</v>
      </c>
      <c r="AD5719">
        <v>-1.1171362845849999</v>
      </c>
      <c r="AE5719">
        <v>1.8359099999999899</v>
      </c>
      <c r="AF5719">
        <v>-10.510467086022899</v>
      </c>
      <c r="AG5719">
        <v>-1.1171362845849999</v>
      </c>
      <c r="AH5719">
        <v>53.638552388761703</v>
      </c>
      <c r="AI5719">
        <v>91.170872764132895</v>
      </c>
      <c r="AJ5719">
        <v>101.08662924042601</v>
      </c>
      <c r="AK5719">
        <v>54.670030311008901</v>
      </c>
      <c r="AL5719">
        <v>89.862859783475301</v>
      </c>
      <c r="AM5719">
        <v>87.970903539270694</v>
      </c>
      <c r="AN5719">
        <v>0.99999998755610597</v>
      </c>
    </row>
    <row r="5720" spans="1:40" x14ac:dyDescent="0.25">
      <c r="A5720" t="str">
        <f>"20190312154410581"</f>
        <v>20190312154410581</v>
      </c>
      <c r="B5720" t="str">
        <f>"1552376650573054"</f>
        <v>1552376650573054</v>
      </c>
      <c r="C5720" t="s">
        <v>40</v>
      </c>
      <c r="D5720">
        <v>5.1593400000000003</v>
      </c>
      <c r="E5720">
        <v>0.41225129999999999</v>
      </c>
      <c r="F5720" t="s">
        <v>43</v>
      </c>
      <c r="G5720">
        <v>-323.38139999999999</v>
      </c>
      <c r="H5720" s="1">
        <v>-4.4610140000000001E-6</v>
      </c>
      <c r="I5720">
        <v>25.525700000000001</v>
      </c>
      <c r="J5720">
        <v>-387.27519999999998</v>
      </c>
      <c r="K5720">
        <v>1.117237</v>
      </c>
      <c r="L5720">
        <v>23.201599999999999</v>
      </c>
      <c r="M5720">
        <v>0.9879116</v>
      </c>
      <c r="N5720">
        <v>0</v>
      </c>
      <c r="O5720">
        <v>-0.15438470000000001</v>
      </c>
      <c r="P5720">
        <v>0.98162510000000003</v>
      </c>
      <c r="Q5720">
        <v>-1.182094E-2</v>
      </c>
      <c r="R5720">
        <v>-0.19045380000000001</v>
      </c>
      <c r="S5720">
        <v>3.07959</v>
      </c>
      <c r="T5720">
        <v>-5.3685190000000001E-2</v>
      </c>
      <c r="U5720">
        <v>0.1104431</v>
      </c>
      <c r="V5720">
        <v>3.6563329999999998E-2</v>
      </c>
      <c r="W5720">
        <v>2.8164990000000001E-3</v>
      </c>
      <c r="X5720">
        <v>0.99932739999999998</v>
      </c>
      <c r="Y5720">
        <v>-0.18965860000000001</v>
      </c>
      <c r="Z5720">
        <v>4.3367299999999996E-3</v>
      </c>
      <c r="AA5720">
        <v>0.9818405</v>
      </c>
      <c r="AB5720">
        <v>33</v>
      </c>
      <c r="AC5720">
        <v>63.893799999999999</v>
      </c>
      <c r="AD5720">
        <v>-1.117241461014</v>
      </c>
      <c r="AE5720">
        <v>2.3241000000000001</v>
      </c>
      <c r="AF5720">
        <v>-12.1577101898165</v>
      </c>
      <c r="AG5720">
        <v>-1.117241461014</v>
      </c>
      <c r="AH5720">
        <v>62.749612653881599</v>
      </c>
      <c r="AI5720">
        <v>91.001410656424696</v>
      </c>
      <c r="AJ5720">
        <v>100.965172693336</v>
      </c>
      <c r="AK5720">
        <v>63.926301580444601</v>
      </c>
      <c r="AL5720">
        <v>89.838626285958</v>
      </c>
      <c r="AM5720">
        <v>87.904600199299495</v>
      </c>
      <c r="AN5720">
        <v>1.00000003107903</v>
      </c>
    </row>
    <row r="5721" spans="1:40" x14ac:dyDescent="0.25">
      <c r="A5721" t="str">
        <f>"20190312154410594"</f>
        <v>20190312154410594</v>
      </c>
      <c r="B5721" t="str">
        <f>"1552376650583789"</f>
        <v>1552376650583789</v>
      </c>
      <c r="C5721" t="s">
        <v>40</v>
      </c>
      <c r="D5721">
        <v>5.1847789999999998</v>
      </c>
      <c r="E5721">
        <v>0.41274470000000002</v>
      </c>
      <c r="F5721" t="s">
        <v>43</v>
      </c>
      <c r="G5721">
        <v>-320.99020000000002</v>
      </c>
      <c r="H5721" s="1">
        <v>-5.4148710000000003E-6</v>
      </c>
      <c r="I5721">
        <v>25.72635</v>
      </c>
      <c r="J5721">
        <v>-387.09429999999998</v>
      </c>
      <c r="K5721">
        <v>1.1173390000000001</v>
      </c>
      <c r="L5721">
        <v>23.177610000000001</v>
      </c>
      <c r="M5721">
        <v>0.98862950000000005</v>
      </c>
      <c r="N5721">
        <v>0</v>
      </c>
      <c r="O5721">
        <v>-0.1497097</v>
      </c>
      <c r="P5721">
        <v>0.98216029999999999</v>
      </c>
      <c r="Q5721">
        <v>-1.171375E-2</v>
      </c>
      <c r="R5721">
        <v>-0.18768019999999999</v>
      </c>
      <c r="S5721">
        <v>3.0782470000000002</v>
      </c>
      <c r="T5721">
        <v>-5.188417E-2</v>
      </c>
      <c r="U5721">
        <v>0.11724850000000001</v>
      </c>
      <c r="V5721">
        <v>3.8462870000000003E-2</v>
      </c>
      <c r="W5721">
        <v>3.0568240000000001E-3</v>
      </c>
      <c r="X5721">
        <v>0.99925540000000002</v>
      </c>
      <c r="Y5721">
        <v>-0.18720110000000001</v>
      </c>
      <c r="Z5721">
        <v>4.0941440000000001E-3</v>
      </c>
      <c r="AA5721">
        <v>0.98231310000000005</v>
      </c>
      <c r="AB5721">
        <v>33</v>
      </c>
      <c r="AC5721">
        <v>66.104099999999903</v>
      </c>
      <c r="AD5721">
        <v>-1.1173444148709999</v>
      </c>
      <c r="AE5721">
        <v>2.5487399999999898</v>
      </c>
      <c r="AF5721">
        <v>-12.4138769339453</v>
      </c>
      <c r="AG5721">
        <v>-1.1173444148709999</v>
      </c>
      <c r="AH5721">
        <v>64.958817129471797</v>
      </c>
      <c r="AI5721">
        <v>90.967924065203306</v>
      </c>
      <c r="AJ5721">
        <v>100.818994382624</v>
      </c>
      <c r="AK5721">
        <v>66.143788233913199</v>
      </c>
      <c r="AL5721">
        <v>89.824856621289698</v>
      </c>
      <c r="AM5721">
        <v>87.795685944460402</v>
      </c>
      <c r="AN5721">
        <v>1.0000000454853799</v>
      </c>
    </row>
    <row r="5722" spans="1:40" x14ac:dyDescent="0.25">
      <c r="A5722" t="str">
        <f>"20190312154410614"</f>
        <v>20190312154410614</v>
      </c>
      <c r="B5722" t="str">
        <f>"1552376650603311"</f>
        <v>1552376650603311</v>
      </c>
      <c r="C5722" t="s">
        <v>40</v>
      </c>
      <c r="D5722">
        <v>5.1534409999999999</v>
      </c>
      <c r="E5722">
        <v>0.4141031</v>
      </c>
      <c r="F5722" t="s">
        <v>42</v>
      </c>
      <c r="G5722">
        <v>-316.68060000000003</v>
      </c>
      <c r="H5722">
        <v>-0.05</v>
      </c>
      <c r="I5722">
        <v>25.97015</v>
      </c>
      <c r="J5722">
        <v>-386.81139999999999</v>
      </c>
      <c r="K5722">
        <v>1.117491</v>
      </c>
      <c r="L5722">
        <v>23.141970000000001</v>
      </c>
      <c r="M5722">
        <v>0.98972490000000002</v>
      </c>
      <c r="N5722">
        <v>0</v>
      </c>
      <c r="O5722">
        <v>-0.1422744</v>
      </c>
      <c r="P5722">
        <v>0.98288169999999997</v>
      </c>
      <c r="Q5722">
        <v>-1.1505939999999999E-2</v>
      </c>
      <c r="R5722">
        <v>-0.18387919999999999</v>
      </c>
      <c r="S5722">
        <v>3.0772089999999999</v>
      </c>
      <c r="T5722">
        <v>-5.1014900000000002E-2</v>
      </c>
      <c r="U5722">
        <v>0.1220398</v>
      </c>
      <c r="V5722">
        <v>4.2098950000000003E-2</v>
      </c>
      <c r="W5722">
        <v>3.4750079999999999E-3</v>
      </c>
      <c r="X5722">
        <v>0.99910739999999998</v>
      </c>
      <c r="Y5722">
        <v>-0.18135760000000001</v>
      </c>
      <c r="Z5722">
        <v>3.856061E-3</v>
      </c>
      <c r="AA5722">
        <v>0.98340959999999999</v>
      </c>
      <c r="AB5722">
        <v>33</v>
      </c>
      <c r="AC5722">
        <v>70.130799999999894</v>
      </c>
      <c r="AD5722">
        <v>-1.1674910000000001</v>
      </c>
      <c r="AE5722">
        <v>2.8281800000000001</v>
      </c>
      <c r="AF5722">
        <v>-12.774697718705999</v>
      </c>
      <c r="AG5722">
        <v>-1.1674910000000001</v>
      </c>
      <c r="AH5722">
        <v>68.9957235591461</v>
      </c>
      <c r="AI5722">
        <v>90.953223188384897</v>
      </c>
      <c r="AJ5722">
        <v>100.48963988577</v>
      </c>
      <c r="AK5722">
        <v>70.178100618993</v>
      </c>
      <c r="AL5722">
        <v>89.800896306509003</v>
      </c>
      <c r="AM5722">
        <v>87.587180189597504</v>
      </c>
      <c r="AN5722">
        <v>0.99999999700323094</v>
      </c>
    </row>
    <row r="5723" spans="1:40" x14ac:dyDescent="0.25">
      <c r="A5723" t="str">
        <f>"20190312154410636"</f>
        <v>20190312154410636</v>
      </c>
      <c r="B5723" t="str">
        <f>"1552376650623806"</f>
        <v>1552376650623806</v>
      </c>
      <c r="C5723" t="s">
        <v>40</v>
      </c>
      <c r="D5723">
        <v>5.1841160000000004</v>
      </c>
      <c r="E5723">
        <v>0.41483100000000001</v>
      </c>
      <c r="F5723" t="s">
        <v>43</v>
      </c>
      <c r="G5723">
        <v>-320.86329999999998</v>
      </c>
      <c r="H5723" s="1">
        <v>-5.4745709999999999E-6</v>
      </c>
      <c r="I5723">
        <v>25.788319999999999</v>
      </c>
      <c r="J5723">
        <v>-386.49180000000001</v>
      </c>
      <c r="K5723">
        <v>1.117645</v>
      </c>
      <c r="L5723">
        <v>23.104489999999998</v>
      </c>
      <c r="M5723">
        <v>0.99091680000000004</v>
      </c>
      <c r="N5723">
        <v>0</v>
      </c>
      <c r="O5723">
        <v>-0.13370770000000001</v>
      </c>
      <c r="P5723">
        <v>0.98367179999999999</v>
      </c>
      <c r="Q5723">
        <v>-1.299865E-2</v>
      </c>
      <c r="R5723">
        <v>-0.17950260000000001</v>
      </c>
      <c r="S5723">
        <v>3.074738</v>
      </c>
      <c r="T5723">
        <v>-5.2101729999999999E-2</v>
      </c>
      <c r="U5723">
        <v>0.1233826</v>
      </c>
      <c r="V5723">
        <v>4.6319440000000003E-2</v>
      </c>
      <c r="W5723">
        <v>2.2051950000000001E-3</v>
      </c>
      <c r="X5723">
        <v>0.99892429999999999</v>
      </c>
      <c r="Y5723">
        <v>-0.1733055</v>
      </c>
      <c r="Z5723">
        <v>3.7289049999999998E-3</v>
      </c>
      <c r="AA5723">
        <v>0.98486110000000004</v>
      </c>
      <c r="AB5723">
        <v>33</v>
      </c>
      <c r="AC5723">
        <v>65.628500000000003</v>
      </c>
      <c r="AD5723">
        <v>-1.1176504745710001</v>
      </c>
      <c r="AE5723">
        <v>2.6838299999999999</v>
      </c>
      <c r="AF5723">
        <v>-11.4323567268089</v>
      </c>
      <c r="AG5723">
        <v>-1.1176504745710001</v>
      </c>
      <c r="AH5723">
        <v>64.661479837819996</v>
      </c>
      <c r="AI5723">
        <v>90.9751178619874</v>
      </c>
      <c r="AJ5723">
        <v>100.026460594759</v>
      </c>
      <c r="AK5723">
        <v>65.6738524660243</v>
      </c>
      <c r="AL5723">
        <v>89.873651538076601</v>
      </c>
      <c r="AM5723">
        <v>87.345135359024098</v>
      </c>
      <c r="AN5723">
        <v>1.0000000552686901</v>
      </c>
    </row>
    <row r="5724" spans="1:40" x14ac:dyDescent="0.25">
      <c r="A5724" t="str">
        <f>"20190312154410649"</f>
        <v>20190312154410649</v>
      </c>
      <c r="B5724" t="str">
        <f>"1552376650643326"</f>
        <v>1552376650643326</v>
      </c>
      <c r="C5724" t="s">
        <v>40</v>
      </c>
      <c r="D5724">
        <v>5.1334850000000003</v>
      </c>
      <c r="E5724">
        <v>0.41569919999999999</v>
      </c>
      <c r="F5724" t="s">
        <v>43</v>
      </c>
      <c r="G5724">
        <v>-325.90859999999998</v>
      </c>
      <c r="H5724" s="1">
        <v>-3.5206849999999998E-6</v>
      </c>
      <c r="I5724">
        <v>25.69575</v>
      </c>
      <c r="J5724">
        <v>-386.29520000000002</v>
      </c>
      <c r="K5724">
        <v>1.1177330000000001</v>
      </c>
      <c r="L5724">
        <v>23.08267</v>
      </c>
      <c r="M5724">
        <v>0.99162039999999996</v>
      </c>
      <c r="N5724">
        <v>0</v>
      </c>
      <c r="O5724">
        <v>-0.12837770000000001</v>
      </c>
      <c r="P5724">
        <v>0.98432299999999995</v>
      </c>
      <c r="Q5724">
        <v>-1.395272E-2</v>
      </c>
      <c r="R5724">
        <v>-0.17582220000000001</v>
      </c>
      <c r="S5724">
        <v>3.073029</v>
      </c>
      <c r="T5724">
        <v>-5.6691770000000002E-2</v>
      </c>
      <c r="U5724">
        <v>0.13143920000000001</v>
      </c>
      <c r="V5724">
        <v>4.797162E-2</v>
      </c>
      <c r="W5724">
        <v>1.364056E-3</v>
      </c>
      <c r="X5724">
        <v>0.99884779999999995</v>
      </c>
      <c r="Y5724">
        <v>-0.17060220000000001</v>
      </c>
      <c r="Z5724">
        <v>3.9368019999999997E-3</v>
      </c>
      <c r="AA5724">
        <v>0.98533210000000004</v>
      </c>
      <c r="AB5724">
        <v>33</v>
      </c>
      <c r="AC5724">
        <v>60.386600000000001</v>
      </c>
      <c r="AD5724">
        <v>-1.1177365206850001</v>
      </c>
      <c r="AE5724">
        <v>2.6130800000000001</v>
      </c>
      <c r="AF5724">
        <v>-10.3410166158666</v>
      </c>
      <c r="AG5724">
        <v>-1.1177365206850001</v>
      </c>
      <c r="AH5724">
        <v>59.530963651283002</v>
      </c>
      <c r="AI5724">
        <v>91.059776349718206</v>
      </c>
      <c r="AJ5724">
        <v>99.8544145159794</v>
      </c>
      <c r="AK5724">
        <v>60.432785744409301</v>
      </c>
      <c r="AL5724">
        <v>89.921845326466098</v>
      </c>
      <c r="AM5724">
        <v>87.250370869473301</v>
      </c>
      <c r="AN5724">
        <v>1.00000003226951</v>
      </c>
    </row>
    <row r="5725" spans="1:40" x14ac:dyDescent="0.25">
      <c r="A5725" t="str">
        <f>"20190312154410667"</f>
        <v>20190312154410667</v>
      </c>
      <c r="B5725" t="str">
        <f>"1552376650662846"</f>
        <v>1552376650662846</v>
      </c>
      <c r="C5725" t="s">
        <v>40</v>
      </c>
      <c r="D5725">
        <v>5.1940739999999996</v>
      </c>
      <c r="E5725">
        <v>0.41664309999999899</v>
      </c>
      <c r="F5725" t="s">
        <v>43</v>
      </c>
      <c r="G5725">
        <v>-327.77300000000002</v>
      </c>
      <c r="H5725" s="1">
        <v>-2.64541E-6</v>
      </c>
      <c r="I5725">
        <v>25.67558</v>
      </c>
      <c r="J5725">
        <v>-386.02330000000001</v>
      </c>
      <c r="K5725">
        <v>1.117826</v>
      </c>
      <c r="L5725">
        <v>23.054569999999998</v>
      </c>
      <c r="M5725">
        <v>0.99255649999999995</v>
      </c>
      <c r="N5725">
        <v>0</v>
      </c>
      <c r="O5725">
        <v>-0.1209171</v>
      </c>
      <c r="P5725">
        <v>0.98513759999999995</v>
      </c>
      <c r="Q5725">
        <v>-1.524673E-2</v>
      </c>
      <c r="R5725">
        <v>-0.171089299999999</v>
      </c>
      <c r="S5725">
        <v>3.0712890000000002</v>
      </c>
      <c r="T5725">
        <v>-5.8659549999999998E-2</v>
      </c>
      <c r="U5725">
        <v>0.1360779</v>
      </c>
      <c r="V5725">
        <v>5.0706069999999999E-2</v>
      </c>
      <c r="W5725">
        <v>2.2155450000000001E-4</v>
      </c>
      <c r="X5725">
        <v>0.99871359999999998</v>
      </c>
      <c r="Y5725">
        <v>-0.1646975</v>
      </c>
      <c r="Z5725">
        <v>3.8775239999999998E-3</v>
      </c>
      <c r="AA5725">
        <v>0.98633649999999995</v>
      </c>
      <c r="AB5725">
        <v>33</v>
      </c>
      <c r="AC5725">
        <v>58.250299999999903</v>
      </c>
      <c r="AD5725">
        <v>-1.1178286454099999</v>
      </c>
      <c r="AE5725">
        <v>2.6210099999999898</v>
      </c>
      <c r="AF5725">
        <v>-9.6424301309575409</v>
      </c>
      <c r="AG5725">
        <v>-1.1178286454099999</v>
      </c>
      <c r="AH5725">
        <v>57.484719534160703</v>
      </c>
      <c r="AI5725">
        <v>91.098668957037702</v>
      </c>
      <c r="AJ5725">
        <v>99.522092159699298</v>
      </c>
      <c r="AK5725">
        <v>58.298533254551302</v>
      </c>
      <c r="AL5725">
        <v>89.987305862173898</v>
      </c>
      <c r="AM5725">
        <v>87.093509744966696</v>
      </c>
      <c r="AN5725">
        <v>1.0000000047230999</v>
      </c>
    </row>
    <row r="5726" spans="1:40" x14ac:dyDescent="0.25">
      <c r="A5726" t="str">
        <f>"20190312154410679"</f>
        <v>20190312154410679</v>
      </c>
      <c r="B5726" t="str">
        <f>"1552376650673582"</f>
        <v>1552376650673582</v>
      </c>
      <c r="C5726" t="s">
        <v>40</v>
      </c>
      <c r="D5726">
        <v>5.1623799999999997</v>
      </c>
      <c r="E5726">
        <v>0.417126</v>
      </c>
      <c r="F5726" t="s">
        <v>43</v>
      </c>
      <c r="G5726">
        <v>-332.12139999999999</v>
      </c>
      <c r="H5726" s="1">
        <v>-4.6104209999999999E-6</v>
      </c>
      <c r="I5726">
        <v>25.571370000000002</v>
      </c>
      <c r="J5726">
        <v>-385.8519</v>
      </c>
      <c r="K5726">
        <v>1.1178760000000001</v>
      </c>
      <c r="L5726">
        <v>23.038270000000001</v>
      </c>
      <c r="M5726">
        <v>0.99312259999999997</v>
      </c>
      <c r="N5726">
        <v>0</v>
      </c>
      <c r="O5726">
        <v>-0.1161693</v>
      </c>
      <c r="P5726">
        <v>0.98580400000000001</v>
      </c>
      <c r="Q5726">
        <v>-1.5469460000000001E-2</v>
      </c>
      <c r="R5726">
        <v>-0.16718720000000001</v>
      </c>
      <c r="S5726">
        <v>3.069153</v>
      </c>
      <c r="T5726">
        <v>-6.3648819999999995E-2</v>
      </c>
      <c r="U5726">
        <v>0.14331050000000001</v>
      </c>
      <c r="V5726">
        <v>5.1530600000000003E-2</v>
      </c>
      <c r="W5726" s="1">
        <v>6.8918570000000006E-5</v>
      </c>
      <c r="X5726">
        <v>0.99867139999999999</v>
      </c>
      <c r="Y5726">
        <v>-0.16232260000000001</v>
      </c>
      <c r="Z5726">
        <v>4.0874209999999999E-3</v>
      </c>
      <c r="AA5726">
        <v>0.98672930000000003</v>
      </c>
      <c r="AB5726">
        <v>33</v>
      </c>
      <c r="AC5726">
        <v>53.730499999999999</v>
      </c>
      <c r="AD5726">
        <v>-1.117880610421</v>
      </c>
      <c r="AE5726">
        <v>2.5331000000000001</v>
      </c>
      <c r="AF5726">
        <v>-8.7546615773641108</v>
      </c>
      <c r="AG5726">
        <v>-1.117880610421</v>
      </c>
      <c r="AH5726">
        <v>53.049424414054698</v>
      </c>
      <c r="AI5726">
        <v>91.191077557552504</v>
      </c>
      <c r="AJ5726">
        <v>99.370969105575995</v>
      </c>
      <c r="AK5726">
        <v>53.778575539482603</v>
      </c>
      <c r="AL5726">
        <v>89.996051256751798</v>
      </c>
      <c r="AM5726">
        <v>87.046205819749105</v>
      </c>
      <c r="AN5726">
        <v>0.99999998633204401</v>
      </c>
    </row>
    <row r="5727" spans="1:40" x14ac:dyDescent="0.25">
      <c r="A5727" t="str">
        <f>"20190312154410693"</f>
        <v>20190312154410693</v>
      </c>
      <c r="B5727" t="str">
        <f>"1552376650683341"</f>
        <v>1552376650683341</v>
      </c>
      <c r="C5727" t="s">
        <v>40</v>
      </c>
      <c r="D5727">
        <v>5.1465860000000001</v>
      </c>
      <c r="E5727">
        <v>0.41766900000000001</v>
      </c>
      <c r="F5727" t="s">
        <v>43</v>
      </c>
      <c r="G5727">
        <v>-333.77839999999998</v>
      </c>
      <c r="H5727" s="1">
        <v>-4.0539460000000003E-6</v>
      </c>
      <c r="I5727">
        <v>25.613109999999999</v>
      </c>
      <c r="J5727">
        <v>-385.65929999999997</v>
      </c>
      <c r="K5727">
        <v>1.117926</v>
      </c>
      <c r="L5727">
        <v>23.02054</v>
      </c>
      <c r="M5727">
        <v>0.99373299999999998</v>
      </c>
      <c r="N5727">
        <v>0</v>
      </c>
      <c r="O5727">
        <v>-0.1108194</v>
      </c>
      <c r="P5727">
        <v>0.98662530000000004</v>
      </c>
      <c r="Q5727">
        <v>-1.516111E-2</v>
      </c>
      <c r="R5727">
        <v>-0.1622991</v>
      </c>
      <c r="S5727">
        <v>3.0679319999999999</v>
      </c>
      <c r="T5727">
        <v>-6.5860390000000005E-2</v>
      </c>
      <c r="U5727">
        <v>0.1517029</v>
      </c>
      <c r="V5727">
        <v>5.1951200000000003E-2</v>
      </c>
      <c r="W5727">
        <v>4.4328379999999999E-4</v>
      </c>
      <c r="X5727">
        <v>0.99864949999999997</v>
      </c>
      <c r="Y5727">
        <v>-0.1597171</v>
      </c>
      <c r="Z5727">
        <v>4.0885920000000003E-3</v>
      </c>
      <c r="AA5727">
        <v>0.98715439999999999</v>
      </c>
      <c r="AB5727">
        <v>33</v>
      </c>
      <c r="AC5727">
        <v>51.880899999999997</v>
      </c>
      <c r="AD5727">
        <v>-1.117930053946</v>
      </c>
      <c r="AE5727">
        <v>2.59256999999999</v>
      </c>
      <c r="AF5727">
        <v>-8.3227679018244203</v>
      </c>
      <c r="AG5727">
        <v>-1.117930053946</v>
      </c>
      <c r="AH5727">
        <v>51.250199401678501</v>
      </c>
      <c r="AI5727">
        <v>91.233451822743902</v>
      </c>
      <c r="AJ5727">
        <v>99.224015899520296</v>
      </c>
      <c r="AK5727">
        <v>51.933622749284197</v>
      </c>
      <c r="AL5727">
        <v>89.974601707635401</v>
      </c>
      <c r="AM5727">
        <v>87.022074568746703</v>
      </c>
      <c r="AN5727">
        <v>0.99999997376610805</v>
      </c>
    </row>
    <row r="5728" spans="1:40" x14ac:dyDescent="0.25">
      <c r="A5728" t="str">
        <f>"20190312154410705"</f>
        <v>20190312154410705</v>
      </c>
      <c r="B5728" t="str">
        <f>"1552376650693103"</f>
        <v>1552376650693103</v>
      </c>
      <c r="C5728" t="s">
        <v>40</v>
      </c>
      <c r="D5728">
        <v>5.1420870000000001</v>
      </c>
      <c r="E5728">
        <v>0.41808269999999997</v>
      </c>
      <c r="F5728" t="s">
        <v>43</v>
      </c>
      <c r="G5728">
        <v>-333.86950000000002</v>
      </c>
      <c r="H5728" s="1">
        <v>-4.0504789999999996E-6</v>
      </c>
      <c r="I5728">
        <v>25.768219999999999</v>
      </c>
      <c r="J5728">
        <v>-385.46679999999998</v>
      </c>
      <c r="K5728">
        <v>1.1179699999999999</v>
      </c>
      <c r="L5728">
        <v>23.00385</v>
      </c>
      <c r="M5728">
        <v>0.99431610000000004</v>
      </c>
      <c r="N5728">
        <v>0</v>
      </c>
      <c r="O5728">
        <v>-0.1054534</v>
      </c>
      <c r="P5728">
        <v>0.98743619999999999</v>
      </c>
      <c r="Q5728">
        <v>-1.510215E-2</v>
      </c>
      <c r="R5728">
        <v>-0.15729599999999999</v>
      </c>
      <c r="S5728">
        <v>3.066376</v>
      </c>
      <c r="T5728">
        <v>-6.6190479999999996E-2</v>
      </c>
      <c r="U5728">
        <v>0.16268920000000001</v>
      </c>
      <c r="V5728">
        <v>5.2277820000000003E-2</v>
      </c>
      <c r="W5728">
        <v>5.6106250000000004E-4</v>
      </c>
      <c r="X5728">
        <v>0.99863239999999998</v>
      </c>
      <c r="Y5728">
        <v>-0.15794129999999901</v>
      </c>
      <c r="Z5728">
        <v>3.9763539999999997E-3</v>
      </c>
      <c r="AA5728">
        <v>0.98744050000000005</v>
      </c>
      <c r="AB5728">
        <v>33</v>
      </c>
      <c r="AC5728">
        <v>51.597299999999898</v>
      </c>
      <c r="AD5728">
        <v>-1.1179740504789999</v>
      </c>
      <c r="AE5728">
        <v>2.7643699999999898</v>
      </c>
      <c r="AF5728">
        <v>-8.1868166784192091</v>
      </c>
      <c r="AG5728">
        <v>-1.1179740504789999</v>
      </c>
      <c r="AH5728">
        <v>50.994128717950197</v>
      </c>
      <c r="AI5728">
        <v>91.240053487637397</v>
      </c>
      <c r="AJ5728">
        <v>99.120681970232198</v>
      </c>
      <c r="AK5728">
        <v>51.659219864477897</v>
      </c>
      <c r="AL5728">
        <v>89.967853484306403</v>
      </c>
      <c r="AM5728">
        <v>87.003334988800702</v>
      </c>
      <c r="AN5728">
        <v>0.99999997779242</v>
      </c>
    </row>
    <row r="5729" spans="1:40" x14ac:dyDescent="0.25">
      <c r="A5729" t="str">
        <f>"20190312154410723"</f>
        <v>20190312154410723</v>
      </c>
      <c r="B5729" t="str">
        <f>"1552376650713598"</f>
        <v>1552376650713598</v>
      </c>
      <c r="C5729" t="s">
        <v>40</v>
      </c>
      <c r="D5729">
        <v>5.2820780000000003</v>
      </c>
      <c r="E5729">
        <v>0.41857450000000002</v>
      </c>
      <c r="F5729" t="s">
        <v>43</v>
      </c>
      <c r="G5729">
        <v>-334.40550000000002</v>
      </c>
      <c r="H5729" s="1">
        <v>-3.8949020000000002E-6</v>
      </c>
      <c r="I5729">
        <v>25.919419999999999</v>
      </c>
      <c r="J5729">
        <v>-385.21050000000002</v>
      </c>
      <c r="K5729">
        <v>1.1180060000000001</v>
      </c>
      <c r="L5729">
        <v>22.983550000000001</v>
      </c>
      <c r="M5729">
        <v>0.99504919999999997</v>
      </c>
      <c r="N5729">
        <v>0</v>
      </c>
      <c r="O5729">
        <v>-9.8286440000000003E-2</v>
      </c>
      <c r="P5729">
        <v>0.98850700000000002</v>
      </c>
      <c r="Q5729">
        <v>-1.436393E-2</v>
      </c>
      <c r="R5729">
        <v>-0.15049079999999901</v>
      </c>
      <c r="S5729">
        <v>3.0650629999999999</v>
      </c>
      <c r="T5729">
        <v>-6.7108630000000002E-2</v>
      </c>
      <c r="U5729">
        <v>0.17501829999999999</v>
      </c>
      <c r="V5729">
        <v>5.2578090000000001E-2</v>
      </c>
      <c r="W5729">
        <v>1.364056E-3</v>
      </c>
      <c r="X5729">
        <v>0.9986159</v>
      </c>
      <c r="Y5729">
        <v>-0.1548089</v>
      </c>
      <c r="Z5729">
        <v>3.8422420000000001E-3</v>
      </c>
      <c r="AA5729">
        <v>0.98793699999999995</v>
      </c>
      <c r="AB5729">
        <v>33</v>
      </c>
      <c r="AC5729">
        <v>50.805</v>
      </c>
      <c r="AD5729">
        <v>-1.1180098949020001</v>
      </c>
      <c r="AE5729">
        <v>2.93587</v>
      </c>
      <c r="AF5729">
        <v>-7.9118174157766799</v>
      </c>
      <c r="AG5729">
        <v>-1.1180098949020001</v>
      </c>
      <c r="AH5729">
        <v>50.246118449828899</v>
      </c>
      <c r="AI5729">
        <v>91.259150206168897</v>
      </c>
      <c r="AJ5729">
        <v>98.948393060711297</v>
      </c>
      <c r="AK5729">
        <v>50.877492275267699</v>
      </c>
      <c r="AL5729">
        <v>89.921845325191796</v>
      </c>
      <c r="AM5729">
        <v>86.986104872022096</v>
      </c>
      <c r="AN5729">
        <v>1.0000000159648099</v>
      </c>
    </row>
    <row r="5730" spans="1:40" x14ac:dyDescent="0.25">
      <c r="A5730" t="str">
        <f>"20190312154410736"</f>
        <v>20190312154410736</v>
      </c>
      <c r="B5730" t="str">
        <f>"1552376650723358"</f>
        <v>1552376650723358</v>
      </c>
      <c r="C5730" t="s">
        <v>40</v>
      </c>
      <c r="D5730">
        <v>5.1297129999999997</v>
      </c>
      <c r="E5730">
        <v>0.430143</v>
      </c>
      <c r="F5730" t="s">
        <v>43</v>
      </c>
      <c r="G5730">
        <v>-331.45229999999998</v>
      </c>
      <c r="H5730" s="1">
        <v>-4.977768E-6</v>
      </c>
      <c r="I5730">
        <v>26.358619999999998</v>
      </c>
      <c r="J5730">
        <v>-385.03379999999999</v>
      </c>
      <c r="K5730">
        <v>1.1180209999999999</v>
      </c>
      <c r="L5730">
        <v>22.97064</v>
      </c>
      <c r="M5730">
        <v>0.99552430000000003</v>
      </c>
      <c r="N5730">
        <v>0</v>
      </c>
      <c r="O5730">
        <v>-9.3346250000000006E-2</v>
      </c>
      <c r="P5730">
        <v>0.98914279999999999</v>
      </c>
      <c r="Q5730">
        <v>-1.444867E-2</v>
      </c>
      <c r="R5730">
        <v>-0.1462463</v>
      </c>
      <c r="S5730">
        <v>3.0632320000000002</v>
      </c>
      <c r="T5730">
        <v>-6.3706159999999998E-2</v>
      </c>
      <c r="U5730">
        <v>0.19232179999999999</v>
      </c>
      <c r="V5730">
        <v>5.3249110000000002E-2</v>
      </c>
      <c r="W5730">
        <v>1.3273390000000001E-3</v>
      </c>
      <c r="X5730">
        <v>0.99858040000000003</v>
      </c>
      <c r="Y5730">
        <v>-0.15550629999999999</v>
      </c>
      <c r="Z5730">
        <v>3.5539870000000002E-3</v>
      </c>
      <c r="AA5730">
        <v>0.9878285</v>
      </c>
      <c r="AB5730">
        <v>33</v>
      </c>
      <c r="AC5730">
        <v>53.581499999999998</v>
      </c>
      <c r="AD5730">
        <v>-1.1180259777679999</v>
      </c>
      <c r="AE5730">
        <v>3.3879800000000002</v>
      </c>
      <c r="AF5730">
        <v>-8.3717304141294502</v>
      </c>
      <c r="AG5730">
        <v>-1.1180259777679999</v>
      </c>
      <c r="AH5730">
        <v>53.008219566977303</v>
      </c>
      <c r="AI5730">
        <v>91.193489738135199</v>
      </c>
      <c r="AJ5730">
        <v>98.974747953406094</v>
      </c>
      <c r="AK5730">
        <v>53.676877646475504</v>
      </c>
      <c r="AL5730">
        <v>89.923949056689295</v>
      </c>
      <c r="AM5730">
        <v>86.947604457013895</v>
      </c>
      <c r="AN5730">
        <v>1.0000000224043799</v>
      </c>
    </row>
    <row r="5731" spans="1:40" x14ac:dyDescent="0.25">
      <c r="A5731" t="str">
        <f>"20190312154410748"</f>
        <v>20190312154410748</v>
      </c>
      <c r="B5731" t="str">
        <f>"1552376650742878"</f>
        <v>1552376650742878</v>
      </c>
      <c r="C5731" t="s">
        <v>40</v>
      </c>
      <c r="D5731">
        <v>5.1078989999999997</v>
      </c>
      <c r="E5731">
        <v>0.43048979999999998</v>
      </c>
      <c r="F5731" t="s">
        <v>42</v>
      </c>
      <c r="G5731">
        <v>-310.63010000000003</v>
      </c>
      <c r="H5731">
        <v>-0.05</v>
      </c>
      <c r="I5731">
        <v>25.735790000000001</v>
      </c>
      <c r="J5731">
        <v>-384.84620000000001</v>
      </c>
      <c r="K5731">
        <v>1.118028</v>
      </c>
      <c r="L5731">
        <v>22.957609999999999</v>
      </c>
      <c r="M5731">
        <v>0.99600140000000004</v>
      </c>
      <c r="N5731">
        <v>0</v>
      </c>
      <c r="O5731">
        <v>-8.8104870000000002E-2</v>
      </c>
      <c r="P5731">
        <v>0.9899</v>
      </c>
      <c r="Q5731">
        <v>-1.4423709999999999E-2</v>
      </c>
      <c r="R5731">
        <v>-0.14103399999999999</v>
      </c>
      <c r="S5731">
        <v>3.04895</v>
      </c>
      <c r="T5731">
        <v>-4.7863719999999998E-2</v>
      </c>
      <c r="U5731">
        <v>0.1133118</v>
      </c>
      <c r="V5731">
        <v>5.3243949999999998E-2</v>
      </c>
      <c r="W5731">
        <v>1.386467E-3</v>
      </c>
      <c r="X5731">
        <v>0.99858060000000004</v>
      </c>
      <c r="Y5731">
        <v>-0.12502160000000001</v>
      </c>
      <c r="Z5731">
        <v>2.3628379999999999E-3</v>
      </c>
      <c r="AA5731">
        <v>0.99215120000000001</v>
      </c>
      <c r="AB5731">
        <v>33</v>
      </c>
      <c r="AC5731">
        <v>74.216099999999898</v>
      </c>
      <c r="AD5731">
        <v>-1.1680280000000001</v>
      </c>
      <c r="AE5731">
        <v>2.7781799999999901</v>
      </c>
      <c r="AF5731">
        <v>-9.30458753855007</v>
      </c>
      <c r="AG5731">
        <v>-1.1680280000000001</v>
      </c>
      <c r="AH5731">
        <v>73.664407058338696</v>
      </c>
      <c r="AI5731">
        <v>90.901249990299803</v>
      </c>
      <c r="AJ5731">
        <v>97.198934912859301</v>
      </c>
      <c r="AK5731">
        <v>74.258901863197096</v>
      </c>
      <c r="AL5731">
        <v>89.920561269207496</v>
      </c>
      <c r="AM5731">
        <v>86.947900294256797</v>
      </c>
      <c r="AN5731">
        <v>1.0000000275993499</v>
      </c>
    </row>
    <row r="5732" spans="1:40" x14ac:dyDescent="0.25">
      <c r="A5732" t="str">
        <f>"20190312154410761"</f>
        <v>20190312154410761</v>
      </c>
      <c r="B5732" t="str">
        <f>"1552376650753615"</f>
        <v>1552376650753615</v>
      </c>
      <c r="C5732" t="s">
        <v>40</v>
      </c>
      <c r="D5732">
        <v>5.1199529999999998</v>
      </c>
      <c r="E5732">
        <v>0.43096780000000001</v>
      </c>
      <c r="F5732" t="s">
        <v>43</v>
      </c>
      <c r="G5732">
        <v>-326.77679999999998</v>
      </c>
      <c r="H5732" s="1">
        <v>-3.0381179999999998E-6</v>
      </c>
      <c r="I5732">
        <v>25.381599999999999</v>
      </c>
      <c r="J5732">
        <v>-384.65899999999999</v>
      </c>
      <c r="K5732">
        <v>1.11802</v>
      </c>
      <c r="L5732">
        <v>22.94595</v>
      </c>
      <c r="M5732">
        <v>0.99644739999999998</v>
      </c>
      <c r="N5732">
        <v>0</v>
      </c>
      <c r="O5732">
        <v>-8.2901790000000003E-2</v>
      </c>
      <c r="P5732">
        <v>0.99056279999999997</v>
      </c>
      <c r="Q5732">
        <v>-1.4493519999999999E-2</v>
      </c>
      <c r="R5732">
        <v>-0.13629160000000001</v>
      </c>
      <c r="S5732">
        <v>3.047882</v>
      </c>
      <c r="T5732">
        <v>-5.8681959999999998E-2</v>
      </c>
      <c r="U5732">
        <v>0.1272278</v>
      </c>
      <c r="V5732">
        <v>5.3677719999999998E-2</v>
      </c>
      <c r="W5732">
        <v>1.351182E-3</v>
      </c>
      <c r="X5732">
        <v>0.99855740000000004</v>
      </c>
      <c r="Y5732">
        <v>-0.1243635</v>
      </c>
      <c r="Z5732">
        <v>2.7913619999999999E-3</v>
      </c>
      <c r="AA5732">
        <v>0.99223280000000003</v>
      </c>
      <c r="AB5732">
        <v>33</v>
      </c>
      <c r="AC5732">
        <v>57.882199999999997</v>
      </c>
      <c r="AD5732">
        <v>-1.1180230381180001</v>
      </c>
      <c r="AE5732">
        <v>2.4356499999999901</v>
      </c>
      <c r="AF5732">
        <v>-7.2236392867618999</v>
      </c>
      <c r="AG5732">
        <v>-1.1180230381180001</v>
      </c>
      <c r="AH5732">
        <v>57.459567941960501</v>
      </c>
      <c r="AI5732">
        <v>91.105991948348503</v>
      </c>
      <c r="AJ5732">
        <v>97.165456710011995</v>
      </c>
      <c r="AK5732">
        <v>57.922645728037899</v>
      </c>
      <c r="AL5732">
        <v>89.922582950660001</v>
      </c>
      <c r="AM5732">
        <v>86.923011558749593</v>
      </c>
      <c r="AN5732">
        <v>1.0000000022059701</v>
      </c>
    </row>
    <row r="5733" spans="1:40" x14ac:dyDescent="0.25">
      <c r="A5733" t="str">
        <f>"20190312154410779"</f>
        <v>20190312154410779</v>
      </c>
      <c r="B5733" t="str">
        <f>"1552376650773134"</f>
        <v>1552376650773134</v>
      </c>
      <c r="C5733" t="s">
        <v>40</v>
      </c>
      <c r="D5733">
        <v>5.0827349999999996</v>
      </c>
      <c r="E5733">
        <v>0.43163600000000002</v>
      </c>
      <c r="F5733" t="s">
        <v>43</v>
      </c>
      <c r="G5733">
        <v>-329.56639999999999</v>
      </c>
      <c r="H5733" s="1">
        <v>-1.7365320000000001E-6</v>
      </c>
      <c r="I5733">
        <v>25.445799999999998</v>
      </c>
      <c r="J5733">
        <v>-384.39839999999998</v>
      </c>
      <c r="K5733">
        <v>1.1180000000000001</v>
      </c>
      <c r="L5733">
        <v>22.931149999999999</v>
      </c>
      <c r="M5733">
        <v>0.99702069999999998</v>
      </c>
      <c r="N5733">
        <v>0</v>
      </c>
      <c r="O5733">
        <v>-7.5689809999999996E-2</v>
      </c>
      <c r="P5733">
        <v>0.9915252</v>
      </c>
      <c r="Q5733">
        <v>-1.444692E-2</v>
      </c>
      <c r="R5733">
        <v>-0.12910940000000001</v>
      </c>
      <c r="S5733">
        <v>3.0466920000000002</v>
      </c>
      <c r="T5733">
        <v>-6.1828019999999997E-2</v>
      </c>
      <c r="U5733">
        <v>0.1382446</v>
      </c>
      <c r="V5733">
        <v>5.366464E-2</v>
      </c>
      <c r="W5733">
        <v>1.4279519999999999E-3</v>
      </c>
      <c r="X5733">
        <v>0.99855799999999995</v>
      </c>
      <c r="Y5733">
        <v>-0.1207786</v>
      </c>
      <c r="Z5733">
        <v>2.7595430000000002E-3</v>
      </c>
      <c r="AA5733">
        <v>0.99267570000000005</v>
      </c>
      <c r="AB5733">
        <v>33</v>
      </c>
      <c r="AC5733">
        <v>54.832000000000001</v>
      </c>
      <c r="AD5733">
        <v>-1.1180017365320001</v>
      </c>
      <c r="AE5733">
        <v>2.5146500000000001</v>
      </c>
      <c r="AF5733">
        <v>-6.65535572498273</v>
      </c>
      <c r="AG5733">
        <v>-1.1180017365320001</v>
      </c>
      <c r="AH5733">
        <v>54.461726265476699</v>
      </c>
      <c r="AI5733">
        <v>91.167333182586404</v>
      </c>
      <c r="AJ5733">
        <v>96.967139867933199</v>
      </c>
      <c r="AK5733">
        <v>54.8782590423992</v>
      </c>
      <c r="AL5733">
        <v>89.918184349739093</v>
      </c>
      <c r="AM5733">
        <v>86.923761753167199</v>
      </c>
      <c r="AN5733">
        <v>1.00000000599862</v>
      </c>
    </row>
    <row r="5734" spans="1:40" x14ac:dyDescent="0.25">
      <c r="A5734" t="str">
        <f>"20190312154410792"</f>
        <v>20190312154410792</v>
      </c>
      <c r="B5734" t="str">
        <f>"1552376650782894"</f>
        <v>1552376650782894</v>
      </c>
      <c r="C5734" t="s">
        <v>40</v>
      </c>
      <c r="D5734">
        <v>5.1191500000000003</v>
      </c>
      <c r="E5734">
        <v>0.4320331</v>
      </c>
      <c r="F5734" t="s">
        <v>43</v>
      </c>
      <c r="G5734">
        <v>-330.9649</v>
      </c>
      <c r="H5734" s="1">
        <v>-5.0186870000000002E-6</v>
      </c>
      <c r="I5734">
        <v>25.654260000000001</v>
      </c>
      <c r="J5734">
        <v>-384.21859999999998</v>
      </c>
      <c r="K5734">
        <v>1.1179760000000001</v>
      </c>
      <c r="L5734">
        <v>22.92191</v>
      </c>
      <c r="M5734">
        <v>0.99738300000000002</v>
      </c>
      <c r="N5734">
        <v>0</v>
      </c>
      <c r="O5734">
        <v>-7.0750590000000002E-2</v>
      </c>
      <c r="P5734">
        <v>0.99220450000000004</v>
      </c>
      <c r="Q5734">
        <v>-1.39705E-2</v>
      </c>
      <c r="R5734">
        <v>-0.1238363</v>
      </c>
      <c r="S5734">
        <v>3.0449220000000001</v>
      </c>
      <c r="T5734">
        <v>-6.3709859999999993E-2</v>
      </c>
      <c r="U5734">
        <v>0.15518189999999901</v>
      </c>
      <c r="V5734">
        <v>5.3291940000000003E-2</v>
      </c>
      <c r="W5734">
        <v>1.9138479999999999E-3</v>
      </c>
      <c r="X5734">
        <v>0.9985771</v>
      </c>
      <c r="Y5734">
        <v>-0.1213953</v>
      </c>
      <c r="Z5734">
        <v>2.7481519999999998E-3</v>
      </c>
      <c r="AA5734">
        <v>0.99260040000000005</v>
      </c>
      <c r="AB5734">
        <v>33</v>
      </c>
      <c r="AC5734">
        <v>53.253699999999903</v>
      </c>
      <c r="AD5734">
        <v>-1.1179810186870001</v>
      </c>
      <c r="AE5734">
        <v>2.7323499999999998</v>
      </c>
      <c r="AF5734">
        <v>-6.4907962078449604</v>
      </c>
      <c r="AG5734">
        <v>-1.1179810186870001</v>
      </c>
      <c r="AH5734">
        <v>52.903626992373297</v>
      </c>
      <c r="AI5734">
        <v>91.201610079088098</v>
      </c>
      <c r="AJ5734">
        <v>96.994716040715502</v>
      </c>
      <c r="AK5734">
        <v>53.312044285677999</v>
      </c>
      <c r="AL5734">
        <v>89.890344515551106</v>
      </c>
      <c r="AM5734">
        <v>86.945143887592295</v>
      </c>
      <c r="AN5734">
        <v>0.99999995916376905</v>
      </c>
    </row>
    <row r="5735" spans="1:40" x14ac:dyDescent="0.25">
      <c r="A5735" t="str">
        <f>"20190312154410806"</f>
        <v>20190312154410806</v>
      </c>
      <c r="B5735" t="str">
        <f>"1552376650793630"</f>
        <v>1552376650793630</v>
      </c>
      <c r="C5735" t="s">
        <v>40</v>
      </c>
      <c r="D5735">
        <v>5.1199960000000004</v>
      </c>
      <c r="E5735">
        <v>0.43225829999999998</v>
      </c>
      <c r="F5735" t="s">
        <v>43</v>
      </c>
      <c r="G5735">
        <v>-330.57499999999999</v>
      </c>
      <c r="H5735" s="1">
        <v>-5.192759E-6</v>
      </c>
      <c r="I5735">
        <v>25.887609999999999</v>
      </c>
      <c r="J5735">
        <v>-384.0179</v>
      </c>
      <c r="K5735">
        <v>1.117934</v>
      </c>
      <c r="L5735">
        <v>22.912569999999999</v>
      </c>
      <c r="M5735">
        <v>0.99775579999999997</v>
      </c>
      <c r="N5735">
        <v>0</v>
      </c>
      <c r="O5735">
        <v>-6.5279219999999999E-2</v>
      </c>
      <c r="P5735">
        <v>0.99291119999999999</v>
      </c>
      <c r="Q5735">
        <v>-1.339428E-2</v>
      </c>
      <c r="R5735">
        <v>-0.1181007</v>
      </c>
      <c r="S5735">
        <v>3.0436399999999999</v>
      </c>
      <c r="T5735">
        <v>-6.3432219999999997E-2</v>
      </c>
      <c r="U5735">
        <v>0.1682739</v>
      </c>
      <c r="V5735">
        <v>5.2987069999999997E-2</v>
      </c>
      <c r="W5735">
        <v>2.4974960000000001E-3</v>
      </c>
      <c r="X5735">
        <v>0.99859209999999998</v>
      </c>
      <c r="Y5735">
        <v>-0.1202317</v>
      </c>
      <c r="Z5735">
        <v>2.6111089999999999E-3</v>
      </c>
      <c r="AA5735">
        <v>0.99274240000000002</v>
      </c>
      <c r="AB5735">
        <v>33</v>
      </c>
      <c r="AC5735">
        <v>53.442900000000002</v>
      </c>
      <c r="AD5735">
        <v>-1.1179391927590001</v>
      </c>
      <c r="AE5735">
        <v>2.9750399999999999</v>
      </c>
      <c r="AF5735">
        <v>-6.4549752196552896</v>
      </c>
      <c r="AG5735">
        <v>-1.1179391927590001</v>
      </c>
      <c r="AH5735">
        <v>53.111484416000302</v>
      </c>
      <c r="AI5735">
        <v>91.1970302900056</v>
      </c>
      <c r="AJ5735">
        <v>96.929533577109794</v>
      </c>
      <c r="AK5735">
        <v>53.5139820046697</v>
      </c>
      <c r="AL5735">
        <v>89.856903874612996</v>
      </c>
      <c r="AM5735">
        <v>86.962632685186506</v>
      </c>
      <c r="AN5735">
        <v>1.0000000246279299</v>
      </c>
    </row>
    <row r="5736" spans="1:40" x14ac:dyDescent="0.25">
      <c r="A5736" t="str">
        <f>"20190312154410825"</f>
        <v>20190312154410825</v>
      </c>
      <c r="B5736" t="str">
        <f>"1552376650813150"</f>
        <v>1552376650813150</v>
      </c>
      <c r="C5736" t="s">
        <v>40</v>
      </c>
      <c r="D5736">
        <v>5.1365589999999903</v>
      </c>
      <c r="E5736">
        <v>0.43314649999999999</v>
      </c>
      <c r="F5736" t="s">
        <v>43</v>
      </c>
      <c r="G5736">
        <v>-329.19490000000002</v>
      </c>
      <c r="H5736" s="1">
        <v>-2.120527E-6</v>
      </c>
      <c r="I5736">
        <v>26.229019999999998</v>
      </c>
      <c r="J5736">
        <v>-383.74</v>
      </c>
      <c r="K5736">
        <v>1.1178509999999999</v>
      </c>
      <c r="L5736">
        <v>22.90155</v>
      </c>
      <c r="M5736">
        <v>0.99821570000000004</v>
      </c>
      <c r="N5736">
        <v>0</v>
      </c>
      <c r="O5736">
        <v>-5.7820070000000001E-2</v>
      </c>
      <c r="P5736">
        <v>0.99388710000000002</v>
      </c>
      <c r="Q5736">
        <v>-1.298961E-2</v>
      </c>
      <c r="R5736">
        <v>-0.10963589999999999</v>
      </c>
      <c r="S5736">
        <v>3.0424799999999999</v>
      </c>
      <c r="T5736">
        <v>-6.2041520000000003E-2</v>
      </c>
      <c r="U5736">
        <v>0.18405150000000001</v>
      </c>
      <c r="V5736">
        <v>5.1934149999999998E-2</v>
      </c>
      <c r="W5736">
        <v>2.8913620000000002E-3</v>
      </c>
      <c r="X5736">
        <v>0.99864629999999999</v>
      </c>
      <c r="Y5736">
        <v>-0.117967</v>
      </c>
      <c r="Z5736">
        <v>2.3795610000000001E-3</v>
      </c>
      <c r="AA5736">
        <v>0.99301459999999997</v>
      </c>
      <c r="AB5736">
        <v>33</v>
      </c>
      <c r="AC5736">
        <v>54.545099999999898</v>
      </c>
      <c r="AD5736">
        <v>-1.1178531205269999</v>
      </c>
      <c r="AE5736">
        <v>3.3274699999999999</v>
      </c>
      <c r="AF5736">
        <v>-6.4733452267981404</v>
      </c>
      <c r="AG5736">
        <v>-1.1178531205269999</v>
      </c>
      <c r="AH5736">
        <v>54.238714667632699</v>
      </c>
      <c r="AI5736">
        <v>91.172373784703794</v>
      </c>
      <c r="AJ5736">
        <v>96.806009760489403</v>
      </c>
      <c r="AK5736">
        <v>54.635079965359701</v>
      </c>
      <c r="AL5736">
        <v>89.834336925258796</v>
      </c>
      <c r="AM5736">
        <v>87.023040621606199</v>
      </c>
      <c r="AN5736">
        <v>0.99999997420706299</v>
      </c>
    </row>
    <row r="5737" spans="1:40" x14ac:dyDescent="0.25">
      <c r="A5737" t="str">
        <f>"20190312154410847"</f>
        <v>20190312154410847</v>
      </c>
      <c r="B5737" t="str">
        <f>"1552376650833647"</f>
        <v>1552376650833647</v>
      </c>
      <c r="C5737" t="s">
        <v>40</v>
      </c>
      <c r="D5737">
        <v>5.1173869999999999</v>
      </c>
      <c r="E5737">
        <v>0.44040509999999999</v>
      </c>
      <c r="F5737" t="s">
        <v>43</v>
      </c>
      <c r="G5737">
        <v>-332.74740000000003</v>
      </c>
      <c r="H5737" s="1">
        <v>-4.5281779999999999E-6</v>
      </c>
      <c r="I5737">
        <v>26.308689999999999</v>
      </c>
      <c r="J5737">
        <v>-383.42259999999999</v>
      </c>
      <c r="K5737">
        <v>1.117713</v>
      </c>
      <c r="L5737">
        <v>22.891269999999999</v>
      </c>
      <c r="M5737">
        <v>0.99866319999999997</v>
      </c>
      <c r="N5737">
        <v>0</v>
      </c>
      <c r="O5737">
        <v>-4.9486040000000002E-2</v>
      </c>
      <c r="P5737">
        <v>0.99483929999999998</v>
      </c>
      <c r="Q5737">
        <v>-1.3286920000000001E-2</v>
      </c>
      <c r="R5737">
        <v>-0.100591</v>
      </c>
      <c r="S5737">
        <v>3.0399780000000001</v>
      </c>
      <c r="T5737">
        <v>-6.6642170000000001E-2</v>
      </c>
      <c r="U5737">
        <v>0.203125</v>
      </c>
      <c r="V5737">
        <v>5.1192689999999999E-2</v>
      </c>
      <c r="W5737">
        <v>2.5771269999999998E-3</v>
      </c>
      <c r="X5737">
        <v>0.9986855</v>
      </c>
      <c r="Y5737">
        <v>-0.1159294</v>
      </c>
      <c r="Z5737">
        <v>2.3528580000000002E-3</v>
      </c>
      <c r="AA5737">
        <v>0.99325469999999905</v>
      </c>
      <c r="AB5737">
        <v>33</v>
      </c>
      <c r="AC5737">
        <v>50.675199999999897</v>
      </c>
      <c r="AD5737">
        <v>-1.1177175281780001</v>
      </c>
      <c r="AE5737">
        <v>3.4174199999999999</v>
      </c>
      <c r="AF5737">
        <v>-5.9183604739844702</v>
      </c>
      <c r="AG5737">
        <v>-1.1177175281780001</v>
      </c>
      <c r="AH5737">
        <v>50.419548716016102</v>
      </c>
      <c r="AI5737">
        <v>91.2612872932784</v>
      </c>
      <c r="AJ5737">
        <v>96.694871502671106</v>
      </c>
      <c r="AK5737">
        <v>50.778018629122698</v>
      </c>
      <c r="AL5737">
        <v>89.852341340686394</v>
      </c>
      <c r="AM5737">
        <v>87.065582608309796</v>
      </c>
      <c r="AN5737">
        <v>1.0000000305016199</v>
      </c>
    </row>
    <row r="5738" spans="1:40" x14ac:dyDescent="0.25">
      <c r="A5738" t="str">
        <f>"20190312154410859"</f>
        <v>20190312154410859</v>
      </c>
      <c r="B5738" t="str">
        <f>"1552376650853166"</f>
        <v>1552376650853166</v>
      </c>
      <c r="C5738" t="s">
        <v>40</v>
      </c>
      <c r="D5738">
        <v>5.1033109999999997</v>
      </c>
      <c r="E5738">
        <v>0.4420114</v>
      </c>
      <c r="F5738" t="s">
        <v>43</v>
      </c>
      <c r="G5738">
        <v>-343.86410000000001</v>
      </c>
      <c r="H5738" s="1">
        <v>-3.9443429999999998E-6</v>
      </c>
      <c r="I5738">
        <v>25.159490000000002</v>
      </c>
      <c r="J5738">
        <v>-383.23809999999997</v>
      </c>
      <c r="K5738">
        <v>1.117613</v>
      </c>
      <c r="L5738">
        <v>22.886659999999999</v>
      </c>
      <c r="M5738">
        <v>0.99888529999999998</v>
      </c>
      <c r="N5738">
        <v>0</v>
      </c>
      <c r="O5738">
        <v>-4.4777259999999999E-2</v>
      </c>
      <c r="P5738">
        <v>0.9953417</v>
      </c>
      <c r="Q5738">
        <v>-1.339892E-2</v>
      </c>
      <c r="R5738">
        <v>-9.5476080000000005E-2</v>
      </c>
      <c r="S5738">
        <v>3.0320429999999998</v>
      </c>
      <c r="T5738">
        <v>-8.5669519999999999E-2</v>
      </c>
      <c r="U5738">
        <v>0.1738586</v>
      </c>
      <c r="V5738">
        <v>5.0770269999999999E-2</v>
      </c>
      <c r="W5738">
        <v>2.4469510000000002E-3</v>
      </c>
      <c r="X5738">
        <v>0.99870740000000002</v>
      </c>
      <c r="Y5738">
        <v>-0.101839399999999</v>
      </c>
      <c r="Z5738">
        <v>2.701363E-3</v>
      </c>
      <c r="AA5738">
        <v>0.99479720000000005</v>
      </c>
      <c r="AB5738">
        <v>33</v>
      </c>
      <c r="AC5738">
        <v>39.373999999999903</v>
      </c>
      <c r="AD5738">
        <v>-1.117616944343</v>
      </c>
      <c r="AE5738">
        <v>2.2728299999999901</v>
      </c>
      <c r="AF5738">
        <v>-4.0305698205920297</v>
      </c>
      <c r="AG5738">
        <v>-1.117616944343</v>
      </c>
      <c r="AH5738">
        <v>39.201237349005801</v>
      </c>
      <c r="AI5738">
        <v>91.624485856393406</v>
      </c>
      <c r="AJ5738">
        <v>95.870375764008699</v>
      </c>
      <c r="AK5738">
        <v>39.423743739097603</v>
      </c>
      <c r="AL5738">
        <v>89.8597999006316</v>
      </c>
      <c r="AM5738">
        <v>87.089818064307394</v>
      </c>
      <c r="AN5738">
        <v>1.00000003934991</v>
      </c>
    </row>
    <row r="5739" spans="1:40" x14ac:dyDescent="0.25">
      <c r="A5739" t="str">
        <f>"20190312154410872"</f>
        <v>20190312154410872</v>
      </c>
      <c r="B5739" t="str">
        <f>"1552376650862927"</f>
        <v>1552376650862927</v>
      </c>
      <c r="C5739" t="s">
        <v>40</v>
      </c>
      <c r="D5739">
        <v>5.101286</v>
      </c>
      <c r="E5739">
        <v>0.44246039999999998</v>
      </c>
      <c r="F5739" t="s">
        <v>43</v>
      </c>
      <c r="G5739">
        <v>-336.03579999999999</v>
      </c>
      <c r="H5739" s="1">
        <v>-3.282233E-6</v>
      </c>
      <c r="I5739">
        <v>25.626909999999999</v>
      </c>
      <c r="J5739">
        <v>-383.04880000000003</v>
      </c>
      <c r="K5739">
        <v>1.1174980000000001</v>
      </c>
      <c r="L5739">
        <v>22.882480000000001</v>
      </c>
      <c r="M5739">
        <v>0.99908730000000001</v>
      </c>
      <c r="N5739">
        <v>0</v>
      </c>
      <c r="O5739">
        <v>-4.0018539999999998E-2</v>
      </c>
      <c r="P5739">
        <v>0.99582660000000001</v>
      </c>
      <c r="Q5739">
        <v>-1.347828E-2</v>
      </c>
      <c r="R5739">
        <v>-9.0264979999999995E-2</v>
      </c>
      <c r="S5739">
        <v>3.029938</v>
      </c>
      <c r="T5739">
        <v>-7.1740269999999995E-2</v>
      </c>
      <c r="U5739">
        <v>0.17590329999999901</v>
      </c>
      <c r="V5739">
        <v>5.0302640000000003E-2</v>
      </c>
      <c r="W5739">
        <v>2.3463389999999998E-3</v>
      </c>
      <c r="X5739">
        <v>0.99873129999999999</v>
      </c>
      <c r="Y5739">
        <v>-9.7828280000000004E-2</v>
      </c>
      <c r="Z5739">
        <v>2.103798E-3</v>
      </c>
      <c r="AA5739">
        <v>0.99520109999999995</v>
      </c>
      <c r="AB5739">
        <v>33</v>
      </c>
      <c r="AC5739">
        <v>47.012999999999998</v>
      </c>
      <c r="AD5739">
        <v>-1.1175012822329999</v>
      </c>
      <c r="AE5739">
        <v>2.7444299999999999</v>
      </c>
      <c r="AF5739">
        <v>-4.6212303610177301</v>
      </c>
      <c r="AG5739">
        <v>-1.1175012822329999</v>
      </c>
      <c r="AH5739">
        <v>46.839115969031198</v>
      </c>
      <c r="AI5739">
        <v>91.360118860400902</v>
      </c>
      <c r="AJ5739">
        <v>95.634667680909899</v>
      </c>
      <c r="AK5739">
        <v>47.079797832252098</v>
      </c>
      <c r="AL5739">
        <v>89.865564559380104</v>
      </c>
      <c r="AM5739">
        <v>87.116646333144502</v>
      </c>
      <c r="AN5739">
        <v>1.00000003524868</v>
      </c>
    </row>
    <row r="5740" spans="1:40" x14ac:dyDescent="0.25">
      <c r="A5740" t="str">
        <f>"20190312154410885"</f>
        <v>20190312154410885</v>
      </c>
      <c r="B5740" t="str">
        <f>"1552376650873663"</f>
        <v>1552376650873663</v>
      </c>
      <c r="C5740" t="s">
        <v>40</v>
      </c>
      <c r="D5740">
        <v>5.1323100000000004</v>
      </c>
      <c r="E5740">
        <v>0.44336449999999999</v>
      </c>
      <c r="F5740" t="s">
        <v>43</v>
      </c>
      <c r="G5740">
        <v>-338.63260000000002</v>
      </c>
      <c r="H5740" s="1">
        <v>-2.1728370000000001E-6</v>
      </c>
      <c r="I5740">
        <v>25.644269999999999</v>
      </c>
      <c r="J5740">
        <v>-382.8723</v>
      </c>
      <c r="K5740">
        <v>1.1173839999999999</v>
      </c>
      <c r="L5740">
        <v>22.87933</v>
      </c>
      <c r="M5740">
        <v>0.99925189999999997</v>
      </c>
      <c r="N5740">
        <v>0</v>
      </c>
      <c r="O5740">
        <v>-3.567211E-2</v>
      </c>
      <c r="P5740">
        <v>0.99621389999999999</v>
      </c>
      <c r="Q5740">
        <v>-1.3435239999999999E-2</v>
      </c>
      <c r="R5740">
        <v>-8.5892979999999994E-2</v>
      </c>
      <c r="S5740">
        <v>3.0286249999999999</v>
      </c>
      <c r="T5740">
        <v>-7.6199290000000003E-2</v>
      </c>
      <c r="U5740">
        <v>0.18832399999999999</v>
      </c>
      <c r="V5740">
        <v>5.0263090000000003E-2</v>
      </c>
      <c r="W5740">
        <v>2.3730420000000001E-3</v>
      </c>
      <c r="X5740">
        <v>0.99873319999999999</v>
      </c>
      <c r="Y5740">
        <v>-9.7587270000000004E-2</v>
      </c>
      <c r="Z5740">
        <v>2.1229529999999999E-3</v>
      </c>
      <c r="AA5740">
        <v>0.99522469999999996</v>
      </c>
      <c r="AB5740">
        <v>33</v>
      </c>
      <c r="AC5740">
        <v>44.2396999999999</v>
      </c>
      <c r="AD5740">
        <v>-1.117386172837</v>
      </c>
      <c r="AE5740">
        <v>2.7649400000000002</v>
      </c>
      <c r="AF5740">
        <v>-4.3387223107424298</v>
      </c>
      <c r="AG5740">
        <v>-1.117386172837</v>
      </c>
      <c r="AH5740">
        <v>44.0848807698234</v>
      </c>
      <c r="AI5740">
        <v>91.444943959811397</v>
      </c>
      <c r="AJ5740">
        <v>95.620804443558697</v>
      </c>
      <c r="AK5740">
        <v>44.311959735928298</v>
      </c>
      <c r="AL5740">
        <v>89.864034582155497</v>
      </c>
      <c r="AM5740">
        <v>87.118914994871105</v>
      </c>
      <c r="AN5740">
        <v>1.00000000716346</v>
      </c>
    </row>
    <row r="5741" spans="1:40" x14ac:dyDescent="0.25">
      <c r="A5741" t="str">
        <f>"20190312154410902"</f>
        <v>20190312154410902</v>
      </c>
      <c r="B5741" t="str">
        <f>"1552376650893182"</f>
        <v>1552376650893182</v>
      </c>
      <c r="C5741" t="s">
        <v>40</v>
      </c>
      <c r="D5741">
        <v>5.09375</v>
      </c>
      <c r="E5741">
        <v>0.44493060000000001</v>
      </c>
      <c r="F5741" t="s">
        <v>43</v>
      </c>
      <c r="G5741">
        <v>-339.99509999999998</v>
      </c>
      <c r="H5741" s="1">
        <v>-5.3453009999999997E-6</v>
      </c>
      <c r="I5741">
        <v>25.63494</v>
      </c>
      <c r="J5741">
        <v>-382.61540000000002</v>
      </c>
      <c r="K5741">
        <v>1.117192</v>
      </c>
      <c r="L5741">
        <v>22.876100000000001</v>
      </c>
      <c r="M5741">
        <v>0.99945240000000002</v>
      </c>
      <c r="N5741">
        <v>0</v>
      </c>
      <c r="O5741">
        <v>-2.953445E-2</v>
      </c>
      <c r="P5741">
        <v>0.99677150000000003</v>
      </c>
      <c r="Q5741">
        <v>-1.2922110000000001E-2</v>
      </c>
      <c r="R5741">
        <v>-7.9245250000000003E-2</v>
      </c>
      <c r="S5741">
        <v>3.0270999999999999</v>
      </c>
      <c r="T5741">
        <v>-7.8886750000000005E-2</v>
      </c>
      <c r="U5741">
        <v>0.19454959999999999</v>
      </c>
      <c r="V5741">
        <v>4.9726600000000003E-2</v>
      </c>
      <c r="W5741">
        <v>2.847493E-3</v>
      </c>
      <c r="X5741">
        <v>0.99875879999999995</v>
      </c>
      <c r="Y5741">
        <v>-9.3544290000000002E-2</v>
      </c>
      <c r="Z5741">
        <v>1.9863620000000002E-3</v>
      </c>
      <c r="AA5741">
        <v>0.99561319999999998</v>
      </c>
      <c r="AB5741">
        <v>33</v>
      </c>
      <c r="AC5741">
        <v>42.6203</v>
      </c>
      <c r="AD5741">
        <v>-1.117197345301</v>
      </c>
      <c r="AE5741">
        <v>2.7588400000000002</v>
      </c>
      <c r="AF5741">
        <v>-4.0137970619182903</v>
      </c>
      <c r="AG5741">
        <v>-1.117197345301</v>
      </c>
      <c r="AH5741">
        <v>42.491139115168799</v>
      </c>
      <c r="AI5741">
        <v>91.499429212058601</v>
      </c>
      <c r="AJ5741">
        <v>95.396260301971793</v>
      </c>
      <c r="AK5741">
        <v>42.694913046723002</v>
      </c>
      <c r="AL5741">
        <v>89.836850447088494</v>
      </c>
      <c r="AM5741">
        <v>87.149688605358307</v>
      </c>
      <c r="AN5741">
        <v>0.99999999177069199</v>
      </c>
    </row>
    <row r="5742" spans="1:40" x14ac:dyDescent="0.25">
      <c r="A5742" t="str">
        <f>"20190312154410916"</f>
        <v>20190312154410916</v>
      </c>
      <c r="B5742" t="str">
        <f>"1552376650902943"</f>
        <v>1552376650902943</v>
      </c>
      <c r="C5742" t="s">
        <v>40</v>
      </c>
      <c r="D5742">
        <v>5.1045619999999996</v>
      </c>
      <c r="E5742">
        <v>0.44587729999999998</v>
      </c>
      <c r="F5742" t="s">
        <v>43</v>
      </c>
      <c r="G5742">
        <v>-336.1644</v>
      </c>
      <c r="H5742" s="1">
        <v>-3.3067119999999999E-6</v>
      </c>
      <c r="I5742">
        <v>25.977969999999999</v>
      </c>
      <c r="J5742">
        <v>-382.43090000000001</v>
      </c>
      <c r="K5742">
        <v>1.1170450000000001</v>
      </c>
      <c r="L5742">
        <v>22.874659999999999</v>
      </c>
      <c r="M5742">
        <v>0.99956940000000005</v>
      </c>
      <c r="N5742">
        <v>0</v>
      </c>
      <c r="O5742">
        <v>-2.526668E-2</v>
      </c>
      <c r="P5742">
        <v>0.99710639999999995</v>
      </c>
      <c r="Q5742">
        <v>-1.3162170000000001E-2</v>
      </c>
      <c r="R5742">
        <v>-7.4872240000000007E-2</v>
      </c>
      <c r="S5742">
        <v>3.0248409999999999</v>
      </c>
      <c r="T5742">
        <v>-7.2750570000000001E-2</v>
      </c>
      <c r="U5742">
        <v>0.2019958</v>
      </c>
      <c r="V5742">
        <v>4.9615560000000003E-2</v>
      </c>
      <c r="W5742">
        <v>2.5814190000000002E-3</v>
      </c>
      <c r="X5742">
        <v>0.99876509999999996</v>
      </c>
      <c r="Y5742">
        <v>-9.1788939999999999E-2</v>
      </c>
      <c r="Z5742">
        <v>1.7094969999999999E-3</v>
      </c>
      <c r="AA5742">
        <v>0.99577700000000002</v>
      </c>
      <c r="AB5742">
        <v>33</v>
      </c>
      <c r="AC5742">
        <v>46.266500000000001</v>
      </c>
      <c r="AD5742">
        <v>-1.1170483067120001</v>
      </c>
      <c r="AE5742">
        <v>3.10331</v>
      </c>
      <c r="AF5742">
        <v>-4.2689726904822196</v>
      </c>
      <c r="AG5742">
        <v>-1.1170483067120001</v>
      </c>
      <c r="AH5742">
        <v>46.146527542033603</v>
      </c>
      <c r="AI5742">
        <v>91.380769073866105</v>
      </c>
      <c r="AJ5742">
        <v>95.285336779363206</v>
      </c>
      <c r="AK5742">
        <v>46.357026748264197</v>
      </c>
      <c r="AL5742">
        <v>89.852095428719196</v>
      </c>
      <c r="AM5742">
        <v>87.156060828367004</v>
      </c>
      <c r="AN5742">
        <v>1.00000004624808</v>
      </c>
    </row>
    <row r="5743" spans="1:40" x14ac:dyDescent="0.25">
      <c r="A5743" t="str">
        <f>"20190312154410928"</f>
        <v>20190312154410928</v>
      </c>
      <c r="B5743" t="str">
        <f>"1552376650923439"</f>
        <v>1552376650923439</v>
      </c>
      <c r="C5743" t="s">
        <v>40</v>
      </c>
      <c r="D5743">
        <v>5.1094679999999997</v>
      </c>
      <c r="E5743">
        <v>0.4466193</v>
      </c>
      <c r="F5743" t="s">
        <v>43</v>
      </c>
      <c r="G5743">
        <v>-334.9556</v>
      </c>
      <c r="H5743" s="1">
        <v>-3.7458830000000002E-6</v>
      </c>
      <c r="I5743">
        <v>26.134720000000002</v>
      </c>
      <c r="J5743">
        <v>-382.24939999999998</v>
      </c>
      <c r="K5743">
        <v>1.1168940000000001</v>
      </c>
      <c r="L5743">
        <v>22.873660000000001</v>
      </c>
      <c r="M5743">
        <v>0.99966509999999997</v>
      </c>
      <c r="N5743">
        <v>0</v>
      </c>
      <c r="O5743">
        <v>-2.114456E-2</v>
      </c>
      <c r="P5743">
        <v>0.99744010000000005</v>
      </c>
      <c r="Q5743">
        <v>-1.287899E-2</v>
      </c>
      <c r="R5743">
        <v>-7.0338230000000002E-2</v>
      </c>
      <c r="S5743">
        <v>3.0233150000000002</v>
      </c>
      <c r="T5743">
        <v>-7.113564E-2</v>
      </c>
      <c r="U5743">
        <v>0.20761109999999999</v>
      </c>
      <c r="V5743">
        <v>4.9189749999999997E-2</v>
      </c>
      <c r="W5743">
        <v>2.8327109999999999E-3</v>
      </c>
      <c r="X5743">
        <v>0.99878540000000005</v>
      </c>
      <c r="Y5743">
        <v>-8.956008E-2</v>
      </c>
      <c r="Z5743">
        <v>1.5492209999999999E-3</v>
      </c>
      <c r="AA5743">
        <v>0.99598019999999998</v>
      </c>
      <c r="AB5743">
        <v>33</v>
      </c>
      <c r="AC5743">
        <v>47.293799999999898</v>
      </c>
      <c r="AD5743">
        <v>-1.1168977458830001</v>
      </c>
      <c r="AE5743">
        <v>3.2610600000000001</v>
      </c>
      <c r="AF5743">
        <v>-4.2580850739511096</v>
      </c>
      <c r="AG5743">
        <v>-1.1168977458830001</v>
      </c>
      <c r="AH5743">
        <v>47.1880694340799</v>
      </c>
      <c r="AI5743">
        <v>91.350399979417602</v>
      </c>
      <c r="AJ5743">
        <v>95.156204459622202</v>
      </c>
      <c r="AK5743">
        <v>47.392959877890199</v>
      </c>
      <c r="AL5743">
        <v>89.837697392460996</v>
      </c>
      <c r="AM5743">
        <v>87.180485704144104</v>
      </c>
      <c r="AN5743">
        <v>0.99999996550491499</v>
      </c>
    </row>
    <row r="5744" spans="1:40" x14ac:dyDescent="0.25">
      <c r="A5744" t="str">
        <f>"20190312154410947"</f>
        <v>20190312154410947</v>
      </c>
      <c r="B5744" t="str">
        <f>"1552376650942958"</f>
        <v>1552376650942958</v>
      </c>
      <c r="C5744" t="s">
        <v>40</v>
      </c>
      <c r="D5744">
        <v>5.1230399999999996</v>
      </c>
      <c r="E5744">
        <v>0.45701809999999998</v>
      </c>
      <c r="F5744" t="s">
        <v>43</v>
      </c>
      <c r="G5744">
        <v>-333.1343</v>
      </c>
      <c r="H5744" s="1">
        <v>-4.4080890000000001E-6</v>
      </c>
      <c r="I5744">
        <v>26.373799999999999</v>
      </c>
      <c r="J5744">
        <v>-381.97250000000003</v>
      </c>
      <c r="K5744">
        <v>1.1166430000000001</v>
      </c>
      <c r="L5744">
        <v>22.873660000000001</v>
      </c>
      <c r="M5744">
        <v>0.9997743</v>
      </c>
      <c r="N5744">
        <v>0</v>
      </c>
      <c r="O5744">
        <v>-1.5140880000000001E-2</v>
      </c>
      <c r="P5744">
        <v>0.99783169999999999</v>
      </c>
      <c r="Q5744">
        <v>-1.2263430000000001E-2</v>
      </c>
      <c r="R5744">
        <v>-6.4665780000000006E-2</v>
      </c>
      <c r="S5744">
        <v>3.021973</v>
      </c>
      <c r="T5744">
        <v>-6.8720820000000002E-2</v>
      </c>
      <c r="U5744">
        <v>0.21536250000000001</v>
      </c>
      <c r="V5744">
        <v>4.9500790000000003E-2</v>
      </c>
      <c r="W5744">
        <v>3.4082499999999998E-3</v>
      </c>
      <c r="X5744">
        <v>0.99876830000000005</v>
      </c>
      <c r="Y5744">
        <v>-8.6155300000000004E-2</v>
      </c>
      <c r="Z5744">
        <v>1.3221400000000001E-3</v>
      </c>
      <c r="AA5744">
        <v>0.99628079999999997</v>
      </c>
      <c r="AB5744">
        <v>33</v>
      </c>
      <c r="AC5744">
        <v>48.838200000000001</v>
      </c>
      <c r="AD5744">
        <v>-1.1166474080890001</v>
      </c>
      <c r="AE5744">
        <v>3.5001399999999898</v>
      </c>
      <c r="AF5744">
        <v>-4.2370704420592604</v>
      </c>
      <c r="AG5744">
        <v>-1.1166474080890001</v>
      </c>
      <c r="AH5744">
        <v>48.754242222161302</v>
      </c>
      <c r="AI5744">
        <v>91.307124721483504</v>
      </c>
      <c r="AJ5744">
        <v>94.966907726001395</v>
      </c>
      <c r="AK5744">
        <v>48.950748738115699</v>
      </c>
      <c r="AL5744">
        <v>89.804721287409507</v>
      </c>
      <c r="AM5744">
        <v>87.162637700940493</v>
      </c>
      <c r="AN5744">
        <v>1.00000003073178</v>
      </c>
    </row>
    <row r="5745" spans="1:40" x14ac:dyDescent="0.25">
      <c r="A5745" t="str">
        <f>"20190312154410970"</f>
        <v>20190312154410970</v>
      </c>
      <c r="B5745" t="str">
        <f>"1552376650963454"</f>
        <v>1552376650963454</v>
      </c>
      <c r="C5745" t="s">
        <v>40</v>
      </c>
      <c r="D5745">
        <v>5.214156</v>
      </c>
      <c r="E5745">
        <v>0.47825089999999998</v>
      </c>
      <c r="F5745" t="s">
        <v>42</v>
      </c>
      <c r="G5745">
        <v>-313.46510000000001</v>
      </c>
      <c r="H5745">
        <v>-0.05</v>
      </c>
      <c r="I5745">
        <v>26.259060000000002</v>
      </c>
      <c r="J5745">
        <v>-381.65570000000002</v>
      </c>
      <c r="K5745">
        <v>1.1163510000000001</v>
      </c>
      <c r="L5745">
        <v>22.87546</v>
      </c>
      <c r="M5745">
        <v>0.99985210000000002</v>
      </c>
      <c r="N5745">
        <v>0</v>
      </c>
      <c r="O5745">
        <v>-8.6278039999999993E-3</v>
      </c>
      <c r="P5745">
        <v>0.99823859999999998</v>
      </c>
      <c r="Q5745">
        <v>-1.1581320000000001E-2</v>
      </c>
      <c r="R5745">
        <v>-5.8186809999999999E-2</v>
      </c>
      <c r="S5745">
        <v>3.015533</v>
      </c>
      <c r="T5745">
        <v>-5.135286E-2</v>
      </c>
      <c r="U5745">
        <v>0.14901729999999899</v>
      </c>
      <c r="V5745">
        <v>4.9515799999999999E-2</v>
      </c>
      <c r="W5745">
        <v>4.0348099999999998E-3</v>
      </c>
      <c r="X5745">
        <v>0.99876520000000002</v>
      </c>
      <c r="Y5745">
        <v>-5.796312E-2</v>
      </c>
      <c r="Z5745">
        <v>6.4005240000000003E-4</v>
      </c>
      <c r="AA5745">
        <v>0.9983185</v>
      </c>
      <c r="AB5745">
        <v>33</v>
      </c>
      <c r="AC5745">
        <v>68.190600000000003</v>
      </c>
      <c r="AD5745">
        <v>-1.1663509999999999</v>
      </c>
      <c r="AE5745">
        <v>3.3835999999999902</v>
      </c>
      <c r="AF5745">
        <v>-3.9707154820570301</v>
      </c>
      <c r="AG5745">
        <v>-1.1663509999999999</v>
      </c>
      <c r="AH5745">
        <v>68.138979572144294</v>
      </c>
      <c r="AI5745">
        <v>90.978989106663306</v>
      </c>
      <c r="AJ5745">
        <v>93.335069594323301</v>
      </c>
      <c r="AK5745">
        <v>68.264540526013505</v>
      </c>
      <c r="AL5745">
        <v>89.768821790789701</v>
      </c>
      <c r="AM5745">
        <v>87.161769946317705</v>
      </c>
      <c r="AN5745">
        <v>1.0000000094362</v>
      </c>
    </row>
    <row r="5746" spans="1:40" x14ac:dyDescent="0.25">
      <c r="A5746" t="str">
        <f>"20190312154410983"</f>
        <v>20190312154410983</v>
      </c>
      <c r="B5746" t="str">
        <f>"1552376650973214"</f>
        <v>1552376650973214</v>
      </c>
      <c r="C5746" t="s">
        <v>40</v>
      </c>
      <c r="D5746">
        <v>5.2041490000000001</v>
      </c>
      <c r="E5746">
        <v>0.4821761</v>
      </c>
      <c r="F5746" t="s">
        <v>43</v>
      </c>
      <c r="G5746">
        <v>-351.8777</v>
      </c>
      <c r="H5746" s="1">
        <v>-4.2189789999999998E-6</v>
      </c>
      <c r="I5746">
        <v>22.896850000000001</v>
      </c>
      <c r="J5746">
        <v>-381.45170000000002</v>
      </c>
      <c r="K5746">
        <v>1.11615</v>
      </c>
      <c r="L5746">
        <v>22.87753</v>
      </c>
      <c r="M5746">
        <v>0.99987859999999995</v>
      </c>
      <c r="N5746">
        <v>0</v>
      </c>
      <c r="O5746">
        <v>-4.6675309999999999E-3</v>
      </c>
      <c r="P5746">
        <v>0.99842379999999997</v>
      </c>
      <c r="Q5746">
        <v>-1.1500689999999999E-2</v>
      </c>
      <c r="R5746">
        <v>-5.4938529999999999E-2</v>
      </c>
      <c r="S5746">
        <v>3.0041500000000001</v>
      </c>
      <c r="T5746">
        <v>-0.1126231</v>
      </c>
      <c r="U5746">
        <v>2.166748E-3</v>
      </c>
      <c r="V5746">
        <v>5.0222889999999999E-2</v>
      </c>
      <c r="W5746">
        <v>4.0853549999999997E-3</v>
      </c>
      <c r="X5746">
        <v>0.99872969999999905</v>
      </c>
      <c r="Y5746">
        <v>-5.38223E-3</v>
      </c>
      <c r="Z5746">
        <v>2.7579159999999999E-4</v>
      </c>
      <c r="AA5746">
        <v>0.99998549999999997</v>
      </c>
      <c r="AB5746">
        <v>32</v>
      </c>
      <c r="AC5746">
        <v>29.574000000000002</v>
      </c>
      <c r="AD5746">
        <v>-1.1161542189789999</v>
      </c>
      <c r="AE5746">
        <v>1.9320000000000399E-2</v>
      </c>
      <c r="AF5746">
        <v>-0.15714876622968599</v>
      </c>
      <c r="AG5746">
        <v>-1.1161542189789999</v>
      </c>
      <c r="AH5746">
        <v>29.531523266846602</v>
      </c>
      <c r="AI5746">
        <v>92.164453094143099</v>
      </c>
      <c r="AJ5746">
        <v>90.304890336734601</v>
      </c>
      <c r="AK5746">
        <v>29.553026282186</v>
      </c>
      <c r="AL5746">
        <v>89.7659257545331</v>
      </c>
      <c r="AM5746">
        <v>87.121205313376294</v>
      </c>
      <c r="AN5746">
        <v>1.0000000212337501</v>
      </c>
    </row>
    <row r="5747" spans="1:40" x14ac:dyDescent="0.25">
      <c r="A5747" t="str">
        <f>"20190312154411004"</f>
        <v>20190312154411004</v>
      </c>
      <c r="B5747" t="str">
        <f>"1552376650993710"</f>
        <v>1552376650993710</v>
      </c>
      <c r="C5747" t="s">
        <v>40</v>
      </c>
      <c r="D5747">
        <v>5.2573439999999998</v>
      </c>
      <c r="E5747">
        <v>0.48616189999999998</v>
      </c>
      <c r="F5747" t="s">
        <v>43</v>
      </c>
      <c r="G5747">
        <v>-353.8451</v>
      </c>
      <c r="H5747" s="1">
        <v>-3.443972E-6</v>
      </c>
      <c r="I5747">
        <v>22.702629999999999</v>
      </c>
      <c r="J5747">
        <v>-381.16309999999999</v>
      </c>
      <c r="K5747">
        <v>1.11568</v>
      </c>
      <c r="L5747">
        <v>22.88147</v>
      </c>
      <c r="M5747">
        <v>0.99989870000000003</v>
      </c>
      <c r="N5747">
        <v>0</v>
      </c>
      <c r="O5747">
        <v>9.2902209999999998E-4</v>
      </c>
      <c r="P5747">
        <v>0.99865389999999998</v>
      </c>
      <c r="Q5747">
        <v>-1.096769E-2</v>
      </c>
      <c r="R5747">
        <v>-5.0697680000000002E-2</v>
      </c>
      <c r="S5747">
        <v>3.002319</v>
      </c>
      <c r="T5747">
        <v>-0.1213858</v>
      </c>
      <c r="U5747">
        <v>-1.901245E-2</v>
      </c>
      <c r="V5747">
        <v>5.1576009999999999E-2</v>
      </c>
      <c r="W5747">
        <v>3.9351519999999999E-3</v>
      </c>
      <c r="X5747">
        <v>0.99866129999999997</v>
      </c>
      <c r="Y5747">
        <v>7.2548689999999997E-3</v>
      </c>
      <c r="Z5747">
        <v>-1.8414740000000001E-4</v>
      </c>
      <c r="AA5747">
        <v>0.99997369999999997</v>
      </c>
      <c r="AB5747">
        <v>32</v>
      </c>
      <c r="AC5747">
        <v>27.317999999999898</v>
      </c>
      <c r="AD5747">
        <v>-1.115683443972</v>
      </c>
      <c r="AE5747">
        <v>-0.178840000000001</v>
      </c>
      <c r="AF5747">
        <v>0.20388145833238699</v>
      </c>
      <c r="AG5747">
        <v>-1.115683443972</v>
      </c>
      <c r="AH5747">
        <v>27.2723349838232</v>
      </c>
      <c r="AI5747">
        <v>92.342540356340393</v>
      </c>
      <c r="AJ5747">
        <v>89.571678424964603</v>
      </c>
      <c r="AK5747">
        <v>27.295907617554501</v>
      </c>
      <c r="AL5747">
        <v>89.774531812498495</v>
      </c>
      <c r="AM5747">
        <v>87.043577634605199</v>
      </c>
      <c r="AN5747">
        <v>0.99999998117323596</v>
      </c>
    </row>
    <row r="5748" spans="1:40" x14ac:dyDescent="0.25">
      <c r="A5748" t="str">
        <f>"20190312154411028"</f>
        <v>20190312154411028</v>
      </c>
      <c r="B5748" t="str">
        <f>"1552376651022990"</f>
        <v>1552376651022990</v>
      </c>
      <c r="C5748" t="s">
        <v>40</v>
      </c>
      <c r="D5748">
        <v>5.1490749999999998</v>
      </c>
      <c r="E5748">
        <v>0.4904519</v>
      </c>
      <c r="F5748" t="s">
        <v>43</v>
      </c>
      <c r="G5748">
        <v>-355.66390000000001</v>
      </c>
      <c r="H5748" s="1">
        <v>-2.6263709999999998E-6</v>
      </c>
      <c r="I5748">
        <v>22.56241</v>
      </c>
      <c r="J5748">
        <v>-380.822</v>
      </c>
      <c r="K5748">
        <v>1.115289</v>
      </c>
      <c r="L5748">
        <v>22.887630000000001</v>
      </c>
      <c r="M5748">
        <v>0.9998745</v>
      </c>
      <c r="N5748">
        <v>0</v>
      </c>
      <c r="O5748">
        <v>6.6576569999999896E-3</v>
      </c>
      <c r="P5748">
        <v>0.99884720000000005</v>
      </c>
      <c r="Q5748">
        <v>-1.027548E-2</v>
      </c>
      <c r="R5748">
        <v>-4.6888329999999999E-2</v>
      </c>
      <c r="S5748">
        <v>3.0006710000000001</v>
      </c>
      <c r="T5748">
        <v>-0.13129070000000001</v>
      </c>
      <c r="U5748">
        <v>-3.753662E-2</v>
      </c>
      <c r="V5748">
        <v>5.3480800000000002E-2</v>
      </c>
      <c r="W5748">
        <v>4.7758080000000003E-3</v>
      </c>
      <c r="X5748">
        <v>0.99855740000000004</v>
      </c>
      <c r="Y5748">
        <v>1.91413E-2</v>
      </c>
      <c r="Z5748">
        <v>-7.0971390000000004E-4</v>
      </c>
      <c r="AA5748">
        <v>0.9998165</v>
      </c>
      <c r="AB5748">
        <v>32</v>
      </c>
      <c r="AC5748">
        <v>25.158099999999902</v>
      </c>
      <c r="AD5748">
        <v>-1.115291626371</v>
      </c>
      <c r="AE5748">
        <v>-0.32521999999999801</v>
      </c>
      <c r="AF5748">
        <v>0.49175782807253798</v>
      </c>
      <c r="AG5748">
        <v>-1.115291626371</v>
      </c>
      <c r="AH5748">
        <v>25.106045095166898</v>
      </c>
      <c r="AI5748">
        <v>92.543104145550203</v>
      </c>
      <c r="AJ5748">
        <v>88.877877995975993</v>
      </c>
      <c r="AK5748">
        <v>25.135616194831499</v>
      </c>
      <c r="AL5748">
        <v>89.7263653019575</v>
      </c>
      <c r="AM5748">
        <v>86.934278106714203</v>
      </c>
      <c r="AN5748">
        <v>0.99999994270272397</v>
      </c>
    </row>
    <row r="5749" spans="1:40" x14ac:dyDescent="0.25">
      <c r="A5749" t="str">
        <f>"20190312154411050"</f>
        <v>20190312154411050</v>
      </c>
      <c r="B5749" t="str">
        <f>"1552376651043487"</f>
        <v>1552376651043487</v>
      </c>
      <c r="C5749" t="s">
        <v>40</v>
      </c>
      <c r="D5749">
        <v>5.2123609999999996</v>
      </c>
      <c r="E5749">
        <v>0.4918476</v>
      </c>
      <c r="F5749" t="s">
        <v>43</v>
      </c>
      <c r="G5749">
        <v>-356.34960000000001</v>
      </c>
      <c r="H5749" s="1">
        <v>-2.2883409999999998E-6</v>
      </c>
      <c r="I5749">
        <v>22.397500000000001</v>
      </c>
      <c r="J5749">
        <v>-380.50749999999999</v>
      </c>
      <c r="K5749">
        <v>1.11496</v>
      </c>
      <c r="L5749">
        <v>22.89462</v>
      </c>
      <c r="M5749">
        <v>0.99981980000000004</v>
      </c>
      <c r="N5749">
        <v>0</v>
      </c>
      <c r="O5749">
        <v>1.135429E-2</v>
      </c>
      <c r="P5749">
        <v>0.99898980000000004</v>
      </c>
      <c r="Q5749">
        <v>-1.009959E-2</v>
      </c>
      <c r="R5749">
        <v>-4.3787819999999998E-2</v>
      </c>
      <c r="S5749">
        <v>2.9992369999999999</v>
      </c>
      <c r="T5749">
        <v>-0.1366858</v>
      </c>
      <c r="U5749">
        <v>-6.0058590000000002E-2</v>
      </c>
      <c r="V5749">
        <v>5.5064759999999997E-2</v>
      </c>
      <c r="W5749">
        <v>5.7528340000000001E-3</v>
      </c>
      <c r="X5749">
        <v>0.99846619999999997</v>
      </c>
      <c r="Y5749">
        <v>3.132836E-2</v>
      </c>
      <c r="Z5749">
        <v>-1.2306319999999999E-3</v>
      </c>
      <c r="AA5749">
        <v>0.99950839999999996</v>
      </c>
      <c r="AB5749">
        <v>33</v>
      </c>
      <c r="AC5749">
        <v>24.157899999999898</v>
      </c>
      <c r="AD5749">
        <v>-1.114962288341</v>
      </c>
      <c r="AE5749">
        <v>-0.49711999999999801</v>
      </c>
      <c r="AF5749">
        <v>0.76977648325913794</v>
      </c>
      <c r="AG5749">
        <v>-1.114962288341</v>
      </c>
      <c r="AH5749">
        <v>24.099384666324301</v>
      </c>
      <c r="AI5749">
        <v>92.647562114957594</v>
      </c>
      <c r="AJ5749">
        <v>88.170494652991295</v>
      </c>
      <c r="AK5749">
        <v>24.137440585821601</v>
      </c>
      <c r="AL5749">
        <v>89.670385069388601</v>
      </c>
      <c r="AM5749">
        <v>86.843372763173207</v>
      </c>
      <c r="AN5749">
        <v>0.99999998771766396</v>
      </c>
    </row>
    <row r="5750" spans="1:40" x14ac:dyDescent="0.25">
      <c r="A5750" t="str">
        <f>"20190312154411062"</f>
        <v>20190312154411062</v>
      </c>
      <c r="B5750" t="str">
        <f>"1552376651053247"</f>
        <v>1552376651053247</v>
      </c>
      <c r="C5750" t="s">
        <v>40</v>
      </c>
      <c r="D5750">
        <v>5.1954469999999997</v>
      </c>
      <c r="E5750">
        <v>0.49219790000000002</v>
      </c>
      <c r="F5750" t="s">
        <v>43</v>
      </c>
      <c r="G5750">
        <v>-357.3417</v>
      </c>
      <c r="H5750" s="1">
        <v>-1.868208E-6</v>
      </c>
      <c r="I5750">
        <v>22.418099999999999</v>
      </c>
      <c r="J5750">
        <v>-380.31790000000001</v>
      </c>
      <c r="K5750">
        <v>1.1147180000000001</v>
      </c>
      <c r="L5750">
        <v>22.89941</v>
      </c>
      <c r="M5750">
        <v>0.99978049999999996</v>
      </c>
      <c r="N5750">
        <v>0</v>
      </c>
      <c r="O5750">
        <v>1.4094209999999999E-2</v>
      </c>
      <c r="P5750">
        <v>0.99907650000000003</v>
      </c>
      <c r="Q5750">
        <v>-1.002173E-2</v>
      </c>
      <c r="R5750">
        <v>-4.1780890000000001E-2</v>
      </c>
      <c r="S5750">
        <v>2.9988709999999998</v>
      </c>
      <c r="T5750">
        <v>-0.14433480000000001</v>
      </c>
      <c r="U5750">
        <v>-6.167603E-2</v>
      </c>
      <c r="V5750">
        <v>5.579435E-2</v>
      </c>
      <c r="W5750">
        <v>6.0899519999999896E-3</v>
      </c>
      <c r="X5750">
        <v>0.99842370000000003</v>
      </c>
      <c r="Y5750">
        <v>3.4596599999999998E-2</v>
      </c>
      <c r="Z5750">
        <v>-1.509968E-3</v>
      </c>
      <c r="AA5750">
        <v>0.99940019999999996</v>
      </c>
      <c r="AB5750">
        <v>32</v>
      </c>
      <c r="AC5750">
        <v>22.976199999999999</v>
      </c>
      <c r="AD5750">
        <v>-1.114719868208</v>
      </c>
      <c r="AE5750">
        <v>-0.48131000000000002</v>
      </c>
      <c r="AF5750">
        <v>0.80324261759978099</v>
      </c>
      <c r="AG5750">
        <v>-1.114719868208</v>
      </c>
      <c r="AH5750">
        <v>22.913222593330101</v>
      </c>
      <c r="AI5750">
        <v>92.783515551062493</v>
      </c>
      <c r="AJ5750">
        <v>87.992269611949297</v>
      </c>
      <c r="AK5750">
        <v>22.954380163681201</v>
      </c>
      <c r="AL5750">
        <v>89.651069292923495</v>
      </c>
      <c r="AM5750">
        <v>86.801498891348899</v>
      </c>
      <c r="AN5750">
        <v>0.99999999086448699</v>
      </c>
    </row>
    <row r="5751" spans="1:40" x14ac:dyDescent="0.25">
      <c r="A5751" t="str">
        <f>"20190312154411082"</f>
        <v>20190312154411082</v>
      </c>
      <c r="B5751" t="str">
        <f>"1552376651072767"</f>
        <v>1552376651072767</v>
      </c>
      <c r="C5751" t="s">
        <v>40</v>
      </c>
      <c r="D5751">
        <v>5.1998499999999996</v>
      </c>
      <c r="E5751">
        <v>0.49297360000000001</v>
      </c>
      <c r="F5751" t="s">
        <v>43</v>
      </c>
      <c r="G5751">
        <v>-357.99489999999997</v>
      </c>
      <c r="H5751" s="1">
        <v>-1.6007049999999999E-6</v>
      </c>
      <c r="I5751">
        <v>22.465890000000002</v>
      </c>
      <c r="J5751">
        <v>-380.03620000000001</v>
      </c>
      <c r="K5751">
        <v>1.1143890000000001</v>
      </c>
      <c r="L5751">
        <v>22.907260000000001</v>
      </c>
      <c r="M5751">
        <v>0.99971730000000003</v>
      </c>
      <c r="N5751">
        <v>0</v>
      </c>
      <c r="O5751">
        <v>1.794022E-2</v>
      </c>
      <c r="P5751">
        <v>0.99919899999999995</v>
      </c>
      <c r="Q5751">
        <v>-9.4734269999999995E-3</v>
      </c>
      <c r="R5751">
        <v>-3.8880810000000002E-2</v>
      </c>
      <c r="S5751">
        <v>2.9988100000000002</v>
      </c>
      <c r="T5751">
        <v>-0.14974860000000001</v>
      </c>
      <c r="U5751">
        <v>-5.8227540000000001E-2</v>
      </c>
      <c r="V5751">
        <v>5.6733529999999997E-2</v>
      </c>
      <c r="W5751">
        <v>6.7203180000000003E-3</v>
      </c>
      <c r="X5751">
        <v>0.99836670000000005</v>
      </c>
      <c r="Y5751">
        <v>3.7280340000000002E-2</v>
      </c>
      <c r="Z5751">
        <v>-1.8254809999999999E-3</v>
      </c>
      <c r="AA5751">
        <v>0.99930319999999995</v>
      </c>
      <c r="AB5751">
        <v>32</v>
      </c>
      <c r="AC5751">
        <v>22.0413</v>
      </c>
      <c r="AD5751">
        <v>-1.114390600705</v>
      </c>
      <c r="AE5751">
        <v>-0.44137000000000198</v>
      </c>
      <c r="AF5751">
        <v>0.83464018617486302</v>
      </c>
      <c r="AG5751">
        <v>-1.114390600705</v>
      </c>
      <c r="AH5751">
        <v>21.9736852498168</v>
      </c>
      <c r="AI5751">
        <v>92.901166972953305</v>
      </c>
      <c r="AJ5751">
        <v>87.824744404717293</v>
      </c>
      <c r="AK5751">
        <v>22.0177504325336</v>
      </c>
      <c r="AL5751">
        <v>89.614951228595302</v>
      </c>
      <c r="AM5751">
        <v>86.747588219416301</v>
      </c>
      <c r="AN5751">
        <v>0.99999996188458495</v>
      </c>
    </row>
    <row r="5752" spans="1:40" x14ac:dyDescent="0.25">
      <c r="A5752" t="str">
        <f>"20190312154411094"</f>
        <v>20190312154411094</v>
      </c>
      <c r="B5752" t="str">
        <f>"1552376651083502"</f>
        <v>1552376651083502</v>
      </c>
      <c r="C5752" t="s">
        <v>40</v>
      </c>
      <c r="D5752">
        <v>5.1691240000000001</v>
      </c>
      <c r="E5752">
        <v>0.49361319999999997</v>
      </c>
      <c r="F5752" t="s">
        <v>43</v>
      </c>
      <c r="G5752">
        <v>-358.55020000000002</v>
      </c>
      <c r="H5752" s="1">
        <v>-1.374073E-6</v>
      </c>
      <c r="I5752">
        <v>22.509440000000001</v>
      </c>
      <c r="J5752">
        <v>-379.86369999999999</v>
      </c>
      <c r="K5752">
        <v>1.1142030000000001</v>
      </c>
      <c r="L5752">
        <v>22.912600000000001</v>
      </c>
      <c r="M5752">
        <v>0.99967640000000002</v>
      </c>
      <c r="N5752">
        <v>0</v>
      </c>
      <c r="O5752">
        <v>2.0119749999999999E-2</v>
      </c>
      <c r="P5752">
        <v>0.99925260000000005</v>
      </c>
      <c r="Q5752">
        <v>-9.5360570000000006E-3</v>
      </c>
      <c r="R5752">
        <v>-3.7463999999999997E-2</v>
      </c>
      <c r="S5752">
        <v>2.9987789999999999</v>
      </c>
      <c r="T5752">
        <v>-0.15553429999999999</v>
      </c>
      <c r="U5752">
        <v>-5.551147E-2</v>
      </c>
      <c r="V5752">
        <v>5.7497310000000003E-2</v>
      </c>
      <c r="W5752">
        <v>6.6116009999999999E-3</v>
      </c>
      <c r="X5752">
        <v>0.99832379999999998</v>
      </c>
      <c r="Y5752">
        <v>3.8544349999999998E-2</v>
      </c>
      <c r="Z5752">
        <v>-2.0416710000000001E-3</v>
      </c>
      <c r="AA5752">
        <v>0.9992548</v>
      </c>
      <c r="AB5752">
        <v>32</v>
      </c>
      <c r="AC5752">
        <v>21.313499999999902</v>
      </c>
      <c r="AD5752">
        <v>-1.1142043740729899</v>
      </c>
      <c r="AE5752">
        <v>-0.40316000000000302</v>
      </c>
      <c r="AF5752">
        <v>0.829686003209409</v>
      </c>
      <c r="AG5752">
        <v>-1.1142043740729899</v>
      </c>
      <c r="AH5752">
        <v>21.2430383002424</v>
      </c>
      <c r="AI5752">
        <v>93.000148094030806</v>
      </c>
      <c r="AJ5752">
        <v>87.7633445880019</v>
      </c>
      <c r="AK5752">
        <v>21.288412493107401</v>
      </c>
      <c r="AL5752">
        <v>89.621180418975499</v>
      </c>
      <c r="AM5752">
        <v>86.703756921670504</v>
      </c>
      <c r="AN5752">
        <v>1.0000000317857201</v>
      </c>
    </row>
    <row r="5753" spans="1:40" x14ac:dyDescent="0.25">
      <c r="A5753" t="str">
        <f>"20190312154411115"</f>
        <v>20190312154411115</v>
      </c>
      <c r="B5753" t="str">
        <f>"1552376651103022"</f>
        <v>1552376651103022</v>
      </c>
      <c r="C5753" t="s">
        <v>40</v>
      </c>
      <c r="D5753">
        <v>5.1374890000000004</v>
      </c>
      <c r="E5753">
        <v>0.49463990000000002</v>
      </c>
      <c r="F5753" t="s">
        <v>43</v>
      </c>
      <c r="G5753">
        <v>-358.26909999999998</v>
      </c>
      <c r="H5753" s="1">
        <v>-1.493786E-6</v>
      </c>
      <c r="I5753">
        <v>22.506160000000001</v>
      </c>
      <c r="J5753">
        <v>-379.55950000000001</v>
      </c>
      <c r="K5753">
        <v>1.11385499999999</v>
      </c>
      <c r="L5753">
        <v>22.922789999999999</v>
      </c>
      <c r="M5753">
        <v>0.9996005</v>
      </c>
      <c r="N5753">
        <v>0</v>
      </c>
      <c r="O5753">
        <v>2.3652280000000001E-2</v>
      </c>
      <c r="P5753">
        <v>0.99934610000000001</v>
      </c>
      <c r="Q5753">
        <v>-9.3457369999999998E-3</v>
      </c>
      <c r="R5753">
        <v>-3.492895E-2</v>
      </c>
      <c r="S5753">
        <v>2.9986570000000001</v>
      </c>
      <c r="T5753">
        <v>-0.1547202</v>
      </c>
      <c r="U5753">
        <v>-5.6426999999999998E-2</v>
      </c>
      <c r="V5753">
        <v>5.8495610000000003E-2</v>
      </c>
      <c r="W5753">
        <v>6.6793109999999899E-3</v>
      </c>
      <c r="X5753">
        <v>0.99826530000000002</v>
      </c>
      <c r="Y5753">
        <v>4.2371949999999999E-2</v>
      </c>
      <c r="Z5753">
        <v>-2.3118829999999998E-3</v>
      </c>
      <c r="AA5753">
        <v>0.99909930000000002</v>
      </c>
      <c r="AB5753">
        <v>32</v>
      </c>
      <c r="AC5753">
        <v>21.290400000000002</v>
      </c>
      <c r="AD5753">
        <v>-1.1138564937859901</v>
      </c>
      <c r="AE5753">
        <v>-0.416629999999997</v>
      </c>
      <c r="AF5753">
        <v>0.91762952707982404</v>
      </c>
      <c r="AG5753">
        <v>-1.1138564937859901</v>
      </c>
      <c r="AH5753">
        <v>21.2165374846108</v>
      </c>
      <c r="AI5753">
        <v>93.002436030742501</v>
      </c>
      <c r="AJ5753">
        <v>87.523462421504505</v>
      </c>
      <c r="AK5753">
        <v>21.265563314279099</v>
      </c>
      <c r="AL5753">
        <v>89.617300816146795</v>
      </c>
      <c r="AM5753">
        <v>86.646459161875498</v>
      </c>
      <c r="AN5753">
        <v>0.999999979384398</v>
      </c>
    </row>
    <row r="5754" spans="1:40" x14ac:dyDescent="0.25">
      <c r="A5754" t="str">
        <f>"20190312154411128"</f>
        <v>20190312154411128</v>
      </c>
      <c r="B5754" t="str">
        <f>"1552376651123518"</f>
        <v>1552376651123518</v>
      </c>
      <c r="C5754" t="s">
        <v>40</v>
      </c>
      <c r="D5754">
        <v>5.1749070000000001</v>
      </c>
      <c r="E5754">
        <v>0.49594519999999997</v>
      </c>
      <c r="F5754" t="s">
        <v>43</v>
      </c>
      <c r="G5754">
        <v>-357.73219999999998</v>
      </c>
      <c r="H5754" s="1">
        <v>-1.724592E-6</v>
      </c>
      <c r="I5754">
        <v>22.507960000000001</v>
      </c>
      <c r="J5754">
        <v>-379.38130000000001</v>
      </c>
      <c r="K5754">
        <v>1.113639</v>
      </c>
      <c r="L5754">
        <v>22.929110000000001</v>
      </c>
      <c r="M5754">
        <v>0.99955309999999997</v>
      </c>
      <c r="N5754">
        <v>0</v>
      </c>
      <c r="O5754">
        <v>2.5602050000000001E-2</v>
      </c>
      <c r="P5754">
        <v>0.99941329999999995</v>
      </c>
      <c r="Q5754">
        <v>-8.6492500000000007E-3</v>
      </c>
      <c r="R5754">
        <v>-3.3140299999999998E-2</v>
      </c>
      <c r="S5754">
        <v>2.9985050000000002</v>
      </c>
      <c r="T5754">
        <v>-0.15301489999999901</v>
      </c>
      <c r="U5754">
        <v>-5.6976319999999997E-2</v>
      </c>
      <c r="V5754">
        <v>5.8653030000000002E-2</v>
      </c>
      <c r="W5754">
        <v>7.3096749999999999E-3</v>
      </c>
      <c r="X5754">
        <v>0.99825169999999996</v>
      </c>
      <c r="Y5754">
        <v>4.4501199999999998E-2</v>
      </c>
      <c r="Z5754">
        <v>-2.4402600000000001E-3</v>
      </c>
      <c r="AA5754">
        <v>0.99900630000000001</v>
      </c>
      <c r="AB5754">
        <v>32</v>
      </c>
      <c r="AC5754">
        <v>21.649100000000001</v>
      </c>
      <c r="AD5754">
        <v>-1.1136407245919999</v>
      </c>
      <c r="AE5754">
        <v>-0.42115000000000002</v>
      </c>
      <c r="AF5754">
        <v>0.97276617889885597</v>
      </c>
      <c r="AG5754">
        <v>-1.1136407245919999</v>
      </c>
      <c r="AH5754">
        <v>21.574152117513599</v>
      </c>
      <c r="AI5754">
        <v>92.951946409839493</v>
      </c>
      <c r="AJ5754">
        <v>87.418314697244</v>
      </c>
      <c r="AK5754">
        <v>21.624766109530398</v>
      </c>
      <c r="AL5754">
        <v>89.581182756954902</v>
      </c>
      <c r="AM5754">
        <v>86.637409281720494</v>
      </c>
      <c r="AN5754">
        <v>1.00000003291483</v>
      </c>
    </row>
    <row r="5755" spans="1:40" x14ac:dyDescent="0.25">
      <c r="A5755" t="str">
        <f>"20190312154411141"</f>
        <v>20190312154411141</v>
      </c>
      <c r="B5755" t="str">
        <f>"1552376651133279"</f>
        <v>1552376651133279</v>
      </c>
      <c r="C5755" t="s">
        <v>40</v>
      </c>
      <c r="D5755">
        <v>5.1212980000000003</v>
      </c>
      <c r="E5755">
        <v>0.4963053</v>
      </c>
      <c r="F5755" t="s">
        <v>43</v>
      </c>
      <c r="G5755">
        <v>-357.0188</v>
      </c>
      <c r="H5755" s="1">
        <v>-2.0193470000000001E-6</v>
      </c>
      <c r="I5755">
        <v>22.465399999999999</v>
      </c>
      <c r="J5755">
        <v>-379.1943</v>
      </c>
      <c r="K5755">
        <v>1.1133900000000001</v>
      </c>
      <c r="L5755">
        <v>22.936129999999999</v>
      </c>
      <c r="M5755">
        <v>0.99950269999999997</v>
      </c>
      <c r="N5755">
        <v>0</v>
      </c>
      <c r="O5755">
        <v>2.7523039999999999E-2</v>
      </c>
      <c r="P5755">
        <v>0.99948009999999998</v>
      </c>
      <c r="Q5755">
        <v>-7.5856859999999899E-3</v>
      </c>
      <c r="R5755">
        <v>-3.1343330000000003E-2</v>
      </c>
      <c r="S5755">
        <v>2.9984440000000001</v>
      </c>
      <c r="T5755">
        <v>-0.14932100000000001</v>
      </c>
      <c r="U5755">
        <v>-6.216431E-2</v>
      </c>
      <c r="V5755">
        <v>5.8771700000000003E-2</v>
      </c>
      <c r="W5755">
        <v>8.3048040000000007E-3</v>
      </c>
      <c r="X5755">
        <v>0.99823689999999998</v>
      </c>
      <c r="Y5755">
        <v>4.8146519999999998E-2</v>
      </c>
      <c r="Z5755">
        <v>-2.567733E-3</v>
      </c>
      <c r="AA5755">
        <v>0.99883699999999997</v>
      </c>
      <c r="AB5755">
        <v>32</v>
      </c>
      <c r="AC5755">
        <v>22.1755</v>
      </c>
      <c r="AD5755">
        <v>-1.1133920193469999</v>
      </c>
      <c r="AE5755">
        <v>-0.47072999999999898</v>
      </c>
      <c r="AF5755">
        <v>1.07824420930531</v>
      </c>
      <c r="AG5755">
        <v>-1.1133920193469999</v>
      </c>
      <c r="AH5755">
        <v>22.0984576866528</v>
      </c>
      <c r="AI5755">
        <v>92.880886912487</v>
      </c>
      <c r="AJ5755">
        <v>87.206597537481898</v>
      </c>
      <c r="AK5755">
        <v>22.1527444009186</v>
      </c>
      <c r="AL5755">
        <v>89.524164309158294</v>
      </c>
      <c r="AM5755">
        <v>86.6305717240283</v>
      </c>
      <c r="AN5755">
        <v>0.99999999550598895</v>
      </c>
    </row>
    <row r="5756" spans="1:40" x14ac:dyDescent="0.25">
      <c r="A5756" t="str">
        <f>"20190312154411152"</f>
        <v>20190312154411152</v>
      </c>
      <c r="B5756" t="str">
        <f>"1552376651143041"</f>
        <v>1552376651143041</v>
      </c>
      <c r="C5756" t="s">
        <v>40</v>
      </c>
      <c r="D5756">
        <v>5.2100239999999998</v>
      </c>
      <c r="E5756">
        <v>0.49656270000000002</v>
      </c>
      <c r="F5756" t="s">
        <v>43</v>
      </c>
      <c r="G5756">
        <v>-356.6189</v>
      </c>
      <c r="H5756" s="1">
        <v>-2.1965570000000002E-6</v>
      </c>
      <c r="I5756">
        <v>22.486640000000001</v>
      </c>
      <c r="J5756">
        <v>-379.02530000000002</v>
      </c>
      <c r="K5756">
        <v>1.113165</v>
      </c>
      <c r="L5756">
        <v>22.942599999999999</v>
      </c>
      <c r="M5756">
        <v>0.9994556</v>
      </c>
      <c r="N5756">
        <v>0</v>
      </c>
      <c r="O5756">
        <v>2.920615E-2</v>
      </c>
      <c r="P5756">
        <v>0.99954790000000004</v>
      </c>
      <c r="Q5756">
        <v>-6.2380489999999999E-3</v>
      </c>
      <c r="R5756">
        <v>-2.9418799999999998E-2</v>
      </c>
      <c r="S5756">
        <v>2.9986269999999999</v>
      </c>
      <c r="T5756">
        <v>-0.1478884</v>
      </c>
      <c r="U5756">
        <v>-5.9692380000000003E-2</v>
      </c>
      <c r="V5756">
        <v>5.8524449999999999E-2</v>
      </c>
      <c r="W5756">
        <v>9.5841069999999997E-3</v>
      </c>
      <c r="X5756">
        <v>0.99824000000000002</v>
      </c>
      <c r="Y5756">
        <v>4.9002919999999998E-2</v>
      </c>
      <c r="Z5756">
        <v>-2.6470399999999998E-3</v>
      </c>
      <c r="AA5756">
        <v>0.99879519999999999</v>
      </c>
      <c r="AB5756">
        <v>32</v>
      </c>
      <c r="AC5756">
        <v>22.406400000000001</v>
      </c>
      <c r="AD5756">
        <v>-1.113167196557</v>
      </c>
      <c r="AE5756">
        <v>-0.45596000000000098</v>
      </c>
      <c r="AF5756">
        <v>1.1075147834165799</v>
      </c>
      <c r="AG5756">
        <v>-1.113167196557</v>
      </c>
      <c r="AH5756">
        <v>22.328433229012202</v>
      </c>
      <c r="AI5756">
        <v>92.850576238657496</v>
      </c>
      <c r="AJ5756">
        <v>87.160393685984801</v>
      </c>
      <c r="AK5756">
        <v>22.3835801574599</v>
      </c>
      <c r="AL5756">
        <v>89.450862728995801</v>
      </c>
      <c r="AM5756">
        <v>86.644724705445398</v>
      </c>
      <c r="AN5756">
        <v>1.0000000319773901</v>
      </c>
    </row>
    <row r="5757" spans="1:40" x14ac:dyDescent="0.25">
      <c r="A5757" t="str">
        <f>"20190312154411171"</f>
        <v>20190312154411171</v>
      </c>
      <c r="B5757" t="str">
        <f>"1552376651163539"</f>
        <v>1552376651163539</v>
      </c>
      <c r="C5757" t="s">
        <v>40</v>
      </c>
      <c r="D5757">
        <v>5.1773339999999903</v>
      </c>
      <c r="E5757">
        <v>0.49748730000000002</v>
      </c>
      <c r="F5757" t="s">
        <v>43</v>
      </c>
      <c r="G5757">
        <v>-356.20429999999999</v>
      </c>
      <c r="H5757" s="1">
        <v>-2.3822330000000001E-6</v>
      </c>
      <c r="I5757">
        <v>22.51613</v>
      </c>
      <c r="J5757">
        <v>-378.76909999999998</v>
      </c>
      <c r="K5757">
        <v>1.1128209999999901</v>
      </c>
      <c r="L5757">
        <v>22.952670000000001</v>
      </c>
      <c r="M5757">
        <v>0.99938590000000005</v>
      </c>
      <c r="N5757">
        <v>0</v>
      </c>
      <c r="O5757">
        <v>3.1540310000000002E-2</v>
      </c>
      <c r="P5757">
        <v>0.99963199999999997</v>
      </c>
      <c r="Q5757">
        <v>-5.0376400000000003E-3</v>
      </c>
      <c r="R5757">
        <v>-2.665607E-2</v>
      </c>
      <c r="S5757">
        <v>2.99884</v>
      </c>
      <c r="T5757">
        <v>-0.14627799999999999</v>
      </c>
      <c r="U5757">
        <v>-5.603027E-2</v>
      </c>
      <c r="V5757">
        <v>5.8096670000000003E-2</v>
      </c>
      <c r="W5757">
        <v>1.064358E-2</v>
      </c>
      <c r="X5757">
        <v>0.99825419999999998</v>
      </c>
      <c r="Y5757">
        <v>5.011285E-2</v>
      </c>
      <c r="Z5757">
        <v>-2.7589070000000001E-3</v>
      </c>
      <c r="AA5757">
        <v>0.99873979999999996</v>
      </c>
      <c r="AB5757">
        <v>32</v>
      </c>
      <c r="AC5757">
        <v>22.564799999999899</v>
      </c>
      <c r="AD5757">
        <v>-1.11282338223299</v>
      </c>
      <c r="AE5757">
        <v>-0.43653999999999998</v>
      </c>
      <c r="AF5757">
        <v>1.14532194114273</v>
      </c>
      <c r="AG5757">
        <v>-1.11282338223299</v>
      </c>
      <c r="AH5757">
        <v>22.485134094800902</v>
      </c>
      <c r="AI5757">
        <v>92.829680638922397</v>
      </c>
      <c r="AJ5757">
        <v>87.084053501498005</v>
      </c>
      <c r="AK5757">
        <v>22.541769972433102</v>
      </c>
      <c r="AL5757">
        <v>89.390156259071503</v>
      </c>
      <c r="AM5757">
        <v>86.669241687136704</v>
      </c>
      <c r="AN5757">
        <v>0.99999997833897203</v>
      </c>
    </row>
    <row r="5758" spans="1:40" x14ac:dyDescent="0.25">
      <c r="A5758" t="str">
        <f>"20190312154411193"</f>
        <v>20190312154411193</v>
      </c>
      <c r="B5758" t="str">
        <f>"1552376651183054"</f>
        <v>1552376651183054</v>
      </c>
      <c r="C5758" t="s">
        <v>40</v>
      </c>
      <c r="D5758">
        <v>5.1711790000000004</v>
      </c>
      <c r="E5758">
        <v>0.49841439999999998</v>
      </c>
      <c r="F5758" t="s">
        <v>43</v>
      </c>
      <c r="G5758">
        <v>-355.18880000000001</v>
      </c>
      <c r="H5758" s="1">
        <v>-2.818193E-6</v>
      </c>
      <c r="I5758">
        <v>22.517299999999999</v>
      </c>
      <c r="J5758">
        <v>-378.44959999999998</v>
      </c>
      <c r="K5758">
        <v>1.112368</v>
      </c>
      <c r="L5758">
        <v>22.965789999999998</v>
      </c>
      <c r="M5758">
        <v>0.99931499999999995</v>
      </c>
      <c r="N5758">
        <v>0</v>
      </c>
      <c r="O5758">
        <v>3.3822400000000002E-2</v>
      </c>
      <c r="P5758">
        <v>0.99969390000000002</v>
      </c>
      <c r="Q5758">
        <v>-5.6214269999999896E-3</v>
      </c>
      <c r="R5758">
        <v>-2.409623E-2</v>
      </c>
      <c r="S5758">
        <v>2.998901</v>
      </c>
      <c r="T5758">
        <v>-0.14152679999999901</v>
      </c>
      <c r="U5758">
        <v>-5.5358890000000001E-2</v>
      </c>
      <c r="V5758">
        <v>5.7836070000000003E-2</v>
      </c>
      <c r="W5758">
        <v>9.7543290000000008E-3</v>
      </c>
      <c r="X5758">
        <v>0.99827840000000001</v>
      </c>
      <c r="Y5758">
        <v>5.2170790000000002E-2</v>
      </c>
      <c r="Z5758">
        <v>-2.8254859999999999E-3</v>
      </c>
      <c r="AA5758">
        <v>0.99863420000000003</v>
      </c>
      <c r="AB5758">
        <v>32</v>
      </c>
      <c r="AC5758">
        <v>23.2607999999999</v>
      </c>
      <c r="AD5758">
        <v>-1.1123708181929901</v>
      </c>
      <c r="AE5758">
        <v>-0.448489999999999</v>
      </c>
      <c r="AF5758">
        <v>1.2322411911798099</v>
      </c>
      <c r="AG5758">
        <v>-1.1123708181929901</v>
      </c>
      <c r="AH5758">
        <v>23.179328381433798</v>
      </c>
      <c r="AI5758">
        <v>92.743635589579696</v>
      </c>
      <c r="AJ5758">
        <v>86.956951426586897</v>
      </c>
      <c r="AK5758">
        <v>23.238697282867399</v>
      </c>
      <c r="AL5758">
        <v>89.441109231444898</v>
      </c>
      <c r="AM5758">
        <v>86.684229017650594</v>
      </c>
      <c r="AN5758">
        <v>0.999999960916921</v>
      </c>
    </row>
    <row r="5759" spans="1:40" x14ac:dyDescent="0.25">
      <c r="A5759" t="str">
        <f>"20190312154411205"</f>
        <v>20190312154411205</v>
      </c>
      <c r="B5759" t="str">
        <f>"1552376651192814"</f>
        <v>1552376651192814</v>
      </c>
      <c r="C5759" t="s">
        <v>40</v>
      </c>
      <c r="D5759">
        <v>5.1554209999999996</v>
      </c>
      <c r="E5759">
        <v>0.4988493</v>
      </c>
      <c r="F5759" t="s">
        <v>43</v>
      </c>
      <c r="G5759">
        <v>-355.18</v>
      </c>
      <c r="H5759" s="1">
        <v>-2.8277539999999998E-6</v>
      </c>
      <c r="I5759">
        <v>22.538979999999999</v>
      </c>
      <c r="J5759">
        <v>-378.26900000000001</v>
      </c>
      <c r="K5759">
        <v>1.1120829999999999</v>
      </c>
      <c r="L5759">
        <v>22.973299999999998</v>
      </c>
      <c r="M5759">
        <v>0.99926800000000005</v>
      </c>
      <c r="N5759">
        <v>0</v>
      </c>
      <c r="O5759">
        <v>3.5197739999999998E-2</v>
      </c>
      <c r="P5759">
        <v>0.99970879999999995</v>
      </c>
      <c r="Q5759">
        <v>-5.7991719999999896E-3</v>
      </c>
      <c r="R5759">
        <v>-2.3429970000000001E-2</v>
      </c>
      <c r="S5759">
        <v>2.9987490000000001</v>
      </c>
      <c r="T5759">
        <v>-0.14335100000000001</v>
      </c>
      <c r="U5759">
        <v>-5.4992680000000002E-2</v>
      </c>
      <c r="V5759">
        <v>5.8552489999999999E-2</v>
      </c>
      <c r="W5759">
        <v>9.5063849999999991E-3</v>
      </c>
      <c r="X5759">
        <v>0.99823899999999999</v>
      </c>
      <c r="Y5759">
        <v>5.3418689999999998E-2</v>
      </c>
      <c r="Z5759">
        <v>-2.9575069999999998E-3</v>
      </c>
      <c r="AA5759">
        <v>0.99856780000000001</v>
      </c>
      <c r="AB5759">
        <v>32</v>
      </c>
      <c r="AC5759">
        <v>23.088999999999999</v>
      </c>
      <c r="AD5759">
        <v>-1.112085827754</v>
      </c>
      <c r="AE5759">
        <v>-0.43431999999999898</v>
      </c>
      <c r="AF5759">
        <v>1.2439379406403599</v>
      </c>
      <c r="AG5759">
        <v>-1.112085827754</v>
      </c>
      <c r="AH5759">
        <v>23.0060487950329</v>
      </c>
      <c r="AI5759">
        <v>92.763427311595095</v>
      </c>
      <c r="AJ5759">
        <v>86.905028777267702</v>
      </c>
      <c r="AK5759">
        <v>23.0664777902455</v>
      </c>
      <c r="AL5759">
        <v>89.455316020550498</v>
      </c>
      <c r="AM5759">
        <v>86.643117459656096</v>
      </c>
      <c r="AN5759">
        <v>0.99999993328098102</v>
      </c>
    </row>
    <row r="5760" spans="1:40" x14ac:dyDescent="0.25">
      <c r="A5760" t="str">
        <f>"20190312154411219"</f>
        <v>20190312154411219</v>
      </c>
      <c r="B5760" t="str">
        <f>"1552376651213311"</f>
        <v>1552376651213311</v>
      </c>
      <c r="C5760" t="s">
        <v>40</v>
      </c>
      <c r="D5760">
        <v>5.1861329999999999</v>
      </c>
      <c r="E5760">
        <v>0.49972</v>
      </c>
      <c r="F5760" t="s">
        <v>43</v>
      </c>
      <c r="G5760">
        <v>-355.14229999999998</v>
      </c>
      <c r="H5760" s="1">
        <v>-2.8435E-6</v>
      </c>
      <c r="I5760">
        <v>22.537330000000001</v>
      </c>
      <c r="J5760">
        <v>-378.08479999999997</v>
      </c>
      <c r="K5760">
        <v>1.1117969999999999</v>
      </c>
      <c r="L5760">
        <v>22.981110000000001</v>
      </c>
      <c r="M5760">
        <v>0.99921669999999996</v>
      </c>
      <c r="N5760">
        <v>0</v>
      </c>
      <c r="O5760">
        <v>3.6620460000000001E-2</v>
      </c>
      <c r="P5760">
        <v>0.99973920000000005</v>
      </c>
      <c r="Q5760">
        <v>-5.7409949999999996E-3</v>
      </c>
      <c r="R5760">
        <v>-2.2103109999999999E-2</v>
      </c>
      <c r="S5760">
        <v>2.9987180000000002</v>
      </c>
      <c r="T5760">
        <v>-0.1441983</v>
      </c>
      <c r="U5760">
        <v>-5.6518550000000001E-2</v>
      </c>
      <c r="V5760">
        <v>5.8655400000000003E-2</v>
      </c>
      <c r="W5760">
        <v>9.5268880000000007E-3</v>
      </c>
      <c r="X5760">
        <v>0.99823280000000003</v>
      </c>
      <c r="Y5760">
        <v>5.5343419999999997E-2</v>
      </c>
      <c r="Z5760">
        <v>-3.0895900000000001E-3</v>
      </c>
      <c r="AA5760">
        <v>0.99846259999999998</v>
      </c>
      <c r="AB5760">
        <v>32</v>
      </c>
      <c r="AC5760">
        <v>22.9424999999999</v>
      </c>
      <c r="AD5760">
        <v>-1.1117998434999901</v>
      </c>
      <c r="AE5760">
        <v>-0.44378000000000301</v>
      </c>
      <c r="AF5760">
        <v>1.2807351226266299</v>
      </c>
      <c r="AG5760">
        <v>-1.1117998434999901</v>
      </c>
      <c r="AH5760">
        <v>22.857196784208</v>
      </c>
      <c r="AI5760">
        <v>92.780382212613901</v>
      </c>
      <c r="AJ5760">
        <v>86.792954658824797</v>
      </c>
      <c r="AK5760">
        <v>22.9200311120719</v>
      </c>
      <c r="AL5760">
        <v>89.454141252096704</v>
      </c>
      <c r="AM5760">
        <v>86.637210198980597</v>
      </c>
      <c r="AN5760">
        <v>0.999999970269981</v>
      </c>
    </row>
    <row r="5761" spans="1:40" x14ac:dyDescent="0.25">
      <c r="A5761" t="str">
        <f>"20190312154411239"</f>
        <v>20190312154411239</v>
      </c>
      <c r="B5761" t="str">
        <f>"1552376651233807"</f>
        <v>1552376651233807</v>
      </c>
      <c r="C5761" t="s">
        <v>40</v>
      </c>
      <c r="D5761">
        <v>5.289587</v>
      </c>
      <c r="E5761">
        <v>0.5284913</v>
      </c>
      <c r="F5761" t="s">
        <v>43</v>
      </c>
      <c r="G5761">
        <v>-355.08980000000003</v>
      </c>
      <c r="H5761" s="1">
        <v>-2.8628089999999898E-6</v>
      </c>
      <c r="I5761">
        <v>22.525379999999998</v>
      </c>
      <c r="J5761">
        <v>-377.80110000000002</v>
      </c>
      <c r="K5761">
        <v>1.111423</v>
      </c>
      <c r="L5761">
        <v>22.993189999999998</v>
      </c>
      <c r="M5761">
        <v>0.9991428</v>
      </c>
      <c r="N5761">
        <v>0</v>
      </c>
      <c r="O5761">
        <v>3.8594099999999999E-2</v>
      </c>
      <c r="P5761">
        <v>0.99976140000000002</v>
      </c>
      <c r="Q5761">
        <v>-4.9829219999999999E-3</v>
      </c>
      <c r="R5761">
        <v>-2.1276050000000001E-2</v>
      </c>
      <c r="S5761">
        <v>2.998596</v>
      </c>
      <c r="T5761">
        <v>-0.14498129999999901</v>
      </c>
      <c r="U5761">
        <v>-5.941772E-2</v>
      </c>
      <c r="V5761">
        <v>5.980717E-2</v>
      </c>
      <c r="W5761">
        <v>1.022113E-2</v>
      </c>
      <c r="X5761">
        <v>0.99815759999999998</v>
      </c>
      <c r="Y5761">
        <v>5.8274260000000001E-2</v>
      </c>
      <c r="Z5761">
        <v>-3.2725929999999999E-3</v>
      </c>
      <c r="AA5761">
        <v>0.99829520000000005</v>
      </c>
      <c r="AB5761">
        <v>32</v>
      </c>
      <c r="AC5761">
        <v>22.711299999999898</v>
      </c>
      <c r="AD5761">
        <v>-1.1114258628089999</v>
      </c>
      <c r="AE5761">
        <v>-0.46781</v>
      </c>
      <c r="AF5761">
        <v>1.3408720143661901</v>
      </c>
      <c r="AG5761">
        <v>-1.1114258628089999</v>
      </c>
      <c r="AH5761">
        <v>22.6221653263005</v>
      </c>
      <c r="AI5761">
        <v>92.807757316380702</v>
      </c>
      <c r="AJ5761">
        <v>86.607905303512496</v>
      </c>
      <c r="AK5761">
        <v>22.689106841343602</v>
      </c>
      <c r="AL5761">
        <v>89.414362181084499</v>
      </c>
      <c r="AM5761">
        <v>86.571076060495301</v>
      </c>
      <c r="AN5761">
        <v>0.99999998175982197</v>
      </c>
    </row>
    <row r="5762" spans="1:40" x14ac:dyDescent="0.25">
      <c r="A5762" t="str">
        <f>"20190312154411262"</f>
        <v>20190312154411262</v>
      </c>
      <c r="B5762" t="str">
        <f>"1552376651253327"</f>
        <v>1552376651253327</v>
      </c>
      <c r="C5762" t="s">
        <v>40</v>
      </c>
      <c r="D5762">
        <v>5.2599470000000004</v>
      </c>
      <c r="E5762">
        <v>0.53484480000000001</v>
      </c>
      <c r="F5762" t="s">
        <v>43</v>
      </c>
      <c r="G5762">
        <v>-358.23360000000002</v>
      </c>
      <c r="H5762" s="1">
        <v>-1.1416669999999999E-6</v>
      </c>
      <c r="I5762">
        <v>21.125499999999999</v>
      </c>
      <c r="J5762">
        <v>-377.4812</v>
      </c>
      <c r="K5762">
        <v>1.1111359999999999</v>
      </c>
      <c r="L5762">
        <v>23.007079999999998</v>
      </c>
      <c r="M5762">
        <v>0.99907919999999995</v>
      </c>
      <c r="N5762">
        <v>0</v>
      </c>
      <c r="O5762">
        <v>4.0234440000000003E-2</v>
      </c>
      <c r="P5762">
        <v>0.99978739999999999</v>
      </c>
      <c r="Q5762">
        <v>-4.4028440000000004E-3</v>
      </c>
      <c r="R5762">
        <v>-2.015163E-2</v>
      </c>
      <c r="S5762">
        <v>2.993744</v>
      </c>
      <c r="T5762">
        <v>-0.1700431</v>
      </c>
      <c r="U5762">
        <v>-0.28573609999999999</v>
      </c>
      <c r="V5762">
        <v>6.0328739999999999E-2</v>
      </c>
      <c r="W5762">
        <v>1.068507E-2</v>
      </c>
      <c r="X5762">
        <v>0.99812140000000005</v>
      </c>
      <c r="Y5762">
        <v>0.13471279999999999</v>
      </c>
      <c r="Z5762">
        <v>-6.0932579999999998E-3</v>
      </c>
      <c r="AA5762">
        <v>0.99086589999999997</v>
      </c>
      <c r="AB5762">
        <v>32</v>
      </c>
      <c r="AC5762">
        <v>19.247599999999899</v>
      </c>
      <c r="AD5762">
        <v>-1.111137141667</v>
      </c>
      <c r="AE5762">
        <v>-1.88158</v>
      </c>
      <c r="AF5762">
        <v>2.6458244551918901</v>
      </c>
      <c r="AG5762">
        <v>-1.111137141667</v>
      </c>
      <c r="AH5762">
        <v>19.093270636272798</v>
      </c>
      <c r="AI5762">
        <v>93.299129401920496</v>
      </c>
      <c r="AJ5762">
        <v>82.110557349869794</v>
      </c>
      <c r="AK5762">
        <v>19.307718570179201</v>
      </c>
      <c r="AL5762">
        <v>89.387778952567103</v>
      </c>
      <c r="AM5762">
        <v>86.541120036243001</v>
      </c>
      <c r="AN5762">
        <v>1.0000000283644199</v>
      </c>
    </row>
    <row r="5763" spans="1:40" x14ac:dyDescent="0.25">
      <c r="A5763" t="str">
        <f>"20190312154411283"</f>
        <v>20190312154411283</v>
      </c>
      <c r="B5763" t="str">
        <f>"1552376651272850"</f>
        <v>1552376651272850</v>
      </c>
      <c r="C5763" t="s">
        <v>40</v>
      </c>
      <c r="D5763">
        <v>5.2384329999999997</v>
      </c>
      <c r="E5763">
        <v>0.53756870000000001</v>
      </c>
      <c r="F5763" t="s">
        <v>43</v>
      </c>
      <c r="G5763">
        <v>-355.66090000000003</v>
      </c>
      <c r="H5763" s="1">
        <v>-2.098902E-6</v>
      </c>
      <c r="I5763">
        <v>20.575189999999999</v>
      </c>
      <c r="J5763">
        <v>-377.16820000000001</v>
      </c>
      <c r="K5763">
        <v>1.110935</v>
      </c>
      <c r="L5763">
        <v>23.020869999999999</v>
      </c>
      <c r="M5763">
        <v>0.99903960000000003</v>
      </c>
      <c r="N5763">
        <v>0</v>
      </c>
      <c r="O5763">
        <v>4.1241710000000001E-2</v>
      </c>
      <c r="P5763">
        <v>0.99978940000000005</v>
      </c>
      <c r="Q5763">
        <v>-4.605797E-3</v>
      </c>
      <c r="R5763">
        <v>-2.0008740000000001E-2</v>
      </c>
      <c r="S5763">
        <v>2.9932249999999998</v>
      </c>
      <c r="T5763">
        <v>-0.15242220000000001</v>
      </c>
      <c r="U5763">
        <v>-0.33358759999999998</v>
      </c>
      <c r="V5763">
        <v>6.1198830000000003E-2</v>
      </c>
      <c r="W5763">
        <v>1.03575E-2</v>
      </c>
      <c r="X5763">
        <v>0.99807179999999995</v>
      </c>
      <c r="Y5763">
        <v>0.1514132</v>
      </c>
      <c r="Z5763">
        <v>-5.9340850000000004E-3</v>
      </c>
      <c r="AA5763">
        <v>0.98845269999999996</v>
      </c>
      <c r="AB5763">
        <v>32</v>
      </c>
      <c r="AC5763">
        <v>21.507299999999901</v>
      </c>
      <c r="AD5763">
        <v>-1.110937098902</v>
      </c>
      <c r="AE5763">
        <v>-2.4456799999999999</v>
      </c>
      <c r="AF5763">
        <v>3.3219434951842701</v>
      </c>
      <c r="AG5763">
        <v>-1.110937098902</v>
      </c>
      <c r="AH5763">
        <v>21.331932671742699</v>
      </c>
      <c r="AI5763">
        <v>92.945749907471793</v>
      </c>
      <c r="AJ5763">
        <v>81.148632443682303</v>
      </c>
      <c r="AK5763">
        <v>21.6176048935741</v>
      </c>
      <c r="AL5763">
        <v>89.406548320789298</v>
      </c>
      <c r="AM5763">
        <v>86.491184221154001</v>
      </c>
      <c r="AN5763">
        <v>0.99999994627742805</v>
      </c>
    </row>
    <row r="5764" spans="1:40" x14ac:dyDescent="0.25">
      <c r="A5764" t="str">
        <f>"20190312154411296"</f>
        <v>20190312154411296</v>
      </c>
      <c r="B5764" t="str">
        <f>"1552376651283583"</f>
        <v>1552376651283583</v>
      </c>
      <c r="C5764" t="s">
        <v>40</v>
      </c>
      <c r="D5764">
        <v>5.2403320000000004</v>
      </c>
      <c r="E5764">
        <v>0.53815230000000003</v>
      </c>
      <c r="F5764" t="s">
        <v>43</v>
      </c>
      <c r="G5764">
        <v>-354.58920000000001</v>
      </c>
      <c r="H5764" s="1">
        <v>-2.49671E-6</v>
      </c>
      <c r="I5764">
        <v>20.342269999999999</v>
      </c>
      <c r="J5764">
        <v>-376.99059999999997</v>
      </c>
      <c r="K5764">
        <v>1.1108370000000001</v>
      </c>
      <c r="L5764">
        <v>23.028780000000001</v>
      </c>
      <c r="M5764">
        <v>0.99902449999999998</v>
      </c>
      <c r="N5764">
        <v>0</v>
      </c>
      <c r="O5764">
        <v>4.1621249999999999E-2</v>
      </c>
      <c r="P5764">
        <v>0.99978540000000005</v>
      </c>
      <c r="Q5764">
        <v>-4.6358700000000003E-3</v>
      </c>
      <c r="R5764">
        <v>-2.019284E-2</v>
      </c>
      <c r="S5764">
        <v>2.9928889999999999</v>
      </c>
      <c r="T5764">
        <v>-0.14725650000000001</v>
      </c>
      <c r="U5764">
        <v>-0.35504150000000001</v>
      </c>
      <c r="V5764">
        <v>6.1764779999999998E-2</v>
      </c>
      <c r="W5764">
        <v>1.026118E-2</v>
      </c>
      <c r="X5764">
        <v>0.99803799999999998</v>
      </c>
      <c r="Y5764">
        <v>0.15879679999999999</v>
      </c>
      <c r="Z5764">
        <v>-5.931108E-3</v>
      </c>
      <c r="AA5764">
        <v>0.98729350000000005</v>
      </c>
      <c r="AB5764">
        <v>32</v>
      </c>
      <c r="AC5764">
        <v>22.401399999999899</v>
      </c>
      <c r="AD5764">
        <v>-1.1108394967099999</v>
      </c>
      <c r="AE5764">
        <v>-2.68650999999999</v>
      </c>
      <c r="AF5764">
        <v>3.6079113692332401</v>
      </c>
      <c r="AG5764">
        <v>-1.1108394967099999</v>
      </c>
      <c r="AH5764">
        <v>22.216301437507099</v>
      </c>
      <c r="AI5764">
        <v>92.825512343752905</v>
      </c>
      <c r="AJ5764">
        <v>80.775736182293102</v>
      </c>
      <c r="AK5764">
        <v>22.534751793571498</v>
      </c>
      <c r="AL5764">
        <v>89.412067384068294</v>
      </c>
      <c r="AM5764">
        <v>86.458698226336196</v>
      </c>
      <c r="AN5764">
        <v>1.00000001465372</v>
      </c>
    </row>
    <row r="5765" spans="1:40" x14ac:dyDescent="0.25">
      <c r="A5765" t="str">
        <f>"20190312154411308"</f>
        <v>20190312154411308</v>
      </c>
      <c r="B5765" t="str">
        <f>"1552376651303102"</f>
        <v>1552376651303102</v>
      </c>
      <c r="C5765" t="s">
        <v>40</v>
      </c>
      <c r="D5765">
        <v>5.2325689999999998</v>
      </c>
      <c r="E5765">
        <v>0.53978470000000001</v>
      </c>
      <c r="F5765" t="s">
        <v>43</v>
      </c>
      <c r="G5765">
        <v>-354.06020000000001</v>
      </c>
      <c r="H5765" s="1">
        <v>-2.7039780000000001E-6</v>
      </c>
      <c r="I5765">
        <v>20.2684</v>
      </c>
      <c r="J5765">
        <v>-376.8143</v>
      </c>
      <c r="K5765">
        <v>1.1107400000000001</v>
      </c>
      <c r="L5765">
        <v>23.036650000000002</v>
      </c>
      <c r="M5765">
        <v>0.99901220000000002</v>
      </c>
      <c r="N5765">
        <v>0</v>
      </c>
      <c r="O5765">
        <v>4.1933310000000001E-2</v>
      </c>
      <c r="P5765">
        <v>0.99978180000000005</v>
      </c>
      <c r="Q5765">
        <v>-4.6522239999999999E-3</v>
      </c>
      <c r="R5765">
        <v>-2.0373499999999999E-2</v>
      </c>
      <c r="S5765">
        <v>2.9927670000000002</v>
      </c>
      <c r="T5765">
        <v>-0.14498139999999901</v>
      </c>
      <c r="U5765">
        <v>-0.36026000000000002</v>
      </c>
      <c r="V5765">
        <v>6.225982E-2</v>
      </c>
      <c r="W5765">
        <v>1.0181549999999999E-2</v>
      </c>
      <c r="X5765">
        <v>0.99800800000000001</v>
      </c>
      <c r="Y5765">
        <v>0.1608115</v>
      </c>
      <c r="Z5765">
        <v>-5.9028910000000004E-3</v>
      </c>
      <c r="AA5765">
        <v>0.9869675</v>
      </c>
      <c r="AB5765">
        <v>32</v>
      </c>
      <c r="AC5765">
        <v>22.754099999999902</v>
      </c>
      <c r="AD5765">
        <v>-1.110742703978</v>
      </c>
      <c r="AE5765">
        <v>-2.7682500000000001</v>
      </c>
      <c r="AF5765">
        <v>3.7113576115920601</v>
      </c>
      <c r="AG5765">
        <v>-1.110742703978</v>
      </c>
      <c r="AH5765">
        <v>22.565000882224599</v>
      </c>
      <c r="AI5765">
        <v>92.780759372187006</v>
      </c>
      <c r="AJ5765">
        <v>80.659952115075697</v>
      </c>
      <c r="AK5765">
        <v>22.8951346248578</v>
      </c>
      <c r="AL5765">
        <v>89.416630052580501</v>
      </c>
      <c r="AM5765">
        <v>86.430281036501398</v>
      </c>
      <c r="AN5765">
        <v>0.99999995860541602</v>
      </c>
    </row>
    <row r="5766" spans="1:40" x14ac:dyDescent="0.25">
      <c r="A5766" t="str">
        <f>"20190312154411327"</f>
        <v>20190312154411327</v>
      </c>
      <c r="B5766" t="str">
        <f>"1552376651323599"</f>
        <v>1552376651323599</v>
      </c>
      <c r="C5766" t="s">
        <v>40</v>
      </c>
      <c r="D5766">
        <v>5.2478069999999999</v>
      </c>
      <c r="E5766">
        <v>0.54083689999999995</v>
      </c>
      <c r="F5766" t="s">
        <v>43</v>
      </c>
      <c r="G5766">
        <v>-353.95150000000001</v>
      </c>
      <c r="H5766" s="1">
        <v>-2.7274860000000002E-6</v>
      </c>
      <c r="I5766">
        <v>20.181460000000001</v>
      </c>
      <c r="J5766">
        <v>-376.53570000000002</v>
      </c>
      <c r="K5766">
        <v>1.1105750000000001</v>
      </c>
      <c r="L5766">
        <v>23.049040000000002</v>
      </c>
      <c r="M5766">
        <v>0.99899819999999995</v>
      </c>
      <c r="N5766">
        <v>0</v>
      </c>
      <c r="O5766">
        <v>4.2285610000000001E-2</v>
      </c>
      <c r="P5766">
        <v>0.99978429999999996</v>
      </c>
      <c r="Q5766">
        <v>-3.4929589999999999E-3</v>
      </c>
      <c r="R5766">
        <v>-2.0475859999999999E-2</v>
      </c>
      <c r="S5766">
        <v>2.9923709999999999</v>
      </c>
      <c r="T5766">
        <v>-0.14537820000000001</v>
      </c>
      <c r="U5766">
        <v>-0.37368770000000001</v>
      </c>
      <c r="V5766">
        <v>6.2717350000000005E-2</v>
      </c>
      <c r="W5766">
        <v>1.124913E-2</v>
      </c>
      <c r="X5766">
        <v>0.99796799999999997</v>
      </c>
      <c r="Y5766">
        <v>0.16552939999999999</v>
      </c>
      <c r="Z5766">
        <v>-6.0493939999999996E-3</v>
      </c>
      <c r="AA5766">
        <v>0.98618629999999996</v>
      </c>
      <c r="AB5766">
        <v>32</v>
      </c>
      <c r="AC5766">
        <v>22.584199999999999</v>
      </c>
      <c r="AD5766">
        <v>-1.110577727486</v>
      </c>
      <c r="AE5766">
        <v>-2.86757999999999</v>
      </c>
      <c r="AF5766">
        <v>3.8110341611071799</v>
      </c>
      <c r="AG5766">
        <v>-1.110577727486</v>
      </c>
      <c r="AH5766">
        <v>22.3894424973169</v>
      </c>
      <c r="AI5766">
        <v>92.799499836247605</v>
      </c>
      <c r="AJ5766">
        <v>80.339944706138695</v>
      </c>
      <c r="AK5766">
        <v>22.738612525978201</v>
      </c>
      <c r="AL5766">
        <v>89.355458778085094</v>
      </c>
      <c r="AM5766">
        <v>86.403973000517595</v>
      </c>
      <c r="AN5766">
        <v>1.0000000689703801</v>
      </c>
    </row>
    <row r="5767" spans="1:40" x14ac:dyDescent="0.25">
      <c r="A5767" t="str">
        <f>"20190312154411342"</f>
        <v>20190312154411342</v>
      </c>
      <c r="B5767" t="str">
        <f>"1552376651333359"</f>
        <v>1552376651333359</v>
      </c>
      <c r="C5767" t="s">
        <v>40</v>
      </c>
      <c r="D5767">
        <v>5.2397269999999896</v>
      </c>
      <c r="E5767">
        <v>0.54123559999999904</v>
      </c>
      <c r="F5767" t="s">
        <v>43</v>
      </c>
      <c r="G5767">
        <v>-353.03469999999999</v>
      </c>
      <c r="H5767" s="1">
        <v>-3.0847969999999998E-6</v>
      </c>
      <c r="I5767">
        <v>20.046230000000001</v>
      </c>
      <c r="J5767">
        <v>-376.33920000000001</v>
      </c>
      <c r="K5767">
        <v>1.110463</v>
      </c>
      <c r="L5767">
        <v>23.057739999999999</v>
      </c>
      <c r="M5767">
        <v>0.99899090000000001</v>
      </c>
      <c r="N5767">
        <v>0</v>
      </c>
      <c r="O5767">
        <v>4.2470170000000002E-2</v>
      </c>
      <c r="P5767">
        <v>0.99979110000000004</v>
      </c>
      <c r="Q5767">
        <v>-2.5480820000000001E-3</v>
      </c>
      <c r="R5767">
        <v>-2.0287360000000001E-2</v>
      </c>
      <c r="S5767">
        <v>2.9922789999999999</v>
      </c>
      <c r="T5767">
        <v>-0.14140510000000001</v>
      </c>
      <c r="U5767">
        <v>-0.3823242</v>
      </c>
      <c r="V5767">
        <v>6.2716040000000001E-2</v>
      </c>
      <c r="W5767">
        <v>1.2135989999999999E-2</v>
      </c>
      <c r="X5767">
        <v>0.9979576</v>
      </c>
      <c r="Y5767">
        <v>0.168525799999999</v>
      </c>
      <c r="Z5767">
        <v>-5.9625619999999898E-3</v>
      </c>
      <c r="AA5767">
        <v>0.98567919999999998</v>
      </c>
      <c r="AB5767">
        <v>32</v>
      </c>
      <c r="AC5767">
        <v>23.304500000000001</v>
      </c>
      <c r="AD5767">
        <v>-1.110466084797</v>
      </c>
      <c r="AE5767">
        <v>-3.0115099999999999</v>
      </c>
      <c r="AF5767">
        <v>3.9897338729098299</v>
      </c>
      <c r="AG5767">
        <v>-1.110466084797</v>
      </c>
      <c r="AH5767">
        <v>23.103958615154401</v>
      </c>
      <c r="AI5767">
        <v>92.711666886409205</v>
      </c>
      <c r="AJ5767">
        <v>80.202438741335797</v>
      </c>
      <c r="AK5767">
        <v>23.472196637573099</v>
      </c>
      <c r="AL5767">
        <v>89.304641907556999</v>
      </c>
      <c r="AM5767">
        <v>86.404010538839401</v>
      </c>
      <c r="AN5767">
        <v>0.99999997766215998</v>
      </c>
    </row>
    <row r="5768" spans="1:40" x14ac:dyDescent="0.25">
      <c r="A5768" t="str">
        <f>"20190312154411362"</f>
        <v>20190312154411362</v>
      </c>
      <c r="B5768" t="str">
        <f>"1552376651352878"</f>
        <v>1552376651352878</v>
      </c>
      <c r="C5768" t="s">
        <v>40</v>
      </c>
      <c r="D5768">
        <v>5.2435340000000004</v>
      </c>
      <c r="E5768">
        <v>0.54243200000000003</v>
      </c>
      <c r="F5768" t="s">
        <v>43</v>
      </c>
      <c r="G5768">
        <v>-353.00839999999999</v>
      </c>
      <c r="H5768" s="1">
        <v>-3.0991780000000001E-6</v>
      </c>
      <c r="I5768">
        <v>20.057860000000002</v>
      </c>
      <c r="J5768">
        <v>-376.053</v>
      </c>
      <c r="K5768">
        <v>1.110328</v>
      </c>
      <c r="L5768">
        <v>23.070309999999999</v>
      </c>
      <c r="M5768">
        <v>0.9989827</v>
      </c>
      <c r="N5768">
        <v>0</v>
      </c>
      <c r="O5768">
        <v>4.267779E-2</v>
      </c>
      <c r="P5768">
        <v>0.99979660000000004</v>
      </c>
      <c r="Q5768">
        <v>-5.8664570000000003E-4</v>
      </c>
      <c r="R5768">
        <v>-2.0155920000000001E-2</v>
      </c>
      <c r="S5768">
        <v>2.9924930000000001</v>
      </c>
      <c r="T5768">
        <v>-0.14243259999999999</v>
      </c>
      <c r="U5768">
        <v>-0.38476559999999999</v>
      </c>
      <c r="V5768">
        <v>6.2796030000000003E-2</v>
      </c>
      <c r="W5768">
        <v>1.402219E-2</v>
      </c>
      <c r="X5768">
        <v>0.99792780000000003</v>
      </c>
      <c r="Y5768">
        <v>0.1695082</v>
      </c>
      <c r="Z5768">
        <v>-6.0382250000000004E-3</v>
      </c>
      <c r="AA5768">
        <v>0.98551029999999995</v>
      </c>
      <c r="AB5768">
        <v>32</v>
      </c>
      <c r="AC5768">
        <v>23.044599999999999</v>
      </c>
      <c r="AD5768">
        <v>-1.110331099178</v>
      </c>
      <c r="AE5768">
        <v>-3.0124499999999901</v>
      </c>
      <c r="AF5768">
        <v>3.9842077935096301</v>
      </c>
      <c r="AG5768">
        <v>-1.110331099178</v>
      </c>
      <c r="AH5768">
        <v>22.8428824426096</v>
      </c>
      <c r="AI5768">
        <v>92.741480423645797</v>
      </c>
      <c r="AJ5768">
        <v>80.106118005705</v>
      </c>
      <c r="AK5768">
        <v>23.214306476363799</v>
      </c>
      <c r="AL5768">
        <v>89.196561305710006</v>
      </c>
      <c r="AM5768">
        <v>86.399328922219794</v>
      </c>
      <c r="AN5768">
        <v>0.99999992860449505</v>
      </c>
    </row>
    <row r="5769" spans="1:40" x14ac:dyDescent="0.25">
      <c r="A5769" t="str">
        <f>"20190312154411376"</f>
        <v>20190312154411376</v>
      </c>
      <c r="B5769" t="str">
        <f>"1552376651363616"</f>
        <v>1552376651363616</v>
      </c>
      <c r="C5769" t="s">
        <v>40</v>
      </c>
      <c r="D5769">
        <v>5.2551189999999997</v>
      </c>
      <c r="E5769">
        <v>0.542821</v>
      </c>
      <c r="F5769" t="s">
        <v>43</v>
      </c>
      <c r="G5769">
        <v>-352.43900000000002</v>
      </c>
      <c r="H5769" s="1">
        <v>-3.3182440000000002E-6</v>
      </c>
      <c r="I5769">
        <v>19.96303</v>
      </c>
      <c r="J5769">
        <v>-375.85289999999998</v>
      </c>
      <c r="K5769">
        <v>1.11025</v>
      </c>
      <c r="L5769">
        <v>23.07901</v>
      </c>
      <c r="M5769">
        <v>0.99897919999999996</v>
      </c>
      <c r="N5769">
        <v>0</v>
      </c>
      <c r="O5769">
        <v>4.2769630000000003E-2</v>
      </c>
      <c r="P5769">
        <v>0.99978670000000003</v>
      </c>
      <c r="Q5769">
        <v>1.033992E-4</v>
      </c>
      <c r="R5769">
        <v>-2.065693E-2</v>
      </c>
      <c r="S5769">
        <v>2.9925540000000002</v>
      </c>
      <c r="T5769">
        <v>-0.14070959999999999</v>
      </c>
      <c r="U5769">
        <v>-0.39376830000000002</v>
      </c>
      <c r="V5769">
        <v>6.3391219999999998E-2</v>
      </c>
      <c r="W5769">
        <v>1.4668240000000001E-2</v>
      </c>
      <c r="X5769">
        <v>0.99788089999999996</v>
      </c>
      <c r="Y5769">
        <v>0.17251329999999901</v>
      </c>
      <c r="Z5769">
        <v>-6.0386329999999998E-3</v>
      </c>
      <c r="AA5769">
        <v>0.98498869999999905</v>
      </c>
      <c r="AB5769">
        <v>32</v>
      </c>
      <c r="AC5769">
        <v>23.413899999999899</v>
      </c>
      <c r="AD5769">
        <v>-1.110253318244</v>
      </c>
      <c r="AE5769">
        <v>-3.11598</v>
      </c>
      <c r="AF5769">
        <v>4.1055670215471904</v>
      </c>
      <c r="AG5769">
        <v>-1.110253318244</v>
      </c>
      <c r="AH5769">
        <v>23.207912129940599</v>
      </c>
      <c r="AI5769">
        <v>92.697095030004206</v>
      </c>
      <c r="AJ5769">
        <v>79.967952385786901</v>
      </c>
      <c r="AK5769">
        <v>23.594396123447002</v>
      </c>
      <c r="AL5769">
        <v>89.159541570537101</v>
      </c>
      <c r="AM5769">
        <v>86.365121920237996</v>
      </c>
      <c r="AN5769">
        <v>0.99999994731129604</v>
      </c>
    </row>
    <row r="5770" spans="1:40" x14ac:dyDescent="0.25">
      <c r="A5770" t="str">
        <f>"20190312154411395"</f>
        <v>20190312154411395</v>
      </c>
      <c r="B5770" t="str">
        <f>"1552376651383135"</f>
        <v>1552376651383135</v>
      </c>
      <c r="C5770" t="s">
        <v>40</v>
      </c>
      <c r="D5770">
        <v>5.2091479999999999</v>
      </c>
      <c r="E5770">
        <v>0.54335449999999996</v>
      </c>
      <c r="F5770" t="s">
        <v>43</v>
      </c>
      <c r="G5770">
        <v>-351.74290000000002</v>
      </c>
      <c r="H5770" s="1">
        <v>-3.5919599999999998E-6</v>
      </c>
      <c r="I5770">
        <v>19.869479999999999</v>
      </c>
      <c r="J5770">
        <v>-375.58280000000002</v>
      </c>
      <c r="K5770">
        <v>1.1101810000000001</v>
      </c>
      <c r="L5770">
        <v>23.09076</v>
      </c>
      <c r="M5770">
        <v>0.99897689999999995</v>
      </c>
      <c r="N5770">
        <v>0</v>
      </c>
      <c r="O5770">
        <v>4.2833669999999997E-2</v>
      </c>
      <c r="P5770">
        <v>0.99977050000000001</v>
      </c>
      <c r="Q5770">
        <v>5.9424529999999997E-4</v>
      </c>
      <c r="R5770">
        <v>-2.1418909999999999E-2</v>
      </c>
      <c r="S5770">
        <v>2.9924620000000002</v>
      </c>
      <c r="T5770">
        <v>-0.13780110000000001</v>
      </c>
      <c r="U5770">
        <v>-0.39834589999999998</v>
      </c>
      <c r="V5770">
        <v>6.4219789999999999E-2</v>
      </c>
      <c r="W5770">
        <v>1.5110220000000001E-2</v>
      </c>
      <c r="X5770">
        <v>0.99782139999999997</v>
      </c>
      <c r="Y5770">
        <v>0.1740688</v>
      </c>
      <c r="Z5770">
        <v>-5.9521219999999998E-3</v>
      </c>
      <c r="AA5770">
        <v>0.98471549999999997</v>
      </c>
      <c r="AB5770">
        <v>32</v>
      </c>
      <c r="AC5770">
        <v>23.8399</v>
      </c>
      <c r="AD5770">
        <v>-1.11018459196</v>
      </c>
      <c r="AE5770">
        <v>-3.2212800000000001</v>
      </c>
      <c r="AF5770">
        <v>4.2305708508011097</v>
      </c>
      <c r="AG5770">
        <v>-1.11018459196</v>
      </c>
      <c r="AH5770">
        <v>23.629696991119101</v>
      </c>
      <c r="AI5770">
        <v>92.6478851033974</v>
      </c>
      <c r="AJ5770">
        <v>79.849524610864904</v>
      </c>
      <c r="AK5770">
        <v>24.031080280419701</v>
      </c>
      <c r="AL5770">
        <v>89.134215238657802</v>
      </c>
      <c r="AM5770">
        <v>86.3175222889748</v>
      </c>
      <c r="AN5770">
        <v>1.0000000232370201</v>
      </c>
    </row>
    <row r="5771" spans="1:40" x14ac:dyDescent="0.25">
      <c r="A5771" t="str">
        <f>"20190312154411419"</f>
        <v>20190312154411419</v>
      </c>
      <c r="B5771" t="str">
        <f>"1552376651413485"</f>
        <v>1552376651413485</v>
      </c>
      <c r="C5771" t="s">
        <v>40</v>
      </c>
      <c r="D5771">
        <v>5.2114599999999998</v>
      </c>
      <c r="E5771">
        <v>0.54440299999999997</v>
      </c>
      <c r="F5771" t="s">
        <v>43</v>
      </c>
      <c r="G5771">
        <v>-351.11660000000001</v>
      </c>
      <c r="H5771" s="1">
        <v>-3.8371029999999999E-6</v>
      </c>
      <c r="I5771">
        <v>19.780989999999999</v>
      </c>
      <c r="J5771">
        <v>-375.25689999999997</v>
      </c>
      <c r="K5771">
        <v>1.1101449999999999</v>
      </c>
      <c r="L5771">
        <v>23.10483</v>
      </c>
      <c r="M5771">
        <v>0.99897729999999996</v>
      </c>
      <c r="N5771">
        <v>0</v>
      </c>
      <c r="O5771">
        <v>4.2834190000000001E-2</v>
      </c>
      <c r="P5771">
        <v>0.99973800000000002</v>
      </c>
      <c r="Q5771">
        <v>7.9017689999999995E-4</v>
      </c>
      <c r="R5771">
        <v>-2.2881539999999999E-2</v>
      </c>
      <c r="S5771">
        <v>2.9920650000000002</v>
      </c>
      <c r="T5771">
        <v>-0.13576849999999999</v>
      </c>
      <c r="U5771">
        <v>-0.40475460000000002</v>
      </c>
      <c r="V5771">
        <v>6.5683259999999993E-2</v>
      </c>
      <c r="W5771">
        <v>1.5260879999999999E-2</v>
      </c>
      <c r="X5771">
        <v>0.99772380000000005</v>
      </c>
      <c r="Y5771">
        <v>0.17616229999999999</v>
      </c>
      <c r="Z5771">
        <v>-5.9116639999999996E-3</v>
      </c>
      <c r="AA5771">
        <v>0.98434330000000003</v>
      </c>
      <c r="AB5771">
        <v>32</v>
      </c>
      <c r="AC5771">
        <v>24.1402999999999</v>
      </c>
      <c r="AD5771">
        <v>-1.1101488371029999</v>
      </c>
      <c r="AE5771">
        <v>-3.3238400000000001</v>
      </c>
      <c r="AF5771">
        <v>4.3459074062339402</v>
      </c>
      <c r="AG5771">
        <v>-1.1101488371029999</v>
      </c>
      <c r="AH5771">
        <v>23.926091968468899</v>
      </c>
      <c r="AI5771">
        <v>92.613858175502898</v>
      </c>
      <c r="AJ5771">
        <v>79.7051009855019</v>
      </c>
      <c r="AK5771">
        <v>24.3429089984683</v>
      </c>
      <c r="AL5771">
        <v>89.125582026138005</v>
      </c>
      <c r="AM5771">
        <v>86.233475778846099</v>
      </c>
      <c r="AN5771">
        <v>0.99999998309452098</v>
      </c>
    </row>
    <row r="5772" spans="1:40" x14ac:dyDescent="0.25">
      <c r="A5772" t="str">
        <f>"20190312154411442"</f>
        <v>20190312154411442</v>
      </c>
      <c r="B5772" t="str">
        <f>"1552376651433007"</f>
        <v>1552376651433007</v>
      </c>
      <c r="C5772" t="s">
        <v>40</v>
      </c>
      <c r="D5772">
        <v>5.3134389999999998</v>
      </c>
      <c r="E5772">
        <v>0.54526260000000004</v>
      </c>
      <c r="F5772" t="s">
        <v>43</v>
      </c>
      <c r="G5772">
        <v>-350.80840000000001</v>
      </c>
      <c r="H5772" s="1">
        <v>-3.9459910000000004E-6</v>
      </c>
      <c r="I5772">
        <v>19.693380000000001</v>
      </c>
      <c r="J5772">
        <v>-374.92290000000003</v>
      </c>
      <c r="K5772">
        <v>1.110144</v>
      </c>
      <c r="L5772">
        <v>23.119140000000002</v>
      </c>
      <c r="M5772">
        <v>0.99897959999999997</v>
      </c>
      <c r="N5772">
        <v>0</v>
      </c>
      <c r="O5772">
        <v>4.2787749999999999E-2</v>
      </c>
      <c r="P5772">
        <v>0.99968990000000002</v>
      </c>
      <c r="Q5772">
        <v>6.9847889999999997E-4</v>
      </c>
      <c r="R5772">
        <v>-2.4896769999999999E-2</v>
      </c>
      <c r="S5772">
        <v>2.991333</v>
      </c>
      <c r="T5772">
        <v>-0.13582939999999999</v>
      </c>
      <c r="U5772">
        <v>-0.41738890000000001</v>
      </c>
      <c r="V5772">
        <v>6.7650199999999994E-2</v>
      </c>
      <c r="W5772">
        <v>1.513454E-2</v>
      </c>
      <c r="X5772">
        <v>0.99759430000000004</v>
      </c>
      <c r="Y5772">
        <v>0.1802233</v>
      </c>
      <c r="Z5772">
        <v>-6.0037099999999998E-3</v>
      </c>
      <c r="AA5772">
        <v>0.98360740000000002</v>
      </c>
      <c r="AB5772">
        <v>32</v>
      </c>
      <c r="AC5772">
        <v>24.1145</v>
      </c>
      <c r="AD5772">
        <v>-1.110147945991</v>
      </c>
      <c r="AE5772">
        <v>-3.4257599999999999</v>
      </c>
      <c r="AF5772">
        <v>4.4453001750301899</v>
      </c>
      <c r="AG5772">
        <v>-1.110147945991</v>
      </c>
      <c r="AH5772">
        <v>23.896172306697999</v>
      </c>
      <c r="AI5772">
        <v>92.615086359850395</v>
      </c>
      <c r="AJ5772">
        <v>79.461973449482002</v>
      </c>
      <c r="AK5772">
        <v>24.331464670658601</v>
      </c>
      <c r="AL5772">
        <v>89.132821622030605</v>
      </c>
      <c r="AM5772">
        <v>86.120521418026996</v>
      </c>
      <c r="AN5772">
        <v>0.99999999562677</v>
      </c>
    </row>
    <row r="5773" spans="1:40" x14ac:dyDescent="0.25">
      <c r="A5773" t="str">
        <f>"20190312154411462"</f>
        <v>20190312154411462</v>
      </c>
      <c r="B5773" t="str">
        <f>"1552376651453502"</f>
        <v>1552376651453502</v>
      </c>
      <c r="C5773" t="s">
        <v>40</v>
      </c>
      <c r="D5773">
        <v>5.3259439999999998</v>
      </c>
      <c r="E5773">
        <v>0.54606909999999997</v>
      </c>
      <c r="F5773" t="s">
        <v>43</v>
      </c>
      <c r="G5773">
        <v>-350.98770000000002</v>
      </c>
      <c r="H5773" s="1">
        <v>-3.8646570000000003E-6</v>
      </c>
      <c r="I5773">
        <v>19.67679</v>
      </c>
      <c r="J5773">
        <v>-374.63440000000003</v>
      </c>
      <c r="K5773">
        <v>1.1101589999999999</v>
      </c>
      <c r="L5773">
        <v>23.131530000000001</v>
      </c>
      <c r="M5773">
        <v>0.99898200000000004</v>
      </c>
      <c r="N5773">
        <v>0</v>
      </c>
      <c r="O5773">
        <v>4.2739600000000003E-2</v>
      </c>
      <c r="P5773">
        <v>0.99962130000000005</v>
      </c>
      <c r="Q5773">
        <v>9.3828889999999999E-4</v>
      </c>
      <c r="R5773">
        <v>-2.7509209999999999E-2</v>
      </c>
      <c r="S5773">
        <v>2.9902950000000001</v>
      </c>
      <c r="T5773">
        <v>-0.1386944</v>
      </c>
      <c r="U5773">
        <v>-0.43005369999999998</v>
      </c>
      <c r="V5773">
        <v>7.0210190000000006E-2</v>
      </c>
      <c r="W5773">
        <v>1.5350040000000001E-2</v>
      </c>
      <c r="X5773">
        <v>0.99741409999999997</v>
      </c>
      <c r="Y5773">
        <v>0.18429100000000001</v>
      </c>
      <c r="Z5773">
        <v>-6.2221259999999997E-3</v>
      </c>
      <c r="AA5773">
        <v>0.98285199999999995</v>
      </c>
      <c r="AB5773">
        <v>32</v>
      </c>
      <c r="AC5773">
        <v>23.646699999999999</v>
      </c>
      <c r="AD5773">
        <v>-1.1101628646570001</v>
      </c>
      <c r="AE5773">
        <v>-3.4547399999999899</v>
      </c>
      <c r="AF5773">
        <v>4.4527291506284703</v>
      </c>
      <c r="AG5773">
        <v>-1.1101628646570001</v>
      </c>
      <c r="AH5773">
        <v>23.42686247692</v>
      </c>
      <c r="AI5773">
        <v>92.665479661284706</v>
      </c>
      <c r="AJ5773">
        <v>79.238196461989006</v>
      </c>
      <c r="AK5773">
        <v>23.872099697920198</v>
      </c>
      <c r="AL5773">
        <v>89.120472942576995</v>
      </c>
      <c r="AM5773">
        <v>85.973464856990006</v>
      </c>
      <c r="AN5773">
        <v>0.99999999069332302</v>
      </c>
    </row>
    <row r="5774" spans="1:40" x14ac:dyDescent="0.25">
      <c r="A5774" t="str">
        <f>"20190312154411483"</f>
        <v>20190312154411483</v>
      </c>
      <c r="B5774" t="str">
        <f>"1552376651473022"</f>
        <v>1552376651473022</v>
      </c>
      <c r="C5774" t="s">
        <v>40</v>
      </c>
      <c r="D5774">
        <v>5.2328029999999996</v>
      </c>
      <c r="E5774">
        <v>0.5467535</v>
      </c>
      <c r="F5774" t="s">
        <v>43</v>
      </c>
      <c r="G5774">
        <v>-350.8965</v>
      </c>
      <c r="H5774" s="1">
        <v>-3.8897280000000001E-6</v>
      </c>
      <c r="I5774">
        <v>19.60464</v>
      </c>
      <c r="J5774">
        <v>-374.3338</v>
      </c>
      <c r="K5774">
        <v>1.1101829999999999</v>
      </c>
      <c r="L5774">
        <v>23.144410000000001</v>
      </c>
      <c r="M5774">
        <v>0.99898390000000004</v>
      </c>
      <c r="N5774">
        <v>0</v>
      </c>
      <c r="O5774">
        <v>4.270028E-2</v>
      </c>
      <c r="P5774">
        <v>0.99954540000000003</v>
      </c>
      <c r="Q5774">
        <v>1.7019120000000001E-3</v>
      </c>
      <c r="R5774">
        <v>-3.0099440000000002E-2</v>
      </c>
      <c r="S5774">
        <v>2.9890439999999998</v>
      </c>
      <c r="T5774">
        <v>-0.13979029999999901</v>
      </c>
      <c r="U5774">
        <v>-0.44409179999999998</v>
      </c>
      <c r="V5774">
        <v>7.2756479999999998E-2</v>
      </c>
      <c r="W5774">
        <v>1.609286E-2</v>
      </c>
      <c r="X5774">
        <v>0.99721990000000005</v>
      </c>
      <c r="Y5774">
        <v>0.18881909999999999</v>
      </c>
      <c r="Z5774">
        <v>-6.3751839999999999E-3</v>
      </c>
      <c r="AA5774">
        <v>0.98199119999999995</v>
      </c>
      <c r="AB5774">
        <v>32</v>
      </c>
      <c r="AC5774">
        <v>23.4373</v>
      </c>
      <c r="AD5774">
        <v>-1.1101868897279901</v>
      </c>
      <c r="AE5774">
        <v>-3.5397699999999999</v>
      </c>
      <c r="AF5774">
        <v>4.5274920318761902</v>
      </c>
      <c r="AG5774">
        <v>-1.1101868897279901</v>
      </c>
      <c r="AH5774">
        <v>23.213829428026401</v>
      </c>
      <c r="AI5774">
        <v>92.687488231828496</v>
      </c>
      <c r="AJ5774">
        <v>78.9638999920017</v>
      </c>
      <c r="AK5774">
        <v>23.677258619661501</v>
      </c>
      <c r="AL5774">
        <v>89.077907244841995</v>
      </c>
      <c r="AM5774">
        <v>85.827132882731405</v>
      </c>
      <c r="AN5774">
        <v>1.00000000724049</v>
      </c>
    </row>
    <row r="5775" spans="1:40" x14ac:dyDescent="0.25">
      <c r="A5775" t="str">
        <f>"20190312154411496"</f>
        <v>20190312154411496</v>
      </c>
      <c r="B5775" t="str">
        <f>"1552376651483758"</f>
        <v>1552376651483758</v>
      </c>
      <c r="C5775" t="s">
        <v>40</v>
      </c>
      <c r="D5775">
        <v>5.296233</v>
      </c>
      <c r="E5775">
        <v>0.54712930000000004</v>
      </c>
      <c r="F5775" t="s">
        <v>43</v>
      </c>
      <c r="G5775">
        <v>-350.52969999999999</v>
      </c>
      <c r="H5775" s="1">
        <v>-4.0653550000000003E-6</v>
      </c>
      <c r="I5775">
        <v>19.50168</v>
      </c>
      <c r="J5775">
        <v>-374.16210000000001</v>
      </c>
      <c r="K5775">
        <v>1.110198</v>
      </c>
      <c r="L5775">
        <v>23.151759999999999</v>
      </c>
      <c r="M5775">
        <v>0.99898450000000005</v>
      </c>
      <c r="N5775">
        <v>0</v>
      </c>
      <c r="O5775">
        <v>4.268599E-2</v>
      </c>
      <c r="P5775">
        <v>0.9995136</v>
      </c>
      <c r="Q5775">
        <v>1.6831939999999901E-3</v>
      </c>
      <c r="R5775">
        <v>-3.1140850000000001E-2</v>
      </c>
      <c r="S5775">
        <v>2.9878230000000001</v>
      </c>
      <c r="T5775">
        <v>-0.13934730000000001</v>
      </c>
      <c r="U5775">
        <v>-0.45721440000000002</v>
      </c>
      <c r="V5775">
        <v>7.3781490000000005E-2</v>
      </c>
      <c r="W5775">
        <v>1.606426E-2</v>
      </c>
      <c r="X5775">
        <v>0.99714510000000001</v>
      </c>
      <c r="Y5775">
        <v>0.19307560000000001</v>
      </c>
      <c r="Z5775">
        <v>-6.4535169999999998E-3</v>
      </c>
      <c r="AA5775">
        <v>0.98116270000000005</v>
      </c>
      <c r="AB5775">
        <v>32</v>
      </c>
      <c r="AC5775">
        <v>23.632400000000001</v>
      </c>
      <c r="AD5775">
        <v>-1.110202065355</v>
      </c>
      <c r="AE5775">
        <v>-3.6500799999999902</v>
      </c>
      <c r="AF5775">
        <v>4.6456159891702997</v>
      </c>
      <c r="AG5775">
        <v>-1.110202065355</v>
      </c>
      <c r="AH5775">
        <v>23.404583227593399</v>
      </c>
      <c r="AI5775">
        <v>92.663909808609503</v>
      </c>
      <c r="AJ5775">
        <v>78.773185862685494</v>
      </c>
      <c r="AK5775">
        <v>23.8870009126742</v>
      </c>
      <c r="AL5775">
        <v>89.079546164163304</v>
      </c>
      <c r="AM5775">
        <v>85.768240362003397</v>
      </c>
      <c r="AN5775">
        <v>1.0000000595849801</v>
      </c>
    </row>
    <row r="5776" spans="1:40" x14ac:dyDescent="0.25">
      <c r="A5776" t="str">
        <f>"20190312154411510"</f>
        <v>20190312154411510</v>
      </c>
      <c r="B5776" t="str">
        <f>"1552376651503278"</f>
        <v>1552376651503278</v>
      </c>
      <c r="C5776" t="s">
        <v>40</v>
      </c>
      <c r="D5776">
        <v>5.2383790000000001</v>
      </c>
      <c r="E5776">
        <v>0.5475063</v>
      </c>
      <c r="F5776" t="s">
        <v>43</v>
      </c>
      <c r="G5776">
        <v>-350.54790000000003</v>
      </c>
      <c r="H5776" s="1">
        <v>-4.0596829999999996E-6</v>
      </c>
      <c r="I5776">
        <v>19.489730000000002</v>
      </c>
      <c r="J5776">
        <v>-373.97210000000001</v>
      </c>
      <c r="K5776">
        <v>1.110212</v>
      </c>
      <c r="L5776">
        <v>23.15991</v>
      </c>
      <c r="M5776">
        <v>0.99898509999999996</v>
      </c>
      <c r="N5776">
        <v>0</v>
      </c>
      <c r="O5776">
        <v>4.2674339999999998E-2</v>
      </c>
      <c r="P5776">
        <v>0.99948360000000003</v>
      </c>
      <c r="Q5776">
        <v>1.9942480000000001E-3</v>
      </c>
      <c r="R5776">
        <v>-3.2070479999999998E-2</v>
      </c>
      <c r="S5776">
        <v>2.9873349999999999</v>
      </c>
      <c r="T5776">
        <v>-0.14044679999999901</v>
      </c>
      <c r="U5776">
        <v>-0.46325680000000002</v>
      </c>
      <c r="V5776">
        <v>7.469787E-2</v>
      </c>
      <c r="W5776">
        <v>1.63651E-2</v>
      </c>
      <c r="X5776">
        <v>0.99707190000000001</v>
      </c>
      <c r="Y5776">
        <v>0.1950202</v>
      </c>
      <c r="Z5776">
        <v>-6.5493299999999999E-3</v>
      </c>
      <c r="AA5776">
        <v>0.98077740000000002</v>
      </c>
      <c r="AB5776">
        <v>31</v>
      </c>
      <c r="AC5776">
        <v>23.4241999999999</v>
      </c>
      <c r="AD5776">
        <v>-1.110216059683</v>
      </c>
      <c r="AE5776">
        <v>-3.6701800000000002</v>
      </c>
      <c r="AF5776">
        <v>4.6563426537883803</v>
      </c>
      <c r="AG5776">
        <v>-1.110216059683</v>
      </c>
      <c r="AH5776">
        <v>23.195360839201999</v>
      </c>
      <c r="AI5776">
        <v>92.686776539822304</v>
      </c>
      <c r="AJ5776">
        <v>78.649053683110495</v>
      </c>
      <c r="AK5776">
        <v>23.684148096764101</v>
      </c>
      <c r="AL5776">
        <v>89.062306962776304</v>
      </c>
      <c r="AM5776">
        <v>85.715562251540305</v>
      </c>
      <c r="AN5776">
        <v>0.99999998102507803</v>
      </c>
    </row>
    <row r="5777" spans="1:40" x14ac:dyDescent="0.25">
      <c r="A5777" t="str">
        <f>"20190312154411527"</f>
        <v>20190312154411527</v>
      </c>
      <c r="B5777" t="str">
        <f>"1552376651523774"</f>
        <v>1552376651523774</v>
      </c>
      <c r="C5777" t="s">
        <v>40</v>
      </c>
      <c r="D5777">
        <v>5.1981039999999998</v>
      </c>
      <c r="E5777">
        <v>0.54802850000000003</v>
      </c>
      <c r="F5777" t="s">
        <v>43</v>
      </c>
      <c r="G5777">
        <v>-350.44619999999998</v>
      </c>
      <c r="H5777" s="1">
        <v>-4.1076199999999898E-6</v>
      </c>
      <c r="I5777">
        <v>19.465440000000001</v>
      </c>
      <c r="J5777">
        <v>-373.71510000000001</v>
      </c>
      <c r="K5777">
        <v>1.1102299999999901</v>
      </c>
      <c r="L5777">
        <v>23.170870000000001</v>
      </c>
      <c r="M5777">
        <v>0.99898560000000003</v>
      </c>
      <c r="N5777">
        <v>0</v>
      </c>
      <c r="O5777">
        <v>4.2666990000000002E-2</v>
      </c>
      <c r="P5777">
        <v>0.99945209999999995</v>
      </c>
      <c r="Q5777">
        <v>2.1114800000000002E-3</v>
      </c>
      <c r="R5777">
        <v>-3.3036570000000001E-2</v>
      </c>
      <c r="S5777">
        <v>2.986755</v>
      </c>
      <c r="T5777">
        <v>-0.1409482</v>
      </c>
      <c r="U5777">
        <v>-0.46902470000000002</v>
      </c>
      <c r="V5777">
        <v>7.5654570000000004E-2</v>
      </c>
      <c r="W5777">
        <v>1.6470459999999999E-2</v>
      </c>
      <c r="X5777">
        <v>0.9969981</v>
      </c>
      <c r="Y5777">
        <v>0.19688659999999999</v>
      </c>
      <c r="Z5777">
        <v>-6.6163960000000001E-3</v>
      </c>
      <c r="AA5777">
        <v>0.98040400000000005</v>
      </c>
      <c r="AB5777">
        <v>31</v>
      </c>
      <c r="AC5777">
        <v>23.268899999999999</v>
      </c>
      <c r="AD5777">
        <v>-1.11023410761999</v>
      </c>
      <c r="AE5777">
        <v>-3.7054299999999998</v>
      </c>
      <c r="AF5777">
        <v>4.6845708792516696</v>
      </c>
      <c r="AG5777">
        <v>-1.11023410761999</v>
      </c>
      <c r="AH5777">
        <v>23.038438765567701</v>
      </c>
      <c r="AI5777">
        <v>92.703734818949897</v>
      </c>
      <c r="AJ5777">
        <v>78.506334525060893</v>
      </c>
      <c r="AK5777">
        <v>23.536088988004501</v>
      </c>
      <c r="AL5777">
        <v>89.056269531359305</v>
      </c>
      <c r="AM5777">
        <v>85.660577200394599</v>
      </c>
      <c r="AN5777">
        <v>1.0000000507090501</v>
      </c>
    </row>
    <row r="5778" spans="1:40" x14ac:dyDescent="0.25">
      <c r="A5778" t="str">
        <f>"20190312154411541"</f>
        <v>20190312154411541</v>
      </c>
      <c r="B5778" t="str">
        <f>"1552376651533535"</f>
        <v>1552376651533535</v>
      </c>
      <c r="C5778" t="s">
        <v>40</v>
      </c>
      <c r="D5778">
        <v>5.1216100000000004</v>
      </c>
      <c r="E5778">
        <v>0.54827619999999999</v>
      </c>
      <c r="F5778" t="s">
        <v>43</v>
      </c>
      <c r="G5778">
        <v>-350.68729999999999</v>
      </c>
      <c r="H5778" s="1">
        <v>-3.997821E-6</v>
      </c>
      <c r="I5778">
        <v>19.50121</v>
      </c>
      <c r="J5778">
        <v>-373.53829999999999</v>
      </c>
      <c r="K5778">
        <v>1.1102449999999999</v>
      </c>
      <c r="L5778">
        <v>23.178439999999998</v>
      </c>
      <c r="M5778">
        <v>0.99898589999999998</v>
      </c>
      <c r="N5778">
        <v>0</v>
      </c>
      <c r="O5778">
        <v>4.2665179999999997E-2</v>
      </c>
      <c r="P5778">
        <v>0.9994265</v>
      </c>
      <c r="Q5778">
        <v>2.5565309999999999E-3</v>
      </c>
      <c r="R5778">
        <v>-3.3775800000000002E-2</v>
      </c>
      <c r="S5778">
        <v>2.9861759999999999</v>
      </c>
      <c r="T5778">
        <v>-0.14397190000000001</v>
      </c>
      <c r="U5778">
        <v>-0.47586060000000002</v>
      </c>
      <c r="V5778">
        <v>7.6390159999999999E-2</v>
      </c>
      <c r="W5778">
        <v>1.6908619999999999E-2</v>
      </c>
      <c r="X5778">
        <v>0.99693469999999995</v>
      </c>
      <c r="Y5778">
        <v>0.1990893</v>
      </c>
      <c r="Z5778">
        <v>-6.8109449999999997E-3</v>
      </c>
      <c r="AA5778">
        <v>0.97995770000000004</v>
      </c>
      <c r="AB5778">
        <v>31</v>
      </c>
      <c r="AC5778">
        <v>22.850999999999999</v>
      </c>
      <c r="AD5778">
        <v>-1.1102489978209999</v>
      </c>
      <c r="AE5778">
        <v>-3.67722999999999</v>
      </c>
      <c r="AF5778">
        <v>4.6382509263882099</v>
      </c>
      <c r="AG5778">
        <v>-1.1102489978209999</v>
      </c>
      <c r="AH5778">
        <v>22.6212295713025</v>
      </c>
      <c r="AI5778">
        <v>92.752643942430097</v>
      </c>
      <c r="AJ5778">
        <v>78.412688938307895</v>
      </c>
      <c r="AK5778">
        <v>23.118521834470101</v>
      </c>
      <c r="AL5778">
        <v>89.031161342099395</v>
      </c>
      <c r="AM5778">
        <v>85.618270912940304</v>
      </c>
      <c r="AN5778">
        <v>1.0000000770196</v>
      </c>
    </row>
    <row r="5779" spans="1:40" x14ac:dyDescent="0.25">
      <c r="A5779" t="str">
        <f>"20190312154411574"</f>
        <v>20190312154411574</v>
      </c>
      <c r="B5779" t="str">
        <f>"1552376651562828"</f>
        <v>1552376651562828</v>
      </c>
      <c r="C5779" t="s">
        <v>40</v>
      </c>
      <c r="D5779">
        <v>5.2455740000000004</v>
      </c>
      <c r="E5779">
        <v>0.54913219999999996</v>
      </c>
      <c r="F5779" t="s">
        <v>43</v>
      </c>
      <c r="G5779">
        <v>-350.5797</v>
      </c>
      <c r="H5779" s="1">
        <v>-4.0466179999999996E-6</v>
      </c>
      <c r="I5779">
        <v>19.486560000000001</v>
      </c>
      <c r="J5779">
        <v>-373.07530000000003</v>
      </c>
      <c r="K5779">
        <v>1.110279</v>
      </c>
      <c r="L5779">
        <v>23.198180000000001</v>
      </c>
      <c r="M5779">
        <v>0.99898620000000005</v>
      </c>
      <c r="N5779">
        <v>0</v>
      </c>
      <c r="O5779">
        <v>4.2657220000000003E-2</v>
      </c>
      <c r="P5779">
        <v>0.99945070000000003</v>
      </c>
      <c r="Q5779">
        <v>3.3554140000000001E-3</v>
      </c>
      <c r="R5779">
        <v>-3.2973849999999999E-2</v>
      </c>
      <c r="S5779">
        <v>2.9858699999999998</v>
      </c>
      <c r="T5779">
        <v>-0.14439250000000001</v>
      </c>
      <c r="U5779">
        <v>-0.48013309999999998</v>
      </c>
      <c r="V5779">
        <v>7.5582469999999999E-2</v>
      </c>
      <c r="W5779">
        <v>1.7694809999999998E-2</v>
      </c>
      <c r="X5779">
        <v>0.99698249999999999</v>
      </c>
      <c r="Y5779">
        <v>0.2004609</v>
      </c>
      <c r="Z5779">
        <v>-6.8633059999999996E-3</v>
      </c>
      <c r="AA5779">
        <v>0.97967769999999998</v>
      </c>
      <c r="AB5779">
        <v>31</v>
      </c>
      <c r="AC5779">
        <v>22.4956</v>
      </c>
      <c r="AD5779">
        <v>-1.110283046618</v>
      </c>
      <c r="AE5779">
        <v>-3.7116199999999901</v>
      </c>
      <c r="AF5779">
        <v>4.6568964842452303</v>
      </c>
      <c r="AG5779">
        <v>-1.110283046618</v>
      </c>
      <c r="AH5779">
        <v>22.2639785958877</v>
      </c>
      <c r="AI5779">
        <v>92.794541403177504</v>
      </c>
      <c r="AJ5779">
        <v>78.185923089311999</v>
      </c>
      <c r="AK5779">
        <v>22.772882036025401</v>
      </c>
      <c r="AL5779">
        <v>88.986109113889796</v>
      </c>
      <c r="AM5779">
        <v>85.664629388017005</v>
      </c>
      <c r="AN5779">
        <v>0.99999996068924202</v>
      </c>
    </row>
    <row r="5780" spans="1:40" x14ac:dyDescent="0.25">
      <c r="A5780" t="str">
        <f>"20190312154411595"</f>
        <v>20190312154411595</v>
      </c>
      <c r="B5780" t="str">
        <f>"1552376651583310"</f>
        <v>1552376651583310</v>
      </c>
      <c r="C5780" t="s">
        <v>40</v>
      </c>
      <c r="D5780">
        <v>5.1961040000000001</v>
      </c>
      <c r="E5780">
        <v>0.55672100000000002</v>
      </c>
      <c r="F5780" t="s">
        <v>43</v>
      </c>
      <c r="G5780">
        <v>-350.77019999999999</v>
      </c>
      <c r="H5780" s="1">
        <v>-3.9478910000000003E-6</v>
      </c>
      <c r="I5780">
        <v>19.582319999999999</v>
      </c>
      <c r="J5780">
        <v>-372.76319999999998</v>
      </c>
      <c r="K5780">
        <v>1.110295</v>
      </c>
      <c r="L5780">
        <v>23.21152</v>
      </c>
      <c r="M5780">
        <v>0.99898679999999995</v>
      </c>
      <c r="N5780">
        <v>0</v>
      </c>
      <c r="O5780">
        <v>4.2646459999999997E-2</v>
      </c>
      <c r="P5780">
        <v>0.99946179999999996</v>
      </c>
      <c r="Q5780">
        <v>3.330324E-3</v>
      </c>
      <c r="R5780">
        <v>-3.2644260000000001E-2</v>
      </c>
      <c r="S5780">
        <v>2.986145</v>
      </c>
      <c r="T5780">
        <v>-0.14864160000000001</v>
      </c>
      <c r="U5780">
        <v>-0.48406979999999999</v>
      </c>
      <c r="V5780">
        <v>7.5242939999999994E-2</v>
      </c>
      <c r="W5780">
        <v>1.766239E-2</v>
      </c>
      <c r="X5780">
        <v>0.99700880000000003</v>
      </c>
      <c r="Y5780">
        <v>0.20167689999999999</v>
      </c>
      <c r="Z5780">
        <v>-7.0931900000000001E-3</v>
      </c>
      <c r="AA5780">
        <v>0.97942640000000003</v>
      </c>
      <c r="AB5780">
        <v>31</v>
      </c>
      <c r="AC5780">
        <v>21.992999999999899</v>
      </c>
      <c r="AD5780">
        <v>-1.1102989478909999</v>
      </c>
      <c r="AE5780">
        <v>-3.6291999999999902</v>
      </c>
      <c r="AF5780">
        <v>4.5526226061892796</v>
      </c>
      <c r="AG5780">
        <v>-1.1102989478909999</v>
      </c>
      <c r="AH5780">
        <v>21.764199665566199</v>
      </c>
      <c r="AI5780">
        <v>92.8586421343457</v>
      </c>
      <c r="AJ5780">
        <v>78.185258395660497</v>
      </c>
      <c r="AK5780">
        <v>22.2629630424772</v>
      </c>
      <c r="AL5780">
        <v>88.987966976963605</v>
      </c>
      <c r="AM5780">
        <v>85.684144316460504</v>
      </c>
      <c r="AN5780">
        <v>1.0000000036588901</v>
      </c>
    </row>
    <row r="5781" spans="1:40" x14ac:dyDescent="0.25">
      <c r="A5781" t="str">
        <f>"20190312154411618"</f>
        <v>20190312154411618</v>
      </c>
      <c r="B5781" t="str">
        <f>"1552376651613097"</f>
        <v>1552376651613097</v>
      </c>
      <c r="C5781" t="s">
        <v>40</v>
      </c>
      <c r="D5781">
        <v>5.1973830000000003</v>
      </c>
      <c r="E5781">
        <v>0.55700649999999996</v>
      </c>
      <c r="F5781" t="s">
        <v>73</v>
      </c>
      <c r="G5781">
        <v>-360.31689999999998</v>
      </c>
      <c r="H5781" s="1">
        <v>-4.8452959999999999E-6</v>
      </c>
      <c r="I5781">
        <v>20.96631</v>
      </c>
      <c r="J5781">
        <v>-372.45010000000002</v>
      </c>
      <c r="K5781">
        <v>1.110309</v>
      </c>
      <c r="L5781">
        <v>23.22485</v>
      </c>
      <c r="M5781">
        <v>0.99898759999999998</v>
      </c>
      <c r="N5781">
        <v>0</v>
      </c>
      <c r="O5781">
        <v>4.2630620000000001E-2</v>
      </c>
      <c r="P5781">
        <v>0.99948610000000004</v>
      </c>
      <c r="Q5781">
        <v>3.1074940000000001E-3</v>
      </c>
      <c r="R5781">
        <v>-3.1906490000000003E-2</v>
      </c>
      <c r="S5781">
        <v>2.9849239999999999</v>
      </c>
      <c r="T5781">
        <v>-0.26627479999999998</v>
      </c>
      <c r="U5781">
        <v>-0.53845209999999999</v>
      </c>
      <c r="V5781">
        <v>7.4491600000000005E-2</v>
      </c>
      <c r="W5781">
        <v>1.7432590000000001E-2</v>
      </c>
      <c r="X5781">
        <v>0.99706919999999999</v>
      </c>
      <c r="Y5781">
        <v>0.21831619999999999</v>
      </c>
      <c r="Z5781">
        <v>-1.3409280000000001E-2</v>
      </c>
      <c r="AA5781">
        <v>0.97578600000000004</v>
      </c>
      <c r="AB5781">
        <v>31</v>
      </c>
      <c r="AC5781">
        <v>12.1332</v>
      </c>
      <c r="AD5781">
        <v>-1.110313845296</v>
      </c>
      <c r="AE5781">
        <v>-2.25854</v>
      </c>
      <c r="AF5781">
        <v>2.7515156183403202</v>
      </c>
      <c r="AG5781">
        <v>-1.110313845296</v>
      </c>
      <c r="AH5781">
        <v>11.9293221594268</v>
      </c>
      <c r="AI5781">
        <v>95.182158251363006</v>
      </c>
      <c r="AJ5781">
        <v>77.011789754815297</v>
      </c>
      <c r="AK5781">
        <v>12.2927768309857</v>
      </c>
      <c r="AL5781">
        <v>89.001135512665002</v>
      </c>
      <c r="AM5781">
        <v>85.727337857987493</v>
      </c>
      <c r="AN5781">
        <v>0.99999994162665196</v>
      </c>
    </row>
    <row r="5782" spans="1:40" x14ac:dyDescent="0.25">
      <c r="A5782" t="str">
        <f>"20190312154411642"</f>
        <v>20190312154411642</v>
      </c>
      <c r="B5782" t="str">
        <f>"1552376651633593"</f>
        <v>1552376651633593</v>
      </c>
      <c r="C5782" t="s">
        <v>40</v>
      </c>
      <c r="D5782">
        <v>5.0397600000000002</v>
      </c>
      <c r="E5782">
        <v>0.55726929999999997</v>
      </c>
      <c r="F5782" t="s">
        <v>43</v>
      </c>
      <c r="G5782">
        <v>-359.7029</v>
      </c>
      <c r="H5782" s="1">
        <v>-4.5771450000000001E-7</v>
      </c>
      <c r="I5782">
        <v>20.923870000000001</v>
      </c>
      <c r="J5782">
        <v>-372.12599999999998</v>
      </c>
      <c r="K5782">
        <v>1.11032</v>
      </c>
      <c r="L5782">
        <v>23.23865</v>
      </c>
      <c r="M5782">
        <v>0.99898869999999895</v>
      </c>
      <c r="N5782">
        <v>0</v>
      </c>
      <c r="O5782">
        <v>4.2605440000000001E-2</v>
      </c>
      <c r="P5782">
        <v>0.99948740000000003</v>
      </c>
      <c r="Q5782">
        <v>3.038261E-3</v>
      </c>
      <c r="R5782">
        <v>-3.1870580000000003E-2</v>
      </c>
      <c r="S5782">
        <v>2.9851070000000002</v>
      </c>
      <c r="T5782">
        <v>-0.2600094</v>
      </c>
      <c r="U5782">
        <v>-0.53881840000000003</v>
      </c>
      <c r="V5782">
        <v>7.4430910000000003E-2</v>
      </c>
      <c r="W5782">
        <v>1.7356779999999999E-2</v>
      </c>
      <c r="X5782">
        <v>0.99707509999999999</v>
      </c>
      <c r="Y5782">
        <v>0.21844350000000001</v>
      </c>
      <c r="Z5782">
        <v>-1.3097330000000001E-2</v>
      </c>
      <c r="AA5782">
        <v>0.97576169999999995</v>
      </c>
      <c r="AB5782">
        <v>31</v>
      </c>
      <c r="AC5782">
        <v>12.4230999999999</v>
      </c>
      <c r="AD5782">
        <v>-1.1103204577145001</v>
      </c>
      <c r="AE5782">
        <v>-2.3147799999999901</v>
      </c>
      <c r="AF5782">
        <v>2.82025174500549</v>
      </c>
      <c r="AG5782">
        <v>-1.1103204577145001</v>
      </c>
      <c r="AH5782">
        <v>12.2188558289754</v>
      </c>
      <c r="AI5782">
        <v>95.059862386901997</v>
      </c>
      <c r="AJ5782">
        <v>77.003086937611698</v>
      </c>
      <c r="AK5782">
        <v>12.589164753601001</v>
      </c>
      <c r="AL5782">
        <v>89.005479807984301</v>
      </c>
      <c r="AM5782">
        <v>85.730831186403705</v>
      </c>
      <c r="AN5782">
        <v>0.99999998660770295</v>
      </c>
    </row>
    <row r="5783" spans="1:40" x14ac:dyDescent="0.25">
      <c r="A5783" t="str">
        <f>"20190312154411662"</f>
        <v>20190312154411662</v>
      </c>
      <c r="B5783" t="str">
        <f>"1552376651653130"</f>
        <v>1552376651653130</v>
      </c>
      <c r="C5783" t="s">
        <v>40</v>
      </c>
      <c r="D5783">
        <v>5.2401010000000001</v>
      </c>
      <c r="E5783">
        <v>0.55747480000000005</v>
      </c>
      <c r="F5783" t="s">
        <v>43</v>
      </c>
      <c r="G5783">
        <v>-359.32139999999998</v>
      </c>
      <c r="H5783" s="1">
        <v>-6.2002019999999905E-7</v>
      </c>
      <c r="I5783">
        <v>20.918790000000001</v>
      </c>
      <c r="J5783">
        <v>-371.82670000000002</v>
      </c>
      <c r="K5783">
        <v>1.110325</v>
      </c>
      <c r="L5783">
        <v>23.2514</v>
      </c>
      <c r="M5783">
        <v>0.9989903</v>
      </c>
      <c r="N5783">
        <v>0</v>
      </c>
      <c r="O5783">
        <v>4.2572499999999999E-2</v>
      </c>
      <c r="P5783">
        <v>0.9995117</v>
      </c>
      <c r="Q5783">
        <v>3.276391E-3</v>
      </c>
      <c r="R5783">
        <v>-3.1076840000000001E-2</v>
      </c>
      <c r="S5783">
        <v>2.9851070000000002</v>
      </c>
      <c r="T5783">
        <v>-0.25884649999999998</v>
      </c>
      <c r="U5783">
        <v>-0.540802</v>
      </c>
      <c r="V5783">
        <v>7.3606469999999993E-2</v>
      </c>
      <c r="W5783">
        <v>1.7589440000000001E-2</v>
      </c>
      <c r="X5783">
        <v>0.99713220000000002</v>
      </c>
      <c r="Y5783">
        <v>0.21904570000000001</v>
      </c>
      <c r="Z5783">
        <v>-1.306124E-2</v>
      </c>
      <c r="AA5783">
        <v>0.97562720000000003</v>
      </c>
      <c r="AB5783">
        <v>31</v>
      </c>
      <c r="AC5783">
        <v>12.5053</v>
      </c>
      <c r="AD5783">
        <v>-1.1103256200202001</v>
      </c>
      <c r="AE5783">
        <v>-2.3326099999999999</v>
      </c>
      <c r="AF5783">
        <v>2.8412856851515098</v>
      </c>
      <c r="AG5783">
        <v>-1.1103256200202001</v>
      </c>
      <c r="AH5783">
        <v>12.3009324762538</v>
      </c>
      <c r="AI5783">
        <v>95.026111554074404</v>
      </c>
      <c r="AJ5783">
        <v>76.993846058837207</v>
      </c>
      <c r="AK5783">
        <v>12.673542011311399</v>
      </c>
      <c r="AL5783">
        <v>88.992147312045006</v>
      </c>
      <c r="AM5783">
        <v>85.778187929815203</v>
      </c>
      <c r="AN5783">
        <v>0.99999996255110601</v>
      </c>
    </row>
    <row r="5784" spans="1:40" x14ac:dyDescent="0.25">
      <c r="A5784" t="str">
        <f>"20190312154411684"</f>
        <v>20190312154411684</v>
      </c>
      <c r="B5784" t="str">
        <f>"1552376651673609"</f>
        <v>1552376651673609</v>
      </c>
      <c r="C5784" t="s">
        <v>40</v>
      </c>
      <c r="D5784">
        <v>5.2069939999999999</v>
      </c>
      <c r="E5784">
        <v>0.55756909999999904</v>
      </c>
      <c r="F5784" t="s">
        <v>43</v>
      </c>
      <c r="G5784">
        <v>-358.94420000000002</v>
      </c>
      <c r="H5784" s="1">
        <v>-7.8224589999999996E-7</v>
      </c>
      <c r="I5784">
        <v>20.920400000000001</v>
      </c>
      <c r="J5784">
        <v>-371.53269999999998</v>
      </c>
      <c r="K5784">
        <v>1.110325</v>
      </c>
      <c r="L5784">
        <v>23.26389</v>
      </c>
      <c r="M5784">
        <v>0.99899210000000005</v>
      </c>
      <c r="N5784">
        <v>0</v>
      </c>
      <c r="O5784">
        <v>4.253067E-2</v>
      </c>
      <c r="P5784">
        <v>0.99950570000000005</v>
      </c>
      <c r="Q5784">
        <v>3.870727E-3</v>
      </c>
      <c r="R5784">
        <v>-3.120216E-2</v>
      </c>
      <c r="S5784">
        <v>2.9855040000000002</v>
      </c>
      <c r="T5784">
        <v>-0.25731789999999999</v>
      </c>
      <c r="U5784">
        <v>-0.54019169999999905</v>
      </c>
      <c r="V5784">
        <v>7.3689999999999894E-2</v>
      </c>
      <c r="W5784">
        <v>1.8177760000000001E-2</v>
      </c>
      <c r="X5784">
        <v>0.99711550000000004</v>
      </c>
      <c r="Y5784">
        <v>0.21880150000000001</v>
      </c>
      <c r="Z5784">
        <v>-1.296892E-2</v>
      </c>
      <c r="AA5784">
        <v>0.97568319999999997</v>
      </c>
      <c r="AB5784">
        <v>31</v>
      </c>
      <c r="AC5784">
        <v>12.5884999999999</v>
      </c>
      <c r="AD5784">
        <v>-1.1103257822458901</v>
      </c>
      <c r="AE5784">
        <v>-2.3434899999999899</v>
      </c>
      <c r="AF5784">
        <v>2.8553523205387701</v>
      </c>
      <c r="AG5784">
        <v>-1.1103257822458901</v>
      </c>
      <c r="AH5784">
        <v>12.3843096889292</v>
      </c>
      <c r="AI5784">
        <v>94.992901925495701</v>
      </c>
      <c r="AJ5784">
        <v>77.016651949015895</v>
      </c>
      <c r="AK5784">
        <v>12.7576246491434</v>
      </c>
      <c r="AL5784">
        <v>88.958433687688796</v>
      </c>
      <c r="AM5784">
        <v>85.773343758860904</v>
      </c>
      <c r="AN5784">
        <v>0.99999998369943299</v>
      </c>
    </row>
    <row r="5785" spans="1:40" x14ac:dyDescent="0.25">
      <c r="A5785" t="str">
        <f>"20190312154411706"</f>
        <v>20190312154411706</v>
      </c>
      <c r="B5785" t="str">
        <f>"1552376651693129"</f>
        <v>1552376651693129</v>
      </c>
      <c r="C5785" t="s">
        <v>40</v>
      </c>
      <c r="D5785">
        <v>5.2089100000000004</v>
      </c>
      <c r="E5785">
        <v>0.5576352</v>
      </c>
      <c r="F5785" t="s">
        <v>43</v>
      </c>
      <c r="G5785">
        <v>-358.5326</v>
      </c>
      <c r="H5785" s="1">
        <v>-9.5502220000000002E-7</v>
      </c>
      <c r="I5785">
        <v>20.90606</v>
      </c>
      <c r="J5785">
        <v>-371.22640000000001</v>
      </c>
      <c r="K5785">
        <v>1.1103259999999999</v>
      </c>
      <c r="L5785">
        <v>23.276890000000002</v>
      </c>
      <c r="M5785">
        <v>0.99899450000000001</v>
      </c>
      <c r="N5785">
        <v>0</v>
      </c>
      <c r="O5785">
        <v>4.2477929999999997E-2</v>
      </c>
      <c r="P5785">
        <v>0.99949350000000003</v>
      </c>
      <c r="Q5785">
        <v>4.1112190000000002E-3</v>
      </c>
      <c r="R5785">
        <v>-3.1560480000000002E-2</v>
      </c>
      <c r="S5785">
        <v>2.9855649999999998</v>
      </c>
      <c r="T5785">
        <v>-0.2549942</v>
      </c>
      <c r="U5785">
        <v>-0.54147339999999999</v>
      </c>
      <c r="V5785">
        <v>7.3995160000000004E-2</v>
      </c>
      <c r="W5785">
        <v>1.84128E-2</v>
      </c>
      <c r="X5785">
        <v>0.99708859999999999</v>
      </c>
      <c r="Y5785">
        <v>0.2191679</v>
      </c>
      <c r="Z5785">
        <v>-1.2862520000000001E-2</v>
      </c>
      <c r="AA5785">
        <v>0.97560239999999998</v>
      </c>
      <c r="AB5785">
        <v>31</v>
      </c>
      <c r="AC5785">
        <v>12.6938</v>
      </c>
      <c r="AD5785">
        <v>-1.1103269550221999</v>
      </c>
      <c r="AE5785">
        <v>-2.37082999999999</v>
      </c>
      <c r="AF5785">
        <v>2.8866104276416999</v>
      </c>
      <c r="AG5785">
        <v>-1.1103269550221999</v>
      </c>
      <c r="AH5785">
        <v>12.48928732377</v>
      </c>
      <c r="AI5785">
        <v>94.950539390409801</v>
      </c>
      <c r="AJ5785">
        <v>76.985927235999</v>
      </c>
      <c r="AK5785">
        <v>12.866531916709301</v>
      </c>
      <c r="AL5785">
        <v>88.9449646456046</v>
      </c>
      <c r="AM5785">
        <v>85.755790360983596</v>
      </c>
      <c r="AN5785">
        <v>0.99999999557861197</v>
      </c>
    </row>
    <row r="5786" spans="1:40" x14ac:dyDescent="0.25">
      <c r="A5786" t="str">
        <f>"20190312154411729"</f>
        <v>20190312154411729</v>
      </c>
      <c r="B5786" t="str">
        <f>"1552376651722824"</f>
        <v>1552376651722824</v>
      </c>
      <c r="C5786" t="s">
        <v>40</v>
      </c>
      <c r="D5786">
        <v>5.1920089999999997</v>
      </c>
      <c r="E5786">
        <v>0.52819249999999995</v>
      </c>
      <c r="F5786" t="s">
        <v>43</v>
      </c>
      <c r="G5786">
        <v>-358.10430000000002</v>
      </c>
      <c r="H5786" s="1">
        <v>-1.1345629999999999E-6</v>
      </c>
      <c r="I5786">
        <v>20.890350000000002</v>
      </c>
      <c r="J5786">
        <v>-370.91419999999999</v>
      </c>
      <c r="K5786">
        <v>1.1103289999999999</v>
      </c>
      <c r="L5786">
        <v>23.29007</v>
      </c>
      <c r="M5786">
        <v>0.99899709999999997</v>
      </c>
      <c r="N5786">
        <v>0</v>
      </c>
      <c r="O5786">
        <v>4.2416639999999999E-2</v>
      </c>
      <c r="P5786">
        <v>0.99946210000000002</v>
      </c>
      <c r="Q5786">
        <v>4.4830460000000001E-3</v>
      </c>
      <c r="R5786">
        <v>-3.2494929999999998E-2</v>
      </c>
      <c r="S5786">
        <v>2.985382</v>
      </c>
      <c r="T5786">
        <v>-0.25260909999999998</v>
      </c>
      <c r="U5786">
        <v>-0.54293819999999904</v>
      </c>
      <c r="V5786">
        <v>7.4866530000000001E-2</v>
      </c>
      <c r="W5786">
        <v>1.8778E-2</v>
      </c>
      <c r="X5786">
        <v>0.99701669999999998</v>
      </c>
      <c r="Y5786">
        <v>0.21959780000000001</v>
      </c>
      <c r="Z5786">
        <v>-1.275572E-2</v>
      </c>
      <c r="AA5786">
        <v>0.97550709999999996</v>
      </c>
      <c r="AB5786">
        <v>31</v>
      </c>
      <c r="AC5786">
        <v>12.809899999999899</v>
      </c>
      <c r="AD5786">
        <v>-1.1103301345629999</v>
      </c>
      <c r="AE5786">
        <v>-2.3997199999999901</v>
      </c>
      <c r="AF5786">
        <v>2.9197760963347301</v>
      </c>
      <c r="AG5786">
        <v>-1.1103301345629999</v>
      </c>
      <c r="AH5786">
        <v>12.605079248659701</v>
      </c>
      <c r="AI5786">
        <v>94.904755423882406</v>
      </c>
      <c r="AJ5786">
        <v>76.9583015343771</v>
      </c>
      <c r="AK5786">
        <v>12.986375488389299</v>
      </c>
      <c r="AL5786">
        <v>88.924036564761096</v>
      </c>
      <c r="AM5786">
        <v>85.705687728197304</v>
      </c>
      <c r="AN5786">
        <v>0.99999995533856401</v>
      </c>
    </row>
    <row r="5787" spans="1:40" x14ac:dyDescent="0.25">
      <c r="A5787" t="str">
        <f>"20190312154411752"</f>
        <v>20190312154411752</v>
      </c>
      <c r="B5787" t="str">
        <f>"1552376651743320"</f>
        <v>1552376651743320</v>
      </c>
      <c r="C5787" t="s">
        <v>40</v>
      </c>
      <c r="D5787">
        <v>5.2372030000000001</v>
      </c>
      <c r="E5787">
        <v>0.51306969999999996</v>
      </c>
      <c r="F5787" t="s">
        <v>43</v>
      </c>
      <c r="G5787">
        <v>-342.5009</v>
      </c>
      <c r="H5787" s="1">
        <v>-3.3764559999999998E-6</v>
      </c>
      <c r="I5787">
        <v>20.28163</v>
      </c>
      <c r="J5787">
        <v>-370.59500000000003</v>
      </c>
      <c r="K5787">
        <v>1.1103259999999999</v>
      </c>
      <c r="L5787">
        <v>23.303560000000001</v>
      </c>
      <c r="M5787">
        <v>0.999</v>
      </c>
      <c r="N5787">
        <v>0</v>
      </c>
      <c r="O5787">
        <v>4.2348629999999998E-2</v>
      </c>
      <c r="P5787">
        <v>0.99943289999999996</v>
      </c>
      <c r="Q5787">
        <v>4.3613089999999998E-3</v>
      </c>
      <c r="R5787">
        <v>-3.3392980000000003E-2</v>
      </c>
      <c r="S5787">
        <v>2.9918520000000002</v>
      </c>
      <c r="T5787">
        <v>-0.11691509999999999</v>
      </c>
      <c r="U5787">
        <v>-0.31677250000000001</v>
      </c>
      <c r="V5787">
        <v>7.5694869999999997E-2</v>
      </c>
      <c r="W5787">
        <v>1.8650710000000001E-2</v>
      </c>
      <c r="X5787">
        <v>0.99695659999999997</v>
      </c>
      <c r="Y5787">
        <v>0.14716979999999999</v>
      </c>
      <c r="Z5787">
        <v>-4.516819E-3</v>
      </c>
      <c r="AA5787">
        <v>0.98910089999999995</v>
      </c>
      <c r="AB5787">
        <v>31</v>
      </c>
      <c r="AC5787">
        <v>28.094100000000001</v>
      </c>
      <c r="AD5787">
        <v>-1.1103293764559901</v>
      </c>
      <c r="AE5787">
        <v>-3.0219299999999998</v>
      </c>
      <c r="AF5787">
        <v>4.20259815737134</v>
      </c>
      <c r="AG5787">
        <v>-1.1103293764559901</v>
      </c>
      <c r="AH5787">
        <v>27.897826455655501</v>
      </c>
      <c r="AI5787">
        <v>92.253758333626706</v>
      </c>
      <c r="AJ5787">
        <v>81.433235635673896</v>
      </c>
      <c r="AK5787">
        <v>28.234436129422399</v>
      </c>
      <c r="AL5787">
        <v>88.931331083222304</v>
      </c>
      <c r="AM5787">
        <v>85.658094453981903</v>
      </c>
      <c r="AN5787">
        <v>1.00000001230569</v>
      </c>
    </row>
    <row r="5788" spans="1:40" x14ac:dyDescent="0.25">
      <c r="A5788" t="str">
        <f>"20190312154411773"</f>
        <v>20190312154411773</v>
      </c>
      <c r="B5788" t="str">
        <f>"1552376651762844"</f>
        <v>1552376651762844</v>
      </c>
      <c r="C5788" t="s">
        <v>40</v>
      </c>
      <c r="D5788">
        <v>5.2787220000000001</v>
      </c>
      <c r="E5788">
        <v>0.50642619999999905</v>
      </c>
      <c r="F5788" t="s">
        <v>43</v>
      </c>
      <c r="G5788">
        <v>-338.25470000000001</v>
      </c>
      <c r="H5788" s="1">
        <v>-1.1390339999999999E-6</v>
      </c>
      <c r="I5788">
        <v>21.149629999999998</v>
      </c>
      <c r="J5788">
        <v>-370.2928</v>
      </c>
      <c r="K5788">
        <v>1.110328</v>
      </c>
      <c r="L5788">
        <v>23.316310000000001</v>
      </c>
      <c r="M5788">
        <v>0.99900290000000003</v>
      </c>
      <c r="N5788">
        <v>0</v>
      </c>
      <c r="O5788">
        <v>4.2281319999999997E-2</v>
      </c>
      <c r="P5788">
        <v>0.99940479999999998</v>
      </c>
      <c r="Q5788">
        <v>4.3542529999999998E-3</v>
      </c>
      <c r="R5788">
        <v>-3.4216940000000001E-2</v>
      </c>
      <c r="S5788">
        <v>2.995422</v>
      </c>
      <c r="T5788">
        <v>-0.1028404</v>
      </c>
      <c r="U5788">
        <v>-0.19949339999999999</v>
      </c>
      <c r="V5788">
        <v>7.6450089999999998E-2</v>
      </c>
      <c r="W5788">
        <v>1.8638310000000002E-2</v>
      </c>
      <c r="X5788">
        <v>0.99689919999999999</v>
      </c>
      <c r="Y5788">
        <v>0.1084965</v>
      </c>
      <c r="Z5788">
        <v>-3.3097999999999999E-3</v>
      </c>
      <c r="AA5788">
        <v>0.99409130000000001</v>
      </c>
      <c r="AB5788">
        <v>31</v>
      </c>
      <c r="AC5788">
        <v>32.038099999999901</v>
      </c>
      <c r="AD5788">
        <v>-1.110329139034</v>
      </c>
      <c r="AE5788">
        <v>-2.1666799999999999</v>
      </c>
      <c r="AF5788">
        <v>3.5152914959622001</v>
      </c>
      <c r="AG5788">
        <v>-1.110329139034</v>
      </c>
      <c r="AH5788">
        <v>31.8797087947679</v>
      </c>
      <c r="AI5788">
        <v>91.982724033634</v>
      </c>
      <c r="AJ5788">
        <v>83.707566188868</v>
      </c>
      <c r="AK5788">
        <v>32.092147605571199</v>
      </c>
      <c r="AL5788">
        <v>88.932041670771099</v>
      </c>
      <c r="AM5788">
        <v>85.614691191512804</v>
      </c>
      <c r="AN5788">
        <v>1.00000000891065</v>
      </c>
    </row>
    <row r="5789" spans="1:40" x14ac:dyDescent="0.25">
      <c r="A5789" t="str">
        <f>"20190312154411796"</f>
        <v>20190312154411796</v>
      </c>
      <c r="B5789" t="str">
        <f>"1552376651783336"</f>
        <v>1552376651783336</v>
      </c>
      <c r="C5789" t="s">
        <v>40</v>
      </c>
      <c r="D5789">
        <v>5.2537200000000004</v>
      </c>
      <c r="E5789">
        <v>0.50273250000000003</v>
      </c>
      <c r="F5789" t="s">
        <v>43</v>
      </c>
      <c r="G5789">
        <v>-341.21910000000003</v>
      </c>
      <c r="H5789" s="1">
        <v>-4.2618609999999998E-6</v>
      </c>
      <c r="I5789">
        <v>21.875170000000001</v>
      </c>
      <c r="J5789">
        <v>-369.98649999999998</v>
      </c>
      <c r="K5789">
        <v>1.110336</v>
      </c>
      <c r="L5789">
        <v>23.329190000000001</v>
      </c>
      <c r="M5789">
        <v>0.9990059</v>
      </c>
      <c r="N5789">
        <v>0</v>
      </c>
      <c r="O5789">
        <v>4.2211989999999998E-2</v>
      </c>
      <c r="P5789">
        <v>0.99938610000000005</v>
      </c>
      <c r="Q5789">
        <v>4.1897929999999998E-3</v>
      </c>
      <c r="R5789">
        <v>-3.4787140000000001E-2</v>
      </c>
      <c r="S5789">
        <v>2.997223</v>
      </c>
      <c r="T5789">
        <v>-0.1144646</v>
      </c>
      <c r="U5789">
        <v>-0.14855960000000001</v>
      </c>
      <c r="V5789">
        <v>7.6949519999999993E-2</v>
      </c>
      <c r="W5789">
        <v>1.846954E-2</v>
      </c>
      <c r="X5789">
        <v>0.99686390000000002</v>
      </c>
      <c r="Y5789">
        <v>9.1528100000000001E-2</v>
      </c>
      <c r="Z5789">
        <v>-3.3567699999999998E-3</v>
      </c>
      <c r="AA5789">
        <v>0.99579689999999998</v>
      </c>
      <c r="AB5789">
        <v>31</v>
      </c>
      <c r="AC5789">
        <v>28.767399999999899</v>
      </c>
      <c r="AD5789">
        <v>-1.1103402618610001</v>
      </c>
      <c r="AE5789">
        <v>-1.4540200000000001</v>
      </c>
      <c r="AF5789">
        <v>2.6632202391814701</v>
      </c>
      <c r="AG5789">
        <v>-1.1103402618610001</v>
      </c>
      <c r="AH5789">
        <v>28.637816063439502</v>
      </c>
      <c r="AI5789">
        <v>92.210819649303801</v>
      </c>
      <c r="AJ5789">
        <v>84.686967080900402</v>
      </c>
      <c r="AK5789">
        <v>28.7828092170116</v>
      </c>
      <c r="AL5789">
        <v>88.941713128279602</v>
      </c>
      <c r="AM5789">
        <v>85.586000188867999</v>
      </c>
      <c r="AN5789">
        <v>0.99999999382962601</v>
      </c>
    </row>
    <row r="5790" spans="1:40" x14ac:dyDescent="0.25">
      <c r="A5790" t="str">
        <f>"20190312154411818"</f>
        <v>20190312154411818</v>
      </c>
      <c r="B5790" t="str">
        <f>"1552376651813592"</f>
        <v>1552376651813592</v>
      </c>
      <c r="C5790" t="s">
        <v>40</v>
      </c>
      <c r="D5790">
        <v>5.1989669999999997</v>
      </c>
      <c r="E5790">
        <v>0.49976959999999998</v>
      </c>
      <c r="F5790" t="s">
        <v>43</v>
      </c>
      <c r="G5790">
        <v>-344.39280000000002</v>
      </c>
      <c r="H5790" s="1">
        <v>-3.1024569999999998E-6</v>
      </c>
      <c r="I5790">
        <v>22.30217</v>
      </c>
      <c r="J5790">
        <v>-369.6746</v>
      </c>
      <c r="K5790">
        <v>1.110339</v>
      </c>
      <c r="L5790">
        <v>23.342320000000001</v>
      </c>
      <c r="M5790">
        <v>0.99900900000000004</v>
      </c>
      <c r="N5790">
        <v>0</v>
      </c>
      <c r="O5790">
        <v>4.214155E-2</v>
      </c>
      <c r="P5790">
        <v>0.9993938</v>
      </c>
      <c r="Q5790">
        <v>4.9962080000000002E-3</v>
      </c>
      <c r="R5790">
        <v>-3.4456140000000003E-2</v>
      </c>
      <c r="S5790">
        <v>2.9981689999999999</v>
      </c>
      <c r="T5790">
        <v>-0.13007009999999999</v>
      </c>
      <c r="U5790">
        <v>-0.1203003</v>
      </c>
      <c r="V5790">
        <v>7.6549249999999999E-2</v>
      </c>
      <c r="W5790">
        <v>1.9272870000000001E-2</v>
      </c>
      <c r="X5790">
        <v>0.99687950000000003</v>
      </c>
      <c r="Y5790">
        <v>8.2052020000000003E-2</v>
      </c>
      <c r="Z5790">
        <v>-3.6050959999999999E-3</v>
      </c>
      <c r="AA5790">
        <v>0.99662150000000005</v>
      </c>
      <c r="AB5790">
        <v>31</v>
      </c>
      <c r="AC5790">
        <v>25.281799999999901</v>
      </c>
      <c r="AD5790">
        <v>-1.1103421024569999</v>
      </c>
      <c r="AE5790">
        <v>-1.0401499999999999</v>
      </c>
      <c r="AF5790">
        <v>2.1007042227262702</v>
      </c>
      <c r="AG5790">
        <v>-1.1103421024569999</v>
      </c>
      <c r="AH5790">
        <v>25.1670369641676</v>
      </c>
      <c r="AI5790">
        <v>92.517445445322906</v>
      </c>
      <c r="AJ5790">
        <v>85.228555643924906</v>
      </c>
      <c r="AK5790">
        <v>25.278955029265799</v>
      </c>
      <c r="AL5790">
        <v>88.895677499850905</v>
      </c>
      <c r="AM5790">
        <v>85.608939000312205</v>
      </c>
      <c r="AN5790">
        <v>0.99999998435692405</v>
      </c>
    </row>
    <row r="5791" spans="1:40" x14ac:dyDescent="0.25">
      <c r="A5791" t="str">
        <f>"20190312154411841"</f>
        <v>20190312154411841</v>
      </c>
      <c r="B5791" t="str">
        <f>"1552376651833112"</f>
        <v>1552376651833112</v>
      </c>
      <c r="C5791" t="s">
        <v>40</v>
      </c>
      <c r="D5791">
        <v>5.1949379999999996</v>
      </c>
      <c r="E5791">
        <v>0.49846970000000002</v>
      </c>
      <c r="F5791" t="s">
        <v>43</v>
      </c>
      <c r="G5791">
        <v>-345.93729999999999</v>
      </c>
      <c r="H5791" s="1">
        <v>-2.5160059999999999E-6</v>
      </c>
      <c r="I5791">
        <v>22.588419999999999</v>
      </c>
      <c r="J5791">
        <v>-369.35070000000002</v>
      </c>
      <c r="K5791">
        <v>1.110341</v>
      </c>
      <c r="L5791">
        <v>23.355899999999998</v>
      </c>
      <c r="M5791">
        <v>0.99901209999999996</v>
      </c>
      <c r="N5791">
        <v>0</v>
      </c>
      <c r="O5791">
        <v>4.2068969999999997E-2</v>
      </c>
      <c r="P5791">
        <v>0.99941159999999996</v>
      </c>
      <c r="Q5791">
        <v>5.5971090000000003E-3</v>
      </c>
      <c r="R5791">
        <v>-3.384123E-2</v>
      </c>
      <c r="S5791">
        <v>2.9992369999999999</v>
      </c>
      <c r="T5791">
        <v>-0.1402928</v>
      </c>
      <c r="U5791">
        <v>-9.5245360000000001E-2</v>
      </c>
      <c r="V5791">
        <v>7.58633999999999E-2</v>
      </c>
      <c r="W5791">
        <v>1.9870229999999999E-2</v>
      </c>
      <c r="X5791">
        <v>0.99692020000000003</v>
      </c>
      <c r="Y5791">
        <v>7.3638099999999998E-2</v>
      </c>
      <c r="Z5791">
        <v>-3.6872279999999999E-3</v>
      </c>
      <c r="AA5791">
        <v>0.9972782</v>
      </c>
      <c r="AB5791">
        <v>31</v>
      </c>
      <c r="AC5791">
        <v>23.413399999999999</v>
      </c>
      <c r="AD5791">
        <v>-1.110343516006</v>
      </c>
      <c r="AE5791">
        <v>-0.76747999999999506</v>
      </c>
      <c r="AF5791">
        <v>1.7479521367258299</v>
      </c>
      <c r="AG5791">
        <v>-1.110343516006</v>
      </c>
      <c r="AH5791">
        <v>23.3080146579914</v>
      </c>
      <c r="AI5791">
        <v>92.719759605055401</v>
      </c>
      <c r="AJ5791">
        <v>85.711210803148504</v>
      </c>
      <c r="AK5791">
        <v>23.399823646620899</v>
      </c>
      <c r="AL5791">
        <v>88.861444733808298</v>
      </c>
      <c r="AM5791">
        <v>85.648306282022702</v>
      </c>
      <c r="AN5791">
        <v>0.99999998333392603</v>
      </c>
    </row>
    <row r="5792" spans="1:40" x14ac:dyDescent="0.25">
      <c r="A5792" t="str">
        <f>"20190312154411863"</f>
        <v>20190312154411863</v>
      </c>
      <c r="B5792" t="str">
        <f>"1552376651853625"</f>
        <v>1552376651853625</v>
      </c>
      <c r="C5792" t="s">
        <v>40</v>
      </c>
      <c r="D5792">
        <v>5.1792759999999998</v>
      </c>
      <c r="E5792">
        <v>0.49762669999999998</v>
      </c>
      <c r="F5792" t="s">
        <v>43</v>
      </c>
      <c r="G5792">
        <v>-346.32600000000002</v>
      </c>
      <c r="H5792" s="1">
        <v>-2.3844060000000002E-6</v>
      </c>
      <c r="I5792">
        <v>22.720569999999999</v>
      </c>
      <c r="J5792">
        <v>-369.05930000000001</v>
      </c>
      <c r="K5792">
        <v>1.1103499999999999</v>
      </c>
      <c r="L5792">
        <v>23.368130000000001</v>
      </c>
      <c r="M5792">
        <v>0.99901490000000004</v>
      </c>
      <c r="N5792">
        <v>0</v>
      </c>
      <c r="O5792">
        <v>4.2004310000000003E-2</v>
      </c>
      <c r="P5792">
        <v>0.99943179999999998</v>
      </c>
      <c r="Q5792">
        <v>5.6446789999999997E-3</v>
      </c>
      <c r="R5792">
        <v>-3.323272E-2</v>
      </c>
      <c r="S5792">
        <v>2.9997859999999998</v>
      </c>
      <c r="T5792">
        <v>-0.14466189999999901</v>
      </c>
      <c r="U5792">
        <v>-8.2763669999999998E-2</v>
      </c>
      <c r="V5792">
        <v>7.5191770000000005E-2</v>
      </c>
      <c r="W5792">
        <v>1.9915519999999999E-2</v>
      </c>
      <c r="X5792">
        <v>0.99697020000000003</v>
      </c>
      <c r="Y5792">
        <v>6.9418270000000004E-2</v>
      </c>
      <c r="Z5792">
        <v>-3.6966379999999999E-3</v>
      </c>
      <c r="AA5792">
        <v>0.99758080000000005</v>
      </c>
      <c r="AB5792">
        <v>31</v>
      </c>
      <c r="AC5792">
        <v>22.7333</v>
      </c>
      <c r="AD5792">
        <v>-1.1103523844059999</v>
      </c>
      <c r="AE5792">
        <v>-0.64755999999999503</v>
      </c>
      <c r="AF5792">
        <v>1.5981732717586801</v>
      </c>
      <c r="AG5792">
        <v>-1.1103523844059999</v>
      </c>
      <c r="AH5792">
        <v>22.632081843820199</v>
      </c>
      <c r="AI5792">
        <v>92.801769981356998</v>
      </c>
      <c r="AJ5792">
        <v>85.9607412814876</v>
      </c>
      <c r="AK5792">
        <v>22.715593076331899</v>
      </c>
      <c r="AL5792">
        <v>88.858849318988604</v>
      </c>
      <c r="AM5792">
        <v>85.686901940240503</v>
      </c>
      <c r="AN5792">
        <v>1.0000000049503199</v>
      </c>
    </row>
    <row r="5793" spans="1:40" x14ac:dyDescent="0.25">
      <c r="A5793" t="str">
        <f>"20190312154411884"</f>
        <v>20190312154411884</v>
      </c>
      <c r="B5793" t="str">
        <f>"1552376651873128"</f>
        <v>1552376651873128</v>
      </c>
      <c r="C5793" t="s">
        <v>40</v>
      </c>
      <c r="D5793">
        <v>5.1312920000000002</v>
      </c>
      <c r="E5793">
        <v>0.49734319999999999</v>
      </c>
      <c r="F5793" t="s">
        <v>43</v>
      </c>
      <c r="G5793">
        <v>-346.60829999999999</v>
      </c>
      <c r="H5793" s="1">
        <v>-2.2881339999999998E-6</v>
      </c>
      <c r="I5793">
        <v>22.813780000000001</v>
      </c>
      <c r="J5793">
        <v>-368.7559</v>
      </c>
      <c r="K5793">
        <v>1.1103529999999999</v>
      </c>
      <c r="L5793">
        <v>23.38083</v>
      </c>
      <c r="M5793">
        <v>0.99901770000000001</v>
      </c>
      <c r="N5793">
        <v>0</v>
      </c>
      <c r="O5793">
        <v>4.1937519999999999E-2</v>
      </c>
      <c r="P5793">
        <v>0.99943320000000002</v>
      </c>
      <c r="Q5793">
        <v>6.0508119999999896E-3</v>
      </c>
      <c r="R5793">
        <v>-3.311857E-2</v>
      </c>
      <c r="S5793">
        <v>3.000092</v>
      </c>
      <c r="T5793">
        <v>-0.14837439999999999</v>
      </c>
      <c r="U5793">
        <v>-7.4066160000000006E-2</v>
      </c>
      <c r="V5793">
        <v>7.5011010000000003E-2</v>
      </c>
      <c r="W5793">
        <v>2.0318360000000001E-2</v>
      </c>
      <c r="X5793">
        <v>0.99697570000000002</v>
      </c>
      <c r="Y5793">
        <v>6.645537E-2</v>
      </c>
      <c r="Z5793">
        <v>-3.7146079999999999E-3</v>
      </c>
      <c r="AA5793">
        <v>0.99778250000000002</v>
      </c>
      <c r="AB5793">
        <v>31</v>
      </c>
      <c r="AC5793">
        <v>22.147600000000001</v>
      </c>
      <c r="AD5793">
        <v>-1.110355288134</v>
      </c>
      <c r="AE5793">
        <v>-0.56705000000000105</v>
      </c>
      <c r="AF5793">
        <v>1.4917147102309101</v>
      </c>
      <c r="AG5793">
        <v>-1.110355288134</v>
      </c>
      <c r="AH5793">
        <v>22.0489455590997</v>
      </c>
      <c r="AI5793">
        <v>92.876339015077207</v>
      </c>
      <c r="AJ5793">
        <v>86.129569451641302</v>
      </c>
      <c r="AK5793">
        <v>22.1272253549953</v>
      </c>
      <c r="AL5793">
        <v>88.835763629257102</v>
      </c>
      <c r="AM5793">
        <v>85.697255231436003</v>
      </c>
      <c r="AN5793">
        <v>1.0000000168823899</v>
      </c>
    </row>
    <row r="5794" spans="1:40" x14ac:dyDescent="0.25">
      <c r="A5794" t="str">
        <f>"20190312154411907"</f>
        <v>20190312154411907</v>
      </c>
      <c r="B5794" t="str">
        <f>"1552376651903385"</f>
        <v>1552376651903385</v>
      </c>
      <c r="C5794" t="s">
        <v>40</v>
      </c>
      <c r="D5794">
        <v>5.1775330000000004</v>
      </c>
      <c r="E5794">
        <v>0.4967355</v>
      </c>
      <c r="F5794" t="s">
        <v>43</v>
      </c>
      <c r="G5794">
        <v>-345.87299999999999</v>
      </c>
      <c r="H5794" s="1">
        <v>-2.6092649999999998E-6</v>
      </c>
      <c r="I5794">
        <v>22.835170000000002</v>
      </c>
      <c r="J5794">
        <v>-368.4529</v>
      </c>
      <c r="K5794">
        <v>1.1103540000000001</v>
      </c>
      <c r="L5794">
        <v>23.393460000000001</v>
      </c>
      <c r="M5794">
        <v>0.99902040000000003</v>
      </c>
      <c r="N5794">
        <v>0</v>
      </c>
      <c r="O5794">
        <v>4.1871199999999997E-2</v>
      </c>
      <c r="P5794">
        <v>0.99945360000000005</v>
      </c>
      <c r="Q5794">
        <v>6.0975550000000002E-3</v>
      </c>
      <c r="R5794">
        <v>-3.248475E-2</v>
      </c>
      <c r="S5794">
        <v>3.0002749999999998</v>
      </c>
      <c r="T5794">
        <v>-0.14558289999999999</v>
      </c>
      <c r="U5794">
        <v>-7.1533200000000005E-2</v>
      </c>
      <c r="V5794">
        <v>7.4312489999999995E-2</v>
      </c>
      <c r="W5794">
        <v>2.0362700000000001E-2</v>
      </c>
      <c r="X5794">
        <v>0.99702710000000005</v>
      </c>
      <c r="Y5794">
        <v>6.5551819999999997E-2</v>
      </c>
      <c r="Z5794">
        <v>-3.619489E-3</v>
      </c>
      <c r="AA5794">
        <v>0.99784260000000002</v>
      </c>
      <c r="AB5794">
        <v>31</v>
      </c>
      <c r="AC5794">
        <v>22.579899999999899</v>
      </c>
      <c r="AD5794">
        <v>-1.1103566092649999</v>
      </c>
      <c r="AE5794">
        <v>-0.55828999999999895</v>
      </c>
      <c r="AF5794">
        <v>1.4997204269706901</v>
      </c>
      <c r="AG5794">
        <v>-1.1103566092649999</v>
      </c>
      <c r="AH5794">
        <v>22.482382803006502</v>
      </c>
      <c r="AI5794">
        <v>92.8211585677481</v>
      </c>
      <c r="AJ5794">
        <v>86.183654615974703</v>
      </c>
      <c r="AK5794">
        <v>22.559689485002501</v>
      </c>
      <c r="AL5794">
        <v>88.833222602942897</v>
      </c>
      <c r="AM5794">
        <v>85.737393956738998</v>
      </c>
      <c r="AN5794">
        <v>1.00000001192785</v>
      </c>
    </row>
    <row r="5795" spans="1:40" x14ac:dyDescent="0.25">
      <c r="A5795" t="str">
        <f>"20190312154411930"</f>
        <v>20190312154411930</v>
      </c>
      <c r="B5795" t="str">
        <f>"1552376651922908"</f>
        <v>1552376651922908</v>
      </c>
      <c r="C5795" t="s">
        <v>40</v>
      </c>
      <c r="D5795">
        <v>5.1447779999999996</v>
      </c>
      <c r="E5795">
        <v>0.49662849999999997</v>
      </c>
      <c r="F5795" t="s">
        <v>43</v>
      </c>
      <c r="G5795">
        <v>-345.47239999999999</v>
      </c>
      <c r="H5795" s="1">
        <v>-2.7973490000000002E-6</v>
      </c>
      <c r="I5795">
        <v>22.89622</v>
      </c>
      <c r="J5795">
        <v>-368.13240000000002</v>
      </c>
      <c r="K5795">
        <v>1.1103529999999999</v>
      </c>
      <c r="L5795">
        <v>23.406829999999999</v>
      </c>
      <c r="M5795">
        <v>0.99902349999999995</v>
      </c>
      <c r="N5795">
        <v>0</v>
      </c>
      <c r="O5795">
        <v>4.1799759999999998E-2</v>
      </c>
      <c r="P5795">
        <v>0.99946369999999896</v>
      </c>
      <c r="Q5795">
        <v>5.6385080000000004E-3</v>
      </c>
      <c r="R5795">
        <v>-3.225927E-2</v>
      </c>
      <c r="S5795">
        <v>3.000397</v>
      </c>
      <c r="T5795">
        <v>-0.14497109999999999</v>
      </c>
      <c r="U5795">
        <v>-6.4910889999999999E-2</v>
      </c>
      <c r="V5795">
        <v>7.4016219999999994E-2</v>
      </c>
      <c r="W5795">
        <v>1.9901220000000001E-2</v>
      </c>
      <c r="X5795">
        <v>0.99705849999999996</v>
      </c>
      <c r="Y5795">
        <v>6.3281850000000001E-2</v>
      </c>
      <c r="Z5795">
        <v>-3.5459670000000001E-3</v>
      </c>
      <c r="AA5795">
        <v>0.99798940000000003</v>
      </c>
      <c r="AB5795">
        <v>31</v>
      </c>
      <c r="AC5795">
        <v>22.66</v>
      </c>
      <c r="AD5795">
        <v>-1.1103557973489999</v>
      </c>
      <c r="AE5795">
        <v>-0.51060999999999901</v>
      </c>
      <c r="AF5795">
        <v>1.4539539490309299</v>
      </c>
      <c r="AG5795">
        <v>-1.1103557973489999</v>
      </c>
      <c r="AH5795">
        <v>22.564693847421101</v>
      </c>
      <c r="AI5795">
        <v>92.811298328203705</v>
      </c>
      <c r="AJ5795">
        <v>86.313248428803306</v>
      </c>
      <c r="AK5795">
        <v>22.6387340748208</v>
      </c>
      <c r="AL5795">
        <v>88.859668869156593</v>
      </c>
      <c r="AM5795">
        <v>85.754459123411294</v>
      </c>
      <c r="AN5795">
        <v>1.0000000559014099</v>
      </c>
    </row>
    <row r="5796" spans="1:40" x14ac:dyDescent="0.25">
      <c r="A5796" t="str">
        <f>"20190312154411953"</f>
        <v>20190312154411953</v>
      </c>
      <c r="B5796" t="str">
        <f>"1552376651943404"</f>
        <v>1552376651943404</v>
      </c>
      <c r="C5796" t="s">
        <v>40</v>
      </c>
      <c r="D5796">
        <v>5.1604320000000001</v>
      </c>
      <c r="E5796">
        <v>0.49623489999999998</v>
      </c>
      <c r="F5796" t="s">
        <v>43</v>
      </c>
      <c r="G5796">
        <v>-345.59550000000002</v>
      </c>
      <c r="H5796" s="1">
        <v>-2.753838E-6</v>
      </c>
      <c r="I5796">
        <v>22.931100000000001</v>
      </c>
      <c r="J5796">
        <v>-367.8261</v>
      </c>
      <c r="K5796">
        <v>1.110349</v>
      </c>
      <c r="L5796">
        <v>23.419619999999998</v>
      </c>
      <c r="M5796">
        <v>0.99902659999999999</v>
      </c>
      <c r="N5796">
        <v>0</v>
      </c>
      <c r="O5796">
        <v>4.172679E-2</v>
      </c>
      <c r="P5796">
        <v>0.99948409999999999</v>
      </c>
      <c r="Q5796">
        <v>4.6747220000000001E-3</v>
      </c>
      <c r="R5796">
        <v>-3.1776180000000001E-2</v>
      </c>
      <c r="S5796">
        <v>3.000397</v>
      </c>
      <c r="T5796">
        <v>-0.14782439999999999</v>
      </c>
      <c r="U5796">
        <v>-6.3323969999999993E-2</v>
      </c>
      <c r="V5796">
        <v>7.3461559999999995E-2</v>
      </c>
      <c r="W5796">
        <v>1.8934380000000001E-2</v>
      </c>
      <c r="X5796">
        <v>0.99711830000000001</v>
      </c>
      <c r="Y5796">
        <v>6.2677289999999997E-2</v>
      </c>
      <c r="Z5796">
        <v>-3.597215E-3</v>
      </c>
      <c r="AA5796">
        <v>0.99802740000000001</v>
      </c>
      <c r="AB5796">
        <v>31</v>
      </c>
      <c r="AC5796">
        <v>22.2305999999999</v>
      </c>
      <c r="AD5796">
        <v>-1.1103517538379899</v>
      </c>
      <c r="AE5796">
        <v>-0.48852000000000101</v>
      </c>
      <c r="AF5796">
        <v>1.4122794696697001</v>
      </c>
      <c r="AG5796">
        <v>-1.1103517538379899</v>
      </c>
      <c r="AH5796">
        <v>22.1356527983699</v>
      </c>
      <c r="AI5796">
        <v>92.865803306425306</v>
      </c>
      <c r="AJ5796">
        <v>86.349412994079202</v>
      </c>
      <c r="AK5796">
        <v>22.208433963872501</v>
      </c>
      <c r="AL5796">
        <v>88.915075114049898</v>
      </c>
      <c r="AM5796">
        <v>85.786410975980999</v>
      </c>
      <c r="AN5796">
        <v>1.0000000078692499</v>
      </c>
    </row>
    <row r="5797" spans="1:40" x14ac:dyDescent="0.25">
      <c r="A5797" t="str">
        <f>"20190312154411975"</f>
        <v>20190312154411975</v>
      </c>
      <c r="B5797" t="str">
        <f>"1552376651962920"</f>
        <v>1552376651962920</v>
      </c>
      <c r="C5797" t="s">
        <v>40</v>
      </c>
      <c r="D5797">
        <v>5.0803849999999997</v>
      </c>
      <c r="E5797">
        <v>0.46528259999999999</v>
      </c>
      <c r="F5797" t="s">
        <v>43</v>
      </c>
      <c r="G5797">
        <v>-345.5172</v>
      </c>
      <c r="H5797" s="1">
        <v>-2.8008890000000001E-6</v>
      </c>
      <c r="I5797">
        <v>22.981829999999999</v>
      </c>
      <c r="J5797">
        <v>-367.52330000000001</v>
      </c>
      <c r="K5797">
        <v>1.1103430000000001</v>
      </c>
      <c r="L5797">
        <v>23.432189999999999</v>
      </c>
      <c r="M5797">
        <v>0.99902999999999997</v>
      </c>
      <c r="N5797">
        <v>0</v>
      </c>
      <c r="O5797">
        <v>4.1648360000000002E-2</v>
      </c>
      <c r="P5797">
        <v>0.99947859999999999</v>
      </c>
      <c r="Q5797">
        <v>3.973257E-3</v>
      </c>
      <c r="R5797">
        <v>-3.2048559999999997E-2</v>
      </c>
      <c r="S5797">
        <v>3.0003660000000001</v>
      </c>
      <c r="T5797">
        <v>-0.14933339999999901</v>
      </c>
      <c r="U5797">
        <v>-5.8868410000000003E-2</v>
      </c>
      <c r="V5797">
        <v>7.3655230000000002E-2</v>
      </c>
      <c r="W5797">
        <v>1.822878E-2</v>
      </c>
      <c r="X5797">
        <v>0.99711719999999904</v>
      </c>
      <c r="Y5797">
        <v>6.1117049999999999E-2</v>
      </c>
      <c r="Z5797">
        <v>-3.5912660000000001E-3</v>
      </c>
      <c r="AA5797">
        <v>0.99812409999999996</v>
      </c>
      <c r="AB5797">
        <v>31</v>
      </c>
      <c r="AC5797">
        <v>22.0061</v>
      </c>
      <c r="AD5797">
        <v>-1.1103458008889999</v>
      </c>
      <c r="AE5797">
        <v>-0.45035999999999898</v>
      </c>
      <c r="AF5797">
        <v>1.36311204127276</v>
      </c>
      <c r="AG5797">
        <v>-1.1103458008889999</v>
      </c>
      <c r="AH5797">
        <v>21.912481182357201</v>
      </c>
      <c r="AI5797">
        <v>92.895214810853403</v>
      </c>
      <c r="AJ5797">
        <v>86.4403822171098</v>
      </c>
      <c r="AK5797">
        <v>21.982897302261399</v>
      </c>
      <c r="AL5797">
        <v>88.955510037537906</v>
      </c>
      <c r="AM5797">
        <v>85.775338025062794</v>
      </c>
      <c r="AN5797">
        <v>1.0000000459312299</v>
      </c>
    </row>
    <row r="5798" spans="1:40" x14ac:dyDescent="0.25">
      <c r="A5798" t="str">
        <f>"20190312154411997"</f>
        <v>20190312154411997</v>
      </c>
      <c r="B5798" t="str">
        <f>"1552376651993176"</f>
        <v>1552376651993176</v>
      </c>
      <c r="C5798" t="s">
        <v>40</v>
      </c>
      <c r="D5798">
        <v>5.1435329999999997</v>
      </c>
      <c r="E5798">
        <v>0.45821780000000001</v>
      </c>
      <c r="F5798" t="s">
        <v>43</v>
      </c>
      <c r="G5798">
        <v>-339.46420000000001</v>
      </c>
      <c r="H5798" s="1">
        <v>-1.6887010000000001E-6</v>
      </c>
      <c r="I5798">
        <v>25.165489999999998</v>
      </c>
      <c r="J5798">
        <v>-367.22390000000001</v>
      </c>
      <c r="K5798">
        <v>1.1103350000000001</v>
      </c>
      <c r="L5798">
        <v>23.44455</v>
      </c>
      <c r="M5798">
        <v>0.99903379999999997</v>
      </c>
      <c r="N5798">
        <v>0</v>
      </c>
      <c r="O5798">
        <v>4.1556509999999998E-2</v>
      </c>
      <c r="P5798">
        <v>0.99948300000000001</v>
      </c>
      <c r="Q5798">
        <v>4.6353509999999898E-3</v>
      </c>
      <c r="R5798">
        <v>-3.181991E-2</v>
      </c>
      <c r="S5798">
        <v>3.0079959999999999</v>
      </c>
      <c r="T5798">
        <v>-0.119031</v>
      </c>
      <c r="U5798">
        <v>0.1858215</v>
      </c>
      <c r="V5798">
        <v>7.3335600000000001E-2</v>
      </c>
      <c r="W5798">
        <v>1.8886699999999999E-2</v>
      </c>
      <c r="X5798">
        <v>0.99712849999999997</v>
      </c>
      <c r="Y5798">
        <v>-2.014005E-2</v>
      </c>
      <c r="Z5798">
        <v>-1.2435829999999999E-3</v>
      </c>
      <c r="AA5798">
        <v>0.99979640000000003</v>
      </c>
      <c r="AB5798">
        <v>31</v>
      </c>
      <c r="AC5798">
        <v>27.759699999999999</v>
      </c>
      <c r="AD5798">
        <v>-1.110336688701</v>
      </c>
      <c r="AE5798">
        <v>1.7209399999999899</v>
      </c>
      <c r="AF5798">
        <v>-0.56483863478750096</v>
      </c>
      <c r="AG5798">
        <v>-1.110336688701</v>
      </c>
      <c r="AH5798">
        <v>27.762991962905499</v>
      </c>
      <c r="AI5798">
        <v>92.289759666250404</v>
      </c>
      <c r="AJ5798">
        <v>91.165523003416993</v>
      </c>
      <c r="AK5798">
        <v>27.7909268103455</v>
      </c>
      <c r="AL5798">
        <v>88.917807491067194</v>
      </c>
      <c r="AM5798">
        <v>85.793652676820102</v>
      </c>
      <c r="AN5798">
        <v>1.00000003158824</v>
      </c>
    </row>
    <row r="5799" spans="1:40" x14ac:dyDescent="0.25">
      <c r="A5799" t="str">
        <f>"20190312154412020"</f>
        <v>20190312154412020</v>
      </c>
      <c r="B5799" t="str">
        <f>"1552376652013673"</f>
        <v>1552376652013673</v>
      </c>
      <c r="C5799" t="s">
        <v>40</v>
      </c>
      <c r="D5799">
        <v>5.0812379999999999</v>
      </c>
      <c r="E5799">
        <v>0.45639790000000002</v>
      </c>
      <c r="F5799" t="s">
        <v>43</v>
      </c>
      <c r="G5799">
        <v>-343.13199999999898</v>
      </c>
      <c r="H5799" s="1">
        <v>-4.235127E-6</v>
      </c>
      <c r="I5799">
        <v>25.394439999999999</v>
      </c>
      <c r="J5799">
        <v>-366.91050000000001</v>
      </c>
      <c r="K5799">
        <v>1.1103259999999999</v>
      </c>
      <c r="L5799">
        <v>23.45749</v>
      </c>
      <c r="M5799">
        <v>0.99903889999999995</v>
      </c>
      <c r="N5799">
        <v>0</v>
      </c>
      <c r="O5799">
        <v>4.1432910000000003E-2</v>
      </c>
      <c r="P5799">
        <v>0.99949350000000003</v>
      </c>
      <c r="Q5799">
        <v>4.3190549999999996E-3</v>
      </c>
      <c r="R5799">
        <v>-3.1532270000000001E-2</v>
      </c>
      <c r="S5799">
        <v>3.0099490000000002</v>
      </c>
      <c r="T5799">
        <v>-0.13872129999999999</v>
      </c>
      <c r="U5799">
        <v>0.2436218</v>
      </c>
      <c r="V5799">
        <v>7.2926089999999999E-2</v>
      </c>
      <c r="W5799">
        <v>1.8564420000000002E-2</v>
      </c>
      <c r="X5799">
        <v>0.99716450000000001</v>
      </c>
      <c r="Y5799">
        <v>-3.9305890000000003E-2</v>
      </c>
      <c r="Z5799">
        <v>-1.0006080000000001E-3</v>
      </c>
      <c r="AA5799">
        <v>0.99922670000000002</v>
      </c>
      <c r="AB5799">
        <v>31</v>
      </c>
      <c r="AC5799">
        <v>23.778500000000001</v>
      </c>
      <c r="AD5799">
        <v>-1.1103302351269999</v>
      </c>
      <c r="AE5799">
        <v>1.93694999999999</v>
      </c>
      <c r="AF5799">
        <v>-0.94791991245163199</v>
      </c>
      <c r="AG5799">
        <v>-1.1103302351269999</v>
      </c>
      <c r="AH5799">
        <v>23.786815820840701</v>
      </c>
      <c r="AI5799">
        <v>92.670418259618401</v>
      </c>
      <c r="AJ5799">
        <v>92.282066153166994</v>
      </c>
      <c r="AK5799">
        <v>23.8315755309224</v>
      </c>
      <c r="AL5799">
        <v>88.936275921766196</v>
      </c>
      <c r="AM5799">
        <v>85.817208023859706</v>
      </c>
      <c r="AN5799">
        <v>0.99999994617643495</v>
      </c>
    </row>
    <row r="5800" spans="1:40" x14ac:dyDescent="0.25">
      <c r="A5800" t="str">
        <f>"20190312154412043"</f>
        <v>20190312154412043</v>
      </c>
      <c r="B5800" t="str">
        <f>"1552376652033192"</f>
        <v>1552376652033192</v>
      </c>
      <c r="C5800" t="s">
        <v>40</v>
      </c>
      <c r="D5800">
        <v>5.0795180000000002</v>
      </c>
      <c r="E5800">
        <v>0.45535150000000002</v>
      </c>
      <c r="F5800" t="s">
        <v>43</v>
      </c>
      <c r="G5800">
        <v>-345.28660000000002</v>
      </c>
      <c r="H5800" s="1">
        <v>-3.4888579999999999E-6</v>
      </c>
      <c r="I5800">
        <v>25.320709999999998</v>
      </c>
      <c r="J5800">
        <v>-366.5881</v>
      </c>
      <c r="K5800">
        <v>1.110295</v>
      </c>
      <c r="L5800">
        <v>23.470700000000001</v>
      </c>
      <c r="M5800">
        <v>0.99904599999999999</v>
      </c>
      <c r="N5800">
        <v>0</v>
      </c>
      <c r="O5800">
        <v>4.1262920000000002E-2</v>
      </c>
      <c r="P5800">
        <v>0.99952260000000004</v>
      </c>
      <c r="Q5800">
        <v>3.5944430000000001E-3</v>
      </c>
      <c r="R5800">
        <v>-3.0685250000000001E-2</v>
      </c>
      <c r="S5800">
        <v>3.0103759999999999</v>
      </c>
      <c r="T5800">
        <v>-0.154574499999999</v>
      </c>
      <c r="U5800">
        <v>0.2593994</v>
      </c>
      <c r="V5800">
        <v>7.1912530000000002E-2</v>
      </c>
      <c r="W5800">
        <v>1.7833069999999999E-2</v>
      </c>
      <c r="X5800">
        <v>0.99725149999999996</v>
      </c>
      <c r="Y5800">
        <v>-4.4657959999999997E-2</v>
      </c>
      <c r="Z5800">
        <v>-9.6860139999999995E-4</v>
      </c>
      <c r="AA5800">
        <v>0.9990019</v>
      </c>
      <c r="AB5800">
        <v>31</v>
      </c>
      <c r="AC5800">
        <v>21.301499999999901</v>
      </c>
      <c r="AD5800">
        <v>-1.1102984888580001</v>
      </c>
      <c r="AE5800">
        <v>1.8500099999999999</v>
      </c>
      <c r="AF5800">
        <v>-0.96677522494310597</v>
      </c>
      <c r="AG5800">
        <v>-1.1102984888580001</v>
      </c>
      <c r="AH5800">
        <v>21.3022580032608</v>
      </c>
      <c r="AI5800">
        <v>92.980560524057907</v>
      </c>
      <c r="AJ5800">
        <v>92.598511247977001</v>
      </c>
      <c r="AK5800">
        <v>21.353070343803299</v>
      </c>
      <c r="AL5800">
        <v>88.978186181230399</v>
      </c>
      <c r="AM5800">
        <v>85.875498913096393</v>
      </c>
      <c r="AN5800">
        <v>0.99999999230443704</v>
      </c>
    </row>
    <row r="5801" spans="1:40" x14ac:dyDescent="0.25">
      <c r="A5801" t="str">
        <f>"20190312154412065"</f>
        <v>20190312154412065</v>
      </c>
      <c r="B5801" t="str">
        <f>"1552376652053689"</f>
        <v>1552376652053689</v>
      </c>
      <c r="C5801" t="s">
        <v>40</v>
      </c>
      <c r="D5801">
        <v>5.0721239999999996</v>
      </c>
      <c r="E5801">
        <v>0.45493080000000002</v>
      </c>
      <c r="F5801" t="s">
        <v>43</v>
      </c>
      <c r="G5801">
        <v>-346.2</v>
      </c>
      <c r="H5801" s="1">
        <v>-3.1252050000000001E-6</v>
      </c>
      <c r="I5801">
        <v>25.301459999999999</v>
      </c>
      <c r="J5801">
        <v>-366.29309999999998</v>
      </c>
      <c r="K5801">
        <v>1.1102559999999999</v>
      </c>
      <c r="L5801">
        <v>23.482700000000001</v>
      </c>
      <c r="M5801">
        <v>0.99905469999999996</v>
      </c>
      <c r="N5801">
        <v>0</v>
      </c>
      <c r="O5801">
        <v>4.1052999999999999E-2</v>
      </c>
      <c r="P5801">
        <v>0.9995404</v>
      </c>
      <c r="Q5801">
        <v>3.3616050000000001E-3</v>
      </c>
      <c r="R5801">
        <v>-3.012625E-2</v>
      </c>
      <c r="S5801">
        <v>3.0103149999999999</v>
      </c>
      <c r="T5801">
        <v>-0.16393579999999999</v>
      </c>
      <c r="U5801">
        <v>0.27032469999999997</v>
      </c>
      <c r="V5801">
        <v>7.114674E-2</v>
      </c>
      <c r="W5801">
        <v>1.7591349999999999E-2</v>
      </c>
      <c r="X5801">
        <v>0.99731069999999999</v>
      </c>
      <c r="Y5801">
        <v>-4.8460620000000003E-2</v>
      </c>
      <c r="Z5801">
        <v>-9.1235179999999999E-4</v>
      </c>
      <c r="AA5801">
        <v>0.99882470000000001</v>
      </c>
      <c r="AB5801">
        <v>31</v>
      </c>
      <c r="AC5801">
        <v>20.0931</v>
      </c>
      <c r="AD5801">
        <v>-1.11025912520499</v>
      </c>
      <c r="AE5801">
        <v>1.8187599999999999</v>
      </c>
      <c r="AF5801">
        <v>-0.98926421255049601</v>
      </c>
      <c r="AG5801">
        <v>-1.11025912520499</v>
      </c>
      <c r="AH5801">
        <v>20.0899904233524</v>
      </c>
      <c r="AI5801">
        <v>93.159372867284702</v>
      </c>
      <c r="AJ5801">
        <v>92.819061512191396</v>
      </c>
      <c r="AK5801">
        <v>20.144950588614702</v>
      </c>
      <c r="AL5801">
        <v>88.992037870973704</v>
      </c>
      <c r="AM5801">
        <v>85.919512588834607</v>
      </c>
      <c r="AN5801">
        <v>0.99999997327096901</v>
      </c>
    </row>
    <row r="5802" spans="1:40" x14ac:dyDescent="0.25">
      <c r="A5802" t="str">
        <f>"20190312154412086"</f>
        <v>20190312154412086</v>
      </c>
      <c r="B5802" t="str">
        <f>"1552376652083944"</f>
        <v>1552376652083944</v>
      </c>
      <c r="C5802" t="s">
        <v>40</v>
      </c>
      <c r="D5802">
        <v>5.0890069999999996</v>
      </c>
      <c r="E5802">
        <v>0.45466319999999999</v>
      </c>
      <c r="F5802" t="s">
        <v>43</v>
      </c>
      <c r="G5802">
        <v>-346.45839999999998</v>
      </c>
      <c r="H5802" s="1">
        <v>-3.0133609999999998E-6</v>
      </c>
      <c r="I5802">
        <v>25.29776</v>
      </c>
      <c r="J5802">
        <v>-366.00639999999999</v>
      </c>
      <c r="K5802">
        <v>1.110201</v>
      </c>
      <c r="L5802">
        <v>23.494199999999999</v>
      </c>
      <c r="M5802">
        <v>0.9990658</v>
      </c>
      <c r="N5802">
        <v>0</v>
      </c>
      <c r="O5802">
        <v>4.0784359999999999E-2</v>
      </c>
      <c r="P5802">
        <v>0.9995581</v>
      </c>
      <c r="Q5802">
        <v>3.1699689999999999E-3</v>
      </c>
      <c r="R5802">
        <v>-2.955764E-2</v>
      </c>
      <c r="S5802">
        <v>3.010284</v>
      </c>
      <c r="T5802">
        <v>-0.16850209999999999</v>
      </c>
      <c r="U5802">
        <v>0.27548220000000001</v>
      </c>
      <c r="V5802">
        <v>7.0312860000000005E-2</v>
      </c>
      <c r="W5802">
        <v>1.7390160000000002E-2</v>
      </c>
      <c r="X5802">
        <v>0.99737339999999997</v>
      </c>
      <c r="Y5802">
        <v>-5.0423259999999998E-2</v>
      </c>
      <c r="Z5802">
        <v>-8.6789759999999995E-4</v>
      </c>
      <c r="AA5802">
        <v>0.99872760000000005</v>
      </c>
      <c r="AB5802">
        <v>30</v>
      </c>
      <c r="AC5802">
        <v>19.547999999999998</v>
      </c>
      <c r="AD5802">
        <v>-1.1102040133610001</v>
      </c>
      <c r="AE5802">
        <v>1.8035600000000001</v>
      </c>
      <c r="AF5802">
        <v>-1.00152184355832</v>
      </c>
      <c r="AG5802">
        <v>-1.1102040133610001</v>
      </c>
      <c r="AH5802">
        <v>19.542792962404</v>
      </c>
      <c r="AI5802">
        <v>93.247161762512903</v>
      </c>
      <c r="AJ5802">
        <v>92.9337064821365</v>
      </c>
      <c r="AK5802">
        <v>19.5999070336008</v>
      </c>
      <c r="AL5802">
        <v>89.003567006942802</v>
      </c>
      <c r="AM5802">
        <v>85.967432162242105</v>
      </c>
      <c r="AN5802">
        <v>1.00000000748688</v>
      </c>
    </row>
    <row r="5803" spans="1:40" x14ac:dyDescent="0.25">
      <c r="A5803" t="str">
        <f>"20190312154412099"</f>
        <v>20190312154412099</v>
      </c>
      <c r="B5803" t="str">
        <f>"1552376652093705"</f>
        <v>1552376652093705</v>
      </c>
      <c r="C5803" t="s">
        <v>40</v>
      </c>
      <c r="D5803">
        <v>4.9953760000000003</v>
      </c>
      <c r="E5803">
        <v>0.4547175</v>
      </c>
      <c r="F5803" t="s">
        <v>43</v>
      </c>
      <c r="G5803">
        <v>-346.45580000000001</v>
      </c>
      <c r="H5803" s="1">
        <v>-3.016906E-6</v>
      </c>
      <c r="I5803">
        <v>25.306940000000001</v>
      </c>
      <c r="J5803">
        <v>-365.83780000000002</v>
      </c>
      <c r="K5803">
        <v>1.1101669999999999</v>
      </c>
      <c r="L5803">
        <v>23.500920000000001</v>
      </c>
      <c r="M5803">
        <v>0.99907400000000002</v>
      </c>
      <c r="N5803">
        <v>0</v>
      </c>
      <c r="O5803">
        <v>4.0585780000000002E-2</v>
      </c>
      <c r="P5803">
        <v>0.99956659999999997</v>
      </c>
      <c r="Q5803">
        <v>3.134197E-3</v>
      </c>
      <c r="R5803">
        <v>-2.927679E-2</v>
      </c>
      <c r="S5803">
        <v>3.010132</v>
      </c>
      <c r="T5803">
        <v>-0.1709338</v>
      </c>
      <c r="U5803">
        <v>0.27911380000000002</v>
      </c>
      <c r="V5803">
        <v>6.9835679999999997E-2</v>
      </c>
      <c r="W5803">
        <v>1.7348200000000001E-2</v>
      </c>
      <c r="X5803">
        <v>0.99740770000000001</v>
      </c>
      <c r="Y5803">
        <v>-5.1818129999999997E-2</v>
      </c>
      <c r="Z5803">
        <v>-8.2966870000000001E-4</v>
      </c>
      <c r="AA5803">
        <v>0.99865619999999999</v>
      </c>
      <c r="AB5803">
        <v>30</v>
      </c>
      <c r="AC5803">
        <v>19.382000000000001</v>
      </c>
      <c r="AD5803">
        <v>-1.11017001690599</v>
      </c>
      <c r="AE5803">
        <v>1.80602</v>
      </c>
      <c r="AF5803">
        <v>-1.01451803235143</v>
      </c>
      <c r="AG5803">
        <v>-1.11017001690599</v>
      </c>
      <c r="AH5803">
        <v>19.3763103995988</v>
      </c>
      <c r="AI5803">
        <v>93.274713483753899</v>
      </c>
      <c r="AJ5803">
        <v>92.997194506409699</v>
      </c>
      <c r="AK5803">
        <v>19.434585897466501</v>
      </c>
      <c r="AL5803">
        <v>89.005971543953194</v>
      </c>
      <c r="AM5803">
        <v>85.994847202279402</v>
      </c>
      <c r="AN5803">
        <v>1.0000000511317899</v>
      </c>
    </row>
    <row r="5804" spans="1:40" x14ac:dyDescent="0.25">
      <c r="A5804" t="str">
        <f>"20190312154412112"</f>
        <v>20190312154412112</v>
      </c>
      <c r="B5804" t="str">
        <f>"1552376652103466"</f>
        <v>1552376652103466</v>
      </c>
      <c r="C5804" t="s">
        <v>40</v>
      </c>
      <c r="D5804">
        <v>4.9951559999999997</v>
      </c>
      <c r="E5804">
        <v>0.454683</v>
      </c>
      <c r="F5804" t="s">
        <v>43</v>
      </c>
      <c r="G5804">
        <v>-346.05279999999999</v>
      </c>
      <c r="H5804" s="1">
        <v>-3.1980780000000002E-6</v>
      </c>
      <c r="I5804">
        <v>25.338080000000001</v>
      </c>
      <c r="J5804">
        <v>-365.66329999999999</v>
      </c>
      <c r="K5804">
        <v>1.110128</v>
      </c>
      <c r="L5804">
        <v>23.507809999999999</v>
      </c>
      <c r="M5804">
        <v>0.99908300000000005</v>
      </c>
      <c r="N5804">
        <v>0</v>
      </c>
      <c r="O5804">
        <v>4.0361750000000002E-2</v>
      </c>
      <c r="P5804">
        <v>0.99956409999999996</v>
      </c>
      <c r="Q5804">
        <v>2.9409169999999999E-3</v>
      </c>
      <c r="R5804">
        <v>-2.9377179999999999E-2</v>
      </c>
      <c r="S5804">
        <v>3.0100099999999999</v>
      </c>
      <c r="T5804">
        <v>-0.16889660000000001</v>
      </c>
      <c r="U5804">
        <v>0.2795105</v>
      </c>
      <c r="V5804">
        <v>6.971376E-2</v>
      </c>
      <c r="W5804">
        <v>1.714748E-2</v>
      </c>
      <c r="X5804">
        <v>0.99741970000000002</v>
      </c>
      <c r="Y5804">
        <v>-5.2175800000000001E-2</v>
      </c>
      <c r="Z5804">
        <v>-7.973012E-4</v>
      </c>
      <c r="AA5804">
        <v>0.99863760000000001</v>
      </c>
      <c r="AB5804">
        <v>30</v>
      </c>
      <c r="AC5804">
        <v>19.610499999999998</v>
      </c>
      <c r="AD5804">
        <v>-1.110131198078</v>
      </c>
      <c r="AE5804">
        <v>1.8302699999999901</v>
      </c>
      <c r="AF5804">
        <v>-1.03389878645411</v>
      </c>
      <c r="AG5804">
        <v>-1.110131198078</v>
      </c>
      <c r="AH5804">
        <v>19.606110407062499</v>
      </c>
      <c r="AI5804">
        <v>93.236236823355</v>
      </c>
      <c r="AJ5804">
        <v>93.018610880607895</v>
      </c>
      <c r="AK5804">
        <v>19.6647121329427</v>
      </c>
      <c r="AL5804">
        <v>89.017473663289906</v>
      </c>
      <c r="AM5804">
        <v>86.001864697669802</v>
      </c>
      <c r="AN5804">
        <v>1.00000005117588</v>
      </c>
    </row>
    <row r="5805" spans="1:40" x14ac:dyDescent="0.25">
      <c r="A5805" t="str">
        <f>"20190312154412123"</f>
        <v>20190312154412123</v>
      </c>
      <c r="B5805" t="str">
        <f>"1552376652113225"</f>
        <v>1552376652113225</v>
      </c>
      <c r="C5805" t="s">
        <v>40</v>
      </c>
      <c r="D5805">
        <v>4.6017479999999997</v>
      </c>
      <c r="E5805">
        <v>0.454683</v>
      </c>
      <c r="F5805" t="s">
        <v>43</v>
      </c>
      <c r="G5805">
        <v>-345.65449999999998</v>
      </c>
      <c r="H5805" s="1">
        <v>-3.3715740000000002E-6</v>
      </c>
      <c r="I5805">
        <v>25.365349999999999</v>
      </c>
      <c r="J5805">
        <v>-365.4905</v>
      </c>
      <c r="K5805">
        <v>1.1100890000000001</v>
      </c>
      <c r="L5805">
        <v>23.514530000000001</v>
      </c>
      <c r="M5805">
        <v>0.99909320000000001</v>
      </c>
      <c r="N5805">
        <v>0</v>
      </c>
      <c r="O5805">
        <v>4.0107579999999997E-2</v>
      </c>
      <c r="P5805">
        <v>0.99956440000000002</v>
      </c>
      <c r="Q5805">
        <v>1.8365549999999999E-3</v>
      </c>
      <c r="R5805">
        <v>-2.9461669999999999E-2</v>
      </c>
      <c r="S5805">
        <v>3.0100099999999999</v>
      </c>
      <c r="T5805">
        <v>-0.1670016</v>
      </c>
      <c r="U5805">
        <v>0.27944950000000002</v>
      </c>
      <c r="V5805">
        <v>6.9545019999999999E-2</v>
      </c>
      <c r="W5805">
        <v>1.6035170000000001E-2</v>
      </c>
      <c r="X5805">
        <v>0.9974499</v>
      </c>
      <c r="Y5805">
        <v>-5.2409440000000002E-2</v>
      </c>
      <c r="Z5805">
        <v>-7.6786750000000005E-4</v>
      </c>
      <c r="AA5805">
        <v>0.9986254</v>
      </c>
      <c r="AB5805">
        <v>30</v>
      </c>
      <c r="AC5805">
        <v>19.835999999999999</v>
      </c>
      <c r="AD5805">
        <v>-1.1100923715740001</v>
      </c>
      <c r="AE5805">
        <v>1.8508199999999899</v>
      </c>
      <c r="AF5805">
        <v>-1.05041387054427</v>
      </c>
      <c r="AG5805">
        <v>-1.1100923715740001</v>
      </c>
      <c r="AH5805">
        <v>19.832697304821</v>
      </c>
      <c r="AI5805">
        <v>93.199189937655802</v>
      </c>
      <c r="AJ5805">
        <v>93.031766161434405</v>
      </c>
      <c r="AK5805">
        <v>19.891494583301501</v>
      </c>
      <c r="AL5805">
        <v>89.081213030452204</v>
      </c>
      <c r="AM5805">
        <v>86.011631160219906</v>
      </c>
      <c r="AN5805">
        <v>0.999999969746869</v>
      </c>
    </row>
    <row r="5806" spans="1:40" x14ac:dyDescent="0.25">
      <c r="A5806" t="str">
        <f>"20190312154412220"</f>
        <v>20190312154412220</v>
      </c>
      <c r="B5806" t="str">
        <f>"1552376652213755"</f>
        <v>1552376652213755</v>
      </c>
      <c r="C5806" t="s">
        <v>40</v>
      </c>
      <c r="D5806">
        <v>4.7629130000000002</v>
      </c>
      <c r="E5806">
        <v>0.43784040000000002</v>
      </c>
      <c r="F5806" t="s">
        <v>43</v>
      </c>
      <c r="G5806">
        <v>-345.88420000000002</v>
      </c>
      <c r="H5806" s="1">
        <v>-3.2691350000000001E-6</v>
      </c>
      <c r="I5806">
        <v>25.333200000000001</v>
      </c>
      <c r="J5806">
        <v>-364.1832</v>
      </c>
      <c r="K5806">
        <v>1.1097790000000001</v>
      </c>
      <c r="L5806">
        <v>23.562740000000002</v>
      </c>
      <c r="M5806">
        <v>0.99920759999999997</v>
      </c>
      <c r="N5806">
        <v>0</v>
      </c>
      <c r="O5806">
        <v>3.7157200000000001E-2</v>
      </c>
      <c r="P5806">
        <v>0.99947819999999998</v>
      </c>
      <c r="Q5806">
        <v>6.9291980000000001E-4</v>
      </c>
      <c r="R5806">
        <v>-3.2300620000000002E-2</v>
      </c>
      <c r="S5806">
        <v>3.0098569999999998</v>
      </c>
      <c r="T5806">
        <v>-0.17041479999999901</v>
      </c>
      <c r="U5806">
        <v>0.27920529999999999</v>
      </c>
      <c r="V5806">
        <v>6.9443240000000003E-2</v>
      </c>
      <c r="W5806">
        <v>1.482749E-2</v>
      </c>
      <c r="X5806">
        <v>0.99747569999999997</v>
      </c>
      <c r="Y5806">
        <v>-5.5272420000000003E-2</v>
      </c>
      <c r="Z5806">
        <v>-5.3643660000000004E-4</v>
      </c>
      <c r="AA5806">
        <v>0.99847109999999994</v>
      </c>
      <c r="AB5806">
        <v>30</v>
      </c>
      <c r="AC5806">
        <v>18.2989999999999</v>
      </c>
      <c r="AD5806">
        <v>-1.1097822691349899</v>
      </c>
      <c r="AE5806">
        <v>1.7704599999999999</v>
      </c>
      <c r="AF5806">
        <v>-1.0852736265515199</v>
      </c>
      <c r="AG5806">
        <v>-1.1097822691349899</v>
      </c>
      <c r="AH5806">
        <v>18.285520943842201</v>
      </c>
      <c r="AI5806">
        <v>93.467040944763099</v>
      </c>
      <c r="AJ5806">
        <v>93.396607557704399</v>
      </c>
      <c r="AK5806">
        <v>18.351286377719301</v>
      </c>
      <c r="AL5806">
        <v>89.150416265300606</v>
      </c>
      <c r="AM5806">
        <v>86.017552069499402</v>
      </c>
      <c r="AN5806">
        <v>0.99999999506594295</v>
      </c>
    </row>
    <row r="5807" spans="1:40" x14ac:dyDescent="0.25">
      <c r="A5807" t="str">
        <f>"20190312154412310"</f>
        <v>20190312154412310</v>
      </c>
      <c r="B5807" t="str">
        <f>"1552376652303544"</f>
        <v>1552376652303544</v>
      </c>
      <c r="C5807" t="s">
        <v>40</v>
      </c>
      <c r="D5807">
        <v>4.885872</v>
      </c>
      <c r="E5807">
        <v>0.42231800000000003</v>
      </c>
      <c r="F5807" t="s">
        <v>43</v>
      </c>
      <c r="G5807">
        <v>-341.54969999999997</v>
      </c>
      <c r="H5807" s="1">
        <v>-5.1271039999999997E-6</v>
      </c>
      <c r="I5807">
        <v>27.387250000000002</v>
      </c>
      <c r="J5807">
        <v>-362.97989999999999</v>
      </c>
      <c r="K5807">
        <v>1.1094759999999999</v>
      </c>
      <c r="L5807">
        <v>23.601140000000001</v>
      </c>
      <c r="M5807">
        <v>0.99936009999999997</v>
      </c>
      <c r="N5807">
        <v>0</v>
      </c>
      <c r="O5807">
        <v>3.2798250000000001E-2</v>
      </c>
      <c r="P5807">
        <v>0.99939109999999998</v>
      </c>
      <c r="Q5807">
        <v>2.4053059999999999E-3</v>
      </c>
      <c r="R5807">
        <v>-3.4810710000000002E-2</v>
      </c>
      <c r="S5807">
        <v>3.0200809999999998</v>
      </c>
      <c r="T5807">
        <v>-0.15516669999999999</v>
      </c>
      <c r="U5807">
        <v>0.53018189999999998</v>
      </c>
      <c r="V5807">
        <v>6.7611889999999994E-2</v>
      </c>
      <c r="W5807">
        <v>1.6486199999999999E-2</v>
      </c>
      <c r="X5807">
        <v>0.99757549999999995</v>
      </c>
      <c r="Y5807">
        <v>-0.14036999999999999</v>
      </c>
      <c r="Z5807">
        <v>1.906313E-3</v>
      </c>
      <c r="AA5807">
        <v>0.99009729999999996</v>
      </c>
      <c r="AB5807">
        <v>30</v>
      </c>
      <c r="AC5807">
        <v>21.430199999999999</v>
      </c>
      <c r="AD5807">
        <v>-1.1094811271039999</v>
      </c>
      <c r="AE5807">
        <v>3.7861099999999999</v>
      </c>
      <c r="AF5807">
        <v>-3.0731402920714901</v>
      </c>
      <c r="AG5807">
        <v>-1.1094811271039999</v>
      </c>
      <c r="AH5807">
        <v>21.487009523124499</v>
      </c>
      <c r="AI5807">
        <v>92.926117148246902</v>
      </c>
      <c r="AJ5807">
        <v>98.139424738127403</v>
      </c>
      <c r="AK5807">
        <v>21.7339991228719</v>
      </c>
      <c r="AL5807">
        <v>89.055367544670901</v>
      </c>
      <c r="AM5807">
        <v>86.122638798903097</v>
      </c>
      <c r="AN5807">
        <v>1.0000000203300301</v>
      </c>
    </row>
    <row r="5808" spans="1:40" x14ac:dyDescent="0.25">
      <c r="A5808" t="str">
        <f>"20190312154412323"</f>
        <v>20190312154412323</v>
      </c>
      <c r="B5808" t="str">
        <f>"1552376652313305"</f>
        <v>1552376652313305</v>
      </c>
      <c r="C5808" t="s">
        <v>40</v>
      </c>
      <c r="D5808">
        <v>4.8817529999999998</v>
      </c>
      <c r="E5808">
        <v>0.42220190000000002</v>
      </c>
      <c r="F5808" t="s">
        <v>43</v>
      </c>
      <c r="G5808">
        <v>-340.42790000000002</v>
      </c>
      <c r="H5808" s="1">
        <v>-5.5259769999999997E-6</v>
      </c>
      <c r="I5808">
        <v>27.483899999999998</v>
      </c>
      <c r="J5808">
        <v>-362.80930000000001</v>
      </c>
      <c r="K5808">
        <v>1.109442</v>
      </c>
      <c r="L5808">
        <v>23.606020000000001</v>
      </c>
      <c r="M5808">
        <v>0.99938400000000005</v>
      </c>
      <c r="N5808">
        <v>0</v>
      </c>
      <c r="O5808">
        <v>3.2067499999999999E-2</v>
      </c>
      <c r="P5808">
        <v>0.99937310000000001</v>
      </c>
      <c r="Q5808">
        <v>2.6231190000000001E-3</v>
      </c>
      <c r="R5808">
        <v>-3.5309939999999998E-2</v>
      </c>
      <c r="S5808">
        <v>3.0203250000000001</v>
      </c>
      <c r="T5808">
        <v>-0.14859</v>
      </c>
      <c r="U5808">
        <v>0.52001949999999997</v>
      </c>
      <c r="V5808">
        <v>6.7382799999999896E-2</v>
      </c>
      <c r="W5808">
        <v>1.669789E-2</v>
      </c>
      <c r="X5808">
        <v>0.99758740000000001</v>
      </c>
      <c r="Y5808">
        <v>-0.1378597</v>
      </c>
      <c r="Z5808">
        <v>1.8003100000000001E-3</v>
      </c>
      <c r="AA5808">
        <v>0.9904501</v>
      </c>
      <c r="AB5808">
        <v>30</v>
      </c>
      <c r="AC5808">
        <v>22.3813999999999</v>
      </c>
      <c r="AD5808">
        <v>-1.109447525977</v>
      </c>
      <c r="AE5808">
        <v>3.87787999999999</v>
      </c>
      <c r="AF5808">
        <v>-3.15058076179906</v>
      </c>
      <c r="AG5808">
        <v>-1.109447525977</v>
      </c>
      <c r="AH5808">
        <v>22.440719542501999</v>
      </c>
      <c r="AI5808">
        <v>92.8028989471633</v>
      </c>
      <c r="AJ5808">
        <v>97.991845880982297</v>
      </c>
      <c r="AK5808">
        <v>22.687946723640401</v>
      </c>
      <c r="AL5808">
        <v>89.043236855507899</v>
      </c>
      <c r="AM5808">
        <v>86.135782583637095</v>
      </c>
      <c r="AN5808">
        <v>0.99999994095252398</v>
      </c>
    </row>
    <row r="5809" spans="1:40" x14ac:dyDescent="0.25">
      <c r="A5809" t="str">
        <f>"20190312154412337"</f>
        <v>20190312154412337</v>
      </c>
      <c r="B5809" t="str">
        <f>"1552376652333800"</f>
        <v>1552376652333800</v>
      </c>
      <c r="C5809" t="s">
        <v>40</v>
      </c>
      <c r="D5809">
        <v>4.8769900000000002</v>
      </c>
      <c r="E5809">
        <v>0.42189219999999999</v>
      </c>
      <c r="F5809" t="s">
        <v>43</v>
      </c>
      <c r="G5809">
        <v>-338.85660000000001</v>
      </c>
      <c r="H5809" s="1">
        <v>-2.6301220000000002E-6</v>
      </c>
      <c r="I5809">
        <v>27.724029999999999</v>
      </c>
      <c r="J5809">
        <v>-362.62459999999999</v>
      </c>
      <c r="K5809">
        <v>1.1094109999999999</v>
      </c>
      <c r="L5809">
        <v>23.61111</v>
      </c>
      <c r="M5809">
        <v>0.99940969999999996</v>
      </c>
      <c r="N5809">
        <v>0</v>
      </c>
      <c r="O5809">
        <v>3.1255110000000003E-2</v>
      </c>
      <c r="P5809">
        <v>0.99932909999999997</v>
      </c>
      <c r="Q5809">
        <v>2.659167E-3</v>
      </c>
      <c r="R5809">
        <v>-3.6531710000000002E-2</v>
      </c>
      <c r="S5809">
        <v>3.0205989999999998</v>
      </c>
      <c r="T5809">
        <v>-0.13990830000000001</v>
      </c>
      <c r="U5809">
        <v>0.51931759999999905</v>
      </c>
      <c r="V5809">
        <v>6.779288E-2</v>
      </c>
      <c r="W5809">
        <v>1.6726020000000001E-2</v>
      </c>
      <c r="X5809">
        <v>0.99755919999999998</v>
      </c>
      <c r="Y5809">
        <v>-0.138438899999999</v>
      </c>
      <c r="Z5809">
        <v>1.7456990000000001E-3</v>
      </c>
      <c r="AA5809">
        <v>0.99036939999999996</v>
      </c>
      <c r="AB5809">
        <v>30</v>
      </c>
      <c r="AC5809">
        <v>23.767999999999901</v>
      </c>
      <c r="AD5809">
        <v>-1.1094136301219999</v>
      </c>
      <c r="AE5809">
        <v>4.1129199999999901</v>
      </c>
      <c r="AF5809">
        <v>-3.3608537016080602</v>
      </c>
      <c r="AG5809">
        <v>-1.1094136301219999</v>
      </c>
      <c r="AH5809">
        <v>23.8345293420548</v>
      </c>
      <c r="AI5809">
        <v>92.638925234090607</v>
      </c>
      <c r="AJ5809">
        <v>98.026233234525506</v>
      </c>
      <c r="AK5809">
        <v>24.095869462702201</v>
      </c>
      <c r="AL5809">
        <v>89.041624952696907</v>
      </c>
      <c r="AM5809">
        <v>86.112227962606497</v>
      </c>
      <c r="AN5809">
        <v>0.99999999591418698</v>
      </c>
    </row>
    <row r="5810" spans="1:40" x14ac:dyDescent="0.25">
      <c r="A5810" t="str">
        <f>"20190312154412356"</f>
        <v>20190312154412356</v>
      </c>
      <c r="B5810" t="str">
        <f>"1552376652343560"</f>
        <v>1552376652343560</v>
      </c>
      <c r="C5810" t="s">
        <v>40</v>
      </c>
      <c r="D5810">
        <v>4.9091339999999999</v>
      </c>
      <c r="E5810">
        <v>0.42279749999999999</v>
      </c>
      <c r="F5810" t="s">
        <v>43</v>
      </c>
      <c r="G5810">
        <v>-337.63310000000001</v>
      </c>
      <c r="H5810" s="1">
        <v>-3.1469560000000002E-6</v>
      </c>
      <c r="I5810">
        <v>27.895099999999999</v>
      </c>
      <c r="J5810">
        <v>-362.3768</v>
      </c>
      <c r="K5810">
        <v>1.109375</v>
      </c>
      <c r="L5810">
        <v>23.617709999999999</v>
      </c>
      <c r="M5810">
        <v>0.999444</v>
      </c>
      <c r="N5810">
        <v>0</v>
      </c>
      <c r="O5810">
        <v>3.0135889999999999E-2</v>
      </c>
      <c r="P5810">
        <v>0.99926219999999999</v>
      </c>
      <c r="Q5810">
        <v>3.1020729999999999E-3</v>
      </c>
      <c r="R5810">
        <v>-3.8283900000000003E-2</v>
      </c>
      <c r="S5810">
        <v>3.0213009999999998</v>
      </c>
      <c r="T5810">
        <v>-0.1341205</v>
      </c>
      <c r="U5810">
        <v>0.51791379999999998</v>
      </c>
      <c r="V5810">
        <v>6.8427680000000005E-2</v>
      </c>
      <c r="W5810">
        <v>1.7157970000000002E-2</v>
      </c>
      <c r="X5810">
        <v>0.99750850000000002</v>
      </c>
      <c r="Y5810">
        <v>-0.1390699</v>
      </c>
      <c r="Z5810">
        <v>1.7363529999999999E-3</v>
      </c>
      <c r="AA5810">
        <v>0.99028099999999997</v>
      </c>
      <c r="AB5810">
        <v>30</v>
      </c>
      <c r="AC5810">
        <v>24.743699999999901</v>
      </c>
      <c r="AD5810">
        <v>-1.109378146956</v>
      </c>
      <c r="AE5810">
        <v>4.2773899999999996</v>
      </c>
      <c r="AF5810">
        <v>-3.5228216005288502</v>
      </c>
      <c r="AG5810">
        <v>-1.109378146956</v>
      </c>
      <c r="AH5810">
        <v>24.8129448249306</v>
      </c>
      <c r="AI5810">
        <v>92.534585899831796</v>
      </c>
      <c r="AJ5810">
        <v>98.080572555584197</v>
      </c>
      <c r="AK5810">
        <v>25.0863154486096</v>
      </c>
      <c r="AL5810">
        <v>89.016872467700395</v>
      </c>
      <c r="AM5810">
        <v>86.075737966740604</v>
      </c>
      <c r="AN5810">
        <v>0.99999997544847596</v>
      </c>
    </row>
    <row r="5811" spans="1:40" x14ac:dyDescent="0.25">
      <c r="A5811" t="str">
        <f>"20190312154412369"</f>
        <v>20190312154412369</v>
      </c>
      <c r="B5811" t="str">
        <f>"1552376652364057"</f>
        <v>1552376652364057</v>
      </c>
      <c r="C5811" t="s">
        <v>40</v>
      </c>
      <c r="D5811">
        <v>4.775544</v>
      </c>
      <c r="E5811">
        <v>0.4245506</v>
      </c>
      <c r="F5811" t="s">
        <v>43</v>
      </c>
      <c r="G5811">
        <v>-336.77359999999999</v>
      </c>
      <c r="H5811" s="1">
        <v>-3.440219E-6</v>
      </c>
      <c r="I5811">
        <v>27.89931</v>
      </c>
      <c r="J5811">
        <v>-362.18689999999998</v>
      </c>
      <c r="K5811">
        <v>1.1093519999999999</v>
      </c>
      <c r="L5811">
        <v>23.622530000000001</v>
      </c>
      <c r="M5811">
        <v>0.99946990000000002</v>
      </c>
      <c r="N5811">
        <v>0</v>
      </c>
      <c r="O5811">
        <v>2.9261800000000001E-2</v>
      </c>
      <c r="P5811">
        <v>0.99919659999999999</v>
      </c>
      <c r="Q5811">
        <v>3.356548E-3</v>
      </c>
      <c r="R5811">
        <v>-3.993857E-2</v>
      </c>
      <c r="S5811">
        <v>3.021973</v>
      </c>
      <c r="T5811">
        <v>-0.1309409</v>
      </c>
      <c r="U5811">
        <v>0.50537109999999996</v>
      </c>
      <c r="V5811">
        <v>6.920896E-2</v>
      </c>
      <c r="W5811">
        <v>1.740446E-2</v>
      </c>
      <c r="X5811">
        <v>0.99745039999999996</v>
      </c>
      <c r="Y5811">
        <v>-0.1359098</v>
      </c>
      <c r="Z5811">
        <v>1.665003E-3</v>
      </c>
      <c r="AA5811">
        <v>0.99071980000000004</v>
      </c>
      <c r="AB5811">
        <v>30</v>
      </c>
      <c r="AC5811">
        <v>25.4132999999999</v>
      </c>
      <c r="AD5811">
        <v>-1.109355440219</v>
      </c>
      <c r="AE5811">
        <v>4.2767799999999898</v>
      </c>
      <c r="AF5811">
        <v>-3.5247020914570699</v>
      </c>
      <c r="AG5811">
        <v>-1.109355440219</v>
      </c>
      <c r="AH5811">
        <v>25.480357629050001</v>
      </c>
      <c r="AI5811">
        <v>92.469465057446996</v>
      </c>
      <c r="AJ5811">
        <v>97.875753669019403</v>
      </c>
      <c r="AK5811">
        <v>25.746899215838599</v>
      </c>
      <c r="AL5811">
        <v>89.002747593604198</v>
      </c>
      <c r="AM5811">
        <v>86.030844250578994</v>
      </c>
      <c r="AN5811">
        <v>1.0000000479161599</v>
      </c>
    </row>
    <row r="5812" spans="1:40" x14ac:dyDescent="0.25">
      <c r="A5812" t="str">
        <f>"20190312154412389"</f>
        <v>20190312154412389</v>
      </c>
      <c r="B5812" t="str">
        <f>"1552376652383577"</f>
        <v>1552376652383577</v>
      </c>
      <c r="C5812" t="s">
        <v>40</v>
      </c>
      <c r="D5812">
        <v>4.9396230000000001</v>
      </c>
      <c r="E5812">
        <v>0.42517909999999998</v>
      </c>
      <c r="F5812" t="s">
        <v>43</v>
      </c>
      <c r="G5812">
        <v>-337.67720000000003</v>
      </c>
      <c r="H5812" s="1">
        <v>-3.074302E-6</v>
      </c>
      <c r="I5812">
        <v>27.570049999999998</v>
      </c>
      <c r="J5812">
        <v>-361.9325</v>
      </c>
      <c r="K5812">
        <v>1.1093329999999999</v>
      </c>
      <c r="L5812">
        <v>23.62875</v>
      </c>
      <c r="M5812">
        <v>0.99950430000000001</v>
      </c>
      <c r="N5812">
        <v>0</v>
      </c>
      <c r="O5812">
        <v>2.8070580000000001E-2</v>
      </c>
      <c r="P5812">
        <v>0.99908189999999997</v>
      </c>
      <c r="Q5812">
        <v>3.8677490000000002E-3</v>
      </c>
      <c r="R5812">
        <v>-4.2668919999999999E-2</v>
      </c>
      <c r="S5812">
        <v>3.0223390000000001</v>
      </c>
      <c r="T5812">
        <v>-0.13679669999999999</v>
      </c>
      <c r="U5812">
        <v>0.48678589999999999</v>
      </c>
      <c r="V5812">
        <v>7.0748469999999994E-2</v>
      </c>
      <c r="W5812">
        <v>1.790363E-2</v>
      </c>
      <c r="X5812">
        <v>0.99733349999999998</v>
      </c>
      <c r="Y5812">
        <v>-0.13113169999999999</v>
      </c>
      <c r="Z5812">
        <v>1.68609799999999E-3</v>
      </c>
      <c r="AA5812">
        <v>0.99136349999999995</v>
      </c>
      <c r="AB5812">
        <v>30</v>
      </c>
      <c r="AC5812">
        <v>24.255299999999899</v>
      </c>
      <c r="AD5812">
        <v>-1.109336074302</v>
      </c>
      <c r="AE5812">
        <v>3.9412999999999898</v>
      </c>
      <c r="AF5812">
        <v>-3.2521892483595201</v>
      </c>
      <c r="AG5812">
        <v>-1.109336074302</v>
      </c>
      <c r="AH5812">
        <v>24.3068496378257</v>
      </c>
      <c r="AI5812">
        <v>92.590050360055898</v>
      </c>
      <c r="AJ5812">
        <v>97.620757057459201</v>
      </c>
      <c r="AK5812">
        <v>24.5485295027779</v>
      </c>
      <c r="AL5812">
        <v>88.974142751399</v>
      </c>
      <c r="AM5812">
        <v>85.942370554863601</v>
      </c>
      <c r="AN5812">
        <v>0.99999999809838303</v>
      </c>
    </row>
    <row r="5813" spans="1:40" x14ac:dyDescent="0.25">
      <c r="A5813" t="str">
        <f>"20190312154412403"</f>
        <v>20190312154412403</v>
      </c>
      <c r="B5813" t="str">
        <f>"1552376652393337"</f>
        <v>1552376652393337</v>
      </c>
      <c r="C5813" t="s">
        <v>40</v>
      </c>
      <c r="D5813">
        <v>4.9449509999999997</v>
      </c>
      <c r="E5813">
        <v>0.42538819999999999</v>
      </c>
      <c r="F5813" t="s">
        <v>43</v>
      </c>
      <c r="G5813">
        <v>-336.10449999999997</v>
      </c>
      <c r="H5813" s="1">
        <v>-3.6282089999999999E-6</v>
      </c>
      <c r="I5813">
        <v>27.67548</v>
      </c>
      <c r="J5813">
        <v>-361.74419999999998</v>
      </c>
      <c r="K5813">
        <v>1.1093230000000001</v>
      </c>
      <c r="L5813">
        <v>23.633089999999999</v>
      </c>
      <c r="M5813">
        <v>0.99952890000000005</v>
      </c>
      <c r="N5813">
        <v>0</v>
      </c>
      <c r="O5813">
        <v>2.7179180000000001E-2</v>
      </c>
      <c r="P5813">
        <v>0.9989905</v>
      </c>
      <c r="Q5813">
        <v>4.1458160000000001E-3</v>
      </c>
      <c r="R5813">
        <v>-4.4731319999999998E-2</v>
      </c>
      <c r="S5813">
        <v>3.0234679999999998</v>
      </c>
      <c r="T5813">
        <v>-0.12986049999999999</v>
      </c>
      <c r="U5813">
        <v>0.47372439999999999</v>
      </c>
      <c r="V5813">
        <v>7.1919380000000005E-2</v>
      </c>
      <c r="W5813">
        <v>1.8173470000000001E-2</v>
      </c>
      <c r="X5813">
        <v>0.99724489999999999</v>
      </c>
      <c r="Y5813">
        <v>-0.12779199999999999</v>
      </c>
      <c r="Z5813">
        <v>1.5673499999999999E-3</v>
      </c>
      <c r="AA5813">
        <v>0.99179980000000001</v>
      </c>
      <c r="AB5813">
        <v>30</v>
      </c>
      <c r="AC5813">
        <v>25.639700000000001</v>
      </c>
      <c r="AD5813">
        <v>-1.109326628209</v>
      </c>
      <c r="AE5813">
        <v>4.0423900000000001</v>
      </c>
      <c r="AF5813">
        <v>-3.3378627428791301</v>
      </c>
      <c r="AG5813">
        <v>-1.109326628209</v>
      </c>
      <c r="AH5813">
        <v>25.6931765464916</v>
      </c>
      <c r="AI5813">
        <v>92.451685909831994</v>
      </c>
      <c r="AJ5813">
        <v>97.401977503644005</v>
      </c>
      <c r="AK5813">
        <v>25.932821950330499</v>
      </c>
      <c r="AL5813">
        <v>88.958679576878097</v>
      </c>
      <c r="AM5813">
        <v>85.875080186130702</v>
      </c>
      <c r="AN5813">
        <v>1.0000000314037101</v>
      </c>
    </row>
    <row r="5814" spans="1:40" x14ac:dyDescent="0.25">
      <c r="A5814" t="str">
        <f>"20190312154412422"</f>
        <v>20190312154412422</v>
      </c>
      <c r="B5814" t="str">
        <f>"1552376652413833"</f>
        <v>1552376652413833</v>
      </c>
      <c r="C5814" t="s">
        <v>40</v>
      </c>
      <c r="D5814">
        <v>4.937163</v>
      </c>
      <c r="E5814">
        <v>0.42570530000000001</v>
      </c>
      <c r="F5814" t="s">
        <v>43</v>
      </c>
      <c r="G5814">
        <v>-335.43439999999998</v>
      </c>
      <c r="H5814" s="1">
        <v>-3.8577399999999998E-6</v>
      </c>
      <c r="I5814">
        <v>27.683959999999999</v>
      </c>
      <c r="J5814">
        <v>-361.48469999999998</v>
      </c>
      <c r="K5814">
        <v>1.109316</v>
      </c>
      <c r="L5814">
        <v>23.638850000000001</v>
      </c>
      <c r="M5814">
        <v>0.99956179999999994</v>
      </c>
      <c r="N5814">
        <v>0</v>
      </c>
      <c r="O5814">
        <v>2.594575E-2</v>
      </c>
      <c r="P5814">
        <v>0.99884439999999997</v>
      </c>
      <c r="Q5814">
        <v>4.6550380000000002E-3</v>
      </c>
      <c r="R5814">
        <v>-4.7839659999999999E-2</v>
      </c>
      <c r="S5814">
        <v>3.024384</v>
      </c>
      <c r="T5814">
        <v>-0.1275202</v>
      </c>
      <c r="U5814">
        <v>0.46566770000000002</v>
      </c>
      <c r="V5814">
        <v>7.3793629999999999E-2</v>
      </c>
      <c r="W5814">
        <v>1.867216E-2</v>
      </c>
      <c r="X5814">
        <v>0.9970987</v>
      </c>
      <c r="Y5814">
        <v>-0.12639329999999999</v>
      </c>
      <c r="Z5814">
        <v>1.5612880000000001E-3</v>
      </c>
      <c r="AA5814">
        <v>0.99197900000000006</v>
      </c>
      <c r="AB5814">
        <v>30</v>
      </c>
      <c r="AC5814">
        <v>26.0503</v>
      </c>
      <c r="AD5814">
        <v>-1.1093198577400001</v>
      </c>
      <c r="AE5814">
        <v>4.0451099999999904</v>
      </c>
      <c r="AF5814">
        <v>-3.3618320169041098</v>
      </c>
      <c r="AG5814">
        <v>-1.1093198577400001</v>
      </c>
      <c r="AH5814">
        <v>26.100277219865301</v>
      </c>
      <c r="AI5814">
        <v>92.413816291248096</v>
      </c>
      <c r="AJ5814">
        <v>97.339540659441795</v>
      </c>
      <c r="AK5814">
        <v>26.339266808521401</v>
      </c>
      <c r="AL5814">
        <v>88.930101843852199</v>
      </c>
      <c r="AM5814">
        <v>85.767350357200698</v>
      </c>
      <c r="AN5814">
        <v>0.99999998346466601</v>
      </c>
    </row>
    <row r="5815" spans="1:40" x14ac:dyDescent="0.25">
      <c r="A5815" t="str">
        <f>"20190312154412446"</f>
        <v>20190312154412446</v>
      </c>
      <c r="B5815" t="str">
        <f>"1552376652433353"</f>
        <v>1552376652433353</v>
      </c>
      <c r="C5815" t="s">
        <v>40</v>
      </c>
      <c r="D5815">
        <v>4.8554019999999998</v>
      </c>
      <c r="E5815">
        <v>0.42579410000000001</v>
      </c>
      <c r="F5815" t="s">
        <v>43</v>
      </c>
      <c r="G5815">
        <v>-334.48410000000001</v>
      </c>
      <c r="H5815" s="1">
        <v>-4.1816150000000001E-6</v>
      </c>
      <c r="I5815">
        <v>27.686599999999999</v>
      </c>
      <c r="J5815">
        <v>-361.17880000000002</v>
      </c>
      <c r="K5815">
        <v>1.10917</v>
      </c>
      <c r="L5815">
        <v>23.64508</v>
      </c>
      <c r="M5815">
        <v>0.99958360000000002</v>
      </c>
      <c r="N5815">
        <v>0</v>
      </c>
      <c r="O5815">
        <v>2.5268929999999998E-2</v>
      </c>
      <c r="P5815">
        <v>0.99875510000000001</v>
      </c>
      <c r="Q5815">
        <v>4.7408299999999997E-3</v>
      </c>
      <c r="R5815">
        <v>-4.9659469999999997E-2</v>
      </c>
      <c r="S5815">
        <v>3.0257869999999998</v>
      </c>
      <c r="T5815">
        <v>-0.1243142</v>
      </c>
      <c r="U5815">
        <v>0.4536133</v>
      </c>
      <c r="V5815">
        <v>7.493735E-2</v>
      </c>
      <c r="W5815">
        <v>1.8420430000000002E-2</v>
      </c>
      <c r="X5815">
        <v>0.99701810000000002</v>
      </c>
      <c r="Y5815">
        <v>-0.1231389</v>
      </c>
      <c r="Z5815">
        <v>1.482969E-3</v>
      </c>
      <c r="AA5815">
        <v>0.99238839999999995</v>
      </c>
      <c r="AB5815">
        <v>30</v>
      </c>
      <c r="AC5815">
        <v>26.694700000000001</v>
      </c>
      <c r="AD5815">
        <v>-1.109174181615</v>
      </c>
      <c r="AE5815">
        <v>4.0415199999999896</v>
      </c>
      <c r="AF5815">
        <v>-3.35994652985991</v>
      </c>
      <c r="AG5815">
        <v>-1.109174181615</v>
      </c>
      <c r="AH5815">
        <v>26.7431735539447</v>
      </c>
      <c r="AI5815">
        <v>92.356479231083895</v>
      </c>
      <c r="AJ5815">
        <v>97.160979883588695</v>
      </c>
      <c r="AK5815">
        <v>26.9762273082262</v>
      </c>
      <c r="AL5815">
        <v>88.944527414801897</v>
      </c>
      <c r="AM5815">
        <v>85.701646753551103</v>
      </c>
      <c r="AN5815">
        <v>1.0000000051969999</v>
      </c>
    </row>
    <row r="5816" spans="1:40" x14ac:dyDescent="0.25">
      <c r="A5816" t="str">
        <f>"20190312154412468"</f>
        <v>20190312154412468</v>
      </c>
      <c r="B5816" t="str">
        <f>"1552376652463609"</f>
        <v>1552376652463609</v>
      </c>
      <c r="C5816" t="s">
        <v>40</v>
      </c>
      <c r="D5816">
        <v>4.9980799999999999</v>
      </c>
      <c r="E5816">
        <v>0.42610160000000002</v>
      </c>
      <c r="F5816" t="s">
        <v>43</v>
      </c>
      <c r="G5816">
        <v>-333.76949999999999</v>
      </c>
      <c r="H5816" s="1">
        <v>-4.4263719999999997E-6</v>
      </c>
      <c r="I5816">
        <v>27.69557</v>
      </c>
      <c r="J5816">
        <v>-360.88330000000002</v>
      </c>
      <c r="K5816">
        <v>1.1093379999999999</v>
      </c>
      <c r="L5816">
        <v>23.650759999999998</v>
      </c>
      <c r="M5816">
        <v>0.99960879999999996</v>
      </c>
      <c r="N5816">
        <v>0</v>
      </c>
      <c r="O5816">
        <v>2.4158309999999999E-2</v>
      </c>
      <c r="P5816">
        <v>0.99867399999999995</v>
      </c>
      <c r="Q5816">
        <v>4.4935920000000002E-3</v>
      </c>
      <c r="R5816">
        <v>-5.1288140000000003E-2</v>
      </c>
      <c r="S5816">
        <v>3.0265499999999999</v>
      </c>
      <c r="T5816">
        <v>-0.122475399999999</v>
      </c>
      <c r="U5816">
        <v>0.44726559999999999</v>
      </c>
      <c r="V5816">
        <v>7.5447769999999997E-2</v>
      </c>
      <c r="W5816">
        <v>1.8365610000000001E-2</v>
      </c>
      <c r="X5816">
        <v>0.99698059999999999</v>
      </c>
      <c r="Y5816">
        <v>-0.12217069999999999</v>
      </c>
      <c r="Z5816">
        <v>1.4860629999999999E-3</v>
      </c>
      <c r="AA5816">
        <v>0.99250799999999995</v>
      </c>
      <c r="AB5816">
        <v>30</v>
      </c>
      <c r="AC5816">
        <v>27.113800000000001</v>
      </c>
      <c r="AD5816">
        <v>-1.109342426372</v>
      </c>
      <c r="AE5816">
        <v>4.0448099999999902</v>
      </c>
      <c r="AF5816">
        <v>-3.3830008287280502</v>
      </c>
      <c r="AG5816">
        <v>-1.109342426372</v>
      </c>
      <c r="AH5816">
        <v>27.1591364925645</v>
      </c>
      <c r="AI5816">
        <v>92.321086382069794</v>
      </c>
      <c r="AJ5816">
        <v>97.100314836088003</v>
      </c>
      <c r="AK5816">
        <v>27.391495582531999</v>
      </c>
      <c r="AL5816">
        <v>88.947668884017801</v>
      </c>
      <c r="AM5816">
        <v>85.672318113965005</v>
      </c>
      <c r="AN5816">
        <v>0.99999998920250199</v>
      </c>
    </row>
    <row r="5817" spans="1:40" x14ac:dyDescent="0.25">
      <c r="A5817" t="str">
        <f>"20190312154412488"</f>
        <v>20190312154412488</v>
      </c>
      <c r="B5817" t="str">
        <f>"1552376652483129"</f>
        <v>1552376652483129</v>
      </c>
      <c r="C5817" t="s">
        <v>40</v>
      </c>
      <c r="D5817">
        <v>4.9837049999999996</v>
      </c>
      <c r="E5817">
        <v>0.42619279999999998</v>
      </c>
      <c r="F5817" t="s">
        <v>43</v>
      </c>
      <c r="G5817">
        <v>-334.17939999999999</v>
      </c>
      <c r="H5817" s="1">
        <v>-4.2577809999999998E-6</v>
      </c>
      <c r="I5817">
        <v>27.531590000000001</v>
      </c>
      <c r="J5817">
        <v>-360.6046</v>
      </c>
      <c r="K5817">
        <v>1.1096379999999999</v>
      </c>
      <c r="L5817">
        <v>23.65598</v>
      </c>
      <c r="M5817">
        <v>0.99964799999999998</v>
      </c>
      <c r="N5817">
        <v>0</v>
      </c>
      <c r="O5817">
        <v>2.2232680000000001E-2</v>
      </c>
      <c r="P5817">
        <v>0.99859290000000001</v>
      </c>
      <c r="Q5817">
        <v>4.3402459999999999E-3</v>
      </c>
      <c r="R5817">
        <v>-5.2855649999999997E-2</v>
      </c>
      <c r="S5817">
        <v>3.027161</v>
      </c>
      <c r="T5817">
        <v>-0.12575549999999999</v>
      </c>
      <c r="U5817">
        <v>0.43994139999999998</v>
      </c>
      <c r="V5817">
        <v>7.5081060000000005E-2</v>
      </c>
      <c r="W5817">
        <v>1.8650710000000001E-2</v>
      </c>
      <c r="X5817">
        <v>0.99700299999999997</v>
      </c>
      <c r="Y5817">
        <v>-0.1216971</v>
      </c>
      <c r="Z5817">
        <v>1.5954669999999999E-3</v>
      </c>
      <c r="AA5817">
        <v>0.99256599999999995</v>
      </c>
      <c r="AB5817">
        <v>30</v>
      </c>
      <c r="AC5817">
        <v>26.4252</v>
      </c>
      <c r="AD5817">
        <v>-1.1096422577809999</v>
      </c>
      <c r="AE5817">
        <v>3.87561</v>
      </c>
      <c r="AF5817">
        <v>-3.2814229133579</v>
      </c>
      <c r="AG5817">
        <v>-1.1096422577809999</v>
      </c>
      <c r="AH5817">
        <v>26.4591678143439</v>
      </c>
      <c r="AI5817">
        <v>92.383221738183593</v>
      </c>
      <c r="AJ5817">
        <v>97.069631805111399</v>
      </c>
      <c r="AK5817">
        <v>26.684950884425</v>
      </c>
      <c r="AL5817">
        <v>88.931331068233504</v>
      </c>
      <c r="AM5817">
        <v>85.693369652852695</v>
      </c>
      <c r="AN5817">
        <v>0.99999999828161301</v>
      </c>
    </row>
    <row r="5818" spans="1:40" x14ac:dyDescent="0.25">
      <c r="A5818" t="str">
        <f>"20190312154412501"</f>
        <v>20190312154412501</v>
      </c>
      <c r="B5818" t="str">
        <f>"1552376652493865"</f>
        <v>1552376652493865</v>
      </c>
      <c r="C5818" t="s">
        <v>40</v>
      </c>
      <c r="D5818">
        <v>5.1038180000000004</v>
      </c>
      <c r="E5818">
        <v>0.42639339999999998</v>
      </c>
      <c r="F5818" t="s">
        <v>43</v>
      </c>
      <c r="G5818">
        <v>-334.02620000000002</v>
      </c>
      <c r="H5818" s="1">
        <v>-4.2993529999999996E-6</v>
      </c>
      <c r="I5818">
        <v>27.471910000000001</v>
      </c>
      <c r="J5818">
        <v>-360.42950000000002</v>
      </c>
      <c r="K5818">
        <v>1.109683</v>
      </c>
      <c r="L5818">
        <v>23.659120000000001</v>
      </c>
      <c r="M5818">
        <v>0.99967439999999996</v>
      </c>
      <c r="N5818">
        <v>0</v>
      </c>
      <c r="O5818">
        <v>2.092865E-2</v>
      </c>
      <c r="P5818">
        <v>0.99853630000000004</v>
      </c>
      <c r="Q5818">
        <v>4.3221149999999996E-3</v>
      </c>
      <c r="R5818">
        <v>-5.3915900000000003E-2</v>
      </c>
      <c r="S5818">
        <v>3.0278320000000001</v>
      </c>
      <c r="T5818">
        <v>-0.1264113</v>
      </c>
      <c r="U5818">
        <v>0.43472290000000002</v>
      </c>
      <c r="V5818">
        <v>7.4836360000000005E-2</v>
      </c>
      <c r="W5818">
        <v>1.875512E-2</v>
      </c>
      <c r="X5818">
        <v>0.99701949999999995</v>
      </c>
      <c r="Y5818">
        <v>-0.12128319999999999</v>
      </c>
      <c r="Z5818">
        <v>1.6491209999999999E-3</v>
      </c>
      <c r="AA5818">
        <v>0.99261659999999996</v>
      </c>
      <c r="AB5818">
        <v>30</v>
      </c>
      <c r="AC5818">
        <v>26.403300000000002</v>
      </c>
      <c r="AD5818">
        <v>-1.109687299353</v>
      </c>
      <c r="AE5818">
        <v>3.8127899999999899</v>
      </c>
      <c r="AF5818">
        <v>-3.2536805598156802</v>
      </c>
      <c r="AG5818">
        <v>-1.109687299353</v>
      </c>
      <c r="AH5818">
        <v>26.4315861589196</v>
      </c>
      <c r="AI5818">
        <v>92.386069393203002</v>
      </c>
      <c r="AJ5818">
        <v>97.017702373410998</v>
      </c>
      <c r="AK5818">
        <v>26.654203982937801</v>
      </c>
      <c r="AL5818">
        <v>88.925347834940496</v>
      </c>
      <c r="AM5818">
        <v>85.707423806987194</v>
      </c>
      <c r="AN5818">
        <v>1.00000005934225</v>
      </c>
    </row>
    <row r="5819" spans="1:40" x14ac:dyDescent="0.25">
      <c r="A5819" t="str">
        <f>"20190312154412514"</f>
        <v>20190312154412514</v>
      </c>
      <c r="B5819" t="str">
        <f>"1552376652503625"</f>
        <v>1552376652503625</v>
      </c>
      <c r="C5819" t="s">
        <v>40</v>
      </c>
      <c r="D5819">
        <v>5.2764720000000001</v>
      </c>
      <c r="E5819">
        <v>0.42639339999999998</v>
      </c>
      <c r="F5819" t="s">
        <v>43</v>
      </c>
      <c r="G5819">
        <v>-333.69889999999998</v>
      </c>
      <c r="H5819" s="1">
        <v>-4.4078670000000003E-6</v>
      </c>
      <c r="I5819">
        <v>27.45581</v>
      </c>
      <c r="J5819">
        <v>-360.2602</v>
      </c>
      <c r="K5819">
        <v>1.1096440000000001</v>
      </c>
      <c r="L5819">
        <v>23.662019999999998</v>
      </c>
      <c r="M5819">
        <v>0.99969649999999999</v>
      </c>
      <c r="N5819">
        <v>0</v>
      </c>
      <c r="O5819">
        <v>1.981279E-2</v>
      </c>
      <c r="P5819">
        <v>0.99850439999999996</v>
      </c>
      <c r="Q5819">
        <v>4.4858720000000001E-3</v>
      </c>
      <c r="R5819">
        <v>-5.4492150000000003E-2</v>
      </c>
      <c r="S5819">
        <v>3.028168</v>
      </c>
      <c r="T5819">
        <v>-0.1257105</v>
      </c>
      <c r="U5819">
        <v>0.43011470000000002</v>
      </c>
      <c r="V5819">
        <v>7.4299329999999997E-2</v>
      </c>
      <c r="W5819">
        <v>1.8966790000000001E-2</v>
      </c>
      <c r="X5819">
        <v>0.99705560000000004</v>
      </c>
      <c r="Y5819">
        <v>-0.12089560000000001</v>
      </c>
      <c r="Z5819">
        <v>1.6780129999999999E-3</v>
      </c>
      <c r="AA5819">
        <v>0.99266379999999999</v>
      </c>
      <c r="AB5819">
        <v>30</v>
      </c>
      <c r="AC5819">
        <v>26.561299999999999</v>
      </c>
      <c r="AD5819">
        <v>-1.1096484078669999</v>
      </c>
      <c r="AE5819">
        <v>3.7937899999999898</v>
      </c>
      <c r="AF5819">
        <v>-3.2611573448886402</v>
      </c>
      <c r="AG5819">
        <v>-1.1096484078669999</v>
      </c>
      <c r="AH5819">
        <v>26.585786008121499</v>
      </c>
      <c r="AI5819">
        <v>92.372286925134802</v>
      </c>
      <c r="AJ5819">
        <v>96.993276584193893</v>
      </c>
      <c r="AK5819">
        <v>26.808030223924199</v>
      </c>
      <c r="AL5819">
        <v>88.913217815253205</v>
      </c>
      <c r="AM5819">
        <v>85.738267412850206</v>
      </c>
      <c r="AN5819">
        <v>0.99999999952635599</v>
      </c>
    </row>
    <row r="5820" spans="1:40" x14ac:dyDescent="0.25">
      <c r="A5820" t="str">
        <f>"20190312154412526"</f>
        <v>20190312154412526</v>
      </c>
      <c r="B5820" t="str">
        <f>"1552376652513385"</f>
        <v>1552376652513385</v>
      </c>
      <c r="C5820" t="s">
        <v>40</v>
      </c>
      <c r="D5820">
        <v>5.2532620000000003</v>
      </c>
      <c r="E5820">
        <v>0.47151199999999999</v>
      </c>
      <c r="F5820" t="s">
        <v>43</v>
      </c>
      <c r="G5820">
        <v>-333.34030000000001</v>
      </c>
      <c r="H5820" s="1">
        <v>-4.532492E-6</v>
      </c>
      <c r="I5820">
        <v>27.470330000000001</v>
      </c>
      <c r="J5820">
        <v>-360.09629999999999</v>
      </c>
      <c r="K5820">
        <v>1.109529</v>
      </c>
      <c r="L5820">
        <v>23.6647</v>
      </c>
      <c r="M5820">
        <v>0.99971460000000001</v>
      </c>
      <c r="N5820">
        <v>0</v>
      </c>
      <c r="O5820">
        <v>1.8877459999999999E-2</v>
      </c>
      <c r="P5820">
        <v>0.9984693</v>
      </c>
      <c r="Q5820">
        <v>4.6079329999999998E-3</v>
      </c>
      <c r="R5820">
        <v>-5.5116169999999999E-2</v>
      </c>
      <c r="S5820">
        <v>3.0284420000000001</v>
      </c>
      <c r="T5820">
        <v>-0.12483329999999999</v>
      </c>
      <c r="U5820">
        <v>0.42843629999999999</v>
      </c>
      <c r="V5820">
        <v>7.3993359999999994E-2</v>
      </c>
      <c r="W5820">
        <v>1.906501E-2</v>
      </c>
      <c r="X5820">
        <v>0.99707650000000003</v>
      </c>
      <c r="Y5820">
        <v>-0.12127250000000001</v>
      </c>
      <c r="Z5820">
        <v>1.712276E-3</v>
      </c>
      <c r="AA5820">
        <v>0.99261779999999999</v>
      </c>
      <c r="AB5820">
        <v>30</v>
      </c>
      <c r="AC5820">
        <v>26.755999999999901</v>
      </c>
      <c r="AD5820">
        <v>-1.1095335324919999</v>
      </c>
      <c r="AE5820">
        <v>3.8056299999999998</v>
      </c>
      <c r="AF5820">
        <v>-3.2942596266654398</v>
      </c>
      <c r="AG5820">
        <v>-1.1095335324919999</v>
      </c>
      <c r="AH5820">
        <v>26.777944113952898</v>
      </c>
      <c r="AI5820">
        <v>92.354937793649299</v>
      </c>
      <c r="AJ5820">
        <v>97.013366802055899</v>
      </c>
      <c r="AK5820">
        <v>27.0026202824391</v>
      </c>
      <c r="AL5820">
        <v>88.907589227730796</v>
      </c>
      <c r="AM5820">
        <v>85.755841911948195</v>
      </c>
      <c r="AN5820">
        <v>1.0000000193913099</v>
      </c>
    </row>
    <row r="5821" spans="1:40" x14ac:dyDescent="0.25">
      <c r="A5821" t="str">
        <f>"20190312154412545"</f>
        <v>20190312154412545</v>
      </c>
      <c r="B5821" t="str">
        <f>"1552376652533887"</f>
        <v>1552376652533887</v>
      </c>
      <c r="C5821" t="s">
        <v>40</v>
      </c>
      <c r="D5821">
        <v>5.0749240000000002</v>
      </c>
      <c r="E5821">
        <v>0.4880641</v>
      </c>
      <c r="F5821" t="s">
        <v>43</v>
      </c>
      <c r="G5821">
        <v>-338.07130000000001</v>
      </c>
      <c r="H5821" s="1">
        <v>-2.0194379999999999E-6</v>
      </c>
      <c r="I5821">
        <v>24.162749999999999</v>
      </c>
      <c r="J5821">
        <v>-359.84949999999998</v>
      </c>
      <c r="K5821">
        <v>1.1093170000000001</v>
      </c>
      <c r="L5821">
        <v>23.668209999999998</v>
      </c>
      <c r="M5821">
        <v>0.99973440000000002</v>
      </c>
      <c r="N5821">
        <v>0</v>
      </c>
      <c r="O5821">
        <v>1.7836890000000001E-2</v>
      </c>
      <c r="P5821">
        <v>0.99843919999999997</v>
      </c>
      <c r="Q5821">
        <v>4.7004949999999998E-3</v>
      </c>
      <c r="R5821">
        <v>-5.5653699999999903E-2</v>
      </c>
      <c r="S5821">
        <v>3.009064</v>
      </c>
      <c r="T5821">
        <v>-0.1515841</v>
      </c>
      <c r="U5821">
        <v>6.8054199999999995E-2</v>
      </c>
      <c r="V5821">
        <v>7.3499430000000004E-2</v>
      </c>
      <c r="W5821">
        <v>1.909361E-2</v>
      </c>
      <c r="X5821">
        <v>0.99711249999999996</v>
      </c>
      <c r="Y5821">
        <v>-4.7893329999999998E-3</v>
      </c>
      <c r="Z5821">
        <v>-7.7733749999999997E-4</v>
      </c>
      <c r="AA5821">
        <v>0.99998830000000005</v>
      </c>
      <c r="AB5821">
        <v>30</v>
      </c>
      <c r="AC5821">
        <v>21.778199999999899</v>
      </c>
      <c r="AD5821">
        <v>-1.109319019438</v>
      </c>
      <c r="AE5821">
        <v>0.49453999999999698</v>
      </c>
      <c r="AF5821">
        <v>-0.105690494567744</v>
      </c>
      <c r="AG5821">
        <v>-1.109319019438</v>
      </c>
      <c r="AH5821">
        <v>21.7272123819141</v>
      </c>
      <c r="AI5821">
        <v>92.922759008097898</v>
      </c>
      <c r="AJ5821">
        <v>90.278709086263206</v>
      </c>
      <c r="AK5821">
        <v>21.755769741756598</v>
      </c>
      <c r="AL5821">
        <v>88.905950287108993</v>
      </c>
      <c r="AM5821">
        <v>85.784222233860305</v>
      </c>
      <c r="AN5821">
        <v>1.0000000349047</v>
      </c>
    </row>
    <row r="5822" spans="1:40" x14ac:dyDescent="0.25">
      <c r="A5822" t="str">
        <f>"20190312154412559"</f>
        <v>20190312154412559</v>
      </c>
      <c r="B5822" t="str">
        <f>"1552376652553401"</f>
        <v>1552376652553401</v>
      </c>
      <c r="C5822" t="s">
        <v>40</v>
      </c>
      <c r="D5822">
        <v>5.1152379999999997</v>
      </c>
      <c r="E5822">
        <v>0.49686950000000002</v>
      </c>
      <c r="F5822" t="s">
        <v>43</v>
      </c>
      <c r="G5822">
        <v>-339.73079999999999</v>
      </c>
      <c r="H5822" s="1">
        <v>-1.060153E-6</v>
      </c>
      <c r="I5822">
        <v>23.233090000000001</v>
      </c>
      <c r="J5822">
        <v>-359.67599999999999</v>
      </c>
      <c r="K5822">
        <v>1.10921</v>
      </c>
      <c r="L5822">
        <v>23.670439999999999</v>
      </c>
      <c r="M5822">
        <v>0.99974580000000002</v>
      </c>
      <c r="N5822">
        <v>0</v>
      </c>
      <c r="O5822">
        <v>1.7193599999999899E-2</v>
      </c>
      <c r="P5822">
        <v>0.99841480000000005</v>
      </c>
      <c r="Q5822">
        <v>4.7214249999999996E-3</v>
      </c>
      <c r="R5822">
        <v>-5.6087999999999999E-2</v>
      </c>
      <c r="S5822">
        <v>3.001862</v>
      </c>
      <c r="T5822">
        <v>-0.1655179</v>
      </c>
      <c r="U5822">
        <v>-6.4910889999999999E-2</v>
      </c>
      <c r="V5822">
        <v>7.3295570000000004E-2</v>
      </c>
      <c r="W5822">
        <v>1.9087409999999999E-2</v>
      </c>
      <c r="X5822">
        <v>0.9971276</v>
      </c>
      <c r="Y5822">
        <v>3.8721810000000002E-2</v>
      </c>
      <c r="Z5822">
        <v>-2.013904E-3</v>
      </c>
      <c r="AA5822">
        <v>0.99924800000000003</v>
      </c>
      <c r="AB5822">
        <v>30</v>
      </c>
      <c r="AC5822">
        <v>19.9452</v>
      </c>
      <c r="AD5822">
        <v>-1.1092110601530001</v>
      </c>
      <c r="AE5822">
        <v>-0.43734999999999802</v>
      </c>
      <c r="AF5822">
        <v>0.77784703876685501</v>
      </c>
      <c r="AG5822">
        <v>-1.1092110601530001</v>
      </c>
      <c r="AH5822">
        <v>19.8732960785355</v>
      </c>
      <c r="AI5822">
        <v>93.192161351450594</v>
      </c>
      <c r="AJ5822">
        <v>87.758569357606603</v>
      </c>
      <c r="AK5822">
        <v>19.9194199769174</v>
      </c>
      <c r="AL5822">
        <v>88.906305558702599</v>
      </c>
      <c r="AM5822">
        <v>85.795936682637702</v>
      </c>
      <c r="AN5822">
        <v>1.00000001024194</v>
      </c>
    </row>
    <row r="5823" spans="1:40" x14ac:dyDescent="0.25">
      <c r="A5823" t="str">
        <f>"20190312154412570"</f>
        <v>20190312154412570</v>
      </c>
      <c r="B5823" t="str">
        <f>"1552376652563160"</f>
        <v>1552376652563160</v>
      </c>
      <c r="C5823" t="s">
        <v>40</v>
      </c>
      <c r="D5823">
        <v>5.068657</v>
      </c>
      <c r="E5823">
        <v>0.49927559999999899</v>
      </c>
      <c r="F5823" t="s">
        <v>43</v>
      </c>
      <c r="G5823">
        <v>-339.78640000000001</v>
      </c>
      <c r="H5823" s="1">
        <v>-9.1204709999999998E-7</v>
      </c>
      <c r="I5823">
        <v>22.76613</v>
      </c>
      <c r="J5823">
        <v>-359.5104</v>
      </c>
      <c r="K5823">
        <v>1.1091340000000001</v>
      </c>
      <c r="L5823">
        <v>23.672450000000001</v>
      </c>
      <c r="M5823">
        <v>0.99975630000000004</v>
      </c>
      <c r="N5823">
        <v>0</v>
      </c>
      <c r="O5823">
        <v>1.6581889999999998E-2</v>
      </c>
      <c r="P5823">
        <v>0.99836650000000005</v>
      </c>
      <c r="Q5823">
        <v>4.5452640000000002E-3</v>
      </c>
      <c r="R5823">
        <v>-5.6956569999999998E-2</v>
      </c>
      <c r="S5823">
        <v>2.9978940000000001</v>
      </c>
      <c r="T5823">
        <v>-0.16718769999999999</v>
      </c>
      <c r="U5823">
        <v>-0.13629150000000001</v>
      </c>
      <c r="V5823">
        <v>7.3555179999999998E-2</v>
      </c>
      <c r="W5823">
        <v>1.8890520000000001E-2</v>
      </c>
      <c r="X5823">
        <v>0.9971122</v>
      </c>
      <c r="Y5823">
        <v>6.1854149999999997E-2</v>
      </c>
      <c r="Z5823">
        <v>-2.6462299999999998E-3</v>
      </c>
      <c r="AA5823">
        <v>0.99808169999999996</v>
      </c>
      <c r="AB5823">
        <v>30</v>
      </c>
      <c r="AC5823">
        <v>19.723999999999901</v>
      </c>
      <c r="AD5823">
        <v>-1.1091349120470999</v>
      </c>
      <c r="AE5823">
        <v>-0.90632000000000001</v>
      </c>
      <c r="AF5823">
        <v>1.2294119384030699</v>
      </c>
      <c r="AG5823">
        <v>-1.1091349120470999</v>
      </c>
      <c r="AH5823">
        <v>19.644270774831501</v>
      </c>
      <c r="AI5823">
        <v>93.225248603917194</v>
      </c>
      <c r="AJ5823">
        <v>86.418886359544103</v>
      </c>
      <c r="AK5823">
        <v>19.713929294849098</v>
      </c>
      <c r="AL5823">
        <v>88.917588523935194</v>
      </c>
      <c r="AM5823">
        <v>85.781034804462394</v>
      </c>
      <c r="AN5823">
        <v>0.99999997781977101</v>
      </c>
    </row>
    <row r="5824" spans="1:40" x14ac:dyDescent="0.25">
      <c r="A5824" t="str">
        <f>"20190312154412588"</f>
        <v>20190312154412588</v>
      </c>
      <c r="B5824" t="str">
        <f>"1552376652583657"</f>
        <v>1552376652583657</v>
      </c>
      <c r="C5824" t="s">
        <v>40</v>
      </c>
      <c r="D5824">
        <v>5.1130899999999997</v>
      </c>
      <c r="E5824">
        <v>0.50257050000000003</v>
      </c>
      <c r="F5824" t="s">
        <v>43</v>
      </c>
      <c r="G5824">
        <v>-339.86430000000001</v>
      </c>
      <c r="H5824" s="1">
        <v>-8.4407789999999998E-7</v>
      </c>
      <c r="I5824">
        <v>22.636199999999999</v>
      </c>
      <c r="J5824">
        <v>-359.27499999999998</v>
      </c>
      <c r="K5824">
        <v>1.1090960000000001</v>
      </c>
      <c r="L5824">
        <v>23.675049999999999</v>
      </c>
      <c r="M5824">
        <v>0.99977169999999904</v>
      </c>
      <c r="N5824">
        <v>0</v>
      </c>
      <c r="O5824">
        <v>1.563589E-2</v>
      </c>
      <c r="P5824">
        <v>0.99830600000000003</v>
      </c>
      <c r="Q5824">
        <v>4.2939370000000003E-3</v>
      </c>
      <c r="R5824">
        <v>-5.8026130000000002E-2</v>
      </c>
      <c r="S5824">
        <v>2.9966740000000001</v>
      </c>
      <c r="T5824">
        <v>-0.16917879999999999</v>
      </c>
      <c r="U5824">
        <v>-0.15805050000000001</v>
      </c>
      <c r="V5824">
        <v>7.3680129999999996E-2</v>
      </c>
      <c r="W5824">
        <v>1.8623529999999999E-2</v>
      </c>
      <c r="X5824">
        <v>0.99710799999999999</v>
      </c>
      <c r="Y5824">
        <v>6.8145129999999998E-2</v>
      </c>
      <c r="Z5824">
        <v>-2.8023000000000002E-3</v>
      </c>
      <c r="AA5824">
        <v>0.99767150000000004</v>
      </c>
      <c r="AB5824">
        <v>30</v>
      </c>
      <c r="AC5824">
        <v>19.410699999999899</v>
      </c>
      <c r="AD5824">
        <v>-1.1090968440779001</v>
      </c>
      <c r="AE5824">
        <v>-1.0388500000000001</v>
      </c>
      <c r="AF5824">
        <v>1.33790322195256</v>
      </c>
      <c r="AG5824">
        <v>-1.1090968440779001</v>
      </c>
      <c r="AH5824">
        <v>19.329155927380398</v>
      </c>
      <c r="AI5824">
        <v>93.276179366160207</v>
      </c>
      <c r="AJ5824">
        <v>86.040482069591306</v>
      </c>
      <c r="AK5824">
        <v>19.407121108135598</v>
      </c>
      <c r="AL5824">
        <v>88.932888619122906</v>
      </c>
      <c r="AM5824">
        <v>85.773876151352994</v>
      </c>
      <c r="AN5824">
        <v>0.99999998054523798</v>
      </c>
    </row>
    <row r="5825" spans="1:40" x14ac:dyDescent="0.25">
      <c r="A5825" t="str">
        <f>"20190312154412601"</f>
        <v>20190312154412601</v>
      </c>
      <c r="B5825" t="str">
        <f>"1552376652593417"</f>
        <v>1552376652593417</v>
      </c>
      <c r="C5825" t="s">
        <v>40</v>
      </c>
      <c r="D5825">
        <v>5.0859129999999997</v>
      </c>
      <c r="E5825">
        <v>0.50353190000000003</v>
      </c>
      <c r="F5825" t="s">
        <v>43</v>
      </c>
      <c r="G5825">
        <v>-339.55590000000001</v>
      </c>
      <c r="H5825" s="1">
        <v>-9.2416709999999996E-7</v>
      </c>
      <c r="I5825">
        <v>22.440010000000001</v>
      </c>
      <c r="J5825">
        <v>-359.11110000000002</v>
      </c>
      <c r="K5825">
        <v>1.109116</v>
      </c>
      <c r="L5825">
        <v>23.676670000000001</v>
      </c>
      <c r="M5825">
        <v>0.99978350000000005</v>
      </c>
      <c r="N5825">
        <v>0</v>
      </c>
      <c r="O5825">
        <v>1.4881159999999999E-2</v>
      </c>
      <c r="P5825">
        <v>0.99825039999999998</v>
      </c>
      <c r="Q5825">
        <v>4.0108690000000002E-3</v>
      </c>
      <c r="R5825">
        <v>-5.8996600000000003E-2</v>
      </c>
      <c r="S5825">
        <v>2.9948730000000001</v>
      </c>
      <c r="T5825">
        <v>-0.1684456</v>
      </c>
      <c r="U5825">
        <v>-0.18756100000000001</v>
      </c>
      <c r="V5825">
        <v>7.3895100000000005E-2</v>
      </c>
      <c r="W5825">
        <v>1.8329370000000001E-2</v>
      </c>
      <c r="X5825">
        <v>0.99709760000000003</v>
      </c>
      <c r="Y5825">
        <v>7.7206629999999998E-2</v>
      </c>
      <c r="Z5825">
        <v>-3.0030679999999998E-3</v>
      </c>
      <c r="AA5825">
        <v>0.99701059999999997</v>
      </c>
      <c r="AB5825">
        <v>30</v>
      </c>
      <c r="AC5825">
        <v>19.555199999999999</v>
      </c>
      <c r="AD5825">
        <v>-1.1091169241670999</v>
      </c>
      <c r="AE5825">
        <v>-1.2366600000000001</v>
      </c>
      <c r="AF5825">
        <v>1.5226791623121301</v>
      </c>
      <c r="AG5825">
        <v>-1.1091169241670999</v>
      </c>
      <c r="AH5825">
        <v>19.472239634262799</v>
      </c>
      <c r="AI5825">
        <v>93.250080552433005</v>
      </c>
      <c r="AJ5825">
        <v>85.528716009346496</v>
      </c>
      <c r="AK5825">
        <v>19.5631492494682</v>
      </c>
      <c r="AL5825">
        <v>88.9497456836786</v>
      </c>
      <c r="AM5825">
        <v>85.761546784675204</v>
      </c>
      <c r="AN5825">
        <v>1.00000003776718</v>
      </c>
    </row>
    <row r="5826" spans="1:40" x14ac:dyDescent="0.25">
      <c r="A5826" t="str">
        <f>"20190312154412614"</f>
        <v>20190312154412614</v>
      </c>
      <c r="B5826" t="str">
        <f>"1552376652603177"</f>
        <v>1552376652603177</v>
      </c>
      <c r="C5826" t="s">
        <v>40</v>
      </c>
      <c r="D5826">
        <v>5.124765</v>
      </c>
      <c r="E5826">
        <v>0.50449900000000003</v>
      </c>
      <c r="F5826" t="s">
        <v>43</v>
      </c>
      <c r="G5826">
        <v>-339.62360000000001</v>
      </c>
      <c r="H5826" s="1">
        <v>-8.8105369999999904E-7</v>
      </c>
      <c r="I5826">
        <v>22.387139999999999</v>
      </c>
      <c r="J5826">
        <v>-358.93150000000003</v>
      </c>
      <c r="K5826">
        <v>1.109145</v>
      </c>
      <c r="L5826">
        <v>23.678439999999998</v>
      </c>
      <c r="M5826">
        <v>0.99979620000000002</v>
      </c>
      <c r="N5826">
        <v>0</v>
      </c>
      <c r="O5826">
        <v>1.402227E-2</v>
      </c>
      <c r="P5826">
        <v>0.99819210000000003</v>
      </c>
      <c r="Q5826">
        <v>3.6965660000000001E-3</v>
      </c>
      <c r="R5826">
        <v>-5.9991019999999999E-2</v>
      </c>
      <c r="S5826">
        <v>2.9942319999999998</v>
      </c>
      <c r="T5826">
        <v>-0.1704136</v>
      </c>
      <c r="U5826">
        <v>-0.19812009999999999</v>
      </c>
      <c r="V5826">
        <v>7.4029869999999998E-2</v>
      </c>
      <c r="W5826">
        <v>1.8001840000000002E-2</v>
      </c>
      <c r="X5826">
        <v>0.99709360000000002</v>
      </c>
      <c r="Y5826">
        <v>7.9858239999999997E-2</v>
      </c>
      <c r="Z5826">
        <v>-3.0649190000000002E-3</v>
      </c>
      <c r="AA5826">
        <v>0.99680150000000001</v>
      </c>
      <c r="AB5826">
        <v>30</v>
      </c>
      <c r="AC5826">
        <v>19.3079</v>
      </c>
      <c r="AD5826">
        <v>-1.1091458810537</v>
      </c>
      <c r="AE5826">
        <v>-1.2912999999999899</v>
      </c>
      <c r="AF5826">
        <v>1.55682758706179</v>
      </c>
      <c r="AG5826">
        <v>-1.1091458810537</v>
      </c>
      <c r="AH5826">
        <v>19.224734289636501</v>
      </c>
      <c r="AI5826">
        <v>93.291194556154196</v>
      </c>
      <c r="AJ5826">
        <v>85.370264837239404</v>
      </c>
      <c r="AK5826">
        <v>19.319532220745501</v>
      </c>
      <c r="AL5826">
        <v>88.968514897488404</v>
      </c>
      <c r="AM5826">
        <v>85.753827962028495</v>
      </c>
      <c r="AN5826">
        <v>1.0000000675282701</v>
      </c>
    </row>
    <row r="5827" spans="1:40" x14ac:dyDescent="0.25">
      <c r="A5827" t="str">
        <f>"20190312154412634"</f>
        <v>20190312154412634</v>
      </c>
      <c r="B5827" t="str">
        <f>"1552376652623673"</f>
        <v>1552376652623673</v>
      </c>
      <c r="C5827" t="s">
        <v>40</v>
      </c>
      <c r="D5827">
        <v>5.1148389999999999</v>
      </c>
      <c r="E5827">
        <v>0.50578500000000004</v>
      </c>
      <c r="F5827" t="s">
        <v>43</v>
      </c>
      <c r="G5827">
        <v>-339.59320000000002</v>
      </c>
      <c r="H5827" s="1">
        <v>-8.7885309999999998E-7</v>
      </c>
      <c r="I5827">
        <v>22.329920000000001</v>
      </c>
      <c r="J5827">
        <v>-358.67669999999998</v>
      </c>
      <c r="K5827">
        <v>1.1091869999999999</v>
      </c>
      <c r="L5827">
        <v>23.68066</v>
      </c>
      <c r="M5827">
        <v>0.99981350000000002</v>
      </c>
      <c r="N5827">
        <v>0</v>
      </c>
      <c r="O5827">
        <v>1.2757589999999999E-2</v>
      </c>
      <c r="P5827">
        <v>0.99809289999999995</v>
      </c>
      <c r="Q5827">
        <v>3.093312E-3</v>
      </c>
      <c r="R5827">
        <v>-6.1653699999999902E-2</v>
      </c>
      <c r="S5827">
        <v>2.9935909999999999</v>
      </c>
      <c r="T5827">
        <v>-0.17169699999999999</v>
      </c>
      <c r="U5827">
        <v>-0.20874019999999999</v>
      </c>
      <c r="V5827">
        <v>7.4426370000000006E-2</v>
      </c>
      <c r="W5827">
        <v>1.7376329999999999E-2</v>
      </c>
      <c r="X5827">
        <v>0.99707509999999999</v>
      </c>
      <c r="Y5827">
        <v>8.2127290000000006E-2</v>
      </c>
      <c r="Z5827">
        <v>-3.0807870000000002E-3</v>
      </c>
      <c r="AA5827">
        <v>0.99661710000000003</v>
      </c>
      <c r="AB5827">
        <v>29</v>
      </c>
      <c r="AC5827">
        <v>19.083499999999901</v>
      </c>
      <c r="AD5827">
        <v>-1.1091878788531</v>
      </c>
      <c r="AE5827">
        <v>-1.3507399999999901</v>
      </c>
      <c r="AF5827">
        <v>1.5887745617046301</v>
      </c>
      <c r="AG5827">
        <v>-1.1091878788531</v>
      </c>
      <c r="AH5827">
        <v>19.000842665217299</v>
      </c>
      <c r="AI5827">
        <v>93.329298822628999</v>
      </c>
      <c r="AJ5827">
        <v>85.220274469101099</v>
      </c>
      <c r="AK5827">
        <v>19.099385444219301</v>
      </c>
      <c r="AL5827">
        <v>89.004359508130406</v>
      </c>
      <c r="AM5827">
        <v>85.731090626662393</v>
      </c>
      <c r="AN5827">
        <v>0.99999998821782698</v>
      </c>
    </row>
    <row r="5828" spans="1:40" x14ac:dyDescent="0.25">
      <c r="A5828" t="str">
        <f>"20190312154412658"</f>
        <v>20190312154412658</v>
      </c>
      <c r="B5828" t="str">
        <f>"1552376652643192"</f>
        <v>1552376652643192</v>
      </c>
      <c r="C5828" t="s">
        <v>40</v>
      </c>
      <c r="D5828">
        <v>5.1275120000000003</v>
      </c>
      <c r="E5828">
        <v>0.50656780000000001</v>
      </c>
      <c r="F5828" t="s">
        <v>43</v>
      </c>
      <c r="G5828">
        <v>-339.56479999999999</v>
      </c>
      <c r="H5828" s="1">
        <v>-8.6989259999999997E-7</v>
      </c>
      <c r="I5828">
        <v>22.250330000000002</v>
      </c>
      <c r="J5828">
        <v>-358.37009999999998</v>
      </c>
      <c r="K5828">
        <v>1.1092029999999999</v>
      </c>
      <c r="L5828">
        <v>23.683039999999998</v>
      </c>
      <c r="M5828">
        <v>0.99983200000000005</v>
      </c>
      <c r="N5828">
        <v>0</v>
      </c>
      <c r="O5828">
        <v>1.125348E-2</v>
      </c>
      <c r="P5828">
        <v>0.99797550000000002</v>
      </c>
      <c r="Q5828">
        <v>2.7783159999999999E-3</v>
      </c>
      <c r="R5828">
        <v>-6.354158E-2</v>
      </c>
      <c r="S5828">
        <v>2.9924010000000001</v>
      </c>
      <c r="T5828">
        <v>-0.17366789999999999</v>
      </c>
      <c r="U5828">
        <v>-0.223938</v>
      </c>
      <c r="V5828">
        <v>7.4811180000000005E-2</v>
      </c>
      <c r="W5828">
        <v>1.7029240000000001E-2</v>
      </c>
      <c r="X5828">
        <v>0.9970523</v>
      </c>
      <c r="Y5828">
        <v>8.5683179999999998E-2</v>
      </c>
      <c r="Z5828">
        <v>-3.132597E-3</v>
      </c>
      <c r="AA5828">
        <v>0.99631749999999997</v>
      </c>
      <c r="AB5828">
        <v>29</v>
      </c>
      <c r="AC5828">
        <v>18.8052999999999</v>
      </c>
      <c r="AD5828">
        <v>-1.1092038698925999</v>
      </c>
      <c r="AE5828">
        <v>-1.4327099999999999</v>
      </c>
      <c r="AF5828">
        <v>1.6385985909380401</v>
      </c>
      <c r="AG5828">
        <v>-1.1092038698925999</v>
      </c>
      <c r="AH5828">
        <v>18.723220949580099</v>
      </c>
      <c r="AI5828">
        <v>93.377482881446497</v>
      </c>
      <c r="AJ5828">
        <v>84.998393443767</v>
      </c>
      <c r="AK5828">
        <v>18.827488980052699</v>
      </c>
      <c r="AL5828">
        <v>89.024249253676402</v>
      </c>
      <c r="AM5828">
        <v>85.709003361562694</v>
      </c>
      <c r="AN5828">
        <v>0.99999999830163</v>
      </c>
    </row>
    <row r="5829" spans="1:40" x14ac:dyDescent="0.25">
      <c r="A5829" t="str">
        <f>"20190312154412682"</f>
        <v>20190312154412682</v>
      </c>
      <c r="B5829" t="str">
        <f>"1552376652673449"</f>
        <v>1552376652673449</v>
      </c>
      <c r="C5829" t="s">
        <v>40</v>
      </c>
      <c r="D5829">
        <v>5.3730869999999999</v>
      </c>
      <c r="E5829">
        <v>0.50749730000000004</v>
      </c>
      <c r="F5829" t="s">
        <v>43</v>
      </c>
      <c r="G5829">
        <v>-339.62630000000001</v>
      </c>
      <c r="H5829" s="1">
        <v>-8.3169349999999899E-7</v>
      </c>
      <c r="I5829">
        <v>22.20607</v>
      </c>
      <c r="J5829">
        <v>-358.05439999999999</v>
      </c>
      <c r="K5829">
        <v>1.1091979999999999</v>
      </c>
      <c r="L5829">
        <v>23.684999999999999</v>
      </c>
      <c r="M5829">
        <v>0.99984810000000002</v>
      </c>
      <c r="N5829">
        <v>0</v>
      </c>
      <c r="O5829">
        <v>9.7627700000000005E-3</v>
      </c>
      <c r="P5829">
        <v>0.99785159999999995</v>
      </c>
      <c r="Q5829">
        <v>2.338864E-3</v>
      </c>
      <c r="R5829">
        <v>-6.5475770000000003E-2</v>
      </c>
      <c r="S5829">
        <v>2.9915769999999999</v>
      </c>
      <c r="T5829">
        <v>-0.17703289999999999</v>
      </c>
      <c r="U5829">
        <v>-0.23571780000000001</v>
      </c>
      <c r="V5829">
        <v>7.5256740000000003E-2</v>
      </c>
      <c r="W5829">
        <v>1.655152E-2</v>
      </c>
      <c r="X5829">
        <v>0.99702679999999999</v>
      </c>
      <c r="Y5829">
        <v>8.8110040000000001E-2</v>
      </c>
      <c r="Z5829">
        <v>-3.1771970000000001E-3</v>
      </c>
      <c r="AA5829">
        <v>0.99610569999999998</v>
      </c>
      <c r="AB5829">
        <v>29</v>
      </c>
      <c r="AC5829">
        <v>18.428099999999901</v>
      </c>
      <c r="AD5829">
        <v>-1.1091988316935</v>
      </c>
      <c r="AE5829">
        <v>-1.4789299999999901</v>
      </c>
      <c r="AF5829">
        <v>1.6528377973709301</v>
      </c>
      <c r="AG5829">
        <v>-1.1091988316935</v>
      </c>
      <c r="AH5829">
        <v>18.346738392904101</v>
      </c>
      <c r="AI5829">
        <v>93.445830109111995</v>
      </c>
      <c r="AJ5829">
        <v>84.852181832145305</v>
      </c>
      <c r="AK5829">
        <v>18.454403390256498</v>
      </c>
      <c r="AL5829">
        <v>89.051624440026501</v>
      </c>
      <c r="AM5829">
        <v>85.683433391364304</v>
      </c>
      <c r="AN5829">
        <v>0.999999984823988</v>
      </c>
    </row>
    <row r="5830" spans="1:40" x14ac:dyDescent="0.25">
      <c r="A5830" t="str">
        <f>"20190312154412701"</f>
        <v>20190312154412701</v>
      </c>
      <c r="B5830" t="str">
        <f>"1552376652693944"</f>
        <v>1552376652693944</v>
      </c>
      <c r="C5830" t="s">
        <v>40</v>
      </c>
      <c r="D5830">
        <v>5.185657</v>
      </c>
      <c r="E5830">
        <v>0.50782139999999998</v>
      </c>
      <c r="F5830" t="s">
        <v>43</v>
      </c>
      <c r="G5830">
        <v>-339.35169999999999</v>
      </c>
      <c r="H5830" s="1">
        <v>-9.2858069999999997E-7</v>
      </c>
      <c r="I5830">
        <v>22.127330000000001</v>
      </c>
      <c r="J5830">
        <v>-357.79129999999998</v>
      </c>
      <c r="K5830">
        <v>1.1091899999999999</v>
      </c>
      <c r="L5830">
        <v>23.68628</v>
      </c>
      <c r="M5830">
        <v>0.99985959999999996</v>
      </c>
      <c r="N5830">
        <v>0</v>
      </c>
      <c r="O5830">
        <v>8.5498239999999993E-3</v>
      </c>
      <c r="P5830">
        <v>0.99776039999999999</v>
      </c>
      <c r="Q5830">
        <v>2.3257960000000002E-3</v>
      </c>
      <c r="R5830">
        <v>-6.6853529999999994E-2</v>
      </c>
      <c r="S5830">
        <v>2.9905089999999999</v>
      </c>
      <c r="T5830">
        <v>-0.177357399999999</v>
      </c>
      <c r="U5830">
        <v>-0.249054</v>
      </c>
      <c r="V5830">
        <v>7.5424720000000001E-2</v>
      </c>
      <c r="W5830">
        <v>1.650718E-2</v>
      </c>
      <c r="X5830">
        <v>0.99701490000000004</v>
      </c>
      <c r="Y5830">
        <v>9.1337979999999999E-2</v>
      </c>
      <c r="Z5830">
        <v>-3.2072759999999998E-3</v>
      </c>
      <c r="AA5830">
        <v>0.9958148</v>
      </c>
      <c r="AB5830">
        <v>29</v>
      </c>
      <c r="AC5830">
        <v>18.439599999999899</v>
      </c>
      <c r="AD5830">
        <v>-1.1091909285807</v>
      </c>
      <c r="AE5830">
        <v>-1.5589499999999901</v>
      </c>
      <c r="AF5830">
        <v>1.7104197540963699</v>
      </c>
      <c r="AG5830">
        <v>-1.1091909285807</v>
      </c>
      <c r="AH5830">
        <v>18.359635766238402</v>
      </c>
      <c r="AI5830">
        <v>93.4424317822983</v>
      </c>
      <c r="AJ5830">
        <v>84.677575132670199</v>
      </c>
      <c r="AK5830">
        <v>18.472467775589401</v>
      </c>
      <c r="AL5830">
        <v>89.054165337181104</v>
      </c>
      <c r="AM5830">
        <v>85.673783514170793</v>
      </c>
      <c r="AN5830">
        <v>1.00000004310031</v>
      </c>
    </row>
    <row r="5831" spans="1:40" x14ac:dyDescent="0.25">
      <c r="A5831" t="str">
        <f>"20190312154412714"</f>
        <v>20190312154412714</v>
      </c>
      <c r="B5831" t="str">
        <f>"1552376652703705"</f>
        <v>1552376652703705</v>
      </c>
      <c r="C5831" t="s">
        <v>40</v>
      </c>
      <c r="D5831">
        <v>5.1584059999999896</v>
      </c>
      <c r="E5831">
        <v>0.50797780000000003</v>
      </c>
      <c r="F5831" t="s">
        <v>43</v>
      </c>
      <c r="G5831">
        <v>-338.54820000000001</v>
      </c>
      <c r="H5831" s="1">
        <v>-1.2495569999999999E-6</v>
      </c>
      <c r="I5831">
        <v>22.038340000000002</v>
      </c>
      <c r="J5831">
        <v>-357.62020000000001</v>
      </c>
      <c r="K5831">
        <v>1.109191</v>
      </c>
      <c r="L5831">
        <v>23.686920000000001</v>
      </c>
      <c r="M5831">
        <v>0.99986620000000004</v>
      </c>
      <c r="N5831">
        <v>0</v>
      </c>
      <c r="O5831">
        <v>7.7620930000000003E-3</v>
      </c>
      <c r="P5831">
        <v>0.99771160000000003</v>
      </c>
      <c r="Q5831">
        <v>2.3302319999999998E-3</v>
      </c>
      <c r="R5831">
        <v>-6.7573880000000003E-2</v>
      </c>
      <c r="S5831">
        <v>2.98996</v>
      </c>
      <c r="T5831">
        <v>-0.1723441</v>
      </c>
      <c r="U5831">
        <v>-0.25604250000000001</v>
      </c>
      <c r="V5831">
        <v>7.5359679999999998E-2</v>
      </c>
      <c r="W5831">
        <v>1.6492880000000001E-2</v>
      </c>
      <c r="X5831">
        <v>0.99702000000000002</v>
      </c>
      <c r="Y5831">
        <v>9.2887949999999997E-2</v>
      </c>
      <c r="Z5831">
        <v>-3.116289E-3</v>
      </c>
      <c r="AA5831">
        <v>0.99567169999999905</v>
      </c>
      <c r="AB5831">
        <v>29</v>
      </c>
      <c r="AC5831">
        <v>19.071999999999999</v>
      </c>
      <c r="AD5831">
        <v>-1.1091922495569999</v>
      </c>
      <c r="AE5831">
        <v>-1.6485799999999999</v>
      </c>
      <c r="AF5831">
        <v>1.79057284800393</v>
      </c>
      <c r="AG5831">
        <v>-1.1091922495569999</v>
      </c>
      <c r="AH5831">
        <v>18.994856415407501</v>
      </c>
      <c r="AI5831">
        <v>93.327237487184107</v>
      </c>
      <c r="AJ5831">
        <v>84.614858222560599</v>
      </c>
      <c r="AK5831">
        <v>19.111280145831</v>
      </c>
      <c r="AL5831">
        <v>89.054984726678498</v>
      </c>
      <c r="AM5831">
        <v>85.677521965067299</v>
      </c>
      <c r="AN5831">
        <v>0.99999998843019799</v>
      </c>
    </row>
    <row r="5832" spans="1:40" x14ac:dyDescent="0.25">
      <c r="A5832" t="str">
        <f>"20190312154412726"</f>
        <v>20190312154412726</v>
      </c>
      <c r="B5832" t="str">
        <f>"1552376652713465"</f>
        <v>1552376652713465</v>
      </c>
      <c r="C5832" t="s">
        <v>40</v>
      </c>
      <c r="D5832">
        <v>5.1905210000000004</v>
      </c>
      <c r="E5832">
        <v>0.50810089999999997</v>
      </c>
      <c r="F5832" t="s">
        <v>43</v>
      </c>
      <c r="G5832">
        <v>-338.19170000000003</v>
      </c>
      <c r="H5832" s="1">
        <v>-1.3924490000000001E-6</v>
      </c>
      <c r="I5832">
        <v>22.00055</v>
      </c>
      <c r="J5832">
        <v>-357.45940000000002</v>
      </c>
      <c r="K5832">
        <v>1.109191</v>
      </c>
      <c r="L5832">
        <v>23.687439999999999</v>
      </c>
      <c r="M5832">
        <v>0.99987199999999998</v>
      </c>
      <c r="N5832">
        <v>0</v>
      </c>
      <c r="O5832">
        <v>7.019829E-3</v>
      </c>
      <c r="P5832">
        <v>0.99765870000000001</v>
      </c>
      <c r="Q5832">
        <v>2.218472E-3</v>
      </c>
      <c r="R5832">
        <v>-6.8355959999999993E-2</v>
      </c>
      <c r="S5832">
        <v>2.989716</v>
      </c>
      <c r="T5832">
        <v>-0.17068559999999999</v>
      </c>
      <c r="U5832">
        <v>-0.25949100000000003</v>
      </c>
      <c r="V5832">
        <v>7.5401220000000005E-2</v>
      </c>
      <c r="W5832">
        <v>1.6364150000000001E-2</v>
      </c>
      <c r="X5832">
        <v>0.99701899999999999</v>
      </c>
      <c r="Y5832">
        <v>9.3299419999999994E-2</v>
      </c>
      <c r="Z5832">
        <v>-3.0558909999999998E-3</v>
      </c>
      <c r="AA5832">
        <v>0.9956334</v>
      </c>
      <c r="AB5832">
        <v>29</v>
      </c>
      <c r="AC5832">
        <v>19.267699999999898</v>
      </c>
      <c r="AD5832">
        <v>-1.1091923924489999</v>
      </c>
      <c r="AE5832">
        <v>-1.68688999999999</v>
      </c>
      <c r="AF5832">
        <v>1.8161454240249599</v>
      </c>
      <c r="AG5832">
        <v>-1.1091923924489999</v>
      </c>
      <c r="AH5832">
        <v>19.192262689465501</v>
      </c>
      <c r="AI5832">
        <v>93.292978971863306</v>
      </c>
      <c r="AJ5832">
        <v>84.594252483292905</v>
      </c>
      <c r="AK5832">
        <v>19.309884492304001</v>
      </c>
      <c r="AL5832">
        <v>89.062361426232499</v>
      </c>
      <c r="AM5832">
        <v>85.675144031379006</v>
      </c>
      <c r="AN5832">
        <v>1.0000000078718501</v>
      </c>
    </row>
    <row r="5833" spans="1:40" x14ac:dyDescent="0.25">
      <c r="A5833" t="str">
        <f>"20190312154412745"</f>
        <v>20190312154412745</v>
      </c>
      <c r="B5833" t="str">
        <f>"1552376652733965"</f>
        <v>1552376652733965</v>
      </c>
      <c r="C5833" t="s">
        <v>40</v>
      </c>
      <c r="D5833">
        <v>5.3450879999999996</v>
      </c>
      <c r="E5833">
        <v>0.50827020000000001</v>
      </c>
      <c r="F5833" t="s">
        <v>43</v>
      </c>
      <c r="G5833">
        <v>-337.8698</v>
      </c>
      <c r="H5833" s="1">
        <v>-1.5209299999999999E-6</v>
      </c>
      <c r="I5833">
        <v>21.964289999999998</v>
      </c>
      <c r="J5833">
        <v>-357.20699999999999</v>
      </c>
      <c r="K5833">
        <v>1.109197</v>
      </c>
      <c r="L5833">
        <v>23.687930000000001</v>
      </c>
      <c r="M5833">
        <v>0.99987999999999999</v>
      </c>
      <c r="N5833">
        <v>0</v>
      </c>
      <c r="O5833">
        <v>5.8407759999999998E-3</v>
      </c>
      <c r="P5833">
        <v>0.99764109999999995</v>
      </c>
      <c r="Q5833">
        <v>2.2412170000000002E-3</v>
      </c>
      <c r="R5833">
        <v>-6.8611560000000002E-2</v>
      </c>
      <c r="S5833">
        <v>2.9893800000000001</v>
      </c>
      <c r="T5833">
        <v>-0.1692621</v>
      </c>
      <c r="U5833">
        <v>-0.26293949999999999</v>
      </c>
      <c r="V5833">
        <v>7.4481210000000006E-2</v>
      </c>
      <c r="W5833">
        <v>1.6366530000000001E-2</v>
      </c>
      <c r="X5833">
        <v>0.99708810000000003</v>
      </c>
      <c r="Y5833">
        <v>9.3279440000000005E-2</v>
      </c>
      <c r="Z5833">
        <v>-2.9634739999999998E-3</v>
      </c>
      <c r="AA5833">
        <v>0.99563559999999995</v>
      </c>
      <c r="AB5833">
        <v>29</v>
      </c>
      <c r="AC5833">
        <v>19.337199999999999</v>
      </c>
      <c r="AD5833">
        <v>-1.1091985209299999</v>
      </c>
      <c r="AE5833">
        <v>-1.7236399999999901</v>
      </c>
      <c r="AF5833">
        <v>1.83059081641275</v>
      </c>
      <c r="AG5833">
        <v>-1.1091985209299999</v>
      </c>
      <c r="AH5833">
        <v>19.2639178139652</v>
      </c>
      <c r="AI5833">
        <v>93.280652708706597</v>
      </c>
      <c r="AJ5833">
        <v>84.5716587824014</v>
      </c>
      <c r="AK5833">
        <v>19.3824640755291</v>
      </c>
      <c r="AL5833">
        <v>89.062225033399699</v>
      </c>
      <c r="AM5833">
        <v>85.728012275492006</v>
      </c>
      <c r="AN5833">
        <v>0.99999999655445704</v>
      </c>
    </row>
    <row r="5834" spans="1:40" x14ac:dyDescent="0.25">
      <c r="A5834" t="str">
        <f>"20190312154412759"</f>
        <v>20190312154412759</v>
      </c>
      <c r="B5834" t="str">
        <f>"1552376652753482"</f>
        <v>1552376652753482</v>
      </c>
      <c r="C5834" t="s">
        <v>40</v>
      </c>
      <c r="D5834">
        <v>5.2098990000000001</v>
      </c>
      <c r="E5834">
        <v>0.50845450000000003</v>
      </c>
      <c r="F5834" t="s">
        <v>43</v>
      </c>
      <c r="G5834">
        <v>-337.26420000000002</v>
      </c>
      <c r="H5834" s="1">
        <v>-1.7685150000000001E-6</v>
      </c>
      <c r="I5834">
        <v>21.918369999999999</v>
      </c>
      <c r="J5834">
        <v>-357.03750000000002</v>
      </c>
      <c r="K5834">
        <v>1.1092059999999999</v>
      </c>
      <c r="L5834">
        <v>23.688079999999999</v>
      </c>
      <c r="M5834">
        <v>0.99988440000000001</v>
      </c>
      <c r="N5834">
        <v>0</v>
      </c>
      <c r="O5834">
        <v>5.0412709999999999E-3</v>
      </c>
      <c r="P5834">
        <v>0.99760219999999999</v>
      </c>
      <c r="Q5834">
        <v>2.3690260000000002E-3</v>
      </c>
      <c r="R5834">
        <v>-6.9169049999999996E-2</v>
      </c>
      <c r="S5834">
        <v>2.989258</v>
      </c>
      <c r="T5834">
        <v>-0.1662585</v>
      </c>
      <c r="U5834">
        <v>-0.26522829999999997</v>
      </c>
      <c r="V5834">
        <v>7.4241710000000002E-2</v>
      </c>
      <c r="W5834">
        <v>1.6481429999999998E-2</v>
      </c>
      <c r="X5834">
        <v>0.99710399999999999</v>
      </c>
      <c r="Y5834">
        <v>9.3250130000000001E-2</v>
      </c>
      <c r="Z5834">
        <v>-2.8658199999999998E-3</v>
      </c>
      <c r="AA5834">
        <v>0.99563860000000004</v>
      </c>
      <c r="AB5834">
        <v>29</v>
      </c>
      <c r="AC5834">
        <v>19.773299999999999</v>
      </c>
      <c r="AD5834">
        <v>-1.1092077685149999</v>
      </c>
      <c r="AE5834">
        <v>-1.7697099999999999</v>
      </c>
      <c r="AF5834">
        <v>1.8635626924222699</v>
      </c>
      <c r="AG5834">
        <v>-1.1092077685149999</v>
      </c>
      <c r="AH5834">
        <v>19.702618900031801</v>
      </c>
      <c r="AI5834">
        <v>93.207919299895295</v>
      </c>
      <c r="AJ5834">
        <v>84.596780922695999</v>
      </c>
      <c r="AK5834">
        <v>19.821614447420998</v>
      </c>
      <c r="AL5834">
        <v>89.055640795401999</v>
      </c>
      <c r="AM5834">
        <v>85.741766220507003</v>
      </c>
      <c r="AN5834">
        <v>0.99999992792728098</v>
      </c>
    </row>
    <row r="5835" spans="1:40" x14ac:dyDescent="0.25">
      <c r="A5835" t="str">
        <f>"20190312154412772"</f>
        <v>20190312154412772</v>
      </c>
      <c r="B5835" t="str">
        <f>"1552376652763241"</f>
        <v>1552376652763241</v>
      </c>
      <c r="C5835" t="s">
        <v>40</v>
      </c>
      <c r="D5835">
        <v>5.2045949999999896</v>
      </c>
      <c r="E5835">
        <v>0.50852790000000003</v>
      </c>
      <c r="F5835" t="s">
        <v>43</v>
      </c>
      <c r="G5835">
        <v>-336.8075</v>
      </c>
      <c r="H5835" s="1">
        <v>-1.9517540000000001E-6</v>
      </c>
      <c r="I5835">
        <v>21.870799999999999</v>
      </c>
      <c r="J5835">
        <v>-356.86770000000001</v>
      </c>
      <c r="K5835">
        <v>1.1092169999999999</v>
      </c>
      <c r="L5835">
        <v>23.688110000000002</v>
      </c>
      <c r="M5835">
        <v>0.99988840000000001</v>
      </c>
      <c r="N5835">
        <v>0</v>
      </c>
      <c r="O5835">
        <v>4.2376100000000002E-3</v>
      </c>
      <c r="P5835">
        <v>0.99755629999999995</v>
      </c>
      <c r="Q5835">
        <v>2.6176870000000001E-3</v>
      </c>
      <c r="R5835">
        <v>-6.9820240000000006E-2</v>
      </c>
      <c r="S5835">
        <v>2.9890140000000001</v>
      </c>
      <c r="T5835">
        <v>-0.16388649999999999</v>
      </c>
      <c r="U5835">
        <v>-0.2684937</v>
      </c>
      <c r="V5835">
        <v>7.4091679999999993E-2</v>
      </c>
      <c r="W5835">
        <v>1.671744E-2</v>
      </c>
      <c r="X5835">
        <v>0.99711130000000003</v>
      </c>
      <c r="Y5835">
        <v>9.3541180000000002E-2</v>
      </c>
      <c r="Z5835">
        <v>-2.7890950000000001E-3</v>
      </c>
      <c r="AA5835">
        <v>0.99561149999999998</v>
      </c>
      <c r="AB5835">
        <v>29</v>
      </c>
      <c r="AC5835">
        <v>20.060199999999998</v>
      </c>
      <c r="AD5835">
        <v>-1.1092189517540001</v>
      </c>
      <c r="AE5835">
        <v>-1.81731</v>
      </c>
      <c r="AF5835">
        <v>1.8965582164494199</v>
      </c>
      <c r="AG5835">
        <v>-1.1092189517540001</v>
      </c>
      <c r="AH5835">
        <v>19.991691318165302</v>
      </c>
      <c r="AI5835">
        <v>93.161576809486306</v>
      </c>
      <c r="AJ5835">
        <v>84.580721494800798</v>
      </c>
      <c r="AK5835">
        <v>20.1120615927885</v>
      </c>
      <c r="AL5835">
        <v>89.042116620478595</v>
      </c>
      <c r="AM5835">
        <v>85.750370836043103</v>
      </c>
      <c r="AN5835">
        <v>0.99999999721653199</v>
      </c>
    </row>
    <row r="5836" spans="1:40" x14ac:dyDescent="0.25">
      <c r="A5836" t="str">
        <f>"20190312154412790"</f>
        <v>20190312154412790</v>
      </c>
      <c r="B5836" t="str">
        <f>"1552376652783737"</f>
        <v>1552376652783737</v>
      </c>
      <c r="C5836" t="s">
        <v>40</v>
      </c>
      <c r="D5836">
        <v>5.181622</v>
      </c>
      <c r="E5836">
        <v>0.50866489999999998</v>
      </c>
      <c r="F5836" t="s">
        <v>43</v>
      </c>
      <c r="G5836">
        <v>-336.47370000000001</v>
      </c>
      <c r="H5836" s="1">
        <v>-2.0864780000000001E-6</v>
      </c>
      <c r="I5836">
        <v>21.838889999999999</v>
      </c>
      <c r="J5836">
        <v>-356.62979999999999</v>
      </c>
      <c r="K5836">
        <v>1.109224</v>
      </c>
      <c r="L5836">
        <v>23.68796</v>
      </c>
      <c r="M5836">
        <v>0.99989269999999997</v>
      </c>
      <c r="N5836">
        <v>0</v>
      </c>
      <c r="O5836">
        <v>3.1085069999999999E-3</v>
      </c>
      <c r="P5836">
        <v>0.99750729999999999</v>
      </c>
      <c r="Q5836">
        <v>2.781492E-3</v>
      </c>
      <c r="R5836">
        <v>-7.0510219999999998E-2</v>
      </c>
      <c r="S5836">
        <v>2.9887999999999999</v>
      </c>
      <c r="T5836">
        <v>-0.1625588</v>
      </c>
      <c r="U5836">
        <v>-0.27099610000000002</v>
      </c>
      <c r="V5836">
        <v>7.3655810000000002E-2</v>
      </c>
      <c r="W5836">
        <v>1.686619E-2</v>
      </c>
      <c r="X5836">
        <v>0.9971411</v>
      </c>
      <c r="Y5836">
        <v>9.3254530000000002E-2</v>
      </c>
      <c r="Z5836">
        <v>-2.6976000000000001E-3</v>
      </c>
      <c r="AA5836">
        <v>0.99563869999999999</v>
      </c>
      <c r="AB5836">
        <v>29</v>
      </c>
      <c r="AC5836">
        <v>20.156099999999899</v>
      </c>
      <c r="AD5836">
        <v>-1.1092260864779999</v>
      </c>
      <c r="AE5836">
        <v>-1.84907</v>
      </c>
      <c r="AF5836">
        <v>1.9059987250016099</v>
      </c>
      <c r="AG5836">
        <v>-1.1092260864779999</v>
      </c>
      <c r="AH5836">
        <v>20.089919662055198</v>
      </c>
      <c r="AI5836">
        <v>93.146168023011498</v>
      </c>
      <c r="AJ5836">
        <v>84.580377086392105</v>
      </c>
      <c r="AK5836">
        <v>20.210593402432799</v>
      </c>
      <c r="AL5836">
        <v>89.033592683797195</v>
      </c>
      <c r="AM5836">
        <v>85.775405771396606</v>
      </c>
      <c r="AN5836">
        <v>1.00000001001054</v>
      </c>
    </row>
    <row r="5837" spans="1:40" x14ac:dyDescent="0.25">
      <c r="A5837" t="str">
        <f>"20190312154412803"</f>
        <v>20190312154412803</v>
      </c>
      <c r="B5837" t="str">
        <f>"1552376652793499"</f>
        <v>1552376652793499</v>
      </c>
      <c r="C5837" t="s">
        <v>40</v>
      </c>
      <c r="D5837">
        <v>5.2142910000000002</v>
      </c>
      <c r="E5837">
        <v>0.50872510000000004</v>
      </c>
      <c r="F5837" t="s">
        <v>43</v>
      </c>
      <c r="G5837">
        <v>-335.88310000000001</v>
      </c>
      <c r="H5837" s="1">
        <v>-2.3253110000000001E-6</v>
      </c>
      <c r="I5837">
        <v>21.784389999999998</v>
      </c>
      <c r="J5837">
        <v>-356.45890000000003</v>
      </c>
      <c r="K5837">
        <v>1.1092329999999999</v>
      </c>
      <c r="L5837">
        <v>23.687650000000001</v>
      </c>
      <c r="M5837">
        <v>0.99989519999999998</v>
      </c>
      <c r="N5837">
        <v>0</v>
      </c>
      <c r="O5837">
        <v>2.2974610000000002E-3</v>
      </c>
      <c r="P5837">
        <v>0.99747439999999998</v>
      </c>
      <c r="Q5837">
        <v>2.5856870000000001E-3</v>
      </c>
      <c r="R5837">
        <v>-7.0981820000000001E-2</v>
      </c>
      <c r="S5837">
        <v>2.9885860000000002</v>
      </c>
      <c r="T5837">
        <v>-0.15978539999999999</v>
      </c>
      <c r="U5837">
        <v>-0.27420040000000001</v>
      </c>
      <c r="V5837">
        <v>7.3317880000000002E-2</v>
      </c>
      <c r="W5837">
        <v>1.6660700000000001E-2</v>
      </c>
      <c r="X5837">
        <v>0.99716939999999998</v>
      </c>
      <c r="Y5837">
        <v>9.3517600000000006E-2</v>
      </c>
      <c r="Z5837">
        <v>-2.6154659999999999E-3</v>
      </c>
      <c r="AA5837">
        <v>0.9956142</v>
      </c>
      <c r="AB5837">
        <v>29</v>
      </c>
      <c r="AC5837">
        <v>20.575800000000001</v>
      </c>
      <c r="AD5837">
        <v>-1.1092353253110001</v>
      </c>
      <c r="AE5837">
        <v>-1.90326</v>
      </c>
      <c r="AF5837">
        <v>1.9449273996274801</v>
      </c>
      <c r="AG5837">
        <v>-1.1092353253110001</v>
      </c>
      <c r="AH5837">
        <v>20.512264417514299</v>
      </c>
      <c r="AI5837">
        <v>93.0815566955295</v>
      </c>
      <c r="AJ5837">
        <v>84.583534664990097</v>
      </c>
      <c r="AK5837">
        <v>20.634101316286099</v>
      </c>
      <c r="AL5837">
        <v>89.045367992082902</v>
      </c>
      <c r="AM5837">
        <v>85.794837272813794</v>
      </c>
      <c r="AN5837">
        <v>0.999999951374271</v>
      </c>
    </row>
    <row r="5838" spans="1:40" x14ac:dyDescent="0.25">
      <c r="A5838" t="str">
        <f>"20190312154412816"</f>
        <v>20190312154412816</v>
      </c>
      <c r="B5838" t="str">
        <f>"1552376652803257"</f>
        <v>1552376652803257</v>
      </c>
      <c r="C5838" t="s">
        <v>40</v>
      </c>
      <c r="D5838">
        <v>5.1794789999999997</v>
      </c>
      <c r="E5838">
        <v>0.5088049</v>
      </c>
      <c r="F5838" t="s">
        <v>43</v>
      </c>
      <c r="G5838">
        <v>-335.61779999999999</v>
      </c>
      <c r="H5838" s="1">
        <v>-2.4330869999999999E-6</v>
      </c>
      <c r="I5838">
        <v>21.761659999999999</v>
      </c>
      <c r="J5838">
        <v>-356.29039999999998</v>
      </c>
      <c r="K5838">
        <v>1.1092409999999999</v>
      </c>
      <c r="L5838">
        <v>23.687190000000001</v>
      </c>
      <c r="M5838">
        <v>0.99989680000000003</v>
      </c>
      <c r="N5838">
        <v>0</v>
      </c>
      <c r="O5838">
        <v>1.4993980000000001E-3</v>
      </c>
      <c r="P5838">
        <v>0.99742620000000004</v>
      </c>
      <c r="Q5838">
        <v>2.5467570000000002E-3</v>
      </c>
      <c r="R5838">
        <v>-7.1656159999999997E-2</v>
      </c>
      <c r="S5838">
        <v>2.9883730000000002</v>
      </c>
      <c r="T5838">
        <v>-0.15905129999999901</v>
      </c>
      <c r="U5838">
        <v>-0.276153599999999</v>
      </c>
      <c r="V5838">
        <v>7.319618E-2</v>
      </c>
      <c r="W5838">
        <v>1.6611589999999999E-2</v>
      </c>
      <c r="X5838">
        <v>0.99717920000000004</v>
      </c>
      <c r="Y5838">
        <v>9.3377230000000006E-2</v>
      </c>
      <c r="Z5838">
        <v>-2.5574880000000001E-3</v>
      </c>
      <c r="AA5838">
        <v>0.9956275</v>
      </c>
      <c r="AB5838">
        <v>29</v>
      </c>
      <c r="AC5838">
        <v>20.6725999999999</v>
      </c>
      <c r="AD5838">
        <v>-1.109243433087</v>
      </c>
      <c r="AE5838">
        <v>-1.92553</v>
      </c>
      <c r="AF5838">
        <v>1.95095867537128</v>
      </c>
      <c r="AG5838">
        <v>-1.109243433087</v>
      </c>
      <c r="AH5838">
        <v>20.610858087761098</v>
      </c>
      <c r="AI5838">
        <v>93.066912663466098</v>
      </c>
      <c r="AJ5838">
        <v>84.592673948557803</v>
      </c>
      <c r="AK5838">
        <v>20.7326826981141</v>
      </c>
      <c r="AL5838">
        <v>89.048182215414002</v>
      </c>
      <c r="AM5838">
        <v>85.801833536307797</v>
      </c>
      <c r="AN5838">
        <v>0.99999999130077999</v>
      </c>
    </row>
    <row r="5839" spans="1:40" x14ac:dyDescent="0.25">
      <c r="A5839" t="str">
        <f>"20190312154412829"</f>
        <v>20190312154412829</v>
      </c>
      <c r="B5839" t="str">
        <f>"1552376652823753"</f>
        <v>1552376652823753</v>
      </c>
      <c r="C5839" t="s">
        <v>40</v>
      </c>
      <c r="D5839">
        <v>5.3730560000000001</v>
      </c>
      <c r="E5839">
        <v>0.50913790000000003</v>
      </c>
      <c r="F5839" t="s">
        <v>43</v>
      </c>
      <c r="G5839">
        <v>-335.39190000000002</v>
      </c>
      <c r="H5839" s="1">
        <v>-2.5233239999999999E-6</v>
      </c>
      <c r="I5839">
        <v>21.736509999999999</v>
      </c>
      <c r="J5839">
        <v>-356.12020000000001</v>
      </c>
      <c r="K5839">
        <v>1.1092489999999999</v>
      </c>
      <c r="L5839">
        <v>23.68665</v>
      </c>
      <c r="M5839">
        <v>0.99989779999999995</v>
      </c>
      <c r="N5839">
        <v>0</v>
      </c>
      <c r="O5839">
        <v>6.9429840000000001E-4</v>
      </c>
      <c r="P5839">
        <v>0.99737739999999997</v>
      </c>
      <c r="Q5839">
        <v>2.2245659999999999E-3</v>
      </c>
      <c r="R5839">
        <v>-7.2344309999999995E-2</v>
      </c>
      <c r="S5839">
        <v>2.9880979999999999</v>
      </c>
      <c r="T5839">
        <v>-0.15860089999999999</v>
      </c>
      <c r="U5839">
        <v>-0.27890009999999998</v>
      </c>
      <c r="V5839">
        <v>7.3080270000000003E-2</v>
      </c>
      <c r="W5839">
        <v>1.6279760000000001E-2</v>
      </c>
      <c r="X5839">
        <v>0.9971932</v>
      </c>
      <c r="Y5839">
        <v>9.3492980000000003E-2</v>
      </c>
      <c r="Z5839">
        <v>-2.510829E-3</v>
      </c>
      <c r="AA5839">
        <v>0.99561679999999997</v>
      </c>
      <c r="AB5839">
        <v>29</v>
      </c>
      <c r="AC5839">
        <v>20.728299999999901</v>
      </c>
      <c r="AD5839">
        <v>-1.1092515233239999</v>
      </c>
      <c r="AE5839">
        <v>-1.95014</v>
      </c>
      <c r="AF5839">
        <v>1.9589718678774699</v>
      </c>
      <c r="AG5839">
        <v>-1.1092515233239999</v>
      </c>
      <c r="AH5839">
        <v>20.668271745202901</v>
      </c>
      <c r="AI5839">
        <v>93.058395903662799</v>
      </c>
      <c r="AJ5839">
        <v>84.585589223945107</v>
      </c>
      <c r="AK5839">
        <v>20.790513862208499</v>
      </c>
      <c r="AL5839">
        <v>89.067197270003902</v>
      </c>
      <c r="AM5839">
        <v>85.808516478006894</v>
      </c>
      <c r="AN5839">
        <v>1.00000001728758</v>
      </c>
    </row>
    <row r="5840" spans="1:40" x14ac:dyDescent="0.25">
      <c r="A5840" t="str">
        <f>"20190312154412847"</f>
        <v>20190312154412847</v>
      </c>
      <c r="B5840" t="str">
        <f>"1552376652843275"</f>
        <v>1552376652843275</v>
      </c>
      <c r="C5840" t="s">
        <v>40</v>
      </c>
      <c r="D5840">
        <v>5.1887339999999904</v>
      </c>
      <c r="E5840">
        <v>0.53545030000000005</v>
      </c>
      <c r="F5840" t="s">
        <v>43</v>
      </c>
      <c r="G5840">
        <v>-335.3306</v>
      </c>
      <c r="H5840" s="1">
        <v>-2.54326E-6</v>
      </c>
      <c r="I5840">
        <v>21.712720000000001</v>
      </c>
      <c r="J5840">
        <v>-355.88229999999999</v>
      </c>
      <c r="K5840">
        <v>1.109267</v>
      </c>
      <c r="L5840">
        <v>23.68561</v>
      </c>
      <c r="M5840">
        <v>0.99989830000000002</v>
      </c>
      <c r="N5840">
        <v>0</v>
      </c>
      <c r="O5840">
        <v>-4.295341E-4</v>
      </c>
      <c r="P5840">
        <v>0.99730200000000002</v>
      </c>
      <c r="Q5840">
        <v>2.3472810000000001E-3</v>
      </c>
      <c r="R5840">
        <v>-7.3373350000000004E-2</v>
      </c>
      <c r="S5840">
        <v>2.9876710000000002</v>
      </c>
      <c r="T5840">
        <v>-0.1594101</v>
      </c>
      <c r="U5840">
        <v>-0.28366089999999999</v>
      </c>
      <c r="V5840">
        <v>7.2988699999999906E-2</v>
      </c>
      <c r="W5840">
        <v>1.6389899999999999E-2</v>
      </c>
      <c r="X5840">
        <v>0.99719809999999998</v>
      </c>
      <c r="Y5840">
        <v>9.3959249999999994E-2</v>
      </c>
      <c r="Z5840">
        <v>-2.4764019999999999E-3</v>
      </c>
      <c r="AA5840">
        <v>0.99557300000000004</v>
      </c>
      <c r="AB5840">
        <v>29</v>
      </c>
      <c r="AC5840">
        <v>20.551699999999901</v>
      </c>
      <c r="AD5840">
        <v>-1.1092695432599999</v>
      </c>
      <c r="AE5840">
        <v>-1.97289</v>
      </c>
      <c r="AF5840">
        <v>1.9584080171862199</v>
      </c>
      <c r="AG5840">
        <v>-1.1092695432599999</v>
      </c>
      <c r="AH5840">
        <v>20.4933882771676</v>
      </c>
      <c r="AI5840">
        <v>93.084268164040296</v>
      </c>
      <c r="AJ5840">
        <v>84.541224757948498</v>
      </c>
      <c r="AK5840">
        <v>20.616614755098201</v>
      </c>
      <c r="AL5840">
        <v>89.060885868627693</v>
      </c>
      <c r="AM5840">
        <v>85.813770245387005</v>
      </c>
      <c r="AN5840">
        <v>1.0000000148966499</v>
      </c>
    </row>
    <row r="5841" spans="1:40" x14ac:dyDescent="0.25">
      <c r="A5841" t="str">
        <f>"20190312154412869"</f>
        <v>20190312154412869</v>
      </c>
      <c r="B5841" t="str">
        <f>"1552376652863769"</f>
        <v>1552376652863769</v>
      </c>
      <c r="C5841" t="s">
        <v>40</v>
      </c>
      <c r="D5841">
        <v>5.1431380000000004</v>
      </c>
      <c r="E5841">
        <v>0.54320100000000004</v>
      </c>
      <c r="F5841" t="s">
        <v>43</v>
      </c>
      <c r="G5841">
        <v>-335.46910000000003</v>
      </c>
      <c r="H5841" s="1">
        <v>-2.1020060000000001E-6</v>
      </c>
      <c r="I5841">
        <v>20.277670000000001</v>
      </c>
      <c r="J5841">
        <v>-355.60250000000002</v>
      </c>
      <c r="K5841">
        <v>1.1092789999999999</v>
      </c>
      <c r="L5841">
        <v>23.684049999999999</v>
      </c>
      <c r="M5841">
        <v>0.99989689999999998</v>
      </c>
      <c r="N5841">
        <v>0</v>
      </c>
      <c r="O5841">
        <v>-1.750447E-3</v>
      </c>
      <c r="P5841">
        <v>0.99718300000000004</v>
      </c>
      <c r="Q5841">
        <v>2.5377630000000002E-3</v>
      </c>
      <c r="R5841">
        <v>-7.4966270000000002E-2</v>
      </c>
      <c r="S5841">
        <v>2.9719850000000001</v>
      </c>
      <c r="T5841">
        <v>-0.1614999</v>
      </c>
      <c r="U5841">
        <v>-0.49615480000000001</v>
      </c>
      <c r="V5841">
        <v>7.3264830000000003E-2</v>
      </c>
      <c r="W5841">
        <v>1.6566299999999999E-2</v>
      </c>
      <c r="X5841">
        <v>0.99717489999999998</v>
      </c>
      <c r="Y5841">
        <v>0.16270699999999999</v>
      </c>
      <c r="Z5841">
        <v>-4.2928559999999899E-3</v>
      </c>
      <c r="AA5841">
        <v>0.98666509999999996</v>
      </c>
      <c r="AB5841">
        <v>29</v>
      </c>
      <c r="AC5841">
        <v>20.133399999999899</v>
      </c>
      <c r="AD5841">
        <v>-1.1092811020060001</v>
      </c>
      <c r="AE5841">
        <v>-3.4063799999999902</v>
      </c>
      <c r="AF5841">
        <v>3.3612093077321501</v>
      </c>
      <c r="AG5841">
        <v>-1.1092811020060001</v>
      </c>
      <c r="AH5841">
        <v>20.080073073559898</v>
      </c>
      <c r="AI5841">
        <v>93.118667558960695</v>
      </c>
      <c r="AJ5841">
        <v>80.497342378200599</v>
      </c>
      <c r="AK5841">
        <v>20.3896436264383</v>
      </c>
      <c r="AL5841">
        <v>89.0507774871203</v>
      </c>
      <c r="AM5841">
        <v>85.797892158013596</v>
      </c>
      <c r="AN5841">
        <v>0.99999997940031404</v>
      </c>
    </row>
    <row r="5842" spans="1:40" x14ac:dyDescent="0.25">
      <c r="A5842" t="str">
        <f>"20190312154412891"</f>
        <v>20190312154412891</v>
      </c>
      <c r="B5842" t="str">
        <f>"1552376652883289"</f>
        <v>1552376652883289</v>
      </c>
      <c r="C5842" t="s">
        <v>40</v>
      </c>
      <c r="D5842">
        <v>5.1443770000000004</v>
      </c>
      <c r="E5842">
        <v>0.54498530000000001</v>
      </c>
      <c r="F5842" t="s">
        <v>43</v>
      </c>
      <c r="G5842">
        <v>-336.16230000000002</v>
      </c>
      <c r="H5842" s="1">
        <v>-1.7304939999999901E-6</v>
      </c>
      <c r="I5842">
        <v>19.998940000000001</v>
      </c>
      <c r="J5842">
        <v>-355.32060000000001</v>
      </c>
      <c r="K5842">
        <v>1.1092930000000001</v>
      </c>
      <c r="L5842">
        <v>23.68207</v>
      </c>
      <c r="M5842">
        <v>0.99989380000000005</v>
      </c>
      <c r="N5842">
        <v>0</v>
      </c>
      <c r="O5842">
        <v>-3.0807529999999999E-3</v>
      </c>
      <c r="P5842">
        <v>0.99709060000000005</v>
      </c>
      <c r="Q5842">
        <v>2.8004029999999999E-3</v>
      </c>
      <c r="R5842">
        <v>-7.6175670000000001E-2</v>
      </c>
      <c r="S5842">
        <v>2.9666440000000001</v>
      </c>
      <c r="T5842">
        <v>-0.16927990000000001</v>
      </c>
      <c r="U5842">
        <v>-0.56234740000000005</v>
      </c>
      <c r="V5842">
        <v>7.3147970000000007E-2</v>
      </c>
      <c r="W5842">
        <v>1.6817550000000001E-2</v>
      </c>
      <c r="X5842">
        <v>0.99717929999999999</v>
      </c>
      <c r="Y5842">
        <v>0.18292990000000001</v>
      </c>
      <c r="Z5842">
        <v>-4.9948290000000001E-3</v>
      </c>
      <c r="AA5842">
        <v>0.98311329999999997</v>
      </c>
      <c r="AB5842">
        <v>29</v>
      </c>
      <c r="AC5842">
        <v>19.158300000000001</v>
      </c>
      <c r="AD5842">
        <v>-1.109294730494</v>
      </c>
      <c r="AE5842">
        <v>-3.68312999999999</v>
      </c>
      <c r="AF5842">
        <v>3.6124052921158198</v>
      </c>
      <c r="AG5842">
        <v>-1.109294730494</v>
      </c>
      <c r="AH5842">
        <v>19.107779775682399</v>
      </c>
      <c r="AI5842">
        <v>93.264850237421996</v>
      </c>
      <c r="AJ5842">
        <v>79.294346312645203</v>
      </c>
      <c r="AK5842">
        <v>19.477865764749101</v>
      </c>
      <c r="AL5842">
        <v>89.036379941878096</v>
      </c>
      <c r="AM5842">
        <v>85.804589163420601</v>
      </c>
      <c r="AN5842">
        <v>1.0000000059258001</v>
      </c>
    </row>
    <row r="5843" spans="1:40" x14ac:dyDescent="0.25">
      <c r="A5843" t="str">
        <f>"20190312154412913"</f>
        <v>20190312154412913</v>
      </c>
      <c r="B5843" t="str">
        <f>"1552376652903784"</f>
        <v>1552376652903784</v>
      </c>
      <c r="C5843" t="s">
        <v>40</v>
      </c>
      <c r="D5843">
        <v>5.1178839999999903</v>
      </c>
      <c r="E5843">
        <v>0.54554849999999999</v>
      </c>
      <c r="F5843" t="s">
        <v>43</v>
      </c>
      <c r="G5843">
        <v>-336.2328</v>
      </c>
      <c r="H5843" s="1">
        <v>-1.6867679999999899E-6</v>
      </c>
      <c r="I5843">
        <v>19.948239999999998</v>
      </c>
      <c r="J5843">
        <v>-355.02460000000002</v>
      </c>
      <c r="K5843">
        <v>1.1093120000000001</v>
      </c>
      <c r="L5843">
        <v>23.679600000000001</v>
      </c>
      <c r="M5843">
        <v>0.99988869999999996</v>
      </c>
      <c r="N5843">
        <v>0</v>
      </c>
      <c r="O5843">
        <v>-4.4768330000000004E-3</v>
      </c>
      <c r="P5843">
        <v>0.99694970000000005</v>
      </c>
      <c r="Q5843">
        <v>2.6716399999999999E-3</v>
      </c>
      <c r="R5843">
        <v>-7.8004489999999996E-2</v>
      </c>
      <c r="S5843">
        <v>2.964874</v>
      </c>
      <c r="T5843">
        <v>-0.1723045</v>
      </c>
      <c r="U5843">
        <v>-0.57995609999999997</v>
      </c>
      <c r="V5843">
        <v>7.358439E-2</v>
      </c>
      <c r="W5843">
        <v>1.667596E-2</v>
      </c>
      <c r="X5843">
        <v>0.99714959999999997</v>
      </c>
      <c r="Y5843">
        <v>0.18727779999999999</v>
      </c>
      <c r="Z5843">
        <v>-5.128835E-3</v>
      </c>
      <c r="AA5843">
        <v>0.98229359999999999</v>
      </c>
      <c r="AB5843">
        <v>29</v>
      </c>
      <c r="AC5843">
        <v>18.791799999999999</v>
      </c>
      <c r="AD5843">
        <v>-1.109313686768</v>
      </c>
      <c r="AE5843">
        <v>-3.73136</v>
      </c>
      <c r="AF5843">
        <v>3.6349997379987702</v>
      </c>
      <c r="AG5843">
        <v>-1.109313686768</v>
      </c>
      <c r="AH5843">
        <v>18.745472508671501</v>
      </c>
      <c r="AI5843">
        <v>93.324889677524595</v>
      </c>
      <c r="AJ5843">
        <v>79.025775979715306</v>
      </c>
      <c r="AK5843">
        <v>19.1268538846372</v>
      </c>
      <c r="AL5843">
        <v>89.044493619201205</v>
      </c>
      <c r="AM5843">
        <v>85.7795231665269</v>
      </c>
      <c r="AN5843">
        <v>1.00000003743687</v>
      </c>
    </row>
    <row r="5844" spans="1:40" x14ac:dyDescent="0.25">
      <c r="A5844" t="str">
        <f>"20190312154412925"</f>
        <v>20190312154412925</v>
      </c>
      <c r="B5844" t="str">
        <f>"1552376652913545"</f>
        <v>1552376652913545</v>
      </c>
      <c r="C5844" t="s">
        <v>40</v>
      </c>
      <c r="D5844">
        <v>5.1365480000000003</v>
      </c>
      <c r="E5844">
        <v>0.54601759999999999</v>
      </c>
      <c r="F5844" t="s">
        <v>43</v>
      </c>
      <c r="G5844">
        <v>-337.20010000000002</v>
      </c>
      <c r="H5844" s="1">
        <v>-1.3213360000000001E-6</v>
      </c>
      <c r="I5844">
        <v>20.134419999999999</v>
      </c>
      <c r="J5844">
        <v>-354.87270000000001</v>
      </c>
      <c r="K5844">
        <v>1.1093189999999999</v>
      </c>
      <c r="L5844">
        <v>23.678190000000001</v>
      </c>
      <c r="M5844">
        <v>0.99988520000000003</v>
      </c>
      <c r="N5844">
        <v>0</v>
      </c>
      <c r="O5844">
        <v>-5.1937620000000002E-3</v>
      </c>
      <c r="P5844">
        <v>0.99688920000000003</v>
      </c>
      <c r="Q5844">
        <v>2.384845E-3</v>
      </c>
      <c r="R5844">
        <v>-7.8780520000000007E-2</v>
      </c>
      <c r="S5844">
        <v>2.963562</v>
      </c>
      <c r="T5844">
        <v>-0.1844372</v>
      </c>
      <c r="U5844">
        <v>-0.58941650000000001</v>
      </c>
      <c r="V5844">
        <v>7.364503E-2</v>
      </c>
      <c r="W5844">
        <v>1.638417E-2</v>
      </c>
      <c r="X5844">
        <v>0.99714990000000003</v>
      </c>
      <c r="Y5844">
        <v>0.18962689999999999</v>
      </c>
      <c r="Z5844">
        <v>-5.5182119999999998E-3</v>
      </c>
      <c r="AA5844">
        <v>0.98184070000000001</v>
      </c>
      <c r="AB5844">
        <v>29</v>
      </c>
      <c r="AC5844">
        <v>17.6725999999999</v>
      </c>
      <c r="AD5844">
        <v>-1.1093203213359999</v>
      </c>
      <c r="AE5844">
        <v>-3.5437699999999901</v>
      </c>
      <c r="AF5844">
        <v>3.4388995970512299</v>
      </c>
      <c r="AG5844">
        <v>-1.1093203213359999</v>
      </c>
      <c r="AH5844">
        <v>17.6240119314818</v>
      </c>
      <c r="AI5844">
        <v>93.535159817070095</v>
      </c>
      <c r="AJ5844">
        <v>78.958846857253803</v>
      </c>
      <c r="AK5844">
        <v>17.990620294334999</v>
      </c>
      <c r="AL5844">
        <v>89.061214182202605</v>
      </c>
      <c r="AM5844">
        <v>85.776058972163298</v>
      </c>
      <c r="AN5844">
        <v>0.999999977270149</v>
      </c>
    </row>
    <row r="5845" spans="1:40" x14ac:dyDescent="0.25">
      <c r="A5845" t="str">
        <f>"20190312154412937"</f>
        <v>20190312154412937</v>
      </c>
      <c r="B5845" t="str">
        <f>"1552376652933065"</f>
        <v>1552376652933065</v>
      </c>
      <c r="C5845" t="s">
        <v>40</v>
      </c>
      <c r="D5845">
        <v>5.1193390000000001</v>
      </c>
      <c r="E5845">
        <v>0.54640909999999998</v>
      </c>
      <c r="F5845" t="s">
        <v>43</v>
      </c>
      <c r="G5845">
        <v>-337.05329999999998</v>
      </c>
      <c r="H5845" s="1">
        <v>-1.3740859999999999E-6</v>
      </c>
      <c r="I5845">
        <v>20.095980000000001</v>
      </c>
      <c r="J5845">
        <v>-354.71170000000001</v>
      </c>
      <c r="K5845">
        <v>1.109324</v>
      </c>
      <c r="L5845">
        <v>23.676570000000002</v>
      </c>
      <c r="M5845">
        <v>0.99988109999999997</v>
      </c>
      <c r="N5845">
        <v>0</v>
      </c>
      <c r="O5845">
        <v>-5.9530049999999999E-3</v>
      </c>
      <c r="P5845">
        <v>0.99682199999999999</v>
      </c>
      <c r="Q5845">
        <v>2.3522730000000002E-3</v>
      </c>
      <c r="R5845">
        <v>-7.9627690000000001E-2</v>
      </c>
      <c r="S5845">
        <v>2.9627379999999999</v>
      </c>
      <c r="T5845">
        <v>-0.18444060000000001</v>
      </c>
      <c r="U5845">
        <v>-0.59558109999999997</v>
      </c>
      <c r="V5845">
        <v>7.3735010000000004E-2</v>
      </c>
      <c r="W5845">
        <v>1.63465E-2</v>
      </c>
      <c r="X5845">
        <v>0.99714389999999997</v>
      </c>
      <c r="Y5845">
        <v>0.19089690000000001</v>
      </c>
      <c r="Z5845">
        <v>-5.5110630000000001E-3</v>
      </c>
      <c r="AA5845">
        <v>0.98159459999999998</v>
      </c>
      <c r="AB5845">
        <v>29</v>
      </c>
      <c r="AC5845">
        <v>17.6584</v>
      </c>
      <c r="AD5845">
        <v>-1.1093253740860001</v>
      </c>
      <c r="AE5845">
        <v>-3.5805899999999999</v>
      </c>
      <c r="AF5845">
        <v>3.46227102611841</v>
      </c>
      <c r="AG5845">
        <v>-1.1093253740860001</v>
      </c>
      <c r="AH5845">
        <v>17.6126407195779</v>
      </c>
      <c r="AI5845">
        <v>93.536485643596507</v>
      </c>
      <c r="AJ5845">
        <v>78.878674363540796</v>
      </c>
      <c r="AK5845">
        <v>17.9839660965212</v>
      </c>
      <c r="AL5845">
        <v>89.063372832636603</v>
      </c>
      <c r="AM5845">
        <v>85.770891490184496</v>
      </c>
      <c r="AN5845">
        <v>1.0000000085345799</v>
      </c>
    </row>
    <row r="5846" spans="1:40" x14ac:dyDescent="0.25">
      <c r="A5846" t="str">
        <f>"20190312154412950"</f>
        <v>20190312154412950</v>
      </c>
      <c r="B5846" t="str">
        <f>"1552376652943802"</f>
        <v>1552376652943802</v>
      </c>
      <c r="C5846" t="s">
        <v>40</v>
      </c>
      <c r="D5846">
        <v>5.3321139999999998</v>
      </c>
      <c r="E5846">
        <v>0.54725409999999997</v>
      </c>
      <c r="F5846" t="s">
        <v>43</v>
      </c>
      <c r="G5846">
        <v>-336.87419999999997</v>
      </c>
      <c r="H5846" s="1">
        <v>-1.4401279999999999E-6</v>
      </c>
      <c r="I5846">
        <v>20.055430000000001</v>
      </c>
      <c r="J5846">
        <v>-354.54880000000003</v>
      </c>
      <c r="K5846">
        <v>1.109329</v>
      </c>
      <c r="L5846">
        <v>23.674800000000001</v>
      </c>
      <c r="M5846">
        <v>0.99987630000000005</v>
      </c>
      <c r="N5846">
        <v>0</v>
      </c>
      <c r="O5846">
        <v>-6.7207129999999997E-3</v>
      </c>
      <c r="P5846">
        <v>0.9967627</v>
      </c>
      <c r="Q5846">
        <v>2.1436960000000001E-3</v>
      </c>
      <c r="R5846">
        <v>-8.0372159999999998E-2</v>
      </c>
      <c r="S5846">
        <v>2.9619749999999998</v>
      </c>
      <c r="T5846">
        <v>-0.1842066</v>
      </c>
      <c r="U5846">
        <v>-0.60128780000000004</v>
      </c>
      <c r="V5846">
        <v>7.3713490000000007E-2</v>
      </c>
      <c r="W5846">
        <v>1.613291E-2</v>
      </c>
      <c r="X5846">
        <v>0.9971489</v>
      </c>
      <c r="Y5846">
        <v>0.19200919999999999</v>
      </c>
      <c r="Z5846">
        <v>-5.4914339999999999E-3</v>
      </c>
      <c r="AA5846">
        <v>0.98137779999999997</v>
      </c>
      <c r="AB5846">
        <v>29</v>
      </c>
      <c r="AC5846">
        <v>17.674600000000002</v>
      </c>
      <c r="AD5846">
        <v>-1.109330440128</v>
      </c>
      <c r="AE5846">
        <v>-3.61937</v>
      </c>
      <c r="AF5846">
        <v>3.4873055501270702</v>
      </c>
      <c r="AG5846">
        <v>-1.109330440128</v>
      </c>
      <c r="AH5846">
        <v>17.6318655947066</v>
      </c>
      <c r="AI5846">
        <v>93.531849345714406</v>
      </c>
      <c r="AJ5846">
        <v>78.812188946765701</v>
      </c>
      <c r="AK5846">
        <v>18.0076261171521</v>
      </c>
      <c r="AL5846">
        <v>89.075612187940393</v>
      </c>
      <c r="AM5846">
        <v>85.772142427285004</v>
      </c>
      <c r="AN5846">
        <v>0.99999993908212703</v>
      </c>
    </row>
    <row r="5847" spans="1:40" x14ac:dyDescent="0.25">
      <c r="A5847" t="str">
        <f>"20190312154412969"</f>
        <v>20190312154412969</v>
      </c>
      <c r="B5847" t="str">
        <f>"1552376652963321"</f>
        <v>1552376652963321</v>
      </c>
      <c r="C5847" t="s">
        <v>40</v>
      </c>
      <c r="D5847">
        <v>5.1285769999999999</v>
      </c>
      <c r="E5847">
        <v>0.54760359999999997</v>
      </c>
      <c r="F5847" t="s">
        <v>43</v>
      </c>
      <c r="G5847">
        <v>-336.87639999999999</v>
      </c>
      <c r="H5847" s="1">
        <v>-1.4332140000000001E-6</v>
      </c>
      <c r="I5847">
        <v>20.03312</v>
      </c>
      <c r="J5847">
        <v>-354.3134</v>
      </c>
      <c r="K5847">
        <v>1.1093379999999999</v>
      </c>
      <c r="L5847">
        <v>23.672059999999998</v>
      </c>
      <c r="M5847">
        <v>0.99986830000000004</v>
      </c>
      <c r="N5847">
        <v>0</v>
      </c>
      <c r="O5847">
        <v>-7.8290749999999996E-3</v>
      </c>
      <c r="P5847">
        <v>0.99665720000000002</v>
      </c>
      <c r="Q5847">
        <v>1.7620769999999999E-3</v>
      </c>
      <c r="R5847">
        <v>-8.1677589999999994E-2</v>
      </c>
      <c r="S5847">
        <v>2.9609380000000001</v>
      </c>
      <c r="T5847">
        <v>-0.1858641</v>
      </c>
      <c r="U5847">
        <v>-0.61013790000000001</v>
      </c>
      <c r="V5847">
        <v>7.3913129999999994E-2</v>
      </c>
      <c r="W5847">
        <v>1.5743859999999998E-2</v>
      </c>
      <c r="X5847">
        <v>0.99714040000000004</v>
      </c>
      <c r="Y5847">
        <v>0.1937962</v>
      </c>
      <c r="Z5847">
        <v>-5.5277E-3</v>
      </c>
      <c r="AA5847">
        <v>0.98102619999999896</v>
      </c>
      <c r="AB5847">
        <v>29</v>
      </c>
      <c r="AC5847">
        <v>17.437000000000001</v>
      </c>
      <c r="AD5847">
        <v>-1.1093394332140001</v>
      </c>
      <c r="AE5847">
        <v>-3.6389399999999998</v>
      </c>
      <c r="AF5847">
        <v>3.4887676547450202</v>
      </c>
      <c r="AG5847">
        <v>-1.1093394332140001</v>
      </c>
      <c r="AH5847">
        <v>17.3974805996607</v>
      </c>
      <c r="AI5847">
        <v>93.577458474058801</v>
      </c>
      <c r="AJ5847">
        <v>78.660710637637493</v>
      </c>
      <c r="AK5847">
        <v>17.778483201399698</v>
      </c>
      <c r="AL5847">
        <v>89.097905998010802</v>
      </c>
      <c r="AM5847">
        <v>85.760697702193198</v>
      </c>
      <c r="AN5847">
        <v>0.99999999861312805</v>
      </c>
    </row>
    <row r="5848" spans="1:40" x14ac:dyDescent="0.25">
      <c r="A5848" t="str">
        <f>"20190312154412980"</f>
        <v>20190312154412980</v>
      </c>
      <c r="B5848" t="str">
        <f>"1552376652973082"</f>
        <v>1552376652973082</v>
      </c>
      <c r="C5848" t="s">
        <v>40</v>
      </c>
      <c r="D5848">
        <v>5.2038929999999999</v>
      </c>
      <c r="E5848">
        <v>0.5476145</v>
      </c>
      <c r="F5848" t="s">
        <v>43</v>
      </c>
      <c r="G5848">
        <v>-336.72269999999997</v>
      </c>
      <c r="H5848" s="1">
        <v>-1.491812E-6</v>
      </c>
      <c r="I5848">
        <v>20.00554</v>
      </c>
      <c r="J5848">
        <v>-354.15800000000002</v>
      </c>
      <c r="K5848">
        <v>1.109337</v>
      </c>
      <c r="L5848">
        <v>23.67004</v>
      </c>
      <c r="M5848">
        <v>0.99986240000000004</v>
      </c>
      <c r="N5848">
        <v>0</v>
      </c>
      <c r="O5848">
        <v>-8.5607970000000002E-3</v>
      </c>
      <c r="P5848">
        <v>0.99661109999999997</v>
      </c>
      <c r="Q5848">
        <v>1.924727E-3</v>
      </c>
      <c r="R5848">
        <v>-8.2237649999999995E-2</v>
      </c>
      <c r="S5848">
        <v>2.9598080000000002</v>
      </c>
      <c r="T5848">
        <v>-0.1866572</v>
      </c>
      <c r="U5848">
        <v>-0.61691280000000004</v>
      </c>
      <c r="V5848">
        <v>7.3744039999999997E-2</v>
      </c>
      <c r="W5848">
        <v>1.5903110000000002E-2</v>
      </c>
      <c r="X5848">
        <v>0.99715039999999999</v>
      </c>
      <c r="Y5848">
        <v>0.19530049999999999</v>
      </c>
      <c r="Z5848">
        <v>-5.5533309999999999E-3</v>
      </c>
      <c r="AA5848">
        <v>0.98072769999999998</v>
      </c>
      <c r="AB5848">
        <v>29</v>
      </c>
      <c r="AC5848">
        <v>17.435300000000002</v>
      </c>
      <c r="AD5848">
        <v>-1.1093384918119999</v>
      </c>
      <c r="AE5848">
        <v>-3.6644999999999999</v>
      </c>
      <c r="AF5848">
        <v>3.5015151671323101</v>
      </c>
      <c r="AG5848">
        <v>-1.1093384918119999</v>
      </c>
      <c r="AH5848">
        <v>17.3985808029365</v>
      </c>
      <c r="AI5848">
        <v>93.576733792766206</v>
      </c>
      <c r="AJ5848">
        <v>78.621058272152794</v>
      </c>
      <c r="AK5848">
        <v>17.782065524324899</v>
      </c>
      <c r="AL5848">
        <v>89.088780509584893</v>
      </c>
      <c r="AM5848">
        <v>85.770402920519302</v>
      </c>
      <c r="AN5848">
        <v>1.0000000062816701</v>
      </c>
    </row>
    <row r="5849" spans="1:40" x14ac:dyDescent="0.25">
      <c r="A5849" t="str">
        <f>"20190312154413002"</f>
        <v>20190312154413002</v>
      </c>
      <c r="B5849" t="str">
        <f>"1552376652993577"</f>
        <v>1552376652993577</v>
      </c>
      <c r="C5849" t="s">
        <v>40</v>
      </c>
      <c r="D5849">
        <v>5.1758059999999997</v>
      </c>
      <c r="E5849">
        <v>0.54732499999999995</v>
      </c>
      <c r="F5849" t="s">
        <v>43</v>
      </c>
      <c r="G5849">
        <v>-336.75310000000002</v>
      </c>
      <c r="H5849" s="1">
        <v>-1.4858009999999901E-6</v>
      </c>
      <c r="I5849">
        <v>20.031860000000002</v>
      </c>
      <c r="J5849">
        <v>-353.87470000000002</v>
      </c>
      <c r="K5849">
        <v>1.1093470000000001</v>
      </c>
      <c r="L5849">
        <v>23.66611</v>
      </c>
      <c r="M5849">
        <v>0.99985029999999997</v>
      </c>
      <c r="N5849">
        <v>0</v>
      </c>
      <c r="O5849">
        <v>-9.8939709999999997E-3</v>
      </c>
      <c r="P5849">
        <v>0.99652169999999896</v>
      </c>
      <c r="Q5849">
        <v>1.9444E-3</v>
      </c>
      <c r="R5849">
        <v>-8.3312319999999995E-2</v>
      </c>
      <c r="S5849">
        <v>2.9595340000000001</v>
      </c>
      <c r="T5849">
        <v>-0.1886313</v>
      </c>
      <c r="U5849">
        <v>-0.6186218</v>
      </c>
      <c r="V5849">
        <v>7.3489730000000003E-2</v>
      </c>
      <c r="W5849">
        <v>1.5916929999999999E-2</v>
      </c>
      <c r="X5849">
        <v>0.99716899999999997</v>
      </c>
      <c r="Y5849">
        <v>0.19455030000000001</v>
      </c>
      <c r="Z5849">
        <v>-5.5045519999999898E-3</v>
      </c>
      <c r="AA5849">
        <v>0.98087709999999995</v>
      </c>
      <c r="AB5849">
        <v>29</v>
      </c>
      <c r="AC5849">
        <v>17.121600000000001</v>
      </c>
      <c r="AD5849">
        <v>-1.1093484858010001</v>
      </c>
      <c r="AE5849">
        <v>-3.63424999999999</v>
      </c>
      <c r="AF5849">
        <v>3.4507923603485602</v>
      </c>
      <c r="AG5849">
        <v>-1.1093484858010001</v>
      </c>
      <c r="AH5849">
        <v>17.0880787502612</v>
      </c>
      <c r="AI5849">
        <v>93.641100444290203</v>
      </c>
      <c r="AJ5849">
        <v>78.583145927500695</v>
      </c>
      <c r="AK5849">
        <v>17.468287190000002</v>
      </c>
      <c r="AL5849">
        <v>89.0879886232144</v>
      </c>
      <c r="AM5849">
        <v>85.785014576074005</v>
      </c>
      <c r="AN5849">
        <v>1.0000000518185399</v>
      </c>
    </row>
    <row r="5850" spans="1:40" x14ac:dyDescent="0.25">
      <c r="A5850" t="str">
        <f>"20190312154413015"</f>
        <v>20190312154413015</v>
      </c>
      <c r="B5850" t="str">
        <f>"1552376653003338"</f>
        <v>1552376653003338</v>
      </c>
      <c r="C5850" t="s">
        <v>40</v>
      </c>
      <c r="D5850">
        <v>5.1435129999999996</v>
      </c>
      <c r="E5850">
        <v>0.54729430000000001</v>
      </c>
      <c r="F5850" t="s">
        <v>43</v>
      </c>
      <c r="G5850">
        <v>-336.7088</v>
      </c>
      <c r="H5850" s="1">
        <v>-1.515609E-6</v>
      </c>
      <c r="I5850">
        <v>20.072469999999999</v>
      </c>
      <c r="J5850">
        <v>-353.71210000000002</v>
      </c>
      <c r="K5850">
        <v>1.1093550000000001</v>
      </c>
      <c r="L5850">
        <v>23.663730000000001</v>
      </c>
      <c r="M5850">
        <v>0.99984249999999997</v>
      </c>
      <c r="N5850">
        <v>0</v>
      </c>
      <c r="O5850">
        <v>-1.0659200000000001E-2</v>
      </c>
      <c r="P5850">
        <v>0.99645689999999998</v>
      </c>
      <c r="Q5850">
        <v>2.116878E-3</v>
      </c>
      <c r="R5850">
        <v>-8.4076670000000006E-2</v>
      </c>
      <c r="S5850">
        <v>2.959015</v>
      </c>
      <c r="T5850">
        <v>-0.1912259</v>
      </c>
      <c r="U5850">
        <v>-0.61944580000000005</v>
      </c>
      <c r="V5850">
        <v>7.3491860000000006E-2</v>
      </c>
      <c r="W5850">
        <v>1.6086659999999999E-2</v>
      </c>
      <c r="X5850">
        <v>0.99716610000000006</v>
      </c>
      <c r="Y5850">
        <v>0.19408819999999999</v>
      </c>
      <c r="Z5850">
        <v>-5.5173089999999998E-3</v>
      </c>
      <c r="AA5850">
        <v>0.98096859999999997</v>
      </c>
      <c r="AB5850">
        <v>29</v>
      </c>
      <c r="AC5850">
        <v>17.003299999999999</v>
      </c>
      <c r="AD5850">
        <v>-1.1093565156089999</v>
      </c>
      <c r="AE5850">
        <v>-3.5912599999999899</v>
      </c>
      <c r="AF5850">
        <v>3.3959577659760001</v>
      </c>
      <c r="AG5850">
        <v>-1.1093565156089999</v>
      </c>
      <c r="AH5850">
        <v>16.9714598608663</v>
      </c>
      <c r="AI5850">
        <v>93.6673809965082</v>
      </c>
      <c r="AJ5850">
        <v>78.6846601927367</v>
      </c>
      <c r="AK5850">
        <v>17.343403669292002</v>
      </c>
      <c r="AL5850">
        <v>89.078262547996104</v>
      </c>
      <c r="AM5850">
        <v>85.784880636384003</v>
      </c>
      <c r="AN5850">
        <v>1.0000000325527101</v>
      </c>
    </row>
    <row r="5851" spans="1:40" x14ac:dyDescent="0.25">
      <c r="A5851" t="str">
        <f>"20190312154413036"</f>
        <v>20190312154413036</v>
      </c>
      <c r="B5851" t="str">
        <f>"1552376653023834"</f>
        <v>1552376653023834</v>
      </c>
      <c r="C5851" t="s">
        <v>40</v>
      </c>
      <c r="D5851">
        <v>5.1997179999999998</v>
      </c>
      <c r="E5851">
        <v>0.54726149999999996</v>
      </c>
      <c r="F5851" t="s">
        <v>43</v>
      </c>
      <c r="G5851">
        <v>-336.65789999999998</v>
      </c>
      <c r="H5851" s="1">
        <v>-1.5397909999999901E-6</v>
      </c>
      <c r="I5851">
        <v>20.081240000000001</v>
      </c>
      <c r="J5851">
        <v>-353.44779999999997</v>
      </c>
      <c r="K5851">
        <v>1.109362</v>
      </c>
      <c r="L5851">
        <v>23.659520000000001</v>
      </c>
      <c r="M5851">
        <v>0.99982850000000001</v>
      </c>
      <c r="N5851">
        <v>0</v>
      </c>
      <c r="O5851">
        <v>-1.19031E-2</v>
      </c>
      <c r="P5851">
        <v>0.99637710000000002</v>
      </c>
      <c r="Q5851">
        <v>2.2497480000000002E-3</v>
      </c>
      <c r="R5851">
        <v>-8.5018200000000002E-2</v>
      </c>
      <c r="S5851">
        <v>2.9586489999999999</v>
      </c>
      <c r="T5851">
        <v>-0.1924555</v>
      </c>
      <c r="U5851">
        <v>-0.62149049999999995</v>
      </c>
      <c r="V5851">
        <v>7.3193530000000007E-2</v>
      </c>
      <c r="W5851">
        <v>1.6214920000000001E-2</v>
      </c>
      <c r="X5851">
        <v>0.99718589999999996</v>
      </c>
      <c r="Y5851">
        <v>0.1935404</v>
      </c>
      <c r="Z5851">
        <v>-5.4554769999999898E-3</v>
      </c>
      <c r="AA5851">
        <v>0.98107710000000004</v>
      </c>
      <c r="AB5851">
        <v>29</v>
      </c>
      <c r="AC5851">
        <v>16.7898999999999</v>
      </c>
      <c r="AD5851">
        <v>-1.109363539791</v>
      </c>
      <c r="AE5851">
        <v>-3.5782799999999901</v>
      </c>
      <c r="AF5851">
        <v>3.3641059647638598</v>
      </c>
      <c r="AG5851">
        <v>-1.109363539791</v>
      </c>
      <c r="AH5851">
        <v>16.761311957937099</v>
      </c>
      <c r="AI5851">
        <v>93.712822980761402</v>
      </c>
      <c r="AJ5851">
        <v>78.651144647101702</v>
      </c>
      <c r="AK5851">
        <v>17.1315345184506</v>
      </c>
      <c r="AL5851">
        <v>89.070912772752706</v>
      </c>
      <c r="AM5851">
        <v>85.8020130888913</v>
      </c>
      <c r="AN5851">
        <v>0.99999996781163802</v>
      </c>
    </row>
    <row r="5852" spans="1:40" x14ac:dyDescent="0.25">
      <c r="A5852" t="str">
        <f>"20190312154413050"</f>
        <v>20190312154413050</v>
      </c>
      <c r="B5852" t="str">
        <f>"1552376653043353"</f>
        <v>1552376653043353</v>
      </c>
      <c r="C5852" t="s">
        <v>40</v>
      </c>
      <c r="D5852">
        <v>5.1478599999999997</v>
      </c>
      <c r="E5852">
        <v>0.54718690000000003</v>
      </c>
      <c r="F5852" t="s">
        <v>43</v>
      </c>
      <c r="G5852">
        <v>-336.61309999999997</v>
      </c>
      <c r="H5852" s="1">
        <v>-1.566608E-6</v>
      </c>
      <c r="I5852">
        <v>20.10981</v>
      </c>
      <c r="J5852">
        <v>-353.26859999999999</v>
      </c>
      <c r="K5852">
        <v>1.10937</v>
      </c>
      <c r="L5852">
        <v>23.656490000000002</v>
      </c>
      <c r="M5852">
        <v>0.99981810000000004</v>
      </c>
      <c r="N5852">
        <v>0</v>
      </c>
      <c r="O5852">
        <v>-1.2745920000000001E-2</v>
      </c>
      <c r="P5852">
        <v>0.99631709999999996</v>
      </c>
      <c r="Q5852">
        <v>2.0573100000000001E-3</v>
      </c>
      <c r="R5852">
        <v>-8.5721809999999996E-2</v>
      </c>
      <c r="S5852">
        <v>2.9580989999999998</v>
      </c>
      <c r="T5852">
        <v>-0.19493060000000001</v>
      </c>
      <c r="U5852">
        <v>-0.62371829999999995</v>
      </c>
      <c r="V5852">
        <v>7.3056449999999995E-2</v>
      </c>
      <c r="W5852">
        <v>1.6019439999999999E-2</v>
      </c>
      <c r="X5852">
        <v>0.9971991</v>
      </c>
      <c r="Y5852">
        <v>0.19345000000000001</v>
      </c>
      <c r="Z5852">
        <v>-5.4682810000000002E-3</v>
      </c>
      <c r="AA5852">
        <v>0.98109489999999999</v>
      </c>
      <c r="AB5852">
        <v>29</v>
      </c>
      <c r="AC5852">
        <v>16.6555</v>
      </c>
      <c r="AD5852">
        <v>-1.109371566608</v>
      </c>
      <c r="AE5852">
        <v>-3.5466799999999901</v>
      </c>
      <c r="AF5852">
        <v>3.31999063351557</v>
      </c>
      <c r="AG5852">
        <v>-1.109371566608</v>
      </c>
      <c r="AH5852">
        <v>16.628783845877901</v>
      </c>
      <c r="AI5852">
        <v>93.743113323057699</v>
      </c>
      <c r="AJ5852">
        <v>78.709172330845703</v>
      </c>
      <c r="AK5852">
        <v>16.9932190968151</v>
      </c>
      <c r="AL5852">
        <v>89.082114396426903</v>
      </c>
      <c r="AM5852">
        <v>85.809902498770001</v>
      </c>
      <c r="AN5852">
        <v>0.99999995619266202</v>
      </c>
    </row>
    <row r="5853" spans="1:40" x14ac:dyDescent="0.25">
      <c r="A5853" t="str">
        <f>"20190312154413070"</f>
        <v>20190312154413070</v>
      </c>
      <c r="B5853" t="str">
        <f>"1552376653063850"</f>
        <v>1552376653063850</v>
      </c>
      <c r="C5853" t="s">
        <v>40</v>
      </c>
      <c r="D5853">
        <v>5.1927120000000002</v>
      </c>
      <c r="E5853">
        <v>0.54707309999999998</v>
      </c>
      <c r="F5853" t="s">
        <v>43</v>
      </c>
      <c r="G5853">
        <v>-336.62299999999999</v>
      </c>
      <c r="H5853" s="1">
        <v>-1.569784E-6</v>
      </c>
      <c r="I5853">
        <v>20.137779999999999</v>
      </c>
      <c r="J5853">
        <v>-353.00639999999999</v>
      </c>
      <c r="K5853">
        <v>1.10938</v>
      </c>
      <c r="L5853">
        <v>23.651820000000001</v>
      </c>
      <c r="M5853">
        <v>0.99980170000000002</v>
      </c>
      <c r="N5853">
        <v>0</v>
      </c>
      <c r="O5853">
        <v>-1.3977180000000001E-2</v>
      </c>
      <c r="P5853">
        <v>0.99622200000000005</v>
      </c>
      <c r="Q5853">
        <v>2.089811E-3</v>
      </c>
      <c r="R5853">
        <v>-8.6817740000000004E-2</v>
      </c>
      <c r="S5853">
        <v>2.957703</v>
      </c>
      <c r="T5853">
        <v>-0.1971204</v>
      </c>
      <c r="U5853">
        <v>-0.62521359999999904</v>
      </c>
      <c r="V5853">
        <v>7.2925519999999994E-2</v>
      </c>
      <c r="W5853">
        <v>1.6047570000000001E-2</v>
      </c>
      <c r="X5853">
        <v>0.99720830000000005</v>
      </c>
      <c r="Y5853">
        <v>0.19273879999999999</v>
      </c>
      <c r="Z5853">
        <v>-5.4255859999999996E-3</v>
      </c>
      <c r="AA5853">
        <v>0.98123510000000003</v>
      </c>
      <c r="AB5853">
        <v>29</v>
      </c>
      <c r="AC5853">
        <v>16.383399999999899</v>
      </c>
      <c r="AD5853">
        <v>-1.1093815697839999</v>
      </c>
      <c r="AE5853">
        <v>-3.5140400000000001</v>
      </c>
      <c r="AF5853">
        <v>3.2703443661999398</v>
      </c>
      <c r="AG5853">
        <v>-1.1093815697839999</v>
      </c>
      <c r="AH5853">
        <v>16.359210128885302</v>
      </c>
      <c r="AI5853">
        <v>93.804462393718495</v>
      </c>
      <c r="AJ5853">
        <v>78.695111208193197</v>
      </c>
      <c r="AK5853">
        <v>16.719737910085001</v>
      </c>
      <c r="AL5853">
        <v>89.080502521943103</v>
      </c>
      <c r="AM5853">
        <v>85.817423666827196</v>
      </c>
      <c r="AN5853">
        <v>1.00000002477953</v>
      </c>
    </row>
    <row r="5854" spans="1:40" x14ac:dyDescent="0.25">
      <c r="A5854" t="str">
        <f>"20190312154413092"</f>
        <v>20190312154413092</v>
      </c>
      <c r="B5854" t="str">
        <f>"1552376653083372"</f>
        <v>1552376653083372</v>
      </c>
      <c r="C5854" t="s">
        <v>40</v>
      </c>
      <c r="D5854">
        <v>5.148695</v>
      </c>
      <c r="E5854">
        <v>0.5471935</v>
      </c>
      <c r="F5854" t="s">
        <v>43</v>
      </c>
      <c r="G5854">
        <v>-336.55900000000003</v>
      </c>
      <c r="H5854" s="1">
        <v>-1.603493E-6</v>
      </c>
      <c r="I5854">
        <v>20.161210000000001</v>
      </c>
      <c r="J5854">
        <v>-352.72739999999999</v>
      </c>
      <c r="K5854">
        <v>1.1093930000000001</v>
      </c>
      <c r="L5854">
        <v>23.646450000000002</v>
      </c>
      <c r="M5854">
        <v>0.99978270000000002</v>
      </c>
      <c r="N5854">
        <v>0</v>
      </c>
      <c r="O5854">
        <v>-1.52835E-2</v>
      </c>
      <c r="P5854">
        <v>0.99607089999999998</v>
      </c>
      <c r="Q5854">
        <v>2.070082E-3</v>
      </c>
      <c r="R5854">
        <v>-8.8537130000000006E-2</v>
      </c>
      <c r="S5854">
        <v>2.9570919999999998</v>
      </c>
      <c r="T5854">
        <v>-0.19945599999999999</v>
      </c>
      <c r="U5854">
        <v>-0.62756350000000005</v>
      </c>
      <c r="V5854">
        <v>7.3343420000000006E-2</v>
      </c>
      <c r="W5854">
        <v>1.6021819999999999E-2</v>
      </c>
      <c r="X5854">
        <v>0.99717800000000001</v>
      </c>
      <c r="Y5854">
        <v>0.19223889999999999</v>
      </c>
      <c r="Z5854">
        <v>-5.3867539999999997E-3</v>
      </c>
      <c r="AA5854">
        <v>0.98133340000000002</v>
      </c>
      <c r="AB5854">
        <v>29</v>
      </c>
      <c r="AC5854">
        <v>16.168399999999899</v>
      </c>
      <c r="AD5854">
        <v>-1.109394603493</v>
      </c>
      <c r="AE5854">
        <v>-3.4852400000000001</v>
      </c>
      <c r="AF5854">
        <v>3.22319720183381</v>
      </c>
      <c r="AG5854">
        <v>-1.109394603493</v>
      </c>
      <c r="AH5854">
        <v>16.1471376956348</v>
      </c>
      <c r="AI5854">
        <v>93.854542004271096</v>
      </c>
      <c r="AJ5854">
        <v>78.7113262654549</v>
      </c>
      <c r="AK5854">
        <v>16.5030243394948</v>
      </c>
      <c r="AL5854">
        <v>89.081978018301001</v>
      </c>
      <c r="AM5854">
        <v>85.793413827258405</v>
      </c>
      <c r="AN5854">
        <v>0.99999995982870304</v>
      </c>
    </row>
    <row r="5855" spans="1:40" x14ac:dyDescent="0.25">
      <c r="A5855" t="str">
        <f>"20190312154413103"</f>
        <v>20190312154413103</v>
      </c>
      <c r="B5855" t="str">
        <f>"1552376653093129"</f>
        <v>1552376653093129</v>
      </c>
      <c r="C5855" t="s">
        <v>40</v>
      </c>
      <c r="D5855">
        <v>5.1678769999999998</v>
      </c>
      <c r="E5855">
        <v>0.54716350000000002</v>
      </c>
      <c r="F5855" t="s">
        <v>43</v>
      </c>
      <c r="G5855">
        <v>-336.49709999999999</v>
      </c>
      <c r="H5855" s="1">
        <v>-1.631817E-6</v>
      </c>
      <c r="I5855">
        <v>20.167929999999998</v>
      </c>
      <c r="J5855">
        <v>-352.56639999999999</v>
      </c>
      <c r="K5855">
        <v>1.1093959999999901</v>
      </c>
      <c r="L5855">
        <v>23.643190000000001</v>
      </c>
      <c r="M5855">
        <v>0.99977090000000002</v>
      </c>
      <c r="N5855">
        <v>0</v>
      </c>
      <c r="O5855">
        <v>-1.6035939999999999E-2</v>
      </c>
      <c r="P5855">
        <v>0.99599590000000005</v>
      </c>
      <c r="Q5855">
        <v>2.2795929999999999E-3</v>
      </c>
      <c r="R5855">
        <v>-8.9369420000000005E-2</v>
      </c>
      <c r="S5855">
        <v>2.9559630000000001</v>
      </c>
      <c r="T5855">
        <v>-0.20204929999999999</v>
      </c>
      <c r="U5855">
        <v>-0.63351440000000003</v>
      </c>
      <c r="V5855">
        <v>7.3426660000000005E-2</v>
      </c>
      <c r="W5855">
        <v>1.6229219999999999E-2</v>
      </c>
      <c r="X5855">
        <v>0.99716850000000001</v>
      </c>
      <c r="Y5855">
        <v>0.19345480000000001</v>
      </c>
      <c r="Z5855">
        <v>-5.447833E-3</v>
      </c>
      <c r="AA5855">
        <v>0.98109409999999997</v>
      </c>
      <c r="AB5855">
        <v>29</v>
      </c>
      <c r="AC5855">
        <v>16.069299999999998</v>
      </c>
      <c r="AD5855">
        <v>-1.10939763181699</v>
      </c>
      <c r="AE5855">
        <v>-3.47526</v>
      </c>
      <c r="AF5855">
        <v>3.20251870615885</v>
      </c>
      <c r="AG5855">
        <v>-1.10939763181699</v>
      </c>
      <c r="AH5855">
        <v>16.049887631611899</v>
      </c>
      <c r="AI5855">
        <v>93.877895623568605</v>
      </c>
      <c r="AJ5855">
        <v>78.715672610816895</v>
      </c>
      <c r="AK5855">
        <v>16.403834373589198</v>
      </c>
      <c r="AL5855">
        <v>89.070093309096293</v>
      </c>
      <c r="AM5855">
        <v>85.7886168160708</v>
      </c>
      <c r="AN5855">
        <v>0.99999993968640499</v>
      </c>
    </row>
    <row r="5856" spans="1:40" x14ac:dyDescent="0.25">
      <c r="A5856" t="str">
        <f>"20190312154413125"</f>
        <v>20190312154413125</v>
      </c>
      <c r="B5856" t="str">
        <f>"1552376653113800"</f>
        <v>1552376653113800</v>
      </c>
      <c r="C5856" t="s">
        <v>40</v>
      </c>
      <c r="D5856">
        <v>5.1511820000000004</v>
      </c>
      <c r="E5856">
        <v>0.54715400000000003</v>
      </c>
      <c r="F5856" t="s">
        <v>43</v>
      </c>
      <c r="G5856">
        <v>-336.36869999999999</v>
      </c>
      <c r="H5856" s="1">
        <v>-1.6845449999999999E-6</v>
      </c>
      <c r="I5856">
        <v>20.158989999999999</v>
      </c>
      <c r="J5856">
        <v>-352.30130000000003</v>
      </c>
      <c r="K5856">
        <v>1.109402</v>
      </c>
      <c r="L5856">
        <v>23.637599999999999</v>
      </c>
      <c r="M5856">
        <v>0.99975040000000004</v>
      </c>
      <c r="N5856">
        <v>0</v>
      </c>
      <c r="O5856">
        <v>-1.72712E-2</v>
      </c>
      <c r="P5856">
        <v>0.99584430000000002</v>
      </c>
      <c r="Q5856">
        <v>2.366005E-3</v>
      </c>
      <c r="R5856">
        <v>-9.1041430000000007E-2</v>
      </c>
      <c r="S5856">
        <v>2.955444</v>
      </c>
      <c r="T5856">
        <v>-0.20242070000000001</v>
      </c>
      <c r="U5856">
        <v>-0.63571169999999899</v>
      </c>
      <c r="V5856">
        <v>7.3868859999999995E-2</v>
      </c>
      <c r="W5856">
        <v>1.6310749999999999E-2</v>
      </c>
      <c r="X5856">
        <v>0.99713459999999998</v>
      </c>
      <c r="Y5856">
        <v>0.1929776</v>
      </c>
      <c r="Z5856">
        <v>-5.3587259999999899E-3</v>
      </c>
      <c r="AA5856">
        <v>0.98118850000000002</v>
      </c>
      <c r="AB5856">
        <v>29</v>
      </c>
      <c r="AC5856">
        <v>15.932600000000001</v>
      </c>
      <c r="AD5856">
        <v>-1.1094036845449999</v>
      </c>
      <c r="AE5856">
        <v>-3.4786100000000002</v>
      </c>
      <c r="AF5856">
        <v>3.1881339847199599</v>
      </c>
      <c r="AG5856">
        <v>-1.1094036845449999</v>
      </c>
      <c r="AH5856">
        <v>15.916648570843201</v>
      </c>
      <c r="AI5856">
        <v>93.909704267621706</v>
      </c>
      <c r="AJ5856">
        <v>78.673439530348006</v>
      </c>
      <c r="AK5856">
        <v>16.270669210807899</v>
      </c>
      <c r="AL5856">
        <v>89.065421449715103</v>
      </c>
      <c r="AM5856">
        <v>85.763203014223706</v>
      </c>
      <c r="AN5856">
        <v>1.0000000297802101</v>
      </c>
    </row>
    <row r="5857" spans="1:40" x14ac:dyDescent="0.25">
      <c r="A5857" t="str">
        <f>"20190312154413146"</f>
        <v>20190312154413146</v>
      </c>
      <c r="B5857" t="str">
        <f>"1552376653133320"</f>
        <v>1552376653133320</v>
      </c>
      <c r="C5857" t="s">
        <v>40</v>
      </c>
      <c r="D5857">
        <v>5.1144910000000001</v>
      </c>
      <c r="E5857">
        <v>0.54708489999999999</v>
      </c>
      <c r="F5857" t="s">
        <v>43</v>
      </c>
      <c r="G5857">
        <v>-336.19119999999998</v>
      </c>
      <c r="H5857" s="1">
        <v>-1.756898E-6</v>
      </c>
      <c r="I5857">
        <v>20.144780000000001</v>
      </c>
      <c r="J5857">
        <v>-352.02730000000003</v>
      </c>
      <c r="K5857">
        <v>1.1094090000000001</v>
      </c>
      <c r="L5857">
        <v>23.63147</v>
      </c>
      <c r="M5857">
        <v>0.99972780000000006</v>
      </c>
      <c r="N5857">
        <v>0</v>
      </c>
      <c r="O5857">
        <v>-1.854136E-2</v>
      </c>
      <c r="P5857">
        <v>0.9957201</v>
      </c>
      <c r="Q5857">
        <v>2.386769E-3</v>
      </c>
      <c r="R5857">
        <v>-9.2390169999999994E-2</v>
      </c>
      <c r="S5857">
        <v>2.954437</v>
      </c>
      <c r="T5857">
        <v>-0.2034532</v>
      </c>
      <c r="U5857">
        <v>-0.64053340000000003</v>
      </c>
      <c r="V5857">
        <v>7.3952089999999998E-2</v>
      </c>
      <c r="W5857">
        <v>1.6327910000000001E-2</v>
      </c>
      <c r="X5857">
        <v>0.99712809999999996</v>
      </c>
      <c r="Y5857">
        <v>0.19332779999999999</v>
      </c>
      <c r="Z5857">
        <v>-5.3125009999999999E-3</v>
      </c>
      <c r="AA5857">
        <v>0.98111979999999999</v>
      </c>
      <c r="AB5857">
        <v>29</v>
      </c>
      <c r="AC5857">
        <v>15.8361</v>
      </c>
      <c r="AD5857">
        <v>-1.1094107568979901</v>
      </c>
      <c r="AE5857">
        <v>-3.4866899999999998</v>
      </c>
      <c r="AF5857">
        <v>3.1775643500798201</v>
      </c>
      <c r="AG5857">
        <v>-1.1094107568979901</v>
      </c>
      <c r="AH5857">
        <v>15.823961170493501</v>
      </c>
      <c r="AI5857">
        <v>93.932176452355904</v>
      </c>
      <c r="AJ5857">
        <v>78.645607527289002</v>
      </c>
      <c r="AK5857">
        <v>16.177931096147798</v>
      </c>
      <c r="AL5857">
        <v>89.064438076675302</v>
      </c>
      <c r="AM5857">
        <v>85.758419166380904</v>
      </c>
      <c r="AN5857">
        <v>0.99999998003497204</v>
      </c>
    </row>
    <row r="5858" spans="1:40" x14ac:dyDescent="0.25">
      <c r="A5858" t="str">
        <f>"20190312154413158"</f>
        <v>20190312154413158</v>
      </c>
      <c r="B5858" t="str">
        <f>"1552376653153817"</f>
        <v>1552376653153817</v>
      </c>
      <c r="C5858" t="s">
        <v>40</v>
      </c>
      <c r="D5858">
        <v>5.1529069999999999</v>
      </c>
      <c r="E5858">
        <v>0.52584339999999996</v>
      </c>
      <c r="F5858" t="s">
        <v>43</v>
      </c>
      <c r="G5858">
        <v>-335.92500000000001</v>
      </c>
      <c r="H5858" s="1">
        <v>-1.8647220000000001E-6</v>
      </c>
      <c r="I5858">
        <v>20.120940000000001</v>
      </c>
      <c r="J5858">
        <v>-351.87909999999999</v>
      </c>
      <c r="K5858">
        <v>1.109415</v>
      </c>
      <c r="L5858">
        <v>23.627960000000002</v>
      </c>
      <c r="M5858">
        <v>0.99971489999999996</v>
      </c>
      <c r="N5858">
        <v>0</v>
      </c>
      <c r="O5858">
        <v>-1.922548E-2</v>
      </c>
      <c r="P5858">
        <v>0.99563559999999995</v>
      </c>
      <c r="Q5858">
        <v>2.34797E-3</v>
      </c>
      <c r="R5858">
        <v>-9.3296980000000002E-2</v>
      </c>
      <c r="S5858">
        <v>2.9536440000000002</v>
      </c>
      <c r="T5858">
        <v>-0.20349880000000001</v>
      </c>
      <c r="U5858">
        <v>-0.64392090000000002</v>
      </c>
      <c r="V5858">
        <v>7.4177709999999994E-2</v>
      </c>
      <c r="W5858">
        <v>1.6286910000000002E-2</v>
      </c>
      <c r="X5858">
        <v>0.997112</v>
      </c>
      <c r="Y5858">
        <v>0.19378570000000001</v>
      </c>
      <c r="Z5858">
        <v>-5.2835369999999996E-3</v>
      </c>
      <c r="AA5858">
        <v>0.98102959999999995</v>
      </c>
      <c r="AB5858">
        <v>29</v>
      </c>
      <c r="AC5858">
        <v>15.954099999999899</v>
      </c>
      <c r="AD5858">
        <v>-1.109416864722</v>
      </c>
      <c r="AE5858">
        <v>-3.5070199999999998</v>
      </c>
      <c r="AF5858">
        <v>3.1849247416482398</v>
      </c>
      <c r="AG5858">
        <v>-1.109416864722</v>
      </c>
      <c r="AH5858">
        <v>15.9450326626554</v>
      </c>
      <c r="AI5858">
        <v>93.903229717272794</v>
      </c>
      <c r="AJ5858">
        <v>78.704171321501207</v>
      </c>
      <c r="AK5858">
        <v>16.2978102210953</v>
      </c>
      <c r="AL5858">
        <v>89.066787505165806</v>
      </c>
      <c r="AM5858">
        <v>85.7454575521854</v>
      </c>
      <c r="AN5858">
        <v>0.99999996832109495</v>
      </c>
    </row>
    <row r="5859" spans="1:40" x14ac:dyDescent="0.25">
      <c r="A5859" t="str">
        <f>"20190312154413169"</f>
        <v>20190312154413169</v>
      </c>
      <c r="B5859" t="str">
        <f>"1552376653163576"</f>
        <v>1552376653163576</v>
      </c>
      <c r="C5859" t="s">
        <v>40</v>
      </c>
      <c r="D5859">
        <v>5.1567210000000001</v>
      </c>
      <c r="E5859">
        <v>0.52429559999999997</v>
      </c>
      <c r="F5859" t="s">
        <v>43</v>
      </c>
      <c r="G5859">
        <v>-334.90940000000001</v>
      </c>
      <c r="H5859" s="1">
        <v>-2.5061180000000001E-6</v>
      </c>
      <c r="I5859">
        <v>20.893889999999999</v>
      </c>
      <c r="J5859">
        <v>-351.73500000000001</v>
      </c>
      <c r="K5859">
        <v>1.1094189999999999</v>
      </c>
      <c r="L5859">
        <v>23.624510000000001</v>
      </c>
      <c r="M5859">
        <v>0.99970179999999997</v>
      </c>
      <c r="N5859">
        <v>0</v>
      </c>
      <c r="O5859">
        <v>-1.9889710000000001E-2</v>
      </c>
      <c r="P5859">
        <v>0.99555559999999998</v>
      </c>
      <c r="Q5859">
        <v>2.3413520000000001E-3</v>
      </c>
      <c r="R5859">
        <v>-9.4147439999999999E-2</v>
      </c>
      <c r="S5859">
        <v>2.9688110000000001</v>
      </c>
      <c r="T5859">
        <v>-0.19408890000000001</v>
      </c>
      <c r="U5859">
        <v>-0.478302</v>
      </c>
      <c r="V5859">
        <v>7.4366799999999997E-2</v>
      </c>
      <c r="W5859">
        <v>1.627785E-2</v>
      </c>
      <c r="X5859">
        <v>0.99709809999999999</v>
      </c>
      <c r="Y5859">
        <v>0.13914000000000001</v>
      </c>
      <c r="Z5859">
        <v>-3.2241650000000002E-3</v>
      </c>
      <c r="AA5859">
        <v>0.99026749999999997</v>
      </c>
      <c r="AB5859">
        <v>29</v>
      </c>
      <c r="AC5859">
        <v>16.825600000000001</v>
      </c>
      <c r="AD5859">
        <v>-1.1094215061179999</v>
      </c>
      <c r="AE5859">
        <v>-2.73062</v>
      </c>
      <c r="AF5859">
        <v>2.3852856236814901</v>
      </c>
      <c r="AG5859">
        <v>-1.1094215061179999</v>
      </c>
      <c r="AH5859">
        <v>16.805398978289599</v>
      </c>
      <c r="AI5859">
        <v>93.739572691852104</v>
      </c>
      <c r="AJ5859">
        <v>81.921644682235495</v>
      </c>
      <c r="AK5859">
        <v>17.0100510994023</v>
      </c>
      <c r="AL5859">
        <v>89.067306708153197</v>
      </c>
      <c r="AM5859">
        <v>85.734592825265395</v>
      </c>
      <c r="AN5859">
        <v>1.0000000051832301</v>
      </c>
    </row>
    <row r="5860" spans="1:40" x14ac:dyDescent="0.25">
      <c r="A5860" t="str">
        <f>"20190312154413181"</f>
        <v>20190312154413181</v>
      </c>
      <c r="B5860" t="str">
        <f>"1552376653173337"</f>
        <v>1552376653173337</v>
      </c>
      <c r="C5860" t="s">
        <v>40</v>
      </c>
      <c r="D5860">
        <v>5.1450719999999999</v>
      </c>
      <c r="E5860">
        <v>0.52361919999999995</v>
      </c>
      <c r="F5860" t="s">
        <v>43</v>
      </c>
      <c r="G5860">
        <v>-334.54410000000001</v>
      </c>
      <c r="H5860" s="1">
        <v>-2.6675279999999998E-6</v>
      </c>
      <c r="I5860">
        <v>20.91168</v>
      </c>
      <c r="J5860">
        <v>-351.58550000000002</v>
      </c>
      <c r="K5860">
        <v>1.1094200000000001</v>
      </c>
      <c r="L5860">
        <v>23.620819999999998</v>
      </c>
      <c r="M5860">
        <v>0.99968789999999996</v>
      </c>
      <c r="N5860">
        <v>0</v>
      </c>
      <c r="O5860">
        <v>-2.0576939999999998E-2</v>
      </c>
      <c r="P5860">
        <v>0.99548270000000005</v>
      </c>
      <c r="Q5860">
        <v>2.3260690000000001E-3</v>
      </c>
      <c r="R5860">
        <v>-9.4914109999999996E-2</v>
      </c>
      <c r="S5860">
        <v>2.9695429999999998</v>
      </c>
      <c r="T5860">
        <v>-0.19164</v>
      </c>
      <c r="U5860">
        <v>-0.4685974</v>
      </c>
      <c r="V5860">
        <v>7.4449169999999995E-2</v>
      </c>
      <c r="W5860">
        <v>1.6260690000000001E-2</v>
      </c>
      <c r="X5860">
        <v>0.99709219999999998</v>
      </c>
      <c r="Y5860">
        <v>0.13527929999999999</v>
      </c>
      <c r="Z5860">
        <v>-3.0159129999999998E-3</v>
      </c>
      <c r="AA5860">
        <v>0.99080290000000004</v>
      </c>
      <c r="AB5860">
        <v>29</v>
      </c>
      <c r="AC5860">
        <v>17.041399999999999</v>
      </c>
      <c r="AD5860">
        <v>-1.1094226675279999</v>
      </c>
      <c r="AE5860">
        <v>-2.7091400000000001</v>
      </c>
      <c r="AF5860">
        <v>2.34816450405508</v>
      </c>
      <c r="AG5860">
        <v>-1.1094226675279999</v>
      </c>
      <c r="AH5860">
        <v>17.023173019210098</v>
      </c>
      <c r="AI5860">
        <v>93.6938900415022</v>
      </c>
      <c r="AJ5860">
        <v>82.146222178878801</v>
      </c>
      <c r="AK5860">
        <v>17.2201368994352</v>
      </c>
      <c r="AL5860">
        <v>89.068290003069393</v>
      </c>
      <c r="AM5860">
        <v>85.729860675294503</v>
      </c>
      <c r="AN5860">
        <v>0.99999997212690195</v>
      </c>
    </row>
    <row r="5861" spans="1:40" x14ac:dyDescent="0.25">
      <c r="A5861" t="str">
        <f>"20190312154413193"</f>
        <v>20190312154413193</v>
      </c>
      <c r="B5861" t="str">
        <f>"1552376653183096"</f>
        <v>1552376653183096</v>
      </c>
      <c r="C5861" t="s">
        <v>40</v>
      </c>
      <c r="D5861">
        <v>5.11998</v>
      </c>
      <c r="E5861">
        <v>0.52308160000000004</v>
      </c>
      <c r="F5861" t="s">
        <v>43</v>
      </c>
      <c r="G5861">
        <v>-334.65089999999998</v>
      </c>
      <c r="H5861" s="1">
        <v>-2.636204E-6</v>
      </c>
      <c r="I5861">
        <v>20.96612</v>
      </c>
      <c r="J5861">
        <v>-351.42950000000002</v>
      </c>
      <c r="K5861">
        <v>1.1094250000000001</v>
      </c>
      <c r="L5861">
        <v>23.616849999999999</v>
      </c>
      <c r="M5861">
        <v>0.99967309999999998</v>
      </c>
      <c r="N5861">
        <v>0</v>
      </c>
      <c r="O5861">
        <v>-2.1293030000000001E-2</v>
      </c>
      <c r="P5861">
        <v>0.99541219999999997</v>
      </c>
      <c r="Q5861">
        <v>2.4547089999999998E-3</v>
      </c>
      <c r="R5861">
        <v>-9.5648739999999996E-2</v>
      </c>
      <c r="S5861">
        <v>2.9696660000000001</v>
      </c>
      <c r="T5861">
        <v>-0.19454879999999999</v>
      </c>
      <c r="U5861">
        <v>-0.46551510000000001</v>
      </c>
      <c r="V5861">
        <v>7.4470949999999994E-2</v>
      </c>
      <c r="W5861">
        <v>1.6387510000000001E-2</v>
      </c>
      <c r="X5861">
        <v>0.99708859999999999</v>
      </c>
      <c r="Y5861">
        <v>0.1335575</v>
      </c>
      <c r="Z5861">
        <v>-2.9591769999999999E-3</v>
      </c>
      <c r="AA5861">
        <v>0.99103669999999999</v>
      </c>
      <c r="AB5861">
        <v>29</v>
      </c>
      <c r="AC5861">
        <v>16.778600000000001</v>
      </c>
      <c r="AD5861">
        <v>-1.1094276362039901</v>
      </c>
      <c r="AE5861">
        <v>-2.6507299999999998</v>
      </c>
      <c r="AF5861">
        <v>2.2830871428311701</v>
      </c>
      <c r="AG5861">
        <v>-1.1094276362039901</v>
      </c>
      <c r="AH5861">
        <v>16.7597524686133</v>
      </c>
      <c r="AI5861">
        <v>93.752664120208806</v>
      </c>
      <c r="AJ5861">
        <v>82.242666419842493</v>
      </c>
      <c r="AK5861">
        <v>16.9508884543236</v>
      </c>
      <c r="AL5861">
        <v>89.061022879963602</v>
      </c>
      <c r="AM5861">
        <v>85.728600709925502</v>
      </c>
      <c r="AN5861">
        <v>1.0000000745639199</v>
      </c>
    </row>
    <row r="5862" spans="1:40" x14ac:dyDescent="0.25">
      <c r="A5862" t="str">
        <f>"20190312154413204"</f>
        <v>20190312154413204</v>
      </c>
      <c r="B5862" t="str">
        <f>"1552376653193833"</f>
        <v>1552376653193833</v>
      </c>
      <c r="C5862" t="s">
        <v>40</v>
      </c>
      <c r="D5862">
        <v>5.1278329999999999</v>
      </c>
      <c r="E5862">
        <v>0.52283049999999998</v>
      </c>
      <c r="F5862" t="s">
        <v>43</v>
      </c>
      <c r="G5862">
        <v>-334.54730000000001</v>
      </c>
      <c r="H5862" s="1">
        <v>-2.6850589999999999E-6</v>
      </c>
      <c r="I5862">
        <v>20.982610000000001</v>
      </c>
      <c r="J5862">
        <v>-351.28070000000002</v>
      </c>
      <c r="K5862">
        <v>1.1094269999999999</v>
      </c>
      <c r="L5862">
        <v>23.613009999999999</v>
      </c>
      <c r="M5862">
        <v>0.9996583</v>
      </c>
      <c r="N5862">
        <v>0</v>
      </c>
      <c r="O5862">
        <v>-2.1975149999999999E-2</v>
      </c>
      <c r="P5862">
        <v>0.99534750000000005</v>
      </c>
      <c r="Q5862">
        <v>2.5809219999999998E-3</v>
      </c>
      <c r="R5862">
        <v>-9.6316460000000007E-2</v>
      </c>
      <c r="S5862">
        <v>2.9697879999999999</v>
      </c>
      <c r="T5862">
        <v>-0.19516069999999999</v>
      </c>
      <c r="U5862">
        <v>-0.46337889999999998</v>
      </c>
      <c r="V5862">
        <v>7.4459629999999999E-2</v>
      </c>
      <c r="W5862">
        <v>1.6511939999999999E-2</v>
      </c>
      <c r="X5862">
        <v>0.99708730000000001</v>
      </c>
      <c r="Y5862">
        <v>0.13218189999999999</v>
      </c>
      <c r="Z5862">
        <v>-2.87916E-3</v>
      </c>
      <c r="AA5862">
        <v>0.99122129999999997</v>
      </c>
      <c r="AB5862">
        <v>28</v>
      </c>
      <c r="AC5862">
        <v>16.7334</v>
      </c>
      <c r="AD5862">
        <v>-1.109429685059</v>
      </c>
      <c r="AE5862">
        <v>-2.6303999999999901</v>
      </c>
      <c r="AF5862">
        <v>2.2523468906457</v>
      </c>
      <c r="AG5862">
        <v>-1.109429685059</v>
      </c>
      <c r="AH5862">
        <v>16.715462736143699</v>
      </c>
      <c r="AI5862">
        <v>93.763323539230299</v>
      </c>
      <c r="AJ5862">
        <v>82.325828021807894</v>
      </c>
      <c r="AK5862">
        <v>16.9029759280814</v>
      </c>
      <c r="AL5862">
        <v>89.053892514522701</v>
      </c>
      <c r="AM5862">
        <v>85.729242036422207</v>
      </c>
      <c r="AN5862">
        <v>0.99999998224179498</v>
      </c>
    </row>
    <row r="5863" spans="1:40" x14ac:dyDescent="0.25">
      <c r="A5863" t="str">
        <f>"20190312154413226"</f>
        <v>20190312154413226</v>
      </c>
      <c r="B5863" t="str">
        <f>"1552376653213859"</f>
        <v>1552376653213859</v>
      </c>
      <c r="C5863" t="s">
        <v>40</v>
      </c>
      <c r="D5863">
        <v>5.139259</v>
      </c>
      <c r="E5863">
        <v>0.52262249999999999</v>
      </c>
      <c r="F5863" t="s">
        <v>43</v>
      </c>
      <c r="G5863">
        <v>-334.36290000000002</v>
      </c>
      <c r="H5863" s="1">
        <v>-2.7617000000000002E-6</v>
      </c>
      <c r="I5863">
        <v>20.973330000000001</v>
      </c>
      <c r="J5863">
        <v>-351.0188</v>
      </c>
      <c r="K5863">
        <v>1.109432</v>
      </c>
      <c r="L5863">
        <v>23.605899999999998</v>
      </c>
      <c r="M5863">
        <v>0.9996313</v>
      </c>
      <c r="N5863">
        <v>0</v>
      </c>
      <c r="O5863">
        <v>-2.3174460000000001E-2</v>
      </c>
      <c r="P5863">
        <v>0.9952299</v>
      </c>
      <c r="Q5863">
        <v>2.660889E-3</v>
      </c>
      <c r="R5863">
        <v>-9.7522310000000001E-2</v>
      </c>
      <c r="S5863">
        <v>2.9697269999999998</v>
      </c>
      <c r="T5863">
        <v>-0.19474639999999999</v>
      </c>
      <c r="U5863">
        <v>-0.46334839999999999</v>
      </c>
      <c r="V5863">
        <v>7.4471399999999993E-2</v>
      </c>
      <c r="W5863">
        <v>1.6589659999999999E-2</v>
      </c>
      <c r="X5863">
        <v>0.9970852</v>
      </c>
      <c r="Y5863">
        <v>0.13099179999999999</v>
      </c>
      <c r="Z5863">
        <v>-2.7563549999999998E-3</v>
      </c>
      <c r="AA5863">
        <v>0.99137960000000003</v>
      </c>
      <c r="AB5863">
        <v>28</v>
      </c>
      <c r="AC5863">
        <v>16.6558999999999</v>
      </c>
      <c r="AD5863">
        <v>-1.1094347617</v>
      </c>
      <c r="AE5863">
        <v>-2.6325699999999999</v>
      </c>
      <c r="AF5863">
        <v>2.2361532159670401</v>
      </c>
      <c r="AG5863">
        <v>-1.1094347617</v>
      </c>
      <c r="AH5863">
        <v>16.640410130934701</v>
      </c>
      <c r="AI5863">
        <v>93.780447305355594</v>
      </c>
      <c r="AJ5863">
        <v>82.346392249462198</v>
      </c>
      <c r="AK5863">
        <v>16.826600251431199</v>
      </c>
      <c r="AL5863">
        <v>89.049438941932195</v>
      </c>
      <c r="AM5863">
        <v>85.728560483595999</v>
      </c>
      <c r="AN5863">
        <v>1.0000000511479501</v>
      </c>
    </row>
    <row r="5864" spans="1:40" x14ac:dyDescent="0.25">
      <c r="A5864" t="str">
        <f>"20190312154413247"</f>
        <v>20190312154413247</v>
      </c>
      <c r="B5864" t="str">
        <f>"1552376653243139"</f>
        <v>1552376653243139</v>
      </c>
      <c r="C5864" t="s">
        <v>40</v>
      </c>
      <c r="D5864">
        <v>5.181514</v>
      </c>
      <c r="E5864">
        <v>0.52245019999999998</v>
      </c>
      <c r="F5864" t="s">
        <v>43</v>
      </c>
      <c r="G5864">
        <v>-334.07170000000002</v>
      </c>
      <c r="H5864" s="1">
        <v>-2.8805319999999998E-6</v>
      </c>
      <c r="I5864">
        <v>20.950510000000001</v>
      </c>
      <c r="J5864">
        <v>-350.74950000000001</v>
      </c>
      <c r="K5864">
        <v>1.1094489999999999</v>
      </c>
      <c r="L5864">
        <v>23.598299999999998</v>
      </c>
      <c r="M5864">
        <v>0.99960199999999999</v>
      </c>
      <c r="N5864">
        <v>0</v>
      </c>
      <c r="O5864">
        <v>-2.4405969999999999E-2</v>
      </c>
      <c r="P5864">
        <v>0.99511400000000005</v>
      </c>
      <c r="Q5864">
        <v>3.1663500000000001E-3</v>
      </c>
      <c r="R5864">
        <v>-9.8684389999999997E-2</v>
      </c>
      <c r="S5864">
        <v>2.9693299999999998</v>
      </c>
      <c r="T5864">
        <v>-0.19438549999999999</v>
      </c>
      <c r="U5864">
        <v>-0.4652405</v>
      </c>
      <c r="V5864">
        <v>7.4408269999999999E-2</v>
      </c>
      <c r="W5864">
        <v>1.7092650000000001E-2</v>
      </c>
      <c r="X5864">
        <v>0.99708129999999995</v>
      </c>
      <c r="Y5864">
        <v>0.13041179999999999</v>
      </c>
      <c r="Z5864">
        <v>-2.6526760000000001E-3</v>
      </c>
      <c r="AA5864">
        <v>0.99145629999999996</v>
      </c>
      <c r="AB5864">
        <v>28</v>
      </c>
      <c r="AC5864">
        <v>16.677799999999898</v>
      </c>
      <c r="AD5864">
        <v>-1.1094518805319999</v>
      </c>
      <c r="AE5864">
        <v>-2.6477899999999899</v>
      </c>
      <c r="AF5864">
        <v>2.2302955080681102</v>
      </c>
      <c r="AG5864">
        <v>-1.1094518805319999</v>
      </c>
      <c r="AH5864">
        <v>16.665523324794702</v>
      </c>
      <c r="AI5864">
        <v>93.775099824198904</v>
      </c>
      <c r="AJ5864">
        <v>82.377572480890194</v>
      </c>
      <c r="AK5864">
        <v>16.850660794692899</v>
      </c>
      <c r="AL5864">
        <v>89.0206155365032</v>
      </c>
      <c r="AM5864">
        <v>85.732151400941305</v>
      </c>
      <c r="AN5864">
        <v>0.99999993406904997</v>
      </c>
    </row>
    <row r="5865" spans="1:40" x14ac:dyDescent="0.25">
      <c r="A5865" t="str">
        <f>"20190312154413260"</f>
        <v>20190312154413260</v>
      </c>
      <c r="B5865" t="str">
        <f>"1552376653253875"</f>
        <v>1552376653253875</v>
      </c>
      <c r="C5865" t="s">
        <v>40</v>
      </c>
      <c r="D5865">
        <v>5.1026049999999996</v>
      </c>
      <c r="E5865">
        <v>0.52236870000000002</v>
      </c>
      <c r="F5865" t="s">
        <v>43</v>
      </c>
      <c r="G5865">
        <v>-334.43759999999997</v>
      </c>
      <c r="H5865" s="1">
        <v>-2.7454559999999999E-6</v>
      </c>
      <c r="I5865">
        <v>21.032820000000001</v>
      </c>
      <c r="J5865">
        <v>-350.5772</v>
      </c>
      <c r="K5865">
        <v>1.1094520000000001</v>
      </c>
      <c r="L5865">
        <v>23.593229999999998</v>
      </c>
      <c r="M5865">
        <v>0.99958259999999999</v>
      </c>
      <c r="N5865">
        <v>0</v>
      </c>
      <c r="O5865">
        <v>-2.5193500000000001E-2</v>
      </c>
      <c r="P5865">
        <v>0.99500310000000003</v>
      </c>
      <c r="Q5865">
        <v>3.6674780000000001E-3</v>
      </c>
      <c r="R5865">
        <v>-9.9777920000000006E-2</v>
      </c>
      <c r="S5865">
        <v>2.969055</v>
      </c>
      <c r="T5865">
        <v>-0.20194019999999999</v>
      </c>
      <c r="U5865">
        <v>-0.46694950000000002</v>
      </c>
      <c r="V5865">
        <v>7.471991E-2</v>
      </c>
      <c r="W5865">
        <v>1.7590390000000001E-2</v>
      </c>
      <c r="X5865">
        <v>0.99704939999999997</v>
      </c>
      <c r="Y5865">
        <v>0.13018650000000001</v>
      </c>
      <c r="Z5865">
        <v>-2.6949489999999999E-3</v>
      </c>
      <c r="AA5865">
        <v>0.99148579999999997</v>
      </c>
      <c r="AB5865">
        <v>28</v>
      </c>
      <c r="AC5865">
        <v>16.139600000000002</v>
      </c>
      <c r="AD5865">
        <v>-1.109454745456</v>
      </c>
      <c r="AE5865">
        <v>-2.5604099999999899</v>
      </c>
      <c r="AF5865">
        <v>2.1430653617773201</v>
      </c>
      <c r="AG5865">
        <v>-1.109454745456</v>
      </c>
      <c r="AH5865">
        <v>16.124664197762801</v>
      </c>
      <c r="AI5865">
        <v>93.901820206589207</v>
      </c>
      <c r="AJ5865">
        <v>82.429412107755098</v>
      </c>
      <c r="AK5865">
        <v>16.304245289729899</v>
      </c>
      <c r="AL5865">
        <v>88.992092906755602</v>
      </c>
      <c r="AM5865">
        <v>85.714206461688093</v>
      </c>
      <c r="AN5865">
        <v>0.99999999640556003</v>
      </c>
    </row>
    <row r="5866" spans="1:40" x14ac:dyDescent="0.25">
      <c r="A5866" t="str">
        <f>"20190312154413283"</f>
        <v>20190312154413283</v>
      </c>
      <c r="B5866" t="str">
        <f>"1552376653273394"</f>
        <v>1552376653273394</v>
      </c>
      <c r="C5866" t="s">
        <v>40</v>
      </c>
      <c r="D5866">
        <v>5.130255</v>
      </c>
      <c r="E5866">
        <v>0.52206220000000003</v>
      </c>
      <c r="F5866" t="s">
        <v>43</v>
      </c>
      <c r="G5866">
        <v>-334.13670000000002</v>
      </c>
      <c r="H5866" s="1">
        <v>-2.8638340000000001E-6</v>
      </c>
      <c r="I5866">
        <v>20.992509999999999</v>
      </c>
      <c r="J5866">
        <v>-350.29969999999997</v>
      </c>
      <c r="K5866">
        <v>1.1094550000000001</v>
      </c>
      <c r="L5866">
        <v>23.584810000000001</v>
      </c>
      <c r="M5866">
        <v>0.99954969999999999</v>
      </c>
      <c r="N5866">
        <v>0</v>
      </c>
      <c r="O5866">
        <v>-2.6462929999999999E-2</v>
      </c>
      <c r="P5866">
        <v>0.99482740000000003</v>
      </c>
      <c r="Q5866">
        <v>3.8657600000000002E-3</v>
      </c>
      <c r="R5866">
        <v>-0.1015047</v>
      </c>
      <c r="S5866">
        <v>2.9687190000000001</v>
      </c>
      <c r="T5866">
        <v>-0.2003373</v>
      </c>
      <c r="U5866">
        <v>-0.46960449999999998</v>
      </c>
      <c r="V5866">
        <v>7.5184760000000003E-2</v>
      </c>
      <c r="W5866">
        <v>1.7783480000000001E-2</v>
      </c>
      <c r="X5866">
        <v>0.99701099999999998</v>
      </c>
      <c r="Y5866">
        <v>0.12981719999999999</v>
      </c>
      <c r="Z5866">
        <v>-2.5764109999999998E-3</v>
      </c>
      <c r="AA5866">
        <v>0.99153460000000004</v>
      </c>
      <c r="AB5866">
        <v>28</v>
      </c>
      <c r="AC5866">
        <v>16.162999999999901</v>
      </c>
      <c r="AD5866">
        <v>-1.10945786383399</v>
      </c>
      <c r="AE5866">
        <v>-2.5922999999999998</v>
      </c>
      <c r="AF5866">
        <v>2.1537355734747901</v>
      </c>
      <c r="AG5866">
        <v>-1.10945786383399</v>
      </c>
      <c r="AH5866">
        <v>16.151751517643099</v>
      </c>
      <c r="AI5866">
        <v>93.895085383397202</v>
      </c>
      <c r="AJ5866">
        <v>82.404768633200902</v>
      </c>
      <c r="AK5866">
        <v>16.332438604193801</v>
      </c>
      <c r="AL5866">
        <v>88.981027904028593</v>
      </c>
      <c r="AM5866">
        <v>85.687478345605996</v>
      </c>
      <c r="AN5866">
        <v>0.99999996720908302</v>
      </c>
    </row>
    <row r="5867" spans="1:40" x14ac:dyDescent="0.25">
      <c r="A5867" t="str">
        <f>"20190312154413304"</f>
        <v>20190312154413304</v>
      </c>
      <c r="B5867" t="str">
        <f>"1552376653292914"</f>
        <v>1552376653292914</v>
      </c>
      <c r="C5867" t="s">
        <v>40</v>
      </c>
      <c r="D5867">
        <v>5.1552939999999996</v>
      </c>
      <c r="E5867">
        <v>0.52208719999999997</v>
      </c>
      <c r="F5867" t="s">
        <v>43</v>
      </c>
      <c r="G5867">
        <v>-334.03570000000002</v>
      </c>
      <c r="H5867" s="1">
        <v>-2.908209E-6</v>
      </c>
      <c r="I5867">
        <v>20.99653</v>
      </c>
      <c r="J5867">
        <v>-350.0222</v>
      </c>
      <c r="K5867">
        <v>1.109461</v>
      </c>
      <c r="L5867">
        <v>23.576049999999999</v>
      </c>
      <c r="M5867">
        <v>0.99951540000000005</v>
      </c>
      <c r="N5867">
        <v>0</v>
      </c>
      <c r="O5867">
        <v>-2.77326E-2</v>
      </c>
      <c r="P5867">
        <v>0.9946663</v>
      </c>
      <c r="Q5867">
        <v>4.1187929999999999E-3</v>
      </c>
      <c r="R5867">
        <v>-0.1030663</v>
      </c>
      <c r="S5867">
        <v>2.9682010000000001</v>
      </c>
      <c r="T5867">
        <v>-0.20247789999999999</v>
      </c>
      <c r="U5867">
        <v>-0.47235110000000002</v>
      </c>
      <c r="V5867">
        <v>7.5483620000000001E-2</v>
      </c>
      <c r="W5867">
        <v>1.8032349999999999E-2</v>
      </c>
      <c r="X5867">
        <v>0.99698399999999998</v>
      </c>
      <c r="Y5867">
        <v>0.12947809999999901</v>
      </c>
      <c r="Z5867">
        <v>-2.5068E-3</v>
      </c>
      <c r="AA5867">
        <v>0.99157910000000005</v>
      </c>
      <c r="AB5867">
        <v>28</v>
      </c>
      <c r="AC5867">
        <v>15.9864999999999</v>
      </c>
      <c r="AD5867">
        <v>-1.1094639082089901</v>
      </c>
      <c r="AE5867">
        <v>-2.5795199999999898</v>
      </c>
      <c r="AF5867">
        <v>2.1251603146807598</v>
      </c>
      <c r="AG5867">
        <v>-1.1094639082089901</v>
      </c>
      <c r="AH5867">
        <v>15.976895986548801</v>
      </c>
      <c r="AI5867">
        <v>93.937771365366999</v>
      </c>
      <c r="AJ5867">
        <v>82.423300869120197</v>
      </c>
      <c r="AK5867">
        <v>16.155755070305801</v>
      </c>
      <c r="AL5867">
        <v>88.966766469837097</v>
      </c>
      <c r="AM5867">
        <v>85.670284286282097</v>
      </c>
      <c r="AN5867">
        <v>1.0000000193954099</v>
      </c>
    </row>
    <row r="5868" spans="1:40" x14ac:dyDescent="0.25">
      <c r="A5868" t="str">
        <f>"20190312154413317"</f>
        <v>20190312154413317</v>
      </c>
      <c r="B5868" t="str">
        <f>"1552376653313411"</f>
        <v>1552376653313411</v>
      </c>
      <c r="C5868" t="s">
        <v>40</v>
      </c>
      <c r="D5868">
        <v>5.1439550000000001</v>
      </c>
      <c r="E5868">
        <v>0.52208370000000004</v>
      </c>
      <c r="F5868" t="s">
        <v>43</v>
      </c>
      <c r="G5868">
        <v>-333.78160000000003</v>
      </c>
      <c r="H5868" s="1">
        <v>-3.0087040000000002E-6</v>
      </c>
      <c r="I5868">
        <v>20.964479999999998</v>
      </c>
      <c r="J5868">
        <v>-349.86849999999998</v>
      </c>
      <c r="K5868">
        <v>1.1094619999999999</v>
      </c>
      <c r="L5868">
        <v>23.57104</v>
      </c>
      <c r="M5868">
        <v>0.99949569999999999</v>
      </c>
      <c r="N5868">
        <v>0</v>
      </c>
      <c r="O5868">
        <v>-2.8436690000000001E-2</v>
      </c>
      <c r="P5868">
        <v>0.99455950000000004</v>
      </c>
      <c r="Q5868">
        <v>4.1935409999999899E-3</v>
      </c>
      <c r="R5868">
        <v>-0.1040875</v>
      </c>
      <c r="S5868">
        <v>2.9674990000000001</v>
      </c>
      <c r="T5868">
        <v>-0.2027216</v>
      </c>
      <c r="U5868">
        <v>-0.47717290000000001</v>
      </c>
      <c r="V5868">
        <v>7.5805349999999994E-2</v>
      </c>
      <c r="W5868">
        <v>1.810434E-2</v>
      </c>
      <c r="X5868">
        <v>0.99695829999999996</v>
      </c>
      <c r="Y5868">
        <v>0.1303858</v>
      </c>
      <c r="Z5868">
        <v>-2.4931860000000001E-3</v>
      </c>
      <c r="AA5868">
        <v>0.99146020000000001</v>
      </c>
      <c r="AB5868">
        <v>28</v>
      </c>
      <c r="AC5868">
        <v>16.086899999999901</v>
      </c>
      <c r="AD5868">
        <v>-1.1094650087039899</v>
      </c>
      <c r="AE5868">
        <v>-2.60656</v>
      </c>
      <c r="AF5868">
        <v>2.1380922565342102</v>
      </c>
      <c r="AG5868">
        <v>-1.1094650087039899</v>
      </c>
      <c r="AH5868">
        <v>16.079995421411301</v>
      </c>
      <c r="AI5868">
        <v>93.912631040338397</v>
      </c>
      <c r="AJ5868">
        <v>82.426038100154202</v>
      </c>
      <c r="AK5868">
        <v>16.259415852225398</v>
      </c>
      <c r="AL5868">
        <v>88.962641089564499</v>
      </c>
      <c r="AM5868">
        <v>85.651788924219304</v>
      </c>
      <c r="AN5868">
        <v>1.0000000350771701</v>
      </c>
    </row>
    <row r="5869" spans="1:40" x14ac:dyDescent="0.25">
      <c r="A5869" t="str">
        <f>"20190312154413329"</f>
        <v>20190312154413329</v>
      </c>
      <c r="B5869" t="str">
        <f>"1552376653323171"</f>
        <v>1552376653323171</v>
      </c>
      <c r="C5869" t="s">
        <v>40</v>
      </c>
      <c r="D5869">
        <v>5.1342220000000003</v>
      </c>
      <c r="E5869">
        <v>0.52210279999999998</v>
      </c>
      <c r="F5869" t="s">
        <v>43</v>
      </c>
      <c r="G5869">
        <v>-333.72789999999998</v>
      </c>
      <c r="H5869" s="1">
        <v>-3.0303969999999999E-6</v>
      </c>
      <c r="I5869">
        <v>20.959409999999998</v>
      </c>
      <c r="J5869">
        <v>-349.70850000000002</v>
      </c>
      <c r="K5869">
        <v>1.1094619999999999</v>
      </c>
      <c r="L5869">
        <v>23.565770000000001</v>
      </c>
      <c r="M5869">
        <v>0.99947459999999999</v>
      </c>
      <c r="N5869">
        <v>0</v>
      </c>
      <c r="O5869">
        <v>-2.916939E-2</v>
      </c>
      <c r="P5869">
        <v>0.99447110000000005</v>
      </c>
      <c r="Q5869">
        <v>3.9979719999999998E-3</v>
      </c>
      <c r="R5869">
        <v>-0.104938</v>
      </c>
      <c r="S5869">
        <v>2.9670719999999999</v>
      </c>
      <c r="T5869">
        <v>-0.2039484</v>
      </c>
      <c r="U5869">
        <v>-0.480072</v>
      </c>
      <c r="V5869">
        <v>7.5926279999999999E-2</v>
      </c>
      <c r="W5869">
        <v>1.7906490000000001E-2</v>
      </c>
      <c r="X5869">
        <v>0.99695270000000002</v>
      </c>
      <c r="Y5869">
        <v>0.13062399999999999</v>
      </c>
      <c r="Z5869">
        <v>-2.4666169999999999E-3</v>
      </c>
      <c r="AA5869">
        <v>0.99142889999999995</v>
      </c>
      <c r="AB5869">
        <v>28</v>
      </c>
      <c r="AC5869">
        <v>15.980600000000001</v>
      </c>
      <c r="AD5869">
        <v>-1.109465030397</v>
      </c>
      <c r="AE5869">
        <v>-2.6063599999999898</v>
      </c>
      <c r="AF5869">
        <v>2.1290637780962198</v>
      </c>
      <c r="AG5869">
        <v>-1.109465030397</v>
      </c>
      <c r="AH5869">
        <v>15.974829595405801</v>
      </c>
      <c r="AI5869">
        <v>93.938148760233503</v>
      </c>
      <c r="AJ5869">
        <v>82.408575815794094</v>
      </c>
      <c r="AK5869">
        <v>16.154225633781699</v>
      </c>
      <c r="AL5869">
        <v>88.973978927033102</v>
      </c>
      <c r="AM5869">
        <v>85.644854650786698</v>
      </c>
      <c r="AN5869">
        <v>1.00000006420802</v>
      </c>
    </row>
    <row r="5870" spans="1:40" x14ac:dyDescent="0.25">
      <c r="A5870" t="str">
        <f>"20190312154413340"</f>
        <v>20190312154413340</v>
      </c>
      <c r="B5870" t="str">
        <f>"1552376653332931"</f>
        <v>1552376653332931</v>
      </c>
      <c r="C5870" t="s">
        <v>40</v>
      </c>
      <c r="D5870">
        <v>5.1895280000000001</v>
      </c>
      <c r="E5870">
        <v>0.52195639999999999</v>
      </c>
      <c r="F5870" t="s">
        <v>41</v>
      </c>
      <c r="G5870">
        <v>-348.74279999999999</v>
      </c>
      <c r="H5870">
        <v>1.0425599999999999</v>
      </c>
      <c r="I5870">
        <v>23.408629999999999</v>
      </c>
      <c r="J5870">
        <v>-349.55709999999999</v>
      </c>
      <c r="K5870">
        <v>1.1094619999999999</v>
      </c>
      <c r="L5870">
        <v>23.560580000000002</v>
      </c>
      <c r="M5870">
        <v>0.99945410000000001</v>
      </c>
      <c r="N5870">
        <v>0</v>
      </c>
      <c r="O5870">
        <v>-2.9863710000000002E-2</v>
      </c>
      <c r="P5870">
        <v>0.99435560000000001</v>
      </c>
      <c r="Q5870">
        <v>3.623556E-3</v>
      </c>
      <c r="R5870">
        <v>-0.1060388</v>
      </c>
      <c r="S5870">
        <v>2.9665530000000002</v>
      </c>
      <c r="T5870">
        <v>-0.20554410000000001</v>
      </c>
      <c r="U5870">
        <v>-0.48257450000000002</v>
      </c>
      <c r="V5870">
        <v>7.6336440000000005E-2</v>
      </c>
      <c r="W5870">
        <v>1.7529369999999999E-2</v>
      </c>
      <c r="X5870">
        <v>0.99692800000000004</v>
      </c>
      <c r="Y5870">
        <v>0.130775</v>
      </c>
      <c r="Z5870">
        <v>-2.4436610000000002E-3</v>
      </c>
      <c r="AA5870">
        <v>0.99140910000000004</v>
      </c>
      <c r="AB5870">
        <v>28</v>
      </c>
      <c r="AC5870">
        <v>0.81430000000000202</v>
      </c>
      <c r="AD5870">
        <v>-6.6902000000000197E-2</v>
      </c>
      <c r="AE5870">
        <v>-0.151949999999999</v>
      </c>
      <c r="AF5870">
        <v>0.12673507938380299</v>
      </c>
      <c r="AG5870">
        <v>-6.6902000000000197E-2</v>
      </c>
      <c r="AH5870">
        <v>0.81317070113205903</v>
      </c>
      <c r="AI5870">
        <v>94.647448510293501</v>
      </c>
      <c r="AJ5870">
        <v>81.1415474757802</v>
      </c>
      <c r="AK5870">
        <v>0.82570227511496097</v>
      </c>
      <c r="AL5870">
        <v>88.995589621955901</v>
      </c>
      <c r="AM5870">
        <v>85.621310984123994</v>
      </c>
      <c r="AN5870">
        <v>0.99999998403423496</v>
      </c>
    </row>
    <row r="5871" spans="1:40" x14ac:dyDescent="0.25">
      <c r="A5871" t="str">
        <f>"20190312154413354"</f>
        <v>20190312154413354</v>
      </c>
      <c r="B5871" t="str">
        <f>"1552376653343667"</f>
        <v>1552376653343667</v>
      </c>
      <c r="C5871" t="s">
        <v>40</v>
      </c>
      <c r="D5871">
        <v>5.1908120000000002</v>
      </c>
      <c r="E5871">
        <v>0.52186179999999904</v>
      </c>
      <c r="F5871" t="s">
        <v>43</v>
      </c>
      <c r="G5871">
        <v>-333.90280000000001</v>
      </c>
      <c r="H5871" s="1">
        <v>-2.9669579999999998E-6</v>
      </c>
      <c r="I5871">
        <v>21.002939999999999</v>
      </c>
      <c r="J5871">
        <v>-349.39519999999999</v>
      </c>
      <c r="K5871">
        <v>1.1094660000000001</v>
      </c>
      <c r="L5871">
        <v>23.554960000000001</v>
      </c>
      <c r="M5871">
        <v>0.99943170000000003</v>
      </c>
      <c r="N5871">
        <v>0</v>
      </c>
      <c r="O5871">
        <v>-3.060618E-2</v>
      </c>
      <c r="P5871">
        <v>0.9942704</v>
      </c>
      <c r="Q5871">
        <v>3.2033489999999999E-3</v>
      </c>
      <c r="R5871">
        <v>-0.1068458</v>
      </c>
      <c r="S5871">
        <v>2.9660950000000001</v>
      </c>
      <c r="T5871">
        <v>-0.21021429999999999</v>
      </c>
      <c r="U5871">
        <v>-0.48458859999999898</v>
      </c>
      <c r="V5871">
        <v>7.6404059999999996E-2</v>
      </c>
      <c r="W5871">
        <v>1.710743E-2</v>
      </c>
      <c r="X5871">
        <v>0.99693019999999999</v>
      </c>
      <c r="Y5871">
        <v>0.13070969999999901</v>
      </c>
      <c r="Z5871">
        <v>-2.4448709999999999E-3</v>
      </c>
      <c r="AA5871">
        <v>0.99141760000000001</v>
      </c>
      <c r="AB5871">
        <v>28</v>
      </c>
      <c r="AC5871">
        <v>15.4923999999999</v>
      </c>
      <c r="AD5871">
        <v>-1.109468966958</v>
      </c>
      <c r="AE5871">
        <v>-2.5520200000000002</v>
      </c>
      <c r="AF5871">
        <v>2.0662965877696902</v>
      </c>
      <c r="AG5871">
        <v>-1.109468966958</v>
      </c>
      <c r="AH5871">
        <v>15.4859341216095</v>
      </c>
      <c r="AI5871">
        <v>94.061999883249101</v>
      </c>
      <c r="AJ5871">
        <v>82.399884324651097</v>
      </c>
      <c r="AK5871">
        <v>15.662524017415</v>
      </c>
      <c r="AL5871">
        <v>89.019768679059098</v>
      </c>
      <c r="AM5871">
        <v>85.617457011735596</v>
      </c>
      <c r="AN5871">
        <v>1.00000003410886</v>
      </c>
    </row>
    <row r="5872" spans="1:40" x14ac:dyDescent="0.25">
      <c r="A5872" t="str">
        <f>"20190312154413371"</f>
        <v>20190312154413371</v>
      </c>
      <c r="B5872" t="str">
        <f>"1552376653363186"</f>
        <v>1552376653363186</v>
      </c>
      <c r="C5872" t="s">
        <v>40</v>
      </c>
      <c r="D5872">
        <v>5.2338899999999997</v>
      </c>
      <c r="E5872">
        <v>0.52168009999999998</v>
      </c>
      <c r="F5872" t="s">
        <v>41</v>
      </c>
      <c r="G5872">
        <v>-348.4905</v>
      </c>
      <c r="H5872">
        <v>1.043857</v>
      </c>
      <c r="I5872">
        <v>23.406410000000001</v>
      </c>
      <c r="J5872">
        <v>-349.17599999999999</v>
      </c>
      <c r="K5872">
        <v>1.1094679999999999</v>
      </c>
      <c r="L5872">
        <v>23.547149999999998</v>
      </c>
      <c r="M5872">
        <v>0.99940039999999997</v>
      </c>
      <c r="N5872">
        <v>0</v>
      </c>
      <c r="O5872">
        <v>-3.1611130000000001E-2</v>
      </c>
      <c r="P5872">
        <v>0.99414550000000002</v>
      </c>
      <c r="Q5872">
        <v>3.08815E-3</v>
      </c>
      <c r="R5872">
        <v>-0.1080063</v>
      </c>
      <c r="S5872">
        <v>2.9657589999999998</v>
      </c>
      <c r="T5872">
        <v>-0.21502399999999999</v>
      </c>
      <c r="U5872">
        <v>-0.48614499999999999</v>
      </c>
      <c r="V5872">
        <v>7.6564919999999995E-2</v>
      </c>
      <c r="W5872">
        <v>1.6989199999999999E-2</v>
      </c>
      <c r="X5872">
        <v>0.99691989999999997</v>
      </c>
      <c r="Y5872">
        <v>0.13022990000000001</v>
      </c>
      <c r="Z5872">
        <v>-2.411416E-3</v>
      </c>
      <c r="AA5872">
        <v>0.9914809</v>
      </c>
      <c r="AB5872">
        <v>28</v>
      </c>
      <c r="AC5872">
        <v>0.68549999999999001</v>
      </c>
      <c r="AD5872">
        <v>-6.5611000000000003E-2</v>
      </c>
      <c r="AE5872">
        <v>-0.14073999999999701</v>
      </c>
      <c r="AF5872">
        <v>0.117961135656465</v>
      </c>
      <c r="AG5872">
        <v>-6.5611000000000003E-2</v>
      </c>
      <c r="AH5872">
        <v>0.68359766517055498</v>
      </c>
      <c r="AI5872">
        <v>95.403027413254804</v>
      </c>
      <c r="AJ5872">
        <v>80.2094968206262</v>
      </c>
      <c r="AK5872">
        <v>0.69679652745474996</v>
      </c>
      <c r="AL5872">
        <v>89.0265437623179</v>
      </c>
      <c r="AM5872">
        <v>85.608220932484002</v>
      </c>
      <c r="AN5872">
        <v>1.00000005345362</v>
      </c>
    </row>
    <row r="5873" spans="1:40" x14ac:dyDescent="0.25">
      <c r="A5873" t="str">
        <f>"20190312154413394"</f>
        <v>20190312154413394</v>
      </c>
      <c r="B5873" t="str">
        <f>"1552376653383683"</f>
        <v>1552376653383683</v>
      </c>
      <c r="C5873" t="s">
        <v>40</v>
      </c>
      <c r="D5873">
        <v>5.2389780000000004</v>
      </c>
      <c r="E5873">
        <v>0.5215611</v>
      </c>
      <c r="F5873" t="s">
        <v>41</v>
      </c>
      <c r="G5873">
        <v>-348.2423</v>
      </c>
      <c r="H5873">
        <v>1.0396559999999999</v>
      </c>
      <c r="I5873">
        <v>23.393450000000001</v>
      </c>
      <c r="J5873">
        <v>-348.89060000000001</v>
      </c>
      <c r="K5873">
        <v>1.1094729999999999</v>
      </c>
      <c r="L5873">
        <v>23.536619999999999</v>
      </c>
      <c r="M5873">
        <v>0.99935830000000003</v>
      </c>
      <c r="N5873">
        <v>0</v>
      </c>
      <c r="O5873">
        <v>-3.2920379999999999E-2</v>
      </c>
      <c r="P5873">
        <v>0.99403790000000003</v>
      </c>
      <c r="Q5873">
        <v>3.048743E-3</v>
      </c>
      <c r="R5873">
        <v>-0.1089942</v>
      </c>
      <c r="S5873">
        <v>2.9653320000000001</v>
      </c>
      <c r="T5873">
        <v>-0.22173709999999999</v>
      </c>
      <c r="U5873">
        <v>-0.48800660000000001</v>
      </c>
      <c r="V5873">
        <v>7.6249369999999997E-2</v>
      </c>
      <c r="W5873">
        <v>1.6947710000000001E-2</v>
      </c>
      <c r="X5873">
        <v>0.99694470000000002</v>
      </c>
      <c r="Y5873">
        <v>0.12954930000000001</v>
      </c>
      <c r="Z5873">
        <v>-2.3645300000000001E-3</v>
      </c>
      <c r="AA5873">
        <v>0.99157019999999996</v>
      </c>
      <c r="AB5873">
        <v>28</v>
      </c>
      <c r="AC5873">
        <v>0.64830000000000598</v>
      </c>
      <c r="AD5873">
        <v>-6.9817000000000004E-2</v>
      </c>
      <c r="AE5873">
        <v>-0.14317000000000099</v>
      </c>
      <c r="AF5873">
        <v>0.12041636874954</v>
      </c>
      <c r="AG5873">
        <v>-6.9817000000000004E-2</v>
      </c>
      <c r="AH5873">
        <v>0.64552379282444805</v>
      </c>
      <c r="AI5873">
        <v>96.068975745495393</v>
      </c>
      <c r="AJ5873">
        <v>79.433458923546496</v>
      </c>
      <c r="AK5873">
        <v>0.66036011573556397</v>
      </c>
      <c r="AL5873">
        <v>89.028921218619502</v>
      </c>
      <c r="AM5873">
        <v>85.626358944737902</v>
      </c>
      <c r="AN5873">
        <v>0.99999996307886396</v>
      </c>
    </row>
    <row r="5874" spans="1:40" x14ac:dyDescent="0.25">
      <c r="A5874" t="str">
        <f>"20190312154413407"</f>
        <v>20190312154413407</v>
      </c>
      <c r="B5874" t="str">
        <f>"1552376653403202"</f>
        <v>1552376653403202</v>
      </c>
      <c r="C5874" t="s">
        <v>40</v>
      </c>
      <c r="D5874">
        <v>5.2378600000000004</v>
      </c>
      <c r="E5874">
        <v>0.52148739999999905</v>
      </c>
      <c r="F5874" t="s">
        <v>41</v>
      </c>
      <c r="G5874">
        <v>-347.99079999999998</v>
      </c>
      <c r="H5874">
        <v>1.0403260000000001</v>
      </c>
      <c r="I5874">
        <v>23.387689999999999</v>
      </c>
      <c r="J5874">
        <v>-348.73020000000002</v>
      </c>
      <c r="K5874">
        <v>1.1094740000000001</v>
      </c>
      <c r="L5874">
        <v>23.530609999999999</v>
      </c>
      <c r="M5874">
        <v>0.99933369999999999</v>
      </c>
      <c r="N5874">
        <v>0</v>
      </c>
      <c r="O5874">
        <v>-3.36563E-2</v>
      </c>
      <c r="P5874">
        <v>0.99396989999999996</v>
      </c>
      <c r="Q5874">
        <v>3.2525179999999998E-3</v>
      </c>
      <c r="R5874">
        <v>-0.109606</v>
      </c>
      <c r="S5874">
        <v>2.964966</v>
      </c>
      <c r="T5874">
        <v>-0.2277584</v>
      </c>
      <c r="U5874">
        <v>-0.48989870000000002</v>
      </c>
      <c r="V5874">
        <v>7.6129059999999998E-2</v>
      </c>
      <c r="W5874">
        <v>1.715034E-2</v>
      </c>
      <c r="X5874">
        <v>0.99695040000000001</v>
      </c>
      <c r="Y5874">
        <v>0.12944269999999999</v>
      </c>
      <c r="Z5874">
        <v>-2.3687000000000001E-3</v>
      </c>
      <c r="AA5874">
        <v>0.99158409999999997</v>
      </c>
      <c r="AB5874">
        <v>28</v>
      </c>
      <c r="AC5874">
        <v>0.73940000000004502</v>
      </c>
      <c r="AD5874">
        <v>-6.9147999999999904E-2</v>
      </c>
      <c r="AE5874">
        <v>-0.14291999999999999</v>
      </c>
      <c r="AF5874">
        <v>0.11696495387691901</v>
      </c>
      <c r="AG5874">
        <v>-6.9147999999999904E-2</v>
      </c>
      <c r="AH5874">
        <v>0.73757330721552095</v>
      </c>
      <c r="AI5874">
        <v>95.290140937970193</v>
      </c>
      <c r="AJ5874">
        <v>80.989025925458293</v>
      </c>
      <c r="AK5874">
        <v>0.74998441974235197</v>
      </c>
      <c r="AL5874">
        <v>89.0173096581088</v>
      </c>
      <c r="AM5874">
        <v>85.6332580471353</v>
      </c>
      <c r="AN5874">
        <v>0.99999993399937703</v>
      </c>
    </row>
    <row r="5875" spans="1:40" x14ac:dyDescent="0.25">
      <c r="A5875" t="str">
        <f>"20190312154413426"</f>
        <v>20190312154413426</v>
      </c>
      <c r="B5875" t="str">
        <f>"1552376653423700"</f>
        <v>1552376653423700</v>
      </c>
      <c r="C5875" t="s">
        <v>40</v>
      </c>
      <c r="D5875">
        <v>5.3889769999999997</v>
      </c>
      <c r="E5875">
        <v>0.52142179999999905</v>
      </c>
      <c r="F5875" t="s">
        <v>43</v>
      </c>
      <c r="G5875">
        <v>-334.41</v>
      </c>
      <c r="H5875" s="1">
        <v>-2.7908469999999998E-6</v>
      </c>
      <c r="I5875">
        <v>21.158819999999999</v>
      </c>
      <c r="J5875">
        <v>-348.48149999999998</v>
      </c>
      <c r="K5875">
        <v>1.1094790000000001</v>
      </c>
      <c r="L5875">
        <v>23.520969999999998</v>
      </c>
      <c r="M5875">
        <v>0.99929460000000003</v>
      </c>
      <c r="N5875">
        <v>0</v>
      </c>
      <c r="O5875">
        <v>-3.479749E-2</v>
      </c>
      <c r="P5875">
        <v>0.99387320000000001</v>
      </c>
      <c r="Q5875">
        <v>3.2102229999999999E-3</v>
      </c>
      <c r="R5875">
        <v>-0.1104793</v>
      </c>
      <c r="S5875">
        <v>2.9648129999999999</v>
      </c>
      <c r="T5875">
        <v>-0.22970189999999999</v>
      </c>
      <c r="U5875">
        <v>-0.49102780000000001</v>
      </c>
      <c r="V5875">
        <v>7.5866509999999998E-2</v>
      </c>
      <c r="W5875">
        <v>1.710648E-2</v>
      </c>
      <c r="X5875">
        <v>0.99697119999999995</v>
      </c>
      <c r="Y5875">
        <v>0.128687</v>
      </c>
      <c r="Z5875">
        <v>-2.2723349999999999E-3</v>
      </c>
      <c r="AA5875">
        <v>0.99168259999999997</v>
      </c>
      <c r="AB5875">
        <v>28</v>
      </c>
      <c r="AC5875">
        <v>14.071499999999901</v>
      </c>
      <c r="AD5875">
        <v>-1.109481790847</v>
      </c>
      <c r="AE5875">
        <v>-2.3621500000000002</v>
      </c>
      <c r="AF5875">
        <v>1.85977267617635</v>
      </c>
      <c r="AG5875">
        <v>-1.109481790847</v>
      </c>
      <c r="AH5875">
        <v>14.0601692822983</v>
      </c>
      <c r="AI5875">
        <v>94.4730354302026</v>
      </c>
      <c r="AJ5875">
        <v>82.465088767692507</v>
      </c>
      <c r="AK5875">
        <v>14.225964448787201</v>
      </c>
      <c r="AL5875">
        <v>89.019823051556202</v>
      </c>
      <c r="AM5875">
        <v>85.648350335366899</v>
      </c>
      <c r="AN5875">
        <v>0.99999996631350396</v>
      </c>
    </row>
    <row r="5876" spans="1:40" x14ac:dyDescent="0.25">
      <c r="A5876" t="str">
        <f>"20190312154413440"</f>
        <v>20190312154413440</v>
      </c>
      <c r="B5876" t="str">
        <f>"1552376653433459"</f>
        <v>1552376653433459</v>
      </c>
      <c r="C5876" t="s">
        <v>40</v>
      </c>
      <c r="D5876">
        <v>5.2606089999999996</v>
      </c>
      <c r="E5876">
        <v>0.51692669999999996</v>
      </c>
      <c r="F5876" t="s">
        <v>41</v>
      </c>
      <c r="G5876">
        <v>-347.72489999999999</v>
      </c>
      <c r="H5876">
        <v>1.050106</v>
      </c>
      <c r="I5876">
        <v>23.395029999999998</v>
      </c>
      <c r="J5876">
        <v>-348.32060000000001</v>
      </c>
      <c r="K5876">
        <v>1.10948</v>
      </c>
      <c r="L5876">
        <v>23.514559999999999</v>
      </c>
      <c r="M5876">
        <v>0.99926879999999996</v>
      </c>
      <c r="N5876">
        <v>0</v>
      </c>
      <c r="O5876">
        <v>-3.5536159999999997E-2</v>
      </c>
      <c r="P5876">
        <v>0.9938205</v>
      </c>
      <c r="Q5876">
        <v>2.9166959999999999E-3</v>
      </c>
      <c r="R5876">
        <v>-0.1109622</v>
      </c>
      <c r="S5876">
        <v>2.9644170000000001</v>
      </c>
      <c r="T5876">
        <v>-0.2326049</v>
      </c>
      <c r="U5876">
        <v>-0.49307250000000002</v>
      </c>
      <c r="V5876">
        <v>7.5613040000000006E-2</v>
      </c>
      <c r="W5876">
        <v>1.681231E-2</v>
      </c>
      <c r="X5876">
        <v>0.99699550000000003</v>
      </c>
      <c r="Y5876">
        <v>0.12863640000000001</v>
      </c>
      <c r="Z5876">
        <v>-2.2418080000000001E-3</v>
      </c>
      <c r="AA5876">
        <v>0.9916893</v>
      </c>
      <c r="AB5876">
        <v>28</v>
      </c>
      <c r="AC5876">
        <v>0.59570000000002199</v>
      </c>
      <c r="AD5876">
        <v>-5.9374000000000003E-2</v>
      </c>
      <c r="AE5876">
        <v>-0.119530000000001</v>
      </c>
      <c r="AF5876">
        <v>9.7353781403411596E-2</v>
      </c>
      <c r="AG5876">
        <v>-5.9374000000000003E-2</v>
      </c>
      <c r="AH5876">
        <v>0.59390010486473599</v>
      </c>
      <c r="AI5876">
        <v>95.6343595807122</v>
      </c>
      <c r="AJ5876">
        <v>80.690707277671706</v>
      </c>
      <c r="AK5876">
        <v>0.60474818328614099</v>
      </c>
      <c r="AL5876">
        <v>89.036680214577004</v>
      </c>
      <c r="AM5876">
        <v>85.662938934911594</v>
      </c>
      <c r="AN5876">
        <v>1.00000000630291</v>
      </c>
    </row>
    <row r="5877" spans="1:40" x14ac:dyDescent="0.25">
      <c r="A5877" t="str">
        <f>"20190312154413461"</f>
        <v>20190312154413461</v>
      </c>
      <c r="B5877" t="str">
        <f>"1552376653452979"</f>
        <v>1552376653452979</v>
      </c>
      <c r="C5877" t="s">
        <v>40</v>
      </c>
      <c r="D5877">
        <v>5.2665610000000003</v>
      </c>
      <c r="E5877">
        <v>0.51801079999999999</v>
      </c>
      <c r="F5877" t="s">
        <v>41</v>
      </c>
      <c r="G5877">
        <v>-347.50020000000001</v>
      </c>
      <c r="H5877">
        <v>1.0195970000000001</v>
      </c>
      <c r="I5877">
        <v>23.388339999999999</v>
      </c>
      <c r="J5877">
        <v>-348.04829999999998</v>
      </c>
      <c r="K5877">
        <v>1.109475</v>
      </c>
      <c r="L5877">
        <v>23.503509999999999</v>
      </c>
      <c r="M5877">
        <v>0.99922359999999999</v>
      </c>
      <c r="N5877">
        <v>0</v>
      </c>
      <c r="O5877">
        <v>-3.678617E-2</v>
      </c>
      <c r="P5877">
        <v>0.99372859999999996</v>
      </c>
      <c r="Q5877">
        <v>2.1985580000000002E-3</v>
      </c>
      <c r="R5877">
        <v>-0.111799</v>
      </c>
      <c r="S5877">
        <v>2.96875</v>
      </c>
      <c r="T5877">
        <v>-0.32522309999999999</v>
      </c>
      <c r="U5877">
        <v>-0.45587159999999899</v>
      </c>
      <c r="V5877">
        <v>7.5203320000000004E-2</v>
      </c>
      <c r="W5877">
        <v>1.609286E-2</v>
      </c>
      <c r="X5877">
        <v>0.99703839999999999</v>
      </c>
      <c r="Y5877">
        <v>0.11485570000000001</v>
      </c>
      <c r="Z5877">
        <v>-2.244579E-3</v>
      </c>
      <c r="AA5877">
        <v>0.99337969999999998</v>
      </c>
      <c r="AB5877">
        <v>28</v>
      </c>
      <c r="AC5877">
        <v>0.54809999999997605</v>
      </c>
      <c r="AD5877">
        <v>-8.9878000000000097E-2</v>
      </c>
      <c r="AE5877">
        <v>-0.11517000000000201</v>
      </c>
      <c r="AF5877">
        <v>9.2544260404944206E-2</v>
      </c>
      <c r="AG5877">
        <v>-8.9878000000000097E-2</v>
      </c>
      <c r="AH5877">
        <v>0.53810828300692504</v>
      </c>
      <c r="AI5877">
        <v>99.347588588578006</v>
      </c>
      <c r="AJ5877">
        <v>80.241690575833999</v>
      </c>
      <c r="AK5877">
        <v>0.55335614143023504</v>
      </c>
      <c r="AL5877">
        <v>89.077907279919401</v>
      </c>
      <c r="AM5877">
        <v>85.686535876294101</v>
      </c>
      <c r="AN5877">
        <v>1.00000004527827</v>
      </c>
    </row>
    <row r="5878" spans="1:40" x14ac:dyDescent="0.25">
      <c r="A5878" t="str">
        <f>"20190312154413484"</f>
        <v>20190312154413484</v>
      </c>
      <c r="B5878" t="str">
        <f>"1552376653473476"</f>
        <v>1552376653473476</v>
      </c>
      <c r="C5878" t="s">
        <v>40</v>
      </c>
      <c r="D5878">
        <v>5.2624870000000001</v>
      </c>
      <c r="E5878">
        <v>0.51815259999999996</v>
      </c>
      <c r="F5878" t="s">
        <v>41</v>
      </c>
      <c r="G5878">
        <v>-347.24799999999999</v>
      </c>
      <c r="H5878">
        <v>1.023272</v>
      </c>
      <c r="I5878">
        <v>23.37753</v>
      </c>
      <c r="J5878">
        <v>-347.7663</v>
      </c>
      <c r="K5878">
        <v>1.109477</v>
      </c>
      <c r="L5878">
        <v>23.491669999999999</v>
      </c>
      <c r="M5878">
        <v>0.99917509999999998</v>
      </c>
      <c r="N5878">
        <v>0</v>
      </c>
      <c r="O5878">
        <v>-3.8080759999999998E-2</v>
      </c>
      <c r="P5878">
        <v>0.99365159999999997</v>
      </c>
      <c r="Q5878">
        <v>1.6922839999999901E-3</v>
      </c>
      <c r="R5878">
        <v>-0.1124899</v>
      </c>
      <c r="S5878">
        <v>2.967041</v>
      </c>
      <c r="T5878">
        <v>-0.3196678</v>
      </c>
      <c r="U5878">
        <v>-0.46725460000000002</v>
      </c>
      <c r="V5878">
        <v>7.460348E-2</v>
      </c>
      <c r="W5878">
        <v>1.558652E-2</v>
      </c>
      <c r="X5878">
        <v>0.99709150000000002</v>
      </c>
      <c r="Y5878">
        <v>0.1173835</v>
      </c>
      <c r="Z5878">
        <v>-2.2041180000000001E-3</v>
      </c>
      <c r="AA5878">
        <v>0.99308419999999997</v>
      </c>
      <c r="AB5878">
        <v>28</v>
      </c>
      <c r="AC5878">
        <v>0.51829999999995302</v>
      </c>
      <c r="AD5878">
        <v>-8.6205000000000004E-2</v>
      </c>
      <c r="AE5878">
        <v>-0.114140000000002</v>
      </c>
      <c r="AF5878">
        <v>9.1893483657427499E-2</v>
      </c>
      <c r="AG5878">
        <v>-8.6205000000000004E-2</v>
      </c>
      <c r="AH5878">
        <v>0.50884573130593502</v>
      </c>
      <c r="AI5878">
        <v>99.465075454084896</v>
      </c>
      <c r="AJ5878">
        <v>79.763173386840904</v>
      </c>
      <c r="AK5878">
        <v>0.52421340371261904</v>
      </c>
      <c r="AL5878">
        <v>89.106922058470701</v>
      </c>
      <c r="AM5878">
        <v>85.721039848829903</v>
      </c>
      <c r="AN5878">
        <v>1.0000000391030299</v>
      </c>
    </row>
    <row r="5879" spans="1:40" x14ac:dyDescent="0.25">
      <c r="A5879" t="str">
        <f>"20190312154413505"</f>
        <v>20190312154413505</v>
      </c>
      <c r="B5879" t="str">
        <f>"1552376653492995"</f>
        <v>1552376653492995</v>
      </c>
      <c r="C5879" t="s">
        <v>40</v>
      </c>
      <c r="D5879">
        <v>5.2564900000000003</v>
      </c>
      <c r="E5879">
        <v>0.51844499999999905</v>
      </c>
      <c r="F5879" t="s">
        <v>41</v>
      </c>
      <c r="G5879">
        <v>-346.99599999999998</v>
      </c>
      <c r="H5879">
        <v>1.0270109999999999</v>
      </c>
      <c r="I5879">
        <v>23.369309999999999</v>
      </c>
      <c r="J5879">
        <v>-347.4941</v>
      </c>
      <c r="K5879">
        <v>1.1094790000000001</v>
      </c>
      <c r="L5879">
        <v>23.47992</v>
      </c>
      <c r="M5879">
        <v>0.99912670000000003</v>
      </c>
      <c r="N5879">
        <v>0</v>
      </c>
      <c r="O5879">
        <v>-3.9330539999999997E-2</v>
      </c>
      <c r="P5879">
        <v>0.99353279999999999</v>
      </c>
      <c r="Q5879">
        <v>1.532357E-3</v>
      </c>
      <c r="R5879">
        <v>-0.11353530000000001</v>
      </c>
      <c r="S5879">
        <v>2.9664920000000001</v>
      </c>
      <c r="T5879">
        <v>-0.31750610000000001</v>
      </c>
      <c r="U5879">
        <v>-0.47042850000000003</v>
      </c>
      <c r="V5879">
        <v>7.4404730000000002E-2</v>
      </c>
      <c r="W5879">
        <v>1.5424419999999999E-2</v>
      </c>
      <c r="X5879">
        <v>0.99710880000000002</v>
      </c>
      <c r="Y5879">
        <v>0.11722</v>
      </c>
      <c r="Z5879">
        <v>-2.0485669999999998E-3</v>
      </c>
      <c r="AA5879">
        <v>0.99310390000000004</v>
      </c>
      <c r="AB5879">
        <v>28</v>
      </c>
      <c r="AC5879">
        <v>0.49810000000002203</v>
      </c>
      <c r="AD5879">
        <v>-8.2467999999999902E-2</v>
      </c>
      <c r="AE5879">
        <v>-0.110609999999997</v>
      </c>
      <c r="AF5879">
        <v>8.8616915023142395E-2</v>
      </c>
      <c r="AG5879">
        <v>-8.2467999999999902E-2</v>
      </c>
      <c r="AH5879">
        <v>0.48928345844218901</v>
      </c>
      <c r="AI5879">
        <v>99.416804802735001</v>
      </c>
      <c r="AJ5879">
        <v>79.734119729615998</v>
      </c>
      <c r="AK5879">
        <v>0.50403594252530104</v>
      </c>
      <c r="AL5879">
        <v>89.116210757629304</v>
      </c>
      <c r="AM5879">
        <v>85.732470960931096</v>
      </c>
      <c r="AN5879">
        <v>0.99999996780807399</v>
      </c>
    </row>
    <row r="5880" spans="1:40" x14ac:dyDescent="0.25">
      <c r="A5880" t="str">
        <f>"20190312154413518"</f>
        <v>20190312154413518</v>
      </c>
      <c r="B5880" t="str">
        <f>"1552376653513491"</f>
        <v>1552376653513491</v>
      </c>
      <c r="C5880" t="s">
        <v>40</v>
      </c>
      <c r="D5880">
        <v>5.2899159999999998</v>
      </c>
      <c r="E5880">
        <v>0.51866009999999996</v>
      </c>
      <c r="F5880" t="s">
        <v>41</v>
      </c>
      <c r="G5880">
        <v>-346.7448</v>
      </c>
      <c r="H5880">
        <v>1.029687</v>
      </c>
      <c r="I5880">
        <v>23.35962</v>
      </c>
      <c r="J5880">
        <v>-347.34359999999998</v>
      </c>
      <c r="K5880">
        <v>1.109483</v>
      </c>
      <c r="L5880">
        <v>23.473240000000001</v>
      </c>
      <c r="M5880">
        <v>0.99909939999999997</v>
      </c>
      <c r="N5880">
        <v>0</v>
      </c>
      <c r="O5880">
        <v>-4.0022120000000001E-2</v>
      </c>
      <c r="P5880">
        <v>0.99351809999999996</v>
      </c>
      <c r="Q5880">
        <v>1.9881199999999999E-3</v>
      </c>
      <c r="R5880">
        <v>-0.11365889999999999</v>
      </c>
      <c r="S5880">
        <v>2.9656069999999999</v>
      </c>
      <c r="T5880">
        <v>-0.31578329999999999</v>
      </c>
      <c r="U5880">
        <v>-0.4760742</v>
      </c>
      <c r="V5880">
        <v>7.3839559999999999E-2</v>
      </c>
      <c r="W5880">
        <v>1.5880700000000001E-2</v>
      </c>
      <c r="X5880">
        <v>0.99714369999999997</v>
      </c>
      <c r="Y5880">
        <v>0.1184238</v>
      </c>
      <c r="Z5880">
        <v>-2.0285379999999999E-3</v>
      </c>
      <c r="AA5880">
        <v>0.99296099999999998</v>
      </c>
      <c r="AB5880">
        <v>28</v>
      </c>
      <c r="AC5880">
        <v>0.59879999999998201</v>
      </c>
      <c r="AD5880">
        <v>-7.9795999999999895E-2</v>
      </c>
      <c r="AE5880">
        <v>-0.11362</v>
      </c>
      <c r="AF5880">
        <v>8.8052019132250595E-2</v>
      </c>
      <c r="AG5880">
        <v>-7.9795999999999895E-2</v>
      </c>
      <c r="AH5880">
        <v>0.59270826606576599</v>
      </c>
      <c r="AI5880">
        <v>97.585335746845999</v>
      </c>
      <c r="AJ5880">
        <v>81.550009955205894</v>
      </c>
      <c r="AK5880">
        <v>0.60450281087183799</v>
      </c>
      <c r="AL5880">
        <v>89.0900646806938</v>
      </c>
      <c r="AM5880">
        <v>85.764915928595599</v>
      </c>
      <c r="AN5880">
        <v>1.00000001785158</v>
      </c>
    </row>
    <row r="5881" spans="1:40" x14ac:dyDescent="0.25">
      <c r="A5881" t="str">
        <f>"20190312154413531"</f>
        <v>20190312154413531</v>
      </c>
      <c r="B5881" t="str">
        <f>"1552376653523250"</f>
        <v>1552376653523250</v>
      </c>
      <c r="C5881" t="s">
        <v>40</v>
      </c>
      <c r="D5881">
        <v>5.2597899999999997</v>
      </c>
      <c r="E5881">
        <v>0.51861420000000003</v>
      </c>
      <c r="F5881" t="s">
        <v>41</v>
      </c>
      <c r="G5881">
        <v>-346.50029999999998</v>
      </c>
      <c r="H5881">
        <v>1.020343</v>
      </c>
      <c r="I5881">
        <v>23.336929999999999</v>
      </c>
      <c r="J5881">
        <v>-347.17559999999997</v>
      </c>
      <c r="K5881">
        <v>1.1094869999999999</v>
      </c>
      <c r="L5881">
        <v>23.465699999999998</v>
      </c>
      <c r="M5881">
        <v>0.99906810000000001</v>
      </c>
      <c r="N5881">
        <v>0</v>
      </c>
      <c r="O5881">
        <v>-4.079344E-2</v>
      </c>
      <c r="P5881">
        <v>0.99347730000000001</v>
      </c>
      <c r="Q5881">
        <v>2.1576080000000001E-3</v>
      </c>
      <c r="R5881">
        <v>-0.1140099</v>
      </c>
      <c r="S5881">
        <v>2.9655149999999999</v>
      </c>
      <c r="T5881">
        <v>-0.31338009999999999</v>
      </c>
      <c r="U5881">
        <v>-0.47808840000000002</v>
      </c>
      <c r="V5881">
        <v>7.3422390000000004E-2</v>
      </c>
      <c r="W5881">
        <v>1.6050430000000001E-2</v>
      </c>
      <c r="X5881">
        <v>0.99717180000000005</v>
      </c>
      <c r="Y5881">
        <v>0.1183307</v>
      </c>
      <c r="Z5881">
        <v>-1.9276829999999999E-3</v>
      </c>
      <c r="AA5881">
        <v>0.99297239999999998</v>
      </c>
      <c r="AB5881">
        <v>28</v>
      </c>
      <c r="AC5881">
        <v>0.67529999999999202</v>
      </c>
      <c r="AD5881">
        <v>-8.9144000000000098E-2</v>
      </c>
      <c r="AE5881">
        <v>-0.128769999999999</v>
      </c>
      <c r="AF5881">
        <v>9.9440220529921602E-2</v>
      </c>
      <c r="AG5881">
        <v>-8.9144000000000098E-2</v>
      </c>
      <c r="AH5881">
        <v>0.66874673185509703</v>
      </c>
      <c r="AI5881">
        <v>97.511146256500993</v>
      </c>
      <c r="AJ5881">
        <v>81.542296461065405</v>
      </c>
      <c r="AK5881">
        <v>0.68195102577964695</v>
      </c>
      <c r="AL5881">
        <v>89.080338640802296</v>
      </c>
      <c r="AM5881">
        <v>85.788874726732601</v>
      </c>
      <c r="AN5881">
        <v>1.0000000311858599</v>
      </c>
    </row>
    <row r="5882" spans="1:40" x14ac:dyDescent="0.25">
      <c r="A5882" t="str">
        <f>"20190312154413550"</f>
        <v>20190312154413550</v>
      </c>
      <c r="B5882" t="str">
        <f>"1552376653543748"</f>
        <v>1552376653543748</v>
      </c>
      <c r="C5882" t="s">
        <v>40</v>
      </c>
      <c r="D5882">
        <v>5.2186120000000003</v>
      </c>
      <c r="E5882">
        <v>0.51848109999999903</v>
      </c>
      <c r="F5882" t="s">
        <v>41</v>
      </c>
      <c r="G5882">
        <v>-346.25540000000001</v>
      </c>
      <c r="H5882">
        <v>1.012413</v>
      </c>
      <c r="I5882">
        <v>23.31711</v>
      </c>
      <c r="J5882">
        <v>-346.93880000000001</v>
      </c>
      <c r="K5882">
        <v>1.1094930000000001</v>
      </c>
      <c r="L5882">
        <v>23.454830000000001</v>
      </c>
      <c r="M5882">
        <v>0.9990232</v>
      </c>
      <c r="N5882">
        <v>0</v>
      </c>
      <c r="O5882">
        <v>-4.1881939999999999E-2</v>
      </c>
      <c r="P5882">
        <v>0.99340530000000005</v>
      </c>
      <c r="Q5882">
        <v>2.7907090000000002E-3</v>
      </c>
      <c r="R5882">
        <v>-0.1146233</v>
      </c>
      <c r="S5882">
        <v>2.9654539999999998</v>
      </c>
      <c r="T5882">
        <v>-0.3128167</v>
      </c>
      <c r="U5882">
        <v>-0.47891240000000002</v>
      </c>
      <c r="V5882">
        <v>7.2952989999999995E-2</v>
      </c>
      <c r="W5882">
        <v>1.6682160000000001E-2</v>
      </c>
      <c r="X5882">
        <v>0.99719579999999997</v>
      </c>
      <c r="Y5882">
        <v>0.1175327</v>
      </c>
      <c r="Z5882">
        <v>-1.769009E-3</v>
      </c>
      <c r="AA5882">
        <v>0.99306740000000004</v>
      </c>
      <c r="AB5882">
        <v>28</v>
      </c>
      <c r="AC5882">
        <v>0.683400000000006</v>
      </c>
      <c r="AD5882">
        <v>-9.708E-2</v>
      </c>
      <c r="AE5882">
        <v>-0.13771999999999801</v>
      </c>
      <c r="AF5882">
        <v>0.106901155877393</v>
      </c>
      <c r="AG5882">
        <v>-9.708E-2</v>
      </c>
      <c r="AH5882">
        <v>0.67547012327968503</v>
      </c>
      <c r="AI5882">
        <v>98.079460574426903</v>
      </c>
      <c r="AJ5882">
        <v>81.006851774388906</v>
      </c>
      <c r="AK5882">
        <v>0.69073314020061005</v>
      </c>
      <c r="AL5882">
        <v>89.044138250821007</v>
      </c>
      <c r="AM5882">
        <v>85.815801481963703</v>
      </c>
      <c r="AN5882">
        <v>0.99999994837492101</v>
      </c>
    </row>
    <row r="5883" spans="1:40" x14ac:dyDescent="0.25">
      <c r="A5883" t="str">
        <f>"20190312154413563"</f>
        <v>20190312154413563</v>
      </c>
      <c r="B5883" t="str">
        <f>"1552376653553508"</f>
        <v>1552376653553508</v>
      </c>
      <c r="C5883" t="s">
        <v>40</v>
      </c>
      <c r="D5883">
        <v>5.1807619999999996</v>
      </c>
      <c r="E5883">
        <v>0.51006679999999904</v>
      </c>
      <c r="F5883" t="s">
        <v>41</v>
      </c>
      <c r="G5883">
        <v>-346.00639999999999</v>
      </c>
      <c r="H5883">
        <v>1.012856</v>
      </c>
      <c r="I5883">
        <v>23.303750000000001</v>
      </c>
      <c r="J5883">
        <v>-346.77159999999998</v>
      </c>
      <c r="K5883">
        <v>1.10949599999999</v>
      </c>
      <c r="L5883">
        <v>23.447019999999998</v>
      </c>
      <c r="M5883">
        <v>0.9989905</v>
      </c>
      <c r="N5883">
        <v>0</v>
      </c>
      <c r="O5883">
        <v>-4.2649689999999997E-2</v>
      </c>
      <c r="P5883">
        <v>0.99334480000000003</v>
      </c>
      <c r="Q5883">
        <v>2.771421E-3</v>
      </c>
      <c r="R5883">
        <v>-0.115145899999999</v>
      </c>
      <c r="S5883">
        <v>2.9654539999999998</v>
      </c>
      <c r="T5883">
        <v>-0.30727209999999899</v>
      </c>
      <c r="U5883">
        <v>-0.47982789999999997</v>
      </c>
      <c r="V5883">
        <v>7.2711209999999998E-2</v>
      </c>
      <c r="W5883">
        <v>1.6662610000000001E-2</v>
      </c>
      <c r="X5883">
        <v>0.99721380000000004</v>
      </c>
      <c r="Y5883">
        <v>0.117089</v>
      </c>
      <c r="Z5883">
        <v>-1.63635E-3</v>
      </c>
      <c r="AA5883">
        <v>0.99312009999999995</v>
      </c>
      <c r="AB5883">
        <v>28</v>
      </c>
      <c r="AC5883">
        <v>0.765199999999992</v>
      </c>
      <c r="AD5883">
        <v>-9.6639999999999796E-2</v>
      </c>
      <c r="AE5883">
        <v>-0.14327000000000101</v>
      </c>
      <c r="AF5883">
        <v>0.108823854765096</v>
      </c>
      <c r="AG5883">
        <v>-9.6639999999999796E-2</v>
      </c>
      <c r="AH5883">
        <v>0.758919740119256</v>
      </c>
      <c r="AI5883">
        <v>97.184221010491001</v>
      </c>
      <c r="AJ5883">
        <v>81.839805943095897</v>
      </c>
      <c r="AK5883">
        <v>0.77274904911530795</v>
      </c>
      <c r="AL5883">
        <v>89.045258552827406</v>
      </c>
      <c r="AM5883">
        <v>85.829694710448294</v>
      </c>
      <c r="AN5883">
        <v>0.99999996277105696</v>
      </c>
    </row>
    <row r="5884" spans="1:40" x14ac:dyDescent="0.25">
      <c r="A5884" t="str">
        <f>"20190312154413575"</f>
        <v>20190312154413575</v>
      </c>
      <c r="B5884" t="str">
        <f>"1552376653563267"</f>
        <v>1552376653563267</v>
      </c>
      <c r="C5884" t="s">
        <v>40</v>
      </c>
      <c r="D5884">
        <v>5.1755420000000001</v>
      </c>
      <c r="E5884">
        <v>0.50972410000000001</v>
      </c>
      <c r="F5884" t="s">
        <v>41</v>
      </c>
      <c r="G5884">
        <v>-345.98500000000001</v>
      </c>
      <c r="H5884">
        <v>1.0490409999999999</v>
      </c>
      <c r="I5884">
        <v>23.336349999999999</v>
      </c>
      <c r="J5884">
        <v>-346.62360000000001</v>
      </c>
      <c r="K5884">
        <v>1.1094980000000001</v>
      </c>
      <c r="L5884">
        <v>23.43994</v>
      </c>
      <c r="M5884">
        <v>0.99896130000000005</v>
      </c>
      <c r="N5884">
        <v>0</v>
      </c>
      <c r="O5884">
        <v>-4.332946E-2</v>
      </c>
      <c r="P5884">
        <v>0.993282</v>
      </c>
      <c r="Q5884">
        <v>2.672925E-3</v>
      </c>
      <c r="R5884">
        <v>-0.1156882</v>
      </c>
      <c r="S5884">
        <v>2.9723510000000002</v>
      </c>
      <c r="T5884">
        <v>-0.22834869999999999</v>
      </c>
      <c r="U5884">
        <v>-0.41732789999999997</v>
      </c>
      <c r="V5884">
        <v>7.2576719999999997E-2</v>
      </c>
      <c r="W5884">
        <v>1.6562960000000002E-2</v>
      </c>
      <c r="X5884">
        <v>0.99722529999999998</v>
      </c>
      <c r="Y5884">
        <v>9.5844479999999996E-2</v>
      </c>
      <c r="Z5884">
        <v>-3.5355150000000003E-4</v>
      </c>
      <c r="AA5884">
        <v>0.99539630000000001</v>
      </c>
      <c r="AB5884">
        <v>28</v>
      </c>
      <c r="AC5884">
        <v>0.63859999999999595</v>
      </c>
      <c r="AD5884">
        <v>-6.04569999999999E-2</v>
      </c>
      <c r="AE5884">
        <v>-0.10359</v>
      </c>
      <c r="AF5884">
        <v>7.5163358433959507E-2</v>
      </c>
      <c r="AG5884">
        <v>-6.04569999999999E-2</v>
      </c>
      <c r="AH5884">
        <v>0.63692689836231997</v>
      </c>
      <c r="AI5884">
        <v>95.385115232277997</v>
      </c>
      <c r="AJ5884">
        <v>83.2696870936241</v>
      </c>
      <c r="AK5884">
        <v>0.64418976486553703</v>
      </c>
      <c r="AL5884">
        <v>89.0509689060071</v>
      </c>
      <c r="AM5884">
        <v>85.837428994542293</v>
      </c>
      <c r="AN5884">
        <v>1.000000005445</v>
      </c>
    </row>
    <row r="5885" spans="1:40" x14ac:dyDescent="0.25">
      <c r="A5885" t="str">
        <f>"20190312154413594"</f>
        <v>20190312154413594</v>
      </c>
      <c r="B5885" t="str">
        <f>"1552376653583763"</f>
        <v>1552376653583763</v>
      </c>
      <c r="C5885" t="s">
        <v>40</v>
      </c>
      <c r="D5885">
        <v>5.1852900000000002</v>
      </c>
      <c r="E5885">
        <v>0.50932770000000005</v>
      </c>
      <c r="F5885" t="s">
        <v>41</v>
      </c>
      <c r="G5885">
        <v>-345.74310000000003</v>
      </c>
      <c r="H5885">
        <v>1.0411159999999999</v>
      </c>
      <c r="I5885">
        <v>23.316600000000001</v>
      </c>
      <c r="J5885">
        <v>-346.38470000000001</v>
      </c>
      <c r="K5885">
        <v>1.10949599999999</v>
      </c>
      <c r="L5885">
        <v>23.428380000000001</v>
      </c>
      <c r="M5885">
        <v>0.9989133</v>
      </c>
      <c r="N5885">
        <v>0</v>
      </c>
      <c r="O5885">
        <v>-4.4424140000000001E-2</v>
      </c>
      <c r="P5885">
        <v>0.99321340000000002</v>
      </c>
      <c r="Q5885">
        <v>2.522781E-3</v>
      </c>
      <c r="R5885">
        <v>-0.1162816</v>
      </c>
      <c r="S5885">
        <v>2.9724430000000002</v>
      </c>
      <c r="T5885">
        <v>-0.23085120000000001</v>
      </c>
      <c r="U5885">
        <v>-0.4161377</v>
      </c>
      <c r="V5885">
        <v>7.2078900000000001E-2</v>
      </c>
      <c r="W5885">
        <v>1.6412779999999998E-2</v>
      </c>
      <c r="X5885">
        <v>0.99726389999999998</v>
      </c>
      <c r="Y5885">
        <v>9.4362760000000004E-2</v>
      </c>
      <c r="Z5885">
        <v>-2.1593529999999999E-4</v>
      </c>
      <c r="AA5885">
        <v>0.99553789999999998</v>
      </c>
      <c r="AB5885">
        <v>28</v>
      </c>
      <c r="AC5885">
        <v>0.64159999999998196</v>
      </c>
      <c r="AD5885">
        <v>-6.8379999999999802E-2</v>
      </c>
      <c r="AE5885">
        <v>-0.11177999999999599</v>
      </c>
      <c r="AF5885">
        <v>8.2257448754112797E-2</v>
      </c>
      <c r="AG5885">
        <v>-6.8379999999999802E-2</v>
      </c>
      <c r="AH5885">
        <v>0.63888949749049895</v>
      </c>
      <c r="AI5885">
        <v>96.059440479820196</v>
      </c>
      <c r="AJ5885">
        <v>82.663490982195498</v>
      </c>
      <c r="AK5885">
        <v>0.647782295435123</v>
      </c>
      <c r="AL5885">
        <v>89.059574766557503</v>
      </c>
      <c r="AM5885">
        <v>85.866041127608099</v>
      </c>
      <c r="AN5885">
        <v>1.00000001670787</v>
      </c>
    </row>
    <row r="5886" spans="1:40" x14ac:dyDescent="0.25">
      <c r="A5886" t="str">
        <f>"20190312154413607"</f>
        <v>20190312154413607</v>
      </c>
      <c r="B5886" t="str">
        <f>"1552376653593523"</f>
        <v>1552376653593523</v>
      </c>
      <c r="C5886" t="s">
        <v>40</v>
      </c>
      <c r="D5886">
        <v>5.2142460000000002</v>
      </c>
      <c r="E5886">
        <v>0.50925329999999902</v>
      </c>
      <c r="F5886" t="s">
        <v>41</v>
      </c>
      <c r="G5886">
        <v>-345.49619999999999</v>
      </c>
      <c r="H5886">
        <v>1.0383789999999999</v>
      </c>
      <c r="I5886">
        <v>23.304279999999999</v>
      </c>
      <c r="J5886">
        <v>-346.23140000000001</v>
      </c>
      <c r="K5886">
        <v>1.109499</v>
      </c>
      <c r="L5886">
        <v>23.420870000000001</v>
      </c>
      <c r="M5886">
        <v>0.99888200000000005</v>
      </c>
      <c r="N5886">
        <v>0</v>
      </c>
      <c r="O5886">
        <v>-4.5123780000000002E-2</v>
      </c>
      <c r="P5886">
        <v>0.99315339999999996</v>
      </c>
      <c r="Q5886">
        <v>2.4705769999999998E-3</v>
      </c>
      <c r="R5886">
        <v>-0.1167926</v>
      </c>
      <c r="S5886">
        <v>2.9725649999999999</v>
      </c>
      <c r="T5886">
        <v>-0.23786940000000001</v>
      </c>
      <c r="U5886">
        <v>-0.4145508</v>
      </c>
      <c r="V5886">
        <v>7.1893239999999997E-2</v>
      </c>
      <c r="W5886">
        <v>1.6360340000000001E-2</v>
      </c>
      <c r="X5886">
        <v>0.9972782</v>
      </c>
      <c r="Y5886">
        <v>9.3135460000000003E-2</v>
      </c>
      <c r="Z5886">
        <v>-1.1816989999999999E-4</v>
      </c>
      <c r="AA5886">
        <v>0.99565349999999997</v>
      </c>
      <c r="AB5886">
        <v>28</v>
      </c>
      <c r="AC5886">
        <v>0.73520000000001995</v>
      </c>
      <c r="AD5886">
        <v>-7.1119999999999794E-2</v>
      </c>
      <c r="AE5886">
        <v>-0.116590000000002</v>
      </c>
      <c r="AF5886">
        <v>8.2539482577955695E-2</v>
      </c>
      <c r="AG5886">
        <v>-7.1119999999999794E-2</v>
      </c>
      <c r="AH5886">
        <v>0.73302130889297301</v>
      </c>
      <c r="AI5886">
        <v>95.507082167465697</v>
      </c>
      <c r="AJ5886">
        <v>83.575456319522502</v>
      </c>
      <c r="AK5886">
        <v>0.74107426070226201</v>
      </c>
      <c r="AL5886">
        <v>89.062579795097406</v>
      </c>
      <c r="AM5886">
        <v>85.876711477570197</v>
      </c>
      <c r="AN5886">
        <v>1.00000005343892</v>
      </c>
    </row>
    <row r="5887" spans="1:40" x14ac:dyDescent="0.25">
      <c r="A5887" t="str">
        <f>"20190312154413619"</f>
        <v>20190312154413619</v>
      </c>
      <c r="B5887" t="str">
        <f>"1552376653613042"</f>
        <v>1552376653613042</v>
      </c>
      <c r="C5887" t="s">
        <v>40</v>
      </c>
      <c r="D5887">
        <v>5.200437</v>
      </c>
      <c r="E5887">
        <v>0.50919899999999996</v>
      </c>
      <c r="F5887" t="s">
        <v>41</v>
      </c>
      <c r="G5887">
        <v>-345.4871</v>
      </c>
      <c r="H5887">
        <v>1.050044</v>
      </c>
      <c r="I5887">
        <v>23.31663</v>
      </c>
      <c r="J5887">
        <v>-346.07639999999998</v>
      </c>
      <c r="K5887">
        <v>1.1095060000000001</v>
      </c>
      <c r="L5887">
        <v>23.41309</v>
      </c>
      <c r="M5887">
        <v>0.99885000000000002</v>
      </c>
      <c r="N5887">
        <v>0</v>
      </c>
      <c r="O5887">
        <v>-4.5825999999999999E-2</v>
      </c>
      <c r="P5887">
        <v>0.99306360000000005</v>
      </c>
      <c r="Q5887">
        <v>2.4148450000000001E-3</v>
      </c>
      <c r="R5887">
        <v>-0.11755409999999999</v>
      </c>
      <c r="S5887">
        <v>2.9724430000000002</v>
      </c>
      <c r="T5887">
        <v>-0.2373084</v>
      </c>
      <c r="U5887">
        <v>-0.4154968</v>
      </c>
      <c r="V5887">
        <v>7.1956679999999995E-2</v>
      </c>
      <c r="W5887">
        <v>1.6303600000000001E-2</v>
      </c>
      <c r="X5887">
        <v>0.99727449999999995</v>
      </c>
      <c r="Y5887">
        <v>9.2756000000000005E-2</v>
      </c>
      <c r="Z5887" s="1">
        <v>-4.7271370000000001E-5</v>
      </c>
      <c r="AA5887">
        <v>0.99568889999999999</v>
      </c>
      <c r="AB5887">
        <v>28</v>
      </c>
      <c r="AC5887">
        <v>0.58929999999997995</v>
      </c>
      <c r="AD5887">
        <v>-5.9461999999999897E-2</v>
      </c>
      <c r="AE5887">
        <v>-9.6460000000000407E-2</v>
      </c>
      <c r="AF5887">
        <v>6.8669789176311197E-2</v>
      </c>
      <c r="AG5887">
        <v>-5.9461999999999897E-2</v>
      </c>
      <c r="AH5887">
        <v>0.58727832150985204</v>
      </c>
      <c r="AI5887">
        <v>95.742641396954994</v>
      </c>
      <c r="AJ5887">
        <v>83.3307541214064</v>
      </c>
      <c r="AK5887">
        <v>0.59426180788011995</v>
      </c>
      <c r="AL5887">
        <v>89.065831140960597</v>
      </c>
      <c r="AM5887">
        <v>85.873070314642902</v>
      </c>
      <c r="AN5887">
        <v>0.99999999975991605</v>
      </c>
    </row>
    <row r="5888" spans="1:40" x14ac:dyDescent="0.25">
      <c r="A5888" t="str">
        <f>"20190312154413632"</f>
        <v>20190312154413632</v>
      </c>
      <c r="B5888" t="str">
        <f>"1552376653623779"</f>
        <v>1552376653623779</v>
      </c>
      <c r="C5888" t="s">
        <v>40</v>
      </c>
      <c r="D5888">
        <v>5.2316279999999997</v>
      </c>
      <c r="E5888">
        <v>0.50908629999999999</v>
      </c>
      <c r="F5888" t="s">
        <v>41</v>
      </c>
      <c r="G5888">
        <v>-345.24590000000001</v>
      </c>
      <c r="H5888">
        <v>1.042721</v>
      </c>
      <c r="I5888">
        <v>23.296530000000001</v>
      </c>
      <c r="J5888">
        <v>-345.90940000000001</v>
      </c>
      <c r="K5888">
        <v>1.1095109999999999</v>
      </c>
      <c r="L5888">
        <v>23.404599999999999</v>
      </c>
      <c r="M5888">
        <v>0.99881529999999996</v>
      </c>
      <c r="N5888">
        <v>0</v>
      </c>
      <c r="O5888">
        <v>-4.6576689999999997E-2</v>
      </c>
      <c r="P5888">
        <v>0.99295540000000004</v>
      </c>
      <c r="Q5888">
        <v>2.5719639999999999E-3</v>
      </c>
      <c r="R5888">
        <v>-0.11846139999999999</v>
      </c>
      <c r="S5888">
        <v>2.972137</v>
      </c>
      <c r="T5888">
        <v>-0.23903240000000001</v>
      </c>
      <c r="U5888">
        <v>-0.4172363</v>
      </c>
      <c r="V5888">
        <v>7.2118290000000002E-2</v>
      </c>
      <c r="W5888">
        <v>1.6459979999999999E-2</v>
      </c>
      <c r="X5888">
        <v>0.99726029999999999</v>
      </c>
      <c r="Y5888">
        <v>9.2593980000000006E-2</v>
      </c>
      <c r="Z5888" s="1">
        <v>1.868978E-5</v>
      </c>
      <c r="AA5888">
        <v>0.99570389999999998</v>
      </c>
      <c r="AB5888">
        <v>28</v>
      </c>
      <c r="AC5888">
        <v>0.66349999999999898</v>
      </c>
      <c r="AD5888">
        <v>-6.6790000000000099E-2</v>
      </c>
      <c r="AE5888">
        <v>-0.108070000000001</v>
      </c>
      <c r="AF5888">
        <v>7.6292885282945103E-2</v>
      </c>
      <c r="AG5888">
        <v>-6.6790000000000099E-2</v>
      </c>
      <c r="AH5888">
        <v>0.66128613186344798</v>
      </c>
      <c r="AI5888">
        <v>95.729574740658506</v>
      </c>
      <c r="AJ5888">
        <v>83.418855728878299</v>
      </c>
      <c r="AK5888">
        <v>0.66901484037330505</v>
      </c>
      <c r="AL5888">
        <v>89.056870064600204</v>
      </c>
      <c r="AM5888">
        <v>85.8637749424758</v>
      </c>
      <c r="AN5888">
        <v>1.0000000423251001</v>
      </c>
    </row>
    <row r="5889" spans="1:40" x14ac:dyDescent="0.25">
      <c r="A5889" t="str">
        <f>"20190312154413650"</f>
        <v>20190312154413650</v>
      </c>
      <c r="B5889" t="str">
        <f>"1552376653643299"</f>
        <v>1552376653643299</v>
      </c>
      <c r="C5889" t="s">
        <v>40</v>
      </c>
      <c r="D5889">
        <v>5.2504790000000003</v>
      </c>
      <c r="E5889">
        <v>0.50910959999999905</v>
      </c>
      <c r="F5889" t="s">
        <v>41</v>
      </c>
      <c r="G5889">
        <v>-345.0018</v>
      </c>
      <c r="H5889">
        <v>1.0365249999999999</v>
      </c>
      <c r="I5889">
        <v>23.276250000000001</v>
      </c>
      <c r="J5889">
        <v>-345.69650000000001</v>
      </c>
      <c r="K5889">
        <v>1.109526</v>
      </c>
      <c r="L5889">
        <v>23.393650000000001</v>
      </c>
      <c r="M5889">
        <v>0.99877079999999996</v>
      </c>
      <c r="N5889">
        <v>0</v>
      </c>
      <c r="O5889">
        <v>-4.7520960000000001E-2</v>
      </c>
      <c r="P5889">
        <v>0.99276989999999998</v>
      </c>
      <c r="Q5889">
        <v>2.4658179999999998E-3</v>
      </c>
      <c r="R5889">
        <v>-0.120009</v>
      </c>
      <c r="S5889">
        <v>2.971924</v>
      </c>
      <c r="T5889">
        <v>-0.2388941</v>
      </c>
      <c r="U5889">
        <v>-0.4190063</v>
      </c>
      <c r="V5889">
        <v>7.2729100000000005E-2</v>
      </c>
      <c r="W5889">
        <v>1.6351750000000002E-2</v>
      </c>
      <c r="X5889">
        <v>0.99721769999999998</v>
      </c>
      <c r="Y5889">
        <v>9.2248250000000004E-2</v>
      </c>
      <c r="Z5889">
        <v>1.07703E-4</v>
      </c>
      <c r="AA5889">
        <v>0.99573610000000001</v>
      </c>
      <c r="AB5889">
        <v>28</v>
      </c>
      <c r="AC5889">
        <v>0.69470000000001098</v>
      </c>
      <c r="AD5889">
        <v>-7.3001000000000094E-2</v>
      </c>
      <c r="AE5889">
        <v>-0.11739999999999901</v>
      </c>
      <c r="AF5889">
        <v>8.3356353586208298E-2</v>
      </c>
      <c r="AG5889">
        <v>-7.3001000000000094E-2</v>
      </c>
      <c r="AH5889">
        <v>0.69206465716252397</v>
      </c>
      <c r="AI5889">
        <v>95.978565371316094</v>
      </c>
      <c r="AJ5889">
        <v>83.132042148114195</v>
      </c>
      <c r="AK5889">
        <v>0.70087867521966396</v>
      </c>
      <c r="AL5889">
        <v>89.063072001693001</v>
      </c>
      <c r="AM5889">
        <v>85.828688518230393</v>
      </c>
      <c r="AN5889">
        <v>1.0000000214540801</v>
      </c>
    </row>
    <row r="5890" spans="1:40" x14ac:dyDescent="0.25">
      <c r="A5890" t="str">
        <f>"20190312154413663"</f>
        <v>20190312154413663</v>
      </c>
      <c r="B5890" t="str">
        <f>"1552376653653060"</f>
        <v>1552376653653060</v>
      </c>
      <c r="C5890" t="s">
        <v>40</v>
      </c>
      <c r="D5890">
        <v>5.2424580000000001</v>
      </c>
      <c r="E5890">
        <v>0.50904859999999996</v>
      </c>
      <c r="F5890" t="s">
        <v>41</v>
      </c>
      <c r="G5890">
        <v>-344.75619999999998</v>
      </c>
      <c r="H5890">
        <v>1.0333159999999999</v>
      </c>
      <c r="I5890">
        <v>23.259309999999999</v>
      </c>
      <c r="J5890">
        <v>-345.53250000000003</v>
      </c>
      <c r="K5890">
        <v>1.1095379999999999</v>
      </c>
      <c r="L5890">
        <v>23.385069999999999</v>
      </c>
      <c r="M5890">
        <v>0.99873679999999998</v>
      </c>
      <c r="N5890">
        <v>0</v>
      </c>
      <c r="O5890">
        <v>-4.8233610000000003E-2</v>
      </c>
      <c r="P5890">
        <v>0.99263460000000003</v>
      </c>
      <c r="Q5890">
        <v>2.6087559999999998E-3</v>
      </c>
      <c r="R5890">
        <v>-0.121119699999999</v>
      </c>
      <c r="S5890">
        <v>2.971222</v>
      </c>
      <c r="T5890">
        <v>-0.2408005</v>
      </c>
      <c r="U5890">
        <v>-0.42364499999999999</v>
      </c>
      <c r="V5890">
        <v>7.3133409999999996E-2</v>
      </c>
      <c r="W5890">
        <v>1.6493830000000001E-2</v>
      </c>
      <c r="X5890">
        <v>0.99718580000000001</v>
      </c>
      <c r="Y5890">
        <v>9.3091460000000001E-2</v>
      </c>
      <c r="Z5890">
        <v>1.3182729999999999E-4</v>
      </c>
      <c r="AA5890">
        <v>0.99565760000000003</v>
      </c>
      <c r="AB5890">
        <v>28</v>
      </c>
      <c r="AC5890">
        <v>0.77630000000004795</v>
      </c>
      <c r="AD5890">
        <v>-7.6221999999999998E-2</v>
      </c>
      <c r="AE5890">
        <v>-0.12576000000000301</v>
      </c>
      <c r="AF5890">
        <v>8.7345606221267205E-2</v>
      </c>
      <c r="AG5890">
        <v>-7.6221999999999998E-2</v>
      </c>
      <c r="AH5890">
        <v>0.774189983710316</v>
      </c>
      <c r="AI5890">
        <v>95.587647076653894</v>
      </c>
      <c r="AJ5890">
        <v>83.562999362158806</v>
      </c>
      <c r="AK5890">
        <v>0.78282129447757098</v>
      </c>
      <c r="AL5890">
        <v>89.054930328426593</v>
      </c>
      <c r="AM5890">
        <v>85.805448517208205</v>
      </c>
      <c r="AN5890">
        <v>1.0000000309039601</v>
      </c>
    </row>
    <row r="5891" spans="1:40" x14ac:dyDescent="0.25">
      <c r="A5891" t="str">
        <f>"20190312154413685"</f>
        <v>20190312154413685</v>
      </c>
      <c r="B5891" t="str">
        <f>"1552376653673554"</f>
        <v>1552376653673554</v>
      </c>
      <c r="C5891" t="s">
        <v>40</v>
      </c>
      <c r="D5891">
        <v>5.2733790000000003</v>
      </c>
      <c r="E5891">
        <v>0.50904769999999999</v>
      </c>
      <c r="F5891" t="s">
        <v>41</v>
      </c>
      <c r="G5891">
        <v>-344.74860000000001</v>
      </c>
      <c r="H5891">
        <v>1.0456730000000001</v>
      </c>
      <c r="I5891">
        <v>23.272269999999999</v>
      </c>
      <c r="J5891">
        <v>-345.27080000000001</v>
      </c>
      <c r="K5891">
        <v>1.109567</v>
      </c>
      <c r="L5891">
        <v>23.37115</v>
      </c>
      <c r="M5891">
        <v>0.99868230000000002</v>
      </c>
      <c r="N5891">
        <v>0</v>
      </c>
      <c r="O5891">
        <v>-4.9347009999999997E-2</v>
      </c>
      <c r="P5891">
        <v>0.99240660000000003</v>
      </c>
      <c r="Q5891">
        <v>2.4763979999999999E-3</v>
      </c>
      <c r="R5891">
        <v>-0.122975399999999</v>
      </c>
      <c r="S5891">
        <v>2.9708559999999999</v>
      </c>
      <c r="T5891">
        <v>-0.24198700000000001</v>
      </c>
      <c r="U5891">
        <v>-0.42645260000000001</v>
      </c>
      <c r="V5891">
        <v>7.3884859999999997E-2</v>
      </c>
      <c r="W5891">
        <v>1.636081E-2</v>
      </c>
      <c r="X5891">
        <v>0.99713249999999998</v>
      </c>
      <c r="Y5891">
        <v>9.2923409999999998E-2</v>
      </c>
      <c r="Z5891">
        <v>2.2911019999999999E-4</v>
      </c>
      <c r="AA5891">
        <v>0.99567320000000004</v>
      </c>
      <c r="AB5891">
        <v>28</v>
      </c>
      <c r="AC5891">
        <v>0.522199999999998</v>
      </c>
      <c r="AD5891">
        <v>-6.3894000000000103E-2</v>
      </c>
      <c r="AE5891">
        <v>-9.8879999999997595E-2</v>
      </c>
      <c r="AF5891">
        <v>7.1948101740881995E-2</v>
      </c>
      <c r="AG5891">
        <v>-6.3894000000000103E-2</v>
      </c>
      <c r="AH5891">
        <v>0.51894347924625694</v>
      </c>
      <c r="AI5891">
        <v>96.953266229104102</v>
      </c>
      <c r="AJ5891">
        <v>82.106635597316895</v>
      </c>
      <c r="AK5891">
        <v>0.52778907456703505</v>
      </c>
      <c r="AL5891">
        <v>89.062552751998894</v>
      </c>
      <c r="AM5891">
        <v>85.762279774165094</v>
      </c>
      <c r="AN5891">
        <v>0.99999993559865996</v>
      </c>
    </row>
    <row r="5892" spans="1:40" x14ac:dyDescent="0.25">
      <c r="A5892" t="str">
        <f>"20190312154413701"</f>
        <v>20190312154413701</v>
      </c>
      <c r="B5892" t="str">
        <f>"1552376653693075"</f>
        <v>1552376653693075</v>
      </c>
      <c r="C5892" t="s">
        <v>40</v>
      </c>
      <c r="D5892">
        <v>5.2574160000000001</v>
      </c>
      <c r="E5892">
        <v>0.50882269999999996</v>
      </c>
      <c r="F5892" t="s">
        <v>41</v>
      </c>
      <c r="G5892">
        <v>-344.50130000000001</v>
      </c>
      <c r="H5892">
        <v>1.0460529999999999</v>
      </c>
      <c r="I5892">
        <v>23.259070000000001</v>
      </c>
      <c r="J5892">
        <v>-345.07150000000001</v>
      </c>
      <c r="K5892">
        <v>1.109591</v>
      </c>
      <c r="L5892">
        <v>23.360410000000002</v>
      </c>
      <c r="M5892">
        <v>0.99864189999999997</v>
      </c>
      <c r="N5892">
        <v>0</v>
      </c>
      <c r="O5892">
        <v>-5.0163899999999997E-2</v>
      </c>
      <c r="P5892">
        <v>0.99226080000000005</v>
      </c>
      <c r="Q5892">
        <v>2.331788E-3</v>
      </c>
      <c r="R5892">
        <v>-0.1241501</v>
      </c>
      <c r="S5892">
        <v>2.970062</v>
      </c>
      <c r="T5892">
        <v>-0.2451198</v>
      </c>
      <c r="U5892">
        <v>-0.43182369999999998</v>
      </c>
      <c r="V5892">
        <v>7.4248090000000003E-2</v>
      </c>
      <c r="W5892">
        <v>1.6206809999999999E-2</v>
      </c>
      <c r="X5892">
        <v>0.99710810000000005</v>
      </c>
      <c r="Y5892">
        <v>9.3905870000000002E-2</v>
      </c>
      <c r="Z5892">
        <v>2.585682E-4</v>
      </c>
      <c r="AA5892">
        <v>0.99558100000000005</v>
      </c>
      <c r="AB5892">
        <v>28</v>
      </c>
      <c r="AC5892">
        <v>0.57019999999999904</v>
      </c>
      <c r="AD5892">
        <v>-6.3537999999999803E-2</v>
      </c>
      <c r="AE5892">
        <v>-0.10134</v>
      </c>
      <c r="AF5892">
        <v>7.1742558067321896E-2</v>
      </c>
      <c r="AG5892">
        <v>-6.3537999999999803E-2</v>
      </c>
      <c r="AH5892">
        <v>0.56773247242299596</v>
      </c>
      <c r="AI5892">
        <v>96.335736018363505</v>
      </c>
      <c r="AJ5892">
        <v>82.797887380811801</v>
      </c>
      <c r="AK5892">
        <v>0.57576404223047095</v>
      </c>
      <c r="AL5892">
        <v>89.071377533728693</v>
      </c>
      <c r="AM5892">
        <v>85.741419079615298</v>
      </c>
      <c r="AN5892">
        <v>1.00000000132231</v>
      </c>
    </row>
    <row r="5893" spans="1:40" x14ac:dyDescent="0.25">
      <c r="A5893" t="str">
        <f>"20190312154413717"</f>
        <v>20190312154413717</v>
      </c>
      <c r="B5893" t="str">
        <f>"1552376653713571"</f>
        <v>1552376653713571</v>
      </c>
      <c r="C5893" t="s">
        <v>40</v>
      </c>
      <c r="D5893">
        <v>5.2593699999999997</v>
      </c>
      <c r="E5893">
        <v>0.49065360000000002</v>
      </c>
      <c r="F5893" t="s">
        <v>41</v>
      </c>
      <c r="G5893">
        <v>-344.25799999999998</v>
      </c>
      <c r="H5893">
        <v>1.041884</v>
      </c>
      <c r="I5893">
        <v>23.241389999999999</v>
      </c>
      <c r="J5893">
        <v>-344.87430000000001</v>
      </c>
      <c r="K5893">
        <v>1.109612</v>
      </c>
      <c r="L5893">
        <v>23.349640000000001</v>
      </c>
      <c r="M5893">
        <v>0.99860269999999995</v>
      </c>
      <c r="N5893">
        <v>0</v>
      </c>
      <c r="O5893">
        <v>-5.0943420000000003E-2</v>
      </c>
      <c r="P5893">
        <v>0.99210849999999995</v>
      </c>
      <c r="Q5893">
        <v>2.308343E-3</v>
      </c>
      <c r="R5893">
        <v>-0.1253609</v>
      </c>
      <c r="S5893">
        <v>2.969757</v>
      </c>
      <c r="T5893">
        <v>-0.2471373</v>
      </c>
      <c r="U5893">
        <v>-0.43347170000000002</v>
      </c>
      <c r="V5893">
        <v>7.4685370000000001E-2</v>
      </c>
      <c r="W5893">
        <v>1.6160089999999998E-2</v>
      </c>
      <c r="X5893">
        <v>0.99707619999999997</v>
      </c>
      <c r="Y5893">
        <v>9.3685260000000006E-2</v>
      </c>
      <c r="Z5893">
        <v>3.3405000000000002E-4</v>
      </c>
      <c r="AA5893">
        <v>0.99560179999999998</v>
      </c>
      <c r="AB5893">
        <v>28</v>
      </c>
      <c r="AC5893">
        <v>0.61629999999996699</v>
      </c>
      <c r="AD5893">
        <v>-6.7727999999999997E-2</v>
      </c>
      <c r="AE5893">
        <v>-0.108250000000001</v>
      </c>
      <c r="AF5893">
        <v>7.58216061953155E-2</v>
      </c>
      <c r="AG5893">
        <v>-6.7727999999999997E-2</v>
      </c>
      <c r="AH5893">
        <v>0.61382359744874004</v>
      </c>
      <c r="AI5893">
        <v>96.249310366380399</v>
      </c>
      <c r="AJ5893">
        <v>82.958297483544897</v>
      </c>
      <c r="AK5893">
        <v>0.62218599046824397</v>
      </c>
      <c r="AL5893">
        <v>89.074054742672999</v>
      </c>
      <c r="AM5893">
        <v>85.716294948938597</v>
      </c>
      <c r="AN5893">
        <v>1.00000000080364</v>
      </c>
    </row>
    <row r="5894" spans="1:40" x14ac:dyDescent="0.25">
      <c r="A5894" t="str">
        <f>"20190312154413729"</f>
        <v>20190312154413729</v>
      </c>
      <c r="B5894" t="str">
        <f>"1552376653723332"</f>
        <v>1552376653723332</v>
      </c>
      <c r="C5894" t="s">
        <v>40</v>
      </c>
      <c r="D5894">
        <v>5.2491349999999999</v>
      </c>
      <c r="E5894">
        <v>0.48608679999999899</v>
      </c>
      <c r="F5894" t="s">
        <v>41</v>
      </c>
      <c r="G5894">
        <v>-344.01479999999998</v>
      </c>
      <c r="H5894">
        <v>1.0310029999999999</v>
      </c>
      <c r="I5894">
        <v>23.265219999999999</v>
      </c>
      <c r="J5894">
        <v>-344.72539999999998</v>
      </c>
      <c r="K5894">
        <v>1.1096299999999999</v>
      </c>
      <c r="L5894">
        <v>23.341429999999999</v>
      </c>
      <c r="M5894">
        <v>0.99857390000000001</v>
      </c>
      <c r="N5894">
        <v>0</v>
      </c>
      <c r="O5894">
        <v>-5.1515140000000001E-2</v>
      </c>
      <c r="P5894">
        <v>0.99200060000000001</v>
      </c>
      <c r="Q5894">
        <v>2.3938610000000002E-3</v>
      </c>
      <c r="R5894">
        <v>-0.1262105</v>
      </c>
      <c r="S5894">
        <v>2.9874879999999999</v>
      </c>
      <c r="T5894">
        <v>-0.2731942</v>
      </c>
      <c r="U5894">
        <v>-0.29260249999999999</v>
      </c>
      <c r="V5894">
        <v>7.4967839999999994E-2</v>
      </c>
      <c r="W5894">
        <v>1.621968E-2</v>
      </c>
      <c r="X5894">
        <v>0.997054</v>
      </c>
      <c r="Y5894">
        <v>4.6094209999999997E-2</v>
      </c>
      <c r="Z5894">
        <v>2.587668E-3</v>
      </c>
      <c r="AA5894">
        <v>0.99893370000000004</v>
      </c>
      <c r="AB5894">
        <v>28</v>
      </c>
      <c r="AC5894">
        <v>0.71059999999999901</v>
      </c>
      <c r="AD5894">
        <v>-7.8626999999999697E-2</v>
      </c>
      <c r="AE5894">
        <v>-7.62099999999961E-2</v>
      </c>
      <c r="AF5894">
        <v>3.9026166693494499E-2</v>
      </c>
      <c r="AG5894">
        <v>-7.8626999999999697E-2</v>
      </c>
      <c r="AH5894">
        <v>0.70504878565007201</v>
      </c>
      <c r="AI5894">
        <v>96.353683019737105</v>
      </c>
      <c r="AJ5894">
        <v>86.831772183261705</v>
      </c>
      <c r="AK5894">
        <v>0.71049210900785498</v>
      </c>
      <c r="AL5894">
        <v>89.070640008194104</v>
      </c>
      <c r="AM5894">
        <v>85.700058676112604</v>
      </c>
      <c r="AN5894">
        <v>0.999999966984783</v>
      </c>
    </row>
    <row r="5895" spans="1:40" x14ac:dyDescent="0.25">
      <c r="A5895" t="str">
        <f>"20190312154413740"</f>
        <v>20190312154413740</v>
      </c>
      <c r="B5895" t="str">
        <f>"1552376653733091"</f>
        <v>1552376653733091</v>
      </c>
      <c r="C5895" t="s">
        <v>40</v>
      </c>
      <c r="D5895">
        <v>5.2474170000000004</v>
      </c>
      <c r="E5895">
        <v>0.48288750000000003</v>
      </c>
      <c r="F5895" t="s">
        <v>41</v>
      </c>
      <c r="G5895">
        <v>-343.77069999999998</v>
      </c>
      <c r="H5895">
        <v>1.0256719999999999</v>
      </c>
      <c r="I5895">
        <v>23.258489999999998</v>
      </c>
      <c r="J5895">
        <v>-344.57429999999999</v>
      </c>
      <c r="K5895">
        <v>1.109648</v>
      </c>
      <c r="L5895">
        <v>23.333010000000002</v>
      </c>
      <c r="M5895">
        <v>0.99854600000000004</v>
      </c>
      <c r="N5895">
        <v>0</v>
      </c>
      <c r="O5895">
        <v>-5.2064069999999997E-2</v>
      </c>
      <c r="P5895">
        <v>0.99191390000000002</v>
      </c>
      <c r="Q5895">
        <v>2.3971109999999999E-3</v>
      </c>
      <c r="R5895">
        <v>-0.126891</v>
      </c>
      <c r="S5895">
        <v>2.9917910000000001</v>
      </c>
      <c r="T5895">
        <v>-0.26306059999999998</v>
      </c>
      <c r="U5895">
        <v>-0.25942989999999999</v>
      </c>
      <c r="V5895">
        <v>7.5102539999999995E-2</v>
      </c>
      <c r="W5895">
        <v>1.6184399999999901E-2</v>
      </c>
      <c r="X5895">
        <v>0.99704440000000005</v>
      </c>
      <c r="Y5895">
        <v>3.4465269999999999E-2</v>
      </c>
      <c r="Z5895">
        <v>3.0473840000000002E-3</v>
      </c>
      <c r="AA5895">
        <v>0.99940130000000005</v>
      </c>
      <c r="AB5895">
        <v>28</v>
      </c>
      <c r="AC5895">
        <v>0.80360000000001697</v>
      </c>
      <c r="AD5895">
        <v>-8.3975999999999995E-2</v>
      </c>
      <c r="AE5895">
        <v>-7.4520000000003195E-2</v>
      </c>
      <c r="AF5895">
        <v>3.2227214143922198E-2</v>
      </c>
      <c r="AG5895">
        <v>-8.3975999999999995E-2</v>
      </c>
      <c r="AH5895">
        <v>0.79775275263581602</v>
      </c>
      <c r="AI5895">
        <v>96.004288320480796</v>
      </c>
      <c r="AJ5895">
        <v>87.686651821282297</v>
      </c>
      <c r="AK5895">
        <v>0.80280758357498105</v>
      </c>
      <c r="AL5895">
        <v>89.0726616353043</v>
      </c>
      <c r="AM5895">
        <v>85.692320403647201</v>
      </c>
      <c r="AN5895">
        <v>0.99999993094458295</v>
      </c>
    </row>
    <row r="5896" spans="1:40" x14ac:dyDescent="0.25">
      <c r="A5896" t="str">
        <f>"20190312154413753"</f>
        <v>20190312154413753</v>
      </c>
      <c r="B5896" t="str">
        <f>"1552376653743827"</f>
        <v>1552376653743827</v>
      </c>
      <c r="C5896" t="s">
        <v>40</v>
      </c>
      <c r="D5896">
        <v>5.2184619999999997</v>
      </c>
      <c r="E5896">
        <v>0.4810682</v>
      </c>
      <c r="F5896" t="s">
        <v>41</v>
      </c>
      <c r="G5896">
        <v>-343.76170000000002</v>
      </c>
      <c r="H5896">
        <v>1.040154</v>
      </c>
      <c r="I5896">
        <v>23.268730000000001</v>
      </c>
      <c r="J5896">
        <v>-344.42570000000001</v>
      </c>
      <c r="K5896">
        <v>1.1096649999999999</v>
      </c>
      <c r="L5896">
        <v>23.324680000000001</v>
      </c>
      <c r="M5896">
        <v>0.99851920000000005</v>
      </c>
      <c r="N5896">
        <v>0</v>
      </c>
      <c r="O5896">
        <v>-5.2589259999999999E-2</v>
      </c>
      <c r="P5896">
        <v>0.99182840000000005</v>
      </c>
      <c r="Q5896">
        <v>2.7441420000000002E-3</v>
      </c>
      <c r="R5896">
        <v>-0.1275502</v>
      </c>
      <c r="S5896">
        <v>2.9948730000000001</v>
      </c>
      <c r="T5896">
        <v>-0.25611980000000001</v>
      </c>
      <c r="U5896">
        <v>-0.2363586</v>
      </c>
      <c r="V5896">
        <v>7.5240429999999997E-2</v>
      </c>
      <c r="W5896">
        <v>1.649049E-2</v>
      </c>
      <c r="X5896">
        <v>0.9970291</v>
      </c>
      <c r="Y5896">
        <v>2.6231629999999999E-2</v>
      </c>
      <c r="Z5896">
        <v>3.3609590000000002E-3</v>
      </c>
      <c r="AA5896">
        <v>0.99965020000000004</v>
      </c>
      <c r="AB5896">
        <v>28</v>
      </c>
      <c r="AC5896">
        <v>0.66399999999998705</v>
      </c>
      <c r="AD5896">
        <v>-6.9510999999999795E-2</v>
      </c>
      <c r="AE5896">
        <v>-5.5949999999999202E-2</v>
      </c>
      <c r="AF5896">
        <v>2.0724393080935901E-2</v>
      </c>
      <c r="AG5896">
        <v>-6.9510999999999795E-2</v>
      </c>
      <c r="AH5896">
        <v>0.65885417234670396</v>
      </c>
      <c r="AI5896">
        <v>96.019633681189703</v>
      </c>
      <c r="AJ5896">
        <v>88.198343555204204</v>
      </c>
      <c r="AK5896">
        <v>0.66283489649250704</v>
      </c>
      <c r="AL5896">
        <v>89.055121733224695</v>
      </c>
      <c r="AM5896">
        <v>85.684375281503506</v>
      </c>
      <c r="AN5896">
        <v>1.00000004240691</v>
      </c>
    </row>
    <row r="5897" spans="1:40" x14ac:dyDescent="0.25">
      <c r="A5897" t="str">
        <f>"20190312154413764"</f>
        <v>20190312154413764</v>
      </c>
      <c r="B5897" t="str">
        <f>"1552376653753587"</f>
        <v>1552376653753587</v>
      </c>
      <c r="C5897" t="s">
        <v>40</v>
      </c>
      <c r="D5897">
        <v>5.2565819999999999</v>
      </c>
      <c r="E5897">
        <v>0.47968450000000001</v>
      </c>
      <c r="F5897" t="s">
        <v>41</v>
      </c>
      <c r="G5897">
        <v>-343.51990000000001</v>
      </c>
      <c r="H5897">
        <v>1.033264</v>
      </c>
      <c r="I5897">
        <v>23.256630000000001</v>
      </c>
      <c r="J5897">
        <v>-344.279</v>
      </c>
      <c r="K5897">
        <v>1.10968</v>
      </c>
      <c r="L5897">
        <v>23.316410000000001</v>
      </c>
      <c r="M5897">
        <v>0.99849350000000003</v>
      </c>
      <c r="N5897">
        <v>0</v>
      </c>
      <c r="O5897">
        <v>-5.3089160000000003E-2</v>
      </c>
      <c r="P5897">
        <v>0.99181140000000001</v>
      </c>
      <c r="Q5897">
        <v>2.9532999999999998E-3</v>
      </c>
      <c r="R5897">
        <v>-0.12767819999999999</v>
      </c>
      <c r="S5897">
        <v>2.9965519999999999</v>
      </c>
      <c r="T5897">
        <v>-0.25274210000000003</v>
      </c>
      <c r="U5897">
        <v>-0.2240906</v>
      </c>
      <c r="V5897">
        <v>7.4869089999999999E-2</v>
      </c>
      <c r="W5897">
        <v>1.665784E-2</v>
      </c>
      <c r="X5897">
        <v>0.9970542</v>
      </c>
      <c r="Y5897">
        <v>2.1633820000000002E-2</v>
      </c>
      <c r="Z5897">
        <v>3.5508139999999998E-3</v>
      </c>
      <c r="AA5897">
        <v>0.99975970000000003</v>
      </c>
      <c r="AB5897">
        <v>28</v>
      </c>
      <c r="AC5897">
        <v>0.75909999999998901</v>
      </c>
      <c r="AD5897">
        <v>-7.6415999999999998E-2</v>
      </c>
      <c r="AE5897">
        <v>-5.9780000000003497E-2</v>
      </c>
      <c r="AF5897">
        <v>1.9198470843280201E-2</v>
      </c>
      <c r="AG5897">
        <v>-7.6415999999999998E-2</v>
      </c>
      <c r="AH5897">
        <v>0.75361340121754505</v>
      </c>
      <c r="AI5897">
        <v>95.788106812043793</v>
      </c>
      <c r="AJ5897">
        <v>88.540692770051507</v>
      </c>
      <c r="AK5897">
        <v>0.75772102045106104</v>
      </c>
      <c r="AL5897">
        <v>89.045531899501995</v>
      </c>
      <c r="AM5897">
        <v>85.7057023507991</v>
      </c>
      <c r="AN5897">
        <v>0.99999997100426596</v>
      </c>
    </row>
    <row r="5898" spans="1:40" x14ac:dyDescent="0.25">
      <c r="A5898" t="str">
        <f>"20190312154413776"</f>
        <v>20190312154413776</v>
      </c>
      <c r="B5898" t="str">
        <f>"1552376653763347"</f>
        <v>1552376653763347</v>
      </c>
      <c r="C5898" t="s">
        <v>40</v>
      </c>
      <c r="D5898">
        <v>5.2473539999999996</v>
      </c>
      <c r="E5898">
        <v>0.4789602</v>
      </c>
      <c r="F5898" t="s">
        <v>41</v>
      </c>
      <c r="G5898">
        <v>-343.50830000000002</v>
      </c>
      <c r="H5898">
        <v>1.0450710000000001</v>
      </c>
      <c r="I5898">
        <v>23.261209999999998</v>
      </c>
      <c r="J5898">
        <v>-344.14249999999998</v>
      </c>
      <c r="K5898">
        <v>1.109696</v>
      </c>
      <c r="L5898">
        <v>23.308620000000001</v>
      </c>
      <c r="M5898">
        <v>0.99847039999999998</v>
      </c>
      <c r="N5898">
        <v>0</v>
      </c>
      <c r="O5898">
        <v>-5.3530660000000001E-2</v>
      </c>
      <c r="P5898">
        <v>0.99176310000000001</v>
      </c>
      <c r="Q5898">
        <v>3.1582590000000001E-3</v>
      </c>
      <c r="R5898">
        <v>-0.12804779999999999</v>
      </c>
      <c r="S5898">
        <v>2.9980159999999998</v>
      </c>
      <c r="T5898">
        <v>-0.25134440000000002</v>
      </c>
      <c r="U5898">
        <v>-0.21353150000000001</v>
      </c>
      <c r="V5898">
        <v>7.4799000000000004E-2</v>
      </c>
      <c r="W5898">
        <v>1.6818030000000001E-2</v>
      </c>
      <c r="X5898">
        <v>0.99705679999999997</v>
      </c>
      <c r="Y5898">
        <v>1.7666850000000001E-2</v>
      </c>
      <c r="Z5898">
        <v>3.7327049999999998E-3</v>
      </c>
      <c r="AA5898">
        <v>0.99983699999999998</v>
      </c>
      <c r="AB5898">
        <v>28</v>
      </c>
      <c r="AC5898">
        <v>0.63419999999996401</v>
      </c>
      <c r="AD5898">
        <v>-6.4625000000000099E-2</v>
      </c>
      <c r="AE5898">
        <v>-4.7409999999999203E-2</v>
      </c>
      <c r="AF5898">
        <v>1.3252771126177501E-2</v>
      </c>
      <c r="AG5898">
        <v>-6.4625000000000099E-2</v>
      </c>
      <c r="AH5898">
        <v>0.62933023724487502</v>
      </c>
      <c r="AI5898">
        <v>95.8617781835854</v>
      </c>
      <c r="AJ5898">
        <v>88.793613284388698</v>
      </c>
      <c r="AK5898">
        <v>0.63277845576332103</v>
      </c>
      <c r="AL5898">
        <v>89.036352429801994</v>
      </c>
      <c r="AM5898">
        <v>85.709718660587498</v>
      </c>
      <c r="AN5898">
        <v>0.99999999948016005</v>
      </c>
    </row>
    <row r="5899" spans="1:40" x14ac:dyDescent="0.25">
      <c r="A5899" t="str">
        <f>"20190312154413787"</f>
        <v>20190312154413787</v>
      </c>
      <c r="B5899" t="str">
        <f>"1552376653783844"</f>
        <v>1552376653783844</v>
      </c>
      <c r="C5899" t="s">
        <v>40</v>
      </c>
      <c r="D5899">
        <v>5.238575</v>
      </c>
      <c r="E5899">
        <v>0.4777614</v>
      </c>
      <c r="F5899" t="s">
        <v>41</v>
      </c>
      <c r="G5899">
        <v>-343.2713</v>
      </c>
      <c r="H5899">
        <v>1.0366850000000001</v>
      </c>
      <c r="I5899">
        <v>23.247810000000001</v>
      </c>
      <c r="J5899">
        <v>-344.00259999999997</v>
      </c>
      <c r="K5899">
        <v>1.1097109999999999</v>
      </c>
      <c r="L5899">
        <v>23.300660000000001</v>
      </c>
      <c r="M5899">
        <v>0.99844730000000004</v>
      </c>
      <c r="N5899">
        <v>0</v>
      </c>
      <c r="O5899">
        <v>-5.3974880000000003E-2</v>
      </c>
      <c r="P5899">
        <v>0.99173029999999995</v>
      </c>
      <c r="Q5899">
        <v>3.4638920000000001E-3</v>
      </c>
      <c r="R5899">
        <v>-0.12829380000000001</v>
      </c>
      <c r="S5899">
        <v>2.9987180000000002</v>
      </c>
      <c r="T5899">
        <v>-0.25131189999999998</v>
      </c>
      <c r="U5899">
        <v>-0.2090149</v>
      </c>
      <c r="V5899">
        <v>7.4602310000000005E-2</v>
      </c>
      <c r="W5899">
        <v>1.70774E-2</v>
      </c>
      <c r="X5899">
        <v>0.99706719999999904</v>
      </c>
      <c r="Y5899">
        <v>1.571521E-2</v>
      </c>
      <c r="Z5899">
        <v>3.850179E-3</v>
      </c>
      <c r="AA5899">
        <v>0.99986909999999896</v>
      </c>
      <c r="AB5899">
        <v>28</v>
      </c>
      <c r="AC5899">
        <v>0.73129999999997597</v>
      </c>
      <c r="AD5899">
        <v>-7.3025999999999994E-2</v>
      </c>
      <c r="AE5899">
        <v>-5.2849999999999397E-2</v>
      </c>
      <c r="AF5899">
        <v>1.31667601629381E-2</v>
      </c>
      <c r="AG5899">
        <v>-7.3025999999999994E-2</v>
      </c>
      <c r="AH5899">
        <v>0.72588599835400403</v>
      </c>
      <c r="AI5899">
        <v>95.743835701853698</v>
      </c>
      <c r="AJ5899">
        <v>88.960832599136594</v>
      </c>
      <c r="AK5899">
        <v>0.72966885835670503</v>
      </c>
      <c r="AL5899">
        <v>89.021489559517505</v>
      </c>
      <c r="AM5899">
        <v>85.721002810533406</v>
      </c>
      <c r="AN5899">
        <v>1.0000000717819599</v>
      </c>
    </row>
    <row r="5900" spans="1:40" x14ac:dyDescent="0.25">
      <c r="A5900" t="str">
        <f>"20190312154413806"</f>
        <v>20190312154413806</v>
      </c>
      <c r="B5900" t="str">
        <f>"1552376653793603"</f>
        <v>1552376653793603</v>
      </c>
      <c r="C5900" t="s">
        <v>40</v>
      </c>
      <c r="D5900">
        <v>5.1957089999999999</v>
      </c>
      <c r="E5900">
        <v>0.47712660000000001</v>
      </c>
      <c r="F5900" t="s">
        <v>43</v>
      </c>
      <c r="G5900">
        <v>-330.6617</v>
      </c>
      <c r="H5900" s="1">
        <v>-4.5464229999999998E-6</v>
      </c>
      <c r="I5900">
        <v>22.410029999999999</v>
      </c>
      <c r="J5900">
        <v>-343.77789999999999</v>
      </c>
      <c r="K5900">
        <v>1.109742</v>
      </c>
      <c r="L5900">
        <v>23.28772</v>
      </c>
      <c r="M5900">
        <v>0.99841250000000004</v>
      </c>
      <c r="N5900">
        <v>0</v>
      </c>
      <c r="O5900">
        <v>-5.4636259999999999E-2</v>
      </c>
      <c r="P5900">
        <v>0.9917241</v>
      </c>
      <c r="Q5900">
        <v>4.0091079999999999E-3</v>
      </c>
      <c r="R5900">
        <v>-0.1283253</v>
      </c>
      <c r="S5900">
        <v>2.9999690000000001</v>
      </c>
      <c r="T5900">
        <v>-0.2495407</v>
      </c>
      <c r="U5900">
        <v>-0.2002563</v>
      </c>
      <c r="V5900">
        <v>7.3972339999999998E-2</v>
      </c>
      <c r="W5900">
        <v>1.7541290000000001E-2</v>
      </c>
      <c r="X5900">
        <v>0.99710600000000005</v>
      </c>
      <c r="Y5900">
        <v>1.213091E-2</v>
      </c>
      <c r="Z5900">
        <v>4.0254160000000004E-3</v>
      </c>
      <c r="AA5900">
        <v>0.99991830000000004</v>
      </c>
      <c r="AB5900">
        <v>28</v>
      </c>
      <c r="AC5900">
        <v>13.1161999999999</v>
      </c>
      <c r="AD5900">
        <v>-1.1097465464229901</v>
      </c>
      <c r="AE5900">
        <v>-0.87769000000000097</v>
      </c>
      <c r="AF5900">
        <v>0.158561487012186</v>
      </c>
      <c r="AG5900">
        <v>-1.1097465464229901</v>
      </c>
      <c r="AH5900">
        <v>13.0515481151548</v>
      </c>
      <c r="AI5900">
        <v>94.859696665661602</v>
      </c>
      <c r="AJ5900">
        <v>89.303955592340699</v>
      </c>
      <c r="AK5900">
        <v>13.099602564378101</v>
      </c>
      <c r="AL5900">
        <v>88.994906556809696</v>
      </c>
      <c r="AM5900">
        <v>85.757168258850399</v>
      </c>
      <c r="AN5900">
        <v>0.99999998958796898</v>
      </c>
    </row>
    <row r="5901" spans="1:40" x14ac:dyDescent="0.25">
      <c r="A5901" t="str">
        <f>"20190312154413818"</f>
        <v>20190312154413818</v>
      </c>
      <c r="B5901" t="str">
        <f>"1552376653813124"</f>
        <v>1552376653813124</v>
      </c>
      <c r="C5901" t="s">
        <v>40</v>
      </c>
      <c r="D5901">
        <v>5.2408679999999999</v>
      </c>
      <c r="E5901">
        <v>0.47633639999999999</v>
      </c>
      <c r="F5901" t="s">
        <v>43</v>
      </c>
      <c r="G5901">
        <v>-330.38339999999999</v>
      </c>
      <c r="H5901" s="1">
        <v>-4.642008E-6</v>
      </c>
      <c r="I5901">
        <v>22.415130000000001</v>
      </c>
      <c r="J5901">
        <v>-343.63240000000002</v>
      </c>
      <c r="K5901">
        <v>1.109766</v>
      </c>
      <c r="L5901">
        <v>23.279299999999999</v>
      </c>
      <c r="M5901">
        <v>0.99839140000000004</v>
      </c>
      <c r="N5901">
        <v>0</v>
      </c>
      <c r="O5901">
        <v>-5.5036170000000002E-2</v>
      </c>
      <c r="P5901">
        <v>0.99167689999999997</v>
      </c>
      <c r="Q5901">
        <v>4.1418509999999898E-3</v>
      </c>
      <c r="R5901">
        <v>-0.12868550000000001</v>
      </c>
      <c r="S5901">
        <v>3.0007320000000002</v>
      </c>
      <c r="T5901">
        <v>-0.24861320000000001</v>
      </c>
      <c r="U5901">
        <v>-0.1954651</v>
      </c>
      <c r="V5901">
        <v>7.3934239999999998E-2</v>
      </c>
      <c r="W5901">
        <v>1.7620429999999999E-2</v>
      </c>
      <c r="X5901">
        <v>0.99710739999999998</v>
      </c>
      <c r="Y5901">
        <v>1.01309E-2</v>
      </c>
      <c r="Z5901">
        <v>4.1253469999999997E-3</v>
      </c>
      <c r="AA5901">
        <v>0.99994019999999995</v>
      </c>
      <c r="AB5901">
        <v>28</v>
      </c>
      <c r="AC5901">
        <v>13.249000000000001</v>
      </c>
      <c r="AD5901">
        <v>-1.109770642008</v>
      </c>
      <c r="AE5901">
        <v>-0.86417000000000099</v>
      </c>
      <c r="AF5901">
        <v>0.132691042988272</v>
      </c>
      <c r="AG5901">
        <v>-1.109770642008</v>
      </c>
      <c r="AH5901">
        <v>13.184368664759999</v>
      </c>
      <c r="AI5901">
        <v>94.811185405233303</v>
      </c>
      <c r="AJ5901">
        <v>89.423379286322699</v>
      </c>
      <c r="AK5901">
        <v>13.2316580547964</v>
      </c>
      <c r="AL5901">
        <v>88.990371437232</v>
      </c>
      <c r="AM5901">
        <v>85.759351519093201</v>
      </c>
      <c r="AN5901">
        <v>0.99999995926625995</v>
      </c>
    </row>
    <row r="5902" spans="1:40" x14ac:dyDescent="0.25">
      <c r="A5902" t="str">
        <f>"20190312154413829"</f>
        <v>20190312154413829</v>
      </c>
      <c r="B5902" t="str">
        <f>"1552376653823859"</f>
        <v>1552376653823859</v>
      </c>
      <c r="C5902" t="s">
        <v>40</v>
      </c>
      <c r="D5902">
        <v>5.1942659999999998</v>
      </c>
      <c r="E5902">
        <v>0.47595140000000002</v>
      </c>
      <c r="F5902" t="s">
        <v>41</v>
      </c>
      <c r="G5902">
        <v>-342.77659999999997</v>
      </c>
      <c r="H5902">
        <v>1.038932</v>
      </c>
      <c r="I5902">
        <v>23.22486</v>
      </c>
      <c r="J5902">
        <v>-343.4862</v>
      </c>
      <c r="K5902">
        <v>1.1097870000000001</v>
      </c>
      <c r="L5902">
        <v>23.270810000000001</v>
      </c>
      <c r="M5902">
        <v>0.9983706</v>
      </c>
      <c r="N5902">
        <v>0</v>
      </c>
      <c r="O5902">
        <v>-5.5427499999999998E-2</v>
      </c>
      <c r="P5902">
        <v>0.99165400000000004</v>
      </c>
      <c r="Q5902">
        <v>4.3111779999999997E-3</v>
      </c>
      <c r="R5902">
        <v>-0.12885730000000001</v>
      </c>
      <c r="S5902">
        <v>3.0014949999999998</v>
      </c>
      <c r="T5902">
        <v>-0.24834999999999999</v>
      </c>
      <c r="U5902">
        <v>-0.19033810000000001</v>
      </c>
      <c r="V5902">
        <v>7.3714790000000002E-2</v>
      </c>
      <c r="W5902">
        <v>1.7735810000000001E-2</v>
      </c>
      <c r="X5902">
        <v>0.99712160000000005</v>
      </c>
      <c r="Y5902">
        <v>8.0295839999999993E-3</v>
      </c>
      <c r="Z5902">
        <v>4.239156E-3</v>
      </c>
      <c r="AA5902">
        <v>0.99995880000000004</v>
      </c>
      <c r="AB5902">
        <v>28</v>
      </c>
      <c r="AC5902">
        <v>0.70960000000002299</v>
      </c>
      <c r="AD5902">
        <v>-7.0855000000000098E-2</v>
      </c>
      <c r="AE5902">
        <v>-4.5950000000001198E-2</v>
      </c>
      <c r="AF5902">
        <v>6.4800380094108701E-3</v>
      </c>
      <c r="AG5902">
        <v>-7.0855000000000098E-2</v>
      </c>
      <c r="AH5902">
        <v>0.70406554712332303</v>
      </c>
      <c r="AI5902">
        <v>95.746481567659501</v>
      </c>
      <c r="AJ5902">
        <v>89.472679287410301</v>
      </c>
      <c r="AK5902">
        <v>0.70765155024465798</v>
      </c>
      <c r="AL5902">
        <v>88.983759614592202</v>
      </c>
      <c r="AM5902">
        <v>85.771952799830899</v>
      </c>
      <c r="AN5902">
        <v>0.99999995720382895</v>
      </c>
    </row>
    <row r="5903" spans="1:40" x14ac:dyDescent="0.25">
      <c r="A5903" t="str">
        <f>"20190312154413841"</f>
        <v>20190312154413841</v>
      </c>
      <c r="B5903" t="str">
        <f>"1552376653833619"</f>
        <v>1552376653833619</v>
      </c>
      <c r="C5903" t="s">
        <v>40</v>
      </c>
      <c r="D5903">
        <v>5.2089509999999999</v>
      </c>
      <c r="E5903">
        <v>0.4756282</v>
      </c>
      <c r="F5903" t="s">
        <v>41</v>
      </c>
      <c r="G5903">
        <v>-342.53649999999999</v>
      </c>
      <c r="H5903">
        <v>1.03135</v>
      </c>
      <c r="I5903">
        <v>23.211020000000001</v>
      </c>
      <c r="J5903">
        <v>-343.33269999999999</v>
      </c>
      <c r="K5903">
        <v>1.1098079999999999</v>
      </c>
      <c r="L5903">
        <v>23.261810000000001</v>
      </c>
      <c r="M5903">
        <v>0.99835010000000002</v>
      </c>
      <c r="N5903">
        <v>0</v>
      </c>
      <c r="O5903">
        <v>-5.5810619999999998E-2</v>
      </c>
      <c r="P5903">
        <v>0.99160300000000001</v>
      </c>
      <c r="Q5903">
        <v>4.5062920000000003E-3</v>
      </c>
      <c r="R5903">
        <v>-0.1292422</v>
      </c>
      <c r="S5903">
        <v>3.0018919999999998</v>
      </c>
      <c r="T5903">
        <v>-0.24791560000000001</v>
      </c>
      <c r="U5903">
        <v>-0.18783569999999999</v>
      </c>
      <c r="V5903">
        <v>7.3718350000000002E-2</v>
      </c>
      <c r="W5903">
        <v>1.7876449999999999E-2</v>
      </c>
      <c r="X5903">
        <v>0.99711890000000003</v>
      </c>
      <c r="Y5903">
        <v>6.8120769999999997E-3</v>
      </c>
      <c r="Z5903">
        <v>4.312977E-3</v>
      </c>
      <c r="AA5903">
        <v>0.99996750000000001</v>
      </c>
      <c r="AB5903">
        <v>28</v>
      </c>
      <c r="AC5903">
        <v>0.79619999999999802</v>
      </c>
      <c r="AD5903">
        <v>-7.8457999999999903E-2</v>
      </c>
      <c r="AE5903">
        <v>-5.0789999999999197E-2</v>
      </c>
      <c r="AF5903">
        <v>6.2102982415048599E-3</v>
      </c>
      <c r="AG5903">
        <v>-7.8457999999999903E-2</v>
      </c>
      <c r="AH5903">
        <v>0.79015219894812305</v>
      </c>
      <c r="AI5903">
        <v>95.670411091563295</v>
      </c>
      <c r="AJ5903">
        <v>89.549686057126706</v>
      </c>
      <c r="AK5903">
        <v>0.79406216574699096</v>
      </c>
      <c r="AL5903">
        <v>88.975700334343699</v>
      </c>
      <c r="AM5903">
        <v>85.771737942270704</v>
      </c>
      <c r="AN5903">
        <v>1.0000000316642601</v>
      </c>
    </row>
    <row r="5904" spans="1:40" x14ac:dyDescent="0.25">
      <c r="A5904" t="str">
        <f>"20190312154413854"</f>
        <v>20190312154413854</v>
      </c>
      <c r="B5904" t="str">
        <f>"1552376653843378"</f>
        <v>1552376653843378</v>
      </c>
      <c r="C5904" t="s">
        <v>40</v>
      </c>
      <c r="D5904">
        <v>5.1861459999999999</v>
      </c>
      <c r="E5904">
        <v>0.47528730000000002</v>
      </c>
      <c r="F5904" t="s">
        <v>41</v>
      </c>
      <c r="G5904">
        <v>-342.52449999999999</v>
      </c>
      <c r="H5904">
        <v>1.0431049999999999</v>
      </c>
      <c r="I5904">
        <v>23.211279999999999</v>
      </c>
      <c r="J5904">
        <v>-343.18939999999998</v>
      </c>
      <c r="K5904">
        <v>1.109828</v>
      </c>
      <c r="L5904">
        <v>23.253419999999998</v>
      </c>
      <c r="M5904">
        <v>0.99833150000000004</v>
      </c>
      <c r="N5904">
        <v>0</v>
      </c>
      <c r="O5904">
        <v>-5.6155700000000003E-2</v>
      </c>
      <c r="P5904">
        <v>0.9915813</v>
      </c>
      <c r="Q5904">
        <v>4.505752E-3</v>
      </c>
      <c r="R5904">
        <v>-0.12940760000000001</v>
      </c>
      <c r="S5904">
        <v>3.0022579999999999</v>
      </c>
      <c r="T5904">
        <v>-0.2477297</v>
      </c>
      <c r="U5904">
        <v>-0.1863708</v>
      </c>
      <c r="V5904">
        <v>7.3538919999999994E-2</v>
      </c>
      <c r="W5904">
        <v>1.7827349999999999E-2</v>
      </c>
      <c r="X5904">
        <v>0.99713300000000005</v>
      </c>
      <c r="Y5904">
        <v>5.9765599999999997E-3</v>
      </c>
      <c r="Z5904">
        <v>4.3720299999999998E-3</v>
      </c>
      <c r="AA5904">
        <v>0.99997259999999999</v>
      </c>
      <c r="AB5904">
        <v>28</v>
      </c>
      <c r="AC5904">
        <v>0.66489999999998795</v>
      </c>
      <c r="AD5904">
        <v>-6.6723000000000005E-2</v>
      </c>
      <c r="AE5904">
        <v>-4.2140000000003397E-2</v>
      </c>
      <c r="AF5904">
        <v>4.6851999950065304E-3</v>
      </c>
      <c r="AG5904">
        <v>-6.6723000000000005E-2</v>
      </c>
      <c r="AH5904">
        <v>0.65960147828751603</v>
      </c>
      <c r="AI5904">
        <v>95.7760493598891</v>
      </c>
      <c r="AJ5904">
        <v>89.593030518839498</v>
      </c>
      <c r="AK5904">
        <v>0.66298417778033703</v>
      </c>
      <c r="AL5904">
        <v>88.978513976561501</v>
      </c>
      <c r="AM5904">
        <v>85.782051746093899</v>
      </c>
      <c r="AN5904">
        <v>1.00000000342589</v>
      </c>
    </row>
    <row r="5905" spans="1:40" x14ac:dyDescent="0.25">
      <c r="A5905" t="str">
        <f>"20190312154413866"</f>
        <v>20190312154413866</v>
      </c>
      <c r="B5905" t="str">
        <f>"1552376653853139"</f>
        <v>1552376653853139</v>
      </c>
      <c r="C5905" t="s">
        <v>40</v>
      </c>
      <c r="D5905">
        <v>5.1884899999999998</v>
      </c>
      <c r="E5905">
        <v>0.47499780000000003</v>
      </c>
      <c r="F5905" t="s">
        <v>41</v>
      </c>
      <c r="G5905">
        <v>-342.28890000000001</v>
      </c>
      <c r="H5905">
        <v>1.034149</v>
      </c>
      <c r="I5905">
        <v>23.197939999999999</v>
      </c>
      <c r="J5905">
        <v>-343.02659999999997</v>
      </c>
      <c r="K5905">
        <v>1.1098539999999999</v>
      </c>
      <c r="L5905">
        <v>23.243870000000001</v>
      </c>
      <c r="M5905">
        <v>0.99831099999999995</v>
      </c>
      <c r="N5905">
        <v>0</v>
      </c>
      <c r="O5905">
        <v>-5.6533029999999998E-2</v>
      </c>
      <c r="P5905">
        <v>0.99149900000000002</v>
      </c>
      <c r="Q5905">
        <v>4.2703619999999998E-3</v>
      </c>
      <c r="R5905">
        <v>-0.1300443</v>
      </c>
      <c r="S5905">
        <v>3.0025330000000001</v>
      </c>
      <c r="T5905">
        <v>-0.25234459999999997</v>
      </c>
      <c r="U5905">
        <v>-0.184082</v>
      </c>
      <c r="V5905">
        <v>7.3800829999999998E-2</v>
      </c>
      <c r="W5905">
        <v>1.7537469999999999E-2</v>
      </c>
      <c r="X5905">
        <v>0.99711879999999997</v>
      </c>
      <c r="Y5905">
        <v>4.8452360000000002E-3</v>
      </c>
      <c r="Z5905">
        <v>4.531892E-3</v>
      </c>
      <c r="AA5905">
        <v>0.99997800000000003</v>
      </c>
      <c r="AB5905">
        <v>28</v>
      </c>
      <c r="AC5905">
        <v>0.73769999999996105</v>
      </c>
      <c r="AD5905">
        <v>-7.5705000000000106E-2</v>
      </c>
      <c r="AE5905">
        <v>-4.5930000000001997E-2</v>
      </c>
      <c r="AF5905">
        <v>4.1053115643707901E-3</v>
      </c>
      <c r="AG5905">
        <v>-7.5705000000000106E-2</v>
      </c>
      <c r="AH5905">
        <v>0.73144336299290502</v>
      </c>
      <c r="AI5905">
        <v>95.909028307745501</v>
      </c>
      <c r="AJ5905">
        <v>89.678424101881504</v>
      </c>
      <c r="AK5905">
        <v>0.73536215151067696</v>
      </c>
      <c r="AL5905">
        <v>88.995125484231295</v>
      </c>
      <c r="AM5905">
        <v>85.767023901424494</v>
      </c>
      <c r="AN5905">
        <v>1.00000001333806</v>
      </c>
    </row>
    <row r="5906" spans="1:40" x14ac:dyDescent="0.25">
      <c r="A5906" t="str">
        <f>"20190312154413886"</f>
        <v>20190312154413886</v>
      </c>
      <c r="B5906" t="str">
        <f>"1552376653873635"</f>
        <v>1552376653873635</v>
      </c>
      <c r="C5906" t="s">
        <v>40</v>
      </c>
      <c r="D5906">
        <v>5.2627370000000004</v>
      </c>
      <c r="E5906">
        <v>0.4745626</v>
      </c>
      <c r="F5906" t="s">
        <v>43</v>
      </c>
      <c r="G5906">
        <v>-329.84129999999999</v>
      </c>
      <c r="H5906" s="1">
        <v>-8.0601249999999896E-7</v>
      </c>
      <c r="I5906">
        <v>22.437010000000001</v>
      </c>
      <c r="J5906">
        <v>-342.79930000000002</v>
      </c>
      <c r="K5906">
        <v>1.109874</v>
      </c>
      <c r="L5906">
        <v>23.23038</v>
      </c>
      <c r="M5906">
        <v>0.9982839</v>
      </c>
      <c r="N5906">
        <v>0</v>
      </c>
      <c r="O5906">
        <v>-5.7025310000000003E-2</v>
      </c>
      <c r="P5906">
        <v>0.99140099999999998</v>
      </c>
      <c r="Q5906">
        <v>4.1486869999999999E-3</v>
      </c>
      <c r="R5906">
        <v>-0.13079350000000001</v>
      </c>
      <c r="S5906">
        <v>3.0027159999999999</v>
      </c>
      <c r="T5906">
        <v>-0.25274849999999999</v>
      </c>
      <c r="U5906">
        <v>-0.1837463</v>
      </c>
      <c r="V5906">
        <v>7.4061009999999997E-2</v>
      </c>
      <c r="W5906">
        <v>1.734486E-2</v>
      </c>
      <c r="X5906">
        <v>0.99710290000000001</v>
      </c>
      <c r="Y5906">
        <v>4.2414779999999999E-3</v>
      </c>
      <c r="Z5906">
        <v>4.6054440000000002E-3</v>
      </c>
      <c r="AA5906">
        <v>0.99998039999999999</v>
      </c>
      <c r="AB5906">
        <v>28</v>
      </c>
      <c r="AC5906">
        <v>12.958</v>
      </c>
      <c r="AD5906">
        <v>-1.1098748060124899</v>
      </c>
      <c r="AE5906">
        <v>-0.79336999999999902</v>
      </c>
      <c r="AF5906">
        <v>5.2694106721495701E-2</v>
      </c>
      <c r="AG5906">
        <v>-1.1098748060124899</v>
      </c>
      <c r="AH5906">
        <v>12.8879605747635</v>
      </c>
      <c r="AI5906">
        <v>94.921966445987707</v>
      </c>
      <c r="AJ5906">
        <v>89.765740042468195</v>
      </c>
      <c r="AK5906">
        <v>12.935769267057999</v>
      </c>
      <c r="AL5906">
        <v>89.006162924888898</v>
      </c>
      <c r="AM5906">
        <v>85.752087860372399</v>
      </c>
      <c r="AN5906">
        <v>1.00000003527952</v>
      </c>
    </row>
    <row r="5907" spans="1:40" x14ac:dyDescent="0.25">
      <c r="A5907" t="str">
        <f>"20190312154413900"</f>
        <v>20190312154413900</v>
      </c>
      <c r="B5907" t="str">
        <f>"1552376653893155"</f>
        <v>1552376653893155</v>
      </c>
      <c r="C5907" t="s">
        <v>40</v>
      </c>
      <c r="D5907">
        <v>5.2052139999999998</v>
      </c>
      <c r="E5907">
        <v>0.47412700000000002</v>
      </c>
      <c r="F5907" t="s">
        <v>43</v>
      </c>
      <c r="G5907">
        <v>-329.65350000000001</v>
      </c>
      <c r="H5907" s="1">
        <v>-8.9311639999999996E-7</v>
      </c>
      <c r="I5907">
        <v>22.430689999999998</v>
      </c>
      <c r="J5907">
        <v>-342.6232</v>
      </c>
      <c r="K5907">
        <v>1.1098889999999999</v>
      </c>
      <c r="L5907">
        <v>23.21988</v>
      </c>
      <c r="M5907">
        <v>0.99826429999999999</v>
      </c>
      <c r="N5907">
        <v>0</v>
      </c>
      <c r="O5907">
        <v>-5.7381920000000003E-2</v>
      </c>
      <c r="P5907">
        <v>0.99137030000000004</v>
      </c>
      <c r="Q5907">
        <v>4.3092979999999996E-3</v>
      </c>
      <c r="R5907">
        <v>-0.13102179999999999</v>
      </c>
      <c r="S5907">
        <v>3.0029910000000002</v>
      </c>
      <c r="T5907">
        <v>-0.25353720000000002</v>
      </c>
      <c r="U5907">
        <v>-0.18267820000000001</v>
      </c>
      <c r="V5907">
        <v>7.3933650000000004E-2</v>
      </c>
      <c r="W5907">
        <v>1.745499E-2</v>
      </c>
      <c r="X5907">
        <v>0.99711039999999995</v>
      </c>
      <c r="Y5907">
        <v>3.5292869999999999E-3</v>
      </c>
      <c r="Z5907">
        <v>4.6793529999999998E-3</v>
      </c>
      <c r="AA5907">
        <v>0.99998279999999995</v>
      </c>
      <c r="AB5907">
        <v>27</v>
      </c>
      <c r="AC5907">
        <v>12.9696999999999</v>
      </c>
      <c r="AD5907">
        <v>-1.1098898931164001</v>
      </c>
      <c r="AE5907">
        <v>-0.78919000000000095</v>
      </c>
      <c r="AF5907">
        <v>4.3281952928753302E-2</v>
      </c>
      <c r="AG5907">
        <v>-1.1098898931164001</v>
      </c>
      <c r="AH5907">
        <v>12.899498362871499</v>
      </c>
      <c r="AI5907">
        <v>94.917665530581303</v>
      </c>
      <c r="AJ5907">
        <v>89.807755010627503</v>
      </c>
      <c r="AK5907">
        <v>12.947230858991301</v>
      </c>
      <c r="AL5907">
        <v>88.999851955742699</v>
      </c>
      <c r="AM5907">
        <v>85.759397948462194</v>
      </c>
      <c r="AN5907">
        <v>1.0000000055331899</v>
      </c>
    </row>
    <row r="5908" spans="1:40" x14ac:dyDescent="0.25">
      <c r="A5908" t="str">
        <f>"20190312154413918"</f>
        <v>20190312154413918</v>
      </c>
      <c r="B5908" t="str">
        <f>"1552376653913652"</f>
        <v>1552376653913652</v>
      </c>
      <c r="C5908" t="s">
        <v>40</v>
      </c>
      <c r="D5908">
        <v>5.3983049999999997</v>
      </c>
      <c r="E5908">
        <v>0.47382210000000002</v>
      </c>
      <c r="F5908" t="s">
        <v>41</v>
      </c>
      <c r="G5908">
        <v>-341.79320000000001</v>
      </c>
      <c r="H5908">
        <v>1.0392950000000001</v>
      </c>
      <c r="I5908">
        <v>23.170030000000001</v>
      </c>
      <c r="J5908">
        <v>-342.39690000000002</v>
      </c>
      <c r="K5908">
        <v>1.1099079999999999</v>
      </c>
      <c r="L5908">
        <v>23.20636</v>
      </c>
      <c r="M5908">
        <v>0.99824000000000002</v>
      </c>
      <c r="N5908">
        <v>0</v>
      </c>
      <c r="O5908">
        <v>-5.7815169999999999E-2</v>
      </c>
      <c r="P5908">
        <v>0.99129290000000003</v>
      </c>
      <c r="Q5908">
        <v>3.9353469999999996E-3</v>
      </c>
      <c r="R5908">
        <v>-0.13161639999999999</v>
      </c>
      <c r="S5908">
        <v>3.0034179999999999</v>
      </c>
      <c r="T5908">
        <v>-0.25547829999999999</v>
      </c>
      <c r="U5908">
        <v>-0.1798401</v>
      </c>
      <c r="V5908">
        <v>7.4097389999999999E-2</v>
      </c>
      <c r="W5908">
        <v>1.702495E-2</v>
      </c>
      <c r="X5908">
        <v>0.99710569999999998</v>
      </c>
      <c r="Y5908">
        <v>2.1545499999999999E-3</v>
      </c>
      <c r="Z5908">
        <v>4.809537E-3</v>
      </c>
      <c r="AA5908">
        <v>0.99998609999999999</v>
      </c>
      <c r="AB5908">
        <v>27</v>
      </c>
      <c r="AC5908">
        <v>0.60370000000000301</v>
      </c>
      <c r="AD5908">
        <v>-7.0612999999999801E-2</v>
      </c>
      <c r="AE5908">
        <v>-3.6329999999999502E-2</v>
      </c>
      <c r="AF5908">
        <v>1.34482730360573E-3</v>
      </c>
      <c r="AG5908">
        <v>-7.0612999999999801E-2</v>
      </c>
      <c r="AH5908">
        <v>0.596657044604881</v>
      </c>
      <c r="AI5908">
        <v>96.749413390240903</v>
      </c>
      <c r="AJ5908">
        <v>89.870859149514004</v>
      </c>
      <c r="AK5908">
        <v>0.60082246396594297</v>
      </c>
      <c r="AL5908">
        <v>89.024495113817693</v>
      </c>
      <c r="AM5908">
        <v>85.750020749770698</v>
      </c>
      <c r="AN5908">
        <v>1.0000000245498999</v>
      </c>
    </row>
    <row r="5909" spans="1:40" x14ac:dyDescent="0.25">
      <c r="A5909" t="str">
        <f>"20190312154413940"</f>
        <v>20190312154413940</v>
      </c>
      <c r="B5909" t="str">
        <f>"1552376653933171"</f>
        <v>1552376653933171</v>
      </c>
      <c r="C5909" t="s">
        <v>40</v>
      </c>
      <c r="D5909">
        <v>5.2668599999999897</v>
      </c>
      <c r="E5909">
        <v>0.47356300000000001</v>
      </c>
      <c r="F5909" t="s">
        <v>41</v>
      </c>
      <c r="G5909">
        <v>-341.54910000000001</v>
      </c>
      <c r="H5909">
        <v>1.037952</v>
      </c>
      <c r="I5909">
        <v>23.15549</v>
      </c>
      <c r="J5909">
        <v>-342.12560000000002</v>
      </c>
      <c r="K5909">
        <v>1.109937</v>
      </c>
      <c r="L5909">
        <v>23.19</v>
      </c>
      <c r="M5909">
        <v>0.99821260000000001</v>
      </c>
      <c r="N5909">
        <v>0</v>
      </c>
      <c r="O5909">
        <v>-5.8299089999999998E-2</v>
      </c>
      <c r="P5909">
        <v>0.99123229999999996</v>
      </c>
      <c r="Q5909">
        <v>3.7128650000000001E-3</v>
      </c>
      <c r="R5909">
        <v>-0.132078799999999</v>
      </c>
      <c r="S5909">
        <v>3.0036010000000002</v>
      </c>
      <c r="T5909">
        <v>-0.25490020000000002</v>
      </c>
      <c r="U5909">
        <v>-0.17926029999999901</v>
      </c>
      <c r="V5909">
        <v>7.4077580000000004E-2</v>
      </c>
      <c r="W5909">
        <v>1.6754620000000001E-2</v>
      </c>
      <c r="X5909">
        <v>0.99711170000000005</v>
      </c>
      <c r="Y5909">
        <v>1.4770510000000001E-3</v>
      </c>
      <c r="Z5909">
        <v>4.8679789999999997E-3</v>
      </c>
      <c r="AA5909">
        <v>0.99998710000000002</v>
      </c>
      <c r="AB5909">
        <v>27</v>
      </c>
      <c r="AC5909">
        <v>0.57650000000001</v>
      </c>
      <c r="AD5909">
        <v>-7.1985000000000104E-2</v>
      </c>
      <c r="AE5909">
        <v>-3.4510000000000901E-2</v>
      </c>
      <c r="AF5909">
        <v>8.2612940800239E-4</v>
      </c>
      <c r="AG5909">
        <v>-7.1985000000000104E-2</v>
      </c>
      <c r="AH5909">
        <v>0.56869625544587299</v>
      </c>
      <c r="AI5909">
        <v>97.214069297766002</v>
      </c>
      <c r="AJ5909">
        <v>89.916768055598197</v>
      </c>
      <c r="AK5909">
        <v>0.573234641026654</v>
      </c>
      <c r="AL5909">
        <v>89.039986042425298</v>
      </c>
      <c r="AM5909">
        <v>85.751178297084394</v>
      </c>
      <c r="AN5909">
        <v>0.99999997371344496</v>
      </c>
    </row>
    <row r="5910" spans="1:40" x14ac:dyDescent="0.25">
      <c r="A5910" t="str">
        <f>"20190312154413952"</f>
        <v>20190312154413952</v>
      </c>
      <c r="B5910" t="str">
        <f>"1552376653942931"</f>
        <v>1552376653942931</v>
      </c>
      <c r="C5910" t="s">
        <v>40</v>
      </c>
      <c r="D5910">
        <v>5.2567139999999997</v>
      </c>
      <c r="E5910">
        <v>0.47337410000000002</v>
      </c>
      <c r="F5910" t="s">
        <v>41</v>
      </c>
      <c r="G5910">
        <v>-341.30149999999998</v>
      </c>
      <c r="H5910">
        <v>1.0406850000000001</v>
      </c>
      <c r="I5910">
        <v>23.140889999999999</v>
      </c>
      <c r="J5910">
        <v>-341.97579999999999</v>
      </c>
      <c r="K5910">
        <v>1.1099589999999999</v>
      </c>
      <c r="L5910">
        <v>23.180969999999999</v>
      </c>
      <c r="M5910">
        <v>0.99819800000000003</v>
      </c>
      <c r="N5910">
        <v>0</v>
      </c>
      <c r="O5910">
        <v>-5.8552939999999998E-2</v>
      </c>
      <c r="P5910">
        <v>0.99113949999999995</v>
      </c>
      <c r="Q5910">
        <v>3.5185640000000001E-3</v>
      </c>
      <c r="R5910">
        <v>-0.13278010000000001</v>
      </c>
      <c r="S5910">
        <v>3.0036930000000002</v>
      </c>
      <c r="T5910">
        <v>-0.25240289999999999</v>
      </c>
      <c r="U5910">
        <v>-0.1784058</v>
      </c>
      <c r="V5910">
        <v>7.4528490000000003E-2</v>
      </c>
      <c r="W5910">
        <v>1.6543410000000001E-2</v>
      </c>
      <c r="X5910">
        <v>0.99708160000000001</v>
      </c>
      <c r="Y5910">
        <v>9.3629909999999995E-4</v>
      </c>
      <c r="Z5910">
        <v>4.8642479999999998E-3</v>
      </c>
      <c r="AA5910">
        <v>0.99998770000000003</v>
      </c>
      <c r="AB5910">
        <v>27</v>
      </c>
      <c r="AC5910">
        <v>0.674300000000016</v>
      </c>
      <c r="AD5910">
        <v>-6.9273999999999794E-2</v>
      </c>
      <c r="AE5910">
        <v>-4.0080000000003203E-2</v>
      </c>
      <c r="AF5910">
        <v>5.2010361571883004E-4</v>
      </c>
      <c r="AG5910">
        <v>-6.9273999999999794E-2</v>
      </c>
      <c r="AH5910">
        <v>0.66845954958897902</v>
      </c>
      <c r="AI5910">
        <v>95.916571255845795</v>
      </c>
      <c r="AJ5910">
        <v>89.955420285198798</v>
      </c>
      <c r="AK5910">
        <v>0.67203967667130504</v>
      </c>
      <c r="AL5910">
        <v>89.052089138140602</v>
      </c>
      <c r="AM5910">
        <v>85.725282741491498</v>
      </c>
      <c r="AN5910">
        <v>0.99999994864733199</v>
      </c>
    </row>
    <row r="5911" spans="1:40" x14ac:dyDescent="0.25">
      <c r="A5911" t="str">
        <f>"20190312154413974"</f>
        <v>20190312154413974</v>
      </c>
      <c r="B5911" t="str">
        <f>"1552376653963427"</f>
        <v>1552376653963427</v>
      </c>
      <c r="C5911" t="s">
        <v>40</v>
      </c>
      <c r="D5911">
        <v>5.3064589999999896</v>
      </c>
      <c r="E5911">
        <v>0.47332299999999999</v>
      </c>
      <c r="F5911" t="s">
        <v>41</v>
      </c>
      <c r="G5911">
        <v>-341.06270000000001</v>
      </c>
      <c r="H5911">
        <v>1.033498</v>
      </c>
      <c r="I5911">
        <v>23.12612</v>
      </c>
      <c r="J5911">
        <v>-341.70909999999998</v>
      </c>
      <c r="K5911">
        <v>1.109999</v>
      </c>
      <c r="L5911">
        <v>23.16479</v>
      </c>
      <c r="M5911">
        <v>0.99817290000000003</v>
      </c>
      <c r="N5911">
        <v>0</v>
      </c>
      <c r="O5911">
        <v>-5.898055E-2</v>
      </c>
      <c r="P5911">
        <v>0.99097179999999996</v>
      </c>
      <c r="Q5911">
        <v>3.8335330000000001E-3</v>
      </c>
      <c r="R5911">
        <v>-0.13401660000000001</v>
      </c>
      <c r="S5911">
        <v>3.0037229999999999</v>
      </c>
      <c r="T5911">
        <v>-0.25150329999999999</v>
      </c>
      <c r="U5911">
        <v>-0.1791382</v>
      </c>
      <c r="V5911">
        <v>7.5344700000000001E-2</v>
      </c>
      <c r="W5911">
        <v>1.685188E-2</v>
      </c>
      <c r="X5911">
        <v>0.99701510000000004</v>
      </c>
      <c r="Y5911">
        <v>7.5097140000000004E-4</v>
      </c>
      <c r="Z5911">
        <v>4.8902540000000001E-3</v>
      </c>
      <c r="AA5911">
        <v>0.99998779999999998</v>
      </c>
      <c r="AB5911">
        <v>27</v>
      </c>
      <c r="AC5911">
        <v>0.646399999999971</v>
      </c>
      <c r="AD5911">
        <v>-7.6500999999999902E-2</v>
      </c>
      <c r="AE5911">
        <v>-3.8669999999999698E-2</v>
      </c>
      <c r="AF5911">
        <v>4.6783003425628701E-4</v>
      </c>
      <c r="AG5911">
        <v>-7.6500999999999902E-2</v>
      </c>
      <c r="AH5911">
        <v>0.63864220150783202</v>
      </c>
      <c r="AI5911">
        <v>96.830737582739502</v>
      </c>
      <c r="AJ5911">
        <v>89.958028640082802</v>
      </c>
      <c r="AK5911">
        <v>0.64320796280263204</v>
      </c>
      <c r="AL5911">
        <v>89.034412654308497</v>
      </c>
      <c r="AM5911">
        <v>85.6783567730794</v>
      </c>
      <c r="AN5911">
        <v>0.99999995965281596</v>
      </c>
    </row>
    <row r="5912" spans="1:40" x14ac:dyDescent="0.25">
      <c r="A5912" t="str">
        <f>"20190312154413988"</f>
        <v>20190312154413988</v>
      </c>
      <c r="B5912" t="str">
        <f>"1552376653983924"</f>
        <v>1552376653983924</v>
      </c>
      <c r="C5912" t="s">
        <v>40</v>
      </c>
      <c r="D5912">
        <v>5.3811619999999998</v>
      </c>
      <c r="E5912">
        <v>0.49341570000000001</v>
      </c>
      <c r="F5912" t="s">
        <v>41</v>
      </c>
      <c r="G5912">
        <v>-340.8159</v>
      </c>
      <c r="H5912">
        <v>1.036176</v>
      </c>
      <c r="I5912">
        <v>23.110569999999999</v>
      </c>
      <c r="J5912">
        <v>-341.53980000000001</v>
      </c>
      <c r="K5912">
        <v>1.110031</v>
      </c>
      <c r="L5912">
        <v>23.15448</v>
      </c>
      <c r="M5912">
        <v>0.99815739999999997</v>
      </c>
      <c r="N5912">
        <v>0</v>
      </c>
      <c r="O5912">
        <v>-5.9240029999999999E-2</v>
      </c>
      <c r="P5912">
        <v>0.99092009999999997</v>
      </c>
      <c r="Q5912">
        <v>3.7721230000000001E-3</v>
      </c>
      <c r="R5912">
        <v>-0.134398499999999</v>
      </c>
      <c r="S5912">
        <v>3.0036010000000002</v>
      </c>
      <c r="T5912">
        <v>-0.2482693</v>
      </c>
      <c r="U5912">
        <v>-0.18261720000000001</v>
      </c>
      <c r="V5912">
        <v>7.546891E-2</v>
      </c>
      <c r="W5912">
        <v>1.6803249999999999E-2</v>
      </c>
      <c r="X5912">
        <v>0.99700659999999997</v>
      </c>
      <c r="Y5912">
        <v>1.6401810000000001E-3</v>
      </c>
      <c r="Z5912">
        <v>4.8122659999999999E-3</v>
      </c>
      <c r="AA5912">
        <v>0.99998710000000002</v>
      </c>
      <c r="AB5912">
        <v>27</v>
      </c>
      <c r="AC5912">
        <v>0.72390000000001398</v>
      </c>
      <c r="AD5912">
        <v>-7.3854999999999907E-2</v>
      </c>
      <c r="AE5912">
        <v>-4.3909999999996702E-2</v>
      </c>
      <c r="AF5912">
        <v>9.3561227268783298E-4</v>
      </c>
      <c r="AG5912">
        <v>-7.3854999999999907E-2</v>
      </c>
      <c r="AH5912">
        <v>0.71778596171620901</v>
      </c>
      <c r="AI5912">
        <v>95.874644349316398</v>
      </c>
      <c r="AJ5912">
        <v>89.925316728126404</v>
      </c>
      <c r="AK5912">
        <v>0.72157613820870403</v>
      </c>
      <c r="AL5912">
        <v>89.037199413396095</v>
      </c>
      <c r="AM5912">
        <v>85.671222592797903</v>
      </c>
      <c r="AN5912">
        <v>1.00000003301535</v>
      </c>
    </row>
    <row r="5913" spans="1:40" x14ac:dyDescent="0.25">
      <c r="A5913" t="str">
        <f>"20190312154414006"</f>
        <v>20190312154414006</v>
      </c>
      <c r="B5913" t="str">
        <f>"1552376653993683"</f>
        <v>1552376653993683</v>
      </c>
      <c r="C5913" t="s">
        <v>40</v>
      </c>
      <c r="D5913">
        <v>5.3331200000000001</v>
      </c>
      <c r="E5913">
        <v>0.49409900000000001</v>
      </c>
      <c r="F5913" t="s">
        <v>41</v>
      </c>
      <c r="G5913">
        <v>-340.5829</v>
      </c>
      <c r="H5913">
        <v>1.0241209999999901</v>
      </c>
      <c r="I5913">
        <v>23.04466</v>
      </c>
      <c r="J5913">
        <v>-341.31079999999997</v>
      </c>
      <c r="K5913">
        <v>1.1100749999999999</v>
      </c>
      <c r="L5913">
        <v>23.140499999999999</v>
      </c>
      <c r="M5913">
        <v>0.99813719999999995</v>
      </c>
      <c r="N5913">
        <v>0</v>
      </c>
      <c r="O5913">
        <v>-5.9570890000000001E-2</v>
      </c>
      <c r="P5913">
        <v>0.9907861</v>
      </c>
      <c r="Q5913">
        <v>4.5125599999999997E-3</v>
      </c>
      <c r="R5913">
        <v>-0.13536129999999999</v>
      </c>
      <c r="S5913">
        <v>2.9821469999999999</v>
      </c>
      <c r="T5913">
        <v>-0.26774540000000002</v>
      </c>
      <c r="U5913">
        <v>-0.34194950000000002</v>
      </c>
      <c r="V5913">
        <v>7.610691E-2</v>
      </c>
      <c r="W5913">
        <v>1.7587060000000002E-2</v>
      </c>
      <c r="X5913">
        <v>0.99694450000000001</v>
      </c>
      <c r="Y5913">
        <v>5.4548199999999998E-2</v>
      </c>
      <c r="Z5913">
        <v>2.8780609999999999E-3</v>
      </c>
      <c r="AA5913">
        <v>0.99850700000000003</v>
      </c>
      <c r="AB5913">
        <v>27</v>
      </c>
      <c r="AC5913">
        <v>0.72789999999997601</v>
      </c>
      <c r="AD5913">
        <v>-8.5954000000000003E-2</v>
      </c>
      <c r="AE5913">
        <v>-9.5839999999998995E-2</v>
      </c>
      <c r="AF5913">
        <v>5.1597141876866898E-2</v>
      </c>
      <c r="AG5913">
        <v>-8.5954000000000003E-2</v>
      </c>
      <c r="AH5913">
        <v>0.722415119581861</v>
      </c>
      <c r="AI5913">
        <v>96.768155876744203</v>
      </c>
      <c r="AJ5913">
        <v>85.914693970510896</v>
      </c>
      <c r="AK5913">
        <v>0.72933802873999098</v>
      </c>
      <c r="AL5913">
        <v>88.992283685717396</v>
      </c>
      <c r="AM5913">
        <v>85.634497917579296</v>
      </c>
      <c r="AN5913">
        <v>0.99999995125471897</v>
      </c>
    </row>
    <row r="5914" spans="1:40" x14ac:dyDescent="0.25">
      <c r="A5914" t="str">
        <f>"20190312154414019"</f>
        <v>20190312154414019</v>
      </c>
      <c r="B5914" t="str">
        <f>"1552376654013203"</f>
        <v>1552376654013203</v>
      </c>
      <c r="C5914" t="s">
        <v>40</v>
      </c>
      <c r="D5914">
        <v>5.3221129999999999</v>
      </c>
      <c r="E5914">
        <v>0.49530469999999999</v>
      </c>
      <c r="F5914" t="s">
        <v>41</v>
      </c>
      <c r="G5914">
        <v>-340.5729</v>
      </c>
      <c r="H5914">
        <v>1.042956</v>
      </c>
      <c r="I5914">
        <v>23.053750000000001</v>
      </c>
      <c r="J5914">
        <v>-341.16469999999998</v>
      </c>
      <c r="K5914">
        <v>1.1101030000000001</v>
      </c>
      <c r="L5914">
        <v>23.131530000000001</v>
      </c>
      <c r="M5914">
        <v>0.99812500000000004</v>
      </c>
      <c r="N5914">
        <v>0</v>
      </c>
      <c r="O5914">
        <v>-5.976683E-2</v>
      </c>
      <c r="P5914">
        <v>0.99070950000000002</v>
      </c>
      <c r="Q5914">
        <v>4.6279859999999997E-3</v>
      </c>
      <c r="R5914">
        <v>-0.13591739999999999</v>
      </c>
      <c r="S5914">
        <v>2.9813230000000002</v>
      </c>
      <c r="T5914">
        <v>-0.27120179999999999</v>
      </c>
      <c r="U5914">
        <v>-0.3501282</v>
      </c>
      <c r="V5914">
        <v>7.6470170000000004E-2</v>
      </c>
      <c r="W5914">
        <v>1.7741059999999999E-2</v>
      </c>
      <c r="X5914">
        <v>0.99691399999999997</v>
      </c>
      <c r="Y5914">
        <v>5.7077070000000001E-2</v>
      </c>
      <c r="Z5914">
        <v>2.8185770000000001E-3</v>
      </c>
      <c r="AA5914">
        <v>0.99836579999999997</v>
      </c>
      <c r="AB5914">
        <v>27</v>
      </c>
      <c r="AC5914">
        <v>0.59179999999997701</v>
      </c>
      <c r="AD5914">
        <v>-6.7146999999999998E-2</v>
      </c>
      <c r="AE5914">
        <v>-7.7779999999997004E-2</v>
      </c>
      <c r="AF5914">
        <v>4.1739619704333E-2</v>
      </c>
      <c r="AG5914">
        <v>-6.7146999999999998E-2</v>
      </c>
      <c r="AH5914">
        <v>0.58795039320938502</v>
      </c>
      <c r="AI5914">
        <v>96.499032846357906</v>
      </c>
      <c r="AJ5914">
        <v>85.939285709051504</v>
      </c>
      <c r="AK5914">
        <v>0.593242429650083</v>
      </c>
      <c r="AL5914">
        <v>88.983458785292797</v>
      </c>
      <c r="AM5914">
        <v>85.613608729306307</v>
      </c>
      <c r="AN5914">
        <v>0.99999997775287597</v>
      </c>
    </row>
    <row r="5915" spans="1:40" x14ac:dyDescent="0.25">
      <c r="A5915" t="str">
        <f>"20190312154414031"</f>
        <v>20190312154414031</v>
      </c>
      <c r="B5915" t="str">
        <f>"1552376654022964"</f>
        <v>1552376654022964</v>
      </c>
      <c r="C5915" t="s">
        <v>40</v>
      </c>
      <c r="D5915">
        <v>5.3564829999999999</v>
      </c>
      <c r="E5915">
        <v>0.49576569999999998</v>
      </c>
      <c r="F5915" t="s">
        <v>41</v>
      </c>
      <c r="G5915">
        <v>-340.33420000000001</v>
      </c>
      <c r="H5915">
        <v>1.033347</v>
      </c>
      <c r="I5915">
        <v>23.030729999999998</v>
      </c>
      <c r="J5915">
        <v>-341.01049999999998</v>
      </c>
      <c r="K5915">
        <v>1.1101299999999901</v>
      </c>
      <c r="L5915">
        <v>23.122070000000001</v>
      </c>
      <c r="M5915">
        <v>0.99811260000000002</v>
      </c>
      <c r="N5915">
        <v>0</v>
      </c>
      <c r="O5915">
        <v>-5.9964789999999997E-2</v>
      </c>
      <c r="P5915">
        <v>0.99066829999999995</v>
      </c>
      <c r="Q5915">
        <v>4.6253099999999997E-3</v>
      </c>
      <c r="R5915">
        <v>-0.13621710000000001</v>
      </c>
      <c r="S5915">
        <v>2.9798580000000001</v>
      </c>
      <c r="T5915">
        <v>-0.27542280000000002</v>
      </c>
      <c r="U5915">
        <v>-0.36123660000000002</v>
      </c>
      <c r="V5915">
        <v>7.6573240000000001E-2</v>
      </c>
      <c r="W5915">
        <v>1.77810999999999E-2</v>
      </c>
      <c r="X5915">
        <v>0.99690540000000005</v>
      </c>
      <c r="Y5915">
        <v>6.0591409999999998E-2</v>
      </c>
      <c r="Z5915">
        <v>2.7195359999999998E-3</v>
      </c>
      <c r="AA5915">
        <v>0.99815889999999996</v>
      </c>
      <c r="AB5915">
        <v>27</v>
      </c>
      <c r="AC5915">
        <v>0.67629999999996904</v>
      </c>
      <c r="AD5915">
        <v>-7.6782999999999796E-2</v>
      </c>
      <c r="AE5915">
        <v>-9.1340000000002405E-2</v>
      </c>
      <c r="AF5915">
        <v>4.99850948552098E-2</v>
      </c>
      <c r="AG5915">
        <v>-7.6782999999999796E-2</v>
      </c>
      <c r="AH5915">
        <v>0.67205289714801597</v>
      </c>
      <c r="AI5915">
        <v>96.500062583597995</v>
      </c>
      <c r="AJ5915">
        <v>85.746359479977201</v>
      </c>
      <c r="AK5915">
        <v>0.67826929413156101</v>
      </c>
      <c r="AL5915">
        <v>88.981164325589404</v>
      </c>
      <c r="AM5915">
        <v>85.607681927641593</v>
      </c>
      <c r="AN5915">
        <v>1.00000000257523</v>
      </c>
    </row>
    <row r="5916" spans="1:40" x14ac:dyDescent="0.25">
      <c r="A5916" t="str">
        <f>"20190312154414044"</f>
        <v>20190312154414044</v>
      </c>
      <c r="B5916" t="str">
        <f>"1552376654033699"</f>
        <v>1552376654033699</v>
      </c>
      <c r="C5916" t="s">
        <v>40</v>
      </c>
      <c r="D5916">
        <v>5.3419730000000003</v>
      </c>
      <c r="E5916">
        <v>0.49609140000000002</v>
      </c>
      <c r="F5916" t="s">
        <v>41</v>
      </c>
      <c r="G5916">
        <v>-340.0949</v>
      </c>
      <c r="H5916">
        <v>1.0250539999999999</v>
      </c>
      <c r="I5916">
        <v>23.009319999999999</v>
      </c>
      <c r="J5916">
        <v>-340.84679999999997</v>
      </c>
      <c r="K5916">
        <v>1.110158</v>
      </c>
      <c r="L5916">
        <v>23.112030000000001</v>
      </c>
      <c r="M5916">
        <v>0.99810049999999995</v>
      </c>
      <c r="N5916">
        <v>0</v>
      </c>
      <c r="O5916">
        <v>-6.0156420000000002E-2</v>
      </c>
      <c r="P5916">
        <v>0.99063219999999996</v>
      </c>
      <c r="Q5916">
        <v>4.404463E-3</v>
      </c>
      <c r="R5916">
        <v>-0.13648669999999999</v>
      </c>
      <c r="S5916">
        <v>2.9793090000000002</v>
      </c>
      <c r="T5916">
        <v>-0.27683730000000001</v>
      </c>
      <c r="U5916">
        <v>-0.3656006</v>
      </c>
      <c r="V5916">
        <v>7.6652189999999995E-2</v>
      </c>
      <c r="W5916">
        <v>1.7608990000000001E-2</v>
      </c>
      <c r="X5916">
        <v>0.99690239999999997</v>
      </c>
      <c r="Y5916">
        <v>6.185773E-2</v>
      </c>
      <c r="Z5916">
        <v>2.6928030000000001E-3</v>
      </c>
      <c r="AA5916">
        <v>0.99808129999999995</v>
      </c>
      <c r="AB5916">
        <v>27</v>
      </c>
      <c r="AC5916">
        <v>0.75189999999997703</v>
      </c>
      <c r="AD5916">
        <v>-8.5103999999999805E-2</v>
      </c>
      <c r="AE5916">
        <v>-0.102709999999994</v>
      </c>
      <c r="AF5916">
        <v>5.6576825411684802E-2</v>
      </c>
      <c r="AG5916">
        <v>-8.5103999999999805E-2</v>
      </c>
      <c r="AH5916">
        <v>0.74731879511501698</v>
      </c>
      <c r="AI5916">
        <v>96.478423790305499</v>
      </c>
      <c r="AJ5916">
        <v>85.6706007051109</v>
      </c>
      <c r="AK5916">
        <v>0.75427382927012998</v>
      </c>
      <c r="AL5916">
        <v>88.991027058870301</v>
      </c>
      <c r="AM5916">
        <v>85.603157845792097</v>
      </c>
      <c r="AN5916">
        <v>1.00000001494318</v>
      </c>
    </row>
    <row r="5917" spans="1:40" x14ac:dyDescent="0.25">
      <c r="A5917" t="str">
        <f>"20190312154414057"</f>
        <v>20190312154414057</v>
      </c>
      <c r="B5917" t="str">
        <f>"1552376654053219"</f>
        <v>1552376654053219</v>
      </c>
      <c r="C5917" t="s">
        <v>40</v>
      </c>
      <c r="D5917">
        <v>5.3481110000000003</v>
      </c>
      <c r="E5917">
        <v>0.49649939999999998</v>
      </c>
      <c r="F5917" t="s">
        <v>41</v>
      </c>
      <c r="G5917">
        <v>-340.08749999999998</v>
      </c>
      <c r="H5917">
        <v>1.038959</v>
      </c>
      <c r="I5917">
        <v>23.017620000000001</v>
      </c>
      <c r="J5917">
        <v>-340.70339999999999</v>
      </c>
      <c r="K5917">
        <v>1.1101859999999999</v>
      </c>
      <c r="L5917">
        <v>23.103210000000001</v>
      </c>
      <c r="M5917">
        <v>0.9980909</v>
      </c>
      <c r="N5917">
        <v>0</v>
      </c>
      <c r="O5917">
        <v>-6.0305369999999997E-2</v>
      </c>
      <c r="P5917">
        <v>0.99058939999999995</v>
      </c>
      <c r="Q5917">
        <v>4.0693120000000003E-3</v>
      </c>
      <c r="R5917">
        <v>-0.13680690000000001</v>
      </c>
      <c r="S5917">
        <v>2.9787599999999999</v>
      </c>
      <c r="T5917">
        <v>-0.2793214</v>
      </c>
      <c r="U5917">
        <v>-0.36883539999999998</v>
      </c>
      <c r="V5917">
        <v>7.6824809999999993E-2</v>
      </c>
      <c r="W5917">
        <v>1.7315779999999999E-2</v>
      </c>
      <c r="X5917">
        <v>0.99689419999999995</v>
      </c>
      <c r="Y5917">
        <v>6.2795100000000006E-2</v>
      </c>
      <c r="Z5917">
        <v>2.6872889999999998E-3</v>
      </c>
      <c r="AA5917">
        <v>0.99802279999999999</v>
      </c>
      <c r="AB5917">
        <v>27</v>
      </c>
      <c r="AC5917">
        <v>0.61590000000001</v>
      </c>
      <c r="AD5917">
        <v>-7.1227000000000096E-2</v>
      </c>
      <c r="AE5917">
        <v>-8.5589999999999805E-2</v>
      </c>
      <c r="AF5917">
        <v>4.7663431762013903E-2</v>
      </c>
      <c r="AG5917">
        <v>-7.1227000000000096E-2</v>
      </c>
      <c r="AH5917">
        <v>0.61191203983891695</v>
      </c>
      <c r="AI5917">
        <v>96.619519335644299</v>
      </c>
      <c r="AJ5917">
        <v>85.546074820261595</v>
      </c>
      <c r="AK5917">
        <v>0.61788464356719297</v>
      </c>
      <c r="AL5917">
        <v>89.007829268442805</v>
      </c>
      <c r="AM5917">
        <v>85.5932590527526</v>
      </c>
      <c r="AN5917">
        <v>0.99999996683109105</v>
      </c>
    </row>
    <row r="5918" spans="1:40" x14ac:dyDescent="0.25">
      <c r="A5918" t="str">
        <f>"20190312154414076"</f>
        <v>20190312154414076</v>
      </c>
      <c r="B5918" t="str">
        <f>"1552376654062980"</f>
        <v>1552376654062980</v>
      </c>
      <c r="C5918" t="s">
        <v>40</v>
      </c>
      <c r="D5918">
        <v>5.3546870000000002</v>
      </c>
      <c r="E5918">
        <v>0.4966814</v>
      </c>
      <c r="F5918" t="s">
        <v>41</v>
      </c>
      <c r="G5918">
        <v>-339.8494</v>
      </c>
      <c r="H5918">
        <v>1.0291539999999999</v>
      </c>
      <c r="I5918">
        <v>22.99615</v>
      </c>
      <c r="J5918">
        <v>-340.47019999999998</v>
      </c>
      <c r="K5918">
        <v>1.110228</v>
      </c>
      <c r="L5918">
        <v>23.08887</v>
      </c>
      <c r="M5918">
        <v>0.99807729999999995</v>
      </c>
      <c r="N5918">
        <v>0</v>
      </c>
      <c r="O5918">
        <v>-6.0519700000000003E-2</v>
      </c>
      <c r="P5918">
        <v>0.99054750000000003</v>
      </c>
      <c r="Q5918">
        <v>3.4950469999999998E-3</v>
      </c>
      <c r="R5918">
        <v>-0.1371279</v>
      </c>
      <c r="S5918">
        <v>2.97818</v>
      </c>
      <c r="T5918">
        <v>-0.28262130000000002</v>
      </c>
      <c r="U5918">
        <v>-0.37283329999999998</v>
      </c>
      <c r="V5918">
        <v>7.6931830000000007E-2</v>
      </c>
      <c r="W5918">
        <v>1.6808500000000001E-2</v>
      </c>
      <c r="X5918">
        <v>0.99689470000000002</v>
      </c>
      <c r="Y5918">
        <v>6.3919370000000003E-2</v>
      </c>
      <c r="Z5918">
        <v>2.6862729999999999E-3</v>
      </c>
      <c r="AA5918">
        <v>0.99795140000000004</v>
      </c>
      <c r="AB5918">
        <v>27</v>
      </c>
      <c r="AC5918">
        <v>0.62079999999997404</v>
      </c>
      <c r="AD5918">
        <v>-8.1073999999999799E-2</v>
      </c>
      <c r="AE5918">
        <v>-9.27199999999999E-2</v>
      </c>
      <c r="AF5918">
        <v>5.4073896327878297E-2</v>
      </c>
      <c r="AG5918">
        <v>-8.1073999999999799E-2</v>
      </c>
      <c r="AH5918">
        <v>0.61501339170112002</v>
      </c>
      <c r="AI5918">
        <v>97.481170151444303</v>
      </c>
      <c r="AJ5918">
        <v>84.975297489557207</v>
      </c>
      <c r="AK5918">
        <v>0.622686479467632</v>
      </c>
      <c r="AL5918">
        <v>89.036898572408404</v>
      </c>
      <c r="AM5918">
        <v>85.587146723645503</v>
      </c>
      <c r="AN5918">
        <v>1.0000000375137399</v>
      </c>
    </row>
    <row r="5919" spans="1:40" x14ac:dyDescent="0.25">
      <c r="A5919" t="str">
        <f>"20190312154414098"</f>
        <v>20190312154414098</v>
      </c>
      <c r="B5919" t="str">
        <f>"1552376654093235"</f>
        <v>1552376654093235</v>
      </c>
      <c r="C5919" t="s">
        <v>40</v>
      </c>
      <c r="D5919">
        <v>5.3661899999999996</v>
      </c>
      <c r="E5919">
        <v>0.49704209999999899</v>
      </c>
      <c r="F5919" t="s">
        <v>41</v>
      </c>
      <c r="G5919">
        <v>-339.60719999999998</v>
      </c>
      <c r="H5919">
        <v>1.0275019999999999</v>
      </c>
      <c r="I5919">
        <v>22.979749999999999</v>
      </c>
      <c r="J5919">
        <v>-340.20710000000003</v>
      </c>
      <c r="K5919">
        <v>1.1102730000000001</v>
      </c>
      <c r="L5919">
        <v>23.072659999999999</v>
      </c>
      <c r="M5919">
        <v>0.99806479999999997</v>
      </c>
      <c r="N5919">
        <v>0</v>
      </c>
      <c r="O5919">
        <v>-6.0710229999999997E-2</v>
      </c>
      <c r="P5919">
        <v>0.99052510000000005</v>
      </c>
      <c r="Q5919">
        <v>3.8258060000000002E-3</v>
      </c>
      <c r="R5919">
        <v>-0.13728009999999999</v>
      </c>
      <c r="S5919">
        <v>2.9776609999999999</v>
      </c>
      <c r="T5919">
        <v>-0.28545759999999998</v>
      </c>
      <c r="U5919">
        <v>-0.37536619999999998</v>
      </c>
      <c r="V5919">
        <v>7.6893509999999998E-2</v>
      </c>
      <c r="W5919">
        <v>1.72128E-2</v>
      </c>
      <c r="X5919">
        <v>0.99689070000000002</v>
      </c>
      <c r="Y5919">
        <v>6.458353E-2</v>
      </c>
      <c r="Z5919">
        <v>2.6998619999999999E-3</v>
      </c>
      <c r="AA5919">
        <v>0.99790869999999998</v>
      </c>
      <c r="AB5919">
        <v>27</v>
      </c>
      <c r="AC5919">
        <v>0.59990000000004695</v>
      </c>
      <c r="AD5919">
        <v>-8.27709999999999E-2</v>
      </c>
      <c r="AE5919">
        <v>-9.2909999999999798E-2</v>
      </c>
      <c r="AF5919">
        <v>5.5287376560504697E-2</v>
      </c>
      <c r="AG5919">
        <v>-8.27709999999999E-2</v>
      </c>
      <c r="AH5919">
        <v>0.59340235534391805</v>
      </c>
      <c r="AI5919">
        <v>97.906885560020299</v>
      </c>
      <c r="AJ5919">
        <v>84.677111178845294</v>
      </c>
      <c r="AK5919">
        <v>0.60169268549289601</v>
      </c>
      <c r="AL5919">
        <v>89.013730480567901</v>
      </c>
      <c r="AM5919">
        <v>85.589318476997505</v>
      </c>
      <c r="AN5919">
        <v>0.99999998005522395</v>
      </c>
    </row>
    <row r="5920" spans="1:40" x14ac:dyDescent="0.25">
      <c r="A5920" t="str">
        <f>"20190312154414119"</f>
        <v>20190312154414119</v>
      </c>
      <c r="B5920" t="str">
        <f>"1552376654113733"</f>
        <v>1552376654113733</v>
      </c>
      <c r="C5920" t="s">
        <v>40</v>
      </c>
      <c r="D5920">
        <v>5.3927120000000004</v>
      </c>
      <c r="E5920">
        <v>0.49729760000000001</v>
      </c>
      <c r="F5920" t="s">
        <v>41</v>
      </c>
      <c r="G5920">
        <v>-339.36360000000002</v>
      </c>
      <c r="H5920">
        <v>1.029234</v>
      </c>
      <c r="I5920">
        <v>22.965170000000001</v>
      </c>
      <c r="J5920">
        <v>-339.94639999999998</v>
      </c>
      <c r="K5920">
        <v>1.1103179999999999</v>
      </c>
      <c r="L5920">
        <v>23.056609999999999</v>
      </c>
      <c r="M5920">
        <v>0.99805560000000004</v>
      </c>
      <c r="N5920">
        <v>0</v>
      </c>
      <c r="O5920">
        <v>-6.0846480000000001E-2</v>
      </c>
      <c r="P5920">
        <v>0.99048369999999997</v>
      </c>
      <c r="Q5920">
        <v>3.950907E-3</v>
      </c>
      <c r="R5920">
        <v>-0.1375749</v>
      </c>
      <c r="S5920">
        <v>2.9772949999999998</v>
      </c>
      <c r="T5920">
        <v>-0.28605449999999999</v>
      </c>
      <c r="U5920">
        <v>-0.37884519999999999</v>
      </c>
      <c r="V5920">
        <v>7.7052289999999996E-2</v>
      </c>
      <c r="W5920">
        <v>1.740732E-2</v>
      </c>
      <c r="X5920">
        <v>0.99687510000000001</v>
      </c>
      <c r="Y5920">
        <v>6.5606010000000006E-2</v>
      </c>
      <c r="Z5920">
        <v>2.6697230000000001E-3</v>
      </c>
      <c r="AA5920">
        <v>0.99784200000000001</v>
      </c>
      <c r="AB5920">
        <v>27</v>
      </c>
      <c r="AC5920">
        <v>0.58279999999996301</v>
      </c>
      <c r="AD5920">
        <v>-8.10840000000001E-2</v>
      </c>
      <c r="AE5920">
        <v>-9.1439999999998606E-2</v>
      </c>
      <c r="AF5920">
        <v>5.4771255330811397E-2</v>
      </c>
      <c r="AG5920">
        <v>-8.10840000000001E-2</v>
      </c>
      <c r="AH5920">
        <v>0.57639521153072004</v>
      </c>
      <c r="AI5920">
        <v>97.972053177285702</v>
      </c>
      <c r="AJ5920">
        <v>84.571836846894897</v>
      </c>
      <c r="AK5920">
        <v>0.58464172391478897</v>
      </c>
      <c r="AL5920">
        <v>89.002583672605198</v>
      </c>
      <c r="AM5920">
        <v>85.580177872217504</v>
      </c>
      <c r="AN5920">
        <v>1.0000000175919099</v>
      </c>
    </row>
    <row r="5921" spans="1:40" x14ac:dyDescent="0.25">
      <c r="A5921" t="str">
        <f>"20190312154414142"</f>
        <v>20190312154414142</v>
      </c>
      <c r="B5921" t="str">
        <f>"1552376654133251"</f>
        <v>1552376654133251</v>
      </c>
      <c r="C5921" t="s">
        <v>40</v>
      </c>
      <c r="D5921">
        <v>5.3095359999999996</v>
      </c>
      <c r="E5921">
        <v>0.4973861</v>
      </c>
      <c r="F5921" t="s">
        <v>41</v>
      </c>
      <c r="G5921">
        <v>-339.12040000000002</v>
      </c>
      <c r="H5921">
        <v>1.030594</v>
      </c>
      <c r="I5921">
        <v>22.950500000000002</v>
      </c>
      <c r="J5921">
        <v>-339.67059999999998</v>
      </c>
      <c r="K5921">
        <v>1.110366</v>
      </c>
      <c r="L5921">
        <v>23.039670000000001</v>
      </c>
      <c r="M5921">
        <v>0.99804939999999998</v>
      </c>
      <c r="N5921">
        <v>0</v>
      </c>
      <c r="O5921">
        <v>-6.0935469999999999E-2</v>
      </c>
      <c r="P5921">
        <v>0.9904442</v>
      </c>
      <c r="Q5921">
        <v>3.7352380000000001E-3</v>
      </c>
      <c r="R5921">
        <v>-0.1378654</v>
      </c>
      <c r="S5921">
        <v>2.9769589999999999</v>
      </c>
      <c r="T5921">
        <v>-0.28737760000000001</v>
      </c>
      <c r="U5921">
        <v>-0.38174439999999998</v>
      </c>
      <c r="V5921">
        <v>7.7254039999999996E-2</v>
      </c>
      <c r="W5921">
        <v>1.7260000000000001E-2</v>
      </c>
      <c r="X5921">
        <v>0.99686209999999997</v>
      </c>
      <c r="Y5921">
        <v>6.6483420000000001E-2</v>
      </c>
      <c r="Z5921">
        <v>2.6485390000000001E-3</v>
      </c>
      <c r="AA5921">
        <v>0.997784</v>
      </c>
      <c r="AB5921">
        <v>27</v>
      </c>
      <c r="AC5921">
        <v>0.55019999999996105</v>
      </c>
      <c r="AD5921">
        <v>-7.9771999999999899E-2</v>
      </c>
      <c r="AE5921">
        <v>-8.9169999999999305E-2</v>
      </c>
      <c r="AF5921">
        <v>5.4360988526694999E-2</v>
      </c>
      <c r="AG5921">
        <v>-7.9771999999999899E-2</v>
      </c>
      <c r="AH5921">
        <v>0.54347925051405399</v>
      </c>
      <c r="AI5921">
        <v>98.309379981186098</v>
      </c>
      <c r="AJ5921">
        <v>84.288043297060597</v>
      </c>
      <c r="AK5921">
        <v>0.55198585561309199</v>
      </c>
      <c r="AL5921">
        <v>89.0110258072215</v>
      </c>
      <c r="AM5921">
        <v>85.568593699065403</v>
      </c>
      <c r="AN5921">
        <v>1.0000000703563601</v>
      </c>
    </row>
    <row r="5922" spans="1:40" x14ac:dyDescent="0.25">
      <c r="A5922" t="str">
        <f>"20190312154414153"</f>
        <v>20190312154414153</v>
      </c>
      <c r="B5922" t="str">
        <f>"1552376654143012"</f>
        <v>1552376654143012</v>
      </c>
      <c r="C5922" t="s">
        <v>40</v>
      </c>
      <c r="D5922">
        <v>5.420426</v>
      </c>
      <c r="E5922">
        <v>0.49800889999999998</v>
      </c>
      <c r="F5922" t="s">
        <v>41</v>
      </c>
      <c r="G5922">
        <v>-338.87670000000003</v>
      </c>
      <c r="H5922">
        <v>1.033293</v>
      </c>
      <c r="I5922">
        <v>22.93741</v>
      </c>
      <c r="J5922">
        <v>-339.5292</v>
      </c>
      <c r="K5922">
        <v>1.110393</v>
      </c>
      <c r="L5922">
        <v>23.03098</v>
      </c>
      <c r="M5922">
        <v>0.99804740000000003</v>
      </c>
      <c r="N5922">
        <v>0</v>
      </c>
      <c r="O5922">
        <v>-6.0961910000000001E-2</v>
      </c>
      <c r="P5922">
        <v>0.99042470000000005</v>
      </c>
      <c r="Q5922">
        <v>3.7848780000000002E-3</v>
      </c>
      <c r="R5922">
        <v>-0.13800379999999901</v>
      </c>
      <c r="S5922">
        <v>2.9766539999999999</v>
      </c>
      <c r="T5922">
        <v>-0.28897230000000002</v>
      </c>
      <c r="U5922">
        <v>-0.38336179999999997</v>
      </c>
      <c r="V5922">
        <v>7.7366160000000003E-2</v>
      </c>
      <c r="W5922">
        <v>1.7342E-2</v>
      </c>
      <c r="X5922">
        <v>0.99685190000000001</v>
      </c>
      <c r="Y5922">
        <v>6.7000660000000004E-2</v>
      </c>
      <c r="Z5922">
        <v>2.6409200000000002E-3</v>
      </c>
      <c r="AA5922">
        <v>0.99774940000000001</v>
      </c>
      <c r="AB5922">
        <v>27</v>
      </c>
      <c r="AC5922">
        <v>0.65249999999997499</v>
      </c>
      <c r="AD5922">
        <v>-7.7099999999999905E-2</v>
      </c>
      <c r="AE5922">
        <v>-9.3569999999999695E-2</v>
      </c>
      <c r="AF5922">
        <v>5.2891024718667502E-2</v>
      </c>
      <c r="AG5922">
        <v>-7.7099999999999905E-2</v>
      </c>
      <c r="AH5922">
        <v>0.64812414673556196</v>
      </c>
      <c r="AI5922">
        <v>96.761682003277201</v>
      </c>
      <c r="AJ5922">
        <v>85.334640575322297</v>
      </c>
      <c r="AK5922">
        <v>0.65483339871870605</v>
      </c>
      <c r="AL5922">
        <v>89.006326769576404</v>
      </c>
      <c r="AM5922">
        <v>85.562142775013101</v>
      </c>
      <c r="AN5922">
        <v>0.99999998910537702</v>
      </c>
    </row>
    <row r="5923" spans="1:40" x14ac:dyDescent="0.25">
      <c r="A5923" t="str">
        <f>"20190312154414165"</f>
        <v>20190312154414165</v>
      </c>
      <c r="B5923" t="str">
        <f>"1552376654153749"</f>
        <v>1552376654153749</v>
      </c>
      <c r="C5923" t="s">
        <v>40</v>
      </c>
      <c r="D5923">
        <v>5.3965920000000001</v>
      </c>
      <c r="E5923">
        <v>0.49800889999999998</v>
      </c>
      <c r="F5923" t="s">
        <v>41</v>
      </c>
      <c r="G5923">
        <v>-338.64060000000001</v>
      </c>
      <c r="H5923">
        <v>1.022986</v>
      </c>
      <c r="I5923">
        <v>22.91478</v>
      </c>
      <c r="J5923">
        <v>-339.37580000000003</v>
      </c>
      <c r="K5923">
        <v>1.1104160000000001</v>
      </c>
      <c r="L5923">
        <v>23.02158</v>
      </c>
      <c r="M5923">
        <v>0.99804599999999999</v>
      </c>
      <c r="N5923">
        <v>0</v>
      </c>
      <c r="O5923">
        <v>-6.0979409999999998E-2</v>
      </c>
      <c r="P5923">
        <v>0.99041279999999998</v>
      </c>
      <c r="Q5923">
        <v>3.88193E-3</v>
      </c>
      <c r="R5923">
        <v>-0.1380864</v>
      </c>
      <c r="S5923">
        <v>2.9759519999999999</v>
      </c>
      <c r="T5923">
        <v>-0.29273589999999999</v>
      </c>
      <c r="U5923">
        <v>-0.38851930000000001</v>
      </c>
      <c r="V5923">
        <v>7.7430890000000002E-2</v>
      </c>
      <c r="W5923">
        <v>1.7472640000000001E-2</v>
      </c>
      <c r="X5923">
        <v>0.99684459999999997</v>
      </c>
      <c r="Y5923">
        <v>6.8704689999999999E-2</v>
      </c>
      <c r="Z5923">
        <v>2.5938530000000001E-3</v>
      </c>
      <c r="AA5923">
        <v>0.99763369999999996</v>
      </c>
      <c r="AB5923">
        <v>27</v>
      </c>
      <c r="AC5923">
        <v>0.73520000000001995</v>
      </c>
      <c r="AD5923">
        <v>-8.7430000000000105E-2</v>
      </c>
      <c r="AE5923">
        <v>-0.10679999999999901</v>
      </c>
      <c r="AF5923">
        <v>6.0921243967502099E-2</v>
      </c>
      <c r="AG5923">
        <v>-8.7430000000000105E-2</v>
      </c>
      <c r="AH5923">
        <v>0.73023127085247297</v>
      </c>
      <c r="AI5923">
        <v>96.8040622889053</v>
      </c>
      <c r="AJ5923">
        <v>85.231009977554905</v>
      </c>
      <c r="AK5923">
        <v>0.73796552209257404</v>
      </c>
      <c r="AL5923">
        <v>88.998840521660597</v>
      </c>
      <c r="AM5923">
        <v>85.558412205140698</v>
      </c>
      <c r="AN5923">
        <v>0.99999999621196001</v>
      </c>
    </row>
    <row r="5924" spans="1:40" x14ac:dyDescent="0.25">
      <c r="A5924" t="str">
        <f>"20190312154414179"</f>
        <v>20190312154414179</v>
      </c>
      <c r="B5924" t="str">
        <f>"1552376654163510"</f>
        <v>1552376654163510</v>
      </c>
      <c r="C5924" t="s">
        <v>40</v>
      </c>
      <c r="D5924">
        <v>5.3855199999999996</v>
      </c>
      <c r="E5924">
        <v>0.5433462</v>
      </c>
      <c r="F5924" t="s">
        <v>41</v>
      </c>
      <c r="G5924">
        <v>-338.63279999999997</v>
      </c>
      <c r="H5924">
        <v>1.037399</v>
      </c>
      <c r="I5924">
        <v>22.924289999999999</v>
      </c>
      <c r="J5924">
        <v>-339.22660000000002</v>
      </c>
      <c r="K5924">
        <v>1.1104350000000001</v>
      </c>
      <c r="L5924">
        <v>23.01248</v>
      </c>
      <c r="M5924">
        <v>0.99804559999999998</v>
      </c>
      <c r="N5924">
        <v>0</v>
      </c>
      <c r="O5924">
        <v>-6.0976900000000001E-2</v>
      </c>
      <c r="P5924">
        <v>0.99042819999999998</v>
      </c>
      <c r="Q5924">
        <v>4.0596349999999998E-3</v>
      </c>
      <c r="R5924">
        <v>-0.13796939999999999</v>
      </c>
      <c r="S5924">
        <v>2.9759829999999998</v>
      </c>
      <c r="T5924">
        <v>-0.2925007</v>
      </c>
      <c r="U5924">
        <v>-0.38894649999999997</v>
      </c>
      <c r="V5924">
        <v>7.7314969999999997E-2</v>
      </c>
      <c r="W5924">
        <v>1.7680499999999998E-2</v>
      </c>
      <c r="X5924">
        <v>0.99685000000000001</v>
      </c>
      <c r="Y5924">
        <v>6.8846050000000006E-2</v>
      </c>
      <c r="Z5924">
        <v>2.5845809999999999E-3</v>
      </c>
      <c r="AA5924">
        <v>0.99762390000000001</v>
      </c>
      <c r="AB5924">
        <v>27</v>
      </c>
      <c r="AC5924">
        <v>0.59380000000004396</v>
      </c>
      <c r="AD5924">
        <v>-7.3036000000000101E-2</v>
      </c>
      <c r="AE5924">
        <v>-8.8190000000000796E-2</v>
      </c>
      <c r="AF5924">
        <v>5.1058631841513498E-2</v>
      </c>
      <c r="AG5924">
        <v>-7.3036000000000101E-2</v>
      </c>
      <c r="AH5924">
        <v>0.58934938666285797</v>
      </c>
      <c r="AI5924">
        <v>97.038348289692493</v>
      </c>
      <c r="AJ5924">
        <v>85.048509813287595</v>
      </c>
      <c r="AK5924">
        <v>0.59604860602254095</v>
      </c>
      <c r="AL5924">
        <v>88.986929249061305</v>
      </c>
      <c r="AM5924">
        <v>85.565058984616002</v>
      </c>
      <c r="AN5924">
        <v>1.0000000635831701</v>
      </c>
    </row>
    <row r="5925" spans="1:40" x14ac:dyDescent="0.25">
      <c r="A5925" t="str">
        <f>"20190312154414192"</f>
        <v>20190312154414192</v>
      </c>
      <c r="B5925" t="str">
        <f>"1552376654183027"</f>
        <v>1552376654183027</v>
      </c>
      <c r="C5925" t="s">
        <v>40</v>
      </c>
      <c r="D5925">
        <v>5.4617019999999998</v>
      </c>
      <c r="E5925">
        <v>0.55352290000000004</v>
      </c>
      <c r="F5925" t="s">
        <v>43</v>
      </c>
      <c r="G5925">
        <v>-327.19240000000002</v>
      </c>
      <c r="H5925" s="1">
        <v>-1.3931400000000001E-6</v>
      </c>
      <c r="I5925">
        <v>19.937740000000002</v>
      </c>
      <c r="J5925">
        <v>-339.06180000000001</v>
      </c>
      <c r="K5925">
        <v>1.1104560000000001</v>
      </c>
      <c r="L5925">
        <v>23.002379999999999</v>
      </c>
      <c r="M5925">
        <v>0.99804619999999999</v>
      </c>
      <c r="N5925">
        <v>0</v>
      </c>
      <c r="O5925">
        <v>-6.0962210000000003E-2</v>
      </c>
      <c r="P5925">
        <v>0.99042079999999999</v>
      </c>
      <c r="Q5925">
        <v>3.859889E-3</v>
      </c>
      <c r="R5925">
        <v>-0.13802879999999901</v>
      </c>
      <c r="S5925">
        <v>2.925964</v>
      </c>
      <c r="T5925">
        <v>-0.26999060000000003</v>
      </c>
      <c r="U5925">
        <v>-0.74758910000000001</v>
      </c>
      <c r="V5925">
        <v>7.7388709999999999E-2</v>
      </c>
      <c r="W5925">
        <v>1.751173E-2</v>
      </c>
      <c r="X5925">
        <v>0.99684720000000004</v>
      </c>
      <c r="Y5925">
        <v>0.1875156</v>
      </c>
      <c r="Z5925">
        <v>-2.9849059999999998E-3</v>
      </c>
      <c r="AA5925">
        <v>0.98225709999999999</v>
      </c>
      <c r="AB5925">
        <v>27</v>
      </c>
      <c r="AC5925">
        <v>11.869399999999899</v>
      </c>
      <c r="AD5925">
        <v>-1.1104573931399999</v>
      </c>
      <c r="AE5925">
        <v>-3.0646399999999998</v>
      </c>
      <c r="AF5925">
        <v>2.3162794696971498</v>
      </c>
      <c r="AG5925">
        <v>-1.1104573931399999</v>
      </c>
      <c r="AH5925">
        <v>11.936218832183799</v>
      </c>
      <c r="AI5925">
        <v>95.218283446893295</v>
      </c>
      <c r="AJ5925">
        <v>79.017977409016893</v>
      </c>
      <c r="AK5925">
        <v>12.2094875491766</v>
      </c>
      <c r="AL5925">
        <v>88.996600497365506</v>
      </c>
      <c r="AM5925">
        <v>85.560833591038204</v>
      </c>
      <c r="AN5925">
        <v>1.00000000663544</v>
      </c>
    </row>
    <row r="5926" spans="1:40" x14ac:dyDescent="0.25">
      <c r="A5926" t="str">
        <f>"20190312154414207"</f>
        <v>20190312154414207</v>
      </c>
      <c r="B5926" t="str">
        <f>"1552376654193764"</f>
        <v>1552376654193764</v>
      </c>
      <c r="C5926" t="s">
        <v>40</v>
      </c>
      <c r="D5926">
        <v>5.4730670000000003</v>
      </c>
      <c r="E5926">
        <v>0.55609779999999998</v>
      </c>
      <c r="F5926" t="s">
        <v>43</v>
      </c>
      <c r="G5926">
        <v>-328.87520000000001</v>
      </c>
      <c r="H5926" s="1">
        <v>-6.4442350000000004E-7</v>
      </c>
      <c r="I5926">
        <v>20.11328</v>
      </c>
      <c r="J5926">
        <v>-338.8759</v>
      </c>
      <c r="K5926">
        <v>1.1104750000000001</v>
      </c>
      <c r="L5926">
        <v>22.991060000000001</v>
      </c>
      <c r="M5926">
        <v>0.99804809999999999</v>
      </c>
      <c r="N5926">
        <v>0</v>
      </c>
      <c r="O5926">
        <v>-6.092376E-2</v>
      </c>
      <c r="P5926">
        <v>0.99038040000000005</v>
      </c>
      <c r="Q5926">
        <v>3.433569E-3</v>
      </c>
      <c r="R5926">
        <v>-0.13833000000000001</v>
      </c>
      <c r="S5926">
        <v>2.9150390000000002</v>
      </c>
      <c r="T5926">
        <v>-0.3177702</v>
      </c>
      <c r="U5926">
        <v>-0.82675169999999998</v>
      </c>
      <c r="V5926">
        <v>7.7728989999999998E-2</v>
      </c>
      <c r="W5926">
        <v>1.7117919999999998E-2</v>
      </c>
      <c r="X5926">
        <v>0.99682749999999998</v>
      </c>
      <c r="Y5926">
        <v>0.21289959999999999</v>
      </c>
      <c r="Z5926">
        <v>-4.8693599999999997E-3</v>
      </c>
      <c r="AA5926">
        <v>0.97706190000000004</v>
      </c>
      <c r="AB5926">
        <v>27</v>
      </c>
      <c r="AC5926">
        <v>10.000699999999901</v>
      </c>
      <c r="AD5926">
        <v>-1.1104756444235</v>
      </c>
      <c r="AE5926">
        <v>-2.87778</v>
      </c>
      <c r="AF5926">
        <v>2.2376160695041101</v>
      </c>
      <c r="AG5926">
        <v>-1.1104756444235</v>
      </c>
      <c r="AH5926">
        <v>10.0431008794791</v>
      </c>
      <c r="AI5926">
        <v>96.159789022356406</v>
      </c>
      <c r="AJ5926">
        <v>77.439578061796993</v>
      </c>
      <c r="AK5926">
        <v>10.3491041692871</v>
      </c>
      <c r="AL5926">
        <v>89.019167467892203</v>
      </c>
      <c r="AM5926">
        <v>85.541305244575</v>
      </c>
      <c r="AN5926">
        <v>0.99999994191389596</v>
      </c>
    </row>
    <row r="5927" spans="1:40" x14ac:dyDescent="0.25">
      <c r="A5927" t="str">
        <f>"20190312154414220"</f>
        <v>20190312154414220</v>
      </c>
      <c r="B5927" t="str">
        <f>"1552376654213284"</f>
        <v>1552376654213284</v>
      </c>
      <c r="C5927" t="s">
        <v>40</v>
      </c>
      <c r="D5927">
        <v>5.4292749999999996</v>
      </c>
      <c r="E5927">
        <v>0.55846640000000003</v>
      </c>
      <c r="F5927" t="s">
        <v>43</v>
      </c>
      <c r="G5927">
        <v>-328.8</v>
      </c>
      <c r="H5927" s="1">
        <v>-6.6490699999999996E-7</v>
      </c>
      <c r="I5927">
        <v>20.05667</v>
      </c>
      <c r="J5927">
        <v>-338.73099999999999</v>
      </c>
      <c r="K5927">
        <v>1.110492</v>
      </c>
      <c r="L5927">
        <v>22.982240000000001</v>
      </c>
      <c r="M5927">
        <v>0.99805100000000002</v>
      </c>
      <c r="N5927">
        <v>0</v>
      </c>
      <c r="O5927">
        <v>-6.087364E-2</v>
      </c>
      <c r="P5927">
        <v>0.99037030000000004</v>
      </c>
      <c r="Q5927">
        <v>3.2083490000000001E-3</v>
      </c>
      <c r="R5927">
        <v>-0.13840839999999999</v>
      </c>
      <c r="S5927">
        <v>2.9118040000000001</v>
      </c>
      <c r="T5927">
        <v>-0.32091009999999998</v>
      </c>
      <c r="U5927">
        <v>-0.84799190000000002</v>
      </c>
      <c r="V5927">
        <v>7.7857430000000005E-2</v>
      </c>
      <c r="W5927">
        <v>1.6916250000000001E-2</v>
      </c>
      <c r="X5927">
        <v>0.99682099999999996</v>
      </c>
      <c r="Y5927">
        <v>0.2197566</v>
      </c>
      <c r="Z5927">
        <v>-5.2924369999999997E-3</v>
      </c>
      <c r="AA5927">
        <v>0.97554039999999997</v>
      </c>
      <c r="AB5927">
        <v>27</v>
      </c>
      <c r="AC5927">
        <v>9.9309999999999796</v>
      </c>
      <c r="AD5927">
        <v>-1.1104926649069999</v>
      </c>
      <c r="AE5927">
        <v>-2.92557</v>
      </c>
      <c r="AF5927">
        <v>2.2892119633905201</v>
      </c>
      <c r="AG5927">
        <v>-1.1104926649069999</v>
      </c>
      <c r="AH5927">
        <v>9.9759091331770193</v>
      </c>
      <c r="AI5927">
        <v>96.192223603707404</v>
      </c>
      <c r="AJ5927">
        <v>77.075861133634206</v>
      </c>
      <c r="AK5927">
        <v>10.295263396608499</v>
      </c>
      <c r="AL5927">
        <v>89.030724059932098</v>
      </c>
      <c r="AM5927">
        <v>85.533938439628002</v>
      </c>
      <c r="AN5927">
        <v>1.00000002248063</v>
      </c>
    </row>
    <row r="5928" spans="1:40" x14ac:dyDescent="0.25">
      <c r="A5928" t="str">
        <f>"20190312154414232"</f>
        <v>20190312154414232</v>
      </c>
      <c r="B5928" t="str">
        <f>"1552376654223043"</f>
        <v>1552376654223043</v>
      </c>
      <c r="C5928" t="s">
        <v>40</v>
      </c>
      <c r="D5928">
        <v>5.406968</v>
      </c>
      <c r="E5928">
        <v>0.55973459999999997</v>
      </c>
      <c r="F5928" t="s">
        <v>43</v>
      </c>
      <c r="G5928">
        <v>-328.92700000000002</v>
      </c>
      <c r="H5928" s="1">
        <v>-6.059263E-7</v>
      </c>
      <c r="I5928">
        <v>20.060749999999999</v>
      </c>
      <c r="J5928">
        <v>-338.577</v>
      </c>
      <c r="K5928">
        <v>1.110511</v>
      </c>
      <c r="L5928">
        <v>22.972899999999999</v>
      </c>
      <c r="M5928">
        <v>0.99805429999999995</v>
      </c>
      <c r="N5928">
        <v>0</v>
      </c>
      <c r="O5928">
        <v>-6.0813029999999997E-2</v>
      </c>
      <c r="P5928">
        <v>0.9903322</v>
      </c>
      <c r="Q5928">
        <v>2.8375919999999999E-3</v>
      </c>
      <c r="R5928">
        <v>-0.13868720000000001</v>
      </c>
      <c r="S5928">
        <v>2.9090880000000001</v>
      </c>
      <c r="T5928">
        <v>-0.32951279999999999</v>
      </c>
      <c r="U5928">
        <v>-0.86688229999999999</v>
      </c>
      <c r="V5928">
        <v>7.8197760000000005E-2</v>
      </c>
      <c r="W5928">
        <v>1.6569159999999999E-2</v>
      </c>
      <c r="X5928">
        <v>0.99680020000000003</v>
      </c>
      <c r="Y5928">
        <v>0.22580130000000001</v>
      </c>
      <c r="Z5928">
        <v>-5.7745160000000004E-3</v>
      </c>
      <c r="AA5928">
        <v>0.97415629999999998</v>
      </c>
      <c r="AB5928">
        <v>27</v>
      </c>
      <c r="AC5928">
        <v>9.6500000000000306</v>
      </c>
      <c r="AD5928">
        <v>-1.1105116059263</v>
      </c>
      <c r="AE5928">
        <v>-2.91215</v>
      </c>
      <c r="AF5928">
        <v>2.2920375376836599</v>
      </c>
      <c r="AG5928">
        <v>-1.1105116059263</v>
      </c>
      <c r="AH5928">
        <v>9.6916149245957204</v>
      </c>
      <c r="AI5928">
        <v>96.362699904604298</v>
      </c>
      <c r="AJ5928">
        <v>76.694194795216902</v>
      </c>
      <c r="AK5928">
        <v>10.020682209694799</v>
      </c>
      <c r="AL5928">
        <v>89.050613649324504</v>
      </c>
      <c r="AM5928">
        <v>85.514402692931895</v>
      </c>
      <c r="AN5928">
        <v>1.0000000327260801</v>
      </c>
    </row>
    <row r="5929" spans="1:40" x14ac:dyDescent="0.25">
      <c r="A5929" t="str">
        <f>"20190312154414253"</f>
        <v>20190312154414253</v>
      </c>
      <c r="B5929" t="str">
        <f>"1552376654243539"</f>
        <v>1552376654243539</v>
      </c>
      <c r="C5929" t="s">
        <v>40</v>
      </c>
      <c r="D5929">
        <v>5.4283469999999996</v>
      </c>
      <c r="E5929">
        <v>0.56155409999999994</v>
      </c>
      <c r="F5929" t="s">
        <v>43</v>
      </c>
      <c r="G5929">
        <v>-328.79739999999998</v>
      </c>
      <c r="H5929" s="1">
        <v>-6.5634830000000005E-7</v>
      </c>
      <c r="I5929">
        <v>20.020029999999998</v>
      </c>
      <c r="J5929">
        <v>-338.32690000000002</v>
      </c>
      <c r="K5929">
        <v>1.110535</v>
      </c>
      <c r="L5929">
        <v>22.957789999999999</v>
      </c>
      <c r="M5929">
        <v>0.99806139999999999</v>
      </c>
      <c r="N5929">
        <v>0</v>
      </c>
      <c r="O5929">
        <v>-6.068962E-2</v>
      </c>
      <c r="P5929">
        <v>0.99028640000000001</v>
      </c>
      <c r="Q5929">
        <v>2.2116140000000002E-3</v>
      </c>
      <c r="R5929">
        <v>-0.13902690000000001</v>
      </c>
      <c r="S5929">
        <v>2.9072879999999999</v>
      </c>
      <c r="T5929">
        <v>-0.33013629999999999</v>
      </c>
      <c r="U5929">
        <v>-0.87783809999999995</v>
      </c>
      <c r="V5929">
        <v>7.8661640000000005E-2</v>
      </c>
      <c r="W5929">
        <v>1.5977959999999999E-2</v>
      </c>
      <c r="X5929">
        <v>0.99677329999999997</v>
      </c>
      <c r="Y5929">
        <v>0.22942760000000001</v>
      </c>
      <c r="Z5929">
        <v>-6.0003219999999998E-3</v>
      </c>
      <c r="AA5929">
        <v>0.97330729999999999</v>
      </c>
      <c r="AB5929">
        <v>27</v>
      </c>
      <c r="AC5929">
        <v>9.5295000000000396</v>
      </c>
      <c r="AD5929">
        <v>-1.1105356563483</v>
      </c>
      <c r="AE5929">
        <v>-2.9377599999999999</v>
      </c>
      <c r="AF5929">
        <v>2.3251107016899599</v>
      </c>
      <c r="AG5929">
        <v>-1.1105356563483</v>
      </c>
      <c r="AH5929">
        <v>9.5715319794465401</v>
      </c>
      <c r="AI5929">
        <v>96.432703689578602</v>
      </c>
      <c r="AJ5929">
        <v>76.346213095870894</v>
      </c>
      <c r="AK5929">
        <v>9.9122981014849394</v>
      </c>
      <c r="AL5929">
        <v>89.0844913516666</v>
      </c>
      <c r="AM5929">
        <v>85.487781796464503</v>
      </c>
      <c r="AN5929">
        <v>0.99999998020307002</v>
      </c>
    </row>
    <row r="5930" spans="1:40" x14ac:dyDescent="0.25">
      <c r="A5930" t="str">
        <f>"20190312154414265"</f>
        <v>20190312154414265</v>
      </c>
      <c r="B5930" t="str">
        <f>"1552376654253300"</f>
        <v>1552376654253300</v>
      </c>
      <c r="C5930" t="s">
        <v>40</v>
      </c>
      <c r="D5930">
        <v>5.4694390000000004</v>
      </c>
      <c r="E5930">
        <v>0.56230619999999998</v>
      </c>
      <c r="F5930" t="s">
        <v>43</v>
      </c>
      <c r="G5930">
        <v>-328.54919999999998</v>
      </c>
      <c r="H5930" s="1">
        <v>-7.5500069999999997E-7</v>
      </c>
      <c r="I5930">
        <v>19.949719999999999</v>
      </c>
      <c r="J5930">
        <v>-338.17630000000003</v>
      </c>
      <c r="K5930">
        <v>1.1105510000000001</v>
      </c>
      <c r="L5930">
        <v>22.948699999999999</v>
      </c>
      <c r="M5930">
        <v>0.99806629999999996</v>
      </c>
      <c r="N5930">
        <v>0</v>
      </c>
      <c r="O5930">
        <v>-6.0605319999999997E-2</v>
      </c>
      <c r="P5930">
        <v>0.99029370000000005</v>
      </c>
      <c r="Q5930">
        <v>1.765284E-3</v>
      </c>
      <c r="R5930">
        <v>-0.13897950000000001</v>
      </c>
      <c r="S5930">
        <v>2.9046940000000001</v>
      </c>
      <c r="T5930">
        <v>-0.32990910000000001</v>
      </c>
      <c r="U5930">
        <v>-0.89361569999999901</v>
      </c>
      <c r="V5930">
        <v>7.8697810000000007E-2</v>
      </c>
      <c r="W5930">
        <v>1.555076E-2</v>
      </c>
      <c r="X5930">
        <v>0.99677720000000003</v>
      </c>
      <c r="Y5930">
        <v>0.23455519999999999</v>
      </c>
      <c r="Z5930">
        <v>-6.2900059999999999E-3</v>
      </c>
      <c r="AA5930">
        <v>0.97208240000000001</v>
      </c>
      <c r="AB5930">
        <v>27</v>
      </c>
      <c r="AC5930">
        <v>9.6271000000000395</v>
      </c>
      <c r="AD5930">
        <v>-1.11055175500069</v>
      </c>
      <c r="AE5930">
        <v>-2.9989799999999902</v>
      </c>
      <c r="AF5930">
        <v>2.3810745168322298</v>
      </c>
      <c r="AG5930">
        <v>-1.11055175500069</v>
      </c>
      <c r="AH5930">
        <v>9.6738273277060802</v>
      </c>
      <c r="AI5930">
        <v>96.360650890511806</v>
      </c>
      <c r="AJ5930">
        <v>76.172327903051595</v>
      </c>
      <c r="AK5930">
        <v>10.0242593851873</v>
      </c>
      <c r="AL5930">
        <v>89.108971150206202</v>
      </c>
      <c r="AM5930">
        <v>85.485733163023099</v>
      </c>
      <c r="AN5930">
        <v>0.99999997893760595</v>
      </c>
    </row>
    <row r="5931" spans="1:40" x14ac:dyDescent="0.25">
      <c r="A5931" t="str">
        <f>"20190312154414277"</f>
        <v>20190312154414277</v>
      </c>
      <c r="B5931" t="str">
        <f>"1552376654263059"</f>
        <v>1552376654263059</v>
      </c>
      <c r="C5931" t="s">
        <v>40</v>
      </c>
      <c r="D5931">
        <v>5.4493269999999896</v>
      </c>
      <c r="E5931">
        <v>0.56291939999999996</v>
      </c>
      <c r="F5931" t="s">
        <v>43</v>
      </c>
      <c r="G5931">
        <v>-328.46050000000002</v>
      </c>
      <c r="H5931" s="1">
        <v>-7.9398330000000003E-7</v>
      </c>
      <c r="I5931">
        <v>19.938770000000002</v>
      </c>
      <c r="J5931">
        <v>-338.0333</v>
      </c>
      <c r="K5931">
        <v>1.1105640000000001</v>
      </c>
      <c r="L5931">
        <v>22.94012</v>
      </c>
      <c r="M5931">
        <v>0.99807159999999995</v>
      </c>
      <c r="N5931">
        <v>0</v>
      </c>
      <c r="O5931">
        <v>-6.0517139999999997E-2</v>
      </c>
      <c r="P5931">
        <v>0.99029449999999997</v>
      </c>
      <c r="Q5931">
        <v>1.521877E-3</v>
      </c>
      <c r="R5931">
        <v>-0.1389782</v>
      </c>
      <c r="S5931">
        <v>2.9037169999999999</v>
      </c>
      <c r="T5931">
        <v>-0.3319066</v>
      </c>
      <c r="U5931">
        <v>-0.89956669999999905</v>
      </c>
      <c r="V5931">
        <v>7.8784110000000004E-2</v>
      </c>
      <c r="W5931">
        <v>1.5322870000000001E-2</v>
      </c>
      <c r="X5931">
        <v>0.99677400000000005</v>
      </c>
      <c r="Y5931">
        <v>0.23652690000000001</v>
      </c>
      <c r="Z5931">
        <v>-6.4476669999999998E-3</v>
      </c>
      <c r="AA5931">
        <v>0.97160360000000001</v>
      </c>
      <c r="AB5931">
        <v>27</v>
      </c>
      <c r="AC5931">
        <v>9.5727999999999707</v>
      </c>
      <c r="AD5931">
        <v>-1.1105647939833001</v>
      </c>
      <c r="AE5931">
        <v>-3.0013499999999902</v>
      </c>
      <c r="AF5931">
        <v>2.3872204815294298</v>
      </c>
      <c r="AG5931">
        <v>-1.1105647939833001</v>
      </c>
      <c r="AH5931">
        <v>9.6190271726721601</v>
      </c>
      <c r="AI5931">
        <v>96.393647477802006</v>
      </c>
      <c r="AJ5931">
        <v>76.062109326971395</v>
      </c>
      <c r="AK5931">
        <v>9.9728561374199192</v>
      </c>
      <c r="AL5931">
        <v>89.122029918770593</v>
      </c>
      <c r="AM5931">
        <v>85.480788865776205</v>
      </c>
      <c r="AN5931">
        <v>1.0000000667047599</v>
      </c>
    </row>
    <row r="5932" spans="1:40" x14ac:dyDescent="0.25">
      <c r="A5932" t="str">
        <f>"20190312154414292"</f>
        <v>20190312154414292</v>
      </c>
      <c r="B5932" t="str">
        <f>"1552376654283555"</f>
        <v>1552376654283555</v>
      </c>
      <c r="C5932" t="s">
        <v>40</v>
      </c>
      <c r="D5932">
        <v>5.458348</v>
      </c>
      <c r="E5932">
        <v>0.56377189999999999</v>
      </c>
      <c r="F5932" t="s">
        <v>43</v>
      </c>
      <c r="G5932">
        <v>-328.35050000000001</v>
      </c>
      <c r="H5932" s="1">
        <v>-8.4203940000000004E-7</v>
      </c>
      <c r="I5932">
        <v>19.923919999999999</v>
      </c>
      <c r="J5932">
        <v>-337.8657</v>
      </c>
      <c r="K5932">
        <v>1.1105769999999999</v>
      </c>
      <c r="L5932">
        <v>22.930050000000001</v>
      </c>
      <c r="M5932">
        <v>0.99807780000000001</v>
      </c>
      <c r="N5932">
        <v>0</v>
      </c>
      <c r="O5932">
        <v>-6.0409310000000001E-2</v>
      </c>
      <c r="P5932">
        <v>0.99027160000000003</v>
      </c>
      <c r="Q5932">
        <v>1.2426990000000001E-3</v>
      </c>
      <c r="R5932">
        <v>-0.1391425</v>
      </c>
      <c r="S5932">
        <v>2.9030149999999999</v>
      </c>
      <c r="T5932">
        <v>-0.33296189999999998</v>
      </c>
      <c r="U5932">
        <v>-0.90429689999999996</v>
      </c>
      <c r="V5932">
        <v>7.9056979999999999E-2</v>
      </c>
      <c r="W5932">
        <v>1.506064E-2</v>
      </c>
      <c r="X5932">
        <v>0.99675630000000004</v>
      </c>
      <c r="Y5932">
        <v>0.23812510000000001</v>
      </c>
      <c r="Z5932">
        <v>-6.5693219999999998E-3</v>
      </c>
      <c r="AA5932">
        <v>0.97121230000000003</v>
      </c>
      <c r="AB5932">
        <v>27</v>
      </c>
      <c r="AC5932">
        <v>9.5151999999999894</v>
      </c>
      <c r="AD5932">
        <v>-1.1105778420393999</v>
      </c>
      <c r="AE5932">
        <v>-3.00612999999999</v>
      </c>
      <c r="AF5932">
        <v>2.3960981784185802</v>
      </c>
      <c r="AG5932">
        <v>-1.1105778420393999</v>
      </c>
      <c r="AH5932">
        <v>9.5610084142964702</v>
      </c>
      <c r="AI5932">
        <v>96.428551741122007</v>
      </c>
      <c r="AJ5932">
        <v>75.930788589971897</v>
      </c>
      <c r="AK5932">
        <v>9.9190499304166</v>
      </c>
      <c r="AL5932">
        <v>89.137056245237503</v>
      </c>
      <c r="AM5932">
        <v>85.4651214892517</v>
      </c>
      <c r="AN5932">
        <v>0.99999997527680895</v>
      </c>
    </row>
    <row r="5933" spans="1:40" x14ac:dyDescent="0.25">
      <c r="A5933" t="str">
        <f>"20190312154414310"</f>
        <v>20190312154414310</v>
      </c>
      <c r="B5933" t="str">
        <f>"1552376654303075"</f>
        <v>1552376654303075</v>
      </c>
      <c r="C5933" t="s">
        <v>40</v>
      </c>
      <c r="D5933">
        <v>5.4294359999999999</v>
      </c>
      <c r="E5933">
        <v>0.56457419999999903</v>
      </c>
      <c r="F5933" t="s">
        <v>43</v>
      </c>
      <c r="G5933">
        <v>-328.37970000000001</v>
      </c>
      <c r="H5933" s="1">
        <v>-8.3513020000000003E-7</v>
      </c>
      <c r="I5933">
        <v>19.949780000000001</v>
      </c>
      <c r="J5933">
        <v>-337.65699999999998</v>
      </c>
      <c r="K5933">
        <v>1.11059</v>
      </c>
      <c r="L5933">
        <v>22.917570000000001</v>
      </c>
      <c r="M5933">
        <v>0.99808600000000003</v>
      </c>
      <c r="N5933">
        <v>0</v>
      </c>
      <c r="O5933">
        <v>-6.026683E-2</v>
      </c>
      <c r="P5933">
        <v>0.99025549999999996</v>
      </c>
      <c r="Q5933">
        <v>1.474677E-3</v>
      </c>
      <c r="R5933">
        <v>-0.1392553</v>
      </c>
      <c r="S5933">
        <v>2.9018250000000001</v>
      </c>
      <c r="T5933">
        <v>-0.33973229999999999</v>
      </c>
      <c r="U5933">
        <v>-0.91168210000000005</v>
      </c>
      <c r="V5933">
        <v>7.9312209999999994E-2</v>
      </c>
      <c r="W5933">
        <v>1.531095E-2</v>
      </c>
      <c r="X5933">
        <v>0.99673219999999996</v>
      </c>
      <c r="Y5933">
        <v>0.24056830000000001</v>
      </c>
      <c r="Z5933">
        <v>-6.8576829999999998E-3</v>
      </c>
      <c r="AA5933">
        <v>0.97060800000000003</v>
      </c>
      <c r="AB5933">
        <v>27</v>
      </c>
      <c r="AC5933">
        <v>9.2772999999999595</v>
      </c>
      <c r="AD5933">
        <v>-1.1105908351301901</v>
      </c>
      <c r="AE5933">
        <v>-2.9677899999999999</v>
      </c>
      <c r="AF5933">
        <v>2.3723856147253501</v>
      </c>
      <c r="AG5933">
        <v>-1.1105908351301901</v>
      </c>
      <c r="AH5933">
        <v>9.3181714276050105</v>
      </c>
      <c r="AI5933">
        <v>96.588518395039102</v>
      </c>
      <c r="AJ5933">
        <v>75.716089537384704</v>
      </c>
      <c r="AK5933">
        <v>9.6793566037348402</v>
      </c>
      <c r="AL5933">
        <v>89.122712875472899</v>
      </c>
      <c r="AM5933">
        <v>85.450432769302097</v>
      </c>
      <c r="AN5933">
        <v>0.99999996518091205</v>
      </c>
    </row>
    <row r="5934" spans="1:40" x14ac:dyDescent="0.25">
      <c r="A5934" t="str">
        <f>"20190312154414325"</f>
        <v>20190312154414325</v>
      </c>
      <c r="B5934" t="str">
        <f>"1552376654313811"</f>
        <v>1552376654313811</v>
      </c>
      <c r="C5934" t="s">
        <v>40</v>
      </c>
      <c r="D5934">
        <v>5.4218019999999996</v>
      </c>
      <c r="E5934">
        <v>0.56498119999999996</v>
      </c>
      <c r="F5934" t="s">
        <v>43</v>
      </c>
      <c r="G5934">
        <v>-328.19810000000001</v>
      </c>
      <c r="H5934" s="1">
        <v>-9.1364589999999998E-7</v>
      </c>
      <c r="I5934">
        <v>19.9222</v>
      </c>
      <c r="J5934">
        <v>-337.46010000000001</v>
      </c>
      <c r="K5934">
        <v>1.1106</v>
      </c>
      <c r="L5934">
        <v>22.905819999999999</v>
      </c>
      <c r="M5934">
        <v>0.99809440000000005</v>
      </c>
      <c r="N5934">
        <v>0</v>
      </c>
      <c r="O5934">
        <v>-6.0127390000000003E-2</v>
      </c>
      <c r="P5934">
        <v>0.99028799999999995</v>
      </c>
      <c r="Q5934">
        <v>1.674034E-3</v>
      </c>
      <c r="R5934">
        <v>-0.139021799999999</v>
      </c>
      <c r="S5934">
        <v>2.9008479999999999</v>
      </c>
      <c r="T5934">
        <v>-0.34059240000000002</v>
      </c>
      <c r="U5934">
        <v>-0.91860960000000003</v>
      </c>
      <c r="V5934">
        <v>7.9216380000000003E-2</v>
      </c>
      <c r="W5934">
        <v>1.552502E-2</v>
      </c>
      <c r="X5934">
        <v>0.99673650000000003</v>
      </c>
      <c r="Y5934">
        <v>0.24288399999999999</v>
      </c>
      <c r="Z5934">
        <v>-7.0229709999999898E-3</v>
      </c>
      <c r="AA5934">
        <v>0.9700299</v>
      </c>
      <c r="AB5934">
        <v>27</v>
      </c>
      <c r="AC5934">
        <v>9.2620000000000005</v>
      </c>
      <c r="AD5934">
        <v>-1.1106009136458901</v>
      </c>
      <c r="AE5934">
        <v>-2.9836200000000002</v>
      </c>
      <c r="AF5934">
        <v>2.3901322699086398</v>
      </c>
      <c r="AG5934">
        <v>-1.1106009136458901</v>
      </c>
      <c r="AH5934">
        <v>9.3034622284594892</v>
      </c>
      <c r="AI5934">
        <v>96.595276645611705</v>
      </c>
      <c r="AJ5934">
        <v>75.591858598153706</v>
      </c>
      <c r="AK5934">
        <v>9.6695695919426594</v>
      </c>
      <c r="AL5934">
        <v>89.110446101049803</v>
      </c>
      <c r="AM5934">
        <v>85.455926328190898</v>
      </c>
      <c r="AN5934">
        <v>0.99999995576927603</v>
      </c>
    </row>
    <row r="5935" spans="1:40" x14ac:dyDescent="0.25">
      <c r="A5935" t="str">
        <f>"20190312154414343"</f>
        <v>20190312154414343</v>
      </c>
      <c r="B5935" t="str">
        <f>"1552376654333332"</f>
        <v>1552376654333332</v>
      </c>
      <c r="C5935" t="s">
        <v>40</v>
      </c>
      <c r="D5935">
        <v>5.4784259999999998</v>
      </c>
      <c r="E5935">
        <v>0.56540699999999999</v>
      </c>
      <c r="F5935" t="s">
        <v>43</v>
      </c>
      <c r="G5935">
        <v>-327.98669999999998</v>
      </c>
      <c r="H5935" s="1">
        <v>-1.0071610000000001E-6</v>
      </c>
      <c r="I5935">
        <v>19.898150000000001</v>
      </c>
      <c r="J5935">
        <v>-337.25229999999999</v>
      </c>
      <c r="K5935">
        <v>1.1106069999999999</v>
      </c>
      <c r="L5935">
        <v>22.893460000000001</v>
      </c>
      <c r="M5935">
        <v>0.99810310000000002</v>
      </c>
      <c r="N5935">
        <v>0</v>
      </c>
      <c r="O5935">
        <v>-5.9979289999999998E-2</v>
      </c>
      <c r="P5935">
        <v>0.99034990000000001</v>
      </c>
      <c r="Q5935">
        <v>2.0831360000000002E-3</v>
      </c>
      <c r="R5935">
        <v>-0.13857420000000001</v>
      </c>
      <c r="S5935">
        <v>2.9006959999999999</v>
      </c>
      <c r="T5935">
        <v>-0.34005859999999999</v>
      </c>
      <c r="U5935">
        <v>-0.920929</v>
      </c>
      <c r="V5935">
        <v>7.8913699999999906E-2</v>
      </c>
      <c r="W5935">
        <v>1.594744E-2</v>
      </c>
      <c r="X5935">
        <v>0.99675389999999997</v>
      </c>
      <c r="Y5935">
        <v>0.24374480000000001</v>
      </c>
      <c r="Z5935">
        <v>-7.077481E-3</v>
      </c>
      <c r="AA5935">
        <v>0.96981360000000005</v>
      </c>
      <c r="AB5935">
        <v>27</v>
      </c>
      <c r="AC5935">
        <v>9.2655999999999992</v>
      </c>
      <c r="AD5935">
        <v>-1.1106080071609901</v>
      </c>
      <c r="AE5935">
        <v>-2.9953099999999999</v>
      </c>
      <c r="AF5935">
        <v>2.4028624374732899</v>
      </c>
      <c r="AG5935">
        <v>-1.1106080071609901</v>
      </c>
      <c r="AH5935">
        <v>9.3075179003837203</v>
      </c>
      <c r="AI5935">
        <v>96.590488288570498</v>
      </c>
      <c r="AJ5935">
        <v>75.524382781254999</v>
      </c>
      <c r="AK5935">
        <v>9.6766258326419603</v>
      </c>
      <c r="AL5935">
        <v>89.086240273545698</v>
      </c>
      <c r="AM5935">
        <v>85.473295295286803</v>
      </c>
      <c r="AN5935">
        <v>1.00000001502772</v>
      </c>
    </row>
    <row r="5936" spans="1:40" x14ac:dyDescent="0.25">
      <c r="A5936" t="str">
        <f>"20190312154414356"</f>
        <v>20190312154414356</v>
      </c>
      <c r="B5936" t="str">
        <f>"1552376654344068"</f>
        <v>1552376654344068</v>
      </c>
      <c r="C5936" t="s">
        <v>40</v>
      </c>
      <c r="D5936">
        <v>5.4681639999999998</v>
      </c>
      <c r="E5936">
        <v>0.56570469999999995</v>
      </c>
      <c r="F5936" t="s">
        <v>43</v>
      </c>
      <c r="G5936">
        <v>-327.75639999999999</v>
      </c>
      <c r="H5936" s="1">
        <v>-1.109026E-6</v>
      </c>
      <c r="I5936">
        <v>19.87189</v>
      </c>
      <c r="J5936">
        <v>-337.08949999999999</v>
      </c>
      <c r="K5936">
        <v>1.110608</v>
      </c>
      <c r="L5936">
        <v>22.883790000000001</v>
      </c>
      <c r="M5936">
        <v>0.99810980000000005</v>
      </c>
      <c r="N5936">
        <v>0</v>
      </c>
      <c r="O5936">
        <v>-5.9863600000000003E-2</v>
      </c>
      <c r="P5936">
        <v>0.99041029999999997</v>
      </c>
      <c r="Q5936">
        <v>2.175298E-3</v>
      </c>
      <c r="R5936">
        <v>-0.13814019999999999</v>
      </c>
      <c r="S5936">
        <v>2.9008180000000001</v>
      </c>
      <c r="T5936">
        <v>-0.3392696</v>
      </c>
      <c r="U5936">
        <v>-0.92303469999999999</v>
      </c>
      <c r="V5936">
        <v>7.8592380000000003E-2</v>
      </c>
      <c r="W5936">
        <v>1.6049000000000001E-2</v>
      </c>
      <c r="X5936">
        <v>0.99677769999999999</v>
      </c>
      <c r="Y5936">
        <v>0.24448510000000001</v>
      </c>
      <c r="Z5936">
        <v>-7.1153650000000002E-3</v>
      </c>
      <c r="AA5936">
        <v>0.96962700000000002</v>
      </c>
      <c r="AB5936">
        <v>27</v>
      </c>
      <c r="AC5936">
        <v>9.3331</v>
      </c>
      <c r="AD5936">
        <v>-1.110609109026</v>
      </c>
      <c r="AE5936">
        <v>-3.0118999999999998</v>
      </c>
      <c r="AF5936">
        <v>2.4167365842958799</v>
      </c>
      <c r="AG5936">
        <v>-1.110609109026</v>
      </c>
      <c r="AH5936">
        <v>9.37642967411856</v>
      </c>
      <c r="AI5936">
        <v>96.543134841838906</v>
      </c>
      <c r="AJ5936">
        <v>75.546821132058298</v>
      </c>
      <c r="AK5936">
        <v>9.7463583837563004</v>
      </c>
      <c r="AL5936">
        <v>89.080420608892794</v>
      </c>
      <c r="AM5936">
        <v>85.491758147852195</v>
      </c>
      <c r="AN5936">
        <v>1.0000000579061701</v>
      </c>
    </row>
    <row r="5937" spans="1:40" x14ac:dyDescent="0.25">
      <c r="A5937" t="str">
        <f>"20190312154414371"</f>
        <v>20190312154414371</v>
      </c>
      <c r="B5937" t="str">
        <f>"1552376654363588"</f>
        <v>1552376654363588</v>
      </c>
      <c r="C5937" t="s">
        <v>40</v>
      </c>
      <c r="D5937">
        <v>5.4595960000000003</v>
      </c>
      <c r="E5937">
        <v>0.56616299999999997</v>
      </c>
      <c r="F5937" t="s">
        <v>43</v>
      </c>
      <c r="G5937">
        <v>-327.58940000000001</v>
      </c>
      <c r="H5937" s="1">
        <v>-1.1840969999999999E-6</v>
      </c>
      <c r="I5937">
        <v>19.857250000000001</v>
      </c>
      <c r="J5937">
        <v>-336.92689999999999</v>
      </c>
      <c r="K5937">
        <v>1.1106100000000001</v>
      </c>
      <c r="L5937">
        <v>22.874179999999999</v>
      </c>
      <c r="M5937">
        <v>0.99811660000000002</v>
      </c>
      <c r="N5937">
        <v>0</v>
      </c>
      <c r="O5937">
        <v>-5.974923E-2</v>
      </c>
      <c r="P5937">
        <v>0.9904212</v>
      </c>
      <c r="Q5937">
        <v>2.1413600000000001E-3</v>
      </c>
      <c r="R5937">
        <v>-0.13806289999999999</v>
      </c>
      <c r="S5937">
        <v>2.900909</v>
      </c>
      <c r="T5937">
        <v>-0.3391284</v>
      </c>
      <c r="U5937">
        <v>-0.92416379999999998</v>
      </c>
      <c r="V5937">
        <v>7.8628779999999995E-2</v>
      </c>
      <c r="W5937">
        <v>1.6023249999999999E-2</v>
      </c>
      <c r="X5937">
        <v>0.99677519999999997</v>
      </c>
      <c r="Y5937">
        <v>0.2449277</v>
      </c>
      <c r="Z5937">
        <v>-7.1499170000000004E-3</v>
      </c>
      <c r="AA5937">
        <v>0.96951500000000002</v>
      </c>
      <c r="AB5937">
        <v>27</v>
      </c>
      <c r="AC5937">
        <v>9.3374999999999702</v>
      </c>
      <c r="AD5937">
        <v>-1.1106111840970001</v>
      </c>
      <c r="AE5937">
        <v>-3.0169299999999901</v>
      </c>
      <c r="AF5937">
        <v>2.42254450607218</v>
      </c>
      <c r="AG5937">
        <v>-1.1106111840970001</v>
      </c>
      <c r="AH5937">
        <v>9.3809242864045892</v>
      </c>
      <c r="AI5937">
        <v>96.539261916601802</v>
      </c>
      <c r="AJ5937">
        <v>75.520195904922204</v>
      </c>
      <c r="AK5937">
        <v>9.7521238483418191</v>
      </c>
      <c r="AL5937">
        <v>89.081896124975401</v>
      </c>
      <c r="AM5937">
        <v>85.489667506796096</v>
      </c>
      <c r="AN5937">
        <v>1.0000000144599399</v>
      </c>
    </row>
    <row r="5938" spans="1:40" x14ac:dyDescent="0.25">
      <c r="A5938" t="str">
        <f>"20190312154414388"</f>
        <v>20190312154414388</v>
      </c>
      <c r="B5938" t="str">
        <f>"1552376654384085"</f>
        <v>1552376654384085</v>
      </c>
      <c r="C5938" t="s">
        <v>40</v>
      </c>
      <c r="D5938">
        <v>5.3297879999999997</v>
      </c>
      <c r="E5938">
        <v>0.56685609999999997</v>
      </c>
      <c r="F5938" t="s">
        <v>43</v>
      </c>
      <c r="G5938">
        <v>-327.49459999999999</v>
      </c>
      <c r="H5938" s="1">
        <v>-1.22903E-6</v>
      </c>
      <c r="I5938">
        <v>19.857759999999999</v>
      </c>
      <c r="J5938">
        <v>-336.71230000000003</v>
      </c>
      <c r="K5938">
        <v>1.1106020000000001</v>
      </c>
      <c r="L5938">
        <v>22.86148</v>
      </c>
      <c r="M5938">
        <v>0.99812540000000005</v>
      </c>
      <c r="N5938">
        <v>0</v>
      </c>
      <c r="O5938">
        <v>-5.9601500000000002E-2</v>
      </c>
      <c r="P5938">
        <v>0.99052519999999999</v>
      </c>
      <c r="Q5938">
        <v>2.4509079999999999E-3</v>
      </c>
      <c r="R5938">
        <v>-0.13731119999999999</v>
      </c>
      <c r="S5938">
        <v>2.900452</v>
      </c>
      <c r="T5938">
        <v>-0.34151379999999998</v>
      </c>
      <c r="U5938">
        <v>-0.92755129999999997</v>
      </c>
      <c r="V5938">
        <v>7.8019699999999997E-2</v>
      </c>
      <c r="W5938">
        <v>1.634269E-2</v>
      </c>
      <c r="X5938">
        <v>0.99681790000000003</v>
      </c>
      <c r="Y5938">
        <v>0.24611859999999999</v>
      </c>
      <c r="Z5938">
        <v>-7.2847859999999997E-3</v>
      </c>
      <c r="AA5938">
        <v>0.96921239999999997</v>
      </c>
      <c r="AB5938">
        <v>27</v>
      </c>
      <c r="AC5938">
        <v>9.2177000000000309</v>
      </c>
      <c r="AD5938">
        <v>-1.1106032290299901</v>
      </c>
      <c r="AE5938">
        <v>-3.0037199999999999</v>
      </c>
      <c r="AF5938">
        <v>2.41721533205616</v>
      </c>
      <c r="AG5938">
        <v>-1.1106032290299901</v>
      </c>
      <c r="AH5938">
        <v>9.2588467216280996</v>
      </c>
      <c r="AI5938">
        <v>96.620155973116496</v>
      </c>
      <c r="AJ5938">
        <v>75.368326586551007</v>
      </c>
      <c r="AK5938">
        <v>9.6334112394552402</v>
      </c>
      <c r="AL5938">
        <v>89.063591189527699</v>
      </c>
      <c r="AM5938">
        <v>85.524654213415999</v>
      </c>
      <c r="AN5938">
        <v>1.0000000414324599</v>
      </c>
    </row>
    <row r="5939" spans="1:40" x14ac:dyDescent="0.25">
      <c r="A5939" t="str">
        <f>"20190312154414410"</f>
        <v>20190312154414410</v>
      </c>
      <c r="B5939" t="str">
        <f>"1552376654403604"</f>
        <v>1552376654403604</v>
      </c>
      <c r="C5939" t="s">
        <v>40</v>
      </c>
      <c r="D5939">
        <v>5.4194599999999999</v>
      </c>
      <c r="E5939">
        <v>0.56757069999999998</v>
      </c>
      <c r="F5939" t="s">
        <v>43</v>
      </c>
      <c r="G5939">
        <v>-327.32870000000003</v>
      </c>
      <c r="H5939" s="1">
        <v>-1.3053959999999999E-6</v>
      </c>
      <c r="I5939">
        <v>19.850100000000001</v>
      </c>
      <c r="J5939">
        <v>-336.45010000000002</v>
      </c>
      <c r="K5939">
        <v>1.110603</v>
      </c>
      <c r="L5939">
        <v>22.846039999999999</v>
      </c>
      <c r="M5939">
        <v>0.99813560000000001</v>
      </c>
      <c r="N5939">
        <v>0</v>
      </c>
      <c r="O5939">
        <v>-5.9425659999999998E-2</v>
      </c>
      <c r="P5939">
        <v>0.99061489999999996</v>
      </c>
      <c r="Q5939">
        <v>2.6252720000000001E-3</v>
      </c>
      <c r="R5939">
        <v>-0.136657</v>
      </c>
      <c r="S5939">
        <v>2.9005429999999999</v>
      </c>
      <c r="T5939">
        <v>-0.3432984</v>
      </c>
      <c r="U5939">
        <v>-0.93084719999999999</v>
      </c>
      <c r="V5939">
        <v>7.7536939999999999E-2</v>
      </c>
      <c r="W5939">
        <v>1.652673E-2</v>
      </c>
      <c r="X5939">
        <v>0.99685250000000003</v>
      </c>
      <c r="Y5939">
        <v>0.24725920000000001</v>
      </c>
      <c r="Z5939">
        <v>-7.40696699999999E-3</v>
      </c>
      <c r="AA5939">
        <v>0.96892109999999998</v>
      </c>
      <c r="AB5939">
        <v>27</v>
      </c>
      <c r="AC5939">
        <v>9.1213999999999906</v>
      </c>
      <c r="AD5939">
        <v>-1.110604305396</v>
      </c>
      <c r="AE5939">
        <v>-2.9959399999999898</v>
      </c>
      <c r="AF5939">
        <v>2.4162141529270902</v>
      </c>
      <c r="AG5939">
        <v>-1.110604305396</v>
      </c>
      <c r="AH5939">
        <v>9.1607459592725302</v>
      </c>
      <c r="AI5939">
        <v>96.686045865833705</v>
      </c>
      <c r="AJ5939">
        <v>75.224319710412999</v>
      </c>
      <c r="AK5939">
        <v>9.53890975354612</v>
      </c>
      <c r="AL5939">
        <v>89.053045018971702</v>
      </c>
      <c r="AM5939">
        <v>85.552388466551093</v>
      </c>
      <c r="AN5939">
        <v>1.0000000083126499</v>
      </c>
    </row>
    <row r="5940" spans="1:40" x14ac:dyDescent="0.25">
      <c r="A5940" t="str">
        <f>"20190312154414432"</f>
        <v>20190312154414432</v>
      </c>
      <c r="B5940" t="str">
        <f>"1552376654424099"</f>
        <v>1552376654424099</v>
      </c>
      <c r="C5940" t="s">
        <v>40</v>
      </c>
      <c r="D5940">
        <v>5.4739760000000004</v>
      </c>
      <c r="E5940">
        <v>0.56803909999999902</v>
      </c>
      <c r="F5940" t="s">
        <v>43</v>
      </c>
      <c r="G5940">
        <v>-327.03969999999998</v>
      </c>
      <c r="H5940" s="1">
        <v>-1.4320950000000001E-6</v>
      </c>
      <c r="I5940">
        <v>19.81278</v>
      </c>
      <c r="J5940">
        <v>-336.18799999999999</v>
      </c>
      <c r="K5940">
        <v>1.1106</v>
      </c>
      <c r="L5940">
        <v>22.830629999999999</v>
      </c>
      <c r="M5940">
        <v>0.99814579999999997</v>
      </c>
      <c r="N5940">
        <v>0</v>
      </c>
      <c r="O5940">
        <v>-5.9253739999999999E-2</v>
      </c>
      <c r="P5940">
        <v>0.9906895</v>
      </c>
      <c r="Q5940">
        <v>3.2839459999999998E-3</v>
      </c>
      <c r="R5940">
        <v>-0.1361021</v>
      </c>
      <c r="S5940">
        <v>2.90036</v>
      </c>
      <c r="T5940">
        <v>-0.34229710000000002</v>
      </c>
      <c r="U5940">
        <v>-0.93487549999999997</v>
      </c>
      <c r="V5940">
        <v>7.7150140000000006E-2</v>
      </c>
      <c r="W5940">
        <v>1.7193730000000001E-2</v>
      </c>
      <c r="X5940">
        <v>0.99687119999999996</v>
      </c>
      <c r="Y5940">
        <v>0.24866060000000001</v>
      </c>
      <c r="Z5940">
        <v>-7.4844959999999898E-3</v>
      </c>
      <c r="AA5940">
        <v>0.96856180000000003</v>
      </c>
      <c r="AB5940">
        <v>27</v>
      </c>
      <c r="AC5940">
        <v>9.1483000000000594</v>
      </c>
      <c r="AD5940">
        <v>-1.110601432095</v>
      </c>
      <c r="AE5940">
        <v>-3.0178500000000001</v>
      </c>
      <c r="AF5940">
        <v>2.4380179818477701</v>
      </c>
      <c r="AG5940">
        <v>-1.110601432095</v>
      </c>
      <c r="AH5940">
        <v>9.1889245301570206</v>
      </c>
      <c r="AI5940">
        <v>96.663156441678794</v>
      </c>
      <c r="AJ5940">
        <v>75.140569751877706</v>
      </c>
      <c r="AK5940">
        <v>9.5715046487846394</v>
      </c>
      <c r="AL5940">
        <v>89.014823271707101</v>
      </c>
      <c r="AM5940">
        <v>85.574570103456097</v>
      </c>
      <c r="AN5940">
        <v>0.99999997892138504</v>
      </c>
    </row>
    <row r="5941" spans="1:40" x14ac:dyDescent="0.25">
      <c r="A5941" t="str">
        <f>"20190312154414444"</f>
        <v>20190312154414444</v>
      </c>
      <c r="B5941" t="str">
        <f>"1552376654433860"</f>
        <v>1552376654433860</v>
      </c>
      <c r="C5941" t="s">
        <v>40</v>
      </c>
      <c r="D5941">
        <v>5.4988700000000001</v>
      </c>
      <c r="E5941">
        <v>0.56827179999999999</v>
      </c>
      <c r="F5941" t="s">
        <v>43</v>
      </c>
      <c r="G5941">
        <v>-326.73540000000003</v>
      </c>
      <c r="H5941" s="1">
        <v>-1.566102E-6</v>
      </c>
      <c r="I5941">
        <v>19.775739999999999</v>
      </c>
      <c r="J5941">
        <v>-336.03930000000003</v>
      </c>
      <c r="K5941">
        <v>1.1106009999999999</v>
      </c>
      <c r="L5941">
        <v>22.821929999999998</v>
      </c>
      <c r="M5941">
        <v>0.99815149999999997</v>
      </c>
      <c r="N5941">
        <v>0</v>
      </c>
      <c r="O5941">
        <v>-5.9157229999999998E-2</v>
      </c>
      <c r="P5941">
        <v>0.99067899999999998</v>
      </c>
      <c r="Q5941">
        <v>3.1799179999999999E-3</v>
      </c>
      <c r="R5941">
        <v>-0.136182</v>
      </c>
      <c r="S5941">
        <v>2.9005130000000001</v>
      </c>
      <c r="T5941">
        <v>-0.34078309999999901</v>
      </c>
      <c r="U5941">
        <v>-0.93737789999999999</v>
      </c>
      <c r="V5941">
        <v>7.7327080000000006E-2</v>
      </c>
      <c r="W5941">
        <v>1.7093609999999999E-2</v>
      </c>
      <c r="X5941">
        <v>0.9968593</v>
      </c>
      <c r="Y5941">
        <v>0.24950120000000001</v>
      </c>
      <c r="Z5941">
        <v>-7.5092730000000003E-3</v>
      </c>
      <c r="AA5941">
        <v>0.96834540000000002</v>
      </c>
      <c r="AB5941">
        <v>27</v>
      </c>
      <c r="AC5941">
        <v>9.3039000000000005</v>
      </c>
      <c r="AD5941">
        <v>-1.110602566102</v>
      </c>
      <c r="AE5941">
        <v>-3.0461900000000002</v>
      </c>
      <c r="AF5941">
        <v>2.45876463958448</v>
      </c>
      <c r="AG5941">
        <v>-1.110602566102</v>
      </c>
      <c r="AH5941">
        <v>9.3475262024614398</v>
      </c>
      <c r="AI5941">
        <v>96.554759963802098</v>
      </c>
      <c r="AJ5941">
        <v>75.262804330781407</v>
      </c>
      <c r="AK5941">
        <v>9.7290907960819499</v>
      </c>
      <c r="AL5941">
        <v>89.020560654137199</v>
      </c>
      <c r="AM5941">
        <v>85.564408319025304</v>
      </c>
      <c r="AN5941">
        <v>1.0000000664003199</v>
      </c>
    </row>
    <row r="5942" spans="1:40" x14ac:dyDescent="0.25">
      <c r="A5942" t="str">
        <f>"20190312154414458"</f>
        <v>20190312154414458</v>
      </c>
      <c r="B5942" t="str">
        <f>"1552376654453380"</f>
        <v>1552376654453380</v>
      </c>
      <c r="C5942" t="s">
        <v>40</v>
      </c>
      <c r="D5942">
        <v>5.3967559999999999</v>
      </c>
      <c r="E5942">
        <v>0.56884440000000003</v>
      </c>
      <c r="F5942" t="s">
        <v>43</v>
      </c>
      <c r="G5942">
        <v>-326.60140000000001</v>
      </c>
      <c r="H5942" s="1">
        <v>-1.6262509999999999E-6</v>
      </c>
      <c r="I5942">
        <v>19.7638</v>
      </c>
      <c r="J5942">
        <v>-335.8809</v>
      </c>
      <c r="K5942">
        <v>1.1105989999999999</v>
      </c>
      <c r="L5942">
        <v>22.812650000000001</v>
      </c>
      <c r="M5942">
        <v>0.99815750000000003</v>
      </c>
      <c r="N5942">
        <v>0</v>
      </c>
      <c r="O5942">
        <v>-5.9054879999999997E-2</v>
      </c>
      <c r="P5942">
        <v>0.99065829999999999</v>
      </c>
      <c r="Q5942">
        <v>3.3772950000000002E-3</v>
      </c>
      <c r="R5942">
        <v>-0.13632569999999999</v>
      </c>
      <c r="S5942">
        <v>2.9001459999999999</v>
      </c>
      <c r="T5942">
        <v>-0.34127489999999999</v>
      </c>
      <c r="U5942">
        <v>-0.9397278</v>
      </c>
      <c r="V5942">
        <v>7.7574130000000005E-2</v>
      </c>
      <c r="W5942">
        <v>1.7293840000000001E-2</v>
      </c>
      <c r="X5942">
        <v>0.99683659999999996</v>
      </c>
      <c r="Y5942">
        <v>0.25033719999999998</v>
      </c>
      <c r="Z5942">
        <v>-7.5795169999999896E-3</v>
      </c>
      <c r="AA5942">
        <v>0.96812900000000002</v>
      </c>
      <c r="AB5942">
        <v>27</v>
      </c>
      <c r="AC5942">
        <v>9.2794999999999792</v>
      </c>
      <c r="AD5942">
        <v>-1.110600626251</v>
      </c>
      <c r="AE5942">
        <v>-3.0488499999999998</v>
      </c>
      <c r="AF5942">
        <v>2.4636241224158502</v>
      </c>
      <c r="AG5942">
        <v>-1.110600626251</v>
      </c>
      <c r="AH5942">
        <v>9.3228387785547202</v>
      </c>
      <c r="AI5942">
        <v>96.569998971254194</v>
      </c>
      <c r="AJ5942">
        <v>75.197565031618396</v>
      </c>
      <c r="AK5942">
        <v>9.7066060215969401</v>
      </c>
      <c r="AL5942">
        <v>89.009086573709098</v>
      </c>
      <c r="AM5942">
        <v>85.550193078860801</v>
      </c>
      <c r="AN5942">
        <v>1.0000000148233801</v>
      </c>
    </row>
    <row r="5943" spans="1:40" x14ac:dyDescent="0.25">
      <c r="A5943" t="str">
        <f>"20190312154414470"</f>
        <v>20190312154414470</v>
      </c>
      <c r="B5943" t="str">
        <f>"1552376654464116"</f>
        <v>1552376654464116</v>
      </c>
      <c r="C5943" t="s">
        <v>40</v>
      </c>
      <c r="D5943">
        <v>5.3677650000000003</v>
      </c>
      <c r="E5943">
        <v>0.56914949999999997</v>
      </c>
      <c r="F5943" t="s">
        <v>43</v>
      </c>
      <c r="G5943">
        <v>-326.45549999999997</v>
      </c>
      <c r="H5943" s="1">
        <v>-1.689429E-6</v>
      </c>
      <c r="I5943">
        <v>19.741959999999999</v>
      </c>
      <c r="J5943">
        <v>-335.7337</v>
      </c>
      <c r="K5943">
        <v>1.1106009999999999</v>
      </c>
      <c r="L5943">
        <v>22.80405</v>
      </c>
      <c r="M5943">
        <v>0.99816300000000002</v>
      </c>
      <c r="N5943">
        <v>0</v>
      </c>
      <c r="O5943">
        <v>-5.8959909999999997E-2</v>
      </c>
      <c r="P5943">
        <v>0.99061869999999996</v>
      </c>
      <c r="Q5943">
        <v>3.1833080000000001E-3</v>
      </c>
      <c r="R5943">
        <v>-0.13661779999999901</v>
      </c>
      <c r="S5943">
        <v>2.8994749999999998</v>
      </c>
      <c r="T5943">
        <v>-0.34164489999999997</v>
      </c>
      <c r="U5943">
        <v>-0.94461059999999997</v>
      </c>
      <c r="V5943">
        <v>7.7962870000000004E-2</v>
      </c>
      <c r="W5943">
        <v>1.7102659999999999E-2</v>
      </c>
      <c r="X5943">
        <v>0.99680950000000001</v>
      </c>
      <c r="Y5943">
        <v>0.25195630000000002</v>
      </c>
      <c r="Z5943">
        <v>-7.691013E-3</v>
      </c>
      <c r="AA5943">
        <v>0.96770809999999996</v>
      </c>
      <c r="AB5943">
        <v>27</v>
      </c>
      <c r="AC5943">
        <v>9.2782000000000195</v>
      </c>
      <c r="AD5943">
        <v>-1.110602689429</v>
      </c>
      <c r="AE5943">
        <v>-3.06209</v>
      </c>
      <c r="AF5943">
        <v>2.4776537092012498</v>
      </c>
      <c r="AG5943">
        <v>-1.110602689429</v>
      </c>
      <c r="AH5943">
        <v>9.3221642509780605</v>
      </c>
      <c r="AI5943">
        <v>96.568024698104097</v>
      </c>
      <c r="AJ5943">
        <v>75.115971716232593</v>
      </c>
      <c r="AK5943">
        <v>9.70952895658173</v>
      </c>
      <c r="AL5943">
        <v>89.020041932267205</v>
      </c>
      <c r="AM5943">
        <v>85.527863319522396</v>
      </c>
      <c r="AN5943">
        <v>0.99999994468397901</v>
      </c>
    </row>
    <row r="5944" spans="1:40" x14ac:dyDescent="0.25">
      <c r="A5944" t="str">
        <f>"20190312154414488"</f>
        <v>20190312154414488</v>
      </c>
      <c r="B5944" t="str">
        <f>"1552376654483636"</f>
        <v>1552376654483636</v>
      </c>
      <c r="C5944" t="s">
        <v>40</v>
      </c>
      <c r="D5944">
        <v>5.3629959999999999</v>
      </c>
      <c r="E5944">
        <v>0.56971930000000004</v>
      </c>
      <c r="F5944" t="s">
        <v>43</v>
      </c>
      <c r="G5944">
        <v>-326.30430000000001</v>
      </c>
      <c r="H5944" s="1">
        <v>-1.755017E-6</v>
      </c>
      <c r="I5944">
        <v>19.719899999999999</v>
      </c>
      <c r="J5944">
        <v>-335.5258</v>
      </c>
      <c r="K5944">
        <v>1.110603</v>
      </c>
      <c r="L5944">
        <v>22.791899999999998</v>
      </c>
      <c r="M5944">
        <v>0.99817089999999997</v>
      </c>
      <c r="N5944">
        <v>0</v>
      </c>
      <c r="O5944">
        <v>-5.8826209999999997E-2</v>
      </c>
      <c r="P5944">
        <v>0.99053029999999997</v>
      </c>
      <c r="Q5944">
        <v>2.9961459999999999E-3</v>
      </c>
      <c r="R5944">
        <v>-0.13726250000000001</v>
      </c>
      <c r="S5944">
        <v>2.8987729999999998</v>
      </c>
      <c r="T5944">
        <v>-0.34141840000000001</v>
      </c>
      <c r="U5944">
        <v>-0.94812010000000002</v>
      </c>
      <c r="V5944">
        <v>7.874544E-2</v>
      </c>
      <c r="W5944">
        <v>1.6918160000000002E-2</v>
      </c>
      <c r="X5944">
        <v>0.99675119999999895</v>
      </c>
      <c r="Y5944">
        <v>0.2532064</v>
      </c>
      <c r="Z5944">
        <v>-7.773103E-3</v>
      </c>
      <c r="AA5944">
        <v>0.96738109999999999</v>
      </c>
      <c r="AB5944">
        <v>27</v>
      </c>
      <c r="AC5944">
        <v>9.22149999999999</v>
      </c>
      <c r="AD5944">
        <v>-1.110604755017</v>
      </c>
      <c r="AE5944">
        <v>-3.0719999999999898</v>
      </c>
      <c r="AF5944">
        <v>2.4916296604075199</v>
      </c>
      <c r="AG5944">
        <v>-1.110604755017</v>
      </c>
      <c r="AH5944">
        <v>9.2652914713594292</v>
      </c>
      <c r="AI5944">
        <v>96.602868400863997</v>
      </c>
      <c r="AJ5944">
        <v>74.948072352322797</v>
      </c>
      <c r="AK5944">
        <v>9.6585344300123808</v>
      </c>
      <c r="AL5944">
        <v>89.0306145987647</v>
      </c>
      <c r="AM5944">
        <v>85.482894975316299</v>
      </c>
      <c r="AN5944">
        <v>1.0000000115800001</v>
      </c>
    </row>
    <row r="5945" spans="1:40" x14ac:dyDescent="0.25">
      <c r="A5945" t="str">
        <f>"20190312154414503"</f>
        <v>20190312154414503</v>
      </c>
      <c r="B5945" t="str">
        <f>"1552376654493396"</f>
        <v>1552376654493396</v>
      </c>
      <c r="C5945" t="s">
        <v>40</v>
      </c>
      <c r="D5945">
        <v>5.3875599999999997</v>
      </c>
      <c r="E5945">
        <v>0.56997200000000003</v>
      </c>
      <c r="F5945" t="s">
        <v>43</v>
      </c>
      <c r="G5945">
        <v>-326.15719999999999</v>
      </c>
      <c r="H5945" s="1">
        <v>-1.820592E-6</v>
      </c>
      <c r="I5945">
        <v>19.704989999999999</v>
      </c>
      <c r="J5945">
        <v>-335.34930000000003</v>
      </c>
      <c r="K5945">
        <v>1.1106020000000001</v>
      </c>
      <c r="L5945">
        <v>22.78162</v>
      </c>
      <c r="M5945">
        <v>0.9981776</v>
      </c>
      <c r="N5945">
        <v>0</v>
      </c>
      <c r="O5945">
        <v>-5.8712880000000002E-2</v>
      </c>
      <c r="P5945">
        <v>0.99045519999999998</v>
      </c>
      <c r="Q5945">
        <v>2.8851649999999999E-3</v>
      </c>
      <c r="R5945">
        <v>-0.1378075</v>
      </c>
      <c r="S5945">
        <v>2.8974299999999999</v>
      </c>
      <c r="T5945">
        <v>-0.34347460000000002</v>
      </c>
      <c r="U5945">
        <v>-0.95468140000000001</v>
      </c>
      <c r="V5945">
        <v>7.9406980000000002E-2</v>
      </c>
      <c r="W5945">
        <v>1.6808980000000001E-2</v>
      </c>
      <c r="X5945">
        <v>0.99670049999999999</v>
      </c>
      <c r="Y5945">
        <v>0.25539650000000003</v>
      </c>
      <c r="Z5945">
        <v>-7.9595069999999993E-3</v>
      </c>
      <c r="AA5945">
        <v>0.96680370000000004</v>
      </c>
      <c r="AB5945">
        <v>27</v>
      </c>
      <c r="AC5945">
        <v>9.1921000000000301</v>
      </c>
      <c r="AD5945">
        <v>-1.1106038205919999</v>
      </c>
      <c r="AE5945">
        <v>-3.0766300000000002</v>
      </c>
      <c r="AF5945">
        <v>2.4987724057335199</v>
      </c>
      <c r="AG5945">
        <v>-1.1106038205919999</v>
      </c>
      <c r="AH5945">
        <v>9.2356563337315301</v>
      </c>
      <c r="AI5945">
        <v>96.621161473739207</v>
      </c>
      <c r="AJ5945">
        <v>74.860678328366305</v>
      </c>
      <c r="AK5945">
        <v>9.6319599405709795</v>
      </c>
      <c r="AL5945">
        <v>89.0368709808007</v>
      </c>
      <c r="AM5945">
        <v>85.444875102238001</v>
      </c>
      <c r="AN5945">
        <v>0.99999994849080398</v>
      </c>
    </row>
    <row r="5946" spans="1:40" x14ac:dyDescent="0.25">
      <c r="A5946" t="str">
        <f>"20190312154414522"</f>
        <v>20190312154414522</v>
      </c>
      <c r="B5946" t="str">
        <f>"1552376654513891"</f>
        <v>1552376654513891</v>
      </c>
      <c r="C5946" t="s">
        <v>40</v>
      </c>
      <c r="D5946">
        <v>5.3644550000000004</v>
      </c>
      <c r="E5946">
        <v>0.57051529999999995</v>
      </c>
      <c r="F5946" t="s">
        <v>43</v>
      </c>
      <c r="G5946">
        <v>-325.99079999999998</v>
      </c>
      <c r="H5946" s="1">
        <v>-1.8938120000000001E-6</v>
      </c>
      <c r="I5946">
        <v>19.6846</v>
      </c>
      <c r="J5946">
        <v>-335.11930000000001</v>
      </c>
      <c r="K5946">
        <v>1.1106009999999999</v>
      </c>
      <c r="L5946">
        <v>22.768280000000001</v>
      </c>
      <c r="M5946">
        <v>0.99818620000000002</v>
      </c>
      <c r="N5946">
        <v>0</v>
      </c>
      <c r="O5946">
        <v>-5.8564869999999998E-2</v>
      </c>
      <c r="P5946">
        <v>0.99034979999999995</v>
      </c>
      <c r="Q5946">
        <v>2.68651E-3</v>
      </c>
      <c r="R5946">
        <v>-0.13856479999999999</v>
      </c>
      <c r="S5946">
        <v>2.8965450000000001</v>
      </c>
      <c r="T5946">
        <v>-0.34374270000000001</v>
      </c>
      <c r="U5946">
        <v>-0.95855710000000005</v>
      </c>
      <c r="V5946">
        <v>8.0317059999999996E-2</v>
      </c>
      <c r="W5946">
        <v>1.661207E-2</v>
      </c>
      <c r="X5946">
        <v>0.99663089999999999</v>
      </c>
      <c r="Y5946">
        <v>0.25678210000000001</v>
      </c>
      <c r="Z5946">
        <v>-8.0632039999999992E-3</v>
      </c>
      <c r="AA5946">
        <v>0.96643570000000001</v>
      </c>
      <c r="AB5946">
        <v>27</v>
      </c>
      <c r="AC5946">
        <v>9.1285000000000291</v>
      </c>
      <c r="AD5946">
        <v>-1.1106028938120001</v>
      </c>
      <c r="AE5946">
        <v>-3.08367999999999</v>
      </c>
      <c r="AF5946">
        <v>2.5103723442905599</v>
      </c>
      <c r="AG5946">
        <v>-1.1106028938120001</v>
      </c>
      <c r="AH5946">
        <v>9.17158944159325</v>
      </c>
      <c r="AI5946">
        <v>96.661713287466895</v>
      </c>
      <c r="AJ5946">
        <v>74.692389909419603</v>
      </c>
      <c r="AK5946">
        <v>9.5735814082227009</v>
      </c>
      <c r="AL5946">
        <v>89.048154690239002</v>
      </c>
      <c r="AM5946">
        <v>85.392572132283405</v>
      </c>
      <c r="AN5946">
        <v>0.99999997091576798</v>
      </c>
    </row>
    <row r="5947" spans="1:40" x14ac:dyDescent="0.25">
      <c r="A5947" t="str">
        <f>"20190312154414543"</f>
        <v>20190312154414543</v>
      </c>
      <c r="B5947" t="str">
        <f>"1552376654533412"</f>
        <v>1552376654533412</v>
      </c>
      <c r="C5947" t="s">
        <v>40</v>
      </c>
      <c r="D5947">
        <v>5.3293920000000004</v>
      </c>
      <c r="E5947">
        <v>0.57115059999999995</v>
      </c>
      <c r="F5947" t="s">
        <v>43</v>
      </c>
      <c r="G5947">
        <v>-325.79259999999999</v>
      </c>
      <c r="H5947" s="1">
        <v>-1.9807080000000002E-6</v>
      </c>
      <c r="I5947">
        <v>19.65907</v>
      </c>
      <c r="J5947">
        <v>-334.87189999999998</v>
      </c>
      <c r="K5947">
        <v>1.110592</v>
      </c>
      <c r="L5947">
        <v>22.753910000000001</v>
      </c>
      <c r="M5947">
        <v>0.99819530000000001</v>
      </c>
      <c r="N5947">
        <v>0</v>
      </c>
      <c r="O5947">
        <v>-5.8409120000000002E-2</v>
      </c>
      <c r="P5947">
        <v>0.99014400000000002</v>
      </c>
      <c r="Q5947">
        <v>2.161867E-3</v>
      </c>
      <c r="R5947">
        <v>-0.14003779999999999</v>
      </c>
      <c r="S5947">
        <v>2.8951419999999999</v>
      </c>
      <c r="T5947">
        <v>-0.34474870000000002</v>
      </c>
      <c r="U5947">
        <v>-0.96514889999999998</v>
      </c>
      <c r="V5947">
        <v>8.1955280000000005E-2</v>
      </c>
      <c r="W5947">
        <v>1.6088089999999999E-2</v>
      </c>
      <c r="X5947">
        <v>0.99650620000000001</v>
      </c>
      <c r="Y5947">
        <v>0.25903110000000001</v>
      </c>
      <c r="Z5947">
        <v>-8.23550199999999E-3</v>
      </c>
      <c r="AA5947">
        <v>0.96583390000000002</v>
      </c>
      <c r="AB5947">
        <v>27</v>
      </c>
      <c r="AC5947">
        <v>9.0792999999999893</v>
      </c>
      <c r="AD5947">
        <v>-1.1105939807080001</v>
      </c>
      <c r="AE5947">
        <v>-3.09484</v>
      </c>
      <c r="AF5947">
        <v>2.5253375348672802</v>
      </c>
      <c r="AG5947">
        <v>-1.1105939807080001</v>
      </c>
      <c r="AH5947">
        <v>9.1222960681342293</v>
      </c>
      <c r="AI5947">
        <v>96.692035804189302</v>
      </c>
      <c r="AJ5947">
        <v>74.526243195066897</v>
      </c>
      <c r="AK5947">
        <v>9.5303218313807001</v>
      </c>
      <c r="AL5947">
        <v>89.078180621066593</v>
      </c>
      <c r="AM5947">
        <v>85.298426212128106</v>
      </c>
      <c r="AN5947">
        <v>1.00000005059908</v>
      </c>
    </row>
    <row r="5948" spans="1:40" x14ac:dyDescent="0.25">
      <c r="A5948" t="str">
        <f>"20190312154414555"</f>
        <v>20190312154414555</v>
      </c>
      <c r="B5948" t="str">
        <f>"1552376654543172"</f>
        <v>1552376654543172</v>
      </c>
      <c r="C5948" t="s">
        <v>40</v>
      </c>
      <c r="D5948">
        <v>5.3398760000000003</v>
      </c>
      <c r="E5948">
        <v>0.57137309999999997</v>
      </c>
      <c r="F5948" t="s">
        <v>43</v>
      </c>
      <c r="G5948">
        <v>-325.59199999999998</v>
      </c>
      <c r="H5948" s="1">
        <v>-2.067457E-6</v>
      </c>
      <c r="I5948">
        <v>19.62875</v>
      </c>
      <c r="J5948">
        <v>-334.72890000000001</v>
      </c>
      <c r="K5948">
        <v>1.1105879999999999</v>
      </c>
      <c r="L5948">
        <v>22.745640000000002</v>
      </c>
      <c r="M5948">
        <v>0.99820030000000004</v>
      </c>
      <c r="N5948">
        <v>0</v>
      </c>
      <c r="O5948">
        <v>-5.8324180000000003E-2</v>
      </c>
      <c r="P5948">
        <v>0.99005569999999998</v>
      </c>
      <c r="Q5948">
        <v>1.7659079999999901E-3</v>
      </c>
      <c r="R5948">
        <v>-0.1406655</v>
      </c>
      <c r="S5948">
        <v>2.8928219999999998</v>
      </c>
      <c r="T5948">
        <v>-0.34620810000000002</v>
      </c>
      <c r="U5948">
        <v>-0.97421259999999998</v>
      </c>
      <c r="V5948">
        <v>8.267207E-2</v>
      </c>
      <c r="W5948">
        <v>1.5691899999999901E-2</v>
      </c>
      <c r="X5948">
        <v>0.99645329999999999</v>
      </c>
      <c r="Y5948">
        <v>0.26203379999999998</v>
      </c>
      <c r="Z5948">
        <v>-8.4566590000000001E-3</v>
      </c>
      <c r="AA5948">
        <v>0.96502160000000003</v>
      </c>
      <c r="AB5948">
        <v>27</v>
      </c>
      <c r="AC5948">
        <v>9.1369000000000202</v>
      </c>
      <c r="AD5948">
        <v>-1.110590067457</v>
      </c>
      <c r="AE5948">
        <v>-3.1168899999999899</v>
      </c>
      <c r="AF5948">
        <v>2.5449484226439698</v>
      </c>
      <c r="AG5948">
        <v>-1.110590067457</v>
      </c>
      <c r="AH5948">
        <v>9.18163829425899</v>
      </c>
      <c r="AI5948">
        <v>96.648561845331599</v>
      </c>
      <c r="AJ5948">
        <v>74.507795370233495</v>
      </c>
      <c r="AK5948">
        <v>9.5923226873607206</v>
      </c>
      <c r="AL5948">
        <v>89.100883494430803</v>
      </c>
      <c r="AM5948">
        <v>85.257241855234099</v>
      </c>
      <c r="AN5948">
        <v>1.0000000429822899</v>
      </c>
    </row>
    <row r="5949" spans="1:40" x14ac:dyDescent="0.25">
      <c r="A5949" t="str">
        <f>"20190312154414567"</f>
        <v>20190312154414567</v>
      </c>
      <c r="B5949" t="str">
        <f>"1552376654553908"</f>
        <v>1552376654553908</v>
      </c>
      <c r="C5949" t="s">
        <v>40</v>
      </c>
      <c r="D5949">
        <v>5.3114280000000003</v>
      </c>
      <c r="E5949">
        <v>0.57161519999999899</v>
      </c>
      <c r="F5949" t="s">
        <v>43</v>
      </c>
      <c r="G5949">
        <v>-325.48829999999998</v>
      </c>
      <c r="H5949" s="1">
        <v>-2.1146839999999998E-6</v>
      </c>
      <c r="I5949">
        <v>19.621939999999999</v>
      </c>
      <c r="J5949">
        <v>-334.58330000000001</v>
      </c>
      <c r="K5949">
        <v>1.110584</v>
      </c>
      <c r="L5949">
        <v>22.737210000000001</v>
      </c>
      <c r="M5949">
        <v>0.99820520000000001</v>
      </c>
      <c r="N5949">
        <v>0</v>
      </c>
      <c r="O5949">
        <v>-5.824058E-2</v>
      </c>
      <c r="P5949">
        <v>0.98990120000000004</v>
      </c>
      <c r="Q5949">
        <v>1.4241029999999999E-3</v>
      </c>
      <c r="R5949">
        <v>-0.1417523</v>
      </c>
      <c r="S5949">
        <v>2.8918759999999999</v>
      </c>
      <c r="T5949">
        <v>-0.34756330000000002</v>
      </c>
      <c r="U5949">
        <v>-0.97756960000000004</v>
      </c>
      <c r="V5949">
        <v>8.3849859999999998E-2</v>
      </c>
      <c r="W5949">
        <v>1.534861E-2</v>
      </c>
      <c r="X5949">
        <v>0.99636020000000003</v>
      </c>
      <c r="Y5949">
        <v>0.26319730000000002</v>
      </c>
      <c r="Z5949">
        <v>-8.5681799999999999E-3</v>
      </c>
      <c r="AA5949">
        <v>0.96470400000000001</v>
      </c>
      <c r="AB5949">
        <v>26</v>
      </c>
      <c r="AC5949">
        <v>9.0950000000000202</v>
      </c>
      <c r="AD5949">
        <v>-1.1105861146839999</v>
      </c>
      <c r="AE5949">
        <v>-3.1152700000000002</v>
      </c>
      <c r="AF5949">
        <v>2.54625162438141</v>
      </c>
      <c r="AG5949">
        <v>-1.1105861146839999</v>
      </c>
      <c r="AH5949">
        <v>9.1390506616479303</v>
      </c>
      <c r="AI5949">
        <v>96.676792534723106</v>
      </c>
      <c r="AJ5949">
        <v>74.431510823353406</v>
      </c>
      <c r="AK5949">
        <v>9.5519132035923207</v>
      </c>
      <c r="AL5949">
        <v>89.120554905252504</v>
      </c>
      <c r="AM5949">
        <v>85.189541485002493</v>
      </c>
      <c r="AN5949">
        <v>1.00000001349749</v>
      </c>
    </row>
    <row r="5950" spans="1:40" x14ac:dyDescent="0.25">
      <c r="A5950" t="str">
        <f>"20190312154414579"</f>
        <v>20190312154414579</v>
      </c>
      <c r="B5950" t="str">
        <f>"1552376654573427"</f>
        <v>1552376654573427</v>
      </c>
      <c r="C5950" t="s">
        <v>40</v>
      </c>
      <c r="D5950">
        <v>5.2809179999999998</v>
      </c>
      <c r="E5950">
        <v>0.57211319999999999</v>
      </c>
      <c r="F5950" t="s">
        <v>43</v>
      </c>
      <c r="G5950">
        <v>-325.38560000000001</v>
      </c>
      <c r="H5950" s="1">
        <v>-2.1626900000000002E-6</v>
      </c>
      <c r="I5950">
        <v>19.611039999999999</v>
      </c>
      <c r="J5950">
        <v>-334.44369999999998</v>
      </c>
      <c r="K5950">
        <v>1.1105799999999999</v>
      </c>
      <c r="L5950">
        <v>22.72916</v>
      </c>
      <c r="M5950">
        <v>0.99820920000000002</v>
      </c>
      <c r="N5950">
        <v>0</v>
      </c>
      <c r="O5950">
        <v>-5.8171460000000001E-2</v>
      </c>
      <c r="P5950">
        <v>0.98979510000000004</v>
      </c>
      <c r="Q5950">
        <v>1.3402640000000001E-3</v>
      </c>
      <c r="R5950">
        <v>-0.14249400000000001</v>
      </c>
      <c r="S5950">
        <v>2.8904420000000002</v>
      </c>
      <c r="T5950">
        <v>-0.34900949999999997</v>
      </c>
      <c r="U5950">
        <v>-0.98242189999999996</v>
      </c>
      <c r="V5950">
        <v>8.4665669999999998E-2</v>
      </c>
      <c r="W5950">
        <v>1.5263270000000001E-2</v>
      </c>
      <c r="X5950">
        <v>0.99629250000000003</v>
      </c>
      <c r="Y5950">
        <v>0.26483909999999899</v>
      </c>
      <c r="Z5950">
        <v>-8.7095920000000004E-3</v>
      </c>
      <c r="AA5950">
        <v>0.96425329999999998</v>
      </c>
      <c r="AB5950">
        <v>26</v>
      </c>
      <c r="AC5950">
        <v>9.0580999999999605</v>
      </c>
      <c r="AD5950">
        <v>-1.1105821626900001</v>
      </c>
      <c r="AE5950">
        <v>-3.1181199999999998</v>
      </c>
      <c r="AF5950">
        <v>2.5515720754742999</v>
      </c>
      <c r="AG5950">
        <v>-1.1105821626900001</v>
      </c>
      <c r="AH5950">
        <v>9.1018347356625</v>
      </c>
      <c r="AI5950">
        <v>96.700853600568394</v>
      </c>
      <c r="AJ5950">
        <v>74.339902523560397</v>
      </c>
      <c r="AK5950">
        <v>9.5177365140950396</v>
      </c>
      <c r="AL5950">
        <v>89.125445083091194</v>
      </c>
      <c r="AM5950">
        <v>85.142632906787696</v>
      </c>
      <c r="AN5950">
        <v>0.99999999432194597</v>
      </c>
    </row>
    <row r="5951" spans="1:40" x14ac:dyDescent="0.25">
      <c r="A5951" t="str">
        <f>"20190312154414598"</f>
        <v>20190312154414598</v>
      </c>
      <c r="B5951" t="str">
        <f>"1552376654593924"</f>
        <v>1552376654593924</v>
      </c>
      <c r="C5951" t="s">
        <v>40</v>
      </c>
      <c r="D5951">
        <v>5.3114369999999997</v>
      </c>
      <c r="E5951">
        <v>0.57261309999999999</v>
      </c>
      <c r="F5951" t="s">
        <v>43</v>
      </c>
      <c r="G5951">
        <v>-325.27539999999999</v>
      </c>
      <c r="H5951" s="1">
        <v>-2.2178990000000002E-6</v>
      </c>
      <c r="I5951">
        <v>19.593440000000001</v>
      </c>
      <c r="J5951">
        <v>-334.21179999999998</v>
      </c>
      <c r="K5951">
        <v>1.1105640000000001</v>
      </c>
      <c r="L5951">
        <v>22.71576</v>
      </c>
      <c r="M5951">
        <v>0.99821479999999996</v>
      </c>
      <c r="N5951">
        <v>0</v>
      </c>
      <c r="O5951">
        <v>-5.8073800000000002E-2</v>
      </c>
      <c r="P5951">
        <v>0.98957189999999995</v>
      </c>
      <c r="Q5951">
        <v>1.1804980000000001E-3</v>
      </c>
      <c r="R5951">
        <v>-0.144036</v>
      </c>
      <c r="S5951">
        <v>2.8891300000000002</v>
      </c>
      <c r="T5951">
        <v>-0.34996719999999998</v>
      </c>
      <c r="U5951">
        <v>-0.98812869999999997</v>
      </c>
      <c r="V5951">
        <v>8.631627E-2</v>
      </c>
      <c r="W5951">
        <v>1.50983E-2</v>
      </c>
      <c r="X5951">
        <v>0.99615339999999997</v>
      </c>
      <c r="Y5951">
        <v>0.26675199999999999</v>
      </c>
      <c r="Z5951">
        <v>-8.858154E-3</v>
      </c>
      <c r="AA5951">
        <v>0.96372449999999998</v>
      </c>
      <c r="AB5951">
        <v>26</v>
      </c>
      <c r="AC5951">
        <v>8.9363999999999901</v>
      </c>
      <c r="AD5951">
        <v>-1.1105662178989999</v>
      </c>
      <c r="AE5951">
        <v>-3.12231999999999</v>
      </c>
      <c r="AF5951">
        <v>2.5627546893456499</v>
      </c>
      <c r="AG5951">
        <v>-1.1105662178989999</v>
      </c>
      <c r="AH5951">
        <v>8.9790706380334306</v>
      </c>
      <c r="AI5951">
        <v>96.782579629103495</v>
      </c>
      <c r="AJ5951">
        <v>74.070498853948706</v>
      </c>
      <c r="AK5951">
        <v>9.4034450306733692</v>
      </c>
      <c r="AL5951">
        <v>89.134898285275</v>
      </c>
      <c r="AM5951">
        <v>85.047714431646995</v>
      </c>
      <c r="AN5951">
        <v>1.00000002673058</v>
      </c>
    </row>
    <row r="5952" spans="1:40" x14ac:dyDescent="0.25">
      <c r="A5952" t="str">
        <f>"20190312154414611"</f>
        <v>20190312154414611</v>
      </c>
      <c r="B5952" t="str">
        <f>"1552376654603684"</f>
        <v>1552376654603684</v>
      </c>
      <c r="C5952" t="s">
        <v>40</v>
      </c>
      <c r="D5952">
        <v>5.3193640000000002</v>
      </c>
      <c r="E5952">
        <v>0.5728432</v>
      </c>
      <c r="F5952" t="s">
        <v>43</v>
      </c>
      <c r="G5952">
        <v>-325.0985</v>
      </c>
      <c r="H5952" s="1">
        <v>-2.3053190000000001E-6</v>
      </c>
      <c r="I5952">
        <v>19.5718</v>
      </c>
      <c r="J5952">
        <v>-334.06619999999998</v>
      </c>
      <c r="K5952">
        <v>1.110549</v>
      </c>
      <c r="L5952">
        <v>22.707339999999999</v>
      </c>
      <c r="M5952">
        <v>0.99821749999999998</v>
      </c>
      <c r="N5952">
        <v>0</v>
      </c>
      <c r="O5952">
        <v>-5.8026010000000003E-2</v>
      </c>
      <c r="P5952">
        <v>0.98949010000000004</v>
      </c>
      <c r="Q5952">
        <v>1.67037E-3</v>
      </c>
      <c r="R5952">
        <v>-0.14459040000000001</v>
      </c>
      <c r="S5952">
        <v>2.887054</v>
      </c>
      <c r="T5952">
        <v>-0.35182600000000003</v>
      </c>
      <c r="U5952">
        <v>-0.99600219999999995</v>
      </c>
      <c r="V5952">
        <v>8.6922810000000003E-2</v>
      </c>
      <c r="W5952">
        <v>1.558462E-2</v>
      </c>
      <c r="X5952">
        <v>0.99609320000000001</v>
      </c>
      <c r="Y5952">
        <v>0.26932780000000001</v>
      </c>
      <c r="Z5952">
        <v>-9.0648570000000008E-3</v>
      </c>
      <c r="AA5952">
        <v>0.96300589999999997</v>
      </c>
      <c r="AB5952">
        <v>26</v>
      </c>
      <c r="AC5952">
        <v>8.9676999999999794</v>
      </c>
      <c r="AD5952">
        <v>-1.1105513053189999</v>
      </c>
      <c r="AE5952">
        <v>-3.13553999999999</v>
      </c>
      <c r="AF5952">
        <v>2.5746613560577098</v>
      </c>
      <c r="AG5952">
        <v>-1.1105513053189999</v>
      </c>
      <c r="AH5952">
        <v>9.0114028261366101</v>
      </c>
      <c r="AI5952">
        <v>96.757854385732003</v>
      </c>
      <c r="AJ5952">
        <v>74.054752030249304</v>
      </c>
      <c r="AK5952">
        <v>9.4375625134366992</v>
      </c>
      <c r="AL5952">
        <v>89.107030951603505</v>
      </c>
      <c r="AM5952">
        <v>85.012789983635201</v>
      </c>
      <c r="AN5952">
        <v>1.00000005918253</v>
      </c>
    </row>
    <row r="5953" spans="1:40" x14ac:dyDescent="0.25">
      <c r="A5953" t="str">
        <f>"20190312154414623"</f>
        <v>20190312154414623</v>
      </c>
      <c r="B5953" t="str">
        <f>"1552376654613444"</f>
        <v>1552376654613444</v>
      </c>
      <c r="C5953" t="s">
        <v>40</v>
      </c>
      <c r="D5953">
        <v>5.3216099999999997</v>
      </c>
      <c r="E5953">
        <v>0.57306429999999997</v>
      </c>
      <c r="F5953" t="s">
        <v>43</v>
      </c>
      <c r="G5953">
        <v>-324.93560000000002</v>
      </c>
      <c r="H5953" s="1">
        <v>-2.3867439999999999E-6</v>
      </c>
      <c r="I5953">
        <v>19.547080000000001</v>
      </c>
      <c r="J5953">
        <v>-333.93169999999998</v>
      </c>
      <c r="K5953">
        <v>1.1105339999999999</v>
      </c>
      <c r="L5953">
        <v>22.699549999999999</v>
      </c>
      <c r="M5953">
        <v>0.99821939999999998</v>
      </c>
      <c r="N5953">
        <v>0</v>
      </c>
      <c r="O5953">
        <v>-5.7993719999999999E-2</v>
      </c>
      <c r="P5953">
        <v>0.98939060000000001</v>
      </c>
      <c r="Q5953">
        <v>1.954763E-3</v>
      </c>
      <c r="R5953">
        <v>-0.14526720000000001</v>
      </c>
      <c r="S5953">
        <v>2.8864749999999999</v>
      </c>
      <c r="T5953">
        <v>-0.35107909999999998</v>
      </c>
      <c r="U5953">
        <v>-0.999054</v>
      </c>
      <c r="V5953">
        <v>8.7637039999999999E-2</v>
      </c>
      <c r="W5953">
        <v>1.5865440000000001E-2</v>
      </c>
      <c r="X5953">
        <v>0.99602610000000003</v>
      </c>
      <c r="Y5953">
        <v>0.27032719999999999</v>
      </c>
      <c r="Z5953">
        <v>-9.108639E-3</v>
      </c>
      <c r="AA5953">
        <v>0.96272539999999995</v>
      </c>
      <c r="AB5953">
        <v>26</v>
      </c>
      <c r="AC5953">
        <v>8.9960999999999505</v>
      </c>
      <c r="AD5953">
        <v>-1.1105363867439999</v>
      </c>
      <c r="AE5953">
        <v>-3.1524700000000001</v>
      </c>
      <c r="AF5953">
        <v>2.5902394315771402</v>
      </c>
      <c r="AG5953">
        <v>-1.1105363867439999</v>
      </c>
      <c r="AH5953">
        <v>9.0410885567994299</v>
      </c>
      <c r="AI5953">
        <v>96.734394836934499</v>
      </c>
      <c r="AJ5953">
        <v>74.0131822099912</v>
      </c>
      <c r="AK5953">
        <v>9.4701591154039804</v>
      </c>
      <c r="AL5953">
        <v>89.090939087685996</v>
      </c>
      <c r="AM5953">
        <v>84.971683148127198</v>
      </c>
      <c r="AN5953">
        <v>0.99999997742378199</v>
      </c>
    </row>
    <row r="5954" spans="1:40" x14ac:dyDescent="0.25">
      <c r="A5954" t="str">
        <f>"20190312154414644"</f>
        <v>20190312154414644</v>
      </c>
      <c r="B5954" t="str">
        <f>"1552376654633943"</f>
        <v>1552376654633943</v>
      </c>
      <c r="C5954" t="s">
        <v>40</v>
      </c>
      <c r="D5954">
        <v>5.3138690000000004</v>
      </c>
      <c r="E5954">
        <v>0.57352760000000003</v>
      </c>
      <c r="F5954" t="s">
        <v>43</v>
      </c>
      <c r="G5954">
        <v>-324.78570000000002</v>
      </c>
      <c r="H5954" s="1">
        <v>-2.4621149999999999E-6</v>
      </c>
      <c r="I5954">
        <v>19.521439999999998</v>
      </c>
      <c r="J5954">
        <v>-333.67989999999998</v>
      </c>
      <c r="K5954">
        <v>1.1105069999999999</v>
      </c>
      <c r="L5954">
        <v>22.684999999999999</v>
      </c>
      <c r="M5954">
        <v>0.99822160000000004</v>
      </c>
      <c r="N5954">
        <v>0</v>
      </c>
      <c r="O5954">
        <v>-5.7958339999999997E-2</v>
      </c>
      <c r="P5954">
        <v>0.98922569999999999</v>
      </c>
      <c r="Q5954">
        <v>2.7413089999999999E-3</v>
      </c>
      <c r="R5954">
        <v>-0.14637249999999999</v>
      </c>
      <c r="S5954">
        <v>2.8856199999999999</v>
      </c>
      <c r="T5954">
        <v>-0.35038200000000003</v>
      </c>
      <c r="U5954">
        <v>-1.0027159999999999</v>
      </c>
      <c r="V5954">
        <v>8.8786329999999997E-2</v>
      </c>
      <c r="W5954">
        <v>1.6644010000000001E-2</v>
      </c>
      <c r="X5954">
        <v>0.99591160000000001</v>
      </c>
      <c r="Y5954">
        <v>0.27153709999999998</v>
      </c>
      <c r="Z5954">
        <v>-9.1667039999999995E-3</v>
      </c>
      <c r="AA5954">
        <v>0.96238429999999997</v>
      </c>
      <c r="AB5954">
        <v>26</v>
      </c>
      <c r="AC5954">
        <v>8.8941999999999499</v>
      </c>
      <c r="AD5954">
        <v>-1.110509462115</v>
      </c>
      <c r="AE5954">
        <v>-3.1635599999999999</v>
      </c>
      <c r="AF5954">
        <v>2.6066256130687799</v>
      </c>
      <c r="AG5954">
        <v>-1.110509462115</v>
      </c>
      <c r="AH5954">
        <v>8.9389158231592791</v>
      </c>
      <c r="AI5954">
        <v>96.801300600519596</v>
      </c>
      <c r="AJ5954">
        <v>73.743092550277396</v>
      </c>
      <c r="AK5954">
        <v>9.3772034448272805</v>
      </c>
      <c r="AL5954">
        <v>89.046324414065396</v>
      </c>
      <c r="AM5954">
        <v>84.905502916000501</v>
      </c>
      <c r="AN5954">
        <v>0.99999997523915396</v>
      </c>
    </row>
    <row r="5955" spans="1:40" x14ac:dyDescent="0.25">
      <c r="A5955" t="str">
        <f>"20190312154414656"</f>
        <v>20190312154414656</v>
      </c>
      <c r="B5955" t="str">
        <f>"1552376654643701"</f>
        <v>1552376654643701</v>
      </c>
      <c r="C5955" t="s">
        <v>40</v>
      </c>
      <c r="D5955">
        <v>5.3071519999999897</v>
      </c>
      <c r="E5955">
        <v>0.57375710000000002</v>
      </c>
      <c r="F5955" t="s">
        <v>43</v>
      </c>
      <c r="G5955">
        <v>-324.52080000000001</v>
      </c>
      <c r="H5955" s="1">
        <v>-2.5943439999999998E-6</v>
      </c>
      <c r="I5955">
        <v>19.482099999999999</v>
      </c>
      <c r="J5955">
        <v>-333.5421</v>
      </c>
      <c r="K5955">
        <v>1.110487</v>
      </c>
      <c r="L5955">
        <v>22.677</v>
      </c>
      <c r="M5955">
        <v>0.99822120000000003</v>
      </c>
      <c r="N5955">
        <v>0</v>
      </c>
      <c r="O5955">
        <v>-5.7965580000000003E-2</v>
      </c>
      <c r="P5955">
        <v>0.98916380000000004</v>
      </c>
      <c r="Q5955">
        <v>3.162911E-3</v>
      </c>
      <c r="R5955">
        <v>-0.14678379999999999</v>
      </c>
      <c r="S5955">
        <v>2.88443</v>
      </c>
      <c r="T5955">
        <v>-0.34972540000000002</v>
      </c>
      <c r="U5955">
        <v>-1.008667</v>
      </c>
      <c r="V5955">
        <v>8.9193980000000006E-2</v>
      </c>
      <c r="W5955">
        <v>1.706071E-2</v>
      </c>
      <c r="X5955">
        <v>0.99586810000000003</v>
      </c>
      <c r="Y5955">
        <v>0.2734162</v>
      </c>
      <c r="Z5955">
        <v>-9.2597100000000009E-3</v>
      </c>
      <c r="AA5955">
        <v>0.96185120000000002</v>
      </c>
      <c r="AB5955">
        <v>26</v>
      </c>
      <c r="AC5955">
        <v>9.0212999999999894</v>
      </c>
      <c r="AD5955">
        <v>-1.1104895943440001</v>
      </c>
      <c r="AE5955">
        <v>-3.1949000000000001</v>
      </c>
      <c r="AF5955">
        <v>2.6311257091884102</v>
      </c>
      <c r="AG5955">
        <v>-1.1104895943440001</v>
      </c>
      <c r="AH5955">
        <v>9.0692323009581397</v>
      </c>
      <c r="AI5955">
        <v>96.707001989558407</v>
      </c>
      <c r="AJ5955">
        <v>73.821731953910003</v>
      </c>
      <c r="AK5955">
        <v>9.5082587346706706</v>
      </c>
      <c r="AL5955">
        <v>89.022445849457995</v>
      </c>
      <c r="AM5955">
        <v>84.8820138203304</v>
      </c>
      <c r="AN5955">
        <v>0.99999995324577595</v>
      </c>
    </row>
    <row r="5956" spans="1:40" x14ac:dyDescent="0.25">
      <c r="A5956" t="str">
        <f>"20190312154414669"</f>
        <v>20190312154414669</v>
      </c>
      <c r="B5956" t="str">
        <f>"1552376654663220"</f>
        <v>1552376654663220</v>
      </c>
      <c r="C5956" t="s">
        <v>40</v>
      </c>
      <c r="D5956">
        <v>5.2829750000000004</v>
      </c>
      <c r="E5956">
        <v>0.57416119999999904</v>
      </c>
      <c r="F5956" t="s">
        <v>43</v>
      </c>
      <c r="G5956">
        <v>-324.36829999999998</v>
      </c>
      <c r="H5956" s="1">
        <v>-2.67045E-6</v>
      </c>
      <c r="I5956">
        <v>19.45945</v>
      </c>
      <c r="J5956">
        <v>-333.39729999999997</v>
      </c>
      <c r="K5956">
        <v>1.110463</v>
      </c>
      <c r="L5956">
        <v>22.668579999999999</v>
      </c>
      <c r="M5956">
        <v>0.99822</v>
      </c>
      <c r="N5956">
        <v>0</v>
      </c>
      <c r="O5956">
        <v>-5.7986099999999999E-2</v>
      </c>
      <c r="P5956">
        <v>0.9890698</v>
      </c>
      <c r="Q5956">
        <v>3.525589E-3</v>
      </c>
      <c r="R5956">
        <v>-0.1474076</v>
      </c>
      <c r="S5956">
        <v>2.8838810000000001</v>
      </c>
      <c r="T5956">
        <v>-0.34909559999999901</v>
      </c>
      <c r="U5956">
        <v>-1.0114749999999999</v>
      </c>
      <c r="V5956">
        <v>8.9802729999999997E-2</v>
      </c>
      <c r="W5956">
        <v>1.7417330000000002E-2</v>
      </c>
      <c r="X5956">
        <v>0.99580729999999995</v>
      </c>
      <c r="Y5956">
        <v>0.27428709999999901</v>
      </c>
      <c r="Z5956">
        <v>-9.2920369999999995E-3</v>
      </c>
      <c r="AA5956">
        <v>0.96160290000000004</v>
      </c>
      <c r="AB5956">
        <v>26</v>
      </c>
      <c r="AC5956">
        <v>9.0289999999999893</v>
      </c>
      <c r="AD5956">
        <v>-1.11046567045</v>
      </c>
      <c r="AE5956">
        <v>-3.2091299999999898</v>
      </c>
      <c r="AF5956">
        <v>2.6446055505592798</v>
      </c>
      <c r="AG5956">
        <v>-1.11046567045</v>
      </c>
      <c r="AH5956">
        <v>9.07799299386933</v>
      </c>
      <c r="AI5956">
        <v>96.698301075853294</v>
      </c>
      <c r="AJ5956">
        <v>73.758075365521705</v>
      </c>
      <c r="AK5956">
        <v>9.5203481722065995</v>
      </c>
      <c r="AL5956">
        <v>89.002010073487597</v>
      </c>
      <c r="AM5956">
        <v>84.846957993926495</v>
      </c>
      <c r="AN5956">
        <v>1.00000003621653</v>
      </c>
    </row>
    <row r="5957" spans="1:40" x14ac:dyDescent="0.25">
      <c r="A5957" t="str">
        <f>"20190312154414680"</f>
        <v>20190312154414680</v>
      </c>
      <c r="B5957" t="str">
        <f>"1552376654673956"</f>
        <v>1552376654673956</v>
      </c>
      <c r="C5957" t="s">
        <v>40</v>
      </c>
      <c r="D5957">
        <v>5.338584</v>
      </c>
      <c r="E5957">
        <v>0.57436339999999997</v>
      </c>
      <c r="F5957" t="s">
        <v>43</v>
      </c>
      <c r="G5957">
        <v>-324.21960000000001</v>
      </c>
      <c r="H5957" s="1">
        <v>-2.7454610000000002E-6</v>
      </c>
      <c r="I5957">
        <v>19.432780000000001</v>
      </c>
      <c r="J5957">
        <v>-333.2516</v>
      </c>
      <c r="K5957">
        <v>1.110428</v>
      </c>
      <c r="L5957">
        <v>22.6601</v>
      </c>
      <c r="M5957">
        <v>0.99821579999999999</v>
      </c>
      <c r="N5957">
        <v>0</v>
      </c>
      <c r="O5957">
        <v>-5.8057360000000002E-2</v>
      </c>
      <c r="P5957">
        <v>0.98899519999999996</v>
      </c>
      <c r="Q5957">
        <v>3.621637E-3</v>
      </c>
      <c r="R5957">
        <v>-0.14790500000000001</v>
      </c>
      <c r="S5957">
        <v>2.8828740000000002</v>
      </c>
      <c r="T5957">
        <v>-0.34881529999999999</v>
      </c>
      <c r="U5957">
        <v>-1.016418</v>
      </c>
      <c r="V5957">
        <v>9.0233949999999993E-2</v>
      </c>
      <c r="W5957">
        <v>1.7504579999999999E-2</v>
      </c>
      <c r="X5957">
        <v>0.99576679999999995</v>
      </c>
      <c r="Y5957">
        <v>0.27578370000000002</v>
      </c>
      <c r="Z5957">
        <v>-9.3645140000000009E-3</v>
      </c>
      <c r="AA5957">
        <v>0.96117410000000003</v>
      </c>
      <c r="AB5957">
        <v>26</v>
      </c>
      <c r="AC5957">
        <v>9.0319999999999805</v>
      </c>
      <c r="AD5957">
        <v>-1.1104307454610001</v>
      </c>
      <c r="AE5957">
        <v>-3.2273200000000002</v>
      </c>
      <c r="AF5957">
        <v>2.6617721316819098</v>
      </c>
      <c r="AG5957">
        <v>-1.1104307454610001</v>
      </c>
      <c r="AH5957">
        <v>9.0824108170465792</v>
      </c>
      <c r="AI5957">
        <v>96.691742007881501</v>
      </c>
      <c r="AJ5957">
        <v>73.665780087614294</v>
      </c>
      <c r="AK5957">
        <v>9.52933752005187</v>
      </c>
      <c r="AL5957">
        <v>88.997010266499601</v>
      </c>
      <c r="AM5957">
        <v>84.822138546120399</v>
      </c>
      <c r="AN5957">
        <v>1.0000000480179001</v>
      </c>
    </row>
    <row r="5958" spans="1:40" x14ac:dyDescent="0.25">
      <c r="A5958" t="str">
        <f>"20190312154414695"</f>
        <v>20190312154414695</v>
      </c>
      <c r="B5958" t="str">
        <f>"1552376654683715"</f>
        <v>1552376654683715</v>
      </c>
      <c r="C5958" t="s">
        <v>40</v>
      </c>
      <c r="D5958">
        <v>5.2394790000000002</v>
      </c>
      <c r="E5958">
        <v>0.57436339999999997</v>
      </c>
      <c r="F5958" t="s">
        <v>43</v>
      </c>
      <c r="G5958">
        <v>-324.05790000000002</v>
      </c>
      <c r="H5958" s="1">
        <v>-2.8262339999999998E-6</v>
      </c>
      <c r="I5958">
        <v>19.408339999999999</v>
      </c>
      <c r="J5958">
        <v>-333.08859999999999</v>
      </c>
      <c r="K5958">
        <v>1.1103829999999999</v>
      </c>
      <c r="L5958">
        <v>22.650510000000001</v>
      </c>
      <c r="M5958">
        <v>0.99820920000000002</v>
      </c>
      <c r="N5958">
        <v>0</v>
      </c>
      <c r="O5958">
        <v>-5.8171239999999999E-2</v>
      </c>
      <c r="P5958">
        <v>0.98888869999999895</v>
      </c>
      <c r="Q5958">
        <v>3.676852E-3</v>
      </c>
      <c r="R5958">
        <v>-0.14861269999999999</v>
      </c>
      <c r="S5958">
        <v>2.8821720000000002</v>
      </c>
      <c r="T5958">
        <v>-0.3481146</v>
      </c>
      <c r="U5958">
        <v>-1.019409</v>
      </c>
      <c r="V5958">
        <v>9.0835029999999997E-2</v>
      </c>
      <c r="W5958">
        <v>1.7548910000000001E-2</v>
      </c>
      <c r="X5958">
        <v>0.99571129999999997</v>
      </c>
      <c r="Y5958">
        <v>0.27663500000000002</v>
      </c>
      <c r="Z5958">
        <v>-9.3829680000000002E-3</v>
      </c>
      <c r="AA5958">
        <v>0.96092929999999999</v>
      </c>
      <c r="AB5958">
        <v>26</v>
      </c>
      <c r="AC5958">
        <v>9.0306999999999604</v>
      </c>
      <c r="AD5958">
        <v>-1.1103858262339901</v>
      </c>
      <c r="AE5958">
        <v>-3.2421700000000002</v>
      </c>
      <c r="AF5958">
        <v>2.6754701315507798</v>
      </c>
      <c r="AG5958">
        <v>-1.1103858262339901</v>
      </c>
      <c r="AH5958">
        <v>9.0823907149302894</v>
      </c>
      <c r="AI5958">
        <v>96.688782944598501</v>
      </c>
      <c r="AJ5958">
        <v>73.586200135934405</v>
      </c>
      <c r="AK5958">
        <v>9.5331483889937303</v>
      </c>
      <c r="AL5958">
        <v>88.9944698860415</v>
      </c>
      <c r="AM5958">
        <v>84.787547424168494</v>
      </c>
      <c r="AN5958">
        <v>0.99999997993248901</v>
      </c>
    </row>
    <row r="5959" spans="1:40" x14ac:dyDescent="0.25">
      <c r="A5959" t="str">
        <f>"20190312154414712"</f>
        <v>20190312154414712</v>
      </c>
      <c r="B5959" t="str">
        <f>"1552376654703235"</f>
        <v>1552376654703235</v>
      </c>
      <c r="C5959" t="s">
        <v>40</v>
      </c>
      <c r="D5959">
        <v>5.2421540000000002</v>
      </c>
      <c r="E5959">
        <v>0.58678430000000004</v>
      </c>
      <c r="F5959" t="s">
        <v>43</v>
      </c>
      <c r="G5959">
        <v>-323.89109999999999</v>
      </c>
      <c r="H5959" s="1">
        <v>-2.9083830000000001E-6</v>
      </c>
      <c r="I5959">
        <v>19.389710000000001</v>
      </c>
      <c r="J5959">
        <v>-332.88740000000001</v>
      </c>
      <c r="K5959">
        <v>1.110311</v>
      </c>
      <c r="L5959">
        <v>22.638639999999999</v>
      </c>
      <c r="M5959">
        <v>0.9981968</v>
      </c>
      <c r="N5959">
        <v>0</v>
      </c>
      <c r="O5959">
        <v>-5.8382240000000002E-2</v>
      </c>
      <c r="P5959">
        <v>0.98864410000000003</v>
      </c>
      <c r="Q5959">
        <v>2.9175400000000002E-3</v>
      </c>
      <c r="R5959">
        <v>-0.15024960000000001</v>
      </c>
      <c r="S5959">
        <v>2.8814700000000002</v>
      </c>
      <c r="T5959">
        <v>-0.34787299999999999</v>
      </c>
      <c r="U5959">
        <v>-1.021576</v>
      </c>
      <c r="V5959">
        <v>9.2275280000000001E-2</v>
      </c>
      <c r="W5959">
        <v>1.6771310000000001E-2</v>
      </c>
      <c r="X5959">
        <v>0.99559229999999999</v>
      </c>
      <c r="Y5959">
        <v>0.27714739999999999</v>
      </c>
      <c r="Z5959">
        <v>-9.3829670000000007E-3</v>
      </c>
      <c r="AA5959">
        <v>0.96078160000000001</v>
      </c>
      <c r="AB5959">
        <v>26</v>
      </c>
      <c r="AC5959">
        <v>8.9963000000000193</v>
      </c>
      <c r="AD5959">
        <v>-1.110313908383</v>
      </c>
      <c r="AE5959">
        <v>-3.2489299999999899</v>
      </c>
      <c r="AF5959">
        <v>2.6819728608272899</v>
      </c>
      <c r="AG5959">
        <v>-1.110313908383</v>
      </c>
      <c r="AH5959">
        <v>9.0487204664741991</v>
      </c>
      <c r="AI5959">
        <v>96.709734580927602</v>
      </c>
      <c r="AJ5959">
        <v>73.490571659241894</v>
      </c>
      <c r="AK5959">
        <v>9.5029004773149097</v>
      </c>
      <c r="AL5959">
        <v>89.039029682077199</v>
      </c>
      <c r="AM5959">
        <v>84.704737324383004</v>
      </c>
      <c r="AN5959">
        <v>1.0000000159787401</v>
      </c>
    </row>
    <row r="5960" spans="1:40" x14ac:dyDescent="0.25">
      <c r="A5960" t="str">
        <f>"20190312154414734"</f>
        <v>20190312154414734</v>
      </c>
      <c r="B5960" t="str">
        <f>"1552376654723732"</f>
        <v>1552376654723732</v>
      </c>
      <c r="C5960" t="s">
        <v>40</v>
      </c>
      <c r="D5960">
        <v>5.2360949999999997</v>
      </c>
      <c r="E5960">
        <v>0.58745269999999905</v>
      </c>
      <c r="F5960" t="s">
        <v>43</v>
      </c>
      <c r="G5960">
        <v>-323.49439999999998</v>
      </c>
      <c r="H5960" s="1">
        <v>-3.173855E-6</v>
      </c>
      <c r="I5960">
        <v>18.950389999999999</v>
      </c>
      <c r="J5960">
        <v>-332.6284</v>
      </c>
      <c r="K5960">
        <v>1.1101840000000001</v>
      </c>
      <c r="L5960">
        <v>22.62311</v>
      </c>
      <c r="M5960">
        <v>0.99817120000000004</v>
      </c>
      <c r="N5960">
        <v>0</v>
      </c>
      <c r="O5960">
        <v>-5.8818519999999999E-2</v>
      </c>
      <c r="P5960">
        <v>0.98838919999999997</v>
      </c>
      <c r="Q5960">
        <v>1.5896059999999999E-3</v>
      </c>
      <c r="R5960">
        <v>-0.1519354</v>
      </c>
      <c r="S5960">
        <v>2.8645320000000001</v>
      </c>
      <c r="T5960">
        <v>-0.33860659999999998</v>
      </c>
      <c r="U5960">
        <v>-1.1247860000000001</v>
      </c>
      <c r="V5960">
        <v>9.3542189999999997E-2</v>
      </c>
      <c r="W5960">
        <v>1.541345E-2</v>
      </c>
      <c r="X5960">
        <v>0.99549600000000005</v>
      </c>
      <c r="Y5960">
        <v>0.30860680000000001</v>
      </c>
      <c r="Z5960">
        <v>-1.086929E-2</v>
      </c>
      <c r="AA5960">
        <v>0.95112759999999996</v>
      </c>
      <c r="AB5960">
        <v>26</v>
      </c>
      <c r="AC5960">
        <v>9.1340000000000092</v>
      </c>
      <c r="AD5960">
        <v>-1.110187173855</v>
      </c>
      <c r="AE5960">
        <v>-3.67272</v>
      </c>
      <c r="AF5960">
        <v>3.0897669694643501</v>
      </c>
      <c r="AG5960">
        <v>-1.110187173855</v>
      </c>
      <c r="AH5960">
        <v>9.2170154601203595</v>
      </c>
      <c r="AI5960">
        <v>96.515163947180497</v>
      </c>
      <c r="AJ5960">
        <v>71.467599863961496</v>
      </c>
      <c r="AK5960">
        <v>9.7843011747739492</v>
      </c>
      <c r="AL5960">
        <v>89.116839396292406</v>
      </c>
      <c r="AM5960">
        <v>84.631940636848498</v>
      </c>
      <c r="AN5960">
        <v>1.00000000088344</v>
      </c>
    </row>
    <row r="5961" spans="1:40" x14ac:dyDescent="0.25">
      <c r="A5961" t="str">
        <f>"20190312154414746"</f>
        <v>20190312154414746</v>
      </c>
      <c r="B5961" t="str">
        <f>"1552376654733492"</f>
        <v>1552376654733492</v>
      </c>
      <c r="C5961" t="s">
        <v>40</v>
      </c>
      <c r="D5961">
        <v>5.2981199999999999</v>
      </c>
      <c r="E5961">
        <v>0.58744099999999999</v>
      </c>
      <c r="F5961" t="s">
        <v>43</v>
      </c>
      <c r="G5961">
        <v>-323.59059999999999</v>
      </c>
      <c r="H5961" s="1">
        <v>-3.112619E-6</v>
      </c>
      <c r="I5961">
        <v>19.03913</v>
      </c>
      <c r="J5961">
        <v>-332.4837</v>
      </c>
      <c r="K5961">
        <v>1.1101049999999999</v>
      </c>
      <c r="L5961">
        <v>22.614350000000002</v>
      </c>
      <c r="M5961">
        <v>0.9981527</v>
      </c>
      <c r="N5961">
        <v>0</v>
      </c>
      <c r="O5961">
        <v>-5.9133230000000002E-2</v>
      </c>
      <c r="P5961">
        <v>0.98827370000000003</v>
      </c>
      <c r="Q5961">
        <v>1.289835E-3</v>
      </c>
      <c r="R5961">
        <v>-0.15268799999999999</v>
      </c>
      <c r="S5961">
        <v>2.861389</v>
      </c>
      <c r="T5961">
        <v>-0.35149010000000003</v>
      </c>
      <c r="U5961">
        <v>-1.1347050000000001</v>
      </c>
      <c r="V5961">
        <v>9.3989009999999998E-2</v>
      </c>
      <c r="W5961">
        <v>1.509449E-2</v>
      </c>
      <c r="X5961">
        <v>0.99545879999999998</v>
      </c>
      <c r="Y5961">
        <v>0.31138080000000001</v>
      </c>
      <c r="Z5961">
        <v>-1.1411650000000001E-2</v>
      </c>
      <c r="AA5961">
        <v>0.95021670000000003</v>
      </c>
      <c r="AB5961">
        <v>26</v>
      </c>
      <c r="AC5961">
        <v>8.8931000000000004</v>
      </c>
      <c r="AD5961">
        <v>-1.110108112619</v>
      </c>
      <c r="AE5961">
        <v>-3.5752199999999998</v>
      </c>
      <c r="AF5961">
        <v>3.0027545738169801</v>
      </c>
      <c r="AG5961">
        <v>-1.110108112619</v>
      </c>
      <c r="AH5961">
        <v>8.9686637923065398</v>
      </c>
      <c r="AI5961">
        <v>96.694325157528795</v>
      </c>
      <c r="AJ5961">
        <v>71.489190173514004</v>
      </c>
      <c r="AK5961">
        <v>9.5229094961420095</v>
      </c>
      <c r="AL5961">
        <v>89.135116584002603</v>
      </c>
      <c r="AM5961">
        <v>84.606249687644095</v>
      </c>
      <c r="AN5961">
        <v>1.00000000006329</v>
      </c>
    </row>
    <row r="5962" spans="1:40" x14ac:dyDescent="0.25">
      <c r="A5962" t="str">
        <f>"20190312154414758"</f>
        <v>20190312154414758</v>
      </c>
      <c r="B5962" t="str">
        <f>"1552376654753988"</f>
        <v>1552376654753988</v>
      </c>
      <c r="C5962" t="s">
        <v>40</v>
      </c>
      <c r="D5962">
        <v>5.1118139999999999</v>
      </c>
      <c r="E5962">
        <v>0.58388169999999995</v>
      </c>
      <c r="F5962" t="s">
        <v>43</v>
      </c>
      <c r="G5962">
        <v>-323.53930000000003</v>
      </c>
      <c r="H5962" s="1">
        <v>-3.133372E-6</v>
      </c>
      <c r="I5962">
        <v>19.058920000000001</v>
      </c>
      <c r="J5962">
        <v>-332.34109999999998</v>
      </c>
      <c r="K5962">
        <v>1.1100110000000001</v>
      </c>
      <c r="L5962">
        <v>22.60547</v>
      </c>
      <c r="M5962">
        <v>0.99812809999999996</v>
      </c>
      <c r="N5962">
        <v>0</v>
      </c>
      <c r="O5962">
        <v>-5.9546300000000003E-2</v>
      </c>
      <c r="P5962">
        <v>0.98817160000000004</v>
      </c>
      <c r="Q5962">
        <v>6.90842E-4</v>
      </c>
      <c r="R5962">
        <v>-0.15335079999999901</v>
      </c>
      <c r="S5962">
        <v>2.8604129999999999</v>
      </c>
      <c r="T5962">
        <v>-0.355012099999999</v>
      </c>
      <c r="U5962">
        <v>-1.137024</v>
      </c>
      <c r="V5962">
        <v>9.4247540000000005E-2</v>
      </c>
      <c r="W5962">
        <v>1.4473710000000001E-2</v>
      </c>
      <c r="X5962">
        <v>0.99544359999999998</v>
      </c>
      <c r="Y5962">
        <v>0.3117318</v>
      </c>
      <c r="Z5962">
        <v>-1.1499280000000001E-2</v>
      </c>
      <c r="AA5962">
        <v>0.95010050000000001</v>
      </c>
      <c r="AB5962">
        <v>26</v>
      </c>
      <c r="AC5962">
        <v>8.8017999999999503</v>
      </c>
      <c r="AD5962">
        <v>-1.1100141333719999</v>
      </c>
      <c r="AE5962">
        <v>-3.5465499999999999</v>
      </c>
      <c r="AF5962">
        <v>2.9753784833508301</v>
      </c>
      <c r="AG5962">
        <v>-1.1100141333719999</v>
      </c>
      <c r="AH5962">
        <v>8.8759354481121502</v>
      </c>
      <c r="AI5962">
        <v>96.762215568342199</v>
      </c>
      <c r="AJ5962">
        <v>71.467891175460394</v>
      </c>
      <c r="AK5962">
        <v>9.4269421645900895</v>
      </c>
      <c r="AL5962">
        <v>89.170688566059098</v>
      </c>
      <c r="AM5962">
        <v>84.591419179723204</v>
      </c>
      <c r="AN5962">
        <v>1.0000000239290801</v>
      </c>
    </row>
    <row r="5963" spans="1:40" x14ac:dyDescent="0.25">
      <c r="A5963" t="str">
        <f>"20190312154414772"</f>
        <v>20190312154414772</v>
      </c>
      <c r="B5963" t="str">
        <f>"1552376654763748"</f>
        <v>1552376654763748</v>
      </c>
      <c r="C5963" t="s">
        <v>40</v>
      </c>
      <c r="D5963">
        <v>5.1568889999999996</v>
      </c>
      <c r="E5963">
        <v>0.58388169999999995</v>
      </c>
      <c r="F5963" t="s">
        <v>43</v>
      </c>
      <c r="G5963">
        <v>-323.0641</v>
      </c>
      <c r="H5963" s="1">
        <v>-3.3676519999999999E-6</v>
      </c>
      <c r="I5963">
        <v>19.004570000000001</v>
      </c>
      <c r="J5963">
        <v>-332.18520000000001</v>
      </c>
      <c r="K5963">
        <v>1.1098969999999999</v>
      </c>
      <c r="L5963">
        <v>22.595669999999998</v>
      </c>
      <c r="M5963">
        <v>0.9980966</v>
      </c>
      <c r="N5963">
        <v>0</v>
      </c>
      <c r="O5963">
        <v>-6.0070270000000002E-2</v>
      </c>
      <c r="P5963">
        <v>0.98811769999999999</v>
      </c>
      <c r="Q5963">
        <v>5.8760769999999999E-4</v>
      </c>
      <c r="R5963">
        <v>-0.153699</v>
      </c>
      <c r="S5963">
        <v>2.8636780000000002</v>
      </c>
      <c r="T5963">
        <v>-0.34264450000000002</v>
      </c>
      <c r="U5963">
        <v>-1.111542</v>
      </c>
      <c r="V5963">
        <v>9.4079449999999995E-2</v>
      </c>
      <c r="W5963">
        <v>1.4345460000000001E-2</v>
      </c>
      <c r="X5963">
        <v>0.99546129999999999</v>
      </c>
      <c r="Y5963">
        <v>0.30368820000000002</v>
      </c>
      <c r="Z5963">
        <v>-1.058365E-2</v>
      </c>
      <c r="AA5963">
        <v>0.95271269999999997</v>
      </c>
      <c r="AB5963">
        <v>26</v>
      </c>
      <c r="AC5963">
        <v>9.1211000000000109</v>
      </c>
      <c r="AD5963">
        <v>-1.1099003676519901</v>
      </c>
      <c r="AE5963">
        <v>-3.5911</v>
      </c>
      <c r="AF5963">
        <v>2.9982163488525599</v>
      </c>
      <c r="AG5963">
        <v>-1.1099003676519901</v>
      </c>
      <c r="AH5963">
        <v>9.2023902574582692</v>
      </c>
      <c r="AI5963">
        <v>96.541927621159005</v>
      </c>
      <c r="AJ5963">
        <v>71.953953685467695</v>
      </c>
      <c r="AK5963">
        <v>9.7419282768455897</v>
      </c>
      <c r="AL5963">
        <v>89.178037466190403</v>
      </c>
      <c r="AM5963">
        <v>84.601103736097798</v>
      </c>
      <c r="AN5963">
        <v>0.99999996746630104</v>
      </c>
    </row>
    <row r="5964" spans="1:40" x14ac:dyDescent="0.25">
      <c r="A5964" t="str">
        <f>"20190312154414789"</f>
        <v>20190312154414789</v>
      </c>
      <c r="B5964" t="str">
        <f>"1552376654783268"</f>
        <v>1552376654783268</v>
      </c>
      <c r="C5964" t="s">
        <v>40</v>
      </c>
      <c r="D5964">
        <v>5.128889</v>
      </c>
      <c r="E5964">
        <v>0.55844719999999903</v>
      </c>
      <c r="F5964" t="s">
        <v>43</v>
      </c>
      <c r="G5964">
        <v>-322.8997</v>
      </c>
      <c r="H5964" s="1">
        <v>-3.4485180000000002E-6</v>
      </c>
      <c r="I5964">
        <v>18.98678</v>
      </c>
      <c r="J5964">
        <v>-331.99189999999999</v>
      </c>
      <c r="K5964">
        <v>1.109728</v>
      </c>
      <c r="L5964">
        <v>22.583310000000001</v>
      </c>
      <c r="M5964">
        <v>0.99804709999999996</v>
      </c>
      <c r="N5964">
        <v>0</v>
      </c>
      <c r="O5964">
        <v>-6.0887589999999998E-2</v>
      </c>
      <c r="P5964">
        <v>0.98804069999999999</v>
      </c>
      <c r="Q5964">
        <v>6.7587379999999996E-4</v>
      </c>
      <c r="R5964">
        <v>-0.15419229999999901</v>
      </c>
      <c r="S5964">
        <v>2.863159</v>
      </c>
      <c r="T5964">
        <v>-0.34223540000000002</v>
      </c>
      <c r="U5964">
        <v>-1.1127929999999999</v>
      </c>
      <c r="V5964">
        <v>9.3767139999999999E-2</v>
      </c>
      <c r="W5964">
        <v>1.4398380000000001E-2</v>
      </c>
      <c r="X5964">
        <v>0.99548999999999999</v>
      </c>
      <c r="Y5964">
        <v>0.30333890000000002</v>
      </c>
      <c r="Z5964">
        <v>-1.04587E-2</v>
      </c>
      <c r="AA5964">
        <v>0.95282540000000004</v>
      </c>
      <c r="AB5964">
        <v>26</v>
      </c>
      <c r="AC5964">
        <v>9.0921999999999894</v>
      </c>
      <c r="AD5964">
        <v>-1.1097314485179901</v>
      </c>
      <c r="AE5964">
        <v>-3.59653</v>
      </c>
      <c r="AF5964">
        <v>2.9975865937080202</v>
      </c>
      <c r="AG5964">
        <v>-1.1097314485179901</v>
      </c>
      <c r="AH5964">
        <v>9.1761310938118203</v>
      </c>
      <c r="AI5964">
        <v>96.557840011828006</v>
      </c>
      <c r="AJ5964">
        <v>71.909226072458793</v>
      </c>
      <c r="AK5964">
        <v>9.7169136625488193</v>
      </c>
      <c r="AL5964">
        <v>89.175005058209706</v>
      </c>
      <c r="AM5964">
        <v>84.619074982015903</v>
      </c>
      <c r="AN5964">
        <v>0.99999996499520105</v>
      </c>
    </row>
    <row r="5965" spans="1:40" x14ac:dyDescent="0.25">
      <c r="A5965" t="str">
        <f>"20190312154414801"</f>
        <v>20190312154414801</v>
      </c>
      <c r="B5965" t="str">
        <f>"1552376654794004"</f>
        <v>1552376654794004</v>
      </c>
      <c r="C5965" t="s">
        <v>40</v>
      </c>
      <c r="D5965">
        <v>5.1842100000000002</v>
      </c>
      <c r="E5965">
        <v>0.55806499999999903</v>
      </c>
      <c r="F5965" t="s">
        <v>43</v>
      </c>
      <c r="G5965">
        <v>-320.98680000000002</v>
      </c>
      <c r="H5965" s="1">
        <v>-4.3324990000000002E-6</v>
      </c>
      <c r="I5965">
        <v>19.100899999999999</v>
      </c>
      <c r="J5965">
        <v>-331.8372</v>
      </c>
      <c r="K5965">
        <v>1.1095790000000001</v>
      </c>
      <c r="L5965">
        <v>22.573060000000002</v>
      </c>
      <c r="M5965">
        <v>0.99799559999999998</v>
      </c>
      <c r="N5965">
        <v>0</v>
      </c>
      <c r="O5965">
        <v>-6.17259E-2</v>
      </c>
      <c r="P5965">
        <v>0.98789859999999896</v>
      </c>
      <c r="Q5965">
        <v>1.2617939999999999E-3</v>
      </c>
      <c r="R5965">
        <v>-0.15509700000000001</v>
      </c>
      <c r="S5965">
        <v>2.8936160000000002</v>
      </c>
      <c r="T5965">
        <v>-0.29178809999999999</v>
      </c>
      <c r="U5965">
        <v>-0.91564939999999995</v>
      </c>
      <c r="V5965">
        <v>9.3849119999999994E-2</v>
      </c>
      <c r="W5965">
        <v>1.495145E-2</v>
      </c>
      <c r="X5965">
        <v>0.99547419999999998</v>
      </c>
      <c r="Y5965">
        <v>0.2414376</v>
      </c>
      <c r="Z5965">
        <v>-5.8098469999999999E-3</v>
      </c>
      <c r="AA5965">
        <v>0.97039900000000001</v>
      </c>
      <c r="AB5965">
        <v>26</v>
      </c>
      <c r="AC5965">
        <v>10.850399999999899</v>
      </c>
      <c r="AD5965">
        <v>-1.1095833324989901</v>
      </c>
      <c r="AE5965">
        <v>-3.4721600000000001</v>
      </c>
      <c r="AF5965">
        <v>2.7694505404328802</v>
      </c>
      <c r="AG5965">
        <v>-1.1095833324989901</v>
      </c>
      <c r="AH5965">
        <v>10.9402681793008</v>
      </c>
      <c r="AI5965">
        <v>95.615307951043604</v>
      </c>
      <c r="AJ5965">
        <v>75.794403315458496</v>
      </c>
      <c r="AK5965">
        <v>11.339775099299199</v>
      </c>
      <c r="AL5965">
        <v>89.143313134103195</v>
      </c>
      <c r="AM5965">
        <v>84.614313147271105</v>
      </c>
      <c r="AN5965">
        <v>1.0000000430237499</v>
      </c>
    </row>
    <row r="5966" spans="1:40" x14ac:dyDescent="0.25">
      <c r="A5966" t="str">
        <f>"20190312154414814"</f>
        <v>20190312154414814</v>
      </c>
      <c r="B5966" t="str">
        <f>"1552376654803764"</f>
        <v>1552376654803764</v>
      </c>
      <c r="C5966" t="s">
        <v>40</v>
      </c>
      <c r="D5966">
        <v>5.1790500000000002</v>
      </c>
      <c r="E5966">
        <v>0.55799299999999996</v>
      </c>
      <c r="F5966" t="s">
        <v>43</v>
      </c>
      <c r="G5966">
        <v>-321.03989999999999</v>
      </c>
      <c r="H5966" s="1">
        <v>-4.2974529999999997E-6</v>
      </c>
      <c r="I5966">
        <v>19.157019999999999</v>
      </c>
      <c r="J5966">
        <v>-331.69979999999998</v>
      </c>
      <c r="K5966">
        <v>1.109451</v>
      </c>
      <c r="L5966">
        <v>22.563749999999999</v>
      </c>
      <c r="M5966">
        <v>0.99794380000000005</v>
      </c>
      <c r="N5966">
        <v>0</v>
      </c>
      <c r="O5966">
        <v>-6.2557470000000004E-2</v>
      </c>
      <c r="P5966">
        <v>0.98778679999999996</v>
      </c>
      <c r="Q5966">
        <v>1.8337360000000001E-3</v>
      </c>
      <c r="R5966">
        <v>-0.1558002</v>
      </c>
      <c r="S5966">
        <v>2.893402</v>
      </c>
      <c r="T5966">
        <v>-0.29733850000000001</v>
      </c>
      <c r="U5966">
        <v>-0.91540529999999998</v>
      </c>
      <c r="V5966">
        <v>9.3734940000000003E-2</v>
      </c>
      <c r="W5966">
        <v>1.5495460000000001E-2</v>
      </c>
      <c r="X5966">
        <v>0.99547660000000004</v>
      </c>
      <c r="Y5966">
        <v>0.24055170000000001</v>
      </c>
      <c r="Z5966">
        <v>-5.7932799999999996E-3</v>
      </c>
      <c r="AA5966">
        <v>0.97061900000000001</v>
      </c>
      <c r="AB5966">
        <v>26</v>
      </c>
      <c r="AC5966">
        <v>10.659899999999899</v>
      </c>
      <c r="AD5966">
        <v>-1.1094552974530001</v>
      </c>
      <c r="AE5966">
        <v>-3.4067299999999898</v>
      </c>
      <c r="AF5966">
        <v>2.7065341686317201</v>
      </c>
      <c r="AG5966">
        <v>-1.1094552974530001</v>
      </c>
      <c r="AH5966">
        <v>10.746533902467799</v>
      </c>
      <c r="AI5966">
        <v>95.716958924038806</v>
      </c>
      <c r="AJ5966">
        <v>75.863939684327804</v>
      </c>
      <c r="AK5966">
        <v>11.1375135995386</v>
      </c>
      <c r="AL5966">
        <v>89.112140011573501</v>
      </c>
      <c r="AM5966">
        <v>84.620839989432199</v>
      </c>
      <c r="AN5966">
        <v>1.00000000470248</v>
      </c>
    </row>
    <row r="5967" spans="1:40" x14ac:dyDescent="0.25">
      <c r="A5967" t="str">
        <f>"20190312154414827"</f>
        <v>20190312154414827</v>
      </c>
      <c r="B5967" t="str">
        <f>"1552376654823284"</f>
        <v>1552376654823284</v>
      </c>
      <c r="C5967" t="s">
        <v>40</v>
      </c>
      <c r="D5967">
        <v>5.259652</v>
      </c>
      <c r="E5967">
        <v>0.55802969999999996</v>
      </c>
      <c r="F5967" t="s">
        <v>43</v>
      </c>
      <c r="G5967">
        <v>-321.10480000000001</v>
      </c>
      <c r="H5967" s="1">
        <v>-4.25827099999999E-6</v>
      </c>
      <c r="I5967">
        <v>19.204979999999999</v>
      </c>
      <c r="J5967">
        <v>-331.54270000000002</v>
      </c>
      <c r="K5967">
        <v>1.1092949999999999</v>
      </c>
      <c r="L5967">
        <v>22.552949999999999</v>
      </c>
      <c r="M5967">
        <v>0.99787760000000003</v>
      </c>
      <c r="N5967">
        <v>0</v>
      </c>
      <c r="O5967">
        <v>-6.3604610000000006E-2</v>
      </c>
      <c r="P5967">
        <v>0.98767530000000003</v>
      </c>
      <c r="Q5967">
        <v>2.270542E-3</v>
      </c>
      <c r="R5967">
        <v>-0.156500799999999</v>
      </c>
      <c r="S5967">
        <v>2.8929749999999999</v>
      </c>
      <c r="T5967">
        <v>-0.30293740000000002</v>
      </c>
      <c r="U5967">
        <v>-0.91711430000000005</v>
      </c>
      <c r="V5967">
        <v>9.34035E-2</v>
      </c>
      <c r="W5967">
        <v>1.590072E-2</v>
      </c>
      <c r="X5967">
        <v>0.99550130000000003</v>
      </c>
      <c r="Y5967">
        <v>0.24007120000000001</v>
      </c>
      <c r="Z5967">
        <v>-5.7715809999999996E-3</v>
      </c>
      <c r="AA5967">
        <v>0.97073810000000005</v>
      </c>
      <c r="AB5967">
        <v>26</v>
      </c>
      <c r="AC5967">
        <v>10.437900000000001</v>
      </c>
      <c r="AD5967">
        <v>-1.109299258271</v>
      </c>
      <c r="AE5967">
        <v>-3.3479699999999899</v>
      </c>
      <c r="AF5967">
        <v>2.6500868760713101</v>
      </c>
      <c r="AG5967">
        <v>-1.109299258271</v>
      </c>
      <c r="AH5967">
        <v>10.5219725204157</v>
      </c>
      <c r="AI5967">
        <v>95.837307335441295</v>
      </c>
      <c r="AJ5967">
        <v>75.863382051450799</v>
      </c>
      <c r="AK5967">
        <v>10.9071266159108</v>
      </c>
      <c r="AL5967">
        <v>89.088917405703498</v>
      </c>
      <c r="AM5967">
        <v>84.639881551493204</v>
      </c>
      <c r="AN5967">
        <v>0.99999994250522695</v>
      </c>
    </row>
    <row r="5968" spans="1:40" x14ac:dyDescent="0.25">
      <c r="A5968" t="str">
        <f>"20190312154414839"</f>
        <v>20190312154414839</v>
      </c>
      <c r="B5968" t="str">
        <f>"1552376654834020"</f>
        <v>1552376654834020</v>
      </c>
      <c r="C5968" t="s">
        <v>40</v>
      </c>
      <c r="D5968">
        <v>5.2580980000000004</v>
      </c>
      <c r="E5968">
        <v>0.56294809999999995</v>
      </c>
      <c r="F5968" t="s">
        <v>43</v>
      </c>
      <c r="G5968">
        <v>-321.0154</v>
      </c>
      <c r="H5968" s="1">
        <v>-4.3004810000000003E-6</v>
      </c>
      <c r="I5968">
        <v>19.205179999999999</v>
      </c>
      <c r="J5968">
        <v>-331.40289999999999</v>
      </c>
      <c r="K5968">
        <v>1.109146</v>
      </c>
      <c r="L5968">
        <v>22.542909999999999</v>
      </c>
      <c r="M5968">
        <v>0.99780559999999996</v>
      </c>
      <c r="N5968">
        <v>0</v>
      </c>
      <c r="O5968">
        <v>-6.4723390000000006E-2</v>
      </c>
      <c r="P5968">
        <v>0.98752930000000005</v>
      </c>
      <c r="Q5968">
        <v>2.863675E-3</v>
      </c>
      <c r="R5968">
        <v>-0.1574111</v>
      </c>
      <c r="S5968">
        <v>2.8923649999999999</v>
      </c>
      <c r="T5968">
        <v>-0.30478040000000001</v>
      </c>
      <c r="U5968">
        <v>-0.91979979999999995</v>
      </c>
      <c r="V5968">
        <v>9.3212649999999994E-2</v>
      </c>
      <c r="W5968">
        <v>1.646475E-2</v>
      </c>
      <c r="X5968">
        <v>0.99551009999999995</v>
      </c>
      <c r="Y5968">
        <v>0.23985680000000001</v>
      </c>
      <c r="Z5968">
        <v>-5.6819160000000004E-3</v>
      </c>
      <c r="AA5968">
        <v>0.97079159999999998</v>
      </c>
      <c r="AB5968">
        <v>26</v>
      </c>
      <c r="AC5968">
        <v>10.3874999999999</v>
      </c>
      <c r="AD5968">
        <v>-1.1091503004809999</v>
      </c>
      <c r="AE5968">
        <v>-3.3377300000000001</v>
      </c>
      <c r="AF5968">
        <v>2.6311590201239001</v>
      </c>
      <c r="AG5968">
        <v>-1.1091503004809999</v>
      </c>
      <c r="AH5968">
        <v>10.4735282027937</v>
      </c>
      <c r="AI5968">
        <v>95.864222286839606</v>
      </c>
      <c r="AJ5968">
        <v>75.897990186676395</v>
      </c>
      <c r="AK5968">
        <v>10.8557821087636</v>
      </c>
      <c r="AL5968">
        <v>89.056596708146103</v>
      </c>
      <c r="AM5968">
        <v>84.650817217652403</v>
      </c>
      <c r="AN5968">
        <v>1.00000002265729</v>
      </c>
    </row>
    <row r="5969" spans="1:40" x14ac:dyDescent="0.25">
      <c r="A5969" t="str">
        <f>"20190312154414856"</f>
        <v>20190312154414856</v>
      </c>
      <c r="B5969" t="str">
        <f>"1552376654843780"</f>
        <v>1552376654843780</v>
      </c>
      <c r="C5969" t="s">
        <v>40</v>
      </c>
      <c r="D5969">
        <v>5.2071069999999997</v>
      </c>
      <c r="E5969">
        <v>0.56294809999999995</v>
      </c>
      <c r="F5969" t="s">
        <v>43</v>
      </c>
      <c r="G5969">
        <v>-323.75490000000002</v>
      </c>
      <c r="H5969" s="1">
        <v>-3.0350210000000001E-6</v>
      </c>
      <c r="I5969">
        <v>20.001359999999998</v>
      </c>
      <c r="J5969">
        <v>-331.21179999999998</v>
      </c>
      <c r="K5969">
        <v>1.1089420000000001</v>
      </c>
      <c r="L5969">
        <v>22.52881</v>
      </c>
      <c r="M5969">
        <v>0.99769509999999995</v>
      </c>
      <c r="N5969">
        <v>0</v>
      </c>
      <c r="O5969">
        <v>-6.6402030000000001E-2</v>
      </c>
      <c r="P5969">
        <v>0.98733400000000004</v>
      </c>
      <c r="Q5969">
        <v>3.0379439999999999E-3</v>
      </c>
      <c r="R5969">
        <v>-0.15862709999999999</v>
      </c>
      <c r="S5969">
        <v>2.8862299999999999</v>
      </c>
      <c r="T5969">
        <v>-0.41857369999999999</v>
      </c>
      <c r="U5969">
        <v>-0.95913700000000002</v>
      </c>
      <c r="V5969">
        <v>9.2772709999999994E-2</v>
      </c>
      <c r="W5969">
        <v>1.659919E-2</v>
      </c>
      <c r="X5969">
        <v>0.99554900000000002</v>
      </c>
      <c r="Y5969">
        <v>0.2499207</v>
      </c>
      <c r="Z5969">
        <v>-8.259321E-3</v>
      </c>
      <c r="AA5969">
        <v>0.96823110000000001</v>
      </c>
      <c r="AB5969">
        <v>26</v>
      </c>
      <c r="AC5969">
        <v>7.4568999999999601</v>
      </c>
      <c r="AD5969">
        <v>-1.1089450350209999</v>
      </c>
      <c r="AE5969">
        <v>-2.5274499999999902</v>
      </c>
      <c r="AF5969">
        <v>1.98724811630082</v>
      </c>
      <c r="AG5969">
        <v>-1.1089450350209999</v>
      </c>
      <c r="AH5969">
        <v>7.4602937659806896</v>
      </c>
      <c r="AI5969">
        <v>98.173920702657199</v>
      </c>
      <c r="AJ5969">
        <v>75.084097093499096</v>
      </c>
      <c r="AK5969">
        <v>7.7996728932160497</v>
      </c>
      <c r="AL5969">
        <v>89.048892846514093</v>
      </c>
      <c r="AM5969">
        <v>84.676125415928198</v>
      </c>
      <c r="AN5969">
        <v>1.0000000601151899</v>
      </c>
    </row>
    <row r="5970" spans="1:40" x14ac:dyDescent="0.25">
      <c r="A5970" t="str">
        <f>"20190312154414877"</f>
        <v>20190312154414877</v>
      </c>
      <c r="B5970" t="str">
        <f>"1552376654874037"</f>
        <v>1552376654874037</v>
      </c>
      <c r="C5970" t="s">
        <v>40</v>
      </c>
      <c r="D5970">
        <v>5.2330589999999999</v>
      </c>
      <c r="E5970">
        <v>0.55878669999999997</v>
      </c>
      <c r="F5970" t="s">
        <v>43</v>
      </c>
      <c r="G5970">
        <v>-323.54559999999998</v>
      </c>
      <c r="H5970" s="1">
        <v>-3.1253700000000002E-6</v>
      </c>
      <c r="I5970">
        <v>19.96913</v>
      </c>
      <c r="J5970">
        <v>-330.95960000000002</v>
      </c>
      <c r="K5970">
        <v>1.1086590000000001</v>
      </c>
      <c r="L5970">
        <v>22.509370000000001</v>
      </c>
      <c r="M5970">
        <v>0.9975212</v>
      </c>
      <c r="N5970">
        <v>0</v>
      </c>
      <c r="O5970">
        <v>-6.8962750000000003E-2</v>
      </c>
      <c r="P5970">
        <v>0.98688940000000003</v>
      </c>
      <c r="Q5970">
        <v>2.5045419999999998E-3</v>
      </c>
      <c r="R5970">
        <v>-0.16137879999999999</v>
      </c>
      <c r="S5970">
        <v>2.8850099999999999</v>
      </c>
      <c r="T5970">
        <v>-0.41733130000000002</v>
      </c>
      <c r="U5970">
        <v>-0.96328740000000002</v>
      </c>
      <c r="V5970">
        <v>9.300137E-2</v>
      </c>
      <c r="W5970">
        <v>1.6011330000000001E-2</v>
      </c>
      <c r="X5970">
        <v>0.99553720000000001</v>
      </c>
      <c r="Y5970">
        <v>0.24885650000000001</v>
      </c>
      <c r="Z5970">
        <v>-7.8056810000000001E-3</v>
      </c>
      <c r="AA5970">
        <v>0.96850890000000001</v>
      </c>
      <c r="AB5970">
        <v>26</v>
      </c>
      <c r="AC5970">
        <v>7.4140000000000397</v>
      </c>
      <c r="AD5970">
        <v>-1.10866212537</v>
      </c>
      <c r="AE5970">
        <v>-2.5402399999999998</v>
      </c>
      <c r="AF5970">
        <v>1.98316448724424</v>
      </c>
      <c r="AG5970">
        <v>-1.10866212537</v>
      </c>
      <c r="AH5970">
        <v>7.4229967793741096</v>
      </c>
      <c r="AI5970">
        <v>98.210774464208498</v>
      </c>
      <c r="AJ5970">
        <v>75.041932551280794</v>
      </c>
      <c r="AK5970">
        <v>7.7629217617012598</v>
      </c>
      <c r="AL5970">
        <v>89.082579134781597</v>
      </c>
      <c r="AM5970">
        <v>84.663016267832404</v>
      </c>
      <c r="AN5970">
        <v>0.99999996704704197</v>
      </c>
    </row>
    <row r="5971" spans="1:40" x14ac:dyDescent="0.25">
      <c r="A5971" t="str">
        <f>"20190312154414889"</f>
        <v>20190312154414889</v>
      </c>
      <c r="B5971" t="str">
        <f>"1552376654883796"</f>
        <v>1552376654883796</v>
      </c>
      <c r="C5971" t="s">
        <v>40</v>
      </c>
      <c r="D5971">
        <v>5.2316459999999996</v>
      </c>
      <c r="E5971">
        <v>0.55909430000000004</v>
      </c>
      <c r="F5971" t="s">
        <v>43</v>
      </c>
      <c r="G5971">
        <v>-321.4751</v>
      </c>
      <c r="H5971" s="1">
        <v>-4.0452179999999999E-6</v>
      </c>
      <c r="I5971">
        <v>19.419129999999999</v>
      </c>
      <c r="J5971">
        <v>-330.82569999999998</v>
      </c>
      <c r="K5971">
        <v>1.1085160000000001</v>
      </c>
      <c r="L5971">
        <v>22.498719999999999</v>
      </c>
      <c r="M5971">
        <v>0.99741800000000003</v>
      </c>
      <c r="N5971">
        <v>0</v>
      </c>
      <c r="O5971">
        <v>-7.0441859999999995E-2</v>
      </c>
      <c r="P5971">
        <v>0.98657439999999996</v>
      </c>
      <c r="Q5971">
        <v>2.124393E-3</v>
      </c>
      <c r="R5971">
        <v>-0.16330059999999999</v>
      </c>
      <c r="S5971">
        <v>2.8869020000000001</v>
      </c>
      <c r="T5971">
        <v>-0.33745730000000002</v>
      </c>
      <c r="U5971">
        <v>-0.94061280000000003</v>
      </c>
      <c r="V5971">
        <v>9.3467850000000005E-2</v>
      </c>
      <c r="W5971">
        <v>1.560083E-2</v>
      </c>
      <c r="X5971">
        <v>0.9955001</v>
      </c>
      <c r="Y5971">
        <v>0.2409945</v>
      </c>
      <c r="Z5971">
        <v>-5.7120039999999997E-3</v>
      </c>
      <c r="AA5971">
        <v>0.97050959999999997</v>
      </c>
      <c r="AB5971">
        <v>26</v>
      </c>
      <c r="AC5971">
        <v>9.3505999999999805</v>
      </c>
      <c r="AD5971">
        <v>-1.108520045218</v>
      </c>
      <c r="AE5971">
        <v>-3.07959</v>
      </c>
      <c r="AF5971">
        <v>2.3829866253960201</v>
      </c>
      <c r="AG5971">
        <v>-1.108520045218</v>
      </c>
      <c r="AH5971">
        <v>9.4248235477939009</v>
      </c>
      <c r="AI5971">
        <v>96.505263290064505</v>
      </c>
      <c r="AJ5971">
        <v>75.810629554191493</v>
      </c>
      <c r="AK5971">
        <v>9.7844131584125602</v>
      </c>
      <c r="AL5971">
        <v>89.106102054306007</v>
      </c>
      <c r="AM5971">
        <v>84.6362038202045</v>
      </c>
      <c r="AN5971">
        <v>1.00000003699016</v>
      </c>
    </row>
    <row r="5972" spans="1:40" x14ac:dyDescent="0.25">
      <c r="A5972" t="str">
        <f>"20190312154414904"</f>
        <v>20190312154414904</v>
      </c>
      <c r="B5972" t="str">
        <f>"1552376654893556"</f>
        <v>1552376654893556</v>
      </c>
      <c r="C5972" t="s">
        <v>40</v>
      </c>
      <c r="D5972">
        <v>6.5587629999999999</v>
      </c>
      <c r="E5972">
        <v>0.55909430000000004</v>
      </c>
      <c r="F5972" t="s">
        <v>43</v>
      </c>
      <c r="G5972">
        <v>-321.5564</v>
      </c>
      <c r="H5972" s="1">
        <v>-4.0010649999999998E-6</v>
      </c>
      <c r="I5972">
        <v>19.451370000000001</v>
      </c>
      <c r="J5972">
        <v>-330.65539999999999</v>
      </c>
      <c r="K5972">
        <v>1.1083510000000001</v>
      </c>
      <c r="L5972">
        <v>22.484559999999998</v>
      </c>
      <c r="M5972">
        <v>0.99726990000000004</v>
      </c>
      <c r="N5972">
        <v>0</v>
      </c>
      <c r="O5972">
        <v>-7.2505280000000005E-2</v>
      </c>
      <c r="P5972">
        <v>0.98616780000000004</v>
      </c>
      <c r="Q5972">
        <v>1.8786289999999999E-3</v>
      </c>
      <c r="R5972">
        <v>-0.16573889999999999</v>
      </c>
      <c r="S5972">
        <v>2.8845830000000001</v>
      </c>
      <c r="T5972">
        <v>-0.34497070000000002</v>
      </c>
      <c r="U5972">
        <v>-0.94833369999999995</v>
      </c>
      <c r="V5972">
        <v>9.3874540000000006E-2</v>
      </c>
      <c r="W5972">
        <v>1.532095E-2</v>
      </c>
      <c r="X5972">
        <v>0.99546610000000002</v>
      </c>
      <c r="Y5972">
        <v>0.24152570000000001</v>
      </c>
      <c r="Z5972">
        <v>-5.6336229999999999E-3</v>
      </c>
      <c r="AA5972">
        <v>0.97037799999999996</v>
      </c>
      <c r="AB5972">
        <v>26</v>
      </c>
      <c r="AC5972">
        <v>9.0989999999999895</v>
      </c>
      <c r="AD5972">
        <v>-1.1083550010650001</v>
      </c>
      <c r="AE5972">
        <v>-3.0331899999999998</v>
      </c>
      <c r="AF5972">
        <v>2.3342438341633498</v>
      </c>
      <c r="AG5972">
        <v>-1.1083550010650001</v>
      </c>
      <c r="AH5972">
        <v>9.1725023072738399</v>
      </c>
      <c r="AI5972">
        <v>96.679040427015494</v>
      </c>
      <c r="AJ5972">
        <v>75.722277095816096</v>
      </c>
      <c r="AK5972">
        <v>9.5295300861406194</v>
      </c>
      <c r="AL5972">
        <v>89.122139844586897</v>
      </c>
      <c r="AM5972">
        <v>84.612819382935896</v>
      </c>
      <c r="AN5972">
        <v>0.99999995850916101</v>
      </c>
    </row>
    <row r="5973" spans="1:40" x14ac:dyDescent="0.25">
      <c r="A5973" t="str">
        <f>"20190312154414917"</f>
        <v>20190312154414917</v>
      </c>
      <c r="B5973" t="str">
        <f>"1552376654914052"</f>
        <v>1552376654914052</v>
      </c>
      <c r="C5973" t="s">
        <v>40</v>
      </c>
      <c r="D5973">
        <v>5.2044410000000001</v>
      </c>
      <c r="E5973">
        <v>0.55412980000000001</v>
      </c>
      <c r="F5973" t="s">
        <v>43</v>
      </c>
      <c r="G5973">
        <v>-321.41739999999999</v>
      </c>
      <c r="H5973" s="1">
        <v>-4.0718929999999999E-6</v>
      </c>
      <c r="I5973">
        <v>19.422630000000002</v>
      </c>
      <c r="J5973">
        <v>-330.49849999999998</v>
      </c>
      <c r="K5973">
        <v>1.1082110000000001</v>
      </c>
      <c r="L5973">
        <v>22.471070000000001</v>
      </c>
      <c r="M5973">
        <v>0.99712080000000003</v>
      </c>
      <c r="N5973">
        <v>0</v>
      </c>
      <c r="O5973">
        <v>-7.4527399999999994E-2</v>
      </c>
      <c r="P5973">
        <v>0.98570219999999997</v>
      </c>
      <c r="Q5973">
        <v>1.9993020000000001E-3</v>
      </c>
      <c r="R5973">
        <v>-0.168485</v>
      </c>
      <c r="S5973">
        <v>2.8821720000000002</v>
      </c>
      <c r="T5973">
        <v>-0.3457962</v>
      </c>
      <c r="U5973">
        <v>-0.95529169999999997</v>
      </c>
      <c r="V5973">
        <v>9.4634720000000006E-2</v>
      </c>
      <c r="W5973">
        <v>1.5410119999999999E-2</v>
      </c>
      <c r="X5973">
        <v>0.99539279999999997</v>
      </c>
      <c r="Y5973">
        <v>0.2419163</v>
      </c>
      <c r="Z5973">
        <v>-5.4386729999999998E-3</v>
      </c>
      <c r="AA5973">
        <v>0.97028190000000003</v>
      </c>
      <c r="AB5973">
        <v>26</v>
      </c>
      <c r="AC5973">
        <v>9.0810999999999904</v>
      </c>
      <c r="AD5973">
        <v>-1.1082150718929999</v>
      </c>
      <c r="AE5973">
        <v>-3.0484399999999998</v>
      </c>
      <c r="AF5973">
        <v>2.3318925939139699</v>
      </c>
      <c r="AG5973">
        <v>-1.1082150718929999</v>
      </c>
      <c r="AH5973">
        <v>9.1604479897292599</v>
      </c>
      <c r="AI5973">
        <v>96.686789330743494</v>
      </c>
      <c r="AJ5973">
        <v>75.718068991967797</v>
      </c>
      <c r="AK5973">
        <v>9.5173352934346305</v>
      </c>
      <c r="AL5973">
        <v>89.117030225624703</v>
      </c>
      <c r="AM5973">
        <v>84.569057161500794</v>
      </c>
      <c r="AN5973">
        <v>1.00000001415986</v>
      </c>
    </row>
    <row r="5974" spans="1:40" x14ac:dyDescent="0.25">
      <c r="A5974" t="str">
        <f>"20190312154414936"</f>
        <v>20190312154414936</v>
      </c>
      <c r="B5974" t="str">
        <f>"1552376654923817"</f>
        <v>1552376654923817</v>
      </c>
      <c r="C5974" t="s">
        <v>40</v>
      </c>
      <c r="D5974">
        <v>5.2205849999999998</v>
      </c>
      <c r="E5974">
        <v>0.55405349999999998</v>
      </c>
      <c r="F5974" t="s">
        <v>42</v>
      </c>
      <c r="G5974">
        <v>-318.38350000000003</v>
      </c>
      <c r="H5974">
        <v>-0.05</v>
      </c>
      <c r="I5974">
        <v>18.58568</v>
      </c>
      <c r="J5974">
        <v>-330.28519999999997</v>
      </c>
      <c r="K5974">
        <v>1.1080410000000001</v>
      </c>
      <c r="L5974">
        <v>22.452030000000001</v>
      </c>
      <c r="M5974">
        <v>0.99689879999999997</v>
      </c>
      <c r="N5974">
        <v>0</v>
      </c>
      <c r="O5974">
        <v>-7.7438640000000003E-2</v>
      </c>
      <c r="P5974">
        <v>0.98492159999999995</v>
      </c>
      <c r="Q5974">
        <v>2.8352870000000001E-3</v>
      </c>
      <c r="R5974">
        <v>-0.17297879999999999</v>
      </c>
      <c r="S5974">
        <v>2.8858950000000001</v>
      </c>
      <c r="T5974">
        <v>-0.27589730000000001</v>
      </c>
      <c r="U5974">
        <v>-0.9255371</v>
      </c>
      <c r="V5974">
        <v>9.6279589999999998E-2</v>
      </c>
      <c r="W5974">
        <v>1.6201090000000001E-2</v>
      </c>
      <c r="X5974">
        <v>0.99522239999999995</v>
      </c>
      <c r="Y5974">
        <v>0.230098</v>
      </c>
      <c r="Z5974">
        <v>-3.5266009999999999E-3</v>
      </c>
      <c r="AA5974">
        <v>0.9731611</v>
      </c>
      <c r="AB5974">
        <v>26</v>
      </c>
      <c r="AC5974">
        <v>11.9016999999999</v>
      </c>
      <c r="AD5974">
        <v>-1.1580409999999901</v>
      </c>
      <c r="AE5974">
        <v>-3.8663500000000002</v>
      </c>
      <c r="AF5974">
        <v>2.9080918597604701</v>
      </c>
      <c r="AG5974">
        <v>-1.1580409999999901</v>
      </c>
      <c r="AH5974">
        <v>12.0620923913891</v>
      </c>
      <c r="AI5974">
        <v>95.332107632508993</v>
      </c>
      <c r="AJ5974">
        <v>76.445041717459205</v>
      </c>
      <c r="AK5974">
        <v>12.4616263016066</v>
      </c>
      <c r="AL5974">
        <v>89.071705242514199</v>
      </c>
      <c r="AM5974">
        <v>84.474299580971802</v>
      </c>
      <c r="AN5974">
        <v>0.99999993011475496</v>
      </c>
    </row>
    <row r="5975" spans="1:40" x14ac:dyDescent="0.25">
      <c r="A5975" t="str">
        <f>"20190312154414952"</f>
        <v>20190312154414952</v>
      </c>
      <c r="B5975" t="str">
        <f>"1552376654943337"</f>
        <v>1552376654943337</v>
      </c>
      <c r="C5975" t="s">
        <v>40</v>
      </c>
      <c r="D5975">
        <v>5.2193740000000002</v>
      </c>
      <c r="E5975">
        <v>0.55603290000000005</v>
      </c>
      <c r="F5975" t="s">
        <v>42</v>
      </c>
      <c r="G5975">
        <v>-318.08749999999998</v>
      </c>
      <c r="H5975">
        <v>-0.05</v>
      </c>
      <c r="I5975">
        <v>18.481030000000001</v>
      </c>
      <c r="J5975">
        <v>-330.10629999999998</v>
      </c>
      <c r="K5975">
        <v>1.107907</v>
      </c>
      <c r="L5975">
        <v>22.43552</v>
      </c>
      <c r="M5975">
        <v>0.9966952</v>
      </c>
      <c r="N5975">
        <v>0</v>
      </c>
      <c r="O5975">
        <v>-8.0016870000000004E-2</v>
      </c>
      <c r="P5975">
        <v>0.98432379999999997</v>
      </c>
      <c r="Q5975">
        <v>3.26662E-3</v>
      </c>
      <c r="R5975">
        <v>-0.1763421</v>
      </c>
      <c r="S5975">
        <v>2.881958</v>
      </c>
      <c r="T5975">
        <v>-0.27361239999999998</v>
      </c>
      <c r="U5975">
        <v>-0.93823239999999997</v>
      </c>
      <c r="V5975">
        <v>9.7113169999999999E-2</v>
      </c>
      <c r="W5975">
        <v>1.6601100000000001E-2</v>
      </c>
      <c r="X5975">
        <v>0.99513490000000004</v>
      </c>
      <c r="Y5975">
        <v>0.2318617</v>
      </c>
      <c r="Z5975">
        <v>-3.3453900000000002E-3</v>
      </c>
      <c r="AA5975">
        <v>0.97274300000000002</v>
      </c>
      <c r="AB5975">
        <v>26</v>
      </c>
      <c r="AC5975">
        <v>12.018800000000001</v>
      </c>
      <c r="AD5975">
        <v>-1.157907</v>
      </c>
      <c r="AE5975">
        <v>-3.9544899999999998</v>
      </c>
      <c r="AF5975">
        <v>2.95525622109469</v>
      </c>
      <c r="AG5975">
        <v>-1.157907</v>
      </c>
      <c r="AH5975">
        <v>12.1945816672094</v>
      </c>
      <c r="AI5975">
        <v>95.272403289027196</v>
      </c>
      <c r="AJ5975">
        <v>76.377469518785503</v>
      </c>
      <c r="AK5975">
        <v>12.6008773500581</v>
      </c>
      <c r="AL5975">
        <v>89.048783355250194</v>
      </c>
      <c r="AM5975">
        <v>84.426271530518093</v>
      </c>
      <c r="AN5975">
        <v>1.0000000167533301</v>
      </c>
    </row>
    <row r="5976" spans="1:40" x14ac:dyDescent="0.25">
      <c r="A5976" t="str">
        <f>"20190312154414964"</f>
        <v>20190312154414964</v>
      </c>
      <c r="B5976" t="str">
        <f>"1552376654953097"</f>
        <v>1552376654953097</v>
      </c>
      <c r="C5976" t="s">
        <v>40</v>
      </c>
      <c r="D5976">
        <v>5.2463170000000003</v>
      </c>
      <c r="E5976">
        <v>0.55666300000000002</v>
      </c>
      <c r="F5976" t="s">
        <v>42</v>
      </c>
      <c r="G5976">
        <v>-318.72640000000001</v>
      </c>
      <c r="H5976">
        <v>-0.05</v>
      </c>
      <c r="I5976">
        <v>18.624420000000001</v>
      </c>
      <c r="J5976">
        <v>-329.94119999999998</v>
      </c>
      <c r="K5976">
        <v>1.1078030000000001</v>
      </c>
      <c r="L5976">
        <v>22.41968</v>
      </c>
      <c r="M5976">
        <v>0.99649209999999999</v>
      </c>
      <c r="N5976">
        <v>0</v>
      </c>
      <c r="O5976">
        <v>-8.2503649999999998E-2</v>
      </c>
      <c r="P5976">
        <v>0.98372179999999998</v>
      </c>
      <c r="Q5976">
        <v>3.642602E-3</v>
      </c>
      <c r="R5976">
        <v>-0.1796615</v>
      </c>
      <c r="S5976">
        <v>2.87616</v>
      </c>
      <c r="T5976">
        <v>-0.29265140000000001</v>
      </c>
      <c r="U5976">
        <v>-0.96322629999999998</v>
      </c>
      <c r="V5976">
        <v>9.799397E-2</v>
      </c>
      <c r="W5976">
        <v>1.6950099999999999E-2</v>
      </c>
      <c r="X5976">
        <v>0.9950426</v>
      </c>
      <c r="Y5976">
        <v>0.2375255</v>
      </c>
      <c r="Z5976">
        <v>-3.616172E-3</v>
      </c>
      <c r="AA5976">
        <v>0.97137459999999998</v>
      </c>
      <c r="AB5976">
        <v>26</v>
      </c>
      <c r="AC5976">
        <v>11.214799999999901</v>
      </c>
      <c r="AD5976">
        <v>-1.1578029999999999</v>
      </c>
      <c r="AE5976">
        <v>-3.7952599999999901</v>
      </c>
      <c r="AF5976">
        <v>2.8299030788045401</v>
      </c>
      <c r="AG5976">
        <v>-1.1578029999999999</v>
      </c>
      <c r="AH5976">
        <v>11.380876238686399</v>
      </c>
      <c r="AI5976">
        <v>95.638313915473901</v>
      </c>
      <c r="AJ5976">
        <v>76.036350430117295</v>
      </c>
      <c r="AK5976">
        <v>11.784447512825199</v>
      </c>
      <c r="AL5976">
        <v>89.028784249257498</v>
      </c>
      <c r="AM5976">
        <v>84.375523065782403</v>
      </c>
      <c r="AN5976">
        <v>0.99999994993056396</v>
      </c>
    </row>
    <row r="5977" spans="1:40" x14ac:dyDescent="0.25">
      <c r="A5977" t="str">
        <f>"20190312154414978"</f>
        <v>20190312154414978</v>
      </c>
      <c r="B5977" t="str">
        <f>"1552376654973593"</f>
        <v>1552376654973593</v>
      </c>
      <c r="C5977" t="s">
        <v>40</v>
      </c>
      <c r="D5977">
        <v>5.2697399999999996</v>
      </c>
      <c r="E5977">
        <v>0.55772929999999998</v>
      </c>
      <c r="F5977" t="s">
        <v>42</v>
      </c>
      <c r="G5977">
        <v>-318.8535</v>
      </c>
      <c r="H5977">
        <v>-0.05</v>
      </c>
      <c r="I5977">
        <v>18.644490000000001</v>
      </c>
      <c r="J5977">
        <v>-329.79450000000003</v>
      </c>
      <c r="K5977">
        <v>1.107729</v>
      </c>
      <c r="L5977">
        <v>22.40512</v>
      </c>
      <c r="M5977">
        <v>0.99629990000000002</v>
      </c>
      <c r="N5977">
        <v>0</v>
      </c>
      <c r="O5977">
        <v>-8.4792980000000004E-2</v>
      </c>
      <c r="P5977">
        <v>0.98286470000000004</v>
      </c>
      <c r="Q5977">
        <v>4.3680869999999997E-3</v>
      </c>
      <c r="R5977">
        <v>-0.18427750000000001</v>
      </c>
      <c r="S5977">
        <v>2.8721619999999999</v>
      </c>
      <c r="T5977">
        <v>-0.29991960000000001</v>
      </c>
      <c r="U5977">
        <v>-0.97793580000000002</v>
      </c>
      <c r="V5977">
        <v>0.1003874</v>
      </c>
      <c r="W5977">
        <v>1.764141E-2</v>
      </c>
      <c r="X5977">
        <v>0.99479200000000001</v>
      </c>
      <c r="Y5977">
        <v>0.24012749999999999</v>
      </c>
      <c r="Z5977">
        <v>-3.6099539999999999E-3</v>
      </c>
      <c r="AA5977">
        <v>0.97073469999999995</v>
      </c>
      <c r="AB5977">
        <v>26</v>
      </c>
      <c r="AC5977">
        <v>10.941000000000001</v>
      </c>
      <c r="AD5977">
        <v>-1.157729</v>
      </c>
      <c r="AE5977">
        <v>-3.7606299999999901</v>
      </c>
      <c r="AF5977">
        <v>2.7913205727499899</v>
      </c>
      <c r="AG5977">
        <v>-1.157729</v>
      </c>
      <c r="AH5977">
        <v>11.109248873147701</v>
      </c>
      <c r="AI5977">
        <v>95.771369862923706</v>
      </c>
      <c r="AJ5977">
        <v>75.895778735791296</v>
      </c>
      <c r="AK5977">
        <v>11.5129152477916</v>
      </c>
      <c r="AL5977">
        <v>88.9891692122292</v>
      </c>
      <c r="AM5977">
        <v>84.237621013687502</v>
      </c>
      <c r="AN5977">
        <v>0.99999998634477305</v>
      </c>
    </row>
    <row r="5978" spans="1:40" x14ac:dyDescent="0.25">
      <c r="A5978" t="str">
        <f>"20190312154415003"</f>
        <v>20190312154415003</v>
      </c>
      <c r="B5978" t="str">
        <f>"1552376654993113"</f>
        <v>1552376654993113</v>
      </c>
      <c r="C5978" t="s">
        <v>40</v>
      </c>
      <c r="D5978">
        <v>5.2591900000000003</v>
      </c>
      <c r="E5978">
        <v>0.55805300000000002</v>
      </c>
      <c r="F5978" t="s">
        <v>43</v>
      </c>
      <c r="G5978">
        <v>-319.9907</v>
      </c>
      <c r="H5978" s="1">
        <v>-4.8235849999999997E-6</v>
      </c>
      <c r="I5978">
        <v>18.986989999999999</v>
      </c>
      <c r="J5978">
        <v>-329.51589999999999</v>
      </c>
      <c r="K5978">
        <v>1.107591</v>
      </c>
      <c r="L5978">
        <v>22.376460000000002</v>
      </c>
      <c r="M5978">
        <v>0.99590820000000002</v>
      </c>
      <c r="N5978">
        <v>0</v>
      </c>
      <c r="O5978">
        <v>-8.9274419999999993E-2</v>
      </c>
      <c r="P5978">
        <v>0.98139180000000004</v>
      </c>
      <c r="Q5978">
        <v>4.4441530000000002E-3</v>
      </c>
      <c r="R5978">
        <v>-0.19196469999999999</v>
      </c>
      <c r="S5978">
        <v>2.866333</v>
      </c>
      <c r="T5978">
        <v>-0.32386799999999999</v>
      </c>
      <c r="U5978">
        <v>-0.99935909999999994</v>
      </c>
      <c r="V5978">
        <v>0.10370459999999999</v>
      </c>
      <c r="W5978">
        <v>1.766477E-2</v>
      </c>
      <c r="X5978">
        <v>0.99445130000000004</v>
      </c>
      <c r="Y5978">
        <v>0.24273210000000001</v>
      </c>
      <c r="Z5978">
        <v>-3.5572120000000001E-3</v>
      </c>
      <c r="AA5978">
        <v>0.97008689999999997</v>
      </c>
      <c r="AB5978">
        <v>26</v>
      </c>
      <c r="AC5978">
        <v>9.5251999999999803</v>
      </c>
      <c r="AD5978">
        <v>-1.1075958235850001</v>
      </c>
      <c r="AE5978">
        <v>-3.3894700000000002</v>
      </c>
      <c r="AF5978">
        <v>2.4955426998809802</v>
      </c>
      <c r="AG5978">
        <v>-1.1075958235850001</v>
      </c>
      <c r="AH5978">
        <v>9.6736830823104203</v>
      </c>
      <c r="AI5978">
        <v>96.326326324526505</v>
      </c>
      <c r="AJ5978">
        <v>75.5346573390852</v>
      </c>
      <c r="AK5978">
        <v>10.0515991888023</v>
      </c>
      <c r="AL5978">
        <v>88.987830626611</v>
      </c>
      <c r="AM5978">
        <v>84.046529765400606</v>
      </c>
      <c r="AN5978">
        <v>1.0000000381159999</v>
      </c>
    </row>
    <row r="5979" spans="1:40" x14ac:dyDescent="0.25">
      <c r="A5979" t="str">
        <f>"20190312154415016"</f>
        <v>20190312154415016</v>
      </c>
      <c r="B5979" t="str">
        <f>"1552376655003849"</f>
        <v>1552376655003849</v>
      </c>
      <c r="C5979" t="s">
        <v>40</v>
      </c>
      <c r="D5979">
        <v>5.286251</v>
      </c>
      <c r="E5979">
        <v>0.55818330000000005</v>
      </c>
      <c r="F5979" t="s">
        <v>43</v>
      </c>
      <c r="G5979">
        <v>-319.9581</v>
      </c>
      <c r="H5979" s="1">
        <v>-4.8453970000000004E-6</v>
      </c>
      <c r="I5979">
        <v>18.950959999999998</v>
      </c>
      <c r="J5979">
        <v>-329.35930000000002</v>
      </c>
      <c r="K5979">
        <v>1.1075250000000001</v>
      </c>
      <c r="L5979">
        <v>22.359680000000001</v>
      </c>
      <c r="M5979">
        <v>0.99567169999999905</v>
      </c>
      <c r="N5979">
        <v>0</v>
      </c>
      <c r="O5979">
        <v>-9.1874709999999998E-2</v>
      </c>
      <c r="P5979">
        <v>0.98049889999999995</v>
      </c>
      <c r="Q5979">
        <v>4.1356450000000003E-3</v>
      </c>
      <c r="R5979">
        <v>-0.19648170000000001</v>
      </c>
      <c r="S5979">
        <v>2.858063</v>
      </c>
      <c r="T5979">
        <v>-0.3312021</v>
      </c>
      <c r="U5979">
        <v>-1.0243230000000001</v>
      </c>
      <c r="V5979">
        <v>0.1056875</v>
      </c>
      <c r="W5979">
        <v>1.7327220000000001E-2</v>
      </c>
      <c r="X5979">
        <v>0.99424840000000003</v>
      </c>
      <c r="Y5979">
        <v>0.24853710000000001</v>
      </c>
      <c r="Z5979">
        <v>-3.6800209999999999E-3</v>
      </c>
      <c r="AA5979">
        <v>0.96861540000000002</v>
      </c>
      <c r="AB5979">
        <v>26</v>
      </c>
      <c r="AC5979">
        <v>9.40120000000001</v>
      </c>
      <c r="AD5979">
        <v>-1.1075298453969999</v>
      </c>
      <c r="AE5979">
        <v>-3.40871999999999</v>
      </c>
      <c r="AF5979">
        <v>2.4998198993113099</v>
      </c>
      <c r="AG5979">
        <v>-1.1075298453969999</v>
      </c>
      <c r="AH5979">
        <v>9.5574054734173295</v>
      </c>
      <c r="AI5979">
        <v>96.396742064901204</v>
      </c>
      <c r="AJ5979">
        <v>75.342178429657906</v>
      </c>
      <c r="AK5979">
        <v>9.9408108960358703</v>
      </c>
      <c r="AL5979">
        <v>89.007173719978198</v>
      </c>
      <c r="AM5979">
        <v>83.932307722253199</v>
      </c>
      <c r="AN5979">
        <v>0.99999998055586903</v>
      </c>
    </row>
    <row r="5980" spans="1:40" x14ac:dyDescent="0.25">
      <c r="A5980" t="str">
        <f>"20190312154415029"</f>
        <v>20190312154415029</v>
      </c>
      <c r="B5980" t="str">
        <f>"1552376655023369"</f>
        <v>1552376655023369</v>
      </c>
      <c r="C5980" t="s">
        <v>40</v>
      </c>
      <c r="D5980">
        <v>5.2813970000000001</v>
      </c>
      <c r="E5980">
        <v>0.55820249999999905</v>
      </c>
      <c r="F5980" t="s">
        <v>42</v>
      </c>
      <c r="G5980">
        <v>-319.50470000000001</v>
      </c>
      <c r="H5980">
        <v>-0.05</v>
      </c>
      <c r="I5980">
        <v>18.773029999999999</v>
      </c>
      <c r="J5980">
        <v>-329.20800000000003</v>
      </c>
      <c r="K5980">
        <v>1.1074660000000001</v>
      </c>
      <c r="L5980">
        <v>22.343109999999999</v>
      </c>
      <c r="M5980">
        <v>0.99543320000000002</v>
      </c>
      <c r="N5980">
        <v>0</v>
      </c>
      <c r="O5980">
        <v>-9.4422839999999994E-2</v>
      </c>
      <c r="P5980">
        <v>0.97966180000000003</v>
      </c>
      <c r="Q5980">
        <v>3.5784559999999998E-3</v>
      </c>
      <c r="R5980">
        <v>-0.20062430000000001</v>
      </c>
      <c r="S5980">
        <v>2.8529659999999999</v>
      </c>
      <c r="T5980">
        <v>-0.33511089999999999</v>
      </c>
      <c r="U5980">
        <v>-1.0383610000000001</v>
      </c>
      <c r="V5980">
        <v>0.1073433</v>
      </c>
      <c r="W5980">
        <v>1.6745090000000001E-2</v>
      </c>
      <c r="X5980">
        <v>0.99408099999999999</v>
      </c>
      <c r="Y5980">
        <v>0.25080140000000001</v>
      </c>
      <c r="Z5980">
        <v>-3.5696180000000001E-3</v>
      </c>
      <c r="AA5980">
        <v>0.96803189999999995</v>
      </c>
      <c r="AB5980">
        <v>26</v>
      </c>
      <c r="AC5980">
        <v>9.7033000000000094</v>
      </c>
      <c r="AD5980">
        <v>-1.1574659999999899</v>
      </c>
      <c r="AE5980">
        <v>-3.5700799999999999</v>
      </c>
      <c r="AF5980">
        <v>2.6051733804501001</v>
      </c>
      <c r="AG5980">
        <v>-1.1574659999999899</v>
      </c>
      <c r="AH5980">
        <v>9.8733307817283293</v>
      </c>
      <c r="AI5980">
        <v>96.466991368204205</v>
      </c>
      <c r="AJ5980">
        <v>75.218841382687003</v>
      </c>
      <c r="AK5980">
        <v>10.2766393635656</v>
      </c>
      <c r="AL5980">
        <v>89.040532181044995</v>
      </c>
      <c r="AM5980">
        <v>83.836941613579995</v>
      </c>
      <c r="AN5980">
        <v>1.00000000832749</v>
      </c>
    </row>
    <row r="5981" spans="1:40" x14ac:dyDescent="0.25">
      <c r="A5981" t="str">
        <f>"20190312154415045"</f>
        <v>20190312154415045</v>
      </c>
      <c r="B5981" t="str">
        <f>"1552376655033129"</f>
        <v>1552376655033129</v>
      </c>
      <c r="C5981" t="s">
        <v>40</v>
      </c>
      <c r="D5981">
        <v>5.263166</v>
      </c>
      <c r="E5981">
        <v>0.55822709999999998</v>
      </c>
      <c r="F5981" t="s">
        <v>43</v>
      </c>
      <c r="G5981">
        <v>-319.97199999999998</v>
      </c>
      <c r="H5981" s="1">
        <v>-4.8414279999999999E-6</v>
      </c>
      <c r="I5981">
        <v>18.93608</v>
      </c>
      <c r="J5981">
        <v>-329.0179</v>
      </c>
      <c r="K5981">
        <v>1.1073959999999901</v>
      </c>
      <c r="L5981">
        <v>22.3215</v>
      </c>
      <c r="M5981">
        <v>0.99511709999999998</v>
      </c>
      <c r="N5981">
        <v>0</v>
      </c>
      <c r="O5981">
        <v>-9.7697469999999995E-2</v>
      </c>
      <c r="P5981">
        <v>0.97818329999999998</v>
      </c>
      <c r="Q5981">
        <v>2.3802139999999999E-3</v>
      </c>
      <c r="R5981">
        <v>-0.207731</v>
      </c>
      <c r="S5981">
        <v>2.8483580000000002</v>
      </c>
      <c r="T5981">
        <v>-0.34154200000000001</v>
      </c>
      <c r="U5981">
        <v>-1.0507200000000001</v>
      </c>
      <c r="V5981">
        <v>0.1112818</v>
      </c>
      <c r="W5981">
        <v>1.549975E-2</v>
      </c>
      <c r="X5981">
        <v>0.993668</v>
      </c>
      <c r="Y5981">
        <v>0.25179990000000002</v>
      </c>
      <c r="Z5981">
        <v>-3.3244809999999998E-3</v>
      </c>
      <c r="AA5981">
        <v>0.96777360000000001</v>
      </c>
      <c r="AB5981">
        <v>26</v>
      </c>
      <c r="AC5981">
        <v>9.0459000000000103</v>
      </c>
      <c r="AD5981">
        <v>-1.1074008414280001</v>
      </c>
      <c r="AE5981">
        <v>-3.3854199999999999</v>
      </c>
      <c r="AF5981">
        <v>2.4531252233934699</v>
      </c>
      <c r="AG5981">
        <v>-1.1074008414280001</v>
      </c>
      <c r="AH5981">
        <v>9.2122965265561696</v>
      </c>
      <c r="AI5981">
        <v>96.625843492934905</v>
      </c>
      <c r="AJ5981">
        <v>75.088833330507697</v>
      </c>
      <c r="AK5981">
        <v>9.5974250337495999</v>
      </c>
      <c r="AL5981">
        <v>89.111894168094395</v>
      </c>
      <c r="AM5981">
        <v>83.610018115969595</v>
      </c>
      <c r="AN5981">
        <v>0.99999998774265098</v>
      </c>
    </row>
    <row r="5982" spans="1:40" x14ac:dyDescent="0.25">
      <c r="A5982" t="str">
        <f>"20190312154415057"</f>
        <v>20190312154415057</v>
      </c>
      <c r="B5982" t="str">
        <f>"1552376655043865"</f>
        <v>1552376655043865</v>
      </c>
      <c r="C5982" t="s">
        <v>40</v>
      </c>
      <c r="D5982">
        <v>5.2223870000000003</v>
      </c>
      <c r="E5982">
        <v>0.55836929999999996</v>
      </c>
      <c r="F5982" t="s">
        <v>42</v>
      </c>
      <c r="G5982">
        <v>-319.54329999999999</v>
      </c>
      <c r="H5982">
        <v>-0.05</v>
      </c>
      <c r="I5982">
        <v>18.745560000000001</v>
      </c>
      <c r="J5982">
        <v>-328.88369999999998</v>
      </c>
      <c r="K5982">
        <v>1.107353</v>
      </c>
      <c r="L5982">
        <v>22.305789999999998</v>
      </c>
      <c r="M5982">
        <v>0.99488319999999997</v>
      </c>
      <c r="N5982">
        <v>0</v>
      </c>
      <c r="O5982">
        <v>-0.100050399999999</v>
      </c>
      <c r="P5982">
        <v>0.97722509999999996</v>
      </c>
      <c r="Q5982">
        <v>1.8670379999999999E-3</v>
      </c>
      <c r="R5982">
        <v>-0.212198</v>
      </c>
      <c r="S5982">
        <v>2.8401179999999999</v>
      </c>
      <c r="T5982">
        <v>-0.34694309999999901</v>
      </c>
      <c r="U5982">
        <v>-1.0719299999999901</v>
      </c>
      <c r="V5982">
        <v>0.1134695</v>
      </c>
      <c r="W5982">
        <v>1.4958600000000001E-2</v>
      </c>
      <c r="X5982">
        <v>0.99342889999999995</v>
      </c>
      <c r="Y5982">
        <v>0.25671260000000001</v>
      </c>
      <c r="Z5982">
        <v>-3.39829E-3</v>
      </c>
      <c r="AA5982">
        <v>0.96648179999999995</v>
      </c>
      <c r="AB5982">
        <v>26</v>
      </c>
      <c r="AC5982">
        <v>9.3403999999999794</v>
      </c>
      <c r="AD5982">
        <v>-1.1573530000000001</v>
      </c>
      <c r="AE5982">
        <v>-3.56022999999999</v>
      </c>
      <c r="AF5982">
        <v>2.5732634063122202</v>
      </c>
      <c r="AG5982">
        <v>-1.1573530000000001</v>
      </c>
      <c r="AH5982">
        <v>9.5221119198814996</v>
      </c>
      <c r="AI5982">
        <v>96.692185779835796</v>
      </c>
      <c r="AJ5982">
        <v>74.877564804825397</v>
      </c>
      <c r="AK5982">
        <v>9.9313526742143292</v>
      </c>
      <c r="AL5982">
        <v>89.142903415100406</v>
      </c>
      <c r="AM5982">
        <v>83.483911977743105</v>
      </c>
      <c r="AN5982">
        <v>1.0000000332497001</v>
      </c>
    </row>
    <row r="5983" spans="1:40" x14ac:dyDescent="0.25">
      <c r="A5983" t="str">
        <f>"20190312154415080"</f>
        <v>20190312154415080</v>
      </c>
      <c r="B5983" t="str">
        <f>"1552376655073144"</f>
        <v>1552376655073144</v>
      </c>
      <c r="C5983" t="s">
        <v>40</v>
      </c>
      <c r="D5983">
        <v>5.2934549999999998</v>
      </c>
      <c r="E5983">
        <v>0.55822139999999998</v>
      </c>
      <c r="F5983" t="s">
        <v>42</v>
      </c>
      <c r="G5983">
        <v>-319.47500000000002</v>
      </c>
      <c r="H5983">
        <v>-0.05</v>
      </c>
      <c r="I5983">
        <v>18.70262</v>
      </c>
      <c r="J5983">
        <v>-328.62180000000001</v>
      </c>
      <c r="K5983">
        <v>1.107267</v>
      </c>
      <c r="L5983">
        <v>22.2742</v>
      </c>
      <c r="M5983">
        <v>0.9944016</v>
      </c>
      <c r="N5983">
        <v>0</v>
      </c>
      <c r="O5983">
        <v>-0.104727399999999</v>
      </c>
      <c r="P5983">
        <v>0.97528049999999999</v>
      </c>
      <c r="Q5983">
        <v>6.8952049999999995E-4</v>
      </c>
      <c r="R5983">
        <v>-0.22097020000000001</v>
      </c>
      <c r="S5983">
        <v>2.8348390000000001</v>
      </c>
      <c r="T5983">
        <v>-0.34870849999999998</v>
      </c>
      <c r="U5983">
        <v>-1.0856319999999999</v>
      </c>
      <c r="V5983">
        <v>0.1177175</v>
      </c>
      <c r="W5983">
        <v>1.372611E-2</v>
      </c>
      <c r="X5983">
        <v>0.99295219999999995</v>
      </c>
      <c r="Y5983">
        <v>0.2568626</v>
      </c>
      <c r="Z5983">
        <v>-2.8817199999999999E-3</v>
      </c>
      <c r="AA5983">
        <v>0.96644359999999996</v>
      </c>
      <c r="AB5983">
        <v>26</v>
      </c>
      <c r="AC5983">
        <v>9.1467999999999794</v>
      </c>
      <c r="AD5983">
        <v>-1.157267</v>
      </c>
      <c r="AE5983">
        <v>-3.57158</v>
      </c>
      <c r="AF5983">
        <v>2.5583848808327998</v>
      </c>
      <c r="AG5983">
        <v>-1.157267</v>
      </c>
      <c r="AH5983">
        <v>9.3408274751403599</v>
      </c>
      <c r="AI5983">
        <v>96.814104641303601</v>
      </c>
      <c r="AJ5983">
        <v>74.682746042348299</v>
      </c>
      <c r="AK5983">
        <v>9.7537509722208799</v>
      </c>
      <c r="AL5983">
        <v>89.213527086215706</v>
      </c>
      <c r="AM5983">
        <v>83.238968451437898</v>
      </c>
      <c r="AN5983">
        <v>0.99999994369340905</v>
      </c>
    </row>
    <row r="5984" spans="1:40" x14ac:dyDescent="0.25">
      <c r="A5984" t="str">
        <f>"20190312154415102"</f>
        <v>20190312154415102</v>
      </c>
      <c r="B5984" t="str">
        <f>"1552376655093641"</f>
        <v>1552376655093641</v>
      </c>
      <c r="C5984" t="s">
        <v>40</v>
      </c>
      <c r="D5984">
        <v>5.3063630000000002</v>
      </c>
      <c r="E5984">
        <v>0.55781210000000003</v>
      </c>
      <c r="F5984" t="s">
        <v>42</v>
      </c>
      <c r="G5984">
        <v>-319.43959999999998</v>
      </c>
      <c r="H5984">
        <v>-0.05</v>
      </c>
      <c r="I5984">
        <v>18.667680000000001</v>
      </c>
      <c r="J5984">
        <v>-328.37029999999999</v>
      </c>
      <c r="K5984">
        <v>1.1071789999999999</v>
      </c>
      <c r="L5984">
        <v>22.24258</v>
      </c>
      <c r="M5984">
        <v>0.9939038</v>
      </c>
      <c r="N5984">
        <v>0</v>
      </c>
      <c r="O5984">
        <v>-0.10935060000000001</v>
      </c>
      <c r="P5984">
        <v>0.97332830000000004</v>
      </c>
      <c r="Q5984">
        <v>-4.1397009999999998E-4</v>
      </c>
      <c r="R5984">
        <v>-0.22941710000000001</v>
      </c>
      <c r="S5984">
        <v>2.8248600000000001</v>
      </c>
      <c r="T5984">
        <v>-0.35602719999999999</v>
      </c>
      <c r="U5984">
        <v>-1.1095280000000001</v>
      </c>
      <c r="V5984">
        <v>0.12170159999999999</v>
      </c>
      <c r="W5984">
        <v>1.256702E-2</v>
      </c>
      <c r="X5984">
        <v>0.99248720000000001</v>
      </c>
      <c r="Y5984">
        <v>0.26057200000000003</v>
      </c>
      <c r="Z5984">
        <v>-2.621249E-3</v>
      </c>
      <c r="AA5984">
        <v>0.9654509</v>
      </c>
      <c r="AB5984">
        <v>26</v>
      </c>
      <c r="AC5984">
        <v>8.9306999999999999</v>
      </c>
      <c r="AD5984">
        <v>-1.157179</v>
      </c>
      <c r="AE5984">
        <v>-3.5749</v>
      </c>
      <c r="AF5984">
        <v>2.5400284582201902</v>
      </c>
      <c r="AG5984">
        <v>-1.157179</v>
      </c>
      <c r="AH5984">
        <v>9.1358891549347696</v>
      </c>
      <c r="AI5984">
        <v>96.957641802062398</v>
      </c>
      <c r="AJ5984">
        <v>74.462606549206399</v>
      </c>
      <c r="AK5984">
        <v>9.5527628703880296</v>
      </c>
      <c r="AL5984">
        <v>89.279943857595796</v>
      </c>
      <c r="AM5984">
        <v>83.009128435285305</v>
      </c>
      <c r="AN5984">
        <v>1.00000002579904</v>
      </c>
    </row>
    <row r="5985" spans="1:40" x14ac:dyDescent="0.25">
      <c r="A5985" t="str">
        <f>"20190312154415117"</f>
        <v>20190312154415117</v>
      </c>
      <c r="B5985" t="str">
        <f>"1552376655103401"</f>
        <v>1552376655103401</v>
      </c>
      <c r="C5985" t="s">
        <v>40</v>
      </c>
      <c r="D5985">
        <v>6.0713650000000001</v>
      </c>
      <c r="E5985">
        <v>0.55742009999999997</v>
      </c>
      <c r="F5985" t="s">
        <v>42</v>
      </c>
      <c r="G5985">
        <v>-319.39370000000002</v>
      </c>
      <c r="H5985">
        <v>-0.05</v>
      </c>
      <c r="I5985">
        <v>18.638310000000001</v>
      </c>
      <c r="J5985">
        <v>-328.21069999999997</v>
      </c>
      <c r="K5985">
        <v>1.1071169999999999</v>
      </c>
      <c r="L5985">
        <v>22.22174</v>
      </c>
      <c r="M5985">
        <v>0.99356750000000005</v>
      </c>
      <c r="N5985">
        <v>0</v>
      </c>
      <c r="O5985">
        <v>-0.1123633</v>
      </c>
      <c r="P5985">
        <v>0.97224889999999997</v>
      </c>
      <c r="Q5985">
        <v>-7.6088960000000004E-4</v>
      </c>
      <c r="R5985">
        <v>-0.2339475</v>
      </c>
      <c r="S5985">
        <v>2.8155519999999998</v>
      </c>
      <c r="T5985">
        <v>-0.36295329999999998</v>
      </c>
      <c r="U5985">
        <v>-1.130493</v>
      </c>
      <c r="V5985">
        <v>0.12331400000000001</v>
      </c>
      <c r="W5985">
        <v>1.219225E-2</v>
      </c>
      <c r="X5985">
        <v>0.99229279999999997</v>
      </c>
      <c r="Y5985">
        <v>0.26488400000000001</v>
      </c>
      <c r="Z5985">
        <v>-2.5776219999999999E-3</v>
      </c>
      <c r="AA5985">
        <v>0.96427689999999999</v>
      </c>
      <c r="AB5985">
        <v>26</v>
      </c>
      <c r="AC5985">
        <v>8.8169999999999398</v>
      </c>
      <c r="AD5985">
        <v>-1.157117</v>
      </c>
      <c r="AE5985">
        <v>-3.5834299999999999</v>
      </c>
      <c r="AF5985">
        <v>2.5324927763453</v>
      </c>
      <c r="AG5985">
        <v>-1.157117</v>
      </c>
      <c r="AH5985">
        <v>9.0303557733548292</v>
      </c>
      <c r="AI5985">
        <v>97.033411609887096</v>
      </c>
      <c r="AJ5985">
        <v>74.334262369996694</v>
      </c>
      <c r="AK5985">
        <v>9.4498552797010102</v>
      </c>
      <c r="AL5985">
        <v>89.301418222101901</v>
      </c>
      <c r="AM5985">
        <v>82.9160689279948</v>
      </c>
      <c r="AN5985">
        <v>0.99999999724395106</v>
      </c>
    </row>
    <row r="5986" spans="1:40" x14ac:dyDescent="0.25">
      <c r="A5986" t="str">
        <f>"20190312154415137"</f>
        <v>20190312154415137</v>
      </c>
      <c r="B5986" t="str">
        <f>"1552376655123428"</f>
        <v>1552376655123428</v>
      </c>
      <c r="C5986" t="s">
        <v>40</v>
      </c>
      <c r="D5986">
        <v>5.3031639999999998</v>
      </c>
      <c r="E5986">
        <v>0.55696519999999905</v>
      </c>
      <c r="F5986" t="s">
        <v>42</v>
      </c>
      <c r="G5986">
        <v>-319.20359999999999</v>
      </c>
      <c r="H5986">
        <v>-0.05</v>
      </c>
      <c r="I5986">
        <v>18.56671</v>
      </c>
      <c r="J5986">
        <v>-327.98270000000002</v>
      </c>
      <c r="K5986">
        <v>1.10702099999999</v>
      </c>
      <c r="L5986">
        <v>22.19107</v>
      </c>
      <c r="M5986">
        <v>0.99305840000000001</v>
      </c>
      <c r="N5986">
        <v>0</v>
      </c>
      <c r="O5986">
        <v>-0.1167769</v>
      </c>
      <c r="P5986">
        <v>0.97045590000000004</v>
      </c>
      <c r="Q5986">
        <v>-6.3861910000000003E-4</v>
      </c>
      <c r="R5986">
        <v>-0.24127850000000001</v>
      </c>
      <c r="S5986">
        <v>2.8109130000000002</v>
      </c>
      <c r="T5986">
        <v>-0.36111019999999999</v>
      </c>
      <c r="U5986">
        <v>-1.1406559999999999</v>
      </c>
      <c r="V5986">
        <v>0.12639700000000001</v>
      </c>
      <c r="W5986">
        <v>1.226329E-2</v>
      </c>
      <c r="X5986">
        <v>0.99190400000000001</v>
      </c>
      <c r="Y5986">
        <v>0.26419300000000001</v>
      </c>
      <c r="Z5986">
        <v>-1.990253E-3</v>
      </c>
      <c r="AA5986">
        <v>0.96446779999999999</v>
      </c>
      <c r="AB5986">
        <v>26</v>
      </c>
      <c r="AC5986">
        <v>8.7791000000000192</v>
      </c>
      <c r="AD5986">
        <v>-1.1570210000000001</v>
      </c>
      <c r="AE5986">
        <v>-3.6243599999999998</v>
      </c>
      <c r="AF5986">
        <v>2.5366166883192198</v>
      </c>
      <c r="AG5986">
        <v>-1.1570210000000001</v>
      </c>
      <c r="AH5986">
        <v>9.00861831527269</v>
      </c>
      <c r="AI5986">
        <v>97.047571677247603</v>
      </c>
      <c r="AJ5986">
        <v>74.274019180420794</v>
      </c>
      <c r="AK5986">
        <v>9.4301816402531298</v>
      </c>
      <c r="AL5986">
        <v>89.297347674992906</v>
      </c>
      <c r="AM5986">
        <v>82.738013547498198</v>
      </c>
      <c r="AN5986">
        <v>1.0000000675533001</v>
      </c>
    </row>
    <row r="5987" spans="1:40" x14ac:dyDescent="0.25">
      <c r="A5987" t="str">
        <f>"20190312154415156"</f>
        <v>20190312154415156</v>
      </c>
      <c r="B5987" t="str">
        <f>"1552376655143923"</f>
        <v>1552376655143923</v>
      </c>
      <c r="C5987" t="s">
        <v>40</v>
      </c>
      <c r="D5987">
        <v>5.2820819999999999</v>
      </c>
      <c r="E5987">
        <v>0.55657709999999905</v>
      </c>
      <c r="F5987" t="s">
        <v>42</v>
      </c>
      <c r="G5987">
        <v>-319.09829999999999</v>
      </c>
      <c r="H5987">
        <v>-0.05</v>
      </c>
      <c r="I5987">
        <v>18.519780000000001</v>
      </c>
      <c r="J5987">
        <v>-327.74979999999999</v>
      </c>
      <c r="K5987">
        <v>1.1069119999999999</v>
      </c>
      <c r="L5987">
        <v>22.158480000000001</v>
      </c>
      <c r="M5987">
        <v>0.99249830000000006</v>
      </c>
      <c r="N5987">
        <v>0</v>
      </c>
      <c r="O5987">
        <v>-0.121444</v>
      </c>
      <c r="P5987">
        <v>0.96859229999999996</v>
      </c>
      <c r="Q5987">
        <v>1.78310999999999E-4</v>
      </c>
      <c r="R5987">
        <v>-0.24865470000000001</v>
      </c>
      <c r="S5987">
        <v>2.8031009999999998</v>
      </c>
      <c r="T5987">
        <v>-0.3650486</v>
      </c>
      <c r="U5987">
        <v>-1.158325</v>
      </c>
      <c r="V5987">
        <v>0.1292904</v>
      </c>
      <c r="W5987">
        <v>1.3025220000000001E-2</v>
      </c>
      <c r="X5987">
        <v>0.99152119999999999</v>
      </c>
      <c r="Y5987">
        <v>0.26579809999999998</v>
      </c>
      <c r="Z5987">
        <v>-1.544204E-3</v>
      </c>
      <c r="AA5987">
        <v>0.96402750000000004</v>
      </c>
      <c r="AB5987">
        <v>26</v>
      </c>
      <c r="AC5987">
        <v>8.6514999999999898</v>
      </c>
      <c r="AD5987">
        <v>-1.1569119999999999</v>
      </c>
      <c r="AE5987">
        <v>-3.6387</v>
      </c>
      <c r="AF5987">
        <v>2.52265495973313</v>
      </c>
      <c r="AG5987">
        <v>-1.1569119999999999</v>
      </c>
      <c r="AH5987">
        <v>8.8942514271316497</v>
      </c>
      <c r="AI5987">
        <v>97.132808903186003</v>
      </c>
      <c r="AJ5987">
        <v>74.165201289562106</v>
      </c>
      <c r="AK5987">
        <v>9.3171852976445404</v>
      </c>
      <c r="AL5987">
        <v>89.253688745825897</v>
      </c>
      <c r="AM5987">
        <v>82.570776855968106</v>
      </c>
      <c r="AN5987">
        <v>0.99999997696882303</v>
      </c>
    </row>
    <row r="5988" spans="1:40" x14ac:dyDescent="0.25">
      <c r="A5988" t="str">
        <f>"20190312154415169"</f>
        <v>20190312154415169</v>
      </c>
      <c r="B5988" t="str">
        <f>"1552376655163443"</f>
        <v>1552376655163443</v>
      </c>
      <c r="C5988" t="s">
        <v>40</v>
      </c>
      <c r="D5988">
        <v>5.2701209999999996</v>
      </c>
      <c r="E5988">
        <v>0.55620590000000003</v>
      </c>
      <c r="F5988" t="s">
        <v>42</v>
      </c>
      <c r="G5988">
        <v>-318.8603</v>
      </c>
      <c r="H5988">
        <v>-0.05</v>
      </c>
      <c r="I5988">
        <v>18.416460000000001</v>
      </c>
      <c r="J5988">
        <v>-327.61130000000003</v>
      </c>
      <c r="K5988">
        <v>1.1068420000000001</v>
      </c>
      <c r="L5988">
        <v>22.138580000000001</v>
      </c>
      <c r="M5988">
        <v>0.9921468</v>
      </c>
      <c r="N5988">
        <v>0</v>
      </c>
      <c r="O5988">
        <v>-0.1242825</v>
      </c>
      <c r="P5988">
        <v>0.9675378</v>
      </c>
      <c r="Q5988">
        <v>5.5310880000000002E-4</v>
      </c>
      <c r="R5988">
        <v>-0.2527259</v>
      </c>
      <c r="S5988">
        <v>2.7952880000000002</v>
      </c>
      <c r="T5988">
        <v>-0.36378650000000001</v>
      </c>
      <c r="U5988">
        <v>-1.176666</v>
      </c>
      <c r="V5988">
        <v>0.13062979999999999</v>
      </c>
      <c r="W5988">
        <v>1.336994E-2</v>
      </c>
      <c r="X5988">
        <v>0.99134109999999998</v>
      </c>
      <c r="Y5988">
        <v>0.26937610000000001</v>
      </c>
      <c r="Z5988">
        <v>-1.418262E-3</v>
      </c>
      <c r="AA5988">
        <v>0.96303399999999995</v>
      </c>
      <c r="AB5988">
        <v>25</v>
      </c>
      <c r="AC5988">
        <v>8.7510000000000296</v>
      </c>
      <c r="AD5988">
        <v>-1.1568419999999999</v>
      </c>
      <c r="AE5988">
        <v>-3.7221199999999901</v>
      </c>
      <c r="AF5988">
        <v>2.5675562290023199</v>
      </c>
      <c r="AG5988">
        <v>-1.1568419999999999</v>
      </c>
      <c r="AH5988">
        <v>9.0124097191447401</v>
      </c>
      <c r="AI5988">
        <v>97.037500440147099</v>
      </c>
      <c r="AJ5988">
        <v>74.09821366029</v>
      </c>
      <c r="AK5988">
        <v>9.4421479202450094</v>
      </c>
      <c r="AL5988">
        <v>89.233936070803495</v>
      </c>
      <c r="AM5988">
        <v>82.493337912223893</v>
      </c>
      <c r="AN5988">
        <v>1.00000003824642</v>
      </c>
    </row>
    <row r="5989" spans="1:40" x14ac:dyDescent="0.25">
      <c r="A5989" t="str">
        <f>"20190312154415181"</f>
        <v>20190312154415181</v>
      </c>
      <c r="B5989" t="str">
        <f>"1552376655173204"</f>
        <v>1552376655173204</v>
      </c>
      <c r="C5989" t="s">
        <v>40</v>
      </c>
      <c r="D5989">
        <v>5.2806709999999999</v>
      </c>
      <c r="E5989">
        <v>0.55605919999999998</v>
      </c>
      <c r="F5989" t="s">
        <v>42</v>
      </c>
      <c r="G5989">
        <v>-318.72989999999999</v>
      </c>
      <c r="H5989">
        <v>-0.05</v>
      </c>
      <c r="I5989">
        <v>18.366060000000001</v>
      </c>
      <c r="J5989">
        <v>-327.46730000000002</v>
      </c>
      <c r="K5989">
        <v>1.1067659999999999</v>
      </c>
      <c r="L5989">
        <v>22.117190000000001</v>
      </c>
      <c r="M5989">
        <v>0.99175979999999997</v>
      </c>
      <c r="N5989">
        <v>0</v>
      </c>
      <c r="O5989">
        <v>-0.12733340000000001</v>
      </c>
      <c r="P5989">
        <v>0.96646460000000001</v>
      </c>
      <c r="Q5989">
        <v>5.6977570000000003E-4</v>
      </c>
      <c r="R5989">
        <v>-0.25679990000000003</v>
      </c>
      <c r="S5989">
        <v>2.7911990000000002</v>
      </c>
      <c r="T5989">
        <v>-0.36356369999999999</v>
      </c>
      <c r="U5989">
        <v>-1.185608</v>
      </c>
      <c r="V5989">
        <v>0.13176019999999999</v>
      </c>
      <c r="W5989">
        <v>1.335707E-2</v>
      </c>
      <c r="X5989">
        <v>0.99119159999999995</v>
      </c>
      <c r="Y5989">
        <v>0.26955659999999998</v>
      </c>
      <c r="Z5989">
        <v>-1.0579739999999999E-3</v>
      </c>
      <c r="AA5989">
        <v>0.96298399999999995</v>
      </c>
      <c r="AB5989">
        <v>25</v>
      </c>
      <c r="AC5989">
        <v>8.7374000000000294</v>
      </c>
      <c r="AD5989">
        <v>-1.156766</v>
      </c>
      <c r="AE5989">
        <v>-3.7511299999999999</v>
      </c>
      <c r="AF5989">
        <v>2.5698821425656599</v>
      </c>
      <c r="AG5989">
        <v>-1.156766</v>
      </c>
      <c r="AH5989">
        <v>9.0105985512822997</v>
      </c>
      <c r="AI5989">
        <v>97.037863695517402</v>
      </c>
      <c r="AJ5989">
        <v>74.081500814466693</v>
      </c>
      <c r="AK5989">
        <v>9.4410427420812297</v>
      </c>
      <c r="AL5989">
        <v>89.234673484724297</v>
      </c>
      <c r="AM5989">
        <v>82.428000955767899</v>
      </c>
      <c r="AN5989">
        <v>0.99999997476679203</v>
      </c>
    </row>
    <row r="5990" spans="1:40" x14ac:dyDescent="0.25">
      <c r="A5990" t="str">
        <f>"20190312154415193"</f>
        <v>20190312154415193</v>
      </c>
      <c r="B5990" t="str">
        <f>"1552376655183939"</f>
        <v>1552376655183939</v>
      </c>
      <c r="C5990" t="s">
        <v>40</v>
      </c>
      <c r="D5990">
        <v>5.3824249999999996</v>
      </c>
      <c r="E5990">
        <v>0.55583439999999995</v>
      </c>
      <c r="F5990" t="s">
        <v>42</v>
      </c>
      <c r="G5990">
        <v>-318.61709999999999</v>
      </c>
      <c r="H5990">
        <v>-0.05</v>
      </c>
      <c r="I5990">
        <v>18.317720000000001</v>
      </c>
      <c r="J5990">
        <v>-327.3288</v>
      </c>
      <c r="K5990">
        <v>1.106689</v>
      </c>
      <c r="L5990">
        <v>22.096219999999999</v>
      </c>
      <c r="M5990">
        <v>0.99137129999999996</v>
      </c>
      <c r="N5990">
        <v>0</v>
      </c>
      <c r="O5990">
        <v>-0.1303233</v>
      </c>
      <c r="P5990">
        <v>0.96549240000000003</v>
      </c>
      <c r="Q5990">
        <v>5.8403800000000005E-4</v>
      </c>
      <c r="R5990">
        <v>-0.26043179999999999</v>
      </c>
      <c r="S5990">
        <v>2.7864689999999999</v>
      </c>
      <c r="T5990">
        <v>-0.36420639999999999</v>
      </c>
      <c r="U5990">
        <v>-1.196259</v>
      </c>
      <c r="V5990">
        <v>0.13250049999999999</v>
      </c>
      <c r="W5990">
        <v>1.3345630000000001E-2</v>
      </c>
      <c r="X5990">
        <v>0.99109309999999995</v>
      </c>
      <c r="Y5990">
        <v>0.27036490000000002</v>
      </c>
      <c r="Z5990">
        <v>-7.4636660000000003E-4</v>
      </c>
      <c r="AA5990">
        <v>0.96275759999999999</v>
      </c>
      <c r="AB5990">
        <v>25</v>
      </c>
      <c r="AC5990">
        <v>8.7117000000000004</v>
      </c>
      <c r="AD5990">
        <v>-1.1566889999999901</v>
      </c>
      <c r="AE5990">
        <v>-3.7785000000000002</v>
      </c>
      <c r="AF5990">
        <v>2.5726462467443301</v>
      </c>
      <c r="AG5990">
        <v>-1.1566889999999901</v>
      </c>
      <c r="AH5990">
        <v>8.9963776202849406</v>
      </c>
      <c r="AI5990">
        <v>97.047015841907097</v>
      </c>
      <c r="AJ5990">
        <v>74.041341201709599</v>
      </c>
      <c r="AK5990">
        <v>9.4282155491043191</v>
      </c>
      <c r="AL5990">
        <v>89.235329034292604</v>
      </c>
      <c r="AM5990">
        <v>82.385207268538693</v>
      </c>
      <c r="AN5990">
        <v>1.0000000106039699</v>
      </c>
    </row>
    <row r="5991" spans="1:40" x14ac:dyDescent="0.25">
      <c r="A5991" t="str">
        <f>"20190312154415206"</f>
        <v>20190312154415206</v>
      </c>
      <c r="B5991" t="str">
        <f>"1552376655203459"</f>
        <v>1552376655203459</v>
      </c>
      <c r="C5991" t="s">
        <v>40</v>
      </c>
      <c r="D5991">
        <v>5.2734030000000001</v>
      </c>
      <c r="E5991">
        <v>0.54086780000000001</v>
      </c>
      <c r="F5991" t="s">
        <v>42</v>
      </c>
      <c r="G5991">
        <v>-318.4588</v>
      </c>
      <c r="H5991">
        <v>-0.05</v>
      </c>
      <c r="I5991">
        <v>18.255099999999999</v>
      </c>
      <c r="J5991">
        <v>-327.18340000000001</v>
      </c>
      <c r="K5991">
        <v>1.1066049999999901</v>
      </c>
      <c r="L5991">
        <v>22.073730000000001</v>
      </c>
      <c r="M5991">
        <v>0.99094530000000003</v>
      </c>
      <c r="N5991">
        <v>0</v>
      </c>
      <c r="O5991">
        <v>-0.13352159999999999</v>
      </c>
      <c r="P5991">
        <v>0.96437600000000001</v>
      </c>
      <c r="Q5991">
        <v>4.8920419999999999E-4</v>
      </c>
      <c r="R5991">
        <v>-0.26453490000000002</v>
      </c>
      <c r="S5991">
        <v>2.7824399999999998</v>
      </c>
      <c r="T5991">
        <v>-0.36284290000000002</v>
      </c>
      <c r="U5991">
        <v>-1.2049259999999999</v>
      </c>
      <c r="V5991">
        <v>0.1335189</v>
      </c>
      <c r="W5991">
        <v>1.3220229999999999E-2</v>
      </c>
      <c r="X5991">
        <v>0.99095809999999995</v>
      </c>
      <c r="Y5991">
        <v>0.2703218</v>
      </c>
      <c r="Z5991">
        <v>-3.5253539999999999E-4</v>
      </c>
      <c r="AA5991">
        <v>0.96277000000000001</v>
      </c>
      <c r="AB5991">
        <v>25</v>
      </c>
      <c r="AC5991">
        <v>8.7246000000000095</v>
      </c>
      <c r="AD5991">
        <v>-1.1566050000000001</v>
      </c>
      <c r="AE5991">
        <v>-3.81862999999999</v>
      </c>
      <c r="AF5991">
        <v>2.58132038479188</v>
      </c>
      <c r="AG5991">
        <v>-1.1566050000000001</v>
      </c>
      <c r="AH5991">
        <v>9.0232999824556899</v>
      </c>
      <c r="AI5991">
        <v>97.025496574650802</v>
      </c>
      <c r="AJ5991">
        <v>74.035616632165102</v>
      </c>
      <c r="AK5991">
        <v>9.4562620854305894</v>
      </c>
      <c r="AL5991">
        <v>89.242514561122903</v>
      </c>
      <c r="AM5991">
        <v>82.326341687183699</v>
      </c>
      <c r="AN5991">
        <v>1.0000000135470299</v>
      </c>
    </row>
    <row r="5992" spans="1:40" x14ac:dyDescent="0.25">
      <c r="A5992" t="str">
        <f>"20190312154415220"</f>
        <v>20190312154415220</v>
      </c>
      <c r="B5992" t="str">
        <f>"1552376655213219"</f>
        <v>1552376655213219</v>
      </c>
      <c r="C5992" t="s">
        <v>40</v>
      </c>
      <c r="D5992">
        <v>5.2344670000000004</v>
      </c>
      <c r="E5992">
        <v>0.53745149999999997</v>
      </c>
      <c r="F5992" t="s">
        <v>42</v>
      </c>
      <c r="G5992">
        <v>-316.62689999999998</v>
      </c>
      <c r="H5992">
        <v>-0.05</v>
      </c>
      <c r="I5992">
        <v>17.928560000000001</v>
      </c>
      <c r="J5992">
        <v>-327.0437</v>
      </c>
      <c r="K5992">
        <v>1.106522</v>
      </c>
      <c r="L5992">
        <v>22.051390000000001</v>
      </c>
      <c r="M5992">
        <v>0.9905098</v>
      </c>
      <c r="N5992">
        <v>0</v>
      </c>
      <c r="O5992">
        <v>-0.13671449999999999</v>
      </c>
      <c r="P5992">
        <v>0.96336719999999998</v>
      </c>
      <c r="Q5992">
        <v>6.2504409999999998E-4</v>
      </c>
      <c r="R5992">
        <v>-0.26818619999999999</v>
      </c>
      <c r="S5992">
        <v>2.8084720000000001</v>
      </c>
      <c r="T5992">
        <v>-0.30770340000000002</v>
      </c>
      <c r="U5992">
        <v>-1.1027830000000001</v>
      </c>
      <c r="V5992">
        <v>0.13408310000000001</v>
      </c>
      <c r="W5992">
        <v>1.332989E-2</v>
      </c>
      <c r="X5992">
        <v>0.99088039999999999</v>
      </c>
      <c r="Y5992">
        <v>0.23429240000000001</v>
      </c>
      <c r="Z5992">
        <v>1.937193E-3</v>
      </c>
      <c r="AA5992">
        <v>0.97216429999999998</v>
      </c>
      <c r="AB5992">
        <v>25</v>
      </c>
      <c r="AC5992">
        <v>10.4168</v>
      </c>
      <c r="AD5992">
        <v>-1.1565219999999901</v>
      </c>
      <c r="AE5992">
        <v>-4.1228299999999898</v>
      </c>
      <c r="AF5992">
        <v>2.6317939797204</v>
      </c>
      <c r="AG5992">
        <v>-1.1565219999999901</v>
      </c>
      <c r="AH5992">
        <v>10.767923982763</v>
      </c>
      <c r="AI5992">
        <v>95.956308148002094</v>
      </c>
      <c r="AJ5992">
        <v>76.265565440603595</v>
      </c>
      <c r="AK5992">
        <v>11.1450468633711</v>
      </c>
      <c r="AL5992">
        <v>89.236230915543501</v>
      </c>
      <c r="AM5992">
        <v>82.293707535390496</v>
      </c>
      <c r="AN5992">
        <v>0.99999996538859004</v>
      </c>
    </row>
    <row r="5993" spans="1:40" x14ac:dyDescent="0.25">
      <c r="A5993" t="str">
        <f>"20190312154415236"</f>
        <v>20190312154415236</v>
      </c>
      <c r="B5993" t="str">
        <f>"1552376655223955"</f>
        <v>1552376655223955</v>
      </c>
      <c r="C5993" t="s">
        <v>40</v>
      </c>
      <c r="D5993">
        <v>5.2503089999999997</v>
      </c>
      <c r="E5993">
        <v>0.53243269999999998</v>
      </c>
      <c r="F5993" t="s">
        <v>42</v>
      </c>
      <c r="G5993">
        <v>-316.42450000000002</v>
      </c>
      <c r="H5993">
        <v>-0.05</v>
      </c>
      <c r="I5993">
        <v>17.94501</v>
      </c>
      <c r="J5993">
        <v>-326.85820000000001</v>
      </c>
      <c r="K5993">
        <v>1.1064069999999999</v>
      </c>
      <c r="L5993">
        <v>22.021059999999999</v>
      </c>
      <c r="M5993">
        <v>0.98990080000000003</v>
      </c>
      <c r="N5993">
        <v>0</v>
      </c>
      <c r="O5993">
        <v>-0.1410563</v>
      </c>
      <c r="P5993">
        <v>0.96188580000000001</v>
      </c>
      <c r="Q5993">
        <v>7.7880169999999999E-4</v>
      </c>
      <c r="R5993">
        <v>-0.27345140000000001</v>
      </c>
      <c r="S5993">
        <v>2.8115839999999999</v>
      </c>
      <c r="T5993">
        <v>-0.30620409999999998</v>
      </c>
      <c r="U5993">
        <v>-1.0872189999999999</v>
      </c>
      <c r="V5993">
        <v>0.13516359999999999</v>
      </c>
      <c r="W5993">
        <v>1.344385E-2</v>
      </c>
      <c r="X5993">
        <v>0.9907321</v>
      </c>
      <c r="Y5993">
        <v>0.2250538</v>
      </c>
      <c r="Z5993">
        <v>2.8593310000000001E-3</v>
      </c>
      <c r="AA5993">
        <v>0.97434219999999905</v>
      </c>
      <c r="AB5993">
        <v>25</v>
      </c>
      <c r="AC5993">
        <v>10.4336999999999</v>
      </c>
      <c r="AD5993">
        <v>-1.156407</v>
      </c>
      <c r="AE5993">
        <v>-4.0760500000000004</v>
      </c>
      <c r="AF5993">
        <v>2.5363701426505698</v>
      </c>
      <c r="AG5993">
        <v>-1.156407</v>
      </c>
      <c r="AH5993">
        <v>10.7893794279291</v>
      </c>
      <c r="AI5993">
        <v>95.956457600968406</v>
      </c>
      <c r="AJ5993">
        <v>76.771090882982804</v>
      </c>
      <c r="AK5993">
        <v>11.1436600401303</v>
      </c>
      <c r="AL5993">
        <v>89.2297009412938</v>
      </c>
      <c r="AM5993">
        <v>82.231213510084601</v>
      </c>
      <c r="AN5993">
        <v>1.00000001491909</v>
      </c>
    </row>
    <row r="5994" spans="1:40" x14ac:dyDescent="0.25">
      <c r="A5994" t="str">
        <f>"20190312154415249"</f>
        <v>20190312154415249</v>
      </c>
      <c r="B5994" t="str">
        <f>"1552376655243476"</f>
        <v>1552376655243476</v>
      </c>
      <c r="C5994" t="s">
        <v>40</v>
      </c>
      <c r="D5994">
        <v>5.2640650000000004</v>
      </c>
      <c r="E5994">
        <v>0.52575439999999996</v>
      </c>
      <c r="F5994" t="s">
        <v>42</v>
      </c>
      <c r="G5994">
        <v>-315.93880000000001</v>
      </c>
      <c r="H5994">
        <v>-0.05</v>
      </c>
      <c r="I5994">
        <v>17.895779999999998</v>
      </c>
      <c r="J5994">
        <v>-326.7133</v>
      </c>
      <c r="K5994">
        <v>1.1063019999999999</v>
      </c>
      <c r="L5994">
        <v>21.9968</v>
      </c>
      <c r="M5994">
        <v>0.98939999999999995</v>
      </c>
      <c r="N5994">
        <v>0</v>
      </c>
      <c r="O5994">
        <v>-0.14452490000000001</v>
      </c>
      <c r="P5994">
        <v>0.96080639999999995</v>
      </c>
      <c r="Q5994">
        <v>1.21309E-3</v>
      </c>
      <c r="R5994">
        <v>-0.27721820000000003</v>
      </c>
      <c r="S5994">
        <v>2.8166500000000001</v>
      </c>
      <c r="T5994">
        <v>-0.2982957</v>
      </c>
      <c r="U5994">
        <v>-1.064117</v>
      </c>
      <c r="V5994">
        <v>0.13558100000000001</v>
      </c>
      <c r="W5994">
        <v>1.3850070000000001E-2</v>
      </c>
      <c r="X5994">
        <v>0.99066940000000003</v>
      </c>
      <c r="Y5994">
        <v>0.21415200000000001</v>
      </c>
      <c r="Z5994">
        <v>3.6906619999999999E-3</v>
      </c>
      <c r="AA5994">
        <v>0.97679340000000003</v>
      </c>
      <c r="AB5994">
        <v>25</v>
      </c>
      <c r="AC5994">
        <v>10.7744999999999</v>
      </c>
      <c r="AD5994">
        <v>-1.1563019999999999</v>
      </c>
      <c r="AE5994">
        <v>-4.1010200000000001</v>
      </c>
      <c r="AF5994">
        <v>2.4757107347011602</v>
      </c>
      <c r="AG5994">
        <v>-1.1563019999999999</v>
      </c>
      <c r="AH5994">
        <v>11.142029417112401</v>
      </c>
      <c r="AI5994">
        <v>95.784767457119898</v>
      </c>
      <c r="AJ5994">
        <v>77.4726418255308</v>
      </c>
      <c r="AK5994">
        <v>11.472183640829501</v>
      </c>
      <c r="AL5994">
        <v>89.206424027632906</v>
      </c>
      <c r="AM5994">
        <v>82.207029821470698</v>
      </c>
      <c r="AN5994">
        <v>0.99999994604817999</v>
      </c>
    </row>
    <row r="5995" spans="1:40" x14ac:dyDescent="0.25">
      <c r="A5995" t="str">
        <f>"20190312154415269"</f>
        <v>20190312154415269</v>
      </c>
      <c r="B5995" t="str">
        <f>"1552376655263971"</f>
        <v>1552376655263971</v>
      </c>
      <c r="C5995" t="s">
        <v>40</v>
      </c>
      <c r="D5995">
        <v>5.1724600000000001</v>
      </c>
      <c r="E5995">
        <v>0.52245059999999999</v>
      </c>
      <c r="F5995" t="s">
        <v>42</v>
      </c>
      <c r="G5995">
        <v>-315.00869999999998</v>
      </c>
      <c r="H5995">
        <v>-0.05</v>
      </c>
      <c r="I5995">
        <v>17.75581</v>
      </c>
      <c r="J5995">
        <v>-326.47930000000002</v>
      </c>
      <c r="K5995">
        <v>1.106144</v>
      </c>
      <c r="L5995">
        <v>21.95609</v>
      </c>
      <c r="M5995">
        <v>0.9885311</v>
      </c>
      <c r="N5995">
        <v>0</v>
      </c>
      <c r="O5995">
        <v>-0.15035200000000001</v>
      </c>
      <c r="P5995">
        <v>0.95895779999999997</v>
      </c>
      <c r="Q5995">
        <v>1.725816E-3</v>
      </c>
      <c r="R5995">
        <v>-0.28354420000000002</v>
      </c>
      <c r="S5995">
        <v>2.8271790000000001</v>
      </c>
      <c r="T5995">
        <v>-0.27929700000000002</v>
      </c>
      <c r="U5995">
        <v>-1.024384</v>
      </c>
      <c r="V5995">
        <v>0.13628379999999901</v>
      </c>
      <c r="W5995">
        <v>1.4319709999999999E-2</v>
      </c>
      <c r="X5995">
        <v>0.99056630000000001</v>
      </c>
      <c r="Y5995">
        <v>0.19522110000000001</v>
      </c>
      <c r="Z5995">
        <v>4.9054459999999999E-3</v>
      </c>
      <c r="AA5995">
        <v>0.98074700000000004</v>
      </c>
      <c r="AB5995">
        <v>25</v>
      </c>
      <c r="AC5995">
        <v>11.470599999999999</v>
      </c>
      <c r="AD5995">
        <v>-1.1561440000000001</v>
      </c>
      <c r="AE5995">
        <v>-4.2002799999999896</v>
      </c>
      <c r="AF5995">
        <v>2.4061690115268002</v>
      </c>
      <c r="AG5995">
        <v>-1.1561440000000001</v>
      </c>
      <c r="AH5995">
        <v>11.865476228409801</v>
      </c>
      <c r="AI5995">
        <v>95.454858493006597</v>
      </c>
      <c r="AJ5995">
        <v>78.536586747845902</v>
      </c>
      <c r="AK5995">
        <v>12.1620657944169</v>
      </c>
      <c r="AL5995">
        <v>89.179512979198094</v>
      </c>
      <c r="AM5995">
        <v>82.166329080120207</v>
      </c>
      <c r="AN5995">
        <v>0.99999996146630599</v>
      </c>
    </row>
    <row r="5996" spans="1:40" x14ac:dyDescent="0.25">
      <c r="A5996" t="str">
        <f>"20190312154415292"</f>
        <v>20190312154415292</v>
      </c>
      <c r="B5996" t="str">
        <f>"1552376655283491"</f>
        <v>1552376655283491</v>
      </c>
      <c r="C5996" t="s">
        <v>40</v>
      </c>
      <c r="D5996">
        <v>5.1456480000000004</v>
      </c>
      <c r="E5996">
        <v>0.52019689999999996</v>
      </c>
      <c r="F5996" t="s">
        <v>42</v>
      </c>
      <c r="G5996">
        <v>-314.23050000000001</v>
      </c>
      <c r="H5996">
        <v>-0.05</v>
      </c>
      <c r="I5996">
        <v>17.54691</v>
      </c>
      <c r="J5996">
        <v>-326.22629999999998</v>
      </c>
      <c r="K5996">
        <v>1.105985</v>
      </c>
      <c r="L5996">
        <v>21.9101</v>
      </c>
      <c r="M5996">
        <v>0.98751330000000004</v>
      </c>
      <c r="N5996">
        <v>0</v>
      </c>
      <c r="O5996">
        <v>-0.15689539999999999</v>
      </c>
      <c r="P5996">
        <v>0.95702600000000004</v>
      </c>
      <c r="Q5996">
        <v>2.1077520000000001E-3</v>
      </c>
      <c r="R5996">
        <v>-0.28999469999999999</v>
      </c>
      <c r="S5996">
        <v>2.8278810000000001</v>
      </c>
      <c r="T5996">
        <v>-0.26691779999999998</v>
      </c>
      <c r="U5996">
        <v>-1.017944</v>
      </c>
      <c r="V5996">
        <v>0.13640369999999999</v>
      </c>
      <c r="W5996">
        <v>1.4665859999999999E-2</v>
      </c>
      <c r="X5996">
        <v>0.9905448</v>
      </c>
      <c r="Y5996">
        <v>0.18673970000000001</v>
      </c>
      <c r="Z5996">
        <v>5.6618279999999998E-3</v>
      </c>
      <c r="AA5996">
        <v>0.98239310000000002</v>
      </c>
      <c r="AB5996">
        <v>25</v>
      </c>
      <c r="AC5996">
        <v>11.9957999999999</v>
      </c>
      <c r="AD5996">
        <v>-1.155985</v>
      </c>
      <c r="AE5996">
        <v>-4.3631900000000003</v>
      </c>
      <c r="AF5996">
        <v>2.4071249248239601</v>
      </c>
      <c r="AG5996">
        <v>-1.155985</v>
      </c>
      <c r="AH5996">
        <v>12.429895982560801</v>
      </c>
      <c r="AI5996">
        <v>95.216872697696402</v>
      </c>
      <c r="AJ5996">
        <v>79.039989954745096</v>
      </c>
      <c r="AK5996">
        <v>12.713491489800001</v>
      </c>
      <c r="AL5996">
        <v>89.159678017663794</v>
      </c>
      <c r="AM5996">
        <v>82.159354775805397</v>
      </c>
      <c r="AN5996">
        <v>1.0000000288151301</v>
      </c>
    </row>
    <row r="5997" spans="1:40" x14ac:dyDescent="0.25">
      <c r="A5997" t="str">
        <f>"20190312154415303"</f>
        <v>20190312154415303</v>
      </c>
      <c r="B5997" t="str">
        <f>"1552376655293251"</f>
        <v>1552376655293251</v>
      </c>
      <c r="C5997" t="s">
        <v>40</v>
      </c>
      <c r="D5997">
        <v>5.1788210000000001</v>
      </c>
      <c r="E5997">
        <v>0.51932860000000003</v>
      </c>
      <c r="F5997" t="s">
        <v>41</v>
      </c>
      <c r="G5997">
        <v>-325.34879999999998</v>
      </c>
      <c r="H5997">
        <v>1.024521</v>
      </c>
      <c r="I5997">
        <v>21.593360000000001</v>
      </c>
      <c r="J5997">
        <v>-326.08550000000002</v>
      </c>
      <c r="K5997">
        <v>1.1059019999999999</v>
      </c>
      <c r="L5997">
        <v>21.883700000000001</v>
      </c>
      <c r="M5997">
        <v>0.98691209999999996</v>
      </c>
      <c r="N5997">
        <v>0</v>
      </c>
      <c r="O5997">
        <v>-0.16063359999999999</v>
      </c>
      <c r="P5997">
        <v>0.95587089999999997</v>
      </c>
      <c r="Q5997">
        <v>2.4348619999999999E-3</v>
      </c>
      <c r="R5997">
        <v>-0.29377710000000001</v>
      </c>
      <c r="S5997">
        <v>2.826263</v>
      </c>
      <c r="T5997">
        <v>-0.26238109999999998</v>
      </c>
      <c r="U5997">
        <v>-1.0200199999999999</v>
      </c>
      <c r="V5997">
        <v>0.13657749999999999</v>
      </c>
      <c r="W5997">
        <v>1.497386E-2</v>
      </c>
      <c r="X5997">
        <v>0.99051619999999996</v>
      </c>
      <c r="Y5997">
        <v>0.183865</v>
      </c>
      <c r="Z5997">
        <v>6.0251509999999899E-3</v>
      </c>
      <c r="AA5997">
        <v>0.98293299999999995</v>
      </c>
      <c r="AB5997">
        <v>25</v>
      </c>
      <c r="AC5997">
        <v>0.73670000000004099</v>
      </c>
      <c r="AD5997">
        <v>-8.1380999999999898E-2</v>
      </c>
      <c r="AE5997">
        <v>-0.29033999999999999</v>
      </c>
      <c r="AF5997">
        <v>0.166460008839834</v>
      </c>
      <c r="AG5997">
        <v>-8.1380999999999898E-2</v>
      </c>
      <c r="AH5997">
        <v>0.76568693306878799</v>
      </c>
      <c r="AI5997">
        <v>95.929421803168793</v>
      </c>
      <c r="AJ5997">
        <v>77.734774140318805</v>
      </c>
      <c r="AK5997">
        <v>0.78778695164126999</v>
      </c>
      <c r="AL5997">
        <v>89.1420289432495</v>
      </c>
      <c r="AM5997">
        <v>82.149265188979996</v>
      </c>
      <c r="AN5997">
        <v>0.99999998622599395</v>
      </c>
    </row>
    <row r="5998" spans="1:40" x14ac:dyDescent="0.25">
      <c r="A5998" t="str">
        <f>"20190312154415326"</f>
        <v>20190312154415326</v>
      </c>
      <c r="B5998" t="str">
        <f>"1552376655313747"</f>
        <v>1552376655313747</v>
      </c>
      <c r="C5998" t="s">
        <v>40</v>
      </c>
      <c r="D5998">
        <v>5.1132749999999998</v>
      </c>
      <c r="E5998">
        <v>0.51777689999999998</v>
      </c>
      <c r="F5998" t="s">
        <v>42</v>
      </c>
      <c r="G5998">
        <v>-313.55959999999999</v>
      </c>
      <c r="H5998">
        <v>-0.05</v>
      </c>
      <c r="I5998">
        <v>17.339320000000001</v>
      </c>
      <c r="J5998">
        <v>-325.84690000000001</v>
      </c>
      <c r="K5998">
        <v>1.1057669999999999</v>
      </c>
      <c r="L5998">
        <v>21.83755</v>
      </c>
      <c r="M5998">
        <v>0.98583359999999998</v>
      </c>
      <c r="N5998">
        <v>0</v>
      </c>
      <c r="O5998">
        <v>-0.16712369999999999</v>
      </c>
      <c r="P5998">
        <v>0.95398329999999998</v>
      </c>
      <c r="Q5998">
        <v>3.0161039999999999E-3</v>
      </c>
      <c r="R5998">
        <v>-0.29984509999999998</v>
      </c>
      <c r="S5998">
        <v>2.824249</v>
      </c>
      <c r="T5998">
        <v>-0.26062370000000001</v>
      </c>
      <c r="U5998">
        <v>-1.0246280000000001</v>
      </c>
      <c r="V5998">
        <v>0.13636599999999999</v>
      </c>
      <c r="W5998">
        <v>1.553217E-2</v>
      </c>
      <c r="X5998">
        <v>0.99053670000000005</v>
      </c>
      <c r="Y5998">
        <v>0.17907960000000001</v>
      </c>
      <c r="Z5998">
        <v>6.7656440000000003E-3</v>
      </c>
      <c r="AA5998">
        <v>0.98381130000000006</v>
      </c>
      <c r="AB5998">
        <v>25</v>
      </c>
      <c r="AC5998">
        <v>12.2873</v>
      </c>
      <c r="AD5998">
        <v>-1.155767</v>
      </c>
      <c r="AE5998">
        <v>-4.4982300000000004</v>
      </c>
      <c r="AF5998">
        <v>2.3628127903053802</v>
      </c>
      <c r="AG5998">
        <v>-1.155767</v>
      </c>
      <c r="AH5998">
        <v>12.7666862990051</v>
      </c>
      <c r="AI5998">
        <v>95.086956809238103</v>
      </c>
      <c r="AJ5998">
        <v>79.514547421455305</v>
      </c>
      <c r="AK5998">
        <v>13.0348364277241</v>
      </c>
      <c r="AL5998">
        <v>89.1100363764684</v>
      </c>
      <c r="AM5998">
        <v>82.161431572508704</v>
      </c>
      <c r="AN5998">
        <v>0.99999994415389803</v>
      </c>
    </row>
    <row r="5999" spans="1:40" x14ac:dyDescent="0.25">
      <c r="A5999" t="str">
        <f>"20190312154415348"</f>
        <v>20190312154415348</v>
      </c>
      <c r="B5999" t="str">
        <f>"1552376655333268"</f>
        <v>1552376655333268</v>
      </c>
      <c r="C5999" t="s">
        <v>40</v>
      </c>
      <c r="D5999">
        <v>5.1067900000000002</v>
      </c>
      <c r="E5999">
        <v>0.51665329999999998</v>
      </c>
      <c r="F5999" t="s">
        <v>42</v>
      </c>
      <c r="G5999">
        <v>-313.2285</v>
      </c>
      <c r="H5999">
        <v>-0.05</v>
      </c>
      <c r="I5999">
        <v>17.227550000000001</v>
      </c>
      <c r="J5999">
        <v>-325.5994</v>
      </c>
      <c r="K5999">
        <v>1.1056250000000001</v>
      </c>
      <c r="L5999">
        <v>21.787690000000001</v>
      </c>
      <c r="M5999">
        <v>0.98462729999999998</v>
      </c>
      <c r="N5999">
        <v>0</v>
      </c>
      <c r="O5999">
        <v>-0.1740874</v>
      </c>
      <c r="P5999">
        <v>0.95192810000000005</v>
      </c>
      <c r="Q5999">
        <v>3.357905E-3</v>
      </c>
      <c r="R5999">
        <v>-0.3063034</v>
      </c>
      <c r="S5999">
        <v>2.8215330000000001</v>
      </c>
      <c r="T5999">
        <v>-0.25843539999999998</v>
      </c>
      <c r="U5999">
        <v>-1.030823</v>
      </c>
      <c r="V5999">
        <v>0.1360875</v>
      </c>
      <c r="W5999">
        <v>1.585114E-2</v>
      </c>
      <c r="X5999">
        <v>0.99056999999999995</v>
      </c>
      <c r="Y5999">
        <v>0.17437710000000001</v>
      </c>
      <c r="Z5999">
        <v>7.5209439999999999E-3</v>
      </c>
      <c r="AA5999">
        <v>0.98465020000000003</v>
      </c>
      <c r="AB5999">
        <v>25</v>
      </c>
      <c r="AC5999">
        <v>12.370900000000001</v>
      </c>
      <c r="AD5999">
        <v>-1.1556249999999999</v>
      </c>
      <c r="AE5999">
        <v>-4.5601399999999899</v>
      </c>
      <c r="AF5999">
        <v>2.3188429359754301</v>
      </c>
      <c r="AG5999">
        <v>-1.1556249999999999</v>
      </c>
      <c r="AH5999">
        <v>12.8769771096976</v>
      </c>
      <c r="AI5999">
        <v>95.047430329278995</v>
      </c>
      <c r="AJ5999">
        <v>79.791772284965006</v>
      </c>
      <c r="AK5999">
        <v>13.1350310690925</v>
      </c>
      <c r="AL5999">
        <v>89.091758536903498</v>
      </c>
      <c r="AM5999">
        <v>82.177501580321803</v>
      </c>
      <c r="AN5999">
        <v>0.99999999559777397</v>
      </c>
    </row>
    <row r="6000" spans="1:40" x14ac:dyDescent="0.25">
      <c r="A6000" t="str">
        <f>"20190312154415370"</f>
        <v>20190312154415370</v>
      </c>
      <c r="B6000" t="str">
        <f>"1552376655363523"</f>
        <v>1552376655363523</v>
      </c>
      <c r="C6000" t="s">
        <v>40</v>
      </c>
      <c r="D6000">
        <v>5.0712989999999998</v>
      </c>
      <c r="E6000">
        <v>0.51533790000000002</v>
      </c>
      <c r="F6000" t="s">
        <v>41</v>
      </c>
      <c r="G6000">
        <v>-324.6925</v>
      </c>
      <c r="H6000">
        <v>1.022745</v>
      </c>
      <c r="I6000">
        <v>21.452279999999998</v>
      </c>
      <c r="J6000">
        <v>-325.35399999999998</v>
      </c>
      <c r="K6000">
        <v>1.105478</v>
      </c>
      <c r="L6000">
        <v>21.736080000000001</v>
      </c>
      <c r="M6000">
        <v>0.98333459999999995</v>
      </c>
      <c r="N6000">
        <v>0</v>
      </c>
      <c r="O6000">
        <v>-0.1812452</v>
      </c>
      <c r="P6000">
        <v>0.94967520000000005</v>
      </c>
      <c r="Q6000">
        <v>3.6514529999999998E-3</v>
      </c>
      <c r="R6000">
        <v>-0.31321549999999998</v>
      </c>
      <c r="S6000">
        <v>2.8173520000000001</v>
      </c>
      <c r="T6000">
        <v>-0.25699139999999998</v>
      </c>
      <c r="U6000">
        <v>-1.04129</v>
      </c>
      <c r="V6000">
        <v>0.13609250000000001</v>
      </c>
      <c r="W6000">
        <v>1.6117650000000001E-2</v>
      </c>
      <c r="X6000">
        <v>0.99056500000000003</v>
      </c>
      <c r="Y6000">
        <v>0.17094419999999999</v>
      </c>
      <c r="Z6000">
        <v>8.2483130000000002E-3</v>
      </c>
      <c r="AA6000">
        <v>0.98524619999999996</v>
      </c>
      <c r="AB6000">
        <v>25</v>
      </c>
      <c r="AC6000">
        <v>0.66150000000004605</v>
      </c>
      <c r="AD6000">
        <v>-8.2732999999999904E-2</v>
      </c>
      <c r="AE6000">
        <v>-0.283799999999999</v>
      </c>
      <c r="AF6000">
        <v>0.157117221648443</v>
      </c>
      <c r="AG6000">
        <v>-8.2732999999999904E-2</v>
      </c>
      <c r="AH6000">
        <v>0.692831826448148</v>
      </c>
      <c r="AI6000">
        <v>96.642508854556198</v>
      </c>
      <c r="AJ6000">
        <v>77.222831496721795</v>
      </c>
      <c r="AK6000">
        <v>0.71522479708620401</v>
      </c>
      <c r="AL6000">
        <v>89.076486676042904</v>
      </c>
      <c r="AM6000">
        <v>82.177178734223205</v>
      </c>
      <c r="AN6000">
        <v>0.99999998321138595</v>
      </c>
    </row>
    <row r="6001" spans="1:40" x14ac:dyDescent="0.25">
      <c r="A6001" t="str">
        <f>"20190312154415393"</f>
        <v>20190312154415393</v>
      </c>
      <c r="B6001" t="str">
        <f>"1552376655383043"</f>
        <v>1552376655383043</v>
      </c>
      <c r="C6001" t="s">
        <v>40</v>
      </c>
      <c r="D6001">
        <v>5.049309</v>
      </c>
      <c r="E6001">
        <v>0.51453689999999996</v>
      </c>
      <c r="F6001" t="s">
        <v>41</v>
      </c>
      <c r="G6001">
        <v>-324.471</v>
      </c>
      <c r="H6001">
        <v>1.0251110000000001</v>
      </c>
      <c r="I6001">
        <v>21.40598</v>
      </c>
      <c r="J6001">
        <v>-325.09989999999999</v>
      </c>
      <c r="K6001">
        <v>1.105335</v>
      </c>
      <c r="L6001">
        <v>21.680389999999999</v>
      </c>
      <c r="M6001">
        <v>0.98190089999999997</v>
      </c>
      <c r="N6001">
        <v>0</v>
      </c>
      <c r="O6001">
        <v>-0.1888561</v>
      </c>
      <c r="P6001">
        <v>0.94705550000000005</v>
      </c>
      <c r="Q6001">
        <v>3.146537E-3</v>
      </c>
      <c r="R6001">
        <v>-0.32105440000000002</v>
      </c>
      <c r="S6001">
        <v>2.8131409999999999</v>
      </c>
      <c r="T6001">
        <v>-0.2559785</v>
      </c>
      <c r="U6001">
        <v>-1.0515749999999999</v>
      </c>
      <c r="V6001">
        <v>0.1366069</v>
      </c>
      <c r="W6001">
        <v>1.558319E-2</v>
      </c>
      <c r="X6001">
        <v>0.99050280000000002</v>
      </c>
      <c r="Y6001">
        <v>0.16699520000000001</v>
      </c>
      <c r="Z6001">
        <v>9.0434920000000002E-3</v>
      </c>
      <c r="AA6001">
        <v>0.98591629999999997</v>
      </c>
      <c r="AB6001">
        <v>25</v>
      </c>
      <c r="AC6001">
        <v>0.62889999999998702</v>
      </c>
      <c r="AD6001">
        <v>-8.0223999999999795E-2</v>
      </c>
      <c r="AE6001">
        <v>-0.27440999999999899</v>
      </c>
      <c r="AF6001">
        <v>0.148655131812786</v>
      </c>
      <c r="AG6001">
        <v>-8.0223999999999795E-2</v>
      </c>
      <c r="AH6001">
        <v>0.66038256265185902</v>
      </c>
      <c r="AI6001">
        <v>96.758910093928606</v>
      </c>
      <c r="AJ6001">
        <v>77.313913998040306</v>
      </c>
      <c r="AK6001">
        <v>0.68164460494081003</v>
      </c>
      <c r="AL6001">
        <v>89.107112876378693</v>
      </c>
      <c r="AM6001">
        <v>82.147491395089602</v>
      </c>
      <c r="AN6001">
        <v>1.0000000388730099</v>
      </c>
    </row>
    <row r="6002" spans="1:40" x14ac:dyDescent="0.25">
      <c r="A6002" t="str">
        <f>"20190312154415415"</f>
        <v>20190312154415415</v>
      </c>
      <c r="B6002" t="str">
        <f>"1552376655403539"</f>
        <v>1552376655403539</v>
      </c>
      <c r="C6002" t="s">
        <v>40</v>
      </c>
      <c r="D6002">
        <v>5.0591489999999997</v>
      </c>
      <c r="E6002">
        <v>0.51382280000000002</v>
      </c>
      <c r="F6002" t="s">
        <v>41</v>
      </c>
      <c r="G6002">
        <v>-324.24990000000003</v>
      </c>
      <c r="H6002">
        <v>1.0275289999999999</v>
      </c>
      <c r="I6002">
        <v>21.35643</v>
      </c>
      <c r="J6002">
        <v>-324.85539999999997</v>
      </c>
      <c r="K6002">
        <v>1.105219</v>
      </c>
      <c r="L6002">
        <v>21.62463</v>
      </c>
      <c r="M6002">
        <v>0.98042830000000003</v>
      </c>
      <c r="N6002">
        <v>0</v>
      </c>
      <c r="O6002">
        <v>-0.19635569999999999</v>
      </c>
      <c r="P6002">
        <v>0.94412620000000003</v>
      </c>
      <c r="Q6002">
        <v>2.410017E-3</v>
      </c>
      <c r="R6002">
        <v>-0.32957560000000002</v>
      </c>
      <c r="S6002">
        <v>2.8062130000000001</v>
      </c>
      <c r="T6002">
        <v>-0.2564727</v>
      </c>
      <c r="U6002">
        <v>-1.068878</v>
      </c>
      <c r="V6002">
        <v>0.13795660000000001</v>
      </c>
      <c r="W6002">
        <v>1.4806990000000001E-2</v>
      </c>
      <c r="X6002">
        <v>0.99032759999999997</v>
      </c>
      <c r="Y6002">
        <v>0.16560810000000001</v>
      </c>
      <c r="Z6002">
        <v>9.7711099999999995E-3</v>
      </c>
      <c r="AA6002">
        <v>0.9861432</v>
      </c>
      <c r="AB6002">
        <v>25</v>
      </c>
      <c r="AC6002">
        <v>0.60549999999994897</v>
      </c>
      <c r="AD6002">
        <v>-7.7689999999999801E-2</v>
      </c>
      <c r="AE6002">
        <v>-0.26819999999999999</v>
      </c>
      <c r="AF6002">
        <v>0.142116359291899</v>
      </c>
      <c r="AG6002">
        <v>-7.7689999999999801E-2</v>
      </c>
      <c r="AH6002">
        <v>0.63760306192264604</v>
      </c>
      <c r="AI6002">
        <v>96.782247750024595</v>
      </c>
      <c r="AJ6002">
        <v>77.434650407490807</v>
      </c>
      <c r="AK6002">
        <v>0.65785291688303604</v>
      </c>
      <c r="AL6002">
        <v>89.151590972859594</v>
      </c>
      <c r="AM6002">
        <v>82.069504391566895</v>
      </c>
      <c r="AN6002">
        <v>1.00000001287909</v>
      </c>
    </row>
    <row r="6003" spans="1:40" x14ac:dyDescent="0.25">
      <c r="A6003" t="str">
        <f>"20190312154415436"</f>
        <v>20190312154415436</v>
      </c>
      <c r="B6003" t="str">
        <f>"1552376655423059"</f>
        <v>1552376655423059</v>
      </c>
      <c r="C6003" t="s">
        <v>40</v>
      </c>
      <c r="D6003">
        <v>5.0541729999999996</v>
      </c>
      <c r="E6003">
        <v>0.51307139999999996</v>
      </c>
      <c r="F6003" t="s">
        <v>41</v>
      </c>
      <c r="G6003">
        <v>-324.03019999999998</v>
      </c>
      <c r="H6003">
        <v>1.028483</v>
      </c>
      <c r="I6003">
        <v>21.303529999999999</v>
      </c>
      <c r="J6003">
        <v>-324.62279999999998</v>
      </c>
      <c r="K6003">
        <v>1.105113</v>
      </c>
      <c r="L6003">
        <v>21.56964</v>
      </c>
      <c r="M6003">
        <v>0.97893759999999996</v>
      </c>
      <c r="N6003">
        <v>0</v>
      </c>
      <c r="O6003">
        <v>-0.203656</v>
      </c>
      <c r="P6003">
        <v>0.94092200000000004</v>
      </c>
      <c r="Q6003">
        <v>2.1037170000000002E-3</v>
      </c>
      <c r="R6003">
        <v>-0.33861729999999901</v>
      </c>
      <c r="S6003">
        <v>2.798187</v>
      </c>
      <c r="T6003">
        <v>-0.2599862</v>
      </c>
      <c r="U6003">
        <v>-1.0886229999999999</v>
      </c>
      <c r="V6003">
        <v>0.1400767</v>
      </c>
      <c r="W6003">
        <v>1.44513E-2</v>
      </c>
      <c r="X6003">
        <v>0.9900352</v>
      </c>
      <c r="Y6003">
        <v>0.16528809999999999</v>
      </c>
      <c r="Z6003">
        <v>1.056123E-2</v>
      </c>
      <c r="AA6003">
        <v>0.98618879999999998</v>
      </c>
      <c r="AB6003">
        <v>25</v>
      </c>
      <c r="AC6003">
        <v>0.59260000000000401</v>
      </c>
      <c r="AD6003">
        <v>-7.6629999999999907E-2</v>
      </c>
      <c r="AE6003">
        <v>-0.26611000000000101</v>
      </c>
      <c r="AF6003">
        <v>0.13791377369133101</v>
      </c>
      <c r="AG6003">
        <v>-7.6629999999999907E-2</v>
      </c>
      <c r="AH6003">
        <v>0.62567199023409104</v>
      </c>
      <c r="AI6003">
        <v>96.820469609608196</v>
      </c>
      <c r="AJ6003">
        <v>77.569354798838106</v>
      </c>
      <c r="AK6003">
        <v>0.64525793698122902</v>
      </c>
      <c r="AL6003">
        <v>89.171972686883095</v>
      </c>
      <c r="AM6003">
        <v>81.946868976215498</v>
      </c>
      <c r="AN6003">
        <v>1.00000000959681</v>
      </c>
    </row>
    <row r="6004" spans="1:40" x14ac:dyDescent="0.25">
      <c r="A6004" t="str">
        <f>"20190312154415459"</f>
        <v>20190312154415459</v>
      </c>
      <c r="B6004" t="str">
        <f>"1552376655453316"</f>
        <v>1552376655453316</v>
      </c>
      <c r="C6004" t="s">
        <v>40</v>
      </c>
      <c r="D6004">
        <v>5.0189110000000001</v>
      </c>
      <c r="E6004">
        <v>0.51216629999999996</v>
      </c>
      <c r="F6004" t="s">
        <v>41</v>
      </c>
      <c r="G6004">
        <v>-323.81169999999997</v>
      </c>
      <c r="H6004">
        <v>1.0290760000000001</v>
      </c>
      <c r="I6004">
        <v>21.24682</v>
      </c>
      <c r="J6004">
        <v>-324.37650000000002</v>
      </c>
      <c r="K6004">
        <v>1.1050059999999999</v>
      </c>
      <c r="L6004">
        <v>21.509160000000001</v>
      </c>
      <c r="M6004">
        <v>0.9772575</v>
      </c>
      <c r="N6004">
        <v>0</v>
      </c>
      <c r="O6004">
        <v>-0.21157119999999999</v>
      </c>
      <c r="P6004">
        <v>0.93734499999999998</v>
      </c>
      <c r="Q6004">
        <v>2.0606690000000002E-3</v>
      </c>
      <c r="R6004">
        <v>-0.34839700000000001</v>
      </c>
      <c r="S6004">
        <v>2.7896730000000001</v>
      </c>
      <c r="T6004">
        <v>-0.26094329999999999</v>
      </c>
      <c r="U6004">
        <v>-1.109558</v>
      </c>
      <c r="V6004">
        <v>0.1423779</v>
      </c>
      <c r="W6004">
        <v>1.435547E-2</v>
      </c>
      <c r="X6004">
        <v>0.98970820000000004</v>
      </c>
      <c r="Y6004">
        <v>0.16476150000000001</v>
      </c>
      <c r="Z6004">
        <v>1.132239E-2</v>
      </c>
      <c r="AA6004">
        <v>0.98626849999999999</v>
      </c>
      <c r="AB6004">
        <v>25</v>
      </c>
      <c r="AC6004">
        <v>0.56480000000004704</v>
      </c>
      <c r="AD6004">
        <v>-7.5929999999999803E-2</v>
      </c>
      <c r="AE6004">
        <v>-0.26234000000000102</v>
      </c>
      <c r="AF6004">
        <v>0.13488714192106099</v>
      </c>
      <c r="AG6004">
        <v>-7.5929999999999803E-2</v>
      </c>
      <c r="AH6004">
        <v>0.59862188864544796</v>
      </c>
      <c r="AI6004">
        <v>97.053861724806495</v>
      </c>
      <c r="AJ6004">
        <v>77.301651147153706</v>
      </c>
      <c r="AK6004">
        <v>0.618310659394673</v>
      </c>
      <c r="AL6004">
        <v>89.177463848444603</v>
      </c>
      <c r="AM6004">
        <v>81.813681581449202</v>
      </c>
      <c r="AN6004">
        <v>0.999999933537283</v>
      </c>
    </row>
    <row r="6005" spans="1:40" x14ac:dyDescent="0.25">
      <c r="A6005" t="str">
        <f>"20190312154415481"</f>
        <v>20190312154415481</v>
      </c>
      <c r="B6005" t="str">
        <f>"1552376655473811"</f>
        <v>1552376655473811</v>
      </c>
      <c r="C6005" t="s">
        <v>40</v>
      </c>
      <c r="D6005">
        <v>5.0020259999999999</v>
      </c>
      <c r="E6005">
        <v>0.51166780000000001</v>
      </c>
      <c r="F6005" t="s">
        <v>41</v>
      </c>
      <c r="G6005">
        <v>-323.59269999999998</v>
      </c>
      <c r="H6005">
        <v>1.031123</v>
      </c>
      <c r="I6005">
        <v>21.190079999999998</v>
      </c>
      <c r="J6005">
        <v>-324.13319999999999</v>
      </c>
      <c r="K6005">
        <v>1.1048990000000001</v>
      </c>
      <c r="L6005">
        <v>21.44717</v>
      </c>
      <c r="M6005">
        <v>0.975491</v>
      </c>
      <c r="N6005">
        <v>0</v>
      </c>
      <c r="O6005">
        <v>-0.2195705</v>
      </c>
      <c r="P6005">
        <v>0.93352170000000001</v>
      </c>
      <c r="Q6005">
        <v>1.0023899999999999E-3</v>
      </c>
      <c r="R6005">
        <v>-0.3585199</v>
      </c>
      <c r="S6005">
        <v>2.7803650000000002</v>
      </c>
      <c r="T6005">
        <v>-0.2622062</v>
      </c>
      <c r="U6005">
        <v>-1.1319889999999999</v>
      </c>
      <c r="V6005">
        <v>0.14496800000000001</v>
      </c>
      <c r="W6005">
        <v>1.3240729999999999E-2</v>
      </c>
      <c r="X6005">
        <v>0.9893478</v>
      </c>
      <c r="Y6005">
        <v>0.16468929999999901</v>
      </c>
      <c r="Z6005">
        <v>1.209115E-2</v>
      </c>
      <c r="AA6005">
        <v>0.98627140000000002</v>
      </c>
      <c r="AB6005">
        <v>25</v>
      </c>
      <c r="AC6005">
        <v>0.54050000000000797</v>
      </c>
      <c r="AD6005">
        <v>-7.3775999999999994E-2</v>
      </c>
      <c r="AE6005">
        <v>-0.25709000000000098</v>
      </c>
      <c r="AF6005">
        <v>0.130147331889156</v>
      </c>
      <c r="AG6005">
        <v>-7.3775999999999994E-2</v>
      </c>
      <c r="AH6005">
        <v>0.57502569834134398</v>
      </c>
      <c r="AI6005">
        <v>97.132646293023996</v>
      </c>
      <c r="AJ6005">
        <v>77.246938368917895</v>
      </c>
      <c r="AK6005">
        <v>0.59416814112405703</v>
      </c>
      <c r="AL6005">
        <v>89.241339925277998</v>
      </c>
      <c r="AM6005">
        <v>81.663838338950697</v>
      </c>
      <c r="AN6005">
        <v>1.0000000536598801</v>
      </c>
    </row>
    <row r="6006" spans="1:40" x14ac:dyDescent="0.25">
      <c r="A6006" t="str">
        <f>"20190312154415504"</f>
        <v>20190312154415504</v>
      </c>
      <c r="B6006" t="str">
        <f>"1552376655493332"</f>
        <v>1552376655493332</v>
      </c>
      <c r="C6006" t="s">
        <v>40</v>
      </c>
      <c r="D6006">
        <v>5.0278859999999996</v>
      </c>
      <c r="E6006">
        <v>0.51142290000000001</v>
      </c>
      <c r="F6006" t="s">
        <v>41</v>
      </c>
      <c r="G6006">
        <v>-323.37540000000001</v>
      </c>
      <c r="H6006">
        <v>1.0321009999999999</v>
      </c>
      <c r="I6006">
        <v>21.130019999999998</v>
      </c>
      <c r="J6006">
        <v>-323.88799999999998</v>
      </c>
      <c r="K6006">
        <v>1.1047880000000001</v>
      </c>
      <c r="L6006">
        <v>21.382349999999999</v>
      </c>
      <c r="M6006">
        <v>0.97359949999999995</v>
      </c>
      <c r="N6006">
        <v>0</v>
      </c>
      <c r="O6006">
        <v>-0.22780909999999999</v>
      </c>
      <c r="P6006">
        <v>0.92931249999999999</v>
      </c>
      <c r="Q6006" s="1">
        <v>9.3079170000000006E-5</v>
      </c>
      <c r="R6006">
        <v>-0.36929420000000002</v>
      </c>
      <c r="S6006">
        <v>2.769104</v>
      </c>
      <c r="T6006">
        <v>-0.26549610000000001</v>
      </c>
      <c r="U6006">
        <v>-1.158325</v>
      </c>
      <c r="V6006">
        <v>0.148039</v>
      </c>
      <c r="W6006">
        <v>1.2265679999999999E-2</v>
      </c>
      <c r="X6006">
        <v>0.98890549999999999</v>
      </c>
      <c r="Y6006">
        <v>0.16579240000000001</v>
      </c>
      <c r="Z6006">
        <v>1.2936370000000001E-2</v>
      </c>
      <c r="AA6006">
        <v>0.98607579999999995</v>
      </c>
      <c r="AB6006">
        <v>25</v>
      </c>
      <c r="AC6006">
        <v>0.51259999999996297</v>
      </c>
      <c r="AD6006">
        <v>-7.2686999999999904E-2</v>
      </c>
      <c r="AE6006">
        <v>-0.252329999999997</v>
      </c>
      <c r="AF6006">
        <v>0.12685358050750301</v>
      </c>
      <c r="AG6006">
        <v>-7.2686999999999904E-2</v>
      </c>
      <c r="AH6006">
        <v>0.54774234277462697</v>
      </c>
      <c r="AI6006">
        <v>97.366406052639604</v>
      </c>
      <c r="AJ6006">
        <v>76.9605506407337</v>
      </c>
      <c r="AK6006">
        <v>0.566918781594693</v>
      </c>
      <c r="AL6006">
        <v>89.2972107085494</v>
      </c>
      <c r="AM6006">
        <v>81.486054317219498</v>
      </c>
      <c r="AN6006">
        <v>1.00000004017855</v>
      </c>
    </row>
    <row r="6007" spans="1:40" x14ac:dyDescent="0.25">
      <c r="A6007" t="str">
        <f>"20190312154415526"</f>
        <v>20190312154415526</v>
      </c>
      <c r="B6007" t="str">
        <f>"1552376655513827"</f>
        <v>1552376655513827</v>
      </c>
      <c r="C6007" t="s">
        <v>40</v>
      </c>
      <c r="D6007">
        <v>5.076956</v>
      </c>
      <c r="E6007">
        <v>0.50586059999999999</v>
      </c>
      <c r="F6007" t="s">
        <v>41</v>
      </c>
      <c r="G6007">
        <v>-323.15839999999997</v>
      </c>
      <c r="H6007">
        <v>1.0336780000000001</v>
      </c>
      <c r="I6007">
        <v>21.067609999999998</v>
      </c>
      <c r="J6007">
        <v>-323.63740000000001</v>
      </c>
      <c r="K6007">
        <v>1.104671</v>
      </c>
      <c r="L6007">
        <v>21.313600000000001</v>
      </c>
      <c r="M6007">
        <v>0.97154629999999997</v>
      </c>
      <c r="N6007">
        <v>0</v>
      </c>
      <c r="O6007">
        <v>-0.23641100000000001</v>
      </c>
      <c r="P6007">
        <v>0.9247341</v>
      </c>
      <c r="Q6007" s="1">
        <v>-7.4586829999999998E-5</v>
      </c>
      <c r="R6007">
        <v>-0.38061460000000003</v>
      </c>
      <c r="S6007">
        <v>2.7560419999999999</v>
      </c>
      <c r="T6007">
        <v>-0.26813039999999999</v>
      </c>
      <c r="U6007">
        <v>-1.1883239999999999</v>
      </c>
      <c r="V6007">
        <v>0.15136849999999999</v>
      </c>
      <c r="W6007">
        <v>1.2025839999999999E-2</v>
      </c>
      <c r="X6007">
        <v>0.98840430000000001</v>
      </c>
      <c r="Y6007">
        <v>0.16784789999999999</v>
      </c>
      <c r="Z6007">
        <v>1.375666E-2</v>
      </c>
      <c r="AA6007">
        <v>0.98571690000000001</v>
      </c>
      <c r="AB6007">
        <v>25</v>
      </c>
      <c r="AC6007">
        <v>0.479000000000041</v>
      </c>
      <c r="AD6007">
        <v>-7.0992999999999806E-2</v>
      </c>
      <c r="AE6007">
        <v>-0.24598999999999899</v>
      </c>
      <c r="AF6007">
        <v>0.123614175095296</v>
      </c>
      <c r="AG6007">
        <v>-7.0992999999999806E-2</v>
      </c>
      <c r="AH6007">
        <v>0.51463429872209598</v>
      </c>
      <c r="AI6007">
        <v>97.639671731840593</v>
      </c>
      <c r="AJ6007">
        <v>76.493535673155407</v>
      </c>
      <c r="AK6007">
        <v>0.53401210824725198</v>
      </c>
      <c r="AL6007">
        <v>89.310953549597798</v>
      </c>
      <c r="AM6007">
        <v>81.293124482212505</v>
      </c>
      <c r="AN6007">
        <v>1.00000005193922</v>
      </c>
    </row>
    <row r="6008" spans="1:40" x14ac:dyDescent="0.25">
      <c r="A6008" t="str">
        <f>"20190312154415548"</f>
        <v>20190312154415548</v>
      </c>
      <c r="B6008" t="str">
        <f>"1552376655543107"</f>
        <v>1552376655543107</v>
      </c>
      <c r="C6008" t="s">
        <v>40</v>
      </c>
      <c r="D6008">
        <v>5.1860879999999998</v>
      </c>
      <c r="E6008">
        <v>0.56069279999999999</v>
      </c>
      <c r="F6008" t="s">
        <v>41</v>
      </c>
      <c r="G6008">
        <v>-322.93860000000001</v>
      </c>
      <c r="H6008">
        <v>1.038322</v>
      </c>
      <c r="I6008">
        <v>21.014130000000002</v>
      </c>
      <c r="J6008">
        <v>-323.39749999999998</v>
      </c>
      <c r="K6008">
        <v>1.104573</v>
      </c>
      <c r="L6008">
        <v>21.245270000000001</v>
      </c>
      <c r="M6008">
        <v>0.9694604</v>
      </c>
      <c r="N6008">
        <v>0</v>
      </c>
      <c r="O6008">
        <v>-0.24482319999999999</v>
      </c>
      <c r="P6008">
        <v>0.91992410000000002</v>
      </c>
      <c r="Q6008">
        <v>1.308607E-3</v>
      </c>
      <c r="R6008">
        <v>-0.39209480000000002</v>
      </c>
      <c r="S6008">
        <v>2.7581790000000002</v>
      </c>
      <c r="T6008">
        <v>-0.26078279999999998</v>
      </c>
      <c r="U6008">
        <v>-1.1807859999999999</v>
      </c>
      <c r="V6008">
        <v>0.15512609999999999</v>
      </c>
      <c r="W6008">
        <v>1.332989E-2</v>
      </c>
      <c r="X6008">
        <v>0.98780469999999998</v>
      </c>
      <c r="Y6008">
        <v>0.15679650000000001</v>
      </c>
      <c r="Z6008">
        <v>1.460477E-2</v>
      </c>
      <c r="AA6008">
        <v>0.98752300000000004</v>
      </c>
      <c r="AB6008">
        <v>25</v>
      </c>
      <c r="AC6008">
        <v>0.458899999999971</v>
      </c>
      <c r="AD6008">
        <v>-6.6251000000000004E-2</v>
      </c>
      <c r="AE6008">
        <v>-0.23114000000000301</v>
      </c>
      <c r="AF6008">
        <v>0.109916008127906</v>
      </c>
      <c r="AG6008">
        <v>-6.6251000000000004E-2</v>
      </c>
      <c r="AH6008">
        <v>0.49332458449893302</v>
      </c>
      <c r="AI6008">
        <v>97.4677968990202</v>
      </c>
      <c r="AJ6008">
        <v>77.4392856571652</v>
      </c>
      <c r="AK6008">
        <v>0.50974490631571701</v>
      </c>
      <c r="AL6008">
        <v>89.236230910744297</v>
      </c>
      <c r="AM6008">
        <v>81.075090495656596</v>
      </c>
      <c r="AN6008">
        <v>0.999999959105355</v>
      </c>
    </row>
    <row r="6009" spans="1:40" x14ac:dyDescent="0.25">
      <c r="A6009" t="str">
        <f>"20190312154415570"</f>
        <v>20190312154415570</v>
      </c>
      <c r="B6009" t="str">
        <f>"1552376655563603"</f>
        <v>1552376655563603</v>
      </c>
      <c r="C6009" t="s">
        <v>40</v>
      </c>
      <c r="D6009">
        <v>5.1092420000000001</v>
      </c>
      <c r="E6009">
        <v>0.57642789999999999</v>
      </c>
      <c r="F6009" t="s">
        <v>42</v>
      </c>
      <c r="G6009">
        <v>-312.48340000000002</v>
      </c>
      <c r="H6009">
        <v>-0.05</v>
      </c>
      <c r="I6009">
        <v>14.38527</v>
      </c>
      <c r="J6009">
        <v>-323.16410000000002</v>
      </c>
      <c r="K6009">
        <v>1.104482</v>
      </c>
      <c r="L6009">
        <v>21.176359999999999</v>
      </c>
      <c r="M6009">
        <v>0.96731400000000001</v>
      </c>
      <c r="N6009">
        <v>0</v>
      </c>
      <c r="O6009">
        <v>-0.2531698</v>
      </c>
      <c r="P6009">
        <v>0.91500090000000001</v>
      </c>
      <c r="Q6009">
        <v>1.9354419999999999E-3</v>
      </c>
      <c r="R6009">
        <v>-0.40344770000000002</v>
      </c>
      <c r="S6009">
        <v>2.5724179999999999</v>
      </c>
      <c r="T6009">
        <v>-0.27212979999999998</v>
      </c>
      <c r="U6009">
        <v>-1.6168819999999999</v>
      </c>
      <c r="V6009">
        <v>0.15884699999999999</v>
      </c>
      <c r="W6009">
        <v>1.38782E-2</v>
      </c>
      <c r="X6009">
        <v>0.98720569999999996</v>
      </c>
      <c r="Y6009">
        <v>0.30024980000000001</v>
      </c>
      <c r="Z6009">
        <v>9.3431439999999994E-3</v>
      </c>
      <c r="AA6009">
        <v>0.95381490000000002</v>
      </c>
      <c r="AB6009">
        <v>25</v>
      </c>
      <c r="AC6009">
        <v>10.6807</v>
      </c>
      <c r="AD6009">
        <v>-1.154482</v>
      </c>
      <c r="AE6009">
        <v>-6.7910899999999899</v>
      </c>
      <c r="AF6009">
        <v>3.8335936913222102</v>
      </c>
      <c r="AG6009">
        <v>-1.154482</v>
      </c>
      <c r="AH6009">
        <v>11.9527009486357</v>
      </c>
      <c r="AI6009">
        <v>95.254868938892997</v>
      </c>
      <c r="AJ6009">
        <v>72.217378614681195</v>
      </c>
      <c r="AK6009">
        <v>12.6054087298265</v>
      </c>
      <c r="AL6009">
        <v>89.2048122122726</v>
      </c>
      <c r="AM6009">
        <v>80.859134117985306</v>
      </c>
      <c r="AN6009">
        <v>1.0000000339783599</v>
      </c>
    </row>
    <row r="6010" spans="1:40" x14ac:dyDescent="0.25">
      <c r="A6010" t="str">
        <f>"20190312154415592"</f>
        <v>20190312154415592</v>
      </c>
      <c r="B6010" t="str">
        <f>"1552376655583124"</f>
        <v>1552376655583124</v>
      </c>
      <c r="C6010" t="s">
        <v>40</v>
      </c>
      <c r="D6010">
        <v>5.1550690000000001</v>
      </c>
      <c r="E6010">
        <v>0.58590319999999996</v>
      </c>
      <c r="F6010" t="s">
        <v>42</v>
      </c>
      <c r="G6010">
        <v>-315.24079999999998</v>
      </c>
      <c r="H6010">
        <v>-0.05</v>
      </c>
      <c r="I6010">
        <v>15.598269999999999</v>
      </c>
      <c r="J6010">
        <v>-322.92360000000002</v>
      </c>
      <c r="K6010">
        <v>1.104395</v>
      </c>
      <c r="L6010">
        <v>21.102869999999999</v>
      </c>
      <c r="M6010">
        <v>0.96498439999999996</v>
      </c>
      <c r="N6010">
        <v>0</v>
      </c>
      <c r="O6010">
        <v>-0.26190809999999998</v>
      </c>
      <c r="P6010">
        <v>0.90986710000000004</v>
      </c>
      <c r="Q6010">
        <v>2.8151029999999998E-3</v>
      </c>
      <c r="R6010">
        <v>-0.41489090000000001</v>
      </c>
      <c r="S6010">
        <v>2.5026250000000001</v>
      </c>
      <c r="T6010">
        <v>-0.3646489</v>
      </c>
      <c r="U6010">
        <v>-1.761871</v>
      </c>
      <c r="V6010">
        <v>0.1623146</v>
      </c>
      <c r="W6010">
        <v>1.468731E-2</v>
      </c>
      <c r="X6010">
        <v>0.98662969999999905</v>
      </c>
      <c r="Y6010">
        <v>0.34081250000000002</v>
      </c>
      <c r="Z6010">
        <v>1.0969420000000001E-2</v>
      </c>
      <c r="AA6010">
        <v>0.94006730000000005</v>
      </c>
      <c r="AB6010">
        <v>25</v>
      </c>
      <c r="AC6010">
        <v>7.6828000000000403</v>
      </c>
      <c r="AD6010">
        <v>-1.1543950000000001</v>
      </c>
      <c r="AE6010">
        <v>-5.5045999999999999</v>
      </c>
      <c r="AF6010">
        <v>3.2515026935020899</v>
      </c>
      <c r="AG6010">
        <v>-1.1543950000000001</v>
      </c>
      <c r="AH6010">
        <v>8.7262242773700809</v>
      </c>
      <c r="AI6010">
        <v>97.066580998514695</v>
      </c>
      <c r="AJ6010">
        <v>69.563963389675706</v>
      </c>
      <c r="AK6010">
        <v>9.3835967369042095</v>
      </c>
      <c r="AL6010">
        <v>89.158448829296205</v>
      </c>
      <c r="AM6010">
        <v>80.657713363286405</v>
      </c>
      <c r="AN6010">
        <v>0.999999955685141</v>
      </c>
    </row>
    <row r="6011" spans="1:40" x14ac:dyDescent="0.25">
      <c r="A6011" t="str">
        <f>"20190312154415615"</f>
        <v>20190312154415615</v>
      </c>
      <c r="B6011" t="str">
        <f>"1552376655603620"</f>
        <v>1552376655603620</v>
      </c>
      <c r="C6011" t="s">
        <v>40</v>
      </c>
      <c r="D6011">
        <v>5.1442489999999896</v>
      </c>
      <c r="E6011">
        <v>0.59085339999999997</v>
      </c>
      <c r="F6011" t="s">
        <v>42</v>
      </c>
      <c r="G6011">
        <v>-316.3571</v>
      </c>
      <c r="H6011">
        <v>-0.05</v>
      </c>
      <c r="I6011">
        <v>16.115600000000001</v>
      </c>
      <c r="J6011">
        <v>-322.68619999999999</v>
      </c>
      <c r="K6011">
        <v>1.104333</v>
      </c>
      <c r="L6011">
        <v>21.027830000000002</v>
      </c>
      <c r="M6011">
        <v>0.96256609999999998</v>
      </c>
      <c r="N6011">
        <v>0</v>
      </c>
      <c r="O6011">
        <v>-0.2706597</v>
      </c>
      <c r="P6011">
        <v>0.90450699999999995</v>
      </c>
      <c r="Q6011">
        <v>3.2087779999999998E-3</v>
      </c>
      <c r="R6011">
        <v>-0.42644729999999997</v>
      </c>
      <c r="S6011">
        <v>2.4500120000000001</v>
      </c>
      <c r="T6011">
        <v>-0.43071130000000002</v>
      </c>
      <c r="U6011">
        <v>-1.860779</v>
      </c>
      <c r="V6011">
        <v>0.16593139999999901</v>
      </c>
      <c r="W6011">
        <v>1.5010570000000001E-2</v>
      </c>
      <c r="X6011">
        <v>0.98602310000000004</v>
      </c>
      <c r="Y6011">
        <v>0.36575160000000001</v>
      </c>
      <c r="Z6011">
        <v>1.230354E-2</v>
      </c>
      <c r="AA6011">
        <v>0.93063119999999999</v>
      </c>
      <c r="AB6011">
        <v>25</v>
      </c>
      <c r="AC6011">
        <v>6.32909999999998</v>
      </c>
      <c r="AD6011">
        <v>-1.1543330000000001</v>
      </c>
      <c r="AE6011">
        <v>-4.9122299999999903</v>
      </c>
      <c r="AF6011">
        <v>2.9543010879976102</v>
      </c>
      <c r="AG6011">
        <v>-1.1543330000000001</v>
      </c>
      <c r="AH6011">
        <v>7.2715467063716002</v>
      </c>
      <c r="AI6011">
        <v>98.366609377469999</v>
      </c>
      <c r="AJ6011">
        <v>67.888960697523402</v>
      </c>
      <c r="AK6011">
        <v>7.9332068608083404</v>
      </c>
      <c r="AL6011">
        <v>89.139925433784299</v>
      </c>
      <c r="AM6011">
        <v>80.447568525240001</v>
      </c>
      <c r="AN6011">
        <v>1.0000000502256401</v>
      </c>
    </row>
    <row r="6012" spans="1:40" x14ac:dyDescent="0.25">
      <c r="A6012" t="str">
        <f>"20190312154415636"</f>
        <v>20190312154415636</v>
      </c>
      <c r="B6012" t="str">
        <f>"1552376655623144"</f>
        <v>1552376655623144</v>
      </c>
      <c r="C6012" t="s">
        <v>40</v>
      </c>
      <c r="D6012">
        <v>5.1510259999999999</v>
      </c>
      <c r="E6012">
        <v>0.59283609999999998</v>
      </c>
      <c r="F6012" t="s">
        <v>42</v>
      </c>
      <c r="G6012">
        <v>-316.69330000000002</v>
      </c>
      <c r="H6012">
        <v>-0.05</v>
      </c>
      <c r="I6012">
        <v>16.235759999999999</v>
      </c>
      <c r="J6012">
        <v>-322.45569999999998</v>
      </c>
      <c r="K6012">
        <v>1.1042780000000001</v>
      </c>
      <c r="L6012">
        <v>20.95261</v>
      </c>
      <c r="M6012">
        <v>0.96010580000000001</v>
      </c>
      <c r="N6012">
        <v>0</v>
      </c>
      <c r="O6012">
        <v>-0.27926030000000002</v>
      </c>
      <c r="P6012">
        <v>0.89938410000000002</v>
      </c>
      <c r="Q6012">
        <v>2.5200790000000002E-3</v>
      </c>
      <c r="R6012">
        <v>-0.43715219999999999</v>
      </c>
      <c r="S6012">
        <v>2.4098510000000002</v>
      </c>
      <c r="T6012">
        <v>-0.46418369999999998</v>
      </c>
      <c r="U6012">
        <v>-1.9270020000000001</v>
      </c>
      <c r="V6012">
        <v>0.16880300000000001</v>
      </c>
      <c r="W6012">
        <v>1.426679E-2</v>
      </c>
      <c r="X6012">
        <v>0.98554649999999999</v>
      </c>
      <c r="Y6012">
        <v>0.3803975</v>
      </c>
      <c r="Z6012">
        <v>1.339101E-2</v>
      </c>
      <c r="AA6012">
        <v>0.9247261</v>
      </c>
      <c r="AB6012">
        <v>25</v>
      </c>
      <c r="AC6012">
        <v>5.7623999999999498</v>
      </c>
      <c r="AD6012">
        <v>-1.1542779999999999</v>
      </c>
      <c r="AE6012">
        <v>-4.71685</v>
      </c>
      <c r="AF6012">
        <v>2.8512672088951398</v>
      </c>
      <c r="AG6012">
        <v>-1.1542779999999999</v>
      </c>
      <c r="AH6012">
        <v>6.6897336359416704</v>
      </c>
      <c r="AI6012">
        <v>99.019239926573107</v>
      </c>
      <c r="AJ6012">
        <v>66.915552487717406</v>
      </c>
      <c r="AK6012">
        <v>7.3630576880569203</v>
      </c>
      <c r="AL6012">
        <v>89.182545371452207</v>
      </c>
      <c r="AM6012">
        <v>80.280770473188596</v>
      </c>
      <c r="AN6012">
        <v>0.99999994888407495</v>
      </c>
    </row>
    <row r="6013" spans="1:40" x14ac:dyDescent="0.25">
      <c r="A6013" t="str">
        <f>"20190312154415660"</f>
        <v>20190312154415660</v>
      </c>
      <c r="B6013" t="str">
        <f>"1552376655653395"</f>
        <v>1552376655653395</v>
      </c>
      <c r="C6013" t="s">
        <v>40</v>
      </c>
      <c r="D6013">
        <v>5.1626629999999896</v>
      </c>
      <c r="E6013">
        <v>0.59418439999999995</v>
      </c>
      <c r="F6013" t="s">
        <v>42</v>
      </c>
      <c r="G6013">
        <v>-316.78469999999999</v>
      </c>
      <c r="H6013">
        <v>-0.05</v>
      </c>
      <c r="I6013">
        <v>16.258579999999998</v>
      </c>
      <c r="J6013">
        <v>-322.21109999999999</v>
      </c>
      <c r="K6013">
        <v>1.1042320000000001</v>
      </c>
      <c r="L6013">
        <v>20.870149999999999</v>
      </c>
      <c r="M6013">
        <v>0.95737240000000001</v>
      </c>
      <c r="N6013">
        <v>0</v>
      </c>
      <c r="O6013">
        <v>-0.28849140000000001</v>
      </c>
      <c r="P6013">
        <v>0.89419439999999994</v>
      </c>
      <c r="Q6013">
        <v>1.7002779999999999E-3</v>
      </c>
      <c r="R6013">
        <v>-0.44767630000000003</v>
      </c>
      <c r="S6013">
        <v>2.3796080000000002</v>
      </c>
      <c r="T6013">
        <v>-0.48434759999999999</v>
      </c>
      <c r="U6013">
        <v>-1.9696659999999999</v>
      </c>
      <c r="V6013">
        <v>0.17086770000000001</v>
      </c>
      <c r="W6013">
        <v>1.340761E-2</v>
      </c>
      <c r="X6013">
        <v>0.98520269999999999</v>
      </c>
      <c r="Y6013">
        <v>0.38703880000000002</v>
      </c>
      <c r="Z6013">
        <v>1.491466E-2</v>
      </c>
      <c r="AA6013">
        <v>0.92194279999999995</v>
      </c>
      <c r="AB6013">
        <v>25</v>
      </c>
      <c r="AC6013">
        <v>5.4264000000000001</v>
      </c>
      <c r="AD6013">
        <v>-1.1542319999999999</v>
      </c>
      <c r="AE6013">
        <v>-4.6115699999999897</v>
      </c>
      <c r="AF6013">
        <v>2.7768700945924998</v>
      </c>
      <c r="AG6013">
        <v>-1.1542319999999999</v>
      </c>
      <c r="AH6013">
        <v>6.3591132394871304</v>
      </c>
      <c r="AI6013">
        <v>99.444138132083197</v>
      </c>
      <c r="AJ6013">
        <v>66.410276569894407</v>
      </c>
      <c r="AK6013">
        <v>7.0343144815032801</v>
      </c>
      <c r="AL6013">
        <v>89.231777475676196</v>
      </c>
      <c r="AM6013">
        <v>80.1608334894553</v>
      </c>
      <c r="AN6013">
        <v>0.99999994749824395</v>
      </c>
    </row>
    <row r="6014" spans="1:40" x14ac:dyDescent="0.25">
      <c r="A6014" t="str">
        <f>"20190312154415681"</f>
        <v>20190312154415681</v>
      </c>
      <c r="B6014" t="str">
        <f>"1552376655673895"</f>
        <v>1552376655673895</v>
      </c>
      <c r="C6014" t="s">
        <v>40</v>
      </c>
      <c r="D6014">
        <v>5.1619359999999999</v>
      </c>
      <c r="E6014">
        <v>0.59488819999999998</v>
      </c>
      <c r="F6014" t="s">
        <v>42</v>
      </c>
      <c r="G6014">
        <v>-316.86130000000003</v>
      </c>
      <c r="H6014">
        <v>-0.05</v>
      </c>
      <c r="I6014">
        <v>16.305889999999899</v>
      </c>
      <c r="J6014">
        <v>-321.9785</v>
      </c>
      <c r="K6014">
        <v>1.1041920000000001</v>
      </c>
      <c r="L6014">
        <v>20.789280000000002</v>
      </c>
      <c r="M6014">
        <v>0.95465699999999998</v>
      </c>
      <c r="N6014">
        <v>0</v>
      </c>
      <c r="O6014">
        <v>-0.29735240000000002</v>
      </c>
      <c r="P6014">
        <v>0.88902230000000004</v>
      </c>
      <c r="Q6014">
        <v>1.752499E-3</v>
      </c>
      <c r="R6014">
        <v>-0.45786130000000003</v>
      </c>
      <c r="S6014">
        <v>2.3515320000000002</v>
      </c>
      <c r="T6014">
        <v>-0.50735200000000003</v>
      </c>
      <c r="U6014">
        <v>-2.006256</v>
      </c>
      <c r="V6014">
        <v>0.172991899999999</v>
      </c>
      <c r="W6014">
        <v>1.342048E-2</v>
      </c>
      <c r="X6014">
        <v>0.98483180000000003</v>
      </c>
      <c r="Y6014">
        <v>0.39215929999999999</v>
      </c>
      <c r="Z6014">
        <v>1.6686159999999998E-2</v>
      </c>
      <c r="AA6014">
        <v>0.91974599999999995</v>
      </c>
      <c r="AB6014">
        <v>25</v>
      </c>
      <c r="AC6014">
        <v>5.1171999999999596</v>
      </c>
      <c r="AD6014">
        <v>-1.1541920000000001</v>
      </c>
      <c r="AE6014">
        <v>-4.48339</v>
      </c>
      <c r="AF6014">
        <v>2.6816013844718798</v>
      </c>
      <c r="AG6014">
        <v>-1.1541920000000001</v>
      </c>
      <c r="AH6014">
        <v>6.0449961538341004</v>
      </c>
      <c r="AI6014">
        <v>99.900193085332802</v>
      </c>
      <c r="AJ6014">
        <v>66.077600642557897</v>
      </c>
      <c r="AK6014">
        <v>6.7130562084593501</v>
      </c>
      <c r="AL6014">
        <v>89.231040045687905</v>
      </c>
      <c r="AM6014">
        <v>80.037273293183603</v>
      </c>
      <c r="AN6014">
        <v>0.99999999052013999</v>
      </c>
    </row>
    <row r="6015" spans="1:40" x14ac:dyDescent="0.25">
      <c r="A6015" t="str">
        <f>"20190312154415704"</f>
        <v>20190312154415704</v>
      </c>
      <c r="B6015" t="str">
        <f>"1552376655693412"</f>
        <v>1552376655693412</v>
      </c>
      <c r="C6015" t="s">
        <v>40</v>
      </c>
      <c r="D6015">
        <v>5.2157150000000003</v>
      </c>
      <c r="E6015">
        <v>0.59504269999999904</v>
      </c>
      <c r="F6015" t="s">
        <v>42</v>
      </c>
      <c r="G6015">
        <v>-316.6859</v>
      </c>
      <c r="H6015">
        <v>-0.05</v>
      </c>
      <c r="I6015">
        <v>16.151959999999999</v>
      </c>
      <c r="J6015">
        <v>-321.74290000000002</v>
      </c>
      <c r="K6015">
        <v>1.104158</v>
      </c>
      <c r="L6015">
        <v>20.704740000000001</v>
      </c>
      <c r="M6015">
        <v>0.95179069999999999</v>
      </c>
      <c r="N6015">
        <v>0</v>
      </c>
      <c r="O6015">
        <v>-0.30640319999999999</v>
      </c>
      <c r="P6015">
        <v>0.88407659999999999</v>
      </c>
      <c r="Q6015">
        <v>1.7417229999999999E-3</v>
      </c>
      <c r="R6015">
        <v>-0.46733910000000001</v>
      </c>
      <c r="S6015">
        <v>2.325958</v>
      </c>
      <c r="T6015">
        <v>-0.50722679999999998</v>
      </c>
      <c r="U6015">
        <v>-2.0379330000000002</v>
      </c>
      <c r="V6015">
        <v>0.17417050000000001</v>
      </c>
      <c r="W6015">
        <v>1.338806E-2</v>
      </c>
      <c r="X6015">
        <v>0.98462450000000001</v>
      </c>
      <c r="Y6015">
        <v>0.39559359999999999</v>
      </c>
      <c r="Z6015">
        <v>1.7942050000000001E-2</v>
      </c>
      <c r="AA6015">
        <v>0.91825040000000002</v>
      </c>
      <c r="AB6015">
        <v>25</v>
      </c>
      <c r="AC6015">
        <v>5.0570000000000102</v>
      </c>
      <c r="AD6015">
        <v>-1.154158</v>
      </c>
      <c r="AE6015">
        <v>-4.5527800000000003</v>
      </c>
      <c r="AF6015">
        <v>2.7062484452579301</v>
      </c>
      <c r="AG6015">
        <v>-1.154158</v>
      </c>
      <c r="AH6015">
        <v>6.0352156151818797</v>
      </c>
      <c r="AI6015">
        <v>99.898282951404795</v>
      </c>
      <c r="AJ6015">
        <v>65.848079280648605</v>
      </c>
      <c r="AK6015">
        <v>6.7141409620412498</v>
      </c>
      <c r="AL6015">
        <v>89.232897752584606</v>
      </c>
      <c r="AM6015">
        <v>79.968701744002402</v>
      </c>
      <c r="AN6015">
        <v>1.00000000461053</v>
      </c>
    </row>
    <row r="6016" spans="1:40" x14ac:dyDescent="0.25">
      <c r="A6016" t="str">
        <f>"20190312154415727"</f>
        <v>20190312154415727</v>
      </c>
      <c r="B6016" t="str">
        <f>"1552376655723668"</f>
        <v>1552376655723668</v>
      </c>
      <c r="C6016" t="s">
        <v>40</v>
      </c>
      <c r="D6016">
        <v>4.978224</v>
      </c>
      <c r="E6016">
        <v>0.59562599999999999</v>
      </c>
      <c r="F6016" t="s">
        <v>42</v>
      </c>
      <c r="G6016">
        <v>-316.50200000000001</v>
      </c>
      <c r="H6016">
        <v>-0.05</v>
      </c>
      <c r="I6016">
        <v>16.009869999999999</v>
      </c>
      <c r="J6016">
        <v>-321.50900000000001</v>
      </c>
      <c r="K6016">
        <v>1.1041369999999999</v>
      </c>
      <c r="L6016">
        <v>20.618289999999998</v>
      </c>
      <c r="M6016">
        <v>0.9488316</v>
      </c>
      <c r="N6016">
        <v>0</v>
      </c>
      <c r="O6016">
        <v>-0.31544680000000003</v>
      </c>
      <c r="P6016">
        <v>0.8791118</v>
      </c>
      <c r="Q6016">
        <v>1.50403E-3</v>
      </c>
      <c r="R6016">
        <v>-0.47661330000000002</v>
      </c>
      <c r="S6016">
        <v>2.3035580000000002</v>
      </c>
      <c r="T6016">
        <v>-0.50729609999999903</v>
      </c>
      <c r="U6016">
        <v>-2.0635680000000001</v>
      </c>
      <c r="V6016">
        <v>0.17515539999999999</v>
      </c>
      <c r="W6016">
        <v>1.313345E-2</v>
      </c>
      <c r="X6016">
        <v>0.98445320000000003</v>
      </c>
      <c r="Y6016">
        <v>0.39705049999999997</v>
      </c>
      <c r="Z6016">
        <v>1.9387049999999999E-2</v>
      </c>
      <c r="AA6016">
        <v>0.91759199999999996</v>
      </c>
      <c r="AB6016">
        <v>25</v>
      </c>
      <c r="AC6016">
        <v>5.0069999999999997</v>
      </c>
      <c r="AD6016">
        <v>-1.154137</v>
      </c>
      <c r="AE6016">
        <v>-4.60841999999999</v>
      </c>
      <c r="AF6016">
        <v>2.7153613434980199</v>
      </c>
      <c r="AG6016">
        <v>-1.154137</v>
      </c>
      <c r="AH6016">
        <v>6.03166843598712</v>
      </c>
      <c r="AI6016">
        <v>99.897374268102993</v>
      </c>
      <c r="AJ6016">
        <v>65.763482508328394</v>
      </c>
      <c r="AK6016">
        <v>6.7146290710817196</v>
      </c>
      <c r="AL6016">
        <v>89.247487112066594</v>
      </c>
      <c r="AM6016">
        <v>79.911419253710605</v>
      </c>
      <c r="AN6016">
        <v>1.00000000232415</v>
      </c>
    </row>
    <row r="6017" spans="1:40" x14ac:dyDescent="0.25">
      <c r="A6017" t="str">
        <f>"20190312154415750"</f>
        <v>20190312154415750</v>
      </c>
      <c r="B6017" t="str">
        <f>"1552376655743188"</f>
        <v>1552376655743188</v>
      </c>
      <c r="C6017" t="s">
        <v>40</v>
      </c>
      <c r="D6017">
        <v>4.9370949999999896</v>
      </c>
      <c r="E6017">
        <v>0.59637099999999998</v>
      </c>
      <c r="F6017" t="s">
        <v>42</v>
      </c>
      <c r="G6017">
        <v>-316.25700000000001</v>
      </c>
      <c r="H6017">
        <v>-0.05</v>
      </c>
      <c r="I6017">
        <v>15.798970000000001</v>
      </c>
      <c r="J6017">
        <v>-321.27379999999999</v>
      </c>
      <c r="K6017">
        <v>1.104117</v>
      </c>
      <c r="L6017">
        <v>20.52863</v>
      </c>
      <c r="M6017">
        <v>0.9457257</v>
      </c>
      <c r="N6017">
        <v>0</v>
      </c>
      <c r="O6017">
        <v>-0.32464029999999999</v>
      </c>
      <c r="P6017">
        <v>0.87411219999999901</v>
      </c>
      <c r="Q6017">
        <v>9.1943890000000005E-4</v>
      </c>
      <c r="R6017">
        <v>-0.48572389999999999</v>
      </c>
      <c r="S6017">
        <v>2.2794189999999999</v>
      </c>
      <c r="T6017">
        <v>-0.50090889999999999</v>
      </c>
      <c r="U6017">
        <v>-2.0916440000000001</v>
      </c>
      <c r="V6017">
        <v>0.1758229</v>
      </c>
      <c r="W6017">
        <v>1.2515999999999999E-2</v>
      </c>
      <c r="X6017">
        <v>0.9843423</v>
      </c>
      <c r="Y6017">
        <v>0.39923120000000001</v>
      </c>
      <c r="Z6017">
        <v>2.0532789999999999E-2</v>
      </c>
      <c r="AA6017">
        <v>0.9166204</v>
      </c>
      <c r="AB6017">
        <v>25</v>
      </c>
      <c r="AC6017">
        <v>5.0167999999999804</v>
      </c>
      <c r="AD6017">
        <v>-1.1541170000000001</v>
      </c>
      <c r="AE6017">
        <v>-4.7296599999999902</v>
      </c>
      <c r="AF6017">
        <v>2.7670746814001399</v>
      </c>
      <c r="AG6017">
        <v>-1.1541170000000001</v>
      </c>
      <c r="AH6017">
        <v>6.1094365376730799</v>
      </c>
      <c r="AI6017">
        <v>99.763843314841793</v>
      </c>
      <c r="AJ6017">
        <v>65.6333649969731</v>
      </c>
      <c r="AK6017">
        <v>6.8054318856329399</v>
      </c>
      <c r="AL6017">
        <v>89.282867337619294</v>
      </c>
      <c r="AM6017">
        <v>79.872649570841006</v>
      </c>
      <c r="AN6017">
        <v>1.0000000529948401</v>
      </c>
    </row>
    <row r="6018" spans="1:40" x14ac:dyDescent="0.25">
      <c r="A6018" t="str">
        <f>"20190312154415770"</f>
        <v>20190312154415770</v>
      </c>
      <c r="B6018" t="str">
        <f>"1552376655763684"</f>
        <v>1552376655763684</v>
      </c>
      <c r="C6018" t="s">
        <v>40</v>
      </c>
      <c r="D6018">
        <v>4.9395759999999997</v>
      </c>
      <c r="E6018">
        <v>0.59689099999999995</v>
      </c>
      <c r="F6018" t="s">
        <v>42</v>
      </c>
      <c r="G6018">
        <v>-315.96660000000003</v>
      </c>
      <c r="H6018">
        <v>-0.05</v>
      </c>
      <c r="I6018">
        <v>15.536709999999999</v>
      </c>
      <c r="J6018">
        <v>-321.04860000000002</v>
      </c>
      <c r="K6018">
        <v>1.104017</v>
      </c>
      <c r="L6018">
        <v>20.440519999999999</v>
      </c>
      <c r="M6018">
        <v>0.9422874</v>
      </c>
      <c r="N6018">
        <v>0</v>
      </c>
      <c r="O6018">
        <v>-0.334509</v>
      </c>
      <c r="P6018">
        <v>0.86871520000000002</v>
      </c>
      <c r="Q6018">
        <v>8.3212740000000002E-4</v>
      </c>
      <c r="R6018">
        <v>-0.49531160000000002</v>
      </c>
      <c r="S6018">
        <v>2.2543329999999999</v>
      </c>
      <c r="T6018">
        <v>-0.49022840000000001</v>
      </c>
      <c r="U6018">
        <v>-2.1203919999999998</v>
      </c>
      <c r="V6018">
        <v>0.1763557</v>
      </c>
      <c r="W6018">
        <v>1.198484E-2</v>
      </c>
      <c r="X6018">
        <v>0.9842535</v>
      </c>
      <c r="Y6018">
        <v>0.40107579999999998</v>
      </c>
      <c r="Z6018">
        <v>2.160194E-2</v>
      </c>
      <c r="AA6018">
        <v>0.91579010000000005</v>
      </c>
      <c r="AB6018">
        <v>24</v>
      </c>
      <c r="AC6018">
        <v>5.0819999999999901</v>
      </c>
      <c r="AD6018">
        <v>-1.1540170000000001</v>
      </c>
      <c r="AE6018">
        <v>-4.90381</v>
      </c>
      <c r="AF6018">
        <v>2.8451411458584501</v>
      </c>
      <c r="AG6018">
        <v>-1.1540170000000001</v>
      </c>
      <c r="AH6018">
        <v>6.2624871649215104</v>
      </c>
      <c r="AI6018">
        <v>99.523927174955503</v>
      </c>
      <c r="AJ6018">
        <v>65.566994659053904</v>
      </c>
      <c r="AK6018">
        <v>6.9746203385526604</v>
      </c>
      <c r="AL6018">
        <v>89.313302783145204</v>
      </c>
      <c r="AM6018">
        <v>79.841701154125104</v>
      </c>
      <c r="AN6018">
        <v>0.99999996078728204</v>
      </c>
    </row>
    <row r="6019" spans="1:40" x14ac:dyDescent="0.25">
      <c r="A6019" t="str">
        <f>"20190312154415794"</f>
        <v>20190312154415794</v>
      </c>
      <c r="B6019" t="str">
        <f>"1552376655783205"</f>
        <v>1552376655783205</v>
      </c>
      <c r="C6019" t="s">
        <v>40</v>
      </c>
      <c r="D6019">
        <v>4.9814749999999997</v>
      </c>
      <c r="E6019">
        <v>0.59716230000000003</v>
      </c>
      <c r="F6019" t="s">
        <v>42</v>
      </c>
      <c r="G6019">
        <v>-315.69310000000002</v>
      </c>
      <c r="H6019">
        <v>-0.05</v>
      </c>
      <c r="I6019">
        <v>15.277629999999901</v>
      </c>
      <c r="J6019">
        <v>-320.81009999999998</v>
      </c>
      <c r="K6019">
        <v>1.1037129999999999</v>
      </c>
      <c r="L6019">
        <v>20.344850000000001</v>
      </c>
      <c r="M6019">
        <v>0.93841750000000002</v>
      </c>
      <c r="N6019">
        <v>0</v>
      </c>
      <c r="O6019">
        <v>-0.34522570000000002</v>
      </c>
      <c r="P6019">
        <v>0.86312250000000001</v>
      </c>
      <c r="Q6019">
        <v>6.1250479999999999E-4</v>
      </c>
      <c r="R6019">
        <v>-0.50499450000000001</v>
      </c>
      <c r="S6019">
        <v>2.2287599999999999</v>
      </c>
      <c r="T6019">
        <v>-0.48026380000000002</v>
      </c>
      <c r="U6019">
        <v>-2.1486209999999999</v>
      </c>
      <c r="V6019">
        <v>0.17614299999999999</v>
      </c>
      <c r="W6019">
        <v>1.148277E-2</v>
      </c>
      <c r="X6019">
        <v>0.98429759999999999</v>
      </c>
      <c r="Y6019">
        <v>0.40204099999999998</v>
      </c>
      <c r="Z6019">
        <v>2.2858099999999999E-2</v>
      </c>
      <c r="AA6019">
        <v>0.91533629999999999</v>
      </c>
      <c r="AB6019">
        <v>25</v>
      </c>
      <c r="AC6019">
        <v>5.11699999999996</v>
      </c>
      <c r="AD6019">
        <v>-1.153713</v>
      </c>
      <c r="AE6019">
        <v>-5.0672199999999998</v>
      </c>
      <c r="AF6019">
        <v>2.9141401163764802</v>
      </c>
      <c r="AG6019">
        <v>-1.153713</v>
      </c>
      <c r="AH6019">
        <v>6.3878930952827799</v>
      </c>
      <c r="AI6019">
        <v>99.3313551890611</v>
      </c>
      <c r="AJ6019">
        <v>65.477652438368295</v>
      </c>
      <c r="AK6019">
        <v>7.1153667861189804</v>
      </c>
      <c r="AL6019">
        <v>89.342071274963203</v>
      </c>
      <c r="AM6019">
        <v>79.854143387066898</v>
      </c>
      <c r="AN6019">
        <v>0.99999998791081601</v>
      </c>
    </row>
    <row r="6020" spans="1:40" x14ac:dyDescent="0.25">
      <c r="A6020" t="str">
        <f>"20190312154415815"</f>
        <v>20190312154415815</v>
      </c>
      <c r="B6020" t="str">
        <f>"1552376655803700"</f>
        <v>1552376655803700</v>
      </c>
      <c r="C6020" t="s">
        <v>40</v>
      </c>
      <c r="D6020">
        <v>4.9506399999999999</v>
      </c>
      <c r="E6020">
        <v>0.59731999999999996</v>
      </c>
      <c r="F6020" t="s">
        <v>42</v>
      </c>
      <c r="G6020">
        <v>-315.4042</v>
      </c>
      <c r="H6020">
        <v>-0.05</v>
      </c>
      <c r="I6020">
        <v>15.005459999999999</v>
      </c>
      <c r="J6020">
        <v>-320.5881</v>
      </c>
      <c r="K6020">
        <v>1.1031439999999999</v>
      </c>
      <c r="L6020">
        <v>20.253540000000001</v>
      </c>
      <c r="M6020">
        <v>0.9348841</v>
      </c>
      <c r="N6020">
        <v>0</v>
      </c>
      <c r="O6020">
        <v>-0.35467799999999999</v>
      </c>
      <c r="P6020">
        <v>0.85829730000000004</v>
      </c>
      <c r="Q6020">
        <v>2.210271E-4</v>
      </c>
      <c r="R6020">
        <v>-0.51315299999999997</v>
      </c>
      <c r="S6020">
        <v>2.2030029999999998</v>
      </c>
      <c r="T6020">
        <v>-0.47016599999999997</v>
      </c>
      <c r="U6020">
        <v>-2.1759339999999998</v>
      </c>
      <c r="V6020">
        <v>0.17554520000000001</v>
      </c>
      <c r="W6020">
        <v>1.106651E-2</v>
      </c>
      <c r="X6020">
        <v>0.98440919999999998</v>
      </c>
      <c r="Y6020">
        <v>0.40400219999999998</v>
      </c>
      <c r="Z6020">
        <v>2.3758379999999999E-2</v>
      </c>
      <c r="AA6020">
        <v>0.91444950000000003</v>
      </c>
      <c r="AB6020">
        <v>25</v>
      </c>
      <c r="AC6020">
        <v>5.1838999999999897</v>
      </c>
      <c r="AD6020">
        <v>-1.1531439999999999</v>
      </c>
      <c r="AE6020">
        <v>-5.2480799999999999</v>
      </c>
      <c r="AF6020">
        <v>2.9948458486783101</v>
      </c>
      <c r="AG6020">
        <v>-1.1531439999999999</v>
      </c>
      <c r="AH6020">
        <v>6.5483571612867699</v>
      </c>
      <c r="AI6020">
        <v>99.098283137692306</v>
      </c>
      <c r="AJ6020">
        <v>65.423340353357702</v>
      </c>
      <c r="AK6020">
        <v>7.2924498115418901</v>
      </c>
      <c r="AL6020">
        <v>89.365922758654094</v>
      </c>
      <c r="AM6020">
        <v>79.888987702156101</v>
      </c>
      <c r="AN6020">
        <v>1.0000000289656199</v>
      </c>
    </row>
    <row r="6021" spans="1:40" x14ac:dyDescent="0.25">
      <c r="A6021" t="str">
        <f>"20190312154415837"</f>
        <v>20190312154415837</v>
      </c>
      <c r="B6021" t="str">
        <f>"1552376655833955"</f>
        <v>1552376655833955</v>
      </c>
      <c r="C6021" t="s">
        <v>40</v>
      </c>
      <c r="D6021">
        <v>4.907114</v>
      </c>
      <c r="E6021">
        <v>0.59724180000000004</v>
      </c>
      <c r="F6021" t="s">
        <v>42</v>
      </c>
      <c r="G6021">
        <v>-315.14269999999999</v>
      </c>
      <c r="H6021">
        <v>-0.05</v>
      </c>
      <c r="I6021">
        <v>14.76422</v>
      </c>
      <c r="J6021">
        <v>-320.35860000000002</v>
      </c>
      <c r="K6021">
        <v>1.1021080000000001</v>
      </c>
      <c r="L6021">
        <v>20.15643</v>
      </c>
      <c r="M6021">
        <v>0.93155060000000001</v>
      </c>
      <c r="N6021">
        <v>0</v>
      </c>
      <c r="O6021">
        <v>-0.36333470000000001</v>
      </c>
      <c r="P6021">
        <v>0.85403379999999995</v>
      </c>
      <c r="Q6021">
        <v>4.8735230000000003E-4</v>
      </c>
      <c r="R6021">
        <v>-0.52021759999999995</v>
      </c>
      <c r="S6021">
        <v>2.1809690000000002</v>
      </c>
      <c r="T6021">
        <v>-0.46184969999999997</v>
      </c>
      <c r="U6021">
        <v>-2.198547</v>
      </c>
      <c r="V6021">
        <v>0.17456140000000001</v>
      </c>
      <c r="W6021">
        <v>1.1282510000000001E-2</v>
      </c>
      <c r="X6021">
        <v>0.98458159999999895</v>
      </c>
      <c r="Y6021">
        <v>0.40493459999999998</v>
      </c>
      <c r="Z6021">
        <v>2.4653499999999998E-2</v>
      </c>
      <c r="AA6021">
        <v>0.91401319999999997</v>
      </c>
      <c r="AB6021">
        <v>25</v>
      </c>
      <c r="AC6021">
        <v>5.2159000000000297</v>
      </c>
      <c r="AD6021">
        <v>-1.1521079999999999</v>
      </c>
      <c r="AE6021">
        <v>-5.3922099999999897</v>
      </c>
      <c r="AF6021">
        <v>3.0562352583440102</v>
      </c>
      <c r="AG6021">
        <v>-1.1521079999999999</v>
      </c>
      <c r="AH6021">
        <v>6.6616294445102202</v>
      </c>
      <c r="AI6021">
        <v>98.933405033660605</v>
      </c>
      <c r="AJ6021">
        <v>65.355197826388206</v>
      </c>
      <c r="AK6021">
        <v>7.4192475126507702</v>
      </c>
      <c r="AL6021">
        <v>89.353546048246798</v>
      </c>
      <c r="AM6021">
        <v>79.9462176308338</v>
      </c>
      <c r="AN6021">
        <v>0.99999995223020799</v>
      </c>
    </row>
    <row r="6022" spans="1:40" x14ac:dyDescent="0.25">
      <c r="A6022" t="str">
        <f>"20190312154415860"</f>
        <v>20190312154415860</v>
      </c>
      <c r="B6022" t="str">
        <f>"1552376655853477"</f>
        <v>1552376655853477</v>
      </c>
      <c r="C6022" t="s">
        <v>40</v>
      </c>
      <c r="D6022">
        <v>5.0013209999999999</v>
      </c>
      <c r="E6022">
        <v>0.59678039999999999</v>
      </c>
      <c r="F6022" t="s">
        <v>42</v>
      </c>
      <c r="G6022">
        <v>-314.81270000000001</v>
      </c>
      <c r="H6022">
        <v>-0.05</v>
      </c>
      <c r="I6022">
        <v>14.47125</v>
      </c>
      <c r="J6022">
        <v>-320.12759999999997</v>
      </c>
      <c r="K6022">
        <v>1.1009009999999999</v>
      </c>
      <c r="L6022">
        <v>20.05594</v>
      </c>
      <c r="M6022">
        <v>0.92846169999999995</v>
      </c>
      <c r="N6022">
        <v>0</v>
      </c>
      <c r="O6022">
        <v>-0.37113429999999997</v>
      </c>
      <c r="P6022">
        <v>0.85073949999999998</v>
      </c>
      <c r="Q6022">
        <v>7.9319350000000004E-4</v>
      </c>
      <c r="R6022">
        <v>-0.52558729999999998</v>
      </c>
      <c r="S6022">
        <v>2.162598</v>
      </c>
      <c r="T6022">
        <v>-0.44926080000000002</v>
      </c>
      <c r="U6022">
        <v>-2.2169189999999999</v>
      </c>
      <c r="V6022">
        <v>0.17253840000000001</v>
      </c>
      <c r="W6022">
        <v>1.193287E-2</v>
      </c>
      <c r="X6022">
        <v>0.98493050000000004</v>
      </c>
      <c r="Y6022">
        <v>0.40503030000000001</v>
      </c>
      <c r="Z6022">
        <v>2.5198769999999999E-2</v>
      </c>
      <c r="AA6022">
        <v>0.91395590000000004</v>
      </c>
      <c r="AB6022">
        <v>25</v>
      </c>
      <c r="AC6022">
        <v>5.3148999999999598</v>
      </c>
      <c r="AD6022">
        <v>-1.150901</v>
      </c>
      <c r="AE6022">
        <v>-5.5846900000000002</v>
      </c>
      <c r="AF6022">
        <v>3.1429381401237801</v>
      </c>
      <c r="AG6022">
        <v>-1.150901</v>
      </c>
      <c r="AH6022">
        <v>6.8553419934177402</v>
      </c>
      <c r="AI6022">
        <v>98.676940009202696</v>
      </c>
      <c r="AJ6022">
        <v>65.370175159941098</v>
      </c>
      <c r="AK6022">
        <v>7.6287841174831001</v>
      </c>
      <c r="AL6022">
        <v>89.316280678764798</v>
      </c>
      <c r="AM6022">
        <v>80.0638453757864</v>
      </c>
      <c r="AN6022">
        <v>0.99999999134562301</v>
      </c>
    </row>
    <row r="6023" spans="1:40" x14ac:dyDescent="0.25">
      <c r="A6023" t="str">
        <f>"20190312154415882"</f>
        <v>20190312154415882</v>
      </c>
      <c r="B6023" t="str">
        <f>"1552376655873973"</f>
        <v>1552376655873973</v>
      </c>
      <c r="C6023" t="s">
        <v>40</v>
      </c>
      <c r="D6023">
        <v>4.8362480000000003</v>
      </c>
      <c r="E6023">
        <v>0.59650979999999998</v>
      </c>
      <c r="F6023" t="s">
        <v>42</v>
      </c>
      <c r="G6023">
        <v>-314.52190000000002</v>
      </c>
      <c r="H6023">
        <v>-0.05</v>
      </c>
      <c r="I6023">
        <v>14.247059999999999</v>
      </c>
      <c r="J6023">
        <v>-319.89749999999998</v>
      </c>
      <c r="K6023">
        <v>1.099745</v>
      </c>
      <c r="L6023">
        <v>19.95309</v>
      </c>
      <c r="M6023">
        <v>0.92543039999999999</v>
      </c>
      <c r="N6023">
        <v>0</v>
      </c>
      <c r="O6023">
        <v>-0.37858750000000002</v>
      </c>
      <c r="P6023">
        <v>0.84709849999999998</v>
      </c>
      <c r="Q6023">
        <v>6.7595489999999997E-4</v>
      </c>
      <c r="R6023">
        <v>-0.53143580000000001</v>
      </c>
      <c r="S6023">
        <v>2.1502080000000001</v>
      </c>
      <c r="T6023">
        <v>-0.44145289999999998</v>
      </c>
      <c r="U6023">
        <v>-2.228119</v>
      </c>
      <c r="V6023">
        <v>0.17142929999999901</v>
      </c>
      <c r="W6023">
        <v>1.2693370000000001E-2</v>
      </c>
      <c r="X6023">
        <v>0.98511459999999995</v>
      </c>
      <c r="Y6023">
        <v>0.40269899999999997</v>
      </c>
      <c r="Z6023">
        <v>2.609206E-2</v>
      </c>
      <c r="AA6023">
        <v>0.91496060000000001</v>
      </c>
      <c r="AB6023">
        <v>25</v>
      </c>
      <c r="AC6023">
        <v>5.3755999999999604</v>
      </c>
      <c r="AD6023">
        <v>-1.149745</v>
      </c>
      <c r="AE6023">
        <v>-5.7060299999999904</v>
      </c>
      <c r="AF6023">
        <v>3.1774575246574699</v>
      </c>
      <c r="AG6023">
        <v>-1.149745</v>
      </c>
      <c r="AH6023">
        <v>6.9856074088674198</v>
      </c>
      <c r="AI6023">
        <v>98.520538283326104</v>
      </c>
      <c r="AJ6023">
        <v>65.541218635617497</v>
      </c>
      <c r="AK6023">
        <v>7.7599523682075997</v>
      </c>
      <c r="AL6023">
        <v>89.272703904029598</v>
      </c>
      <c r="AM6023">
        <v>80.128264261899702</v>
      </c>
      <c r="AN6023">
        <v>0.99999995083680204</v>
      </c>
    </row>
    <row r="6024" spans="1:40" x14ac:dyDescent="0.25">
      <c r="A6024" t="str">
        <f>"20190312154415905"</f>
        <v>20190312154415905</v>
      </c>
      <c r="B6024" t="str">
        <f>"1552376655893492"</f>
        <v>1552376655893492</v>
      </c>
      <c r="C6024" t="s">
        <v>40</v>
      </c>
      <c r="D6024">
        <v>4.8334359999999998</v>
      </c>
      <c r="E6024">
        <v>0.59632030000000003</v>
      </c>
      <c r="F6024" t="s">
        <v>42</v>
      </c>
      <c r="G6024">
        <v>-314.25330000000002</v>
      </c>
      <c r="H6024">
        <v>-0.05</v>
      </c>
      <c r="I6024">
        <v>14.02725</v>
      </c>
      <c r="J6024">
        <v>-319.67520000000002</v>
      </c>
      <c r="K6024">
        <v>1.0986479999999901</v>
      </c>
      <c r="L6024">
        <v>19.851379999999999</v>
      </c>
      <c r="M6024">
        <v>0.92235370000000005</v>
      </c>
      <c r="N6024">
        <v>0</v>
      </c>
      <c r="O6024">
        <v>-0.3859686</v>
      </c>
      <c r="P6024">
        <v>0.8436574</v>
      </c>
      <c r="Q6024">
        <v>2.4334110000000001E-4</v>
      </c>
      <c r="R6024">
        <v>-0.53688219999999998</v>
      </c>
      <c r="S6024">
        <v>2.135345</v>
      </c>
      <c r="T6024">
        <v>-0.43497989999999997</v>
      </c>
      <c r="U6024">
        <v>-2.2419129999999998</v>
      </c>
      <c r="V6024">
        <v>0.16991970000000001</v>
      </c>
      <c r="W6024">
        <v>1.3472929999999999E-2</v>
      </c>
      <c r="X6024">
        <v>0.98536579999999996</v>
      </c>
      <c r="Y6024">
        <v>0.40145160000000002</v>
      </c>
      <c r="Z6024">
        <v>2.6929379999999999E-2</v>
      </c>
      <c r="AA6024">
        <v>0.91548419999999997</v>
      </c>
      <c r="AB6024">
        <v>24</v>
      </c>
      <c r="AC6024">
        <v>5.4218999999999902</v>
      </c>
      <c r="AD6024">
        <v>-1.1486479999999999</v>
      </c>
      <c r="AE6024">
        <v>-5.8241299999999896</v>
      </c>
      <c r="AF6024">
        <v>3.2127568636435901</v>
      </c>
      <c r="AG6024">
        <v>-1.1486479999999999</v>
      </c>
      <c r="AH6024">
        <v>7.1019113473374196</v>
      </c>
      <c r="AI6024">
        <v>98.382818347818898</v>
      </c>
      <c r="AJ6024">
        <v>65.658994148113706</v>
      </c>
      <c r="AK6024">
        <v>7.87898113198864</v>
      </c>
      <c r="AL6024">
        <v>89.228034611480396</v>
      </c>
      <c r="AM6024">
        <v>80.215952869770803</v>
      </c>
      <c r="AN6024">
        <v>0.99999999205025702</v>
      </c>
    </row>
    <row r="6025" spans="1:40" x14ac:dyDescent="0.25">
      <c r="A6025" t="str">
        <f>"20190312154415916"</f>
        <v>20190312154415916</v>
      </c>
      <c r="B6025" t="str">
        <f>"1552376655913987"</f>
        <v>1552376655913987</v>
      </c>
      <c r="C6025" t="s">
        <v>40</v>
      </c>
      <c r="D6025">
        <v>4.8211180000000002</v>
      </c>
      <c r="E6025">
        <v>0.59615419999999997</v>
      </c>
      <c r="F6025" t="s">
        <v>42</v>
      </c>
      <c r="G6025">
        <v>-314.00259999999997</v>
      </c>
      <c r="H6025">
        <v>-0.05</v>
      </c>
      <c r="I6025">
        <v>13.82014</v>
      </c>
      <c r="J6025">
        <v>-319.55799999999999</v>
      </c>
      <c r="K6025">
        <v>1.0980639999999999</v>
      </c>
      <c r="L6025">
        <v>19.796600000000002</v>
      </c>
      <c r="M6025">
        <v>0.9206278</v>
      </c>
      <c r="N6025">
        <v>0</v>
      </c>
      <c r="O6025">
        <v>-0.39003549999999998</v>
      </c>
      <c r="P6025">
        <v>0.84169839999999996</v>
      </c>
      <c r="Q6025">
        <v>-4.8036779999999999E-4</v>
      </c>
      <c r="R6025">
        <v>-0.53994770000000003</v>
      </c>
      <c r="S6025">
        <v>2.1210019999999998</v>
      </c>
      <c r="T6025">
        <v>-0.42947829999999898</v>
      </c>
      <c r="U6025">
        <v>-2.2550659999999998</v>
      </c>
      <c r="V6025">
        <v>0.1691502</v>
      </c>
      <c r="W6025">
        <v>1.346816E-2</v>
      </c>
      <c r="X6025">
        <v>0.98549819999999999</v>
      </c>
      <c r="Y6025">
        <v>0.40318320000000002</v>
      </c>
      <c r="Z6025">
        <v>2.7080590000000002E-2</v>
      </c>
      <c r="AA6025">
        <v>0.91471849999999999</v>
      </c>
      <c r="AB6025">
        <v>24</v>
      </c>
      <c r="AC6025">
        <v>5.5554000000000103</v>
      </c>
      <c r="AD6025">
        <v>-1.148064</v>
      </c>
      <c r="AE6025">
        <v>-5.9764600000000003</v>
      </c>
      <c r="AF6025">
        <v>3.2710652642854301</v>
      </c>
      <c r="AG6025">
        <v>-1.148064</v>
      </c>
      <c r="AH6025">
        <v>7.3021116787699603</v>
      </c>
      <c r="AI6025">
        <v>98.165341802334297</v>
      </c>
      <c r="AJ6025">
        <v>65.869455218125694</v>
      </c>
      <c r="AK6025">
        <v>8.0832390710988697</v>
      </c>
      <c r="AL6025">
        <v>89.228307898407607</v>
      </c>
      <c r="AM6025">
        <v>80.260693893629707</v>
      </c>
      <c r="AN6025">
        <v>0.99999994184853103</v>
      </c>
    </row>
    <row r="6026" spans="1:40" x14ac:dyDescent="0.25">
      <c r="A6026" t="str">
        <f>"20190312154415939"</f>
        <v>20190312154415939</v>
      </c>
      <c r="B6026" t="str">
        <f>"1552376655933508"</f>
        <v>1552376655933508</v>
      </c>
      <c r="C6026" t="s">
        <v>40</v>
      </c>
      <c r="D6026">
        <v>4.7910459999999997</v>
      </c>
      <c r="E6026">
        <v>0.59596289999999996</v>
      </c>
      <c r="F6026" t="s">
        <v>42</v>
      </c>
      <c r="G6026">
        <v>-313.8657</v>
      </c>
      <c r="H6026">
        <v>-0.05</v>
      </c>
      <c r="I6026">
        <v>13.70454</v>
      </c>
      <c r="J6026">
        <v>-319.33699999999999</v>
      </c>
      <c r="K6026">
        <v>1.0969530000000001</v>
      </c>
      <c r="L6026">
        <v>19.691649999999999</v>
      </c>
      <c r="M6026">
        <v>0.91717930000000003</v>
      </c>
      <c r="N6026">
        <v>0</v>
      </c>
      <c r="O6026">
        <v>-0.39801039999999999</v>
      </c>
      <c r="P6026">
        <v>0.83702639999999995</v>
      </c>
      <c r="Q6026">
        <v>-1.61447E-3</v>
      </c>
      <c r="R6026">
        <v>-0.54716030000000004</v>
      </c>
      <c r="S6026">
        <v>2.113159</v>
      </c>
      <c r="T6026">
        <v>-0.42619780000000002</v>
      </c>
      <c r="U6026">
        <v>-2.2615660000000002</v>
      </c>
      <c r="V6026">
        <v>0.16905719999999999</v>
      </c>
      <c r="W6026">
        <v>1.3797149999999999E-2</v>
      </c>
      <c r="X6026">
        <v>0.98550959999999999</v>
      </c>
      <c r="Y6026">
        <v>0.39833610000000003</v>
      </c>
      <c r="Z6026">
        <v>2.841952E-2</v>
      </c>
      <c r="AA6026">
        <v>0.91679920000000004</v>
      </c>
      <c r="AB6026">
        <v>24</v>
      </c>
      <c r="AC6026">
        <v>5.4712999999999798</v>
      </c>
      <c r="AD6026">
        <v>-1.1469529999999999</v>
      </c>
      <c r="AE6026">
        <v>-5.9871100000000004</v>
      </c>
      <c r="AF6026">
        <v>3.2492524382812298</v>
      </c>
      <c r="AG6026">
        <v>-1.1469529999999999</v>
      </c>
      <c r="AH6026">
        <v>7.2573298397711099</v>
      </c>
      <c r="AI6026">
        <v>98.2079286423063</v>
      </c>
      <c r="AJ6026">
        <v>65.880978226804601</v>
      </c>
      <c r="AK6026">
        <v>8.0338022750823104</v>
      </c>
      <c r="AL6026">
        <v>89.209456401425498</v>
      </c>
      <c r="AM6026">
        <v>80.266056609800302</v>
      </c>
      <c r="AN6026">
        <v>0.99999993495605899</v>
      </c>
    </row>
    <row r="6027" spans="1:40" x14ac:dyDescent="0.25">
      <c r="A6027" t="str">
        <f>"20190312154415961"</f>
        <v>20190312154415961</v>
      </c>
      <c r="B6027" t="str">
        <f>"1552376655954004"</f>
        <v>1552376655954004</v>
      </c>
      <c r="C6027" t="s">
        <v>40</v>
      </c>
      <c r="D6027">
        <v>4.7786580000000001</v>
      </c>
      <c r="E6027">
        <v>0.59573199999999904</v>
      </c>
      <c r="F6027" t="s">
        <v>42</v>
      </c>
      <c r="G6027">
        <v>-313.69240000000002</v>
      </c>
      <c r="H6027">
        <v>-0.05</v>
      </c>
      <c r="I6027">
        <v>13.549759999999999</v>
      </c>
      <c r="J6027">
        <v>-319.10930000000002</v>
      </c>
      <c r="K6027">
        <v>1.095831</v>
      </c>
      <c r="L6027">
        <v>19.58099</v>
      </c>
      <c r="M6027">
        <v>0.91330009999999995</v>
      </c>
      <c r="N6027">
        <v>0</v>
      </c>
      <c r="O6027">
        <v>-0.40675149999999999</v>
      </c>
      <c r="P6027">
        <v>0.83163989999999999</v>
      </c>
      <c r="Q6027">
        <v>-3.7523579999999999E-3</v>
      </c>
      <c r="R6027">
        <v>-0.55530290000000004</v>
      </c>
      <c r="S6027">
        <v>2.0939329999999998</v>
      </c>
      <c r="T6027">
        <v>-0.42547170000000001</v>
      </c>
      <c r="U6027">
        <v>-2.278381</v>
      </c>
      <c r="V6027">
        <v>0.16923199999999999</v>
      </c>
      <c r="W6027">
        <v>1.339569E-2</v>
      </c>
      <c r="X6027">
        <v>0.98548519999999995</v>
      </c>
      <c r="Y6027">
        <v>0.39720290000000003</v>
      </c>
      <c r="Z6027">
        <v>2.9764329999999999E-2</v>
      </c>
      <c r="AA6027">
        <v>0.91724799999999995</v>
      </c>
      <c r="AB6027">
        <v>24</v>
      </c>
      <c r="AC6027">
        <v>5.4168999999999903</v>
      </c>
      <c r="AD6027">
        <v>-1.145831</v>
      </c>
      <c r="AE6027">
        <v>-6.0312299999999901</v>
      </c>
      <c r="AF6027">
        <v>3.2409635732751099</v>
      </c>
      <c r="AG6027">
        <v>-1.145831</v>
      </c>
      <c r="AH6027">
        <v>7.2570988008651103</v>
      </c>
      <c r="AI6027">
        <v>98.203666539915204</v>
      </c>
      <c r="AJ6027">
        <v>65.934834727159696</v>
      </c>
      <c r="AK6027">
        <v>8.0300844683835706</v>
      </c>
      <c r="AL6027">
        <v>89.232460540646102</v>
      </c>
      <c r="AM6027">
        <v>80.255948218621498</v>
      </c>
      <c r="AN6027">
        <v>0.99999999687680796</v>
      </c>
    </row>
    <row r="6028" spans="1:40" x14ac:dyDescent="0.25">
      <c r="A6028" t="str">
        <f>"20190312154415974"</f>
        <v>20190312154415974</v>
      </c>
      <c r="B6028" t="str">
        <f>"1552376655963764"</f>
        <v>1552376655963764</v>
      </c>
      <c r="C6028" t="s">
        <v>40</v>
      </c>
      <c r="D6028">
        <v>4.8130959999999998</v>
      </c>
      <c r="E6028">
        <v>0.59560659999999999</v>
      </c>
      <c r="F6028" t="s">
        <v>42</v>
      </c>
      <c r="G6028">
        <v>-313.57580000000002</v>
      </c>
      <c r="H6028">
        <v>-0.05</v>
      </c>
      <c r="I6028">
        <v>13.448029999999999</v>
      </c>
      <c r="J6028">
        <v>-318.98079999999999</v>
      </c>
      <c r="K6028">
        <v>1.0951839999999999</v>
      </c>
      <c r="L6028">
        <v>19.51736</v>
      </c>
      <c r="M6028">
        <v>0.91088999999999998</v>
      </c>
      <c r="N6028">
        <v>0</v>
      </c>
      <c r="O6028">
        <v>-0.41207379999999999</v>
      </c>
      <c r="P6028">
        <v>0.82831250000000001</v>
      </c>
      <c r="Q6028">
        <v>-5.0344309999999998E-3</v>
      </c>
      <c r="R6028">
        <v>-0.56024430000000003</v>
      </c>
      <c r="S6028">
        <v>2.0719910000000001</v>
      </c>
      <c r="T6028">
        <v>-0.42904819999999999</v>
      </c>
      <c r="U6028">
        <v>-2.2964479999999998</v>
      </c>
      <c r="V6028">
        <v>0.16932849999999999</v>
      </c>
      <c r="W6028">
        <v>1.3081000000000001E-2</v>
      </c>
      <c r="X6028">
        <v>0.98547289999999998</v>
      </c>
      <c r="Y6028">
        <v>0.40026879999999998</v>
      </c>
      <c r="Z6028">
        <v>3.060943E-2</v>
      </c>
      <c r="AA6028">
        <v>0.91588650000000005</v>
      </c>
      <c r="AB6028">
        <v>24</v>
      </c>
      <c r="AC6028">
        <v>5.4049999999999701</v>
      </c>
      <c r="AD6028">
        <v>-1.145184</v>
      </c>
      <c r="AE6028">
        <v>-6.0693299999999999</v>
      </c>
      <c r="AF6028">
        <v>3.2377312199473698</v>
      </c>
      <c r="AG6028">
        <v>-1.145184</v>
      </c>
      <c r="AH6028">
        <v>7.2815585070797102</v>
      </c>
      <c r="AI6028">
        <v>98.177756872570498</v>
      </c>
      <c r="AJ6028">
        <v>66.0277674509897</v>
      </c>
      <c r="AK6028">
        <v>8.0508039436135093</v>
      </c>
      <c r="AL6028">
        <v>89.250492565899293</v>
      </c>
      <c r="AM6028">
        <v>80.250379188704997</v>
      </c>
      <c r="AN6028">
        <v>1.00000004505382</v>
      </c>
    </row>
    <row r="6029" spans="1:40" x14ac:dyDescent="0.25">
      <c r="A6029" t="str">
        <f>"20190312154415988"</f>
        <v>20190312154415988</v>
      </c>
      <c r="B6029" t="str">
        <f>"1552376655973524"</f>
        <v>1552376655973524</v>
      </c>
      <c r="C6029" t="s">
        <v>40</v>
      </c>
      <c r="D6029">
        <v>4.8072419999999996</v>
      </c>
      <c r="E6029">
        <v>0.59549510000000005</v>
      </c>
      <c r="F6029" t="s">
        <v>42</v>
      </c>
      <c r="G6029">
        <v>-313.5215</v>
      </c>
      <c r="H6029">
        <v>-0.05</v>
      </c>
      <c r="I6029">
        <v>13.3978</v>
      </c>
      <c r="J6029">
        <v>-318.85090000000002</v>
      </c>
      <c r="K6029">
        <v>1.0945199999999999</v>
      </c>
      <c r="L6029">
        <v>19.452449999999999</v>
      </c>
      <c r="M6029">
        <v>0.90829629999999995</v>
      </c>
      <c r="N6029">
        <v>0</v>
      </c>
      <c r="O6029">
        <v>-0.41771469999999999</v>
      </c>
      <c r="P6029">
        <v>0.82484690000000005</v>
      </c>
      <c r="Q6029">
        <v>-6.3264230000000003E-3</v>
      </c>
      <c r="R6029">
        <v>-0.56532139999999997</v>
      </c>
      <c r="S6029">
        <v>2.0585019999999998</v>
      </c>
      <c r="T6029">
        <v>-0.431813</v>
      </c>
      <c r="U6029">
        <v>-2.3074949999999999</v>
      </c>
      <c r="V6029">
        <v>0.16924939999999999</v>
      </c>
      <c r="W6029">
        <v>1.271387E-2</v>
      </c>
      <c r="X6029">
        <v>0.98549129999999996</v>
      </c>
      <c r="Y6029">
        <v>0.39978330000000001</v>
      </c>
      <c r="Z6029">
        <v>3.1705539999999997E-2</v>
      </c>
      <c r="AA6029">
        <v>0.91606120000000002</v>
      </c>
      <c r="AB6029">
        <v>24</v>
      </c>
      <c r="AC6029">
        <v>5.3294000000000201</v>
      </c>
      <c r="AD6029">
        <v>-1.14452</v>
      </c>
      <c r="AE6029">
        <v>-6.0546499999999899</v>
      </c>
      <c r="AF6029">
        <v>3.2094676376862301</v>
      </c>
      <c r="AG6029">
        <v>-1.14452</v>
      </c>
      <c r="AH6029">
        <v>7.22618887520622</v>
      </c>
      <c r="AI6029">
        <v>98.236368596390903</v>
      </c>
      <c r="AJ6029">
        <v>66.051892630322499</v>
      </c>
      <c r="AK6029">
        <v>7.98926869043152</v>
      </c>
      <c r="AL6029">
        <v>89.271529319499095</v>
      </c>
      <c r="AM6029">
        <v>80.255024732392698</v>
      </c>
      <c r="AN6029">
        <v>1.00000005213321</v>
      </c>
    </row>
    <row r="6030" spans="1:40" x14ac:dyDescent="0.25">
      <c r="A6030" t="str">
        <f>"20190312154416005"</f>
        <v>20190312154416005</v>
      </c>
      <c r="B6030" t="str">
        <f>"1552376655994021"</f>
        <v>1552376655994021</v>
      </c>
      <c r="C6030" t="s">
        <v>40</v>
      </c>
      <c r="D6030">
        <v>4.8294079999999999</v>
      </c>
      <c r="E6030">
        <v>0.59523419999999905</v>
      </c>
      <c r="F6030" t="s">
        <v>42</v>
      </c>
      <c r="G6030">
        <v>-313.4572</v>
      </c>
      <c r="H6030">
        <v>-0.05</v>
      </c>
      <c r="I6030">
        <v>13.33353</v>
      </c>
      <c r="J6030">
        <v>-318.67779999999999</v>
      </c>
      <c r="K6030">
        <v>1.093375</v>
      </c>
      <c r="L6030">
        <v>19.364229999999999</v>
      </c>
      <c r="M6030">
        <v>0.90466919999999995</v>
      </c>
      <c r="N6030">
        <v>0</v>
      </c>
      <c r="O6030">
        <v>-0.42546040000000002</v>
      </c>
      <c r="P6030">
        <v>0.82000390000000001</v>
      </c>
      <c r="Q6030">
        <v>-8.4654329999999996E-3</v>
      </c>
      <c r="R6030">
        <v>-0.57229569999999996</v>
      </c>
      <c r="S6030">
        <v>2.0442809999999998</v>
      </c>
      <c r="T6030">
        <v>-0.43378729999999999</v>
      </c>
      <c r="U6030">
        <v>-2.319153</v>
      </c>
      <c r="V6030">
        <v>0.16915669999999999</v>
      </c>
      <c r="W6030">
        <v>1.1591000000000001E-2</v>
      </c>
      <c r="X6030">
        <v>0.98552099999999998</v>
      </c>
      <c r="Y6030">
        <v>0.39746419999999999</v>
      </c>
      <c r="Z6030">
        <v>3.320853E-2</v>
      </c>
      <c r="AA6030">
        <v>0.91701659999999996</v>
      </c>
      <c r="AB6030">
        <v>24</v>
      </c>
      <c r="AC6030">
        <v>5.2205999999999904</v>
      </c>
      <c r="AD6030">
        <v>-1.143375</v>
      </c>
      <c r="AE6030">
        <v>-6.0307000000000004</v>
      </c>
      <c r="AF6030">
        <v>3.1703881833028</v>
      </c>
      <c r="AG6030">
        <v>-1.143375</v>
      </c>
      <c r="AH6030">
        <v>7.1439810730149897</v>
      </c>
      <c r="AI6030">
        <v>98.322701415051696</v>
      </c>
      <c r="AJ6030">
        <v>66.069092983733498</v>
      </c>
      <c r="AK6030">
        <v>7.8990590069354196</v>
      </c>
      <c r="AL6030">
        <v>89.335869741954298</v>
      </c>
      <c r="AM6030">
        <v>80.260547817099805</v>
      </c>
      <c r="AN6030">
        <v>0.99999999093844405</v>
      </c>
    </row>
    <row r="6031" spans="1:40" x14ac:dyDescent="0.25">
      <c r="A6031" t="str">
        <f>"20190312154416018"</f>
        <v>20190312154416018</v>
      </c>
      <c r="B6031" t="str">
        <f>"1552376656013540"</f>
        <v>1552376656013540</v>
      </c>
      <c r="C6031" t="s">
        <v>40</v>
      </c>
      <c r="D6031">
        <v>4.8182510000000001</v>
      </c>
      <c r="E6031">
        <v>0.59492489999999998</v>
      </c>
      <c r="F6031" t="s">
        <v>42</v>
      </c>
      <c r="G6031">
        <v>-313.37819999999999</v>
      </c>
      <c r="H6031">
        <v>-0.05</v>
      </c>
      <c r="I6031">
        <v>13.253080000000001</v>
      </c>
      <c r="J6031">
        <v>-318.55430000000001</v>
      </c>
      <c r="K6031">
        <v>1.092352</v>
      </c>
      <c r="L6031">
        <v>19.30011</v>
      </c>
      <c r="M6031">
        <v>0.90211470000000005</v>
      </c>
      <c r="N6031">
        <v>0</v>
      </c>
      <c r="O6031">
        <v>-0.43081439999999999</v>
      </c>
      <c r="P6031">
        <v>0.81664749999999997</v>
      </c>
      <c r="Q6031">
        <v>-9.4251349999999994E-3</v>
      </c>
      <c r="R6031">
        <v>-0.57706009999999996</v>
      </c>
      <c r="S6031">
        <v>2.0246279999999999</v>
      </c>
      <c r="T6031">
        <v>-0.43680570000000002</v>
      </c>
      <c r="U6031">
        <v>-2.3346559999999998</v>
      </c>
      <c r="V6031">
        <v>0.16904669999999999</v>
      </c>
      <c r="W6031">
        <v>1.1241030000000001E-2</v>
      </c>
      <c r="X6031">
        <v>0.98554399999999998</v>
      </c>
      <c r="Y6031">
        <v>0.39946169999999998</v>
      </c>
      <c r="Z6031">
        <v>3.4133139999999999E-2</v>
      </c>
      <c r="AA6031">
        <v>0.91611430000000005</v>
      </c>
      <c r="AB6031">
        <v>24</v>
      </c>
      <c r="AC6031">
        <v>5.1761000000000204</v>
      </c>
      <c r="AD6031">
        <v>-1.142352</v>
      </c>
      <c r="AE6031">
        <v>-6.0470300000000003</v>
      </c>
      <c r="AF6031">
        <v>3.16101881669079</v>
      </c>
      <c r="AG6031">
        <v>-1.142352</v>
      </c>
      <c r="AH6031">
        <v>7.1298724864308101</v>
      </c>
      <c r="AI6031">
        <v>98.332910178088298</v>
      </c>
      <c r="AJ6031">
        <v>66.089964073799194</v>
      </c>
      <c r="AK6031">
        <v>7.8823911171763301</v>
      </c>
      <c r="AL6031">
        <v>89.355922898553203</v>
      </c>
      <c r="AM6031">
        <v>80.266982852146</v>
      </c>
      <c r="AN6031">
        <v>1.00000006173617</v>
      </c>
    </row>
    <row r="6032" spans="1:40" x14ac:dyDescent="0.25">
      <c r="A6032" t="str">
        <f>"20190312154416031"</f>
        <v>20190312154416031</v>
      </c>
      <c r="B6032" t="str">
        <f>"1552376656023300"</f>
        <v>1552376656023300</v>
      </c>
      <c r="C6032" t="s">
        <v>40</v>
      </c>
      <c r="D6032">
        <v>4.8115629999999996</v>
      </c>
      <c r="E6032">
        <v>0.59478529999999996</v>
      </c>
      <c r="F6032" t="s">
        <v>42</v>
      </c>
      <c r="G6032">
        <v>-313.29520000000002</v>
      </c>
      <c r="H6032">
        <v>-0.05</v>
      </c>
      <c r="I6032">
        <v>13.1722</v>
      </c>
      <c r="J6032">
        <v>-318.42399999999998</v>
      </c>
      <c r="K6032">
        <v>1.091159</v>
      </c>
      <c r="L6032">
        <v>19.231750000000002</v>
      </c>
      <c r="M6032">
        <v>0.89944539999999995</v>
      </c>
      <c r="N6032">
        <v>0</v>
      </c>
      <c r="O6032">
        <v>-0.43632399999999999</v>
      </c>
      <c r="P6032">
        <v>0.81295680000000003</v>
      </c>
      <c r="Q6032">
        <v>-1.0090389999999999E-2</v>
      </c>
      <c r="R6032">
        <v>-0.58223689999999995</v>
      </c>
      <c r="S6032">
        <v>2.0119319999999998</v>
      </c>
      <c r="T6032">
        <v>-0.4370193</v>
      </c>
      <c r="U6032">
        <v>-2.3442989999999999</v>
      </c>
      <c r="V6032">
        <v>0.16927979999999901</v>
      </c>
      <c r="W6032">
        <v>1.114042E-2</v>
      </c>
      <c r="X6032">
        <v>0.98550499999999996</v>
      </c>
      <c r="Y6032">
        <v>0.39861570000000002</v>
      </c>
      <c r="Z6032">
        <v>3.5074180000000003E-2</v>
      </c>
      <c r="AA6032">
        <v>0.91644709999999996</v>
      </c>
      <c r="AB6032">
        <v>24</v>
      </c>
      <c r="AC6032">
        <v>5.1288000000000098</v>
      </c>
      <c r="AD6032">
        <v>-1.141159</v>
      </c>
      <c r="AE6032">
        <v>-6.0595499999999998</v>
      </c>
      <c r="AF6032">
        <v>3.1483563517048401</v>
      </c>
      <c r="AG6032">
        <v>-1.141159</v>
      </c>
      <c r="AH6032">
        <v>7.1122891759583302</v>
      </c>
      <c r="AI6032">
        <v>98.346705284929797</v>
      </c>
      <c r="AJ6032">
        <v>66.122739217577703</v>
      </c>
      <c r="AK6032">
        <v>7.8612371102171501</v>
      </c>
      <c r="AL6032">
        <v>89.361687704961497</v>
      </c>
      <c r="AM6032">
        <v>80.253440838188894</v>
      </c>
      <c r="AN6032">
        <v>0.99999993233540496</v>
      </c>
    </row>
    <row r="6033" spans="1:40" x14ac:dyDescent="0.25">
      <c r="A6033" t="str">
        <f>"20190312154416042"</f>
        <v>20190312154416042</v>
      </c>
      <c r="B6033" t="str">
        <f>"1552376656034036"</f>
        <v>1552376656034036</v>
      </c>
      <c r="C6033" t="s">
        <v>40</v>
      </c>
      <c r="D6033">
        <v>4.818092</v>
      </c>
      <c r="E6033">
        <v>0.59461339999999996</v>
      </c>
      <c r="F6033" t="s">
        <v>42</v>
      </c>
      <c r="G6033">
        <v>-313.21390000000002</v>
      </c>
      <c r="H6033">
        <v>-0.05</v>
      </c>
      <c r="I6033">
        <v>13.08521</v>
      </c>
      <c r="J6033">
        <v>-318.3073</v>
      </c>
      <c r="K6033">
        <v>1.0899399999999999</v>
      </c>
      <c r="L6033">
        <v>19.169339999999998</v>
      </c>
      <c r="M6033">
        <v>0.8971344</v>
      </c>
      <c r="N6033">
        <v>0</v>
      </c>
      <c r="O6033">
        <v>-0.44102649999999999</v>
      </c>
      <c r="P6033">
        <v>0.81012479999999998</v>
      </c>
      <c r="Q6033">
        <v>-1.0249899999999999E-2</v>
      </c>
      <c r="R6033">
        <v>-0.58616820000000003</v>
      </c>
      <c r="S6033">
        <v>1.9972840000000001</v>
      </c>
      <c r="T6033">
        <v>-0.43746020000000002</v>
      </c>
      <c r="U6033">
        <v>-2.3562620000000001</v>
      </c>
      <c r="V6033">
        <v>0.1689031</v>
      </c>
      <c r="W6033">
        <v>1.13998E-2</v>
      </c>
      <c r="X6033">
        <v>0.98556670000000002</v>
      </c>
      <c r="Y6033">
        <v>0.39944879999999999</v>
      </c>
      <c r="Z6033">
        <v>3.578336E-2</v>
      </c>
      <c r="AA6033">
        <v>0.91605689999999995</v>
      </c>
      <c r="AB6033">
        <v>24</v>
      </c>
      <c r="AC6033">
        <v>5.0933999999999697</v>
      </c>
      <c r="AD6033">
        <v>-1.13994</v>
      </c>
      <c r="AE6033">
        <v>-6.0841299999999903</v>
      </c>
      <c r="AF6033">
        <v>3.1480208454818301</v>
      </c>
      <c r="AG6033">
        <v>-1.13994</v>
      </c>
      <c r="AH6033">
        <v>7.1083544427795999</v>
      </c>
      <c r="AI6033">
        <v>98.341862699824404</v>
      </c>
      <c r="AJ6033">
        <v>66.113262157662007</v>
      </c>
      <c r="AK6033">
        <v>7.8573660555794804</v>
      </c>
      <c r="AL6033">
        <v>89.346825402966303</v>
      </c>
      <c r="AM6033">
        <v>80.2753125186766</v>
      </c>
      <c r="AN6033">
        <v>0.99999996638926902</v>
      </c>
    </row>
    <row r="6034" spans="1:40" x14ac:dyDescent="0.25">
      <c r="A6034" t="str">
        <f>"20190312154416062"</f>
        <v>20190312154416062</v>
      </c>
      <c r="B6034" t="str">
        <f>"1552376656053556"</f>
        <v>1552376656053556</v>
      </c>
      <c r="C6034" t="s">
        <v>40</v>
      </c>
      <c r="D6034">
        <v>4.8474940000000002</v>
      </c>
      <c r="E6034">
        <v>0.59472409999999998</v>
      </c>
      <c r="F6034" t="s">
        <v>42</v>
      </c>
      <c r="G6034">
        <v>-313.12130000000002</v>
      </c>
      <c r="H6034">
        <v>-0.05</v>
      </c>
      <c r="I6034">
        <v>12.994870000000001</v>
      </c>
      <c r="J6034">
        <v>-318.12990000000002</v>
      </c>
      <c r="K6034">
        <v>1.0879369999999999</v>
      </c>
      <c r="L6034">
        <v>19.072880000000001</v>
      </c>
      <c r="M6034">
        <v>0.89375819999999995</v>
      </c>
      <c r="N6034">
        <v>0</v>
      </c>
      <c r="O6034">
        <v>-0.4477949</v>
      </c>
      <c r="P6034">
        <v>0.80545</v>
      </c>
      <c r="Q6034">
        <v>-1.086263E-2</v>
      </c>
      <c r="R6034">
        <v>-0.5925648</v>
      </c>
      <c r="S6034">
        <v>1.986389</v>
      </c>
      <c r="T6034">
        <v>-0.43663360000000001</v>
      </c>
      <c r="U6034">
        <v>-2.365021</v>
      </c>
      <c r="V6034">
        <v>0.16926559999999999</v>
      </c>
      <c r="W6034">
        <v>1.1174750000000001E-2</v>
      </c>
      <c r="X6034">
        <v>0.98550709999999997</v>
      </c>
      <c r="Y6034">
        <v>0.39672960000000002</v>
      </c>
      <c r="Z6034">
        <v>3.696406E-2</v>
      </c>
      <c r="AA6034">
        <v>0.91719099999999998</v>
      </c>
      <c r="AB6034">
        <v>24</v>
      </c>
      <c r="AC6034">
        <v>5.0086000000000004</v>
      </c>
      <c r="AD6034">
        <v>-1.137937</v>
      </c>
      <c r="AE6034">
        <v>-6.0780099999999901</v>
      </c>
      <c r="AF6034">
        <v>3.1252810532616402</v>
      </c>
      <c r="AG6034">
        <v>-1.137937</v>
      </c>
      <c r="AH6034">
        <v>7.0533675441938399</v>
      </c>
      <c r="AI6034">
        <v>98.390709151189299</v>
      </c>
      <c r="AJ6034">
        <v>66.102316820916698</v>
      </c>
      <c r="AK6034">
        <v>7.7982226174514997</v>
      </c>
      <c r="AL6034">
        <v>89.359720649601201</v>
      </c>
      <c r="AM6034">
        <v>80.254263115501004</v>
      </c>
      <c r="AN6034">
        <v>0.99999998126566603</v>
      </c>
    </row>
    <row r="6035" spans="1:40" x14ac:dyDescent="0.25">
      <c r="A6035" t="str">
        <f>"20190312154416075"</f>
        <v>20190312154416075</v>
      </c>
      <c r="B6035" t="str">
        <f>"1552376656063316"</f>
        <v>1552376656063316</v>
      </c>
      <c r="C6035" t="s">
        <v>40</v>
      </c>
      <c r="D6035">
        <v>5.0155830000000003</v>
      </c>
      <c r="E6035">
        <v>0.59486439999999996</v>
      </c>
      <c r="F6035" t="s">
        <v>42</v>
      </c>
      <c r="G6035">
        <v>-312.96690000000001</v>
      </c>
      <c r="H6035">
        <v>-0.05</v>
      </c>
      <c r="I6035">
        <v>12.81833</v>
      </c>
      <c r="J6035">
        <v>-318.00819999999999</v>
      </c>
      <c r="K6035">
        <v>1.0865049999999901</v>
      </c>
      <c r="L6035">
        <v>19.005520000000001</v>
      </c>
      <c r="M6035">
        <v>0.89149979999999995</v>
      </c>
      <c r="N6035">
        <v>0</v>
      </c>
      <c r="O6035">
        <v>-0.45225890000000002</v>
      </c>
      <c r="P6035">
        <v>0.80251240000000001</v>
      </c>
      <c r="Q6035">
        <v>-1.121252E-2</v>
      </c>
      <c r="R6035">
        <v>-0.59653029999999996</v>
      </c>
      <c r="S6035">
        <v>1.9663090000000001</v>
      </c>
      <c r="T6035">
        <v>-0.43337740000000002</v>
      </c>
      <c r="U6035">
        <v>-2.3820190000000001</v>
      </c>
      <c r="V6035">
        <v>0.16920360000000001</v>
      </c>
      <c r="W6035">
        <v>1.096543E-2</v>
      </c>
      <c r="X6035">
        <v>0.98552010000000001</v>
      </c>
      <c r="Y6035">
        <v>0.3999511</v>
      </c>
      <c r="Z6035">
        <v>3.7148779999999999E-2</v>
      </c>
      <c r="AA6035">
        <v>0.91578329999999997</v>
      </c>
      <c r="AB6035">
        <v>24</v>
      </c>
      <c r="AC6035">
        <v>5.0412999999999704</v>
      </c>
      <c r="AD6035">
        <v>-1.1365050000000001</v>
      </c>
      <c r="AE6035">
        <v>-6.1871900000000002</v>
      </c>
      <c r="AF6035">
        <v>3.17268630076406</v>
      </c>
      <c r="AG6035">
        <v>-1.1365050000000001</v>
      </c>
      <c r="AH6035">
        <v>7.15005629553605</v>
      </c>
      <c r="AI6035">
        <v>98.266624240905202</v>
      </c>
      <c r="AJ6035">
        <v>66.071757392242901</v>
      </c>
      <c r="AK6035">
        <v>7.9044852462013999</v>
      </c>
      <c r="AL6035">
        <v>89.371714538564007</v>
      </c>
      <c r="AM6035">
        <v>80.257890491499793</v>
      </c>
      <c r="AN6035">
        <v>0.99999998320602701</v>
      </c>
    </row>
    <row r="6036" spans="1:40" x14ac:dyDescent="0.25">
      <c r="A6036" t="str">
        <f>"20190312154416087"</f>
        <v>20190312154416087</v>
      </c>
      <c r="B6036" t="str">
        <f>"1552376656083811"</f>
        <v>1552376656083811</v>
      </c>
      <c r="C6036" t="s">
        <v>40</v>
      </c>
      <c r="D6036">
        <v>5.1433679999999997</v>
      </c>
      <c r="E6036">
        <v>0.61147119999999999</v>
      </c>
      <c r="F6036" t="s">
        <v>42</v>
      </c>
      <c r="G6036">
        <v>-312.90179999999998</v>
      </c>
      <c r="H6036">
        <v>-0.05</v>
      </c>
      <c r="I6036">
        <v>12.75076</v>
      </c>
      <c r="J6036">
        <v>-317.88060000000002</v>
      </c>
      <c r="K6036">
        <v>1.0849799999999901</v>
      </c>
      <c r="L6036">
        <v>18.934139999999999</v>
      </c>
      <c r="M6036">
        <v>0.88915119999999903</v>
      </c>
      <c r="N6036">
        <v>0</v>
      </c>
      <c r="O6036">
        <v>-0.45684750000000002</v>
      </c>
      <c r="P6036">
        <v>0.79943989999999998</v>
      </c>
      <c r="Q6036">
        <v>-1.136478E-2</v>
      </c>
      <c r="R6036">
        <v>-0.60063859999999902</v>
      </c>
      <c r="S6036">
        <v>1.953522</v>
      </c>
      <c r="T6036">
        <v>-0.43478159999999999</v>
      </c>
      <c r="U6036">
        <v>-2.3928219999999998</v>
      </c>
      <c r="V6036">
        <v>0.1691868</v>
      </c>
      <c r="W6036">
        <v>1.087722E-2</v>
      </c>
      <c r="X6036">
        <v>0.98552399999999996</v>
      </c>
      <c r="Y6036">
        <v>0.40022150000000001</v>
      </c>
      <c r="Z6036">
        <v>3.7955889999999999E-2</v>
      </c>
      <c r="AA6036">
        <v>0.91563209999999995</v>
      </c>
      <c r="AB6036">
        <v>24</v>
      </c>
      <c r="AC6036">
        <v>4.9788000000000299</v>
      </c>
      <c r="AD6036">
        <v>-1.1349800000000001</v>
      </c>
      <c r="AE6036">
        <v>-6.1833799999999899</v>
      </c>
      <c r="AF6036">
        <v>3.1599478368427198</v>
      </c>
      <c r="AG6036">
        <v>-1.1349800000000001</v>
      </c>
      <c r="AH6036">
        <v>7.1090013389450002</v>
      </c>
      <c r="AI6036">
        <v>98.300358951641797</v>
      </c>
      <c r="AJ6036">
        <v>66.034874956801502</v>
      </c>
      <c r="AK6036">
        <v>7.8620194587070804</v>
      </c>
      <c r="AL6036">
        <v>89.376768924289095</v>
      </c>
      <c r="AM6036">
        <v>80.258877049504804</v>
      </c>
      <c r="AN6036">
        <v>1.0000000208925801</v>
      </c>
    </row>
    <row r="6037" spans="1:40" x14ac:dyDescent="0.25">
      <c r="A6037" t="str">
        <f>"20190312154416106"</f>
        <v>20190312154416106</v>
      </c>
      <c r="B6037" t="str">
        <f>"1552376656093573"</f>
        <v>1552376656093573</v>
      </c>
      <c r="C6037" t="s">
        <v>40</v>
      </c>
      <c r="D6037">
        <v>4.96089</v>
      </c>
      <c r="E6037">
        <v>0.61112979999999995</v>
      </c>
      <c r="F6037" t="s">
        <v>42</v>
      </c>
      <c r="G6037">
        <v>-314.24709999999999</v>
      </c>
      <c r="H6037">
        <v>-0.05</v>
      </c>
      <c r="I6037">
        <v>14.0374</v>
      </c>
      <c r="J6037">
        <v>-317.71120000000002</v>
      </c>
      <c r="K6037">
        <v>1.0830229999999901</v>
      </c>
      <c r="L6037">
        <v>18.83746</v>
      </c>
      <c r="M6037">
        <v>0.88603310000000002</v>
      </c>
      <c r="N6037">
        <v>0</v>
      </c>
      <c r="O6037">
        <v>-0.46285690000000002</v>
      </c>
      <c r="P6037">
        <v>0.79536379999999995</v>
      </c>
      <c r="Q6037">
        <v>-1.1576349999999999E-2</v>
      </c>
      <c r="R6037">
        <v>-0.60602219999999996</v>
      </c>
      <c r="S6037">
        <v>1.8605039999999999</v>
      </c>
      <c r="T6037">
        <v>-0.58116840000000003</v>
      </c>
      <c r="U6037">
        <v>-2.5073850000000002</v>
      </c>
      <c r="V6037">
        <v>0.16917299999999999</v>
      </c>
      <c r="W6037">
        <v>1.0709379999999999E-2</v>
      </c>
      <c r="X6037">
        <v>0.98552819999999997</v>
      </c>
      <c r="Y6037">
        <v>0.43582199999999999</v>
      </c>
      <c r="Z6037">
        <v>4.7853090000000001E-2</v>
      </c>
      <c r="AA6037">
        <v>0.8987598</v>
      </c>
      <c r="AB6037">
        <v>24</v>
      </c>
      <c r="AC6037">
        <v>3.4641000000000299</v>
      </c>
      <c r="AD6037">
        <v>-1.1330229999999999</v>
      </c>
      <c r="AE6037">
        <v>-4.8000600000000002</v>
      </c>
      <c r="AF6037">
        <v>2.5568949913372498</v>
      </c>
      <c r="AG6037">
        <v>-1.1330229999999999</v>
      </c>
      <c r="AH6037">
        <v>5.1058665949195197</v>
      </c>
      <c r="AI6037">
        <v>101.222708418358</v>
      </c>
      <c r="AJ6037">
        <v>63.399394759236003</v>
      </c>
      <c r="AK6037">
        <v>5.8216257866999301</v>
      </c>
      <c r="AL6037">
        <v>89.386386003613893</v>
      </c>
      <c r="AM6037">
        <v>80.259697094357904</v>
      </c>
      <c r="AN6037">
        <v>1.0000000138721099</v>
      </c>
    </row>
    <row r="6038" spans="1:40" x14ac:dyDescent="0.25">
      <c r="A6038" t="str">
        <f>"20190312154416117"</f>
        <v>20190312154416117</v>
      </c>
      <c r="B6038" t="str">
        <f>"1552376656103332"</f>
        <v>1552376656103332</v>
      </c>
      <c r="C6038" t="s">
        <v>40</v>
      </c>
      <c r="D6038">
        <v>4.9798609999999996</v>
      </c>
      <c r="E6038">
        <v>0.61111459999999995</v>
      </c>
      <c r="F6038" t="s">
        <v>42</v>
      </c>
      <c r="G6038">
        <v>-314.13069999999999</v>
      </c>
      <c r="H6038">
        <v>-0.05</v>
      </c>
      <c r="I6038">
        <v>13.9503</v>
      </c>
      <c r="J6038">
        <v>-317.6001</v>
      </c>
      <c r="K6038">
        <v>1.081799</v>
      </c>
      <c r="L6038">
        <v>18.773099999999999</v>
      </c>
      <c r="M6038">
        <v>0.88392590000000004</v>
      </c>
      <c r="N6038">
        <v>0</v>
      </c>
      <c r="O6038">
        <v>-0.46686569999999999</v>
      </c>
      <c r="P6038">
        <v>0.79263159999999999</v>
      </c>
      <c r="Q6038">
        <v>-1.157965E-2</v>
      </c>
      <c r="R6038">
        <v>-0.609591199999999</v>
      </c>
      <c r="S6038">
        <v>1.8447880000000001</v>
      </c>
      <c r="T6038">
        <v>-0.58376479999999997</v>
      </c>
      <c r="U6038">
        <v>-2.518005</v>
      </c>
      <c r="V6038">
        <v>0.16914170000000001</v>
      </c>
      <c r="W6038">
        <v>1.072703E-2</v>
      </c>
      <c r="X6038">
        <v>0.9855334</v>
      </c>
      <c r="Y6038">
        <v>0.43723230000000002</v>
      </c>
      <c r="Z6038">
        <v>4.8769229999999997E-2</v>
      </c>
      <c r="AA6038">
        <v>0.89802530000000003</v>
      </c>
      <c r="AB6038">
        <v>24</v>
      </c>
      <c r="AC6038">
        <v>3.4693999999999998</v>
      </c>
      <c r="AD6038">
        <v>-1.131799</v>
      </c>
      <c r="AE6038">
        <v>-4.8227999999999902</v>
      </c>
      <c r="AF6038">
        <v>2.5515922065999401</v>
      </c>
      <c r="AG6038">
        <v>-1.131799</v>
      </c>
      <c r="AH6038">
        <v>5.1338666767535299</v>
      </c>
      <c r="AI6038">
        <v>101.167642867287</v>
      </c>
      <c r="AJ6038">
        <v>63.572082468716403</v>
      </c>
      <c r="AK6038">
        <v>5.8436443098346604</v>
      </c>
      <c r="AL6038">
        <v>89.385374686896895</v>
      </c>
      <c r="AM6038">
        <v>80.2615151109826</v>
      </c>
      <c r="AN6038">
        <v>1.0000000331835299</v>
      </c>
    </row>
    <row r="6039" spans="1:40" x14ac:dyDescent="0.25">
      <c r="A6039" t="str">
        <f>"20190312154416140"</f>
        <v>20190312154416140</v>
      </c>
      <c r="B6039" t="str">
        <f>"1552376656133641"</f>
        <v>1552376656133641</v>
      </c>
      <c r="C6039" t="s">
        <v>40</v>
      </c>
      <c r="D6039">
        <v>5.0028860000000002</v>
      </c>
      <c r="E6039">
        <v>0.61015989999999998</v>
      </c>
      <c r="F6039" t="s">
        <v>42</v>
      </c>
      <c r="G6039">
        <v>-314.06049999999999</v>
      </c>
      <c r="H6039">
        <v>-0.05</v>
      </c>
      <c r="I6039">
        <v>13.8954</v>
      </c>
      <c r="J6039">
        <v>-317.38589999999999</v>
      </c>
      <c r="K6039">
        <v>1.0795110000000001</v>
      </c>
      <c r="L6039">
        <v>18.647310000000001</v>
      </c>
      <c r="M6039">
        <v>0.87970409999999899</v>
      </c>
      <c r="N6039">
        <v>0</v>
      </c>
      <c r="O6039">
        <v>-0.47477330000000001</v>
      </c>
      <c r="P6039">
        <v>0.78717139999999997</v>
      </c>
      <c r="Q6039">
        <v>-1.047882E-2</v>
      </c>
      <c r="R6039">
        <v>-0.61664560000000002</v>
      </c>
      <c r="S6039">
        <v>1.8333440000000001</v>
      </c>
      <c r="T6039">
        <v>-0.586206</v>
      </c>
      <c r="U6039">
        <v>-2.526367</v>
      </c>
      <c r="V6039">
        <v>0.1691251</v>
      </c>
      <c r="W6039">
        <v>1.180747E-2</v>
      </c>
      <c r="X6039">
        <v>0.98552390000000001</v>
      </c>
      <c r="Y6039">
        <v>0.4333978</v>
      </c>
      <c r="Z6039">
        <v>5.0981220000000001E-2</v>
      </c>
      <c r="AA6039">
        <v>0.89975959999999999</v>
      </c>
      <c r="AB6039">
        <v>24</v>
      </c>
      <c r="AC6039">
        <v>3.3254000000000001</v>
      </c>
      <c r="AD6039">
        <v>-1.1295109999999999</v>
      </c>
      <c r="AE6039">
        <v>-4.7519099999999996</v>
      </c>
      <c r="AF6039">
        <v>2.5072968014699701</v>
      </c>
      <c r="AG6039">
        <v>-1.1295109999999999</v>
      </c>
      <c r="AH6039">
        <v>4.99389194705474</v>
      </c>
      <c r="AI6039">
        <v>101.427359286707</v>
      </c>
      <c r="AJ6039">
        <v>63.340022150995402</v>
      </c>
      <c r="AK6039">
        <v>5.7009901884357603</v>
      </c>
      <c r="AL6039">
        <v>89.323466106455896</v>
      </c>
      <c r="AM6039">
        <v>80.262360503603901</v>
      </c>
      <c r="AN6039">
        <v>1.0000000366345001</v>
      </c>
    </row>
    <row r="6040" spans="1:40" x14ac:dyDescent="0.25">
      <c r="A6040" t="str">
        <f>"20190312154416162"</f>
        <v>20190312154416162</v>
      </c>
      <c r="B6040" t="str">
        <f>"1552376656153161"</f>
        <v>1552376656153161</v>
      </c>
      <c r="C6040" t="s">
        <v>40</v>
      </c>
      <c r="D6040">
        <v>4.9969390000000002</v>
      </c>
      <c r="E6040">
        <v>0.61017500000000002</v>
      </c>
      <c r="F6040" t="s">
        <v>42</v>
      </c>
      <c r="G6040">
        <v>-313.84460000000001</v>
      </c>
      <c r="H6040">
        <v>-0.05</v>
      </c>
      <c r="I6040">
        <v>13.70036</v>
      </c>
      <c r="J6040">
        <v>-317.17849999999999</v>
      </c>
      <c r="K6040">
        <v>1.077369</v>
      </c>
      <c r="L6040">
        <v>18.523129999999998</v>
      </c>
      <c r="M6040">
        <v>0.87539999999999996</v>
      </c>
      <c r="N6040">
        <v>0</v>
      </c>
      <c r="O6040">
        <v>-0.48267520000000003</v>
      </c>
      <c r="P6040">
        <v>0.78156349999999997</v>
      </c>
      <c r="Q6040">
        <v>-9.3690100000000005E-3</v>
      </c>
      <c r="R6040">
        <v>-0.62375550000000002</v>
      </c>
      <c r="S6040">
        <v>1.816071</v>
      </c>
      <c r="T6040">
        <v>-0.57923669999999905</v>
      </c>
      <c r="U6040">
        <v>-2.536896</v>
      </c>
      <c r="V6040">
        <v>0.1691986</v>
      </c>
      <c r="W6040">
        <v>1.274582E-2</v>
      </c>
      <c r="X6040">
        <v>0.98549960000000003</v>
      </c>
      <c r="Y6040">
        <v>0.43122670000000002</v>
      </c>
      <c r="Z6040">
        <v>5.224372E-2</v>
      </c>
      <c r="AA6040">
        <v>0.90072980000000002</v>
      </c>
      <c r="AB6040">
        <v>24</v>
      </c>
      <c r="AC6040">
        <v>3.3338999999999701</v>
      </c>
      <c r="AD6040">
        <v>-1.1273690000000001</v>
      </c>
      <c r="AE6040">
        <v>-4.8227699999999896</v>
      </c>
      <c r="AF6040">
        <v>2.5203862763771201</v>
      </c>
      <c r="AG6040">
        <v>-1.1273690000000001</v>
      </c>
      <c r="AH6040">
        <v>5.0610342534575397</v>
      </c>
      <c r="AI6040">
        <v>101.276720844048</v>
      </c>
      <c r="AJ6040">
        <v>63.526775051451402</v>
      </c>
      <c r="AK6040">
        <v>5.7651865155415098</v>
      </c>
      <c r="AL6040">
        <v>89.269698563612806</v>
      </c>
      <c r="AM6040">
        <v>80.257974093657296</v>
      </c>
      <c r="AN6040">
        <v>1.0000000418847901</v>
      </c>
    </row>
    <row r="6041" spans="1:40" x14ac:dyDescent="0.25">
      <c r="A6041" t="str">
        <f>"20190312154416184"</f>
        <v>20190312154416184</v>
      </c>
      <c r="B6041" t="str">
        <f>"1552376656173657"</f>
        <v>1552376656173657</v>
      </c>
      <c r="C6041" t="s">
        <v>40</v>
      </c>
      <c r="D6041">
        <v>5.0775829999999997</v>
      </c>
      <c r="E6041">
        <v>0.60939750000000004</v>
      </c>
      <c r="F6041" t="s">
        <v>42</v>
      </c>
      <c r="G6041">
        <v>-313.6551</v>
      </c>
      <c r="H6041">
        <v>-0.05</v>
      </c>
      <c r="I6041">
        <v>13.507350000000001</v>
      </c>
      <c r="J6041">
        <v>-316.97739999999999</v>
      </c>
      <c r="K6041">
        <v>1.075326</v>
      </c>
      <c r="L6041">
        <v>18.400210000000001</v>
      </c>
      <c r="M6041">
        <v>0.871085199999999</v>
      </c>
      <c r="N6041">
        <v>0</v>
      </c>
      <c r="O6041">
        <v>-0.49044100000000002</v>
      </c>
      <c r="P6041">
        <v>0.77521569999999995</v>
      </c>
      <c r="Q6041">
        <v>-8.0177659999999904E-3</v>
      </c>
      <c r="R6041">
        <v>-0.63164589999999998</v>
      </c>
      <c r="S6041">
        <v>1.7937320000000001</v>
      </c>
      <c r="T6041">
        <v>-0.57392799999999999</v>
      </c>
      <c r="U6041">
        <v>-2.5534669999999999</v>
      </c>
      <c r="V6041">
        <v>0.17043829999999999</v>
      </c>
      <c r="W6041">
        <v>1.3736119999999999E-2</v>
      </c>
      <c r="X6041">
        <v>0.98527260000000005</v>
      </c>
      <c r="Y6041">
        <v>0.43132589999999998</v>
      </c>
      <c r="Z6041">
        <v>5.33432E-2</v>
      </c>
      <c r="AA6041">
        <v>0.90061780000000002</v>
      </c>
      <c r="AB6041">
        <v>24</v>
      </c>
      <c r="AC6041">
        <v>3.3222999999999798</v>
      </c>
      <c r="AD6041">
        <v>-1.125326</v>
      </c>
      <c r="AE6041">
        <v>-4.8928599999999998</v>
      </c>
      <c r="AF6041">
        <v>2.5415818353409199</v>
      </c>
      <c r="AG6041">
        <v>-1.125326</v>
      </c>
      <c r="AH6041">
        <v>5.1104396545628603</v>
      </c>
      <c r="AI6041">
        <v>101.153614186057</v>
      </c>
      <c r="AJ6041">
        <v>63.557401409561002</v>
      </c>
      <c r="AK6041">
        <v>5.81743846507546</v>
      </c>
      <c r="AL6041">
        <v>89.212953542293306</v>
      </c>
      <c r="AM6041">
        <v>80.185761157355799</v>
      </c>
      <c r="AN6041">
        <v>0.99999999570515197</v>
      </c>
    </row>
    <row r="6042" spans="1:40" x14ac:dyDescent="0.25">
      <c r="A6042" t="str">
        <f>"20190312154416197"</f>
        <v>20190312154416197</v>
      </c>
      <c r="B6042" t="str">
        <f>"1552376656183417"</f>
        <v>1552376656183417</v>
      </c>
      <c r="C6042" t="s">
        <v>40</v>
      </c>
      <c r="D6042">
        <v>5.3188019999999998</v>
      </c>
      <c r="E6042">
        <v>0.60880730000000005</v>
      </c>
      <c r="F6042" t="s">
        <v>42</v>
      </c>
      <c r="G6042">
        <v>-313.50510000000003</v>
      </c>
      <c r="H6042">
        <v>-0.05</v>
      </c>
      <c r="I6042">
        <v>13.374280000000001</v>
      </c>
      <c r="J6042">
        <v>-316.86680000000001</v>
      </c>
      <c r="K6042">
        <v>1.074233</v>
      </c>
      <c r="L6042">
        <v>18.33145</v>
      </c>
      <c r="M6042">
        <v>0.8686739</v>
      </c>
      <c r="N6042">
        <v>0</v>
      </c>
      <c r="O6042">
        <v>-0.49471510000000002</v>
      </c>
      <c r="P6042">
        <v>0.77191489999999996</v>
      </c>
      <c r="Q6042">
        <v>-7.5524469999999899E-3</v>
      </c>
      <c r="R6042">
        <v>-0.6356813</v>
      </c>
      <c r="S6042">
        <v>1.7729490000000001</v>
      </c>
      <c r="T6042">
        <v>-0.57459469999999901</v>
      </c>
      <c r="U6042">
        <v>-2.5662539999999998</v>
      </c>
      <c r="V6042">
        <v>0.17073840000000001</v>
      </c>
      <c r="W6042">
        <v>1.395306E-2</v>
      </c>
      <c r="X6042">
        <v>0.98521760000000003</v>
      </c>
      <c r="Y6042">
        <v>0.43394690000000002</v>
      </c>
      <c r="Z6042">
        <v>5.4061699999999997E-2</v>
      </c>
      <c r="AA6042">
        <v>0.89931499999999998</v>
      </c>
      <c r="AB6042">
        <v>24</v>
      </c>
      <c r="AC6042">
        <v>3.3616999999999799</v>
      </c>
      <c r="AD6042">
        <v>-1.124233</v>
      </c>
      <c r="AE6042">
        <v>-4.9571699999999996</v>
      </c>
      <c r="AF6042">
        <v>2.5539771712569599</v>
      </c>
      <c r="AG6042">
        <v>-1.124233</v>
      </c>
      <c r="AH6042">
        <v>5.1914870606814496</v>
      </c>
      <c r="AI6042">
        <v>100.996246242966</v>
      </c>
      <c r="AJ6042">
        <v>63.8048973202567</v>
      </c>
      <c r="AK6042">
        <v>5.8939152632875302</v>
      </c>
      <c r="AL6042">
        <v>89.200522611234206</v>
      </c>
      <c r="AM6042">
        <v>80.168279475686901</v>
      </c>
      <c r="AN6042">
        <v>1.0000000042338399</v>
      </c>
    </row>
    <row r="6043" spans="1:40" x14ac:dyDescent="0.25">
      <c r="A6043" t="str">
        <f>"20190312154416210"</f>
        <v>20190312154416210</v>
      </c>
      <c r="B6043" t="str">
        <f>"1552376656203913"</f>
        <v>1552376656203913</v>
      </c>
      <c r="C6043" t="s">
        <v>40</v>
      </c>
      <c r="D6043">
        <v>5.1193850000000003</v>
      </c>
      <c r="E6043">
        <v>0.60811510000000002</v>
      </c>
      <c r="F6043" t="s">
        <v>42</v>
      </c>
      <c r="G6043">
        <v>-313.41340000000002</v>
      </c>
      <c r="H6043">
        <v>-0.05</v>
      </c>
      <c r="I6043">
        <v>13.295500000000001</v>
      </c>
      <c r="J6043">
        <v>-316.73910000000001</v>
      </c>
      <c r="K6043">
        <v>1.0729919999999999</v>
      </c>
      <c r="L6043">
        <v>18.2514</v>
      </c>
      <c r="M6043">
        <v>0.86586219999999903</v>
      </c>
      <c r="N6043">
        <v>0</v>
      </c>
      <c r="O6043">
        <v>-0.49963920000000001</v>
      </c>
      <c r="P6043">
        <v>0.76782119999999998</v>
      </c>
      <c r="Q6043">
        <v>-7.6151200000000004E-3</v>
      </c>
      <c r="R6043">
        <v>-0.64061919999999895</v>
      </c>
      <c r="S6043">
        <v>1.7632749999999999</v>
      </c>
      <c r="T6043">
        <v>-0.57403149999999903</v>
      </c>
      <c r="U6043">
        <v>-2.5713499999999998</v>
      </c>
      <c r="V6043">
        <v>0.17145339999999901</v>
      </c>
      <c r="W6043">
        <v>1.356686E-2</v>
      </c>
      <c r="X6043">
        <v>0.98509880000000005</v>
      </c>
      <c r="Y6043">
        <v>0.43205080000000001</v>
      </c>
      <c r="Z6043">
        <v>5.5217059999999998E-2</v>
      </c>
      <c r="AA6043">
        <v>0.90015730000000005</v>
      </c>
      <c r="AB6043">
        <v>24</v>
      </c>
      <c r="AC6043">
        <v>3.3256999999999799</v>
      </c>
      <c r="AD6043">
        <v>-1.122992</v>
      </c>
      <c r="AE6043">
        <v>-4.9558999999999997</v>
      </c>
      <c r="AF6043">
        <v>2.5403844526800898</v>
      </c>
      <c r="AG6043">
        <v>-1.122992</v>
      </c>
      <c r="AH6043">
        <v>5.1742959389505696</v>
      </c>
      <c r="AI6043">
        <v>101.02423028223799</v>
      </c>
      <c r="AJ6043">
        <v>63.850700245448699</v>
      </c>
      <c r="AK6043">
        <v>5.8726486923127901</v>
      </c>
      <c r="AL6043">
        <v>89.2226523229414</v>
      </c>
      <c r="AM6043">
        <v>80.126748535729106</v>
      </c>
      <c r="AN6043">
        <v>0.99999998691162895</v>
      </c>
    </row>
    <row r="6044" spans="1:40" x14ac:dyDescent="0.25">
      <c r="A6044" t="str">
        <f>"20190312154416229"</f>
        <v>20190312154416229</v>
      </c>
      <c r="B6044" t="str">
        <f>"1552376656223433"</f>
        <v>1552376656223433</v>
      </c>
      <c r="C6044" t="s">
        <v>40</v>
      </c>
      <c r="D6044">
        <v>5.1390779999999996</v>
      </c>
      <c r="E6044">
        <v>0.6072168</v>
      </c>
      <c r="F6044" t="s">
        <v>42</v>
      </c>
      <c r="G6044">
        <v>-313.30309999999997</v>
      </c>
      <c r="H6044">
        <v>-0.05</v>
      </c>
      <c r="I6044">
        <v>13.191940000000001</v>
      </c>
      <c r="J6044">
        <v>-316.56819999999999</v>
      </c>
      <c r="K6044">
        <v>1.071412</v>
      </c>
      <c r="L6044">
        <v>18.142430000000001</v>
      </c>
      <c r="M6044">
        <v>0.86203799999999997</v>
      </c>
      <c r="N6044">
        <v>0</v>
      </c>
      <c r="O6044">
        <v>-0.50623739999999995</v>
      </c>
      <c r="P6044">
        <v>0.76259449999999995</v>
      </c>
      <c r="Q6044">
        <v>-9.4191029999999999E-3</v>
      </c>
      <c r="R6044">
        <v>-0.6468083</v>
      </c>
      <c r="S6044">
        <v>1.750702</v>
      </c>
      <c r="T6044">
        <v>-0.57217489999999904</v>
      </c>
      <c r="U6044">
        <v>-2.5778500000000002</v>
      </c>
      <c r="V6044">
        <v>0.17185510000000001</v>
      </c>
      <c r="W6044">
        <v>1.1302059999999999E-2</v>
      </c>
      <c r="X6044">
        <v>0.98505739999999997</v>
      </c>
      <c r="Y6044">
        <v>0.42933739999999998</v>
      </c>
      <c r="Z6044">
        <v>5.6671649999999997E-2</v>
      </c>
      <c r="AA6044">
        <v>0.90136439999999995</v>
      </c>
      <c r="AB6044">
        <v>24</v>
      </c>
      <c r="AC6044">
        <v>3.2651000000000101</v>
      </c>
      <c r="AD6044">
        <v>-1.1214120000000001</v>
      </c>
      <c r="AE6044">
        <v>-4.9504899999999896</v>
      </c>
      <c r="AF6044">
        <v>2.5251039949368002</v>
      </c>
      <c r="AG6044">
        <v>-1.1214120000000001</v>
      </c>
      <c r="AH6044">
        <v>5.1386475850429898</v>
      </c>
      <c r="AI6044">
        <v>101.08173848233299</v>
      </c>
      <c r="AJ6044">
        <v>63.830744554457802</v>
      </c>
      <c r="AK6044">
        <v>5.8343306438920601</v>
      </c>
      <c r="AL6044">
        <v>89.3524258730301</v>
      </c>
      <c r="AM6044">
        <v>80.103665488021406</v>
      </c>
      <c r="AN6044">
        <v>0.99999999662550598</v>
      </c>
    </row>
    <row r="6045" spans="1:40" x14ac:dyDescent="0.25">
      <c r="A6045" t="str">
        <f>"20190312154416251"</f>
        <v>20190312154416251</v>
      </c>
      <c r="B6045" t="str">
        <f>"1552376656243933"</f>
        <v>1552376656243933</v>
      </c>
      <c r="C6045" t="s">
        <v>40</v>
      </c>
      <c r="D6045">
        <v>5.1714250000000002</v>
      </c>
      <c r="E6045">
        <v>0.6063035</v>
      </c>
      <c r="F6045" t="s">
        <v>42</v>
      </c>
      <c r="G6045">
        <v>-313.14620000000002</v>
      </c>
      <c r="H6045">
        <v>-0.05</v>
      </c>
      <c r="I6045">
        <v>13.040150000000001</v>
      </c>
      <c r="J6045">
        <v>-316.3698</v>
      </c>
      <c r="K6045">
        <v>1.0697350000000001</v>
      </c>
      <c r="L6045">
        <v>18.01352</v>
      </c>
      <c r="M6045">
        <v>0.85744149999999997</v>
      </c>
      <c r="N6045">
        <v>0</v>
      </c>
      <c r="O6045">
        <v>-0.51401809999999903</v>
      </c>
      <c r="P6045">
        <v>0.75628580000000001</v>
      </c>
      <c r="Q6045">
        <v>-1.163812E-2</v>
      </c>
      <c r="R6045">
        <v>-0.65413840000000001</v>
      </c>
      <c r="S6045">
        <v>1.73397799999999</v>
      </c>
      <c r="T6045">
        <v>-0.56824659999999905</v>
      </c>
      <c r="U6045">
        <v>-2.5854490000000001</v>
      </c>
      <c r="V6045">
        <v>0.17240159999999999</v>
      </c>
      <c r="W6045">
        <v>8.5565639999999991E-3</v>
      </c>
      <c r="X6045">
        <v>0.98498960000000002</v>
      </c>
      <c r="Y6045">
        <v>0.42653279999999899</v>
      </c>
      <c r="Z6045">
        <v>5.8184449999999999E-2</v>
      </c>
      <c r="AA6045">
        <v>0.90259869999999998</v>
      </c>
      <c r="AB6045">
        <v>24</v>
      </c>
      <c r="AC6045">
        <v>3.22359999999997</v>
      </c>
      <c r="AD6045">
        <v>-1.1197349999999999</v>
      </c>
      <c r="AE6045">
        <v>-4.9733699999999903</v>
      </c>
      <c r="AF6045">
        <v>2.5182529903020399</v>
      </c>
      <c r="AG6045">
        <v>-1.1197349999999999</v>
      </c>
      <c r="AH6045">
        <v>5.1385737958391697</v>
      </c>
      <c r="AI6045">
        <v>101.071392808911</v>
      </c>
      <c r="AJ6045">
        <v>63.891982658232102</v>
      </c>
      <c r="AK6045">
        <v>5.8309814995998002</v>
      </c>
      <c r="AL6045">
        <v>89.509739022606894</v>
      </c>
      <c r="AM6045">
        <v>80.072150464184602</v>
      </c>
      <c r="AN6045">
        <v>1.0000000192891001</v>
      </c>
    </row>
    <row r="6046" spans="1:40" x14ac:dyDescent="0.25">
      <c r="A6046" t="str">
        <f>"20190312154416262"</f>
        <v>20190312154416262</v>
      </c>
      <c r="B6046" t="str">
        <f>"1552376656253690"</f>
        <v>1552376656253690</v>
      </c>
      <c r="C6046" t="s">
        <v>40</v>
      </c>
      <c r="D6046">
        <v>5.181724</v>
      </c>
      <c r="E6046">
        <v>0.60581929999999995</v>
      </c>
      <c r="F6046" t="s">
        <v>42</v>
      </c>
      <c r="G6046">
        <v>-312.98630000000003</v>
      </c>
      <c r="H6046">
        <v>-0.05</v>
      </c>
      <c r="I6046">
        <v>12.88733</v>
      </c>
      <c r="J6046">
        <v>-316.26220000000001</v>
      </c>
      <c r="K6046">
        <v>1.0688820000000001</v>
      </c>
      <c r="L6046">
        <v>17.94257</v>
      </c>
      <c r="M6046">
        <v>0.85487789999999997</v>
      </c>
      <c r="N6046">
        <v>0</v>
      </c>
      <c r="O6046">
        <v>-0.51828819999999998</v>
      </c>
      <c r="P6046">
        <v>0.75289510000000004</v>
      </c>
      <c r="Q6046">
        <v>-1.251622E-2</v>
      </c>
      <c r="R6046">
        <v>-0.65802179999999999</v>
      </c>
      <c r="S6046">
        <v>1.713104</v>
      </c>
      <c r="T6046">
        <v>-0.56694169999999999</v>
      </c>
      <c r="U6046">
        <v>-2.5954899999999999</v>
      </c>
      <c r="V6046">
        <v>0.17254040000000001</v>
      </c>
      <c r="W6046">
        <v>7.4021779999999997E-3</v>
      </c>
      <c r="X6046">
        <v>0.98497460000000003</v>
      </c>
      <c r="Y6046">
        <v>0.42870190000000002</v>
      </c>
      <c r="Z6046">
        <v>5.8789019999999997E-2</v>
      </c>
      <c r="AA6046">
        <v>0.90153119999999998</v>
      </c>
      <c r="AB6046">
        <v>24</v>
      </c>
      <c r="AC6046">
        <v>3.2758999999999698</v>
      </c>
      <c r="AD6046">
        <v>-1.1188819999999999</v>
      </c>
      <c r="AE6046">
        <v>-5.0552400000000004</v>
      </c>
      <c r="AF6046">
        <v>2.53696406047851</v>
      </c>
      <c r="AG6046">
        <v>-1.1188819999999999</v>
      </c>
      <c r="AH6046">
        <v>5.2412640918701197</v>
      </c>
      <c r="AI6046">
        <v>100.876789108765</v>
      </c>
      <c r="AJ6046">
        <v>64.171315251859198</v>
      </c>
      <c r="AK6046">
        <v>5.9294968466819098</v>
      </c>
      <c r="AL6046">
        <v>89.575882556511999</v>
      </c>
      <c r="AM6046">
        <v>80.064168503280598</v>
      </c>
      <c r="AN6046">
        <v>0.99999997225823101</v>
      </c>
    </row>
    <row r="6047" spans="1:40" x14ac:dyDescent="0.25">
      <c r="A6047" t="str">
        <f>"20190312154416275"</f>
        <v>20190312154416275</v>
      </c>
      <c r="B6047" t="str">
        <f>"1552376656263449"</f>
        <v>1552376656263449</v>
      </c>
      <c r="C6047" t="s">
        <v>40</v>
      </c>
      <c r="D6047">
        <v>5.1905590000000004</v>
      </c>
      <c r="E6047">
        <v>0.6053655</v>
      </c>
      <c r="F6047" t="s">
        <v>42</v>
      </c>
      <c r="G6047">
        <v>-312.89960000000002</v>
      </c>
      <c r="H6047">
        <v>-0.05</v>
      </c>
      <c r="I6047">
        <v>12.80336</v>
      </c>
      <c r="J6047">
        <v>-316.15410000000003</v>
      </c>
      <c r="K6047">
        <v>1.068047</v>
      </c>
      <c r="L6047">
        <v>17.870570000000001</v>
      </c>
      <c r="M6047">
        <v>0.85227629999999999</v>
      </c>
      <c r="N6047">
        <v>0</v>
      </c>
      <c r="O6047">
        <v>-0.52257310000000001</v>
      </c>
      <c r="P6047">
        <v>0.74945229999999996</v>
      </c>
      <c r="Q6047">
        <v>-1.32091E-2</v>
      </c>
      <c r="R6047">
        <v>-0.66192689999999998</v>
      </c>
      <c r="S6047">
        <v>1.7019040000000001</v>
      </c>
      <c r="T6047">
        <v>-0.56629219999999902</v>
      </c>
      <c r="U6047">
        <v>-2.6010740000000001</v>
      </c>
      <c r="V6047">
        <v>0.17270279999999999</v>
      </c>
      <c r="W6047">
        <v>6.4223010000000001E-3</v>
      </c>
      <c r="X6047">
        <v>0.98495299999999997</v>
      </c>
      <c r="Y6047">
        <v>0.42783359999999898</v>
      </c>
      <c r="Z6047">
        <v>5.970309E-2</v>
      </c>
      <c r="AA6047">
        <v>0.90188349999999995</v>
      </c>
      <c r="AB6047">
        <v>24</v>
      </c>
      <c r="AC6047">
        <v>3.2545000000000002</v>
      </c>
      <c r="AD6047">
        <v>-1.118047</v>
      </c>
      <c r="AE6047">
        <v>-5.0672099999999904</v>
      </c>
      <c r="AF6047">
        <v>2.5314113726943201</v>
      </c>
      <c r="AG6047">
        <v>-1.118047</v>
      </c>
      <c r="AH6047">
        <v>5.2425034614238601</v>
      </c>
      <c r="AI6047">
        <v>100.871236450865</v>
      </c>
      <c r="AJ6047">
        <v>64.225818677629803</v>
      </c>
      <c r="AK6047">
        <v>5.9280616709896297</v>
      </c>
      <c r="AL6047">
        <v>89.6320267127536</v>
      </c>
      <c r="AM6047">
        <v>80.054789492405206</v>
      </c>
      <c r="AN6047">
        <v>0.99999995764348604</v>
      </c>
    </row>
    <row r="6048" spans="1:40" x14ac:dyDescent="0.25">
      <c r="A6048" t="str">
        <f>"20190312154416295"</f>
        <v>20190312154416295</v>
      </c>
      <c r="B6048" t="str">
        <f>"1552376656283945"</f>
        <v>1552376656283945</v>
      </c>
      <c r="C6048" t="s">
        <v>40</v>
      </c>
      <c r="D6048">
        <v>5.2048839999999998</v>
      </c>
      <c r="E6048">
        <v>0.60453190000000001</v>
      </c>
      <c r="F6048" t="s">
        <v>42</v>
      </c>
      <c r="G6048">
        <v>-312.85410000000002</v>
      </c>
      <c r="H6048">
        <v>-0.05</v>
      </c>
      <c r="I6048">
        <v>12.782970000000001</v>
      </c>
      <c r="J6048">
        <v>-315.9744</v>
      </c>
      <c r="K6048">
        <v>1.0666990000000001</v>
      </c>
      <c r="L6048">
        <v>17.749269999999999</v>
      </c>
      <c r="M6048">
        <v>0.84792540000000005</v>
      </c>
      <c r="N6048">
        <v>0</v>
      </c>
      <c r="O6048">
        <v>-0.52963289999999996</v>
      </c>
      <c r="P6048">
        <v>0.74403379999999997</v>
      </c>
      <c r="Q6048">
        <v>-1.399685E-2</v>
      </c>
      <c r="R6048">
        <v>-0.66799569999999997</v>
      </c>
      <c r="S6048">
        <v>1.690704</v>
      </c>
      <c r="T6048">
        <v>-0.57280949999999997</v>
      </c>
      <c r="U6048">
        <v>-2.6065369999999999</v>
      </c>
      <c r="V6048">
        <v>0.17251250000000001</v>
      </c>
      <c r="W6048">
        <v>5.1467830000000003E-3</v>
      </c>
      <c r="X6048">
        <v>0.98499389999999998</v>
      </c>
      <c r="Y6048">
        <v>0.42406460000000001</v>
      </c>
      <c r="Z6048">
        <v>6.2203620000000001E-2</v>
      </c>
      <c r="AA6048">
        <v>0.9034932</v>
      </c>
      <c r="AB6048">
        <v>24</v>
      </c>
      <c r="AC6048">
        <v>3.1202999999999799</v>
      </c>
      <c r="AD6048">
        <v>-1.1166989999999899</v>
      </c>
      <c r="AE6048">
        <v>-4.9663000000000004</v>
      </c>
      <c r="AF6048">
        <v>2.4695708782839398</v>
      </c>
      <c r="AG6048">
        <v>-1.1166989999999899</v>
      </c>
      <c r="AH6048">
        <v>5.0928319598276497</v>
      </c>
      <c r="AI6048">
        <v>101.16090175917</v>
      </c>
      <c r="AJ6048">
        <v>64.1307373457186</v>
      </c>
      <c r="AK6048">
        <v>5.7691190272441997</v>
      </c>
      <c r="AL6048">
        <v>89.705109759281498</v>
      </c>
      <c r="AM6048">
        <v>80.065933905056497</v>
      </c>
      <c r="AN6048">
        <v>1.00000001753435</v>
      </c>
    </row>
    <row r="6049" spans="1:40" x14ac:dyDescent="0.25">
      <c r="A6049" t="str">
        <f>"20190312154416318"</f>
        <v>20190312154416318</v>
      </c>
      <c r="B6049" t="str">
        <f>"1552376656313225"</f>
        <v>1552376656313225</v>
      </c>
      <c r="C6049" t="s">
        <v>40</v>
      </c>
      <c r="D6049">
        <v>5.2329739999999996</v>
      </c>
      <c r="E6049">
        <v>0.60310989999999998</v>
      </c>
      <c r="F6049" t="s">
        <v>42</v>
      </c>
      <c r="G6049">
        <v>-312.72669999999999</v>
      </c>
      <c r="H6049">
        <v>-0.05</v>
      </c>
      <c r="I6049">
        <v>12.67633</v>
      </c>
      <c r="J6049">
        <v>-315.77659999999997</v>
      </c>
      <c r="K6049">
        <v>1.065294</v>
      </c>
      <c r="L6049">
        <v>17.61328</v>
      </c>
      <c r="M6049">
        <v>0.84317279999999994</v>
      </c>
      <c r="N6049">
        <v>0</v>
      </c>
      <c r="O6049">
        <v>-0.53719729999999999</v>
      </c>
      <c r="P6049">
        <v>0.73826939999999996</v>
      </c>
      <c r="Q6049">
        <v>-1.517757E-2</v>
      </c>
      <c r="R6049">
        <v>-0.67433549999999998</v>
      </c>
      <c r="S6049">
        <v>1.673859</v>
      </c>
      <c r="T6049">
        <v>-0.57554640000000001</v>
      </c>
      <c r="U6049">
        <v>-2.6145939999999999</v>
      </c>
      <c r="V6049">
        <v>0.17211089999999901</v>
      </c>
      <c r="W6049">
        <v>3.3944230000000001E-3</v>
      </c>
      <c r="X6049">
        <v>0.98507169999999999</v>
      </c>
      <c r="Y6049">
        <v>0.42148720000000001</v>
      </c>
      <c r="Z6049">
        <v>6.4346180000000003E-2</v>
      </c>
      <c r="AA6049">
        <v>0.90454860000000004</v>
      </c>
      <c r="AB6049">
        <v>24</v>
      </c>
      <c r="AC6049">
        <v>3.0498999999999801</v>
      </c>
      <c r="AD6049">
        <v>-1.115294</v>
      </c>
      <c r="AE6049">
        <v>-4.9369500000000004</v>
      </c>
      <c r="AF6049">
        <v>2.4349669392926501</v>
      </c>
      <c r="AG6049">
        <v>-1.115294</v>
      </c>
      <c r="AH6049">
        <v>5.03883803507442</v>
      </c>
      <c r="AI6049">
        <v>101.270817893781</v>
      </c>
      <c r="AJ6049">
        <v>64.2083192110303</v>
      </c>
      <c r="AK6049">
        <v>5.7063853222155299</v>
      </c>
      <c r="AL6049">
        <v>89.8055135087195</v>
      </c>
      <c r="AM6049">
        <v>80.089368040052307</v>
      </c>
      <c r="AN6049">
        <v>0.999999969073601</v>
      </c>
    </row>
    <row r="6050" spans="1:40" x14ac:dyDescent="0.25">
      <c r="A6050" t="str">
        <f>"20190312154416341"</f>
        <v>20190312154416341</v>
      </c>
      <c r="B6050" t="str">
        <f>"1552376656333722"</f>
        <v>1552376656333722</v>
      </c>
      <c r="C6050" t="s">
        <v>40</v>
      </c>
      <c r="D6050">
        <v>5.2570220000000001</v>
      </c>
      <c r="E6050">
        <v>0.60232129999999995</v>
      </c>
      <c r="F6050" t="s">
        <v>42</v>
      </c>
      <c r="G6050">
        <v>-312.62270000000001</v>
      </c>
      <c r="H6050">
        <v>-0.05</v>
      </c>
      <c r="I6050">
        <v>12.62936</v>
      </c>
      <c r="J6050">
        <v>-315.57659999999998</v>
      </c>
      <c r="K6050">
        <v>1.063985</v>
      </c>
      <c r="L6050">
        <v>17.473299999999998</v>
      </c>
      <c r="M6050">
        <v>0.83842479999999997</v>
      </c>
      <c r="N6050">
        <v>0</v>
      </c>
      <c r="O6050">
        <v>-0.54460790000000003</v>
      </c>
      <c r="P6050">
        <v>0.73348080000000004</v>
      </c>
      <c r="Q6050">
        <v>-1.4177149999999999E-2</v>
      </c>
      <c r="R6050">
        <v>-0.67956260000000002</v>
      </c>
      <c r="S6050">
        <v>1.65814199999999</v>
      </c>
      <c r="T6050">
        <v>-0.58635930000000003</v>
      </c>
      <c r="U6050">
        <v>-2.6202700000000001</v>
      </c>
      <c r="V6050">
        <v>0.170427</v>
      </c>
      <c r="W6050">
        <v>3.8288179999999999E-3</v>
      </c>
      <c r="X6050">
        <v>0.98536290000000004</v>
      </c>
      <c r="Y6050">
        <v>0.41841800000000001</v>
      </c>
      <c r="Z6050">
        <v>6.7456160000000001E-2</v>
      </c>
      <c r="AA6050">
        <v>0.90574619999999995</v>
      </c>
      <c r="AB6050">
        <v>24</v>
      </c>
      <c r="AC6050">
        <v>2.9538999999999702</v>
      </c>
      <c r="AD6050">
        <v>-1.113985</v>
      </c>
      <c r="AE6050">
        <v>-4.8439399999999901</v>
      </c>
      <c r="AF6050">
        <v>2.3620475985465701</v>
      </c>
      <c r="AG6050">
        <v>-1.113985</v>
      </c>
      <c r="AH6050">
        <v>4.9259083493240201</v>
      </c>
      <c r="AI6050">
        <v>101.525527166957</v>
      </c>
      <c r="AJ6050">
        <v>64.3815771343493</v>
      </c>
      <c r="AK6050">
        <v>5.5753748308041802</v>
      </c>
      <c r="AL6050">
        <v>89.7806243594069</v>
      </c>
      <c r="AM6050">
        <v>80.1872810342024</v>
      </c>
      <c r="AN6050">
        <v>1.0000000334363399</v>
      </c>
    </row>
    <row r="6051" spans="1:40" x14ac:dyDescent="0.25">
      <c r="A6051" t="str">
        <f>"20190312154416364"</f>
        <v>20190312154416364</v>
      </c>
      <c r="B6051" t="str">
        <f>"1552376656353241"</f>
        <v>1552376656353241</v>
      </c>
      <c r="C6051" t="s">
        <v>40</v>
      </c>
      <c r="D6051">
        <v>5.2639209999999999</v>
      </c>
      <c r="E6051">
        <v>0.60157890000000003</v>
      </c>
      <c r="F6051" t="s">
        <v>42</v>
      </c>
      <c r="G6051">
        <v>-312.4554</v>
      </c>
      <c r="H6051">
        <v>-0.05</v>
      </c>
      <c r="I6051">
        <v>12.482849999999999</v>
      </c>
      <c r="J6051">
        <v>-315.37479999999999</v>
      </c>
      <c r="K6051">
        <v>1.062813</v>
      </c>
      <c r="L6051">
        <v>17.32968</v>
      </c>
      <c r="M6051">
        <v>0.83365879999999903</v>
      </c>
      <c r="N6051">
        <v>0</v>
      </c>
      <c r="O6051">
        <v>-0.55190329999999999</v>
      </c>
      <c r="P6051">
        <v>0.72874779999999995</v>
      </c>
      <c r="Q6051">
        <v>-1.2484749999999999E-2</v>
      </c>
      <c r="R6051">
        <v>-0.68466850000000001</v>
      </c>
      <c r="S6051">
        <v>1.6437679999999999</v>
      </c>
      <c r="T6051">
        <v>-0.58667190000000002</v>
      </c>
      <c r="U6051">
        <v>-2.628174</v>
      </c>
      <c r="V6051">
        <v>0.16871529999999901</v>
      </c>
      <c r="W6051">
        <v>4.9674940000000002E-3</v>
      </c>
      <c r="X6051">
        <v>0.98565230000000004</v>
      </c>
      <c r="Y6051">
        <v>0.415408</v>
      </c>
      <c r="Z6051">
        <v>6.9335679999999997E-2</v>
      </c>
      <c r="AA6051">
        <v>0.90698889999999999</v>
      </c>
      <c r="AB6051">
        <v>24</v>
      </c>
      <c r="AC6051">
        <v>2.9193999999999898</v>
      </c>
      <c r="AD6051">
        <v>-1.1128129999999901</v>
      </c>
      <c r="AE6051">
        <v>-4.8468299999999997</v>
      </c>
      <c r="AF6051">
        <v>2.3393916006706701</v>
      </c>
      <c r="AG6051">
        <v>-1.1128129999999901</v>
      </c>
      <c r="AH6051">
        <v>4.91953568611207</v>
      </c>
      <c r="AI6051">
        <v>101.54563535966101</v>
      </c>
      <c r="AJ6051">
        <v>64.567464873308097</v>
      </c>
      <c r="AK6051">
        <v>5.55994039547077</v>
      </c>
      <c r="AL6051">
        <v>89.715382386355699</v>
      </c>
      <c r="AM6051">
        <v>80.286746634649603</v>
      </c>
      <c r="AN6051">
        <v>0.99999999247300997</v>
      </c>
    </row>
    <row r="6052" spans="1:40" x14ac:dyDescent="0.25">
      <c r="A6052" t="str">
        <f>"20190312154416386"</f>
        <v>20190312154416386</v>
      </c>
      <c r="B6052" t="str">
        <f>"1552376656373737"</f>
        <v>1552376656373737</v>
      </c>
      <c r="C6052" t="s">
        <v>40</v>
      </c>
      <c r="D6052">
        <v>5.2782339999999897</v>
      </c>
      <c r="E6052">
        <v>0.60082040000000003</v>
      </c>
      <c r="F6052" t="s">
        <v>42</v>
      </c>
      <c r="G6052">
        <v>-312.27499999999998</v>
      </c>
      <c r="H6052">
        <v>-0.05</v>
      </c>
      <c r="I6052">
        <v>12.31648</v>
      </c>
      <c r="J6052">
        <v>-315.18830000000003</v>
      </c>
      <c r="K6052">
        <v>1.0618749999999999</v>
      </c>
      <c r="L6052">
        <v>17.194579999999998</v>
      </c>
      <c r="M6052">
        <v>0.8292254</v>
      </c>
      <c r="N6052">
        <v>0</v>
      </c>
      <c r="O6052">
        <v>-0.55856539999999999</v>
      </c>
      <c r="P6052">
        <v>0.72463509999999998</v>
      </c>
      <c r="Q6052">
        <v>-1.05538E-2</v>
      </c>
      <c r="R6052">
        <v>-0.68905229999999995</v>
      </c>
      <c r="S6052">
        <v>1.6300049999999999</v>
      </c>
      <c r="T6052">
        <v>-0.58514849999999996</v>
      </c>
      <c r="U6052">
        <v>-2.6360779999999999</v>
      </c>
      <c r="V6052">
        <v>0.166770899999999</v>
      </c>
      <c r="W6052">
        <v>6.4261159999999999E-3</v>
      </c>
      <c r="X6052">
        <v>0.98597469999999998</v>
      </c>
      <c r="Y6052">
        <v>0.4128695</v>
      </c>
      <c r="Z6052">
        <v>7.0814559999999999E-2</v>
      </c>
      <c r="AA6052">
        <v>0.90803310000000004</v>
      </c>
      <c r="AB6052">
        <v>23</v>
      </c>
      <c r="AC6052">
        <v>2.91330000000004</v>
      </c>
      <c r="AD6052">
        <v>-1.1118749999999999</v>
      </c>
      <c r="AE6052">
        <v>-4.8780999999999901</v>
      </c>
      <c r="AF6052">
        <v>2.3290574244034898</v>
      </c>
      <c r="AG6052">
        <v>-1.1118749999999999</v>
      </c>
      <c r="AH6052">
        <v>4.9518928109217102</v>
      </c>
      <c r="AI6052">
        <v>101.4852083629</v>
      </c>
      <c r="AJ6052">
        <v>64.810671737937398</v>
      </c>
      <c r="AK6052">
        <v>5.5840860409427897</v>
      </c>
      <c r="AL6052">
        <v>89.6318081288494</v>
      </c>
      <c r="AM6052">
        <v>80.399674468105005</v>
      </c>
      <c r="AN6052">
        <v>0.99999996854687201</v>
      </c>
    </row>
    <row r="6053" spans="1:40" x14ac:dyDescent="0.25">
      <c r="A6053" t="str">
        <f>"20190312154416407"</f>
        <v>20190312154416407</v>
      </c>
      <c r="B6053" t="str">
        <f>"1552376656393261"</f>
        <v>1552376656393261</v>
      </c>
      <c r="C6053" t="s">
        <v>40</v>
      </c>
      <c r="D6053">
        <v>5.2858799999999997</v>
      </c>
      <c r="E6053">
        <v>0.6000491</v>
      </c>
      <c r="F6053" t="s">
        <v>42</v>
      </c>
      <c r="G6053">
        <v>-312.09519999999998</v>
      </c>
      <c r="H6053">
        <v>-0.05</v>
      </c>
      <c r="I6053">
        <v>12.14925</v>
      </c>
      <c r="J6053">
        <v>-315.005</v>
      </c>
      <c r="K6053">
        <v>1.0610710000000001</v>
      </c>
      <c r="L6053">
        <v>17.05988</v>
      </c>
      <c r="M6053">
        <v>0.82483130000000005</v>
      </c>
      <c r="N6053">
        <v>0</v>
      </c>
      <c r="O6053">
        <v>-0.5650539</v>
      </c>
      <c r="P6053">
        <v>0.72073599999999904</v>
      </c>
      <c r="Q6053">
        <v>-9.1023709999999997E-3</v>
      </c>
      <c r="R6053">
        <v>-0.69315019999999905</v>
      </c>
      <c r="S6053">
        <v>1.619507</v>
      </c>
      <c r="T6053">
        <v>-0.58217509999999995</v>
      </c>
      <c r="U6053">
        <v>-2.641724</v>
      </c>
      <c r="V6053">
        <v>0.1646309</v>
      </c>
      <c r="W6053">
        <v>7.4531980000000003E-3</v>
      </c>
      <c r="X6053">
        <v>0.98632710000000001</v>
      </c>
      <c r="Y6053">
        <v>0.40931820000000002</v>
      </c>
      <c r="Z6053">
        <v>7.2165519999999997E-2</v>
      </c>
      <c r="AA6053">
        <v>0.90953329999999999</v>
      </c>
      <c r="AB6053">
        <v>23</v>
      </c>
      <c r="AC6053">
        <v>2.9098000000000099</v>
      </c>
      <c r="AD6053">
        <v>-1.1110709999999999</v>
      </c>
      <c r="AE6053">
        <v>-4.9106299999999896</v>
      </c>
      <c r="AF6053">
        <v>2.3188308491530298</v>
      </c>
      <c r="AG6053">
        <v>-1.1110709999999999</v>
      </c>
      <c r="AH6053">
        <v>4.98686692833801</v>
      </c>
      <c r="AI6053">
        <v>101.421553537805</v>
      </c>
      <c r="AJ6053">
        <v>65.062160618292907</v>
      </c>
      <c r="AK6053">
        <v>5.6107305259632803</v>
      </c>
      <c r="AL6053">
        <v>89.572959263710601</v>
      </c>
      <c r="AM6053">
        <v>80.523941145975698</v>
      </c>
      <c r="AN6053">
        <v>1.0000000157948199</v>
      </c>
    </row>
    <row r="6054" spans="1:40" x14ac:dyDescent="0.25">
      <c r="A6054" t="str">
        <f>"20190312154416430"</f>
        <v>20190312154416430</v>
      </c>
      <c r="B6054" t="str">
        <f>"1552376656423513"</f>
        <v>1552376656423513</v>
      </c>
      <c r="C6054" t="s">
        <v>40</v>
      </c>
      <c r="D6054">
        <v>5.3400819999999998</v>
      </c>
      <c r="E6054">
        <v>0.59888549999999996</v>
      </c>
      <c r="F6054" t="s">
        <v>42</v>
      </c>
      <c r="G6054">
        <v>-311.9273</v>
      </c>
      <c r="H6054">
        <v>-0.05</v>
      </c>
      <c r="I6054">
        <v>11.998900000000001</v>
      </c>
      <c r="J6054">
        <v>-314.8152</v>
      </c>
      <c r="K6054">
        <v>1.060341</v>
      </c>
      <c r="L6054">
        <v>16.918119999999998</v>
      </c>
      <c r="M6054">
        <v>0.82023619999999997</v>
      </c>
      <c r="N6054">
        <v>0</v>
      </c>
      <c r="O6054">
        <v>-0.57172199999999995</v>
      </c>
      <c r="P6054">
        <v>0.71618559999999998</v>
      </c>
      <c r="Q6054">
        <v>-8.3052939999999995E-3</v>
      </c>
      <c r="R6054">
        <v>-0.69786090000000001</v>
      </c>
      <c r="S6054">
        <v>1.6095889999999999</v>
      </c>
      <c r="T6054">
        <v>-0.58106939999999996</v>
      </c>
      <c r="U6054">
        <v>-2.6467900000000002</v>
      </c>
      <c r="V6054">
        <v>0.16310259999999999</v>
      </c>
      <c r="W6054">
        <v>7.8298889999999996E-3</v>
      </c>
      <c r="X6054">
        <v>0.98657799999999995</v>
      </c>
      <c r="Y6054">
        <v>0.40530139999999998</v>
      </c>
      <c r="Z6054">
        <v>7.3812310000000006E-2</v>
      </c>
      <c r="AA6054">
        <v>0.91119839999999996</v>
      </c>
      <c r="AB6054">
        <v>23</v>
      </c>
      <c r="AC6054">
        <v>2.8879000000000001</v>
      </c>
      <c r="AD6054">
        <v>-1.110341</v>
      </c>
      <c r="AE6054">
        <v>-4.9192200000000001</v>
      </c>
      <c r="AF6054">
        <v>2.29722022052565</v>
      </c>
      <c r="AG6054">
        <v>-1.110341</v>
      </c>
      <c r="AH6054">
        <v>4.9929082794486703</v>
      </c>
      <c r="AI6054">
        <v>101.42150439597199</v>
      </c>
      <c r="AJ6054">
        <v>65.293000869295</v>
      </c>
      <c r="AK6054">
        <v>5.6070679472305303</v>
      </c>
      <c r="AL6054">
        <v>89.551375803201907</v>
      </c>
      <c r="AM6054">
        <v>80.612680892506305</v>
      </c>
      <c r="AN6054">
        <v>0.99999995768625505</v>
      </c>
    </row>
    <row r="6055" spans="1:40" x14ac:dyDescent="0.25">
      <c r="A6055" t="str">
        <f>"20190312154416452"</f>
        <v>20190312154416452</v>
      </c>
      <c r="B6055" t="str">
        <f>"1552376656444016"</f>
        <v>1552376656444016</v>
      </c>
      <c r="C6055" t="s">
        <v>40</v>
      </c>
      <c r="D6055">
        <v>5.3016019999999999</v>
      </c>
      <c r="E6055">
        <v>0.59813260000000001</v>
      </c>
      <c r="F6055" t="s">
        <v>42</v>
      </c>
      <c r="G6055">
        <v>-311.7704</v>
      </c>
      <c r="H6055">
        <v>-0.05</v>
      </c>
      <c r="I6055">
        <v>11.87093</v>
      </c>
      <c r="J6055">
        <v>-314.62619999999998</v>
      </c>
      <c r="K6055">
        <v>1.059685</v>
      </c>
      <c r="L6055">
        <v>16.774809999999999</v>
      </c>
      <c r="M6055">
        <v>0.81562650000000003</v>
      </c>
      <c r="N6055">
        <v>0</v>
      </c>
      <c r="O6055">
        <v>-0.57829489999999995</v>
      </c>
      <c r="P6055">
        <v>0.71098030000000001</v>
      </c>
      <c r="Q6055">
        <v>-7.8558589999999998E-3</v>
      </c>
      <c r="R6055">
        <v>-0.70316789999999996</v>
      </c>
      <c r="S6055">
        <v>1.599121</v>
      </c>
      <c r="T6055">
        <v>-0.58315810000000001</v>
      </c>
      <c r="U6055">
        <v>-2.6508180000000001</v>
      </c>
      <c r="V6055">
        <v>0.1625114</v>
      </c>
      <c r="W6055">
        <v>7.8732779999999992E-3</v>
      </c>
      <c r="X6055">
        <v>0.98667530000000003</v>
      </c>
      <c r="Y6055">
        <v>0.401337</v>
      </c>
      <c r="Z6055">
        <v>7.5859739999999995E-2</v>
      </c>
      <c r="AA6055">
        <v>0.91278360000000003</v>
      </c>
      <c r="AB6055">
        <v>23</v>
      </c>
      <c r="AC6055">
        <v>2.8557999999999799</v>
      </c>
      <c r="AD6055">
        <v>-1.109685</v>
      </c>
      <c r="AE6055">
        <v>-4.90388</v>
      </c>
      <c r="AF6055">
        <v>2.2621265318452899</v>
      </c>
      <c r="AG6055">
        <v>-1.109685</v>
      </c>
      <c r="AH6055">
        <v>4.97574120651187</v>
      </c>
      <c r="AI6055">
        <v>101.476351391002</v>
      </c>
      <c r="AJ6055">
        <v>65.551980074380594</v>
      </c>
      <c r="AK6055">
        <v>5.5773307055870101</v>
      </c>
      <c r="AL6055">
        <v>89.5488897595624</v>
      </c>
      <c r="AM6055">
        <v>80.647010906020796</v>
      </c>
      <c r="AN6055">
        <v>1.0000000456332501</v>
      </c>
    </row>
    <row r="6056" spans="1:40" x14ac:dyDescent="0.25">
      <c r="A6056" t="str">
        <f>"20190312154416474"</f>
        <v>20190312154416474</v>
      </c>
      <c r="B6056" t="str">
        <f>"1552376656463536"</f>
        <v>1552376656463536</v>
      </c>
      <c r="C6056" t="s">
        <v>40</v>
      </c>
      <c r="D6056">
        <v>5.2242559999999996</v>
      </c>
      <c r="E6056">
        <v>0.59765979999999996</v>
      </c>
      <c r="F6056" t="s">
        <v>42</v>
      </c>
      <c r="G6056">
        <v>-311.6112</v>
      </c>
      <c r="H6056">
        <v>-0.05</v>
      </c>
      <c r="I6056">
        <v>11.71519</v>
      </c>
      <c r="J6056">
        <v>-314.44</v>
      </c>
      <c r="K6056">
        <v>1.05911</v>
      </c>
      <c r="L6056">
        <v>16.631350000000001</v>
      </c>
      <c r="M6056">
        <v>0.81104080000000001</v>
      </c>
      <c r="N6056">
        <v>0</v>
      </c>
      <c r="O6056">
        <v>-0.58472270000000004</v>
      </c>
      <c r="P6056">
        <v>0.70572380000000001</v>
      </c>
      <c r="Q6056">
        <v>-7.2325039999999998E-3</v>
      </c>
      <c r="R6056">
        <v>-0.70845049999999998</v>
      </c>
      <c r="S6056">
        <v>1.584076</v>
      </c>
      <c r="T6056">
        <v>-0.58301689999999995</v>
      </c>
      <c r="U6056">
        <v>-2.658264</v>
      </c>
      <c r="V6056">
        <v>0.1620731</v>
      </c>
      <c r="W6056">
        <v>8.1202730000000008E-3</v>
      </c>
      <c r="X6056">
        <v>0.98674539999999999</v>
      </c>
      <c r="Y6056">
        <v>0.39913419999999999</v>
      </c>
      <c r="Z6056">
        <v>7.7432470000000003E-2</v>
      </c>
      <c r="AA6056">
        <v>0.91361700000000001</v>
      </c>
      <c r="AB6056">
        <v>23</v>
      </c>
      <c r="AC6056">
        <v>2.8288000000000002</v>
      </c>
      <c r="AD6056">
        <v>-1.10911</v>
      </c>
      <c r="AE6056">
        <v>-4.9161599999999996</v>
      </c>
      <c r="AF6056">
        <v>2.2475659856114798</v>
      </c>
      <c r="AG6056">
        <v>-1.10911</v>
      </c>
      <c r="AH6056">
        <v>4.9792751023664996</v>
      </c>
      <c r="AI6056">
        <v>101.47626361518699</v>
      </c>
      <c r="AJ6056">
        <v>65.7063367542234</v>
      </c>
      <c r="AK6056">
        <v>5.5744827918672897</v>
      </c>
      <c r="AL6056">
        <v>89.534737541653698</v>
      </c>
      <c r="AM6056">
        <v>80.672443367779493</v>
      </c>
      <c r="AN6056">
        <v>1.00000005649918</v>
      </c>
    </row>
    <row r="6057" spans="1:40" x14ac:dyDescent="0.25">
      <c r="A6057" t="str">
        <f>"20190312154416496"</f>
        <v>20190312154416496</v>
      </c>
      <c r="B6057" t="str">
        <f>"1552376656484032"</f>
        <v>1552376656484032</v>
      </c>
      <c r="C6057" t="s">
        <v>40</v>
      </c>
      <c r="D6057">
        <v>5.2395610000000001</v>
      </c>
      <c r="E6057">
        <v>0.59733950000000002</v>
      </c>
      <c r="F6057" t="s">
        <v>42</v>
      </c>
      <c r="G6057">
        <v>-311.43239999999997</v>
      </c>
      <c r="H6057">
        <v>-0.05</v>
      </c>
      <c r="I6057">
        <v>11.51088</v>
      </c>
      <c r="J6057">
        <v>-314.25819999999999</v>
      </c>
      <c r="K6057">
        <v>1.0586139999999999</v>
      </c>
      <c r="L6057">
        <v>16.489229999999999</v>
      </c>
      <c r="M6057">
        <v>0.80652080000000004</v>
      </c>
      <c r="N6057">
        <v>0</v>
      </c>
      <c r="O6057">
        <v>-0.59095330000000001</v>
      </c>
      <c r="P6057">
        <v>0.7003779</v>
      </c>
      <c r="Q6057">
        <v>-6.5133129999999997E-3</v>
      </c>
      <c r="R6057">
        <v>-0.71374280000000001</v>
      </c>
      <c r="S6057">
        <v>1.566956</v>
      </c>
      <c r="T6057">
        <v>-0.57785169999999997</v>
      </c>
      <c r="U6057">
        <v>-2.667786</v>
      </c>
      <c r="V6057">
        <v>0.16190209999999999</v>
      </c>
      <c r="W6057">
        <v>8.4969620000000003E-3</v>
      </c>
      <c r="X6057">
        <v>0.98677029999999999</v>
      </c>
      <c r="Y6057">
        <v>0.39790979999999998</v>
      </c>
      <c r="Z6057">
        <v>7.8196210000000002E-2</v>
      </c>
      <c r="AA6057">
        <v>0.91408590000000001</v>
      </c>
      <c r="AB6057">
        <v>23</v>
      </c>
      <c r="AC6057">
        <v>2.8258000000000099</v>
      </c>
      <c r="AD6057">
        <v>-1.108614</v>
      </c>
      <c r="AE6057">
        <v>-4.9783499999999901</v>
      </c>
      <c r="AF6057">
        <v>2.2607848977624698</v>
      </c>
      <c r="AG6057">
        <v>-1.108614</v>
      </c>
      <c r="AH6057">
        <v>5.0330504499300002</v>
      </c>
      <c r="AI6057">
        <v>101.36099761704</v>
      </c>
      <c r="AJ6057">
        <v>65.810965144171703</v>
      </c>
      <c r="AK6057">
        <v>5.6277677800783099</v>
      </c>
      <c r="AL6057">
        <v>89.513154107933502</v>
      </c>
      <c r="AM6057">
        <v>80.682342989781702</v>
      </c>
      <c r="AN6057">
        <v>1.0000000566548599</v>
      </c>
    </row>
    <row r="6058" spans="1:40" x14ac:dyDescent="0.25">
      <c r="A6058" t="str">
        <f>"20190312154416519"</f>
        <v>20190312154416519</v>
      </c>
      <c r="B6058" t="str">
        <f>"1552376656513311"</f>
        <v>1552376656513311</v>
      </c>
      <c r="C6058" t="s">
        <v>40</v>
      </c>
      <c r="D6058">
        <v>5.4226510000000001</v>
      </c>
      <c r="E6058">
        <v>0.59697259999999996</v>
      </c>
      <c r="F6058" t="s">
        <v>42</v>
      </c>
      <c r="G6058">
        <v>-311.23360000000002</v>
      </c>
      <c r="H6058">
        <v>-0.05</v>
      </c>
      <c r="I6058">
        <v>11.25737</v>
      </c>
      <c r="J6058">
        <v>-314.06990000000002</v>
      </c>
      <c r="K6058">
        <v>1.0581670000000001</v>
      </c>
      <c r="L6058">
        <v>16.33972</v>
      </c>
      <c r="M6058">
        <v>0.80178629999999995</v>
      </c>
      <c r="N6058">
        <v>0</v>
      </c>
      <c r="O6058">
        <v>-0.59737169999999995</v>
      </c>
      <c r="P6058">
        <v>0.69545669999999904</v>
      </c>
      <c r="Q6058">
        <v>-6.3171989999999999E-3</v>
      </c>
      <c r="R6058">
        <v>-0.71854079999999998</v>
      </c>
      <c r="S6058">
        <v>1.5485230000000001</v>
      </c>
      <c r="T6058">
        <v>-0.56757080000000004</v>
      </c>
      <c r="U6058">
        <v>-2.678528</v>
      </c>
      <c r="V6058">
        <v>0.16080929999999999</v>
      </c>
      <c r="W6058">
        <v>8.3834779999999998E-3</v>
      </c>
      <c r="X6058">
        <v>0.98694990000000005</v>
      </c>
      <c r="Y6058">
        <v>0.3969126</v>
      </c>
      <c r="Z6058">
        <v>7.8254859999999996E-2</v>
      </c>
      <c r="AA6058">
        <v>0.91451439999999995</v>
      </c>
      <c r="AB6058">
        <v>23</v>
      </c>
      <c r="AC6058">
        <v>2.8362999999999898</v>
      </c>
      <c r="AD6058">
        <v>-1.1081669999999999</v>
      </c>
      <c r="AE6058">
        <v>-5.0823499999999999</v>
      </c>
      <c r="AF6058">
        <v>2.2976779373085598</v>
      </c>
      <c r="AG6058">
        <v>-1.1081669999999999</v>
      </c>
      <c r="AH6058">
        <v>5.1251212804942901</v>
      </c>
      <c r="AI6058">
        <v>101.161223541514</v>
      </c>
      <c r="AJ6058">
        <v>65.852505299128595</v>
      </c>
      <c r="AK6058">
        <v>5.7248778278019996</v>
      </c>
      <c r="AL6058">
        <v>89.519656470717294</v>
      </c>
      <c r="AM6058">
        <v>80.745798022797004</v>
      </c>
      <c r="AN6058">
        <v>1.0000000093899299</v>
      </c>
    </row>
    <row r="6059" spans="1:40" x14ac:dyDescent="0.25">
      <c r="A6059" t="str">
        <f>"20190312154416543"</f>
        <v>20190312154416543</v>
      </c>
      <c r="B6059" t="str">
        <f>"1552376656533417"</f>
        <v>1552376656533417</v>
      </c>
      <c r="C6059" t="s">
        <v>40</v>
      </c>
      <c r="D6059">
        <v>5.3646669999999999</v>
      </c>
      <c r="E6059">
        <v>0.59718139999999997</v>
      </c>
      <c r="F6059" t="s">
        <v>42</v>
      </c>
      <c r="G6059">
        <v>-311.06740000000002</v>
      </c>
      <c r="H6059">
        <v>-0.05</v>
      </c>
      <c r="I6059">
        <v>11.073230000000001</v>
      </c>
      <c r="J6059">
        <v>-313.87790000000001</v>
      </c>
      <c r="K6059">
        <v>1.057779</v>
      </c>
      <c r="L6059">
        <v>16.18488</v>
      </c>
      <c r="M6059">
        <v>0.79690649999999996</v>
      </c>
      <c r="N6059">
        <v>0</v>
      </c>
      <c r="O6059">
        <v>-0.6038751</v>
      </c>
      <c r="P6059">
        <v>0.69066519999999898</v>
      </c>
      <c r="Q6059">
        <v>-6.1492450000000002E-3</v>
      </c>
      <c r="R6059">
        <v>-0.72314840000000002</v>
      </c>
      <c r="S6059">
        <v>1.5320739999999999</v>
      </c>
      <c r="T6059">
        <v>-0.56546129999999994</v>
      </c>
      <c r="U6059">
        <v>-2.6873170000000002</v>
      </c>
      <c r="V6059">
        <v>0.15934079999999901</v>
      </c>
      <c r="W6059">
        <v>8.2742860000000005E-3</v>
      </c>
      <c r="X6059">
        <v>0.98718890000000004</v>
      </c>
      <c r="Y6059">
        <v>0.39503169999999999</v>
      </c>
      <c r="Z6059">
        <v>7.9489749999999998E-2</v>
      </c>
      <c r="AA6059">
        <v>0.91522199999999998</v>
      </c>
      <c r="AB6059">
        <v>23</v>
      </c>
      <c r="AC6059">
        <v>2.81049999999999</v>
      </c>
      <c r="AD6059">
        <v>-1.1077790000000001</v>
      </c>
      <c r="AE6059">
        <v>-5.1116499999999903</v>
      </c>
      <c r="AF6059">
        <v>2.2939155295376801</v>
      </c>
      <c r="AG6059">
        <v>-1.1077790000000001</v>
      </c>
      <c r="AH6059">
        <v>5.1418032036816097</v>
      </c>
      <c r="AI6059">
        <v>101.130958286842</v>
      </c>
      <c r="AJ6059">
        <v>65.956889572126101</v>
      </c>
      <c r="AK6059">
        <v>5.7382369204212598</v>
      </c>
      <c r="AL6059">
        <v>89.525912895207298</v>
      </c>
      <c r="AM6059">
        <v>80.831046877304203</v>
      </c>
      <c r="AN6059">
        <v>0.99999993931832798</v>
      </c>
    </row>
    <row r="6060" spans="1:40" x14ac:dyDescent="0.25">
      <c r="A6060" t="str">
        <f>"20190312154416564"</f>
        <v>20190312154416564</v>
      </c>
      <c r="B6060" t="str">
        <f>"1552376656553913"</f>
        <v>1552376656553913</v>
      </c>
      <c r="C6060" t="s">
        <v>40</v>
      </c>
      <c r="D6060">
        <v>5.3394830000000004</v>
      </c>
      <c r="E6060">
        <v>0.63109469999999901</v>
      </c>
      <c r="F6060" t="s">
        <v>42</v>
      </c>
      <c r="G6060">
        <v>-310.92090000000002</v>
      </c>
      <c r="H6060">
        <v>-0.05</v>
      </c>
      <c r="I6060">
        <v>10.90924</v>
      </c>
      <c r="J6060">
        <v>-313.70209999999997</v>
      </c>
      <c r="K6060">
        <v>1.05749</v>
      </c>
      <c r="L6060">
        <v>16.040859999999999</v>
      </c>
      <c r="M6060">
        <v>0.79239510000000002</v>
      </c>
      <c r="N6060">
        <v>0</v>
      </c>
      <c r="O6060">
        <v>-0.60979069999999902</v>
      </c>
      <c r="P6060">
        <v>0.68594040000000001</v>
      </c>
      <c r="Q6060">
        <v>-5.8304430000000003E-3</v>
      </c>
      <c r="R6060">
        <v>-0.72763459999999902</v>
      </c>
      <c r="S6060">
        <v>1.512756</v>
      </c>
      <c r="T6060">
        <v>-0.56671919999999898</v>
      </c>
      <c r="U6060">
        <v>-2.6989139999999998</v>
      </c>
      <c r="V6060">
        <v>0.15842679999999901</v>
      </c>
      <c r="W6060">
        <v>8.3629759999999994E-3</v>
      </c>
      <c r="X6060">
        <v>0.98733530000000003</v>
      </c>
      <c r="Y6060">
        <v>0.39492709999999998</v>
      </c>
      <c r="Z6060">
        <v>8.0889699999999995E-2</v>
      </c>
      <c r="AA6060">
        <v>0.91514450000000003</v>
      </c>
      <c r="AB6060">
        <v>23</v>
      </c>
      <c r="AC6060">
        <v>2.7811999999999499</v>
      </c>
      <c r="AD6060">
        <v>-1.1074899999999901</v>
      </c>
      <c r="AE6060">
        <v>-5.1316199999999998</v>
      </c>
      <c r="AF6060">
        <v>2.2882536719270798</v>
      </c>
      <c r="AG6060">
        <v>-1.1074899999999901</v>
      </c>
      <c r="AH6060">
        <v>5.1483795645762997</v>
      </c>
      <c r="AI6060">
        <v>101.120992354409</v>
      </c>
      <c r="AJ6060">
        <v>66.036721325956194</v>
      </c>
      <c r="AK6060">
        <v>5.7418160113447296</v>
      </c>
      <c r="AL6060">
        <v>89.520831181854007</v>
      </c>
      <c r="AM6060">
        <v>80.884084572093499</v>
      </c>
      <c r="AN6060">
        <v>0.99999999247595295</v>
      </c>
    </row>
    <row r="6061" spans="1:40" x14ac:dyDescent="0.25">
      <c r="A6061" t="str">
        <f>"20190312154416586"</f>
        <v>20190312154416586</v>
      </c>
      <c r="B6061" t="str">
        <f>"1552376656573433"</f>
        <v>1552376656573433</v>
      </c>
      <c r="C6061" t="s">
        <v>40</v>
      </c>
      <c r="D6061">
        <v>5.3294139999999999</v>
      </c>
      <c r="E6061">
        <v>0.63107100000000005</v>
      </c>
      <c r="F6061" t="s">
        <v>42</v>
      </c>
      <c r="G6061">
        <v>-311.6327</v>
      </c>
      <c r="H6061">
        <v>-0.05</v>
      </c>
      <c r="I6061">
        <v>11.428570000000001</v>
      </c>
      <c r="J6061">
        <v>-313.52969999999999</v>
      </c>
      <c r="K6061">
        <v>1.0572619999999999</v>
      </c>
      <c r="L6061">
        <v>15.897640000000001</v>
      </c>
      <c r="M6061">
        <v>0.78793849999999999</v>
      </c>
      <c r="N6061">
        <v>0</v>
      </c>
      <c r="O6061">
        <v>-0.6155446</v>
      </c>
      <c r="P6061">
        <v>0.68101820000000002</v>
      </c>
      <c r="Q6061">
        <v>-5.6516559999999997E-3</v>
      </c>
      <c r="R6061">
        <v>-0.73224509999999998</v>
      </c>
      <c r="S6061">
        <v>1.2982479999999901</v>
      </c>
      <c r="T6061">
        <v>-0.69479349999999995</v>
      </c>
      <c r="U6061">
        <v>-2.8935550000000001</v>
      </c>
      <c r="V6061">
        <v>0.157896799999999</v>
      </c>
      <c r="W6061">
        <v>8.3367500000000004E-3</v>
      </c>
      <c r="X6061">
        <v>0.98742039999999998</v>
      </c>
      <c r="Y6061">
        <v>0.46808230000000001</v>
      </c>
      <c r="Z6061">
        <v>9.0469549999999996E-2</v>
      </c>
      <c r="AA6061">
        <v>0.87904169999999904</v>
      </c>
      <c r="AB6061">
        <v>23</v>
      </c>
      <c r="AC6061">
        <v>1.89699999999999</v>
      </c>
      <c r="AD6061">
        <v>-1.107262</v>
      </c>
      <c r="AE6061">
        <v>-4.4690699999999897</v>
      </c>
      <c r="AF6061">
        <v>2.2375822941480599</v>
      </c>
      <c r="AG6061">
        <v>-1.107262</v>
      </c>
      <c r="AH6061">
        <v>4.0362381625882797</v>
      </c>
      <c r="AI6061">
        <v>103.49183623560999</v>
      </c>
      <c r="AJ6061">
        <v>60.997188208523603</v>
      </c>
      <c r="AK6061">
        <v>4.7459479732570697</v>
      </c>
      <c r="AL6061">
        <v>89.522333864344105</v>
      </c>
      <c r="AM6061">
        <v>80.914841364800097</v>
      </c>
      <c r="AN6061">
        <v>0.99999997359348003</v>
      </c>
    </row>
    <row r="6062" spans="1:40" x14ac:dyDescent="0.25">
      <c r="A6062" t="str">
        <f>"20190312154416609"</f>
        <v>20190312154416609</v>
      </c>
      <c r="B6062" t="str">
        <f>"1552376656603690"</f>
        <v>1552376656603690</v>
      </c>
      <c r="C6062" t="s">
        <v>40</v>
      </c>
      <c r="D6062">
        <v>5.3156189999999999</v>
      </c>
      <c r="E6062">
        <v>0.63077640000000001</v>
      </c>
      <c r="F6062" t="s">
        <v>42</v>
      </c>
      <c r="G6062">
        <v>-311.48630000000003</v>
      </c>
      <c r="H6062">
        <v>-0.05</v>
      </c>
      <c r="I6062">
        <v>11.264139999999999</v>
      </c>
      <c r="J6062">
        <v>-313.34399999999999</v>
      </c>
      <c r="K6062">
        <v>1.0570630000000001</v>
      </c>
      <c r="L6062">
        <v>15.74112</v>
      </c>
      <c r="M6062">
        <v>0.78310809999999997</v>
      </c>
      <c r="N6062">
        <v>0</v>
      </c>
      <c r="O6062">
        <v>-0.62168459999999903</v>
      </c>
      <c r="P6062">
        <v>0.67527340000000002</v>
      </c>
      <c r="Q6062">
        <v>-5.4208599999999996E-3</v>
      </c>
      <c r="R6062">
        <v>-0.73754799999999998</v>
      </c>
      <c r="S6062">
        <v>1.2796019999999999</v>
      </c>
      <c r="T6062">
        <v>-0.69337930000000003</v>
      </c>
      <c r="U6062">
        <v>-2.9015499999999999</v>
      </c>
      <c r="V6062">
        <v>0.15790019999999999</v>
      </c>
      <c r="W6062">
        <v>8.3644050000000001E-3</v>
      </c>
      <c r="X6062">
        <v>0.98741970000000001</v>
      </c>
      <c r="Y6062">
        <v>0.4668948</v>
      </c>
      <c r="Z6062">
        <v>9.1987189999999996E-2</v>
      </c>
      <c r="AA6062">
        <v>0.87951550000000001</v>
      </c>
      <c r="AB6062">
        <v>23</v>
      </c>
      <c r="AC6062">
        <v>1.8576999999999599</v>
      </c>
      <c r="AD6062">
        <v>-1.1070629999999999</v>
      </c>
      <c r="AE6062">
        <v>-4.4769800000000002</v>
      </c>
      <c r="AF6062">
        <v>2.2347725048784501</v>
      </c>
      <c r="AG6062">
        <v>-1.1070629999999999</v>
      </c>
      <c r="AH6062">
        <v>4.0284353425559498</v>
      </c>
      <c r="AI6062">
        <v>103.512593189456</v>
      </c>
      <c r="AJ6062">
        <v>60.980699064945398</v>
      </c>
      <c r="AK6062">
        <v>4.7379413191473301</v>
      </c>
      <c r="AL6062">
        <v>89.520749330980607</v>
      </c>
      <c r="AM6062">
        <v>80.914642663101603</v>
      </c>
      <c r="AN6062">
        <v>1.0000000501895601</v>
      </c>
    </row>
    <row r="6063" spans="1:40" x14ac:dyDescent="0.25">
      <c r="A6063" t="str">
        <f>"20190312154416630"</f>
        <v>20190312154416630</v>
      </c>
      <c r="B6063" t="str">
        <f>"1552376656623210"</f>
        <v>1552376656623210</v>
      </c>
      <c r="C6063" t="s">
        <v>40</v>
      </c>
      <c r="D6063">
        <v>5.3385939999999996</v>
      </c>
      <c r="E6063">
        <v>0.63017019999999901</v>
      </c>
      <c r="F6063" t="s">
        <v>42</v>
      </c>
      <c r="G6063">
        <v>-311.33120000000002</v>
      </c>
      <c r="H6063">
        <v>-0.05</v>
      </c>
      <c r="I6063">
        <v>11.08708</v>
      </c>
      <c r="J6063">
        <v>-313.17</v>
      </c>
      <c r="K6063">
        <v>1.056921</v>
      </c>
      <c r="L6063">
        <v>15.59216</v>
      </c>
      <c r="M6063">
        <v>0.77855940000000001</v>
      </c>
      <c r="N6063">
        <v>0</v>
      </c>
      <c r="O6063">
        <v>-0.62737659999999995</v>
      </c>
      <c r="P6063">
        <v>0.66987410000000003</v>
      </c>
      <c r="Q6063">
        <v>-5.4141600000000003E-3</v>
      </c>
      <c r="R6063">
        <v>-0.74245519999999998</v>
      </c>
      <c r="S6063">
        <v>1.258575</v>
      </c>
      <c r="T6063">
        <v>-0.69223610000000002</v>
      </c>
      <c r="U6063">
        <v>-2.910126</v>
      </c>
      <c r="V6063">
        <v>0.15790560000000001</v>
      </c>
      <c r="W6063">
        <v>8.2037169999999993E-3</v>
      </c>
      <c r="X6063">
        <v>0.98742010000000002</v>
      </c>
      <c r="Y6063">
        <v>0.4668196</v>
      </c>
      <c r="Z6063">
        <v>9.3318269999999995E-2</v>
      </c>
      <c r="AA6063">
        <v>0.87941519999999995</v>
      </c>
      <c r="AB6063">
        <v>23</v>
      </c>
      <c r="AC6063">
        <v>1.83879999999999</v>
      </c>
      <c r="AD6063">
        <v>-1.1069209999999901</v>
      </c>
      <c r="AE6063">
        <v>-4.5050800000000004</v>
      </c>
      <c r="AF6063">
        <v>2.2383076022666399</v>
      </c>
      <c r="AG6063">
        <v>-1.1069209999999901</v>
      </c>
      <c r="AH6063">
        <v>4.04898244671854</v>
      </c>
      <c r="AI6063">
        <v>103.455523954703</v>
      </c>
      <c r="AJ6063">
        <v>61.065856171485699</v>
      </c>
      <c r="AK6063">
        <v>4.7570530663889503</v>
      </c>
      <c r="AL6063">
        <v>89.529956351420395</v>
      </c>
      <c r="AM6063">
        <v>80.914340756292503</v>
      </c>
      <c r="AN6063">
        <v>0.99999996668399205</v>
      </c>
    </row>
    <row r="6064" spans="1:40" x14ac:dyDescent="0.25">
      <c r="A6064" t="str">
        <f>"20190312154416664"</f>
        <v>20190312154416664</v>
      </c>
      <c r="B6064" t="str">
        <f>"1552376656653326"</f>
        <v>1552376656653326</v>
      </c>
      <c r="C6064" t="s">
        <v>40</v>
      </c>
      <c r="D6064">
        <v>5.3450189999999997</v>
      </c>
      <c r="E6064">
        <v>0.62984910000000005</v>
      </c>
      <c r="F6064" t="s">
        <v>42</v>
      </c>
      <c r="G6064">
        <v>-311.17230000000001</v>
      </c>
      <c r="H6064">
        <v>-0.05</v>
      </c>
      <c r="I6064">
        <v>10.89603</v>
      </c>
      <c r="J6064">
        <v>-312.9076</v>
      </c>
      <c r="K6064">
        <v>1.056754</v>
      </c>
      <c r="L6064">
        <v>15.363619999999999</v>
      </c>
      <c r="M6064">
        <v>0.77164509999999997</v>
      </c>
      <c r="N6064">
        <v>0</v>
      </c>
      <c r="O6064">
        <v>-0.63586830000000005</v>
      </c>
      <c r="P6064">
        <v>0.66155129999999995</v>
      </c>
      <c r="Q6064">
        <v>-4.4821440000000004E-3</v>
      </c>
      <c r="R6064">
        <v>-0.74988699999999997</v>
      </c>
      <c r="S6064">
        <v>1.2406010000000001</v>
      </c>
      <c r="T6064">
        <v>-0.68740389999999996</v>
      </c>
      <c r="U6064">
        <v>-2.9163209999999999</v>
      </c>
      <c r="V6064">
        <v>0.15811549999999999</v>
      </c>
      <c r="W6064">
        <v>8.9108399999999997E-3</v>
      </c>
      <c r="X6064">
        <v>0.98738040000000005</v>
      </c>
      <c r="Y6064">
        <v>0.46253919999999998</v>
      </c>
      <c r="Z6064">
        <v>9.5311400000000004E-2</v>
      </c>
      <c r="AA6064">
        <v>0.88146080000000004</v>
      </c>
      <c r="AB6064">
        <v>23</v>
      </c>
      <c r="AC6064">
        <v>1.7352999999999901</v>
      </c>
      <c r="AD6064">
        <v>-1.106754</v>
      </c>
      <c r="AE6064">
        <v>-4.4675900000000004</v>
      </c>
      <c r="AF6064">
        <v>2.22556946015506</v>
      </c>
      <c r="AG6064">
        <v>-1.106754</v>
      </c>
      <c r="AH6064">
        <v>3.96869652864663</v>
      </c>
      <c r="AI6064">
        <v>103.670889347779</v>
      </c>
      <c r="AJ6064">
        <v>60.7171214624044</v>
      </c>
      <c r="AK6064">
        <v>4.6828000144126101</v>
      </c>
      <c r="AL6064">
        <v>89.4894397112691</v>
      </c>
      <c r="AM6064">
        <v>80.902105585935303</v>
      </c>
      <c r="AN6064">
        <v>0.99999998435695703</v>
      </c>
    </row>
    <row r="6065" spans="1:40" x14ac:dyDescent="0.25">
      <c r="A6065" t="str">
        <f>"20190312154416686"</f>
        <v>20190312154416686</v>
      </c>
      <c r="B6065" t="str">
        <f>"1552376656673826"</f>
        <v>1552376656673826</v>
      </c>
      <c r="C6065" t="s">
        <v>40</v>
      </c>
      <c r="D6065">
        <v>5.3742219999999996</v>
      </c>
      <c r="E6065">
        <v>0.62956489999999998</v>
      </c>
      <c r="F6065" t="s">
        <v>42</v>
      </c>
      <c r="G6065">
        <v>-310.93200000000002</v>
      </c>
      <c r="H6065">
        <v>-0.05</v>
      </c>
      <c r="I6065">
        <v>10.577260000000001</v>
      </c>
      <c r="J6065">
        <v>-312.7371</v>
      </c>
      <c r="K6065">
        <v>1.05667</v>
      </c>
      <c r="L6065">
        <v>15.21255</v>
      </c>
      <c r="M6065">
        <v>0.76711359999999995</v>
      </c>
      <c r="N6065">
        <v>0</v>
      </c>
      <c r="O6065">
        <v>-0.64133119999999999</v>
      </c>
      <c r="P6065">
        <v>0.6559488</v>
      </c>
      <c r="Q6065">
        <v>-3.9897609999999997E-3</v>
      </c>
      <c r="R6065">
        <v>-0.75479529999999995</v>
      </c>
      <c r="S6065">
        <v>1.2092290000000001</v>
      </c>
      <c r="T6065">
        <v>-0.67744709999999997</v>
      </c>
      <c r="U6065">
        <v>-2.9297490000000002</v>
      </c>
      <c r="V6065">
        <v>0.15846399999999999</v>
      </c>
      <c r="W6065">
        <v>9.2713159999999999E-3</v>
      </c>
      <c r="X6065">
        <v>0.98732129999999996</v>
      </c>
      <c r="Y6065">
        <v>0.4657229</v>
      </c>
      <c r="Z6065">
        <v>9.5033480000000004E-2</v>
      </c>
      <c r="AA6065">
        <v>0.87981299999999996</v>
      </c>
      <c r="AB6065">
        <v>23</v>
      </c>
      <c r="AC6065">
        <v>1.8050999999999799</v>
      </c>
      <c r="AD6065">
        <v>-1.10667</v>
      </c>
      <c r="AE6065">
        <v>-4.6352900000000004</v>
      </c>
      <c r="AF6065">
        <v>2.2852935532895802</v>
      </c>
      <c r="AG6065">
        <v>-1.10667</v>
      </c>
      <c r="AH6065">
        <v>4.1524508179829702</v>
      </c>
      <c r="AI6065">
        <v>103.14231972285199</v>
      </c>
      <c r="AJ6065">
        <v>61.173894475809703</v>
      </c>
      <c r="AK6065">
        <v>4.8672510629075196</v>
      </c>
      <c r="AL6065">
        <v>89.468785150970703</v>
      </c>
      <c r="AM6065">
        <v>80.881852908248106</v>
      </c>
      <c r="AN6065">
        <v>1.00000007301502</v>
      </c>
    </row>
    <row r="6066" spans="1:40" x14ac:dyDescent="0.25">
      <c r="A6066" t="str">
        <f>"20190312154416709"</f>
        <v>20190312154416709</v>
      </c>
      <c r="B6066" t="str">
        <f>"1552376656704078"</f>
        <v>1552376656704078</v>
      </c>
      <c r="C6066" t="s">
        <v>40</v>
      </c>
      <c r="D6066">
        <v>5.3718560000000002</v>
      </c>
      <c r="E6066">
        <v>0.6287433</v>
      </c>
      <c r="F6066" t="s">
        <v>42</v>
      </c>
      <c r="G6066">
        <v>-310.7901</v>
      </c>
      <c r="H6066">
        <v>-0.05</v>
      </c>
      <c r="I6066">
        <v>10.404680000000001</v>
      </c>
      <c r="J6066">
        <v>-312.5573</v>
      </c>
      <c r="K6066">
        <v>1.056594</v>
      </c>
      <c r="L6066">
        <v>15.05087</v>
      </c>
      <c r="M6066">
        <v>0.76229809999999998</v>
      </c>
      <c r="N6066">
        <v>0</v>
      </c>
      <c r="O6066">
        <v>-0.64705080000000004</v>
      </c>
      <c r="P6066">
        <v>0.65003820000000001</v>
      </c>
      <c r="Q6066">
        <v>-3.3528070000000002E-3</v>
      </c>
      <c r="R6066">
        <v>-0.75989439999999997</v>
      </c>
      <c r="S6066">
        <v>1.189484</v>
      </c>
      <c r="T6066">
        <v>-0.67609889999999995</v>
      </c>
      <c r="U6066">
        <v>-2.9372859999999998</v>
      </c>
      <c r="V6066">
        <v>0.15879309999999999</v>
      </c>
      <c r="W6066">
        <v>9.7848450000000003E-3</v>
      </c>
      <c r="X6066">
        <v>0.98726340000000001</v>
      </c>
      <c r="Y6066">
        <v>0.4650435</v>
      </c>
      <c r="Z6066">
        <v>9.6370520000000001E-2</v>
      </c>
      <c r="AA6066">
        <v>0.88002689999999995</v>
      </c>
      <c r="AB6066">
        <v>23</v>
      </c>
      <c r="AC6066">
        <v>1.7672000000000001</v>
      </c>
      <c r="AD6066">
        <v>-1.1065940000000001</v>
      </c>
      <c r="AE6066">
        <v>-4.6461899999999998</v>
      </c>
      <c r="AF6066">
        <v>2.2853321760829601</v>
      </c>
      <c r="AG6066">
        <v>-1.1065940000000001</v>
      </c>
      <c r="AH6066">
        <v>4.1483685532049899</v>
      </c>
      <c r="AI6066">
        <v>103.15097614254</v>
      </c>
      <c r="AJ6066">
        <v>61.1496741474704</v>
      </c>
      <c r="AK6066">
        <v>4.8637696377497299</v>
      </c>
      <c r="AL6066">
        <v>89.439360735417694</v>
      </c>
      <c r="AM6066">
        <v>80.862708506652396</v>
      </c>
      <c r="AN6066">
        <v>1.0000000063894201</v>
      </c>
    </row>
    <row r="6067" spans="1:40" x14ac:dyDescent="0.25">
      <c r="A6067" t="str">
        <f>"20190312154416731"</f>
        <v>20190312154416731</v>
      </c>
      <c r="B6067" t="str">
        <f>"1552376656723598"</f>
        <v>1552376656723598</v>
      </c>
      <c r="C6067" t="s">
        <v>40</v>
      </c>
      <c r="D6067">
        <v>5.3853619999999998</v>
      </c>
      <c r="E6067">
        <v>0.62822519999999904</v>
      </c>
      <c r="F6067" t="s">
        <v>42</v>
      </c>
      <c r="G6067">
        <v>-310.6155</v>
      </c>
      <c r="H6067">
        <v>-0.05</v>
      </c>
      <c r="I6067">
        <v>10.170780000000001</v>
      </c>
      <c r="J6067">
        <v>-312.39049999999997</v>
      </c>
      <c r="K6067">
        <v>1.0565389999999999</v>
      </c>
      <c r="L6067">
        <v>14.898770000000001</v>
      </c>
      <c r="M6067">
        <v>0.75778970000000001</v>
      </c>
      <c r="N6067">
        <v>0</v>
      </c>
      <c r="O6067">
        <v>-0.65232769999999995</v>
      </c>
      <c r="P6067">
        <v>0.64451409999999998</v>
      </c>
      <c r="Q6067">
        <v>-3.3514809999999999E-3</v>
      </c>
      <c r="R6067">
        <v>-0.76458539999999997</v>
      </c>
      <c r="S6067">
        <v>1.171082</v>
      </c>
      <c r="T6067">
        <v>-0.66738450000000005</v>
      </c>
      <c r="U6067">
        <v>-2.9431759999999998</v>
      </c>
      <c r="V6067">
        <v>0.15909289999999901</v>
      </c>
      <c r="W6067">
        <v>9.6837610000000008E-3</v>
      </c>
      <c r="X6067">
        <v>0.98721610000000004</v>
      </c>
      <c r="Y6067">
        <v>0.46429009999999998</v>
      </c>
      <c r="Z6067">
        <v>9.6594449999999998E-2</v>
      </c>
      <c r="AA6067">
        <v>0.88040010000000002</v>
      </c>
      <c r="AB6067">
        <v>23</v>
      </c>
      <c r="AC6067">
        <v>1.7749999999999699</v>
      </c>
      <c r="AD6067">
        <v>-1.1065389999999999</v>
      </c>
      <c r="AE6067">
        <v>-4.7279900000000001</v>
      </c>
      <c r="AF6067">
        <v>2.3141145746862799</v>
      </c>
      <c r="AG6067">
        <v>-1.1065389999999999</v>
      </c>
      <c r="AH6067">
        <v>4.2268465199089302</v>
      </c>
      <c r="AI6067">
        <v>102.93246437035801</v>
      </c>
      <c r="AJ6067">
        <v>61.300169994722502</v>
      </c>
      <c r="AK6067">
        <v>4.9442680273385999</v>
      </c>
      <c r="AL6067">
        <v>89.445152680115697</v>
      </c>
      <c r="AM6067">
        <v>80.845318019916704</v>
      </c>
      <c r="AN6067">
        <v>0.99999997707836197</v>
      </c>
    </row>
    <row r="6068" spans="1:40" x14ac:dyDescent="0.25">
      <c r="A6068" t="str">
        <f>"20190312154416753"</f>
        <v>20190312154416753</v>
      </c>
      <c r="B6068" t="str">
        <f>"1552376656744095"</f>
        <v>1552376656744095</v>
      </c>
      <c r="C6068" t="s">
        <v>40</v>
      </c>
      <c r="D6068">
        <v>5.3950809999999896</v>
      </c>
      <c r="E6068">
        <v>0.62787329999999997</v>
      </c>
      <c r="F6068" t="s">
        <v>42</v>
      </c>
      <c r="G6068">
        <v>-310.48070000000001</v>
      </c>
      <c r="H6068">
        <v>-0.05</v>
      </c>
      <c r="I6068">
        <v>10.01389</v>
      </c>
      <c r="J6068">
        <v>-312.21620000000001</v>
      </c>
      <c r="K6068">
        <v>1.0564880000000001</v>
      </c>
      <c r="L6068">
        <v>14.737579999999999</v>
      </c>
      <c r="M6068">
        <v>0.75302519999999995</v>
      </c>
      <c r="N6068">
        <v>0</v>
      </c>
      <c r="O6068">
        <v>-0.65782450000000003</v>
      </c>
      <c r="P6068">
        <v>0.63824029999999998</v>
      </c>
      <c r="Q6068">
        <v>-3.2921249999999999E-3</v>
      </c>
      <c r="R6068">
        <v>-0.76983069999999998</v>
      </c>
      <c r="S6068">
        <v>1.1529240000000001</v>
      </c>
      <c r="T6068">
        <v>-0.66799549999999996</v>
      </c>
      <c r="U6068">
        <v>-2.9489139999999998</v>
      </c>
      <c r="V6068">
        <v>0.1599826</v>
      </c>
      <c r="W6068">
        <v>9.6389379999999997E-3</v>
      </c>
      <c r="X6068">
        <v>0.98707279999999997</v>
      </c>
      <c r="Y6068">
        <v>0.4632059</v>
      </c>
      <c r="Z6068">
        <v>9.8196119999999998E-2</v>
      </c>
      <c r="AA6068">
        <v>0.88079390000000002</v>
      </c>
      <c r="AB6068">
        <v>23</v>
      </c>
      <c r="AC6068">
        <v>1.7355</v>
      </c>
      <c r="AD6068">
        <v>-1.1064879999999999</v>
      </c>
      <c r="AE6068">
        <v>-4.7236900000000004</v>
      </c>
      <c r="AF6068">
        <v>2.30427174089382</v>
      </c>
      <c r="AG6068">
        <v>-1.1064879999999999</v>
      </c>
      <c r="AH6068">
        <v>4.2111376215788301</v>
      </c>
      <c r="AI6068">
        <v>102.98005632602199</v>
      </c>
      <c r="AJ6068">
        <v>61.3131784945598</v>
      </c>
      <c r="AK6068">
        <v>4.9262220836968398</v>
      </c>
      <c r="AL6068">
        <v>89.447720996318594</v>
      </c>
      <c r="AM6068">
        <v>80.793682581227998</v>
      </c>
      <c r="AN6068">
        <v>1.00000002696418</v>
      </c>
    </row>
    <row r="6069" spans="1:40" x14ac:dyDescent="0.25">
      <c r="A6069" t="str">
        <f>"20190312154416775"</f>
        <v>20190312154416775</v>
      </c>
      <c r="B6069" t="str">
        <f>"1552376656763614"</f>
        <v>1552376656763614</v>
      </c>
      <c r="C6069" t="s">
        <v>40</v>
      </c>
      <c r="D6069">
        <v>5.3873100000000003</v>
      </c>
      <c r="E6069">
        <v>0.62748349999999997</v>
      </c>
      <c r="F6069" t="s">
        <v>42</v>
      </c>
      <c r="G6069">
        <v>-310.34829999999999</v>
      </c>
      <c r="H6069">
        <v>-0.05</v>
      </c>
      <c r="I6069">
        <v>9.85379</v>
      </c>
      <c r="J6069">
        <v>-312.05579999999998</v>
      </c>
      <c r="K6069">
        <v>1.0564389999999999</v>
      </c>
      <c r="L6069">
        <v>14.587070000000001</v>
      </c>
      <c r="M6069">
        <v>0.74858159999999996</v>
      </c>
      <c r="N6069">
        <v>0</v>
      </c>
      <c r="O6069">
        <v>-0.66287850000000004</v>
      </c>
      <c r="P6069">
        <v>0.6328511</v>
      </c>
      <c r="Q6069">
        <v>-3.2285959999999998E-3</v>
      </c>
      <c r="R6069">
        <v>-0.77426729999999999</v>
      </c>
      <c r="S6069">
        <v>1.1308290000000001</v>
      </c>
      <c r="T6069">
        <v>-0.66983809999999999</v>
      </c>
      <c r="U6069">
        <v>-2.956512</v>
      </c>
      <c r="V6069">
        <v>0.1602285</v>
      </c>
      <c r="W6069">
        <v>9.6232039999999998E-3</v>
      </c>
      <c r="X6069">
        <v>0.9870331</v>
      </c>
      <c r="Y6069">
        <v>0.4637946</v>
      </c>
      <c r="Z6069">
        <v>9.9700940000000002E-2</v>
      </c>
      <c r="AA6069">
        <v>0.88031489999999901</v>
      </c>
      <c r="AB6069">
        <v>23</v>
      </c>
      <c r="AC6069">
        <v>1.70749999999998</v>
      </c>
      <c r="AD6069">
        <v>-1.106439</v>
      </c>
      <c r="AE6069">
        <v>-4.7332799999999997</v>
      </c>
      <c r="AF6069">
        <v>2.30041770559516</v>
      </c>
      <c r="AG6069">
        <v>-1.106439</v>
      </c>
      <c r="AH6069">
        <v>4.2125928587533004</v>
      </c>
      <c r="AI6069">
        <v>102.98099452651</v>
      </c>
      <c r="AJ6069">
        <v>61.361876484923698</v>
      </c>
      <c r="AK6069">
        <v>4.92565401490564</v>
      </c>
      <c r="AL6069">
        <v>89.448622547776907</v>
      </c>
      <c r="AM6069">
        <v>80.779410454806495</v>
      </c>
      <c r="AN6069">
        <v>1.0000000593815399</v>
      </c>
    </row>
    <row r="6070" spans="1:40" x14ac:dyDescent="0.25">
      <c r="A6070" t="str">
        <f>"20190312154416797"</f>
        <v>20190312154416797</v>
      </c>
      <c r="B6070" t="str">
        <f>"1552376656793870"</f>
        <v>1552376656793870</v>
      </c>
      <c r="C6070" t="s">
        <v>40</v>
      </c>
      <c r="D6070">
        <v>5.4131859999999996</v>
      </c>
      <c r="E6070">
        <v>0.62695330000000005</v>
      </c>
      <c r="F6070" t="s">
        <v>42</v>
      </c>
      <c r="G6070">
        <v>-310.22059999999999</v>
      </c>
      <c r="H6070">
        <v>-0.05</v>
      </c>
      <c r="I6070">
        <v>9.6974640000000001</v>
      </c>
      <c r="J6070">
        <v>-311.88740000000001</v>
      </c>
      <c r="K6070">
        <v>1.0564020000000001</v>
      </c>
      <c r="L6070">
        <v>14.42694</v>
      </c>
      <c r="M6070">
        <v>0.74385349999999995</v>
      </c>
      <c r="N6070">
        <v>0</v>
      </c>
      <c r="O6070">
        <v>-0.66818180000000005</v>
      </c>
      <c r="P6070">
        <v>0.6273976</v>
      </c>
      <c r="Q6070">
        <v>-2.8846729999999999E-3</v>
      </c>
      <c r="R6070">
        <v>-0.77869379999999999</v>
      </c>
      <c r="S6070">
        <v>1.112061</v>
      </c>
      <c r="T6070">
        <v>-0.67045269999999901</v>
      </c>
      <c r="U6070">
        <v>-2.9628909999999999</v>
      </c>
      <c r="V6070">
        <v>0.1601505</v>
      </c>
      <c r="W6070">
        <v>9.8945119999999994E-3</v>
      </c>
      <c r="X6070">
        <v>0.987043</v>
      </c>
      <c r="Y6070">
        <v>0.46307949999999998</v>
      </c>
      <c r="Z6070">
        <v>0.101214899999999</v>
      </c>
      <c r="AA6070">
        <v>0.88051859999999904</v>
      </c>
      <c r="AB6070">
        <v>23</v>
      </c>
      <c r="AC6070">
        <v>1.66680000000002</v>
      </c>
      <c r="AD6070">
        <v>-1.1064020000000001</v>
      </c>
      <c r="AE6070">
        <v>-4.729476</v>
      </c>
      <c r="AF6070">
        <v>2.2929487581126198</v>
      </c>
      <c r="AG6070">
        <v>-1.1064020000000001</v>
      </c>
      <c r="AH6070">
        <v>4.1962050541310401</v>
      </c>
      <c r="AI6070">
        <v>103.027675252943</v>
      </c>
      <c r="AJ6070">
        <v>61.3463112201595</v>
      </c>
      <c r="AK6070">
        <v>4.9081438700642304</v>
      </c>
      <c r="AL6070">
        <v>89.433076962269695</v>
      </c>
      <c r="AM6070">
        <v>80.783912890424105</v>
      </c>
      <c r="AN6070">
        <v>0.99999998393348399</v>
      </c>
    </row>
    <row r="6071" spans="1:40" x14ac:dyDescent="0.25">
      <c r="A6071" t="str">
        <f>"20190312154416820"</f>
        <v>20190312154416820</v>
      </c>
      <c r="B6071" t="str">
        <f>"1552376656813391"</f>
        <v>1552376656813391</v>
      </c>
      <c r="C6071" t="s">
        <v>40</v>
      </c>
      <c r="D6071">
        <v>5.4248659999999997</v>
      </c>
      <c r="E6071">
        <v>0.62645039999999996</v>
      </c>
      <c r="F6071" t="s">
        <v>42</v>
      </c>
      <c r="G6071">
        <v>-310.07409999999999</v>
      </c>
      <c r="H6071">
        <v>-0.05</v>
      </c>
      <c r="I6071">
        <v>9.5087130000000002</v>
      </c>
      <c r="J6071">
        <v>-311.7192</v>
      </c>
      <c r="K6071">
        <v>1.05637</v>
      </c>
      <c r="L6071">
        <v>14.26474</v>
      </c>
      <c r="M6071">
        <v>0.73906309999999997</v>
      </c>
      <c r="N6071">
        <v>0</v>
      </c>
      <c r="O6071">
        <v>-0.67347809999999997</v>
      </c>
      <c r="P6071">
        <v>0.62219119999999895</v>
      </c>
      <c r="Q6071">
        <v>-2.3091700000000001E-3</v>
      </c>
      <c r="R6071">
        <v>-0.78286250000000002</v>
      </c>
      <c r="S6071">
        <v>1.0944210000000001</v>
      </c>
      <c r="T6071">
        <v>-0.66775759999999995</v>
      </c>
      <c r="U6071">
        <v>-2.968353</v>
      </c>
      <c r="V6071">
        <v>0.15968940000000001</v>
      </c>
      <c r="W6071">
        <v>1.0410900000000001E-2</v>
      </c>
      <c r="X6071">
        <v>0.9871124</v>
      </c>
      <c r="Y6071">
        <v>0.46194010000000002</v>
      </c>
      <c r="Z6071">
        <v>0.10229190000000001</v>
      </c>
      <c r="AA6071">
        <v>0.88099249999999996</v>
      </c>
      <c r="AB6071">
        <v>23</v>
      </c>
      <c r="AC6071">
        <v>1.64510000000001</v>
      </c>
      <c r="AD6071">
        <v>-1.1063700000000001</v>
      </c>
      <c r="AE6071">
        <v>-4.7560269999999996</v>
      </c>
      <c r="AF6071">
        <v>2.2963358959967999</v>
      </c>
      <c r="AG6071">
        <v>-1.1063700000000001</v>
      </c>
      <c r="AH6071">
        <v>4.2156347817503397</v>
      </c>
      <c r="AI6071">
        <v>102.978341641035</v>
      </c>
      <c r="AJ6071">
        <v>61.422035406324298</v>
      </c>
      <c r="AK6071">
        <v>4.9263363402478602</v>
      </c>
      <c r="AL6071">
        <v>89.403488587567495</v>
      </c>
      <c r="AM6071">
        <v>80.810629230337099</v>
      </c>
      <c r="AN6071">
        <v>0.99999999077246404</v>
      </c>
    </row>
    <row r="6072" spans="1:40" x14ac:dyDescent="0.25">
      <c r="A6072" t="str">
        <f>"20190312154416843"</f>
        <v>20190312154416843</v>
      </c>
      <c r="B6072" t="str">
        <f>"1552376656833417"</f>
        <v>1552376656833417</v>
      </c>
      <c r="C6072" t="s">
        <v>40</v>
      </c>
      <c r="D6072">
        <v>5.4238989999999996</v>
      </c>
      <c r="E6072">
        <v>0.62595069999999997</v>
      </c>
      <c r="F6072" t="s">
        <v>42</v>
      </c>
      <c r="G6072">
        <v>-309.93630000000002</v>
      </c>
      <c r="H6072">
        <v>-0.05</v>
      </c>
      <c r="I6072">
        <v>9.3456729999999997</v>
      </c>
      <c r="J6072">
        <v>-311.55439999999999</v>
      </c>
      <c r="K6072">
        <v>1.0563370000000001</v>
      </c>
      <c r="L6072">
        <v>14.10361</v>
      </c>
      <c r="M6072">
        <v>0.73429829999999996</v>
      </c>
      <c r="N6072">
        <v>0</v>
      </c>
      <c r="O6072">
        <v>-0.67867119999999903</v>
      </c>
      <c r="P6072">
        <v>0.61734100000000003</v>
      </c>
      <c r="Q6072">
        <v>-2.5324710000000001E-3</v>
      </c>
      <c r="R6072">
        <v>-0.78669180000000005</v>
      </c>
      <c r="S6072">
        <v>1.0777589999999999</v>
      </c>
      <c r="T6072">
        <v>-0.66879980000000006</v>
      </c>
      <c r="U6072">
        <v>-2.9735719999999999</v>
      </c>
      <c r="V6072">
        <v>0.1588282</v>
      </c>
      <c r="W6072">
        <v>1.014055E-2</v>
      </c>
      <c r="X6072">
        <v>0.98725410000000002</v>
      </c>
      <c r="Y6072">
        <v>0.46062130000000001</v>
      </c>
      <c r="Z6072">
        <v>0.1039056</v>
      </c>
      <c r="AA6072">
        <v>0.881494</v>
      </c>
      <c r="AB6072">
        <v>23</v>
      </c>
      <c r="AC6072">
        <v>1.6180999999999699</v>
      </c>
      <c r="AD6072">
        <v>-1.1063369999999999</v>
      </c>
      <c r="AE6072">
        <v>-4.7579370000000001</v>
      </c>
      <c r="AF6072">
        <v>2.28509863833087</v>
      </c>
      <c r="AG6072">
        <v>-1.1063369999999999</v>
      </c>
      <c r="AH6072">
        <v>4.2135121590434004</v>
      </c>
      <c r="AI6072">
        <v>102.99688223636301</v>
      </c>
      <c r="AJ6072">
        <v>61.527856810843403</v>
      </c>
      <c r="AK6072">
        <v>4.9192826772688196</v>
      </c>
      <c r="AL6072">
        <v>89.418979291802501</v>
      </c>
      <c r="AM6072">
        <v>80.860638220456494</v>
      </c>
      <c r="AN6072">
        <v>0.99999994291817396</v>
      </c>
    </row>
    <row r="6073" spans="1:40" x14ac:dyDescent="0.25">
      <c r="A6073" t="str">
        <f>"20190312154416865"</f>
        <v>20190312154416865</v>
      </c>
      <c r="B6073" t="str">
        <f>"1552376656853912"</f>
        <v>1552376656853912</v>
      </c>
      <c r="C6073" t="s">
        <v>40</v>
      </c>
      <c r="D6073">
        <v>5.4691199999999904</v>
      </c>
      <c r="E6073">
        <v>0.6254516</v>
      </c>
      <c r="F6073" t="s">
        <v>42</v>
      </c>
      <c r="G6073">
        <v>-309.80279999999999</v>
      </c>
      <c r="H6073">
        <v>-0.05</v>
      </c>
      <c r="I6073">
        <v>9.1947170000000007</v>
      </c>
      <c r="J6073">
        <v>-311.39089999999999</v>
      </c>
      <c r="K6073">
        <v>1.0563119999999999</v>
      </c>
      <c r="L6073">
        <v>13.94144</v>
      </c>
      <c r="M6073">
        <v>0.72949679999999995</v>
      </c>
      <c r="N6073">
        <v>0</v>
      </c>
      <c r="O6073">
        <v>-0.68383070000000001</v>
      </c>
      <c r="P6073">
        <v>0.61224409999999996</v>
      </c>
      <c r="Q6073">
        <v>-2.962728E-3</v>
      </c>
      <c r="R6073">
        <v>-0.79066309999999995</v>
      </c>
      <c r="S6073">
        <v>1.0624690000000001</v>
      </c>
      <c r="T6073">
        <v>-0.67105499999999996</v>
      </c>
      <c r="U6073">
        <v>-2.977509</v>
      </c>
      <c r="V6073">
        <v>0.15824289999999999</v>
      </c>
      <c r="W6073">
        <v>9.6670720000000005E-3</v>
      </c>
      <c r="X6073">
        <v>0.98735289999999998</v>
      </c>
      <c r="Y6073">
        <v>0.45883170000000001</v>
      </c>
      <c r="Z6073">
        <v>0.105766</v>
      </c>
      <c r="AA6073">
        <v>0.88220580000000004</v>
      </c>
      <c r="AB6073">
        <v>23</v>
      </c>
      <c r="AC6073">
        <v>1.5880999999999901</v>
      </c>
      <c r="AD6073">
        <v>-1.106312</v>
      </c>
      <c r="AE6073">
        <v>-4.7467229999999896</v>
      </c>
      <c r="AF6073">
        <v>2.26626433913929</v>
      </c>
      <c r="AG6073">
        <v>-1.106312</v>
      </c>
      <c r="AH6073">
        <v>4.1997619292095196</v>
      </c>
      <c r="AI6073">
        <v>103.051981857462</v>
      </c>
      <c r="AJ6073">
        <v>61.647931569176897</v>
      </c>
      <c r="AK6073">
        <v>4.8987631661712498</v>
      </c>
      <c r="AL6073">
        <v>89.446108951517004</v>
      </c>
      <c r="AM6073">
        <v>80.894648443445902</v>
      </c>
      <c r="AN6073">
        <v>1.0000000084099301</v>
      </c>
    </row>
    <row r="6074" spans="1:40" x14ac:dyDescent="0.25">
      <c r="A6074" t="str">
        <f>"20190312154416887"</f>
        <v>20190312154416887</v>
      </c>
      <c r="B6074" t="str">
        <f>"1552376656884168"</f>
        <v>1552376656884168</v>
      </c>
      <c r="C6074" t="s">
        <v>40</v>
      </c>
      <c r="D6074">
        <v>5.4298799999999998</v>
      </c>
      <c r="E6074">
        <v>0.62496219999999902</v>
      </c>
      <c r="F6074" t="s">
        <v>42</v>
      </c>
      <c r="G6074">
        <v>-309.66210000000001</v>
      </c>
      <c r="H6074">
        <v>-0.05</v>
      </c>
      <c r="I6074">
        <v>9.0192110000000003</v>
      </c>
      <c r="J6074">
        <v>-311.23320000000001</v>
      </c>
      <c r="K6074">
        <v>1.0562929999999999</v>
      </c>
      <c r="L6074">
        <v>13.78284</v>
      </c>
      <c r="M6074">
        <v>0.72479689999999997</v>
      </c>
      <c r="N6074">
        <v>0</v>
      </c>
      <c r="O6074">
        <v>-0.68881150000000002</v>
      </c>
      <c r="P6074">
        <v>0.60690869999999997</v>
      </c>
      <c r="Q6074">
        <v>-2.9034339999999999E-3</v>
      </c>
      <c r="R6074">
        <v>-0.79476669999999905</v>
      </c>
      <c r="S6074">
        <v>1.046997</v>
      </c>
      <c r="T6074">
        <v>-0.67000869999999901</v>
      </c>
      <c r="U6074">
        <v>-2.9810180000000002</v>
      </c>
      <c r="V6074">
        <v>0.15812619999999999</v>
      </c>
      <c r="W6074">
        <v>9.6847140000000005E-3</v>
      </c>
      <c r="X6074">
        <v>0.98737140000000001</v>
      </c>
      <c r="Y6074">
        <v>0.45721099999999998</v>
      </c>
      <c r="Z6074">
        <v>0.1070796</v>
      </c>
      <c r="AA6074">
        <v>0.88288849999999996</v>
      </c>
      <c r="AB6074">
        <v>23</v>
      </c>
      <c r="AC6074">
        <v>1.5710999999999999</v>
      </c>
      <c r="AD6074">
        <v>-1.106293</v>
      </c>
      <c r="AE6074">
        <v>-4.7636289999999999</v>
      </c>
      <c r="AF6074">
        <v>2.2607488411510599</v>
      </c>
      <c r="AG6074">
        <v>-1.106293</v>
      </c>
      <c r="AH6074">
        <v>4.2153819485979902</v>
      </c>
      <c r="AI6074">
        <v>103.02239868138901</v>
      </c>
      <c r="AJ6074">
        <v>61.794923723444398</v>
      </c>
      <c r="AK6074">
        <v>4.9096144957807697</v>
      </c>
      <c r="AL6074">
        <v>89.445098079168801</v>
      </c>
      <c r="AM6074">
        <v>80.901418664062803</v>
      </c>
      <c r="AN6074">
        <v>0.99999998517483002</v>
      </c>
    </row>
    <row r="6075" spans="1:40" x14ac:dyDescent="0.25">
      <c r="A6075" t="str">
        <f>"20190312154416910"</f>
        <v>20190312154416910</v>
      </c>
      <c r="B6075" t="str">
        <f>"1552376656903688"</f>
        <v>1552376656903688</v>
      </c>
      <c r="C6075" t="s">
        <v>40</v>
      </c>
      <c r="D6075">
        <v>5.4954739999999997</v>
      </c>
      <c r="E6075">
        <v>0.62503450000000005</v>
      </c>
      <c r="F6075" t="s">
        <v>42</v>
      </c>
      <c r="G6075">
        <v>-309.52629999999999</v>
      </c>
      <c r="H6075">
        <v>-0.05</v>
      </c>
      <c r="I6075">
        <v>8.83432</v>
      </c>
      <c r="J6075">
        <v>-311.06650000000002</v>
      </c>
      <c r="K6075">
        <v>1.0562910000000001</v>
      </c>
      <c r="L6075">
        <v>13.61261</v>
      </c>
      <c r="M6075">
        <v>0.7197498</v>
      </c>
      <c r="N6075">
        <v>0</v>
      </c>
      <c r="O6075">
        <v>-0.69408449999999999</v>
      </c>
      <c r="P6075">
        <v>0.60060440000000004</v>
      </c>
      <c r="Q6075">
        <v>-2.4418E-3</v>
      </c>
      <c r="R6075">
        <v>-0.7995428</v>
      </c>
      <c r="S6075">
        <v>1.0299069999999999</v>
      </c>
      <c r="T6075">
        <v>-0.66750869999999995</v>
      </c>
      <c r="U6075">
        <v>-2.9858090000000002</v>
      </c>
      <c r="V6075">
        <v>0.15873229999999999</v>
      </c>
      <c r="W6075">
        <v>1.0099540000000001E-2</v>
      </c>
      <c r="X6075">
        <v>0.98726999999999998</v>
      </c>
      <c r="Y6075">
        <v>0.455729</v>
      </c>
      <c r="Z6075">
        <v>0.1082003</v>
      </c>
      <c r="AA6075">
        <v>0.88351789999999997</v>
      </c>
      <c r="AB6075">
        <v>23</v>
      </c>
      <c r="AC6075">
        <v>1.54020000000002</v>
      </c>
      <c r="AD6075">
        <v>-1.1062909999999999</v>
      </c>
      <c r="AE6075">
        <v>-4.7782900000000001</v>
      </c>
      <c r="AF6075">
        <v>2.2606175594351301</v>
      </c>
      <c r="AG6075">
        <v>-1.1062909999999999</v>
      </c>
      <c r="AH6075">
        <v>4.2206075228337001</v>
      </c>
      <c r="AI6075">
        <v>103.010438255344</v>
      </c>
      <c r="AJ6075">
        <v>61.825863307219102</v>
      </c>
      <c r="AK6075">
        <v>4.9140410446503102</v>
      </c>
      <c r="AL6075">
        <v>89.421329144256205</v>
      </c>
      <c r="AM6075">
        <v>80.866208114988595</v>
      </c>
      <c r="AN6075">
        <v>0.99999999833575004</v>
      </c>
    </row>
    <row r="6076" spans="1:40" x14ac:dyDescent="0.25">
      <c r="A6076" t="str">
        <f>"20190312154416931"</f>
        <v>20190312154416931</v>
      </c>
      <c r="B6076" t="str">
        <f>"1552376656924188"</f>
        <v>1552376656924188</v>
      </c>
      <c r="C6076" t="s">
        <v>40</v>
      </c>
      <c r="D6076">
        <v>5.3959020000000004</v>
      </c>
      <c r="E6076">
        <v>0.65814189999999995</v>
      </c>
      <c r="F6076" t="s">
        <v>42</v>
      </c>
      <c r="G6076">
        <v>-309.39370000000002</v>
      </c>
      <c r="H6076">
        <v>-0.05</v>
      </c>
      <c r="I6076">
        <v>8.636749</v>
      </c>
      <c r="J6076">
        <v>-310.91210000000001</v>
      </c>
      <c r="K6076">
        <v>1.056287</v>
      </c>
      <c r="L6076">
        <v>13.452730000000001</v>
      </c>
      <c r="M6076">
        <v>0.71500940000000002</v>
      </c>
      <c r="N6076">
        <v>0</v>
      </c>
      <c r="O6076">
        <v>-0.69896729999999996</v>
      </c>
      <c r="P6076">
        <v>0.59455170000000002</v>
      </c>
      <c r="Q6076">
        <v>-2.2454010000000002E-3</v>
      </c>
      <c r="R6076">
        <v>-0.80405459999999995</v>
      </c>
      <c r="S6076">
        <v>1.0065309999999901</v>
      </c>
      <c r="T6076">
        <v>-0.66567299999999996</v>
      </c>
      <c r="U6076">
        <v>-2.994049</v>
      </c>
      <c r="V6076">
        <v>0.1594672</v>
      </c>
      <c r="W6076">
        <v>1.025594E-2</v>
      </c>
      <c r="X6076">
        <v>0.98714999999999997</v>
      </c>
      <c r="Y6076">
        <v>0.4566347</v>
      </c>
      <c r="Z6076">
        <v>0.1090634</v>
      </c>
      <c r="AA6076">
        <v>0.8829439</v>
      </c>
      <c r="AB6076">
        <v>23</v>
      </c>
      <c r="AC6076">
        <v>1.51839999999998</v>
      </c>
      <c r="AD6076">
        <v>-1.106287</v>
      </c>
      <c r="AE6076">
        <v>-4.8159809999999901</v>
      </c>
      <c r="AF6076">
        <v>2.2732954139441999</v>
      </c>
      <c r="AG6076">
        <v>-1.106287</v>
      </c>
      <c r="AH6076">
        <v>4.2484331375923796</v>
      </c>
      <c r="AI6076">
        <v>102.93077562806</v>
      </c>
      <c r="AJ6076">
        <v>61.849195917896402</v>
      </c>
      <c r="AK6076">
        <v>4.94377660195339</v>
      </c>
      <c r="AL6076">
        <v>89.412367648956106</v>
      </c>
      <c r="AM6076">
        <v>80.823541679692099</v>
      </c>
      <c r="AN6076">
        <v>1.0000000473405599</v>
      </c>
    </row>
    <row r="6077" spans="1:40" x14ac:dyDescent="0.25">
      <c r="A6077" t="str">
        <f>"20190312154416955"</f>
        <v>20190312154416955</v>
      </c>
      <c r="B6077" t="str">
        <f>"1552376656943705"</f>
        <v>1552376656943705</v>
      </c>
      <c r="C6077" t="s">
        <v>40</v>
      </c>
      <c r="D6077">
        <v>5.3929780000000003</v>
      </c>
      <c r="E6077">
        <v>0.66198069999999998</v>
      </c>
      <c r="F6077" t="s">
        <v>42</v>
      </c>
      <c r="G6077">
        <v>-309.66079999999999</v>
      </c>
      <c r="H6077">
        <v>-0.05</v>
      </c>
      <c r="I6077">
        <v>8.3295750000000002</v>
      </c>
      <c r="J6077">
        <v>-310.75080000000003</v>
      </c>
      <c r="K6077">
        <v>1.0562860000000001</v>
      </c>
      <c r="L6077">
        <v>13.28336</v>
      </c>
      <c r="M6077">
        <v>0.70998649999999996</v>
      </c>
      <c r="N6077">
        <v>0</v>
      </c>
      <c r="O6077">
        <v>-0.70406950000000001</v>
      </c>
      <c r="P6077">
        <v>0.5880649</v>
      </c>
      <c r="Q6077">
        <v>-2.107392E-3</v>
      </c>
      <c r="R6077">
        <v>-0.80881080000000005</v>
      </c>
      <c r="S6077">
        <v>0.77148439999999996</v>
      </c>
      <c r="T6077">
        <v>-0.68208219999999997</v>
      </c>
      <c r="U6077">
        <v>-3.1586910000000001</v>
      </c>
      <c r="V6077">
        <v>0.16034000000000001</v>
      </c>
      <c r="W6077">
        <v>1.035464E-2</v>
      </c>
      <c r="X6077">
        <v>0.98700759999999998</v>
      </c>
      <c r="Y6077">
        <v>0.52306730000000001</v>
      </c>
      <c r="Z6077">
        <v>0.103907</v>
      </c>
      <c r="AA6077">
        <v>0.84593369999999901</v>
      </c>
      <c r="AB6077">
        <v>23</v>
      </c>
      <c r="AC6077">
        <v>1.0900000000000301</v>
      </c>
      <c r="AD6077">
        <v>-1.1062860000000001</v>
      </c>
      <c r="AE6077">
        <v>-4.9537849999999999</v>
      </c>
      <c r="AF6077">
        <v>2.6250930209399699</v>
      </c>
      <c r="AG6077">
        <v>-1.1062860000000001</v>
      </c>
      <c r="AH6077">
        <v>4.0685914494746003</v>
      </c>
      <c r="AI6077">
        <v>102.869973754811</v>
      </c>
      <c r="AJ6077">
        <v>57.169516149869501</v>
      </c>
      <c r="AK6077">
        <v>4.9667311649737602</v>
      </c>
      <c r="AL6077">
        <v>89.406712267920597</v>
      </c>
      <c r="AM6077">
        <v>80.772870060890895</v>
      </c>
      <c r="AN6077">
        <v>1.0000000683136401</v>
      </c>
    </row>
    <row r="6078" spans="1:40" x14ac:dyDescent="0.25">
      <c r="A6078" t="str">
        <f>"20190312154416976"</f>
        <v>20190312154416976</v>
      </c>
      <c r="B6078" t="str">
        <f>"1552376656973961"</f>
        <v>1552376656973961</v>
      </c>
      <c r="C6078" t="s">
        <v>40</v>
      </c>
      <c r="D6078">
        <v>5.3920539999999999</v>
      </c>
      <c r="E6078">
        <v>0.66377969999999997</v>
      </c>
      <c r="F6078" t="s">
        <v>42</v>
      </c>
      <c r="G6078">
        <v>-309.59390000000002</v>
      </c>
      <c r="H6078">
        <v>-0.05</v>
      </c>
      <c r="I6078">
        <v>8.1772770000000001</v>
      </c>
      <c r="J6078">
        <v>-310.59870000000001</v>
      </c>
      <c r="K6078">
        <v>1.056289</v>
      </c>
      <c r="L6078">
        <v>13.121429999999901</v>
      </c>
      <c r="M6078">
        <v>0.70518349999999996</v>
      </c>
      <c r="N6078">
        <v>0</v>
      </c>
      <c r="O6078">
        <v>-0.70888059999999997</v>
      </c>
      <c r="P6078">
        <v>0.58237030000000001</v>
      </c>
      <c r="Q6078">
        <v>-1.6387929999999999E-3</v>
      </c>
      <c r="R6078">
        <v>-0.81292209999999998</v>
      </c>
      <c r="S6078">
        <v>0.72119140000000004</v>
      </c>
      <c r="T6078">
        <v>-0.68963229999999998</v>
      </c>
      <c r="U6078">
        <v>-3.183014</v>
      </c>
      <c r="V6078">
        <v>0.16056599999999999</v>
      </c>
      <c r="W6078">
        <v>1.0797589999999999E-2</v>
      </c>
      <c r="X6078">
        <v>0.98696609999999996</v>
      </c>
      <c r="Y6078">
        <v>0.53137049999999997</v>
      </c>
      <c r="Z6078">
        <v>0.10513939999999999</v>
      </c>
      <c r="AA6078">
        <v>0.84058980000000005</v>
      </c>
      <c r="AB6078">
        <v>23</v>
      </c>
      <c r="AC6078">
        <v>1.0047999999999799</v>
      </c>
      <c r="AD6078">
        <v>-1.1062889999999901</v>
      </c>
      <c r="AE6078">
        <v>-4.9441529999999903</v>
      </c>
      <c r="AF6078">
        <v>2.64725221915727</v>
      </c>
      <c r="AG6078">
        <v>-1.1062889999999901</v>
      </c>
      <c r="AH6078">
        <v>4.0205023492460796</v>
      </c>
      <c r="AI6078">
        <v>102.94283716725801</v>
      </c>
      <c r="AJ6078">
        <v>56.637567190034297</v>
      </c>
      <c r="AK6078">
        <v>4.9392569080426796</v>
      </c>
      <c r="AL6078">
        <v>89.381331676436801</v>
      </c>
      <c r="AM6078">
        <v>80.759706727383502</v>
      </c>
      <c r="AN6078">
        <v>1.0000000554274999</v>
      </c>
    </row>
    <row r="6079" spans="1:40" x14ac:dyDescent="0.25">
      <c r="A6079" t="str">
        <f>"20190312154416999"</f>
        <v>20190312154416999</v>
      </c>
      <c r="B6079" t="str">
        <f>"1552376656993481"</f>
        <v>1552376656993481</v>
      </c>
      <c r="C6079" t="s">
        <v>40</v>
      </c>
      <c r="D6079">
        <v>5.3726589999999996</v>
      </c>
      <c r="E6079">
        <v>0.66367670000000001</v>
      </c>
      <c r="F6079" t="s">
        <v>42</v>
      </c>
      <c r="G6079">
        <v>-309.52960000000002</v>
      </c>
      <c r="H6079">
        <v>-0.05</v>
      </c>
      <c r="I6079">
        <v>8.1485140000000005</v>
      </c>
      <c r="J6079">
        <v>-310.44200000000001</v>
      </c>
      <c r="K6079">
        <v>1.056295</v>
      </c>
      <c r="L6079">
        <v>12.95233</v>
      </c>
      <c r="M6079">
        <v>0.70016999999999996</v>
      </c>
      <c r="N6079">
        <v>0</v>
      </c>
      <c r="O6079">
        <v>-0.71383379999999996</v>
      </c>
      <c r="P6079">
        <v>0.57654119999999998</v>
      </c>
      <c r="Q6079">
        <v>-1.211754E-3</v>
      </c>
      <c r="R6079">
        <v>-0.81706759999999901</v>
      </c>
      <c r="S6079">
        <v>0.68719479999999999</v>
      </c>
      <c r="T6079">
        <v>-0.71113709999999997</v>
      </c>
      <c r="U6079">
        <v>-3.1966549999999998</v>
      </c>
      <c r="V6079">
        <v>0.16067310000000001</v>
      </c>
      <c r="W6079">
        <v>1.120145E-2</v>
      </c>
      <c r="X6079">
        <v>0.98694409999999999</v>
      </c>
      <c r="Y6079">
        <v>0.53471309999999905</v>
      </c>
      <c r="Z6079">
        <v>0.109148</v>
      </c>
      <c r="AA6079">
        <v>0.83795499999999901</v>
      </c>
      <c r="AB6079">
        <v>23</v>
      </c>
      <c r="AC6079">
        <v>0.91239999999999</v>
      </c>
      <c r="AD6079">
        <v>-1.106295</v>
      </c>
      <c r="AE6079">
        <v>-4.8038159999999896</v>
      </c>
      <c r="AF6079">
        <v>2.5803743184294801</v>
      </c>
      <c r="AG6079">
        <v>-1.106295</v>
      </c>
      <c r="AH6079">
        <v>3.8702594112830799</v>
      </c>
      <c r="AI6079">
        <v>103.37821575206701</v>
      </c>
      <c r="AJ6079">
        <v>56.307868603777202</v>
      </c>
      <c r="AK6079">
        <v>4.7813312122107501</v>
      </c>
      <c r="AL6079">
        <v>89.358190760208501</v>
      </c>
      <c r="AM6079">
        <v>80.753447178402396</v>
      </c>
      <c r="AN6079">
        <v>0.99999998703526105</v>
      </c>
    </row>
    <row r="6080" spans="1:40" x14ac:dyDescent="0.25">
      <c r="A6080" t="str">
        <f>"20190312154417021"</f>
        <v>20190312154417021</v>
      </c>
      <c r="B6080" t="str">
        <f>"1552376657013980"</f>
        <v>1552376657013980</v>
      </c>
      <c r="C6080" t="s">
        <v>40</v>
      </c>
      <c r="D6080">
        <v>5.3755540000000002</v>
      </c>
      <c r="E6080">
        <v>0.66370260000000003</v>
      </c>
      <c r="F6080" t="s">
        <v>42</v>
      </c>
      <c r="G6080">
        <v>-309.4076</v>
      </c>
      <c r="H6080">
        <v>-0.05</v>
      </c>
      <c r="I6080">
        <v>7.9737089999999897</v>
      </c>
      <c r="J6080">
        <v>-310.28620000000001</v>
      </c>
      <c r="K6080">
        <v>1.0563020000000001</v>
      </c>
      <c r="L6080">
        <v>12.781890000000001</v>
      </c>
      <c r="M6080">
        <v>0.6951155</v>
      </c>
      <c r="N6080">
        <v>0</v>
      </c>
      <c r="O6080">
        <v>-0.71875690000000003</v>
      </c>
      <c r="P6080">
        <v>0.5711581</v>
      </c>
      <c r="Q6080">
        <v>-1.4223679999999901E-3</v>
      </c>
      <c r="R6080">
        <v>-0.82083899999999999</v>
      </c>
      <c r="S6080">
        <v>0.66516109999999995</v>
      </c>
      <c r="T6080">
        <v>-0.71135019999999904</v>
      </c>
      <c r="U6080">
        <v>-3.201263</v>
      </c>
      <c r="V6080">
        <v>0.16019269999999999</v>
      </c>
      <c r="W6080">
        <v>1.097878E-2</v>
      </c>
      <c r="X6080">
        <v>0.98702469999999998</v>
      </c>
      <c r="Y6080">
        <v>0.53456590000000004</v>
      </c>
      <c r="Z6080">
        <v>0.1105488</v>
      </c>
      <c r="AA6080">
        <v>0.83786530000000004</v>
      </c>
      <c r="AB6080">
        <v>23</v>
      </c>
      <c r="AC6080">
        <v>0.87860000000000504</v>
      </c>
      <c r="AD6080">
        <v>-1.1063019999999999</v>
      </c>
      <c r="AE6080">
        <v>-4.8081809999999896</v>
      </c>
      <c r="AF6080">
        <v>2.57890029791802</v>
      </c>
      <c r="AG6080">
        <v>-1.1063019999999999</v>
      </c>
      <c r="AH6080">
        <v>3.8688544384824999</v>
      </c>
      <c r="AI6080">
        <v>103.383807891308</v>
      </c>
      <c r="AJ6080">
        <v>56.313377471041299</v>
      </c>
      <c r="AK6080">
        <v>4.77940012218808</v>
      </c>
      <c r="AL6080">
        <v>89.370949602259799</v>
      </c>
      <c r="AM6080">
        <v>80.781358138106299</v>
      </c>
      <c r="AN6080">
        <v>0.99999999657683403</v>
      </c>
    </row>
    <row r="6081" spans="1:40" x14ac:dyDescent="0.25">
      <c r="A6081" t="str">
        <f>"20190312154417043"</f>
        <v>20190312154417043</v>
      </c>
      <c r="B6081" t="str">
        <f>"1552376657033497"</f>
        <v>1552376657033497</v>
      </c>
      <c r="C6081" t="s">
        <v>40</v>
      </c>
      <c r="D6081">
        <v>5.3989510000000003</v>
      </c>
      <c r="E6081">
        <v>0.66340710000000003</v>
      </c>
      <c r="F6081" t="s">
        <v>42</v>
      </c>
      <c r="G6081">
        <v>-309.29430000000002</v>
      </c>
      <c r="H6081">
        <v>-0.05</v>
      </c>
      <c r="I6081">
        <v>7.84750399999999</v>
      </c>
      <c r="J6081">
        <v>-310.13729999999998</v>
      </c>
      <c r="K6081">
        <v>1.0563009999999999</v>
      </c>
      <c r="L6081">
        <v>12.61664</v>
      </c>
      <c r="M6081">
        <v>0.69021529999999998</v>
      </c>
      <c r="N6081">
        <v>0</v>
      </c>
      <c r="O6081">
        <v>-0.72346429999999995</v>
      </c>
      <c r="P6081">
        <v>0.56566240000000001</v>
      </c>
      <c r="Q6081">
        <v>-1.2772910000000001E-3</v>
      </c>
      <c r="R6081">
        <v>-0.82463619999999904</v>
      </c>
      <c r="S6081">
        <v>0.64431759999999905</v>
      </c>
      <c r="T6081">
        <v>-0.71861989999999998</v>
      </c>
      <c r="U6081">
        <v>-3.2052309999999999</v>
      </c>
      <c r="V6081">
        <v>0.16007939999999901</v>
      </c>
      <c r="W6081">
        <v>1.1109900000000001E-2</v>
      </c>
      <c r="X6081">
        <v>0.98704159999999996</v>
      </c>
      <c r="Y6081">
        <v>0.53430769999999905</v>
      </c>
      <c r="Z6081">
        <v>0.11298270000000001</v>
      </c>
      <c r="AA6081">
        <v>0.83770529999999999</v>
      </c>
      <c r="AB6081">
        <v>22</v>
      </c>
      <c r="AC6081">
        <v>0.84299999999996</v>
      </c>
      <c r="AD6081">
        <v>-1.106301</v>
      </c>
      <c r="AE6081">
        <v>-4.7691359999999996</v>
      </c>
      <c r="AF6081">
        <v>2.5491085522244301</v>
      </c>
      <c r="AG6081">
        <v>-1.106301</v>
      </c>
      <c r="AH6081">
        <v>3.8325745519646901</v>
      </c>
      <c r="AI6081">
        <v>103.514654999911</v>
      </c>
      <c r="AJ6081">
        <v>56.371466069872099</v>
      </c>
      <c r="AK6081">
        <v>4.73397127262007</v>
      </c>
      <c r="AL6081">
        <v>89.363436512211905</v>
      </c>
      <c r="AM6081">
        <v>80.787921434449601</v>
      </c>
      <c r="AN6081">
        <v>0.99999998215646402</v>
      </c>
    </row>
    <row r="6082" spans="1:40" x14ac:dyDescent="0.25">
      <c r="A6082" t="str">
        <f>"20190312154417065"</f>
        <v>20190312154417065</v>
      </c>
      <c r="B6082" t="str">
        <f>"1552376657053993"</f>
        <v>1552376657053993</v>
      </c>
      <c r="C6082" t="s">
        <v>40</v>
      </c>
      <c r="D6082">
        <v>5.392722</v>
      </c>
      <c r="E6082">
        <v>0.66302680000000003</v>
      </c>
      <c r="F6082" t="s">
        <v>42</v>
      </c>
      <c r="G6082">
        <v>-309.17590000000001</v>
      </c>
      <c r="H6082">
        <v>-0.05</v>
      </c>
      <c r="I6082">
        <v>7.681152</v>
      </c>
      <c r="J6082">
        <v>-309.98750000000001</v>
      </c>
      <c r="K6082">
        <v>1.0563070000000001</v>
      </c>
      <c r="L6082">
        <v>12.448</v>
      </c>
      <c r="M6082">
        <v>0.68521259999999995</v>
      </c>
      <c r="N6082">
        <v>0</v>
      </c>
      <c r="O6082">
        <v>-0.72820469999999904</v>
      </c>
      <c r="P6082">
        <v>0.56034819999999996</v>
      </c>
      <c r="Q6082">
        <v>-1.282699E-3</v>
      </c>
      <c r="R6082">
        <v>-0.82825649999999995</v>
      </c>
      <c r="S6082">
        <v>0.62493900000000002</v>
      </c>
      <c r="T6082">
        <v>-0.71911780000000003</v>
      </c>
      <c r="U6082">
        <v>-3.2081599999999999</v>
      </c>
      <c r="V6082">
        <v>0.1596225</v>
      </c>
      <c r="W6082">
        <v>1.109607E-2</v>
      </c>
      <c r="X6082">
        <v>0.98711570000000004</v>
      </c>
      <c r="Y6082">
        <v>0.5335491</v>
      </c>
      <c r="Z6082">
        <v>0.11448460000000001</v>
      </c>
      <c r="AA6082">
        <v>0.83798479999999997</v>
      </c>
      <c r="AB6082">
        <v>22</v>
      </c>
      <c r="AC6082">
        <v>0.81159999999999799</v>
      </c>
      <c r="AD6082">
        <v>-1.1063069999999999</v>
      </c>
      <c r="AE6082">
        <v>-4.7668480000000004</v>
      </c>
      <c r="AF6082">
        <v>2.5424762274222501</v>
      </c>
      <c r="AG6082">
        <v>-1.1063069999999999</v>
      </c>
      <c r="AH6082">
        <v>3.8274180661811998</v>
      </c>
      <c r="AI6082">
        <v>103.537293234873</v>
      </c>
      <c r="AJ6082">
        <v>56.404717902729097</v>
      </c>
      <c r="AK6082">
        <v>4.7262278403169002</v>
      </c>
      <c r="AL6082">
        <v>89.364228931868297</v>
      </c>
      <c r="AM6082">
        <v>80.814443553942098</v>
      </c>
      <c r="AN6082">
        <v>0.99999993523108999</v>
      </c>
    </row>
    <row r="6083" spans="1:40" x14ac:dyDescent="0.25">
      <c r="A6083" t="str">
        <f>"20190312154417087"</f>
        <v>20190312154417087</v>
      </c>
      <c r="B6083" t="str">
        <f>"1552376657084249"</f>
        <v>1552376657084249</v>
      </c>
      <c r="C6083" t="s">
        <v>40</v>
      </c>
      <c r="D6083">
        <v>5.4027710000000004</v>
      </c>
      <c r="E6083">
        <v>0.66249950000000002</v>
      </c>
      <c r="F6083" t="s">
        <v>42</v>
      </c>
      <c r="G6083">
        <v>-309.05590000000001</v>
      </c>
      <c r="H6083">
        <v>-0.05</v>
      </c>
      <c r="I6083">
        <v>7.5191189999999999</v>
      </c>
      <c r="J6083">
        <v>-309.8433</v>
      </c>
      <c r="K6083">
        <v>1.0563089999999999</v>
      </c>
      <c r="L6083">
        <v>12.2836</v>
      </c>
      <c r="M6083">
        <v>0.68033369999999904</v>
      </c>
      <c r="N6083">
        <v>0</v>
      </c>
      <c r="O6083">
        <v>-0.73276529999999995</v>
      </c>
      <c r="P6083">
        <v>0.55493619999999899</v>
      </c>
      <c r="Q6083">
        <v>-1.392487E-3</v>
      </c>
      <c r="R6083">
        <v>-0.83189179999999996</v>
      </c>
      <c r="S6083">
        <v>0.60678100000000001</v>
      </c>
      <c r="T6083">
        <v>-0.72059580000000001</v>
      </c>
      <c r="U6083">
        <v>-3.2104490000000001</v>
      </c>
      <c r="V6083">
        <v>0.15946340000000001</v>
      </c>
      <c r="W6083">
        <v>1.097735E-2</v>
      </c>
      <c r="X6083">
        <v>0.98714279999999999</v>
      </c>
      <c r="Y6083">
        <v>0.53263380000000005</v>
      </c>
      <c r="Z6083">
        <v>0.1161182</v>
      </c>
      <c r="AA6083">
        <v>0.83834229999999998</v>
      </c>
      <c r="AB6083">
        <v>22</v>
      </c>
      <c r="AC6083">
        <v>0.78739999999999</v>
      </c>
      <c r="AD6083">
        <v>-1.106309</v>
      </c>
      <c r="AE6083">
        <v>-4.764481</v>
      </c>
      <c r="AF6083">
        <v>2.5318464489000498</v>
      </c>
      <c r="AG6083">
        <v>-1.106309</v>
      </c>
      <c r="AH6083">
        <v>3.8265186031705598</v>
      </c>
      <c r="AI6083">
        <v>103.55613756455701</v>
      </c>
      <c r="AJ6083">
        <v>56.509069383681201</v>
      </c>
      <c r="AK6083">
        <v>4.7197892606237399</v>
      </c>
      <c r="AL6083">
        <v>89.371031537832195</v>
      </c>
      <c r="AM6083">
        <v>80.823690837784596</v>
      </c>
      <c r="AN6083">
        <v>0.99999999287221097</v>
      </c>
    </row>
    <row r="6084" spans="1:40" x14ac:dyDescent="0.25">
      <c r="A6084" t="str">
        <f>"20190312154417111"</f>
        <v>20190312154417111</v>
      </c>
      <c r="B6084" t="str">
        <f>"1552376657103769"</f>
        <v>1552376657103769</v>
      </c>
      <c r="C6084" t="s">
        <v>40</v>
      </c>
      <c r="D6084">
        <v>5.4523830000000002</v>
      </c>
      <c r="E6084">
        <v>0.6623173</v>
      </c>
      <c r="F6084" t="s">
        <v>42</v>
      </c>
      <c r="G6084">
        <v>-308.94310000000002</v>
      </c>
      <c r="H6084">
        <v>-0.05</v>
      </c>
      <c r="I6084">
        <v>7.3739780000000001</v>
      </c>
      <c r="J6084">
        <v>-309.68799999999999</v>
      </c>
      <c r="K6084">
        <v>1.0563119999999999</v>
      </c>
      <c r="L6084">
        <v>12.103910000000001</v>
      </c>
      <c r="M6084">
        <v>0.67499880000000001</v>
      </c>
      <c r="N6084">
        <v>0</v>
      </c>
      <c r="O6084">
        <v>-0.73768269999999903</v>
      </c>
      <c r="P6084">
        <v>0.54891299999999998</v>
      </c>
      <c r="Q6084">
        <v>-1.43117299999999E-3</v>
      </c>
      <c r="R6084">
        <v>-0.83587829999999996</v>
      </c>
      <c r="S6084">
        <v>0.58895869999999995</v>
      </c>
      <c r="T6084">
        <v>-0.72381019999999996</v>
      </c>
      <c r="U6084">
        <v>-3.2121580000000001</v>
      </c>
      <c r="V6084">
        <v>0.1594296</v>
      </c>
      <c r="W6084">
        <v>1.0928240000000001E-2</v>
      </c>
      <c r="X6084">
        <v>0.98714880000000005</v>
      </c>
      <c r="Y6084">
        <v>0.53112789999999999</v>
      </c>
      <c r="Z6084">
        <v>0.1182039</v>
      </c>
      <c r="AA6084">
        <v>0.83900589999999997</v>
      </c>
      <c r="AB6084">
        <v>22</v>
      </c>
      <c r="AC6084">
        <v>0.74489999999997203</v>
      </c>
      <c r="AD6084">
        <v>-1.106312</v>
      </c>
      <c r="AE6084">
        <v>-4.7299319999999998</v>
      </c>
      <c r="AF6084">
        <v>2.50949872057818</v>
      </c>
      <c r="AG6084">
        <v>-1.106312</v>
      </c>
      <c r="AH6084">
        <v>3.79007009167151</v>
      </c>
      <c r="AI6084">
        <v>103.678835025813</v>
      </c>
      <c r="AJ6084">
        <v>56.490476569431998</v>
      </c>
      <c r="AK6084">
        <v>4.6782626443702799</v>
      </c>
      <c r="AL6084">
        <v>89.373845499678296</v>
      </c>
      <c r="AM6084">
        <v>80.825657591368795</v>
      </c>
      <c r="AN6084">
        <v>0.99999998856354799</v>
      </c>
    </row>
    <row r="6085" spans="1:40" x14ac:dyDescent="0.25">
      <c r="A6085" t="str">
        <f>"20190312154417134"</f>
        <v>20190312154417134</v>
      </c>
      <c r="B6085" t="str">
        <f>"1552376657123289"</f>
        <v>1552376657123289</v>
      </c>
      <c r="C6085" t="s">
        <v>40</v>
      </c>
      <c r="D6085">
        <v>5.5415210000000004</v>
      </c>
      <c r="E6085">
        <v>0.63764860000000001</v>
      </c>
      <c r="F6085" t="s">
        <v>42</v>
      </c>
      <c r="G6085">
        <v>-308.8236</v>
      </c>
      <c r="H6085">
        <v>-0.05</v>
      </c>
      <c r="I6085">
        <v>7.2017670000000003</v>
      </c>
      <c r="J6085">
        <v>-309.54169999999999</v>
      </c>
      <c r="K6085">
        <v>1.056319</v>
      </c>
      <c r="L6085">
        <v>11.931950000000001</v>
      </c>
      <c r="M6085">
        <v>0.66989100000000001</v>
      </c>
      <c r="N6085">
        <v>0</v>
      </c>
      <c r="O6085">
        <v>-0.74232449999999905</v>
      </c>
      <c r="P6085">
        <v>0.54308080000000003</v>
      </c>
      <c r="Q6085">
        <v>-1.844423E-3</v>
      </c>
      <c r="R6085">
        <v>-0.83967890000000001</v>
      </c>
      <c r="S6085">
        <v>0.56698609999999905</v>
      </c>
      <c r="T6085">
        <v>-0.72565900000000005</v>
      </c>
      <c r="U6085">
        <v>-3.2154539999999998</v>
      </c>
      <c r="V6085">
        <v>0.15948270000000001</v>
      </c>
      <c r="W6085">
        <v>1.050626E-2</v>
      </c>
      <c r="X6085">
        <v>0.98714480000000004</v>
      </c>
      <c r="Y6085">
        <v>0.53102800000000006</v>
      </c>
      <c r="Z6085">
        <v>0.1198462</v>
      </c>
      <c r="AA6085">
        <v>0.83883629999999998</v>
      </c>
      <c r="AB6085">
        <v>22</v>
      </c>
      <c r="AC6085">
        <v>0.71809999999999197</v>
      </c>
      <c r="AD6085">
        <v>-1.1063190000000001</v>
      </c>
      <c r="AE6085">
        <v>-4.7301830000000002</v>
      </c>
      <c r="AF6085">
        <v>2.5021198385856001</v>
      </c>
      <c r="AG6085">
        <v>-1.1063190000000001</v>
      </c>
      <c r="AH6085">
        <v>3.7901221161243899</v>
      </c>
      <c r="AI6085">
        <v>103.690588654663</v>
      </c>
      <c r="AJ6085">
        <v>56.568458003737298</v>
      </c>
      <c r="AK6085">
        <v>4.6743524761767699</v>
      </c>
      <c r="AL6085">
        <v>89.398024559443698</v>
      </c>
      <c r="AM6085">
        <v>80.822617396056899</v>
      </c>
      <c r="AN6085">
        <v>0.99999998463275797</v>
      </c>
    </row>
    <row r="6086" spans="1:40" x14ac:dyDescent="0.25">
      <c r="A6086" t="str">
        <f>"20190312154417156"</f>
        <v>20190312154417156</v>
      </c>
      <c r="B6086" t="str">
        <f>"1552376657143785"</f>
        <v>1552376657143785</v>
      </c>
      <c r="C6086" t="s">
        <v>40</v>
      </c>
      <c r="D6086">
        <v>5.5025110000000002</v>
      </c>
      <c r="E6086">
        <v>0.63268459999999904</v>
      </c>
      <c r="F6086" t="s">
        <v>42</v>
      </c>
      <c r="G6086">
        <v>-308.43579999999997</v>
      </c>
      <c r="H6086">
        <v>-0.05</v>
      </c>
      <c r="I6086">
        <v>7.0779719999999999</v>
      </c>
      <c r="J6086">
        <v>-309.3954</v>
      </c>
      <c r="K6086">
        <v>1.056325</v>
      </c>
      <c r="L6086">
        <v>11.75775</v>
      </c>
      <c r="M6086">
        <v>0.66471329999999995</v>
      </c>
      <c r="N6086">
        <v>0</v>
      </c>
      <c r="O6086">
        <v>-0.74696470000000004</v>
      </c>
      <c r="P6086">
        <v>0.53733160000000002</v>
      </c>
      <c r="Q6086">
        <v>-1.866597E-3</v>
      </c>
      <c r="R6086">
        <v>-0.84336889999999998</v>
      </c>
      <c r="S6086">
        <v>0.70913700000000002</v>
      </c>
      <c r="T6086">
        <v>-0.70942059999999996</v>
      </c>
      <c r="U6086">
        <v>-3.1125790000000002</v>
      </c>
      <c r="V6086">
        <v>0.1593619</v>
      </c>
      <c r="W6086">
        <v>1.047765E-2</v>
      </c>
      <c r="X6086">
        <v>0.98716459999999995</v>
      </c>
      <c r="Y6086">
        <v>0.48333939999999997</v>
      </c>
      <c r="Z6086">
        <v>0.12546499999999999</v>
      </c>
      <c r="AA6086">
        <v>0.86639569999999999</v>
      </c>
      <c r="AB6086">
        <v>22</v>
      </c>
      <c r="AC6086">
        <v>0.95960000000002299</v>
      </c>
      <c r="AD6086">
        <v>-1.106325</v>
      </c>
      <c r="AE6086">
        <v>-4.6797779999999998</v>
      </c>
      <c r="AF6086">
        <v>2.27229398648918</v>
      </c>
      <c r="AG6086">
        <v>-1.106325</v>
      </c>
      <c r="AH6086">
        <v>3.9234754882636298</v>
      </c>
      <c r="AI6086">
        <v>103.712639263222</v>
      </c>
      <c r="AJ6086">
        <v>59.922578652763796</v>
      </c>
      <c r="AK6086">
        <v>4.6670049146819403</v>
      </c>
      <c r="AL6086">
        <v>89.399663874312594</v>
      </c>
      <c r="AM6086">
        <v>80.829631449752398</v>
      </c>
      <c r="AN6086">
        <v>0.99999997190714496</v>
      </c>
    </row>
    <row r="6087" spans="1:40" x14ac:dyDescent="0.25">
      <c r="A6087" t="str">
        <f>"20190312154417177"</f>
        <v>20190312154417177</v>
      </c>
      <c r="B6087" t="str">
        <f>"1552376657174042"</f>
        <v>1552376657174042</v>
      </c>
      <c r="C6087" t="s">
        <v>40</v>
      </c>
      <c r="D6087">
        <v>5.6077079999999997</v>
      </c>
      <c r="E6087">
        <v>0.62952050000000004</v>
      </c>
      <c r="F6087" t="s">
        <v>42</v>
      </c>
      <c r="G6087">
        <v>-308.30759999999998</v>
      </c>
      <c r="H6087">
        <v>-0.05</v>
      </c>
      <c r="I6087">
        <v>7.0865780000000003</v>
      </c>
      <c r="J6087">
        <v>-309.25240000000002</v>
      </c>
      <c r="K6087">
        <v>1.0563359999999999</v>
      </c>
      <c r="L6087">
        <v>11.58508</v>
      </c>
      <c r="M6087">
        <v>0.65957829999999995</v>
      </c>
      <c r="N6087">
        <v>0</v>
      </c>
      <c r="O6087">
        <v>-0.75150309999999998</v>
      </c>
      <c r="P6087">
        <v>0.53161539999999996</v>
      </c>
      <c r="Q6087">
        <v>-1.7585539999999901E-3</v>
      </c>
      <c r="R6087">
        <v>-0.84698430000000002</v>
      </c>
      <c r="S6087">
        <v>0.72106930000000002</v>
      </c>
      <c r="T6087">
        <v>-0.73329840000000002</v>
      </c>
      <c r="U6087">
        <v>-3.0961609999999999</v>
      </c>
      <c r="V6087">
        <v>0.15927349999999901</v>
      </c>
      <c r="W6087">
        <v>1.0581119999999999E-2</v>
      </c>
      <c r="X6087">
        <v>0.98717779999999999</v>
      </c>
      <c r="Y6087">
        <v>0.4733735</v>
      </c>
      <c r="Z6087">
        <v>0.1322507</v>
      </c>
      <c r="AA6087">
        <v>0.87087729999999997</v>
      </c>
      <c r="AB6087">
        <v>22</v>
      </c>
      <c r="AC6087">
        <v>0.94480000000004305</v>
      </c>
      <c r="AD6087">
        <v>-1.106336</v>
      </c>
      <c r="AE6087">
        <v>-4.4985019999999896</v>
      </c>
      <c r="AF6087">
        <v>2.1337165788230998</v>
      </c>
      <c r="AG6087">
        <v>-1.106336</v>
      </c>
      <c r="AH6087">
        <v>3.7849510815015401</v>
      </c>
      <c r="AI6087">
        <v>104.285410550959</v>
      </c>
      <c r="AJ6087">
        <v>60.588439713743199</v>
      </c>
      <c r="AK6087">
        <v>4.4835901321374498</v>
      </c>
      <c r="AL6087">
        <v>89.393735173274905</v>
      </c>
      <c r="AM6087">
        <v>80.834752480010096</v>
      </c>
      <c r="AN6087">
        <v>1.00000000835777</v>
      </c>
    </row>
    <row r="6088" spans="1:40" x14ac:dyDescent="0.25">
      <c r="A6088" t="str">
        <f>"20190312154417200"</f>
        <v>20190312154417200</v>
      </c>
      <c r="B6088" t="str">
        <f>"1552376657193561"</f>
        <v>1552376657193561</v>
      </c>
      <c r="C6088" t="s">
        <v>40</v>
      </c>
      <c r="D6088">
        <v>5.5265409999999999</v>
      </c>
      <c r="E6088">
        <v>0.6280538</v>
      </c>
      <c r="F6088" t="s">
        <v>42</v>
      </c>
      <c r="G6088">
        <v>-308.12670000000003</v>
      </c>
      <c r="H6088">
        <v>-0.05</v>
      </c>
      <c r="I6088">
        <v>6.7671359999999998</v>
      </c>
      <c r="J6088">
        <v>-309.11149999999998</v>
      </c>
      <c r="K6088">
        <v>1.0563450000000001</v>
      </c>
      <c r="L6088">
        <v>11.412599999999999</v>
      </c>
      <c r="M6088">
        <v>0.65444729999999995</v>
      </c>
      <c r="N6088">
        <v>0</v>
      </c>
      <c r="O6088">
        <v>-0.75597559999999997</v>
      </c>
      <c r="P6088">
        <v>0.5262675</v>
      </c>
      <c r="Q6088">
        <v>-1.8215499999999999E-3</v>
      </c>
      <c r="R6088">
        <v>-0.85031699999999999</v>
      </c>
      <c r="S6088">
        <v>0.72140499999999996</v>
      </c>
      <c r="T6088">
        <v>-0.70902419999999899</v>
      </c>
      <c r="U6088">
        <v>-3.0877080000000001</v>
      </c>
      <c r="V6088">
        <v>0.15877289999999999</v>
      </c>
      <c r="W6088">
        <v>1.051913E-2</v>
      </c>
      <c r="X6088">
        <v>0.98725909999999995</v>
      </c>
      <c r="Y6088">
        <v>0.46676709999999899</v>
      </c>
      <c r="Z6088">
        <v>0.1301832</v>
      </c>
      <c r="AA6088">
        <v>0.87474609999999997</v>
      </c>
      <c r="AB6088">
        <v>22</v>
      </c>
      <c r="AC6088">
        <v>0.98479999999995005</v>
      </c>
      <c r="AD6088">
        <v>-1.1063449999999999</v>
      </c>
      <c r="AE6088">
        <v>-4.6454639999999996</v>
      </c>
      <c r="AF6088">
        <v>2.17774981434364</v>
      </c>
      <c r="AG6088">
        <v>-1.1063449999999999</v>
      </c>
      <c r="AH6088">
        <v>3.9427630346115401</v>
      </c>
      <c r="AI6088">
        <v>103.800037048975</v>
      </c>
      <c r="AJ6088">
        <v>61.086328096223802</v>
      </c>
      <c r="AK6088">
        <v>4.6381002425559901</v>
      </c>
      <c r="AL6088">
        <v>89.397287136204994</v>
      </c>
      <c r="AM6088">
        <v>80.863812132104798</v>
      </c>
      <c r="AN6088">
        <v>1.0000000082015801</v>
      </c>
    </row>
    <row r="6089" spans="1:40" x14ac:dyDescent="0.25">
      <c r="A6089" t="str">
        <f>"20190312154417222"</f>
        <v>20190312154417222</v>
      </c>
      <c r="B6089" t="str">
        <f>"1552376657214061"</f>
        <v>1552376657214061</v>
      </c>
      <c r="C6089" t="s">
        <v>40</v>
      </c>
      <c r="D6089">
        <v>5.5786379999999998</v>
      </c>
      <c r="E6089">
        <v>0.62726179999999998</v>
      </c>
      <c r="F6089" t="s">
        <v>42</v>
      </c>
      <c r="G6089">
        <v>-307.97050000000002</v>
      </c>
      <c r="H6089">
        <v>-0.05</v>
      </c>
      <c r="I6089">
        <v>6.4653019999999897</v>
      </c>
      <c r="J6089">
        <v>-308.97089999999997</v>
      </c>
      <c r="K6089">
        <v>1.0563560000000001</v>
      </c>
      <c r="L6089">
        <v>11.238099999999999</v>
      </c>
      <c r="M6089">
        <v>0.64925359999999999</v>
      </c>
      <c r="N6089">
        <v>0</v>
      </c>
      <c r="O6089">
        <v>-0.76044089999999998</v>
      </c>
      <c r="P6089">
        <v>0.52092020000000006</v>
      </c>
      <c r="Q6089">
        <v>-1.6380469999999999E-3</v>
      </c>
      <c r="R6089">
        <v>-0.85360400000000003</v>
      </c>
      <c r="S6089">
        <v>0.71176149999999905</v>
      </c>
      <c r="T6089">
        <v>-0.69013800000000003</v>
      </c>
      <c r="U6089">
        <v>-3.0861209999999999</v>
      </c>
      <c r="V6089">
        <v>0.1582083</v>
      </c>
      <c r="W6089">
        <v>1.0705569999999999E-2</v>
      </c>
      <c r="X6089">
        <v>0.98734770000000005</v>
      </c>
      <c r="Y6089">
        <v>0.46319929999999898</v>
      </c>
      <c r="Z6089">
        <v>0.1285046</v>
      </c>
      <c r="AA6089">
        <v>0.87688820000000001</v>
      </c>
      <c r="AB6089">
        <v>22</v>
      </c>
      <c r="AC6089">
        <v>1.00039999999995</v>
      </c>
      <c r="AD6089">
        <v>-1.1063559999999999</v>
      </c>
      <c r="AE6089">
        <v>-4.7727979999999999</v>
      </c>
      <c r="AF6089">
        <v>2.2237819497756699</v>
      </c>
      <c r="AG6089">
        <v>-1.1063559999999999</v>
      </c>
      <c r="AH6089">
        <v>4.0698858253064802</v>
      </c>
      <c r="AI6089">
        <v>103.417259914303</v>
      </c>
      <c r="AJ6089">
        <v>61.347847381974702</v>
      </c>
      <c r="AK6089">
        <v>4.7679346041986301</v>
      </c>
      <c r="AL6089">
        <v>89.386604291075798</v>
      </c>
      <c r="AM6089">
        <v>80.896558857562894</v>
      </c>
      <c r="AN6089">
        <v>0.99999997805660201</v>
      </c>
    </row>
    <row r="6090" spans="1:40" x14ac:dyDescent="0.25">
      <c r="A6090" t="str">
        <f>"20190312154417244"</f>
        <v>20190312154417244</v>
      </c>
      <c r="B6090" t="str">
        <f>"1552376657233577"</f>
        <v>1552376657233577</v>
      </c>
      <c r="C6090" t="s">
        <v>40</v>
      </c>
      <c r="D6090">
        <v>5.5822529999999997</v>
      </c>
      <c r="E6090">
        <v>0.62656529999999999</v>
      </c>
      <c r="F6090" t="s">
        <v>42</v>
      </c>
      <c r="G6090">
        <v>-307.83339999999998</v>
      </c>
      <c r="H6090">
        <v>-0.05</v>
      </c>
      <c r="I6090">
        <v>6.2025600000000001</v>
      </c>
      <c r="J6090">
        <v>-308.83260000000001</v>
      </c>
      <c r="K6090">
        <v>1.056368</v>
      </c>
      <c r="L6090">
        <v>11.06396</v>
      </c>
      <c r="M6090">
        <v>0.64407060000000005</v>
      </c>
      <c r="N6090">
        <v>0</v>
      </c>
      <c r="O6090">
        <v>-0.76483599999999996</v>
      </c>
      <c r="P6090">
        <v>0.51555249999999997</v>
      </c>
      <c r="Q6090">
        <v>-1.8700889999999999E-3</v>
      </c>
      <c r="R6090">
        <v>-0.85685630000000002</v>
      </c>
      <c r="S6090">
        <v>0.69747919999999997</v>
      </c>
      <c r="T6090">
        <v>-0.67837119999999995</v>
      </c>
      <c r="U6090">
        <v>-3.0875849999999998</v>
      </c>
      <c r="V6090">
        <v>0.1576919</v>
      </c>
      <c r="W6090">
        <v>1.04767E-2</v>
      </c>
      <c r="X6090">
        <v>0.9874328</v>
      </c>
      <c r="Y6090">
        <v>0.4611304</v>
      </c>
      <c r="Z6090">
        <v>0.12780999999999901</v>
      </c>
      <c r="AA6090">
        <v>0.87807939999999995</v>
      </c>
      <c r="AB6090">
        <v>22</v>
      </c>
      <c r="AC6090">
        <v>0.99920000000002995</v>
      </c>
      <c r="AD6090">
        <v>-1.106368</v>
      </c>
      <c r="AE6090">
        <v>-4.8613999999999997</v>
      </c>
      <c r="AF6090">
        <v>2.2550338835581898</v>
      </c>
      <c r="AG6090">
        <v>-1.106368</v>
      </c>
      <c r="AH6090">
        <v>4.1556509517341196</v>
      </c>
      <c r="AI6090">
        <v>103.17024699279</v>
      </c>
      <c r="AJ6090">
        <v>61.513849796110598</v>
      </c>
      <c r="AK6090">
        <v>4.85578652744005</v>
      </c>
      <c r="AL6090">
        <v>89.399718334486593</v>
      </c>
      <c r="AM6090">
        <v>80.926546816667695</v>
      </c>
      <c r="AN6090">
        <v>1.00000001554216</v>
      </c>
    </row>
    <row r="6091" spans="1:40" x14ac:dyDescent="0.25">
      <c r="A6091" t="str">
        <f>"20190312154417267"</f>
        <v>20190312154417267</v>
      </c>
      <c r="B6091" t="str">
        <f>"1552376657263834"</f>
        <v>1552376657263834</v>
      </c>
      <c r="C6091" t="s">
        <v>40</v>
      </c>
      <c r="D6091">
        <v>5.58413</v>
      </c>
      <c r="E6091">
        <v>0.62576160000000003</v>
      </c>
      <c r="F6091" t="s">
        <v>42</v>
      </c>
      <c r="G6091">
        <v>-307.7079</v>
      </c>
      <c r="H6091">
        <v>-0.05</v>
      </c>
      <c r="I6091">
        <v>5.9746860000000002</v>
      </c>
      <c r="J6091">
        <v>-308.69299999999998</v>
      </c>
      <c r="K6091">
        <v>1.056379</v>
      </c>
      <c r="L6091">
        <v>10.885680000000001</v>
      </c>
      <c r="M6091">
        <v>0.63876369999999905</v>
      </c>
      <c r="N6091">
        <v>0</v>
      </c>
      <c r="O6091">
        <v>-0.76927400000000001</v>
      </c>
      <c r="P6091">
        <v>0.50965680000000002</v>
      </c>
      <c r="Q6091">
        <v>-1.809813E-3</v>
      </c>
      <c r="R6091">
        <v>-0.86037619999999904</v>
      </c>
      <c r="S6091">
        <v>0.68264769999999997</v>
      </c>
      <c r="T6091">
        <v>-0.67151369999999999</v>
      </c>
      <c r="U6091">
        <v>-3.088959</v>
      </c>
      <c r="V6091">
        <v>0.15764049999999999</v>
      </c>
      <c r="W6091">
        <v>1.053487E-2</v>
      </c>
      <c r="X6091">
        <v>0.98744030000000005</v>
      </c>
      <c r="Y6091">
        <v>0.45911540000000001</v>
      </c>
      <c r="Z6091">
        <v>0.12798199999999901</v>
      </c>
      <c r="AA6091">
        <v>0.87910959999999905</v>
      </c>
      <c r="AB6091">
        <v>22</v>
      </c>
      <c r="AC6091">
        <v>0.98509999999998799</v>
      </c>
      <c r="AD6091">
        <v>-1.106379</v>
      </c>
      <c r="AE6091">
        <v>-4.9109939999999996</v>
      </c>
      <c r="AF6091">
        <v>2.2686976784076802</v>
      </c>
      <c r="AG6091">
        <v>-1.106379</v>
      </c>
      <c r="AH6091">
        <v>4.2025387481929402</v>
      </c>
      <c r="AI6091">
        <v>103.043244313394</v>
      </c>
      <c r="AJ6091">
        <v>61.638060693224503</v>
      </c>
      <c r="AK6091">
        <v>4.9022847303799599</v>
      </c>
      <c r="AL6091">
        <v>89.396385202494898</v>
      </c>
      <c r="AM6091">
        <v>80.929522901040301</v>
      </c>
      <c r="AN6091">
        <v>0.99999992839512497</v>
      </c>
    </row>
    <row r="6092" spans="1:40" x14ac:dyDescent="0.25">
      <c r="A6092" t="str">
        <f>"20190312154417290"</f>
        <v>20190312154417290</v>
      </c>
      <c r="B6092" t="str">
        <f>"1552376657283353"</f>
        <v>1552376657283353</v>
      </c>
      <c r="C6092" t="s">
        <v>40</v>
      </c>
      <c r="D6092">
        <v>5.6909530000000004</v>
      </c>
      <c r="E6092">
        <v>0.62467220000000001</v>
      </c>
      <c r="F6092" t="s">
        <v>42</v>
      </c>
      <c r="G6092">
        <v>-307.6096</v>
      </c>
      <c r="H6092">
        <v>-0.05</v>
      </c>
      <c r="I6092">
        <v>5.864471</v>
      </c>
      <c r="J6092">
        <v>-308.55540000000002</v>
      </c>
      <c r="K6092">
        <v>1.0563899999999999</v>
      </c>
      <c r="L6092">
        <v>10.70743</v>
      </c>
      <c r="M6092">
        <v>0.63345689999999999</v>
      </c>
      <c r="N6092">
        <v>0</v>
      </c>
      <c r="O6092">
        <v>-0.773649699999999</v>
      </c>
      <c r="P6092">
        <v>0.5037064</v>
      </c>
      <c r="Q6092">
        <v>-1.6436020000000001E-3</v>
      </c>
      <c r="R6092">
        <v>-0.86387359999999902</v>
      </c>
      <c r="S6092">
        <v>0.66680909999999904</v>
      </c>
      <c r="T6092">
        <v>-0.68095450000000002</v>
      </c>
      <c r="U6092">
        <v>-3.0904539999999998</v>
      </c>
      <c r="V6092">
        <v>0.15766479999999999</v>
      </c>
      <c r="W6092">
        <v>1.0698890000000001E-2</v>
      </c>
      <c r="X6092">
        <v>0.9874347</v>
      </c>
      <c r="Y6092">
        <v>0.4574783</v>
      </c>
      <c r="Z6092">
        <v>0.13110859999999999</v>
      </c>
      <c r="AA6092">
        <v>0.87950219999999901</v>
      </c>
      <c r="AB6092">
        <v>22</v>
      </c>
      <c r="AC6092">
        <v>0.94580000000001896</v>
      </c>
      <c r="AD6092">
        <v>-1.10639</v>
      </c>
      <c r="AE6092">
        <v>-4.8429589999999996</v>
      </c>
      <c r="AF6092">
        <v>2.22448705076228</v>
      </c>
      <c r="AG6092">
        <v>-1.10639</v>
      </c>
      <c r="AH6092">
        <v>4.1382637066057297</v>
      </c>
      <c r="AI6092">
        <v>103.251138953931</v>
      </c>
      <c r="AJ6092">
        <v>61.740140971651201</v>
      </c>
      <c r="AK6092">
        <v>4.8267657884466804</v>
      </c>
      <c r="AL6092">
        <v>89.386987044538301</v>
      </c>
      <c r="AM6092">
        <v>80.928097359515405</v>
      </c>
      <c r="AN6092">
        <v>0.99999997108518002</v>
      </c>
    </row>
    <row r="6093" spans="1:40" x14ac:dyDescent="0.25">
      <c r="A6093" t="str">
        <f>"20190312154417312"</f>
        <v>20190312154417312</v>
      </c>
      <c r="B6093" t="str">
        <f>"1552376657303848"</f>
        <v>1552376657303848</v>
      </c>
      <c r="C6093" t="s">
        <v>40</v>
      </c>
      <c r="D6093">
        <v>5.4516349999999996</v>
      </c>
      <c r="E6093">
        <v>0.59831299999999998</v>
      </c>
      <c r="F6093" t="s">
        <v>42</v>
      </c>
      <c r="G6093">
        <v>-307.50049999999999</v>
      </c>
      <c r="H6093">
        <v>-0.05</v>
      </c>
      <c r="I6093">
        <v>5.7204899999999999</v>
      </c>
      <c r="J6093">
        <v>-308.42090000000002</v>
      </c>
      <c r="K6093">
        <v>1.0564020000000001</v>
      </c>
      <c r="L6093">
        <v>10.5307</v>
      </c>
      <c r="M6093">
        <v>0.62819480000000005</v>
      </c>
      <c r="N6093">
        <v>0</v>
      </c>
      <c r="O6093">
        <v>-0.77792869999999903</v>
      </c>
      <c r="P6093">
        <v>0.49795210000000001</v>
      </c>
      <c r="Q6093">
        <v>-1.4176690000000001E-3</v>
      </c>
      <c r="R6093">
        <v>-0.86720370000000002</v>
      </c>
      <c r="S6093">
        <v>0.65365600000000001</v>
      </c>
      <c r="T6093">
        <v>-0.68560769999999904</v>
      </c>
      <c r="U6093">
        <v>-3.0903019999999999</v>
      </c>
      <c r="V6093">
        <v>0.15753399999999901</v>
      </c>
      <c r="W6093">
        <v>1.092395E-2</v>
      </c>
      <c r="X6093">
        <v>0.98745320000000003</v>
      </c>
      <c r="Y6093">
        <v>0.45508880000000002</v>
      </c>
      <c r="Z6093">
        <v>0.13344909999999999</v>
      </c>
      <c r="AA6093">
        <v>0.88038939999999999</v>
      </c>
      <c r="AB6093">
        <v>22</v>
      </c>
      <c r="AC6093">
        <v>0.92040000000002897</v>
      </c>
      <c r="AD6093">
        <v>-1.1064020000000001</v>
      </c>
      <c r="AE6093">
        <v>-4.8102099999999997</v>
      </c>
      <c r="AF6093">
        <v>2.1939977663153298</v>
      </c>
      <c r="AG6093">
        <v>-1.1064020000000001</v>
      </c>
      <c r="AH6093">
        <v>4.1108171322832296</v>
      </c>
      <c r="AI6093">
        <v>103.357104055028</v>
      </c>
      <c r="AJ6093">
        <v>61.910566517646998</v>
      </c>
      <c r="AK6093">
        <v>4.7892138268481999</v>
      </c>
      <c r="AL6093">
        <v>89.3740913567202</v>
      </c>
      <c r="AM6093">
        <v>80.935665484271695</v>
      </c>
      <c r="AN6093">
        <v>1.00000005801491</v>
      </c>
    </row>
    <row r="6094" spans="1:40" x14ac:dyDescent="0.25">
      <c r="A6094" t="str">
        <f>"20190312154417335"</f>
        <v>20190312154417335</v>
      </c>
      <c r="B6094" t="str">
        <f>"1552376657323368"</f>
        <v>1552376657323368</v>
      </c>
      <c r="C6094" t="s">
        <v>40</v>
      </c>
      <c r="D6094">
        <v>5.6005580000000004</v>
      </c>
      <c r="E6094">
        <v>0.59412180000000003</v>
      </c>
      <c r="F6094" t="s">
        <v>42</v>
      </c>
      <c r="G6094">
        <v>-306.80459999999999</v>
      </c>
      <c r="H6094">
        <v>-0.05</v>
      </c>
      <c r="I6094">
        <v>4.6009219999999997</v>
      </c>
      <c r="J6094">
        <v>-308.28579999999999</v>
      </c>
      <c r="K6094">
        <v>1.0564089999999999</v>
      </c>
      <c r="L6094">
        <v>10.350490000000001</v>
      </c>
      <c r="M6094">
        <v>0.6228281</v>
      </c>
      <c r="N6094">
        <v>0</v>
      </c>
      <c r="O6094">
        <v>-0.78223199999999904</v>
      </c>
      <c r="P6094">
        <v>0.49203459999999899</v>
      </c>
      <c r="Q6094">
        <v>-1.6709629999999999E-3</v>
      </c>
      <c r="R6094">
        <v>-0.87057399999999996</v>
      </c>
      <c r="S6094">
        <v>0.81512450000000003</v>
      </c>
      <c r="T6094">
        <v>-0.55796400000000002</v>
      </c>
      <c r="U6094">
        <v>-2.9904169999999999</v>
      </c>
      <c r="V6094">
        <v>0.1574622</v>
      </c>
      <c r="W6094">
        <v>1.0670280000000001E-2</v>
      </c>
      <c r="X6094">
        <v>0.98746730000000005</v>
      </c>
      <c r="Y6094">
        <v>0.39701009999999998</v>
      </c>
      <c r="Z6094">
        <v>0.11605600000000001</v>
      </c>
      <c r="AA6094">
        <v>0.91044720000000001</v>
      </c>
      <c r="AB6094">
        <v>22</v>
      </c>
      <c r="AC6094">
        <v>1.4812000000000001</v>
      </c>
      <c r="AD6094">
        <v>-1.106409</v>
      </c>
      <c r="AE6094">
        <v>-5.7495679999999902</v>
      </c>
      <c r="AF6094">
        <v>2.3412872397587101</v>
      </c>
      <c r="AG6094">
        <v>-1.106409</v>
      </c>
      <c r="AH6094">
        <v>5.23864940401163</v>
      </c>
      <c r="AI6094">
        <v>100.91383660387</v>
      </c>
      <c r="AJ6094">
        <v>65.918903208021604</v>
      </c>
      <c r="AK6094">
        <v>5.8437329159099498</v>
      </c>
      <c r="AL6094">
        <v>89.388626347700907</v>
      </c>
      <c r="AM6094">
        <v>80.939855461383701</v>
      </c>
      <c r="AN6094">
        <v>0.99999993393670195</v>
      </c>
    </row>
    <row r="6095" spans="1:40" x14ac:dyDescent="0.25">
      <c r="A6095" t="str">
        <f>"20190312154417357"</f>
        <v>20190312154417357</v>
      </c>
      <c r="B6095" t="str">
        <f>"1552376657343865"</f>
        <v>1552376657343865</v>
      </c>
      <c r="C6095" t="s">
        <v>40</v>
      </c>
      <c r="D6095">
        <v>5.6494210000000002</v>
      </c>
      <c r="E6095">
        <v>0.59247659999999902</v>
      </c>
      <c r="F6095" t="s">
        <v>42</v>
      </c>
      <c r="G6095">
        <v>-306.7176</v>
      </c>
      <c r="H6095">
        <v>-0.05</v>
      </c>
      <c r="I6095">
        <v>4.6797180000000003</v>
      </c>
      <c r="J6095">
        <v>-308.15170000000001</v>
      </c>
      <c r="K6095">
        <v>1.056422</v>
      </c>
      <c r="L6095">
        <v>10.16919</v>
      </c>
      <c r="M6095">
        <v>0.61742710000000001</v>
      </c>
      <c r="N6095">
        <v>0</v>
      </c>
      <c r="O6095">
        <v>-0.78650240000000005</v>
      </c>
      <c r="P6095">
        <v>0.48605490000000001</v>
      </c>
      <c r="Q6095">
        <v>-2.5937339999999999E-3</v>
      </c>
      <c r="R6095">
        <v>-0.87392459999999905</v>
      </c>
      <c r="S6095">
        <v>0.82385249999999999</v>
      </c>
      <c r="T6095">
        <v>-0.58127379999999995</v>
      </c>
      <c r="U6095">
        <v>-2.9792480000000001</v>
      </c>
      <c r="V6095">
        <v>0.15742120000000001</v>
      </c>
      <c r="W6095">
        <v>9.746701E-3</v>
      </c>
      <c r="X6095">
        <v>0.98748340000000001</v>
      </c>
      <c r="Y6095">
        <v>0.38756590000000002</v>
      </c>
      <c r="Z6095">
        <v>0.1226941</v>
      </c>
      <c r="AA6095">
        <v>0.91364040000000002</v>
      </c>
      <c r="AB6095">
        <v>22</v>
      </c>
      <c r="AC6095">
        <v>1.4340999999999999</v>
      </c>
      <c r="AD6095">
        <v>-1.106422</v>
      </c>
      <c r="AE6095">
        <v>-5.4894719999999904</v>
      </c>
      <c r="AF6095">
        <v>2.1787933290436201</v>
      </c>
      <c r="AG6095">
        <v>-1.106422</v>
      </c>
      <c r="AH6095">
        <v>5.0128201754158503</v>
      </c>
      <c r="AI6095">
        <v>101.443443056352</v>
      </c>
      <c r="AJ6095">
        <v>66.508103029689593</v>
      </c>
      <c r="AK6095">
        <v>5.5767083592227698</v>
      </c>
      <c r="AL6095">
        <v>89.441546297696704</v>
      </c>
      <c r="AM6095">
        <v>80.942320658065896</v>
      </c>
      <c r="AN6095">
        <v>0.99999994883269006</v>
      </c>
    </row>
    <row r="6096" spans="1:40" x14ac:dyDescent="0.25">
      <c r="A6096" t="str">
        <f>"20190312154417379"</f>
        <v>20190312154417379</v>
      </c>
      <c r="B6096" t="str">
        <f>"1552376657373145"</f>
        <v>1552376657373145</v>
      </c>
      <c r="C6096" t="s">
        <v>40</v>
      </c>
      <c r="D6096">
        <v>5.6314460000000004</v>
      </c>
      <c r="E6096">
        <v>0.59124549999999998</v>
      </c>
      <c r="F6096" t="s">
        <v>42</v>
      </c>
      <c r="G6096">
        <v>-306.64350000000002</v>
      </c>
      <c r="H6096">
        <v>-0.05</v>
      </c>
      <c r="I6096">
        <v>4.6523589999999997</v>
      </c>
      <c r="J6096">
        <v>-308.02030000000002</v>
      </c>
      <c r="K6096">
        <v>1.05643</v>
      </c>
      <c r="L6096">
        <v>9.9890139999999992</v>
      </c>
      <c r="M6096">
        <v>0.61205589999999999</v>
      </c>
      <c r="N6096">
        <v>0</v>
      </c>
      <c r="O6096">
        <v>-0.79068950000000005</v>
      </c>
      <c r="P6096">
        <v>0.47967330000000002</v>
      </c>
      <c r="Q6096">
        <v>-3.0377540000000001E-3</v>
      </c>
      <c r="R6096">
        <v>-0.8774421</v>
      </c>
      <c r="S6096">
        <v>0.81420899999999996</v>
      </c>
      <c r="T6096">
        <v>-0.59728619999999899</v>
      </c>
      <c r="U6096">
        <v>-2.97818</v>
      </c>
      <c r="V6096">
        <v>0.1578862</v>
      </c>
      <c r="W6096">
        <v>9.2956319999999999E-3</v>
      </c>
      <c r="X6096">
        <v>0.9874136</v>
      </c>
      <c r="Y6096">
        <v>0.38411479999999998</v>
      </c>
      <c r="Z6096">
        <v>0.1273379</v>
      </c>
      <c r="AA6096">
        <v>0.91446210000000006</v>
      </c>
      <c r="AB6096">
        <v>22</v>
      </c>
      <c r="AC6096">
        <v>1.3768</v>
      </c>
      <c r="AD6096">
        <v>-1.10643</v>
      </c>
      <c r="AE6096">
        <v>-5.3366550000000004</v>
      </c>
      <c r="AF6096">
        <v>2.0935511828556099</v>
      </c>
      <c r="AG6096">
        <v>-1.10643</v>
      </c>
      <c r="AH6096">
        <v>4.8666799048580902</v>
      </c>
      <c r="AI6096">
        <v>101.796323886246</v>
      </c>
      <c r="AJ6096">
        <v>66.723563838261796</v>
      </c>
      <c r="AK6096">
        <v>5.4121822952008598</v>
      </c>
      <c r="AL6096">
        <v>89.467391868845297</v>
      </c>
      <c r="AM6096">
        <v>80.915379583600696</v>
      </c>
      <c r="AN6096">
        <v>1.00000003919483</v>
      </c>
    </row>
    <row r="6097" spans="1:40" x14ac:dyDescent="0.25">
      <c r="A6097" t="str">
        <f>"20190312154417414"</f>
        <v>20190312154417414</v>
      </c>
      <c r="B6097" t="str">
        <f>"1552376657403401"</f>
        <v>1552376657403401</v>
      </c>
      <c r="C6097" t="s">
        <v>40</v>
      </c>
      <c r="D6097">
        <v>5.549544</v>
      </c>
      <c r="E6097">
        <v>0.59093490000000004</v>
      </c>
      <c r="F6097" t="s">
        <v>42</v>
      </c>
      <c r="G6097">
        <v>-306.5609</v>
      </c>
      <c r="H6097">
        <v>-0.05</v>
      </c>
      <c r="I6097">
        <v>4.558853</v>
      </c>
      <c r="J6097">
        <v>-307.82769999999999</v>
      </c>
      <c r="K6097">
        <v>1.0564530000000001</v>
      </c>
      <c r="L6097">
        <v>9.7201540000000008</v>
      </c>
      <c r="M6097">
        <v>0.60403530000000005</v>
      </c>
      <c r="N6097">
        <v>0</v>
      </c>
      <c r="O6097">
        <v>-0.79683349999999997</v>
      </c>
      <c r="P6097">
        <v>0.47061950000000002</v>
      </c>
      <c r="Q6097">
        <v>-2.3032040000000001E-3</v>
      </c>
      <c r="R6097">
        <v>-0.88233359999999905</v>
      </c>
      <c r="S6097">
        <v>0.80072019999999899</v>
      </c>
      <c r="T6097">
        <v>-0.60702900000000004</v>
      </c>
      <c r="U6097">
        <v>-2.979187</v>
      </c>
      <c r="V6097">
        <v>0.1580772</v>
      </c>
      <c r="W6097">
        <v>1.002659E-2</v>
      </c>
      <c r="X6097">
        <v>0.98737589999999997</v>
      </c>
      <c r="Y6097">
        <v>0.37886029999999998</v>
      </c>
      <c r="Z6097">
        <v>0.1312875</v>
      </c>
      <c r="AA6097">
        <v>0.91609410000000002</v>
      </c>
      <c r="AB6097">
        <v>22</v>
      </c>
      <c r="AC6097">
        <v>1.2667999999999799</v>
      </c>
      <c r="AD6097">
        <v>-1.1064529999999999</v>
      </c>
      <c r="AE6097">
        <v>-5.1613009999999901</v>
      </c>
      <c r="AF6097">
        <v>2.0207956523178399</v>
      </c>
      <c r="AG6097">
        <v>-1.1064529999999999</v>
      </c>
      <c r="AH6097">
        <v>4.6757017849332403</v>
      </c>
      <c r="AI6097">
        <v>102.255390606254</v>
      </c>
      <c r="AJ6097">
        <v>66.626439754353001</v>
      </c>
      <c r="AK6097">
        <v>5.2124888960326397</v>
      </c>
      <c r="AL6097">
        <v>89.425509113158199</v>
      </c>
      <c r="AM6097">
        <v>80.904231745615604</v>
      </c>
      <c r="AN6097">
        <v>1.00000005078383</v>
      </c>
    </row>
    <row r="6098" spans="1:40" x14ac:dyDescent="0.25">
      <c r="A6098" t="str">
        <f>"20190312154417434"</f>
        <v>20190312154417434</v>
      </c>
      <c r="B6098" t="str">
        <f>"1552376657423897"</f>
        <v>1552376657423897</v>
      </c>
      <c r="C6098" t="s">
        <v>40</v>
      </c>
      <c r="D6098">
        <v>5.537236</v>
      </c>
      <c r="E6098">
        <v>0.59119270000000002</v>
      </c>
      <c r="F6098" t="s">
        <v>42</v>
      </c>
      <c r="G6098">
        <v>-306.34480000000002</v>
      </c>
      <c r="H6098">
        <v>-0.05</v>
      </c>
      <c r="I6098">
        <v>3.9873500000000002</v>
      </c>
      <c r="J6098">
        <v>-307.70600000000002</v>
      </c>
      <c r="K6098">
        <v>1.0564639999999901</v>
      </c>
      <c r="L6098">
        <v>9.5470579999999998</v>
      </c>
      <c r="M6098">
        <v>0.5988694</v>
      </c>
      <c r="N6098">
        <v>0</v>
      </c>
      <c r="O6098">
        <v>-0.80072330000000003</v>
      </c>
      <c r="P6098">
        <v>0.46513900000000002</v>
      </c>
      <c r="Q6098">
        <v>-1.673197E-3</v>
      </c>
      <c r="R6098">
        <v>-0.88523639999999904</v>
      </c>
      <c r="S6098">
        <v>0.77252200000000004</v>
      </c>
      <c r="T6098">
        <v>-0.57640760000000002</v>
      </c>
      <c r="U6098">
        <v>-2.9865110000000001</v>
      </c>
      <c r="V6098">
        <v>0.15782119999999999</v>
      </c>
      <c r="W6098">
        <v>1.065932E-2</v>
      </c>
      <c r="X6098">
        <v>0.98741020000000002</v>
      </c>
      <c r="Y6098">
        <v>0.38132139999999998</v>
      </c>
      <c r="Z6098">
        <v>0.12560739999999901</v>
      </c>
      <c r="AA6098">
        <v>0.91586939999999994</v>
      </c>
      <c r="AB6098">
        <v>22</v>
      </c>
      <c r="AC6098">
        <v>1.36119999999993</v>
      </c>
      <c r="AD6098">
        <v>-1.1064639999999999</v>
      </c>
      <c r="AE6098">
        <v>-5.5597079999999997</v>
      </c>
      <c r="AF6098">
        <v>2.1591354128107301</v>
      </c>
      <c r="AG6098">
        <v>-1.1064639999999999</v>
      </c>
      <c r="AH6098">
        <v>5.0777491597768396</v>
      </c>
      <c r="AI6098">
        <v>101.339053945112</v>
      </c>
      <c r="AJ6098">
        <v>66.964071936844206</v>
      </c>
      <c r="AK6098">
        <v>5.6275807274319796</v>
      </c>
      <c r="AL6098">
        <v>89.389254402448699</v>
      </c>
      <c r="AM6098">
        <v>80.919026542060493</v>
      </c>
      <c r="AN6098">
        <v>1.00000002766817</v>
      </c>
    </row>
    <row r="6099" spans="1:40" x14ac:dyDescent="0.25">
      <c r="A6099" t="str">
        <f>"20190312154417457"</f>
        <v>20190312154417457</v>
      </c>
      <c r="B6099" t="str">
        <f>"1552376657443418"</f>
        <v>1552376657443418</v>
      </c>
      <c r="C6099" t="s">
        <v>40</v>
      </c>
      <c r="D6099">
        <v>5.5577569999999996</v>
      </c>
      <c r="E6099">
        <v>0.59100790000000003</v>
      </c>
      <c r="F6099" t="s">
        <v>42</v>
      </c>
      <c r="G6099">
        <v>-306.20740000000001</v>
      </c>
      <c r="H6099">
        <v>-0.05</v>
      </c>
      <c r="I6099">
        <v>3.5846100000000001</v>
      </c>
      <c r="J6099">
        <v>-307.58030000000002</v>
      </c>
      <c r="K6099">
        <v>1.056473</v>
      </c>
      <c r="L6099">
        <v>9.3658750000000008</v>
      </c>
      <c r="M6099">
        <v>0.59345800000000004</v>
      </c>
      <c r="N6099">
        <v>0</v>
      </c>
      <c r="O6099">
        <v>-0.80474230000000002</v>
      </c>
      <c r="P6099">
        <v>0.45940569999999997</v>
      </c>
      <c r="Q6099">
        <v>-1.5250140000000001E-3</v>
      </c>
      <c r="R6099">
        <v>-0.88822559999999995</v>
      </c>
      <c r="S6099">
        <v>0.75219729999999996</v>
      </c>
      <c r="T6099">
        <v>-0.55535190000000001</v>
      </c>
      <c r="U6099">
        <v>-2.992645</v>
      </c>
      <c r="V6099">
        <v>0.1575502</v>
      </c>
      <c r="W6099">
        <v>1.080999E-2</v>
      </c>
      <c r="X6099">
        <v>0.98745179999999999</v>
      </c>
      <c r="Y6099">
        <v>0.38126850000000001</v>
      </c>
      <c r="Z6099">
        <v>0.12200950000000001</v>
      </c>
      <c r="AA6099">
        <v>0.91637769999999996</v>
      </c>
      <c r="AB6099">
        <v>22</v>
      </c>
      <c r="AC6099">
        <v>1.37290000000001</v>
      </c>
      <c r="AD6099">
        <v>-1.106473</v>
      </c>
      <c r="AE6099">
        <v>-5.7812650000000003</v>
      </c>
      <c r="AF6099">
        <v>2.24837565402858</v>
      </c>
      <c r="AG6099">
        <v>-1.106473</v>
      </c>
      <c r="AH6099">
        <v>5.2844898050292004</v>
      </c>
      <c r="AI6099">
        <v>100.90541284747501</v>
      </c>
      <c r="AJ6099">
        <v>66.951851668240593</v>
      </c>
      <c r="AK6099">
        <v>5.8485304206112296</v>
      </c>
      <c r="AL6099">
        <v>89.380621126422895</v>
      </c>
      <c r="AM6099">
        <v>80.934736192331499</v>
      </c>
      <c r="AN6099">
        <v>0.99999998936353995</v>
      </c>
    </row>
    <row r="6100" spans="1:40" x14ac:dyDescent="0.25">
      <c r="A6100" t="str">
        <f>"20190312154417479"</f>
        <v>20190312154417479</v>
      </c>
      <c r="B6100" t="str">
        <f>"1552376657473675"</f>
        <v>1552376657473675</v>
      </c>
      <c r="C6100" t="s">
        <v>40</v>
      </c>
      <c r="D6100">
        <v>5.5283350000000002</v>
      </c>
      <c r="E6100">
        <v>0.5907422</v>
      </c>
      <c r="F6100" t="s">
        <v>42</v>
      </c>
      <c r="G6100">
        <v>-306.077</v>
      </c>
      <c r="H6100">
        <v>-0.05</v>
      </c>
      <c r="I6100">
        <v>3.2302249999999999</v>
      </c>
      <c r="J6100">
        <v>-307.45510000000002</v>
      </c>
      <c r="K6100">
        <v>1.0564849999999999</v>
      </c>
      <c r="L6100">
        <v>9.1826480000000004</v>
      </c>
      <c r="M6100">
        <v>0.58798399999999995</v>
      </c>
      <c r="N6100">
        <v>0</v>
      </c>
      <c r="O6100">
        <v>-0.80875050000000004</v>
      </c>
      <c r="P6100">
        <v>0.45353480000000002</v>
      </c>
      <c r="Q6100">
        <v>-1.6502349999999999E-3</v>
      </c>
      <c r="R6100">
        <v>-0.89123719999999995</v>
      </c>
      <c r="S6100">
        <v>0.73425289999999999</v>
      </c>
      <c r="T6100">
        <v>-0.54043209999999997</v>
      </c>
      <c r="U6100">
        <v>-2.996826</v>
      </c>
      <c r="V6100">
        <v>0.157364</v>
      </c>
      <c r="W6100">
        <v>1.068697E-2</v>
      </c>
      <c r="X6100">
        <v>0.98748279999999999</v>
      </c>
      <c r="Y6100">
        <v>0.38039780000000001</v>
      </c>
      <c r="Z6100">
        <v>0.1197505</v>
      </c>
      <c r="AA6100">
        <v>0.9170372</v>
      </c>
      <c r="AB6100">
        <v>22</v>
      </c>
      <c r="AC6100">
        <v>1.3781000000000101</v>
      </c>
      <c r="AD6100">
        <v>-1.1064849999999999</v>
      </c>
      <c r="AE6100">
        <v>-5.9524229999999996</v>
      </c>
      <c r="AF6100">
        <v>2.3098703259280202</v>
      </c>
      <c r="AG6100">
        <v>-1.1064849999999999</v>
      </c>
      <c r="AH6100">
        <v>5.4462628917116396</v>
      </c>
      <c r="AI6100">
        <v>100.594046498143</v>
      </c>
      <c r="AJ6100">
        <v>67.017216287204405</v>
      </c>
      <c r="AK6100">
        <v>6.0184374602934199</v>
      </c>
      <c r="AL6100">
        <v>89.387670042546503</v>
      </c>
      <c r="AM6100">
        <v>80.945551882323699</v>
      </c>
      <c r="AN6100">
        <v>0.99999996005980896</v>
      </c>
    </row>
    <row r="6101" spans="1:40" x14ac:dyDescent="0.25">
      <c r="A6101" t="str">
        <f>"20190312154417501"</f>
        <v>20190312154417501</v>
      </c>
      <c r="B6101" t="str">
        <f>"1552376657493193"</f>
        <v>1552376657493193</v>
      </c>
      <c r="C6101" t="s">
        <v>40</v>
      </c>
      <c r="D6101">
        <v>5.5312780000000004</v>
      </c>
      <c r="E6101">
        <v>0.59044419999999898</v>
      </c>
      <c r="F6101" t="s">
        <v>42</v>
      </c>
      <c r="G6101">
        <v>-305.9486</v>
      </c>
      <c r="H6101">
        <v>-0.05</v>
      </c>
      <c r="I6101">
        <v>2.8704679999999998</v>
      </c>
      <c r="J6101">
        <v>-307.33159999999998</v>
      </c>
      <c r="K6101">
        <v>1.0564929999999999</v>
      </c>
      <c r="L6101">
        <v>8.9993590000000001</v>
      </c>
      <c r="M6101">
        <v>0.58250459999999904</v>
      </c>
      <c r="N6101">
        <v>0</v>
      </c>
      <c r="O6101">
        <v>-0.81270620000000005</v>
      </c>
      <c r="P6101">
        <v>0.44754169999999999</v>
      </c>
      <c r="Q6101">
        <v>-1.920466E-3</v>
      </c>
      <c r="R6101">
        <v>-0.89426119999999898</v>
      </c>
      <c r="S6101">
        <v>0.71615600000000001</v>
      </c>
      <c r="T6101">
        <v>-0.52600360000000002</v>
      </c>
      <c r="U6101">
        <v>-3.000702</v>
      </c>
      <c r="V6101">
        <v>0.1573156</v>
      </c>
      <c r="W6101">
        <v>1.0417579999999999E-2</v>
      </c>
      <c r="X6101">
        <v>0.98749339999999997</v>
      </c>
      <c r="Y6101">
        <v>0.37958140000000001</v>
      </c>
      <c r="Z6101">
        <v>0.11753810000000001</v>
      </c>
      <c r="AA6101">
        <v>0.91766159999999997</v>
      </c>
      <c r="AB6101">
        <v>22</v>
      </c>
      <c r="AC6101">
        <v>1.38299999999998</v>
      </c>
      <c r="AD6101">
        <v>-1.1064929999999999</v>
      </c>
      <c r="AE6101">
        <v>-6.1288909999999897</v>
      </c>
      <c r="AF6101">
        <v>2.3727848849064501</v>
      </c>
      <c r="AG6101">
        <v>-1.1064929999999999</v>
      </c>
      <c r="AH6101">
        <v>5.6130751940791903</v>
      </c>
      <c r="AI6101">
        <v>100.291146022579</v>
      </c>
      <c r="AJ6101">
        <v>67.085024336335195</v>
      </c>
      <c r="AK6101">
        <v>6.1936296307961998</v>
      </c>
      <c r="AL6101">
        <v>89.403105818308106</v>
      </c>
      <c r="AM6101">
        <v>80.948386174966302</v>
      </c>
      <c r="AN6101">
        <v>0.99999996950998704</v>
      </c>
    </row>
    <row r="6102" spans="1:40" x14ac:dyDescent="0.25">
      <c r="A6102" t="str">
        <f>"20190312154417523"</f>
        <v>20190312154417523</v>
      </c>
      <c r="B6102" t="str">
        <f>"1552376657513690"</f>
        <v>1552376657513690</v>
      </c>
      <c r="C6102" t="s">
        <v>40</v>
      </c>
      <c r="D6102">
        <v>5.5397400000000001</v>
      </c>
      <c r="E6102">
        <v>0.59009469999999997</v>
      </c>
      <c r="F6102" t="s">
        <v>42</v>
      </c>
      <c r="G6102">
        <v>-305.84300000000002</v>
      </c>
      <c r="H6102">
        <v>-0.05</v>
      </c>
      <c r="I6102">
        <v>2.5950009999999999</v>
      </c>
      <c r="J6102">
        <v>-307.21030000000002</v>
      </c>
      <c r="K6102">
        <v>1.0565020000000001</v>
      </c>
      <c r="L6102">
        <v>8.8167419999999996</v>
      </c>
      <c r="M6102">
        <v>0.57704250000000001</v>
      </c>
      <c r="N6102">
        <v>0</v>
      </c>
      <c r="O6102">
        <v>-0.81659349999999997</v>
      </c>
      <c r="P6102">
        <v>0.44155489999999997</v>
      </c>
      <c r="Q6102">
        <v>-2.222599E-3</v>
      </c>
      <c r="R6102">
        <v>-0.89723159999999902</v>
      </c>
      <c r="S6102">
        <v>0.69827269999999997</v>
      </c>
      <c r="T6102">
        <v>-0.51903310000000002</v>
      </c>
      <c r="U6102">
        <v>-3.0041500000000001</v>
      </c>
      <c r="V6102">
        <v>0.15729099999999999</v>
      </c>
      <c r="W6102">
        <v>1.011575E-2</v>
      </c>
      <c r="X6102">
        <v>0.9875005</v>
      </c>
      <c r="Y6102">
        <v>0.37877250000000001</v>
      </c>
      <c r="Z6102">
        <v>0.11690879999999999</v>
      </c>
      <c r="AA6102">
        <v>0.91807609999999995</v>
      </c>
      <c r="AB6102">
        <v>22</v>
      </c>
      <c r="AC6102">
        <v>1.3673</v>
      </c>
      <c r="AD6102">
        <v>-1.1065020000000001</v>
      </c>
      <c r="AE6102">
        <v>-6.2217409999999997</v>
      </c>
      <c r="AF6102">
        <v>2.4014684769271701</v>
      </c>
      <c r="AG6102">
        <v>-1.1065020000000001</v>
      </c>
      <c r="AH6102">
        <v>5.6982761758113902</v>
      </c>
      <c r="AI6102">
        <v>100.145148632926</v>
      </c>
      <c r="AJ6102">
        <v>67.147607395477294</v>
      </c>
      <c r="AK6102">
        <v>6.2818587135893598</v>
      </c>
      <c r="AL6102">
        <v>89.420400340309698</v>
      </c>
      <c r="AM6102">
        <v>80.949842172907594</v>
      </c>
      <c r="AN6102">
        <v>1.00000001228965</v>
      </c>
    </row>
    <row r="6103" spans="1:40" x14ac:dyDescent="0.25">
      <c r="A6103" t="str">
        <f>"20190312154417546"</f>
        <v>20190312154417546</v>
      </c>
      <c r="B6103" t="str">
        <f>"1552376657533210"</f>
        <v>1552376657533210</v>
      </c>
      <c r="C6103" t="s">
        <v>40</v>
      </c>
      <c r="D6103">
        <v>5.5526179999999998</v>
      </c>
      <c r="E6103">
        <v>0.58976039999999996</v>
      </c>
      <c r="F6103" t="s">
        <v>42</v>
      </c>
      <c r="G6103">
        <v>-305.74520000000001</v>
      </c>
      <c r="H6103">
        <v>-0.05</v>
      </c>
      <c r="I6103">
        <v>2.3463440000000002</v>
      </c>
      <c r="J6103">
        <v>-307.08640000000003</v>
      </c>
      <c r="K6103">
        <v>1.0565180000000001</v>
      </c>
      <c r="L6103">
        <v>8.6275329999999997</v>
      </c>
      <c r="M6103">
        <v>0.5713802</v>
      </c>
      <c r="N6103">
        <v>0</v>
      </c>
      <c r="O6103">
        <v>-0.82056559999999901</v>
      </c>
      <c r="P6103">
        <v>0.43520379999999997</v>
      </c>
      <c r="Q6103">
        <v>-2.3121919999999998E-3</v>
      </c>
      <c r="R6103">
        <v>-0.90032939999999995</v>
      </c>
      <c r="S6103">
        <v>0.68090819999999996</v>
      </c>
      <c r="T6103">
        <v>-0.51427049999999996</v>
      </c>
      <c r="U6103">
        <v>-3.007263</v>
      </c>
      <c r="V6103">
        <v>0.15743689999999999</v>
      </c>
      <c r="W6103">
        <v>1.0024679999999999E-2</v>
      </c>
      <c r="X6103">
        <v>0.98747819999999997</v>
      </c>
      <c r="Y6103">
        <v>0.37761119999999998</v>
      </c>
      <c r="Z6103">
        <v>0.1167868</v>
      </c>
      <c r="AA6103">
        <v>0.91856990000000005</v>
      </c>
      <c r="AB6103">
        <v>22</v>
      </c>
      <c r="AC6103">
        <v>1.3412000000000099</v>
      </c>
      <c r="AD6103">
        <v>-1.1065179999999999</v>
      </c>
      <c r="AE6103">
        <v>-6.2811890000000004</v>
      </c>
      <c r="AF6103">
        <v>2.4169142138758501</v>
      </c>
      <c r="AG6103">
        <v>-1.1065179999999999</v>
      </c>
      <c r="AH6103">
        <v>5.7503717263648797</v>
      </c>
      <c r="AI6103">
        <v>100.05925216167699</v>
      </c>
      <c r="AJ6103">
        <v>67.202705284522295</v>
      </c>
      <c r="AK6103">
        <v>6.3350320751307798</v>
      </c>
      <c r="AL6103">
        <v>89.425618543711593</v>
      </c>
      <c r="AM6103">
        <v>80.941385380354504</v>
      </c>
      <c r="AN6103">
        <v>1.00000003358297</v>
      </c>
    </row>
    <row r="6104" spans="1:40" x14ac:dyDescent="0.25">
      <c r="A6104" t="str">
        <f>"20190312154417572"</f>
        <v>20190312154417572</v>
      </c>
      <c r="B6104" t="str">
        <f>"1552376657563465"</f>
        <v>1552376657563465</v>
      </c>
      <c r="C6104" t="s">
        <v>40</v>
      </c>
      <c r="D6104">
        <v>5.5667609999999996</v>
      </c>
      <c r="E6104">
        <v>0.58923570000000003</v>
      </c>
      <c r="F6104" t="s">
        <v>42</v>
      </c>
      <c r="G6104">
        <v>-305.64789999999999</v>
      </c>
      <c r="H6104">
        <v>-0.05</v>
      </c>
      <c r="I6104">
        <v>2.0884399999999999</v>
      </c>
      <c r="J6104">
        <v>-306.95519999999999</v>
      </c>
      <c r="K6104">
        <v>1.056527</v>
      </c>
      <c r="L6104">
        <v>8.4237059999999992</v>
      </c>
      <c r="M6104">
        <v>0.56527989999999995</v>
      </c>
      <c r="N6104">
        <v>0</v>
      </c>
      <c r="O6104">
        <v>-0.82477990000000001</v>
      </c>
      <c r="P6104">
        <v>0.42794450000000001</v>
      </c>
      <c r="Q6104">
        <v>-2.0094800000000001E-3</v>
      </c>
      <c r="R6104">
        <v>-0.90380309999999997</v>
      </c>
      <c r="S6104">
        <v>0.66229249999999995</v>
      </c>
      <c r="T6104">
        <v>-0.50944920000000005</v>
      </c>
      <c r="U6104">
        <v>-3.0106510000000002</v>
      </c>
      <c r="V6104">
        <v>0.15806410000000001</v>
      </c>
      <c r="W6104">
        <v>1.0320309999999999E-2</v>
      </c>
      <c r="X6104">
        <v>0.98737490000000006</v>
      </c>
      <c r="Y6104">
        <v>0.37637340000000002</v>
      </c>
      <c r="Z6104">
        <v>0.1166872</v>
      </c>
      <c r="AA6104">
        <v>0.91909039999999997</v>
      </c>
      <c r="AB6104">
        <v>22</v>
      </c>
      <c r="AC6104">
        <v>1.3072999999999899</v>
      </c>
      <c r="AD6104">
        <v>-1.106527</v>
      </c>
      <c r="AE6104">
        <v>-6.3352659999999901</v>
      </c>
      <c r="AF6104">
        <v>2.43204671061517</v>
      </c>
      <c r="AG6104">
        <v>-1.106527</v>
      </c>
      <c r="AH6104">
        <v>5.7952056694957204</v>
      </c>
      <c r="AI6104">
        <v>99.985317777721903</v>
      </c>
      <c r="AJ6104">
        <v>67.233897686187007</v>
      </c>
      <c r="AK6104">
        <v>6.3815093791436501</v>
      </c>
      <c r="AL6104">
        <v>89.408679285270097</v>
      </c>
      <c r="AM6104">
        <v>80.904963863606895</v>
      </c>
      <c r="AN6104">
        <v>0.99999998082865704</v>
      </c>
    </row>
    <row r="6105" spans="1:40" x14ac:dyDescent="0.25">
      <c r="A6105" t="str">
        <f>"20190312154417591"</f>
        <v>20190312154417591</v>
      </c>
      <c r="B6105" t="str">
        <f>"1552376657583961"</f>
        <v>1552376657583961</v>
      </c>
      <c r="C6105" t="s">
        <v>40</v>
      </c>
      <c r="D6105">
        <v>5.5650370000000002</v>
      </c>
      <c r="E6105">
        <v>0.58890430000000005</v>
      </c>
      <c r="F6105" t="s">
        <v>42</v>
      </c>
      <c r="G6105">
        <v>-305.53969999999998</v>
      </c>
      <c r="H6105">
        <v>-0.05</v>
      </c>
      <c r="I6105">
        <v>1.771927</v>
      </c>
      <c r="J6105">
        <v>-306.85160000000002</v>
      </c>
      <c r="K6105">
        <v>1.0565370000000001</v>
      </c>
      <c r="L6105">
        <v>8.260529</v>
      </c>
      <c r="M6105">
        <v>0.56039340000000004</v>
      </c>
      <c r="N6105">
        <v>0</v>
      </c>
      <c r="O6105">
        <v>-0.82810799999999996</v>
      </c>
      <c r="P6105">
        <v>0.42197820000000003</v>
      </c>
      <c r="Q6105">
        <v>-2.1879059999999999E-3</v>
      </c>
      <c r="R6105">
        <v>-0.90660379999999996</v>
      </c>
      <c r="S6105">
        <v>0.64147949999999998</v>
      </c>
      <c r="T6105">
        <v>-0.50145669999999998</v>
      </c>
      <c r="U6105">
        <v>-3.014465</v>
      </c>
      <c r="V6105">
        <v>0.1587317</v>
      </c>
      <c r="W6105">
        <v>1.013435E-2</v>
      </c>
      <c r="X6105">
        <v>0.98726979999999998</v>
      </c>
      <c r="Y6105">
        <v>0.37716949999999999</v>
      </c>
      <c r="Z6105">
        <v>0.115567</v>
      </c>
      <c r="AA6105">
        <v>0.91890559999999999</v>
      </c>
      <c r="AB6105">
        <v>22</v>
      </c>
      <c r="AC6105">
        <v>1.31190000000003</v>
      </c>
      <c r="AD6105">
        <v>-1.1065370000000001</v>
      </c>
      <c r="AE6105">
        <v>-6.4886019999999904</v>
      </c>
      <c r="AF6105">
        <v>2.48071362908509</v>
      </c>
      <c r="AG6105">
        <v>-1.1065370000000001</v>
      </c>
      <c r="AH6105">
        <v>5.9429947736638198</v>
      </c>
      <c r="AI6105">
        <v>99.749558592816499</v>
      </c>
      <c r="AJ6105">
        <v>67.343459463701294</v>
      </c>
      <c r="AK6105">
        <v>6.5343363183794798</v>
      </c>
      <c r="AL6105">
        <v>89.419334610628496</v>
      </c>
      <c r="AM6105">
        <v>80.866240239179206</v>
      </c>
      <c r="AN6105">
        <v>1.0000000578134201</v>
      </c>
    </row>
    <row r="6106" spans="1:40" x14ac:dyDescent="0.25">
      <c r="A6106" t="str">
        <f>"20190312154417614"</f>
        <v>20190312154417614</v>
      </c>
      <c r="B6106" t="str">
        <f>"1552376657603481"</f>
        <v>1552376657603481</v>
      </c>
      <c r="C6106" t="s">
        <v>40</v>
      </c>
      <c r="D6106">
        <v>5.5543319999999996</v>
      </c>
      <c r="E6106">
        <v>0.58854819999999997</v>
      </c>
      <c r="F6106" t="s">
        <v>42</v>
      </c>
      <c r="G6106">
        <v>-305.46530000000001</v>
      </c>
      <c r="H6106">
        <v>-0.05</v>
      </c>
      <c r="I6106">
        <v>1.5543209999999901</v>
      </c>
      <c r="J6106">
        <v>-306.73200000000003</v>
      </c>
      <c r="K6106">
        <v>1.0565450000000001</v>
      </c>
      <c r="L6106">
        <v>8.0693359999999998</v>
      </c>
      <c r="M6106">
        <v>0.55466530000000003</v>
      </c>
      <c r="N6106">
        <v>0</v>
      </c>
      <c r="O6106">
        <v>-0.83195540000000001</v>
      </c>
      <c r="P6106">
        <v>0.41481449999999997</v>
      </c>
      <c r="Q6106">
        <v>-2.1719119999999998E-3</v>
      </c>
      <c r="R6106">
        <v>-0.90990349999999998</v>
      </c>
      <c r="S6106">
        <v>0.62380979999999997</v>
      </c>
      <c r="T6106">
        <v>-0.49789709999999998</v>
      </c>
      <c r="U6106">
        <v>-3.0175169999999998</v>
      </c>
      <c r="V6106">
        <v>0.15970500000000001</v>
      </c>
      <c r="W6106">
        <v>1.013912E-2</v>
      </c>
      <c r="X6106">
        <v>0.98711269999999995</v>
      </c>
      <c r="Y6106">
        <v>0.37612129999999999</v>
      </c>
      <c r="Z6106">
        <v>0.1156296</v>
      </c>
      <c r="AA6106">
        <v>0.91932729999999996</v>
      </c>
      <c r="AB6106">
        <v>22</v>
      </c>
      <c r="AC6106">
        <v>1.2667000000000099</v>
      </c>
      <c r="AD6106">
        <v>-1.1065449999999999</v>
      </c>
      <c r="AE6106">
        <v>-6.515015</v>
      </c>
      <c r="AF6106">
        <v>2.49082976434409</v>
      </c>
      <c r="AG6106">
        <v>-1.1065449999999999</v>
      </c>
      <c r="AH6106">
        <v>5.9577916982095296</v>
      </c>
      <c r="AI6106">
        <v>99.723632803660607</v>
      </c>
      <c r="AJ6106">
        <v>67.311201669960298</v>
      </c>
      <c r="AK6106">
        <v>6.5516377090939502</v>
      </c>
      <c r="AL6106">
        <v>89.419061253804102</v>
      </c>
      <c r="AM6106">
        <v>80.809749587248504</v>
      </c>
      <c r="AN6106">
        <v>0.99999998564033199</v>
      </c>
    </row>
    <row r="6107" spans="1:40" x14ac:dyDescent="0.25">
      <c r="A6107" t="str">
        <f>"20190312154417635"</f>
        <v>20190312154417635</v>
      </c>
      <c r="B6107" t="str">
        <f>"1552376657623978"</f>
        <v>1552376657623978</v>
      </c>
      <c r="C6107" t="s">
        <v>40</v>
      </c>
      <c r="D6107">
        <v>5.50753</v>
      </c>
      <c r="E6107">
        <v>0.58856799999999998</v>
      </c>
      <c r="F6107" t="s">
        <v>42</v>
      </c>
      <c r="G6107">
        <v>-305.38650000000001</v>
      </c>
      <c r="H6107">
        <v>-0.05</v>
      </c>
      <c r="I6107">
        <v>1.3273619999999999</v>
      </c>
      <c r="J6107">
        <v>-306.62369999999999</v>
      </c>
      <c r="K6107">
        <v>1.0565530000000001</v>
      </c>
      <c r="L6107">
        <v>7.8935550000000001</v>
      </c>
      <c r="M6107">
        <v>0.54939720000000003</v>
      </c>
      <c r="N6107">
        <v>0</v>
      </c>
      <c r="O6107">
        <v>-0.83544370000000001</v>
      </c>
      <c r="P6107">
        <v>0.40879219999999999</v>
      </c>
      <c r="Q6107">
        <v>-1.919774E-3</v>
      </c>
      <c r="R6107">
        <v>-0.91262569999999998</v>
      </c>
      <c r="S6107">
        <v>0.60290529999999998</v>
      </c>
      <c r="T6107">
        <v>-0.49582910000000002</v>
      </c>
      <c r="U6107">
        <v>-3.0209959999999998</v>
      </c>
      <c r="V6107">
        <v>0.15999340000000001</v>
      </c>
      <c r="W6107">
        <v>1.038849E-2</v>
      </c>
      <c r="X6107">
        <v>0.98706340000000004</v>
      </c>
      <c r="Y6107">
        <v>0.37658720000000001</v>
      </c>
      <c r="Z6107">
        <v>0.1158791</v>
      </c>
      <c r="AA6107">
        <v>0.91910510000000001</v>
      </c>
      <c r="AB6107">
        <v>22</v>
      </c>
      <c r="AC6107">
        <v>1.2371999999999701</v>
      </c>
      <c r="AD6107">
        <v>-1.1065529999999999</v>
      </c>
      <c r="AE6107">
        <v>-6.5661929999999904</v>
      </c>
      <c r="AF6107">
        <v>2.5053770095472401</v>
      </c>
      <c r="AG6107">
        <v>-1.1065529999999999</v>
      </c>
      <c r="AH6107">
        <v>6.0014087004663104</v>
      </c>
      <c r="AI6107">
        <v>99.656437527406695</v>
      </c>
      <c r="AJ6107">
        <v>67.341180138786697</v>
      </c>
      <c r="AK6107">
        <v>6.5968386286015601</v>
      </c>
      <c r="AL6107">
        <v>89.404772650332006</v>
      </c>
      <c r="AM6107">
        <v>80.792985552621602</v>
      </c>
      <c r="AN6107">
        <v>0.99999998219379904</v>
      </c>
    </row>
    <row r="6108" spans="1:40" x14ac:dyDescent="0.25">
      <c r="A6108" t="str">
        <f>"20190312154417659"</f>
        <v>20190312154417659</v>
      </c>
      <c r="B6108" t="str">
        <f>"1552376657653260"</f>
        <v>1552376657653260</v>
      </c>
      <c r="C6108" t="s">
        <v>40</v>
      </c>
      <c r="D6108">
        <v>5.4729080000000003</v>
      </c>
      <c r="E6108">
        <v>0.5885785</v>
      </c>
      <c r="F6108" t="s">
        <v>42</v>
      </c>
      <c r="G6108">
        <v>-305.3109</v>
      </c>
      <c r="H6108">
        <v>-0.05</v>
      </c>
      <c r="I6108">
        <v>1.077194</v>
      </c>
      <c r="J6108">
        <v>-306.50700000000001</v>
      </c>
      <c r="K6108">
        <v>1.056565</v>
      </c>
      <c r="L6108">
        <v>7.7014469999999999</v>
      </c>
      <c r="M6108">
        <v>0.54363399999999995</v>
      </c>
      <c r="N6108">
        <v>0</v>
      </c>
      <c r="O6108">
        <v>-0.8392056</v>
      </c>
      <c r="P6108">
        <v>0.40302329999999997</v>
      </c>
      <c r="Q6108">
        <v>-2.103822E-3</v>
      </c>
      <c r="R6108">
        <v>-0.91518770000000005</v>
      </c>
      <c r="S6108">
        <v>0.58261109999999905</v>
      </c>
      <c r="T6108">
        <v>-0.49110480000000001</v>
      </c>
      <c r="U6108">
        <v>-3.0252080000000001</v>
      </c>
      <c r="V6108">
        <v>0.15942809999999999</v>
      </c>
      <c r="W6108">
        <v>1.021159E-2</v>
      </c>
      <c r="X6108">
        <v>0.9871567</v>
      </c>
      <c r="Y6108">
        <v>0.37638490000000002</v>
      </c>
      <c r="Z6108">
        <v>0.1155668</v>
      </c>
      <c r="AA6108">
        <v>0.91922720000000002</v>
      </c>
      <c r="AB6108">
        <v>22</v>
      </c>
      <c r="AC6108">
        <v>1.1960999999999999</v>
      </c>
      <c r="AD6108">
        <v>-1.106565</v>
      </c>
      <c r="AE6108">
        <v>-6.6242530000000004</v>
      </c>
      <c r="AF6108">
        <v>2.5292986837127698</v>
      </c>
      <c r="AG6108">
        <v>-1.106565</v>
      </c>
      <c r="AH6108">
        <v>6.0465585208392501</v>
      </c>
      <c r="AI6108">
        <v>99.582969727832904</v>
      </c>
      <c r="AJ6108">
        <v>67.3002543254524</v>
      </c>
      <c r="AK6108">
        <v>6.6470074376812596</v>
      </c>
      <c r="AL6108">
        <v>89.414908806231793</v>
      </c>
      <c r="AM6108">
        <v>80.825814611809093</v>
      </c>
      <c r="AN6108">
        <v>0.99999997299741294</v>
      </c>
    </row>
    <row r="6109" spans="1:40" x14ac:dyDescent="0.25">
      <c r="A6109" t="str">
        <f>"20190312154417680"</f>
        <v>20190312154417680</v>
      </c>
      <c r="B6109" t="str">
        <f>"1552376657673753"</f>
        <v>1552376657673753</v>
      </c>
      <c r="C6109" t="s">
        <v>40</v>
      </c>
      <c r="D6109">
        <v>5.4398989999999996</v>
      </c>
      <c r="E6109">
        <v>0.58848819999999902</v>
      </c>
      <c r="F6109" t="s">
        <v>42</v>
      </c>
      <c r="G6109">
        <v>-305.22609999999997</v>
      </c>
      <c r="H6109">
        <v>-0.05</v>
      </c>
      <c r="I6109">
        <v>0.81773379999999996</v>
      </c>
      <c r="J6109">
        <v>-306.3963</v>
      </c>
      <c r="K6109">
        <v>1.056573</v>
      </c>
      <c r="L6109">
        <v>7.5163570000000002</v>
      </c>
      <c r="M6109">
        <v>0.53807930000000004</v>
      </c>
      <c r="N6109">
        <v>0</v>
      </c>
      <c r="O6109">
        <v>-0.84277769999999996</v>
      </c>
      <c r="P6109">
        <v>0.39743830000000002</v>
      </c>
      <c r="Q6109">
        <v>-2.211995E-3</v>
      </c>
      <c r="R6109">
        <v>-0.91762619999999895</v>
      </c>
      <c r="S6109">
        <v>0.56356809999999902</v>
      </c>
      <c r="T6109">
        <v>-0.48686960000000001</v>
      </c>
      <c r="U6109">
        <v>-3.0287169999999999</v>
      </c>
      <c r="V6109">
        <v>0.1589227</v>
      </c>
      <c r="W6109">
        <v>1.010955E-2</v>
      </c>
      <c r="X6109">
        <v>0.98723919999999998</v>
      </c>
      <c r="Y6109">
        <v>0.3760366</v>
      </c>
      <c r="Z6109">
        <v>0.1153354</v>
      </c>
      <c r="AA6109">
        <v>0.91939879999999996</v>
      </c>
      <c r="AB6109">
        <v>22</v>
      </c>
      <c r="AC6109">
        <v>1.1702000000000199</v>
      </c>
      <c r="AD6109">
        <v>-1.106573</v>
      </c>
      <c r="AE6109">
        <v>-6.6986232000000001</v>
      </c>
      <c r="AF6109">
        <v>2.5508794529061101</v>
      </c>
      <c r="AG6109">
        <v>-1.106573</v>
      </c>
      <c r="AH6109">
        <v>6.1138270189341597</v>
      </c>
      <c r="AI6109">
        <v>99.483074245936905</v>
      </c>
      <c r="AJ6109">
        <v>67.352579466193305</v>
      </c>
      <c r="AK6109">
        <v>6.7164254335946403</v>
      </c>
      <c r="AL6109">
        <v>89.420755546256302</v>
      </c>
      <c r="AM6109">
        <v>80.855156625935606</v>
      </c>
      <c r="AN6109">
        <v>0.99999993279656396</v>
      </c>
    </row>
    <row r="6110" spans="1:40" x14ac:dyDescent="0.25">
      <c r="A6110" t="str">
        <f>"20190312154417703"</f>
        <v>20190312154417703</v>
      </c>
      <c r="B6110" t="str">
        <f>"1552376657693275"</f>
        <v>1552376657693275</v>
      </c>
      <c r="C6110" t="s">
        <v>40</v>
      </c>
      <c r="D6110">
        <v>5.4949760000000003</v>
      </c>
      <c r="E6110">
        <v>0.58831049999999996</v>
      </c>
      <c r="F6110" t="s">
        <v>42</v>
      </c>
      <c r="G6110">
        <v>-305.15069999999997</v>
      </c>
      <c r="H6110">
        <v>-0.05</v>
      </c>
      <c r="I6110">
        <v>0.60014339999999999</v>
      </c>
      <c r="J6110">
        <v>-306.28590000000003</v>
      </c>
      <c r="K6110">
        <v>1.056581</v>
      </c>
      <c r="L6110">
        <v>7.3290100000000002</v>
      </c>
      <c r="M6110">
        <v>0.53245129999999996</v>
      </c>
      <c r="N6110">
        <v>0</v>
      </c>
      <c r="O6110">
        <v>-0.84634480000000001</v>
      </c>
      <c r="P6110">
        <v>0.39058470000000001</v>
      </c>
      <c r="Q6110">
        <v>-2.5459189999999998E-3</v>
      </c>
      <c r="R6110">
        <v>-0.92056349999999998</v>
      </c>
      <c r="S6110">
        <v>0.54602050000000002</v>
      </c>
      <c r="T6110">
        <v>-0.48505429999999999</v>
      </c>
      <c r="U6110">
        <v>-3.031647</v>
      </c>
      <c r="V6110">
        <v>0.1597016</v>
      </c>
      <c r="W6110">
        <v>9.7667269999999994E-3</v>
      </c>
      <c r="X6110">
        <v>0.98711709999999997</v>
      </c>
      <c r="Y6110">
        <v>0.37517650000000002</v>
      </c>
      <c r="Z6110">
        <v>0.11568730000000001</v>
      </c>
      <c r="AA6110">
        <v>0.91970589999999997</v>
      </c>
      <c r="AB6110">
        <v>22</v>
      </c>
      <c r="AC6110">
        <v>1.1352000000000499</v>
      </c>
      <c r="AD6110">
        <v>-1.106581</v>
      </c>
      <c r="AE6110">
        <v>-6.7288665999999999</v>
      </c>
      <c r="AF6110">
        <v>2.5550908628409199</v>
      </c>
      <c r="AG6110">
        <v>-1.106581</v>
      </c>
      <c r="AH6110">
        <v>6.1385759308802399</v>
      </c>
      <c r="AI6110">
        <v>99.448879776927996</v>
      </c>
      <c r="AJ6110">
        <v>67.401206628788998</v>
      </c>
      <c r="AK6110">
        <v>6.74055823252914</v>
      </c>
      <c r="AL6110">
        <v>89.440398910895794</v>
      </c>
      <c r="AM6110">
        <v>80.809982167271301</v>
      </c>
      <c r="AN6110">
        <v>1.0000000795556201</v>
      </c>
    </row>
    <row r="6111" spans="1:40" x14ac:dyDescent="0.25">
      <c r="A6111" t="str">
        <f>"20190312154417725"</f>
        <v>20190312154417725</v>
      </c>
      <c r="B6111" t="str">
        <f>"1552376657713770"</f>
        <v>1552376657713770</v>
      </c>
      <c r="C6111" t="s">
        <v>40</v>
      </c>
      <c r="D6111">
        <v>5.479762</v>
      </c>
      <c r="E6111">
        <v>0.58815519999999999</v>
      </c>
      <c r="F6111" t="s">
        <v>42</v>
      </c>
      <c r="G6111">
        <v>-305.08370000000002</v>
      </c>
      <c r="H6111">
        <v>-0.05</v>
      </c>
      <c r="I6111">
        <v>0.37905879999999997</v>
      </c>
      <c r="J6111">
        <v>-306.17790000000002</v>
      </c>
      <c r="K6111">
        <v>1.056586</v>
      </c>
      <c r="L6111">
        <v>7.1429140000000002</v>
      </c>
      <c r="M6111">
        <v>0.52685269999999995</v>
      </c>
      <c r="N6111">
        <v>0</v>
      </c>
      <c r="O6111">
        <v>-0.84984110000000002</v>
      </c>
      <c r="P6111">
        <v>0.38378970000000001</v>
      </c>
      <c r="Q6111">
        <v>-2.4554490000000002E-3</v>
      </c>
      <c r="R6111">
        <v>-0.9234173</v>
      </c>
      <c r="S6111">
        <v>0.52496339999999997</v>
      </c>
      <c r="T6111">
        <v>-0.48320839999999998</v>
      </c>
      <c r="U6111">
        <v>-3.034821</v>
      </c>
      <c r="V6111">
        <v>0.16046099999999999</v>
      </c>
      <c r="W6111">
        <v>9.8477840000000001E-3</v>
      </c>
      <c r="X6111">
        <v>0.98699309999999996</v>
      </c>
      <c r="Y6111">
        <v>0.37541659999999999</v>
      </c>
      <c r="Z6111">
        <v>0.115972699999999</v>
      </c>
      <c r="AA6111">
        <v>0.91957199999999994</v>
      </c>
      <c r="AB6111">
        <v>21</v>
      </c>
      <c r="AC6111">
        <v>1.0942000000000001</v>
      </c>
      <c r="AD6111">
        <v>-1.1065860000000001</v>
      </c>
      <c r="AE6111">
        <v>-6.7638551999999903</v>
      </c>
      <c r="AF6111">
        <v>2.5669629796217599</v>
      </c>
      <c r="AG6111">
        <v>-1.1065860000000001</v>
      </c>
      <c r="AH6111">
        <v>6.1645145147443703</v>
      </c>
      <c r="AI6111">
        <v>99.409303656378498</v>
      </c>
      <c r="AJ6111">
        <v>67.3926865563635</v>
      </c>
      <c r="AK6111">
        <v>6.7686830858475497</v>
      </c>
      <c r="AL6111">
        <v>89.435754444634398</v>
      </c>
      <c r="AM6111">
        <v>80.765893424935598</v>
      </c>
      <c r="AN6111">
        <v>1.00000004540915</v>
      </c>
    </row>
    <row r="6112" spans="1:40" x14ac:dyDescent="0.25">
      <c r="A6112" t="str">
        <f>"20190312154417747"</f>
        <v>20190312154417747</v>
      </c>
      <c r="B6112" t="str">
        <f>"1552376657733289"</f>
        <v>1552376657733289</v>
      </c>
      <c r="C6112" t="s">
        <v>40</v>
      </c>
      <c r="D6112">
        <v>5.4617820000000004</v>
      </c>
      <c r="E6112">
        <v>0.58792670000000002</v>
      </c>
      <c r="F6112" t="s">
        <v>42</v>
      </c>
      <c r="G6112">
        <v>-305.01799999999997</v>
      </c>
      <c r="H6112">
        <v>-0.05</v>
      </c>
      <c r="I6112">
        <v>0.146041899999999</v>
      </c>
      <c r="J6112">
        <v>-306.07040000000001</v>
      </c>
      <c r="K6112">
        <v>1.056592</v>
      </c>
      <c r="L6112">
        <v>6.9548030000000001</v>
      </c>
      <c r="M6112">
        <v>0.52118180000000003</v>
      </c>
      <c r="N6112">
        <v>0</v>
      </c>
      <c r="O6112">
        <v>-0.8533309</v>
      </c>
      <c r="P6112">
        <v>0.37717070000000003</v>
      </c>
      <c r="Q6112">
        <v>-2.9270009999999998E-3</v>
      </c>
      <c r="R6112">
        <v>-0.9261393</v>
      </c>
      <c r="S6112">
        <v>0.50363159999999996</v>
      </c>
      <c r="T6112">
        <v>-0.48050569999999998</v>
      </c>
      <c r="U6112">
        <v>-3.038208</v>
      </c>
      <c r="V6112">
        <v>0.16094720000000001</v>
      </c>
      <c r="W6112">
        <v>9.3695380000000002E-3</v>
      </c>
      <c r="X6112">
        <v>0.98691859999999998</v>
      </c>
      <c r="Y6112">
        <v>0.37569190000000002</v>
      </c>
      <c r="Z6112">
        <v>0.11603869999999999</v>
      </c>
      <c r="AA6112">
        <v>0.91945129999999997</v>
      </c>
      <c r="AB6112">
        <v>21</v>
      </c>
      <c r="AC6112">
        <v>1.05240000000003</v>
      </c>
      <c r="AD6112">
        <v>-1.106592</v>
      </c>
      <c r="AE6112">
        <v>-6.8087610999999901</v>
      </c>
      <c r="AF6112">
        <v>2.5841507807478199</v>
      </c>
      <c r="AG6112">
        <v>-1.106592</v>
      </c>
      <c r="AH6112">
        <v>6.19931132575155</v>
      </c>
      <c r="AI6112">
        <v>99.356055548728307</v>
      </c>
      <c r="AJ6112">
        <v>67.371438402978796</v>
      </c>
      <c r="AK6112">
        <v>6.80689665160968</v>
      </c>
      <c r="AL6112">
        <v>89.463157191855501</v>
      </c>
      <c r="AM6112">
        <v>80.737711017505404</v>
      </c>
      <c r="AN6112">
        <v>1.00000005622806</v>
      </c>
    </row>
    <row r="6113" spans="1:40" x14ac:dyDescent="0.25">
      <c r="A6113" t="str">
        <f>"20190312154417771"</f>
        <v>20190312154417771</v>
      </c>
      <c r="B6113" t="str">
        <f>"1552376657763546"</f>
        <v>1552376657763546</v>
      </c>
      <c r="C6113" t="s">
        <v>40</v>
      </c>
      <c r="D6113">
        <v>5.2505459999999999</v>
      </c>
      <c r="E6113">
        <v>0.58777749999999995</v>
      </c>
      <c r="F6113" t="s">
        <v>42</v>
      </c>
      <c r="G6113">
        <v>-304.95589999999999</v>
      </c>
      <c r="H6113">
        <v>-0.05</v>
      </c>
      <c r="I6113">
        <v>-6.658936E-2</v>
      </c>
      <c r="J6113">
        <v>-305.96039999999999</v>
      </c>
      <c r="K6113">
        <v>1.056594</v>
      </c>
      <c r="L6113">
        <v>6.7590329999999996</v>
      </c>
      <c r="M6113">
        <v>0.51525370000000004</v>
      </c>
      <c r="N6113">
        <v>0</v>
      </c>
      <c r="O6113">
        <v>-0.85692359999999901</v>
      </c>
      <c r="P6113">
        <v>0.37032710000000002</v>
      </c>
      <c r="Q6113">
        <v>-2.9322300000000001E-3</v>
      </c>
      <c r="R6113">
        <v>-0.92889730000000004</v>
      </c>
      <c r="S6113">
        <v>0.48272710000000002</v>
      </c>
      <c r="T6113">
        <v>-0.47929280000000002</v>
      </c>
      <c r="U6113">
        <v>-3.0411380000000001</v>
      </c>
      <c r="V6113">
        <v>0.16138729999999901</v>
      </c>
      <c r="W6113">
        <v>9.3552349999999999E-3</v>
      </c>
      <c r="X6113">
        <v>0.98684680000000002</v>
      </c>
      <c r="Y6113">
        <v>0.37557459999999998</v>
      </c>
      <c r="Z6113">
        <v>0.11650099999999999</v>
      </c>
      <c r="AA6113">
        <v>0.9194407</v>
      </c>
      <c r="AB6113">
        <v>21</v>
      </c>
      <c r="AC6113">
        <v>1.0044999999999999</v>
      </c>
      <c r="AD6113">
        <v>-1.1065940000000001</v>
      </c>
      <c r="AE6113">
        <v>-6.8256223599999997</v>
      </c>
      <c r="AF6113">
        <v>2.5897802949943598</v>
      </c>
      <c r="AG6113">
        <v>-1.1065940000000001</v>
      </c>
      <c r="AH6113">
        <v>6.2075316299884902</v>
      </c>
      <c r="AI6113">
        <v>99.342743936461403</v>
      </c>
      <c r="AJ6113">
        <v>67.354117556309404</v>
      </c>
      <c r="AK6113">
        <v>6.8165211944572297</v>
      </c>
      <c r="AL6113">
        <v>89.463976695823703</v>
      </c>
      <c r="AM6113">
        <v>80.712160654148306</v>
      </c>
      <c r="AN6113">
        <v>0.99999999384671701</v>
      </c>
    </row>
    <row r="6114" spans="1:40" x14ac:dyDescent="0.25">
      <c r="A6114" t="str">
        <f>"20190312154417792"</f>
        <v>20190312154417792</v>
      </c>
      <c r="B6114" t="str">
        <f>"1552376657784043"</f>
        <v>1552376657784043</v>
      </c>
      <c r="C6114" t="s">
        <v>40</v>
      </c>
      <c r="D6114">
        <v>5.4677300000000004</v>
      </c>
      <c r="E6114">
        <v>0.58749110000000004</v>
      </c>
      <c r="F6114" t="s">
        <v>42</v>
      </c>
      <c r="G6114">
        <v>-304.88810000000001</v>
      </c>
      <c r="H6114">
        <v>-0.05</v>
      </c>
      <c r="I6114">
        <v>-0.32530209999999998</v>
      </c>
      <c r="J6114">
        <v>-305.85719999999998</v>
      </c>
      <c r="K6114">
        <v>1.056592</v>
      </c>
      <c r="L6114">
        <v>6.572235</v>
      </c>
      <c r="M6114">
        <v>0.50955969999999995</v>
      </c>
      <c r="N6114">
        <v>0</v>
      </c>
      <c r="O6114">
        <v>-0.86032160000000002</v>
      </c>
      <c r="P6114">
        <v>0.36440210000000001</v>
      </c>
      <c r="Q6114">
        <v>-1.7587169999999999E-3</v>
      </c>
      <c r="R6114">
        <v>-0.93124030000000002</v>
      </c>
      <c r="S6114">
        <v>0.46081539999999999</v>
      </c>
      <c r="T6114">
        <v>-0.47554469999999999</v>
      </c>
      <c r="U6114">
        <v>-3.044403</v>
      </c>
      <c r="V6114">
        <v>0.1611427</v>
      </c>
      <c r="W6114">
        <v>1.052486E-2</v>
      </c>
      <c r="X6114">
        <v>0.98687499999999995</v>
      </c>
      <c r="Y6114">
        <v>0.37603769999999997</v>
      </c>
      <c r="Z6114">
        <v>0.1162786</v>
      </c>
      <c r="AA6114">
        <v>0.91927959999999997</v>
      </c>
      <c r="AB6114">
        <v>21</v>
      </c>
      <c r="AC6114">
        <v>0.96909999999996899</v>
      </c>
      <c r="AD6114">
        <v>-1.106592</v>
      </c>
      <c r="AE6114">
        <v>-6.8975371000000001</v>
      </c>
      <c r="AF6114">
        <v>2.61522214523885</v>
      </c>
      <c r="AG6114">
        <v>-1.106592</v>
      </c>
      <c r="AH6114">
        <v>6.2702785934966698</v>
      </c>
      <c r="AI6114">
        <v>99.251237811144193</v>
      </c>
      <c r="AJ6114">
        <v>67.359847358929898</v>
      </c>
      <c r="AK6114">
        <v>6.8833368625597799</v>
      </c>
      <c r="AL6114">
        <v>89.396958810702102</v>
      </c>
      <c r="AM6114">
        <v>80.726253023126105</v>
      </c>
      <c r="AN6114">
        <v>1.00000000403315</v>
      </c>
    </row>
    <row r="6115" spans="1:40" x14ac:dyDescent="0.25">
      <c r="A6115" t="str">
        <f>"20190312154417815"</f>
        <v>20190312154417815</v>
      </c>
      <c r="B6115" t="str">
        <f>"1552376657803561"</f>
        <v>1552376657803561</v>
      </c>
      <c r="C6115" t="s">
        <v>40</v>
      </c>
      <c r="D6115">
        <v>5.4715509999999998</v>
      </c>
      <c r="E6115">
        <v>0.58722669999999999</v>
      </c>
      <c r="F6115" t="s">
        <v>42</v>
      </c>
      <c r="G6115">
        <v>-304.81299999999999</v>
      </c>
      <c r="H6115">
        <v>-0.05</v>
      </c>
      <c r="I6115">
        <v>-0.59048459999999903</v>
      </c>
      <c r="J6115">
        <v>-305.7552</v>
      </c>
      <c r="K6115">
        <v>1.0565739999999999</v>
      </c>
      <c r="L6115">
        <v>6.3846439999999998</v>
      </c>
      <c r="M6115">
        <v>0.50380270000000005</v>
      </c>
      <c r="N6115">
        <v>0</v>
      </c>
      <c r="O6115">
        <v>-0.86370550000000001</v>
      </c>
      <c r="P6115">
        <v>0.35832019999999998</v>
      </c>
      <c r="Q6115" s="1">
        <v>-3.0607629999999997E-5</v>
      </c>
      <c r="R6115">
        <v>-0.93359910000000002</v>
      </c>
      <c r="S6115">
        <v>0.44415280000000001</v>
      </c>
      <c r="T6115">
        <v>-0.4707114</v>
      </c>
      <c r="U6115">
        <v>-3.0468139999999999</v>
      </c>
      <c r="V6115">
        <v>0.16100699999999901</v>
      </c>
      <c r="W6115">
        <v>1.2246129999999999E-2</v>
      </c>
      <c r="X6115">
        <v>0.98687729999999996</v>
      </c>
      <c r="Y6115">
        <v>0.37486960000000003</v>
      </c>
      <c r="Z6115">
        <v>0.1158517</v>
      </c>
      <c r="AA6115">
        <v>0.91981040000000003</v>
      </c>
      <c r="AB6115">
        <v>21</v>
      </c>
      <c r="AC6115">
        <v>0.94220000000001403</v>
      </c>
      <c r="AD6115">
        <v>-1.1065739999999999</v>
      </c>
      <c r="AE6115">
        <v>-6.9751285999999997</v>
      </c>
      <c r="AF6115">
        <v>2.6354284446533902</v>
      </c>
      <c r="AG6115">
        <v>-1.1065739999999999</v>
      </c>
      <c r="AH6115">
        <v>6.3429931426745503</v>
      </c>
      <c r="AI6115">
        <v>99.151932910326195</v>
      </c>
      <c r="AJ6115">
        <v>67.437771737248497</v>
      </c>
      <c r="AK6115">
        <v>6.9572660659472101</v>
      </c>
      <c r="AL6115">
        <v>89.298330906410399</v>
      </c>
      <c r="AM6115">
        <v>80.733948251591997</v>
      </c>
      <c r="AN6115">
        <v>1.0000000135021301</v>
      </c>
    </row>
    <row r="6116" spans="1:40" x14ac:dyDescent="0.25">
      <c r="A6116" t="str">
        <f>"20190312154417836"</f>
        <v>20190312154417836</v>
      </c>
      <c r="B6116" t="str">
        <f>"1552376657824057"</f>
        <v>1552376657824057</v>
      </c>
      <c r="C6116" t="s">
        <v>40</v>
      </c>
      <c r="D6116">
        <v>5.4475800000000003</v>
      </c>
      <c r="E6116">
        <v>0.58707129999999996</v>
      </c>
      <c r="F6116" t="s">
        <v>43</v>
      </c>
      <c r="G6116">
        <v>-304.78440000000001</v>
      </c>
      <c r="H6116" s="1">
        <v>-5.070171E-6</v>
      </c>
      <c r="I6116">
        <v>-0.55676269999999894</v>
      </c>
      <c r="J6116">
        <v>-305.65600000000001</v>
      </c>
      <c r="K6116">
        <v>1.0565560000000001</v>
      </c>
      <c r="L6116">
        <v>6.1992190000000003</v>
      </c>
      <c r="M6116">
        <v>0.49805850000000002</v>
      </c>
      <c r="N6116">
        <v>0</v>
      </c>
      <c r="O6116">
        <v>-0.86703059999999998</v>
      </c>
      <c r="P6116">
        <v>0.35255609999999998</v>
      </c>
      <c r="Q6116">
        <v>1.8119360000000001E-3</v>
      </c>
      <c r="R6116">
        <v>-0.93578939999999999</v>
      </c>
      <c r="S6116">
        <v>0.42648320000000001</v>
      </c>
      <c r="T6116">
        <v>-0.46419969999999999</v>
      </c>
      <c r="U6116">
        <v>-3.049652</v>
      </c>
      <c r="V6116">
        <v>0.1605598</v>
      </c>
      <c r="W6116">
        <v>1.408275E-2</v>
      </c>
      <c r="X6116">
        <v>0.98692570000000002</v>
      </c>
      <c r="Y6116">
        <v>0.37404809999999999</v>
      </c>
      <c r="Z6116">
        <v>0.1149638</v>
      </c>
      <c r="AA6116">
        <v>0.92025610000000002</v>
      </c>
      <c r="AB6116">
        <v>21</v>
      </c>
      <c r="AC6116">
        <v>0.87160000000000004</v>
      </c>
      <c r="AD6116">
        <v>-1.056561070171</v>
      </c>
      <c r="AE6116">
        <v>-6.7559816999999898</v>
      </c>
      <c r="AF6116">
        <v>2.5481250312547501</v>
      </c>
      <c r="AG6116">
        <v>-1.056561070171</v>
      </c>
      <c r="AH6116">
        <v>6.1445462954138304</v>
      </c>
      <c r="AI6116">
        <v>99.025174701037798</v>
      </c>
      <c r="AJ6116">
        <v>67.476360596774001</v>
      </c>
      <c r="AK6116">
        <v>6.7353330761285903</v>
      </c>
      <c r="AL6116">
        <v>89.193091232622294</v>
      </c>
      <c r="AM6116">
        <v>80.759685657752001</v>
      </c>
      <c r="AN6116">
        <v>1.0000000552720401</v>
      </c>
    </row>
    <row r="6117" spans="1:40" x14ac:dyDescent="0.25">
      <c r="A6117" t="str">
        <f>"20190312154417859"</f>
        <v>20190312154417859</v>
      </c>
      <c r="B6117" t="str">
        <f>"1552376657853799"</f>
        <v>1552376657853799</v>
      </c>
      <c r="C6117" t="s">
        <v>40</v>
      </c>
      <c r="D6117">
        <v>5.8230250000000003</v>
      </c>
      <c r="E6117">
        <v>0.58692460000000002</v>
      </c>
      <c r="F6117" t="s">
        <v>43</v>
      </c>
      <c r="G6117">
        <v>-304.71089999999998</v>
      </c>
      <c r="H6117" s="1">
        <v>-4.9424259999999998E-6</v>
      </c>
      <c r="I6117">
        <v>-0.85543919999999996</v>
      </c>
      <c r="J6117">
        <v>-305.55439999999999</v>
      </c>
      <c r="K6117">
        <v>1.056524</v>
      </c>
      <c r="L6117">
        <v>6.0059809999999896</v>
      </c>
      <c r="M6117">
        <v>0.49199579999999998</v>
      </c>
      <c r="N6117">
        <v>0</v>
      </c>
      <c r="O6117">
        <v>-0.87048490000000001</v>
      </c>
      <c r="P6117">
        <v>0.34605520000000001</v>
      </c>
      <c r="Q6117">
        <v>4.0695059999999996E-3</v>
      </c>
      <c r="R6117">
        <v>-0.93820519999999996</v>
      </c>
      <c r="S6117">
        <v>0.4089661</v>
      </c>
      <c r="T6117">
        <v>-0.45719219999999999</v>
      </c>
      <c r="U6117">
        <v>-3.052673</v>
      </c>
      <c r="V6117">
        <v>0.16053979999999901</v>
      </c>
      <c r="W6117">
        <v>1.6326489999999999E-2</v>
      </c>
      <c r="X6117">
        <v>0.9868943</v>
      </c>
      <c r="Y6117">
        <v>0.37287150000000002</v>
      </c>
      <c r="Z6117">
        <v>0.1139651</v>
      </c>
      <c r="AA6117">
        <v>0.9208577</v>
      </c>
      <c r="AB6117">
        <v>21</v>
      </c>
      <c r="AC6117">
        <v>0.84350000000000502</v>
      </c>
      <c r="AD6117">
        <v>-1.056528942426</v>
      </c>
      <c r="AE6117">
        <v>-6.8614202000000004</v>
      </c>
      <c r="AF6117">
        <v>2.5814985044139398</v>
      </c>
      <c r="AG6117">
        <v>-1.056528942426</v>
      </c>
      <c r="AH6117">
        <v>6.2425787089927898</v>
      </c>
      <c r="AI6117">
        <v>98.889063507365606</v>
      </c>
      <c r="AJ6117">
        <v>67.533399052129397</v>
      </c>
      <c r="AK6117">
        <v>6.8374100997706204</v>
      </c>
      <c r="AL6117">
        <v>89.064519438624899</v>
      </c>
      <c r="AM6117">
        <v>80.760527925927406</v>
      </c>
      <c r="AN6117">
        <v>0.99999997051612399</v>
      </c>
    </row>
    <row r="6118" spans="1:40" x14ac:dyDescent="0.25">
      <c r="A6118" t="str">
        <f>"20190312154417882"</f>
        <v>20190312154417882</v>
      </c>
      <c r="B6118" t="str">
        <f>"1552376657873319"</f>
        <v>1552376657873319</v>
      </c>
      <c r="C6118" t="s">
        <v>40</v>
      </c>
      <c r="D6118">
        <v>5.598185</v>
      </c>
      <c r="E6118">
        <v>0.61305430000000005</v>
      </c>
      <c r="F6118" t="s">
        <v>43</v>
      </c>
      <c r="G6118">
        <v>-304.63850000000002</v>
      </c>
      <c r="H6118" s="1">
        <v>-4.8023709999999998E-6</v>
      </c>
      <c r="I6118">
        <v>-1.186698</v>
      </c>
      <c r="J6118">
        <v>-305.45569999999998</v>
      </c>
      <c r="K6118">
        <v>1.05647</v>
      </c>
      <c r="L6118">
        <v>5.8150019999999998</v>
      </c>
      <c r="M6118">
        <v>0.48591319999999999</v>
      </c>
      <c r="N6118">
        <v>0</v>
      </c>
      <c r="O6118">
        <v>-0.87389490000000003</v>
      </c>
      <c r="P6118">
        <v>0.33924300000000002</v>
      </c>
      <c r="Q6118">
        <v>4.2771420000000003E-3</v>
      </c>
      <c r="R6118">
        <v>-0.9406892</v>
      </c>
      <c r="S6118">
        <v>0.38916020000000001</v>
      </c>
      <c r="T6118">
        <v>-0.44889380000000001</v>
      </c>
      <c r="U6118">
        <v>-3.056</v>
      </c>
      <c r="V6118">
        <v>0.1608174</v>
      </c>
      <c r="W6118">
        <v>1.6514330000000001E-2</v>
      </c>
      <c r="X6118">
        <v>0.986846</v>
      </c>
      <c r="Y6118">
        <v>0.37238260000000001</v>
      </c>
      <c r="Z6118">
        <v>0.1125877</v>
      </c>
      <c r="AA6118">
        <v>0.92122479999999995</v>
      </c>
      <c r="AB6118">
        <v>21</v>
      </c>
      <c r="AC6118">
        <v>0.81719999999995696</v>
      </c>
      <c r="AD6118">
        <v>-1.056474802371</v>
      </c>
      <c r="AE6118">
        <v>-7.0016999999999996</v>
      </c>
      <c r="AF6118">
        <v>2.62927806057716</v>
      </c>
      <c r="AG6118">
        <v>-1.056474802371</v>
      </c>
      <c r="AH6118">
        <v>6.37332382676545</v>
      </c>
      <c r="AI6118">
        <v>98.712080274790395</v>
      </c>
      <c r="AJ6118">
        <v>67.581686176463805</v>
      </c>
      <c r="AK6118">
        <v>6.9748475774523904</v>
      </c>
      <c r="AL6118">
        <v>89.053755569565496</v>
      </c>
      <c r="AM6118">
        <v>80.744382437872503</v>
      </c>
      <c r="AN6118">
        <v>0.99999999347705404</v>
      </c>
    </row>
    <row r="6119" spans="1:40" x14ac:dyDescent="0.25">
      <c r="A6119" t="str">
        <f>"20190312154417903"</f>
        <v>20190312154417903</v>
      </c>
      <c r="B6119" t="str">
        <f>"1552376657893815"</f>
        <v>1552376657893815</v>
      </c>
      <c r="C6119" t="s">
        <v>40</v>
      </c>
      <c r="D6119">
        <v>5.622471</v>
      </c>
      <c r="E6119">
        <v>0.61967950000000005</v>
      </c>
      <c r="F6119" t="s">
        <v>42</v>
      </c>
      <c r="G6119">
        <v>-305.16070000000002</v>
      </c>
      <c r="H6119">
        <v>-0.05</v>
      </c>
      <c r="I6119">
        <v>0.42755130000000002</v>
      </c>
      <c r="J6119">
        <v>-305.35910000000001</v>
      </c>
      <c r="K6119">
        <v>1.0564020000000001</v>
      </c>
      <c r="L6119">
        <v>5.6244199999999998</v>
      </c>
      <c r="M6119">
        <v>0.47974299999999998</v>
      </c>
      <c r="N6119">
        <v>0</v>
      </c>
      <c r="O6119">
        <v>-0.87729729999999995</v>
      </c>
      <c r="P6119">
        <v>0.33190599999999998</v>
      </c>
      <c r="Q6119">
        <v>3.607851E-3</v>
      </c>
      <c r="R6119">
        <v>-0.94330599999999998</v>
      </c>
      <c r="S6119">
        <v>0.1713867</v>
      </c>
      <c r="T6119">
        <v>-0.64289209999999997</v>
      </c>
      <c r="U6119">
        <v>-3.13028</v>
      </c>
      <c r="V6119">
        <v>0.16154679999999999</v>
      </c>
      <c r="W6119">
        <v>1.5817290000000001E-2</v>
      </c>
      <c r="X6119">
        <v>0.98673829999999996</v>
      </c>
      <c r="Y6119">
        <v>0.43133559999999999</v>
      </c>
      <c r="Z6119">
        <v>0.15465129999999999</v>
      </c>
      <c r="AA6119">
        <v>0.88883780000000001</v>
      </c>
      <c r="AB6119">
        <v>21</v>
      </c>
      <c r="AC6119">
        <v>0.198399999999992</v>
      </c>
      <c r="AD6119">
        <v>-1.1064020000000001</v>
      </c>
      <c r="AE6119">
        <v>-5.1968686999999996</v>
      </c>
      <c r="AF6119">
        <v>2.2189063905974402</v>
      </c>
      <c r="AG6119">
        <v>-1.1064020000000001</v>
      </c>
      <c r="AH6119">
        <v>4.4532828942669598</v>
      </c>
      <c r="AI6119">
        <v>102.536956737415</v>
      </c>
      <c r="AJ6119">
        <v>63.514619294617397</v>
      </c>
      <c r="AK6119">
        <v>5.0969990673148899</v>
      </c>
      <c r="AL6119">
        <v>89.093698258879897</v>
      </c>
      <c r="AM6119">
        <v>80.702137208649404</v>
      </c>
      <c r="AN6119">
        <v>1.00000001397003</v>
      </c>
    </row>
    <row r="6120" spans="1:40" x14ac:dyDescent="0.25">
      <c r="A6120" t="str">
        <f>"20190312154417926"</f>
        <v>20190312154417926</v>
      </c>
      <c r="B6120" t="str">
        <f>"1552376657913335"</f>
        <v>1552376657913335</v>
      </c>
      <c r="C6120" t="s">
        <v>40</v>
      </c>
      <c r="D6120">
        <v>5.5595350000000003</v>
      </c>
      <c r="E6120">
        <v>0.62245950000000005</v>
      </c>
      <c r="F6120" t="s">
        <v>42</v>
      </c>
      <c r="G6120">
        <v>-305.19400000000002</v>
      </c>
      <c r="H6120">
        <v>-0.05</v>
      </c>
      <c r="I6120">
        <v>0.22909550000000001</v>
      </c>
      <c r="J6120">
        <v>-305.26530000000002</v>
      </c>
      <c r="K6120">
        <v>1.0563290000000001</v>
      </c>
      <c r="L6120">
        <v>5.4357600000000001</v>
      </c>
      <c r="M6120">
        <v>0.47352830000000001</v>
      </c>
      <c r="N6120">
        <v>0</v>
      </c>
      <c r="O6120">
        <v>-0.88066699999999998</v>
      </c>
      <c r="P6120">
        <v>0.32411119999999999</v>
      </c>
      <c r="Q6120">
        <v>2.7997679999999998E-3</v>
      </c>
      <c r="R6120">
        <v>-0.94601489999999999</v>
      </c>
      <c r="S6120">
        <v>9.6374509999999997E-2</v>
      </c>
      <c r="T6120">
        <v>-0.64572669999999999</v>
      </c>
      <c r="U6120">
        <v>-3.1488649999999998</v>
      </c>
      <c r="V6120">
        <v>0.16270809999999999</v>
      </c>
      <c r="W6120">
        <v>1.497529E-2</v>
      </c>
      <c r="X6120">
        <v>0.98656060000000001</v>
      </c>
      <c r="Y6120">
        <v>0.44627889999999998</v>
      </c>
      <c r="Z6120">
        <v>0.15469179999999999</v>
      </c>
      <c r="AA6120">
        <v>0.8814225</v>
      </c>
      <c r="AB6120">
        <v>21</v>
      </c>
      <c r="AC6120">
        <v>7.1300000000007899E-2</v>
      </c>
      <c r="AD6120">
        <v>-1.1063289999999999</v>
      </c>
      <c r="AE6120">
        <v>-5.2066644999999996</v>
      </c>
      <c r="AF6120">
        <v>2.2991619316204202</v>
      </c>
      <c r="AG6120">
        <v>-1.1063289999999999</v>
      </c>
      <c r="AH6120">
        <v>4.4200311088380202</v>
      </c>
      <c r="AI6120">
        <v>102.519626206303</v>
      </c>
      <c r="AJ6120">
        <v>62.517959453772498</v>
      </c>
      <c r="AK6120">
        <v>5.1036050441966498</v>
      </c>
      <c r="AL6120">
        <v>89.141947014026201</v>
      </c>
      <c r="AM6120">
        <v>80.634821255803601</v>
      </c>
      <c r="AN6120">
        <v>1.00000000129427</v>
      </c>
    </row>
    <row r="6121" spans="1:40" x14ac:dyDescent="0.25">
      <c r="A6121" t="str">
        <f>"20190312154417949"</f>
        <v>20190312154417949</v>
      </c>
      <c r="B6121" t="str">
        <f>"1552376657943591"</f>
        <v>1552376657943591</v>
      </c>
      <c r="C6121" t="s">
        <v>40</v>
      </c>
      <c r="D6121">
        <v>5.6101549999999998</v>
      </c>
      <c r="E6121">
        <v>0.623305</v>
      </c>
      <c r="F6121" t="s">
        <v>42</v>
      </c>
      <c r="G6121">
        <v>-305.18200000000002</v>
      </c>
      <c r="H6121">
        <v>-0.05</v>
      </c>
      <c r="I6121">
        <v>3.720093E-2</v>
      </c>
      <c r="J6121">
        <v>-305.16950000000003</v>
      </c>
      <c r="K6121">
        <v>1.056265</v>
      </c>
      <c r="L6121">
        <v>5.2395319999999996</v>
      </c>
      <c r="M6121">
        <v>0.46694720000000001</v>
      </c>
      <c r="N6121">
        <v>0</v>
      </c>
      <c r="O6121">
        <v>-0.88417389999999996</v>
      </c>
      <c r="P6121">
        <v>0.31645099999999998</v>
      </c>
      <c r="Q6121">
        <v>2.3503299999999999E-3</v>
      </c>
      <c r="R6121">
        <v>-0.94860610000000001</v>
      </c>
      <c r="S6121">
        <v>4.8706050000000001E-2</v>
      </c>
      <c r="T6121">
        <v>-0.64685049999999999</v>
      </c>
      <c r="U6121">
        <v>-3.1564329999999998</v>
      </c>
      <c r="V6121">
        <v>0.16332650000000001</v>
      </c>
      <c r="W6121">
        <v>1.4498509999999999E-2</v>
      </c>
      <c r="X6121">
        <v>0.9864655</v>
      </c>
      <c r="Y6121">
        <v>0.45295059999999898</v>
      </c>
      <c r="Z6121">
        <v>0.1552801</v>
      </c>
      <c r="AA6121">
        <v>0.87790879999999905</v>
      </c>
      <c r="AB6121">
        <v>21</v>
      </c>
      <c r="AC6121">
        <v>-1.24999999999886E-2</v>
      </c>
      <c r="AD6121">
        <v>-1.1062650000000001</v>
      </c>
      <c r="AE6121">
        <v>-5.2023310699999996</v>
      </c>
      <c r="AF6121">
        <v>2.3349236436099101</v>
      </c>
      <c r="AG6121">
        <v>-1.1062650000000001</v>
      </c>
      <c r="AH6121">
        <v>4.3956158291090901</v>
      </c>
      <c r="AI6121">
        <v>102.531034379052</v>
      </c>
      <c r="AJ6121">
        <v>62.023039302949201</v>
      </c>
      <c r="AK6121">
        <v>5.0987379996257802</v>
      </c>
      <c r="AL6121">
        <v>89.169267434802293</v>
      </c>
      <c r="AM6121">
        <v>80.598971366885294</v>
      </c>
      <c r="AN6121">
        <v>0.99999996754235898</v>
      </c>
    </row>
    <row r="6122" spans="1:40" x14ac:dyDescent="0.25">
      <c r="A6122" t="str">
        <f>"20190312154417987"</f>
        <v>20190312154417987</v>
      </c>
      <c r="B6122" t="str">
        <f>"1552376657973847"</f>
        <v>1552376657973847</v>
      </c>
      <c r="C6122" t="s">
        <v>40</v>
      </c>
      <c r="D6122">
        <v>5.6191129999999996</v>
      </c>
      <c r="E6122">
        <v>0.62317319999999998</v>
      </c>
      <c r="F6122" t="s">
        <v>42</v>
      </c>
      <c r="G6122">
        <v>-305.1404</v>
      </c>
      <c r="H6122">
        <v>-0.05</v>
      </c>
      <c r="I6122">
        <v>-0.121933</v>
      </c>
      <c r="J6122">
        <v>-305.01569999999998</v>
      </c>
      <c r="K6122">
        <v>1.056168</v>
      </c>
      <c r="L6122">
        <v>4.9148560000000003</v>
      </c>
      <c r="M6122">
        <v>0.45580880000000001</v>
      </c>
      <c r="N6122">
        <v>0</v>
      </c>
      <c r="O6122">
        <v>-0.88996710000000001</v>
      </c>
      <c r="P6122">
        <v>0.3043419</v>
      </c>
      <c r="Q6122">
        <v>2.381593E-3</v>
      </c>
      <c r="R6122">
        <v>-0.95256019999999997</v>
      </c>
      <c r="S6122">
        <v>1.715088E-2</v>
      </c>
      <c r="T6122">
        <v>-0.65169730000000003</v>
      </c>
      <c r="U6122">
        <v>-3.158417</v>
      </c>
      <c r="V6122">
        <v>0.16351070000000001</v>
      </c>
      <c r="W6122">
        <v>1.4500890000000001E-2</v>
      </c>
      <c r="X6122">
        <v>0.98643499999999995</v>
      </c>
      <c r="Y6122">
        <v>0.4505498</v>
      </c>
      <c r="Z6122">
        <v>0.15814829999999999</v>
      </c>
      <c r="AA6122">
        <v>0.87863189999999902</v>
      </c>
      <c r="AB6122">
        <v>21</v>
      </c>
      <c r="AC6122">
        <v>-0.124700000000018</v>
      </c>
      <c r="AD6122">
        <v>-1.106168</v>
      </c>
      <c r="AE6122">
        <v>-5.0367889999999997</v>
      </c>
      <c r="AF6122">
        <v>2.2963395800597501</v>
      </c>
      <c r="AG6122">
        <v>-1.106168</v>
      </c>
      <c r="AH6122">
        <v>4.2226319765184996</v>
      </c>
      <c r="AI6122">
        <v>102.960016732648</v>
      </c>
      <c r="AJ6122">
        <v>61.461895153026099</v>
      </c>
      <c r="AK6122">
        <v>4.9322818167953004</v>
      </c>
      <c r="AL6122">
        <v>89.169131097622298</v>
      </c>
      <c r="AM6122">
        <v>80.588272659751993</v>
      </c>
      <c r="AN6122">
        <v>1.00000001702514</v>
      </c>
    </row>
    <row r="6123" spans="1:40" x14ac:dyDescent="0.25">
      <c r="A6123" t="str">
        <f>"20190312154418008"</f>
        <v>20190312154418008</v>
      </c>
      <c r="B6123" t="str">
        <f>"1552376658004103"</f>
        <v>1552376658004103</v>
      </c>
      <c r="C6123" t="s">
        <v>40</v>
      </c>
      <c r="D6123">
        <v>5.6425720000000004</v>
      </c>
      <c r="E6123">
        <v>0.62266219999999906</v>
      </c>
      <c r="F6123" t="s">
        <v>42</v>
      </c>
      <c r="G6123">
        <v>-305.05340000000001</v>
      </c>
      <c r="H6123">
        <v>-0.05</v>
      </c>
      <c r="I6123">
        <v>-0.45335389999999998</v>
      </c>
      <c r="J6123">
        <v>-304.93119999999999</v>
      </c>
      <c r="K6123">
        <v>1.0561309999999999</v>
      </c>
      <c r="L6123">
        <v>4.7317499999999999</v>
      </c>
      <c r="M6123">
        <v>0.44941799999999998</v>
      </c>
      <c r="N6123">
        <v>0</v>
      </c>
      <c r="O6123">
        <v>-0.89321099999999998</v>
      </c>
      <c r="P6123">
        <v>0.29768879999999998</v>
      </c>
      <c r="Q6123">
        <v>2.5698969999999998E-3</v>
      </c>
      <c r="R6123">
        <v>-0.95465949999999999</v>
      </c>
      <c r="S6123">
        <v>-2.2186279999999999E-2</v>
      </c>
      <c r="T6123">
        <v>-0.65075780000000005</v>
      </c>
      <c r="U6123">
        <v>-3.158112</v>
      </c>
      <c r="V6123">
        <v>0.16332550000000001</v>
      </c>
      <c r="W6123">
        <v>1.468302E-2</v>
      </c>
      <c r="X6123">
        <v>0.98646299999999998</v>
      </c>
      <c r="Y6123">
        <v>0.45508609999999999</v>
      </c>
      <c r="Z6123">
        <v>0.15865029999999999</v>
      </c>
      <c r="AA6123">
        <v>0.87620019999999998</v>
      </c>
      <c r="AB6123">
        <v>21</v>
      </c>
      <c r="AC6123">
        <v>-0.12220000000002</v>
      </c>
      <c r="AD6123">
        <v>-1.106131</v>
      </c>
      <c r="AE6123">
        <v>-5.1851038999999997</v>
      </c>
      <c r="AF6123">
        <v>2.3335324269775701</v>
      </c>
      <c r="AG6123">
        <v>-1.106131</v>
      </c>
      <c r="AH6123">
        <v>4.3778057340705301</v>
      </c>
      <c r="AI6123">
        <v>102.569613051844</v>
      </c>
      <c r="AJ6123">
        <v>61.940733444722298</v>
      </c>
      <c r="AK6123">
        <v>5.0827239175640502</v>
      </c>
      <c r="AL6123">
        <v>89.158694717401602</v>
      </c>
      <c r="AM6123">
        <v>80.599004499451198</v>
      </c>
      <c r="AN6123">
        <v>1.0000000301977801</v>
      </c>
    </row>
    <row r="6124" spans="1:40" x14ac:dyDescent="0.25">
      <c r="A6124" t="str">
        <f>"20190312154418026"</f>
        <v>20190312154418026</v>
      </c>
      <c r="B6124" t="str">
        <f>"1552376658013863"</f>
        <v>1552376658013863</v>
      </c>
      <c r="C6124" t="s">
        <v>40</v>
      </c>
      <c r="D6124">
        <v>5.6375909999999996</v>
      </c>
      <c r="E6124">
        <v>0.62232989999999999</v>
      </c>
      <c r="F6124" t="s">
        <v>42</v>
      </c>
      <c r="G6124">
        <v>-304.99990000000003</v>
      </c>
      <c r="H6124">
        <v>-0.05</v>
      </c>
      <c r="I6124">
        <v>-0.62431340000000002</v>
      </c>
      <c r="J6124">
        <v>-304.85579999999999</v>
      </c>
      <c r="K6124">
        <v>1.056098</v>
      </c>
      <c r="L6124">
        <v>4.5650629999999897</v>
      </c>
      <c r="M6124">
        <v>0.4435286</v>
      </c>
      <c r="N6124">
        <v>0</v>
      </c>
      <c r="O6124">
        <v>-0.8961498</v>
      </c>
      <c r="P6124">
        <v>0.29135850000000002</v>
      </c>
      <c r="Q6124">
        <v>2.6034259999999998E-3</v>
      </c>
      <c r="R6124">
        <v>-0.95661050000000003</v>
      </c>
      <c r="S6124">
        <v>-4.0527340000000002E-2</v>
      </c>
      <c r="T6124">
        <v>-0.65195890000000001</v>
      </c>
      <c r="U6124">
        <v>-3.1568909999999999</v>
      </c>
      <c r="V6124">
        <v>0.16336819999999999</v>
      </c>
      <c r="W6124">
        <v>1.4709720000000001E-2</v>
      </c>
      <c r="X6124">
        <v>0.98645550000000004</v>
      </c>
      <c r="Y6124">
        <v>0.45432339999999999</v>
      </c>
      <c r="Z6124">
        <v>0.15989700000000001</v>
      </c>
      <c r="AA6124">
        <v>0.87636939999999997</v>
      </c>
      <c r="AB6124">
        <v>21</v>
      </c>
      <c r="AC6124">
        <v>-0.144100000000037</v>
      </c>
      <c r="AD6124">
        <v>-1.106098</v>
      </c>
      <c r="AE6124">
        <v>-5.1893763999999996</v>
      </c>
      <c r="AF6124">
        <v>2.32544558637434</v>
      </c>
      <c r="AG6124">
        <v>-1.106098</v>
      </c>
      <c r="AH6124">
        <v>4.3878090369593901</v>
      </c>
      <c r="AI6124">
        <v>102.55690361436601</v>
      </c>
      <c r="AJ6124">
        <v>62.0773604397234</v>
      </c>
      <c r="AK6124">
        <v>5.08763384154308</v>
      </c>
      <c r="AL6124">
        <v>89.157164728654195</v>
      </c>
      <c r="AM6124">
        <v>80.596520367916497</v>
      </c>
      <c r="AN6124">
        <v>0.999999999056984</v>
      </c>
    </row>
    <row r="6125" spans="1:40" x14ac:dyDescent="0.25">
      <c r="A6125" t="str">
        <f>"20190312154418049"</f>
        <v>20190312154418049</v>
      </c>
      <c r="B6125" t="str">
        <f>"1552376658044123"</f>
        <v>1552376658044123</v>
      </c>
      <c r="C6125" t="s">
        <v>40</v>
      </c>
      <c r="D6125">
        <v>5.6584680000000001</v>
      </c>
      <c r="E6125">
        <v>0.62153979999999998</v>
      </c>
      <c r="F6125" t="s">
        <v>43</v>
      </c>
      <c r="G6125">
        <v>-304.95</v>
      </c>
      <c r="H6125" s="1">
        <v>-5.1063919999999997E-6</v>
      </c>
      <c r="I6125">
        <v>-0.53892329999999999</v>
      </c>
      <c r="J6125">
        <v>-304.76780000000002</v>
      </c>
      <c r="K6125">
        <v>1.0560590000000001</v>
      </c>
      <c r="L6125">
        <v>4.3664860000000001</v>
      </c>
      <c r="M6125">
        <v>0.43642819999999999</v>
      </c>
      <c r="N6125">
        <v>0</v>
      </c>
      <c r="O6125">
        <v>-0.89962919999999902</v>
      </c>
      <c r="P6125">
        <v>0.2839545</v>
      </c>
      <c r="Q6125">
        <v>1.762399E-3</v>
      </c>
      <c r="R6125">
        <v>-0.95883640000000003</v>
      </c>
      <c r="S6125">
        <v>-5.825806E-2</v>
      </c>
      <c r="T6125">
        <v>-0.65294980000000002</v>
      </c>
      <c r="U6125">
        <v>-3.1556090000000001</v>
      </c>
      <c r="V6125">
        <v>0.16318659999999999</v>
      </c>
      <c r="W6125">
        <v>1.38639E-2</v>
      </c>
      <c r="X6125">
        <v>0.98649779999999998</v>
      </c>
      <c r="Y6125">
        <v>0.4522159</v>
      </c>
      <c r="Z6125">
        <v>0.1613327</v>
      </c>
      <c r="AA6125">
        <v>0.87719579999999997</v>
      </c>
      <c r="AB6125">
        <v>21</v>
      </c>
      <c r="AC6125">
        <v>-0.182199999999966</v>
      </c>
      <c r="AD6125">
        <v>-1.056064106392</v>
      </c>
      <c r="AE6125">
        <v>-4.9054092999999996</v>
      </c>
      <c r="AF6125">
        <v>2.2030339559117298</v>
      </c>
      <c r="AG6125">
        <v>-1.056064106392</v>
      </c>
      <c r="AH6125">
        <v>4.14224103933521</v>
      </c>
      <c r="AI6125">
        <v>102.68554788468001</v>
      </c>
      <c r="AJ6125">
        <v>61.993904177120598</v>
      </c>
      <c r="AK6125">
        <v>4.8090322140387496</v>
      </c>
      <c r="AL6125">
        <v>89.205631587197104</v>
      </c>
      <c r="AM6125">
        <v>80.607182471508594</v>
      </c>
      <c r="AN6125">
        <v>0.99999999177380405</v>
      </c>
    </row>
    <row r="6126" spans="1:40" x14ac:dyDescent="0.25">
      <c r="A6126" t="str">
        <f>"20190312154418071"</f>
        <v>20190312154418071</v>
      </c>
      <c r="B6126" t="str">
        <f>"1552376658063639"</f>
        <v>1552376658063639</v>
      </c>
      <c r="C6126" t="s">
        <v>40</v>
      </c>
      <c r="D6126">
        <v>5.6264379999999896</v>
      </c>
      <c r="E6126">
        <v>0.6208127</v>
      </c>
      <c r="F6126" t="s">
        <v>43</v>
      </c>
      <c r="G6126">
        <v>-304.8922</v>
      </c>
      <c r="H6126" s="1">
        <v>-5.0249300000000004E-6</v>
      </c>
      <c r="I6126">
        <v>-0.72436140000000004</v>
      </c>
      <c r="J6126">
        <v>-304.68419999999998</v>
      </c>
      <c r="K6126">
        <v>1.0560210000000001</v>
      </c>
      <c r="L6126">
        <v>4.1734309999999999</v>
      </c>
      <c r="M6126">
        <v>0.42944909999999997</v>
      </c>
      <c r="N6126">
        <v>0</v>
      </c>
      <c r="O6126">
        <v>-0.90298140000000005</v>
      </c>
      <c r="P6126">
        <v>0.27648509999999998</v>
      </c>
      <c r="Q6126">
        <v>1.0550379999999999E-3</v>
      </c>
      <c r="R6126">
        <v>-0.96101809999999999</v>
      </c>
      <c r="S6126">
        <v>-7.7056879999999994E-2</v>
      </c>
      <c r="T6126">
        <v>-0.65402899999999997</v>
      </c>
      <c r="U6126">
        <v>-3.1528019999999999</v>
      </c>
      <c r="V6126">
        <v>0.163218</v>
      </c>
      <c r="W6126">
        <v>1.3151090000000001E-2</v>
      </c>
      <c r="X6126">
        <v>0.98650230000000005</v>
      </c>
      <c r="Y6126">
        <v>0.45055899999999999</v>
      </c>
      <c r="Z6126">
        <v>0.16280449999999999</v>
      </c>
      <c r="AA6126">
        <v>0.87777629999999995</v>
      </c>
      <c r="AB6126">
        <v>21</v>
      </c>
      <c r="AC6126">
        <v>-0.208000000000026</v>
      </c>
      <c r="AD6126">
        <v>-1.05602602492999</v>
      </c>
      <c r="AE6126">
        <v>-4.8977924000000002</v>
      </c>
      <c r="AF6126">
        <v>2.1897824734966398</v>
      </c>
      <c r="AG6126">
        <v>-1.05602602492999</v>
      </c>
      <c r="AH6126">
        <v>4.1415309623762298</v>
      </c>
      <c r="AI6126">
        <v>102.70301382826599</v>
      </c>
      <c r="AJ6126">
        <v>62.132915257162999</v>
      </c>
      <c r="AK6126">
        <v>4.8023553553317404</v>
      </c>
      <c r="AL6126">
        <v>89.246476270686898</v>
      </c>
      <c r="AM6126">
        <v>80.6054494336787</v>
      </c>
      <c r="AN6126">
        <v>0.99999992729873599</v>
      </c>
    </row>
    <row r="6127" spans="1:40" x14ac:dyDescent="0.25">
      <c r="A6127" t="str">
        <f>"20190312154418093"</f>
        <v>20190312154418093</v>
      </c>
      <c r="B6127" t="str">
        <f>"1552376658084135"</f>
        <v>1552376658084135</v>
      </c>
      <c r="C6127" t="s">
        <v>40</v>
      </c>
      <c r="D6127">
        <v>5.6544589999999904</v>
      </c>
      <c r="E6127">
        <v>0.6200135</v>
      </c>
      <c r="F6127" t="s">
        <v>43</v>
      </c>
      <c r="G6127">
        <v>-304.8415</v>
      </c>
      <c r="H6127" s="1">
        <v>-4.939589E-6</v>
      </c>
      <c r="I6127">
        <v>-0.92315480000000005</v>
      </c>
      <c r="J6127">
        <v>-304.60210000000001</v>
      </c>
      <c r="K6127">
        <v>1.0559879999999999</v>
      </c>
      <c r="L6127">
        <v>3.9795229999999999</v>
      </c>
      <c r="M6127">
        <v>0.4223826</v>
      </c>
      <c r="N6127">
        <v>0</v>
      </c>
      <c r="O6127">
        <v>-0.90630840000000001</v>
      </c>
      <c r="P6127">
        <v>0.2691153</v>
      </c>
      <c r="Q6127">
        <v>7.3705039999999997E-4</v>
      </c>
      <c r="R6127">
        <v>-0.96310779999999996</v>
      </c>
      <c r="S6127">
        <v>-9.7228999999999996E-2</v>
      </c>
      <c r="T6127">
        <v>-0.65276269999999903</v>
      </c>
      <c r="U6127">
        <v>-3.15036</v>
      </c>
      <c r="V6127">
        <v>0.16306670000000001</v>
      </c>
      <c r="W6127">
        <v>1.283069E-2</v>
      </c>
      <c r="X6127">
        <v>0.98653159999999895</v>
      </c>
      <c r="Y6127">
        <v>0.44923059999999998</v>
      </c>
      <c r="Z6127">
        <v>0.16366989999999901</v>
      </c>
      <c r="AA6127">
        <v>0.87829609999999902</v>
      </c>
      <c r="AB6127">
        <v>21</v>
      </c>
      <c r="AC6127">
        <v>-0.23939999999998901</v>
      </c>
      <c r="AD6127">
        <v>-1.055992939589</v>
      </c>
      <c r="AE6127">
        <v>-4.9026778000000002</v>
      </c>
      <c r="AF6127">
        <v>2.1867914223840001</v>
      </c>
      <c r="AG6127">
        <v>-1.055992939589</v>
      </c>
      <c r="AH6127">
        <v>4.1505499812733904</v>
      </c>
      <c r="AI6127">
        <v>102.68538921388701</v>
      </c>
      <c r="AJ6127">
        <v>62.216694791629301</v>
      </c>
      <c r="AK6127">
        <v>4.8087673015568804</v>
      </c>
      <c r="AL6127">
        <v>89.264835432638293</v>
      </c>
      <c r="AM6127">
        <v>80.614276771199499</v>
      </c>
      <c r="AN6127">
        <v>0.999999986526662</v>
      </c>
    </row>
    <row r="6128" spans="1:40" x14ac:dyDescent="0.25">
      <c r="A6128" t="str">
        <f>"20190312154418116"</f>
        <v>20190312154418116</v>
      </c>
      <c r="B6128" t="str">
        <f>"1552376658103656"</f>
        <v>1552376658103656</v>
      </c>
      <c r="C6128" t="s">
        <v>40</v>
      </c>
      <c r="D6128">
        <v>5.6309430000000003</v>
      </c>
      <c r="E6128">
        <v>0.60988209999999998</v>
      </c>
      <c r="F6128" t="s">
        <v>43</v>
      </c>
      <c r="G6128">
        <v>-304.78809999999999</v>
      </c>
      <c r="H6128" s="1">
        <v>-4.8537840000000004E-6</v>
      </c>
      <c r="I6128">
        <v>-1.1219330000000001</v>
      </c>
      <c r="J6128">
        <v>-304.52120000000002</v>
      </c>
      <c r="K6128">
        <v>1.055955</v>
      </c>
      <c r="L6128">
        <v>3.7840880000000001</v>
      </c>
      <c r="M6128">
        <v>0.41520899999999999</v>
      </c>
      <c r="N6128">
        <v>0</v>
      </c>
      <c r="O6128">
        <v>-0.90961700000000001</v>
      </c>
      <c r="P6128">
        <v>0.26192860000000001</v>
      </c>
      <c r="Q6128">
        <v>9.0032479999999895E-4</v>
      </c>
      <c r="R6128">
        <v>-0.96508680000000002</v>
      </c>
      <c r="S6128">
        <v>-0.1147156</v>
      </c>
      <c r="T6128">
        <v>-0.65151910000000002</v>
      </c>
      <c r="U6128">
        <v>-3.1474609999999998</v>
      </c>
      <c r="V6128">
        <v>0.16262889999999999</v>
      </c>
      <c r="W6128">
        <v>1.299756E-2</v>
      </c>
      <c r="X6128">
        <v>0.98660170000000003</v>
      </c>
      <c r="Y6128">
        <v>0.44708369999999997</v>
      </c>
      <c r="Z6128">
        <v>0.1645993</v>
      </c>
      <c r="AA6128">
        <v>0.87921740000000004</v>
      </c>
      <c r="AB6128">
        <v>21</v>
      </c>
      <c r="AC6128">
        <v>-0.266899999999964</v>
      </c>
      <c r="AD6128">
        <v>-1.055959853784</v>
      </c>
      <c r="AE6128">
        <v>-4.906021</v>
      </c>
      <c r="AF6128">
        <v>2.1793612785421401</v>
      </c>
      <c r="AG6128">
        <v>-1.055959853784</v>
      </c>
      <c r="AH6128">
        <v>4.1600574949304496</v>
      </c>
      <c r="AI6128">
        <v>102.672037860061</v>
      </c>
      <c r="AJ6128">
        <v>62.350960327710098</v>
      </c>
      <c r="AK6128">
        <v>4.8136000203942304</v>
      </c>
      <c r="AL6128">
        <v>89.255273702214197</v>
      </c>
      <c r="AM6128">
        <v>80.6396822057484</v>
      </c>
      <c r="AN6128">
        <v>1.0000000050620199</v>
      </c>
    </row>
    <row r="6129" spans="1:40" x14ac:dyDescent="0.25">
      <c r="A6129" t="str">
        <f>"20190312154418138"</f>
        <v>20190312154418138</v>
      </c>
      <c r="B6129" t="str">
        <f>"1552376658133912"</f>
        <v>1552376658133912</v>
      </c>
      <c r="C6129" t="s">
        <v>40</v>
      </c>
      <c r="D6129">
        <v>5.6338100000000004</v>
      </c>
      <c r="E6129">
        <v>0.60838709999999996</v>
      </c>
      <c r="F6129" t="s">
        <v>43</v>
      </c>
      <c r="G6129">
        <v>-304.62270000000001</v>
      </c>
      <c r="H6129" s="1">
        <v>-4.6734169999999998E-6</v>
      </c>
      <c r="I6129">
        <v>-1.5152110000000001</v>
      </c>
      <c r="J6129">
        <v>-304.44049999999999</v>
      </c>
      <c r="K6129">
        <v>1.0559369999999999</v>
      </c>
      <c r="L6129">
        <v>3.5844119999999999</v>
      </c>
      <c r="M6129">
        <v>0.40782220000000002</v>
      </c>
      <c r="N6129">
        <v>0</v>
      </c>
      <c r="O6129">
        <v>-0.91295249999999994</v>
      </c>
      <c r="P6129">
        <v>0.25524479999999999</v>
      </c>
      <c r="Q6129">
        <v>4.1548159999999998E-4</v>
      </c>
      <c r="R6129">
        <v>-0.96687650000000003</v>
      </c>
      <c r="S6129">
        <v>-5.9814449999999998E-2</v>
      </c>
      <c r="T6129">
        <v>-0.62276699999999996</v>
      </c>
      <c r="U6129">
        <v>-3.1253359999999999</v>
      </c>
      <c r="V6129">
        <v>0.16145329999999999</v>
      </c>
      <c r="W6129">
        <v>1.2527440000000001E-2</v>
      </c>
      <c r="X6129">
        <v>0.98680080000000003</v>
      </c>
      <c r="Y6129">
        <v>0.42459429999999998</v>
      </c>
      <c r="Z6129">
        <v>0.16078990000000001</v>
      </c>
      <c r="AA6129">
        <v>0.89099169999999905</v>
      </c>
      <c r="AB6129">
        <v>21</v>
      </c>
      <c r="AC6129">
        <v>-0.18220000000002301</v>
      </c>
      <c r="AD6129">
        <v>-1.055941673417</v>
      </c>
      <c r="AE6129">
        <v>-5.0996230000000002</v>
      </c>
      <c r="AF6129">
        <v>2.15406498771031</v>
      </c>
      <c r="AG6129">
        <v>-1.055941673417</v>
      </c>
      <c r="AH6129">
        <v>4.3937232470507697</v>
      </c>
      <c r="AI6129">
        <v>102.17721877352901</v>
      </c>
      <c r="AJ6129">
        <v>63.8831531859853</v>
      </c>
      <c r="AK6129">
        <v>5.0059777027682104</v>
      </c>
      <c r="AL6129">
        <v>89.282211757123207</v>
      </c>
      <c r="AM6129">
        <v>80.708003010121899</v>
      </c>
      <c r="AN6129">
        <v>0.99999996185724105</v>
      </c>
    </row>
    <row r="6130" spans="1:40" x14ac:dyDescent="0.25">
      <c r="A6130" t="str">
        <f>"20190312154418161"</f>
        <v>20190312154418161</v>
      </c>
      <c r="B6130" t="str">
        <f>"1552376658153431"</f>
        <v>1552376658153431</v>
      </c>
      <c r="C6130" t="s">
        <v>40</v>
      </c>
      <c r="D6130">
        <v>5.7117269999999998</v>
      </c>
      <c r="E6130">
        <v>0.60772619999999999</v>
      </c>
      <c r="F6130" t="s">
        <v>43</v>
      </c>
      <c r="G6130">
        <v>-304.56189999999998</v>
      </c>
      <c r="H6130" s="1">
        <v>-4.5395079999999997E-6</v>
      </c>
      <c r="I6130">
        <v>-1.8358650000000001</v>
      </c>
      <c r="J6130">
        <v>-304.36399999999998</v>
      </c>
      <c r="K6130">
        <v>1.055925</v>
      </c>
      <c r="L6130">
        <v>3.3903500000000002</v>
      </c>
      <c r="M6130">
        <v>0.40058719999999998</v>
      </c>
      <c r="N6130">
        <v>0</v>
      </c>
      <c r="O6130">
        <v>-0.91615040000000003</v>
      </c>
      <c r="P6130">
        <v>0.24925700000000001</v>
      </c>
      <c r="Q6130" s="1">
        <v>2.7170909999999998E-5</v>
      </c>
      <c r="R6130">
        <v>-0.96843780000000002</v>
      </c>
      <c r="S6130">
        <v>-6.9915770000000002E-2</v>
      </c>
      <c r="T6130">
        <v>-0.60810759999999997</v>
      </c>
      <c r="U6130">
        <v>-3.1214900000000001</v>
      </c>
      <c r="V6130">
        <v>0.1597489</v>
      </c>
      <c r="W6130">
        <v>1.216221E-2</v>
      </c>
      <c r="X6130">
        <v>0.98708280000000004</v>
      </c>
      <c r="Y6130">
        <v>0.42037479999999999</v>
      </c>
      <c r="Z6130">
        <v>0.15841529999999901</v>
      </c>
      <c r="AA6130">
        <v>0.89341459999999995</v>
      </c>
      <c r="AB6130">
        <v>21</v>
      </c>
      <c r="AC6130">
        <v>-0.19789999999994701</v>
      </c>
      <c r="AD6130">
        <v>-1.0559295395079999</v>
      </c>
      <c r="AE6130">
        <v>-5.2262149999999998</v>
      </c>
      <c r="AF6130">
        <v>2.18597818255612</v>
      </c>
      <c r="AG6130">
        <v>-1.0559295395079999</v>
      </c>
      <c r="AH6130">
        <v>4.5247446867435901</v>
      </c>
      <c r="AI6130">
        <v>101.866928144358</v>
      </c>
      <c r="AJ6130">
        <v>64.214051818206897</v>
      </c>
      <c r="AK6130">
        <v>5.13486146718986</v>
      </c>
      <c r="AL6130">
        <v>89.303139546299093</v>
      </c>
      <c r="AM6130">
        <v>80.806992774604495</v>
      </c>
      <c r="AN6130">
        <v>1.0000000422295601</v>
      </c>
    </row>
    <row r="6131" spans="1:40" x14ac:dyDescent="0.25">
      <c r="A6131" t="str">
        <f>"20190312154418183"</f>
        <v>20190312154418183</v>
      </c>
      <c r="B6131" t="str">
        <f>"1552376658173927"</f>
        <v>1552376658173927</v>
      </c>
      <c r="C6131" t="s">
        <v>40</v>
      </c>
      <c r="D6131">
        <v>5.5905189999999996</v>
      </c>
      <c r="E6131">
        <v>0.60711630000000005</v>
      </c>
      <c r="F6131" t="s">
        <v>43</v>
      </c>
      <c r="G6131">
        <v>-304.51089999999999</v>
      </c>
      <c r="H6131" s="1">
        <v>-4.4492139999999996E-6</v>
      </c>
      <c r="I6131">
        <v>-2.0474329999999998</v>
      </c>
      <c r="J6131">
        <v>-304.28640000000001</v>
      </c>
      <c r="K6131">
        <v>1.0559080000000001</v>
      </c>
      <c r="L6131">
        <v>3.188812</v>
      </c>
      <c r="M6131">
        <v>0.39302890000000001</v>
      </c>
      <c r="N6131">
        <v>0</v>
      </c>
      <c r="O6131">
        <v>-0.91941799999999996</v>
      </c>
      <c r="P6131">
        <v>0.2423121</v>
      </c>
      <c r="Q6131">
        <v>-3.4961090000000002E-4</v>
      </c>
      <c r="R6131">
        <v>-0.97019840000000002</v>
      </c>
      <c r="S6131">
        <v>-8.4289550000000005E-2</v>
      </c>
      <c r="T6131">
        <v>-0.60575749999999995</v>
      </c>
      <c r="U6131">
        <v>-3.119507</v>
      </c>
      <c r="V6131">
        <v>0.1586882</v>
      </c>
      <c r="W6131">
        <v>1.180175E-2</v>
      </c>
      <c r="X6131">
        <v>0.98725819999999997</v>
      </c>
      <c r="Y6131">
        <v>0.41704289999999999</v>
      </c>
      <c r="Z6131">
        <v>0.15898180000000001</v>
      </c>
      <c r="AA6131">
        <v>0.89487430000000001</v>
      </c>
      <c r="AB6131">
        <v>21</v>
      </c>
      <c r="AC6131">
        <v>-0.224499999999977</v>
      </c>
      <c r="AD6131">
        <v>-1.055912449214</v>
      </c>
      <c r="AE6131">
        <v>-5.2362449999999896</v>
      </c>
      <c r="AF6131">
        <v>2.1762944549269001</v>
      </c>
      <c r="AG6131">
        <v>-1.055912449214</v>
      </c>
      <c r="AH6131">
        <v>4.5421665876844699</v>
      </c>
      <c r="AI6131">
        <v>101.840409919073</v>
      </c>
      <c r="AJ6131">
        <v>64.399457653780999</v>
      </c>
      <c r="AK6131">
        <v>5.1461136758944503</v>
      </c>
      <c r="AL6131">
        <v>89.323793829464805</v>
      </c>
      <c r="AM6131">
        <v>80.868595664129202</v>
      </c>
      <c r="AN6131">
        <v>0.999999989794771</v>
      </c>
    </row>
    <row r="6132" spans="1:40" x14ac:dyDescent="0.25">
      <c r="A6132" t="str">
        <f>"20190312154418206"</f>
        <v>20190312154418206</v>
      </c>
      <c r="B6132" t="str">
        <f>"1552376658193449"</f>
        <v>1552376658193449</v>
      </c>
      <c r="C6132" t="s">
        <v>40</v>
      </c>
      <c r="D6132">
        <v>5.6119450000000004</v>
      </c>
      <c r="E6132">
        <v>0.59970999999999997</v>
      </c>
      <c r="F6132" t="s">
        <v>43</v>
      </c>
      <c r="G6132">
        <v>-304.46440000000001</v>
      </c>
      <c r="H6132" s="1">
        <v>-4.359923E-6</v>
      </c>
      <c r="I6132">
        <v>-2.2584819999999999</v>
      </c>
      <c r="J6132">
        <v>-304.21289999999999</v>
      </c>
      <c r="K6132">
        <v>1.0558989999999999</v>
      </c>
      <c r="L6132">
        <v>2.9931640000000002</v>
      </c>
      <c r="M6132">
        <v>0.3856598</v>
      </c>
      <c r="N6132">
        <v>0</v>
      </c>
      <c r="O6132">
        <v>-0.9225333</v>
      </c>
      <c r="P6132">
        <v>0.23430509999999999</v>
      </c>
      <c r="Q6132">
        <v>-1.184601E-3</v>
      </c>
      <c r="R6132">
        <v>-0.97216290000000005</v>
      </c>
      <c r="S6132">
        <v>-0.10189819999999999</v>
      </c>
      <c r="T6132">
        <v>-0.60428199999999999</v>
      </c>
      <c r="U6132">
        <v>-3.1174010000000001</v>
      </c>
      <c r="V6132">
        <v>0.1589187</v>
      </c>
      <c r="W6132">
        <v>1.096686E-2</v>
      </c>
      <c r="X6132">
        <v>0.98723079999999996</v>
      </c>
      <c r="Y6132">
        <v>0.41484749999999998</v>
      </c>
      <c r="Z6132">
        <v>0.159670799999999</v>
      </c>
      <c r="AA6132">
        <v>0.8957716</v>
      </c>
      <c r="AB6132">
        <v>21</v>
      </c>
      <c r="AC6132">
        <v>-0.25150000000002098</v>
      </c>
      <c r="AD6132">
        <v>-1.0559033599230001</v>
      </c>
      <c r="AE6132">
        <v>-5.251646</v>
      </c>
      <c r="AF6132">
        <v>2.17006468778863</v>
      </c>
      <c r="AG6132">
        <v>-1.0559033599230001</v>
      </c>
      <c r="AH6132">
        <v>4.56420788394745</v>
      </c>
      <c r="AI6132">
        <v>101.80112700070799</v>
      </c>
      <c r="AJ6132">
        <v>64.571125493331806</v>
      </c>
      <c r="AK6132">
        <v>5.1629551869614296</v>
      </c>
      <c r="AL6132">
        <v>89.371632635636203</v>
      </c>
      <c r="AM6132">
        <v>80.855306414120193</v>
      </c>
      <c r="AN6132">
        <v>1.0000000388482899</v>
      </c>
    </row>
    <row r="6133" spans="1:40" x14ac:dyDescent="0.25">
      <c r="A6133" t="str">
        <f>"20190312154418227"</f>
        <v>20190312154418227</v>
      </c>
      <c r="B6133" t="str">
        <f>"1552376658213943"</f>
        <v>1552376658213943</v>
      </c>
      <c r="C6133" t="s">
        <v>40</v>
      </c>
      <c r="D6133">
        <v>5.6207760000000002</v>
      </c>
      <c r="E6133">
        <v>0.59946299999999997</v>
      </c>
      <c r="F6133" t="s">
        <v>43</v>
      </c>
      <c r="G6133">
        <v>-304.33539999999999</v>
      </c>
      <c r="H6133" s="1">
        <v>-4.246748E-6</v>
      </c>
      <c r="I6133">
        <v>-2.4936069999999999</v>
      </c>
      <c r="J6133">
        <v>-304.14240000000001</v>
      </c>
      <c r="K6133">
        <v>1.055909</v>
      </c>
      <c r="L6133">
        <v>2.8007200000000001</v>
      </c>
      <c r="M6133">
        <v>0.3783919</v>
      </c>
      <c r="N6133">
        <v>0</v>
      </c>
      <c r="O6133">
        <v>-0.92553799999999997</v>
      </c>
      <c r="P6133">
        <v>0.22596630000000001</v>
      </c>
      <c r="Q6133">
        <v>-2.315508E-3</v>
      </c>
      <c r="R6133">
        <v>-0.97413269999999996</v>
      </c>
      <c r="S6133">
        <v>-6.9274899999999903E-2</v>
      </c>
      <c r="T6133">
        <v>-0.59693999999999903</v>
      </c>
      <c r="U6133">
        <v>-3.1018680000000001</v>
      </c>
      <c r="V6133">
        <v>0.15959949999999901</v>
      </c>
      <c r="W6133">
        <v>9.8315729999999997E-3</v>
      </c>
      <c r="X6133">
        <v>0.98713289999999998</v>
      </c>
      <c r="Y6133">
        <v>0.39839570000000002</v>
      </c>
      <c r="Z6133">
        <v>0.1601407</v>
      </c>
      <c r="AA6133">
        <v>0.90312559999999997</v>
      </c>
      <c r="AB6133">
        <v>21</v>
      </c>
      <c r="AC6133">
        <v>-0.19299999999998299</v>
      </c>
      <c r="AD6133">
        <v>-1.0559132467479999</v>
      </c>
      <c r="AE6133">
        <v>-5.294327</v>
      </c>
      <c r="AF6133">
        <v>2.0988025660987901</v>
      </c>
      <c r="AG6133">
        <v>-1.0559132467479999</v>
      </c>
      <c r="AH6133">
        <v>4.6431065207806101</v>
      </c>
      <c r="AI6133">
        <v>101.707551070921</v>
      </c>
      <c r="AJ6133">
        <v>65.675818230720296</v>
      </c>
      <c r="AK6133">
        <v>5.2036874578933201</v>
      </c>
      <c r="AL6133">
        <v>89.436683292195298</v>
      </c>
      <c r="AM6133">
        <v>80.815901844198095</v>
      </c>
      <c r="AN6133">
        <v>1.0000000112451499</v>
      </c>
    </row>
    <row r="6134" spans="1:40" x14ac:dyDescent="0.25">
      <c r="A6134" t="str">
        <f>"20190312154418250"</f>
        <v>20190312154418250</v>
      </c>
      <c r="B6134" t="str">
        <f>"1552376658243467"</f>
        <v>1552376658243467</v>
      </c>
      <c r="C6134" t="s">
        <v>40</v>
      </c>
      <c r="D6134">
        <v>5.5465049999999998</v>
      </c>
      <c r="E6134">
        <v>0.59936119999999904</v>
      </c>
      <c r="F6134" t="s">
        <v>43</v>
      </c>
      <c r="G6134">
        <v>-304.3073</v>
      </c>
      <c r="H6134" s="1">
        <v>-4.184626E-6</v>
      </c>
      <c r="I6134">
        <v>-2.6423939999999999</v>
      </c>
      <c r="J6134">
        <v>-304.07049999999998</v>
      </c>
      <c r="K6134">
        <v>1.0559240000000001</v>
      </c>
      <c r="L6134">
        <v>2.5993040000000001</v>
      </c>
      <c r="M6134">
        <v>0.37077490000000002</v>
      </c>
      <c r="N6134">
        <v>0</v>
      </c>
      <c r="O6134">
        <v>-0.92861559999999999</v>
      </c>
      <c r="P6134">
        <v>0.21755240000000001</v>
      </c>
      <c r="Q6134">
        <v>-2.837352E-3</v>
      </c>
      <c r="R6134">
        <v>-0.97604469999999999</v>
      </c>
      <c r="S6134">
        <v>-9.393311E-2</v>
      </c>
      <c r="T6134">
        <v>-0.60137799999999997</v>
      </c>
      <c r="U6134">
        <v>-3.1000369999999999</v>
      </c>
      <c r="V6134">
        <v>0.16000020000000001</v>
      </c>
      <c r="W6134">
        <v>9.3113680000000004E-3</v>
      </c>
      <c r="X6134">
        <v>0.98707310000000004</v>
      </c>
      <c r="Y6134">
        <v>0.39804450000000002</v>
      </c>
      <c r="Z6134">
        <v>0.16224379999999999</v>
      </c>
      <c r="AA6134">
        <v>0.90290499999999996</v>
      </c>
      <c r="AB6134">
        <v>21</v>
      </c>
      <c r="AC6134">
        <v>-0.236800000000016</v>
      </c>
      <c r="AD6134">
        <v>-1.055928184626</v>
      </c>
      <c r="AE6134">
        <v>-5.2416980000000004</v>
      </c>
      <c r="AF6134">
        <v>2.0793893343349299</v>
      </c>
      <c r="AG6134">
        <v>-1.055928184626</v>
      </c>
      <c r="AH6134">
        <v>4.5941427311232497</v>
      </c>
      <c r="AI6134">
        <v>101.826438462452</v>
      </c>
      <c r="AJ6134">
        <v>65.647660983591194</v>
      </c>
      <c r="AK6134">
        <v>5.1521832041151203</v>
      </c>
      <c r="AL6134">
        <v>89.466490221319006</v>
      </c>
      <c r="AM6134">
        <v>80.792689872180304</v>
      </c>
      <c r="AN6134">
        <v>1.0000000351588401</v>
      </c>
    </row>
    <row r="6135" spans="1:40" x14ac:dyDescent="0.25">
      <c r="A6135" t="str">
        <f>"20190312154418272"</f>
        <v>20190312154418272</v>
      </c>
      <c r="B6135" t="str">
        <f>"1552376658263963"</f>
        <v>1552376658263963</v>
      </c>
      <c r="C6135" t="s">
        <v>40</v>
      </c>
      <c r="D6135">
        <v>5.6283839999999996</v>
      </c>
      <c r="E6135">
        <v>0.59830609999999995</v>
      </c>
      <c r="F6135" t="s">
        <v>43</v>
      </c>
      <c r="G6135">
        <v>-304.28019999999998</v>
      </c>
      <c r="H6135" s="1">
        <v>-4.1135950000000004E-6</v>
      </c>
      <c r="I6135">
        <v>-2.814829</v>
      </c>
      <c r="J6135">
        <v>-304.00209999999998</v>
      </c>
      <c r="K6135">
        <v>1.0559559999999999</v>
      </c>
      <c r="L6135">
        <v>2.4024049999999999</v>
      </c>
      <c r="M6135">
        <v>0.36332389999999998</v>
      </c>
      <c r="N6135">
        <v>0</v>
      </c>
      <c r="O6135">
        <v>-0.93155619999999995</v>
      </c>
      <c r="P6135">
        <v>0.20961759999999999</v>
      </c>
      <c r="Q6135">
        <v>-1.5802829999999901E-3</v>
      </c>
      <c r="R6135">
        <v>-0.97778240000000005</v>
      </c>
      <c r="S6135">
        <v>-0.11999509999999999</v>
      </c>
      <c r="T6135">
        <v>-0.60433210000000004</v>
      </c>
      <c r="U6135">
        <v>-3.098633</v>
      </c>
      <c r="V6135">
        <v>0.1601244</v>
      </c>
      <c r="W6135">
        <v>1.05754E-2</v>
      </c>
      <c r="X6135">
        <v>0.98704020000000003</v>
      </c>
      <c r="Y6135">
        <v>0.39828819999999998</v>
      </c>
      <c r="Z6135">
        <v>0.16388029999999901</v>
      </c>
      <c r="AA6135">
        <v>0.90250189999999997</v>
      </c>
      <c r="AB6135">
        <v>21</v>
      </c>
      <c r="AC6135">
        <v>-0.27809999999999402</v>
      </c>
      <c r="AD6135">
        <v>-1.0559601135950001</v>
      </c>
      <c r="AE6135">
        <v>-5.2172340000000004</v>
      </c>
      <c r="AF6135">
        <v>2.0702576722872998</v>
      </c>
      <c r="AG6135">
        <v>-1.0559601135950001</v>
      </c>
      <c r="AH6135">
        <v>4.5727853749805103</v>
      </c>
      <c r="AI6135">
        <v>101.87994976577301</v>
      </c>
      <c r="AJ6135">
        <v>65.6420970719591</v>
      </c>
      <c r="AK6135">
        <v>5.1294624159655999</v>
      </c>
      <c r="AL6135">
        <v>89.394062924154099</v>
      </c>
      <c r="AM6135">
        <v>80.785363393585101</v>
      </c>
      <c r="AN6135">
        <v>1.0000000094882799</v>
      </c>
    </row>
    <row r="6136" spans="1:40" x14ac:dyDescent="0.25">
      <c r="A6136" t="str">
        <f>"20190312154418295"</f>
        <v>20190312154418295</v>
      </c>
      <c r="B6136" t="str">
        <f>"1552376658283482"</f>
        <v>1552376658283482</v>
      </c>
      <c r="C6136" t="s">
        <v>40</v>
      </c>
      <c r="D6136">
        <v>5.6317919999999999</v>
      </c>
      <c r="E6136">
        <v>0.59751149999999997</v>
      </c>
      <c r="F6136" t="s">
        <v>43</v>
      </c>
      <c r="G6136">
        <v>-304.2457</v>
      </c>
      <c r="H6136" s="1">
        <v>-3.9905640000000002E-6</v>
      </c>
      <c r="I6136">
        <v>-3.1192730000000002</v>
      </c>
      <c r="J6136">
        <v>-303.93470000000002</v>
      </c>
      <c r="K6136">
        <v>1.055995</v>
      </c>
      <c r="L6136">
        <v>2.203125</v>
      </c>
      <c r="M6136">
        <v>0.35578459999999901</v>
      </c>
      <c r="N6136">
        <v>0</v>
      </c>
      <c r="O6136">
        <v>-0.93446149999999994</v>
      </c>
      <c r="P6136">
        <v>0.20209150000000001</v>
      </c>
      <c r="Q6136">
        <v>4.0742110000000002E-4</v>
      </c>
      <c r="R6136">
        <v>-0.97936670000000003</v>
      </c>
      <c r="S6136">
        <v>-0.13659669999999999</v>
      </c>
      <c r="T6136">
        <v>-0.59217069999999905</v>
      </c>
      <c r="U6136">
        <v>-3.0964969999999998</v>
      </c>
      <c r="V6136">
        <v>0.1597614</v>
      </c>
      <c r="W6136">
        <v>1.2576550000000001E-2</v>
      </c>
      <c r="X6136">
        <v>0.98707560000000005</v>
      </c>
      <c r="Y6136">
        <v>0.3957715</v>
      </c>
      <c r="Z6136">
        <v>0.16169700000000001</v>
      </c>
      <c r="AA6136">
        <v>0.90400170000000002</v>
      </c>
      <c r="AB6136">
        <v>21</v>
      </c>
      <c r="AC6136">
        <v>-0.31099999999997802</v>
      </c>
      <c r="AD6136">
        <v>-1.0559989905639999</v>
      </c>
      <c r="AE6136">
        <v>-5.3223979999999997</v>
      </c>
      <c r="AF6136">
        <v>2.1019981703392601</v>
      </c>
      <c r="AG6136">
        <v>-1.0559989905639999</v>
      </c>
      <c r="AH6136">
        <v>4.6798160233699502</v>
      </c>
      <c r="AI6136">
        <v>101.63126496939999</v>
      </c>
      <c r="AJ6136">
        <v>65.8121686161127</v>
      </c>
      <c r="AK6136">
        <v>5.2377674813580599</v>
      </c>
      <c r="AL6136">
        <v>89.279397808396894</v>
      </c>
      <c r="AM6136">
        <v>80.806219809250607</v>
      </c>
      <c r="AN6136">
        <v>1.0000000573276</v>
      </c>
    </row>
    <row r="6137" spans="1:40" x14ac:dyDescent="0.25">
      <c r="A6137" t="str">
        <f>"20190312154418317"</f>
        <v>20190312154418317</v>
      </c>
      <c r="B6137" t="str">
        <f>"1552376658303978"</f>
        <v>1552376658303978</v>
      </c>
      <c r="C6137" t="s">
        <v>40</v>
      </c>
      <c r="D6137">
        <v>5.5494389999999996</v>
      </c>
      <c r="E6137">
        <v>0.59694049999999999</v>
      </c>
      <c r="F6137" t="s">
        <v>43</v>
      </c>
      <c r="G6137">
        <v>-304.21319999999997</v>
      </c>
      <c r="H6137" s="1">
        <v>-3.887912E-6</v>
      </c>
      <c r="I6137">
        <v>-3.3715799999999998</v>
      </c>
      <c r="J6137">
        <v>-303.86939999999998</v>
      </c>
      <c r="K6137">
        <v>1.056022</v>
      </c>
      <c r="L6137">
        <v>2.0053100000000001</v>
      </c>
      <c r="M6137">
        <v>0.34831200000000001</v>
      </c>
      <c r="N6137">
        <v>0</v>
      </c>
      <c r="O6137">
        <v>-0.93727249999999995</v>
      </c>
      <c r="P6137">
        <v>0.19558819999999999</v>
      </c>
      <c r="Q6137">
        <v>1.363125E-3</v>
      </c>
      <c r="R6137">
        <v>-0.98068549999999999</v>
      </c>
      <c r="S6137">
        <v>-0.1546631</v>
      </c>
      <c r="T6137">
        <v>-0.58634569999999997</v>
      </c>
      <c r="U6137">
        <v>-3.095367</v>
      </c>
      <c r="V6137">
        <v>0.1584392</v>
      </c>
      <c r="W6137">
        <v>1.355923E-2</v>
      </c>
      <c r="X6137">
        <v>0.98727560000000003</v>
      </c>
      <c r="Y6137">
        <v>0.39374130000000002</v>
      </c>
      <c r="Z6137">
        <v>0.1610521</v>
      </c>
      <c r="AA6137">
        <v>0.9050028</v>
      </c>
      <c r="AB6137">
        <v>21</v>
      </c>
      <c r="AC6137">
        <v>-0.343799999999987</v>
      </c>
      <c r="AD6137">
        <v>-1.0560258879119999</v>
      </c>
      <c r="AE6137">
        <v>-5.3768900000000004</v>
      </c>
      <c r="AF6137">
        <v>2.1140732958138302</v>
      </c>
      <c r="AG6137">
        <v>-1.0560258879119999</v>
      </c>
      <c r="AH6137">
        <v>4.7383225430156797</v>
      </c>
      <c r="AI6137">
        <v>101.504287438689</v>
      </c>
      <c r="AJ6137">
        <v>65.955247603590095</v>
      </c>
      <c r="AK6137">
        <v>5.2949218216763203</v>
      </c>
      <c r="AL6137">
        <v>89.223089518052106</v>
      </c>
      <c r="AM6137">
        <v>80.882841036376803</v>
      </c>
      <c r="AN6137">
        <v>0.99999997158509601</v>
      </c>
    </row>
    <row r="6138" spans="1:40" x14ac:dyDescent="0.25">
      <c r="A6138" t="str">
        <f>"20190312154418340"</f>
        <v>20190312154418340</v>
      </c>
      <c r="B6138" t="str">
        <f>"1552376658333258"</f>
        <v>1552376658333258</v>
      </c>
      <c r="C6138" t="s">
        <v>40</v>
      </c>
      <c r="D6138">
        <v>5.383235</v>
      </c>
      <c r="E6138">
        <v>0.56846430000000003</v>
      </c>
      <c r="F6138" t="s">
        <v>43</v>
      </c>
      <c r="G6138">
        <v>-304.17689999999999</v>
      </c>
      <c r="H6138" s="1">
        <v>-3.8006769999999999E-6</v>
      </c>
      <c r="I6138">
        <v>-3.5819969999999999</v>
      </c>
      <c r="J6138">
        <v>-303.80509999999998</v>
      </c>
      <c r="K6138">
        <v>1.0560510000000001</v>
      </c>
      <c r="L6138">
        <v>1.80481</v>
      </c>
      <c r="M6138">
        <v>0.34076250000000002</v>
      </c>
      <c r="N6138">
        <v>0</v>
      </c>
      <c r="O6138">
        <v>-0.94004359999999998</v>
      </c>
      <c r="P6138">
        <v>0.18933549999999999</v>
      </c>
      <c r="Q6138">
        <v>1.0340869999999999E-3</v>
      </c>
      <c r="R6138">
        <v>-0.98191229999999996</v>
      </c>
      <c r="S6138">
        <v>-0.1702881</v>
      </c>
      <c r="T6138">
        <v>-0.58475569999999999</v>
      </c>
      <c r="U6138">
        <v>-3.0938720000000002</v>
      </c>
      <c r="V6138">
        <v>0.1567846</v>
      </c>
      <c r="W6138">
        <v>1.3261709999999999E-2</v>
      </c>
      <c r="X6138">
        <v>0.98754379999999997</v>
      </c>
      <c r="Y6138">
        <v>0.39093709999999998</v>
      </c>
      <c r="Z6138">
        <v>0.16156010000000001</v>
      </c>
      <c r="AA6138">
        <v>0.90612720000000002</v>
      </c>
      <c r="AB6138">
        <v>21</v>
      </c>
      <c r="AC6138">
        <v>-0.37180000000000701</v>
      </c>
      <c r="AD6138">
        <v>-1.0560548006770001</v>
      </c>
      <c r="AE6138">
        <v>-5.3868070000000001</v>
      </c>
      <c r="AF6138">
        <v>2.1048347817362201</v>
      </c>
      <c r="AG6138">
        <v>-1.0560548006770001</v>
      </c>
      <c r="AH6138">
        <v>4.7557168347495704</v>
      </c>
      <c r="AI6138">
        <v>101.478444019983</v>
      </c>
      <c r="AJ6138">
        <v>66.126276992815306</v>
      </c>
      <c r="AK6138">
        <v>5.3068280368559098</v>
      </c>
      <c r="AL6138">
        <v>89.240137729011494</v>
      </c>
      <c r="AM6138">
        <v>80.978888352917906</v>
      </c>
      <c r="AN6138">
        <v>1.0000000203338599</v>
      </c>
    </row>
    <row r="6139" spans="1:40" x14ac:dyDescent="0.25">
      <c r="A6139" t="str">
        <f>"20190312154418366"</f>
        <v>20190312154418366</v>
      </c>
      <c r="B6139" t="str">
        <f>"1552376658353755"</f>
        <v>1552376658353755</v>
      </c>
      <c r="C6139" t="s">
        <v>40</v>
      </c>
      <c r="D6139">
        <v>5.3228289999999996</v>
      </c>
      <c r="E6139">
        <v>0.56334200000000001</v>
      </c>
      <c r="F6139" t="s">
        <v>43</v>
      </c>
      <c r="G6139">
        <v>-303.71190000000001</v>
      </c>
      <c r="H6139" s="1">
        <v>-2.257999E-6</v>
      </c>
      <c r="I6139">
        <v>-6.775258</v>
      </c>
      <c r="J6139">
        <v>-303.7346</v>
      </c>
      <c r="K6139">
        <v>1.0561</v>
      </c>
      <c r="L6139">
        <v>1.5793459999999999</v>
      </c>
      <c r="M6139">
        <v>0.33231379999999999</v>
      </c>
      <c r="N6139">
        <v>0</v>
      </c>
      <c r="O6139">
        <v>-0.94306380000000001</v>
      </c>
      <c r="P6139">
        <v>0.18195269999999999</v>
      </c>
      <c r="Q6139">
        <v>2.5733370000000002E-4</v>
      </c>
      <c r="R6139">
        <v>-0.98330740000000005</v>
      </c>
      <c r="S6139">
        <v>3.311157E-2</v>
      </c>
      <c r="T6139">
        <v>-0.3753126</v>
      </c>
      <c r="U6139">
        <v>-3.0492859999999999</v>
      </c>
      <c r="V6139">
        <v>0.155333</v>
      </c>
      <c r="W6139">
        <v>1.251552E-2</v>
      </c>
      <c r="X6139">
        <v>0.98778290000000002</v>
      </c>
      <c r="Y6139">
        <v>0.32208560000000003</v>
      </c>
      <c r="Z6139">
        <v>0.1085187</v>
      </c>
      <c r="AA6139">
        <v>0.94047040000000004</v>
      </c>
      <c r="AB6139">
        <v>21</v>
      </c>
      <c r="AC6139">
        <v>2.2699999999986099E-2</v>
      </c>
      <c r="AD6139">
        <v>-1.056102257999</v>
      </c>
      <c r="AE6139">
        <v>-8.3546040000000001</v>
      </c>
      <c r="AF6139">
        <v>2.7118818221323</v>
      </c>
      <c r="AG6139">
        <v>-1.056102257999</v>
      </c>
      <c r="AH6139">
        <v>7.7631995344756302</v>
      </c>
      <c r="AI6139">
        <v>97.318382752311706</v>
      </c>
      <c r="AJ6139">
        <v>70.744400954201197</v>
      </c>
      <c r="AK6139">
        <v>8.2907733058288802</v>
      </c>
      <c r="AL6139">
        <v>89.282894816887406</v>
      </c>
      <c r="AM6139">
        <v>81.063184817542904</v>
      </c>
      <c r="AN6139">
        <v>1.0000000183311399</v>
      </c>
    </row>
    <row r="6140" spans="1:40" x14ac:dyDescent="0.25">
      <c r="A6140" t="str">
        <f>"20190312154418386"</f>
        <v>20190312154418386</v>
      </c>
      <c r="B6140" t="str">
        <f>"1552376658373275"</f>
        <v>1552376658373275</v>
      </c>
      <c r="C6140" t="s">
        <v>40</v>
      </c>
      <c r="D6140">
        <v>5.3894279999999997</v>
      </c>
      <c r="E6140">
        <v>0.56063180000000001</v>
      </c>
      <c r="F6140" t="s">
        <v>43</v>
      </c>
      <c r="G6140">
        <v>-303.58049999999997</v>
      </c>
      <c r="H6140" s="1">
        <v>-1.800816E-6</v>
      </c>
      <c r="I6140">
        <v>-7.6684659999999996</v>
      </c>
      <c r="J6140">
        <v>-303.6771</v>
      </c>
      <c r="K6140">
        <v>1.056149</v>
      </c>
      <c r="L6140">
        <v>1.389526</v>
      </c>
      <c r="M6140">
        <v>0.32525349999999997</v>
      </c>
      <c r="N6140">
        <v>0</v>
      </c>
      <c r="O6140">
        <v>-0.94552179999999997</v>
      </c>
      <c r="P6140">
        <v>0.17474899999999999</v>
      </c>
      <c r="Q6140">
        <v>-6.6385229999999895E-4</v>
      </c>
      <c r="R6140">
        <v>-0.98461290000000001</v>
      </c>
      <c r="S6140">
        <v>5.0689699999999997E-2</v>
      </c>
      <c r="T6140">
        <v>-0.34735759999999899</v>
      </c>
      <c r="U6140">
        <v>-3.0416560000000001</v>
      </c>
      <c r="V6140">
        <v>0.15516769999999999</v>
      </c>
      <c r="W6140">
        <v>1.1609120000000001E-2</v>
      </c>
      <c r="X6140">
        <v>0.98781989999999997</v>
      </c>
      <c r="Y6140">
        <v>0.30952160000000001</v>
      </c>
      <c r="Z6140">
        <v>0.1014427</v>
      </c>
      <c r="AA6140">
        <v>0.94546589999999997</v>
      </c>
      <c r="AB6140">
        <v>21</v>
      </c>
      <c r="AC6140">
        <v>9.66000000000235E-2</v>
      </c>
      <c r="AD6140">
        <v>-1.0561508008159901</v>
      </c>
      <c r="AE6140">
        <v>-9.0579920000000005</v>
      </c>
      <c r="AF6140">
        <v>2.8167990401610501</v>
      </c>
      <c r="AG6140">
        <v>-1.0561508008159901</v>
      </c>
      <c r="AH6140">
        <v>8.4815071548944303</v>
      </c>
      <c r="AI6140">
        <v>96.739787810506897</v>
      </c>
      <c r="AJ6140">
        <v>71.628122290545306</v>
      </c>
      <c r="AK6140">
        <v>8.9992096855913992</v>
      </c>
      <c r="AL6140">
        <v>89.334831459175007</v>
      </c>
      <c r="AM6140">
        <v>81.072870810521493</v>
      </c>
      <c r="AN6140">
        <v>0.99999997081323599</v>
      </c>
    </row>
    <row r="6141" spans="1:40" x14ac:dyDescent="0.25">
      <c r="A6141" t="str">
        <f>"20190312154418409"</f>
        <v>20190312154418409</v>
      </c>
      <c r="B6141" t="str">
        <f>"1552376658403530"</f>
        <v>1552376658403530</v>
      </c>
      <c r="C6141" t="s">
        <v>40</v>
      </c>
      <c r="D6141">
        <v>5.3165719999999999</v>
      </c>
      <c r="E6141">
        <v>0.55736169999999996</v>
      </c>
      <c r="F6141" t="s">
        <v>43</v>
      </c>
      <c r="G6141">
        <v>-303.52050000000003</v>
      </c>
      <c r="H6141" s="1">
        <v>-1.5661079999999999E-6</v>
      </c>
      <c r="I6141">
        <v>-8.1312080000000009</v>
      </c>
      <c r="J6141">
        <v>-303.6189</v>
      </c>
      <c r="K6141">
        <v>1.056219</v>
      </c>
      <c r="L6141">
        <v>1.1928099999999999</v>
      </c>
      <c r="M6141">
        <v>0.31798700000000002</v>
      </c>
      <c r="N6141">
        <v>0</v>
      </c>
      <c r="O6141">
        <v>-0.94799029999999995</v>
      </c>
      <c r="P6141">
        <v>0.16686039999999999</v>
      </c>
      <c r="Q6141">
        <v>-1.707334E-3</v>
      </c>
      <c r="R6141">
        <v>-0.9859791</v>
      </c>
      <c r="S6141">
        <v>4.995728E-2</v>
      </c>
      <c r="T6141">
        <v>-0.33698610000000001</v>
      </c>
      <c r="U6141">
        <v>-3.0377809999999998</v>
      </c>
      <c r="V6141">
        <v>0.15548139999999999</v>
      </c>
      <c r="W6141">
        <v>1.0588749999999999E-2</v>
      </c>
      <c r="X6141">
        <v>0.9877821</v>
      </c>
      <c r="Y6141">
        <v>0.30242459999999999</v>
      </c>
      <c r="Z6141">
        <v>9.9106739999999999E-2</v>
      </c>
      <c r="AA6141">
        <v>0.94800689999999999</v>
      </c>
      <c r="AB6141">
        <v>21</v>
      </c>
      <c r="AC6141">
        <v>9.8399999999969595E-2</v>
      </c>
      <c r="AD6141">
        <v>-1.056220566108</v>
      </c>
      <c r="AE6141">
        <v>-9.3240179999999899</v>
      </c>
      <c r="AF6141">
        <v>2.8355372572482298</v>
      </c>
      <c r="AG6141">
        <v>-1.056220566108</v>
      </c>
      <c r="AH6141">
        <v>8.7588662600648899</v>
      </c>
      <c r="AI6141">
        <v>96.544737529931396</v>
      </c>
      <c r="AJ6141">
        <v>72.061502410468506</v>
      </c>
      <c r="AK6141">
        <v>9.26680158324411</v>
      </c>
      <c r="AL6141">
        <v>89.393297996470295</v>
      </c>
      <c r="AM6141">
        <v>81.0547777528338</v>
      </c>
      <c r="AN6141">
        <v>1.0000000322264599</v>
      </c>
    </row>
    <row r="6142" spans="1:40" x14ac:dyDescent="0.25">
      <c r="A6142" t="str">
        <f>"20190312154418430"</f>
        <v>20190312154418430</v>
      </c>
      <c r="B6142" t="str">
        <f>"1552376658424026"</f>
        <v>1552376658424026</v>
      </c>
      <c r="C6142" t="s">
        <v>40</v>
      </c>
      <c r="D6142">
        <v>5.3529059999999999</v>
      </c>
      <c r="E6142">
        <v>0.55604770000000003</v>
      </c>
      <c r="F6142" t="s">
        <v>43</v>
      </c>
      <c r="G6142">
        <v>-303.44889999999998</v>
      </c>
      <c r="H6142" s="1">
        <v>-1.234701E-6</v>
      </c>
      <c r="I6142">
        <v>-8.7919689999999999</v>
      </c>
      <c r="J6142">
        <v>-303.56259999999997</v>
      </c>
      <c r="K6142">
        <v>1.0565899999999999</v>
      </c>
      <c r="L6142">
        <v>0.99804689999999996</v>
      </c>
      <c r="M6142">
        <v>0.3099249</v>
      </c>
      <c r="N6142">
        <v>0</v>
      </c>
      <c r="O6142">
        <v>-0.95064990000000005</v>
      </c>
      <c r="P6142">
        <v>0.1586862</v>
      </c>
      <c r="Q6142">
        <v>-3.8713089999999999E-3</v>
      </c>
      <c r="R6142">
        <v>-0.98732149999999996</v>
      </c>
      <c r="S6142">
        <v>5.1666259999999999E-2</v>
      </c>
      <c r="T6142">
        <v>-0.32087739999999998</v>
      </c>
      <c r="U6142">
        <v>-3.0333559999999999</v>
      </c>
      <c r="V6142">
        <v>0.15525320000000001</v>
      </c>
      <c r="W6142">
        <v>8.9556589999999995E-3</v>
      </c>
      <c r="X6142">
        <v>0.98783410000000005</v>
      </c>
      <c r="Y6142">
        <v>0.2937633</v>
      </c>
      <c r="Z6142">
        <v>9.5118900000000006E-2</v>
      </c>
      <c r="AA6142">
        <v>0.95113380000000003</v>
      </c>
      <c r="AB6142">
        <v>20</v>
      </c>
      <c r="AC6142">
        <v>0.113699999999994</v>
      </c>
      <c r="AD6142">
        <v>-1.056591234701</v>
      </c>
      <c r="AE6142">
        <v>-9.7900159000000002</v>
      </c>
      <c r="AF6142">
        <v>2.8927007177527502</v>
      </c>
      <c r="AG6142">
        <v>-1.056591234701</v>
      </c>
      <c r="AH6142">
        <v>9.2355432880252604</v>
      </c>
      <c r="AI6142">
        <v>96.2305879007572</v>
      </c>
      <c r="AJ6142">
        <v>72.608717531657504</v>
      </c>
      <c r="AK6142">
        <v>9.7354692904206104</v>
      </c>
      <c r="AL6142">
        <v>89.486871669305103</v>
      </c>
      <c r="AM6142">
        <v>81.068157426717704</v>
      </c>
      <c r="AN6142">
        <v>0.99999998453058703</v>
      </c>
    </row>
    <row r="6143" spans="1:40" x14ac:dyDescent="0.25">
      <c r="A6143" t="str">
        <f>"20190312154418474"</f>
        <v>20190312154418474</v>
      </c>
      <c r="B6143" t="str">
        <f>"1552376658463572"</f>
        <v>1552376658463572</v>
      </c>
      <c r="C6143" t="s">
        <v>40</v>
      </c>
      <c r="D6143">
        <v>5.3856760000000001</v>
      </c>
      <c r="E6143">
        <v>0.55310550000000003</v>
      </c>
      <c r="F6143" t="s">
        <v>43</v>
      </c>
      <c r="G6143">
        <v>-303.44040000000001</v>
      </c>
      <c r="H6143" s="1">
        <v>-1.1585640000000001E-6</v>
      </c>
      <c r="I6143">
        <v>-8.9482499999999998</v>
      </c>
      <c r="J6143">
        <v>-303.45389999999998</v>
      </c>
      <c r="K6143">
        <v>1.0563209999999901</v>
      </c>
      <c r="L6143">
        <v>0.61096189999999995</v>
      </c>
      <c r="M6143">
        <v>0.29340470000000002</v>
      </c>
      <c r="N6143">
        <v>0</v>
      </c>
      <c r="O6143">
        <v>-0.95587560000000005</v>
      </c>
      <c r="P6143">
        <v>0.14417929999999901</v>
      </c>
      <c r="Q6143">
        <v>-9.0159390000000006E-3</v>
      </c>
      <c r="R6143">
        <v>-0.98951049999999996</v>
      </c>
      <c r="S6143">
        <v>3.7261959999999997E-2</v>
      </c>
      <c r="T6143">
        <v>-0.32201170000000001</v>
      </c>
      <c r="U6143">
        <v>-3.0312809999999999</v>
      </c>
      <c r="V6143">
        <v>0.15258150000000001</v>
      </c>
      <c r="W6143">
        <v>3.6514360000000001E-3</v>
      </c>
      <c r="X6143">
        <v>0.98828419999999895</v>
      </c>
      <c r="Y6143">
        <v>0.28168969999999999</v>
      </c>
      <c r="Z6143">
        <v>9.6534969999999998E-2</v>
      </c>
      <c r="AA6143">
        <v>0.95463710000000002</v>
      </c>
      <c r="AB6143">
        <v>20</v>
      </c>
      <c r="AC6143">
        <v>1.3499999999964899E-2</v>
      </c>
      <c r="AD6143">
        <v>-1.0563221585639999</v>
      </c>
      <c r="AE6143">
        <v>-9.5592118999999993</v>
      </c>
      <c r="AF6143">
        <v>2.7584313386517501</v>
      </c>
      <c r="AG6143">
        <v>-1.0563221585639999</v>
      </c>
      <c r="AH6143">
        <v>9.0320738389160997</v>
      </c>
      <c r="AI6143">
        <v>96.382136846196602</v>
      </c>
      <c r="AJ6143">
        <v>73.017119852616304</v>
      </c>
      <c r="AK6143">
        <v>9.5027952616249696</v>
      </c>
      <c r="AL6143">
        <v>89.790787674334993</v>
      </c>
      <c r="AM6143">
        <v>81.223383481904705</v>
      </c>
      <c r="AN6143">
        <v>1.00000005354837</v>
      </c>
    </row>
    <row r="6144" spans="1:40" x14ac:dyDescent="0.25">
      <c r="A6144" t="str">
        <f>"20190312154418495"</f>
        <v>20190312154418495</v>
      </c>
      <c r="B6144" t="str">
        <f>"1552376658484068"</f>
        <v>1552376658484068</v>
      </c>
      <c r="C6144" t="s">
        <v>40</v>
      </c>
      <c r="D6144">
        <v>5.3434480000000004</v>
      </c>
      <c r="E6144">
        <v>0.55212090000000003</v>
      </c>
      <c r="F6144" t="s">
        <v>43</v>
      </c>
      <c r="G6144">
        <v>-303.40570000000002</v>
      </c>
      <c r="H6144" s="1">
        <v>-1.07812E-6</v>
      </c>
      <c r="I6144">
        <v>-9.0989109999999993</v>
      </c>
      <c r="J6144">
        <v>-303.40469999999999</v>
      </c>
      <c r="K6144">
        <v>1.055777</v>
      </c>
      <c r="L6144">
        <v>0.42541499999999999</v>
      </c>
      <c r="M6144">
        <v>0.28928179999999998</v>
      </c>
      <c r="N6144">
        <v>0</v>
      </c>
      <c r="O6144">
        <v>-0.95713839999999994</v>
      </c>
      <c r="P6144">
        <v>0.14159649999999999</v>
      </c>
      <c r="Q6144">
        <v>-1.0435750000000001E-2</v>
      </c>
      <c r="R6144">
        <v>-0.98986960000000002</v>
      </c>
      <c r="S6144">
        <v>1.5014649999999999E-2</v>
      </c>
      <c r="T6144">
        <v>-0.3292602</v>
      </c>
      <c r="U6144">
        <v>-3.0266109999999999</v>
      </c>
      <c r="V6144">
        <v>0.15087610000000001</v>
      </c>
      <c r="W6144">
        <v>1.402679E-3</v>
      </c>
      <c r="X6144">
        <v>0.98855170000000003</v>
      </c>
      <c r="Y6144">
        <v>0.28454839999999998</v>
      </c>
      <c r="Z6144">
        <v>9.8991990000000002E-2</v>
      </c>
      <c r="AA6144">
        <v>0.95353699999999997</v>
      </c>
      <c r="AB6144">
        <v>20</v>
      </c>
      <c r="AC6144">
        <v>-1.0000000000331901E-3</v>
      </c>
      <c r="AD6144">
        <v>-1.0557780781199999</v>
      </c>
      <c r="AE6144">
        <v>-9.5243260000000003</v>
      </c>
      <c r="AF6144">
        <v>2.7229901317682002</v>
      </c>
      <c r="AG6144">
        <v>-1.0557780781199999</v>
      </c>
      <c r="AH6144">
        <v>9.0060648699364503</v>
      </c>
      <c r="AI6144">
        <v>96.402536835189693</v>
      </c>
      <c r="AJ6144">
        <v>73.177270790838094</v>
      </c>
      <c r="AK6144">
        <v>9.4677635716915294</v>
      </c>
      <c r="AL6144">
        <v>89.919632388084906</v>
      </c>
      <c r="AM6144">
        <v>81.322290285329501</v>
      </c>
      <c r="AN6144">
        <v>1.00000001431623</v>
      </c>
    </row>
    <row r="6145" spans="1:40" x14ac:dyDescent="0.25">
      <c r="A6145" t="str">
        <f>"20190312154418518"</f>
        <v>20190312154418518</v>
      </c>
      <c r="B6145" t="str">
        <f>"1552376658513349"</f>
        <v>1552376658513349</v>
      </c>
      <c r="C6145" t="s">
        <v>40</v>
      </c>
      <c r="D6145">
        <v>5.334308</v>
      </c>
      <c r="E6145">
        <v>0.51412380000000002</v>
      </c>
      <c r="F6145" t="s">
        <v>43</v>
      </c>
      <c r="G6145">
        <v>-303.35860000000002</v>
      </c>
      <c r="H6145" s="1">
        <v>-1.047678E-6</v>
      </c>
      <c r="I6145">
        <v>-9.1368360000000006</v>
      </c>
      <c r="J6145">
        <v>-303.35509999999999</v>
      </c>
      <c r="K6145">
        <v>1.0561179999999999</v>
      </c>
      <c r="L6145">
        <v>0.2302246</v>
      </c>
      <c r="M6145">
        <v>0.28655770000000003</v>
      </c>
      <c r="N6145">
        <v>0</v>
      </c>
      <c r="O6145">
        <v>-0.95797089999999996</v>
      </c>
      <c r="P6145">
        <v>0.13949839999999999</v>
      </c>
      <c r="Q6145">
        <v>-1.0733650000000001E-2</v>
      </c>
      <c r="R6145">
        <v>-0.9901645</v>
      </c>
      <c r="S6145">
        <v>1.4556879999999999E-2</v>
      </c>
      <c r="T6145">
        <v>-0.33400289999999999</v>
      </c>
      <c r="U6145">
        <v>-3.0250849999999998</v>
      </c>
      <c r="V6145">
        <v>0.150136299999999</v>
      </c>
      <c r="W6145" s="1">
        <v>8.7009979999999997E-6</v>
      </c>
      <c r="X6145">
        <v>0.98866529999999997</v>
      </c>
      <c r="Y6145">
        <v>0.28195900000000002</v>
      </c>
      <c r="Z6145">
        <v>0.10062790000000001</v>
      </c>
      <c r="AA6145">
        <v>0.95413479999999995</v>
      </c>
      <c r="AB6145">
        <v>20</v>
      </c>
      <c r="AC6145">
        <v>-3.5000000000309198E-3</v>
      </c>
      <c r="AD6145">
        <v>-1.056119047678</v>
      </c>
      <c r="AE6145">
        <v>-9.3670606000000003</v>
      </c>
      <c r="AF6145">
        <v>2.6540546239599498</v>
      </c>
      <c r="AG6145">
        <v>-1.056119047678</v>
      </c>
      <c r="AH6145">
        <v>8.8605238515721592</v>
      </c>
      <c r="AI6145">
        <v>96.513904532974195</v>
      </c>
      <c r="AJ6145">
        <v>73.325097077979805</v>
      </c>
      <c r="AK6145">
        <v>9.3095798140469608</v>
      </c>
      <c r="AL6145">
        <v>89.999501469533001</v>
      </c>
      <c r="AM6145">
        <v>81.365174507503198</v>
      </c>
      <c r="AN6145">
        <v>0.99999999203874301</v>
      </c>
    </row>
    <row r="6146" spans="1:40" x14ac:dyDescent="0.25">
      <c r="A6146" t="str">
        <f>"20190312154418540"</f>
        <v>20190312154418540</v>
      </c>
      <c r="B6146" t="str">
        <f>"1552376658533846"</f>
        <v>1552376658533846</v>
      </c>
      <c r="C6146" t="s">
        <v>40</v>
      </c>
      <c r="D6146">
        <v>5.3473240000000004</v>
      </c>
      <c r="E6146">
        <v>0.51199700000000004</v>
      </c>
      <c r="F6146" t="s">
        <v>41</v>
      </c>
      <c r="G6146">
        <v>-303.27480000000003</v>
      </c>
      <c r="H6146">
        <v>0.87648570000000003</v>
      </c>
      <c r="I6146">
        <v>-0.54273509999999903</v>
      </c>
      <c r="J6146">
        <v>-303.30590000000001</v>
      </c>
      <c r="K6146">
        <v>1.057734</v>
      </c>
      <c r="L6146">
        <v>3.2409670000000002E-2</v>
      </c>
      <c r="M6146">
        <v>0.28208430000000001</v>
      </c>
      <c r="N6146">
        <v>0</v>
      </c>
      <c r="O6146">
        <v>-0.95931860000000002</v>
      </c>
      <c r="P6146">
        <v>0.13538849999999999</v>
      </c>
      <c r="Q6146">
        <v>-1.03613E-2</v>
      </c>
      <c r="R6146">
        <v>-0.99073860000000002</v>
      </c>
      <c r="S6146">
        <v>0.31015009999999998</v>
      </c>
      <c r="T6146">
        <v>-0.69161629999999996</v>
      </c>
      <c r="U6146">
        <v>-2.9786069999999998</v>
      </c>
      <c r="V6146">
        <v>0.14960279999999901</v>
      </c>
      <c r="W6146">
        <v>-9.8268560000000006E-4</v>
      </c>
      <c r="X6146">
        <v>0.98874569999999995</v>
      </c>
      <c r="Y6146">
        <v>0.1835774</v>
      </c>
      <c r="Z6146">
        <v>0.21015929999999999</v>
      </c>
      <c r="AA6146">
        <v>0.9602773</v>
      </c>
      <c r="AB6146">
        <v>20</v>
      </c>
      <c r="AC6146">
        <v>3.1099999999980799E-2</v>
      </c>
      <c r="AD6146">
        <v>-0.181248299999999</v>
      </c>
      <c r="AE6146">
        <v>-0.57514476999999897</v>
      </c>
      <c r="AF6146">
        <v>0.12048320487156</v>
      </c>
      <c r="AG6146">
        <v>-0.181248299999999</v>
      </c>
      <c r="AH6146">
        <v>0.51005239937495805</v>
      </c>
      <c r="AI6146">
        <v>109.07716271376199</v>
      </c>
      <c r="AJ6146">
        <v>76.709370299374399</v>
      </c>
      <c r="AK6146">
        <v>0.55454539851770801</v>
      </c>
      <c r="AL6146">
        <v>90.056303745890801</v>
      </c>
      <c r="AM6146">
        <v>81.396086966016099</v>
      </c>
      <c r="AN6146">
        <v>1.00000001135365</v>
      </c>
    </row>
    <row r="6147" spans="1:40" x14ac:dyDescent="0.25">
      <c r="A6147" t="str">
        <f>"20190312154418564"</f>
        <v>20190312154418564</v>
      </c>
      <c r="B6147" t="str">
        <f>"1552376658553365"</f>
        <v>1552376658553365</v>
      </c>
      <c r="C6147" t="s">
        <v>40</v>
      </c>
      <c r="D6147">
        <v>5.3206790000000002</v>
      </c>
      <c r="E6147">
        <v>0.5113818</v>
      </c>
      <c r="F6147" t="s">
        <v>41</v>
      </c>
      <c r="G6147">
        <v>-303.22660000000002</v>
      </c>
      <c r="H6147">
        <v>0.87223799999999996</v>
      </c>
      <c r="I6147">
        <v>-0.71404290000000004</v>
      </c>
      <c r="J6147">
        <v>-303.25470000000001</v>
      </c>
      <c r="K6147">
        <v>1.060246</v>
      </c>
      <c r="L6147">
        <v>-0.1734009</v>
      </c>
      <c r="M6147">
        <v>0.27453709999999998</v>
      </c>
      <c r="N6147">
        <v>0</v>
      </c>
      <c r="O6147">
        <v>-0.96152689999999996</v>
      </c>
      <c r="P6147">
        <v>0.12808919999999999</v>
      </c>
      <c r="Q6147">
        <v>-9.7880109999999992E-3</v>
      </c>
      <c r="R6147">
        <v>-0.9917146</v>
      </c>
      <c r="S6147">
        <v>0.31671139999999998</v>
      </c>
      <c r="T6147">
        <v>-0.73940899999999998</v>
      </c>
      <c r="U6147">
        <v>-2.9770509999999999</v>
      </c>
      <c r="V6147">
        <v>0.14909700000000001</v>
      </c>
      <c r="W6147">
        <v>-1.839769E-3</v>
      </c>
      <c r="X6147">
        <v>0.9888209</v>
      </c>
      <c r="Y6147">
        <v>0.17404839999999999</v>
      </c>
      <c r="Z6147">
        <v>0.22496260000000001</v>
      </c>
      <c r="AA6147">
        <v>0.95869649999999995</v>
      </c>
      <c r="AB6147">
        <v>20</v>
      </c>
      <c r="AC6147">
        <v>2.80999999999949E-2</v>
      </c>
      <c r="AD6147">
        <v>-0.18800800000000001</v>
      </c>
      <c r="AE6147">
        <v>-0.54064199999999996</v>
      </c>
      <c r="AF6147">
        <v>0.108346195449708</v>
      </c>
      <c r="AG6147">
        <v>-0.18800800000000001</v>
      </c>
      <c r="AH6147">
        <v>0.47080103028535097</v>
      </c>
      <c r="AI6147">
        <v>111.264205834024</v>
      </c>
      <c r="AJ6147">
        <v>77.040074276804503</v>
      </c>
      <c r="AK6147">
        <v>0.51840092230837498</v>
      </c>
      <c r="AL6147">
        <v>90.105411054626302</v>
      </c>
      <c r="AM6147">
        <v>81.425385667983605</v>
      </c>
      <c r="AN6147">
        <v>1.00000003621789</v>
      </c>
    </row>
    <row r="6148" spans="1:40" x14ac:dyDescent="0.25">
      <c r="A6148" t="str">
        <f>"20190312154418587"</f>
        <v>20190312154418587</v>
      </c>
      <c r="B6148" t="str">
        <f>"1552376658573861"</f>
        <v>1552376658573861</v>
      </c>
      <c r="C6148" t="s">
        <v>40</v>
      </c>
      <c r="D6148">
        <v>5.4320830000000004</v>
      </c>
      <c r="E6148">
        <v>0.51120259999999995</v>
      </c>
      <c r="F6148" t="s">
        <v>41</v>
      </c>
      <c r="G6148">
        <v>-303.1823</v>
      </c>
      <c r="H6148">
        <v>0.8764248</v>
      </c>
      <c r="I6148">
        <v>-0.89114579999999999</v>
      </c>
      <c r="J6148">
        <v>-303.20409999999998</v>
      </c>
      <c r="K6148">
        <v>1.0627719999999901</v>
      </c>
      <c r="L6148">
        <v>-0.37762449999999997</v>
      </c>
      <c r="M6148">
        <v>0.26577129999999999</v>
      </c>
      <c r="N6148">
        <v>0</v>
      </c>
      <c r="O6148">
        <v>-0.96400169999999996</v>
      </c>
      <c r="P6148">
        <v>0.11891069999999999</v>
      </c>
      <c r="Q6148">
        <v>-8.8478510000000003E-3</v>
      </c>
      <c r="R6148">
        <v>-0.99286569999999996</v>
      </c>
      <c r="S6148">
        <v>0.30099490000000001</v>
      </c>
      <c r="T6148">
        <v>-0.76246429999999998</v>
      </c>
      <c r="U6148">
        <v>-2.9786679999999999</v>
      </c>
      <c r="V6148">
        <v>0.14923620000000001</v>
      </c>
      <c r="W6148">
        <v>-2.183052E-3</v>
      </c>
      <c r="X6148">
        <v>0.98879919999999999</v>
      </c>
      <c r="Y6148">
        <v>0.17031099999999999</v>
      </c>
      <c r="Z6148">
        <v>0.23247789999999999</v>
      </c>
      <c r="AA6148">
        <v>0.95757409999999998</v>
      </c>
      <c r="AB6148">
        <v>20</v>
      </c>
      <c r="AC6148">
        <v>2.17999999999847E-2</v>
      </c>
      <c r="AD6148">
        <v>-0.18634719999999899</v>
      </c>
      <c r="AE6148">
        <v>-0.51352129999999996</v>
      </c>
      <c r="AF6148">
        <v>0.10205333057256701</v>
      </c>
      <c r="AG6148">
        <v>-0.18634719999999899</v>
      </c>
      <c r="AH6148">
        <v>0.44266001536980099</v>
      </c>
      <c r="AI6148">
        <v>112.30397310047699</v>
      </c>
      <c r="AJ6148">
        <v>77.017547607879493</v>
      </c>
      <c r="AK6148">
        <v>0.49100717961755502</v>
      </c>
      <c r="AL6148">
        <v>90.125079761214906</v>
      </c>
      <c r="AM6148">
        <v>81.417313847793807</v>
      </c>
      <c r="AN6148">
        <v>1.0000000335135499</v>
      </c>
    </row>
    <row r="6149" spans="1:40" x14ac:dyDescent="0.25">
      <c r="A6149" t="str">
        <f>"20190312154418610"</f>
        <v>20190312154418610</v>
      </c>
      <c r="B6149" t="str">
        <f>"1552376658604117"</f>
        <v>1552376658604117</v>
      </c>
      <c r="C6149" t="s">
        <v>40</v>
      </c>
      <c r="D6149">
        <v>5.3037839999999896</v>
      </c>
      <c r="E6149">
        <v>0.51028229999999997</v>
      </c>
      <c r="F6149" t="s">
        <v>41</v>
      </c>
      <c r="G6149">
        <v>-303.14</v>
      </c>
      <c r="H6149">
        <v>0.88316450000000002</v>
      </c>
      <c r="I6149">
        <v>-1.0695460000000001</v>
      </c>
      <c r="J6149">
        <v>-303.15379999999999</v>
      </c>
      <c r="K6149">
        <v>1.0647990000000001</v>
      </c>
      <c r="L6149">
        <v>-0.58547969999999905</v>
      </c>
      <c r="M6149">
        <v>0.25776470000000001</v>
      </c>
      <c r="N6149">
        <v>0</v>
      </c>
      <c r="O6149">
        <v>-0.96618519999999997</v>
      </c>
      <c r="P6149">
        <v>0.1113582</v>
      </c>
      <c r="Q6149">
        <v>-7.2952729999999997E-3</v>
      </c>
      <c r="R6149">
        <v>-0.99375360000000001</v>
      </c>
      <c r="S6149">
        <v>0.27627560000000001</v>
      </c>
      <c r="T6149">
        <v>-0.77387329999999999</v>
      </c>
      <c r="U6149">
        <v>-2.9815670000000001</v>
      </c>
      <c r="V6149">
        <v>0.1485533</v>
      </c>
      <c r="W6149">
        <v>-2.0354700000000002E-3</v>
      </c>
      <c r="X6149">
        <v>0.98890230000000001</v>
      </c>
      <c r="Y6149">
        <v>0.17017209999999999</v>
      </c>
      <c r="Z6149">
        <v>0.23641519999999999</v>
      </c>
      <c r="AA6149">
        <v>0.95663430000000005</v>
      </c>
      <c r="AB6149">
        <v>20</v>
      </c>
      <c r="AC6149">
        <v>1.3800000000003299E-2</v>
      </c>
      <c r="AD6149">
        <v>-0.1816345</v>
      </c>
      <c r="AE6149">
        <v>-0.4840663</v>
      </c>
      <c r="AF6149">
        <v>9.7699807723526294E-2</v>
      </c>
      <c r="AG6149">
        <v>-0.1816345</v>
      </c>
      <c r="AH6149">
        <v>0.41314379196204798</v>
      </c>
      <c r="AI6149">
        <v>113.16316421839799</v>
      </c>
      <c r="AJ6149">
        <v>76.695172748260404</v>
      </c>
      <c r="AK6149">
        <v>0.46176199156734898</v>
      </c>
      <c r="AL6149">
        <v>90.116623921730294</v>
      </c>
      <c r="AM6149">
        <v>81.456884624393496</v>
      </c>
      <c r="AN6149">
        <v>0.99999999251214999</v>
      </c>
    </row>
    <row r="6150" spans="1:40" x14ac:dyDescent="0.25">
      <c r="A6150" t="str">
        <f>"20190312154418632"</f>
        <v>20190312154418632</v>
      </c>
      <c r="B6150" t="str">
        <f>"1552376658623639"</f>
        <v>1552376658623639</v>
      </c>
      <c r="C6150" t="s">
        <v>40</v>
      </c>
      <c r="D6150">
        <v>5.3482070000000004</v>
      </c>
      <c r="E6150">
        <v>0.51014989999999905</v>
      </c>
      <c r="F6150" t="s">
        <v>41</v>
      </c>
      <c r="G6150">
        <v>-303.0813</v>
      </c>
      <c r="H6150">
        <v>0.84896779999999905</v>
      </c>
      <c r="I6150">
        <v>-1.4109130000000001</v>
      </c>
      <c r="J6150">
        <v>-303.10879999999997</v>
      </c>
      <c r="K6150">
        <v>1.0662590000000001</v>
      </c>
      <c r="L6150">
        <v>-0.77841190000000005</v>
      </c>
      <c r="M6150">
        <v>0.25173289999999998</v>
      </c>
      <c r="N6150">
        <v>0</v>
      </c>
      <c r="O6150">
        <v>-0.96778339999999996</v>
      </c>
      <c r="P6150">
        <v>0.106973</v>
      </c>
      <c r="Q6150">
        <v>-5.2696940000000001E-3</v>
      </c>
      <c r="R6150">
        <v>-0.99424840000000003</v>
      </c>
      <c r="S6150">
        <v>0.26263429999999999</v>
      </c>
      <c r="T6150">
        <v>-0.77990649999999995</v>
      </c>
      <c r="U6150">
        <v>-2.9837039999999999</v>
      </c>
      <c r="V6150">
        <v>0.14675279999999999</v>
      </c>
      <c r="W6150">
        <v>-1.4798739999999999E-3</v>
      </c>
      <c r="X6150">
        <v>0.9891721</v>
      </c>
      <c r="Y6150">
        <v>0.16846839999999999</v>
      </c>
      <c r="Z6150">
        <v>0.23865410000000001</v>
      </c>
      <c r="AA6150">
        <v>0.95638000000000001</v>
      </c>
      <c r="AB6150">
        <v>20</v>
      </c>
      <c r="AC6150">
        <v>2.7499999999974899E-2</v>
      </c>
      <c r="AD6150">
        <v>-0.21729119999999999</v>
      </c>
      <c r="AE6150">
        <v>-0.63250109999999904</v>
      </c>
      <c r="AF6150">
        <v>0.11863403777242</v>
      </c>
      <c r="AG6150">
        <v>-0.21729119999999999</v>
      </c>
      <c r="AH6150">
        <v>0.55381578546688204</v>
      </c>
      <c r="AI6150">
        <v>110.989278243599</v>
      </c>
      <c r="AJ6150">
        <v>77.909276060039403</v>
      </c>
      <c r="AK6150">
        <v>0.60663120983669105</v>
      </c>
      <c r="AL6150">
        <v>90.084790564607403</v>
      </c>
      <c r="AM6150">
        <v>81.561197609335395</v>
      </c>
      <c r="AN6150">
        <v>1.0000000088766501</v>
      </c>
    </row>
    <row r="6151" spans="1:40" x14ac:dyDescent="0.25">
      <c r="A6151" t="str">
        <f>"20190312154418653"</f>
        <v>20190312154418653</v>
      </c>
      <c r="B6151" t="str">
        <f>"1552376658644132"</f>
        <v>1552376658644132</v>
      </c>
      <c r="C6151" t="s">
        <v>40</v>
      </c>
      <c r="D6151">
        <v>5.3287469999999999</v>
      </c>
      <c r="E6151">
        <v>0.50957739999999996</v>
      </c>
      <c r="F6151" t="s">
        <v>41</v>
      </c>
      <c r="G6151">
        <v>-303.04079999999999</v>
      </c>
      <c r="H6151">
        <v>0.85474349999999999</v>
      </c>
      <c r="I6151">
        <v>-1.588106</v>
      </c>
      <c r="J6151">
        <v>-303.06650000000002</v>
      </c>
      <c r="K6151">
        <v>1.0675330000000001</v>
      </c>
      <c r="L6151">
        <v>-0.96643069999999998</v>
      </c>
      <c r="M6151">
        <v>0.2466419</v>
      </c>
      <c r="N6151">
        <v>0</v>
      </c>
      <c r="O6151">
        <v>-0.96909959999999995</v>
      </c>
      <c r="P6151">
        <v>0.1039972</v>
      </c>
      <c r="Q6151">
        <v>-3.8221489999999999E-3</v>
      </c>
      <c r="R6151">
        <v>-0.99457039999999997</v>
      </c>
      <c r="S6151">
        <v>0.2511292</v>
      </c>
      <c r="T6151">
        <v>-0.77974869999999996</v>
      </c>
      <c r="U6151">
        <v>-2.9862060000000001</v>
      </c>
      <c r="V6151">
        <v>0.14451249999999999</v>
      </c>
      <c r="W6151">
        <v>-1.4818979999999999E-3</v>
      </c>
      <c r="X6151">
        <v>0.98950179999999999</v>
      </c>
      <c r="Y6151">
        <v>0.16701569999999999</v>
      </c>
      <c r="Z6151">
        <v>0.23897350000000001</v>
      </c>
      <c r="AA6151">
        <v>0.95655489999999999</v>
      </c>
      <c r="AB6151">
        <v>20</v>
      </c>
      <c r="AC6151">
        <v>2.5700000000028901E-2</v>
      </c>
      <c r="AD6151">
        <v>-0.21278949999999999</v>
      </c>
      <c r="AE6151">
        <v>-0.62167530000000004</v>
      </c>
      <c r="AF6151">
        <v>0.114978493613516</v>
      </c>
      <c r="AG6151">
        <v>-0.21278949999999999</v>
      </c>
      <c r="AH6151">
        <v>0.54505891885862201</v>
      </c>
      <c r="AI6151">
        <v>110.906392919368</v>
      </c>
      <c r="AJ6151">
        <v>78.088268492680598</v>
      </c>
      <c r="AK6151">
        <v>0.59631254416724599</v>
      </c>
      <c r="AL6151">
        <v>90.084906537626495</v>
      </c>
      <c r="AM6151">
        <v>81.690940102246302</v>
      </c>
      <c r="AN6151">
        <v>0.99999993544058396</v>
      </c>
    </row>
    <row r="6152" spans="1:40" x14ac:dyDescent="0.25">
      <c r="A6152" t="str">
        <f>"20190312154418686"</f>
        <v>20190312154418686</v>
      </c>
      <c r="B6152" t="str">
        <f>"1552376658673412"</f>
        <v>1552376658673412</v>
      </c>
      <c r="C6152" t="s">
        <v>40</v>
      </c>
      <c r="D6152">
        <v>5.3486900000000004</v>
      </c>
      <c r="E6152">
        <v>0.50775909999999902</v>
      </c>
      <c r="F6152" t="s">
        <v>41</v>
      </c>
      <c r="G6152">
        <v>-303.00060000000002</v>
      </c>
      <c r="H6152">
        <v>0.8594347</v>
      </c>
      <c r="I6152">
        <v>-1.764821</v>
      </c>
      <c r="J6152">
        <v>-303.0052</v>
      </c>
      <c r="K6152">
        <v>1.06958</v>
      </c>
      <c r="L6152">
        <v>-1.249207</v>
      </c>
      <c r="M6152">
        <v>0.23924670000000001</v>
      </c>
      <c r="N6152">
        <v>0</v>
      </c>
      <c r="O6152">
        <v>-0.97095719999999996</v>
      </c>
      <c r="P6152">
        <v>9.8854129999999998E-2</v>
      </c>
      <c r="Q6152">
        <v>-2.6504039999999999E-3</v>
      </c>
      <c r="R6152">
        <v>-0.9950987</v>
      </c>
      <c r="S6152">
        <v>0.2463379</v>
      </c>
      <c r="T6152">
        <v>-0.77879080000000001</v>
      </c>
      <c r="U6152">
        <v>-2.9876399999999999</v>
      </c>
      <c r="V6152">
        <v>0.14207700000000001</v>
      </c>
      <c r="W6152">
        <v>-2.1901870000000001E-3</v>
      </c>
      <c r="X6152">
        <v>0.98985319999999999</v>
      </c>
      <c r="Y6152">
        <v>0.16106379999999901</v>
      </c>
      <c r="Z6152">
        <v>0.23941709999999999</v>
      </c>
      <c r="AA6152">
        <v>0.95746430000000005</v>
      </c>
      <c r="AB6152">
        <v>20</v>
      </c>
      <c r="AC6152">
        <v>4.5999999999821696E-3</v>
      </c>
      <c r="AD6152">
        <v>-0.21014530000000001</v>
      </c>
      <c r="AE6152">
        <v>-0.51561400000000002</v>
      </c>
      <c r="AF6152">
        <v>0.101958053507029</v>
      </c>
      <c r="AG6152">
        <v>-0.21014530000000001</v>
      </c>
      <c r="AH6152">
        <v>0.43027423812751298</v>
      </c>
      <c r="AI6152">
        <v>115.41885881072901</v>
      </c>
      <c r="AJ6152">
        <v>76.669038772586603</v>
      </c>
      <c r="AK6152">
        <v>0.48958391699814202</v>
      </c>
      <c r="AL6152">
        <v>90.125488569989102</v>
      </c>
      <c r="AM6152">
        <v>81.831929232790202</v>
      </c>
      <c r="AN6152">
        <v>1.0000000141991601</v>
      </c>
    </row>
    <row r="6153" spans="1:40" x14ac:dyDescent="0.25">
      <c r="A6153" t="str">
        <f>"20190312154418708"</f>
        <v>20190312154418708</v>
      </c>
      <c r="B6153" t="str">
        <f>"1552376658693908"</f>
        <v>1552376658693908</v>
      </c>
      <c r="C6153" t="s">
        <v>40</v>
      </c>
      <c r="D6153">
        <v>5.3679940000000004</v>
      </c>
      <c r="E6153">
        <v>0.50720480000000001</v>
      </c>
      <c r="F6153" t="s">
        <v>41</v>
      </c>
      <c r="G6153">
        <v>-302.94779999999997</v>
      </c>
      <c r="H6153">
        <v>0.88935739999999996</v>
      </c>
      <c r="I6153">
        <v>-1.9489780000000001</v>
      </c>
      <c r="J6153">
        <v>-302.964</v>
      </c>
      <c r="K6153">
        <v>1.0712699999999999</v>
      </c>
      <c r="L6153">
        <v>-1.4450989999999999</v>
      </c>
      <c r="M6153">
        <v>0.23328969999999999</v>
      </c>
      <c r="N6153">
        <v>0</v>
      </c>
      <c r="O6153">
        <v>-0.97240720000000003</v>
      </c>
      <c r="P6153">
        <v>9.326197E-2</v>
      </c>
      <c r="Q6153">
        <v>-3.0156890000000002E-3</v>
      </c>
      <c r="R6153">
        <v>-0.99563740000000001</v>
      </c>
      <c r="S6153">
        <v>0.24566650000000001</v>
      </c>
      <c r="T6153">
        <v>-0.76922369999999995</v>
      </c>
      <c r="U6153">
        <v>-2.9883120000000001</v>
      </c>
      <c r="V6153">
        <v>0.14156089999999999</v>
      </c>
      <c r="W6153">
        <v>-3.2795649999999999E-3</v>
      </c>
      <c r="X6153">
        <v>0.98992409999999997</v>
      </c>
      <c r="Y6153">
        <v>0.15519659999999999</v>
      </c>
      <c r="Z6153">
        <v>0.23725660000000001</v>
      </c>
      <c r="AA6153">
        <v>0.95896999999999999</v>
      </c>
      <c r="AB6153">
        <v>20</v>
      </c>
      <c r="AC6153">
        <v>1.62000000000261E-2</v>
      </c>
      <c r="AD6153">
        <v>-0.18191260000000001</v>
      </c>
      <c r="AE6153">
        <v>-0.50387899999999997</v>
      </c>
      <c r="AF6153">
        <v>9.0069395344827705E-2</v>
      </c>
      <c r="AG6153">
        <v>-0.18191260000000001</v>
      </c>
      <c r="AH6153">
        <v>0.43687236428393</v>
      </c>
      <c r="AI6153">
        <v>112.186640855212</v>
      </c>
      <c r="AJ6153">
        <v>78.350629082878896</v>
      </c>
      <c r="AK6153">
        <v>0.48172829758233399</v>
      </c>
      <c r="AL6153">
        <v>90.187905573010795</v>
      </c>
      <c r="AM6153">
        <v>81.861776928905698</v>
      </c>
      <c r="AN6153">
        <v>0.99999998385810396</v>
      </c>
    </row>
    <row r="6154" spans="1:40" x14ac:dyDescent="0.25">
      <c r="A6154" t="str">
        <f>"20190312154418730"</f>
        <v>20190312154418730</v>
      </c>
      <c r="B6154" t="str">
        <f>"1552376658724164"</f>
        <v>1552376658724164</v>
      </c>
      <c r="C6154" t="s">
        <v>40</v>
      </c>
      <c r="D6154">
        <v>5.3828239999999896</v>
      </c>
      <c r="E6154">
        <v>0.50644239999999996</v>
      </c>
      <c r="F6154" t="s">
        <v>41</v>
      </c>
      <c r="G6154">
        <v>-302.89850000000001</v>
      </c>
      <c r="H6154">
        <v>0.85299659999999999</v>
      </c>
      <c r="I6154">
        <v>-2.2878729999999998</v>
      </c>
      <c r="J6154">
        <v>-302.92270000000002</v>
      </c>
      <c r="K6154">
        <v>1.0730040000000001</v>
      </c>
      <c r="L6154">
        <v>-1.6427309999999999</v>
      </c>
      <c r="M6154">
        <v>0.22658629999999999</v>
      </c>
      <c r="N6154">
        <v>0</v>
      </c>
      <c r="O6154">
        <v>-0.97399100000000005</v>
      </c>
      <c r="P6154">
        <v>8.7071300000000004E-2</v>
      </c>
      <c r="Q6154">
        <v>-2.8911990000000001E-3</v>
      </c>
      <c r="R6154">
        <v>-0.99619829999999998</v>
      </c>
      <c r="S6154">
        <v>0.23272709999999999</v>
      </c>
      <c r="T6154">
        <v>-0.77383400000000002</v>
      </c>
      <c r="U6154">
        <v>-2.9890140000000001</v>
      </c>
      <c r="V6154">
        <v>0.14089589999999999</v>
      </c>
      <c r="W6154">
        <v>-3.3268199999999999E-3</v>
      </c>
      <c r="X6154">
        <v>0.99001879999999998</v>
      </c>
      <c r="Y6154">
        <v>0.15256910000000001</v>
      </c>
      <c r="Z6154">
        <v>0.23921010000000001</v>
      </c>
      <c r="AA6154">
        <v>0.95890620000000004</v>
      </c>
      <c r="AB6154">
        <v>20</v>
      </c>
      <c r="AC6154">
        <v>2.42000000000075E-2</v>
      </c>
      <c r="AD6154">
        <v>-0.22000739999999999</v>
      </c>
      <c r="AE6154">
        <v>-0.64514199999999899</v>
      </c>
      <c r="AF6154">
        <v>0.109852353561979</v>
      </c>
      <c r="AG6154">
        <v>-0.22000739999999999</v>
      </c>
      <c r="AH6154">
        <v>0.56789496030911701</v>
      </c>
      <c r="AI6154">
        <v>110.82470342248</v>
      </c>
      <c r="AJ6154">
        <v>79.052044691969897</v>
      </c>
      <c r="AK6154">
        <v>0.61885012853061605</v>
      </c>
      <c r="AL6154">
        <v>90.190613101887706</v>
      </c>
      <c r="AM6154">
        <v>81.900263234667193</v>
      </c>
      <c r="AN6154">
        <v>0.99999997336077995</v>
      </c>
    </row>
    <row r="6155" spans="1:40" x14ac:dyDescent="0.25">
      <c r="A6155" t="str">
        <f>"20190312154418753"</f>
        <v>20190312154418753</v>
      </c>
      <c r="B6155" t="str">
        <f>"1552376658743685"</f>
        <v>1552376658743685</v>
      </c>
      <c r="C6155" t="s">
        <v>40</v>
      </c>
      <c r="D6155">
        <v>5.383324</v>
      </c>
      <c r="E6155">
        <v>0.50591629999999999</v>
      </c>
      <c r="F6155" t="s">
        <v>41</v>
      </c>
      <c r="G6155">
        <v>-302.86259999999999</v>
      </c>
      <c r="H6155">
        <v>0.86145110000000003</v>
      </c>
      <c r="I6155">
        <v>-2.4631940000000001</v>
      </c>
      <c r="J6155">
        <v>-302.88249999999999</v>
      </c>
      <c r="K6155">
        <v>1.0745169999999999</v>
      </c>
      <c r="L6155">
        <v>-1.8381350000000001</v>
      </c>
      <c r="M6155">
        <v>0.22118170000000001</v>
      </c>
      <c r="N6155">
        <v>0</v>
      </c>
      <c r="O6155">
        <v>-0.97523210000000005</v>
      </c>
      <c r="P6155">
        <v>8.1798140000000005E-2</v>
      </c>
      <c r="Q6155">
        <v>-1.735007E-3</v>
      </c>
      <c r="R6155">
        <v>-0.99664739999999996</v>
      </c>
      <c r="S6155">
        <v>0.21932979999999999</v>
      </c>
      <c r="T6155">
        <v>-0.77098409999999995</v>
      </c>
      <c r="U6155">
        <v>-2.9900509999999998</v>
      </c>
      <c r="V6155">
        <v>0.14065610000000001</v>
      </c>
      <c r="W6155">
        <v>-1.9852419999999999E-3</v>
      </c>
      <c r="X6155">
        <v>0.99005650000000001</v>
      </c>
      <c r="Y6155">
        <v>0.15137619999999999</v>
      </c>
      <c r="Z6155">
        <v>0.2388198</v>
      </c>
      <c r="AA6155">
        <v>0.9591925</v>
      </c>
      <c r="AB6155">
        <v>20</v>
      </c>
      <c r="AC6155">
        <v>1.9900000000006898E-2</v>
      </c>
      <c r="AD6155">
        <v>-0.213065899999999</v>
      </c>
      <c r="AE6155">
        <v>-0.62505899999999903</v>
      </c>
      <c r="AF6155">
        <v>0.106484195247769</v>
      </c>
      <c r="AG6155">
        <v>-0.213065899999999</v>
      </c>
      <c r="AH6155">
        <v>0.55012285624805801</v>
      </c>
      <c r="AI6155">
        <v>110.819212515438</v>
      </c>
      <c r="AJ6155">
        <v>79.045053552740498</v>
      </c>
      <c r="AK6155">
        <v>0.59947570304967002</v>
      </c>
      <c r="AL6155">
        <v>90.113746065309698</v>
      </c>
      <c r="AM6155">
        <v>81.914170073130407</v>
      </c>
      <c r="AN6155">
        <v>0.99999997642262906</v>
      </c>
    </row>
    <row r="6156" spans="1:40" x14ac:dyDescent="0.25">
      <c r="A6156" t="str">
        <f>"20190312154418774"</f>
        <v>20190312154418774</v>
      </c>
      <c r="B6156" t="str">
        <f>"1552376658763205"</f>
        <v>1552376658763205</v>
      </c>
      <c r="C6156" t="s">
        <v>40</v>
      </c>
      <c r="D6156">
        <v>5.3594179999999998</v>
      </c>
      <c r="E6156">
        <v>0.50571719999999998</v>
      </c>
      <c r="F6156" t="s">
        <v>41</v>
      </c>
      <c r="G6156">
        <v>-302.82740000000001</v>
      </c>
      <c r="H6156">
        <v>0.870316599999999</v>
      </c>
      <c r="I6156">
        <v>-2.6383329999999998</v>
      </c>
      <c r="J6156">
        <v>-302.8451</v>
      </c>
      <c r="K6156">
        <v>1.0761270000000001</v>
      </c>
      <c r="L6156">
        <v>-2.025604</v>
      </c>
      <c r="M6156">
        <v>0.2178426</v>
      </c>
      <c r="N6156">
        <v>0</v>
      </c>
      <c r="O6156">
        <v>-0.97598300000000004</v>
      </c>
      <c r="P6156">
        <v>7.8958269999999997E-2</v>
      </c>
      <c r="Q6156">
        <v>-1.3517239999999999E-3</v>
      </c>
      <c r="R6156">
        <v>-0.99687709999999996</v>
      </c>
      <c r="S6156">
        <v>0.20697019999999999</v>
      </c>
      <c r="T6156">
        <v>-0.76297399999999904</v>
      </c>
      <c r="U6156">
        <v>-2.9917600000000002</v>
      </c>
      <c r="V6156">
        <v>0.1400942</v>
      </c>
      <c r="W6156">
        <v>-1.334783E-3</v>
      </c>
      <c r="X6156">
        <v>0.9901373</v>
      </c>
      <c r="Y6156">
        <v>0.1519365</v>
      </c>
      <c r="Z6156">
        <v>0.23665439999999999</v>
      </c>
      <c r="AA6156">
        <v>0.95964059999999995</v>
      </c>
      <c r="AB6156">
        <v>20</v>
      </c>
      <c r="AC6156">
        <v>1.7699999999990699E-2</v>
      </c>
      <c r="AD6156">
        <v>-0.2058104</v>
      </c>
      <c r="AE6156">
        <v>-0.61272899999999997</v>
      </c>
      <c r="AF6156">
        <v>0.104431255988385</v>
      </c>
      <c r="AG6156">
        <v>-0.2058104</v>
      </c>
      <c r="AH6156">
        <v>0.54089491636930098</v>
      </c>
      <c r="AI6156">
        <v>110.48570024186</v>
      </c>
      <c r="AJ6156">
        <v>79.072290681995199</v>
      </c>
      <c r="AK6156">
        <v>0.58807407571633796</v>
      </c>
      <c r="AL6156">
        <v>90.076477453669597</v>
      </c>
      <c r="AM6156">
        <v>81.946695707857899</v>
      </c>
      <c r="AN6156">
        <v>1.0000000196852901</v>
      </c>
    </row>
    <row r="6157" spans="1:40" x14ac:dyDescent="0.25">
      <c r="A6157" t="str">
        <f>"20190312154418799"</f>
        <v>20190312154418799</v>
      </c>
      <c r="B6157" t="str">
        <f>"1552376658793461"</f>
        <v>1552376658793461</v>
      </c>
      <c r="C6157" t="s">
        <v>40</v>
      </c>
      <c r="D6157">
        <v>4.6258410000000003</v>
      </c>
      <c r="E6157">
        <v>0.50587769999999999</v>
      </c>
      <c r="F6157" t="s">
        <v>41</v>
      </c>
      <c r="G6157">
        <v>-302.79289999999997</v>
      </c>
      <c r="H6157">
        <v>0.87564989999999998</v>
      </c>
      <c r="I6157">
        <v>-2.8125079999999998</v>
      </c>
      <c r="J6157">
        <v>-302.80520000000001</v>
      </c>
      <c r="K6157">
        <v>1.078478</v>
      </c>
      <c r="L6157">
        <v>-2.2324519999999999</v>
      </c>
      <c r="M6157">
        <v>0.2147723</v>
      </c>
      <c r="N6157">
        <v>0</v>
      </c>
      <c r="O6157">
        <v>-0.97666249999999999</v>
      </c>
      <c r="P6157">
        <v>7.7198390000000006E-2</v>
      </c>
      <c r="Q6157">
        <v>-2.559782E-3</v>
      </c>
      <c r="R6157">
        <v>-0.99701260000000003</v>
      </c>
      <c r="S6157">
        <v>0.1991272</v>
      </c>
      <c r="T6157">
        <v>-0.76209969999999905</v>
      </c>
      <c r="U6157">
        <v>-2.9925839999999999</v>
      </c>
      <c r="V6157">
        <v>0.13871929999999999</v>
      </c>
      <c r="W6157">
        <v>-2.176632E-3</v>
      </c>
      <c r="X6157">
        <v>0.99032929999999997</v>
      </c>
      <c r="Y6157">
        <v>0.15134810000000001</v>
      </c>
      <c r="Z6157">
        <v>0.2366152</v>
      </c>
      <c r="AA6157">
        <v>0.95974320000000002</v>
      </c>
      <c r="AB6157">
        <v>20</v>
      </c>
      <c r="AC6157">
        <v>1.2300000000038801E-2</v>
      </c>
      <c r="AD6157">
        <v>-0.20282810000000001</v>
      </c>
      <c r="AE6157">
        <v>-0.58005600000000002</v>
      </c>
      <c r="AF6157">
        <v>0.10030813015012</v>
      </c>
      <c r="AG6157">
        <v>-0.20282810000000001</v>
      </c>
      <c r="AH6157">
        <v>0.50717735618870696</v>
      </c>
      <c r="AI6157">
        <v>111.420883547228</v>
      </c>
      <c r="AJ6157">
        <v>78.812577033310106</v>
      </c>
      <c r="AK6157">
        <v>0.55536459173626596</v>
      </c>
      <c r="AL6157">
        <v>90.124711931592302</v>
      </c>
      <c r="AM6157">
        <v>82.026236165269495</v>
      </c>
      <c r="AN6157">
        <v>0.99999995217892002</v>
      </c>
    </row>
    <row r="6158" spans="1:40" x14ac:dyDescent="0.25">
      <c r="A6158" t="str">
        <f>"20190312154418932"</f>
        <v>20190312154418932</v>
      </c>
      <c r="B6158" t="str">
        <f>"1552376658923269"</f>
        <v>1552376658923269</v>
      </c>
      <c r="C6158" t="s">
        <v>40</v>
      </c>
      <c r="D6158">
        <v>5.4869269999999997</v>
      </c>
      <c r="E6158">
        <v>0.52230909999999997</v>
      </c>
      <c r="F6158" t="s">
        <v>43</v>
      </c>
      <c r="G6158">
        <v>-302.64049999999997</v>
      </c>
      <c r="H6158" s="1">
        <v>-2.5407850000000001E-6</v>
      </c>
      <c r="I6158">
        <v>-5.5739710000000002</v>
      </c>
      <c r="J6158">
        <v>-302.59440000000001</v>
      </c>
      <c r="K6158">
        <v>1.0940920000000001</v>
      </c>
      <c r="L6158">
        <v>-3.3956300000000001</v>
      </c>
      <c r="M6158">
        <v>0.18868489999999999</v>
      </c>
      <c r="N6158">
        <v>0</v>
      </c>
      <c r="O6158">
        <v>-0.98201890000000003</v>
      </c>
      <c r="P6158">
        <v>5.9886660000000001E-2</v>
      </c>
      <c r="Q6158">
        <v>-7.8213980000000002E-3</v>
      </c>
      <c r="R6158">
        <v>-0.99817480000000003</v>
      </c>
      <c r="S6158">
        <v>-1.6754149999999999E-2</v>
      </c>
      <c r="T6158">
        <v>-1.3797379999999999</v>
      </c>
      <c r="U6158">
        <v>-2.9965519999999999</v>
      </c>
      <c r="V6158">
        <v>0.1295191</v>
      </c>
      <c r="W6158">
        <v>-2.607884E-3</v>
      </c>
      <c r="X6158">
        <v>0.9915735</v>
      </c>
      <c r="Y6158">
        <v>0.19351769999999999</v>
      </c>
      <c r="Z6158">
        <v>0.40335850000000001</v>
      </c>
      <c r="AA6158">
        <v>0.8943449</v>
      </c>
      <c r="AB6158">
        <v>20</v>
      </c>
      <c r="AC6158">
        <v>-4.6099999999967098E-2</v>
      </c>
      <c r="AD6158">
        <v>-1.094094540785</v>
      </c>
      <c r="AE6158">
        <v>-2.1783410000000001</v>
      </c>
      <c r="AF6158">
        <v>0.36441207659770802</v>
      </c>
      <c r="AG6158">
        <v>-1.094094540785</v>
      </c>
      <c r="AH6158">
        <v>1.70148023381795</v>
      </c>
      <c r="AI6158">
        <v>122.160283874765</v>
      </c>
      <c r="AJ6158">
        <v>77.911386991354107</v>
      </c>
      <c r="AK6158">
        <v>2.05544983198787</v>
      </c>
      <c r="AL6158">
        <v>90.149420915714302</v>
      </c>
      <c r="AM6158">
        <v>82.558170728538798</v>
      </c>
      <c r="AN6158">
        <v>1.000000002113</v>
      </c>
    </row>
    <row r="6159" spans="1:40" x14ac:dyDescent="0.25">
      <c r="A6159" t="str">
        <f>"20190312154418953"</f>
        <v>20190312154418953</v>
      </c>
      <c r="B6159" t="str">
        <f>"1552376658943765"</f>
        <v>1552376658943765</v>
      </c>
      <c r="C6159" t="s">
        <v>40</v>
      </c>
      <c r="D6159">
        <v>5.632568</v>
      </c>
      <c r="E6159">
        <v>0.50364030000000004</v>
      </c>
      <c r="F6159" t="s">
        <v>41</v>
      </c>
      <c r="G6159">
        <v>-302.59280000000001</v>
      </c>
      <c r="H6159">
        <v>0.76356349999999995</v>
      </c>
      <c r="I6159">
        <v>-4.1720519999999999</v>
      </c>
      <c r="J6159">
        <v>-302.56130000000002</v>
      </c>
      <c r="K6159">
        <v>1.096079</v>
      </c>
      <c r="L6159">
        <v>-3.5960079999999999</v>
      </c>
      <c r="M6159">
        <v>0.1848871</v>
      </c>
      <c r="N6159">
        <v>0</v>
      </c>
      <c r="O6159">
        <v>-0.98273549999999998</v>
      </c>
      <c r="P6159">
        <v>5.7651529999999999E-2</v>
      </c>
      <c r="Q6159">
        <v>-9.0214519999999992E-3</v>
      </c>
      <c r="R6159">
        <v>-0.99829610000000002</v>
      </c>
      <c r="S6159">
        <v>6.1950679999999998E-3</v>
      </c>
      <c r="T6159">
        <v>-1.2750109999999999</v>
      </c>
      <c r="U6159">
        <v>-2.995117</v>
      </c>
      <c r="V6159">
        <v>0.12790309999999999</v>
      </c>
      <c r="W6159">
        <v>-2.9646690000000001E-3</v>
      </c>
      <c r="X6159">
        <v>0.99178219999999995</v>
      </c>
      <c r="Y6159">
        <v>0.1828844</v>
      </c>
      <c r="Z6159">
        <v>0.37853239999999999</v>
      </c>
      <c r="AA6159">
        <v>0.90734029999999999</v>
      </c>
      <c r="AB6159">
        <v>20</v>
      </c>
      <c r="AC6159">
        <v>-3.1499999999993998E-2</v>
      </c>
      <c r="AD6159">
        <v>-0.33251550000000002</v>
      </c>
      <c r="AE6159">
        <v>-0.576043999999999</v>
      </c>
      <c r="AF6159">
        <v>0.103183664817214</v>
      </c>
      <c r="AG6159">
        <v>-0.33251550000000002</v>
      </c>
      <c r="AH6159">
        <v>0.420569823253088</v>
      </c>
      <c r="AI6159">
        <v>127.519171204453</v>
      </c>
      <c r="AJ6159">
        <v>76.215186529254794</v>
      </c>
      <c r="AK6159">
        <v>0.54597839028343897</v>
      </c>
      <c r="AL6159">
        <v>90.169863276596004</v>
      </c>
      <c r="AM6159">
        <v>82.651530012527999</v>
      </c>
      <c r="AN6159">
        <v>0.99999996224436405</v>
      </c>
    </row>
    <row r="6160" spans="1:40" x14ac:dyDescent="0.25">
      <c r="A6160" t="str">
        <f>"20190312154418975"</f>
        <v>20190312154418975</v>
      </c>
      <c r="B6160" t="str">
        <f>"1552376658963285"</f>
        <v>1552376658963285</v>
      </c>
      <c r="C6160" t="s">
        <v>40</v>
      </c>
      <c r="D6160">
        <v>5.3368000000000002</v>
      </c>
      <c r="E6160">
        <v>0.50337730000000003</v>
      </c>
      <c r="F6160" t="s">
        <v>41</v>
      </c>
      <c r="G6160">
        <v>-302.5224</v>
      </c>
      <c r="H6160">
        <v>0.91879080000000002</v>
      </c>
      <c r="I6160">
        <v>-4.4011779999999998</v>
      </c>
      <c r="J6160">
        <v>-302.53070000000002</v>
      </c>
      <c r="K6160">
        <v>1.0978330000000001</v>
      </c>
      <c r="L6160">
        <v>-3.7855219999999998</v>
      </c>
      <c r="M6160">
        <v>0.18113009999999999</v>
      </c>
      <c r="N6160">
        <v>0</v>
      </c>
      <c r="O6160">
        <v>-0.98342960000000001</v>
      </c>
      <c r="P6160">
        <v>5.5210960000000003E-2</v>
      </c>
      <c r="Q6160">
        <v>-1.052759E-2</v>
      </c>
      <c r="R6160">
        <v>-0.99841930000000001</v>
      </c>
      <c r="S6160">
        <v>0.14562990000000001</v>
      </c>
      <c r="T6160">
        <v>-0.65799619999999903</v>
      </c>
      <c r="U6160">
        <v>-2.9907530000000002</v>
      </c>
      <c r="V6160">
        <v>0.1265317</v>
      </c>
      <c r="W6160">
        <v>-3.7054929999999998E-3</v>
      </c>
      <c r="X6160">
        <v>0.99195560000000005</v>
      </c>
      <c r="Y6160">
        <v>0.1341579</v>
      </c>
      <c r="Z6160">
        <v>0.20851049999999999</v>
      </c>
      <c r="AA6160">
        <v>0.96877500000000005</v>
      </c>
      <c r="AB6160">
        <v>20</v>
      </c>
      <c r="AC6160">
        <v>8.3000000000197308E-3</v>
      </c>
      <c r="AD6160">
        <v>-0.17904219999999901</v>
      </c>
      <c r="AE6160">
        <v>-0.61565599999999898</v>
      </c>
      <c r="AF6160">
        <v>9.5296288891096301E-2</v>
      </c>
      <c r="AG6160">
        <v>-0.17904219999999901</v>
      </c>
      <c r="AH6160">
        <v>0.55965217694482705</v>
      </c>
      <c r="AI6160">
        <v>107.50410101506399</v>
      </c>
      <c r="AJ6160">
        <v>80.336490930651195</v>
      </c>
      <c r="AK6160">
        <v>0.59527140970849601</v>
      </c>
      <c r="AL6160">
        <v>90.212309604889199</v>
      </c>
      <c r="AM6160">
        <v>82.730731379360506</v>
      </c>
      <c r="AN6160">
        <v>0.99999995707731004</v>
      </c>
    </row>
    <row r="6161" spans="1:40" x14ac:dyDescent="0.25">
      <c r="A6161" t="str">
        <f>"20190312154419002"</f>
        <v>20190312154419002</v>
      </c>
      <c r="B6161" t="str">
        <f>"1552376658993541"</f>
        <v>1552376658993541</v>
      </c>
      <c r="C6161" t="s">
        <v>40</v>
      </c>
      <c r="D6161">
        <v>5.3244259999999999</v>
      </c>
      <c r="E6161">
        <v>0.50330259999999905</v>
      </c>
      <c r="F6161" t="s">
        <v>41</v>
      </c>
      <c r="G6161">
        <v>-302.49340000000001</v>
      </c>
      <c r="H6161">
        <v>0.94156960000000001</v>
      </c>
      <c r="I6161">
        <v>-4.5857229999999998</v>
      </c>
      <c r="J6161">
        <v>-302.49579999999997</v>
      </c>
      <c r="K6161">
        <v>1.099661</v>
      </c>
      <c r="L6161">
        <v>-4.0060120000000001</v>
      </c>
      <c r="M6161">
        <v>0.176624799999999</v>
      </c>
      <c r="N6161">
        <v>0</v>
      </c>
      <c r="O6161">
        <v>-0.98424270000000003</v>
      </c>
      <c r="P6161">
        <v>5.2973640000000002E-2</v>
      </c>
      <c r="Q6161">
        <v>-1.29245E-2</v>
      </c>
      <c r="R6161">
        <v>-0.99851230000000002</v>
      </c>
      <c r="S6161">
        <v>0.13977049999999999</v>
      </c>
      <c r="T6161">
        <v>-0.58382990000000001</v>
      </c>
      <c r="U6161">
        <v>-2.990875</v>
      </c>
      <c r="V6161">
        <v>0.12420050000000001</v>
      </c>
      <c r="W6161">
        <v>-5.2863629999999997E-3</v>
      </c>
      <c r="X6161">
        <v>0.99224310000000004</v>
      </c>
      <c r="Y6161">
        <v>0.13130629999999999</v>
      </c>
      <c r="Z6161">
        <v>0.18618299999999999</v>
      </c>
      <c r="AA6161">
        <v>0.9737015</v>
      </c>
      <c r="AB6161">
        <v>20</v>
      </c>
      <c r="AC6161">
        <v>2.3999999999659801E-3</v>
      </c>
      <c r="AD6161">
        <v>-0.15809139999999999</v>
      </c>
      <c r="AE6161">
        <v>-0.57971099999999998</v>
      </c>
      <c r="AF6161">
        <v>9.3108376011328597E-2</v>
      </c>
      <c r="AG6161">
        <v>-0.15809139999999999</v>
      </c>
      <c r="AH6161">
        <v>0.53149406381205799</v>
      </c>
      <c r="AI6161">
        <v>106.329816189545</v>
      </c>
      <c r="AJ6161">
        <v>80.063617704685896</v>
      </c>
      <c r="AK6161">
        <v>0.56227039785576705</v>
      </c>
      <c r="AL6161">
        <v>90.302887687602293</v>
      </c>
      <c r="AM6161">
        <v>82.865312053440604</v>
      </c>
      <c r="AN6161">
        <v>1.00000003966581</v>
      </c>
    </row>
    <row r="6162" spans="1:40" x14ac:dyDescent="0.25">
      <c r="A6162" t="str">
        <f>"20190312154419024"</f>
        <v>20190312154419024</v>
      </c>
      <c r="B6162" t="str">
        <f>"1552376659014036"</f>
        <v>1552376659014036</v>
      </c>
      <c r="C6162" t="s">
        <v>40</v>
      </c>
      <c r="D6162">
        <v>5.3091559999999998</v>
      </c>
      <c r="E6162">
        <v>0.50310250000000001</v>
      </c>
      <c r="F6162" t="s">
        <v>41</v>
      </c>
      <c r="G6162">
        <v>-302.46179999999998</v>
      </c>
      <c r="H6162">
        <v>0.97980259999999997</v>
      </c>
      <c r="I6162">
        <v>-4.7774570000000001</v>
      </c>
      <c r="J6162">
        <v>-302.4649</v>
      </c>
      <c r="K6162">
        <v>1.101075</v>
      </c>
      <c r="L6162">
        <v>-4.2062679999999997</v>
      </c>
      <c r="M6162">
        <v>0.17255989999999999</v>
      </c>
      <c r="N6162">
        <v>0</v>
      </c>
      <c r="O6162">
        <v>-0.98495820000000001</v>
      </c>
      <c r="P6162">
        <v>5.1246109999999997E-2</v>
      </c>
      <c r="Q6162">
        <v>-1.3200160000000001E-2</v>
      </c>
      <c r="R6162">
        <v>-0.99859889999999996</v>
      </c>
      <c r="S6162">
        <v>0.13293460000000001</v>
      </c>
      <c r="T6162">
        <v>-0.46440150000000002</v>
      </c>
      <c r="U6162">
        <v>-2.9913940000000001</v>
      </c>
      <c r="V6162">
        <v>0.1218239</v>
      </c>
      <c r="W6162">
        <v>-4.9117190000000002E-3</v>
      </c>
      <c r="X6162">
        <v>0.99253959999999997</v>
      </c>
      <c r="Y6162">
        <v>0.1291639</v>
      </c>
      <c r="Z6162">
        <v>0.1492628</v>
      </c>
      <c r="AA6162">
        <v>0.98032509999999995</v>
      </c>
      <c r="AB6162">
        <v>20</v>
      </c>
      <c r="AC6162">
        <v>3.1000000000176399E-3</v>
      </c>
      <c r="AD6162">
        <v>-0.1212724</v>
      </c>
      <c r="AE6162">
        <v>-0.57118899999999995</v>
      </c>
      <c r="AF6162">
        <v>9.1395007917226906E-2</v>
      </c>
      <c r="AG6162">
        <v>-0.1212724</v>
      </c>
      <c r="AH6162">
        <v>0.53886466582736903</v>
      </c>
      <c r="AI6162">
        <v>102.51028082773099</v>
      </c>
      <c r="AJ6162">
        <v>80.373862730589394</v>
      </c>
      <c r="AK6162">
        <v>0.55985281150601696</v>
      </c>
      <c r="AL6162">
        <v>90.281421894056706</v>
      </c>
      <c r="AM6162">
        <v>83.002538590703494</v>
      </c>
      <c r="AN6162">
        <v>1.00000002258145</v>
      </c>
    </row>
    <row r="6163" spans="1:40" x14ac:dyDescent="0.25">
      <c r="A6163" t="str">
        <f>"20190312154419048"</f>
        <v>20190312154419048</v>
      </c>
      <c r="B6163" t="str">
        <f>"1552376659044293"</f>
        <v>1552376659044293</v>
      </c>
      <c r="C6163" t="s">
        <v>40</v>
      </c>
      <c r="D6163">
        <v>5.349202</v>
      </c>
      <c r="E6163">
        <v>0.50364390000000003</v>
      </c>
      <c r="F6163" t="s">
        <v>41</v>
      </c>
      <c r="G6163">
        <v>-302.43270000000001</v>
      </c>
      <c r="H6163">
        <v>0.99316629999999995</v>
      </c>
      <c r="I6163">
        <v>-4.9573470000000004</v>
      </c>
      <c r="J6163">
        <v>-302.43369999999999</v>
      </c>
      <c r="K6163">
        <v>1.1023050000000001</v>
      </c>
      <c r="L6163">
        <v>-4.4131769999999904</v>
      </c>
      <c r="M6163">
        <v>0.16845539999999901</v>
      </c>
      <c r="N6163">
        <v>0</v>
      </c>
      <c r="O6163">
        <v>-0.98566319999999996</v>
      </c>
      <c r="P6163">
        <v>4.9831930000000003E-2</v>
      </c>
      <c r="Q6163">
        <v>-1.391966E-2</v>
      </c>
      <c r="R6163">
        <v>-0.99866100000000002</v>
      </c>
      <c r="S6163">
        <v>0.1289063</v>
      </c>
      <c r="T6163">
        <v>-0.4295388</v>
      </c>
      <c r="U6163">
        <v>-2.9919129999999998</v>
      </c>
      <c r="V6163">
        <v>0.1190939</v>
      </c>
      <c r="W6163">
        <v>-5.0405169999999996E-3</v>
      </c>
      <c r="X6163">
        <v>0.99287020000000004</v>
      </c>
      <c r="Y6163">
        <v>0.12629080000000001</v>
      </c>
      <c r="Z6163">
        <v>0.13844770000000001</v>
      </c>
      <c r="AA6163">
        <v>0.9822845</v>
      </c>
      <c r="AB6163">
        <v>20</v>
      </c>
      <c r="AC6163">
        <v>9.9999999997635292E-4</v>
      </c>
      <c r="AD6163">
        <v>-0.10913869999999901</v>
      </c>
      <c r="AE6163">
        <v>-0.54417000000000104</v>
      </c>
      <c r="AF6163">
        <v>8.7180085651797301E-2</v>
      </c>
      <c r="AG6163">
        <v>-0.10913869999999901</v>
      </c>
      <c r="AH6163">
        <v>0.51581302708662602</v>
      </c>
      <c r="AI6163">
        <v>101.784410440063</v>
      </c>
      <c r="AJ6163">
        <v>80.406820476922405</v>
      </c>
      <c r="AK6163">
        <v>0.53439189934374198</v>
      </c>
      <c r="AL6163">
        <v>90.2888015739005</v>
      </c>
      <c r="AM6163">
        <v>83.160100815636994</v>
      </c>
      <c r="AN6163">
        <v>0.99999999893843805</v>
      </c>
    </row>
    <row r="6164" spans="1:40" x14ac:dyDescent="0.25">
      <c r="A6164" t="str">
        <f>"20190312154419067"</f>
        <v>20190312154419067</v>
      </c>
      <c r="B6164" t="str">
        <f>"1552376659054053"</f>
        <v>1552376659054053</v>
      </c>
      <c r="C6164" t="s">
        <v>40</v>
      </c>
      <c r="D6164">
        <v>5.3773970000000002</v>
      </c>
      <c r="E6164">
        <v>0.50312500000000004</v>
      </c>
      <c r="F6164" t="s">
        <v>41</v>
      </c>
      <c r="G6164">
        <v>-302.40499999999997</v>
      </c>
      <c r="H6164">
        <v>1.005398</v>
      </c>
      <c r="I6164">
        <v>-5.1367580000000004</v>
      </c>
      <c r="J6164">
        <v>-302.40769999999998</v>
      </c>
      <c r="K6164">
        <v>1.1031770000000001</v>
      </c>
      <c r="L6164">
        <v>-4.5903929999999997</v>
      </c>
      <c r="M6164">
        <v>0.16498840000000001</v>
      </c>
      <c r="N6164">
        <v>0</v>
      </c>
      <c r="O6164">
        <v>-0.98624520000000004</v>
      </c>
      <c r="P6164">
        <v>4.9300940000000001E-2</v>
      </c>
      <c r="Q6164">
        <v>-1.4797899999999999E-2</v>
      </c>
      <c r="R6164">
        <v>-0.99867470000000003</v>
      </c>
      <c r="S6164">
        <v>0.12039179999999999</v>
      </c>
      <c r="T6164">
        <v>-0.40020820000000001</v>
      </c>
      <c r="U6164">
        <v>-2.992432</v>
      </c>
      <c r="V6164">
        <v>0.11612690000000001</v>
      </c>
      <c r="W6164">
        <v>-5.4669150000000001E-3</v>
      </c>
      <c r="X6164">
        <v>0.99321930000000003</v>
      </c>
      <c r="Y6164">
        <v>0.12555079999999999</v>
      </c>
      <c r="Z6164">
        <v>0.12927169999999999</v>
      </c>
      <c r="AA6164">
        <v>0.98362890000000003</v>
      </c>
      <c r="AB6164">
        <v>20</v>
      </c>
      <c r="AC6164">
        <v>2.7000000000043599E-3</v>
      </c>
      <c r="AD6164">
        <v>-9.7779000000000005E-2</v>
      </c>
      <c r="AE6164">
        <v>-0.54636499999999999</v>
      </c>
      <c r="AF6164">
        <v>8.4770432237218404E-2</v>
      </c>
      <c r="AG6164">
        <v>-9.7779000000000005E-2</v>
      </c>
      <c r="AH6164">
        <v>0.52258530280711502</v>
      </c>
      <c r="AI6164">
        <v>100.46416230776801</v>
      </c>
      <c r="AJ6164">
        <v>80.786103005403206</v>
      </c>
      <c r="AK6164">
        <v>0.53836990790040395</v>
      </c>
      <c r="AL6164">
        <v>90.313232728965801</v>
      </c>
      <c r="AM6164">
        <v>83.331272456732293</v>
      </c>
      <c r="AN6164">
        <v>0.99999996097785704</v>
      </c>
    </row>
    <row r="6165" spans="1:40" x14ac:dyDescent="0.25">
      <c r="A6165" t="str">
        <f>"20190312154419087"</f>
        <v>20190312154419087</v>
      </c>
      <c r="B6165" t="str">
        <f>"1552376659073572"</f>
        <v>1552376659073572</v>
      </c>
      <c r="C6165" t="s">
        <v>40</v>
      </c>
      <c r="D6165">
        <v>5.3381850000000002</v>
      </c>
      <c r="E6165">
        <v>0.50214490000000001</v>
      </c>
      <c r="F6165" t="s">
        <v>41</v>
      </c>
      <c r="G6165">
        <v>-302.37819999999999</v>
      </c>
      <c r="H6165">
        <v>1.0074749999999999</v>
      </c>
      <c r="I6165">
        <v>-5.3110850000000003</v>
      </c>
      <c r="J6165">
        <v>-302.38330000000002</v>
      </c>
      <c r="K6165">
        <v>1.1039049999999999</v>
      </c>
      <c r="L6165">
        <v>-4.7613219999999998</v>
      </c>
      <c r="M6165">
        <v>0.16163329999999901</v>
      </c>
      <c r="N6165">
        <v>0</v>
      </c>
      <c r="O6165">
        <v>-0.98679660000000002</v>
      </c>
      <c r="P6165">
        <v>4.787226E-2</v>
      </c>
      <c r="Q6165">
        <v>-1.637398E-2</v>
      </c>
      <c r="R6165">
        <v>-0.99871940000000003</v>
      </c>
      <c r="S6165">
        <v>0.123291</v>
      </c>
      <c r="T6165">
        <v>-0.3971092</v>
      </c>
      <c r="U6165">
        <v>-2.9920040000000001</v>
      </c>
      <c r="V6165">
        <v>0.1141607</v>
      </c>
      <c r="W6165">
        <v>-6.6555399999999997E-3</v>
      </c>
      <c r="X6165">
        <v>0.99343999999999999</v>
      </c>
      <c r="Y6165">
        <v>0.1212149</v>
      </c>
      <c r="Z6165">
        <v>0.1284479</v>
      </c>
      <c r="AA6165">
        <v>0.9842805</v>
      </c>
      <c r="AB6165">
        <v>20</v>
      </c>
      <c r="AC6165">
        <v>5.1000000000271904E-3</v>
      </c>
      <c r="AD6165">
        <v>-9.6430000000000002E-2</v>
      </c>
      <c r="AE6165">
        <v>-0.549763</v>
      </c>
      <c r="AF6165">
        <v>8.1329844678733804E-2</v>
      </c>
      <c r="AG6165">
        <v>-9.6430000000000002E-2</v>
      </c>
      <c r="AH6165">
        <v>0.52714098991365499</v>
      </c>
      <c r="AI6165">
        <v>100.24787099894</v>
      </c>
      <c r="AJ6165">
        <v>81.229287620923898</v>
      </c>
      <c r="AK6165">
        <v>0.542024825799165</v>
      </c>
      <c r="AL6165">
        <v>90.381337168622693</v>
      </c>
      <c r="AM6165">
        <v>83.444636267809699</v>
      </c>
      <c r="AN6165">
        <v>0.99999999761859004</v>
      </c>
    </row>
    <row r="6166" spans="1:40" x14ac:dyDescent="0.25">
      <c r="A6166" t="str">
        <f>"20190312154419111"</f>
        <v>20190312154419111</v>
      </c>
      <c r="B6166" t="str">
        <f>"1552376659103829"</f>
        <v>1552376659103829</v>
      </c>
      <c r="C6166" t="s">
        <v>40</v>
      </c>
      <c r="D6166">
        <v>5.2283400000000002</v>
      </c>
      <c r="E6166">
        <v>0.501162</v>
      </c>
      <c r="F6166" t="s">
        <v>41</v>
      </c>
      <c r="G6166">
        <v>-302.35289999999998</v>
      </c>
      <c r="H6166">
        <v>1.008821</v>
      </c>
      <c r="I6166">
        <v>-5.4850820000000002</v>
      </c>
      <c r="J6166">
        <v>-302.3546</v>
      </c>
      <c r="K6166">
        <v>1.1046499999999999</v>
      </c>
      <c r="L6166">
        <v>-4.9671940000000001</v>
      </c>
      <c r="M6166">
        <v>0.1575444</v>
      </c>
      <c r="N6166">
        <v>0</v>
      </c>
      <c r="O6166">
        <v>-0.98745349999999998</v>
      </c>
      <c r="P6166">
        <v>4.6038269999999999E-2</v>
      </c>
      <c r="Q6166">
        <v>-1.7280029999999998E-2</v>
      </c>
      <c r="R6166">
        <v>-0.99879039999999997</v>
      </c>
      <c r="S6166">
        <v>0.1268311</v>
      </c>
      <c r="T6166">
        <v>-0.3925128</v>
      </c>
      <c r="U6166">
        <v>-2.991333</v>
      </c>
      <c r="V6166">
        <v>0.1118657</v>
      </c>
      <c r="W6166">
        <v>-7.1477559999999999E-3</v>
      </c>
      <c r="X6166">
        <v>0.99369759999999996</v>
      </c>
      <c r="Y6166">
        <v>0.1159236</v>
      </c>
      <c r="Z6166">
        <v>0.12718070000000001</v>
      </c>
      <c r="AA6166">
        <v>0.98508209999999996</v>
      </c>
      <c r="AB6166">
        <v>20</v>
      </c>
      <c r="AC6166">
        <v>1.7000000000280101E-3</v>
      </c>
      <c r="AD6166">
        <v>-9.58289999999999E-2</v>
      </c>
      <c r="AE6166">
        <v>-0.51788800000000001</v>
      </c>
      <c r="AF6166">
        <v>7.7270644419566603E-2</v>
      </c>
      <c r="AG6166">
        <v>-9.58289999999999E-2</v>
      </c>
      <c r="AH6166">
        <v>0.49474811271539298</v>
      </c>
      <c r="AI6166">
        <v>100.833847233029</v>
      </c>
      <c r="AJ6166">
        <v>81.123156055427899</v>
      </c>
      <c r="AK6166">
        <v>0.50983295770816806</v>
      </c>
      <c r="AL6166">
        <v>90.409539750259597</v>
      </c>
      <c r="AM6166">
        <v>83.576958857432004</v>
      </c>
      <c r="AN6166">
        <v>0.99999997274904195</v>
      </c>
    </row>
    <row r="6167" spans="1:40" x14ac:dyDescent="0.25">
      <c r="A6167" t="str">
        <f>"20190312154419133"</f>
        <v>20190312154419133</v>
      </c>
      <c r="B6167" t="str">
        <f>"1552376659124325"</f>
        <v>1552376659124325</v>
      </c>
      <c r="C6167" t="s">
        <v>40</v>
      </c>
      <c r="D6167">
        <v>5.2906180000000003</v>
      </c>
      <c r="E6167">
        <v>0.50059339999999997</v>
      </c>
      <c r="F6167" t="s">
        <v>41</v>
      </c>
      <c r="G6167">
        <v>-302.31760000000003</v>
      </c>
      <c r="H6167">
        <v>0.9931951</v>
      </c>
      <c r="I6167">
        <v>-5.8258570000000001</v>
      </c>
      <c r="J6167">
        <v>-302.32920000000001</v>
      </c>
      <c r="K6167">
        <v>1.1052299999999999</v>
      </c>
      <c r="L6167">
        <v>-5.1553339999999999</v>
      </c>
      <c r="M6167">
        <v>0.1537731</v>
      </c>
      <c r="N6167">
        <v>0</v>
      </c>
      <c r="O6167">
        <v>-0.98804420000000004</v>
      </c>
      <c r="P6167">
        <v>4.4264560000000001E-2</v>
      </c>
      <c r="Q6167">
        <v>-1.7484820000000002E-2</v>
      </c>
      <c r="R6167">
        <v>-0.99886699999999995</v>
      </c>
      <c r="S6167">
        <v>0.1292114</v>
      </c>
      <c r="T6167">
        <v>-0.38803359999999998</v>
      </c>
      <c r="U6167">
        <v>-2.9909669999999999</v>
      </c>
      <c r="V6167">
        <v>0.1098369</v>
      </c>
      <c r="W6167">
        <v>-7.0176860000000004E-3</v>
      </c>
      <c r="X6167">
        <v>0.9939249</v>
      </c>
      <c r="Y6167">
        <v>0.111336</v>
      </c>
      <c r="Z6167">
        <v>0.1259142</v>
      </c>
      <c r="AA6167">
        <v>0.98577369999999997</v>
      </c>
      <c r="AB6167">
        <v>19</v>
      </c>
      <c r="AC6167">
        <v>1.15999999999871E-2</v>
      </c>
      <c r="AD6167">
        <v>-0.11203490000000001</v>
      </c>
      <c r="AE6167">
        <v>-0.67052299999999998</v>
      </c>
      <c r="AF6167">
        <v>8.9164188787714899E-2</v>
      </c>
      <c r="AG6167">
        <v>-0.11203490000000001</v>
      </c>
      <c r="AH6167">
        <v>0.64629321042919796</v>
      </c>
      <c r="AI6167">
        <v>99.743987903805504</v>
      </c>
      <c r="AJ6167">
        <v>82.144920851037</v>
      </c>
      <c r="AK6167">
        <v>0.66196448940034602</v>
      </c>
      <c r="AL6167">
        <v>90.402087070143594</v>
      </c>
      <c r="AM6167">
        <v>83.693930744372395</v>
      </c>
      <c r="AN6167">
        <v>1.0000000496792001</v>
      </c>
    </row>
    <row r="6168" spans="1:40" x14ac:dyDescent="0.25">
      <c r="A6168" t="str">
        <f>"20190312154419154"</f>
        <v>20190312154419154</v>
      </c>
      <c r="B6168" t="str">
        <f>"1552376659143845"</f>
        <v>1552376659143845</v>
      </c>
      <c r="C6168" t="s">
        <v>40</v>
      </c>
      <c r="D6168">
        <v>5.2123629999999999</v>
      </c>
      <c r="E6168">
        <v>0.50007389999999996</v>
      </c>
      <c r="F6168" t="s">
        <v>41</v>
      </c>
      <c r="G6168">
        <v>-302.29320000000001</v>
      </c>
      <c r="H6168">
        <v>0.99706629999999996</v>
      </c>
      <c r="I6168">
        <v>-6.0005369999999996</v>
      </c>
      <c r="J6168">
        <v>-302.30410000000001</v>
      </c>
      <c r="K6168">
        <v>1.105729</v>
      </c>
      <c r="L6168">
        <v>-5.3460390000000002</v>
      </c>
      <c r="M6168">
        <v>0.14993809999999999</v>
      </c>
      <c r="N6168">
        <v>0</v>
      </c>
      <c r="O6168">
        <v>-0.98863020000000001</v>
      </c>
      <c r="P6168">
        <v>4.2338500000000001E-2</v>
      </c>
      <c r="Q6168">
        <v>-1.698552E-2</v>
      </c>
      <c r="R6168">
        <v>-0.99895919999999905</v>
      </c>
      <c r="S6168">
        <v>0.1281128</v>
      </c>
      <c r="T6168">
        <v>-0.38243080000000002</v>
      </c>
      <c r="U6168">
        <v>-2.991028</v>
      </c>
      <c r="V6168">
        <v>0.10790230000000001</v>
      </c>
      <c r="W6168">
        <v>-6.217218E-3</v>
      </c>
      <c r="X6168">
        <v>0.99414210000000003</v>
      </c>
      <c r="Y6168">
        <v>0.107833</v>
      </c>
      <c r="Z6168">
        <v>0.1242598</v>
      </c>
      <c r="AA6168">
        <v>0.9863729</v>
      </c>
      <c r="AB6168">
        <v>19</v>
      </c>
      <c r="AC6168">
        <v>1.08999999999923E-2</v>
      </c>
      <c r="AD6168">
        <v>-0.1086627</v>
      </c>
      <c r="AE6168">
        <v>-0.65449800000000002</v>
      </c>
      <c r="AF6168">
        <v>8.5020871110744606E-2</v>
      </c>
      <c r="AG6168">
        <v>-0.1086627</v>
      </c>
      <c r="AH6168">
        <v>0.63133524081348702</v>
      </c>
      <c r="AI6168">
        <v>99.680111751110005</v>
      </c>
      <c r="AJ6168">
        <v>82.3302154423221</v>
      </c>
      <c r="AK6168">
        <v>0.64623549669508595</v>
      </c>
      <c r="AL6168">
        <v>90.356222633247995</v>
      </c>
      <c r="AM6168">
        <v>83.805473612684594</v>
      </c>
      <c r="AN6168">
        <v>1.00000003756867</v>
      </c>
    </row>
    <row r="6169" spans="1:40" x14ac:dyDescent="0.25">
      <c r="A6169" t="str">
        <f>"20190312154419177"</f>
        <v>20190312154419177</v>
      </c>
      <c r="B6169" t="str">
        <f>"1552376659164341"</f>
        <v>1552376659164341</v>
      </c>
      <c r="C6169" t="s">
        <v>40</v>
      </c>
      <c r="D6169">
        <v>5.3456929999999998</v>
      </c>
      <c r="E6169">
        <v>0.4997799</v>
      </c>
      <c r="F6169" t="s">
        <v>41</v>
      </c>
      <c r="G6169">
        <v>-302.26940000000002</v>
      </c>
      <c r="H6169">
        <v>1.0002709999999999</v>
      </c>
      <c r="I6169">
        <v>-6.1747690000000004</v>
      </c>
      <c r="J6169">
        <v>-302.27960000000002</v>
      </c>
      <c r="K6169">
        <v>1.1061559999999999</v>
      </c>
      <c r="L6169">
        <v>-5.5381470000000004</v>
      </c>
      <c r="M6169">
        <v>0.14607490000000001</v>
      </c>
      <c r="N6169">
        <v>0</v>
      </c>
      <c r="O6169">
        <v>-0.98920520000000001</v>
      </c>
      <c r="P6169">
        <v>4.0126019999999998E-2</v>
      </c>
      <c r="Q6169">
        <v>-1.6707199999999998E-2</v>
      </c>
      <c r="R6169">
        <v>-0.99905509999999997</v>
      </c>
      <c r="S6169">
        <v>0.12640380000000001</v>
      </c>
      <c r="T6169">
        <v>-0.38007099999999999</v>
      </c>
      <c r="U6169">
        <v>-2.9913020000000001</v>
      </c>
      <c r="V6169">
        <v>0.10622429999999999</v>
      </c>
      <c r="W6169">
        <v>-5.6704640000000001E-3</v>
      </c>
      <c r="X6169">
        <v>0.99432609999999999</v>
      </c>
      <c r="Y6169">
        <v>0.1045122</v>
      </c>
      <c r="Z6169">
        <v>0.1236266</v>
      </c>
      <c r="AA6169">
        <v>0.98680979999999996</v>
      </c>
      <c r="AB6169">
        <v>19</v>
      </c>
      <c r="AC6169">
        <v>1.0199999999997499E-2</v>
      </c>
      <c r="AD6169">
        <v>-0.10588499999999899</v>
      </c>
      <c r="AE6169">
        <v>-0.63662200000000002</v>
      </c>
      <c r="AF6169">
        <v>8.0678925876638594E-2</v>
      </c>
      <c r="AG6169">
        <v>-0.10588499999999899</v>
      </c>
      <c r="AH6169">
        <v>0.61429334866695195</v>
      </c>
      <c r="AI6169">
        <v>99.698218957359202</v>
      </c>
      <c r="AJ6169">
        <v>82.517817078253003</v>
      </c>
      <c r="AK6169">
        <v>0.62855154165912797</v>
      </c>
      <c r="AL6169">
        <v>90.324895371980205</v>
      </c>
      <c r="AM6169">
        <v>83.902193749721704</v>
      </c>
      <c r="AN6169">
        <v>1.00000007460683</v>
      </c>
    </row>
    <row r="6170" spans="1:40" x14ac:dyDescent="0.25">
      <c r="A6170" t="str">
        <f>"20190312154419200"</f>
        <v>20190312154419200</v>
      </c>
      <c r="B6170" t="str">
        <f>"1552376659193621"</f>
        <v>1552376659193621</v>
      </c>
      <c r="C6170" t="s">
        <v>40</v>
      </c>
      <c r="D6170">
        <v>5.3542639999999997</v>
      </c>
      <c r="E6170">
        <v>0.49924449999999998</v>
      </c>
      <c r="F6170" t="s">
        <v>41</v>
      </c>
      <c r="G6170">
        <v>-302.24680000000001</v>
      </c>
      <c r="H6170">
        <v>1.0039499999999999</v>
      </c>
      <c r="I6170">
        <v>-6.3491739999999997</v>
      </c>
      <c r="J6170">
        <v>-302.25490000000002</v>
      </c>
      <c r="K6170">
        <v>1.106535</v>
      </c>
      <c r="L6170">
        <v>-5.739471</v>
      </c>
      <c r="M6170">
        <v>0.14202590000000001</v>
      </c>
      <c r="N6170">
        <v>0</v>
      </c>
      <c r="O6170">
        <v>-0.98979159999999999</v>
      </c>
      <c r="P6170">
        <v>3.8046129999999997E-2</v>
      </c>
      <c r="Q6170">
        <v>-1.6631110000000001E-2</v>
      </c>
      <c r="R6170">
        <v>-0.99913770000000002</v>
      </c>
      <c r="S6170">
        <v>0.12207030000000001</v>
      </c>
      <c r="T6170">
        <v>-0.37655660000000002</v>
      </c>
      <c r="U6170">
        <v>-2.991638</v>
      </c>
      <c r="V6170">
        <v>0.10422770000000001</v>
      </c>
      <c r="W6170">
        <v>-5.3426200000000002E-3</v>
      </c>
      <c r="X6170">
        <v>0.99453910000000001</v>
      </c>
      <c r="Y6170">
        <v>0.10186919999999999</v>
      </c>
      <c r="Z6170">
        <v>0.1226182</v>
      </c>
      <c r="AA6170">
        <v>0.98721190000000003</v>
      </c>
      <c r="AB6170">
        <v>19</v>
      </c>
      <c r="AC6170">
        <v>8.1000000000130898E-3</v>
      </c>
      <c r="AD6170">
        <v>-0.102585</v>
      </c>
      <c r="AE6170">
        <v>-0.609702999999999</v>
      </c>
      <c r="AF6170">
        <v>7.6418862331757403E-2</v>
      </c>
      <c r="AG6170">
        <v>-0.102585</v>
      </c>
      <c r="AH6170">
        <v>0.58802821519094695</v>
      </c>
      <c r="AI6170">
        <v>99.8150837276158</v>
      </c>
      <c r="AJ6170">
        <v>82.595464706602797</v>
      </c>
      <c r="AK6170">
        <v>0.60178127804521298</v>
      </c>
      <c r="AL6170">
        <v>90.306111037101303</v>
      </c>
      <c r="AM6170">
        <v>84.017241350354496</v>
      </c>
      <c r="AN6170">
        <v>0.99999998923228195</v>
      </c>
    </row>
    <row r="6171" spans="1:40" x14ac:dyDescent="0.25">
      <c r="A6171" t="str">
        <f>"20190312154419223"</f>
        <v>20190312154419223</v>
      </c>
      <c r="B6171" t="str">
        <f>"1552376659214117"</f>
        <v>1552376659214117</v>
      </c>
      <c r="C6171" t="s">
        <v>40</v>
      </c>
      <c r="D6171">
        <v>5.3501750000000001</v>
      </c>
      <c r="E6171">
        <v>0.49882939999999998</v>
      </c>
      <c r="F6171" t="s">
        <v>41</v>
      </c>
      <c r="G6171">
        <v>-302.22359999999998</v>
      </c>
      <c r="H6171">
        <v>1.008794</v>
      </c>
      <c r="I6171">
        <v>-6.5238360000000002</v>
      </c>
      <c r="J6171">
        <v>-302.2312</v>
      </c>
      <c r="K6171">
        <v>1.106854</v>
      </c>
      <c r="L6171">
        <v>-5.9375920000000004</v>
      </c>
      <c r="M6171">
        <v>0.13803560000000001</v>
      </c>
      <c r="N6171">
        <v>0</v>
      </c>
      <c r="O6171">
        <v>-0.99035359999999995</v>
      </c>
      <c r="P6171">
        <v>3.6076629999999998E-2</v>
      </c>
      <c r="Q6171">
        <v>-1.6028710000000002E-2</v>
      </c>
      <c r="R6171">
        <v>-0.99922069999999996</v>
      </c>
      <c r="S6171">
        <v>0.1203003</v>
      </c>
      <c r="T6171">
        <v>-0.37229620000000002</v>
      </c>
      <c r="U6171">
        <v>-2.9918209999999998</v>
      </c>
      <c r="V6171">
        <v>0.1021856</v>
      </c>
      <c r="W6171">
        <v>-4.5187999999999999E-3</v>
      </c>
      <c r="X6171">
        <v>0.9947551</v>
      </c>
      <c r="Y6171">
        <v>9.8438999999999999E-2</v>
      </c>
      <c r="Z6171">
        <v>0.1213714</v>
      </c>
      <c r="AA6171">
        <v>0.98771390000000003</v>
      </c>
      <c r="AB6171">
        <v>19</v>
      </c>
      <c r="AC6171">
        <v>7.6000000000249202E-3</v>
      </c>
      <c r="AD6171">
        <v>-9.8059999999999994E-2</v>
      </c>
      <c r="AE6171">
        <v>-0.58624399999999999</v>
      </c>
      <c r="AF6171">
        <v>7.1403764320058793E-2</v>
      </c>
      <c r="AG6171">
        <v>-9.8059999999999994E-2</v>
      </c>
      <c r="AH6171">
        <v>0.56585126586066803</v>
      </c>
      <c r="AI6171">
        <v>99.755649626128204</v>
      </c>
      <c r="AJ6171">
        <v>82.807960847057203</v>
      </c>
      <c r="AK6171">
        <v>0.57870710746904996</v>
      </c>
      <c r="AL6171">
        <v>90.258909046318195</v>
      </c>
      <c r="AM6171">
        <v>84.134898989420506</v>
      </c>
      <c r="AN6171">
        <v>1.0000000126884001</v>
      </c>
    </row>
    <row r="6172" spans="1:40" x14ac:dyDescent="0.25">
      <c r="A6172" t="str">
        <f>"20190312154419246"</f>
        <v>20190312154419246</v>
      </c>
      <c r="B6172" t="str">
        <f>"1552376659233637"</f>
        <v>1552376659233637</v>
      </c>
      <c r="C6172" t="s">
        <v>40</v>
      </c>
      <c r="D6172">
        <v>5.3713360000000003</v>
      </c>
      <c r="E6172">
        <v>0.49844149999999998</v>
      </c>
      <c r="F6172" t="s">
        <v>41</v>
      </c>
      <c r="G6172">
        <v>-302.20139999999998</v>
      </c>
      <c r="H6172">
        <v>1.013417</v>
      </c>
      <c r="I6172">
        <v>-6.6983110000000003</v>
      </c>
      <c r="J6172">
        <v>-302.209</v>
      </c>
      <c r="K6172">
        <v>1.1071200000000001</v>
      </c>
      <c r="L6172">
        <v>-6.1304930000000004</v>
      </c>
      <c r="M6172">
        <v>0.13414789999999999</v>
      </c>
      <c r="N6172">
        <v>0</v>
      </c>
      <c r="O6172">
        <v>-0.99088560000000003</v>
      </c>
      <c r="P6172">
        <v>3.435158E-2</v>
      </c>
      <c r="Q6172">
        <v>-1.5473290000000001E-2</v>
      </c>
      <c r="R6172">
        <v>-0.99929009999999996</v>
      </c>
      <c r="S6172">
        <v>0.11776730000000001</v>
      </c>
      <c r="T6172">
        <v>-0.3673266</v>
      </c>
      <c r="U6172">
        <v>-2.9921880000000001</v>
      </c>
      <c r="V6172">
        <v>0.1000042</v>
      </c>
      <c r="W6172">
        <v>-3.769269E-3</v>
      </c>
      <c r="X6172">
        <v>0.99497990000000003</v>
      </c>
      <c r="Y6172">
        <v>9.5365839999999993E-2</v>
      </c>
      <c r="Z6172">
        <v>0.11987829999999999</v>
      </c>
      <c r="AA6172">
        <v>0.98819760000000001</v>
      </c>
      <c r="AB6172">
        <v>19</v>
      </c>
      <c r="AC6172">
        <v>7.6000000000249202E-3</v>
      </c>
      <c r="AD6172">
        <v>-9.3702999999999995E-2</v>
      </c>
      <c r="AE6172">
        <v>-0.56781799999999905</v>
      </c>
      <c r="AF6172">
        <v>6.6826481632568394E-2</v>
      </c>
      <c r="AG6172">
        <v>-9.3702999999999995E-2</v>
      </c>
      <c r="AH6172">
        <v>0.54876295190423996</v>
      </c>
      <c r="AI6172">
        <v>99.620253262728994</v>
      </c>
      <c r="AJ6172">
        <v>83.056901584973403</v>
      </c>
      <c r="AK6172">
        <v>0.56070206726838701</v>
      </c>
      <c r="AL6172">
        <v>90.215963711660905</v>
      </c>
      <c r="AM6172">
        <v>84.260546900253104</v>
      </c>
      <c r="AN6172">
        <v>1.0000000244052201</v>
      </c>
    </row>
    <row r="6173" spans="1:40" x14ac:dyDescent="0.25">
      <c r="A6173" t="str">
        <f>"20190312154419268"</f>
        <v>20190312154419268</v>
      </c>
      <c r="B6173" t="str">
        <f>"1552376659254133"</f>
        <v>1552376659254133</v>
      </c>
      <c r="C6173" t="s">
        <v>40</v>
      </c>
      <c r="D6173">
        <v>5.316427</v>
      </c>
      <c r="E6173">
        <v>0.49827460000000001</v>
      </c>
      <c r="F6173" t="s">
        <v>41</v>
      </c>
      <c r="G6173">
        <v>-302.18079999999998</v>
      </c>
      <c r="H6173">
        <v>1.0169539999999999</v>
      </c>
      <c r="I6173">
        <v>-6.8722380000000003</v>
      </c>
      <c r="J6173">
        <v>-302.18729999999999</v>
      </c>
      <c r="K6173">
        <v>1.107348</v>
      </c>
      <c r="L6173">
        <v>-6.3259889999999999</v>
      </c>
      <c r="M6173">
        <v>0.130215</v>
      </c>
      <c r="N6173">
        <v>0</v>
      </c>
      <c r="O6173">
        <v>-0.99140810000000001</v>
      </c>
      <c r="P6173">
        <v>3.2361760000000003E-2</v>
      </c>
      <c r="Q6173">
        <v>-1.5218300000000001E-2</v>
      </c>
      <c r="R6173">
        <v>-0.99936049999999998</v>
      </c>
      <c r="S6173">
        <v>0.1150513</v>
      </c>
      <c r="T6173">
        <v>-0.36334840000000002</v>
      </c>
      <c r="U6173">
        <v>-2.9925540000000002</v>
      </c>
      <c r="V6173">
        <v>9.8040169999999996E-2</v>
      </c>
      <c r="W6173">
        <v>-3.3392270000000002E-3</v>
      </c>
      <c r="X6173">
        <v>0.99517690000000003</v>
      </c>
      <c r="Y6173">
        <v>9.2310450000000002E-2</v>
      </c>
      <c r="Z6173">
        <v>0.11869830000000001</v>
      </c>
      <c r="AA6173">
        <v>0.98863009999999996</v>
      </c>
      <c r="AB6173">
        <v>19</v>
      </c>
      <c r="AC6173">
        <v>6.5000000000168196E-3</v>
      </c>
      <c r="AD6173">
        <v>-9.0393999999999794E-2</v>
      </c>
      <c r="AE6173">
        <v>-0.54624899999999998</v>
      </c>
      <c r="AF6173">
        <v>6.2966605879745896E-2</v>
      </c>
      <c r="AG6173">
        <v>-9.0393999999999794E-2</v>
      </c>
      <c r="AH6173">
        <v>0.52798746395406904</v>
      </c>
      <c r="AI6173">
        <v>99.648055558172899</v>
      </c>
      <c r="AJ6173">
        <v>83.199153394588805</v>
      </c>
      <c r="AK6173">
        <v>0.53935760936939103</v>
      </c>
      <c r="AL6173">
        <v>90.191323961108694</v>
      </c>
      <c r="AM6173">
        <v>84.3736428889964</v>
      </c>
      <c r="AN6173">
        <v>1.00000004383209</v>
      </c>
    </row>
    <row r="6174" spans="1:40" x14ac:dyDescent="0.25">
      <c r="A6174" t="str">
        <f>"20190312154419289"</f>
        <v>20190312154419289</v>
      </c>
      <c r="B6174" t="str">
        <f>"1552376659283414"</f>
        <v>1552376659283414</v>
      </c>
      <c r="C6174" t="s">
        <v>40</v>
      </c>
      <c r="D6174">
        <v>5.3036750000000001</v>
      </c>
      <c r="E6174">
        <v>0.50757470000000005</v>
      </c>
      <c r="F6174" t="s">
        <v>41</v>
      </c>
      <c r="G6174">
        <v>-302.1549</v>
      </c>
      <c r="H6174">
        <v>1.000443</v>
      </c>
      <c r="I6174">
        <v>-7.2097639999999998</v>
      </c>
      <c r="J6174">
        <v>-302.16820000000001</v>
      </c>
      <c r="K6174">
        <v>1.107523</v>
      </c>
      <c r="L6174">
        <v>-6.5041500000000001</v>
      </c>
      <c r="M6174">
        <v>0.12665180000000001</v>
      </c>
      <c r="N6174">
        <v>0</v>
      </c>
      <c r="O6174">
        <v>-0.99186810000000003</v>
      </c>
      <c r="P6174">
        <v>3.0148769999999998E-2</v>
      </c>
      <c r="Q6174">
        <v>-1.5418660000000001E-2</v>
      </c>
      <c r="R6174">
        <v>-0.99942679999999995</v>
      </c>
      <c r="S6174">
        <v>0.1109314</v>
      </c>
      <c r="T6174">
        <v>-0.36154069999999999</v>
      </c>
      <c r="U6174">
        <v>-2.9928279999999998</v>
      </c>
      <c r="V6174">
        <v>9.6667610000000001E-2</v>
      </c>
      <c r="W6174">
        <v>-3.3990790000000002E-3</v>
      </c>
      <c r="X6174">
        <v>0.9953109</v>
      </c>
      <c r="Y6174">
        <v>9.0092779999999997E-2</v>
      </c>
      <c r="Z6174">
        <v>0.1182033</v>
      </c>
      <c r="AA6174">
        <v>0.98889400000000005</v>
      </c>
      <c r="AB6174">
        <v>19</v>
      </c>
      <c r="AC6174">
        <v>1.33000000000151E-2</v>
      </c>
      <c r="AD6174">
        <v>-0.10707999999999999</v>
      </c>
      <c r="AE6174">
        <v>-0.70561399999999896</v>
      </c>
      <c r="AF6174">
        <v>7.4467095340194606E-2</v>
      </c>
      <c r="AG6174">
        <v>-0.10707999999999999</v>
      </c>
      <c r="AH6174">
        <v>0.68582699835045402</v>
      </c>
      <c r="AI6174">
        <v>98.823061847062306</v>
      </c>
      <c r="AJ6174">
        <v>83.803101197878306</v>
      </c>
      <c r="AK6174">
        <v>0.69811900586848297</v>
      </c>
      <c r="AL6174">
        <v>90.194753259048696</v>
      </c>
      <c r="AM6174">
        <v>84.452659122825395</v>
      </c>
      <c r="AN6174">
        <v>0.99999998410998503</v>
      </c>
    </row>
    <row r="6175" spans="1:40" x14ac:dyDescent="0.25">
      <c r="A6175" t="str">
        <f>"20190312154419311"</f>
        <v>20190312154419311</v>
      </c>
      <c r="B6175" t="str">
        <f>"1552376659303910"</f>
        <v>1552376659303910</v>
      </c>
      <c r="C6175" t="s">
        <v>40</v>
      </c>
      <c r="D6175">
        <v>5.2752080000000001</v>
      </c>
      <c r="E6175">
        <v>0.50783769999999995</v>
      </c>
      <c r="F6175" t="s">
        <v>41</v>
      </c>
      <c r="G6175">
        <v>-302.15910000000002</v>
      </c>
      <c r="H6175">
        <v>1.045555</v>
      </c>
      <c r="I6175">
        <v>-7.4084310000000002</v>
      </c>
      <c r="J6175">
        <v>-302.14819999999997</v>
      </c>
      <c r="K6175">
        <v>1.1076870000000001</v>
      </c>
      <c r="L6175">
        <v>-6.6976319999999996</v>
      </c>
      <c r="M6175">
        <v>0.12281060000000001</v>
      </c>
      <c r="N6175">
        <v>0</v>
      </c>
      <c r="O6175">
        <v>-0.99234929999999999</v>
      </c>
      <c r="P6175">
        <v>2.7163400000000001E-2</v>
      </c>
      <c r="Q6175">
        <v>-1.6095450000000001E-2</v>
      </c>
      <c r="R6175">
        <v>-0.99950150000000004</v>
      </c>
      <c r="S6175">
        <v>3.0395510000000001E-2</v>
      </c>
      <c r="T6175">
        <v>-0.20537730000000001</v>
      </c>
      <c r="U6175">
        <v>-2.9976500000000001</v>
      </c>
      <c r="V6175">
        <v>9.5783419999999994E-2</v>
      </c>
      <c r="W6175">
        <v>-3.9429469999999996E-3</v>
      </c>
      <c r="X6175">
        <v>0.99539440000000001</v>
      </c>
      <c r="Y6175">
        <v>0.1127739</v>
      </c>
      <c r="Z6175">
        <v>6.7357360000000005E-2</v>
      </c>
      <c r="AA6175">
        <v>0.99133499999999997</v>
      </c>
      <c r="AB6175">
        <v>19</v>
      </c>
      <c r="AC6175">
        <v>-1.09000000000492E-2</v>
      </c>
      <c r="AD6175">
        <v>-6.2132E-2</v>
      </c>
      <c r="AE6175">
        <v>-0.71079899999999896</v>
      </c>
      <c r="AF6175">
        <v>9.7374290068583905E-2</v>
      </c>
      <c r="AG6175">
        <v>-6.2132E-2</v>
      </c>
      <c r="AH6175">
        <v>0.69874106847269801</v>
      </c>
      <c r="AI6175">
        <v>95.032989194257198</v>
      </c>
      <c r="AJ6175">
        <v>82.066539365770296</v>
      </c>
      <c r="AK6175">
        <v>0.708223988975754</v>
      </c>
      <c r="AL6175">
        <v>90.2259148048458</v>
      </c>
      <c r="AM6175">
        <v>84.503545100047504</v>
      </c>
      <c r="AN6175">
        <v>1.0000000109646501</v>
      </c>
    </row>
    <row r="6176" spans="1:40" x14ac:dyDescent="0.25">
      <c r="A6176" t="str">
        <f>"20190312154419334"</f>
        <v>20190312154419334</v>
      </c>
      <c r="B6176" t="str">
        <f>"1552376659323429"</f>
        <v>1552376659323429</v>
      </c>
      <c r="C6176" t="s">
        <v>40</v>
      </c>
      <c r="D6176">
        <v>5.3407839999999904</v>
      </c>
      <c r="E6176">
        <v>0.50685369999999996</v>
      </c>
      <c r="F6176" t="s">
        <v>41</v>
      </c>
      <c r="G6176">
        <v>-302.14280000000002</v>
      </c>
      <c r="H6176">
        <v>1.047169</v>
      </c>
      <c r="I6176">
        <v>-7.5814250000000003</v>
      </c>
      <c r="J6176">
        <v>-302.12909999999999</v>
      </c>
      <c r="K6176">
        <v>1.107845</v>
      </c>
      <c r="L6176">
        <v>-6.8901669999999999</v>
      </c>
      <c r="M6176">
        <v>0.1190271</v>
      </c>
      <c r="N6176">
        <v>0</v>
      </c>
      <c r="O6176">
        <v>-0.99280889999999999</v>
      </c>
      <c r="P6176">
        <v>2.396239E-2</v>
      </c>
      <c r="Q6176">
        <v>-1.618642E-2</v>
      </c>
      <c r="R6176">
        <v>-0.99958210000000003</v>
      </c>
      <c r="S6176">
        <v>1.953125E-2</v>
      </c>
      <c r="T6176">
        <v>-0.20482539999999999</v>
      </c>
      <c r="U6176">
        <v>-2.997681</v>
      </c>
      <c r="V6176">
        <v>9.5177339999999999E-2</v>
      </c>
      <c r="W6176">
        <v>-3.9165470000000003E-3</v>
      </c>
      <c r="X6176">
        <v>0.99545260000000002</v>
      </c>
      <c r="Y6176">
        <v>0.1125792</v>
      </c>
      <c r="Z6176">
        <v>6.7225270000000004E-2</v>
      </c>
      <c r="AA6176">
        <v>0.99136610000000003</v>
      </c>
      <c r="AB6176">
        <v>19</v>
      </c>
      <c r="AC6176">
        <v>-1.37000000000284E-2</v>
      </c>
      <c r="AD6176">
        <v>-6.0675999999999897E-2</v>
      </c>
      <c r="AE6176">
        <v>-0.69125800000000004</v>
      </c>
      <c r="AF6176">
        <v>9.5154885693710001E-2</v>
      </c>
      <c r="AG6176">
        <v>-6.0675999999999897E-2</v>
      </c>
      <c r="AH6176">
        <v>0.67947914145812904</v>
      </c>
      <c r="AI6176">
        <v>95.0537964336351</v>
      </c>
      <c r="AJ6176">
        <v>82.028090012406395</v>
      </c>
      <c r="AK6176">
        <v>0.68878729149430395</v>
      </c>
      <c r="AL6176">
        <v>90.224402193320699</v>
      </c>
      <c r="AM6176">
        <v>84.538430935089494</v>
      </c>
      <c r="AN6176">
        <v>0.99999997211831904</v>
      </c>
    </row>
    <row r="6177" spans="1:40" x14ac:dyDescent="0.25">
      <c r="A6177" t="str">
        <f>"20190312154419356"</f>
        <v>20190312154419356</v>
      </c>
      <c r="B6177" t="str">
        <f>"1552376659343926"</f>
        <v>1552376659343926</v>
      </c>
      <c r="C6177" t="s">
        <v>40</v>
      </c>
      <c r="D6177">
        <v>5.3454410000000001</v>
      </c>
      <c r="E6177">
        <v>0.50620500000000002</v>
      </c>
      <c r="F6177" t="s">
        <v>41</v>
      </c>
      <c r="G6177">
        <v>-302.12400000000002</v>
      </c>
      <c r="H6177">
        <v>1.045588</v>
      </c>
      <c r="I6177">
        <v>-7.7508119999999998</v>
      </c>
      <c r="J6177">
        <v>-302.11070000000001</v>
      </c>
      <c r="K6177">
        <v>1.1079920000000001</v>
      </c>
      <c r="L6177">
        <v>-7.0806880000000003</v>
      </c>
      <c r="M6177">
        <v>0.1153375</v>
      </c>
      <c r="N6177">
        <v>0</v>
      </c>
      <c r="O6177">
        <v>-0.99324299999999999</v>
      </c>
      <c r="P6177">
        <v>2.0000960000000002E-2</v>
      </c>
      <c r="Q6177">
        <v>-1.5928399999999999E-2</v>
      </c>
      <c r="R6177">
        <v>-0.99967320000000004</v>
      </c>
      <c r="S6177">
        <v>1.8096919999999999E-2</v>
      </c>
      <c r="T6177">
        <v>-0.21654979999999999</v>
      </c>
      <c r="U6177">
        <v>-2.9973139999999998</v>
      </c>
      <c r="V6177">
        <v>9.5426159999999996E-2</v>
      </c>
      <c r="W6177">
        <v>-3.5584409999999999E-3</v>
      </c>
      <c r="X6177">
        <v>0.99543020000000004</v>
      </c>
      <c r="Y6177">
        <v>0.1093621</v>
      </c>
      <c r="Z6177">
        <v>7.1122619999999998E-2</v>
      </c>
      <c r="AA6177">
        <v>0.99145419999999995</v>
      </c>
      <c r="AB6177">
        <v>19</v>
      </c>
      <c r="AC6177">
        <v>-1.33000000000151E-2</v>
      </c>
      <c r="AD6177">
        <v>-6.2404000000000098E-2</v>
      </c>
      <c r="AE6177">
        <v>-0.67012399999999905</v>
      </c>
      <c r="AF6177">
        <v>8.97302276895489E-2</v>
      </c>
      <c r="AG6177">
        <v>-6.2404000000000098E-2</v>
      </c>
      <c r="AH6177">
        <v>0.65840955892253195</v>
      </c>
      <c r="AI6177">
        <v>95.365014920896201</v>
      </c>
      <c r="AJ6177">
        <v>82.239352914321302</v>
      </c>
      <c r="AK6177">
        <v>0.66741959834708198</v>
      </c>
      <c r="AL6177">
        <v>90.203884071280001</v>
      </c>
      <c r="AM6177">
        <v>84.524117075214406</v>
      </c>
      <c r="AN6177">
        <v>1.00000004879336</v>
      </c>
    </row>
    <row r="6178" spans="1:40" x14ac:dyDescent="0.25">
      <c r="A6178" t="str">
        <f>"20190312154419379"</f>
        <v>20190312154419379</v>
      </c>
      <c r="B6178" t="str">
        <f>"1552376659374181"</f>
        <v>1552376659374181</v>
      </c>
      <c r="C6178" t="s">
        <v>40</v>
      </c>
      <c r="D6178">
        <v>5.3332449999999998</v>
      </c>
      <c r="E6178">
        <v>0.49783070000000001</v>
      </c>
      <c r="F6178" t="s">
        <v>41</v>
      </c>
      <c r="G6178">
        <v>-302.1078</v>
      </c>
      <c r="H6178">
        <v>1.0448489999999999</v>
      </c>
      <c r="I6178">
        <v>-7.9211279999999897</v>
      </c>
      <c r="J6178">
        <v>-302.09269999999998</v>
      </c>
      <c r="K6178">
        <v>1.108134</v>
      </c>
      <c r="L6178">
        <v>-7.2749329999999999</v>
      </c>
      <c r="M6178">
        <v>0.11165310000000001</v>
      </c>
      <c r="N6178">
        <v>0</v>
      </c>
      <c r="O6178">
        <v>-0.99366279999999996</v>
      </c>
      <c r="P6178">
        <v>1.5990210000000001E-2</v>
      </c>
      <c r="Q6178">
        <v>-1.5457769999999999E-2</v>
      </c>
      <c r="R6178">
        <v>-0.99975270000000005</v>
      </c>
      <c r="S6178">
        <v>1.153564E-2</v>
      </c>
      <c r="T6178">
        <v>-0.2247527</v>
      </c>
      <c r="U6178">
        <v>-2.9971619999999999</v>
      </c>
      <c r="V6178">
        <v>9.5731960000000005E-2</v>
      </c>
      <c r="W6178">
        <v>-2.9952949999999998E-3</v>
      </c>
      <c r="X6178">
        <v>0.99540260000000003</v>
      </c>
      <c r="Y6178">
        <v>0.1078466</v>
      </c>
      <c r="Z6178">
        <v>7.3859449999999993E-2</v>
      </c>
      <c r="AA6178">
        <v>0.99142010000000003</v>
      </c>
      <c r="AB6178">
        <v>19</v>
      </c>
      <c r="AC6178">
        <v>-1.5100000000018101E-2</v>
      </c>
      <c r="AD6178">
        <v>-6.3284999999999994E-2</v>
      </c>
      <c r="AE6178">
        <v>-0.64619499999999896</v>
      </c>
      <c r="AF6178">
        <v>8.6333702825969902E-2</v>
      </c>
      <c r="AG6178">
        <v>-6.3284999999999994E-2</v>
      </c>
      <c r="AH6178">
        <v>0.63438648959408805</v>
      </c>
      <c r="AI6178">
        <v>95.645158077320303</v>
      </c>
      <c r="AJ6178">
        <v>82.250222508182802</v>
      </c>
      <c r="AK6178">
        <v>0.64335427071571705</v>
      </c>
      <c r="AL6178">
        <v>90.1716180257216</v>
      </c>
      <c r="AM6178">
        <v>84.5065249996304</v>
      </c>
      <c r="AN6178">
        <v>0.99999995802216801</v>
      </c>
    </row>
    <row r="6179" spans="1:40" x14ac:dyDescent="0.25">
      <c r="A6179" t="str">
        <f>"20190312154419403"</f>
        <v>20190312154419403</v>
      </c>
      <c r="B6179" t="str">
        <f>"1552376659393702"</f>
        <v>1552376659393702</v>
      </c>
      <c r="C6179" t="s">
        <v>40</v>
      </c>
      <c r="D6179">
        <v>5.3625119999999997</v>
      </c>
      <c r="E6179">
        <v>0.50437520000000002</v>
      </c>
      <c r="F6179" t="s">
        <v>41</v>
      </c>
      <c r="G6179">
        <v>-302.07459999999998</v>
      </c>
      <c r="H6179">
        <v>1.0241960000000001</v>
      </c>
      <c r="I6179">
        <v>-8.0789329999999993</v>
      </c>
      <c r="J6179">
        <v>-302.07369999999997</v>
      </c>
      <c r="K6179">
        <v>1.1082890000000001</v>
      </c>
      <c r="L6179">
        <v>-7.485474</v>
      </c>
      <c r="M6179">
        <v>0.1077703</v>
      </c>
      <c r="N6179">
        <v>0</v>
      </c>
      <c r="O6179">
        <v>-0.99409049999999999</v>
      </c>
      <c r="P6179">
        <v>1.1531349999999999E-2</v>
      </c>
      <c r="Q6179">
        <v>-1.547021E-2</v>
      </c>
      <c r="R6179">
        <v>-0.99981399999999998</v>
      </c>
      <c r="S6179">
        <v>6.7352289999999995E-2</v>
      </c>
      <c r="T6179">
        <v>-0.31256149999999999</v>
      </c>
      <c r="U6179">
        <v>-2.9948429999999999</v>
      </c>
      <c r="V6179">
        <v>9.6283320000000006E-2</v>
      </c>
      <c r="W6179">
        <v>-2.91742E-3</v>
      </c>
      <c r="X6179">
        <v>0.9953497</v>
      </c>
      <c r="Y6179">
        <v>8.5517919999999997E-2</v>
      </c>
      <c r="Z6179">
        <v>0.1026951</v>
      </c>
      <c r="AA6179">
        <v>0.99102999999999997</v>
      </c>
      <c r="AB6179">
        <v>19</v>
      </c>
      <c r="AC6179">
        <v>-9.0000000000145497E-4</v>
      </c>
      <c r="AD6179">
        <v>-8.4092999999999904E-2</v>
      </c>
      <c r="AE6179">
        <v>-0.59345899999999996</v>
      </c>
      <c r="AF6179">
        <v>6.3580812424029895E-2</v>
      </c>
      <c r="AG6179">
        <v>-8.4092999999999904E-2</v>
      </c>
      <c r="AH6179">
        <v>0.57829357115355495</v>
      </c>
      <c r="AI6179">
        <v>98.224839093844906</v>
      </c>
      <c r="AJ6179">
        <v>83.725783234070207</v>
      </c>
      <c r="AK6179">
        <v>0.58782446937417598</v>
      </c>
      <c r="AL6179">
        <v>90.167156088989501</v>
      </c>
      <c r="AM6179">
        <v>84.4747891946473</v>
      </c>
      <c r="AN6179">
        <v>1.00000000716988</v>
      </c>
    </row>
    <row r="6180" spans="1:40" x14ac:dyDescent="0.25">
      <c r="A6180" t="str">
        <f>"20190312154419446"</f>
        <v>20190312154419446</v>
      </c>
      <c r="B6180" t="str">
        <f>"1552376659433717"</f>
        <v>1552376659433717</v>
      </c>
      <c r="C6180" t="s">
        <v>40</v>
      </c>
      <c r="D6180">
        <v>5.31365</v>
      </c>
      <c r="E6180">
        <v>0.502691</v>
      </c>
      <c r="F6180" t="s">
        <v>41</v>
      </c>
      <c r="G6180">
        <v>-302.0736</v>
      </c>
      <c r="H6180">
        <v>1.046416</v>
      </c>
      <c r="I6180">
        <v>-8.2635190000000005</v>
      </c>
      <c r="J6180">
        <v>-302.04259999999999</v>
      </c>
      <c r="K6180">
        <v>1.1085529999999999</v>
      </c>
      <c r="L6180">
        <v>-7.8509219999999997</v>
      </c>
      <c r="M6180">
        <v>0.1013796</v>
      </c>
      <c r="N6180">
        <v>0</v>
      </c>
      <c r="O6180">
        <v>-0.99476120000000001</v>
      </c>
      <c r="P6180">
        <v>4.5541779999999999E-3</v>
      </c>
      <c r="Q6180">
        <v>-1.5724100000000001E-2</v>
      </c>
      <c r="R6180">
        <v>-0.99986640000000004</v>
      </c>
      <c r="S6180">
        <v>1.2817379999999999E-3</v>
      </c>
      <c r="T6180">
        <v>-0.23798820000000001</v>
      </c>
      <c r="U6180">
        <v>-2.9968569999999999</v>
      </c>
      <c r="V6180">
        <v>9.6832730000000006E-2</v>
      </c>
      <c r="W6180">
        <v>-3.0311859999999999E-3</v>
      </c>
      <c r="X6180">
        <v>0.99529610000000002</v>
      </c>
      <c r="Y6180">
        <v>0.10096339999999999</v>
      </c>
      <c r="Z6180">
        <v>7.8349899999999903E-2</v>
      </c>
      <c r="AA6180">
        <v>0.99180020000000002</v>
      </c>
      <c r="AB6180">
        <v>19</v>
      </c>
      <c r="AC6180">
        <v>-3.1000000000005901E-2</v>
      </c>
      <c r="AD6180">
        <v>-6.2137000000000102E-2</v>
      </c>
      <c r="AE6180">
        <v>-0.41259699999999999</v>
      </c>
      <c r="AF6180">
        <v>7.1069940160547795E-2</v>
      </c>
      <c r="AG6180">
        <v>-6.2137000000000102E-2</v>
      </c>
      <c r="AH6180">
        <v>0.398343979715643</v>
      </c>
      <c r="AI6180">
        <v>98.730334380981603</v>
      </c>
      <c r="AJ6180">
        <v>79.884098083495203</v>
      </c>
      <c r="AK6180">
        <v>0.40937741674293798</v>
      </c>
      <c r="AL6180">
        <v>90.173674422655196</v>
      </c>
      <c r="AM6180">
        <v>84.443160735558095</v>
      </c>
      <c r="AN6180">
        <v>1.0000000461815099</v>
      </c>
    </row>
    <row r="6181" spans="1:40" x14ac:dyDescent="0.25">
      <c r="A6181" t="str">
        <f>"20190312154419467"</f>
        <v>20190312154419467</v>
      </c>
      <c r="B6181" t="str">
        <f>"1552376659463974"</f>
        <v>1552376659463974</v>
      </c>
      <c r="C6181" t="s">
        <v>40</v>
      </c>
      <c r="D6181">
        <v>5.2819580000000004</v>
      </c>
      <c r="E6181">
        <v>0.50221119999999997</v>
      </c>
      <c r="F6181" t="s">
        <v>41</v>
      </c>
      <c r="G6181">
        <v>-302.04419999999999</v>
      </c>
      <c r="H6181">
        <v>1.0472939999999999</v>
      </c>
      <c r="I6181">
        <v>-8.604908</v>
      </c>
      <c r="J6181">
        <v>-302.02769999999998</v>
      </c>
      <c r="K6181">
        <v>1.108671</v>
      </c>
      <c r="L6181">
        <v>-8.0319210000000005</v>
      </c>
      <c r="M6181">
        <v>9.8383209999999999E-2</v>
      </c>
      <c r="N6181">
        <v>0</v>
      </c>
      <c r="O6181">
        <v>-0.99506119999999998</v>
      </c>
      <c r="P6181">
        <v>9.8262749999999998E-4</v>
      </c>
      <c r="Q6181">
        <v>-1.5810109999999999E-2</v>
      </c>
      <c r="R6181">
        <v>-0.99987459999999995</v>
      </c>
      <c r="S6181">
        <v>-5.7067869999999996E-3</v>
      </c>
      <c r="T6181">
        <v>-0.24318799999999999</v>
      </c>
      <c r="U6181">
        <v>-2.996613</v>
      </c>
      <c r="V6181">
        <v>9.7390660000000004E-2</v>
      </c>
      <c r="W6181">
        <v>-3.0594889999999999E-3</v>
      </c>
      <c r="X6181">
        <v>0.9952415</v>
      </c>
      <c r="Y6181">
        <v>0.1002798</v>
      </c>
      <c r="Z6181">
        <v>8.0096319999999999E-2</v>
      </c>
      <c r="AA6181">
        <v>0.99173009999999995</v>
      </c>
      <c r="AB6181">
        <v>19</v>
      </c>
      <c r="AC6181">
        <v>-1.6500000000007699E-2</v>
      </c>
      <c r="AD6181">
        <v>-6.1377000000000001E-2</v>
      </c>
      <c r="AE6181">
        <v>-0.57298699999999902</v>
      </c>
      <c r="AF6181">
        <v>7.1972006289722196E-2</v>
      </c>
      <c r="AG6181">
        <v>-6.1377000000000001E-2</v>
      </c>
      <c r="AH6181">
        <v>0.56213852795917996</v>
      </c>
      <c r="AI6181">
        <v>96.181087083819506</v>
      </c>
      <c r="AJ6181">
        <v>82.703971080839693</v>
      </c>
      <c r="AK6181">
        <v>0.57004107784832603</v>
      </c>
      <c r="AL6181">
        <v>90.175296085511903</v>
      </c>
      <c r="AM6181">
        <v>84.411040845418398</v>
      </c>
      <c r="AN6181">
        <v>0.99999997222521297</v>
      </c>
    </row>
    <row r="6182" spans="1:40" x14ac:dyDescent="0.25">
      <c r="A6182" t="str">
        <f>"20190312154419490"</f>
        <v>20190312154419490</v>
      </c>
      <c r="B6182" t="str">
        <f>"1552376659483493"</f>
        <v>1552376659483493</v>
      </c>
      <c r="C6182" t="s">
        <v>40</v>
      </c>
      <c r="D6182">
        <v>5.3079199999999904</v>
      </c>
      <c r="E6182">
        <v>0.50188880000000002</v>
      </c>
      <c r="F6182" t="s">
        <v>41</v>
      </c>
      <c r="G6182">
        <v>-302.03089999999997</v>
      </c>
      <c r="H6182">
        <v>1.046602</v>
      </c>
      <c r="I6182">
        <v>-8.7743739999999999</v>
      </c>
      <c r="J6182">
        <v>-302.01260000000002</v>
      </c>
      <c r="K6182">
        <v>1.108789</v>
      </c>
      <c r="L6182">
        <v>-8.2233889999999992</v>
      </c>
      <c r="M6182">
        <v>9.5357369999999997E-2</v>
      </c>
      <c r="N6182">
        <v>0</v>
      </c>
      <c r="O6182">
        <v>-0.99535549999999995</v>
      </c>
      <c r="P6182">
        <v>-2.1359450000000002E-3</v>
      </c>
      <c r="Q6182">
        <v>-1.5736239999999999E-2</v>
      </c>
      <c r="R6182">
        <v>-0.99987420000000005</v>
      </c>
      <c r="S6182">
        <v>-1.260376E-2</v>
      </c>
      <c r="T6182">
        <v>-0.25045260000000003</v>
      </c>
      <c r="U6182">
        <v>-2.996429</v>
      </c>
      <c r="V6182">
        <v>9.7470020000000004E-2</v>
      </c>
      <c r="W6182">
        <v>-2.9286770000000002E-3</v>
      </c>
      <c r="X6182">
        <v>0.99523410000000001</v>
      </c>
      <c r="Y6182">
        <v>9.9536659999999999E-2</v>
      </c>
      <c r="Z6182">
        <v>8.2517220000000002E-2</v>
      </c>
      <c r="AA6182">
        <v>0.99160649999999995</v>
      </c>
      <c r="AB6182">
        <v>19</v>
      </c>
      <c r="AC6182">
        <v>-1.8299999999953801E-2</v>
      </c>
      <c r="AD6182">
        <v>-6.2186999999999902E-2</v>
      </c>
      <c r="AE6182">
        <v>-0.55098499999999995</v>
      </c>
      <c r="AF6182">
        <v>6.98725631901254E-2</v>
      </c>
      <c r="AG6182">
        <v>-6.2186999999999902E-2</v>
      </c>
      <c r="AH6182">
        <v>0.53985914764930099</v>
      </c>
      <c r="AI6182">
        <v>96.517120266407801</v>
      </c>
      <c r="AJ6182">
        <v>82.625352837146707</v>
      </c>
      <c r="AK6182">
        <v>0.54790263492375002</v>
      </c>
      <c r="AL6182">
        <v>90.16780108028</v>
      </c>
      <c r="AM6182">
        <v>84.406474155349201</v>
      </c>
      <c r="AN6182">
        <v>0.99999994787528901</v>
      </c>
    </row>
    <row r="6183" spans="1:40" x14ac:dyDescent="0.25">
      <c r="A6183" t="str">
        <f>"20190312154419512"</f>
        <v>20190312154419512</v>
      </c>
      <c r="B6183" t="str">
        <f>"1552376659503990"</f>
        <v>1552376659503990</v>
      </c>
      <c r="C6183" t="s">
        <v>40</v>
      </c>
      <c r="D6183">
        <v>5.2527839999999903</v>
      </c>
      <c r="E6183">
        <v>0.50135249999999998</v>
      </c>
      <c r="F6183" t="s">
        <v>41</v>
      </c>
      <c r="G6183">
        <v>-302.01819999999998</v>
      </c>
      <c r="H6183">
        <v>1.03437</v>
      </c>
      <c r="I6183">
        <v>-9.1079849999999993</v>
      </c>
      <c r="J6183">
        <v>-301.99799999999999</v>
      </c>
      <c r="K6183">
        <v>1.108892</v>
      </c>
      <c r="L6183">
        <v>-8.4116520000000001</v>
      </c>
      <c r="M6183">
        <v>9.2523800000000003E-2</v>
      </c>
      <c r="N6183">
        <v>0</v>
      </c>
      <c r="O6183">
        <v>-0.99562249999999997</v>
      </c>
      <c r="P6183">
        <v>-4.4720460000000004E-3</v>
      </c>
      <c r="Q6183">
        <v>-1.7004399999999999E-2</v>
      </c>
      <c r="R6183">
        <v>-0.99984589999999995</v>
      </c>
      <c r="S6183">
        <v>-1.8859859999999999E-2</v>
      </c>
      <c r="T6183">
        <v>-0.25209949999999998</v>
      </c>
      <c r="U6183">
        <v>-2.9963679999999999</v>
      </c>
      <c r="V6183">
        <v>9.6957009999999996E-2</v>
      </c>
      <c r="W6183">
        <v>-4.1446190000000004E-3</v>
      </c>
      <c r="X6183">
        <v>0.99528000000000005</v>
      </c>
      <c r="Y6183">
        <v>9.8774529999999999E-2</v>
      </c>
      <c r="Z6183">
        <v>8.3094009999999996E-2</v>
      </c>
      <c r="AA6183">
        <v>0.99163449999999997</v>
      </c>
      <c r="AB6183">
        <v>19</v>
      </c>
      <c r="AC6183">
        <v>-2.0199999999988401E-2</v>
      </c>
      <c r="AD6183">
        <v>-7.4521999999999894E-2</v>
      </c>
      <c r="AE6183">
        <v>-0.69633300000000098</v>
      </c>
      <c r="AF6183">
        <v>8.3589772158626702E-2</v>
      </c>
      <c r="AG6183">
        <v>-7.4521999999999894E-2</v>
      </c>
      <c r="AH6183">
        <v>0.683652815376941</v>
      </c>
      <c r="AI6183">
        <v>96.175370146018096</v>
      </c>
      <c r="AJ6183">
        <v>83.029083884164905</v>
      </c>
      <c r="AK6183">
        <v>0.692763993338531</v>
      </c>
      <c r="AL6183">
        <v>90.237469842246597</v>
      </c>
      <c r="AM6183">
        <v>84.435984092840599</v>
      </c>
      <c r="AN6183">
        <v>1.0000000590273901</v>
      </c>
    </row>
    <row r="6184" spans="1:40" x14ac:dyDescent="0.25">
      <c r="A6184" t="str">
        <f>"20190312154419535"</f>
        <v>20190312154419535</v>
      </c>
      <c r="B6184" t="str">
        <f>"1552376659523509"</f>
        <v>1552376659523509</v>
      </c>
      <c r="C6184" t="s">
        <v>40</v>
      </c>
      <c r="D6184">
        <v>5.3499319999999999</v>
      </c>
      <c r="E6184">
        <v>0.50119880000000006</v>
      </c>
      <c r="F6184" t="s">
        <v>41</v>
      </c>
      <c r="G6184">
        <v>-302.00439999999998</v>
      </c>
      <c r="H6184">
        <v>1.0345569999999999</v>
      </c>
      <c r="I6184">
        <v>-9.2772830000000006</v>
      </c>
      <c r="J6184">
        <v>-301.98349999999999</v>
      </c>
      <c r="K6184">
        <v>1.1089880000000001</v>
      </c>
      <c r="L6184">
        <v>-8.6058039999999991</v>
      </c>
      <c r="M6184">
        <v>8.9716969999999993E-2</v>
      </c>
      <c r="N6184">
        <v>0</v>
      </c>
      <c r="O6184">
        <v>-0.99587879999999995</v>
      </c>
      <c r="P6184">
        <v>-6.2420640000000003E-3</v>
      </c>
      <c r="Q6184">
        <v>-1.780377E-2</v>
      </c>
      <c r="R6184">
        <v>-0.99982210000000005</v>
      </c>
      <c r="S6184">
        <v>-2.1026610000000001E-2</v>
      </c>
      <c r="T6184">
        <v>-0.25699129999999998</v>
      </c>
      <c r="U6184">
        <v>-2.9960019999999998</v>
      </c>
      <c r="V6184">
        <v>9.5910590000000004E-2</v>
      </c>
      <c r="W6184">
        <v>-4.8958509999999997E-3</v>
      </c>
      <c r="X6184">
        <v>0.99537790000000004</v>
      </c>
      <c r="Y6184">
        <v>9.6686289999999994E-2</v>
      </c>
      <c r="Z6184">
        <v>8.4746440000000006E-2</v>
      </c>
      <c r="AA6184">
        <v>0.99170049999999998</v>
      </c>
      <c r="AB6184">
        <v>19</v>
      </c>
      <c r="AC6184">
        <v>-2.0899999999983199E-2</v>
      </c>
      <c r="AD6184">
        <v>-7.44309999999999E-2</v>
      </c>
      <c r="AE6184">
        <v>-0.67147900000000105</v>
      </c>
      <c r="AF6184">
        <v>8.0081076531036494E-2</v>
      </c>
      <c r="AG6184">
        <v>-7.44309999999999E-2</v>
      </c>
      <c r="AH6184">
        <v>0.65880850975935201</v>
      </c>
      <c r="AI6184">
        <v>96.399134957486794</v>
      </c>
      <c r="AJ6184">
        <v>83.069446211571602</v>
      </c>
      <c r="AK6184">
        <v>0.66781854205368396</v>
      </c>
      <c r="AL6184">
        <v>90.280512723635795</v>
      </c>
      <c r="AM6184">
        <v>84.496201656679602</v>
      </c>
      <c r="AN6184">
        <v>0.999999987219786</v>
      </c>
    </row>
    <row r="6185" spans="1:40" x14ac:dyDescent="0.25">
      <c r="A6185" t="str">
        <f>"20190312154419557"</f>
        <v>20190312154419557</v>
      </c>
      <c r="B6185" t="str">
        <f>"1552376659553765"</f>
        <v>1552376659553765</v>
      </c>
      <c r="C6185" t="s">
        <v>40</v>
      </c>
      <c r="D6185">
        <v>5.2273860000000001</v>
      </c>
      <c r="E6185">
        <v>0.50063409999999997</v>
      </c>
      <c r="F6185" t="s">
        <v>41</v>
      </c>
      <c r="G6185">
        <v>-301.99059999999997</v>
      </c>
      <c r="H6185">
        <v>1.0359719999999999</v>
      </c>
      <c r="I6185">
        <v>-9.4469879999999993</v>
      </c>
      <c r="J6185">
        <v>-301.97019999999998</v>
      </c>
      <c r="K6185">
        <v>1.109076</v>
      </c>
      <c r="L6185">
        <v>-8.7892759999999992</v>
      </c>
      <c r="M6185">
        <v>8.7151909999999999E-2</v>
      </c>
      <c r="N6185">
        <v>0</v>
      </c>
      <c r="O6185">
        <v>-0.99610620000000005</v>
      </c>
      <c r="P6185">
        <v>-8.0056609999999903E-3</v>
      </c>
      <c r="Q6185">
        <v>-1.7596319999999999E-2</v>
      </c>
      <c r="R6185">
        <v>-0.99981310000000001</v>
      </c>
      <c r="S6185">
        <v>-2.5177000000000001E-2</v>
      </c>
      <c r="T6185">
        <v>-0.25995980000000002</v>
      </c>
      <c r="U6185">
        <v>-2.9957579999999999</v>
      </c>
      <c r="V6185">
        <v>9.5104659999999994E-2</v>
      </c>
      <c r="W6185">
        <v>-4.6505629999999999E-3</v>
      </c>
      <c r="X6185">
        <v>0.99545640000000002</v>
      </c>
      <c r="Y6185">
        <v>9.5496670000000006E-2</v>
      </c>
      <c r="Z6185">
        <v>8.5759039999999995E-2</v>
      </c>
      <c r="AA6185">
        <v>0.99172870000000002</v>
      </c>
      <c r="AB6185">
        <v>19</v>
      </c>
      <c r="AC6185">
        <v>-2.0399999999994999E-2</v>
      </c>
      <c r="AD6185">
        <v>-7.3104000000000002E-2</v>
      </c>
      <c r="AE6185">
        <v>-0.65771200000000096</v>
      </c>
      <c r="AF6185">
        <v>7.67016269686151E-2</v>
      </c>
      <c r="AG6185">
        <v>-7.3104000000000002E-2</v>
      </c>
      <c r="AH6185">
        <v>0.64546446573583105</v>
      </c>
      <c r="AI6185">
        <v>96.416902163647407</v>
      </c>
      <c r="AJ6185">
        <v>83.223225224323699</v>
      </c>
      <c r="AK6185">
        <v>0.65410374629967905</v>
      </c>
      <c r="AL6185">
        <v>90.266458596959495</v>
      </c>
      <c r="AM6185">
        <v>84.542597055378906</v>
      </c>
      <c r="AN6185">
        <v>0.999999984195446</v>
      </c>
    </row>
    <row r="6186" spans="1:40" x14ac:dyDescent="0.25">
      <c r="A6186" t="str">
        <f>"20190312154419580"</f>
        <v>20190312154419580</v>
      </c>
      <c r="B6186" t="str">
        <f>"1552376659573285"</f>
        <v>1552376659573285</v>
      </c>
      <c r="C6186" t="s">
        <v>40</v>
      </c>
      <c r="D6186">
        <v>5.2721309999999999</v>
      </c>
      <c r="E6186">
        <v>0.50013569999999996</v>
      </c>
      <c r="F6186" t="s">
        <v>41</v>
      </c>
      <c r="G6186">
        <v>-301.9776</v>
      </c>
      <c r="H6186">
        <v>1.037612</v>
      </c>
      <c r="I6186">
        <v>-9.6166079999999994</v>
      </c>
      <c r="J6186">
        <v>-301.95650000000001</v>
      </c>
      <c r="K6186">
        <v>1.1091500000000001</v>
      </c>
      <c r="L6186">
        <v>-8.9833069999999999</v>
      </c>
      <c r="M6186">
        <v>8.4512320000000002E-2</v>
      </c>
      <c r="N6186">
        <v>0</v>
      </c>
      <c r="O6186">
        <v>-0.99633349999999998</v>
      </c>
      <c r="P6186">
        <v>-9.6736219999999998E-3</v>
      </c>
      <c r="Q6186">
        <v>-1.683896E-2</v>
      </c>
      <c r="R6186">
        <v>-0.99981169999999997</v>
      </c>
      <c r="S6186">
        <v>-2.6123049999999998E-2</v>
      </c>
      <c r="T6186">
        <v>-0.25852540000000002</v>
      </c>
      <c r="U6186">
        <v>-2.9957889999999998</v>
      </c>
      <c r="V6186">
        <v>9.4131779999999998E-2</v>
      </c>
      <c r="W6186">
        <v>-3.8594760000000001E-3</v>
      </c>
      <c r="X6186">
        <v>0.9955522</v>
      </c>
      <c r="Y6186">
        <v>9.3172389999999994E-2</v>
      </c>
      <c r="Z6186">
        <v>8.5327100000000003E-2</v>
      </c>
      <c r="AA6186">
        <v>0.99198699999999995</v>
      </c>
      <c r="AB6186">
        <v>19</v>
      </c>
      <c r="AC6186">
        <v>-2.1099999999989901E-2</v>
      </c>
      <c r="AD6186">
        <v>-7.1538000000000102E-2</v>
      </c>
      <c r="AE6186">
        <v>-0.633300999999999</v>
      </c>
      <c r="AF6186">
        <v>7.3612717736100897E-2</v>
      </c>
      <c r="AG6186">
        <v>-7.1538000000000102E-2</v>
      </c>
      <c r="AH6186">
        <v>0.62133210038563502</v>
      </c>
      <c r="AI6186">
        <v>96.522693684224507</v>
      </c>
      <c r="AJ6186">
        <v>83.243341658485605</v>
      </c>
      <c r="AK6186">
        <v>0.62975399691158696</v>
      </c>
      <c r="AL6186">
        <v>90.221132249235495</v>
      </c>
      <c r="AM6186">
        <v>84.598608764034594</v>
      </c>
      <c r="AN6186">
        <v>0.99999993524289899</v>
      </c>
    </row>
    <row r="6187" spans="1:40" x14ac:dyDescent="0.25">
      <c r="A6187" t="str">
        <f>"20190312154419602"</f>
        <v>20190312154419602</v>
      </c>
      <c r="B6187" t="str">
        <f>"1552376659593782"</f>
        <v>1552376659593782</v>
      </c>
      <c r="C6187" t="s">
        <v>40</v>
      </c>
      <c r="D6187">
        <v>5.291811</v>
      </c>
      <c r="E6187">
        <v>0.4945389</v>
      </c>
      <c r="F6187" t="s">
        <v>41</v>
      </c>
      <c r="G6187">
        <v>-301.96379999999999</v>
      </c>
      <c r="H6187">
        <v>1.0411889999999999</v>
      </c>
      <c r="I6187">
        <v>-9.7868929999999992</v>
      </c>
      <c r="J6187">
        <v>-301.9436</v>
      </c>
      <c r="K6187">
        <v>1.1092010000000001</v>
      </c>
      <c r="L6187">
        <v>-9.1706540000000007</v>
      </c>
      <c r="M6187">
        <v>8.2011760000000003E-2</v>
      </c>
      <c r="N6187">
        <v>0</v>
      </c>
      <c r="O6187">
        <v>-0.99654219999999905</v>
      </c>
      <c r="P6187">
        <v>-1.1132950000000001E-2</v>
      </c>
      <c r="Q6187">
        <v>-1.5926849999999999E-2</v>
      </c>
      <c r="R6187">
        <v>-0.99981140000000002</v>
      </c>
      <c r="S6187">
        <v>-2.7191159999999999E-2</v>
      </c>
      <c r="T6187">
        <v>-0.25328830000000002</v>
      </c>
      <c r="U6187">
        <v>-2.9960330000000002</v>
      </c>
      <c r="V6187">
        <v>9.3090839999999994E-2</v>
      </c>
      <c r="W6187">
        <v>-2.9209409999999998E-3</v>
      </c>
      <c r="X6187">
        <v>0.99565329999999996</v>
      </c>
      <c r="Y6187">
        <v>9.1027949999999996E-2</v>
      </c>
      <c r="Z6187">
        <v>8.3638809999999994E-2</v>
      </c>
      <c r="AA6187">
        <v>0.99232980000000004</v>
      </c>
      <c r="AB6187">
        <v>19</v>
      </c>
      <c r="AC6187">
        <v>-2.0199999999988401E-2</v>
      </c>
      <c r="AD6187">
        <v>-6.80120000000001E-2</v>
      </c>
      <c r="AE6187">
        <v>-0.61623899999999998</v>
      </c>
      <c r="AF6187">
        <v>6.9825664200103402E-2</v>
      </c>
      <c r="AG6187">
        <v>-6.80120000000001E-2</v>
      </c>
      <c r="AH6187">
        <v>0.60514279989401298</v>
      </c>
      <c r="AI6187">
        <v>96.370644192894602</v>
      </c>
      <c r="AJ6187">
        <v>83.4179156576255</v>
      </c>
      <c r="AK6187">
        <v>0.61294295312741098</v>
      </c>
      <c r="AL6187">
        <v>90.1673578353289</v>
      </c>
      <c r="AM6187">
        <v>84.658530946304396</v>
      </c>
      <c r="AN6187">
        <v>0.99999996509456002</v>
      </c>
    </row>
    <row r="6188" spans="1:40" x14ac:dyDescent="0.25">
      <c r="A6188" t="str">
        <f>"20190312154419625"</f>
        <v>20190312154419625</v>
      </c>
      <c r="B6188" t="str">
        <f>"1552376659614278"</f>
        <v>1552376659614278</v>
      </c>
      <c r="C6188" t="s">
        <v>40</v>
      </c>
      <c r="D6188">
        <v>5.2157419999999997</v>
      </c>
      <c r="E6188">
        <v>0.49631829999999999</v>
      </c>
      <c r="F6188" t="s">
        <v>41</v>
      </c>
      <c r="G6188">
        <v>-301.94069999999999</v>
      </c>
      <c r="H6188">
        <v>1.0504739999999999</v>
      </c>
      <c r="I6188">
        <v>-9.9616030000000002</v>
      </c>
      <c r="J6188">
        <v>-301.93049999999999</v>
      </c>
      <c r="K6188">
        <v>1.1092249999999999</v>
      </c>
      <c r="L6188">
        <v>-9.3690189999999998</v>
      </c>
      <c r="M6188">
        <v>7.9386899999999996E-2</v>
      </c>
      <c r="N6188">
        <v>0</v>
      </c>
      <c r="O6188">
        <v>-0.99675449999999999</v>
      </c>
      <c r="P6188">
        <v>-1.2931059999999999E-2</v>
      </c>
      <c r="Q6188">
        <v>-1.5180229999999999E-2</v>
      </c>
      <c r="R6188">
        <v>-0.99980150000000001</v>
      </c>
      <c r="S6188">
        <v>1.205444E-2</v>
      </c>
      <c r="T6188">
        <v>-0.22226290000000001</v>
      </c>
      <c r="U6188">
        <v>-2.9971619999999999</v>
      </c>
      <c r="V6188">
        <v>9.2262570000000002E-2</v>
      </c>
      <c r="W6188">
        <v>-2.1537180000000002E-3</v>
      </c>
      <c r="X6188">
        <v>0.99573239999999996</v>
      </c>
      <c r="Y6188">
        <v>7.5394710000000004E-2</v>
      </c>
      <c r="Z6188">
        <v>7.3499339999999996E-2</v>
      </c>
      <c r="AA6188">
        <v>0.99444129999999997</v>
      </c>
      <c r="AB6188">
        <v>19</v>
      </c>
      <c r="AC6188">
        <v>-1.0199999999997499E-2</v>
      </c>
      <c r="AD6188">
        <v>-5.8750999999999998E-2</v>
      </c>
      <c r="AE6188">
        <v>-0.592584</v>
      </c>
      <c r="AF6188">
        <v>5.6658640197683498E-2</v>
      </c>
      <c r="AG6188">
        <v>-5.8750999999999998E-2</v>
      </c>
      <c r="AH6188">
        <v>0.58416325892344101</v>
      </c>
      <c r="AI6188">
        <v>95.716445480715095</v>
      </c>
      <c r="AJ6188">
        <v>84.4601472854322</v>
      </c>
      <c r="AK6188">
        <v>0.58983776971817103</v>
      </c>
      <c r="AL6188">
        <v>90.123399045039505</v>
      </c>
      <c r="AM6188">
        <v>84.706203259929595</v>
      </c>
      <c r="AN6188">
        <v>1.00000001636699</v>
      </c>
    </row>
    <row r="6189" spans="1:40" x14ac:dyDescent="0.25">
      <c r="A6189" t="str">
        <f>"20190312154419649"</f>
        <v>20190312154419649</v>
      </c>
      <c r="B6189" t="str">
        <f>"1552376659643557"</f>
        <v>1552376659643557</v>
      </c>
      <c r="C6189" t="s">
        <v>40</v>
      </c>
      <c r="D6189">
        <v>5.21739</v>
      </c>
      <c r="E6189">
        <v>0.49654939999999997</v>
      </c>
      <c r="F6189" t="s">
        <v>43</v>
      </c>
      <c r="G6189">
        <v>-301.9726</v>
      </c>
      <c r="H6189" s="1">
        <v>-2.5968510000000002E-6</v>
      </c>
      <c r="I6189">
        <v>-25.581029999999998</v>
      </c>
      <c r="J6189">
        <v>-301.91789999999997</v>
      </c>
      <c r="K6189">
        <v>1.1092229999999901</v>
      </c>
      <c r="L6189">
        <v>-9.5670169999999999</v>
      </c>
      <c r="M6189">
        <v>7.6764860000000004E-2</v>
      </c>
      <c r="N6189">
        <v>0</v>
      </c>
      <c r="O6189">
        <v>-0.9969597</v>
      </c>
      <c r="P6189">
        <v>-1.5344729999999999E-2</v>
      </c>
      <c r="Q6189">
        <v>-1.485067E-2</v>
      </c>
      <c r="R6189">
        <v>-0.99977210000000005</v>
      </c>
      <c r="S6189">
        <v>-7.7819819999999998E-3</v>
      </c>
      <c r="T6189">
        <v>-0.2050806</v>
      </c>
      <c r="U6189">
        <v>-2.9973749999999999</v>
      </c>
      <c r="V6189">
        <v>9.2048740000000004E-2</v>
      </c>
      <c r="W6189">
        <v>-1.811399E-3</v>
      </c>
      <c r="X6189">
        <v>0.99575290000000005</v>
      </c>
      <c r="Y6189">
        <v>7.9353770000000004E-2</v>
      </c>
      <c r="Z6189">
        <v>6.7850759999999996E-2</v>
      </c>
      <c r="AA6189">
        <v>0.99453469999999999</v>
      </c>
      <c r="AB6189">
        <v>19</v>
      </c>
      <c r="AC6189">
        <v>-5.4700000000025201E-2</v>
      </c>
      <c r="AD6189">
        <v>-1.1092255968510001</v>
      </c>
      <c r="AE6189">
        <v>-16.014012999999998</v>
      </c>
      <c r="AF6189">
        <v>1.27783110050278</v>
      </c>
      <c r="AG6189">
        <v>-1.1092255968510001</v>
      </c>
      <c r="AH6189">
        <v>15.8863333003249</v>
      </c>
      <c r="AI6189">
        <v>93.981243038423202</v>
      </c>
      <c r="AJ6189">
        <v>85.401264687671997</v>
      </c>
      <c r="AK6189">
        <v>15.9761954005055</v>
      </c>
      <c r="AL6189">
        <v>90.103785569823003</v>
      </c>
      <c r="AM6189">
        <v>84.718510948043999</v>
      </c>
      <c r="AN6189">
        <v>1.00000004478016</v>
      </c>
    </row>
    <row r="6190" spans="1:40" x14ac:dyDescent="0.25">
      <c r="A6190" t="str">
        <f>"20190312154419671"</f>
        <v>20190312154419671</v>
      </c>
      <c r="B6190" t="str">
        <f>"1552376659664054"</f>
        <v>1552376659664054</v>
      </c>
      <c r="C6190" t="s">
        <v>40</v>
      </c>
      <c r="D6190">
        <v>5.237584</v>
      </c>
      <c r="E6190">
        <v>0.49609550000000002</v>
      </c>
      <c r="F6190" t="s">
        <v>41</v>
      </c>
      <c r="G6190">
        <v>-301.92309999999998</v>
      </c>
      <c r="H6190">
        <v>1.050913</v>
      </c>
      <c r="I6190">
        <v>-10.46739</v>
      </c>
      <c r="J6190">
        <v>-301.90640000000002</v>
      </c>
      <c r="K6190">
        <v>1.10921</v>
      </c>
      <c r="L6190">
        <v>-9.7564089999999997</v>
      </c>
      <c r="M6190">
        <v>7.4235770000000006E-2</v>
      </c>
      <c r="N6190">
        <v>0</v>
      </c>
      <c r="O6190">
        <v>-0.99715109999999996</v>
      </c>
      <c r="P6190">
        <v>-1.6632310000000001E-2</v>
      </c>
      <c r="Q6190">
        <v>-1.534305E-2</v>
      </c>
      <c r="R6190">
        <v>-0.99974419999999997</v>
      </c>
      <c r="S6190">
        <v>-1.721191E-2</v>
      </c>
      <c r="T6190">
        <v>-0.1940904</v>
      </c>
      <c r="U6190">
        <v>-2.997528</v>
      </c>
      <c r="V6190">
        <v>9.0803350000000005E-2</v>
      </c>
      <c r="W6190">
        <v>-2.291071E-3</v>
      </c>
      <c r="X6190">
        <v>0.99586620000000003</v>
      </c>
      <c r="Y6190">
        <v>7.9955120000000005E-2</v>
      </c>
      <c r="Z6190">
        <v>6.4243540000000002E-2</v>
      </c>
      <c r="AA6190">
        <v>0.99472609999999995</v>
      </c>
      <c r="AB6190">
        <v>19</v>
      </c>
      <c r="AC6190">
        <v>-1.6699999999957499E-2</v>
      </c>
      <c r="AD6190">
        <v>-5.8297000000000002E-2</v>
      </c>
      <c r="AE6190">
        <v>-0.71098099999999997</v>
      </c>
      <c r="AF6190">
        <v>6.8975371262693194E-2</v>
      </c>
      <c r="AG6190">
        <v>-5.8297000000000002E-2</v>
      </c>
      <c r="AH6190">
        <v>0.70305482778943895</v>
      </c>
      <c r="AI6190">
        <v>94.717550812847094</v>
      </c>
      <c r="AJ6190">
        <v>84.396751651758905</v>
      </c>
      <c r="AK6190">
        <v>0.70883159701572496</v>
      </c>
      <c r="AL6190">
        <v>90.131268814643306</v>
      </c>
      <c r="AM6190">
        <v>84.790161350825002</v>
      </c>
      <c r="AN6190">
        <v>0.99999999283999397</v>
      </c>
    </row>
    <row r="6191" spans="1:40" x14ac:dyDescent="0.25">
      <c r="A6191" t="str">
        <f>"20190312154419691"</f>
        <v>20190312154419691</v>
      </c>
      <c r="B6191" t="str">
        <f>"1552376659683574"</f>
        <v>1552376659683574</v>
      </c>
      <c r="C6191" t="s">
        <v>40</v>
      </c>
      <c r="D6191">
        <v>5.2820720000000003</v>
      </c>
      <c r="E6191">
        <v>0.49561480000000002</v>
      </c>
      <c r="F6191" t="s">
        <v>41</v>
      </c>
      <c r="G6191">
        <v>-301.91160000000002</v>
      </c>
      <c r="H6191">
        <v>1.0513779999999999</v>
      </c>
      <c r="I6191">
        <v>-10.635400000000001</v>
      </c>
      <c r="J6191">
        <v>-301.89690000000002</v>
      </c>
      <c r="K6191">
        <v>1.1091930000000001</v>
      </c>
      <c r="L6191">
        <v>-9.9191280000000006</v>
      </c>
      <c r="M6191">
        <v>7.2041590000000003E-2</v>
      </c>
      <c r="N6191">
        <v>0</v>
      </c>
      <c r="O6191">
        <v>-0.99731179999999997</v>
      </c>
      <c r="P6191">
        <v>-1.764342E-2</v>
      </c>
      <c r="Q6191">
        <v>-1.5829599999999999E-2</v>
      </c>
      <c r="R6191">
        <v>-0.99971909999999997</v>
      </c>
      <c r="S6191">
        <v>-1.7028809999999998E-2</v>
      </c>
      <c r="T6191">
        <v>-0.1969911</v>
      </c>
      <c r="U6191">
        <v>-2.9974669999999999</v>
      </c>
      <c r="V6191">
        <v>8.9617390000000005E-2</v>
      </c>
      <c r="W6191">
        <v>-2.7680460000000001E-3</v>
      </c>
      <c r="X6191">
        <v>0.99597239999999998</v>
      </c>
      <c r="Y6191">
        <v>7.7700729999999996E-2</v>
      </c>
      <c r="Z6191">
        <v>6.5222580000000002E-2</v>
      </c>
      <c r="AA6191">
        <v>0.99484099999999998</v>
      </c>
      <c r="AB6191">
        <v>19</v>
      </c>
      <c r="AC6191">
        <v>-1.47000000000048E-2</v>
      </c>
      <c r="AD6191">
        <v>-5.7814999999999901E-2</v>
      </c>
      <c r="AE6191">
        <v>-0.71627200000000002</v>
      </c>
      <c r="AF6191">
        <v>6.5839023304015296E-2</v>
      </c>
      <c r="AG6191">
        <v>-5.7814999999999901E-2</v>
      </c>
      <c r="AH6191">
        <v>0.70873583568566201</v>
      </c>
      <c r="AI6191">
        <v>94.643661082354797</v>
      </c>
      <c r="AJ6191">
        <v>84.6926591098795</v>
      </c>
      <c r="AK6191">
        <v>0.714131525700749</v>
      </c>
      <c r="AL6191">
        <v>90.158597558983303</v>
      </c>
      <c r="AM6191">
        <v>84.858383939382193</v>
      </c>
      <c r="AN6191">
        <v>0.99999998011541402</v>
      </c>
    </row>
    <row r="6192" spans="1:40" x14ac:dyDescent="0.25">
      <c r="A6192" t="str">
        <f>"20190312154419713"</f>
        <v>20190312154419713</v>
      </c>
      <c r="B6192" t="str">
        <f>"1552376659704070"</f>
        <v>1552376659704070</v>
      </c>
      <c r="C6192" t="s">
        <v>40</v>
      </c>
      <c r="D6192">
        <v>5.1947570000000001</v>
      </c>
      <c r="E6192">
        <v>0.4953285</v>
      </c>
      <c r="F6192" t="s">
        <v>41</v>
      </c>
      <c r="G6192">
        <v>-301.90170000000001</v>
      </c>
      <c r="H6192">
        <v>1.0492629999999901</v>
      </c>
      <c r="I6192">
        <v>-10.80095</v>
      </c>
      <c r="J6192">
        <v>-301.88619999999997</v>
      </c>
      <c r="K6192">
        <v>1.109159</v>
      </c>
      <c r="L6192">
        <v>-10.111179999999999</v>
      </c>
      <c r="M6192">
        <v>6.9420519999999999E-2</v>
      </c>
      <c r="N6192">
        <v>0</v>
      </c>
      <c r="O6192">
        <v>-0.99749779999999999</v>
      </c>
      <c r="P6192">
        <v>-1.842135E-2</v>
      </c>
      <c r="Q6192">
        <v>-1.6545109999999998E-2</v>
      </c>
      <c r="R6192">
        <v>-0.99969359999999996</v>
      </c>
      <c r="S6192">
        <v>-1.6174319999999999E-2</v>
      </c>
      <c r="T6192">
        <v>-0.20364370000000001</v>
      </c>
      <c r="U6192">
        <v>-2.9973450000000001</v>
      </c>
      <c r="V6192">
        <v>8.7772000000000003E-2</v>
      </c>
      <c r="W6192">
        <v>-3.4718320000000002E-3</v>
      </c>
      <c r="X6192">
        <v>0.99613450000000003</v>
      </c>
      <c r="Y6192">
        <v>7.4796299999999996E-2</v>
      </c>
      <c r="Z6192">
        <v>6.7444470000000006E-2</v>
      </c>
      <c r="AA6192">
        <v>0.99491540000000001</v>
      </c>
      <c r="AB6192">
        <v>19</v>
      </c>
      <c r="AC6192">
        <v>-1.55000000000313E-2</v>
      </c>
      <c r="AD6192">
        <v>-5.9896000000000102E-2</v>
      </c>
      <c r="AE6192">
        <v>-0.689769999999999</v>
      </c>
      <c r="AF6192">
        <v>6.2877203988649294E-2</v>
      </c>
      <c r="AG6192">
        <v>-5.9896000000000102E-2</v>
      </c>
      <c r="AH6192">
        <v>0.68189046257736896</v>
      </c>
      <c r="AI6192">
        <v>94.998773222713893</v>
      </c>
      <c r="AJ6192">
        <v>84.731647123895698</v>
      </c>
      <c r="AK6192">
        <v>0.68739775716204399</v>
      </c>
      <c r="AL6192">
        <v>90.198921728388399</v>
      </c>
      <c r="AM6192">
        <v>84.964524595451394</v>
      </c>
      <c r="AN6192">
        <v>0.999999959845842</v>
      </c>
    </row>
    <row r="6193" spans="1:40" x14ac:dyDescent="0.25">
      <c r="A6193" t="str">
        <f>"20190312154419735"</f>
        <v>20190312154419735</v>
      </c>
      <c r="B6193" t="str">
        <f>"1552376659723589"</f>
        <v>1552376659723589</v>
      </c>
      <c r="C6193" t="s">
        <v>40</v>
      </c>
      <c r="D6193">
        <v>5.2667679999999999</v>
      </c>
      <c r="E6193">
        <v>0.49557289999999998</v>
      </c>
      <c r="F6193" t="s">
        <v>41</v>
      </c>
      <c r="G6193">
        <v>-301.89109999999999</v>
      </c>
      <c r="H6193">
        <v>1.0497259999999999</v>
      </c>
      <c r="I6193">
        <v>-10.96855</v>
      </c>
      <c r="J6193">
        <v>-301.87650000000002</v>
      </c>
      <c r="K6193">
        <v>1.109138</v>
      </c>
      <c r="L6193">
        <v>-10.29257</v>
      </c>
      <c r="M6193">
        <v>6.6915069999999993E-2</v>
      </c>
      <c r="N6193">
        <v>0</v>
      </c>
      <c r="O6193">
        <v>-0.99766880000000002</v>
      </c>
      <c r="P6193">
        <v>-1.923327E-2</v>
      </c>
      <c r="Q6193">
        <v>-1.7212189999999999E-2</v>
      </c>
      <c r="R6193">
        <v>-0.99966719999999998</v>
      </c>
      <c r="S6193">
        <v>-1.6418459999999999E-2</v>
      </c>
      <c r="T6193">
        <v>-0.20756749999999999</v>
      </c>
      <c r="U6193">
        <v>-2.9971920000000001</v>
      </c>
      <c r="V6193">
        <v>8.6076330000000006E-2</v>
      </c>
      <c r="W6193">
        <v>-4.1286810000000004E-3</v>
      </c>
      <c r="X6193">
        <v>0.99628000000000005</v>
      </c>
      <c r="Y6193">
        <v>7.2372450000000005E-2</v>
      </c>
      <c r="Z6193">
        <v>6.8765240000000005E-2</v>
      </c>
      <c r="AA6193">
        <v>0.99500429999999995</v>
      </c>
      <c r="AB6193">
        <v>19</v>
      </c>
      <c r="AC6193">
        <v>-1.4599999999972999E-2</v>
      </c>
      <c r="AD6193">
        <v>-5.9412E-2</v>
      </c>
      <c r="AE6193">
        <v>-0.67598000000000003</v>
      </c>
      <c r="AF6193">
        <v>5.9346358345364801E-2</v>
      </c>
      <c r="AG6193">
        <v>-5.9412E-2</v>
      </c>
      <c r="AH6193">
        <v>0.66832737956988097</v>
      </c>
      <c r="AI6193">
        <v>95.060236322507194</v>
      </c>
      <c r="AJ6193">
        <v>84.925539880302694</v>
      </c>
      <c r="AK6193">
        <v>0.673582409416695</v>
      </c>
      <c r="AL6193">
        <v>90.2365566660703</v>
      </c>
      <c r="AM6193">
        <v>85.062036961552906</v>
      </c>
      <c r="AN6193">
        <v>1.00000000949653</v>
      </c>
    </row>
    <row r="6194" spans="1:40" x14ac:dyDescent="0.25">
      <c r="A6194" t="str">
        <f>"20190312154419757"</f>
        <v>20190312154419757</v>
      </c>
      <c r="B6194" t="str">
        <f>"1552376659753846"</f>
        <v>1552376659753846</v>
      </c>
      <c r="C6194" t="s">
        <v>40</v>
      </c>
      <c r="D6194">
        <v>5.3303859999999998</v>
      </c>
      <c r="E6194">
        <v>0.51915239999999996</v>
      </c>
      <c r="F6194" t="s">
        <v>41</v>
      </c>
      <c r="G6194">
        <v>-301.88249999999999</v>
      </c>
      <c r="H6194">
        <v>1.050549</v>
      </c>
      <c r="I6194">
        <v>-11.136419999999999</v>
      </c>
      <c r="J6194">
        <v>-301.86700000000002</v>
      </c>
      <c r="K6194">
        <v>1.109124</v>
      </c>
      <c r="L6194">
        <v>-10.48108</v>
      </c>
      <c r="M6194">
        <v>6.4284770000000005E-2</v>
      </c>
      <c r="N6194">
        <v>0</v>
      </c>
      <c r="O6194">
        <v>-0.9978416</v>
      </c>
      <c r="P6194">
        <v>-2.03302E-2</v>
      </c>
      <c r="Q6194">
        <v>-1.8024330000000002E-2</v>
      </c>
      <c r="R6194">
        <v>-0.99963089999999999</v>
      </c>
      <c r="S6194">
        <v>-2.0904539999999999E-2</v>
      </c>
      <c r="T6194">
        <v>-0.20795920000000001</v>
      </c>
      <c r="U6194">
        <v>-2.9970089999999998</v>
      </c>
      <c r="V6194">
        <v>8.4539600000000006E-2</v>
      </c>
      <c r="W6194">
        <v>-4.931286E-3</v>
      </c>
      <c r="X6194">
        <v>0.99640790000000001</v>
      </c>
      <c r="Y6194">
        <v>7.1232699999999996E-2</v>
      </c>
      <c r="Z6194">
        <v>6.8919030000000006E-2</v>
      </c>
      <c r="AA6194">
        <v>0.99507590000000001</v>
      </c>
      <c r="AB6194">
        <v>19</v>
      </c>
      <c r="AC6194">
        <v>-1.5499999999974499E-2</v>
      </c>
      <c r="AD6194">
        <v>-5.8575000000000002E-2</v>
      </c>
      <c r="AE6194">
        <v>-0.65533999999999804</v>
      </c>
      <c r="AF6194">
        <v>5.7143833366337597E-2</v>
      </c>
      <c r="AG6194">
        <v>-5.8575000000000002E-2</v>
      </c>
      <c r="AH6194">
        <v>0.64781525582063904</v>
      </c>
      <c r="AI6194">
        <v>95.146717980099396</v>
      </c>
      <c r="AJ6194">
        <v>84.9589826269018</v>
      </c>
      <c r="AK6194">
        <v>0.65296328686286798</v>
      </c>
      <c r="AL6194">
        <v>90.282543025489304</v>
      </c>
      <c r="AM6194">
        <v>85.150390207303303</v>
      </c>
      <c r="AN6194">
        <v>0.999999982366091</v>
      </c>
    </row>
    <row r="6195" spans="1:40" x14ac:dyDescent="0.25">
      <c r="A6195" t="str">
        <f>"20190312154419781"</f>
        <v>20190312154419781</v>
      </c>
      <c r="B6195" t="str">
        <f>"1552376659773365"</f>
        <v>1552376659773365</v>
      </c>
      <c r="C6195" t="s">
        <v>40</v>
      </c>
      <c r="D6195">
        <v>5.2544240000000002</v>
      </c>
      <c r="E6195">
        <v>0.52299050000000002</v>
      </c>
      <c r="F6195" t="s">
        <v>41</v>
      </c>
      <c r="G6195">
        <v>-301.92529999999999</v>
      </c>
      <c r="H6195">
        <v>1.0411709999999901</v>
      </c>
      <c r="I6195">
        <v>-11.30017</v>
      </c>
      <c r="J6195">
        <v>-301.85789999999997</v>
      </c>
      <c r="K6195">
        <v>1.1091139999999999</v>
      </c>
      <c r="L6195">
        <v>-10.671569999999999</v>
      </c>
      <c r="M6195">
        <v>6.1608169999999997E-2</v>
      </c>
      <c r="N6195">
        <v>0</v>
      </c>
      <c r="O6195">
        <v>-0.99801030000000002</v>
      </c>
      <c r="P6195">
        <v>-2.1763210000000002E-2</v>
      </c>
      <c r="Q6195">
        <v>-1.7962059999999998E-2</v>
      </c>
      <c r="R6195">
        <v>-0.99960199999999999</v>
      </c>
      <c r="S6195">
        <v>-0.2122192</v>
      </c>
      <c r="T6195">
        <v>-0.24806549999999999</v>
      </c>
      <c r="U6195">
        <v>-2.9923099999999998</v>
      </c>
      <c r="V6195">
        <v>8.3295789999999995E-2</v>
      </c>
      <c r="W6195">
        <v>-4.8603969999999998E-3</v>
      </c>
      <c r="X6195">
        <v>0.99651299999999998</v>
      </c>
      <c r="Y6195">
        <v>0.13182959999999999</v>
      </c>
      <c r="Z6195">
        <v>8.1919240000000004E-2</v>
      </c>
      <c r="AA6195">
        <v>0.98788169999999997</v>
      </c>
      <c r="AB6195">
        <v>19</v>
      </c>
      <c r="AC6195">
        <v>-6.7400000000020499E-2</v>
      </c>
      <c r="AD6195">
        <v>-6.7943000000000003E-2</v>
      </c>
      <c r="AE6195">
        <v>-0.62860000000000005</v>
      </c>
      <c r="AF6195">
        <v>0.104791992366656</v>
      </c>
      <c r="AG6195">
        <v>-6.7943000000000003E-2</v>
      </c>
      <c r="AH6195">
        <v>0.61613665585715505</v>
      </c>
      <c r="AI6195">
        <v>96.204344179974498</v>
      </c>
      <c r="AJ6195">
        <v>80.347547733196393</v>
      </c>
      <c r="AK6195">
        <v>0.62866683672992596</v>
      </c>
      <c r="AL6195">
        <v>90.278481335315902</v>
      </c>
      <c r="AM6195">
        <v>85.221910094231106</v>
      </c>
      <c r="AN6195">
        <v>0.99999998562986003</v>
      </c>
    </row>
    <row r="6196" spans="1:40" x14ac:dyDescent="0.25">
      <c r="A6196" t="str">
        <f>"20190312154419802"</f>
        <v>20190312154419802</v>
      </c>
      <c r="B6196" t="str">
        <f>"1552376659793862"</f>
        <v>1552376659793862</v>
      </c>
      <c r="C6196" t="s">
        <v>40</v>
      </c>
      <c r="D6196">
        <v>5.2333769999999999</v>
      </c>
      <c r="E6196">
        <v>0.52488080000000004</v>
      </c>
      <c r="F6196" t="s">
        <v>41</v>
      </c>
      <c r="G6196">
        <v>-301.92419999999998</v>
      </c>
      <c r="H6196">
        <v>1.0462689999999999</v>
      </c>
      <c r="I6196">
        <v>-11.47221</v>
      </c>
      <c r="J6196">
        <v>-301.84969999999998</v>
      </c>
      <c r="K6196">
        <v>1.1091120000000001</v>
      </c>
      <c r="L6196">
        <v>-10.853820000000001</v>
      </c>
      <c r="M6196">
        <v>5.9037659999999999E-2</v>
      </c>
      <c r="N6196">
        <v>0</v>
      </c>
      <c r="O6196">
        <v>-0.99816579999999999</v>
      </c>
      <c r="P6196">
        <v>-2.2782529999999999E-2</v>
      </c>
      <c r="Q6196">
        <v>-1.7758639999999999E-2</v>
      </c>
      <c r="R6196">
        <v>-0.99958309999999995</v>
      </c>
      <c r="S6196">
        <v>-0.24749760000000001</v>
      </c>
      <c r="T6196">
        <v>-0.23473450000000001</v>
      </c>
      <c r="U6196">
        <v>-2.9915769999999999</v>
      </c>
      <c r="V6196">
        <v>8.1746470000000002E-2</v>
      </c>
      <c r="W6196">
        <v>-4.6470399999999999E-3</v>
      </c>
      <c r="X6196">
        <v>0.99664240000000004</v>
      </c>
      <c r="Y6196">
        <v>0.14089860000000001</v>
      </c>
      <c r="Z6196">
        <v>7.7498029999999996E-2</v>
      </c>
      <c r="AA6196">
        <v>0.98698620000000004</v>
      </c>
      <c r="AB6196">
        <v>19</v>
      </c>
      <c r="AC6196">
        <v>-7.4500000000000399E-2</v>
      </c>
      <c r="AD6196">
        <v>-6.2842999999999899E-2</v>
      </c>
      <c r="AE6196">
        <v>-0.61839000000000099</v>
      </c>
      <c r="AF6196">
        <v>0.10976425122556401</v>
      </c>
      <c r="AG6196">
        <v>-6.2842999999999899E-2</v>
      </c>
      <c r="AH6196">
        <v>0.60673614920496399</v>
      </c>
      <c r="AI6196">
        <v>95.819552306291698</v>
      </c>
      <c r="AJ6196">
        <v>79.745566688979494</v>
      </c>
      <c r="AK6196">
        <v>0.61977914473478102</v>
      </c>
      <c r="AL6196">
        <v>90.266256717058397</v>
      </c>
      <c r="AM6196">
        <v>85.310989657584798</v>
      </c>
      <c r="AN6196">
        <v>1.00000007690798</v>
      </c>
    </row>
    <row r="6197" spans="1:40" x14ac:dyDescent="0.25">
      <c r="A6197" t="str">
        <f>"20190312154419831"</f>
        <v>20190312154419831</v>
      </c>
      <c r="B6197" t="str">
        <f>"1552376659824118"</f>
        <v>1552376659824118</v>
      </c>
      <c r="C6197" t="s">
        <v>40</v>
      </c>
      <c r="D6197">
        <v>5.2017410000000002</v>
      </c>
      <c r="E6197">
        <v>0.52580740000000004</v>
      </c>
      <c r="F6197" t="s">
        <v>43</v>
      </c>
      <c r="G6197">
        <v>-303.14210000000003</v>
      </c>
      <c r="H6197" s="1">
        <v>-2.9920190000000002E-6</v>
      </c>
      <c r="I6197">
        <v>-25.385200000000001</v>
      </c>
      <c r="J6197">
        <v>-301.84030000000001</v>
      </c>
      <c r="K6197">
        <v>1.1091150000000001</v>
      </c>
      <c r="L6197">
        <v>-11.07907</v>
      </c>
      <c r="M6197">
        <v>5.5858280000000003E-2</v>
      </c>
      <c r="N6197">
        <v>0</v>
      </c>
      <c r="O6197">
        <v>-0.99834849999999997</v>
      </c>
      <c r="P6197">
        <v>-2.372778E-2</v>
      </c>
      <c r="Q6197">
        <v>-1.8153389999999998E-2</v>
      </c>
      <c r="R6197">
        <v>-0.99955369999999999</v>
      </c>
      <c r="S6197">
        <v>-0.26602170000000003</v>
      </c>
      <c r="T6197">
        <v>-0.228301</v>
      </c>
      <c r="U6197">
        <v>-2.9911500000000002</v>
      </c>
      <c r="V6197">
        <v>7.9513159999999999E-2</v>
      </c>
      <c r="W6197">
        <v>-5.0279490000000003E-3</v>
      </c>
      <c r="X6197">
        <v>0.99682119999999996</v>
      </c>
      <c r="Y6197">
        <v>0.14383870000000001</v>
      </c>
      <c r="Z6197">
        <v>7.5382050000000006E-2</v>
      </c>
      <c r="AA6197">
        <v>0.98672590000000004</v>
      </c>
      <c r="AB6197">
        <v>19</v>
      </c>
      <c r="AC6197">
        <v>-1.3018000000000101</v>
      </c>
      <c r="AD6197">
        <v>-1.109117992019</v>
      </c>
      <c r="AE6197">
        <v>-14.30613</v>
      </c>
      <c r="AF6197">
        <v>2.0865169023735599</v>
      </c>
      <c r="AG6197">
        <v>-1.109117992019</v>
      </c>
      <c r="AH6197">
        <v>14.126854788684</v>
      </c>
      <c r="AI6197">
        <v>94.441173920332801</v>
      </c>
      <c r="AJ6197">
        <v>81.598235752377207</v>
      </c>
      <c r="AK6197">
        <v>14.323118435755299</v>
      </c>
      <c r="AL6197">
        <v>90.288081452724498</v>
      </c>
      <c r="AM6197">
        <v>85.439359807531304</v>
      </c>
      <c r="AN6197">
        <v>1.00000006382688</v>
      </c>
    </row>
    <row r="6198" spans="1:40" x14ac:dyDescent="0.25">
      <c r="A6198" t="str">
        <f>"20190312154419870"</f>
        <v>20190312154419870</v>
      </c>
      <c r="B6198" t="str">
        <f>"1552376659863856"</f>
        <v>1552376659863856</v>
      </c>
      <c r="C6198" t="s">
        <v>40</v>
      </c>
      <c r="D6198">
        <v>5.2433360000000002</v>
      </c>
      <c r="E6198">
        <v>0.52659019999999901</v>
      </c>
      <c r="F6198" t="s">
        <v>41</v>
      </c>
      <c r="G6198">
        <v>-301.9228</v>
      </c>
      <c r="H6198">
        <v>1.0420529999999999</v>
      </c>
      <c r="I6198">
        <v>-11.96988</v>
      </c>
      <c r="J6198">
        <v>-301.82740000000001</v>
      </c>
      <c r="K6198">
        <v>1.109127</v>
      </c>
      <c r="L6198">
        <v>-11.416079999999999</v>
      </c>
      <c r="M6198">
        <v>5.111897E-2</v>
      </c>
      <c r="N6198">
        <v>0</v>
      </c>
      <c r="O6198">
        <v>-0.99860230000000005</v>
      </c>
      <c r="P6198">
        <v>-2.3039199999999999E-2</v>
      </c>
      <c r="Q6198">
        <v>-1.909986E-2</v>
      </c>
      <c r="R6198">
        <v>-0.99955240000000001</v>
      </c>
      <c r="S6198">
        <v>-0.27606199999999997</v>
      </c>
      <c r="T6198">
        <v>-0.2248966</v>
      </c>
      <c r="U6198">
        <v>-2.9906920000000001</v>
      </c>
      <c r="V6198">
        <v>7.4090970000000006E-2</v>
      </c>
      <c r="W6198">
        <v>-5.9447629999999996E-3</v>
      </c>
      <c r="X6198">
        <v>0.9972337</v>
      </c>
      <c r="Y6198">
        <v>0.14244809999999999</v>
      </c>
      <c r="Z6198">
        <v>7.4300399999999905E-2</v>
      </c>
      <c r="AA6198">
        <v>0.98700960000000004</v>
      </c>
      <c r="AB6198">
        <v>19</v>
      </c>
      <c r="AC6198">
        <v>-9.5399999999983706E-2</v>
      </c>
      <c r="AD6198">
        <v>-6.70739999999998E-2</v>
      </c>
      <c r="AE6198">
        <v>-0.55379999999999896</v>
      </c>
      <c r="AF6198">
        <v>0.121851551980018</v>
      </c>
      <c r="AG6198">
        <v>-6.70739999999998E-2</v>
      </c>
      <c r="AH6198">
        <v>0.54049851709905505</v>
      </c>
      <c r="AI6198">
        <v>96.902541800600403</v>
      </c>
      <c r="AJ6198">
        <v>77.295465389067999</v>
      </c>
      <c r="AK6198">
        <v>0.558108743151562</v>
      </c>
      <c r="AL6198">
        <v>90.340611859424897</v>
      </c>
      <c r="AM6198">
        <v>85.7509310919706</v>
      </c>
      <c r="AN6198">
        <v>0.99999993222917605</v>
      </c>
    </row>
    <row r="6199" spans="1:40" x14ac:dyDescent="0.25">
      <c r="A6199" t="str">
        <f>"20190312154419892"</f>
        <v>20190312154419892</v>
      </c>
      <c r="B6199" t="str">
        <f>"1552376659883377"</f>
        <v>1552376659883377</v>
      </c>
      <c r="C6199" t="s">
        <v>40</v>
      </c>
      <c r="D6199">
        <v>5.3012730000000001</v>
      </c>
      <c r="E6199">
        <v>0.52635459999999901</v>
      </c>
      <c r="F6199" t="s">
        <v>41</v>
      </c>
      <c r="G6199">
        <v>-301.91050000000001</v>
      </c>
      <c r="H6199">
        <v>1.041555</v>
      </c>
      <c r="I6199">
        <v>-12.29997</v>
      </c>
      <c r="J6199">
        <v>-301.82130000000001</v>
      </c>
      <c r="K6199">
        <v>1.109146</v>
      </c>
      <c r="L6199">
        <v>-11.595610000000001</v>
      </c>
      <c r="M6199">
        <v>4.8613829999999997E-2</v>
      </c>
      <c r="N6199">
        <v>0</v>
      </c>
      <c r="O6199">
        <v>-0.99872729999999998</v>
      </c>
      <c r="P6199">
        <v>-2.2810440000000001E-2</v>
      </c>
      <c r="Q6199">
        <v>-1.87137E-2</v>
      </c>
      <c r="R6199">
        <v>-0.99956460000000003</v>
      </c>
      <c r="S6199">
        <v>-0.28039550000000002</v>
      </c>
      <c r="T6199">
        <v>-0.22834940000000001</v>
      </c>
      <c r="U6199">
        <v>-2.9905089999999999</v>
      </c>
      <c r="V6199">
        <v>7.1363170000000004E-2</v>
      </c>
      <c r="W6199">
        <v>-5.5436610000000001E-3</v>
      </c>
      <c r="X6199">
        <v>0.99743499999999996</v>
      </c>
      <c r="Y6199">
        <v>0.1413807</v>
      </c>
      <c r="Z6199">
        <v>7.5454240000000006E-2</v>
      </c>
      <c r="AA6199">
        <v>0.98707560000000005</v>
      </c>
      <c r="AB6199">
        <v>18</v>
      </c>
      <c r="AC6199">
        <v>-8.9200000000005206E-2</v>
      </c>
      <c r="AD6199">
        <v>-6.7590999999999901E-2</v>
      </c>
      <c r="AE6199">
        <v>-0.70435999999999899</v>
      </c>
      <c r="AF6199">
        <v>0.122231442437996</v>
      </c>
      <c r="AG6199">
        <v>-6.7590999999999901E-2</v>
      </c>
      <c r="AH6199">
        <v>0.69291036166402498</v>
      </c>
      <c r="AI6199">
        <v>95.487185746420394</v>
      </c>
      <c r="AJ6199">
        <v>79.995777739203504</v>
      </c>
      <c r="AK6199">
        <v>0.70684781820618403</v>
      </c>
      <c r="AL6199">
        <v>90.317630003142</v>
      </c>
      <c r="AM6199">
        <v>85.9076500913378</v>
      </c>
      <c r="AN6199">
        <v>1.00000000671736</v>
      </c>
    </row>
    <row r="6200" spans="1:40" x14ac:dyDescent="0.25">
      <c r="A6200" t="str">
        <f>"20190312154419914"</f>
        <v>20190312154419914</v>
      </c>
      <c r="B6200" t="str">
        <f>"1552376659903873"</f>
        <v>1552376659903873</v>
      </c>
      <c r="C6200" t="s">
        <v>40</v>
      </c>
      <c r="D6200">
        <v>5.1964499999999996</v>
      </c>
      <c r="E6200">
        <v>0.52641000000000004</v>
      </c>
      <c r="F6200" t="s">
        <v>41</v>
      </c>
      <c r="G6200">
        <v>-301.90190000000001</v>
      </c>
      <c r="H6200">
        <v>1.0409900000000001</v>
      </c>
      <c r="I6200">
        <v>-12.46377</v>
      </c>
      <c r="J6200">
        <v>-301.8152</v>
      </c>
      <c r="K6200">
        <v>1.109162</v>
      </c>
      <c r="L6200">
        <v>-11.78436</v>
      </c>
      <c r="M6200">
        <v>4.5999760000000001E-2</v>
      </c>
      <c r="N6200">
        <v>0</v>
      </c>
      <c r="O6200">
        <v>-0.99885119999999905</v>
      </c>
      <c r="P6200">
        <v>-2.2437180000000001E-2</v>
      </c>
      <c r="Q6200">
        <v>-1.8388660000000001E-2</v>
      </c>
      <c r="R6200">
        <v>-0.99957940000000001</v>
      </c>
      <c r="S6200">
        <v>-0.27755740000000001</v>
      </c>
      <c r="T6200">
        <v>-0.2347002</v>
      </c>
      <c r="U6200">
        <v>-2.99057</v>
      </c>
      <c r="V6200">
        <v>6.8381890000000001E-2</v>
      </c>
      <c r="W6200">
        <v>-5.2029149999999998E-3</v>
      </c>
      <c r="X6200">
        <v>0.99764569999999997</v>
      </c>
      <c r="Y6200">
        <v>0.1378434</v>
      </c>
      <c r="Z6200">
        <v>7.7575930000000001E-2</v>
      </c>
      <c r="AA6200">
        <v>0.98741129999999999</v>
      </c>
      <c r="AB6200">
        <v>18</v>
      </c>
      <c r="AC6200">
        <v>-8.6700000000007493E-2</v>
      </c>
      <c r="AD6200">
        <v>-6.8172000000000094E-2</v>
      </c>
      <c r="AE6200">
        <v>-0.67940999999999896</v>
      </c>
      <c r="AF6200">
        <v>0.11670752521919001</v>
      </c>
      <c r="AG6200">
        <v>-6.8172000000000094E-2</v>
      </c>
      <c r="AH6200">
        <v>0.66808357966153598</v>
      </c>
      <c r="AI6200">
        <v>95.740028230135806</v>
      </c>
      <c r="AJ6200">
        <v>80.090988913239201</v>
      </c>
      <c r="AK6200">
        <v>0.68161846911608903</v>
      </c>
      <c r="AL6200">
        <v>90.298106401349202</v>
      </c>
      <c r="AM6200">
        <v>86.078893419681194</v>
      </c>
      <c r="AN6200">
        <v>1.0000000479664699</v>
      </c>
    </row>
    <row r="6201" spans="1:40" x14ac:dyDescent="0.25">
      <c r="A6201" t="str">
        <f>"20190312154419937"</f>
        <v>20190312154419937</v>
      </c>
      <c r="B6201" t="str">
        <f>"1552376659923393"</f>
        <v>1552376659923393</v>
      </c>
      <c r="C6201" t="s">
        <v>40</v>
      </c>
      <c r="D6201">
        <v>5.2865199999999897</v>
      </c>
      <c r="E6201">
        <v>0.52670419999999996</v>
      </c>
      <c r="F6201" t="s">
        <v>41</v>
      </c>
      <c r="G6201">
        <v>-301.89359999999999</v>
      </c>
      <c r="H6201">
        <v>1.0429459999999999</v>
      </c>
      <c r="I6201">
        <v>-12.62982</v>
      </c>
      <c r="J6201">
        <v>-301.81</v>
      </c>
      <c r="K6201">
        <v>1.109183</v>
      </c>
      <c r="L6201">
        <v>-11.96313</v>
      </c>
      <c r="M6201">
        <v>4.3551600000000003E-2</v>
      </c>
      <c r="N6201">
        <v>0</v>
      </c>
      <c r="O6201">
        <v>-0.99896090000000004</v>
      </c>
      <c r="P6201">
        <v>-2.25449E-2</v>
      </c>
      <c r="Q6201">
        <v>-1.839932E-2</v>
      </c>
      <c r="R6201">
        <v>-0.99957660000000004</v>
      </c>
      <c r="S6201">
        <v>-0.27670289999999997</v>
      </c>
      <c r="T6201">
        <v>-0.23411109999999999</v>
      </c>
      <c r="U6201">
        <v>-2.9907530000000002</v>
      </c>
      <c r="V6201">
        <v>6.6044759999999994E-2</v>
      </c>
      <c r="W6201">
        <v>-5.2007479999999998E-3</v>
      </c>
      <c r="X6201">
        <v>0.99780310000000005</v>
      </c>
      <c r="Y6201">
        <v>0.13513159999999999</v>
      </c>
      <c r="Z6201">
        <v>7.7406089999999997E-2</v>
      </c>
      <c r="AA6201">
        <v>0.98779950000000005</v>
      </c>
      <c r="AB6201">
        <v>18</v>
      </c>
      <c r="AC6201">
        <v>-8.3599999999989905E-2</v>
      </c>
      <c r="AD6201">
        <v>-6.6237000000000101E-2</v>
      </c>
      <c r="AE6201">
        <v>-0.66669</v>
      </c>
      <c r="AF6201">
        <v>0.111475379765064</v>
      </c>
      <c r="AG6201">
        <v>-6.6237000000000101E-2</v>
      </c>
      <c r="AH6201">
        <v>0.65604065937877998</v>
      </c>
      <c r="AI6201">
        <v>95.684383884572398</v>
      </c>
      <c r="AJ6201">
        <v>80.356328939114206</v>
      </c>
      <c r="AK6201">
        <v>0.66873271732502304</v>
      </c>
      <c r="AL6201">
        <v>90.297982256327799</v>
      </c>
      <c r="AM6201">
        <v>86.213106287212298</v>
      </c>
      <c r="AN6201">
        <v>0.999999992236413</v>
      </c>
    </row>
    <row r="6202" spans="1:40" x14ac:dyDescent="0.25">
      <c r="A6202" t="str">
        <f>"20190312154419959"</f>
        <v>20190312154419959</v>
      </c>
      <c r="B6202" t="str">
        <f>"1552376659953737"</f>
        <v>1552376659953737</v>
      </c>
      <c r="C6202" t="s">
        <v>40</v>
      </c>
      <c r="D6202">
        <v>5.2687019999999896</v>
      </c>
      <c r="E6202">
        <v>0.52678610000000003</v>
      </c>
      <c r="F6202" t="s">
        <v>41</v>
      </c>
      <c r="G6202">
        <v>-301.88780000000003</v>
      </c>
      <c r="H6202">
        <v>1.0441910000000001</v>
      </c>
      <c r="I6202">
        <v>-12.79546</v>
      </c>
      <c r="J6202">
        <v>-301.80489999999998</v>
      </c>
      <c r="K6202">
        <v>1.1092</v>
      </c>
      <c r="L6202">
        <v>-12.149290000000001</v>
      </c>
      <c r="M6202">
        <v>4.1043940000000001E-2</v>
      </c>
      <c r="N6202">
        <v>0</v>
      </c>
      <c r="O6202">
        <v>-0.99906689999999998</v>
      </c>
      <c r="P6202">
        <v>-2.0903740000000001E-2</v>
      </c>
      <c r="Q6202">
        <v>-1.8348529999999998E-2</v>
      </c>
      <c r="R6202">
        <v>-0.99961319999999998</v>
      </c>
      <c r="S6202">
        <v>-0.27938839999999998</v>
      </c>
      <c r="T6202">
        <v>-0.23346629999999999</v>
      </c>
      <c r="U6202">
        <v>-2.9906619999999999</v>
      </c>
      <c r="V6202">
        <v>6.1902619999999998E-2</v>
      </c>
      <c r="W6202">
        <v>-5.1297039999999997E-3</v>
      </c>
      <c r="X6202">
        <v>0.99806899999999998</v>
      </c>
      <c r="Y6202">
        <v>0.13352809999999901</v>
      </c>
      <c r="Z6202">
        <v>7.7214160000000004E-2</v>
      </c>
      <c r="AA6202">
        <v>0.98803249999999998</v>
      </c>
      <c r="AB6202">
        <v>18</v>
      </c>
      <c r="AC6202">
        <v>-8.2900000000051904E-2</v>
      </c>
      <c r="AD6202">
        <v>-6.5008999999999803E-2</v>
      </c>
      <c r="AE6202">
        <v>-0.64617000000000102</v>
      </c>
      <c r="AF6202">
        <v>0.10827570299971701</v>
      </c>
      <c r="AG6202">
        <v>-6.5008999999999803E-2</v>
      </c>
      <c r="AH6202">
        <v>0.63589048217020505</v>
      </c>
      <c r="AI6202">
        <v>95.754976631524002</v>
      </c>
      <c r="AJ6202">
        <v>80.336689668565498</v>
      </c>
      <c r="AK6202">
        <v>0.64831049910960004</v>
      </c>
      <c r="AL6202">
        <v>90.293911681734798</v>
      </c>
      <c r="AM6202">
        <v>86.450925264487196</v>
      </c>
      <c r="AN6202">
        <v>0.99999998849349503</v>
      </c>
    </row>
    <row r="6203" spans="1:40" x14ac:dyDescent="0.25">
      <c r="A6203" t="str">
        <f>"20190312154419982"</f>
        <v>20190312154419982</v>
      </c>
      <c r="B6203" t="str">
        <f>"1552376659973257"</f>
        <v>1552376659973257</v>
      </c>
      <c r="C6203" t="s">
        <v>40</v>
      </c>
      <c r="D6203">
        <v>5.2705289999999998</v>
      </c>
      <c r="E6203">
        <v>0.52696160000000003</v>
      </c>
      <c r="F6203" t="s">
        <v>41</v>
      </c>
      <c r="G6203">
        <v>-301.87950000000001</v>
      </c>
      <c r="H6203">
        <v>1.045623</v>
      </c>
      <c r="I6203">
        <v>-12.960739999999999</v>
      </c>
      <c r="J6203">
        <v>-301.80009999999999</v>
      </c>
      <c r="K6203">
        <v>1.1092439999999999</v>
      </c>
      <c r="L6203">
        <v>-12.33853</v>
      </c>
      <c r="M6203">
        <v>3.8548640000000002E-2</v>
      </c>
      <c r="N6203">
        <v>0</v>
      </c>
      <c r="O6203">
        <v>-0.99916649999999996</v>
      </c>
      <c r="P6203">
        <v>-1.7631959999999999E-2</v>
      </c>
      <c r="Q6203">
        <v>-1.894328E-2</v>
      </c>
      <c r="R6203">
        <v>-0.99966500000000003</v>
      </c>
      <c r="S6203">
        <v>-0.2748718</v>
      </c>
      <c r="T6203">
        <v>-0.23423720000000001</v>
      </c>
      <c r="U6203">
        <v>-2.9911189999999999</v>
      </c>
      <c r="V6203">
        <v>5.6141589999999998E-2</v>
      </c>
      <c r="W6203">
        <v>-5.6984940000000001E-3</v>
      </c>
      <c r="X6203">
        <v>0.99840649999999997</v>
      </c>
      <c r="Y6203">
        <v>0.1295568</v>
      </c>
      <c r="Z6203">
        <v>7.7493350000000003E-2</v>
      </c>
      <c r="AA6203">
        <v>0.98853919999999995</v>
      </c>
      <c r="AB6203">
        <v>18</v>
      </c>
      <c r="AC6203">
        <v>-7.9400000000020995E-2</v>
      </c>
      <c r="AD6203">
        <v>-6.3621000000000094E-2</v>
      </c>
      <c r="AE6203">
        <v>-0.62220999999999904</v>
      </c>
      <c r="AF6203">
        <v>0.10227631291238901</v>
      </c>
      <c r="AG6203">
        <v>-6.3621000000000094E-2</v>
      </c>
      <c r="AH6203">
        <v>0.61238645110675305</v>
      </c>
      <c r="AI6203">
        <v>95.850733852581399</v>
      </c>
      <c r="AJ6203">
        <v>80.518388627609397</v>
      </c>
      <c r="AK6203">
        <v>0.62411957293701104</v>
      </c>
      <c r="AL6203">
        <v>90.326501440792399</v>
      </c>
      <c r="AM6203">
        <v>86.781579186851502</v>
      </c>
      <c r="AN6203">
        <v>0.99999994510192103</v>
      </c>
    </row>
    <row r="6204" spans="1:40" x14ac:dyDescent="0.25">
      <c r="A6204" t="str">
        <f>"20190312154420026"</f>
        <v>20190312154420026</v>
      </c>
      <c r="B6204" t="str">
        <f>"1552376660013273"</f>
        <v>1552376660013273</v>
      </c>
      <c r="C6204" t="s">
        <v>40</v>
      </c>
      <c r="D6204">
        <v>5.2862010000000001</v>
      </c>
      <c r="E6204">
        <v>0.52723089999999995</v>
      </c>
      <c r="F6204" t="s">
        <v>41</v>
      </c>
      <c r="G6204">
        <v>-301.87009999999998</v>
      </c>
      <c r="H6204">
        <v>1.046923</v>
      </c>
      <c r="I6204">
        <v>-13.12556</v>
      </c>
      <c r="J6204">
        <v>-301.7921</v>
      </c>
      <c r="K6204">
        <v>1.1093390000000001</v>
      </c>
      <c r="L6204">
        <v>-12.70316</v>
      </c>
      <c r="M6204">
        <v>3.3945080000000002E-2</v>
      </c>
      <c r="N6204">
        <v>0</v>
      </c>
      <c r="O6204">
        <v>-0.99933360000000004</v>
      </c>
      <c r="P6204">
        <v>-1.1281609999999999E-2</v>
      </c>
      <c r="Q6204">
        <v>-1.9964019999999999E-2</v>
      </c>
      <c r="R6204">
        <v>-0.99973730000000005</v>
      </c>
      <c r="S6204">
        <v>-0.26602170000000003</v>
      </c>
      <c r="T6204">
        <v>-0.2369764</v>
      </c>
      <c r="U6204">
        <v>-2.9918209999999998</v>
      </c>
      <c r="V6204">
        <v>4.5196569999999998E-2</v>
      </c>
      <c r="W6204">
        <v>-6.6734109999999998E-3</v>
      </c>
      <c r="X6204">
        <v>0.99895579999999995</v>
      </c>
      <c r="Y6204">
        <v>0.1220571</v>
      </c>
      <c r="Z6204">
        <v>7.8443390000000002E-2</v>
      </c>
      <c r="AA6204">
        <v>0.98941840000000003</v>
      </c>
      <c r="AB6204">
        <v>18</v>
      </c>
      <c r="AC6204">
        <v>-7.7999999999974506E-2</v>
      </c>
      <c r="AD6204">
        <v>-6.2415999999999798E-2</v>
      </c>
      <c r="AE6204">
        <v>-0.422399999999999</v>
      </c>
      <c r="AF6204">
        <v>9.0386267688694802E-2</v>
      </c>
      <c r="AG6204">
        <v>-6.2415999999999798E-2</v>
      </c>
      <c r="AH6204">
        <v>0.410833995143914</v>
      </c>
      <c r="AI6204">
        <v>98.439777198283494</v>
      </c>
      <c r="AJ6204">
        <v>77.5922105021573</v>
      </c>
      <c r="AK6204">
        <v>0.425264630563843</v>
      </c>
      <c r="AL6204">
        <v>90.3823611319892</v>
      </c>
      <c r="AM6204">
        <v>87.409487063998696</v>
      </c>
      <c r="AN6204">
        <v>0.99999997735388901</v>
      </c>
    </row>
    <row r="6205" spans="1:40" x14ac:dyDescent="0.25">
      <c r="A6205" t="str">
        <f>"20190312154420050"</f>
        <v>20190312154420050</v>
      </c>
      <c r="B6205" t="str">
        <f>"1552376660043530"</f>
        <v>1552376660043530</v>
      </c>
      <c r="C6205" t="s">
        <v>40</v>
      </c>
      <c r="D6205">
        <v>5.2456759999999996</v>
      </c>
      <c r="E6205">
        <v>0.52739579999999997</v>
      </c>
      <c r="F6205" t="s">
        <v>41</v>
      </c>
      <c r="G6205">
        <v>-301.85419999999999</v>
      </c>
      <c r="H6205">
        <v>1.048311</v>
      </c>
      <c r="I6205">
        <v>-13.453810000000001</v>
      </c>
      <c r="J6205">
        <v>-301.78829999999999</v>
      </c>
      <c r="K6205">
        <v>1.109399</v>
      </c>
      <c r="L6205">
        <v>-12.898529999999999</v>
      </c>
      <c r="M6205">
        <v>3.1606469999999998E-2</v>
      </c>
      <c r="N6205">
        <v>0</v>
      </c>
      <c r="O6205">
        <v>-0.99941040000000003</v>
      </c>
      <c r="P6205">
        <v>-9.7788509999999999E-3</v>
      </c>
      <c r="Q6205">
        <v>-2.0559060000000001E-2</v>
      </c>
      <c r="R6205">
        <v>-0.99974110000000005</v>
      </c>
      <c r="S6205">
        <v>-0.24789430000000001</v>
      </c>
      <c r="T6205">
        <v>-0.24341399999999999</v>
      </c>
      <c r="U6205">
        <v>-2.993134</v>
      </c>
      <c r="V6205">
        <v>4.1356770000000001E-2</v>
      </c>
      <c r="W6205">
        <v>-7.2535169999999897E-3</v>
      </c>
      <c r="X6205">
        <v>0.99911810000000001</v>
      </c>
      <c r="Y6205">
        <v>0.1137296</v>
      </c>
      <c r="Z6205">
        <v>8.0595650000000005E-2</v>
      </c>
      <c r="AA6205">
        <v>0.99023729999999999</v>
      </c>
      <c r="AB6205">
        <v>18</v>
      </c>
      <c r="AC6205">
        <v>-6.5899999999999098E-2</v>
      </c>
      <c r="AD6205">
        <v>-6.1088000000000003E-2</v>
      </c>
      <c r="AE6205">
        <v>-0.555279999999999</v>
      </c>
      <c r="AF6205">
        <v>8.2435244711974706E-2</v>
      </c>
      <c r="AG6205">
        <v>-6.1088000000000003E-2</v>
      </c>
      <c r="AH6205">
        <v>0.54639834259207798</v>
      </c>
      <c r="AI6205">
        <v>96.308440215515404</v>
      </c>
      <c r="AJ6205">
        <v>81.420477182891005</v>
      </c>
      <c r="AK6205">
        <v>0.55594825487818</v>
      </c>
      <c r="AL6205">
        <v>90.4155995606083</v>
      </c>
      <c r="AM6205">
        <v>87.629693203557693</v>
      </c>
      <c r="AN6205">
        <v>0.99999998684065605</v>
      </c>
    </row>
    <row r="6206" spans="1:40" x14ac:dyDescent="0.25">
      <c r="A6206" t="str">
        <f>"20190312154420075"</f>
        <v>20190312154420075</v>
      </c>
      <c r="B6206" t="str">
        <f>"1552376660063557"</f>
        <v>1552376660063557</v>
      </c>
      <c r="C6206" t="s">
        <v>40</v>
      </c>
      <c r="D6206">
        <v>5.2959849999999999</v>
      </c>
      <c r="E6206">
        <v>0.51039230000000002</v>
      </c>
      <c r="F6206" t="s">
        <v>41</v>
      </c>
      <c r="G6206">
        <v>-301.86</v>
      </c>
      <c r="H6206">
        <v>1.0365789999999999</v>
      </c>
      <c r="I6206">
        <v>-13.773540000000001</v>
      </c>
      <c r="J6206">
        <v>-301.78489999999999</v>
      </c>
      <c r="K6206">
        <v>1.109456</v>
      </c>
      <c r="L6206">
        <v>-13.09595</v>
      </c>
      <c r="M6206">
        <v>2.935861E-2</v>
      </c>
      <c r="N6206">
        <v>0</v>
      </c>
      <c r="O6206">
        <v>-0.99947909999999995</v>
      </c>
      <c r="P6206">
        <v>-9.7148870000000002E-3</v>
      </c>
      <c r="Q6206">
        <v>-2.152484E-2</v>
      </c>
      <c r="R6206">
        <v>-0.99972159999999999</v>
      </c>
      <c r="S6206">
        <v>-0.24462890000000001</v>
      </c>
      <c r="T6206">
        <v>-0.2489816</v>
      </c>
      <c r="U6206">
        <v>-2.9932560000000001</v>
      </c>
      <c r="V6206">
        <v>3.9044229999999999E-2</v>
      </c>
      <c r="W6206">
        <v>-8.210284E-3</v>
      </c>
      <c r="X6206">
        <v>0.99920370000000003</v>
      </c>
      <c r="Y6206">
        <v>0.1104059</v>
      </c>
      <c r="Z6206">
        <v>8.2450949999999995E-2</v>
      </c>
      <c r="AA6206">
        <v>0.99046069999999997</v>
      </c>
      <c r="AB6206">
        <v>18</v>
      </c>
      <c r="AC6206">
        <v>-7.5100000000020303E-2</v>
      </c>
      <c r="AD6206">
        <v>-7.2876999999999803E-2</v>
      </c>
      <c r="AE6206">
        <v>-0.67758999999999803</v>
      </c>
      <c r="AF6206">
        <v>9.3889602081914006E-2</v>
      </c>
      <c r="AG6206">
        <v>-7.2876999999999803E-2</v>
      </c>
      <c r="AH6206">
        <v>0.66746549342870198</v>
      </c>
      <c r="AI6206">
        <v>96.170861555649495</v>
      </c>
      <c r="AJ6206">
        <v>81.992975917583493</v>
      </c>
      <c r="AK6206">
        <v>0.67796496917327498</v>
      </c>
      <c r="AL6206">
        <v>90.470419931731001</v>
      </c>
      <c r="AM6206">
        <v>87.762286054005202</v>
      </c>
      <c r="AN6206">
        <v>0.99999994737666997</v>
      </c>
    </row>
    <row r="6207" spans="1:40" x14ac:dyDescent="0.25">
      <c r="A6207" t="str">
        <f>"20190312154420094"</f>
        <v>20190312154420094</v>
      </c>
      <c r="B6207" t="str">
        <f>"1552376660084053"</f>
        <v>1552376660084053</v>
      </c>
      <c r="C6207" t="s">
        <v>40</v>
      </c>
      <c r="D6207">
        <v>5.3099489999999996</v>
      </c>
      <c r="E6207">
        <v>0.4967955</v>
      </c>
      <c r="F6207" t="s">
        <v>41</v>
      </c>
      <c r="G6207">
        <v>-301.8152</v>
      </c>
      <c r="H6207">
        <v>1.0273159999999999</v>
      </c>
      <c r="I6207">
        <v>-13.930879999999901</v>
      </c>
      <c r="J6207">
        <v>-301.78219999999999</v>
      </c>
      <c r="K6207">
        <v>1.109504</v>
      </c>
      <c r="L6207">
        <v>-13.26538</v>
      </c>
      <c r="M6207">
        <v>2.7514340000000002E-2</v>
      </c>
      <c r="N6207">
        <v>0</v>
      </c>
      <c r="O6207">
        <v>-0.99953139999999996</v>
      </c>
      <c r="P6207">
        <v>-9.8327220000000003E-3</v>
      </c>
      <c r="Q6207">
        <v>-2.3105150000000001E-2</v>
      </c>
      <c r="R6207">
        <v>-0.99968480000000004</v>
      </c>
      <c r="S6207">
        <v>-0.10815429999999999</v>
      </c>
      <c r="T6207">
        <v>-0.29436180000000001</v>
      </c>
      <c r="U6207">
        <v>-2.993439</v>
      </c>
      <c r="V6207">
        <v>3.7315099999999997E-2</v>
      </c>
      <c r="W6207">
        <v>-9.7847239999999999E-3</v>
      </c>
      <c r="X6207">
        <v>0.99925569999999997</v>
      </c>
      <c r="Y6207">
        <v>6.3419219999999998E-2</v>
      </c>
      <c r="Z6207">
        <v>9.7677949999999999E-2</v>
      </c>
      <c r="AA6207">
        <v>0.99319539999999995</v>
      </c>
      <c r="AB6207">
        <v>18</v>
      </c>
      <c r="AC6207">
        <v>-3.3000000000015399E-2</v>
      </c>
      <c r="AD6207">
        <v>-8.2188000000000094E-2</v>
      </c>
      <c r="AE6207">
        <v>-0.66549999999999898</v>
      </c>
      <c r="AF6207">
        <v>5.0531145316674797E-2</v>
      </c>
      <c r="AG6207">
        <v>-8.2188000000000094E-2</v>
      </c>
      <c r="AH6207">
        <v>0.65438390442009398</v>
      </c>
      <c r="AI6207">
        <v>97.137608277897399</v>
      </c>
      <c r="AJ6207">
        <v>85.584415718979002</v>
      </c>
      <c r="AK6207">
        <v>0.661457903690856</v>
      </c>
      <c r="AL6207">
        <v>90.560632303788594</v>
      </c>
      <c r="AM6207">
        <v>87.861403476554898</v>
      </c>
      <c r="AN6207">
        <v>1.00000005574712</v>
      </c>
    </row>
    <row r="6208" spans="1:40" x14ac:dyDescent="0.25">
      <c r="A6208" t="str">
        <f>"20190312154420116"</f>
        <v>20190312154420116</v>
      </c>
      <c r="B6208" t="str">
        <f>"1552376660103575"</f>
        <v>1552376660103575</v>
      </c>
      <c r="C6208" t="s">
        <v>40</v>
      </c>
      <c r="D6208">
        <v>5.345828</v>
      </c>
      <c r="E6208">
        <v>0.48890909999999899</v>
      </c>
      <c r="F6208" t="s">
        <v>41</v>
      </c>
      <c r="G6208">
        <v>-301.7824</v>
      </c>
      <c r="H6208">
        <v>1.0354399999999999</v>
      </c>
      <c r="I6208">
        <v>-14.0974</v>
      </c>
      <c r="J6208">
        <v>-301.77969999999999</v>
      </c>
      <c r="K6208">
        <v>1.1095489999999999</v>
      </c>
      <c r="L6208">
        <v>-13.4306</v>
      </c>
      <c r="M6208">
        <v>2.5797750000000001E-2</v>
      </c>
      <c r="N6208">
        <v>0</v>
      </c>
      <c r="O6208">
        <v>-0.9995773</v>
      </c>
      <c r="P6208">
        <v>-1.027753E-2</v>
      </c>
      <c r="Q6208">
        <v>-2.3375050000000001E-2</v>
      </c>
      <c r="R6208">
        <v>-0.99967379999999995</v>
      </c>
      <c r="S6208">
        <v>-8.2397459999999998E-4</v>
      </c>
      <c r="T6208">
        <v>-0.26658189999999998</v>
      </c>
      <c r="U6208">
        <v>-2.9947810000000001</v>
      </c>
      <c r="V6208">
        <v>3.6044380000000001E-2</v>
      </c>
      <c r="W6208">
        <v>-1.005036E-2</v>
      </c>
      <c r="X6208">
        <v>0.99929959999999995</v>
      </c>
      <c r="Y6208">
        <v>2.6074010000000002E-2</v>
      </c>
      <c r="Z6208">
        <v>8.8605610000000001E-2</v>
      </c>
      <c r="AA6208">
        <v>0.99572550000000004</v>
      </c>
      <c r="AB6208">
        <v>18</v>
      </c>
      <c r="AC6208">
        <v>-2.7000000000043599E-3</v>
      </c>
      <c r="AD6208">
        <v>-7.4108999999999897E-2</v>
      </c>
      <c r="AE6208">
        <v>-0.66679999999999995</v>
      </c>
      <c r="AF6208">
        <v>1.9659745995519201E-2</v>
      </c>
      <c r="AG6208">
        <v>-7.4108999999999897E-2</v>
      </c>
      <c r="AH6208">
        <v>0.65837599863870999</v>
      </c>
      <c r="AI6208">
        <v>96.419532808040202</v>
      </c>
      <c r="AJ6208">
        <v>88.2896006964083</v>
      </c>
      <c r="AK6208">
        <v>0.66282547105337397</v>
      </c>
      <c r="AL6208">
        <v>90.575852934800096</v>
      </c>
      <c r="AM6208">
        <v>87.934257223733894</v>
      </c>
      <c r="AN6208">
        <v>0.99999994881293497</v>
      </c>
    </row>
    <row r="6209" spans="1:40" x14ac:dyDescent="0.25">
      <c r="A6209" t="str">
        <f>"20190312154420137"</f>
        <v>20190312154420137</v>
      </c>
      <c r="B6209" t="str">
        <f>"1552376660133829"</f>
        <v>1552376660133829</v>
      </c>
      <c r="C6209" t="s">
        <v>40</v>
      </c>
      <c r="D6209">
        <v>5.3028089999999999</v>
      </c>
      <c r="E6209">
        <v>0.48432520000000001</v>
      </c>
      <c r="F6209" t="s">
        <v>41</v>
      </c>
      <c r="G6209">
        <v>-301.76319999999998</v>
      </c>
      <c r="H6209">
        <v>1.0366219999999999</v>
      </c>
      <c r="I6209">
        <v>-14.262259999999999</v>
      </c>
      <c r="J6209">
        <v>-301.77730000000003</v>
      </c>
      <c r="K6209">
        <v>1.109612</v>
      </c>
      <c r="L6209">
        <v>-13.60965</v>
      </c>
      <c r="M6209">
        <v>2.403491E-2</v>
      </c>
      <c r="N6209">
        <v>0</v>
      </c>
      <c r="O6209">
        <v>-0.99962130000000005</v>
      </c>
      <c r="P6209">
        <v>-1.192934E-2</v>
      </c>
      <c r="Q6209">
        <v>-2.1461569999999999E-2</v>
      </c>
      <c r="R6209">
        <v>-0.99969850000000005</v>
      </c>
      <c r="S6209">
        <v>6.0394290000000003E-2</v>
      </c>
      <c r="T6209">
        <v>-0.2624396</v>
      </c>
      <c r="U6209">
        <v>-2.9954529999999999</v>
      </c>
      <c r="V6209">
        <v>3.593959E-2</v>
      </c>
      <c r="W6209">
        <v>-8.1352590000000006E-3</v>
      </c>
      <c r="X6209">
        <v>0.99932089999999996</v>
      </c>
      <c r="Y6209">
        <v>3.9569779999999999E-3</v>
      </c>
      <c r="Z6209">
        <v>8.7231470000000005E-2</v>
      </c>
      <c r="AA6209">
        <v>0.99618019999999996</v>
      </c>
      <c r="AB6209">
        <v>18</v>
      </c>
      <c r="AC6209">
        <v>1.4100000000041701E-2</v>
      </c>
      <c r="AD6209">
        <v>-7.2990000000000096E-2</v>
      </c>
      <c r="AE6209">
        <v>-0.65261000000000102</v>
      </c>
      <c r="AF6209">
        <v>1.5712595731115101E-3</v>
      </c>
      <c r="AG6209">
        <v>-7.2990000000000096E-2</v>
      </c>
      <c r="AH6209">
        <v>0.64469963919766904</v>
      </c>
      <c r="AI6209">
        <v>96.459247956326607</v>
      </c>
      <c r="AJ6209">
        <v>89.860359214841196</v>
      </c>
      <c r="AK6209">
        <v>0.64882018598241198</v>
      </c>
      <c r="AL6209">
        <v>90.4661211247669</v>
      </c>
      <c r="AM6209">
        <v>87.940301537122295</v>
      </c>
      <c r="AN6209">
        <v>1.00000004887258</v>
      </c>
    </row>
    <row r="6210" spans="1:40" x14ac:dyDescent="0.25">
      <c r="A6210" t="str">
        <f>"20190312154420160"</f>
        <v>20190312154420160</v>
      </c>
      <c r="B6210" t="str">
        <f>"1552376660153859"</f>
        <v>1552376660153859</v>
      </c>
      <c r="C6210" t="s">
        <v>40</v>
      </c>
      <c r="D6210">
        <v>5.2570379999999997</v>
      </c>
      <c r="E6210">
        <v>0.48279280000000002</v>
      </c>
      <c r="F6210" t="s">
        <v>43</v>
      </c>
      <c r="G6210">
        <v>-301.37290000000002</v>
      </c>
      <c r="H6210" s="1">
        <v>-1.9019430000000001E-6</v>
      </c>
      <c r="I6210">
        <v>-26.82891</v>
      </c>
      <c r="J6210">
        <v>-301.77499999999998</v>
      </c>
      <c r="K6210">
        <v>1.109696</v>
      </c>
      <c r="L6210">
        <v>-13.797879999999999</v>
      </c>
      <c r="M6210">
        <v>2.229283E-2</v>
      </c>
      <c r="N6210">
        <v>0</v>
      </c>
      <c r="O6210">
        <v>-0.99966200000000005</v>
      </c>
      <c r="P6210">
        <v>-1.371288E-2</v>
      </c>
      <c r="Q6210">
        <v>-1.932886E-2</v>
      </c>
      <c r="R6210">
        <v>-0.99971949999999998</v>
      </c>
      <c r="S6210">
        <v>9.1674800000000001E-2</v>
      </c>
      <c r="T6210">
        <v>-0.25153330000000002</v>
      </c>
      <c r="U6210">
        <v>-2.996613</v>
      </c>
      <c r="V6210">
        <v>3.5987129999999999E-2</v>
      </c>
      <c r="W6210">
        <v>-6.0010669999999997E-3</v>
      </c>
      <c r="X6210">
        <v>0.99933419999999895</v>
      </c>
      <c r="Y6210">
        <v>-8.1794539999999992E-3</v>
      </c>
      <c r="Z6210">
        <v>8.3593150000000005E-2</v>
      </c>
      <c r="AA6210">
        <v>0.99646639999999997</v>
      </c>
      <c r="AB6210">
        <v>18</v>
      </c>
      <c r="AC6210">
        <v>0.40209999999996099</v>
      </c>
      <c r="AD6210">
        <v>-1.109697901943</v>
      </c>
      <c r="AE6210">
        <v>-13.0310299999999</v>
      </c>
      <c r="AF6210">
        <v>-0.11067369495274</v>
      </c>
      <c r="AG6210">
        <v>-1.109697901943</v>
      </c>
      <c r="AH6210">
        <v>12.9429837613238</v>
      </c>
      <c r="AI6210">
        <v>94.900229426877601</v>
      </c>
      <c r="AJ6210">
        <v>90.489916482842403</v>
      </c>
      <c r="AK6210">
        <v>12.990939409689499</v>
      </c>
      <c r="AL6210">
        <v>90.343837887557001</v>
      </c>
      <c r="AM6210">
        <v>87.937606795050399</v>
      </c>
      <c r="AN6210">
        <v>0.99999996481020603</v>
      </c>
    </row>
    <row r="6211" spans="1:40" x14ac:dyDescent="0.25">
      <c r="A6211" t="str">
        <f>"20190312154420183"</f>
        <v>20190312154420183</v>
      </c>
      <c r="B6211" t="str">
        <f>"1552376660173378"</f>
        <v>1552376660173378</v>
      </c>
      <c r="C6211" t="s">
        <v>40</v>
      </c>
      <c r="D6211">
        <v>5.2628690000000002</v>
      </c>
      <c r="E6211">
        <v>0.4815277</v>
      </c>
      <c r="F6211" t="s">
        <v>43</v>
      </c>
      <c r="G6211">
        <v>-301.3245</v>
      </c>
      <c r="H6211" s="1">
        <v>-1.576765E-6</v>
      </c>
      <c r="I6211">
        <v>-27.55687</v>
      </c>
      <c r="J6211">
        <v>-301.77289999999999</v>
      </c>
      <c r="K6211">
        <v>1.1097779999999999</v>
      </c>
      <c r="L6211">
        <v>-13.97696</v>
      </c>
      <c r="M6211">
        <v>2.0745159999999999E-2</v>
      </c>
      <c r="N6211">
        <v>0</v>
      </c>
      <c r="O6211">
        <v>-0.999695</v>
      </c>
      <c r="P6211">
        <v>-1.548896E-2</v>
      </c>
      <c r="Q6211">
        <v>-1.7425179999999998E-2</v>
      </c>
      <c r="R6211">
        <v>-0.99972830000000001</v>
      </c>
      <c r="S6211">
        <v>9.8144529999999994E-2</v>
      </c>
      <c r="T6211">
        <v>-0.24175830000000001</v>
      </c>
      <c r="U6211">
        <v>-2.997528</v>
      </c>
      <c r="V6211">
        <v>3.6220240000000001E-2</v>
      </c>
      <c r="W6211">
        <v>-4.0962689999999996E-3</v>
      </c>
      <c r="X6211">
        <v>0.99933539999999998</v>
      </c>
      <c r="Y6211">
        <v>-1.1875520000000001E-2</v>
      </c>
      <c r="Z6211">
        <v>8.034144E-2</v>
      </c>
      <c r="AA6211">
        <v>0.99669669999999999</v>
      </c>
      <c r="AB6211">
        <v>18</v>
      </c>
      <c r="AC6211">
        <v>0.44839999999999203</v>
      </c>
      <c r="AD6211">
        <v>-1.1097795767649901</v>
      </c>
      <c r="AE6211">
        <v>-13.57991</v>
      </c>
      <c r="AF6211">
        <v>-0.16545698264366299</v>
      </c>
      <c r="AG6211">
        <v>-1.1097795767649901</v>
      </c>
      <c r="AH6211">
        <v>13.4962532727279</v>
      </c>
      <c r="AI6211">
        <v>94.700430908860795</v>
      </c>
      <c r="AJ6211">
        <v>90.702381002862097</v>
      </c>
      <c r="AK6211">
        <v>13.542815036901599</v>
      </c>
      <c r="AL6211">
        <v>90.234699590385603</v>
      </c>
      <c r="AM6211">
        <v>87.924261589411401</v>
      </c>
      <c r="AN6211">
        <v>0.999999963449268</v>
      </c>
    </row>
    <row r="6212" spans="1:40" x14ac:dyDescent="0.25">
      <c r="A6212" t="str">
        <f>"20190312154420205"</f>
        <v>20190312154420205</v>
      </c>
      <c r="B6212" t="str">
        <f>"1552376660193874"</f>
        <v>1552376660193874</v>
      </c>
      <c r="C6212" t="s">
        <v>40</v>
      </c>
      <c r="D6212">
        <v>5.3139580000000004</v>
      </c>
      <c r="E6212">
        <v>0.48020750000000001</v>
      </c>
      <c r="F6212" t="s">
        <v>43</v>
      </c>
      <c r="G6212">
        <v>-301.28820000000002</v>
      </c>
      <c r="H6212" s="1">
        <v>-1.3339249999999999E-6</v>
      </c>
      <c r="I6212">
        <v>-28.100449999999999</v>
      </c>
      <c r="J6212">
        <v>-301.77100000000002</v>
      </c>
      <c r="K6212">
        <v>1.109853</v>
      </c>
      <c r="L6212">
        <v>-14.157679999999999</v>
      </c>
      <c r="M6212">
        <v>1.9297459999999999E-2</v>
      </c>
      <c r="N6212">
        <v>0</v>
      </c>
      <c r="O6212">
        <v>-0.99972430000000001</v>
      </c>
      <c r="P6212">
        <v>-1.7886010000000001E-2</v>
      </c>
      <c r="Q6212">
        <v>-1.6281070000000002E-2</v>
      </c>
      <c r="R6212">
        <v>-0.99970760000000003</v>
      </c>
      <c r="S6212">
        <v>0.10290530000000001</v>
      </c>
      <c r="T6212">
        <v>-0.23559630000000001</v>
      </c>
      <c r="U6212">
        <v>-2.998291</v>
      </c>
      <c r="V6212">
        <v>3.7171839999999998E-2</v>
      </c>
      <c r="W6212">
        <v>-2.9523729999999999E-3</v>
      </c>
      <c r="X6212">
        <v>0.99930450000000004</v>
      </c>
      <c r="Y6212">
        <v>-1.4901609999999999E-2</v>
      </c>
      <c r="Z6212">
        <v>7.8286320000000006E-2</v>
      </c>
      <c r="AA6212">
        <v>0.99681960000000003</v>
      </c>
      <c r="AB6212">
        <v>18</v>
      </c>
      <c r="AC6212">
        <v>0.48279999999994</v>
      </c>
      <c r="AD6212">
        <v>-1.109854333925</v>
      </c>
      <c r="AE6212">
        <v>-13.942769999999999</v>
      </c>
      <c r="AF6212">
        <v>-0.212282489999193</v>
      </c>
      <c r="AG6212">
        <v>-1.109854333925</v>
      </c>
      <c r="AH6212">
        <v>13.861764128541299</v>
      </c>
      <c r="AI6212">
        <v>94.577137426641002</v>
      </c>
      <c r="AJ6212">
        <v>90.877373177302303</v>
      </c>
      <c r="AK6212">
        <v>13.9077440749176</v>
      </c>
      <c r="AL6212">
        <v>90.169158762768902</v>
      </c>
      <c r="AM6212">
        <v>87.869710328513705</v>
      </c>
      <c r="AN6212">
        <v>0.99999997295778298</v>
      </c>
    </row>
    <row r="6213" spans="1:40" x14ac:dyDescent="0.25">
      <c r="A6213" t="str">
        <f>"20190312154420228"</f>
        <v>20190312154420228</v>
      </c>
      <c r="B6213" t="str">
        <f>"1552376660224129"</f>
        <v>1552376660224129</v>
      </c>
      <c r="C6213" t="s">
        <v>40</v>
      </c>
      <c r="D6213">
        <v>5.2553390000000002</v>
      </c>
      <c r="E6213">
        <v>0.47904229999999998</v>
      </c>
      <c r="F6213" t="s">
        <v>43</v>
      </c>
      <c r="G6213">
        <v>-301.27629999999999</v>
      </c>
      <c r="H6213" s="1">
        <v>-1.306795E-6</v>
      </c>
      <c r="I6213">
        <v>-28.156300000000002</v>
      </c>
      <c r="J6213">
        <v>-301.76920000000001</v>
      </c>
      <c r="K6213">
        <v>1.1099250000000001</v>
      </c>
      <c r="L6213">
        <v>-14.33914</v>
      </c>
      <c r="M6213">
        <v>1.796646E-2</v>
      </c>
      <c r="N6213">
        <v>0</v>
      </c>
      <c r="O6213">
        <v>-0.99974909999999995</v>
      </c>
      <c r="P6213">
        <v>-1.9883600000000001E-2</v>
      </c>
      <c r="Q6213">
        <v>-1.694975E-2</v>
      </c>
      <c r="R6213">
        <v>-0.99965879999999996</v>
      </c>
      <c r="S6213">
        <v>0.1059875</v>
      </c>
      <c r="T6213">
        <v>-0.23776230000000001</v>
      </c>
      <c r="U6213">
        <v>-2.998901</v>
      </c>
      <c r="V6213">
        <v>3.7837570000000001E-2</v>
      </c>
      <c r="W6213">
        <v>-3.6205180000000001E-3</v>
      </c>
      <c r="X6213">
        <v>0.99927739999999998</v>
      </c>
      <c r="Y6213">
        <v>-1.7247149999999999E-2</v>
      </c>
      <c r="Z6213">
        <v>7.8985699999999895E-2</v>
      </c>
      <c r="AA6213">
        <v>0.99672649999999996</v>
      </c>
      <c r="AB6213">
        <v>18</v>
      </c>
      <c r="AC6213">
        <v>0.49290000000001999</v>
      </c>
      <c r="AD6213">
        <v>-1.109926306795</v>
      </c>
      <c r="AE6213">
        <v>-13.817159999999999</v>
      </c>
      <c r="AF6213">
        <v>-0.24298679896556699</v>
      </c>
      <c r="AG6213">
        <v>-1.109926306795</v>
      </c>
      <c r="AH6213">
        <v>13.735267037593299</v>
      </c>
      <c r="AI6213">
        <v>94.619227626941793</v>
      </c>
      <c r="AJ6213">
        <v>91.013498021523105</v>
      </c>
      <c r="AK6213">
        <v>13.7821819602334</v>
      </c>
      <c r="AL6213">
        <v>90.207440842629893</v>
      </c>
      <c r="AM6213">
        <v>87.831535202440904</v>
      </c>
      <c r="AN6213">
        <v>1.00000005600242</v>
      </c>
    </row>
    <row r="6214" spans="1:40" x14ac:dyDescent="0.25">
      <c r="A6214" t="str">
        <f>"20190312154420253"</f>
        <v>20190312154420253</v>
      </c>
      <c r="B6214" t="str">
        <f>"1552376660243650"</f>
        <v>1552376660243650</v>
      </c>
      <c r="C6214" t="s">
        <v>40</v>
      </c>
      <c r="D6214">
        <v>5.2966559999999996</v>
      </c>
      <c r="E6214">
        <v>0.47886250000000002</v>
      </c>
      <c r="F6214" t="s">
        <v>43</v>
      </c>
      <c r="G6214">
        <v>-301.26839999999999</v>
      </c>
      <c r="H6214" s="1">
        <v>-1.346371E-6</v>
      </c>
      <c r="I6214">
        <v>-28.059180000000001</v>
      </c>
      <c r="J6214">
        <v>-301.7672</v>
      </c>
      <c r="K6214">
        <v>1.1099950000000001</v>
      </c>
      <c r="L6214">
        <v>-14.544429999999901</v>
      </c>
      <c r="M6214">
        <v>1.663135E-2</v>
      </c>
      <c r="N6214">
        <v>0</v>
      </c>
      <c r="O6214">
        <v>-0.99977260000000001</v>
      </c>
      <c r="P6214">
        <v>-2.2157969999999999E-2</v>
      </c>
      <c r="Q6214">
        <v>-1.822932E-2</v>
      </c>
      <c r="R6214">
        <v>-0.99958860000000005</v>
      </c>
      <c r="S6214">
        <v>0.1094666</v>
      </c>
      <c r="T6214">
        <v>-0.24262059999999999</v>
      </c>
      <c r="U6214">
        <v>-2.9990839999999999</v>
      </c>
      <c r="V6214">
        <v>3.8775379999999998E-2</v>
      </c>
      <c r="W6214">
        <v>-4.9165789999999999E-3</v>
      </c>
      <c r="X6214">
        <v>0.99923589999999995</v>
      </c>
      <c r="Y6214">
        <v>-1.9730259999999999E-2</v>
      </c>
      <c r="Z6214">
        <v>8.0583619999999995E-2</v>
      </c>
      <c r="AA6214">
        <v>0.99655249999999995</v>
      </c>
      <c r="AB6214">
        <v>18</v>
      </c>
      <c r="AC6214">
        <v>0.49880000000001701</v>
      </c>
      <c r="AD6214">
        <v>-1.1099963463709901</v>
      </c>
      <c r="AE6214">
        <v>-13.514749999999999</v>
      </c>
      <c r="AF6214">
        <v>-0.27210936615040299</v>
      </c>
      <c r="AG6214">
        <v>-1.1099963463709901</v>
      </c>
      <c r="AH6214">
        <v>13.4307006512417</v>
      </c>
      <c r="AI6214">
        <v>94.723576065838799</v>
      </c>
      <c r="AJ6214">
        <v>91.160668081435105</v>
      </c>
      <c r="AK6214">
        <v>13.479237937634601</v>
      </c>
      <c r="AL6214">
        <v>90.281700349051704</v>
      </c>
      <c r="AM6214">
        <v>87.777750500250207</v>
      </c>
      <c r="AN6214">
        <v>1.0000000433459999</v>
      </c>
    </row>
    <row r="6215" spans="1:40" x14ac:dyDescent="0.25">
      <c r="A6215" t="str">
        <f>"20190312154420406"</f>
        <v>20190312154420406</v>
      </c>
      <c r="B6215" t="str">
        <f>"1552376660393994"</f>
        <v>1552376660393994</v>
      </c>
      <c r="C6215" t="s">
        <v>40</v>
      </c>
      <c r="D6215">
        <v>3.1760640000000002</v>
      </c>
      <c r="E6215">
        <v>0.4532081</v>
      </c>
      <c r="F6215" t="s">
        <v>43</v>
      </c>
      <c r="G6215">
        <v>-301.29930000000002</v>
      </c>
      <c r="H6215" s="1">
        <v>-1.360823E-6</v>
      </c>
      <c r="I6215">
        <v>-28.04466</v>
      </c>
      <c r="J6215">
        <v>-301.75639999999999</v>
      </c>
      <c r="K6215">
        <v>1.110123</v>
      </c>
      <c r="L6215">
        <v>-15.780729999999901</v>
      </c>
      <c r="M6215">
        <v>1.155459E-2</v>
      </c>
      <c r="N6215">
        <v>0</v>
      </c>
      <c r="O6215">
        <v>-0.99986059999999999</v>
      </c>
      <c r="P6215">
        <v>-2.2889219999999998E-2</v>
      </c>
      <c r="Q6215">
        <v>-1.8397859999999999E-2</v>
      </c>
      <c r="R6215">
        <v>-0.99956920000000005</v>
      </c>
      <c r="S6215">
        <v>0.1039429</v>
      </c>
      <c r="T6215">
        <v>-0.24658389999999999</v>
      </c>
      <c r="U6215">
        <v>-2.9990540000000001</v>
      </c>
      <c r="V6215">
        <v>3.443674E-2</v>
      </c>
      <c r="W6215">
        <v>-6.3328269999999897E-3</v>
      </c>
      <c r="X6215">
        <v>0.99938680000000002</v>
      </c>
      <c r="Y6215">
        <v>-2.2970580000000001E-2</v>
      </c>
      <c r="Z6215">
        <v>8.190066E-2</v>
      </c>
      <c r="AA6215">
        <v>0.99637569999999998</v>
      </c>
      <c r="AB6215">
        <v>18</v>
      </c>
      <c r="AC6215">
        <v>0.45709999999996798</v>
      </c>
      <c r="AD6215">
        <v>-1.110124360823</v>
      </c>
      <c r="AE6215">
        <v>-12.263929999999901</v>
      </c>
      <c r="AF6215">
        <v>-0.31279508775846898</v>
      </c>
      <c r="AG6215">
        <v>-1.110124360823</v>
      </c>
      <c r="AH6215">
        <v>12.1688229177862</v>
      </c>
      <c r="AI6215">
        <v>95.210778289295604</v>
      </c>
      <c r="AJ6215">
        <v>91.472442561837994</v>
      </c>
      <c r="AK6215">
        <v>12.2233574793449</v>
      </c>
      <c r="AL6215">
        <v>90.362846690307293</v>
      </c>
      <c r="AM6215">
        <v>88.026490334518797</v>
      </c>
      <c r="AN6215">
        <v>0.99999998488693898</v>
      </c>
    </row>
    <row r="6216" spans="1:40" x14ac:dyDescent="0.25">
      <c r="A6216" t="str">
        <f>"20190312154420429"</f>
        <v>20190312154420429</v>
      </c>
      <c r="B6216" t="str">
        <f>"1552376660424249"</f>
        <v>1552376660424249</v>
      </c>
      <c r="C6216" t="s">
        <v>40</v>
      </c>
      <c r="D6216">
        <v>5.2078550000000003</v>
      </c>
      <c r="E6216">
        <v>0.44692120000000002</v>
      </c>
      <c r="F6216" t="s">
        <v>41</v>
      </c>
      <c r="G6216">
        <v>-301.69009999999997</v>
      </c>
      <c r="H6216">
        <v>0.79201379999999999</v>
      </c>
      <c r="I6216">
        <v>-16.41714</v>
      </c>
      <c r="J6216">
        <v>-301.75470000000001</v>
      </c>
      <c r="K6216">
        <v>1.1101379999999901</v>
      </c>
      <c r="L6216">
        <v>-15.96405</v>
      </c>
      <c r="M6216">
        <v>1.122076E-2</v>
      </c>
      <c r="N6216">
        <v>0</v>
      </c>
      <c r="O6216">
        <v>-0.99986770000000003</v>
      </c>
      <c r="P6216">
        <v>-2.2978620000000002E-2</v>
      </c>
      <c r="Q6216">
        <v>-1.8266109999999999E-2</v>
      </c>
      <c r="R6216">
        <v>-0.99956920000000005</v>
      </c>
      <c r="S6216">
        <v>0.3123474</v>
      </c>
      <c r="T6216">
        <v>-1.4900230000000001</v>
      </c>
      <c r="U6216">
        <v>-2.9810180000000002</v>
      </c>
      <c r="V6216">
        <v>3.4193370000000001E-2</v>
      </c>
      <c r="W6216">
        <v>-6.4902859999999996E-3</v>
      </c>
      <c r="X6216">
        <v>0.99939420000000001</v>
      </c>
      <c r="Y6216">
        <v>-8.2139130000000005E-2</v>
      </c>
      <c r="Z6216">
        <v>0.44533820000000002</v>
      </c>
      <c r="AA6216">
        <v>0.89158680000000001</v>
      </c>
      <c r="AB6216">
        <v>18</v>
      </c>
      <c r="AC6216">
        <v>6.4600000000041194E-2</v>
      </c>
      <c r="AD6216">
        <v>-0.31812419999999902</v>
      </c>
      <c r="AE6216">
        <v>-0.45308999999999899</v>
      </c>
      <c r="AF6216">
        <v>-4.0125036473899998E-2</v>
      </c>
      <c r="AG6216">
        <v>-0.31812419999999902</v>
      </c>
      <c r="AH6216">
        <v>0.30596061314823297</v>
      </c>
      <c r="AI6216">
        <v>135.872456158208</v>
      </c>
      <c r="AJ6216">
        <v>97.471385096712297</v>
      </c>
      <c r="AK6216">
        <v>0.44319851305675001</v>
      </c>
      <c r="AL6216">
        <v>90.371868592034204</v>
      </c>
      <c r="AM6216">
        <v>88.040441032045393</v>
      </c>
      <c r="AN6216">
        <v>1.00000003867897</v>
      </c>
    </row>
    <row r="6217" spans="1:40" x14ac:dyDescent="0.25">
      <c r="A6217" t="str">
        <f>"20190312154420452"</f>
        <v>20190312154420452</v>
      </c>
      <c r="B6217" t="str">
        <f>"1552376660443769"</f>
        <v>1552376660443769</v>
      </c>
      <c r="C6217" t="s">
        <v>40</v>
      </c>
      <c r="D6217">
        <v>5.1883109999999997</v>
      </c>
      <c r="E6217">
        <v>0.42926180000000003</v>
      </c>
      <c r="F6217" t="s">
        <v>43</v>
      </c>
      <c r="G6217">
        <v>-301.44349999999997</v>
      </c>
      <c r="H6217" s="1">
        <v>-1.187366E-6</v>
      </c>
      <c r="I6217">
        <v>-18.53837</v>
      </c>
      <c r="J6217">
        <v>-301.75290000000001</v>
      </c>
      <c r="K6217">
        <v>1.1101559999999999</v>
      </c>
      <c r="L6217">
        <v>-16.150449999999999</v>
      </c>
      <c r="M6217">
        <v>1.100569E-2</v>
      </c>
      <c r="N6217">
        <v>0</v>
      </c>
      <c r="O6217">
        <v>-0.99987360000000003</v>
      </c>
      <c r="P6217">
        <v>-2.328154E-2</v>
      </c>
      <c r="Q6217">
        <v>-1.8670590000000001E-2</v>
      </c>
      <c r="R6217">
        <v>-0.99955459999999996</v>
      </c>
      <c r="S6217">
        <v>0.36105350000000003</v>
      </c>
      <c r="T6217">
        <v>-1.2876920000000001</v>
      </c>
      <c r="U6217">
        <v>-2.9860530000000001</v>
      </c>
      <c r="V6217">
        <v>3.4282069999999998E-2</v>
      </c>
      <c r="W6217">
        <v>-7.1868490000000004E-3</v>
      </c>
      <c r="X6217">
        <v>0.99938640000000001</v>
      </c>
      <c r="Y6217">
        <v>-9.9408930000000006E-2</v>
      </c>
      <c r="Z6217">
        <v>0.3937697</v>
      </c>
      <c r="AA6217">
        <v>0.91381800000000002</v>
      </c>
      <c r="AB6217">
        <v>18</v>
      </c>
      <c r="AC6217">
        <v>0.30940000000003898</v>
      </c>
      <c r="AD6217">
        <v>-1.1101571873660001</v>
      </c>
      <c r="AE6217">
        <v>-2.3879199999999998</v>
      </c>
      <c r="AF6217">
        <v>-0.233470369555006</v>
      </c>
      <c r="AG6217">
        <v>-1.1101571873660001</v>
      </c>
      <c r="AH6217">
        <v>1.97199638222604</v>
      </c>
      <c r="AI6217">
        <v>119.207660605855</v>
      </c>
      <c r="AJ6217">
        <v>96.751983284316907</v>
      </c>
      <c r="AK6217">
        <v>2.27502244508337</v>
      </c>
      <c r="AL6217">
        <v>90.411779642499198</v>
      </c>
      <c r="AM6217">
        <v>88.035346455443701</v>
      </c>
      <c r="AN6217">
        <v>1.0000000438134899</v>
      </c>
    </row>
    <row r="6218" spans="1:40" x14ac:dyDescent="0.25">
      <c r="A6218" t="str">
        <f>"20190312154420475"</f>
        <v>20190312154420475</v>
      </c>
      <c r="B6218" t="str">
        <f>"1552376660463797"</f>
        <v>1552376660463797</v>
      </c>
      <c r="C6218" t="s">
        <v>40</v>
      </c>
      <c r="D6218">
        <v>5.1297240000000004</v>
      </c>
      <c r="E6218">
        <v>0.43022820000000001</v>
      </c>
      <c r="F6218" t="s">
        <v>43</v>
      </c>
      <c r="G6218">
        <v>-300.90589999999997</v>
      </c>
      <c r="H6218" s="1">
        <v>-4.1588709999999999E-6</v>
      </c>
      <c r="I6218">
        <v>-21.264379999999999</v>
      </c>
      <c r="J6218">
        <v>-301.7509</v>
      </c>
      <c r="K6218">
        <v>1.110166</v>
      </c>
      <c r="L6218">
        <v>-16.347529999999999</v>
      </c>
      <c r="M6218">
        <v>1.0879410000000001E-2</v>
      </c>
      <c r="N6218">
        <v>0</v>
      </c>
      <c r="O6218">
        <v>-0.99987839999999995</v>
      </c>
      <c r="P6218">
        <v>-2.336945E-2</v>
      </c>
      <c r="Q6218">
        <v>-1.9441199999999999E-2</v>
      </c>
      <c r="R6218">
        <v>-0.99953800000000004</v>
      </c>
      <c r="S6218">
        <v>0.49700929999999999</v>
      </c>
      <c r="T6218">
        <v>-0.65141640000000001</v>
      </c>
      <c r="U6218">
        <v>-3.0007320000000002</v>
      </c>
      <c r="V6218">
        <v>3.4244499999999997E-2</v>
      </c>
      <c r="W6218">
        <v>-8.2536190000000002E-3</v>
      </c>
      <c r="X6218">
        <v>0.99937940000000003</v>
      </c>
      <c r="Y6218">
        <v>-0.14903189999999999</v>
      </c>
      <c r="Z6218">
        <v>0.20957970000000001</v>
      </c>
      <c r="AA6218">
        <v>0.96636739999999999</v>
      </c>
      <c r="AB6218">
        <v>18</v>
      </c>
      <c r="AC6218">
        <v>0.84500000000002695</v>
      </c>
      <c r="AD6218">
        <v>-1.110170158871</v>
      </c>
      <c r="AE6218">
        <v>-4.9168500000000002</v>
      </c>
      <c r="AF6218">
        <v>-0.754112022350935</v>
      </c>
      <c r="AG6218">
        <v>-1.110170158871</v>
      </c>
      <c r="AH6218">
        <v>4.6933470101314896</v>
      </c>
      <c r="AI6218">
        <v>103.14556280719199</v>
      </c>
      <c r="AJ6218">
        <v>99.128083292343604</v>
      </c>
      <c r="AK6218">
        <v>4.8814617566270098</v>
      </c>
      <c r="AL6218">
        <v>90.472902905331793</v>
      </c>
      <c r="AM6218">
        <v>88.037484115448905</v>
      </c>
      <c r="AN6218">
        <v>0.99999999657560301</v>
      </c>
    </row>
    <row r="6219" spans="1:40" x14ac:dyDescent="0.25">
      <c r="A6219" t="str">
        <f>"20190312154420498"</f>
        <v>20190312154420498</v>
      </c>
      <c r="B6219" t="str">
        <f>"1552376660494053"</f>
        <v>1552376660494053</v>
      </c>
      <c r="C6219" t="s">
        <v>40</v>
      </c>
      <c r="D6219">
        <v>5.0863120000000004</v>
      </c>
      <c r="E6219">
        <v>0.43291600000000002</v>
      </c>
      <c r="F6219" t="s">
        <v>43</v>
      </c>
      <c r="G6219">
        <v>-300.7183</v>
      </c>
      <c r="H6219" s="1">
        <v>-3.4971949999999998E-6</v>
      </c>
      <c r="I6219">
        <v>-22.704360000000001</v>
      </c>
      <c r="J6219">
        <v>-301.74900000000002</v>
      </c>
      <c r="K6219">
        <v>1.1101620000000001</v>
      </c>
      <c r="L6219">
        <v>-16.530639999999998</v>
      </c>
      <c r="M6219">
        <v>1.0841440000000001E-2</v>
      </c>
      <c r="N6219">
        <v>0</v>
      </c>
      <c r="O6219">
        <v>-0.99988169999999998</v>
      </c>
      <c r="P6219">
        <v>-2.300543E-2</v>
      </c>
      <c r="Q6219">
        <v>-1.94726E-2</v>
      </c>
      <c r="R6219">
        <v>-0.99954589999999999</v>
      </c>
      <c r="S6219">
        <v>0.4877319</v>
      </c>
      <c r="T6219">
        <v>-0.52437929999999999</v>
      </c>
      <c r="U6219">
        <v>-3.0025940000000002</v>
      </c>
      <c r="V6219">
        <v>3.3843190000000002E-2</v>
      </c>
      <c r="W6219">
        <v>-8.5582260000000004E-3</v>
      </c>
      <c r="X6219">
        <v>0.99939049999999996</v>
      </c>
      <c r="Y6219">
        <v>-0.147290899999999</v>
      </c>
      <c r="Z6219">
        <v>0.17000470000000001</v>
      </c>
      <c r="AA6219">
        <v>0.9743735</v>
      </c>
      <c r="AB6219">
        <v>18</v>
      </c>
      <c r="AC6219">
        <v>1.0307000000000199</v>
      </c>
      <c r="AD6219">
        <v>-1.1101654971949999</v>
      </c>
      <c r="AE6219">
        <v>-6.1737200000000003</v>
      </c>
      <c r="AF6219">
        <v>-0.93431109049277905</v>
      </c>
      <c r="AG6219">
        <v>-1.1101654971949999</v>
      </c>
      <c r="AH6219">
        <v>5.9959078518018396</v>
      </c>
      <c r="AI6219">
        <v>100.367390615709</v>
      </c>
      <c r="AJ6219">
        <v>98.856875569622204</v>
      </c>
      <c r="AK6219">
        <v>6.1689801111917202</v>
      </c>
      <c r="AL6219">
        <v>90.490356221749906</v>
      </c>
      <c r="AM6219">
        <v>88.060486620815396</v>
      </c>
      <c r="AN6219">
        <v>0.99999998811594604</v>
      </c>
    </row>
    <row r="6220" spans="1:40" x14ac:dyDescent="0.25">
      <c r="A6220" t="str">
        <f>"20190312154420517"</f>
        <v>20190312154420517</v>
      </c>
      <c r="B6220" t="str">
        <f>"1552376660513573"</f>
        <v>1552376660513573</v>
      </c>
      <c r="C6220" t="s">
        <v>40</v>
      </c>
      <c r="D6220">
        <v>5.1500820000000003</v>
      </c>
      <c r="E6220">
        <v>0.43458449999999998</v>
      </c>
      <c r="F6220" t="s">
        <v>43</v>
      </c>
      <c r="G6220">
        <v>-300.42140000000001</v>
      </c>
      <c r="H6220" s="1">
        <v>-2.4001239999999999E-6</v>
      </c>
      <c r="I6220">
        <v>-25.077480000000001</v>
      </c>
      <c r="J6220">
        <v>-301.7473</v>
      </c>
      <c r="K6220">
        <v>1.11015</v>
      </c>
      <c r="L6220">
        <v>-16.690799999999999</v>
      </c>
      <c r="M6220">
        <v>1.086027E-2</v>
      </c>
      <c r="N6220">
        <v>0</v>
      </c>
      <c r="O6220">
        <v>-0.99988440000000001</v>
      </c>
      <c r="P6220">
        <v>-2.1856759999999999E-2</v>
      </c>
      <c r="Q6220">
        <v>-1.87931E-2</v>
      </c>
      <c r="R6220">
        <v>-0.99958480000000005</v>
      </c>
      <c r="S6220">
        <v>0.46670529999999999</v>
      </c>
      <c r="T6220">
        <v>-0.3902621</v>
      </c>
      <c r="U6220">
        <v>-3.0045169999999999</v>
      </c>
      <c r="V6220">
        <v>3.2713939999999997E-2</v>
      </c>
      <c r="W6220">
        <v>-8.1250590000000004E-3</v>
      </c>
      <c r="X6220">
        <v>0.99943170000000003</v>
      </c>
      <c r="Y6220">
        <v>-0.14150219999999999</v>
      </c>
      <c r="Z6220">
        <v>0.1273995</v>
      </c>
      <c r="AA6220">
        <v>0.98170590000000002</v>
      </c>
      <c r="AB6220">
        <v>18</v>
      </c>
      <c r="AC6220">
        <v>1.3258999999999901</v>
      </c>
      <c r="AD6220">
        <v>-1.110152400124</v>
      </c>
      <c r="AE6220">
        <v>-8.3866799999999895</v>
      </c>
      <c r="AF6220">
        <v>-1.2139822664284901</v>
      </c>
      <c r="AG6220">
        <v>-1.110152400124</v>
      </c>
      <c r="AH6220">
        <v>8.2593932537946397</v>
      </c>
      <c r="AI6220">
        <v>97.574870464983803</v>
      </c>
      <c r="AJ6220">
        <v>98.361578452749697</v>
      </c>
      <c r="AK6220">
        <v>8.4216250341328092</v>
      </c>
      <c r="AL6220">
        <v>90.4655367249172</v>
      </c>
      <c r="AM6220">
        <v>88.125232858897505</v>
      </c>
      <c r="AN6220">
        <v>0.99999997070948299</v>
      </c>
    </row>
    <row r="6221" spans="1:40" x14ac:dyDescent="0.25">
      <c r="A6221" t="str">
        <f>"20190312154420540"</f>
        <v>20190312154420540</v>
      </c>
      <c r="B6221" t="str">
        <f>"1552376660534070"</f>
        <v>1552376660534070</v>
      </c>
      <c r="C6221" t="s">
        <v>40</v>
      </c>
      <c r="D6221">
        <v>5.0836240000000004</v>
      </c>
      <c r="E6221">
        <v>0.43568430000000002</v>
      </c>
      <c r="F6221" t="s">
        <v>43</v>
      </c>
      <c r="G6221">
        <v>-300.30990000000003</v>
      </c>
      <c r="H6221" s="1">
        <v>-1.9095250000000002E-6</v>
      </c>
      <c r="I6221">
        <v>-26.151959999999999</v>
      </c>
      <c r="J6221">
        <v>-301.74509999999998</v>
      </c>
      <c r="K6221">
        <v>1.110117</v>
      </c>
      <c r="L6221">
        <v>-16.882169999999999</v>
      </c>
      <c r="M6221">
        <v>1.092254E-2</v>
      </c>
      <c r="N6221">
        <v>0</v>
      </c>
      <c r="O6221">
        <v>-0.99988679999999996</v>
      </c>
      <c r="P6221">
        <v>-2.036166E-2</v>
      </c>
      <c r="Q6221">
        <v>-1.78473E-2</v>
      </c>
      <c r="R6221">
        <v>-0.99963360000000001</v>
      </c>
      <c r="S6221">
        <v>0.45645140000000001</v>
      </c>
      <c r="T6221">
        <v>-0.35255409999999998</v>
      </c>
      <c r="U6221">
        <v>-3.0046080000000002</v>
      </c>
      <c r="V6221">
        <v>3.1281539999999997E-2</v>
      </c>
      <c r="W6221">
        <v>-7.4838250000000004E-3</v>
      </c>
      <c r="X6221">
        <v>0.9994826</v>
      </c>
      <c r="Y6221">
        <v>-0.13838399999999901</v>
      </c>
      <c r="Z6221">
        <v>0.115315</v>
      </c>
      <c r="AA6221">
        <v>0.98364240000000003</v>
      </c>
      <c r="AB6221">
        <v>18</v>
      </c>
      <c r="AC6221">
        <v>1.4351999999999501</v>
      </c>
      <c r="AD6221">
        <v>-1.1101189095249999</v>
      </c>
      <c r="AE6221">
        <v>-9.2697899999999898</v>
      </c>
      <c r="AF6221">
        <v>-1.3154354229632099</v>
      </c>
      <c r="AG6221">
        <v>-1.1101189095249999</v>
      </c>
      <c r="AH6221">
        <v>9.1566663241399908</v>
      </c>
      <c r="AI6221">
        <v>96.843008024884995</v>
      </c>
      <c r="AJ6221">
        <v>98.175108558362297</v>
      </c>
      <c r="AK6221">
        <v>9.3170420476088207</v>
      </c>
      <c r="AL6221">
        <v>90.428795587653795</v>
      </c>
      <c r="AM6221">
        <v>88.207357138976107</v>
      </c>
      <c r="AN6221">
        <v>1.0000000050420801</v>
      </c>
    </row>
    <row r="6222" spans="1:40" x14ac:dyDescent="0.25">
      <c r="A6222" t="str">
        <f>"20190312154420562"</f>
        <v>20190312154420562</v>
      </c>
      <c r="B6222" t="str">
        <f>"1552376660553590"</f>
        <v>1552376660553590</v>
      </c>
      <c r="C6222" t="s">
        <v>40</v>
      </c>
      <c r="D6222">
        <v>4.8338299999999998</v>
      </c>
      <c r="E6222">
        <v>0.43700610000000001</v>
      </c>
      <c r="F6222" t="s">
        <v>43</v>
      </c>
      <c r="G6222">
        <v>-300.18380000000002</v>
      </c>
      <c r="H6222" s="1">
        <v>-1.398967E-6</v>
      </c>
      <c r="I6222">
        <v>-27.263829999999999</v>
      </c>
      <c r="J6222">
        <v>-301.74299999999999</v>
      </c>
      <c r="K6222">
        <v>1.1100760000000001</v>
      </c>
      <c r="L6222">
        <v>-17.06683</v>
      </c>
      <c r="M6222">
        <v>1.09976E-2</v>
      </c>
      <c r="N6222">
        <v>0</v>
      </c>
      <c r="O6222">
        <v>-0.99988909999999998</v>
      </c>
      <c r="P6222">
        <v>-1.8254650000000001E-2</v>
      </c>
      <c r="Q6222">
        <v>-1.7238090000000001E-2</v>
      </c>
      <c r="R6222">
        <v>-0.9996853</v>
      </c>
      <c r="S6222">
        <v>0.45187379999999999</v>
      </c>
      <c r="T6222">
        <v>-0.32128179999999901</v>
      </c>
      <c r="U6222">
        <v>-3.004578</v>
      </c>
      <c r="V6222">
        <v>2.925001E-2</v>
      </c>
      <c r="W6222">
        <v>-7.1708020000000004E-3</v>
      </c>
      <c r="X6222">
        <v>0.99954639999999995</v>
      </c>
      <c r="Y6222">
        <v>-0.137012299999999</v>
      </c>
      <c r="Z6222">
        <v>0.1052288</v>
      </c>
      <c r="AA6222">
        <v>0.98496430000000001</v>
      </c>
      <c r="AB6222">
        <v>18</v>
      </c>
      <c r="AC6222">
        <v>1.5591999999999699</v>
      </c>
      <c r="AD6222">
        <v>-1.1100773989669901</v>
      </c>
      <c r="AE6222">
        <v>-10.196999999999999</v>
      </c>
      <c r="AF6222">
        <v>-1.4303929595146601</v>
      </c>
      <c r="AG6222">
        <v>-1.1100773989669901</v>
      </c>
      <c r="AH6222">
        <v>10.0966085921028</v>
      </c>
      <c r="AI6222">
        <v>96.212673334885096</v>
      </c>
      <c r="AJ6222">
        <v>98.063469110590503</v>
      </c>
      <c r="AK6222">
        <v>10.257670345280699</v>
      </c>
      <c r="AL6222">
        <v>90.410860213685297</v>
      </c>
      <c r="AM6222">
        <v>88.323815693991904</v>
      </c>
      <c r="AN6222">
        <v>0.99999999461964095</v>
      </c>
    </row>
    <row r="6223" spans="1:40" x14ac:dyDescent="0.25">
      <c r="A6223" t="str">
        <f>"20190312154420584"</f>
        <v>20190312154420584</v>
      </c>
      <c r="B6223" t="str">
        <f>"1552376660574086"</f>
        <v>1552376660574086</v>
      </c>
      <c r="C6223" t="s">
        <v>40</v>
      </c>
      <c r="D6223">
        <v>5.113734</v>
      </c>
      <c r="E6223">
        <v>0.4379654</v>
      </c>
      <c r="F6223" t="s">
        <v>43</v>
      </c>
      <c r="G6223">
        <v>-300.13170000000002</v>
      </c>
      <c r="H6223" s="1">
        <v>-1.114917E-6</v>
      </c>
      <c r="I6223">
        <v>-27.893650000000001</v>
      </c>
      <c r="J6223">
        <v>-301.74090000000001</v>
      </c>
      <c r="K6223">
        <v>1.110023</v>
      </c>
      <c r="L6223">
        <v>-17.250820000000001</v>
      </c>
      <c r="M6223">
        <v>1.106854E-2</v>
      </c>
      <c r="N6223">
        <v>0</v>
      </c>
      <c r="O6223">
        <v>-0.99989099999999997</v>
      </c>
      <c r="P6223">
        <v>-1.5846269999999999E-2</v>
      </c>
      <c r="Q6223">
        <v>-1.6962990000000001E-2</v>
      </c>
      <c r="R6223">
        <v>-0.99973069999999997</v>
      </c>
      <c r="S6223">
        <v>0.447052</v>
      </c>
      <c r="T6223">
        <v>-0.30798219999999998</v>
      </c>
      <c r="U6223">
        <v>-3.0038149999999999</v>
      </c>
      <c r="V6223">
        <v>2.6912930000000002E-2</v>
      </c>
      <c r="W6223">
        <v>-7.1882339999999999E-3</v>
      </c>
      <c r="X6223">
        <v>0.9996119</v>
      </c>
      <c r="Y6223">
        <v>-0.13549720000000001</v>
      </c>
      <c r="Z6223">
        <v>0.1009659</v>
      </c>
      <c r="AA6223">
        <v>0.98561980000000005</v>
      </c>
      <c r="AB6223">
        <v>19</v>
      </c>
      <c r="AC6223">
        <v>1.60919999999998</v>
      </c>
      <c r="AD6223">
        <v>-1.110024114917</v>
      </c>
      <c r="AE6223">
        <v>-10.64283</v>
      </c>
      <c r="AF6223">
        <v>-1.47560230625597</v>
      </c>
      <c r="AG6223">
        <v>-1.110024114917</v>
      </c>
      <c r="AH6223">
        <v>10.5478152815031</v>
      </c>
      <c r="AI6223">
        <v>95.9500232071087</v>
      </c>
      <c r="AJ6223">
        <v>97.963793479033697</v>
      </c>
      <c r="AK6223">
        <v>10.7082194091565</v>
      </c>
      <c r="AL6223">
        <v>90.411859032251698</v>
      </c>
      <c r="AM6223">
        <v>88.457776579472196</v>
      </c>
      <c r="AN6223">
        <v>0.99999996356541598</v>
      </c>
    </row>
    <row r="6224" spans="1:40" x14ac:dyDescent="0.25">
      <c r="A6224" t="str">
        <f>"20190312154420606"</f>
        <v>20190312154420606</v>
      </c>
      <c r="B6224" t="str">
        <f>"1552376660603365"</f>
        <v>1552376660603365</v>
      </c>
      <c r="C6224" t="s">
        <v>40</v>
      </c>
      <c r="D6224">
        <v>5.4291169999999997</v>
      </c>
      <c r="E6224">
        <v>0.43847079999999999</v>
      </c>
      <c r="F6224" t="s">
        <v>43</v>
      </c>
      <c r="G6224">
        <v>-300.05169999999998</v>
      </c>
      <c r="H6224" s="1">
        <v>-7.8641160000000005E-7</v>
      </c>
      <c r="I6224">
        <v>-28.609819999999999</v>
      </c>
      <c r="J6224">
        <v>-301.73880000000003</v>
      </c>
      <c r="K6224">
        <v>1.1099760000000001</v>
      </c>
      <c r="L6224">
        <v>-17.433989999999898</v>
      </c>
      <c r="M6224">
        <v>1.112585E-2</v>
      </c>
      <c r="N6224">
        <v>0</v>
      </c>
      <c r="O6224">
        <v>-0.99989320000000004</v>
      </c>
      <c r="P6224">
        <v>-1.2799919999999999E-2</v>
      </c>
      <c r="Q6224">
        <v>-1.666393E-2</v>
      </c>
      <c r="R6224">
        <v>-0.99977930000000004</v>
      </c>
      <c r="S6224">
        <v>0.44656370000000001</v>
      </c>
      <c r="T6224">
        <v>-0.29344930000000002</v>
      </c>
      <c r="U6224">
        <v>-3.0028990000000002</v>
      </c>
      <c r="V6224">
        <v>2.3924250000000001E-2</v>
      </c>
      <c r="W6224">
        <v>-7.1781630000000004E-3</v>
      </c>
      <c r="X6224">
        <v>0.99968800000000002</v>
      </c>
      <c r="Y6224">
        <v>-0.13539579999999901</v>
      </c>
      <c r="Z6224">
        <v>9.6277680000000004E-2</v>
      </c>
      <c r="AA6224">
        <v>0.98610279999999995</v>
      </c>
      <c r="AB6224">
        <v>19</v>
      </c>
      <c r="AC6224">
        <v>1.68710000000004</v>
      </c>
      <c r="AD6224">
        <v>-1.1099767864115999</v>
      </c>
      <c r="AE6224">
        <v>-11.175829999999999</v>
      </c>
      <c r="AF6224">
        <v>-1.54772228291654</v>
      </c>
      <c r="AG6224">
        <v>-1.1099767864115999</v>
      </c>
      <c r="AH6224">
        <v>11.0869804788169</v>
      </c>
      <c r="AI6224">
        <v>95.6625889148971</v>
      </c>
      <c r="AJ6224">
        <v>97.9470290588566</v>
      </c>
      <c r="AK6224">
        <v>11.2493834883995</v>
      </c>
      <c r="AL6224">
        <v>90.411281977980394</v>
      </c>
      <c r="AM6224">
        <v>88.629075318767903</v>
      </c>
      <c r="AN6224">
        <v>0.99999999655305805</v>
      </c>
    </row>
    <row r="6225" spans="1:40" x14ac:dyDescent="0.25">
      <c r="A6225" t="str">
        <f>"20190312154420633"</f>
        <v>20190312154420633</v>
      </c>
      <c r="B6225" t="str">
        <f>"1552376660623861"</f>
        <v>1552376660623861</v>
      </c>
      <c r="C6225" t="s">
        <v>40</v>
      </c>
      <c r="D6225">
        <v>5.1126199999999997</v>
      </c>
      <c r="E6225">
        <v>0.43892569999999997</v>
      </c>
      <c r="F6225" t="s">
        <v>43</v>
      </c>
      <c r="G6225">
        <v>-299.89659999999998</v>
      </c>
      <c r="H6225" s="1">
        <v>-3.1043790000000002E-7</v>
      </c>
      <c r="I6225">
        <v>-29.686350000000001</v>
      </c>
      <c r="J6225">
        <v>-301.7364</v>
      </c>
      <c r="K6225">
        <v>1.1099129999999999</v>
      </c>
      <c r="L6225">
        <v>-17.641449999999999</v>
      </c>
      <c r="M6225">
        <v>1.1169220000000001E-2</v>
      </c>
      <c r="N6225">
        <v>0</v>
      </c>
      <c r="O6225">
        <v>-0.9998958</v>
      </c>
      <c r="P6225">
        <v>-1.0510459999999999E-2</v>
      </c>
      <c r="Q6225">
        <v>-1.618416E-2</v>
      </c>
      <c r="R6225">
        <v>-0.99981410000000004</v>
      </c>
      <c r="S6225">
        <v>0.45135500000000001</v>
      </c>
      <c r="T6225">
        <v>-0.2719529</v>
      </c>
      <c r="U6225">
        <v>-3.0019230000000001</v>
      </c>
      <c r="V6225">
        <v>2.1678240000000001E-2</v>
      </c>
      <c r="W6225">
        <v>-7.0269540000000002E-3</v>
      </c>
      <c r="X6225">
        <v>0.99974030000000003</v>
      </c>
      <c r="Y6225">
        <v>-0.1370355</v>
      </c>
      <c r="Z6225">
        <v>8.9291800000000005E-2</v>
      </c>
      <c r="AA6225">
        <v>0.98653349999999995</v>
      </c>
      <c r="AB6225">
        <v>19</v>
      </c>
      <c r="AC6225">
        <v>1.8398000000000201</v>
      </c>
      <c r="AD6225">
        <v>-1.10991331043789</v>
      </c>
      <c r="AE6225">
        <v>-12.0449</v>
      </c>
      <c r="AF6225">
        <v>-1.6911151674660101</v>
      </c>
      <c r="AG6225">
        <v>-1.10991331043789</v>
      </c>
      <c r="AH6225">
        <v>11.9654136778877</v>
      </c>
      <c r="AI6225">
        <v>95.247740909103896</v>
      </c>
      <c r="AJ6225">
        <v>98.044538273387204</v>
      </c>
      <c r="AK6225">
        <v>12.135192728148301</v>
      </c>
      <c r="AL6225">
        <v>90.402618122185103</v>
      </c>
      <c r="AM6225">
        <v>88.757800356584994</v>
      </c>
      <c r="AN6225">
        <v>0.99999999580805199</v>
      </c>
    </row>
    <row r="6226" spans="1:40" x14ac:dyDescent="0.25">
      <c r="A6226" t="str">
        <f>"20190312154420654"</f>
        <v>20190312154420654</v>
      </c>
      <c r="B6226" t="str">
        <f>"1552376660643382"</f>
        <v>1552376660643382</v>
      </c>
      <c r="C6226" t="s">
        <v>40</v>
      </c>
      <c r="D6226">
        <v>5.0975229999999998</v>
      </c>
      <c r="E6226">
        <v>0.43939149999999999</v>
      </c>
      <c r="F6226" t="s">
        <v>43</v>
      </c>
      <c r="G6226">
        <v>-299.78699999999998</v>
      </c>
      <c r="H6226" s="1">
        <v>-4.2702880000000001E-6</v>
      </c>
      <c r="I6226">
        <v>-30.501149999999999</v>
      </c>
      <c r="J6226">
        <v>-301.73419999999999</v>
      </c>
      <c r="K6226">
        <v>1.1098600000000001</v>
      </c>
      <c r="L6226">
        <v>-17.83362</v>
      </c>
      <c r="M6226">
        <v>1.119013E-2</v>
      </c>
      <c r="N6226">
        <v>0</v>
      </c>
      <c r="O6226">
        <v>-0.99989819999999996</v>
      </c>
      <c r="P6226">
        <v>-8.8470069999999901E-3</v>
      </c>
      <c r="Q6226">
        <v>-1.548997E-2</v>
      </c>
      <c r="R6226">
        <v>-0.99984119999999999</v>
      </c>
      <c r="S6226">
        <v>0.45495609999999997</v>
      </c>
      <c r="T6226">
        <v>-0.25902930000000002</v>
      </c>
      <c r="U6226">
        <v>-3.00116</v>
      </c>
      <c r="V6226">
        <v>2.0035730000000002E-2</v>
      </c>
      <c r="W6226">
        <v>-6.6330369999999996E-3</v>
      </c>
      <c r="X6226">
        <v>0.99977729999999998</v>
      </c>
      <c r="Y6226">
        <v>-0.1382641</v>
      </c>
      <c r="Z6226">
        <v>8.5086670000000003E-2</v>
      </c>
      <c r="AA6226">
        <v>0.98673370000000005</v>
      </c>
      <c r="AB6226">
        <v>19</v>
      </c>
      <c r="AC6226">
        <v>1.9471999999999501</v>
      </c>
      <c r="AD6226">
        <v>-1.1098642702879999</v>
      </c>
      <c r="AE6226">
        <v>-12.667529999999999</v>
      </c>
      <c r="AF6226">
        <v>-1.79188356336546</v>
      </c>
      <c r="AG6226">
        <v>-1.1098642702879999</v>
      </c>
      <c r="AH6226">
        <v>12.5940818617456</v>
      </c>
      <c r="AI6226">
        <v>94.986269194032602</v>
      </c>
      <c r="AJ6226">
        <v>98.097682526602995</v>
      </c>
      <c r="AK6226">
        <v>12.769242081794401</v>
      </c>
      <c r="AL6226">
        <v>90.380047797647606</v>
      </c>
      <c r="AM6226">
        <v>88.851935198005293</v>
      </c>
      <c r="AN6226">
        <v>1.00000003862588</v>
      </c>
    </row>
    <row r="6227" spans="1:40" x14ac:dyDescent="0.25">
      <c r="A6227" t="str">
        <f>"20190312154420677"</f>
        <v>20190312154420677</v>
      </c>
      <c r="B6227" t="str">
        <f>"1552376660673638"</f>
        <v>1552376660673638</v>
      </c>
      <c r="C6227" t="s">
        <v>40</v>
      </c>
      <c r="D6227">
        <v>5.1949249999999996</v>
      </c>
      <c r="E6227">
        <v>0.43946590000000002</v>
      </c>
      <c r="F6227" t="s">
        <v>43</v>
      </c>
      <c r="G6227">
        <v>-299.7063</v>
      </c>
      <c r="H6227" s="1">
        <v>-3.9956369999999999E-6</v>
      </c>
      <c r="I6227">
        <v>-31.17473</v>
      </c>
      <c r="J6227">
        <v>-301.73200000000003</v>
      </c>
      <c r="K6227">
        <v>1.109818</v>
      </c>
      <c r="L6227">
        <v>-18.03445</v>
      </c>
      <c r="M6227">
        <v>1.119556E-2</v>
      </c>
      <c r="N6227">
        <v>0</v>
      </c>
      <c r="O6227">
        <v>-0.99990060000000003</v>
      </c>
      <c r="P6227">
        <v>-7.2659380000000004E-3</v>
      </c>
      <c r="Q6227">
        <v>-1.4525359999999999E-2</v>
      </c>
      <c r="R6227">
        <v>-0.99986810000000004</v>
      </c>
      <c r="S6227">
        <v>0.45611570000000001</v>
      </c>
      <c r="T6227">
        <v>-0.24962709999999999</v>
      </c>
      <c r="U6227">
        <v>-3.0006409999999999</v>
      </c>
      <c r="V6227">
        <v>1.8460190000000001E-2</v>
      </c>
      <c r="W6227">
        <v>-5.9612569999999898E-3</v>
      </c>
      <c r="X6227">
        <v>0.99981180000000003</v>
      </c>
      <c r="Y6227">
        <v>-0.13869529999999999</v>
      </c>
      <c r="Z6227">
        <v>8.2028669999999998E-2</v>
      </c>
      <c r="AA6227">
        <v>0.98693200000000003</v>
      </c>
      <c r="AB6227">
        <v>19</v>
      </c>
      <c r="AC6227">
        <v>2.02570000000002</v>
      </c>
      <c r="AD6227">
        <v>-1.1098219956369999</v>
      </c>
      <c r="AE6227">
        <v>-13.140279999999899</v>
      </c>
      <c r="AF6227">
        <v>-1.86545666884564</v>
      </c>
      <c r="AG6227">
        <v>-1.1098219956369999</v>
      </c>
      <c r="AH6227">
        <v>13.0710592695879</v>
      </c>
      <c r="AI6227">
        <v>94.804708829211805</v>
      </c>
      <c r="AJ6227">
        <v>98.122208723957201</v>
      </c>
      <c r="AK6227">
        <v>13.250065051705199</v>
      </c>
      <c r="AL6227">
        <v>90.341556898107299</v>
      </c>
      <c r="AM6227">
        <v>88.942230118511205</v>
      </c>
      <c r="AN6227">
        <v>0.99999997530954698</v>
      </c>
    </row>
    <row r="6228" spans="1:40" x14ac:dyDescent="0.25">
      <c r="A6228" t="str">
        <f>"20190312154420699"</f>
        <v>20190312154420699</v>
      </c>
      <c r="B6228" t="str">
        <f>"1552376660694133"</f>
        <v>1552376660694133</v>
      </c>
      <c r="C6228" t="s">
        <v>40</v>
      </c>
      <c r="D6228">
        <v>5.2797890000000001</v>
      </c>
      <c r="E6228">
        <v>0.40141729999999998</v>
      </c>
      <c r="F6228" t="s">
        <v>43</v>
      </c>
      <c r="G6228">
        <v>-299.57760000000002</v>
      </c>
      <c r="H6228" s="1">
        <v>-3.6329879999999999E-6</v>
      </c>
      <c r="I6228">
        <v>-32.073279999999997</v>
      </c>
      <c r="J6228">
        <v>-301.72969999999998</v>
      </c>
      <c r="K6228">
        <v>1.1097859999999999</v>
      </c>
      <c r="L6228">
        <v>-18.22803</v>
      </c>
      <c r="M6228">
        <v>1.1189030000000001E-2</v>
      </c>
      <c r="N6228">
        <v>0</v>
      </c>
      <c r="O6228">
        <v>-0.99990299999999999</v>
      </c>
      <c r="P6228">
        <v>-5.2456480000000003E-3</v>
      </c>
      <c r="Q6228">
        <v>-1.2927060000000001E-2</v>
      </c>
      <c r="R6228">
        <v>-0.99990299999999999</v>
      </c>
      <c r="S6228">
        <v>0.46041870000000001</v>
      </c>
      <c r="T6228">
        <v>-0.23718520000000001</v>
      </c>
      <c r="U6228">
        <v>-3.000305</v>
      </c>
      <c r="V6228">
        <v>1.6433679999999999E-2</v>
      </c>
      <c r="W6228">
        <v>-4.6148370000000001E-3</v>
      </c>
      <c r="X6228">
        <v>0.99985429999999997</v>
      </c>
      <c r="Y6228">
        <v>-0.14015079999999999</v>
      </c>
      <c r="Z6228">
        <v>7.7958169999999993E-2</v>
      </c>
      <c r="AA6228">
        <v>0.98705639999999994</v>
      </c>
      <c r="AB6228">
        <v>19</v>
      </c>
      <c r="AC6228">
        <v>2.1520999999999599</v>
      </c>
      <c r="AD6228">
        <v>-1.1097896329879999</v>
      </c>
      <c r="AE6228">
        <v>-13.845249999999901</v>
      </c>
      <c r="AF6228">
        <v>-1.98459463019747</v>
      </c>
      <c r="AG6228">
        <v>-1.1097896329879999</v>
      </c>
      <c r="AH6228">
        <v>13.7820023112108</v>
      </c>
      <c r="AI6228">
        <v>94.556981109849204</v>
      </c>
      <c r="AJ6228">
        <v>98.194207526116301</v>
      </c>
      <c r="AK6228">
        <v>13.968315452548801</v>
      </c>
      <c r="AL6228">
        <v>90.264411623906597</v>
      </c>
      <c r="AM6228">
        <v>89.058367072088402</v>
      </c>
      <c r="AN6228">
        <v>0.99999999189368405</v>
      </c>
    </row>
    <row r="6229" spans="1:40" x14ac:dyDescent="0.25">
      <c r="A6229" t="str">
        <f>"20190312154420718"</f>
        <v>20190312154420718</v>
      </c>
      <c r="B6229" t="str">
        <f>"1552376660713654"</f>
        <v>1552376660713654</v>
      </c>
      <c r="C6229" t="s">
        <v>40</v>
      </c>
      <c r="D6229">
        <v>5.2849849999999998</v>
      </c>
      <c r="E6229">
        <v>0.39345370000000002</v>
      </c>
      <c r="F6229" t="s">
        <v>43</v>
      </c>
      <c r="G6229">
        <v>-297.7122</v>
      </c>
      <c r="H6229" s="1">
        <v>-3.1860990000000001E-6</v>
      </c>
      <c r="I6229">
        <v>-33.886330000000001</v>
      </c>
      <c r="J6229">
        <v>-301.72800000000001</v>
      </c>
      <c r="K6229">
        <v>1.1097699999999999</v>
      </c>
      <c r="L6229">
        <v>-18.385380000000001</v>
      </c>
      <c r="M6229">
        <v>1.117891E-2</v>
      </c>
      <c r="N6229">
        <v>0</v>
      </c>
      <c r="O6229">
        <v>-0.99990460000000003</v>
      </c>
      <c r="P6229">
        <v>-3.1658350000000001E-3</v>
      </c>
      <c r="Q6229">
        <v>-1.1228800000000001E-2</v>
      </c>
      <c r="R6229">
        <v>-0.99993220000000005</v>
      </c>
      <c r="S6229">
        <v>0.77014159999999998</v>
      </c>
      <c r="T6229">
        <v>-0.21273880000000001</v>
      </c>
      <c r="U6229">
        <v>-3.0015869999999998</v>
      </c>
      <c r="V6229">
        <v>1.434413E-2</v>
      </c>
      <c r="W6229">
        <v>-3.0998940000000002E-3</v>
      </c>
      <c r="X6229">
        <v>0.99989229999999996</v>
      </c>
      <c r="Y6229">
        <v>-0.23709910000000001</v>
      </c>
      <c r="Z6229">
        <v>6.8578410000000006E-2</v>
      </c>
      <c r="AA6229">
        <v>0.96906190000000003</v>
      </c>
      <c r="AB6229">
        <v>19</v>
      </c>
      <c r="AC6229">
        <v>4.0158000000000103</v>
      </c>
      <c r="AD6229">
        <v>-1.1097731860989899</v>
      </c>
      <c r="AE6229">
        <v>-15.50095</v>
      </c>
      <c r="AF6229">
        <v>-3.8238923057299998</v>
      </c>
      <c r="AG6229">
        <v>-1.1097731860989899</v>
      </c>
      <c r="AH6229">
        <v>15.4705652561374</v>
      </c>
      <c r="AI6229">
        <v>93.983576510257905</v>
      </c>
      <c r="AJ6229">
        <v>103.88364725098199</v>
      </c>
      <c r="AK6229">
        <v>15.9747343713381</v>
      </c>
      <c r="AL6229">
        <v>90.177611129812504</v>
      </c>
      <c r="AM6229">
        <v>89.178109744697693</v>
      </c>
      <c r="AN6229">
        <v>0.99999998750377805</v>
      </c>
    </row>
    <row r="6230" spans="1:40" x14ac:dyDescent="0.25">
      <c r="A6230" t="str">
        <f>"20190312154420740"</f>
        <v>20190312154420740</v>
      </c>
      <c r="B6230" t="str">
        <f>"1552376660734149"</f>
        <v>1552376660734149</v>
      </c>
      <c r="C6230" t="s">
        <v>40</v>
      </c>
      <c r="D6230">
        <v>5.2498009999999997</v>
      </c>
      <c r="E6230">
        <v>0.39026189999999999</v>
      </c>
      <c r="F6230" t="s">
        <v>43</v>
      </c>
      <c r="G6230">
        <v>-297.55349999999999</v>
      </c>
      <c r="H6230" s="1">
        <v>-3.4648779999999999E-6</v>
      </c>
      <c r="I6230">
        <v>-33.30209</v>
      </c>
      <c r="J6230">
        <v>-301.72579999999999</v>
      </c>
      <c r="K6230">
        <v>1.10975</v>
      </c>
      <c r="L6230">
        <v>-18.57837</v>
      </c>
      <c r="M6230">
        <v>1.116464E-2</v>
      </c>
      <c r="N6230">
        <v>0</v>
      </c>
      <c r="O6230">
        <v>-0.99990630000000003</v>
      </c>
      <c r="P6230">
        <v>-9.9950129999999996E-4</v>
      </c>
      <c r="Q6230">
        <v>-1.032712E-2</v>
      </c>
      <c r="R6230">
        <v>-0.99994649999999996</v>
      </c>
      <c r="S6230">
        <v>0.83966059999999998</v>
      </c>
      <c r="T6230">
        <v>-0.22322120000000001</v>
      </c>
      <c r="U6230">
        <v>-3.0003660000000001</v>
      </c>
      <c r="V6230">
        <v>1.2163770000000001E-2</v>
      </c>
      <c r="W6230">
        <v>-2.3964860000000002E-3</v>
      </c>
      <c r="X6230">
        <v>0.99992320000000001</v>
      </c>
      <c r="Y6230">
        <v>-0.25803920000000002</v>
      </c>
      <c r="Z6230">
        <v>7.1562559999999997E-2</v>
      </c>
      <c r="AA6230">
        <v>0.96348049999999996</v>
      </c>
      <c r="AB6230">
        <v>19</v>
      </c>
      <c r="AC6230">
        <v>4.1722999999999999</v>
      </c>
      <c r="AD6230">
        <v>-1.1097534648780001</v>
      </c>
      <c r="AE6230">
        <v>-14.72372</v>
      </c>
      <c r="AF6230">
        <v>-3.9866852024852402</v>
      </c>
      <c r="AG6230">
        <v>-1.1097534648780001</v>
      </c>
      <c r="AH6230">
        <v>14.692125341959001</v>
      </c>
      <c r="AI6230">
        <v>94.169362689710596</v>
      </c>
      <c r="AJ6230">
        <v>105.18156069747999</v>
      </c>
      <c r="AK6230">
        <v>15.2638055123995</v>
      </c>
      <c r="AL6230">
        <v>90.137308657592001</v>
      </c>
      <c r="AM6230">
        <v>89.303048164452207</v>
      </c>
      <c r="AN6230">
        <v>1.0000000531719899</v>
      </c>
    </row>
    <row r="6231" spans="1:40" x14ac:dyDescent="0.25">
      <c r="A6231" t="str">
        <f>"20190312154420763"</f>
        <v>20190312154420763</v>
      </c>
      <c r="B6231" t="str">
        <f>"1552376660753670"</f>
        <v>1552376660753670</v>
      </c>
      <c r="C6231" t="s">
        <v>40</v>
      </c>
      <c r="D6231">
        <v>5.1513</v>
      </c>
      <c r="E6231">
        <v>0.38919330000000002</v>
      </c>
      <c r="F6231" t="s">
        <v>43</v>
      </c>
      <c r="G6231">
        <v>-297.5215</v>
      </c>
      <c r="H6231" s="1">
        <v>-3.5827290000000002E-6</v>
      </c>
      <c r="I6231">
        <v>-33.040599999999998</v>
      </c>
      <c r="J6231">
        <v>-301.72359999999998</v>
      </c>
      <c r="K6231">
        <v>1.1097399999999999</v>
      </c>
      <c r="L6231">
        <v>-18.773710000000001</v>
      </c>
      <c r="M6231">
        <v>1.11515E-2</v>
      </c>
      <c r="N6231">
        <v>0</v>
      </c>
      <c r="O6231">
        <v>-0.99990800000000002</v>
      </c>
      <c r="P6231" s="1">
        <v>-3.5429950000000001E-5</v>
      </c>
      <c r="Q6231">
        <v>-1.0589319999999999E-2</v>
      </c>
      <c r="R6231">
        <v>-0.99994430000000001</v>
      </c>
      <c r="S6231">
        <v>0.87173459999999903</v>
      </c>
      <c r="T6231">
        <v>-0.23010059999999999</v>
      </c>
      <c r="U6231">
        <v>-2.9986570000000001</v>
      </c>
      <c r="V6231">
        <v>1.118654E-2</v>
      </c>
      <c r="W6231">
        <v>-2.821297E-3</v>
      </c>
      <c r="X6231">
        <v>0.99993339999999997</v>
      </c>
      <c r="Y6231">
        <v>-0.2676694</v>
      </c>
      <c r="Z6231">
        <v>7.3592229999999995E-2</v>
      </c>
      <c r="AA6231">
        <v>0.9606962</v>
      </c>
      <c r="AB6231">
        <v>19</v>
      </c>
      <c r="AC6231">
        <v>4.2020999999999704</v>
      </c>
      <c r="AD6231">
        <v>-1.1097435827290001</v>
      </c>
      <c r="AE6231">
        <v>-14.266889999999901</v>
      </c>
      <c r="AF6231">
        <v>-4.0203535964816499</v>
      </c>
      <c r="AG6231">
        <v>-1.1097435827290001</v>
      </c>
      <c r="AH6231">
        <v>14.233618929805999</v>
      </c>
      <c r="AI6231">
        <v>94.290907679437893</v>
      </c>
      <c r="AJ6231">
        <v>105.77258610239601</v>
      </c>
      <c r="AK6231">
        <v>14.8320828510052</v>
      </c>
      <c r="AL6231">
        <v>90.161648633153305</v>
      </c>
      <c r="AM6231">
        <v>89.359042519956304</v>
      </c>
      <c r="AN6231">
        <v>0.99999995141474496</v>
      </c>
    </row>
    <row r="6232" spans="1:40" x14ac:dyDescent="0.25">
      <c r="A6232" t="str">
        <f>"20190312154420785"</f>
        <v>20190312154420785</v>
      </c>
      <c r="B6232" t="str">
        <f>"1552376660774166"</f>
        <v>1552376660774166</v>
      </c>
      <c r="C6232" t="s">
        <v>40</v>
      </c>
      <c r="D6232">
        <v>5.272691</v>
      </c>
      <c r="E6232">
        <v>0.38863819999999999</v>
      </c>
      <c r="F6232" t="s">
        <v>43</v>
      </c>
      <c r="G6232">
        <v>-297.70280000000002</v>
      </c>
      <c r="H6232" s="1">
        <v>-3.8162519999999997E-6</v>
      </c>
      <c r="I6232">
        <v>-32.421309999999998</v>
      </c>
      <c r="J6232">
        <v>-301.72140000000002</v>
      </c>
      <c r="K6232">
        <v>1.1097349999999999</v>
      </c>
      <c r="L6232">
        <v>-18.9678</v>
      </c>
      <c r="M6232">
        <v>1.1141720000000001E-2</v>
      </c>
      <c r="N6232">
        <v>0</v>
      </c>
      <c r="O6232">
        <v>-0.99990869999999998</v>
      </c>
      <c r="P6232">
        <v>7.5855649999999905E-4</v>
      </c>
      <c r="Q6232">
        <v>-1.0907770000000001E-2</v>
      </c>
      <c r="R6232">
        <v>-0.99994050000000001</v>
      </c>
      <c r="S6232">
        <v>0.88314820000000005</v>
      </c>
      <c r="T6232">
        <v>-0.2437493</v>
      </c>
      <c r="U6232">
        <v>-2.99762</v>
      </c>
      <c r="V6232">
        <v>1.038273E-2</v>
      </c>
      <c r="W6232">
        <v>-3.2571269999999999E-3</v>
      </c>
      <c r="X6232">
        <v>0.99994079999999996</v>
      </c>
      <c r="Y6232">
        <v>-0.2710436</v>
      </c>
      <c r="Z6232">
        <v>7.7878420000000004E-2</v>
      </c>
      <c r="AA6232">
        <v>0.95941140000000003</v>
      </c>
      <c r="AB6232">
        <v>19</v>
      </c>
      <c r="AC6232">
        <v>4.0185999999999904</v>
      </c>
      <c r="AD6232">
        <v>-1.1097388162520001</v>
      </c>
      <c r="AE6232">
        <v>-13.4535099999999</v>
      </c>
      <c r="AF6232">
        <v>-3.84443573516918</v>
      </c>
      <c r="AG6232">
        <v>-1.1097388162520001</v>
      </c>
      <c r="AH6232">
        <v>13.4136586695237</v>
      </c>
      <c r="AI6232">
        <v>94.547164692660004</v>
      </c>
      <c r="AJ6232">
        <v>105.992622950442</v>
      </c>
      <c r="AK6232">
        <v>13.9977657240229</v>
      </c>
      <c r="AL6232">
        <v>90.1866199591542</v>
      </c>
      <c r="AM6232">
        <v>89.405099550691205</v>
      </c>
      <c r="AN6232">
        <v>1.00000000673159</v>
      </c>
    </row>
    <row r="6233" spans="1:40" x14ac:dyDescent="0.25">
      <c r="A6233" t="str">
        <f>"20190312154420820"</f>
        <v>20190312154420820</v>
      </c>
      <c r="B6233" t="str">
        <f>"1552376660814185"</f>
        <v>1552376660814185</v>
      </c>
      <c r="C6233" t="s">
        <v>40</v>
      </c>
      <c r="D6233">
        <v>5.2852110000000003</v>
      </c>
      <c r="E6233">
        <v>0.38780100000000001</v>
      </c>
      <c r="F6233" t="s">
        <v>43</v>
      </c>
      <c r="G6233">
        <v>-297.77109999999999</v>
      </c>
      <c r="H6233" s="1">
        <v>-3.867324E-6</v>
      </c>
      <c r="I6233">
        <v>-32.274000000000001</v>
      </c>
      <c r="J6233">
        <v>-301.71809999999999</v>
      </c>
      <c r="K6233">
        <v>1.1097459999999999</v>
      </c>
      <c r="L6233">
        <v>-19.264040000000001</v>
      </c>
      <c r="M6233">
        <v>1.113434E-2</v>
      </c>
      <c r="N6233">
        <v>0</v>
      </c>
      <c r="O6233">
        <v>-0.99990939999999995</v>
      </c>
      <c r="P6233">
        <v>7.2744240000000005E-4</v>
      </c>
      <c r="Q6233">
        <v>-1.112963E-2</v>
      </c>
      <c r="R6233">
        <v>-0.99993799999999999</v>
      </c>
      <c r="S6233">
        <v>0.889679</v>
      </c>
      <c r="T6233">
        <v>-0.24993319999999999</v>
      </c>
      <c r="U6233">
        <v>-2.9967959999999998</v>
      </c>
      <c r="V6233">
        <v>1.040641E-2</v>
      </c>
      <c r="W6233">
        <v>-3.5534870000000001E-3</v>
      </c>
      <c r="X6233">
        <v>0.99993960000000004</v>
      </c>
      <c r="Y6233">
        <v>-0.27300059999999998</v>
      </c>
      <c r="Z6233">
        <v>7.9815720000000007E-2</v>
      </c>
      <c r="AA6233">
        <v>0.95869709999999997</v>
      </c>
      <c r="AB6233">
        <v>19</v>
      </c>
      <c r="AC6233">
        <v>3.9470000000000001</v>
      </c>
      <c r="AD6233">
        <v>-1.1097498673239901</v>
      </c>
      <c r="AE6233">
        <v>-13.00996</v>
      </c>
      <c r="AF6233">
        <v>-3.7767301133813498</v>
      </c>
      <c r="AG6233">
        <v>-1.1097498673239901</v>
      </c>
      <c r="AH6233">
        <v>12.9667069135928</v>
      </c>
      <c r="AI6233">
        <v>94.697444986048296</v>
      </c>
      <c r="AJ6233">
        <v>106.238920493267</v>
      </c>
      <c r="AK6233">
        <v>13.551041410178099</v>
      </c>
      <c r="AL6233">
        <v>90.203600223489502</v>
      </c>
      <c r="AM6233">
        <v>89.403742137411697</v>
      </c>
      <c r="AN6233">
        <v>1.0000000621435501</v>
      </c>
    </row>
    <row r="6234" spans="1:40" x14ac:dyDescent="0.25">
      <c r="A6234" t="str">
        <f>"20190312154420841"</f>
        <v>20190312154420841</v>
      </c>
      <c r="B6234" t="str">
        <f>"1552376660833701"</f>
        <v>1552376660833701</v>
      </c>
      <c r="C6234" t="s">
        <v>40</v>
      </c>
      <c r="D6234">
        <v>5.2594469999999998</v>
      </c>
      <c r="E6234">
        <v>0.3874262</v>
      </c>
      <c r="F6234" t="s">
        <v>43</v>
      </c>
      <c r="G6234">
        <v>-297.86369999999999</v>
      </c>
      <c r="H6234" s="1">
        <v>-3.9037249999999996E-6</v>
      </c>
      <c r="I6234">
        <v>-32.150859999999902</v>
      </c>
      <c r="J6234">
        <v>-301.71600000000001</v>
      </c>
      <c r="K6234">
        <v>1.1097539999999999</v>
      </c>
      <c r="L6234">
        <v>-19.45712</v>
      </c>
      <c r="M6234">
        <v>1.1133189999999999E-2</v>
      </c>
      <c r="N6234">
        <v>0</v>
      </c>
      <c r="O6234">
        <v>-0.99990959999999995</v>
      </c>
      <c r="P6234">
        <v>1.233335E-4</v>
      </c>
      <c r="Q6234">
        <v>-1.1544270000000001E-2</v>
      </c>
      <c r="R6234">
        <v>-0.99993390000000004</v>
      </c>
      <c r="S6234">
        <v>0.89630129999999997</v>
      </c>
      <c r="T6234">
        <v>-0.25805879999999998</v>
      </c>
      <c r="U6234">
        <v>-2.9966740000000001</v>
      </c>
      <c r="V6234">
        <v>1.100926E-2</v>
      </c>
      <c r="W6234">
        <v>-3.9598410000000004E-3</v>
      </c>
      <c r="X6234">
        <v>0.99993160000000003</v>
      </c>
      <c r="Y6234">
        <v>-0.27489859999999999</v>
      </c>
      <c r="Z6234">
        <v>8.2347799999999999E-2</v>
      </c>
      <c r="AA6234">
        <v>0.95794029999999997</v>
      </c>
      <c r="AB6234">
        <v>20</v>
      </c>
      <c r="AC6234">
        <v>3.8523000000000098</v>
      </c>
      <c r="AD6234">
        <v>-1.109757903725</v>
      </c>
      <c r="AE6234">
        <v>-12.693739999999901</v>
      </c>
      <c r="AF6234">
        <v>-3.6849457257129998</v>
      </c>
      <c r="AG6234">
        <v>-1.109757903725</v>
      </c>
      <c r="AH6234">
        <v>12.6473285290818</v>
      </c>
      <c r="AI6234">
        <v>94.815425476562197</v>
      </c>
      <c r="AJ6234">
        <v>106.244094083967</v>
      </c>
      <c r="AK6234">
        <v>13.219882999817299</v>
      </c>
      <c r="AL6234">
        <v>90.226882759702093</v>
      </c>
      <c r="AM6234">
        <v>89.369198205707207</v>
      </c>
      <c r="AN6234">
        <v>1.0000000444125201</v>
      </c>
    </row>
    <row r="6235" spans="1:40" x14ac:dyDescent="0.25">
      <c r="A6235" t="str">
        <f>"20190312154420864"</f>
        <v>20190312154420864</v>
      </c>
      <c r="B6235" t="str">
        <f>"1552376660854197"</f>
        <v>1552376660854197</v>
      </c>
      <c r="C6235" t="s">
        <v>40</v>
      </c>
      <c r="D6235">
        <v>5.3174020000000004</v>
      </c>
      <c r="E6235">
        <v>0.3872427</v>
      </c>
      <c r="F6235" t="s">
        <v>43</v>
      </c>
      <c r="G6235">
        <v>-297.94639999999998</v>
      </c>
      <c r="H6235" s="1">
        <v>-3.9335429999999998E-6</v>
      </c>
      <c r="I6235">
        <v>-32.047139999999999</v>
      </c>
      <c r="J6235">
        <v>-301.71370000000002</v>
      </c>
      <c r="K6235">
        <v>1.109777</v>
      </c>
      <c r="L6235">
        <v>-19.668610000000001</v>
      </c>
      <c r="M6235">
        <v>1.1134120000000001E-2</v>
      </c>
      <c r="N6235">
        <v>0</v>
      </c>
      <c r="O6235">
        <v>-0.99990869999999998</v>
      </c>
      <c r="P6235">
        <v>-7.2935649999999997E-4</v>
      </c>
      <c r="Q6235">
        <v>-1.222384E-2</v>
      </c>
      <c r="R6235">
        <v>-0.99992510000000001</v>
      </c>
      <c r="S6235">
        <v>0.89733890000000005</v>
      </c>
      <c r="T6235">
        <v>-0.26417669999999999</v>
      </c>
      <c r="U6235">
        <v>-2.9970400000000001</v>
      </c>
      <c r="V6235">
        <v>1.186272E-2</v>
      </c>
      <c r="W6235">
        <v>-4.5733070000000004E-3</v>
      </c>
      <c r="X6235">
        <v>0.99991920000000001</v>
      </c>
      <c r="Y6235">
        <v>-0.27512399999999998</v>
      </c>
      <c r="Z6235">
        <v>8.4269179999999999E-2</v>
      </c>
      <c r="AA6235">
        <v>0.95770849999999996</v>
      </c>
      <c r="AB6235">
        <v>20</v>
      </c>
      <c r="AC6235">
        <v>3.7673000000000298</v>
      </c>
      <c r="AD6235">
        <v>-1.109780933543</v>
      </c>
      <c r="AE6235">
        <v>-12.3785299999999</v>
      </c>
      <c r="AF6235">
        <v>-3.6027352010212299</v>
      </c>
      <c r="AG6235">
        <v>-1.109780933543</v>
      </c>
      <c r="AH6235">
        <v>12.3290122257556</v>
      </c>
      <c r="AI6235">
        <v>94.938117980416806</v>
      </c>
      <c r="AJ6235">
        <v>106.289209722284</v>
      </c>
      <c r="AK6235">
        <v>12.8924728858339</v>
      </c>
      <c r="AL6235">
        <v>90.262032096929801</v>
      </c>
      <c r="AM6235">
        <v>89.320293175239101</v>
      </c>
      <c r="AN6235">
        <v>1.00000002289567</v>
      </c>
    </row>
    <row r="6236" spans="1:40" x14ac:dyDescent="0.25">
      <c r="A6236" t="str">
        <f>"20190312154420889"</f>
        <v>20190312154420889</v>
      </c>
      <c r="B6236" t="str">
        <f>"1552376660883477"</f>
        <v>1552376660883477</v>
      </c>
      <c r="C6236" t="s">
        <v>40</v>
      </c>
      <c r="D6236">
        <v>5.3019189999999998</v>
      </c>
      <c r="E6236">
        <v>0.3869901</v>
      </c>
      <c r="F6236" t="s">
        <v>43</v>
      </c>
      <c r="G6236">
        <v>-298.01900000000001</v>
      </c>
      <c r="H6236" s="1">
        <v>-3.9304609999999999E-6</v>
      </c>
      <c r="I6236">
        <v>-32.024329999999999</v>
      </c>
      <c r="J6236">
        <v>-301.71140000000003</v>
      </c>
      <c r="K6236">
        <v>1.10982</v>
      </c>
      <c r="L6236">
        <v>-19.874849999999999</v>
      </c>
      <c r="M6236">
        <v>1.113625E-2</v>
      </c>
      <c r="N6236">
        <v>0</v>
      </c>
      <c r="O6236">
        <v>-0.99990749999999995</v>
      </c>
      <c r="P6236">
        <v>-1.7069679999999999E-3</v>
      </c>
      <c r="Q6236">
        <v>-1.2935790000000001E-2</v>
      </c>
      <c r="R6236">
        <v>-0.99991490000000005</v>
      </c>
      <c r="S6236">
        <v>0.89636229999999995</v>
      </c>
      <c r="T6236">
        <v>-0.26924110000000001</v>
      </c>
      <c r="U6236">
        <v>-2.9975890000000001</v>
      </c>
      <c r="V6236">
        <v>1.2842289999999999E-2</v>
      </c>
      <c r="W6236">
        <v>-5.1224259999999898E-3</v>
      </c>
      <c r="X6236">
        <v>0.99990440000000003</v>
      </c>
      <c r="Y6236">
        <v>-0.2747482</v>
      </c>
      <c r="Z6236">
        <v>8.5866029999999996E-2</v>
      </c>
      <c r="AA6236">
        <v>0.95767449999999998</v>
      </c>
      <c r="AB6236">
        <v>20</v>
      </c>
      <c r="AC6236">
        <v>3.6924000000000201</v>
      </c>
      <c r="AD6236">
        <v>-1.109823930461</v>
      </c>
      <c r="AE6236">
        <v>-12.149480000000001</v>
      </c>
      <c r="AF6236">
        <v>-3.52990300548647</v>
      </c>
      <c r="AG6236">
        <v>-1.109823930461</v>
      </c>
      <c r="AH6236">
        <v>12.0974373353337</v>
      </c>
      <c r="AI6236">
        <v>95.032933764075494</v>
      </c>
      <c r="AJ6236">
        <v>106.26668101929801</v>
      </c>
      <c r="AK6236">
        <v>12.6506883001319</v>
      </c>
      <c r="AL6236">
        <v>90.293494678182398</v>
      </c>
      <c r="AM6236">
        <v>89.264161092205299</v>
      </c>
      <c r="AN6236">
        <v>0.99999998639996401</v>
      </c>
    </row>
    <row r="6237" spans="1:40" x14ac:dyDescent="0.25">
      <c r="A6237" t="str">
        <f>"20190312154420919"</f>
        <v>20190312154420919</v>
      </c>
      <c r="B6237" t="str">
        <f>"1552376660913734"</f>
        <v>1552376660913734</v>
      </c>
      <c r="C6237" t="s">
        <v>40</v>
      </c>
      <c r="D6237">
        <v>5.5094570000000003</v>
      </c>
      <c r="E6237">
        <v>0.38672600000000001</v>
      </c>
      <c r="F6237" t="s">
        <v>43</v>
      </c>
      <c r="G6237">
        <v>-298.08190000000002</v>
      </c>
      <c r="H6237" s="1">
        <v>-3.9187119999999998E-6</v>
      </c>
      <c r="I6237">
        <v>-32.025700000000001</v>
      </c>
      <c r="J6237">
        <v>-301.70830000000001</v>
      </c>
      <c r="K6237">
        <v>1.1099049999999999</v>
      </c>
      <c r="L6237">
        <v>-20.151949999999999</v>
      </c>
      <c r="M6237">
        <v>1.113945E-2</v>
      </c>
      <c r="N6237">
        <v>0</v>
      </c>
      <c r="O6237">
        <v>-0.99990420000000002</v>
      </c>
      <c r="P6237">
        <v>-2.9545230000000001E-3</v>
      </c>
      <c r="Q6237">
        <v>-1.302348E-2</v>
      </c>
      <c r="R6237">
        <v>-0.99991070000000004</v>
      </c>
      <c r="S6237">
        <v>0.89556880000000005</v>
      </c>
      <c r="T6237">
        <v>-0.27384960000000003</v>
      </c>
      <c r="U6237">
        <v>-2.99823</v>
      </c>
      <c r="V6237">
        <v>1.409298E-2</v>
      </c>
      <c r="W6237">
        <v>-4.8165550000000001E-3</v>
      </c>
      <c r="X6237">
        <v>0.99988909999999998</v>
      </c>
      <c r="Y6237">
        <v>-0.27442030000000001</v>
      </c>
      <c r="Z6237">
        <v>8.7313879999999996E-2</v>
      </c>
      <c r="AA6237">
        <v>0.95763759999999998</v>
      </c>
      <c r="AB6237">
        <v>20</v>
      </c>
      <c r="AC6237">
        <v>3.6263999999999799</v>
      </c>
      <c r="AD6237">
        <v>-1.1099089187119999</v>
      </c>
      <c r="AE6237">
        <v>-11.873749999999999</v>
      </c>
      <c r="AF6237">
        <v>-3.4662007613140902</v>
      </c>
      <c r="AG6237">
        <v>-1.1099089187119999</v>
      </c>
      <c r="AH6237">
        <v>11.818950796175701</v>
      </c>
      <c r="AI6237">
        <v>95.149234434160803</v>
      </c>
      <c r="AJ6237">
        <v>106.345084966088</v>
      </c>
      <c r="AK6237">
        <v>12.366650453861499</v>
      </c>
      <c r="AL6237">
        <v>90.275969337089805</v>
      </c>
      <c r="AM6237">
        <v>89.192495636142894</v>
      </c>
      <c r="AN6237">
        <v>1.0000000117930701</v>
      </c>
    </row>
    <row r="6238" spans="1:40" x14ac:dyDescent="0.25">
      <c r="A6238" t="str">
        <f>"20190312154420942"</f>
        <v>20190312154420942</v>
      </c>
      <c r="B6238" t="str">
        <f>"1552376660934229"</f>
        <v>1552376660934229</v>
      </c>
      <c r="C6238" t="s">
        <v>40</v>
      </c>
      <c r="D6238">
        <v>5.3849499999999999</v>
      </c>
      <c r="E6238">
        <v>0.42431400000000002</v>
      </c>
      <c r="F6238" t="s">
        <v>43</v>
      </c>
      <c r="G6238">
        <v>-298.1148</v>
      </c>
      <c r="H6238" s="1">
        <v>-3.8338599999999996E-6</v>
      </c>
      <c r="I6238">
        <v>-32.209910000000001</v>
      </c>
      <c r="J6238">
        <v>-301.70609999999999</v>
      </c>
      <c r="K6238">
        <v>1.1099650000000001</v>
      </c>
      <c r="L6238">
        <v>-20.348749999999999</v>
      </c>
      <c r="M6238">
        <v>1.114094E-2</v>
      </c>
      <c r="N6238">
        <v>0</v>
      </c>
      <c r="O6238">
        <v>-0.99990179999999995</v>
      </c>
      <c r="P6238">
        <v>-3.4979099999999999E-3</v>
      </c>
      <c r="Q6238">
        <v>-1.313546E-2</v>
      </c>
      <c r="R6238">
        <v>-0.99990769999999995</v>
      </c>
      <c r="S6238">
        <v>0.89385990000000004</v>
      </c>
      <c r="T6238">
        <v>-0.27608169999999999</v>
      </c>
      <c r="U6238">
        <v>-2.9993289999999999</v>
      </c>
      <c r="V6238">
        <v>1.4637839999999999E-2</v>
      </c>
      <c r="W6238">
        <v>-4.6053450000000003E-3</v>
      </c>
      <c r="X6238">
        <v>0.9998823</v>
      </c>
      <c r="Y6238">
        <v>-0.2738042</v>
      </c>
      <c r="Z6238">
        <v>8.8004020000000002E-2</v>
      </c>
      <c r="AA6238">
        <v>0.95775080000000001</v>
      </c>
      <c r="AB6238">
        <v>20</v>
      </c>
      <c r="AC6238">
        <v>3.59129999999998</v>
      </c>
      <c r="AD6238">
        <v>-1.10996883385999</v>
      </c>
      <c r="AE6238">
        <v>-11.86116</v>
      </c>
      <c r="AF6238">
        <v>-3.4314016949643502</v>
      </c>
      <c r="AG6238">
        <v>-1.10996883385999</v>
      </c>
      <c r="AH6238">
        <v>11.805732019195201</v>
      </c>
      <c r="AI6238">
        <v>95.158860115615695</v>
      </c>
      <c r="AJ6238">
        <v>106.206800140269</v>
      </c>
      <c r="AK6238">
        <v>12.3443046346644</v>
      </c>
      <c r="AL6238">
        <v>90.263867752647698</v>
      </c>
      <c r="AM6238">
        <v>89.161274736012899</v>
      </c>
      <c r="AN6238">
        <v>1.0000000447078601</v>
      </c>
    </row>
    <row r="6239" spans="1:40" x14ac:dyDescent="0.25">
      <c r="A6239" t="str">
        <f>"20190312154420965"</f>
        <v>20190312154420965</v>
      </c>
      <c r="B6239" t="str">
        <f>"1552376660953750"</f>
        <v>1552376660953750</v>
      </c>
      <c r="C6239" t="s">
        <v>40</v>
      </c>
      <c r="D6239">
        <v>5.3653029999999999</v>
      </c>
      <c r="E6239">
        <v>0.44231749999999997</v>
      </c>
      <c r="F6239" t="s">
        <v>43</v>
      </c>
      <c r="G6239">
        <v>-299.29039999999998</v>
      </c>
      <c r="H6239" s="1">
        <v>-3.468704E-6</v>
      </c>
      <c r="I6239">
        <v>-32.57499</v>
      </c>
      <c r="J6239">
        <v>-301.7038</v>
      </c>
      <c r="K6239">
        <v>1.110033</v>
      </c>
      <c r="L6239">
        <v>-20.551850000000002</v>
      </c>
      <c r="M6239">
        <v>1.1141750000000001E-2</v>
      </c>
      <c r="N6239">
        <v>0</v>
      </c>
      <c r="O6239">
        <v>-0.99989819999999996</v>
      </c>
      <c r="P6239">
        <v>-4.2694120000000002E-3</v>
      </c>
      <c r="Q6239">
        <v>-1.348924E-2</v>
      </c>
      <c r="R6239">
        <v>-0.99990020000000002</v>
      </c>
      <c r="S6239">
        <v>0.59249879999999999</v>
      </c>
      <c r="T6239">
        <v>-0.27224670000000001</v>
      </c>
      <c r="U6239">
        <v>-2.9987789999999999</v>
      </c>
      <c r="V6239">
        <v>1.541007E-2</v>
      </c>
      <c r="W6239">
        <v>-4.5577229999999996E-3</v>
      </c>
      <c r="X6239">
        <v>0.99987090000000001</v>
      </c>
      <c r="Y6239">
        <v>-0.18212449999999999</v>
      </c>
      <c r="Z6239">
        <v>8.8798370000000001E-2</v>
      </c>
      <c r="AA6239">
        <v>0.97925759999999995</v>
      </c>
      <c r="AB6239">
        <v>20</v>
      </c>
      <c r="AC6239">
        <v>2.4134000000000202</v>
      </c>
      <c r="AD6239">
        <v>-1.1100364687039901</v>
      </c>
      <c r="AE6239">
        <v>-12.0231399999999</v>
      </c>
      <c r="AF6239">
        <v>-2.2607619015242699</v>
      </c>
      <c r="AG6239">
        <v>-1.1100364687039901</v>
      </c>
      <c r="AH6239">
        <v>11.9513576534648</v>
      </c>
      <c r="AI6239">
        <v>95.2144309072293</v>
      </c>
      <c r="AJ6239">
        <v>100.71170781874299</v>
      </c>
      <c r="AK6239">
        <v>12.2138517715857</v>
      </c>
      <c r="AL6239">
        <v>90.261139188392093</v>
      </c>
      <c r="AM6239">
        <v>89.117023932903706</v>
      </c>
      <c r="AN6239">
        <v>1.0000000298815701</v>
      </c>
    </row>
    <row r="6240" spans="1:40" x14ac:dyDescent="0.25">
      <c r="A6240" t="str">
        <f>"20190312154420987"</f>
        <v>20190312154420987</v>
      </c>
      <c r="B6240" t="str">
        <f>"1552376660984005"</f>
        <v>1552376660984005</v>
      </c>
      <c r="C6240" t="s">
        <v>40</v>
      </c>
      <c r="D6240">
        <v>5.2451049999999997</v>
      </c>
      <c r="E6240">
        <v>0.45028069999999998</v>
      </c>
      <c r="F6240" t="s">
        <v>43</v>
      </c>
      <c r="G6240">
        <v>-299.9622</v>
      </c>
      <c r="H6240" s="1">
        <v>-3.494347E-6</v>
      </c>
      <c r="I6240">
        <v>-32.242049999999999</v>
      </c>
      <c r="J6240">
        <v>-301.70159999999998</v>
      </c>
      <c r="K6240">
        <v>1.1101129999999999</v>
      </c>
      <c r="L6240">
        <v>-20.748290000000001</v>
      </c>
      <c r="M6240">
        <v>1.114236E-2</v>
      </c>
      <c r="N6240">
        <v>0</v>
      </c>
      <c r="O6240">
        <v>-0.99989410000000001</v>
      </c>
      <c r="P6240">
        <v>-4.9112399999999999E-3</v>
      </c>
      <c r="Q6240">
        <v>-1.42588E-2</v>
      </c>
      <c r="R6240">
        <v>-0.99988659999999996</v>
      </c>
      <c r="S6240">
        <v>0.44668580000000002</v>
      </c>
      <c r="T6240">
        <v>-0.28470970000000001</v>
      </c>
      <c r="U6240">
        <v>-2.998383</v>
      </c>
      <c r="V6240">
        <v>1.6052339999999998E-2</v>
      </c>
      <c r="W6240">
        <v>-4.8651600000000003E-3</v>
      </c>
      <c r="X6240">
        <v>0.99985930000000001</v>
      </c>
      <c r="Y6240">
        <v>-0.13567279999999901</v>
      </c>
      <c r="Z6240">
        <v>9.3571840000000003E-2</v>
      </c>
      <c r="AA6240">
        <v>0.98632509999999995</v>
      </c>
      <c r="AB6240">
        <v>20</v>
      </c>
      <c r="AC6240">
        <v>1.7393999999999801</v>
      </c>
      <c r="AD6240">
        <v>-1.1101164943470001</v>
      </c>
      <c r="AE6240">
        <v>-11.493759999999901</v>
      </c>
      <c r="AF6240">
        <v>-1.59665780662513</v>
      </c>
      <c r="AG6240">
        <v>-1.1101164943470001</v>
      </c>
      <c r="AH6240">
        <v>11.408387643395599</v>
      </c>
      <c r="AI6240">
        <v>95.504472264770996</v>
      </c>
      <c r="AJ6240">
        <v>97.9670664311043</v>
      </c>
      <c r="AK6240">
        <v>11.5729418647317</v>
      </c>
      <c r="AL6240">
        <v>90.278754238910395</v>
      </c>
      <c r="AM6240">
        <v>89.080218261477</v>
      </c>
      <c r="AN6240">
        <v>0.99999998359889497</v>
      </c>
    </row>
    <row r="6241" spans="1:40" x14ac:dyDescent="0.25">
      <c r="A6241" t="str">
        <f>"20190312154421009"</f>
        <v>20190312154421009</v>
      </c>
      <c r="B6241" t="str">
        <f>"1552376661003526"</f>
        <v>1552376661003526</v>
      </c>
      <c r="C6241" t="s">
        <v>40</v>
      </c>
      <c r="D6241">
        <v>5.3186790000000004</v>
      </c>
      <c r="E6241">
        <v>0.45203900000000002</v>
      </c>
      <c r="F6241" t="s">
        <v>43</v>
      </c>
      <c r="G6241">
        <v>-300.22789999999998</v>
      </c>
      <c r="H6241" s="1">
        <v>-3.5281539999999999E-6</v>
      </c>
      <c r="I6241">
        <v>-32.328000000000003</v>
      </c>
      <c r="J6241">
        <v>-301.6995</v>
      </c>
      <c r="K6241">
        <v>1.110179</v>
      </c>
      <c r="L6241">
        <v>-20.941410000000001</v>
      </c>
      <c r="M6241">
        <v>1.1142920000000001E-2</v>
      </c>
      <c r="N6241">
        <v>0</v>
      </c>
      <c r="O6241">
        <v>-0.99988940000000004</v>
      </c>
      <c r="P6241">
        <v>-4.9910830000000003E-3</v>
      </c>
      <c r="Q6241">
        <v>-1.3787509999999999E-2</v>
      </c>
      <c r="R6241">
        <v>-0.99989260000000002</v>
      </c>
      <c r="S6241">
        <v>0.38156129999999999</v>
      </c>
      <c r="T6241">
        <v>-0.28742069999999997</v>
      </c>
      <c r="U6241">
        <v>-2.9981080000000002</v>
      </c>
      <c r="V6241">
        <v>1.613289E-2</v>
      </c>
      <c r="W6241">
        <v>-3.9357639999999996E-3</v>
      </c>
      <c r="X6241">
        <v>0.99986209999999998</v>
      </c>
      <c r="Y6241">
        <v>-0.1146194</v>
      </c>
      <c r="Z6241">
        <v>9.4728129999999994E-2</v>
      </c>
      <c r="AA6241">
        <v>0.9888827</v>
      </c>
      <c r="AB6241">
        <v>20</v>
      </c>
      <c r="AC6241">
        <v>1.47160000000002</v>
      </c>
      <c r="AD6241">
        <v>-1.1101825281540001</v>
      </c>
      <c r="AE6241">
        <v>-11.38659</v>
      </c>
      <c r="AF6241">
        <v>-1.3321669721325999</v>
      </c>
      <c r="AG6241">
        <v>-1.1101825281540001</v>
      </c>
      <c r="AH6241">
        <v>11.2966589964514</v>
      </c>
      <c r="AI6241">
        <v>95.574356545458798</v>
      </c>
      <c r="AJ6241">
        <v>96.725586072783699</v>
      </c>
      <c r="AK6241">
        <v>11.4289841442521</v>
      </c>
      <c r="AL6241">
        <v>90.225503250868499</v>
      </c>
      <c r="AM6241">
        <v>89.075606220608094</v>
      </c>
      <c r="AN6241">
        <v>0.99999998969721204</v>
      </c>
    </row>
    <row r="6242" spans="1:40" x14ac:dyDescent="0.25">
      <c r="A6242" t="str">
        <f>"20190312154421031"</f>
        <v>20190312154421031</v>
      </c>
      <c r="B6242" t="str">
        <f>"1552376661024022"</f>
        <v>1552376661024022</v>
      </c>
      <c r="C6242" t="s">
        <v>40</v>
      </c>
      <c r="D6242">
        <v>5.2336010000000002</v>
      </c>
      <c r="E6242">
        <v>0.45316010000000001</v>
      </c>
      <c r="F6242" t="s">
        <v>43</v>
      </c>
      <c r="G6242">
        <v>-300.3073</v>
      </c>
      <c r="H6242" s="1">
        <v>-3.5627100000000001E-6</v>
      </c>
      <c r="I6242">
        <v>-32.296680000000002</v>
      </c>
      <c r="J6242">
        <v>-301.69729999999998</v>
      </c>
      <c r="K6242">
        <v>1.110214</v>
      </c>
      <c r="L6242">
        <v>-21.14368</v>
      </c>
      <c r="M6242">
        <v>1.114326E-2</v>
      </c>
      <c r="N6242">
        <v>0</v>
      </c>
      <c r="O6242">
        <v>-0.99988509999999997</v>
      </c>
      <c r="P6242">
        <v>-4.7755080000000004E-3</v>
      </c>
      <c r="Q6242">
        <v>-1.449132E-2</v>
      </c>
      <c r="R6242">
        <v>-0.99988370000000004</v>
      </c>
      <c r="S6242">
        <v>0.36758420000000003</v>
      </c>
      <c r="T6242">
        <v>-0.29311920000000002</v>
      </c>
      <c r="U6242">
        <v>-2.9981080000000002</v>
      </c>
      <c r="V6242">
        <v>1.59176E-2</v>
      </c>
      <c r="W6242">
        <v>-4.2155279999999996E-3</v>
      </c>
      <c r="X6242">
        <v>0.99986439999999999</v>
      </c>
      <c r="Y6242">
        <v>-0.1100561</v>
      </c>
      <c r="Z6242">
        <v>9.6641279999999996E-2</v>
      </c>
      <c r="AA6242">
        <v>0.98921590000000004</v>
      </c>
      <c r="AB6242">
        <v>20</v>
      </c>
      <c r="AC6242">
        <v>1.3899999999999799</v>
      </c>
      <c r="AD6242">
        <v>-1.1102175627099999</v>
      </c>
      <c r="AE6242">
        <v>-11.153</v>
      </c>
      <c r="AF6242">
        <v>-1.2533963225945299</v>
      </c>
      <c r="AG6242">
        <v>-1.1102175627099999</v>
      </c>
      <c r="AH6242">
        <v>11.0598805439479</v>
      </c>
      <c r="AI6242">
        <v>95.696067028534102</v>
      </c>
      <c r="AJ6242">
        <v>96.465641548349893</v>
      </c>
      <c r="AK6242">
        <v>11.1859082342222</v>
      </c>
      <c r="AL6242">
        <v>90.241532683134295</v>
      </c>
      <c r="AM6242">
        <v>89.087942059576804</v>
      </c>
      <c r="AN6242">
        <v>0.99999997952671904</v>
      </c>
    </row>
    <row r="6243" spans="1:40" x14ac:dyDescent="0.25">
      <c r="A6243" t="str">
        <f>"20190312154421055"</f>
        <v>20190312154421055</v>
      </c>
      <c r="B6243" t="str">
        <f>"1552376661043542"</f>
        <v>1552376661043542</v>
      </c>
      <c r="C6243" t="s">
        <v>40</v>
      </c>
      <c r="D6243">
        <v>5.2189560000000004</v>
      </c>
      <c r="E6243">
        <v>0.45426339999999998</v>
      </c>
      <c r="F6243" t="s">
        <v>43</v>
      </c>
      <c r="G6243">
        <v>-300.3852</v>
      </c>
      <c r="H6243" s="1">
        <v>-3.6770859999999999E-6</v>
      </c>
      <c r="I6243">
        <v>-32.078429999999997</v>
      </c>
      <c r="J6243">
        <v>-301.69499999999999</v>
      </c>
      <c r="K6243">
        <v>1.1102369999999999</v>
      </c>
      <c r="L6243">
        <v>-21.346039999999999</v>
      </c>
      <c r="M6243">
        <v>1.1143220000000001E-2</v>
      </c>
      <c r="N6243">
        <v>0</v>
      </c>
      <c r="O6243">
        <v>-0.99988149999999998</v>
      </c>
      <c r="P6243">
        <v>-5.4872280000000002E-3</v>
      </c>
      <c r="Q6243">
        <v>-1.581989E-2</v>
      </c>
      <c r="R6243">
        <v>-0.99985999999999997</v>
      </c>
      <c r="S6243">
        <v>0.35968020000000001</v>
      </c>
      <c r="T6243">
        <v>-0.30435469999999998</v>
      </c>
      <c r="U6243">
        <v>-2.9976500000000001</v>
      </c>
      <c r="V6243">
        <v>1.662897E-2</v>
      </c>
      <c r="W6243">
        <v>-5.1658820000000001E-3</v>
      </c>
      <c r="X6243">
        <v>0.99984839999999997</v>
      </c>
      <c r="Y6243">
        <v>-0.10745970000000001</v>
      </c>
      <c r="Z6243">
        <v>0.1003539</v>
      </c>
      <c r="AA6243">
        <v>0.98913169999999995</v>
      </c>
      <c r="AB6243">
        <v>20</v>
      </c>
      <c r="AC6243">
        <v>1.3097999999999901</v>
      </c>
      <c r="AD6243">
        <v>-1.110240677086</v>
      </c>
      <c r="AE6243">
        <v>-10.732390000000001</v>
      </c>
      <c r="AF6243">
        <v>-1.1777004307780099</v>
      </c>
      <c r="AG6243">
        <v>-1.110240677086</v>
      </c>
      <c r="AH6243">
        <v>10.6341889733448</v>
      </c>
      <c r="AI6243">
        <v>95.924295802790795</v>
      </c>
      <c r="AJ6243">
        <v>96.319561509802099</v>
      </c>
      <c r="AK6243">
        <v>10.7566531870522</v>
      </c>
      <c r="AL6243">
        <v>90.295984547799506</v>
      </c>
      <c r="AM6243">
        <v>89.047173585730306</v>
      </c>
      <c r="AN6243">
        <v>1.00000001598132</v>
      </c>
    </row>
    <row r="6244" spans="1:40" x14ac:dyDescent="0.25">
      <c r="A6244" t="str">
        <f>"20190312154421079"</f>
        <v>20190312154421079</v>
      </c>
      <c r="B6244" t="str">
        <f>"1552376661073799"</f>
        <v>1552376661073799</v>
      </c>
      <c r="C6244" t="s">
        <v>40</v>
      </c>
      <c r="D6244">
        <v>5.213927</v>
      </c>
      <c r="E6244">
        <v>0.45527040000000002</v>
      </c>
      <c r="F6244" t="s">
        <v>43</v>
      </c>
      <c r="G6244">
        <v>-300.42880000000002</v>
      </c>
      <c r="H6244" s="1">
        <v>-3.6253350000000002E-6</v>
      </c>
      <c r="I6244">
        <v>-32.22607</v>
      </c>
      <c r="J6244">
        <v>-301.69260000000003</v>
      </c>
      <c r="K6244">
        <v>1.1102650000000001</v>
      </c>
      <c r="L6244">
        <v>-21.56195</v>
      </c>
      <c r="M6244">
        <v>1.114276E-2</v>
      </c>
      <c r="N6244">
        <v>0</v>
      </c>
      <c r="O6244">
        <v>-0.99987749999999997</v>
      </c>
      <c r="P6244">
        <v>-6.2227159999999997E-3</v>
      </c>
      <c r="Q6244">
        <v>-1.676505E-2</v>
      </c>
      <c r="R6244">
        <v>-0.99984059999999997</v>
      </c>
      <c r="S6244">
        <v>0.3488464</v>
      </c>
      <c r="T6244">
        <v>-0.3058765</v>
      </c>
      <c r="U6244">
        <v>-2.9974980000000002</v>
      </c>
      <c r="V6244">
        <v>1.7363759999999999E-2</v>
      </c>
      <c r="W6244">
        <v>-5.7353899999999999E-3</v>
      </c>
      <c r="X6244">
        <v>0.99983279999999997</v>
      </c>
      <c r="Y6244">
        <v>-0.10393330000000001</v>
      </c>
      <c r="Z6244">
        <v>0.1008956</v>
      </c>
      <c r="AA6244">
        <v>0.98945340000000004</v>
      </c>
      <c r="AB6244">
        <v>20</v>
      </c>
      <c r="AC6244">
        <v>1.2638</v>
      </c>
      <c r="AD6244">
        <v>-1.110268625335</v>
      </c>
      <c r="AE6244">
        <v>-10.66412</v>
      </c>
      <c r="AF6244">
        <v>-1.1327780230162099</v>
      </c>
      <c r="AG6244">
        <v>-1.110268625335</v>
      </c>
      <c r="AH6244">
        <v>10.5646126728643</v>
      </c>
      <c r="AI6244">
        <v>95.965427466838406</v>
      </c>
      <c r="AJ6244">
        <v>96.120089148676698</v>
      </c>
      <c r="AK6244">
        <v>10.6830203312302</v>
      </c>
      <c r="AL6244">
        <v>90.328615438747093</v>
      </c>
      <c r="AM6244">
        <v>89.005063481988898</v>
      </c>
      <c r="AN6244">
        <v>1.00000001140781</v>
      </c>
    </row>
    <row r="6245" spans="1:40" x14ac:dyDescent="0.25">
      <c r="A6245" t="str">
        <f>"20190312154421101"</f>
        <v>20190312154421101</v>
      </c>
      <c r="B6245" t="str">
        <f>"1552376661093318"</f>
        <v>1552376661093318</v>
      </c>
      <c r="C6245" t="s">
        <v>40</v>
      </c>
      <c r="D6245">
        <v>5.215522</v>
      </c>
      <c r="E6245">
        <v>0.45572069999999998</v>
      </c>
      <c r="F6245" t="s">
        <v>43</v>
      </c>
      <c r="G6245">
        <v>-300.46940000000001</v>
      </c>
      <c r="H6245" s="1">
        <v>-3.567947E-6</v>
      </c>
      <c r="I6245">
        <v>-32.385060000000003</v>
      </c>
      <c r="J6245">
        <v>-301.69049999999999</v>
      </c>
      <c r="K6245">
        <v>1.110285</v>
      </c>
      <c r="L6245">
        <v>-21.752199999999998</v>
      </c>
      <c r="M6245">
        <v>1.114218E-2</v>
      </c>
      <c r="N6245">
        <v>0</v>
      </c>
      <c r="O6245">
        <v>-0.99987389999999998</v>
      </c>
      <c r="P6245">
        <v>-7.1411340000000004E-3</v>
      </c>
      <c r="Q6245">
        <v>-1.7029180000000001E-2</v>
      </c>
      <c r="R6245">
        <v>-0.99982969999999904</v>
      </c>
      <c r="S6245">
        <v>0.33874510000000002</v>
      </c>
      <c r="T6245">
        <v>-0.3074865</v>
      </c>
      <c r="U6245">
        <v>-2.9974370000000001</v>
      </c>
      <c r="V6245">
        <v>1.8281470000000001E-2</v>
      </c>
      <c r="W6245">
        <v>-5.6940050000000002E-3</v>
      </c>
      <c r="X6245">
        <v>0.9998167</v>
      </c>
      <c r="Y6245">
        <v>-0.10063800000000001</v>
      </c>
      <c r="Z6245">
        <v>0.1014597</v>
      </c>
      <c r="AA6245">
        <v>0.98973630000000001</v>
      </c>
      <c r="AB6245">
        <v>20</v>
      </c>
      <c r="AC6245">
        <v>1.2210999999999701</v>
      </c>
      <c r="AD6245">
        <v>-1.110288567947</v>
      </c>
      <c r="AE6245">
        <v>-10.6328599999999</v>
      </c>
      <c r="AF6245">
        <v>-1.0908044451774701</v>
      </c>
      <c r="AG6245">
        <v>-1.110288567947</v>
      </c>
      <c r="AH6245">
        <v>10.5324592065736</v>
      </c>
      <c r="AI6245">
        <v>95.9858787883378</v>
      </c>
      <c r="AJ6245">
        <v>95.912813499860803</v>
      </c>
      <c r="AK6245">
        <v>10.646844226336301</v>
      </c>
      <c r="AL6245">
        <v>90.326244206940203</v>
      </c>
      <c r="AM6245">
        <v>88.9524736237897</v>
      </c>
      <c r="AN6245">
        <v>1.0000000337185899</v>
      </c>
    </row>
    <row r="6246" spans="1:40" x14ac:dyDescent="0.25">
      <c r="A6246" t="str">
        <f>"20190312154421123"</f>
        <v>20190312154421123</v>
      </c>
      <c r="B6246" t="str">
        <f>"1552376661113814"</f>
        <v>1552376661113814</v>
      </c>
      <c r="C6246" t="s">
        <v>40</v>
      </c>
      <c r="D6246">
        <v>5.2684049999999996</v>
      </c>
      <c r="E6246">
        <v>0.45588309999999999</v>
      </c>
      <c r="F6246" t="s">
        <v>43</v>
      </c>
      <c r="G6246">
        <v>-300.49720000000002</v>
      </c>
      <c r="H6246" s="1">
        <v>-3.515889E-6</v>
      </c>
      <c r="I6246">
        <v>-32.523620000000001</v>
      </c>
      <c r="J6246">
        <v>-301.6884</v>
      </c>
      <c r="K6246">
        <v>1.1102970000000001</v>
      </c>
      <c r="L6246">
        <v>-21.93948</v>
      </c>
      <c r="M6246">
        <v>1.1141689999999999E-2</v>
      </c>
      <c r="N6246">
        <v>0</v>
      </c>
      <c r="O6246">
        <v>-0.9998705</v>
      </c>
      <c r="P6246">
        <v>-7.5702E-3</v>
      </c>
      <c r="Q6246">
        <v>-1.734515E-2</v>
      </c>
      <c r="R6246">
        <v>-0.99982079999999995</v>
      </c>
      <c r="S6246">
        <v>0.33209229999999901</v>
      </c>
      <c r="T6246">
        <v>-0.30898639999999999</v>
      </c>
      <c r="U6246">
        <v>-2.99762</v>
      </c>
      <c r="V6246">
        <v>1.8709949999999999E-2</v>
      </c>
      <c r="W6246">
        <v>-5.7420140000000001E-3</v>
      </c>
      <c r="X6246">
        <v>0.99980849999999999</v>
      </c>
      <c r="Y6246">
        <v>-9.8456349999999998E-2</v>
      </c>
      <c r="Z6246">
        <v>0.1019669</v>
      </c>
      <c r="AA6246">
        <v>0.98990359999999999</v>
      </c>
      <c r="AB6246">
        <v>20</v>
      </c>
      <c r="AC6246">
        <v>1.1911999999999801</v>
      </c>
      <c r="AD6246">
        <v>-1.11030051588899</v>
      </c>
      <c r="AE6246">
        <v>-10.58414</v>
      </c>
      <c r="AF6246">
        <v>-1.06165604157453</v>
      </c>
      <c r="AG6246">
        <v>-1.11030051588899</v>
      </c>
      <c r="AH6246">
        <v>10.482840423048</v>
      </c>
      <c r="AI6246">
        <v>96.015455096220805</v>
      </c>
      <c r="AJ6246">
        <v>95.782947304885298</v>
      </c>
      <c r="AK6246">
        <v>10.594801749975501</v>
      </c>
      <c r="AL6246">
        <v>90.328994964535596</v>
      </c>
      <c r="AM6246">
        <v>88.927918637193798</v>
      </c>
      <c r="AN6246">
        <v>1.00000003481301</v>
      </c>
    </row>
    <row r="6247" spans="1:40" x14ac:dyDescent="0.25">
      <c r="A6247" t="str">
        <f>"20190312154421143"</f>
        <v>20190312154421143</v>
      </c>
      <c r="B6247" t="str">
        <f>"1552376661133334"</f>
        <v>1552376661133334</v>
      </c>
      <c r="C6247" t="s">
        <v>40</v>
      </c>
      <c r="D6247">
        <v>5.2596550000000004</v>
      </c>
      <c r="E6247">
        <v>0.45588440000000002</v>
      </c>
      <c r="F6247" t="s">
        <v>43</v>
      </c>
      <c r="G6247">
        <v>-300.51870000000002</v>
      </c>
      <c r="H6247" s="1">
        <v>-3.4977559999999998E-6</v>
      </c>
      <c r="I6247">
        <v>-32.579270000000001</v>
      </c>
      <c r="J6247">
        <v>-301.68639999999999</v>
      </c>
      <c r="K6247">
        <v>1.110303</v>
      </c>
      <c r="L6247">
        <v>-22.116910000000001</v>
      </c>
      <c r="M6247">
        <v>1.1141420000000001E-2</v>
      </c>
      <c r="N6247">
        <v>0</v>
      </c>
      <c r="O6247">
        <v>-0.99986819999999998</v>
      </c>
      <c r="P6247">
        <v>-7.9197799999999995E-3</v>
      </c>
      <c r="Q6247">
        <v>-1.8395519999999999E-2</v>
      </c>
      <c r="R6247">
        <v>-0.99979980000000002</v>
      </c>
      <c r="S6247">
        <v>0.32952880000000001</v>
      </c>
      <c r="T6247">
        <v>-0.3128127</v>
      </c>
      <c r="U6247">
        <v>-2.99762</v>
      </c>
      <c r="V6247">
        <v>1.9059010000000001E-2</v>
      </c>
      <c r="W6247">
        <v>-6.5705219999999996E-3</v>
      </c>
      <c r="X6247">
        <v>0.99979669999999998</v>
      </c>
      <c r="Y6247">
        <v>-9.7605999999999998E-2</v>
      </c>
      <c r="Z6247">
        <v>0.10322530000000001</v>
      </c>
      <c r="AA6247">
        <v>0.9898574</v>
      </c>
      <c r="AB6247">
        <v>20</v>
      </c>
      <c r="AC6247">
        <v>1.16769999999996</v>
      </c>
      <c r="AD6247">
        <v>-1.110306497756</v>
      </c>
      <c r="AE6247">
        <v>-10.46236</v>
      </c>
      <c r="AF6247">
        <v>-1.03949083498314</v>
      </c>
      <c r="AG6247">
        <v>-1.110306497756</v>
      </c>
      <c r="AH6247">
        <v>10.3594852837783</v>
      </c>
      <c r="AI6247">
        <v>96.087144769433294</v>
      </c>
      <c r="AJ6247">
        <v>95.729990135019506</v>
      </c>
      <c r="AK6247">
        <v>10.4705423479299</v>
      </c>
      <c r="AL6247">
        <v>90.376465915163607</v>
      </c>
      <c r="AM6247">
        <v>88.907909389820503</v>
      </c>
      <c r="AN6247">
        <v>0.99999992947620797</v>
      </c>
    </row>
    <row r="6248" spans="1:40" x14ac:dyDescent="0.25">
      <c r="A6248" t="str">
        <f>"20190312154421165"</f>
        <v>20190312154421165</v>
      </c>
      <c r="B6248" t="str">
        <f>"1552376661153830"</f>
        <v>1552376661153830</v>
      </c>
      <c r="C6248" t="s">
        <v>40</v>
      </c>
      <c r="D6248">
        <v>5.198226</v>
      </c>
      <c r="E6248">
        <v>0.45603290000000002</v>
      </c>
      <c r="F6248" t="s">
        <v>43</v>
      </c>
      <c r="G6248">
        <v>-300.5378</v>
      </c>
      <c r="H6248" s="1">
        <v>-3.4987029999999999E-6</v>
      </c>
      <c r="I6248">
        <v>-32.58887</v>
      </c>
      <c r="J6248">
        <v>-301.68430000000001</v>
      </c>
      <c r="K6248">
        <v>1.110298</v>
      </c>
      <c r="L6248">
        <v>-22.310300000000002</v>
      </c>
      <c r="M6248">
        <v>1.114135E-2</v>
      </c>
      <c r="N6248">
        <v>0</v>
      </c>
      <c r="O6248">
        <v>-0.99986580000000003</v>
      </c>
      <c r="P6248">
        <v>-7.8816340000000002E-3</v>
      </c>
      <c r="Q6248">
        <v>-2.013409E-2</v>
      </c>
      <c r="R6248">
        <v>-0.99976659999999995</v>
      </c>
      <c r="S6248">
        <v>0.3287659</v>
      </c>
      <c r="T6248">
        <v>-0.31780160000000002</v>
      </c>
      <c r="U6248">
        <v>-2.9973749999999999</v>
      </c>
      <c r="V6248">
        <v>1.9020390000000002E-2</v>
      </c>
      <c r="W6248">
        <v>-8.0960600000000004E-3</v>
      </c>
      <c r="X6248">
        <v>0.99978630000000002</v>
      </c>
      <c r="Y6248">
        <v>-9.7347160000000002E-2</v>
      </c>
      <c r="Z6248">
        <v>0.10486470000000001</v>
      </c>
      <c r="AA6248">
        <v>0.98971050000000005</v>
      </c>
      <c r="AB6248">
        <v>20</v>
      </c>
      <c r="AC6248">
        <v>1.1465000000000001</v>
      </c>
      <c r="AD6248">
        <v>-1.110301498703</v>
      </c>
      <c r="AE6248">
        <v>-10.278569999999901</v>
      </c>
      <c r="AF6248">
        <v>-1.0201460921883501</v>
      </c>
      <c r="AG6248">
        <v>-1.110301498703</v>
      </c>
      <c r="AH6248">
        <v>10.1734558762197</v>
      </c>
      <c r="AI6248">
        <v>96.197607360541994</v>
      </c>
      <c r="AJ6248">
        <v>95.726208684098196</v>
      </c>
      <c r="AK6248">
        <v>10.2845841886203</v>
      </c>
      <c r="AL6248">
        <v>90.463875143952905</v>
      </c>
      <c r="AM6248">
        <v>88.910110466002294</v>
      </c>
      <c r="AN6248">
        <v>0.99999998354548203</v>
      </c>
    </row>
    <row r="6249" spans="1:40" x14ac:dyDescent="0.25">
      <c r="A6249" t="str">
        <f>"20190312154421188"</f>
        <v>20190312154421188</v>
      </c>
      <c r="B6249" t="str">
        <f>"1552376661184086"</f>
        <v>1552376661184086</v>
      </c>
      <c r="C6249" t="s">
        <v>40</v>
      </c>
      <c r="D6249">
        <v>5.2077049999999998</v>
      </c>
      <c r="E6249">
        <v>0.45622309999999999</v>
      </c>
      <c r="F6249" t="s">
        <v>43</v>
      </c>
      <c r="G6249">
        <v>-300.55380000000002</v>
      </c>
      <c r="H6249" s="1">
        <v>-3.479656E-6</v>
      </c>
      <c r="I6249">
        <v>-32.643180000000001</v>
      </c>
      <c r="J6249">
        <v>-301.68200000000002</v>
      </c>
      <c r="K6249">
        <v>1.110301</v>
      </c>
      <c r="L6249">
        <v>-22.51221</v>
      </c>
      <c r="M6249">
        <v>1.1141399999999999E-2</v>
      </c>
      <c r="N6249">
        <v>0</v>
      </c>
      <c r="O6249">
        <v>-0.9998631</v>
      </c>
      <c r="P6249">
        <v>-8.4493769999999992E-3</v>
      </c>
      <c r="Q6249">
        <v>-2.1564280000000002E-2</v>
      </c>
      <c r="R6249">
        <v>-0.99973210000000001</v>
      </c>
      <c r="S6249">
        <v>0.32788089999999998</v>
      </c>
      <c r="T6249">
        <v>-0.32201560000000001</v>
      </c>
      <c r="U6249">
        <v>-2.9967959999999998</v>
      </c>
      <c r="V6249">
        <v>1.9587750000000001E-2</v>
      </c>
      <c r="W6249">
        <v>-9.3303559999999997E-3</v>
      </c>
      <c r="X6249">
        <v>0.9997646</v>
      </c>
      <c r="Y6249">
        <v>-9.7062880000000004E-2</v>
      </c>
      <c r="Z6249">
        <v>0.10626289999999999</v>
      </c>
      <c r="AA6249">
        <v>0.98958930000000001</v>
      </c>
      <c r="AB6249">
        <v>20</v>
      </c>
      <c r="AC6249">
        <v>1.1281999999999901</v>
      </c>
      <c r="AD6249">
        <v>-1.110304479656</v>
      </c>
      <c r="AE6249">
        <v>-10.13097</v>
      </c>
      <c r="AF6249">
        <v>-1.0033446955881999</v>
      </c>
      <c r="AG6249">
        <v>-1.110304479656</v>
      </c>
      <c r="AH6249">
        <v>10.0239876593744</v>
      </c>
      <c r="AI6249">
        <v>96.289413745251395</v>
      </c>
      <c r="AJ6249">
        <v>95.715946362718697</v>
      </c>
      <c r="AK6249">
        <v>10.1350779578156</v>
      </c>
      <c r="AL6249">
        <v>90.534597779393295</v>
      </c>
      <c r="AM6249">
        <v>88.877583946720307</v>
      </c>
      <c r="AN6249">
        <v>0.99999999545315399</v>
      </c>
    </row>
    <row r="6250" spans="1:40" x14ac:dyDescent="0.25">
      <c r="A6250" t="str">
        <f>"20190312154421210"</f>
        <v>20190312154421210</v>
      </c>
      <c r="B6250" t="str">
        <f>"1552376661203606"</f>
        <v>1552376661203606</v>
      </c>
      <c r="C6250" t="s">
        <v>40</v>
      </c>
      <c r="D6250">
        <v>5.2391100000000002</v>
      </c>
      <c r="E6250">
        <v>0.45621250000000002</v>
      </c>
      <c r="F6250" t="s">
        <v>43</v>
      </c>
      <c r="G6250">
        <v>-300.57069999999999</v>
      </c>
      <c r="H6250" s="1">
        <v>-3.4321370000000001E-6</v>
      </c>
      <c r="I6250">
        <v>-32.76444</v>
      </c>
      <c r="J6250">
        <v>-301.67989999999998</v>
      </c>
      <c r="K6250">
        <v>1.1103080000000001</v>
      </c>
      <c r="L6250">
        <v>-22.70093</v>
      </c>
      <c r="M6250">
        <v>1.1141450000000001E-2</v>
      </c>
      <c r="N6250">
        <v>0</v>
      </c>
      <c r="O6250">
        <v>-0.99986120000000001</v>
      </c>
      <c r="P6250">
        <v>-9.2295940000000007E-3</v>
      </c>
      <c r="Q6250">
        <v>-2.2082230000000001E-2</v>
      </c>
      <c r="R6250">
        <v>-0.99971370000000004</v>
      </c>
      <c r="S6250">
        <v>0.32482909999999998</v>
      </c>
      <c r="T6250">
        <v>-0.3245229</v>
      </c>
      <c r="U6250">
        <v>-2.9965519999999999</v>
      </c>
      <c r="V6250">
        <v>2.036777E-2</v>
      </c>
      <c r="W6250">
        <v>-9.6891570000000003E-3</v>
      </c>
      <c r="X6250">
        <v>0.99974560000000001</v>
      </c>
      <c r="Y6250">
        <v>-9.6065800000000007E-2</v>
      </c>
      <c r="Z6250">
        <v>0.1071003</v>
      </c>
      <c r="AA6250">
        <v>0.98959629999999998</v>
      </c>
      <c r="AB6250">
        <v>19</v>
      </c>
      <c r="AC6250">
        <v>1.10919999999998</v>
      </c>
      <c r="AD6250">
        <v>-1.110311432137</v>
      </c>
      <c r="AE6250">
        <v>-10.063510000000001</v>
      </c>
      <c r="AF6250">
        <v>-0.98515231629369104</v>
      </c>
      <c r="AG6250">
        <v>-1.110311432137</v>
      </c>
      <c r="AH6250">
        <v>9.9555123763816606</v>
      </c>
      <c r="AI6250">
        <v>96.333067238027596</v>
      </c>
      <c r="AJ6250">
        <v>95.651331902570405</v>
      </c>
      <c r="AK6250">
        <v>10.065562241569999</v>
      </c>
      <c r="AL6250">
        <v>90.555156492324002</v>
      </c>
      <c r="AM6250">
        <v>88.832877240172195</v>
      </c>
      <c r="AN6250">
        <v>0.99999999526875105</v>
      </c>
    </row>
    <row r="6251" spans="1:40" x14ac:dyDescent="0.25">
      <c r="A6251" t="str">
        <f>"20190312154421231"</f>
        <v>20190312154421231</v>
      </c>
      <c r="B6251" t="str">
        <f>"1552376661224102"</f>
        <v>1552376661224102</v>
      </c>
      <c r="C6251" t="s">
        <v>40</v>
      </c>
      <c r="D6251">
        <v>5.2137039999999999</v>
      </c>
      <c r="E6251">
        <v>0.45609529999999898</v>
      </c>
      <c r="F6251" t="s">
        <v>43</v>
      </c>
      <c r="G6251">
        <v>-300.58080000000001</v>
      </c>
      <c r="H6251" s="1">
        <v>-3.3755830000000001E-6</v>
      </c>
      <c r="I6251">
        <v>-32.902569999999997</v>
      </c>
      <c r="J6251">
        <v>-301.67779999999999</v>
      </c>
      <c r="K6251">
        <v>1.110311</v>
      </c>
      <c r="L6251">
        <v>-22.8949</v>
      </c>
      <c r="M6251">
        <v>1.114148E-2</v>
      </c>
      <c r="N6251">
        <v>0</v>
      </c>
      <c r="O6251">
        <v>-0.99985930000000001</v>
      </c>
      <c r="P6251">
        <v>-1.0673780000000001E-2</v>
      </c>
      <c r="Q6251">
        <v>-2.201378E-2</v>
      </c>
      <c r="R6251">
        <v>-0.9997007</v>
      </c>
      <c r="S6251">
        <v>0.32284550000000001</v>
      </c>
      <c r="T6251">
        <v>-0.32614409999999999</v>
      </c>
      <c r="U6251">
        <v>-2.9966430000000002</v>
      </c>
      <c r="V6251">
        <v>2.1811799999999999E-2</v>
      </c>
      <c r="W6251">
        <v>-9.4785700000000004E-3</v>
      </c>
      <c r="X6251">
        <v>0.99971719999999997</v>
      </c>
      <c r="Y6251">
        <v>-9.5408789999999993E-2</v>
      </c>
      <c r="Z6251">
        <v>0.1076331</v>
      </c>
      <c r="AA6251">
        <v>0.98960210000000004</v>
      </c>
      <c r="AB6251">
        <v>19</v>
      </c>
      <c r="AC6251">
        <v>1.09699999999998</v>
      </c>
      <c r="AD6251">
        <v>-1.1103143755830001</v>
      </c>
      <c r="AE6251">
        <v>-10.007669999999999</v>
      </c>
      <c r="AF6251">
        <v>-0.97358126231536701</v>
      </c>
      <c r="AG6251">
        <v>-1.1103143755830001</v>
      </c>
      <c r="AH6251">
        <v>9.8988724669731596</v>
      </c>
      <c r="AI6251">
        <v>96.369395921515704</v>
      </c>
      <c r="AJ6251">
        <v>95.617131582312894</v>
      </c>
      <c r="AK6251">
        <v>10.0084131911286</v>
      </c>
      <c r="AL6251">
        <v>90.543090168044699</v>
      </c>
      <c r="AM6251">
        <v>88.750120693408206</v>
      </c>
      <c r="AN6251">
        <v>1.0000000389421599</v>
      </c>
    </row>
    <row r="6252" spans="1:40" x14ac:dyDescent="0.25">
      <c r="A6252" t="str">
        <f>"20190312154421256"</f>
        <v>20190312154421256</v>
      </c>
      <c r="B6252" t="str">
        <f>"1552376661243622"</f>
        <v>1552376661243622</v>
      </c>
      <c r="C6252" t="s">
        <v>40</v>
      </c>
      <c r="D6252">
        <v>5.1499600000000001</v>
      </c>
      <c r="E6252">
        <v>0.45604519999999998</v>
      </c>
      <c r="F6252" t="s">
        <v>43</v>
      </c>
      <c r="G6252">
        <v>-300.59280000000001</v>
      </c>
      <c r="H6252" s="1">
        <v>-3.3077440000000001E-6</v>
      </c>
      <c r="I6252">
        <v>-33.068150000000003</v>
      </c>
      <c r="J6252">
        <v>-301.67570000000001</v>
      </c>
      <c r="K6252">
        <v>1.1103179999999999</v>
      </c>
      <c r="L6252">
        <v>-23.089359999999999</v>
      </c>
      <c r="M6252">
        <v>1.114154E-2</v>
      </c>
      <c r="N6252">
        <v>0</v>
      </c>
      <c r="O6252">
        <v>-0.99985769999999996</v>
      </c>
      <c r="P6252">
        <v>-1.21932E-2</v>
      </c>
      <c r="Q6252">
        <v>-2.1792760000000001E-2</v>
      </c>
      <c r="R6252">
        <v>-0.99968809999999997</v>
      </c>
      <c r="S6252">
        <v>0.31964110000000001</v>
      </c>
      <c r="T6252">
        <v>-0.32710529999999999</v>
      </c>
      <c r="U6252">
        <v>-2.9971009999999998</v>
      </c>
      <c r="V6252">
        <v>2.3331060000000001E-2</v>
      </c>
      <c r="W6252">
        <v>-9.1342530000000002E-3</v>
      </c>
      <c r="X6252">
        <v>0.99968610000000002</v>
      </c>
      <c r="Y6252">
        <v>-9.4343010000000005E-2</v>
      </c>
      <c r="Z6252">
        <v>0.107942</v>
      </c>
      <c r="AA6252">
        <v>0.98967059999999996</v>
      </c>
      <c r="AB6252">
        <v>19</v>
      </c>
      <c r="AC6252">
        <v>1.08289999999999</v>
      </c>
      <c r="AD6252">
        <v>-1.110321307744</v>
      </c>
      <c r="AE6252">
        <v>-9.97879</v>
      </c>
      <c r="AF6252">
        <v>-0.959898970388954</v>
      </c>
      <c r="AG6252">
        <v>-1.110321307744</v>
      </c>
      <c r="AH6252">
        <v>9.8694689891610192</v>
      </c>
      <c r="AI6252">
        <v>96.388925846402799</v>
      </c>
      <c r="AJ6252">
        <v>95.555083154325004</v>
      </c>
      <c r="AK6252">
        <v>9.9780076953164905</v>
      </c>
      <c r="AL6252">
        <v>90.523361405113306</v>
      </c>
      <c r="AM6252">
        <v>88.663051687377603</v>
      </c>
      <c r="AN6252">
        <v>1.0000000357359</v>
      </c>
    </row>
    <row r="6253" spans="1:40" x14ac:dyDescent="0.25">
      <c r="A6253" t="str">
        <f>"20190312154421281"</f>
        <v>20190312154421281</v>
      </c>
      <c r="B6253" t="str">
        <f>"1552376661273878"</f>
        <v>1552376661273878</v>
      </c>
      <c r="C6253" t="s">
        <v>40</v>
      </c>
      <c r="D6253">
        <v>5.1533800000000003</v>
      </c>
      <c r="E6253">
        <v>0.45602759999999998</v>
      </c>
      <c r="F6253" t="s">
        <v>43</v>
      </c>
      <c r="G6253">
        <v>-300.60219999999998</v>
      </c>
      <c r="H6253" s="1">
        <v>-3.2173110000000002E-6</v>
      </c>
      <c r="I6253">
        <v>-33.284770000000002</v>
      </c>
      <c r="J6253">
        <v>-301.67309999999998</v>
      </c>
      <c r="K6253">
        <v>1.1103240000000001</v>
      </c>
      <c r="L6253">
        <v>-23.319489999999998</v>
      </c>
      <c r="M6253">
        <v>1.1141659999999999E-2</v>
      </c>
      <c r="N6253">
        <v>0</v>
      </c>
      <c r="O6253">
        <v>-0.99985619999999997</v>
      </c>
      <c r="P6253">
        <v>-1.293482E-2</v>
      </c>
      <c r="Q6253">
        <v>-2.1558339999999999E-2</v>
      </c>
      <c r="R6253">
        <v>-0.99968400000000002</v>
      </c>
      <c r="S6253">
        <v>0.31561280000000003</v>
      </c>
      <c r="T6253">
        <v>-0.32645940000000001</v>
      </c>
      <c r="U6253">
        <v>-2.997681</v>
      </c>
      <c r="V6253">
        <v>2.4072739999999999E-2</v>
      </c>
      <c r="W6253">
        <v>-8.7744520000000003E-3</v>
      </c>
      <c r="X6253">
        <v>0.99967169999999905</v>
      </c>
      <c r="Y6253">
        <v>-9.3009889999999998E-2</v>
      </c>
      <c r="Z6253">
        <v>0.1077251</v>
      </c>
      <c r="AA6253">
        <v>0.98982040000000004</v>
      </c>
      <c r="AB6253">
        <v>19</v>
      </c>
      <c r="AC6253">
        <v>1.07089999999999</v>
      </c>
      <c r="AD6253">
        <v>-1.1103272173109999</v>
      </c>
      <c r="AE6253">
        <v>-9.9652799999999999</v>
      </c>
      <c r="AF6253">
        <v>-0.94815832092266505</v>
      </c>
      <c r="AG6253">
        <v>-1.1103272173109999</v>
      </c>
      <c r="AH6253">
        <v>9.8556396775891493</v>
      </c>
      <c r="AI6253">
        <v>96.398491596742502</v>
      </c>
      <c r="AJ6253">
        <v>95.495208465290901</v>
      </c>
      <c r="AK6253">
        <v>9.9632055175784693</v>
      </c>
      <c r="AL6253">
        <v>90.502745519534301</v>
      </c>
      <c r="AM6253">
        <v>88.620547231470397</v>
      </c>
      <c r="AN6253">
        <v>0.99999999779994797</v>
      </c>
    </row>
    <row r="6254" spans="1:40" x14ac:dyDescent="0.25">
      <c r="A6254" t="str">
        <f>"20190312154421306"</f>
        <v>20190312154421306</v>
      </c>
      <c r="B6254" t="str">
        <f>"1552376661293398"</f>
        <v>1552376661293398</v>
      </c>
      <c r="C6254" t="s">
        <v>40</v>
      </c>
      <c r="D6254">
        <v>5.1622890000000003</v>
      </c>
      <c r="E6254">
        <v>0.4559145</v>
      </c>
      <c r="F6254" t="s">
        <v>43</v>
      </c>
      <c r="G6254">
        <v>-300.59780000000001</v>
      </c>
      <c r="H6254" s="1">
        <v>-3.0847950000000002E-6</v>
      </c>
      <c r="I6254">
        <v>-33.590899999999998</v>
      </c>
      <c r="J6254">
        <v>-301.67079999999999</v>
      </c>
      <c r="K6254">
        <v>1.1103320000000001</v>
      </c>
      <c r="L6254">
        <v>-23.525729999999999</v>
      </c>
      <c r="M6254">
        <v>1.114177E-2</v>
      </c>
      <c r="N6254">
        <v>0</v>
      </c>
      <c r="O6254">
        <v>-0.99985500000000005</v>
      </c>
      <c r="P6254">
        <v>-1.2850469999999999E-2</v>
      </c>
      <c r="Q6254">
        <v>-2.1722089999999999E-2</v>
      </c>
      <c r="R6254">
        <v>-0.99968170000000001</v>
      </c>
      <c r="S6254">
        <v>0.31387330000000002</v>
      </c>
      <c r="T6254">
        <v>-0.32408199999999998</v>
      </c>
      <c r="U6254">
        <v>-2.9980159999999998</v>
      </c>
      <c r="V6254">
        <v>2.3988490000000001E-2</v>
      </c>
      <c r="W6254">
        <v>-8.8421109999999997E-3</v>
      </c>
      <c r="X6254">
        <v>0.99967309999999998</v>
      </c>
      <c r="Y6254">
        <v>-9.2438950000000006E-2</v>
      </c>
      <c r="Z6254">
        <v>0.106944</v>
      </c>
      <c r="AA6254">
        <v>0.98995860000000002</v>
      </c>
      <c r="AB6254">
        <v>19</v>
      </c>
      <c r="AC6254">
        <v>1.07299999999997</v>
      </c>
      <c r="AD6254">
        <v>-1.110335084795</v>
      </c>
      <c r="AE6254">
        <v>-10.065169999999901</v>
      </c>
      <c r="AF6254">
        <v>-0.94935707894486998</v>
      </c>
      <c r="AG6254">
        <v>-1.110335084795</v>
      </c>
      <c r="AH6254">
        <v>9.9566966755730899</v>
      </c>
      <c r="AI6254">
        <v>96.334634607761402</v>
      </c>
      <c r="AJ6254">
        <v>95.446606454753507</v>
      </c>
      <c r="AK6254">
        <v>10.0632962568552</v>
      </c>
      <c r="AL6254">
        <v>90.506622259814193</v>
      </c>
      <c r="AM6254">
        <v>88.625375121856294</v>
      </c>
      <c r="AN6254">
        <v>0.99999996872151198</v>
      </c>
    </row>
    <row r="6255" spans="1:40" x14ac:dyDescent="0.25">
      <c r="A6255" t="str">
        <f>"20190312154421328"</f>
        <v>20190312154421328</v>
      </c>
      <c r="B6255" t="str">
        <f>"1552376661323654"</f>
        <v>1552376661323654</v>
      </c>
      <c r="C6255" t="s">
        <v>40</v>
      </c>
      <c r="D6255">
        <v>5.1549019999999999</v>
      </c>
      <c r="E6255">
        <v>0.45571820000000002</v>
      </c>
      <c r="F6255" t="s">
        <v>43</v>
      </c>
      <c r="G6255">
        <v>-300.59379999999999</v>
      </c>
      <c r="H6255" s="1">
        <v>-3.002208E-6</v>
      </c>
      <c r="I6255">
        <v>-33.78096</v>
      </c>
      <c r="J6255">
        <v>-301.66860000000003</v>
      </c>
      <c r="K6255">
        <v>1.1103350000000001</v>
      </c>
      <c r="L6255">
        <v>-23.72223</v>
      </c>
      <c r="M6255">
        <v>1.114185E-2</v>
      </c>
      <c r="N6255">
        <v>0</v>
      </c>
      <c r="O6255">
        <v>-0.99985409999999997</v>
      </c>
      <c r="P6255">
        <v>-1.283332E-2</v>
      </c>
      <c r="Q6255">
        <v>-2.187571E-2</v>
      </c>
      <c r="R6255">
        <v>-0.99967850000000003</v>
      </c>
      <c r="S6255">
        <v>0.31484990000000002</v>
      </c>
      <c r="T6255">
        <v>-0.32458890000000001</v>
      </c>
      <c r="U6255">
        <v>-2.9979550000000001</v>
      </c>
      <c r="V6255">
        <v>2.397138E-2</v>
      </c>
      <c r="W6255">
        <v>-8.9173759999999994E-3</v>
      </c>
      <c r="X6255">
        <v>0.99967289999999998</v>
      </c>
      <c r="Y6255">
        <v>-9.2758060000000003E-2</v>
      </c>
      <c r="Z6255">
        <v>0.10710799999999999</v>
      </c>
      <c r="AA6255">
        <v>0.98991099999999999</v>
      </c>
      <c r="AB6255">
        <v>19</v>
      </c>
      <c r="AC6255">
        <v>1.07480000000003</v>
      </c>
      <c r="AD6255">
        <v>-1.1103380022080001</v>
      </c>
      <c r="AE6255">
        <v>-10.058730000000001</v>
      </c>
      <c r="AF6255">
        <v>-0.95119162279651004</v>
      </c>
      <c r="AG6255">
        <v>-1.1103380022080001</v>
      </c>
      <c r="AH6255">
        <v>9.9502075674441102</v>
      </c>
      <c r="AI6255">
        <v>96.338602039624504</v>
      </c>
      <c r="AJ6255">
        <v>95.460605404166998</v>
      </c>
      <c r="AK6255">
        <v>10.057049598050501</v>
      </c>
      <c r="AL6255">
        <v>90.510934767132497</v>
      </c>
      <c r="AM6255">
        <v>88.626354934549695</v>
      </c>
      <c r="AN6255">
        <v>1.00000002682411</v>
      </c>
    </row>
    <row r="6256" spans="1:40" x14ac:dyDescent="0.25">
      <c r="A6256" t="str">
        <f>"20190312154421345"</f>
        <v>20190312154421345</v>
      </c>
      <c r="B6256" t="str">
        <f>"1552376661333413"</f>
        <v>1552376661333413</v>
      </c>
      <c r="C6256" t="s">
        <v>40</v>
      </c>
      <c r="D6256">
        <v>5.2008979999999996</v>
      </c>
      <c r="E6256">
        <v>0.45565810000000001</v>
      </c>
      <c r="F6256" t="s">
        <v>43</v>
      </c>
      <c r="G6256">
        <v>-300.58920000000001</v>
      </c>
      <c r="H6256" s="1">
        <v>-2.934392E-6</v>
      </c>
      <c r="I6256">
        <v>-33.936160000000001</v>
      </c>
      <c r="J6256">
        <v>-301.66699999999997</v>
      </c>
      <c r="K6256">
        <v>1.1103400000000001</v>
      </c>
      <c r="L6256">
        <v>-23.870450000000002</v>
      </c>
      <c r="M6256">
        <v>1.114187E-2</v>
      </c>
      <c r="N6256">
        <v>0</v>
      </c>
      <c r="O6256">
        <v>-0.9998534</v>
      </c>
      <c r="P6256">
        <v>-1.2637280000000001E-2</v>
      </c>
      <c r="Q6256">
        <v>-2.2219820000000001E-2</v>
      </c>
      <c r="R6256">
        <v>-0.99967329999999999</v>
      </c>
      <c r="S6256">
        <v>0.31683349999999999</v>
      </c>
      <c r="T6256">
        <v>-0.32589570000000001</v>
      </c>
      <c r="U6256">
        <v>-2.9978940000000001</v>
      </c>
      <c r="V6256">
        <v>2.3775319999999999E-2</v>
      </c>
      <c r="W6256">
        <v>-9.2107040000000001E-3</v>
      </c>
      <c r="X6256">
        <v>0.99967490000000003</v>
      </c>
      <c r="Y6256">
        <v>-9.3403139999999996E-2</v>
      </c>
      <c r="Z6256">
        <v>0.1075295</v>
      </c>
      <c r="AA6256">
        <v>0.98980469999999998</v>
      </c>
      <c r="AB6256">
        <v>19</v>
      </c>
      <c r="AC6256">
        <v>1.0778000000000201</v>
      </c>
      <c r="AD6256">
        <v>-1.1103429343919999</v>
      </c>
      <c r="AE6256">
        <v>-10.065709999999999</v>
      </c>
      <c r="AF6256">
        <v>-0.95409478178895002</v>
      </c>
      <c r="AG6256">
        <v>-1.1103429343919999</v>
      </c>
      <c r="AH6256">
        <v>9.9573059943858695</v>
      </c>
      <c r="AI6256">
        <v>96.334014869370904</v>
      </c>
      <c r="AJ6256">
        <v>95.473289794549601</v>
      </c>
      <c r="AK6256">
        <v>10.064348014174699</v>
      </c>
      <c r="AL6256">
        <v>90.527741925467396</v>
      </c>
      <c r="AM6256">
        <v>88.637588340415107</v>
      </c>
      <c r="AN6256">
        <v>1.00000000429964</v>
      </c>
    </row>
    <row r="6257" spans="1:40" x14ac:dyDescent="0.25">
      <c r="A6257" t="str">
        <f>"20190312154421368"</f>
        <v>20190312154421368</v>
      </c>
      <c r="B6257" t="str">
        <f>"1552376661363670"</f>
        <v>1552376661363670</v>
      </c>
      <c r="C6257" t="s">
        <v>40</v>
      </c>
      <c r="D6257">
        <v>5.1323179999999997</v>
      </c>
      <c r="E6257">
        <v>0.45547199999999999</v>
      </c>
      <c r="F6257" t="s">
        <v>43</v>
      </c>
      <c r="G6257">
        <v>-300.58690000000001</v>
      </c>
      <c r="H6257" s="1">
        <v>-2.883668E-6</v>
      </c>
      <c r="I6257">
        <v>-34.053019999999997</v>
      </c>
      <c r="J6257">
        <v>-301.66480000000001</v>
      </c>
      <c r="K6257">
        <v>1.1103400000000001</v>
      </c>
      <c r="L6257">
        <v>-24.065090000000001</v>
      </c>
      <c r="M6257">
        <v>1.11419E-2</v>
      </c>
      <c r="N6257">
        <v>0</v>
      </c>
      <c r="O6257">
        <v>-0.99985270000000004</v>
      </c>
      <c r="P6257">
        <v>-1.3329189999999999E-2</v>
      </c>
      <c r="Q6257">
        <v>-2.1871950000000001E-2</v>
      </c>
      <c r="R6257">
        <v>-0.99967220000000001</v>
      </c>
      <c r="S6257">
        <v>0.31796259999999998</v>
      </c>
      <c r="T6257">
        <v>-0.32688420000000001</v>
      </c>
      <c r="U6257">
        <v>-2.9977420000000001</v>
      </c>
      <c r="V6257">
        <v>2.4467240000000001E-2</v>
      </c>
      <c r="W6257">
        <v>-8.8037040000000007E-3</v>
      </c>
      <c r="X6257">
        <v>0.99966189999999999</v>
      </c>
      <c r="Y6257">
        <v>-9.3773339999999997E-2</v>
      </c>
      <c r="Z6257">
        <v>0.1078532</v>
      </c>
      <c r="AA6257">
        <v>0.98973440000000001</v>
      </c>
      <c r="AB6257">
        <v>19</v>
      </c>
      <c r="AC6257">
        <v>1.0778999999999901</v>
      </c>
      <c r="AD6257">
        <v>-1.1103428836679901</v>
      </c>
      <c r="AE6257">
        <v>-9.9879300000000004</v>
      </c>
      <c r="AF6257">
        <v>-0.95487419229701498</v>
      </c>
      <c r="AG6257">
        <v>-1.1103428836679901</v>
      </c>
      <c r="AH6257">
        <v>9.8786418258170592</v>
      </c>
      <c r="AI6257">
        <v>96.383529622854894</v>
      </c>
      <c r="AJ6257">
        <v>95.5210848335403</v>
      </c>
      <c r="AK6257">
        <v>9.98660154232706</v>
      </c>
      <c r="AL6257">
        <v>90.504421582826495</v>
      </c>
      <c r="AM6257">
        <v>88.597936203710503</v>
      </c>
      <c r="AN6257">
        <v>1.00000003267447</v>
      </c>
    </row>
    <row r="6258" spans="1:40" x14ac:dyDescent="0.25">
      <c r="A6258" t="str">
        <f>"20190312154421391"</f>
        <v>20190312154421391</v>
      </c>
      <c r="B6258" t="str">
        <f>"1552376661384166"</f>
        <v>1552376661384166</v>
      </c>
      <c r="C6258" t="s">
        <v>40</v>
      </c>
      <c r="D6258">
        <v>5.2579929999999999</v>
      </c>
      <c r="E6258">
        <v>0.45546419999999999</v>
      </c>
      <c r="F6258" t="s">
        <v>43</v>
      </c>
      <c r="G6258">
        <v>-300.58589999999998</v>
      </c>
      <c r="H6258" s="1">
        <v>-2.7974489999999898E-6</v>
      </c>
      <c r="I6258">
        <v>-34.253329999999998</v>
      </c>
      <c r="J6258">
        <v>-301.66250000000002</v>
      </c>
      <c r="K6258">
        <v>1.110352</v>
      </c>
      <c r="L6258">
        <v>-24.269469999999998</v>
      </c>
      <c r="M6258">
        <v>1.1141939999999999E-2</v>
      </c>
      <c r="N6258">
        <v>0</v>
      </c>
      <c r="O6258">
        <v>-0.99985170000000001</v>
      </c>
      <c r="P6258">
        <v>-1.349905E-2</v>
      </c>
      <c r="Q6258">
        <v>-2.1941289999999999E-2</v>
      </c>
      <c r="R6258">
        <v>-0.99966820000000001</v>
      </c>
      <c r="S6258">
        <v>0.31750489999999998</v>
      </c>
      <c r="T6258">
        <v>-0.32673920000000001</v>
      </c>
      <c r="U6258">
        <v>-2.9980769999999999</v>
      </c>
      <c r="V6258">
        <v>2.4637079999999999E-2</v>
      </c>
      <c r="W6258">
        <v>-8.8206139999999992E-3</v>
      </c>
      <c r="X6258">
        <v>0.99965760000000004</v>
      </c>
      <c r="Y6258">
        <v>-9.3612890000000004E-2</v>
      </c>
      <c r="Z6258">
        <v>0.1077958</v>
      </c>
      <c r="AA6258">
        <v>0.98975590000000002</v>
      </c>
      <c r="AB6258">
        <v>19</v>
      </c>
      <c r="AC6258">
        <v>1.07660000000004</v>
      </c>
      <c r="AD6258">
        <v>-1.110354797449</v>
      </c>
      <c r="AE6258">
        <v>-9.9838599999999893</v>
      </c>
      <c r="AF6258">
        <v>-0.95362441600865999</v>
      </c>
      <c r="AG6258">
        <v>-1.110354797449</v>
      </c>
      <c r="AH6258">
        <v>9.8745049972632195</v>
      </c>
      <c r="AI6258">
        <v>96.386301989844895</v>
      </c>
      <c r="AJ6258">
        <v>95.516198938202905</v>
      </c>
      <c r="AK6258">
        <v>9.9823913089000005</v>
      </c>
      <c r="AL6258">
        <v>90.505390481728995</v>
      </c>
      <c r="AM6258">
        <v>88.588201595423399</v>
      </c>
      <c r="AN6258">
        <v>1.0000000530900099</v>
      </c>
    </row>
    <row r="6259" spans="1:40" x14ac:dyDescent="0.25">
      <c r="A6259" t="str">
        <f>"20190312154421414"</f>
        <v>20190312154421414</v>
      </c>
      <c r="B6259" t="str">
        <f>"1552376661403686"</f>
        <v>1552376661403686</v>
      </c>
      <c r="C6259" t="s">
        <v>40</v>
      </c>
      <c r="D6259">
        <v>5.1742610000000004</v>
      </c>
      <c r="E6259">
        <v>0.48653429999999998</v>
      </c>
      <c r="F6259" t="s">
        <v>43</v>
      </c>
      <c r="G6259">
        <v>-300.58609999999999</v>
      </c>
      <c r="H6259" s="1">
        <v>-2.7127330000000002E-6</v>
      </c>
      <c r="I6259">
        <v>-34.450920000000004</v>
      </c>
      <c r="J6259">
        <v>-301.66039999999998</v>
      </c>
      <c r="K6259">
        <v>1.110365</v>
      </c>
      <c r="L6259">
        <v>-24.460139999999999</v>
      </c>
      <c r="M6259">
        <v>1.1141949999999999E-2</v>
      </c>
      <c r="N6259">
        <v>0</v>
      </c>
      <c r="O6259">
        <v>-0.99985119999999905</v>
      </c>
      <c r="P6259">
        <v>-1.4090159999999999E-2</v>
      </c>
      <c r="Q6259">
        <v>-2.1665810000000001E-2</v>
      </c>
      <c r="R6259">
        <v>-0.9996661</v>
      </c>
      <c r="S6259">
        <v>0.31698609999999999</v>
      </c>
      <c r="T6259">
        <v>-0.32696340000000002</v>
      </c>
      <c r="U6259">
        <v>-2.9981080000000002</v>
      </c>
      <c r="V6259">
        <v>2.5228170000000001E-2</v>
      </c>
      <c r="W6259">
        <v>-8.5031610000000004E-3</v>
      </c>
      <c r="X6259">
        <v>0.99964549999999996</v>
      </c>
      <c r="Y6259">
        <v>-9.3441609999999994E-2</v>
      </c>
      <c r="Z6259">
        <v>0.1078697</v>
      </c>
      <c r="AA6259">
        <v>0.98976399999999998</v>
      </c>
      <c r="AB6259">
        <v>19</v>
      </c>
      <c r="AC6259">
        <v>1.07429999999999</v>
      </c>
      <c r="AD6259">
        <v>-1.1103677127330001</v>
      </c>
      <c r="AE6259">
        <v>-9.9907800000000009</v>
      </c>
      <c r="AF6259">
        <v>-0.95129090750198197</v>
      </c>
      <c r="AG6259">
        <v>-1.1103677127330001</v>
      </c>
      <c r="AH6259">
        <v>9.8814704580678203</v>
      </c>
      <c r="AI6259">
        <v>96.382095006084697</v>
      </c>
      <c r="AJ6259">
        <v>95.498928676352506</v>
      </c>
      <c r="AK6259">
        <v>9.9890604794366293</v>
      </c>
      <c r="AL6259">
        <v>90.487201135820001</v>
      </c>
      <c r="AM6259">
        <v>88.554326604315605</v>
      </c>
      <c r="AN6259">
        <v>0.99999994498939304</v>
      </c>
    </row>
    <row r="6260" spans="1:40" x14ac:dyDescent="0.25">
      <c r="A6260" t="str">
        <f>"20190312154421435"</f>
        <v>20190312154421435</v>
      </c>
      <c r="B6260" t="str">
        <f>"1552376661424182"</f>
        <v>1552376661424182</v>
      </c>
      <c r="C6260" t="s">
        <v>40</v>
      </c>
      <c r="D6260">
        <v>5.2214359999999997</v>
      </c>
      <c r="E6260">
        <v>0.50092709999999996</v>
      </c>
      <c r="F6260" t="s">
        <v>41</v>
      </c>
      <c r="G6260">
        <v>-301.64150000000001</v>
      </c>
      <c r="H6260">
        <v>0.99718200000000001</v>
      </c>
      <c r="I6260">
        <v>-25.28951</v>
      </c>
      <c r="J6260">
        <v>-301.65839999999997</v>
      </c>
      <c r="K6260">
        <v>1.110371</v>
      </c>
      <c r="L6260">
        <v>-24.645479999999999</v>
      </c>
      <c r="M6260">
        <v>1.114236E-2</v>
      </c>
      <c r="N6260">
        <v>0</v>
      </c>
      <c r="O6260">
        <v>-0.99985069999999998</v>
      </c>
      <c r="P6260">
        <v>-1.467414E-2</v>
      </c>
      <c r="Q6260">
        <v>-2.146561E-2</v>
      </c>
      <c r="R6260">
        <v>-0.99966200000000005</v>
      </c>
      <c r="S6260">
        <v>6.8481449999999999E-2</v>
      </c>
      <c r="T6260">
        <v>-0.40846320000000003</v>
      </c>
      <c r="U6260">
        <v>-2.9931030000000001</v>
      </c>
      <c r="V6260">
        <v>2.5812479999999999E-2</v>
      </c>
      <c r="W6260">
        <v>-8.2678560000000005E-3</v>
      </c>
      <c r="X6260">
        <v>0.99963259999999998</v>
      </c>
      <c r="Y6260">
        <v>-1.1521959999999999E-2</v>
      </c>
      <c r="Z6260">
        <v>0.13518050000000001</v>
      </c>
      <c r="AA6260">
        <v>0.99075400000000002</v>
      </c>
      <c r="AB6260">
        <v>19</v>
      </c>
      <c r="AC6260">
        <v>1.68999999999641E-2</v>
      </c>
      <c r="AD6260">
        <v>-0.113188999999999</v>
      </c>
      <c r="AE6260">
        <v>-0.64402999999999999</v>
      </c>
      <c r="AF6260">
        <v>-9.4311960081003895E-3</v>
      </c>
      <c r="AG6260">
        <v>-0.113188999999999</v>
      </c>
      <c r="AH6260">
        <v>0.62488973584493002</v>
      </c>
      <c r="AI6260">
        <v>100.26577109091301</v>
      </c>
      <c r="AJ6260">
        <v>90.864675273510798</v>
      </c>
      <c r="AK6260">
        <v>0.63512823834521004</v>
      </c>
      <c r="AL6260">
        <v>90.473718657113693</v>
      </c>
      <c r="AM6260">
        <v>88.520838969636003</v>
      </c>
      <c r="AN6260">
        <v>0.99999998827467296</v>
      </c>
    </row>
    <row r="6261" spans="1:40" x14ac:dyDescent="0.25">
      <c r="A6261" t="str">
        <f>"20190312154421458"</f>
        <v>20190312154421458</v>
      </c>
      <c r="B6261" t="str">
        <f>"1552376661443702"</f>
        <v>1552376661443702</v>
      </c>
      <c r="C6261" t="s">
        <v>40</v>
      </c>
      <c r="D6261">
        <v>5.2399760000000004</v>
      </c>
      <c r="E6261">
        <v>0.51086690000000001</v>
      </c>
      <c r="F6261" t="s">
        <v>41</v>
      </c>
      <c r="G6261">
        <v>-301.6712</v>
      </c>
      <c r="H6261">
        <v>0.98136350000000006</v>
      </c>
      <c r="I6261">
        <v>-25.452459999999999</v>
      </c>
      <c r="J6261">
        <v>-301.65620000000001</v>
      </c>
      <c r="K6261">
        <v>1.1103769999999999</v>
      </c>
      <c r="L6261">
        <v>-24.837250000000001</v>
      </c>
      <c r="M6261">
        <v>1.1146430000000001E-2</v>
      </c>
      <c r="N6261">
        <v>0</v>
      </c>
      <c r="O6261">
        <v>-0.99985029999999997</v>
      </c>
      <c r="P6261">
        <v>-1.4756399999999999E-2</v>
      </c>
      <c r="Q6261">
        <v>-2.1580490000000001E-2</v>
      </c>
      <c r="R6261">
        <v>-0.99965820000000005</v>
      </c>
      <c r="S6261">
        <v>-4.6997070000000002E-2</v>
      </c>
      <c r="T6261">
        <v>-0.47798420000000003</v>
      </c>
      <c r="U6261">
        <v>-2.9900509999999998</v>
      </c>
      <c r="V6261">
        <v>2.5898810000000001E-2</v>
      </c>
      <c r="W6261">
        <v>-8.3514219999999903E-3</v>
      </c>
      <c r="X6261">
        <v>0.99962969999999896</v>
      </c>
      <c r="Y6261">
        <v>2.666398E-2</v>
      </c>
      <c r="Z6261">
        <v>0.15780169999999999</v>
      </c>
      <c r="AA6261">
        <v>0.98711079999999995</v>
      </c>
      <c r="AB6261">
        <v>19</v>
      </c>
      <c r="AC6261">
        <v>-1.49999999999863E-2</v>
      </c>
      <c r="AD6261">
        <v>-0.129013499999999</v>
      </c>
      <c r="AE6261">
        <v>-0.61521000000000103</v>
      </c>
      <c r="AF6261">
        <v>2.09368742250234E-2</v>
      </c>
      <c r="AG6261">
        <v>-0.129013499999999</v>
      </c>
      <c r="AH6261">
        <v>0.58911267026356695</v>
      </c>
      <c r="AI6261">
        <v>102.34499992032001</v>
      </c>
      <c r="AJ6261">
        <v>87.964583151118802</v>
      </c>
      <c r="AK6261">
        <v>0.60343729926947198</v>
      </c>
      <c r="AL6261">
        <v>90.478506788393105</v>
      </c>
      <c r="AM6261">
        <v>88.515889811599607</v>
      </c>
      <c r="AN6261">
        <v>1.0000000158654601</v>
      </c>
    </row>
    <row r="6262" spans="1:40" x14ac:dyDescent="0.25">
      <c r="A6262" t="str">
        <f>"20190312154421482"</f>
        <v>20190312154421482</v>
      </c>
      <c r="B6262" t="str">
        <f>"1552376661473958"</f>
        <v>1552376661473958</v>
      </c>
      <c r="C6262" t="s">
        <v>40</v>
      </c>
      <c r="D6262">
        <v>5.2440429999999996</v>
      </c>
      <c r="E6262">
        <v>0.51796509999999996</v>
      </c>
      <c r="F6262" t="s">
        <v>41</v>
      </c>
      <c r="G6262">
        <v>-301.6891</v>
      </c>
      <c r="H6262">
        <v>0.96838489999999999</v>
      </c>
      <c r="I6262">
        <v>-25.61674</v>
      </c>
      <c r="J6262">
        <v>-301.65379999999999</v>
      </c>
      <c r="K6262">
        <v>1.110382</v>
      </c>
      <c r="L6262">
        <v>-25.044309999999999</v>
      </c>
      <c r="M6262">
        <v>1.1160959999999999E-2</v>
      </c>
      <c r="N6262">
        <v>0</v>
      </c>
      <c r="O6262">
        <v>-0.99985000000000002</v>
      </c>
      <c r="P6262">
        <v>-1.5025749999999999E-2</v>
      </c>
      <c r="Q6262">
        <v>-2.1763020000000001E-2</v>
      </c>
      <c r="R6262">
        <v>-0.99965059999999994</v>
      </c>
      <c r="S6262">
        <v>-0.1254883</v>
      </c>
      <c r="T6262">
        <v>-0.54418710000000003</v>
      </c>
      <c r="U6262">
        <v>-2.9874269999999998</v>
      </c>
      <c r="V6262">
        <v>2.61827E-2</v>
      </c>
      <c r="W6262">
        <v>-8.5050219999999992E-3</v>
      </c>
      <c r="X6262">
        <v>0.99962099999999998</v>
      </c>
      <c r="Y6262">
        <v>5.2440010000000002E-2</v>
      </c>
      <c r="Z6262">
        <v>0.1789935</v>
      </c>
      <c r="AA6262">
        <v>0.98245170000000004</v>
      </c>
      <c r="AB6262">
        <v>19</v>
      </c>
      <c r="AC6262">
        <v>-3.53000000000065E-2</v>
      </c>
      <c r="AD6262">
        <v>-0.14199709999999999</v>
      </c>
      <c r="AE6262">
        <v>-0.57242999999999999</v>
      </c>
      <c r="AF6262">
        <v>3.9279374654789E-2</v>
      </c>
      <c r="AG6262">
        <v>-0.14199709999999999</v>
      </c>
      <c r="AH6262">
        <v>0.53896157577998305</v>
      </c>
      <c r="AI6262">
        <v>104.722632026353</v>
      </c>
      <c r="AJ6262">
        <v>85.831668547094495</v>
      </c>
      <c r="AK6262">
        <v>0.558735738832701</v>
      </c>
      <c r="AL6262">
        <v>90.487307737196005</v>
      </c>
      <c r="AM6262">
        <v>88.499616070120794</v>
      </c>
      <c r="AN6262">
        <v>1.0000000064097501</v>
      </c>
    </row>
    <row r="6263" spans="1:40" x14ac:dyDescent="0.25">
      <c r="A6263" t="str">
        <f>"20190312154421507"</f>
        <v>20190312154421507</v>
      </c>
      <c r="B6263" t="str">
        <f>"1552376661493479"</f>
        <v>1552376661493479</v>
      </c>
      <c r="C6263" t="s">
        <v>40</v>
      </c>
      <c r="D6263">
        <v>5.2086790000000001</v>
      </c>
      <c r="E6263">
        <v>0.52083649999999904</v>
      </c>
      <c r="F6263" t="s">
        <v>41</v>
      </c>
      <c r="G6263">
        <v>-301.69920000000002</v>
      </c>
      <c r="H6263">
        <v>0.96308819999999995</v>
      </c>
      <c r="I6263">
        <v>-25.784690000000001</v>
      </c>
      <c r="J6263">
        <v>-301.65159999999997</v>
      </c>
      <c r="K6263">
        <v>1.110401</v>
      </c>
      <c r="L6263">
        <v>-25.253019999999999</v>
      </c>
      <c r="M6263">
        <v>1.1193639999999999E-2</v>
      </c>
      <c r="N6263">
        <v>0</v>
      </c>
      <c r="O6263">
        <v>-0.99984930000000005</v>
      </c>
      <c r="P6263">
        <v>-1.483957E-2</v>
      </c>
      <c r="Q6263">
        <v>-2.236057E-2</v>
      </c>
      <c r="R6263">
        <v>-0.99963999999999997</v>
      </c>
      <c r="S6263">
        <v>-0.1820068</v>
      </c>
      <c r="T6263">
        <v>-0.59390719999999997</v>
      </c>
      <c r="U6263">
        <v>-2.985382</v>
      </c>
      <c r="V6263">
        <v>2.602933E-2</v>
      </c>
      <c r="W6263">
        <v>-9.0774610000000002E-3</v>
      </c>
      <c r="X6263">
        <v>0.99961999999999995</v>
      </c>
      <c r="Y6263">
        <v>7.0858459999999998E-2</v>
      </c>
      <c r="Z6263">
        <v>0.19467699999999999</v>
      </c>
      <c r="AA6263">
        <v>0.97830459999999997</v>
      </c>
      <c r="AB6263">
        <v>19</v>
      </c>
      <c r="AC6263">
        <v>-4.7600000000045301E-2</v>
      </c>
      <c r="AD6263">
        <v>-0.14731279999999999</v>
      </c>
      <c r="AE6263">
        <v>-0.53166999999999398</v>
      </c>
      <c r="AF6263">
        <v>4.97591825656062E-2</v>
      </c>
      <c r="AG6263">
        <v>-0.14731279999999999</v>
      </c>
      <c r="AH6263">
        <v>0.493517323001679</v>
      </c>
      <c r="AI6263">
        <v>106.540890310398</v>
      </c>
      <c r="AJ6263">
        <v>84.242575384277401</v>
      </c>
      <c r="AK6263">
        <v>0.51743249356431098</v>
      </c>
      <c r="AL6263">
        <v>90.520107328603601</v>
      </c>
      <c r="AM6263">
        <v>88.508399372434397</v>
      </c>
      <c r="AN6263">
        <v>1.00000003535922</v>
      </c>
    </row>
    <row r="6264" spans="1:40" x14ac:dyDescent="0.25">
      <c r="A6264" t="str">
        <f>"20190312154421529"</f>
        <v>20190312154421529</v>
      </c>
      <c r="B6264" t="str">
        <f>"1552376661523734"</f>
        <v>1552376661523734</v>
      </c>
      <c r="C6264" t="s">
        <v>40</v>
      </c>
      <c r="D6264">
        <v>5.2446669999999997</v>
      </c>
      <c r="E6264">
        <v>0.5233873</v>
      </c>
      <c r="F6264" t="s">
        <v>41</v>
      </c>
      <c r="G6264">
        <v>-301.69970000000001</v>
      </c>
      <c r="H6264">
        <v>0.96532200000000001</v>
      </c>
      <c r="I6264">
        <v>-25.956130000000002</v>
      </c>
      <c r="J6264">
        <v>-301.64940000000001</v>
      </c>
      <c r="K6264">
        <v>1.110425</v>
      </c>
      <c r="L6264">
        <v>-25.43985</v>
      </c>
      <c r="M6264">
        <v>1.1246600000000001E-2</v>
      </c>
      <c r="N6264">
        <v>0</v>
      </c>
      <c r="O6264">
        <v>-0.99984839999999997</v>
      </c>
      <c r="P6264">
        <v>-1.491483E-2</v>
      </c>
      <c r="Q6264">
        <v>-2.255967E-2</v>
      </c>
      <c r="R6264">
        <v>-0.99963449999999998</v>
      </c>
      <c r="S6264">
        <v>-0.20422360000000001</v>
      </c>
      <c r="T6264">
        <v>-0.61576489999999995</v>
      </c>
      <c r="U6264">
        <v>-2.984283</v>
      </c>
      <c r="V6264">
        <v>2.615779E-2</v>
      </c>
      <c r="W6264">
        <v>-9.2573129999999997E-3</v>
      </c>
      <c r="X6264">
        <v>0.99961500000000003</v>
      </c>
      <c r="Y6264">
        <v>7.8089220000000001E-2</v>
      </c>
      <c r="Z6264">
        <v>0.2015246</v>
      </c>
      <c r="AA6264">
        <v>0.9763657</v>
      </c>
      <c r="AB6264">
        <v>19</v>
      </c>
      <c r="AC6264">
        <v>-5.0299999999992899E-2</v>
      </c>
      <c r="AD6264">
        <v>-0.14510300000000001</v>
      </c>
      <c r="AE6264">
        <v>-0.51627999999999796</v>
      </c>
      <c r="AF6264">
        <v>5.2032250305687901E-2</v>
      </c>
      <c r="AG6264">
        <v>-0.14510300000000001</v>
      </c>
      <c r="AH6264">
        <v>0.47825831603766</v>
      </c>
      <c r="AI6264">
        <v>106.78430937255</v>
      </c>
      <c r="AJ6264">
        <v>83.790910215448505</v>
      </c>
      <c r="AK6264">
        <v>0.50248706703760304</v>
      </c>
      <c r="AL6264">
        <v>90.530412520415396</v>
      </c>
      <c r="AM6264">
        <v>88.501033878083604</v>
      </c>
      <c r="AN6264">
        <v>1.00000003802333</v>
      </c>
    </row>
    <row r="6265" spans="1:40" x14ac:dyDescent="0.25">
      <c r="A6265" t="str">
        <f>"20190312154421549"</f>
        <v>20190312154421549</v>
      </c>
      <c r="B6265" t="str">
        <f>"1552376661533495"</f>
        <v>1552376661533495</v>
      </c>
      <c r="C6265" t="s">
        <v>40</v>
      </c>
      <c r="D6265">
        <v>5.2439710000000002</v>
      </c>
      <c r="E6265">
        <v>0.52409850000000002</v>
      </c>
      <c r="F6265" t="s">
        <v>41</v>
      </c>
      <c r="G6265">
        <v>-301.71280000000002</v>
      </c>
      <c r="H6265">
        <v>0.93117269999999996</v>
      </c>
      <c r="I6265">
        <v>-26.279340000000001</v>
      </c>
      <c r="J6265">
        <v>-301.6474</v>
      </c>
      <c r="K6265">
        <v>1.1104499999999999</v>
      </c>
      <c r="L6265">
        <v>-25.606110000000001</v>
      </c>
      <c r="M6265">
        <v>1.1315540000000001E-2</v>
      </c>
      <c r="N6265">
        <v>0</v>
      </c>
      <c r="O6265">
        <v>-0.99984740000000005</v>
      </c>
      <c r="P6265">
        <v>-1.517753E-2</v>
      </c>
      <c r="Q6265">
        <v>-2.2648689999999999E-2</v>
      </c>
      <c r="R6265">
        <v>-0.99962850000000003</v>
      </c>
      <c r="S6265">
        <v>-0.22521969999999999</v>
      </c>
      <c r="T6265">
        <v>-0.63703069999999995</v>
      </c>
      <c r="U6265">
        <v>-2.983368</v>
      </c>
      <c r="V6265">
        <v>2.648969E-2</v>
      </c>
      <c r="W6265">
        <v>-9.3314309999999994E-3</v>
      </c>
      <c r="X6265">
        <v>0.99960550000000004</v>
      </c>
      <c r="Y6265">
        <v>8.4907960000000005E-2</v>
      </c>
      <c r="Z6265">
        <v>0.20813880000000001</v>
      </c>
      <c r="AA6265">
        <v>0.97440700000000002</v>
      </c>
      <c r="AB6265">
        <v>19</v>
      </c>
      <c r="AC6265">
        <v>-6.5400000000010894E-2</v>
      </c>
      <c r="AD6265">
        <v>-0.1792773</v>
      </c>
      <c r="AE6265">
        <v>-0.67323</v>
      </c>
      <c r="AF6265">
        <v>6.8221880833442397E-2</v>
      </c>
      <c r="AG6265">
        <v>-0.1792773</v>
      </c>
      <c r="AH6265">
        <v>0.62830831364774598</v>
      </c>
      <c r="AI6265">
        <v>105.836839526822</v>
      </c>
      <c r="AJ6265">
        <v>83.803086392874803</v>
      </c>
      <c r="AK6265">
        <v>0.65693676432257697</v>
      </c>
      <c r="AL6265">
        <v>90.534659390007704</v>
      </c>
      <c r="AM6265">
        <v>88.482008848504293</v>
      </c>
      <c r="AN6265">
        <v>0.999999967455526</v>
      </c>
    </row>
    <row r="6266" spans="1:40" x14ac:dyDescent="0.25">
      <c r="A6266" t="str">
        <f>"20190312154421566"</f>
        <v>20190312154421566</v>
      </c>
      <c r="B6266" t="str">
        <f>"1552376661553990"</f>
        <v>1552376661553990</v>
      </c>
      <c r="C6266" t="s">
        <v>40</v>
      </c>
      <c r="D6266">
        <v>5.2512749999999997</v>
      </c>
      <c r="E6266">
        <v>0.52504659999999903</v>
      </c>
      <c r="F6266" t="s">
        <v>41</v>
      </c>
      <c r="G6266">
        <v>-301.7131</v>
      </c>
      <c r="H6266">
        <v>0.92916690000000002</v>
      </c>
      <c r="I6266">
        <v>-26.448029999999999</v>
      </c>
      <c r="J6266">
        <v>-301.6454</v>
      </c>
      <c r="K6266">
        <v>1.110471</v>
      </c>
      <c r="L6266">
        <v>-25.768799999999999</v>
      </c>
      <c r="M6266">
        <v>1.140246E-2</v>
      </c>
      <c r="N6266">
        <v>0</v>
      </c>
      <c r="O6266">
        <v>-0.99984620000000002</v>
      </c>
      <c r="P6266">
        <v>-1.5029570000000001E-2</v>
      </c>
      <c r="Q6266">
        <v>-2.2944309999999999E-2</v>
      </c>
      <c r="R6266">
        <v>-0.99962410000000002</v>
      </c>
      <c r="S6266">
        <v>-0.23196410000000001</v>
      </c>
      <c r="T6266">
        <v>-0.64229999999999998</v>
      </c>
      <c r="U6266">
        <v>-2.9830320000000001</v>
      </c>
      <c r="V6266">
        <v>2.6428960000000001E-2</v>
      </c>
      <c r="W6266">
        <v>-9.6142410000000008E-3</v>
      </c>
      <c r="X6266">
        <v>0.99960450000000001</v>
      </c>
      <c r="Y6266">
        <v>8.7165740000000005E-2</v>
      </c>
      <c r="Z6266">
        <v>0.20976909999999999</v>
      </c>
      <c r="AA6266">
        <v>0.9738578</v>
      </c>
      <c r="AB6266">
        <v>19</v>
      </c>
      <c r="AC6266">
        <v>-6.7700000000001995E-2</v>
      </c>
      <c r="AD6266">
        <v>-0.1813041</v>
      </c>
      <c r="AE6266">
        <v>-0.67923</v>
      </c>
      <c r="AF6266">
        <v>7.0469644464518505E-2</v>
      </c>
      <c r="AG6266">
        <v>-0.1813041</v>
      </c>
      <c r="AH6266">
        <v>0.63370670481412295</v>
      </c>
      <c r="AI6266">
        <v>105.873008700157</v>
      </c>
      <c r="AJ6266">
        <v>83.654647161811695</v>
      </c>
      <c r="AK6266">
        <v>0.66288862955562899</v>
      </c>
      <c r="AL6266">
        <v>90.550863897106893</v>
      </c>
      <c r="AM6266">
        <v>88.485485842807904</v>
      </c>
      <c r="AN6266">
        <v>1.0000000399884601</v>
      </c>
    </row>
    <row r="6267" spans="1:40" x14ac:dyDescent="0.25">
      <c r="A6267" t="str">
        <f>"20190312154421590"</f>
        <v>20190312154421590</v>
      </c>
      <c r="B6267" t="str">
        <f>"1552376661584246"</f>
        <v>1552376661584246</v>
      </c>
      <c r="C6267" t="s">
        <v>40</v>
      </c>
      <c r="D6267">
        <v>5.3146089999999999</v>
      </c>
      <c r="E6267">
        <v>0.52595829999999999</v>
      </c>
      <c r="F6267" t="s">
        <v>41</v>
      </c>
      <c r="G6267">
        <v>-301.70150000000001</v>
      </c>
      <c r="H6267">
        <v>0.95906389999999997</v>
      </c>
      <c r="I6267">
        <v>-26.46265</v>
      </c>
      <c r="J6267">
        <v>-301.6431</v>
      </c>
      <c r="K6267">
        <v>1.1104889999999901</v>
      </c>
      <c r="L6267">
        <v>-25.960329999999999</v>
      </c>
      <c r="M6267">
        <v>1.1530189999999999E-2</v>
      </c>
      <c r="N6267">
        <v>0</v>
      </c>
      <c r="O6267">
        <v>-0.99984459999999997</v>
      </c>
      <c r="P6267">
        <v>-1.4466730000000001E-2</v>
      </c>
      <c r="Q6267">
        <v>-2.2834409999999999E-2</v>
      </c>
      <c r="R6267">
        <v>-0.99963480000000005</v>
      </c>
      <c r="S6267">
        <v>-0.23974609999999999</v>
      </c>
      <c r="T6267">
        <v>-0.65083169999999901</v>
      </c>
      <c r="U6267">
        <v>-2.9825740000000001</v>
      </c>
      <c r="V6267">
        <v>2.5994300000000001E-2</v>
      </c>
      <c r="W6267">
        <v>-9.491378E-3</v>
      </c>
      <c r="X6267">
        <v>0.99961699999999998</v>
      </c>
      <c r="Y6267">
        <v>8.9783520000000006E-2</v>
      </c>
      <c r="Z6267">
        <v>0.21241489999999999</v>
      </c>
      <c r="AA6267">
        <v>0.97304619999999997</v>
      </c>
      <c r="AB6267">
        <v>19</v>
      </c>
      <c r="AC6267">
        <v>-5.8400000000005899E-2</v>
      </c>
      <c r="AD6267">
        <v>-0.15142509999999901</v>
      </c>
      <c r="AE6267">
        <v>-0.50232000000000099</v>
      </c>
      <c r="AF6267">
        <v>5.8906827473129197E-2</v>
      </c>
      <c r="AG6267">
        <v>-0.15142509999999901</v>
      </c>
      <c r="AH6267">
        <v>0.46033871304497198</v>
      </c>
      <c r="AI6267">
        <v>108.070584419589</v>
      </c>
      <c r="AJ6267">
        <v>82.707827662233996</v>
      </c>
      <c r="AK6267">
        <v>0.48817138994502801</v>
      </c>
      <c r="AL6267">
        <v>90.543824083796494</v>
      </c>
      <c r="AM6267">
        <v>88.510401379444204</v>
      </c>
      <c r="AN6267">
        <v>0.99999996828891302</v>
      </c>
    </row>
    <row r="6268" spans="1:40" x14ac:dyDescent="0.25">
      <c r="A6268" t="str">
        <f>"20190312154421612"</f>
        <v>20190312154421612</v>
      </c>
      <c r="B6268" t="str">
        <f>"1552376661603767"</f>
        <v>1552376661603767</v>
      </c>
      <c r="C6268" t="s">
        <v>40</v>
      </c>
      <c r="D6268">
        <v>5.2540620000000002</v>
      </c>
      <c r="E6268">
        <v>0.54539499999999996</v>
      </c>
      <c r="F6268" t="s">
        <v>41</v>
      </c>
      <c r="G6268">
        <v>-301.71140000000003</v>
      </c>
      <c r="H6268">
        <v>0.92834830000000002</v>
      </c>
      <c r="I6268">
        <v>-26.786249999999999</v>
      </c>
      <c r="J6268">
        <v>-301.64069999999998</v>
      </c>
      <c r="K6268">
        <v>1.110509</v>
      </c>
      <c r="L6268">
        <v>-26.153020000000001</v>
      </c>
      <c r="M6268">
        <v>1.1687380000000001E-2</v>
      </c>
      <c r="N6268">
        <v>0</v>
      </c>
      <c r="O6268">
        <v>-0.99984260000000003</v>
      </c>
      <c r="P6268">
        <v>-1.3846839999999999E-2</v>
      </c>
      <c r="Q6268">
        <v>-2.3145019999999999E-2</v>
      </c>
      <c r="R6268">
        <v>-0.99963639999999998</v>
      </c>
      <c r="S6268">
        <v>-0.24551390000000001</v>
      </c>
      <c r="T6268">
        <v>-0.65773570000000003</v>
      </c>
      <c r="U6268">
        <v>-2.982513</v>
      </c>
      <c r="V6268">
        <v>2.5531970000000001E-2</v>
      </c>
      <c r="W6268">
        <v>-9.7910770000000005E-3</v>
      </c>
      <c r="X6268">
        <v>0.99962600000000001</v>
      </c>
      <c r="Y6268">
        <v>9.1772820000000005E-2</v>
      </c>
      <c r="Z6268">
        <v>0.21453259999999999</v>
      </c>
      <c r="AA6268">
        <v>0.97239580000000003</v>
      </c>
      <c r="AB6268">
        <v>19</v>
      </c>
      <c r="AC6268">
        <v>-7.0700000000044796E-2</v>
      </c>
      <c r="AD6268">
        <v>-0.18216069999999901</v>
      </c>
      <c r="AE6268">
        <v>-0.63322999999999696</v>
      </c>
      <c r="AF6268">
        <v>7.2195737530263301E-2</v>
      </c>
      <c r="AG6268">
        <v>-0.18216069999999901</v>
      </c>
      <c r="AH6268">
        <v>0.58457994597079399</v>
      </c>
      <c r="AI6268">
        <v>107.18474769596899</v>
      </c>
      <c r="AJ6268">
        <v>82.959609648736404</v>
      </c>
      <c r="AK6268">
        <v>0.616545584992095</v>
      </c>
      <c r="AL6268">
        <v>90.560996384389497</v>
      </c>
      <c r="AM6268">
        <v>88.536896662664503</v>
      </c>
      <c r="AN6268">
        <v>0.99999994327844799</v>
      </c>
    </row>
    <row r="6269" spans="1:40" x14ac:dyDescent="0.25">
      <c r="A6269" t="str">
        <f>"20190312154421635"</f>
        <v>20190312154421635</v>
      </c>
      <c r="B6269" t="str">
        <f>"1552376661624263"</f>
        <v>1552376661624263</v>
      </c>
      <c r="C6269" t="s">
        <v>40</v>
      </c>
      <c r="D6269">
        <v>5.24824</v>
      </c>
      <c r="E6269">
        <v>0.54587730000000001</v>
      </c>
      <c r="F6269" t="s">
        <v>41</v>
      </c>
      <c r="G6269">
        <v>-301.7457</v>
      </c>
      <c r="H6269">
        <v>0.88592199999999999</v>
      </c>
      <c r="I6269">
        <v>-26.93796</v>
      </c>
      <c r="J6269">
        <v>-301.63839999999999</v>
      </c>
      <c r="K6269">
        <v>1.1105229999999999</v>
      </c>
      <c r="L6269">
        <v>-26.336120000000001</v>
      </c>
      <c r="M6269">
        <v>1.185863E-2</v>
      </c>
      <c r="N6269">
        <v>0</v>
      </c>
      <c r="O6269">
        <v>-0.99984070000000003</v>
      </c>
      <c r="P6269">
        <v>-1.2455829999999999E-2</v>
      </c>
      <c r="Q6269">
        <v>-2.3467060000000001E-2</v>
      </c>
      <c r="R6269">
        <v>-0.99964730000000002</v>
      </c>
      <c r="S6269">
        <v>-0.39736939999999998</v>
      </c>
      <c r="T6269">
        <v>-0.85145469999999901</v>
      </c>
      <c r="U6269">
        <v>-2.9758610000000001</v>
      </c>
      <c r="V6269">
        <v>2.43127E-2</v>
      </c>
      <c r="W6269">
        <v>-1.010436E-2</v>
      </c>
      <c r="X6269">
        <v>0.99965329999999997</v>
      </c>
      <c r="Y6269">
        <v>0.13908699999999999</v>
      </c>
      <c r="Z6269">
        <v>0.272594</v>
      </c>
      <c r="AA6269">
        <v>0.9520227</v>
      </c>
      <c r="AB6269">
        <v>19</v>
      </c>
      <c r="AC6269">
        <v>-0.107300000000009</v>
      </c>
      <c r="AD6269">
        <v>-0.224600999999999</v>
      </c>
      <c r="AE6269">
        <v>-0.60183999999999505</v>
      </c>
      <c r="AF6269">
        <v>0.100821176234227</v>
      </c>
      <c r="AG6269">
        <v>-0.224600999999999</v>
      </c>
      <c r="AH6269">
        <v>0.52910603867918804</v>
      </c>
      <c r="AI6269">
        <v>112.63558389488399</v>
      </c>
      <c r="AJ6269">
        <v>79.211619125171197</v>
      </c>
      <c r="AK6269">
        <v>0.58357837429520598</v>
      </c>
      <c r="AL6269">
        <v>90.578947056046601</v>
      </c>
      <c r="AM6269">
        <v>88.606776437638004</v>
      </c>
      <c r="AN6269">
        <v>0.99999996283659398</v>
      </c>
    </row>
    <row r="6270" spans="1:40" x14ac:dyDescent="0.25">
      <c r="A6270" t="str">
        <f>"20190312154421657"</f>
        <v>20190312154421657</v>
      </c>
      <c r="B6270" t="str">
        <f>"1552376661643783"</f>
        <v>1552376661643783</v>
      </c>
      <c r="C6270" t="s">
        <v>40</v>
      </c>
      <c r="D6270">
        <v>5.2798879999999997</v>
      </c>
      <c r="E6270">
        <v>0.54616730000000002</v>
      </c>
      <c r="F6270" t="s">
        <v>41</v>
      </c>
      <c r="G6270">
        <v>-301.74160000000001</v>
      </c>
      <c r="H6270">
        <v>0.88744889999999998</v>
      </c>
      <c r="I6270">
        <v>-27.107189999999999</v>
      </c>
      <c r="J6270">
        <v>-301.63589999999999</v>
      </c>
      <c r="K6270">
        <v>1.1105339999999999</v>
      </c>
      <c r="L6270">
        <v>-26.525020000000001</v>
      </c>
      <c r="M6270">
        <v>1.2053599999999999E-2</v>
      </c>
      <c r="N6270">
        <v>0</v>
      </c>
      <c r="O6270">
        <v>-0.99983809999999995</v>
      </c>
      <c r="P6270">
        <v>-1.1337649999999999E-2</v>
      </c>
      <c r="Q6270">
        <v>-2.319512E-2</v>
      </c>
      <c r="R6270">
        <v>-0.99966690000000002</v>
      </c>
      <c r="S6270">
        <v>-0.39718629999999999</v>
      </c>
      <c r="T6270">
        <v>-0.86094780000000004</v>
      </c>
      <c r="U6270">
        <v>-2.9758909999999998</v>
      </c>
      <c r="V6270">
        <v>2.338991E-2</v>
      </c>
      <c r="W6270">
        <v>-9.8248069999999996E-3</v>
      </c>
      <c r="X6270">
        <v>0.99967810000000001</v>
      </c>
      <c r="Y6270">
        <v>0.139115299999999</v>
      </c>
      <c r="Z6270">
        <v>0.27539839999999999</v>
      </c>
      <c r="AA6270">
        <v>0.95121120000000003</v>
      </c>
      <c r="AB6270">
        <v>19</v>
      </c>
      <c r="AC6270">
        <v>-0.10570000000001301</v>
      </c>
      <c r="AD6270">
        <v>-0.22308509999999901</v>
      </c>
      <c r="AE6270">
        <v>-0.58217000000000096</v>
      </c>
      <c r="AF6270">
        <v>9.8682219006436797E-2</v>
      </c>
      <c r="AG6270">
        <v>-0.22308509999999901</v>
      </c>
      <c r="AH6270">
        <v>0.50856017597805003</v>
      </c>
      <c r="AI6270">
        <v>113.29806457022001</v>
      </c>
      <c r="AJ6270">
        <v>79.018659022941605</v>
      </c>
      <c r="AK6270">
        <v>0.56403776006653095</v>
      </c>
      <c r="AL6270">
        <v>90.562929055155493</v>
      </c>
      <c r="AM6270">
        <v>88.659669890693195</v>
      </c>
      <c r="AN6270">
        <v>0.99999995917100104</v>
      </c>
    </row>
    <row r="6271" spans="1:40" x14ac:dyDescent="0.25">
      <c r="A6271" t="str">
        <f>"20190312154421680"</f>
        <v>20190312154421680</v>
      </c>
      <c r="B6271" t="str">
        <f>"1552376661674038"</f>
        <v>1552376661674038</v>
      </c>
      <c r="C6271" t="s">
        <v>40</v>
      </c>
      <c r="D6271">
        <v>5.2156979999999997</v>
      </c>
      <c r="E6271">
        <v>0.54608800000000002</v>
      </c>
      <c r="F6271" t="s">
        <v>41</v>
      </c>
      <c r="G6271">
        <v>-301.73630000000003</v>
      </c>
      <c r="H6271">
        <v>0.89254859999999903</v>
      </c>
      <c r="I6271">
        <v>-27.277660000000001</v>
      </c>
      <c r="J6271">
        <v>-301.63319999999999</v>
      </c>
      <c r="K6271">
        <v>1.1105430000000001</v>
      </c>
      <c r="L6271">
        <v>-26.72607</v>
      </c>
      <c r="M6271">
        <v>1.22769E-2</v>
      </c>
      <c r="N6271">
        <v>0</v>
      </c>
      <c r="O6271">
        <v>-0.99983529999999998</v>
      </c>
      <c r="P6271">
        <v>-1.015625E-2</v>
      </c>
      <c r="Q6271">
        <v>-2.324447E-2</v>
      </c>
      <c r="R6271">
        <v>-0.99967830000000002</v>
      </c>
      <c r="S6271">
        <v>-0.39654539999999999</v>
      </c>
      <c r="T6271">
        <v>-0.86208340000000006</v>
      </c>
      <c r="U6271">
        <v>-2.9765009999999998</v>
      </c>
      <c r="V6271">
        <v>2.2432190000000001E-2</v>
      </c>
      <c r="W6271">
        <v>-9.8675570000000008E-3</v>
      </c>
      <c r="X6271">
        <v>0.99969969999999997</v>
      </c>
      <c r="Y6271">
        <v>0.13909859999999999</v>
      </c>
      <c r="Z6271">
        <v>0.2756847</v>
      </c>
      <c r="AA6271">
        <v>0.95113060000000005</v>
      </c>
      <c r="AB6271">
        <v>19</v>
      </c>
      <c r="AC6271">
        <v>-0.10310000000004001</v>
      </c>
      <c r="AD6271">
        <v>-0.2179944</v>
      </c>
      <c r="AE6271">
        <v>-0.55158999999999703</v>
      </c>
      <c r="AF6271">
        <v>9.5458190549695801E-2</v>
      </c>
      <c r="AG6271">
        <v>-0.2179944</v>
      </c>
      <c r="AH6271">
        <v>0.47812447525984703</v>
      </c>
      <c r="AI6271">
        <v>114.090014254317</v>
      </c>
      <c r="AJ6271">
        <v>78.709277410356805</v>
      </c>
      <c r="AK6271">
        <v>0.53407568603792999</v>
      </c>
      <c r="AL6271">
        <v>90.565378527955104</v>
      </c>
      <c r="AM6271">
        <v>88.714559818410194</v>
      </c>
      <c r="AN6271">
        <v>1.0000000310047099</v>
      </c>
    </row>
    <row r="6272" spans="1:40" x14ac:dyDescent="0.25">
      <c r="A6272" t="str">
        <f>"20190312154421704"</f>
        <v>20190312154421704</v>
      </c>
      <c r="B6272" t="str">
        <f>"1552376661693558"</f>
        <v>1552376661693558</v>
      </c>
      <c r="C6272" t="s">
        <v>40</v>
      </c>
      <c r="D6272">
        <v>5.2307189999999997</v>
      </c>
      <c r="E6272">
        <v>0.54609510000000006</v>
      </c>
      <c r="F6272" t="s">
        <v>41</v>
      </c>
      <c r="G6272">
        <v>-301.72890000000001</v>
      </c>
      <c r="H6272">
        <v>0.90128960000000002</v>
      </c>
      <c r="I6272">
        <v>-27.449349999999999</v>
      </c>
      <c r="J6272">
        <v>-301.63060000000002</v>
      </c>
      <c r="K6272">
        <v>1.1105560000000001</v>
      </c>
      <c r="L6272">
        <v>-26.922789999999999</v>
      </c>
      <c r="M6272">
        <v>1.2509849999999999E-2</v>
      </c>
      <c r="N6272">
        <v>0</v>
      </c>
      <c r="O6272">
        <v>-0.99983239999999995</v>
      </c>
      <c r="P6272">
        <v>-9.157686E-3</v>
      </c>
      <c r="Q6272">
        <v>-2.3020140000000001E-2</v>
      </c>
      <c r="R6272">
        <v>-0.99969339999999995</v>
      </c>
      <c r="S6272">
        <v>-0.39242549999999998</v>
      </c>
      <c r="T6272">
        <v>-0.861294</v>
      </c>
      <c r="U6272">
        <v>-2.9769589999999999</v>
      </c>
      <c r="V6272">
        <v>2.1666879999999999E-2</v>
      </c>
      <c r="W6272">
        <v>-9.6379340000000008E-3</v>
      </c>
      <c r="X6272">
        <v>0.99971880000000002</v>
      </c>
      <c r="Y6272">
        <v>0.13802490000000001</v>
      </c>
      <c r="Z6272">
        <v>0.27545550000000002</v>
      </c>
      <c r="AA6272">
        <v>0.95135340000000002</v>
      </c>
      <c r="AB6272">
        <v>19</v>
      </c>
      <c r="AC6272">
        <v>-9.8299999999994697E-2</v>
      </c>
      <c r="AD6272">
        <v>-0.20926639999999899</v>
      </c>
      <c r="AE6272">
        <v>-0.52655999999999603</v>
      </c>
      <c r="AF6272">
        <v>9.0992373610201405E-2</v>
      </c>
      <c r="AG6272">
        <v>-0.20926639999999899</v>
      </c>
      <c r="AH6272">
        <v>0.45573276233024401</v>
      </c>
      <c r="AI6272">
        <v>114.24198200196599</v>
      </c>
      <c r="AJ6272">
        <v>78.708706933404201</v>
      </c>
      <c r="AK6272">
        <v>0.50967086328858702</v>
      </c>
      <c r="AL6272">
        <v>90.552221484716597</v>
      </c>
      <c r="AM6272">
        <v>88.758424407453006</v>
      </c>
      <c r="AN6272">
        <v>1.0000000112670799</v>
      </c>
    </row>
    <row r="6273" spans="1:40" x14ac:dyDescent="0.25">
      <c r="A6273" t="str">
        <f>"20190312154421726"</f>
        <v>20190312154421726</v>
      </c>
      <c r="B6273" t="str">
        <f>"1552376661714054"</f>
        <v>1552376661714054</v>
      </c>
      <c r="C6273" t="s">
        <v>40</v>
      </c>
      <c r="D6273">
        <v>5.1877719999999998</v>
      </c>
      <c r="E6273">
        <v>0.54611969999999899</v>
      </c>
      <c r="F6273" t="s">
        <v>41</v>
      </c>
      <c r="G6273">
        <v>-301.72179999999997</v>
      </c>
      <c r="H6273">
        <v>0.90886889999999998</v>
      </c>
      <c r="I6273">
        <v>-27.6203</v>
      </c>
      <c r="J6273">
        <v>-301.62790000000001</v>
      </c>
      <c r="K6273">
        <v>1.110568</v>
      </c>
      <c r="L6273">
        <v>-27.11234</v>
      </c>
      <c r="M6273">
        <v>1.2749119999999999E-2</v>
      </c>
      <c r="N6273">
        <v>0</v>
      </c>
      <c r="O6273">
        <v>-0.99982910000000003</v>
      </c>
      <c r="P6273">
        <v>-8.7402049999999992E-3</v>
      </c>
      <c r="Q6273">
        <v>-2.332478E-2</v>
      </c>
      <c r="R6273">
        <v>-0.99968979999999996</v>
      </c>
      <c r="S6273">
        <v>-0.3891907</v>
      </c>
      <c r="T6273">
        <v>-0.86096949999999906</v>
      </c>
      <c r="U6273">
        <v>-2.9775390000000002</v>
      </c>
      <c r="V6273">
        <v>2.1488839999999999E-2</v>
      </c>
      <c r="W6273">
        <v>-9.9386130000000007E-3</v>
      </c>
      <c r="X6273">
        <v>0.99971969999999999</v>
      </c>
      <c r="Y6273">
        <v>0.13722579999999901</v>
      </c>
      <c r="Z6273">
        <v>0.27534249999999999</v>
      </c>
      <c r="AA6273">
        <v>0.95150170000000001</v>
      </c>
      <c r="AB6273">
        <v>19</v>
      </c>
      <c r="AC6273">
        <v>-9.3899999999962305E-2</v>
      </c>
      <c r="AD6273">
        <v>-0.20169909999999999</v>
      </c>
      <c r="AE6273">
        <v>-0.50795999999999697</v>
      </c>
      <c r="AF6273">
        <v>8.7091080055123601E-2</v>
      </c>
      <c r="AG6273">
        <v>-0.20169909999999999</v>
      </c>
      <c r="AH6273">
        <v>0.43968678935577199</v>
      </c>
      <c r="AI6273">
        <v>114.227320490629</v>
      </c>
      <c r="AJ6273">
        <v>78.796144009906001</v>
      </c>
      <c r="AK6273">
        <v>0.491519944559694</v>
      </c>
      <c r="AL6273">
        <v>90.569449946970593</v>
      </c>
      <c r="AM6273">
        <v>88.7686245741356</v>
      </c>
      <c r="AN6273">
        <v>1.00000001242049</v>
      </c>
    </row>
    <row r="6274" spans="1:40" x14ac:dyDescent="0.25">
      <c r="A6274" t="str">
        <f>"20190312154421749"</f>
        <v>20190312154421749</v>
      </c>
      <c r="B6274" t="str">
        <f>"1552376661733575"</f>
        <v>1552376661733575</v>
      </c>
      <c r="C6274" t="s">
        <v>40</v>
      </c>
      <c r="D6274">
        <v>5.2033250000000004</v>
      </c>
      <c r="E6274">
        <v>0.5463732</v>
      </c>
      <c r="F6274" t="s">
        <v>41</v>
      </c>
      <c r="G6274">
        <v>-301.7167</v>
      </c>
      <c r="H6274">
        <v>0.91429340000000003</v>
      </c>
      <c r="I6274">
        <v>-27.790430000000001</v>
      </c>
      <c r="J6274">
        <v>-301.62549999999999</v>
      </c>
      <c r="K6274">
        <v>1.110579</v>
      </c>
      <c r="L6274">
        <v>-27.281009999999998</v>
      </c>
      <c r="M6274">
        <v>1.2976339999999999E-2</v>
      </c>
      <c r="N6274">
        <v>0</v>
      </c>
      <c r="O6274">
        <v>-0.9998264</v>
      </c>
      <c r="P6274">
        <v>-8.2932849999999992E-3</v>
      </c>
      <c r="Q6274">
        <v>-2.410021E-2</v>
      </c>
      <c r="R6274">
        <v>-0.99967539999999999</v>
      </c>
      <c r="S6274">
        <v>-0.3885498</v>
      </c>
      <c r="T6274">
        <v>-0.86183679999999996</v>
      </c>
      <c r="U6274">
        <v>-2.977417</v>
      </c>
      <c r="V6274">
        <v>2.1269349999999999E-2</v>
      </c>
      <c r="W6274">
        <v>-1.07113E-2</v>
      </c>
      <c r="X6274">
        <v>0.99971639999999995</v>
      </c>
      <c r="Y6274">
        <v>0.13724439999999999</v>
      </c>
      <c r="Z6274">
        <v>0.27561079999999999</v>
      </c>
      <c r="AA6274">
        <v>0.95142139999999997</v>
      </c>
      <c r="AB6274">
        <v>19</v>
      </c>
      <c r="AC6274">
        <v>-9.1200000000014797E-2</v>
      </c>
      <c r="AD6274">
        <v>-0.19628559999999901</v>
      </c>
      <c r="AE6274">
        <v>-0.50941999999999799</v>
      </c>
      <c r="AF6274">
        <v>8.5503275577228297E-2</v>
      </c>
      <c r="AG6274">
        <v>-0.19628559999999901</v>
      </c>
      <c r="AH6274">
        <v>0.44428158758360797</v>
      </c>
      <c r="AI6274">
        <v>113.45328166432699</v>
      </c>
      <c r="AJ6274">
        <v>79.106450628345598</v>
      </c>
      <c r="AK6274">
        <v>0.49317844231840302</v>
      </c>
      <c r="AL6274">
        <v>90.613724019833796</v>
      </c>
      <c r="AM6274">
        <v>88.7811941785599</v>
      </c>
      <c r="AN6274">
        <v>0.99999999881303603</v>
      </c>
    </row>
    <row r="6275" spans="1:40" x14ac:dyDescent="0.25">
      <c r="A6275" t="str">
        <f>"20190312154421768"</f>
        <v>20190312154421768</v>
      </c>
      <c r="B6275" t="str">
        <f>"1552376661754070"</f>
        <v>1552376661754070</v>
      </c>
      <c r="C6275" t="s">
        <v>40</v>
      </c>
      <c r="D6275">
        <v>5.1483730000000003</v>
      </c>
      <c r="E6275">
        <v>0.55164799999999903</v>
      </c>
      <c r="F6275" t="s">
        <v>41</v>
      </c>
      <c r="G6275">
        <v>-301.71420000000001</v>
      </c>
      <c r="H6275">
        <v>0.91408350000000005</v>
      </c>
      <c r="I6275">
        <v>-27.957850000000001</v>
      </c>
      <c r="J6275">
        <v>-301.62290000000002</v>
      </c>
      <c r="K6275">
        <v>1.1105910000000001</v>
      </c>
      <c r="L6275">
        <v>-27.459109999999999</v>
      </c>
      <c r="M6275">
        <v>1.3233399999999999E-2</v>
      </c>
      <c r="N6275">
        <v>0</v>
      </c>
      <c r="O6275">
        <v>-0.99982289999999996</v>
      </c>
      <c r="P6275">
        <v>-7.644779E-3</v>
      </c>
      <c r="Q6275">
        <v>-2.4969419999999999E-2</v>
      </c>
      <c r="R6275">
        <v>-0.99965910000000002</v>
      </c>
      <c r="S6275">
        <v>-0.3894958</v>
      </c>
      <c r="T6275">
        <v>-0.86424230000000002</v>
      </c>
      <c r="U6275">
        <v>-2.9768979999999998</v>
      </c>
      <c r="V6275">
        <v>2.08782E-2</v>
      </c>
      <c r="W6275">
        <v>-1.1578079999999999E-2</v>
      </c>
      <c r="X6275">
        <v>0.99971500000000002</v>
      </c>
      <c r="Y6275">
        <v>0.13778989999999999</v>
      </c>
      <c r="Z6275">
        <v>0.27634779999999998</v>
      </c>
      <c r="AA6275">
        <v>0.95112870000000005</v>
      </c>
      <c r="AB6275">
        <v>19</v>
      </c>
      <c r="AC6275">
        <v>-9.1299999999989695E-2</v>
      </c>
      <c r="AD6275">
        <v>-0.196507499999999</v>
      </c>
      <c r="AE6275">
        <v>-0.49874000000000102</v>
      </c>
      <c r="AF6275">
        <v>8.5108585923094907E-2</v>
      </c>
      <c r="AG6275">
        <v>-0.196507499999999</v>
      </c>
      <c r="AH6275">
        <v>0.43251983736421401</v>
      </c>
      <c r="AI6275">
        <v>114.026518021402</v>
      </c>
      <c r="AJ6275">
        <v>78.867913636168296</v>
      </c>
      <c r="AK6275">
        <v>0.48263037478762699</v>
      </c>
      <c r="AL6275">
        <v>90.663389930132496</v>
      </c>
      <c r="AM6275">
        <v>88.803600148143801</v>
      </c>
      <c r="AN6275">
        <v>1.00000001619836</v>
      </c>
    </row>
    <row r="6276" spans="1:40" x14ac:dyDescent="0.25">
      <c r="A6276" t="str">
        <f>"20190312154421791"</f>
        <v>20190312154421791</v>
      </c>
      <c r="B6276" t="str">
        <f>"1552376661784327"</f>
        <v>1552376661784327</v>
      </c>
      <c r="C6276" t="s">
        <v>40</v>
      </c>
      <c r="D6276">
        <v>5.1360140000000003</v>
      </c>
      <c r="E6276">
        <v>0.55218800000000001</v>
      </c>
      <c r="F6276" t="s">
        <v>41</v>
      </c>
      <c r="G6276">
        <v>-301.74029999999999</v>
      </c>
      <c r="H6276">
        <v>0.8628498</v>
      </c>
      <c r="I6276">
        <v>-28.271809999999999</v>
      </c>
      <c r="J6276">
        <v>-301.62009999999998</v>
      </c>
      <c r="K6276">
        <v>1.1106020000000001</v>
      </c>
      <c r="L6276">
        <v>-27.648679999999999</v>
      </c>
      <c r="M6276">
        <v>1.353203E-2</v>
      </c>
      <c r="N6276">
        <v>0</v>
      </c>
      <c r="O6276">
        <v>-0.99981889999999995</v>
      </c>
      <c r="P6276">
        <v>-7.0873830000000001E-3</v>
      </c>
      <c r="Q6276">
        <v>-2.5405919999999999E-2</v>
      </c>
      <c r="R6276">
        <v>-0.99965230000000005</v>
      </c>
      <c r="S6276">
        <v>-0.42980960000000001</v>
      </c>
      <c r="T6276">
        <v>-0.90692110000000004</v>
      </c>
      <c r="U6276">
        <v>-2.975098</v>
      </c>
      <c r="V6276">
        <v>2.0619820000000001E-2</v>
      </c>
      <c r="W6276">
        <v>-1.201226E-2</v>
      </c>
      <c r="X6276">
        <v>0.99971520000000003</v>
      </c>
      <c r="Y6276">
        <v>0.150281</v>
      </c>
      <c r="Z6276">
        <v>0.288518099999999</v>
      </c>
      <c r="AA6276">
        <v>0.94560719999999998</v>
      </c>
      <c r="AB6276">
        <v>19</v>
      </c>
      <c r="AC6276">
        <v>-0.12020000000001101</v>
      </c>
      <c r="AD6276">
        <v>-0.24775220000000001</v>
      </c>
      <c r="AE6276">
        <v>-0.62312999999999896</v>
      </c>
      <c r="AF6276">
        <v>0.111611358256723</v>
      </c>
      <c r="AG6276">
        <v>-0.24775220000000001</v>
      </c>
      <c r="AH6276">
        <v>0.53925829010686599</v>
      </c>
      <c r="AI6276">
        <v>114.222802544519</v>
      </c>
      <c r="AJ6276">
        <v>78.3064863408419</v>
      </c>
      <c r="AK6276">
        <v>0.60385242513856996</v>
      </c>
      <c r="AL6276">
        <v>90.688268369655603</v>
      </c>
      <c r="AM6276">
        <v>88.818402312077893</v>
      </c>
      <c r="AN6276">
        <v>0.99999997623908898</v>
      </c>
    </row>
    <row r="6277" spans="1:40" x14ac:dyDescent="0.25">
      <c r="A6277" t="str">
        <f>"20190312154421813"</f>
        <v>20190312154421813</v>
      </c>
      <c r="B6277" t="str">
        <f>"1552376661803847"</f>
        <v>1552376661803847</v>
      </c>
      <c r="C6277" t="s">
        <v>40</v>
      </c>
      <c r="D6277">
        <v>5.1198930000000002</v>
      </c>
      <c r="E6277">
        <v>0.5521587</v>
      </c>
      <c r="F6277" t="s">
        <v>41</v>
      </c>
      <c r="G6277">
        <v>-301.73540000000003</v>
      </c>
      <c r="H6277">
        <v>0.86865409999999899</v>
      </c>
      <c r="I6277">
        <v>-28.440989999999999</v>
      </c>
      <c r="J6277">
        <v>-301.61709999999999</v>
      </c>
      <c r="K6277">
        <v>1.1106149999999999</v>
      </c>
      <c r="L6277">
        <v>-27.840150000000001</v>
      </c>
      <c r="M6277">
        <v>1.3856490000000001E-2</v>
      </c>
      <c r="N6277">
        <v>0</v>
      </c>
      <c r="O6277">
        <v>-0.99981430000000004</v>
      </c>
      <c r="P6277">
        <v>-5.8120639999999996E-3</v>
      </c>
      <c r="Q6277">
        <v>-2.5268479999999999E-2</v>
      </c>
      <c r="R6277">
        <v>-0.99966379999999999</v>
      </c>
      <c r="S6277">
        <v>-0.43243409999999899</v>
      </c>
      <c r="T6277">
        <v>-0.90846110000000002</v>
      </c>
      <c r="U6277">
        <v>-2.9748839999999999</v>
      </c>
      <c r="V6277">
        <v>1.9669450000000002E-2</v>
      </c>
      <c r="W6277">
        <v>-1.187295E-2</v>
      </c>
      <c r="X6277">
        <v>0.99973599999999996</v>
      </c>
      <c r="Y6277">
        <v>0.15140960000000001</v>
      </c>
      <c r="Z6277">
        <v>0.28894160000000002</v>
      </c>
      <c r="AA6277">
        <v>0.94529779999999997</v>
      </c>
      <c r="AB6277">
        <v>19</v>
      </c>
      <c r="AC6277">
        <v>-0.118300000000033</v>
      </c>
      <c r="AD6277">
        <v>-0.24196090000000001</v>
      </c>
      <c r="AE6277">
        <v>-0.60084000000000104</v>
      </c>
      <c r="AF6277">
        <v>0.109517231854466</v>
      </c>
      <c r="AG6277">
        <v>-0.24196090000000001</v>
      </c>
      <c r="AH6277">
        <v>0.51823651949182103</v>
      </c>
      <c r="AI6277">
        <v>114.551110512458</v>
      </c>
      <c r="AJ6277">
        <v>78.067434726795</v>
      </c>
      <c r="AK6277">
        <v>0.58232996774755796</v>
      </c>
      <c r="AL6277">
        <v>90.680285934864699</v>
      </c>
      <c r="AM6277">
        <v>88.872871348311193</v>
      </c>
      <c r="AN6277">
        <v>0.999999961950501</v>
      </c>
    </row>
    <row r="6278" spans="1:40" x14ac:dyDescent="0.25">
      <c r="A6278" t="str">
        <f>"20190312154421836"</f>
        <v>20190312154421836</v>
      </c>
      <c r="B6278" t="str">
        <f>"1552376661824342"</f>
        <v>1552376661824342</v>
      </c>
      <c r="C6278" t="s">
        <v>40</v>
      </c>
      <c r="D6278">
        <v>5.1141800000000002</v>
      </c>
      <c r="E6278">
        <v>0.55212530000000004</v>
      </c>
      <c r="F6278" t="s">
        <v>41</v>
      </c>
      <c r="G6278">
        <v>-301.72800000000001</v>
      </c>
      <c r="H6278">
        <v>0.87626949999999904</v>
      </c>
      <c r="I6278">
        <v>-28.610579999999999</v>
      </c>
      <c r="J6278">
        <v>-301.61419999999998</v>
      </c>
      <c r="K6278">
        <v>1.1106259999999999</v>
      </c>
      <c r="L6278">
        <v>-28.020199999999999</v>
      </c>
      <c r="M6278">
        <v>1.4187959999999999E-2</v>
      </c>
      <c r="N6278">
        <v>0</v>
      </c>
      <c r="O6278">
        <v>-0.99980979999999997</v>
      </c>
      <c r="P6278">
        <v>-4.6921699999999998E-3</v>
      </c>
      <c r="Q6278">
        <v>-2.498305E-2</v>
      </c>
      <c r="R6278">
        <v>-0.99967709999999999</v>
      </c>
      <c r="S6278">
        <v>-0.42800899999999997</v>
      </c>
      <c r="T6278">
        <v>-0.90512559999999997</v>
      </c>
      <c r="U6278">
        <v>-2.9756469999999999</v>
      </c>
      <c r="V6278">
        <v>1.8881499999999999E-2</v>
      </c>
      <c r="W6278">
        <v>-1.15861E-2</v>
      </c>
      <c r="X6278">
        <v>0.99975460000000005</v>
      </c>
      <c r="Y6278">
        <v>0.1503678</v>
      </c>
      <c r="Z6278">
        <v>0.28795189999999998</v>
      </c>
      <c r="AA6278">
        <v>0.94576590000000005</v>
      </c>
      <c r="AB6278">
        <v>19</v>
      </c>
      <c r="AC6278">
        <v>-0.11380000000002601</v>
      </c>
      <c r="AD6278">
        <v>-0.2343565</v>
      </c>
      <c r="AE6278">
        <v>-0.59037999999999902</v>
      </c>
      <c r="AF6278">
        <v>0.106052846704802</v>
      </c>
      <c r="AG6278">
        <v>-0.2343565</v>
      </c>
      <c r="AH6278">
        <v>0.51105989521317596</v>
      </c>
      <c r="AI6278">
        <v>114.18026056923</v>
      </c>
      <c r="AJ6278">
        <v>78.276627927458307</v>
      </c>
      <c r="AK6278">
        <v>0.57214717676638505</v>
      </c>
      <c r="AL6278">
        <v>90.663849480874504</v>
      </c>
      <c r="AM6278">
        <v>88.918032821457103</v>
      </c>
      <c r="AN6278">
        <v>1.0000000044883099</v>
      </c>
    </row>
    <row r="6279" spans="1:40" x14ac:dyDescent="0.25">
      <c r="A6279" t="str">
        <f>"20190312154421857"</f>
        <v>20190312154421857</v>
      </c>
      <c r="B6279" t="str">
        <f>"1552376661843862"</f>
        <v>1552376661843862</v>
      </c>
      <c r="C6279" t="s">
        <v>40</v>
      </c>
      <c r="D6279">
        <v>5.0835309999999998</v>
      </c>
      <c r="E6279">
        <v>0.55205919999999997</v>
      </c>
      <c r="F6279" t="s">
        <v>41</v>
      </c>
      <c r="G6279">
        <v>-301.72269999999997</v>
      </c>
      <c r="H6279">
        <v>0.88104389999999999</v>
      </c>
      <c r="I6279">
        <v>-28.778849999999998</v>
      </c>
      <c r="J6279">
        <v>-301.61110000000002</v>
      </c>
      <c r="K6279">
        <v>1.110649</v>
      </c>
      <c r="L6279">
        <v>-28.2027</v>
      </c>
      <c r="M6279">
        <v>1.456057E-2</v>
      </c>
      <c r="N6279">
        <v>0</v>
      </c>
      <c r="O6279">
        <v>-0.99980429999999998</v>
      </c>
      <c r="P6279">
        <v>-3.3506199999999999E-3</v>
      </c>
      <c r="Q6279">
        <v>-2.539978E-2</v>
      </c>
      <c r="R6279">
        <v>-0.9996718</v>
      </c>
      <c r="S6279">
        <v>-0.42434690000000003</v>
      </c>
      <c r="T6279">
        <v>-0.90079010000000004</v>
      </c>
      <c r="U6279">
        <v>-2.9764710000000001</v>
      </c>
      <c r="V6279">
        <v>1.7913200000000001E-2</v>
      </c>
      <c r="W6279">
        <v>-1.200184E-2</v>
      </c>
      <c r="X6279">
        <v>0.99976750000000003</v>
      </c>
      <c r="Y6279">
        <v>0.14961369999999999</v>
      </c>
      <c r="Z6279">
        <v>0.28665249999999998</v>
      </c>
      <c r="AA6279">
        <v>0.94628009999999996</v>
      </c>
      <c r="AB6279">
        <v>19</v>
      </c>
      <c r="AC6279">
        <v>-0.111599999999953</v>
      </c>
      <c r="AD6279">
        <v>-0.22960510000000001</v>
      </c>
      <c r="AE6279">
        <v>-0.57614999999999805</v>
      </c>
      <c r="AF6279">
        <v>0.104050740714572</v>
      </c>
      <c r="AG6279">
        <v>-0.22960510000000001</v>
      </c>
      <c r="AH6279">
        <v>0.49820290829384101</v>
      </c>
      <c r="AI6279">
        <v>114.28168903155201</v>
      </c>
      <c r="AJ6279">
        <v>78.203225400232199</v>
      </c>
      <c r="AK6279">
        <v>0.55834684240327004</v>
      </c>
      <c r="AL6279">
        <v>90.687671294786696</v>
      </c>
      <c r="AM6279">
        <v>88.973520395245203</v>
      </c>
      <c r="AN6279">
        <v>0.999999990476937</v>
      </c>
    </row>
    <row r="6280" spans="1:40" x14ac:dyDescent="0.25">
      <c r="A6280" t="str">
        <f>"20190312154421881"</f>
        <v>20190312154421881</v>
      </c>
      <c r="B6280" t="str">
        <f>"1552376661874118"</f>
        <v>1552376661874118</v>
      </c>
      <c r="C6280" t="s">
        <v>40</v>
      </c>
      <c r="D6280">
        <v>5.0542850000000001</v>
      </c>
      <c r="E6280">
        <v>0.55215729999999996</v>
      </c>
      <c r="F6280" t="s">
        <v>41</v>
      </c>
      <c r="G6280">
        <v>-301.71620000000001</v>
      </c>
      <c r="H6280">
        <v>0.88548989999999905</v>
      </c>
      <c r="I6280">
        <v>-28.946629999999999</v>
      </c>
      <c r="J6280">
        <v>-301.60770000000002</v>
      </c>
      <c r="K6280">
        <v>1.1106799999999999</v>
      </c>
      <c r="L6280">
        <v>-28.40137</v>
      </c>
      <c r="M6280">
        <v>1.50178E-2</v>
      </c>
      <c r="N6280">
        <v>0</v>
      </c>
      <c r="O6280">
        <v>-0.99979770000000001</v>
      </c>
      <c r="P6280">
        <v>-2.5036310000000001E-3</v>
      </c>
      <c r="Q6280">
        <v>-2.5126160000000002E-2</v>
      </c>
      <c r="R6280">
        <v>-0.99968140000000005</v>
      </c>
      <c r="S6280">
        <v>-0.42019649999999997</v>
      </c>
      <c r="T6280">
        <v>-0.90091650000000001</v>
      </c>
      <c r="U6280">
        <v>-2.9766849999999998</v>
      </c>
      <c r="V6280">
        <v>1.752418E-2</v>
      </c>
      <c r="W6280">
        <v>-1.1726820000000001E-2</v>
      </c>
      <c r="X6280">
        <v>0.99977769999999999</v>
      </c>
      <c r="Y6280">
        <v>0.1487599</v>
      </c>
      <c r="Z6280">
        <v>0.28671190000000002</v>
      </c>
      <c r="AA6280">
        <v>0.94639680000000004</v>
      </c>
      <c r="AB6280">
        <v>19</v>
      </c>
      <c r="AC6280">
        <v>-0.10849999999999201</v>
      </c>
      <c r="AD6280">
        <v>-0.225190099999999</v>
      </c>
      <c r="AE6280">
        <v>-0.54525999999999897</v>
      </c>
      <c r="AF6280">
        <v>0.10023211262871699</v>
      </c>
      <c r="AG6280">
        <v>-0.225190099999999</v>
      </c>
      <c r="AH6280">
        <v>0.46695590675620702</v>
      </c>
      <c r="AI6280">
        <v>115.244406065562</v>
      </c>
      <c r="AJ6280">
        <v>77.885285516733404</v>
      </c>
      <c r="AK6280">
        <v>0.52801976894292202</v>
      </c>
      <c r="AL6280">
        <v>90.671912672052102</v>
      </c>
      <c r="AM6280">
        <v>88.995818025071898</v>
      </c>
      <c r="AN6280">
        <v>1.0000000323046301</v>
      </c>
    </row>
    <row r="6281" spans="1:40" x14ac:dyDescent="0.25">
      <c r="A6281" t="str">
        <f>"20190312154421924"</f>
        <v>20190312154421924</v>
      </c>
      <c r="B6281" t="str">
        <f>"1552376661914135"</f>
        <v>1552376661914135</v>
      </c>
      <c r="C6281" t="s">
        <v>40</v>
      </c>
      <c r="D6281">
        <v>5.0013319999999997</v>
      </c>
      <c r="E6281">
        <v>0.54991480000000004</v>
      </c>
      <c r="F6281" t="s">
        <v>41</v>
      </c>
      <c r="G6281">
        <v>-301.70839999999998</v>
      </c>
      <c r="H6281">
        <v>0.89489560000000001</v>
      </c>
      <c r="I6281">
        <v>-29.116299999999999</v>
      </c>
      <c r="J6281">
        <v>-301.60120000000001</v>
      </c>
      <c r="K6281">
        <v>1.110752</v>
      </c>
      <c r="L6281">
        <v>-28.75928</v>
      </c>
      <c r="M6281">
        <v>1.60175E-2</v>
      </c>
      <c r="N6281">
        <v>0</v>
      </c>
      <c r="O6281">
        <v>-0.99978230000000001</v>
      </c>
      <c r="P6281">
        <v>-1.210551E-3</v>
      </c>
      <c r="Q6281">
        <v>-2.4553490000000001E-2</v>
      </c>
      <c r="R6281">
        <v>-0.99969810000000003</v>
      </c>
      <c r="S6281">
        <v>-0.41879270000000002</v>
      </c>
      <c r="T6281">
        <v>-0.89866809999999997</v>
      </c>
      <c r="U6281">
        <v>-2.977325</v>
      </c>
      <c r="V6281">
        <v>1.723264E-2</v>
      </c>
      <c r="W6281">
        <v>-1.115096E-2</v>
      </c>
      <c r="X6281">
        <v>0.99978929999999999</v>
      </c>
      <c r="Y6281">
        <v>0.14931179999999999</v>
      </c>
      <c r="Z6281">
        <v>0.2859894</v>
      </c>
      <c r="AA6281">
        <v>0.94652840000000005</v>
      </c>
      <c r="AB6281">
        <v>19</v>
      </c>
      <c r="AC6281">
        <v>-0.10719999999997699</v>
      </c>
      <c r="AD6281">
        <v>-0.215856399999999</v>
      </c>
      <c r="AE6281">
        <v>-0.35701999999999801</v>
      </c>
      <c r="AF6281">
        <v>8.4553212171973494E-2</v>
      </c>
      <c r="AG6281">
        <v>-0.215856399999999</v>
      </c>
      <c r="AH6281">
        <v>0.26604695041973903</v>
      </c>
      <c r="AI6281">
        <v>127.712479891283</v>
      </c>
      <c r="AJ6281">
        <v>72.369060458421401</v>
      </c>
      <c r="AK6281">
        <v>0.35287988174051799</v>
      </c>
      <c r="AL6281">
        <v>90.638916202150597</v>
      </c>
      <c r="AM6281">
        <v>89.012532158940502</v>
      </c>
      <c r="AN6281">
        <v>0.99999997609239</v>
      </c>
    </row>
    <row r="6282" spans="1:40" x14ac:dyDescent="0.25">
      <c r="A6282" t="str">
        <f>"20190312154421947"</f>
        <v>20190312154421947</v>
      </c>
      <c r="B6282" t="str">
        <f>"1552376661933655"</f>
        <v>1552376661933655</v>
      </c>
      <c r="C6282" t="s">
        <v>40</v>
      </c>
      <c r="D6282">
        <v>4.9929220000000001</v>
      </c>
      <c r="E6282">
        <v>0.48049069999999999</v>
      </c>
      <c r="F6282" t="s">
        <v>41</v>
      </c>
      <c r="G6282">
        <v>-301.69380000000001</v>
      </c>
      <c r="H6282">
        <v>0.90602729999999998</v>
      </c>
      <c r="I6282">
        <v>-29.451599999999999</v>
      </c>
      <c r="J6282">
        <v>-301.5976</v>
      </c>
      <c r="K6282">
        <v>1.110792</v>
      </c>
      <c r="L6282">
        <v>-28.941680000000002</v>
      </c>
      <c r="M6282">
        <v>1.6621159999999999E-2</v>
      </c>
      <c r="N6282">
        <v>0</v>
      </c>
      <c r="O6282">
        <v>-0.99977229999999995</v>
      </c>
      <c r="P6282">
        <v>-1.836644E-4</v>
      </c>
      <c r="Q6282">
        <v>-2.5475859999999999E-2</v>
      </c>
      <c r="R6282">
        <v>-0.99967569999999994</v>
      </c>
      <c r="S6282">
        <v>-0.397644</v>
      </c>
      <c r="T6282">
        <v>-0.8809072</v>
      </c>
      <c r="U6282">
        <v>-2.97879</v>
      </c>
      <c r="V6282">
        <v>1.6811E-2</v>
      </c>
      <c r="W6282">
        <v>-1.2072009999999999E-2</v>
      </c>
      <c r="X6282">
        <v>0.99978579999999995</v>
      </c>
      <c r="Y6282">
        <v>0.14344379999999901</v>
      </c>
      <c r="Z6282">
        <v>0.28090920000000003</v>
      </c>
      <c r="AA6282">
        <v>0.94895410000000002</v>
      </c>
      <c r="AB6282">
        <v>19</v>
      </c>
      <c r="AC6282">
        <v>-9.6200000000010194E-2</v>
      </c>
      <c r="AD6282">
        <v>-0.20476469999999899</v>
      </c>
      <c r="AE6282">
        <v>-0.50992000000000104</v>
      </c>
      <c r="AF6282">
        <v>9.0561553710498996E-2</v>
      </c>
      <c r="AG6282">
        <v>-0.20476469999999899</v>
      </c>
      <c r="AH6282">
        <v>0.43977318897932</v>
      </c>
      <c r="AI6282">
        <v>114.51512678853101</v>
      </c>
      <c r="AJ6282">
        <v>78.363864434364302</v>
      </c>
      <c r="AK6282">
        <v>0.49348802935997299</v>
      </c>
      <c r="AL6282">
        <v>90.691692028169598</v>
      </c>
      <c r="AM6282">
        <v>89.036685068535107</v>
      </c>
      <c r="AN6282">
        <v>0.99999999451403998</v>
      </c>
    </row>
    <row r="6283" spans="1:40" x14ac:dyDescent="0.25">
      <c r="A6283" t="str">
        <f>"20190312154421969"</f>
        <v>20190312154421969</v>
      </c>
      <c r="B6283" t="str">
        <f>"1552376661963869"</f>
        <v>1552376661963869</v>
      </c>
      <c r="C6283" t="s">
        <v>40</v>
      </c>
      <c r="D6283">
        <v>5.0560549999999997</v>
      </c>
      <c r="E6283">
        <v>0.46964139999999999</v>
      </c>
      <c r="F6283" t="s">
        <v>41</v>
      </c>
      <c r="G6283">
        <v>-301.55970000000002</v>
      </c>
      <c r="H6283">
        <v>1.0081500000000001</v>
      </c>
      <c r="I6283">
        <v>-29.665019999999998</v>
      </c>
      <c r="J6283">
        <v>-301.59359999999998</v>
      </c>
      <c r="K6283">
        <v>1.110843</v>
      </c>
      <c r="L6283">
        <v>-29.129000000000001</v>
      </c>
      <c r="M6283">
        <v>1.733678E-2</v>
      </c>
      <c r="N6283">
        <v>0</v>
      </c>
      <c r="O6283">
        <v>-0.99975999999999998</v>
      </c>
      <c r="P6283">
        <v>9.571499E-4</v>
      </c>
      <c r="Q6283">
        <v>-2.5896510000000001E-2</v>
      </c>
      <c r="R6283">
        <v>-0.99966410000000006</v>
      </c>
      <c r="S6283">
        <v>0.15686040000000001</v>
      </c>
      <c r="T6283">
        <v>-0.42431439999999998</v>
      </c>
      <c r="U6283">
        <v>-2.9902039999999999</v>
      </c>
      <c r="V6283">
        <v>1.6387510000000001E-2</v>
      </c>
      <c r="W6283">
        <v>-1.249107E-2</v>
      </c>
      <c r="X6283">
        <v>0.99978769999999995</v>
      </c>
      <c r="Y6283">
        <v>-3.4545279999999998E-2</v>
      </c>
      <c r="Z6283">
        <v>0.14032629999999999</v>
      </c>
      <c r="AA6283">
        <v>0.98950249999999995</v>
      </c>
      <c r="AB6283">
        <v>19</v>
      </c>
      <c r="AC6283">
        <v>3.3899999999959997E-2</v>
      </c>
      <c r="AD6283">
        <v>-0.10269299999999899</v>
      </c>
      <c r="AE6283">
        <v>-0.53602000000000005</v>
      </c>
      <c r="AF6283">
        <v>-2.3733551301688999E-2</v>
      </c>
      <c r="AG6283">
        <v>-0.10269299999999899</v>
      </c>
      <c r="AH6283">
        <v>0.51760445263435095</v>
      </c>
      <c r="AI6283">
        <v>101.210307809486</v>
      </c>
      <c r="AJ6283">
        <v>92.625326181966599</v>
      </c>
      <c r="AK6283">
        <v>0.52822675348120696</v>
      </c>
      <c r="AL6283">
        <v>90.715704196923994</v>
      </c>
      <c r="AM6283">
        <v>89.060949552506003</v>
      </c>
      <c r="AN6283">
        <v>1.00000001119251</v>
      </c>
    </row>
    <row r="6284" spans="1:40" x14ac:dyDescent="0.25">
      <c r="A6284" t="str">
        <f>"20190312154421993"</f>
        <v>20190312154421993</v>
      </c>
      <c r="B6284" t="str">
        <f>"1552376661984365"</f>
        <v>1552376661984365</v>
      </c>
      <c r="C6284" t="s">
        <v>40</v>
      </c>
      <c r="D6284">
        <v>5.0538589999999903</v>
      </c>
      <c r="E6284">
        <v>0.46749669999999999</v>
      </c>
      <c r="F6284" t="s">
        <v>41</v>
      </c>
      <c r="G6284">
        <v>-301.5224</v>
      </c>
      <c r="H6284">
        <v>1.005317</v>
      </c>
      <c r="I6284">
        <v>-29.996500000000001</v>
      </c>
      <c r="J6284">
        <v>-301.58940000000001</v>
      </c>
      <c r="K6284">
        <v>1.1109150000000001</v>
      </c>
      <c r="L6284">
        <v>-29.31879</v>
      </c>
      <c r="M6284">
        <v>1.8182520000000001E-2</v>
      </c>
      <c r="N6284">
        <v>0</v>
      </c>
      <c r="O6284">
        <v>-0.99974510000000005</v>
      </c>
      <c r="P6284">
        <v>2.1360340000000002E-3</v>
      </c>
      <c r="Q6284">
        <v>-2.5125209999999999E-2</v>
      </c>
      <c r="R6284">
        <v>-0.99968219999999997</v>
      </c>
      <c r="S6284">
        <v>0.24642939999999999</v>
      </c>
      <c r="T6284">
        <v>-0.36393140000000002</v>
      </c>
      <c r="U6284">
        <v>-2.9913639999999999</v>
      </c>
      <c r="V6284">
        <v>1.6055710000000001E-2</v>
      </c>
      <c r="W6284">
        <v>-1.1717480000000001E-2</v>
      </c>
      <c r="X6284">
        <v>0.99980239999999998</v>
      </c>
      <c r="Y6284">
        <v>-6.3368450000000007E-2</v>
      </c>
      <c r="Z6284">
        <v>0.12041830000000001</v>
      </c>
      <c r="AA6284">
        <v>0.99069870000000004</v>
      </c>
      <c r="AB6284">
        <v>18</v>
      </c>
      <c r="AC6284">
        <v>6.7000000000007207E-2</v>
      </c>
      <c r="AD6284">
        <v>-0.105597999999999</v>
      </c>
      <c r="AE6284">
        <v>-0.67770999999999704</v>
      </c>
      <c r="AF6284">
        <v>-5.3381850495376998E-2</v>
      </c>
      <c r="AG6284">
        <v>-0.105597999999999</v>
      </c>
      <c r="AH6284">
        <v>0.66287830032137596</v>
      </c>
      <c r="AI6284">
        <v>99.022565790709507</v>
      </c>
      <c r="AJ6284">
        <v>94.604116049310207</v>
      </c>
      <c r="AK6284">
        <v>0.67335592416141099</v>
      </c>
      <c r="AL6284">
        <v>90.671377539852003</v>
      </c>
      <c r="AM6284">
        <v>89.079972849388895</v>
      </c>
      <c r="AN6284">
        <v>0.99999996210345599</v>
      </c>
    </row>
    <row r="6285" spans="1:40" x14ac:dyDescent="0.25">
      <c r="A6285" t="str">
        <f>"20190312154422014"</f>
        <v>20190312154422014</v>
      </c>
      <c r="B6285" t="str">
        <f>"1552376662003885"</f>
        <v>1552376662003885</v>
      </c>
      <c r="C6285" t="s">
        <v>40</v>
      </c>
      <c r="D6285">
        <v>5.0151029999999999</v>
      </c>
      <c r="E6285">
        <v>0.46654230000000002</v>
      </c>
      <c r="F6285" t="s">
        <v>43</v>
      </c>
      <c r="G6285">
        <v>-300.73689999999999</v>
      </c>
      <c r="H6285" s="1">
        <v>-8.5524809999999998E-7</v>
      </c>
      <c r="I6285">
        <v>-38.874319999999997</v>
      </c>
      <c r="J6285">
        <v>-301.58519999999999</v>
      </c>
      <c r="K6285">
        <v>1.1109819999999999</v>
      </c>
      <c r="L6285">
        <v>-29.495419999999999</v>
      </c>
      <c r="M6285">
        <v>1.906246E-2</v>
      </c>
      <c r="N6285">
        <v>0</v>
      </c>
      <c r="O6285">
        <v>-0.99972890000000003</v>
      </c>
      <c r="P6285">
        <v>3.0335539999999999E-3</v>
      </c>
      <c r="Q6285">
        <v>-2.375565E-2</v>
      </c>
      <c r="R6285">
        <v>-0.99971350000000003</v>
      </c>
      <c r="S6285">
        <v>0.2669067</v>
      </c>
      <c r="T6285">
        <v>-0.34780450000000002</v>
      </c>
      <c r="U6285">
        <v>-2.991638</v>
      </c>
      <c r="V6285">
        <v>1.6038670000000001E-2</v>
      </c>
      <c r="W6285">
        <v>-1.0345129999999999E-2</v>
      </c>
      <c r="X6285">
        <v>0.99981779999999998</v>
      </c>
      <c r="Y6285">
        <v>-6.9269319999999995E-2</v>
      </c>
      <c r="Z6285">
        <v>0.1150858</v>
      </c>
      <c r="AA6285">
        <v>0.99093750000000003</v>
      </c>
      <c r="AB6285">
        <v>18</v>
      </c>
      <c r="AC6285">
        <v>0.84829999999999395</v>
      </c>
      <c r="AD6285">
        <v>-1.11098285524809</v>
      </c>
      <c r="AE6285">
        <v>-9.3788999999999998</v>
      </c>
      <c r="AF6285">
        <v>-0.66015697206945601</v>
      </c>
      <c r="AG6285">
        <v>-1.11098285524809</v>
      </c>
      <c r="AH6285">
        <v>9.2644266311516894</v>
      </c>
      <c r="AI6285">
        <v>96.821079147004298</v>
      </c>
      <c r="AJ6285">
        <v>94.075846847993006</v>
      </c>
      <c r="AK6285">
        <v>9.3541269467770096</v>
      </c>
      <c r="AL6285">
        <v>90.592742892022798</v>
      </c>
      <c r="AM6285">
        <v>89.080963264466902</v>
      </c>
      <c r="AN6285">
        <v>0.99999994692346095</v>
      </c>
    </row>
    <row r="6286" spans="1:40" x14ac:dyDescent="0.25">
      <c r="A6286" t="str">
        <f>"20190312154422037"</f>
        <v>20190312154422037</v>
      </c>
      <c r="B6286" t="str">
        <f>"1552376662024382"</f>
        <v>1552376662024382</v>
      </c>
      <c r="C6286" t="s">
        <v>40</v>
      </c>
      <c r="D6286">
        <v>5.0591189999999999</v>
      </c>
      <c r="E6286">
        <v>0.4658988</v>
      </c>
      <c r="F6286" t="s">
        <v>43</v>
      </c>
      <c r="G6286">
        <v>-300.66739999999999</v>
      </c>
      <c r="H6286" s="1">
        <v>-6.1713840000000005E-7</v>
      </c>
      <c r="I6286">
        <v>-39.386240000000001</v>
      </c>
      <c r="J6286">
        <v>-301.5804</v>
      </c>
      <c r="K6286">
        <v>1.111051</v>
      </c>
      <c r="L6286">
        <v>-29.680820000000001</v>
      </c>
      <c r="M6286">
        <v>2.0089940000000001E-2</v>
      </c>
      <c r="N6286">
        <v>0</v>
      </c>
      <c r="O6286">
        <v>-0.9997085</v>
      </c>
      <c r="P6286">
        <v>4.2865000000000004E-3</v>
      </c>
      <c r="Q6286">
        <v>-2.230625E-2</v>
      </c>
      <c r="R6286">
        <v>-0.99974220000000003</v>
      </c>
      <c r="S6286">
        <v>0.27764889999999998</v>
      </c>
      <c r="T6286">
        <v>-0.33607939999999997</v>
      </c>
      <c r="U6286">
        <v>-2.992035</v>
      </c>
      <c r="V6286">
        <v>1.5813420000000002E-2</v>
      </c>
      <c r="W6286">
        <v>-8.8928069999999904E-3</v>
      </c>
      <c r="X6286">
        <v>0.99983540000000004</v>
      </c>
      <c r="Y6286">
        <v>-7.1801500000000004E-2</v>
      </c>
      <c r="Z6286">
        <v>0.1112093</v>
      </c>
      <c r="AA6286">
        <v>0.99119979999999996</v>
      </c>
      <c r="AB6286">
        <v>18</v>
      </c>
      <c r="AC6286">
        <v>0.91300000000001003</v>
      </c>
      <c r="AD6286">
        <v>-1.1110516171383999</v>
      </c>
      <c r="AE6286">
        <v>-9.7054200000000002</v>
      </c>
      <c r="AF6286">
        <v>-0.70861195270909105</v>
      </c>
      <c r="AG6286">
        <v>-1.1110516171383999</v>
      </c>
      <c r="AH6286">
        <v>9.5971365850708992</v>
      </c>
      <c r="AI6286">
        <v>96.585912410337997</v>
      </c>
      <c r="AJ6286">
        <v>94.222815152445094</v>
      </c>
      <c r="AK6286">
        <v>9.6871872712348406</v>
      </c>
      <c r="AL6286">
        <v>90.509527031798896</v>
      </c>
      <c r="AM6286">
        <v>89.093884164120993</v>
      </c>
      <c r="AN6286">
        <v>0.99999998668079704</v>
      </c>
    </row>
    <row r="6287" spans="1:40" x14ac:dyDescent="0.25">
      <c r="A6287" t="str">
        <f>"20190312154422059"</f>
        <v>20190312154422059</v>
      </c>
      <c r="B6287" t="str">
        <f>"1552376662053661"</f>
        <v>1552376662053661</v>
      </c>
      <c r="C6287" t="s">
        <v>40</v>
      </c>
      <c r="D6287">
        <v>5.0390920000000001</v>
      </c>
      <c r="E6287">
        <v>0.46531410000000001</v>
      </c>
      <c r="F6287" t="s">
        <v>43</v>
      </c>
      <c r="G6287">
        <v>-300.6078</v>
      </c>
      <c r="H6287" s="1">
        <v>-4.0719030000000001E-7</v>
      </c>
      <c r="I6287">
        <v>-39.838659999999997</v>
      </c>
      <c r="J6287">
        <v>-301.57560000000001</v>
      </c>
      <c r="K6287">
        <v>1.1111150000000001</v>
      </c>
      <c r="L6287">
        <v>-29.860690000000002</v>
      </c>
      <c r="M6287">
        <v>2.1201009999999999E-2</v>
      </c>
      <c r="N6287">
        <v>0</v>
      </c>
      <c r="O6287">
        <v>-0.99968559999999995</v>
      </c>
      <c r="P6287">
        <v>6.4606469999999999E-3</v>
      </c>
      <c r="Q6287">
        <v>-2.162758E-2</v>
      </c>
      <c r="R6287">
        <v>-0.99974540000000001</v>
      </c>
      <c r="S6287">
        <v>0.28652949999999999</v>
      </c>
      <c r="T6287">
        <v>-0.32728819999999997</v>
      </c>
      <c r="U6287">
        <v>-2.9922490000000002</v>
      </c>
      <c r="V6287">
        <v>1.47511E-2</v>
      </c>
      <c r="W6287">
        <v>-8.2125289999999997E-3</v>
      </c>
      <c r="X6287">
        <v>0.99985749999999995</v>
      </c>
      <c r="Y6287">
        <v>-7.3632820000000002E-2</v>
      </c>
      <c r="Z6287">
        <v>0.1083016</v>
      </c>
      <c r="AA6287">
        <v>0.99138740000000003</v>
      </c>
      <c r="AB6287">
        <v>18</v>
      </c>
      <c r="AC6287">
        <v>0.96780000000001098</v>
      </c>
      <c r="AD6287">
        <v>-1.11111540719029</v>
      </c>
      <c r="AE6287">
        <v>-9.9779699999999902</v>
      </c>
      <c r="AF6287">
        <v>-0.74684559906190096</v>
      </c>
      <c r="AG6287">
        <v>-1.11111540719029</v>
      </c>
      <c r="AH6287">
        <v>9.8749356683515206</v>
      </c>
      <c r="AI6287">
        <v>96.4017172789993</v>
      </c>
      <c r="AJ6287">
        <v>94.325070386422695</v>
      </c>
      <c r="AK6287">
        <v>9.9652752220405301</v>
      </c>
      <c r="AL6287">
        <v>90.470548526011001</v>
      </c>
      <c r="AM6287">
        <v>89.154765092312005</v>
      </c>
      <c r="AN6287">
        <v>1.0000000304450101</v>
      </c>
    </row>
    <row r="6288" spans="1:40" x14ac:dyDescent="0.25">
      <c r="A6288" t="str">
        <f>"20190312154422084"</f>
        <v>20190312154422084</v>
      </c>
      <c r="B6288" t="str">
        <f>"1552376662073689"</f>
        <v>1552376662073689</v>
      </c>
      <c r="C6288" t="s">
        <v>40</v>
      </c>
      <c r="D6288">
        <v>5.0039389999999999</v>
      </c>
      <c r="E6288">
        <v>0.46480519999999997</v>
      </c>
      <c r="F6288" t="s">
        <v>43</v>
      </c>
      <c r="G6288">
        <v>-300.55410000000001</v>
      </c>
      <c r="H6288" s="1">
        <v>-2.7303569999999998E-7</v>
      </c>
      <c r="I6288">
        <v>-40.118099999999998</v>
      </c>
      <c r="J6288">
        <v>-301.56959999999998</v>
      </c>
      <c r="K6288">
        <v>1.111194</v>
      </c>
      <c r="L6288">
        <v>-30.066379999999999</v>
      </c>
      <c r="M6288">
        <v>2.2621329999999999E-2</v>
      </c>
      <c r="N6288">
        <v>0</v>
      </c>
      <c r="O6288">
        <v>-0.99965440000000005</v>
      </c>
      <c r="P6288">
        <v>8.718323E-3</v>
      </c>
      <c r="Q6288">
        <v>-2.084188E-2</v>
      </c>
      <c r="R6288">
        <v>-0.99974479999999999</v>
      </c>
      <c r="S6288">
        <v>0.29794310000000002</v>
      </c>
      <c r="T6288">
        <v>-0.32408360000000003</v>
      </c>
      <c r="U6288">
        <v>-2.9918209999999998</v>
      </c>
      <c r="V6288">
        <v>1.391445E-2</v>
      </c>
      <c r="W6288">
        <v>-7.4244089999999999E-3</v>
      </c>
      <c r="X6288">
        <v>0.99987559999999998</v>
      </c>
      <c r="Y6288">
        <v>-7.5986970000000001E-2</v>
      </c>
      <c r="Z6288">
        <v>0.1072345</v>
      </c>
      <c r="AA6288">
        <v>0.99132569999999998</v>
      </c>
      <c r="AB6288">
        <v>18</v>
      </c>
      <c r="AC6288">
        <v>1.0154999999999701</v>
      </c>
      <c r="AD6288">
        <v>-1.1111942730357001</v>
      </c>
      <c r="AE6288">
        <v>-10.05172</v>
      </c>
      <c r="AF6288">
        <v>-0.77841963409745496</v>
      </c>
      <c r="AG6288">
        <v>-1.1111942730357001</v>
      </c>
      <c r="AH6288">
        <v>9.9517321212656409</v>
      </c>
      <c r="AI6288">
        <v>96.351921085993396</v>
      </c>
      <c r="AJ6288">
        <v>94.472541332697404</v>
      </c>
      <c r="AK6288">
        <v>10.0437872365261</v>
      </c>
      <c r="AL6288">
        <v>90.425391219994196</v>
      </c>
      <c r="AM6288">
        <v>89.202713016752099</v>
      </c>
      <c r="AN6288">
        <v>0.99999997462157997</v>
      </c>
    </row>
    <row r="6289" spans="1:40" x14ac:dyDescent="0.25">
      <c r="A6289" t="str">
        <f>"20190312154422106"</f>
        <v>20190312154422106</v>
      </c>
      <c r="B6289" t="str">
        <f>"1552376662094185"</f>
        <v>1552376662094185</v>
      </c>
      <c r="C6289" t="s">
        <v>40</v>
      </c>
      <c r="D6289">
        <v>4.9814559999999997</v>
      </c>
      <c r="E6289">
        <v>0.46447090000000002</v>
      </c>
      <c r="F6289" t="s">
        <v>43</v>
      </c>
      <c r="G6289">
        <v>-300.51920000000001</v>
      </c>
      <c r="H6289" s="1">
        <v>-2.0517149999999999E-7</v>
      </c>
      <c r="I6289">
        <v>-40.254640000000002</v>
      </c>
      <c r="J6289">
        <v>-301.56389999999999</v>
      </c>
      <c r="K6289">
        <v>1.111272</v>
      </c>
      <c r="L6289">
        <v>-30.24878</v>
      </c>
      <c r="M6289">
        <v>2.402785E-2</v>
      </c>
      <c r="N6289">
        <v>0</v>
      </c>
      <c r="O6289">
        <v>-0.99962169999999895</v>
      </c>
      <c r="P6289">
        <v>1.041211E-2</v>
      </c>
      <c r="Q6289">
        <v>-2.0699269999999999E-2</v>
      </c>
      <c r="R6289">
        <v>-0.9997317</v>
      </c>
      <c r="S6289">
        <v>0.30841059999999998</v>
      </c>
      <c r="T6289">
        <v>-0.32624639999999999</v>
      </c>
      <c r="U6289">
        <v>-2.9912719999999999</v>
      </c>
      <c r="V6289">
        <v>1.362851E-2</v>
      </c>
      <c r="W6289">
        <v>-7.2784540000000002E-3</v>
      </c>
      <c r="X6289">
        <v>0.99988060000000001</v>
      </c>
      <c r="Y6289">
        <v>-7.8027879999999994E-2</v>
      </c>
      <c r="Z6289">
        <v>0.1079287</v>
      </c>
      <c r="AA6289">
        <v>0.99109179999999997</v>
      </c>
      <c r="AB6289">
        <v>18</v>
      </c>
      <c r="AC6289">
        <v>1.04469999999997</v>
      </c>
      <c r="AD6289">
        <v>-1.1112722051715</v>
      </c>
      <c r="AE6289">
        <v>-10.00586</v>
      </c>
      <c r="AF6289">
        <v>-0.79426602931159895</v>
      </c>
      <c r="AG6289">
        <v>-1.1112722051715</v>
      </c>
      <c r="AH6289">
        <v>9.90718943950389</v>
      </c>
      <c r="AI6289">
        <v>96.379716437289602</v>
      </c>
      <c r="AJ6289">
        <v>94.583637694365905</v>
      </c>
      <c r="AK6289">
        <v>10.0009093101338</v>
      </c>
      <c r="AL6289">
        <v>90.417028393050302</v>
      </c>
      <c r="AM6289">
        <v>89.2190990069641</v>
      </c>
      <c r="AN6289">
        <v>0.99999996321690399</v>
      </c>
    </row>
    <row r="6290" spans="1:40" x14ac:dyDescent="0.25">
      <c r="A6290" t="str">
        <f>"20190312154422128"</f>
        <v>20190312154422128</v>
      </c>
      <c r="B6290" t="str">
        <f>"1552376662123465"</f>
        <v>1552376662123465</v>
      </c>
      <c r="C6290" t="s">
        <v>40</v>
      </c>
      <c r="D6290">
        <v>5.0029329999999996</v>
      </c>
      <c r="E6290">
        <v>0.46410269999999998</v>
      </c>
      <c r="F6290" t="s">
        <v>70</v>
      </c>
      <c r="G6290">
        <v>-300.49009999999998</v>
      </c>
      <c r="H6290" s="1">
        <v>-1.465564E-7</v>
      </c>
      <c r="I6290">
        <v>-40.400649999999999</v>
      </c>
      <c r="J6290">
        <v>-301.55810000000002</v>
      </c>
      <c r="K6290">
        <v>1.1113440000000001</v>
      </c>
      <c r="L6290">
        <v>-30.420680000000001</v>
      </c>
      <c r="M6290">
        <v>2.548943E-2</v>
      </c>
      <c r="N6290">
        <v>0</v>
      </c>
      <c r="O6290">
        <v>-0.99958539999999996</v>
      </c>
      <c r="P6290">
        <v>1.2187709999999999E-2</v>
      </c>
      <c r="Q6290">
        <v>-2.0870860000000001E-2</v>
      </c>
      <c r="R6290">
        <v>-0.99970789999999998</v>
      </c>
      <c r="S6290">
        <v>0.31634519999999999</v>
      </c>
      <c r="T6290">
        <v>-0.32737870000000002</v>
      </c>
      <c r="U6290">
        <v>-2.990723</v>
      </c>
      <c r="V6290">
        <v>1.331631E-2</v>
      </c>
      <c r="W6290">
        <v>-7.4464789999999998E-3</v>
      </c>
      <c r="X6290">
        <v>0.99988359999999998</v>
      </c>
      <c r="Y6290">
        <v>-7.9185649999999996E-2</v>
      </c>
      <c r="Z6290">
        <v>0.108293</v>
      </c>
      <c r="AA6290">
        <v>0.99096030000000002</v>
      </c>
      <c r="AB6290">
        <v>18</v>
      </c>
      <c r="AC6290">
        <v>1.06800000000004</v>
      </c>
      <c r="AD6290">
        <v>-1.1113441465564</v>
      </c>
      <c r="AE6290">
        <v>-9.9799699999999998</v>
      </c>
      <c r="AF6290">
        <v>-0.80339666967131496</v>
      </c>
      <c r="AG6290">
        <v>-1.1113441465564</v>
      </c>
      <c r="AH6290">
        <v>9.8827882077728599</v>
      </c>
      <c r="AI6290">
        <v>96.3951778967606</v>
      </c>
      <c r="AJ6290">
        <v>94.647498147833701</v>
      </c>
      <c r="AK6290">
        <v>9.9774763733430305</v>
      </c>
      <c r="AL6290">
        <v>90.426655764630297</v>
      </c>
      <c r="AM6290">
        <v>89.236987926970002</v>
      </c>
      <c r="AN6290">
        <v>0.99999999385523597</v>
      </c>
    </row>
    <row r="6291" spans="1:40" x14ac:dyDescent="0.25">
      <c r="A6291" t="str">
        <f>"20190312154422150"</f>
        <v>20190312154422150</v>
      </c>
      <c r="B6291" t="str">
        <f>"1552376662143962"</f>
        <v>1552376662143962</v>
      </c>
      <c r="C6291" t="s">
        <v>40</v>
      </c>
      <c r="D6291">
        <v>5.0419700000000001</v>
      </c>
      <c r="E6291">
        <v>0.46392529999999998</v>
      </c>
      <c r="F6291" t="s">
        <v>70</v>
      </c>
      <c r="G6291">
        <v>-300.46370000000002</v>
      </c>
      <c r="H6291" s="1">
        <v>-1.7993549999999999E-7</v>
      </c>
      <c r="I6291">
        <v>-40.506450000000001</v>
      </c>
      <c r="J6291">
        <v>-301.55149999999998</v>
      </c>
      <c r="K6291">
        <v>1.1114299999999999</v>
      </c>
      <c r="L6291">
        <v>-30.603179999999998</v>
      </c>
      <c r="M6291">
        <v>2.7196919999999999E-2</v>
      </c>
      <c r="N6291">
        <v>0</v>
      </c>
      <c r="O6291">
        <v>-0.99954030000000005</v>
      </c>
      <c r="P6291">
        <v>1.4370849999999999E-2</v>
      </c>
      <c r="Q6291">
        <v>-2.1521720000000001E-2</v>
      </c>
      <c r="R6291">
        <v>-0.99966500000000003</v>
      </c>
      <c r="S6291">
        <v>0.3244629</v>
      </c>
      <c r="T6291">
        <v>-0.32947169999999998</v>
      </c>
      <c r="U6291">
        <v>-2.9900509999999998</v>
      </c>
      <c r="V6291">
        <v>1.284361E-2</v>
      </c>
      <c r="W6291">
        <v>-8.0935499999999997E-3</v>
      </c>
      <c r="X6291">
        <v>0.99988480000000002</v>
      </c>
      <c r="Y6291">
        <v>-8.0157870000000006E-2</v>
      </c>
      <c r="Z6291">
        <v>0.108974</v>
      </c>
      <c r="AA6291">
        <v>0.9908074</v>
      </c>
      <c r="AB6291">
        <v>18</v>
      </c>
      <c r="AC6291">
        <v>1.0877999999999499</v>
      </c>
      <c r="AD6291">
        <v>-1.1114301799355</v>
      </c>
      <c r="AE6291">
        <v>-9.9032699999999991</v>
      </c>
      <c r="AF6291">
        <v>-0.80797953484884899</v>
      </c>
      <c r="AG6291">
        <v>-1.1114301799355</v>
      </c>
      <c r="AH6291">
        <v>9.8071426225831697</v>
      </c>
      <c r="AI6291">
        <v>96.444018728341106</v>
      </c>
      <c r="AJ6291">
        <v>94.709781674505507</v>
      </c>
      <c r="AK6291">
        <v>9.9029366550177205</v>
      </c>
      <c r="AL6291">
        <v>90.463731301314695</v>
      </c>
      <c r="AM6291">
        <v>89.264071043021403</v>
      </c>
      <c r="AN6291">
        <v>1.0000000385702299</v>
      </c>
    </row>
    <row r="6292" spans="1:40" x14ac:dyDescent="0.25">
      <c r="A6292" t="str">
        <f>"20190312154422171"</f>
        <v>20190312154422171</v>
      </c>
      <c r="B6292" t="str">
        <f>"1552376662163481"</f>
        <v>1552376662163481</v>
      </c>
      <c r="C6292" t="s">
        <v>40</v>
      </c>
      <c r="D6292">
        <v>5.0723120000000002</v>
      </c>
      <c r="E6292">
        <v>0.46383439999999998</v>
      </c>
      <c r="F6292" t="s">
        <v>70</v>
      </c>
      <c r="G6292">
        <v>-300.43279999999999</v>
      </c>
      <c r="H6292" s="1">
        <v>-2.400139E-7</v>
      </c>
      <c r="I6292">
        <v>-40.659680000000002</v>
      </c>
      <c r="J6292">
        <v>-301.54509999999999</v>
      </c>
      <c r="K6292">
        <v>1.111507</v>
      </c>
      <c r="L6292">
        <v>-30.76773</v>
      </c>
      <c r="M6292">
        <v>2.886348E-2</v>
      </c>
      <c r="N6292">
        <v>0</v>
      </c>
      <c r="O6292">
        <v>-0.99949370000000004</v>
      </c>
      <c r="P6292">
        <v>1.6958819999999999E-2</v>
      </c>
      <c r="Q6292">
        <v>-2.1659370000000001E-2</v>
      </c>
      <c r="R6292">
        <v>-0.99962189999999995</v>
      </c>
      <c r="S6292">
        <v>0.33251950000000002</v>
      </c>
      <c r="T6292">
        <v>-0.33035160000000002</v>
      </c>
      <c r="U6292">
        <v>-2.9891049999999999</v>
      </c>
      <c r="V6292">
        <v>1.192411E-2</v>
      </c>
      <c r="W6292">
        <v>-8.2288750000000001E-3</v>
      </c>
      <c r="X6292">
        <v>0.99989499999999998</v>
      </c>
      <c r="Y6292">
        <v>-8.1164669999999994E-2</v>
      </c>
      <c r="Z6292">
        <v>0.10926760000000001</v>
      </c>
      <c r="AA6292">
        <v>0.99069320000000005</v>
      </c>
      <c r="AB6292">
        <v>18</v>
      </c>
      <c r="AC6292">
        <v>1.1123000000000001</v>
      </c>
      <c r="AD6292">
        <v>-1.1115072400138899</v>
      </c>
      <c r="AE6292">
        <v>-9.8919499999999996</v>
      </c>
      <c r="AF6292">
        <v>-0.81611925432452503</v>
      </c>
      <c r="AG6292">
        <v>-1.1115072400138899</v>
      </c>
      <c r="AH6292">
        <v>9.7977749417818298</v>
      </c>
      <c r="AI6292">
        <v>96.450092781056696</v>
      </c>
      <c r="AJ6292">
        <v>94.7615394204376</v>
      </c>
      <c r="AK6292">
        <v>9.8943363997637803</v>
      </c>
      <c r="AL6292">
        <v>90.471485150059493</v>
      </c>
      <c r="AM6292">
        <v>89.316759466514895</v>
      </c>
      <c r="AN6292">
        <v>0.99999995490402704</v>
      </c>
    </row>
    <row r="6293" spans="1:40" x14ac:dyDescent="0.25">
      <c r="A6293" t="str">
        <f>"20190312154422193"</f>
        <v>20190312154422193</v>
      </c>
      <c r="B6293" t="str">
        <f>"1552376662183978"</f>
        <v>1552376662183978</v>
      </c>
      <c r="C6293" t="s">
        <v>40</v>
      </c>
      <c r="D6293">
        <v>5.0499580000000002</v>
      </c>
      <c r="E6293">
        <v>0.46374090000000001</v>
      </c>
      <c r="F6293" t="s">
        <v>70</v>
      </c>
      <c r="G6293">
        <v>-300.39729999999997</v>
      </c>
      <c r="H6293" s="1">
        <v>-3.4579459999999999E-7</v>
      </c>
      <c r="I6293">
        <v>-40.833880000000001</v>
      </c>
      <c r="J6293">
        <v>-301.53739999999999</v>
      </c>
      <c r="K6293">
        <v>1.1115790000000001</v>
      </c>
      <c r="L6293">
        <v>-30.953489999999999</v>
      </c>
      <c r="M6293">
        <v>3.0872480000000001E-2</v>
      </c>
      <c r="N6293">
        <v>0</v>
      </c>
      <c r="O6293">
        <v>-0.99943349999999997</v>
      </c>
      <c r="P6293">
        <v>1.9705420000000001E-2</v>
      </c>
      <c r="Q6293">
        <v>-2.1652930000000001E-2</v>
      </c>
      <c r="R6293">
        <v>-0.9995716</v>
      </c>
      <c r="S6293">
        <v>0.3407288</v>
      </c>
      <c r="T6293">
        <v>-0.3299569</v>
      </c>
      <c r="U6293">
        <v>-2.9881899999999999</v>
      </c>
      <c r="V6293">
        <v>1.118803E-2</v>
      </c>
      <c r="W6293">
        <v>-8.2200529999999997E-3</v>
      </c>
      <c r="X6293">
        <v>0.9999036</v>
      </c>
      <c r="Y6293">
        <v>-8.1883769999999995E-2</v>
      </c>
      <c r="Z6293">
        <v>0.1091419</v>
      </c>
      <c r="AA6293">
        <v>0.99064779999999997</v>
      </c>
      <c r="AB6293">
        <v>18</v>
      </c>
      <c r="AC6293">
        <v>1.1401000000000101</v>
      </c>
      <c r="AD6293">
        <v>-1.1115793457945999</v>
      </c>
      <c r="AE6293">
        <v>-9.8803899999999896</v>
      </c>
      <c r="AF6293">
        <v>-0.82420202182177404</v>
      </c>
      <c r="AG6293">
        <v>-1.1115793457945999</v>
      </c>
      <c r="AH6293">
        <v>9.7886132864500599</v>
      </c>
      <c r="AI6293">
        <v>96.456012956932796</v>
      </c>
      <c r="AJ6293">
        <v>94.812956577995195</v>
      </c>
      <c r="AK6293">
        <v>9.8859429336021805</v>
      </c>
      <c r="AL6293">
        <v>90.470979659972201</v>
      </c>
      <c r="AM6293">
        <v>89.358938050920003</v>
      </c>
      <c r="AN6293">
        <v>0.99999997528978102</v>
      </c>
    </row>
    <row r="6294" spans="1:40" x14ac:dyDescent="0.25">
      <c r="A6294" t="str">
        <f>"20190312154422216"</f>
        <v>20190312154422216</v>
      </c>
      <c r="B6294" t="str">
        <f>"1552376662203497"</f>
        <v>1552376662203497</v>
      </c>
      <c r="C6294" t="s">
        <v>40</v>
      </c>
      <c r="D6294">
        <v>5.0155709999999996</v>
      </c>
      <c r="E6294">
        <v>0.46361140000000001</v>
      </c>
      <c r="F6294" t="s">
        <v>70</v>
      </c>
      <c r="G6294">
        <v>-300.3546</v>
      </c>
      <c r="H6294" s="1">
        <v>-4.7312580000000001E-7</v>
      </c>
      <c r="I6294">
        <v>-41.043570000000003</v>
      </c>
      <c r="J6294">
        <v>-301.52940000000001</v>
      </c>
      <c r="K6294">
        <v>1.111637</v>
      </c>
      <c r="L6294">
        <v>-31.133939999999999</v>
      </c>
      <c r="M6294">
        <v>3.2941999999999999E-2</v>
      </c>
      <c r="N6294">
        <v>0</v>
      </c>
      <c r="O6294">
        <v>-0.99936749999999996</v>
      </c>
      <c r="P6294">
        <v>2.21517E-2</v>
      </c>
      <c r="Q6294">
        <v>-2.1554739999999999E-2</v>
      </c>
      <c r="R6294">
        <v>-0.99952260000000004</v>
      </c>
      <c r="S6294">
        <v>0.35018919999999998</v>
      </c>
      <c r="T6294">
        <v>-0.32909139999999998</v>
      </c>
      <c r="U6294">
        <v>-2.987244</v>
      </c>
      <c r="V6294">
        <v>1.081231E-2</v>
      </c>
      <c r="W6294">
        <v>-8.1196020000000001E-3</v>
      </c>
      <c r="X6294">
        <v>0.99990860000000004</v>
      </c>
      <c r="Y6294">
        <v>-8.2954879999999995E-2</v>
      </c>
      <c r="Z6294">
        <v>0.1088578</v>
      </c>
      <c r="AA6294">
        <v>0.99058999999999997</v>
      </c>
      <c r="AB6294">
        <v>18</v>
      </c>
      <c r="AC6294">
        <v>1.1748000000000001</v>
      </c>
      <c r="AD6294">
        <v>-1.1116374731258001</v>
      </c>
      <c r="AE6294">
        <v>-9.9096299999999999</v>
      </c>
      <c r="AF6294">
        <v>-0.83729958727383602</v>
      </c>
      <c r="AG6294">
        <v>-1.1116374731258001</v>
      </c>
      <c r="AH6294">
        <v>9.8210809041581708</v>
      </c>
      <c r="AI6294">
        <v>96.434616488063597</v>
      </c>
      <c r="AJ6294">
        <v>94.872987541882097</v>
      </c>
      <c r="AK6294">
        <v>9.9191954611514106</v>
      </c>
      <c r="AL6294">
        <v>90.465224028049704</v>
      </c>
      <c r="AM6294">
        <v>89.380467788776798</v>
      </c>
      <c r="AN6294">
        <v>1.0000000211690601</v>
      </c>
    </row>
    <row r="6295" spans="1:40" x14ac:dyDescent="0.25">
      <c r="A6295" t="str">
        <f>"20190312154422237"</f>
        <v>20190312154422237</v>
      </c>
      <c r="B6295" t="str">
        <f>"1552376662223994"</f>
        <v>1552376662223994</v>
      </c>
      <c r="C6295" t="s">
        <v>40</v>
      </c>
      <c r="D6295">
        <v>5.017099</v>
      </c>
      <c r="E6295">
        <v>0.46349089999999998</v>
      </c>
      <c r="F6295" t="s">
        <v>70</v>
      </c>
      <c r="G6295">
        <v>-300.31560000000002</v>
      </c>
      <c r="H6295" s="1">
        <v>-5.9721589999999995E-7</v>
      </c>
      <c r="I6295">
        <v>-41.247340000000001</v>
      </c>
      <c r="J6295">
        <v>-301.52120000000002</v>
      </c>
      <c r="K6295">
        <v>1.111686</v>
      </c>
      <c r="L6295">
        <v>-31.309449999999998</v>
      </c>
      <c r="M6295">
        <v>3.5064480000000002E-2</v>
      </c>
      <c r="N6295">
        <v>0</v>
      </c>
      <c r="O6295">
        <v>-0.9992953</v>
      </c>
      <c r="P6295">
        <v>2.4911559999999999E-2</v>
      </c>
      <c r="Q6295">
        <v>-2.104323E-2</v>
      </c>
      <c r="R6295">
        <v>-0.99946849999999998</v>
      </c>
      <c r="S6295">
        <v>0.35845949999999999</v>
      </c>
      <c r="T6295">
        <v>-0.32825910000000003</v>
      </c>
      <c r="U6295">
        <v>-2.9864199999999999</v>
      </c>
      <c r="V6295">
        <v>1.0174839999999999E-2</v>
      </c>
      <c r="W6295">
        <v>-7.6069839999999998E-3</v>
      </c>
      <c r="X6295">
        <v>0.99991929999999996</v>
      </c>
      <c r="Y6295">
        <v>-8.3578710000000001E-2</v>
      </c>
      <c r="Z6295">
        <v>0.1085832</v>
      </c>
      <c r="AA6295">
        <v>0.99056770000000005</v>
      </c>
      <c r="AB6295">
        <v>18</v>
      </c>
      <c r="AC6295">
        <v>1.2056</v>
      </c>
      <c r="AD6295">
        <v>-1.1116865972159</v>
      </c>
      <c r="AE6295">
        <v>-9.9378899999999994</v>
      </c>
      <c r="AF6295">
        <v>-0.845928342663122</v>
      </c>
      <c r="AG6295">
        <v>-1.1116865972159</v>
      </c>
      <c r="AH6295">
        <v>9.8525540291157796</v>
      </c>
      <c r="AI6295">
        <v>96.414188311472401</v>
      </c>
      <c r="AJ6295">
        <v>94.907311310628899</v>
      </c>
      <c r="AK6295">
        <v>9.9510935453343894</v>
      </c>
      <c r="AL6295">
        <v>90.4358522815931</v>
      </c>
      <c r="AM6295">
        <v>89.416997682458899</v>
      </c>
      <c r="AN6295">
        <v>1.0000000000435401</v>
      </c>
    </row>
    <row r="6296" spans="1:40" x14ac:dyDescent="0.25">
      <c r="A6296" t="str">
        <f>"20190312154422260"</f>
        <v>20190312154422260</v>
      </c>
      <c r="B6296" t="str">
        <f>"1552376662254249"</f>
        <v>1552376662254249</v>
      </c>
      <c r="C6296" t="s">
        <v>40</v>
      </c>
      <c r="D6296">
        <v>4.9853120000000004</v>
      </c>
      <c r="E6296">
        <v>0.4633757</v>
      </c>
      <c r="F6296" t="s">
        <v>70</v>
      </c>
      <c r="G6296">
        <v>-300.26990000000001</v>
      </c>
      <c r="H6296" s="1">
        <v>-7.3075890000000005E-7</v>
      </c>
      <c r="I6296">
        <v>-41.467440000000003</v>
      </c>
      <c r="J6296">
        <v>-301.51229999999998</v>
      </c>
      <c r="K6296">
        <v>1.1117319999999999</v>
      </c>
      <c r="L6296">
        <v>-31.487400000000001</v>
      </c>
      <c r="M6296">
        <v>3.7321779999999999E-2</v>
      </c>
      <c r="N6296">
        <v>0</v>
      </c>
      <c r="O6296">
        <v>-0.99921349999999998</v>
      </c>
      <c r="P6296">
        <v>2.8609619999999999E-2</v>
      </c>
      <c r="Q6296">
        <v>-1.9881260000000001E-2</v>
      </c>
      <c r="R6296">
        <v>-0.99939310000000003</v>
      </c>
      <c r="S6296">
        <v>0.36776730000000002</v>
      </c>
      <c r="T6296">
        <v>-0.32673590000000002</v>
      </c>
      <c r="U6296">
        <v>-2.985535</v>
      </c>
      <c r="V6296">
        <v>8.7321480000000003E-3</v>
      </c>
      <c r="W6296">
        <v>-6.4459089999999997E-3</v>
      </c>
      <c r="X6296">
        <v>0.99994110000000003</v>
      </c>
      <c r="Y6296">
        <v>-8.4412409999999993E-2</v>
      </c>
      <c r="Z6296">
        <v>0.1080797</v>
      </c>
      <c r="AA6296">
        <v>0.99055199999999999</v>
      </c>
      <c r="AB6296">
        <v>18</v>
      </c>
      <c r="AC6296">
        <v>1.24239999999997</v>
      </c>
      <c r="AD6296">
        <v>-1.1117327307589</v>
      </c>
      <c r="AE6296">
        <v>-9.9800400000000007</v>
      </c>
      <c r="AF6296">
        <v>-0.858536990370521</v>
      </c>
      <c r="AG6296">
        <v>-1.1117327307589</v>
      </c>
      <c r="AH6296">
        <v>9.8985025359467294</v>
      </c>
      <c r="AI6296">
        <v>96.384448354647802</v>
      </c>
      <c r="AJ6296">
        <v>94.957088169596901</v>
      </c>
      <c r="AK6296">
        <v>9.9976691224814491</v>
      </c>
      <c r="AL6296">
        <v>90.369325937753104</v>
      </c>
      <c r="AM6296">
        <v>89.499668021292607</v>
      </c>
      <c r="AN6296">
        <v>1.0000000018103701</v>
      </c>
    </row>
    <row r="6297" spans="1:40" x14ac:dyDescent="0.25">
      <c r="A6297" t="str">
        <f>"20190312154422283"</f>
        <v>20190312154422283</v>
      </c>
      <c r="B6297" t="str">
        <f>"1552376662273769"</f>
        <v>1552376662273769</v>
      </c>
      <c r="C6297" t="s">
        <v>40</v>
      </c>
      <c r="D6297">
        <v>4.9609269999999999</v>
      </c>
      <c r="E6297">
        <v>0.46335320000000002</v>
      </c>
      <c r="F6297" t="s">
        <v>70</v>
      </c>
      <c r="G6297">
        <v>-300.2056</v>
      </c>
      <c r="H6297" s="1">
        <v>-9.0899289999999997E-7</v>
      </c>
      <c r="I6297">
        <v>-41.76193</v>
      </c>
      <c r="J6297">
        <v>-301.50229999999999</v>
      </c>
      <c r="K6297">
        <v>1.1117889999999999</v>
      </c>
      <c r="L6297">
        <v>-31.677399999999999</v>
      </c>
      <c r="M6297">
        <v>3.9838989999999998E-2</v>
      </c>
      <c r="N6297">
        <v>0</v>
      </c>
      <c r="O6297">
        <v>-0.99911629999999996</v>
      </c>
      <c r="P6297">
        <v>3.281941E-2</v>
      </c>
      <c r="Q6297">
        <v>-1.8594690000000001E-2</v>
      </c>
      <c r="R6297">
        <v>-0.99928839999999997</v>
      </c>
      <c r="S6297">
        <v>0.37957760000000001</v>
      </c>
      <c r="T6297">
        <v>-0.3229342</v>
      </c>
      <c r="U6297">
        <v>-2.9845280000000001</v>
      </c>
      <c r="V6297">
        <v>7.0369710000000004E-3</v>
      </c>
      <c r="W6297">
        <v>-5.1607090000000003E-3</v>
      </c>
      <c r="X6297">
        <v>0.99996189999999996</v>
      </c>
      <c r="Y6297">
        <v>-8.5819099999999995E-2</v>
      </c>
      <c r="Z6297">
        <v>0.10682419999999999</v>
      </c>
      <c r="AA6297">
        <v>0.99056730000000004</v>
      </c>
      <c r="AB6297">
        <v>18</v>
      </c>
      <c r="AC6297">
        <v>1.29669999999998</v>
      </c>
      <c r="AD6297">
        <v>-1.1117899089929</v>
      </c>
      <c r="AE6297">
        <v>-10.084530000000001</v>
      </c>
      <c r="AF6297">
        <v>-0.88331527238984497</v>
      </c>
      <c r="AG6297">
        <v>-1.1117899089929</v>
      </c>
      <c r="AH6297">
        <v>10.0085173029552</v>
      </c>
      <c r="AI6297">
        <v>96.314334008136001</v>
      </c>
      <c r="AJ6297">
        <v>95.043648536949505</v>
      </c>
      <c r="AK6297">
        <v>10.1087457815363</v>
      </c>
      <c r="AL6297">
        <v>90.295688164411402</v>
      </c>
      <c r="AM6297">
        <v>89.5968025547932</v>
      </c>
      <c r="AN6297">
        <v>0.99999997666492302</v>
      </c>
    </row>
    <row r="6298" spans="1:40" x14ac:dyDescent="0.25">
      <c r="A6298" t="str">
        <f>"20190312154422308"</f>
        <v>20190312154422308</v>
      </c>
      <c r="B6298" t="str">
        <f>"1552376662294265"</f>
        <v>1552376662294265</v>
      </c>
      <c r="C6298" t="s">
        <v>40</v>
      </c>
      <c r="D6298">
        <v>4.9529990000000002</v>
      </c>
      <c r="E6298">
        <v>0.4632925</v>
      </c>
      <c r="F6298" t="s">
        <v>70</v>
      </c>
      <c r="G6298">
        <v>-300.1343</v>
      </c>
      <c r="H6298" s="1">
        <v>-1.1010539999999999E-6</v>
      </c>
      <c r="I6298">
        <v>-42.079700000000003</v>
      </c>
      <c r="J6298">
        <v>-301.49110000000002</v>
      </c>
      <c r="K6298">
        <v>1.1118520000000001</v>
      </c>
      <c r="L6298">
        <v>-31.877839999999999</v>
      </c>
      <c r="M6298">
        <v>4.2605009999999999E-2</v>
      </c>
      <c r="N6298">
        <v>0</v>
      </c>
      <c r="O6298">
        <v>-0.99900219999999995</v>
      </c>
      <c r="P6298">
        <v>3.6608059999999998E-2</v>
      </c>
      <c r="Q6298">
        <v>-1.751107E-2</v>
      </c>
      <c r="R6298">
        <v>-0.99917659999999997</v>
      </c>
      <c r="S6298">
        <v>0.39233400000000002</v>
      </c>
      <c r="T6298">
        <v>-0.31885340000000001</v>
      </c>
      <c r="U6298">
        <v>-2.9833069999999999</v>
      </c>
      <c r="V6298">
        <v>6.0122040000000002E-3</v>
      </c>
      <c r="W6298">
        <v>-4.0765710000000002E-3</v>
      </c>
      <c r="X6298">
        <v>0.99997360000000002</v>
      </c>
      <c r="Y6298">
        <v>-8.7296040000000005E-2</v>
      </c>
      <c r="Z6298">
        <v>0.1054785</v>
      </c>
      <c r="AA6298">
        <v>0.99058250000000003</v>
      </c>
      <c r="AB6298">
        <v>18</v>
      </c>
      <c r="AC6298">
        <v>1.35680000000002</v>
      </c>
      <c r="AD6298">
        <v>-1.111853101054</v>
      </c>
      <c r="AE6298">
        <v>-10.20186</v>
      </c>
      <c r="AF6298">
        <v>-0.910254541648992</v>
      </c>
      <c r="AG6298">
        <v>-1.111853101054</v>
      </c>
      <c r="AH6298">
        <v>10.132150652794</v>
      </c>
      <c r="AI6298">
        <v>96.237383944558601</v>
      </c>
      <c r="AJ6298">
        <v>95.133570502138497</v>
      </c>
      <c r="AK6298">
        <v>10.233535923610701</v>
      </c>
      <c r="AL6298">
        <v>90.233570964121796</v>
      </c>
      <c r="AM6298">
        <v>89.655521141635504</v>
      </c>
      <c r="AN6298">
        <v>0.99999998286250702</v>
      </c>
    </row>
    <row r="6299" spans="1:40" x14ac:dyDescent="0.25">
      <c r="A6299" t="str">
        <f>"20190312154422332"</f>
        <v>20190312154422332</v>
      </c>
      <c r="B6299" t="str">
        <f>"1552376662323545"</f>
        <v>1552376662323545</v>
      </c>
      <c r="C6299" t="s">
        <v>40</v>
      </c>
      <c r="D6299">
        <v>4.9270759999999996</v>
      </c>
      <c r="E6299">
        <v>0.46328930000000001</v>
      </c>
      <c r="F6299" t="s">
        <v>70</v>
      </c>
      <c r="G6299">
        <v>-300.06610000000001</v>
      </c>
      <c r="H6299" s="1">
        <v>-1.2862850000000001E-6</v>
      </c>
      <c r="I6299">
        <v>-42.386049999999997</v>
      </c>
      <c r="J6299">
        <v>-301.48020000000002</v>
      </c>
      <c r="K6299">
        <v>1.1119059999999901</v>
      </c>
      <c r="L6299">
        <v>-32.059809999999999</v>
      </c>
      <c r="M6299">
        <v>4.5223100000000002E-2</v>
      </c>
      <c r="N6299">
        <v>0</v>
      </c>
      <c r="O6299">
        <v>-0.99888679999999996</v>
      </c>
      <c r="P6299">
        <v>3.9010349999999999E-2</v>
      </c>
      <c r="Q6299">
        <v>-1.489969E-2</v>
      </c>
      <c r="R6299">
        <v>-0.99912789999999996</v>
      </c>
      <c r="S6299">
        <v>0.40438839999999998</v>
      </c>
      <c r="T6299">
        <v>-0.31553170000000003</v>
      </c>
      <c r="U6299">
        <v>-2.9821170000000001</v>
      </c>
      <c r="V6299">
        <v>6.2222319999999899E-3</v>
      </c>
      <c r="W6299">
        <v>-1.461277E-3</v>
      </c>
      <c r="X6299">
        <v>0.99997959999999997</v>
      </c>
      <c r="Y6299">
        <v>-8.8685860000000005E-2</v>
      </c>
      <c r="Z6299">
        <v>0.1043808</v>
      </c>
      <c r="AA6299">
        <v>0.99057530000000005</v>
      </c>
      <c r="AB6299">
        <v>18</v>
      </c>
      <c r="AC6299">
        <v>1.4141000000000099</v>
      </c>
      <c r="AD6299">
        <v>-1.1119072862849999</v>
      </c>
      <c r="AE6299">
        <v>-10.32624</v>
      </c>
      <c r="AF6299">
        <v>-0.93498521731536</v>
      </c>
      <c r="AG6299">
        <v>-1.1119072862849999</v>
      </c>
      <c r="AH6299">
        <v>10.262827066201201</v>
      </c>
      <c r="AI6299">
        <v>96.158181285186501</v>
      </c>
      <c r="AJ6299">
        <v>95.205508079027496</v>
      </c>
      <c r="AK6299">
        <v>10.3651413188941</v>
      </c>
      <c r="AL6299">
        <v>90.083725032422905</v>
      </c>
      <c r="AM6299">
        <v>89.643489695389505</v>
      </c>
      <c r="AN6299">
        <v>1.00000002595884</v>
      </c>
    </row>
    <row r="6300" spans="1:40" x14ac:dyDescent="0.25">
      <c r="A6300" t="str">
        <f>"20190312154422354"</f>
        <v>20190312154422354</v>
      </c>
      <c r="B6300" t="str">
        <f>"1552376662344041"</f>
        <v>1552376662344041</v>
      </c>
      <c r="C6300" t="s">
        <v>40</v>
      </c>
      <c r="D6300">
        <v>4.9346670000000001</v>
      </c>
      <c r="E6300">
        <v>0.46328530000000001</v>
      </c>
      <c r="F6300" t="s">
        <v>70</v>
      </c>
      <c r="G6300">
        <v>-299.99470000000002</v>
      </c>
      <c r="H6300" s="1">
        <v>-1.5521440000000001E-6</v>
      </c>
      <c r="I6300">
        <v>-42.819969999999998</v>
      </c>
      <c r="J6300">
        <v>-301.46839999999997</v>
      </c>
      <c r="K6300">
        <v>1.111947</v>
      </c>
      <c r="L6300">
        <v>-32.246670000000002</v>
      </c>
      <c r="M6300">
        <v>4.7993019999999997E-2</v>
      </c>
      <c r="N6300">
        <v>0</v>
      </c>
      <c r="O6300">
        <v>-0.99875769999999997</v>
      </c>
      <c r="P6300">
        <v>4.0466040000000002E-2</v>
      </c>
      <c r="Q6300">
        <v>-1.261252E-2</v>
      </c>
      <c r="R6300">
        <v>-0.99910149999999998</v>
      </c>
      <c r="S6300">
        <v>0.4116821</v>
      </c>
      <c r="T6300">
        <v>-0.30813990000000002</v>
      </c>
      <c r="U6300">
        <v>-2.9819339999999999</v>
      </c>
      <c r="V6300">
        <v>7.5319819999999996E-3</v>
      </c>
      <c r="W6300">
        <v>8.3285960000000002E-4</v>
      </c>
      <c r="X6300">
        <v>0.99997130000000001</v>
      </c>
      <c r="Y6300">
        <v>-8.8344939999999997E-2</v>
      </c>
      <c r="Z6300">
        <v>0.1019327</v>
      </c>
      <c r="AA6300">
        <v>0.99086070000000004</v>
      </c>
      <c r="AB6300">
        <v>18</v>
      </c>
      <c r="AC6300">
        <v>1.47369999999995</v>
      </c>
      <c r="AD6300">
        <v>-1.111948552144</v>
      </c>
      <c r="AE6300">
        <v>-10.5732999999999</v>
      </c>
      <c r="AF6300">
        <v>-0.95415956312064598</v>
      </c>
      <c r="AG6300">
        <v>-1.111948552144</v>
      </c>
      <c r="AH6300">
        <v>10.517739915423601</v>
      </c>
      <c r="AI6300">
        <v>96.0104630689587</v>
      </c>
      <c r="AJ6300">
        <v>95.183630456887201</v>
      </c>
      <c r="AK6300">
        <v>10.619308027503701</v>
      </c>
      <c r="AL6300">
        <v>89.952280655078198</v>
      </c>
      <c r="AM6300">
        <v>89.568444995326999</v>
      </c>
      <c r="AN6300">
        <v>1.0000000126158199</v>
      </c>
    </row>
    <row r="6301" spans="1:40" x14ac:dyDescent="0.25">
      <c r="A6301" t="str">
        <f>"20190312154422375"</f>
        <v>20190312154422375</v>
      </c>
      <c r="B6301" t="str">
        <f>"1552376662363561"</f>
        <v>1552376662363561</v>
      </c>
      <c r="C6301" t="s">
        <v>40</v>
      </c>
      <c r="D6301">
        <v>4.9253650000000002</v>
      </c>
      <c r="E6301">
        <v>0.46333839999999998</v>
      </c>
      <c r="F6301" t="s">
        <v>70</v>
      </c>
      <c r="G6301">
        <v>-299.93110000000001</v>
      </c>
      <c r="H6301" s="1">
        <v>-1.8317519999999999E-6</v>
      </c>
      <c r="I6301">
        <v>-43.256779999999999</v>
      </c>
      <c r="J6301">
        <v>-301.45780000000002</v>
      </c>
      <c r="K6301">
        <v>1.1119699999999999</v>
      </c>
      <c r="L6301">
        <v>-32.407649999999997</v>
      </c>
      <c r="M6301">
        <v>5.0440899999999997E-2</v>
      </c>
      <c r="N6301">
        <v>0</v>
      </c>
      <c r="O6301">
        <v>-0.99863690000000005</v>
      </c>
      <c r="P6301">
        <v>4.1207250000000001E-2</v>
      </c>
      <c r="Q6301">
        <v>-1.195419E-2</v>
      </c>
      <c r="R6301">
        <v>-0.9990791</v>
      </c>
      <c r="S6301">
        <v>0.41638180000000002</v>
      </c>
      <c r="T6301">
        <v>-0.30116510000000002</v>
      </c>
      <c r="U6301">
        <v>-2.9820250000000001</v>
      </c>
      <c r="V6301">
        <v>9.2390449999999995E-3</v>
      </c>
      <c r="W6301">
        <v>1.498524E-3</v>
      </c>
      <c r="X6301">
        <v>0.99995619999999996</v>
      </c>
      <c r="Y6301">
        <v>-8.7463840000000001E-2</v>
      </c>
      <c r="Z6301">
        <v>9.9620970000000003E-2</v>
      </c>
      <c r="AA6301">
        <v>0.99117390000000005</v>
      </c>
      <c r="AB6301">
        <v>18</v>
      </c>
      <c r="AC6301">
        <v>1.5266999999999999</v>
      </c>
      <c r="AD6301">
        <v>-1.111971831752</v>
      </c>
      <c r="AE6301">
        <v>-10.849130000000001</v>
      </c>
      <c r="AF6301">
        <v>-0.96750079867237304</v>
      </c>
      <c r="AG6301">
        <v>-1.111971831752</v>
      </c>
      <c r="AH6301">
        <v>10.8010697241203</v>
      </c>
      <c r="AI6301">
        <v>95.854624944889594</v>
      </c>
      <c r="AJ6301">
        <v>95.118582165244106</v>
      </c>
      <c r="AK6301">
        <v>10.9011763739217</v>
      </c>
      <c r="AL6301">
        <v>89.914140867486694</v>
      </c>
      <c r="AM6301">
        <v>89.470633591067198</v>
      </c>
      <c r="AN6301">
        <v>1.00000000372256</v>
      </c>
    </row>
    <row r="6302" spans="1:40" x14ac:dyDescent="0.25">
      <c r="A6302" t="str">
        <f>"20190312154422396"</f>
        <v>20190312154422396</v>
      </c>
      <c r="B6302" t="str">
        <f>"1552376662384057"</f>
        <v>1552376662384057</v>
      </c>
      <c r="C6302" t="s">
        <v>40</v>
      </c>
      <c r="D6302">
        <v>4.9350160000000001</v>
      </c>
      <c r="E6302">
        <v>0.46339170000000002</v>
      </c>
      <c r="F6302" t="s">
        <v>70</v>
      </c>
      <c r="G6302">
        <v>-299.91109999999998</v>
      </c>
      <c r="H6302" s="1">
        <v>-1.94905E-6</v>
      </c>
      <c r="I6302">
        <v>-43.432940000000002</v>
      </c>
      <c r="J6302">
        <v>-301.44560000000001</v>
      </c>
      <c r="K6302">
        <v>1.1119730000000001</v>
      </c>
      <c r="L6302">
        <v>-32.584499999999998</v>
      </c>
      <c r="M6302">
        <v>5.3193799999999999E-2</v>
      </c>
      <c r="N6302">
        <v>0</v>
      </c>
      <c r="O6302">
        <v>-0.99849410000000005</v>
      </c>
      <c r="P6302">
        <v>4.3219399999999998E-2</v>
      </c>
      <c r="Q6302">
        <v>-1.3299770000000001E-2</v>
      </c>
      <c r="R6302">
        <v>-0.99897709999999995</v>
      </c>
      <c r="S6302">
        <v>0.41833500000000001</v>
      </c>
      <c r="T6302">
        <v>-0.30074440000000002</v>
      </c>
      <c r="U6302">
        <v>-2.981903</v>
      </c>
      <c r="V6302">
        <v>9.9854850000000005E-3</v>
      </c>
      <c r="W6302">
        <v>1.5670459999999901E-4</v>
      </c>
      <c r="X6302">
        <v>0.99995009999999995</v>
      </c>
      <c r="Y6302">
        <v>-8.5361820000000005E-2</v>
      </c>
      <c r="Z6302">
        <v>9.947056E-2</v>
      </c>
      <c r="AA6302">
        <v>0.99137229999999998</v>
      </c>
      <c r="AB6302">
        <v>18</v>
      </c>
      <c r="AC6302">
        <v>1.53450000000003</v>
      </c>
      <c r="AD6302">
        <v>-1.1119749490499999</v>
      </c>
      <c r="AE6302">
        <v>-10.84844</v>
      </c>
      <c r="AF6302">
        <v>-0.94546676069098001</v>
      </c>
      <c r="AG6302">
        <v>-1.1119749490499999</v>
      </c>
      <c r="AH6302">
        <v>10.8034322054489</v>
      </c>
      <c r="AI6302">
        <v>95.854421504336401</v>
      </c>
      <c r="AJ6302">
        <v>95.001520614866095</v>
      </c>
      <c r="AK6302">
        <v>10.901584430743</v>
      </c>
      <c r="AL6302">
        <v>89.991021487469894</v>
      </c>
      <c r="AM6302">
        <v>89.427864319847501</v>
      </c>
      <c r="AN6302">
        <v>0.99999996847851202</v>
      </c>
    </row>
    <row r="6303" spans="1:40" x14ac:dyDescent="0.25">
      <c r="A6303" t="str">
        <f>"20190312154422418"</f>
        <v>20190312154422418</v>
      </c>
      <c r="B6303" t="str">
        <f>"1552376662403578"</f>
        <v>1552376662403578</v>
      </c>
      <c r="C6303" t="s">
        <v>40</v>
      </c>
      <c r="D6303">
        <v>4.9288809999999996</v>
      </c>
      <c r="E6303">
        <v>0.4634201</v>
      </c>
      <c r="F6303" t="s">
        <v>70</v>
      </c>
      <c r="G6303">
        <v>-299.90440000000001</v>
      </c>
      <c r="H6303" s="1">
        <v>-1.9392029999999999E-6</v>
      </c>
      <c r="I6303">
        <v>-43.414650000000002</v>
      </c>
      <c r="J6303">
        <v>-301.43349999999998</v>
      </c>
      <c r="K6303">
        <v>1.1119709999999901</v>
      </c>
      <c r="L6303">
        <v>-32.75168</v>
      </c>
      <c r="M6303">
        <v>5.584501E-2</v>
      </c>
      <c r="N6303">
        <v>0</v>
      </c>
      <c r="O6303">
        <v>-0.99834920000000005</v>
      </c>
      <c r="P6303">
        <v>4.5850139999999998E-2</v>
      </c>
      <c r="Q6303">
        <v>-1.593491E-2</v>
      </c>
      <c r="R6303">
        <v>-0.99882119999999996</v>
      </c>
      <c r="S6303">
        <v>0.42416379999999998</v>
      </c>
      <c r="T6303">
        <v>-0.30603560000000002</v>
      </c>
      <c r="U6303">
        <v>-2.9806520000000001</v>
      </c>
      <c r="V6303">
        <v>1.001442E-2</v>
      </c>
      <c r="W6303">
        <v>-2.4777110000000001E-3</v>
      </c>
      <c r="X6303">
        <v>0.99994680000000002</v>
      </c>
      <c r="Y6303">
        <v>-8.4649370000000002E-2</v>
      </c>
      <c r="Z6303">
        <v>0.10121189999999999</v>
      </c>
      <c r="AA6303">
        <v>0.9912571</v>
      </c>
      <c r="AB6303">
        <v>18</v>
      </c>
      <c r="AC6303">
        <v>1.5290999999999699</v>
      </c>
      <c r="AD6303">
        <v>-1.11197293920299</v>
      </c>
      <c r="AE6303">
        <v>-10.66297</v>
      </c>
      <c r="AF6303">
        <v>-0.92136796426040202</v>
      </c>
      <c r="AG6303">
        <v>-1.11197293920299</v>
      </c>
      <c r="AH6303">
        <v>10.6185763138376</v>
      </c>
      <c r="AI6303">
        <v>95.955983977296697</v>
      </c>
      <c r="AJ6303">
        <v>94.959102240284096</v>
      </c>
      <c r="AK6303">
        <v>10.7163223951073</v>
      </c>
      <c r="AL6303">
        <v>90.141962526241699</v>
      </c>
      <c r="AM6303">
        <v>89.426204656035793</v>
      </c>
      <c r="AN6303">
        <v>1.0000000152449799</v>
      </c>
    </row>
    <row r="6304" spans="1:40" x14ac:dyDescent="0.25">
      <c r="A6304" t="str">
        <f>"20190312154422443"</f>
        <v>20190312154422443</v>
      </c>
      <c r="B6304" t="str">
        <f>"1552376662433834"</f>
        <v>1552376662433834</v>
      </c>
      <c r="C6304" t="s">
        <v>40</v>
      </c>
      <c r="D6304">
        <v>4.9231680000000004</v>
      </c>
      <c r="E6304">
        <v>0.46355420000000003</v>
      </c>
      <c r="F6304" t="s">
        <v>70</v>
      </c>
      <c r="G6304">
        <v>-299.90859999999998</v>
      </c>
      <c r="H6304" s="1">
        <v>-1.851057E-6</v>
      </c>
      <c r="I6304">
        <v>-43.277749999999997</v>
      </c>
      <c r="J6304">
        <v>-301.41840000000002</v>
      </c>
      <c r="K6304">
        <v>1.1119650000000001</v>
      </c>
      <c r="L6304">
        <v>-32.952759999999998</v>
      </c>
      <c r="M6304">
        <v>5.9079699999999999E-2</v>
      </c>
      <c r="N6304">
        <v>0</v>
      </c>
      <c r="O6304">
        <v>-0.99816289999999996</v>
      </c>
      <c r="P6304">
        <v>4.9244490000000002E-2</v>
      </c>
      <c r="Q6304">
        <v>-1.81931E-2</v>
      </c>
      <c r="R6304">
        <v>-0.99862090000000003</v>
      </c>
      <c r="S6304">
        <v>0.43151859999999997</v>
      </c>
      <c r="T6304">
        <v>-0.31466939999999999</v>
      </c>
      <c r="U6304">
        <v>-2.9786990000000002</v>
      </c>
      <c r="V6304">
        <v>9.861893E-3</v>
      </c>
      <c r="W6304">
        <v>-4.7358590000000002E-3</v>
      </c>
      <c r="X6304">
        <v>0.99994019999999995</v>
      </c>
      <c r="Y6304">
        <v>-8.3867269999999994E-2</v>
      </c>
      <c r="Z6304">
        <v>0.1040599</v>
      </c>
      <c r="AA6304">
        <v>0.99102869999999998</v>
      </c>
      <c r="AB6304">
        <v>18</v>
      </c>
      <c r="AC6304">
        <v>1.50980000000004</v>
      </c>
      <c r="AD6304">
        <v>-1.11196685105699</v>
      </c>
      <c r="AE6304">
        <v>-10.32499</v>
      </c>
      <c r="AF6304">
        <v>-0.88703699037596795</v>
      </c>
      <c r="AG6304">
        <v>-1.11196685105699</v>
      </c>
      <c r="AH6304">
        <v>10.279427691396499</v>
      </c>
      <c r="AI6304">
        <v>96.151223502708305</v>
      </c>
      <c r="AJ6304">
        <v>94.9319755497757</v>
      </c>
      <c r="AK6304">
        <v>10.377376285111501</v>
      </c>
      <c r="AL6304">
        <v>90.2713457353248</v>
      </c>
      <c r="AM6304">
        <v>89.4349396817816</v>
      </c>
      <c r="AN6304">
        <v>1.0000000444350201</v>
      </c>
    </row>
    <row r="6305" spans="1:40" x14ac:dyDescent="0.25">
      <c r="A6305" t="str">
        <f>"20190312154422463"</f>
        <v>20190312154422463</v>
      </c>
      <c r="B6305" t="str">
        <f>"1552376662454329"</f>
        <v>1552376662454329</v>
      </c>
      <c r="C6305" t="s">
        <v>40</v>
      </c>
      <c r="D6305">
        <v>4.9499139999999997</v>
      </c>
      <c r="E6305">
        <v>0.46369290000000002</v>
      </c>
      <c r="F6305" t="s">
        <v>70</v>
      </c>
      <c r="G6305">
        <v>-299.88889999999998</v>
      </c>
      <c r="H6305" s="1">
        <v>-1.8571359999999999E-6</v>
      </c>
      <c r="I6305">
        <v>-43.279040000000002</v>
      </c>
      <c r="J6305">
        <v>-301.40620000000001</v>
      </c>
      <c r="K6305">
        <v>1.1119540000000001</v>
      </c>
      <c r="L6305">
        <v>-33.107790000000001</v>
      </c>
      <c r="M6305">
        <v>6.1596999999999999E-2</v>
      </c>
      <c r="N6305">
        <v>0</v>
      </c>
      <c r="O6305">
        <v>-0.99801099999999998</v>
      </c>
      <c r="P6305">
        <v>5.2006990000000003E-2</v>
      </c>
      <c r="Q6305">
        <v>-1.8908879999999999E-2</v>
      </c>
      <c r="R6305">
        <v>-0.99846780000000002</v>
      </c>
      <c r="S6305">
        <v>0.44088749999999999</v>
      </c>
      <c r="T6305">
        <v>-0.32052580000000003</v>
      </c>
      <c r="U6305">
        <v>-2.9765630000000001</v>
      </c>
      <c r="V6305">
        <v>9.619285E-3</v>
      </c>
      <c r="W6305">
        <v>-5.4523870000000004E-3</v>
      </c>
      <c r="X6305">
        <v>0.99993880000000002</v>
      </c>
      <c r="Y6305">
        <v>-8.4478709999999999E-2</v>
      </c>
      <c r="Z6305">
        <v>0.1059987</v>
      </c>
      <c r="AA6305">
        <v>0.99077119999999996</v>
      </c>
      <c r="AB6305">
        <v>18</v>
      </c>
      <c r="AC6305">
        <v>1.5173000000000301</v>
      </c>
      <c r="AD6305">
        <v>-1.111955857136</v>
      </c>
      <c r="AE6305">
        <v>-10.171250000000001</v>
      </c>
      <c r="AF6305">
        <v>-0.87758323878276101</v>
      </c>
      <c r="AG6305">
        <v>-1.111955857136</v>
      </c>
      <c r="AH6305">
        <v>10.1270026685274</v>
      </c>
      <c r="AI6305">
        <v>96.242826529296806</v>
      </c>
      <c r="AJ6305">
        <v>94.952750248785705</v>
      </c>
      <c r="AK6305">
        <v>10.2255944187891</v>
      </c>
      <c r="AL6305">
        <v>90.312400332664893</v>
      </c>
      <c r="AM6305">
        <v>89.448838836890005</v>
      </c>
      <c r="AN6305">
        <v>0.99999993145667199</v>
      </c>
    </row>
    <row r="6306" spans="1:40" x14ac:dyDescent="0.25">
      <c r="A6306" t="str">
        <f>"20190312154422484"</f>
        <v>20190312154422484</v>
      </c>
      <c r="B6306" t="str">
        <f>"1552376662473850"</f>
        <v>1552376662473850</v>
      </c>
      <c r="C6306" t="s">
        <v>40</v>
      </c>
      <c r="D6306">
        <v>4.9426319999999997</v>
      </c>
      <c r="E6306">
        <v>0.46383020000000003</v>
      </c>
      <c r="F6306" t="s">
        <v>70</v>
      </c>
      <c r="G6306">
        <v>-299.86410000000001</v>
      </c>
      <c r="H6306" s="1">
        <v>-1.91123E-6</v>
      </c>
      <c r="I6306">
        <v>-43.35378</v>
      </c>
      <c r="J6306">
        <v>-301.39249999999998</v>
      </c>
      <c r="K6306">
        <v>1.1119490000000001</v>
      </c>
      <c r="L6306">
        <v>-33.276490000000003</v>
      </c>
      <c r="M6306">
        <v>6.4348710000000003E-2</v>
      </c>
      <c r="N6306">
        <v>0</v>
      </c>
      <c r="O6306">
        <v>-0.99783719999999998</v>
      </c>
      <c r="P6306">
        <v>5.5172980000000003E-2</v>
      </c>
      <c r="Q6306">
        <v>-1.9793640000000001E-2</v>
      </c>
      <c r="R6306">
        <v>-0.99828059999999996</v>
      </c>
      <c r="S6306">
        <v>0.44778440000000003</v>
      </c>
      <c r="T6306">
        <v>-0.3228818</v>
      </c>
      <c r="U6306">
        <v>-2.9751590000000001</v>
      </c>
      <c r="V6306">
        <v>9.2076959999999996E-3</v>
      </c>
      <c r="W6306">
        <v>-6.3391569999999998E-3</v>
      </c>
      <c r="X6306">
        <v>0.99993750000000003</v>
      </c>
      <c r="Y6306">
        <v>-8.4033259999999999E-2</v>
      </c>
      <c r="Z6306">
        <v>0.10677449999999999</v>
      </c>
      <c r="AA6306">
        <v>0.99072579999999999</v>
      </c>
      <c r="AB6306">
        <v>18</v>
      </c>
      <c r="AC6306">
        <v>1.52839999999997</v>
      </c>
      <c r="AD6306">
        <v>-1.1119509112299999</v>
      </c>
      <c r="AE6306">
        <v>-10.0772899999999</v>
      </c>
      <c r="AF6306">
        <v>-0.86640115157995001</v>
      </c>
      <c r="AG6306">
        <v>-1.1119509112299999</v>
      </c>
      <c r="AH6306">
        <v>10.0353234232375</v>
      </c>
      <c r="AI6306">
        <v>96.299547664899194</v>
      </c>
      <c r="AJ6306">
        <v>94.934404032964395</v>
      </c>
      <c r="AK6306">
        <v>10.1338443837185</v>
      </c>
      <c r="AL6306">
        <v>90.363209379748298</v>
      </c>
      <c r="AM6306">
        <v>89.472419816702697</v>
      </c>
      <c r="AN6306">
        <v>0.99999998524167399</v>
      </c>
    </row>
    <row r="6307" spans="1:40" x14ac:dyDescent="0.25">
      <c r="A6307" t="str">
        <f>"20190312154422511"</f>
        <v>20190312154422511</v>
      </c>
      <c r="B6307" t="str">
        <f>"1552376662504105"</f>
        <v>1552376662504105</v>
      </c>
      <c r="C6307" t="s">
        <v>40</v>
      </c>
      <c r="D6307">
        <v>5.1583930000000002</v>
      </c>
      <c r="E6307">
        <v>0.49629230000000002</v>
      </c>
      <c r="F6307" t="s">
        <v>70</v>
      </c>
      <c r="G6307">
        <v>-299.8365</v>
      </c>
      <c r="H6307" s="1">
        <v>-1.9673990000000002E-6</v>
      </c>
      <c r="I6307">
        <v>-43.43056</v>
      </c>
      <c r="J6307">
        <v>-301.37520000000001</v>
      </c>
      <c r="K6307">
        <v>1.1119289999999999</v>
      </c>
      <c r="L6307">
        <v>-33.482300000000002</v>
      </c>
      <c r="M6307">
        <v>6.7715310000000001E-2</v>
      </c>
      <c r="N6307">
        <v>0</v>
      </c>
      <c r="O6307">
        <v>-0.99761469999999997</v>
      </c>
      <c r="P6307">
        <v>5.8724310000000002E-2</v>
      </c>
      <c r="Q6307">
        <v>-2.1503919999999999E-2</v>
      </c>
      <c r="R6307">
        <v>-0.99804300000000001</v>
      </c>
      <c r="S6307">
        <v>0.4556885</v>
      </c>
      <c r="T6307">
        <v>-0.32562279999999999</v>
      </c>
      <c r="U6307">
        <v>-2.9735109999999998</v>
      </c>
      <c r="V6307">
        <v>9.0276190000000006E-3</v>
      </c>
      <c r="W6307">
        <v>-8.0517599999999998E-3</v>
      </c>
      <c r="X6307">
        <v>0.9999268</v>
      </c>
      <c r="Y6307">
        <v>-8.3311170000000004E-2</v>
      </c>
      <c r="Z6307">
        <v>0.1076749</v>
      </c>
      <c r="AA6307">
        <v>0.99068929999999999</v>
      </c>
      <c r="AB6307">
        <v>18</v>
      </c>
      <c r="AC6307">
        <v>1.5387</v>
      </c>
      <c r="AD6307">
        <v>-1.1119309673989899</v>
      </c>
      <c r="AE6307">
        <v>-9.9482599999999906</v>
      </c>
      <c r="AF6307">
        <v>-0.85107364968197896</v>
      </c>
      <c r="AG6307">
        <v>-1.1119309673989899</v>
      </c>
      <c r="AH6307">
        <v>9.9087283607518497</v>
      </c>
      <c r="AI6307">
        <v>96.379498588994693</v>
      </c>
      <c r="AJ6307">
        <v>94.909161016397405</v>
      </c>
      <c r="AK6307">
        <v>10.007178151737399</v>
      </c>
      <c r="AL6307">
        <v>90.461336865753793</v>
      </c>
      <c r="AM6307">
        <v>89.482731721026695</v>
      </c>
      <c r="AN6307">
        <v>0.99999996705107197</v>
      </c>
    </row>
    <row r="6308" spans="1:40" x14ac:dyDescent="0.25">
      <c r="A6308" t="str">
        <f>"20190312154422532"</f>
        <v>20190312154422532</v>
      </c>
      <c r="B6308" t="str">
        <f>"1552376662523625"</f>
        <v>1552376662523625</v>
      </c>
      <c r="C6308" t="s">
        <v>40</v>
      </c>
      <c r="D6308">
        <v>4.9958530000000003</v>
      </c>
      <c r="E6308">
        <v>0.54806790000000005</v>
      </c>
      <c r="F6308" t="s">
        <v>41</v>
      </c>
      <c r="G6308">
        <v>-301.31709999999998</v>
      </c>
      <c r="H6308">
        <v>0.976128</v>
      </c>
      <c r="I6308">
        <v>-34.314700000000002</v>
      </c>
      <c r="J6308">
        <v>-301.3605</v>
      </c>
      <c r="K6308">
        <v>1.1119030000000001</v>
      </c>
      <c r="L6308">
        <v>-33.648409999999998</v>
      </c>
      <c r="M6308">
        <v>7.0434440000000001E-2</v>
      </c>
      <c r="N6308">
        <v>0</v>
      </c>
      <c r="O6308">
        <v>-0.99742629999999999</v>
      </c>
      <c r="P6308">
        <v>6.1725149999999999E-2</v>
      </c>
      <c r="Q6308">
        <v>-2.3004899999999998E-2</v>
      </c>
      <c r="R6308">
        <v>-0.99782820000000005</v>
      </c>
      <c r="S6308">
        <v>0.2089539</v>
      </c>
      <c r="T6308">
        <v>-0.4869733</v>
      </c>
      <c r="U6308">
        <v>-2.9830930000000002</v>
      </c>
      <c r="V6308">
        <v>8.7491359999999994E-3</v>
      </c>
      <c r="W6308">
        <v>-9.5557209999999997E-3</v>
      </c>
      <c r="X6308">
        <v>0.99991609999999997</v>
      </c>
      <c r="Y6308">
        <v>1.4735099999999999E-3</v>
      </c>
      <c r="Z6308">
        <v>0.16032579999999999</v>
      </c>
      <c r="AA6308">
        <v>0.98706309999999997</v>
      </c>
      <c r="AB6308">
        <v>18</v>
      </c>
      <c r="AC6308">
        <v>4.3400000000019603E-2</v>
      </c>
      <c r="AD6308">
        <v>-0.13577499999999901</v>
      </c>
      <c r="AE6308">
        <v>-0.66629000000000305</v>
      </c>
      <c r="AF6308">
        <v>3.4971809280416998E-3</v>
      </c>
      <c r="AG6308">
        <v>-0.13577499999999901</v>
      </c>
      <c r="AH6308">
        <v>0.64117934865832404</v>
      </c>
      <c r="AI6308">
        <v>101.95605606308099</v>
      </c>
      <c r="AJ6308">
        <v>89.687495049815794</v>
      </c>
      <c r="AK6308">
        <v>0.65540677296268202</v>
      </c>
      <c r="AL6308">
        <v>90.547510797957102</v>
      </c>
      <c r="AM6308">
        <v>89.498682164582107</v>
      </c>
      <c r="AN6308">
        <v>1.0000000331118899</v>
      </c>
    </row>
    <row r="6309" spans="1:40" x14ac:dyDescent="0.25">
      <c r="A6309" t="str">
        <f>"20190312154422556"</f>
        <v>20190312154422556</v>
      </c>
      <c r="B6309" t="str">
        <f>"1552376662544121"</f>
        <v>1552376662544121</v>
      </c>
      <c r="C6309" t="s">
        <v>40</v>
      </c>
      <c r="D6309">
        <v>4.9990309999999996</v>
      </c>
      <c r="E6309">
        <v>0.55632709999999996</v>
      </c>
      <c r="F6309" t="s">
        <v>41</v>
      </c>
      <c r="G6309">
        <v>-301.4117</v>
      </c>
      <c r="H6309">
        <v>0.90709819999999997</v>
      </c>
      <c r="I6309">
        <v>-34.446120000000001</v>
      </c>
      <c r="J6309">
        <v>-301.34280000000001</v>
      </c>
      <c r="K6309">
        <v>1.1118709999999901</v>
      </c>
      <c r="L6309">
        <v>-33.844329999999999</v>
      </c>
      <c r="M6309">
        <v>7.3636320000000005E-2</v>
      </c>
      <c r="N6309">
        <v>0</v>
      </c>
      <c r="O6309">
        <v>-0.9971949</v>
      </c>
      <c r="P6309">
        <v>6.6543560000000002E-2</v>
      </c>
      <c r="Q6309">
        <v>-2.476078E-2</v>
      </c>
      <c r="R6309">
        <v>-0.99747640000000004</v>
      </c>
      <c r="S6309">
        <v>-0.19198609999999999</v>
      </c>
      <c r="T6309">
        <v>-0.77059960000000005</v>
      </c>
      <c r="U6309">
        <v>-3.0006409999999999</v>
      </c>
      <c r="V6309">
        <v>7.1328839999999999E-3</v>
      </c>
      <c r="W6309">
        <v>-1.131979E-2</v>
      </c>
      <c r="X6309">
        <v>0.99991050000000004</v>
      </c>
      <c r="Y6309">
        <v>0.135186</v>
      </c>
      <c r="Z6309">
        <v>0.24635000000000001</v>
      </c>
      <c r="AA6309">
        <v>0.95970639999999996</v>
      </c>
      <c r="AB6309">
        <v>18</v>
      </c>
      <c r="AC6309">
        <v>-6.8899999999985001E-2</v>
      </c>
      <c r="AD6309">
        <v>-0.20477279999999901</v>
      </c>
      <c r="AE6309">
        <v>-0.60179000000000105</v>
      </c>
      <c r="AF6309">
        <v>0.10143747010294001</v>
      </c>
      <c r="AG6309">
        <v>-0.20477279999999901</v>
      </c>
      <c r="AH6309">
        <v>0.53404704574176898</v>
      </c>
      <c r="AI6309">
        <v>110.641434663418</v>
      </c>
      <c r="AJ6309">
        <v>79.245291454116298</v>
      </c>
      <c r="AK6309">
        <v>0.58088527871365103</v>
      </c>
      <c r="AL6309">
        <v>90.648590036261297</v>
      </c>
      <c r="AM6309">
        <v>89.591286203203296</v>
      </c>
      <c r="AN6309">
        <v>1.0000000118450201</v>
      </c>
    </row>
    <row r="6310" spans="1:40" x14ac:dyDescent="0.25">
      <c r="A6310" t="str">
        <f>"20190312154422576"</f>
        <v>20190312154422576</v>
      </c>
      <c r="B6310" t="str">
        <f>"1552376662563642"</f>
        <v>1552376662563642</v>
      </c>
      <c r="C6310" t="s">
        <v>40</v>
      </c>
      <c r="D6310">
        <v>4.9758509999999996</v>
      </c>
      <c r="E6310">
        <v>0.55880079999999999</v>
      </c>
      <c r="F6310" t="s">
        <v>41</v>
      </c>
      <c r="G6310">
        <v>-301.4042</v>
      </c>
      <c r="H6310">
        <v>0.89833859999999999</v>
      </c>
      <c r="I6310">
        <v>-34.600020000000001</v>
      </c>
      <c r="J6310">
        <v>-301.3297</v>
      </c>
      <c r="K6310">
        <v>1.1118520000000001</v>
      </c>
      <c r="L6310">
        <v>-33.984499999999997</v>
      </c>
      <c r="M6310">
        <v>7.5920489999999993E-2</v>
      </c>
      <c r="N6310">
        <v>0</v>
      </c>
      <c r="O6310">
        <v>-0.99702380000000002</v>
      </c>
      <c r="P6310">
        <v>7.1291289999999993E-2</v>
      </c>
      <c r="Q6310">
        <v>-2.5644900000000002E-2</v>
      </c>
      <c r="R6310">
        <v>-0.99712590000000001</v>
      </c>
      <c r="S6310">
        <v>-0.24328610000000001</v>
      </c>
      <c r="T6310">
        <v>-0.84875440000000002</v>
      </c>
      <c r="U6310">
        <v>-3.0027469999999998</v>
      </c>
      <c r="V6310">
        <v>4.664802E-3</v>
      </c>
      <c r="W6310">
        <v>-1.221408E-2</v>
      </c>
      <c r="X6310">
        <v>0.99991450000000004</v>
      </c>
      <c r="Y6310">
        <v>0.153203799999999</v>
      </c>
      <c r="Z6310">
        <v>0.26880939999999998</v>
      </c>
      <c r="AA6310">
        <v>0.95093119999999998</v>
      </c>
      <c r="AB6310">
        <v>18</v>
      </c>
      <c r="AC6310">
        <v>-7.4500000000000399E-2</v>
      </c>
      <c r="AD6310">
        <v>-0.21351339999999999</v>
      </c>
      <c r="AE6310">
        <v>-0.61552000000000295</v>
      </c>
      <c r="AF6310">
        <v>0.108189480506078</v>
      </c>
      <c r="AG6310">
        <v>-0.21351339999999999</v>
      </c>
      <c r="AH6310">
        <v>0.543618635461383</v>
      </c>
      <c r="AI6310">
        <v>111.067116019606</v>
      </c>
      <c r="AJ6310">
        <v>78.744220045738004</v>
      </c>
      <c r="AK6310">
        <v>0.59398161292470297</v>
      </c>
      <c r="AL6310">
        <v>90.699832652973598</v>
      </c>
      <c r="AM6310">
        <v>89.732705618429605</v>
      </c>
      <c r="AN6310">
        <v>0.99999997571909705</v>
      </c>
    </row>
    <row r="6311" spans="1:40" x14ac:dyDescent="0.25">
      <c r="A6311" t="str">
        <f>"20190312154422595"</f>
        <v>20190312154422595</v>
      </c>
      <c r="B6311" t="str">
        <f>"1552376662584138"</f>
        <v>1552376662584138</v>
      </c>
      <c r="C6311" t="s">
        <v>40</v>
      </c>
      <c r="D6311">
        <v>5.0136129999999897</v>
      </c>
      <c r="E6311">
        <v>0.55977219999999905</v>
      </c>
      <c r="F6311" t="s">
        <v>41</v>
      </c>
      <c r="G6311">
        <v>-301.39359999999999</v>
      </c>
      <c r="H6311">
        <v>0.88724829999999999</v>
      </c>
      <c r="I6311">
        <v>-34.752290000000002</v>
      </c>
      <c r="J6311">
        <v>-301.31389999999999</v>
      </c>
      <c r="K6311">
        <v>1.1118410000000001</v>
      </c>
      <c r="L6311">
        <v>-34.149630000000002</v>
      </c>
      <c r="M6311">
        <v>7.8602290000000005E-2</v>
      </c>
      <c r="N6311">
        <v>0</v>
      </c>
      <c r="O6311">
        <v>-0.99681589999999998</v>
      </c>
      <c r="P6311">
        <v>7.6226409999999994E-2</v>
      </c>
      <c r="Q6311">
        <v>-2.572052E-2</v>
      </c>
      <c r="R6311">
        <v>-0.9967589</v>
      </c>
      <c r="S6311">
        <v>-0.24954219999999999</v>
      </c>
      <c r="T6311">
        <v>-0.87899740000000004</v>
      </c>
      <c r="U6311">
        <v>-3.003876</v>
      </c>
      <c r="V6311">
        <v>2.4050090000000001E-3</v>
      </c>
      <c r="W6311">
        <v>-1.229923E-2</v>
      </c>
      <c r="X6311">
        <v>0.99992139999999996</v>
      </c>
      <c r="Y6311">
        <v>0.1575926</v>
      </c>
      <c r="Z6311">
        <v>0.27734419999999999</v>
      </c>
      <c r="AA6311">
        <v>0.94775779999999998</v>
      </c>
      <c r="AB6311">
        <v>18</v>
      </c>
      <c r="AC6311">
        <v>-7.9700000000002505E-2</v>
      </c>
      <c r="AD6311">
        <v>-0.22459270000000001</v>
      </c>
      <c r="AE6311">
        <v>-0.60265999999999997</v>
      </c>
      <c r="AF6311">
        <v>0.11159581310672501</v>
      </c>
      <c r="AG6311">
        <v>-0.22459270000000001</v>
      </c>
      <c r="AH6311">
        <v>0.52312584635809001</v>
      </c>
      <c r="AI6311">
        <v>112.776593131463</v>
      </c>
      <c r="AJ6311">
        <v>77.957882383822295</v>
      </c>
      <c r="AK6311">
        <v>0.580134602936344</v>
      </c>
      <c r="AL6311">
        <v>90.704711786976503</v>
      </c>
      <c r="AM6311">
        <v>89.8621925686612</v>
      </c>
      <c r="AN6311">
        <v>0.99999993065241899</v>
      </c>
    </row>
    <row r="6312" spans="1:40" x14ac:dyDescent="0.25">
      <c r="A6312" t="str">
        <f>"20190312154422620"</f>
        <v>20190312154422620</v>
      </c>
      <c r="B6312" t="str">
        <f>"1552376662614394"</f>
        <v>1552376662614394</v>
      </c>
      <c r="C6312" t="s">
        <v>40</v>
      </c>
      <c r="D6312">
        <v>5.0110320000000002</v>
      </c>
      <c r="E6312">
        <v>0.56066369999999999</v>
      </c>
      <c r="F6312" t="s">
        <v>41</v>
      </c>
      <c r="G6312">
        <v>-301.375</v>
      </c>
      <c r="H6312">
        <v>0.88722599999999996</v>
      </c>
      <c r="I6312">
        <v>-34.908369999999998</v>
      </c>
      <c r="J6312">
        <v>-301.29579999999999</v>
      </c>
      <c r="K6312">
        <v>1.1118269999999999</v>
      </c>
      <c r="L6312">
        <v>-34.333399999999997</v>
      </c>
      <c r="M6312">
        <v>8.1576350000000006E-2</v>
      </c>
      <c r="N6312">
        <v>0</v>
      </c>
      <c r="O6312">
        <v>-0.99657669999999998</v>
      </c>
      <c r="P6312">
        <v>8.0850210000000006E-2</v>
      </c>
      <c r="Q6312">
        <v>-2.5310180000000002E-2</v>
      </c>
      <c r="R6312">
        <v>-0.99640479999999998</v>
      </c>
      <c r="S6312">
        <v>-0.24087520000000001</v>
      </c>
      <c r="T6312">
        <v>-0.89009229999999995</v>
      </c>
      <c r="U6312">
        <v>-3.0052189999999999</v>
      </c>
      <c r="V6312">
        <v>7.4883570000000002E-4</v>
      </c>
      <c r="W6312">
        <v>-1.1896449999999999E-2</v>
      </c>
      <c r="X6312">
        <v>0.99992899999999996</v>
      </c>
      <c r="Y6312">
        <v>0.15771470000000001</v>
      </c>
      <c r="Z6312">
        <v>0.28037699999999999</v>
      </c>
      <c r="AA6312">
        <v>0.94684460000000004</v>
      </c>
      <c r="AB6312">
        <v>18</v>
      </c>
      <c r="AC6312">
        <v>-7.9200000000014301E-2</v>
      </c>
      <c r="AD6312">
        <v>-0.224601</v>
      </c>
      <c r="AE6312">
        <v>-0.57496999999999998</v>
      </c>
      <c r="AF6312">
        <v>0.10945340417195699</v>
      </c>
      <c r="AG6312">
        <v>-0.224601</v>
      </c>
      <c r="AH6312">
        <v>0.49279529222454799</v>
      </c>
      <c r="AI6312">
        <v>113.98557230417801</v>
      </c>
      <c r="AJ6312">
        <v>77.477470202446</v>
      </c>
      <c r="AK6312">
        <v>0.552515028686558</v>
      </c>
      <c r="AL6312">
        <v>90.681632423773706</v>
      </c>
      <c r="AM6312">
        <v>89.957091836382503</v>
      </c>
      <c r="AN6312">
        <v>1.0000000456592499</v>
      </c>
    </row>
    <row r="6313" spans="1:40" x14ac:dyDescent="0.25">
      <c r="A6313" t="str">
        <f>"20190312154422639"</f>
        <v>20190312154422639</v>
      </c>
      <c r="B6313" t="str">
        <f>"1552376662633914"</f>
        <v>1552376662633914</v>
      </c>
      <c r="C6313" t="s">
        <v>40</v>
      </c>
      <c r="D6313">
        <v>5.0111559999999997</v>
      </c>
      <c r="E6313">
        <v>0.56116149999999998</v>
      </c>
      <c r="F6313" t="s">
        <v>41</v>
      </c>
      <c r="G6313">
        <v>-301.3528</v>
      </c>
      <c r="H6313">
        <v>0.89349730000000005</v>
      </c>
      <c r="I6313">
        <v>-35.066609999999997</v>
      </c>
      <c r="J6313">
        <v>-301.27940000000001</v>
      </c>
      <c r="K6313">
        <v>1.1118170000000001</v>
      </c>
      <c r="L6313">
        <v>-34.494230000000002</v>
      </c>
      <c r="M6313">
        <v>8.4175559999999996E-2</v>
      </c>
      <c r="N6313">
        <v>0</v>
      </c>
      <c r="O6313">
        <v>-0.99636060000000004</v>
      </c>
      <c r="P6313">
        <v>8.4871840000000004E-2</v>
      </c>
      <c r="Q6313">
        <v>-2.4939220000000002E-2</v>
      </c>
      <c r="R6313">
        <v>-0.99607959999999995</v>
      </c>
      <c r="S6313">
        <v>-0.23385619999999999</v>
      </c>
      <c r="T6313">
        <v>-0.89549089999999998</v>
      </c>
      <c r="U6313">
        <v>-3.00705</v>
      </c>
      <c r="V6313">
        <v>-6.7974979999999995E-4</v>
      </c>
      <c r="W6313">
        <v>-1.1531970000000001E-2</v>
      </c>
      <c r="X6313">
        <v>0.99993330000000002</v>
      </c>
      <c r="Y6313">
        <v>0.15801470000000001</v>
      </c>
      <c r="Z6313">
        <v>0.28170820000000002</v>
      </c>
      <c r="AA6313">
        <v>0.9463994</v>
      </c>
      <c r="AB6313">
        <v>18</v>
      </c>
      <c r="AC6313">
        <v>-7.3399999999992305E-2</v>
      </c>
      <c r="AD6313">
        <v>-0.21831970000000001</v>
      </c>
      <c r="AE6313">
        <v>-0.572379999999995</v>
      </c>
      <c r="AF6313">
        <v>0.106133254060333</v>
      </c>
      <c r="AG6313">
        <v>-0.21831970000000001</v>
      </c>
      <c r="AH6313">
        <v>0.49352983676142798</v>
      </c>
      <c r="AI6313">
        <v>113.38735055530201</v>
      </c>
      <c r="AJ6313">
        <v>77.863419073990499</v>
      </c>
      <c r="AK6313">
        <v>0.549999507999132</v>
      </c>
      <c r="AL6313">
        <v>90.660747838637604</v>
      </c>
      <c r="AM6313">
        <v>90.038949386589493</v>
      </c>
      <c r="AN6313">
        <v>1.0000000264203801</v>
      </c>
    </row>
    <row r="6314" spans="1:40" x14ac:dyDescent="0.25">
      <c r="A6314" t="str">
        <f>"20190312154422662"</f>
        <v>20190312154422662</v>
      </c>
      <c r="B6314" t="str">
        <f>"1552376662653434"</f>
        <v>1552376662653434</v>
      </c>
      <c r="C6314" t="s">
        <v>40</v>
      </c>
      <c r="D6314">
        <v>5.0336100000000004</v>
      </c>
      <c r="E6314">
        <v>0.56162009999999996</v>
      </c>
      <c r="F6314" t="s">
        <v>41</v>
      </c>
      <c r="G6314">
        <v>-301.33420000000001</v>
      </c>
      <c r="H6314">
        <v>0.89486710000000003</v>
      </c>
      <c r="I6314">
        <v>-35.222859999999997</v>
      </c>
      <c r="J6314">
        <v>-301.262</v>
      </c>
      <c r="K6314">
        <v>1.1118239999999999</v>
      </c>
      <c r="L6314">
        <v>-34.66187</v>
      </c>
      <c r="M6314">
        <v>8.6891430000000006E-2</v>
      </c>
      <c r="N6314">
        <v>0</v>
      </c>
      <c r="O6314">
        <v>-0.9961276</v>
      </c>
      <c r="P6314">
        <v>8.909251E-2</v>
      </c>
      <c r="Q6314">
        <v>-2.5442380000000001E-2</v>
      </c>
      <c r="R6314">
        <v>-0.99569839999999998</v>
      </c>
      <c r="S6314">
        <v>-0.22531129999999999</v>
      </c>
      <c r="T6314">
        <v>-0.89617440000000004</v>
      </c>
      <c r="U6314">
        <v>-3.008575</v>
      </c>
      <c r="V6314">
        <v>-2.190731E-3</v>
      </c>
      <c r="W6314">
        <v>-1.2042020000000001E-2</v>
      </c>
      <c r="X6314">
        <v>0.99992510000000001</v>
      </c>
      <c r="Y6314">
        <v>0.1579943</v>
      </c>
      <c r="Z6314">
        <v>0.28170479999999998</v>
      </c>
      <c r="AA6314">
        <v>0.94640380000000002</v>
      </c>
      <c r="AB6314">
        <v>18</v>
      </c>
      <c r="AC6314">
        <v>-7.2200000000009298E-2</v>
      </c>
      <c r="AD6314">
        <v>-0.21695689999999901</v>
      </c>
      <c r="AE6314">
        <v>-0.56098999999999599</v>
      </c>
      <c r="AF6314">
        <v>0.10519858392649201</v>
      </c>
      <c r="AG6314">
        <v>-0.21695689999999901</v>
      </c>
      <c r="AH6314">
        <v>0.48171836400212997</v>
      </c>
      <c r="AI6314">
        <v>113.75003190838299</v>
      </c>
      <c r="AJ6314">
        <v>77.681040314447998</v>
      </c>
      <c r="AK6314">
        <v>0.53869251037548105</v>
      </c>
      <c r="AL6314">
        <v>90.689973593807906</v>
      </c>
      <c r="AM6314">
        <v>90.125528841626902</v>
      </c>
      <c r="AN6314">
        <v>1.0000000075790001</v>
      </c>
    </row>
    <row r="6315" spans="1:40" x14ac:dyDescent="0.25">
      <c r="A6315" t="str">
        <f>"20190312154422685"</f>
        <v>20190312154422685</v>
      </c>
      <c r="B6315" t="str">
        <f>"1552376662673930"</f>
        <v>1552376662673930</v>
      </c>
      <c r="C6315" t="s">
        <v>40</v>
      </c>
      <c r="D6315">
        <v>5.0225809999999997</v>
      </c>
      <c r="E6315">
        <v>0.5620714</v>
      </c>
      <c r="F6315" t="s">
        <v>41</v>
      </c>
      <c r="G6315">
        <v>-301.31369999999998</v>
      </c>
      <c r="H6315">
        <v>0.89757369999999903</v>
      </c>
      <c r="I6315">
        <v>-35.379240000000003</v>
      </c>
      <c r="J6315">
        <v>-301.24250000000001</v>
      </c>
      <c r="K6315">
        <v>1.1118300000000001</v>
      </c>
      <c r="L6315">
        <v>-34.844270000000002</v>
      </c>
      <c r="M6315">
        <v>8.9867719999999998E-2</v>
      </c>
      <c r="N6315">
        <v>0</v>
      </c>
      <c r="O6315">
        <v>-0.99586370000000002</v>
      </c>
      <c r="P6315">
        <v>9.3664440000000002E-2</v>
      </c>
      <c r="Q6315">
        <v>-2.5639820000000001E-2</v>
      </c>
      <c r="R6315">
        <v>-0.99527379999999999</v>
      </c>
      <c r="S6315">
        <v>-0.2161865</v>
      </c>
      <c r="T6315">
        <v>-0.89911529999999995</v>
      </c>
      <c r="U6315">
        <v>-3.0093380000000001</v>
      </c>
      <c r="V6315">
        <v>-3.794202E-3</v>
      </c>
      <c r="W6315">
        <v>-1.224651E-2</v>
      </c>
      <c r="X6315">
        <v>0.99991779999999997</v>
      </c>
      <c r="Y6315">
        <v>0.158054799999999</v>
      </c>
      <c r="Z6315">
        <v>0.28240399999999999</v>
      </c>
      <c r="AA6315">
        <v>0.94618530000000001</v>
      </c>
      <c r="AB6315">
        <v>18</v>
      </c>
      <c r="AC6315">
        <v>-7.1199999999976102E-2</v>
      </c>
      <c r="AD6315">
        <v>-0.21425630000000001</v>
      </c>
      <c r="AE6315">
        <v>-0.53497000000000094</v>
      </c>
      <c r="AF6315">
        <v>0.102791726500925</v>
      </c>
      <c r="AG6315">
        <v>-0.21425630000000001</v>
      </c>
      <c r="AH6315">
        <v>0.45473515357238298</v>
      </c>
      <c r="AI6315">
        <v>114.682188042287</v>
      </c>
      <c r="AJ6315">
        <v>77.262506154239404</v>
      </c>
      <c r="AK6315">
        <v>0.51308475033003098</v>
      </c>
      <c r="AL6315">
        <v>90.701690884203998</v>
      </c>
      <c r="AM6315">
        <v>90.217408588855207</v>
      </c>
      <c r="AN6315">
        <v>0.99999998986641803</v>
      </c>
    </row>
    <row r="6316" spans="1:40" x14ac:dyDescent="0.25">
      <c r="A6316" t="str">
        <f>"20190312154422711"</f>
        <v>20190312154422711</v>
      </c>
      <c r="B6316" t="str">
        <f>"1552376662704186"</f>
        <v>1552376662704186</v>
      </c>
      <c r="C6316" t="s">
        <v>40</v>
      </c>
      <c r="D6316">
        <v>5.0882379999999996</v>
      </c>
      <c r="E6316">
        <v>0.56264599999999998</v>
      </c>
      <c r="F6316" t="s">
        <v>41</v>
      </c>
      <c r="G6316">
        <v>-301.28960000000001</v>
      </c>
      <c r="H6316">
        <v>0.90436859999999997</v>
      </c>
      <c r="I6316">
        <v>-35.536769999999997</v>
      </c>
      <c r="J6316">
        <v>-301.22129999999999</v>
      </c>
      <c r="K6316">
        <v>1.111845</v>
      </c>
      <c r="L6316">
        <v>-35.036189999999998</v>
      </c>
      <c r="M6316">
        <v>9.3042509999999995E-2</v>
      </c>
      <c r="N6316">
        <v>0</v>
      </c>
      <c r="O6316">
        <v>-0.99557200000000001</v>
      </c>
      <c r="P6316">
        <v>9.9165939999999994E-2</v>
      </c>
      <c r="Q6316">
        <v>-2.5062879999999999E-2</v>
      </c>
      <c r="R6316">
        <v>-0.99475559999999996</v>
      </c>
      <c r="S6316">
        <v>-0.20373540000000001</v>
      </c>
      <c r="T6316">
        <v>-0.90214059999999996</v>
      </c>
      <c r="U6316">
        <v>-3.0101619999999998</v>
      </c>
      <c r="V6316">
        <v>-6.1343559999999997E-3</v>
      </c>
      <c r="W6316">
        <v>-1.1678640000000001E-2</v>
      </c>
      <c r="X6316">
        <v>0.99991300000000005</v>
      </c>
      <c r="Y6316">
        <v>0.157272</v>
      </c>
      <c r="Z6316">
        <v>0.28313719999999998</v>
      </c>
      <c r="AA6316">
        <v>0.94609659999999995</v>
      </c>
      <c r="AB6316">
        <v>18</v>
      </c>
      <c r="AC6316">
        <v>-6.8300000000021996E-2</v>
      </c>
      <c r="AD6316">
        <v>-0.20747640000000001</v>
      </c>
      <c r="AE6316">
        <v>-0.50057999999999903</v>
      </c>
      <c r="AF6316">
        <v>9.8047593942683697E-2</v>
      </c>
      <c r="AG6316">
        <v>-0.20747640000000001</v>
      </c>
      <c r="AH6316">
        <v>0.42104467702954401</v>
      </c>
      <c r="AI6316">
        <v>115.63751484239999</v>
      </c>
      <c r="AJ6316">
        <v>76.891296012955493</v>
      </c>
      <c r="AK6316">
        <v>0.47951893319223798</v>
      </c>
      <c r="AL6316">
        <v>90.669151984506897</v>
      </c>
      <c r="AM6316">
        <v>90.351498879888396</v>
      </c>
      <c r="AN6316">
        <v>1.0000000142623899</v>
      </c>
    </row>
    <row r="6317" spans="1:40" x14ac:dyDescent="0.25">
      <c r="A6317" t="str">
        <f>"20190312154422736"</f>
        <v>20190312154422736</v>
      </c>
      <c r="B6317" t="str">
        <f>"1552376662723706"</f>
        <v>1552376662723706</v>
      </c>
      <c r="C6317" t="s">
        <v>40</v>
      </c>
      <c r="D6317">
        <v>5.0717210000000001</v>
      </c>
      <c r="E6317">
        <v>0.56307069999999904</v>
      </c>
      <c r="F6317" t="s">
        <v>41</v>
      </c>
      <c r="G6317">
        <v>-301.27179999999998</v>
      </c>
      <c r="H6317">
        <v>0.87223390000000001</v>
      </c>
      <c r="I6317">
        <v>-35.835009999999997</v>
      </c>
      <c r="J6317">
        <v>-301.19880000000001</v>
      </c>
      <c r="K6317">
        <v>1.111866</v>
      </c>
      <c r="L6317">
        <v>-35.232729999999997</v>
      </c>
      <c r="M6317">
        <v>9.6358020000000003E-2</v>
      </c>
      <c r="N6317">
        <v>0</v>
      </c>
      <c r="O6317">
        <v>-0.99525660000000005</v>
      </c>
      <c r="P6317">
        <v>0.1055846</v>
      </c>
      <c r="Q6317">
        <v>-2.5624839999999999E-2</v>
      </c>
      <c r="R6317">
        <v>-0.99408039999999998</v>
      </c>
      <c r="S6317">
        <v>-0.1900635</v>
      </c>
      <c r="T6317">
        <v>-0.90376970000000001</v>
      </c>
      <c r="U6317">
        <v>-3.0119929999999999</v>
      </c>
      <c r="V6317">
        <v>-9.2558399999999996E-3</v>
      </c>
      <c r="W6317">
        <v>-1.225263E-2</v>
      </c>
      <c r="X6317">
        <v>0.9998821</v>
      </c>
      <c r="Y6317">
        <v>0.15623890000000001</v>
      </c>
      <c r="Z6317">
        <v>0.2833772</v>
      </c>
      <c r="AA6317">
        <v>0.94619600000000004</v>
      </c>
      <c r="AB6317">
        <v>18</v>
      </c>
      <c r="AC6317">
        <v>-7.2999999999978998E-2</v>
      </c>
      <c r="AD6317">
        <v>-0.23963209999999999</v>
      </c>
      <c r="AE6317">
        <v>-0.60228000000000004</v>
      </c>
      <c r="AF6317">
        <v>0.113061034463634</v>
      </c>
      <c r="AG6317">
        <v>-0.23963209999999999</v>
      </c>
      <c r="AH6317">
        <v>0.51248768967314295</v>
      </c>
      <c r="AI6317">
        <v>114.541752091842</v>
      </c>
      <c r="AJ6317">
        <v>77.559128861348299</v>
      </c>
      <c r="AK6317">
        <v>0.57693151493995598</v>
      </c>
      <c r="AL6317">
        <v>90.7020415495669</v>
      </c>
      <c r="AM6317">
        <v>90.530367951147696</v>
      </c>
      <c r="AN6317">
        <v>1.0000000057082099</v>
      </c>
    </row>
    <row r="6318" spans="1:40" x14ac:dyDescent="0.25">
      <c r="A6318" t="str">
        <f>"20190312154422759"</f>
        <v>20190312154422759</v>
      </c>
      <c r="B6318" t="str">
        <f>"1552376662753962"</f>
        <v>1552376662753962</v>
      </c>
      <c r="C6318" t="s">
        <v>40</v>
      </c>
      <c r="D6318">
        <v>5.0653920000000001</v>
      </c>
      <c r="E6318">
        <v>0.56359709999999996</v>
      </c>
      <c r="F6318" t="s">
        <v>41</v>
      </c>
      <c r="G6318">
        <v>-301.24279999999999</v>
      </c>
      <c r="H6318">
        <v>0.88296629999999998</v>
      </c>
      <c r="I6318">
        <v>-35.992709999999903</v>
      </c>
      <c r="J6318">
        <v>-301.17750000000001</v>
      </c>
      <c r="K6318">
        <v>1.1118950000000001</v>
      </c>
      <c r="L6318">
        <v>-35.413939999999997</v>
      </c>
      <c r="M6318">
        <v>9.9471050000000005E-2</v>
      </c>
      <c r="N6318">
        <v>0</v>
      </c>
      <c r="O6318">
        <v>-0.99495020000000001</v>
      </c>
      <c r="P6318">
        <v>0.1126433</v>
      </c>
      <c r="Q6318">
        <v>-2.644233E-2</v>
      </c>
      <c r="R6318">
        <v>-0.99328360000000004</v>
      </c>
      <c r="S6318">
        <v>-0.17376710000000001</v>
      </c>
      <c r="T6318">
        <v>-0.90780450000000001</v>
      </c>
      <c r="U6318">
        <v>-3.0129090000000001</v>
      </c>
      <c r="V6318">
        <v>-1.322768E-2</v>
      </c>
      <c r="W6318">
        <v>-1.308555E-2</v>
      </c>
      <c r="X6318">
        <v>0.99982689999999996</v>
      </c>
      <c r="Y6318">
        <v>0.15419099999999999</v>
      </c>
      <c r="Z6318">
        <v>0.2844177</v>
      </c>
      <c r="AA6318">
        <v>0.9462197</v>
      </c>
      <c r="AB6318">
        <v>18</v>
      </c>
      <c r="AC6318">
        <v>-6.5299999999979194E-2</v>
      </c>
      <c r="AD6318">
        <v>-0.22892870000000001</v>
      </c>
      <c r="AE6318">
        <v>-0.57876999999999101</v>
      </c>
      <c r="AF6318">
        <v>0.10615277591378</v>
      </c>
      <c r="AG6318">
        <v>-0.22892870000000001</v>
      </c>
      <c r="AH6318">
        <v>0.49320821703677797</v>
      </c>
      <c r="AI6318">
        <v>114.40717888565401</v>
      </c>
      <c r="AJ6318">
        <v>77.853572226187396</v>
      </c>
      <c r="AK6318">
        <v>0.55401363419187499</v>
      </c>
      <c r="AL6318">
        <v>90.749768173572704</v>
      </c>
      <c r="AM6318">
        <v>90.757977228875603</v>
      </c>
      <c r="AN6318">
        <v>1.00000001655029</v>
      </c>
    </row>
    <row r="6319" spans="1:40" x14ac:dyDescent="0.25">
      <c r="A6319" t="str">
        <f>"20190312154422778"</f>
        <v>20190312154422778</v>
      </c>
      <c r="B6319" t="str">
        <f>"1552376662763723"</f>
        <v>1552376662763723</v>
      </c>
      <c r="C6319" t="s">
        <v>40</v>
      </c>
      <c r="D6319">
        <v>5.0726930000000001</v>
      </c>
      <c r="E6319">
        <v>0.56375629999999999</v>
      </c>
      <c r="F6319" t="s">
        <v>41</v>
      </c>
      <c r="G6319">
        <v>-301.21600000000001</v>
      </c>
      <c r="H6319">
        <v>0.88957140000000001</v>
      </c>
      <c r="I6319">
        <v>-36.148699999999998</v>
      </c>
      <c r="J6319">
        <v>-301.1601</v>
      </c>
      <c r="K6319">
        <v>1.1119209999999999</v>
      </c>
      <c r="L6319">
        <v>-35.557740000000003</v>
      </c>
      <c r="M6319">
        <v>0.1019935</v>
      </c>
      <c r="N6319">
        <v>0</v>
      </c>
      <c r="O6319">
        <v>-0.99469490000000005</v>
      </c>
      <c r="P6319">
        <v>0.1190142</v>
      </c>
      <c r="Q6319">
        <v>-2.6601119999999999E-2</v>
      </c>
      <c r="R6319">
        <v>-0.99253659999999999</v>
      </c>
      <c r="S6319">
        <v>-0.15670780000000001</v>
      </c>
      <c r="T6319">
        <v>-0.91237290000000004</v>
      </c>
      <c r="U6319">
        <v>-3.013763</v>
      </c>
      <c r="V6319">
        <v>-1.7105450000000001E-2</v>
      </c>
      <c r="W6319">
        <v>-1.325959E-2</v>
      </c>
      <c r="X6319">
        <v>0.99976580000000004</v>
      </c>
      <c r="Y6319">
        <v>0.1513195</v>
      </c>
      <c r="Z6319">
        <v>0.28565200000000002</v>
      </c>
      <c r="AA6319">
        <v>0.94631140000000002</v>
      </c>
      <c r="AB6319">
        <v>17</v>
      </c>
      <c r="AC6319">
        <v>-5.59000000000082E-2</v>
      </c>
      <c r="AD6319">
        <v>-0.22234959999999901</v>
      </c>
      <c r="AE6319">
        <v>-0.59095999999999504</v>
      </c>
      <c r="AF6319">
        <v>0.101628453297351</v>
      </c>
      <c r="AG6319">
        <v>-0.22234959999999901</v>
      </c>
      <c r="AH6319">
        <v>0.51054169214164702</v>
      </c>
      <c r="AI6319">
        <v>113.12910224569499</v>
      </c>
      <c r="AJ6319">
        <v>78.741860847735097</v>
      </c>
      <c r="AK6319">
        <v>0.56605698172059304</v>
      </c>
      <c r="AL6319">
        <v>90.759740782875397</v>
      </c>
      <c r="AM6319">
        <v>90.980204039128907</v>
      </c>
      <c r="AN6319">
        <v>1.0000000339981501</v>
      </c>
    </row>
    <row r="6320" spans="1:40" x14ac:dyDescent="0.25">
      <c r="A6320" t="str">
        <f>"20190312154422796"</f>
        <v>20190312154422796</v>
      </c>
      <c r="B6320" t="str">
        <f>"1552376662784218"</f>
        <v>1552376662784218</v>
      </c>
      <c r="C6320" t="s">
        <v>40</v>
      </c>
      <c r="D6320">
        <v>5.0820559999999997</v>
      </c>
      <c r="E6320">
        <v>0.56397180000000002</v>
      </c>
      <c r="F6320" t="s">
        <v>41</v>
      </c>
      <c r="G6320">
        <v>-301.19479999999999</v>
      </c>
      <c r="H6320">
        <v>0.886939899999999</v>
      </c>
      <c r="I6320">
        <v>-36.301270000000002</v>
      </c>
      <c r="J6320">
        <v>-301.14139999999998</v>
      </c>
      <c r="K6320">
        <v>1.1119619999999999</v>
      </c>
      <c r="L6320">
        <v>-35.708069999999999</v>
      </c>
      <c r="M6320">
        <v>0.104691699999999</v>
      </c>
      <c r="N6320">
        <v>0</v>
      </c>
      <c r="O6320">
        <v>-0.99441429999999997</v>
      </c>
      <c r="P6320">
        <v>0.12432360000000001</v>
      </c>
      <c r="Q6320">
        <v>-2.6594219999999998E-2</v>
      </c>
      <c r="R6320">
        <v>-0.99188529999999997</v>
      </c>
      <c r="S6320">
        <v>-0.13974</v>
      </c>
      <c r="T6320">
        <v>-0.91281749999999995</v>
      </c>
      <c r="U6320">
        <v>-3.0148320000000002</v>
      </c>
      <c r="V6320">
        <v>-1.97412E-2</v>
      </c>
      <c r="W6320">
        <v>-1.326368E-2</v>
      </c>
      <c r="X6320">
        <v>0.99971710000000003</v>
      </c>
      <c r="Y6320">
        <v>0.14866889999999999</v>
      </c>
      <c r="Z6320">
        <v>0.28566269999999999</v>
      </c>
      <c r="AA6320">
        <v>0.94672820000000002</v>
      </c>
      <c r="AB6320">
        <v>17</v>
      </c>
      <c r="AC6320">
        <v>-5.3400000000010502E-2</v>
      </c>
      <c r="AD6320">
        <v>-0.2250221</v>
      </c>
      <c r="AE6320">
        <v>-0.59320000000000295</v>
      </c>
      <c r="AF6320">
        <v>0.100823717013756</v>
      </c>
      <c r="AG6320">
        <v>-0.2250221</v>
      </c>
      <c r="AH6320">
        <v>0.51135783136353796</v>
      </c>
      <c r="AI6320">
        <v>113.351608273609</v>
      </c>
      <c r="AJ6320">
        <v>78.846138877737005</v>
      </c>
      <c r="AK6320">
        <v>0.56770344291513697</v>
      </c>
      <c r="AL6320">
        <v>90.759975199372704</v>
      </c>
      <c r="AM6320">
        <v>91.131260493427703</v>
      </c>
      <c r="AN6320">
        <v>0.99999996010849501</v>
      </c>
    </row>
    <row r="6321" spans="1:40" x14ac:dyDescent="0.25">
      <c r="A6321" t="str">
        <f>"20190312154422819"</f>
        <v>20190312154422819</v>
      </c>
      <c r="B6321" t="str">
        <f>"1552376662813499"</f>
        <v>1552376662813499</v>
      </c>
      <c r="C6321" t="s">
        <v>40</v>
      </c>
      <c r="D6321">
        <v>5.0434150000000004</v>
      </c>
      <c r="E6321">
        <v>0.56425609999999904</v>
      </c>
      <c r="F6321" t="s">
        <v>41</v>
      </c>
      <c r="G6321">
        <v>-301.17259999999999</v>
      </c>
      <c r="H6321">
        <v>0.88585970000000003</v>
      </c>
      <c r="I6321">
        <v>-36.454070000000002</v>
      </c>
      <c r="J6321">
        <v>-301.11950000000002</v>
      </c>
      <c r="K6321">
        <v>1.112015</v>
      </c>
      <c r="L6321">
        <v>-35.880040000000001</v>
      </c>
      <c r="M6321">
        <v>0.1078684</v>
      </c>
      <c r="N6321">
        <v>0</v>
      </c>
      <c r="O6321">
        <v>-0.99407489999999998</v>
      </c>
      <c r="P6321">
        <v>0.12916540000000001</v>
      </c>
      <c r="Q6321">
        <v>-2.5031060000000001E-2</v>
      </c>
      <c r="R6321">
        <v>-0.9913071</v>
      </c>
      <c r="S6321">
        <v>-0.1256409</v>
      </c>
      <c r="T6321">
        <v>-0.91419079999999997</v>
      </c>
      <c r="U6321">
        <v>-3.0157780000000001</v>
      </c>
      <c r="V6321">
        <v>-2.1428160000000002E-2</v>
      </c>
      <c r="W6321">
        <v>-1.1707739999999999E-2</v>
      </c>
      <c r="X6321">
        <v>0.99970190000000003</v>
      </c>
      <c r="Y6321">
        <v>0.14739240000000001</v>
      </c>
      <c r="Z6321">
        <v>0.28588449999999999</v>
      </c>
      <c r="AA6321">
        <v>0.94686090000000001</v>
      </c>
      <c r="AB6321">
        <v>17</v>
      </c>
      <c r="AC6321">
        <v>-5.30999999999721E-2</v>
      </c>
      <c r="AD6321">
        <v>-0.226155299999999</v>
      </c>
      <c r="AE6321">
        <v>-0.57403000000000004</v>
      </c>
      <c r="AF6321">
        <v>9.9415186897743896E-2</v>
      </c>
      <c r="AG6321">
        <v>-0.226155299999999</v>
      </c>
      <c r="AH6321">
        <v>0.48960116934801401</v>
      </c>
      <c r="AI6321">
        <v>114.355288754062</v>
      </c>
      <c r="AJ6321">
        <v>78.521947980506198</v>
      </c>
      <c r="AK6321">
        <v>0.54839666677592602</v>
      </c>
      <c r="AL6321">
        <v>90.670819372942105</v>
      </c>
      <c r="AM6321">
        <v>91.227921201121205</v>
      </c>
      <c r="AN6321">
        <v>1.0000000630402399</v>
      </c>
    </row>
    <row r="6322" spans="1:40" x14ac:dyDescent="0.25">
      <c r="A6322" t="str">
        <f>"20190312154422841"</f>
        <v>20190312154422841</v>
      </c>
      <c r="B6322" t="str">
        <f>"1552376662833994"</f>
        <v>1552376662833994</v>
      </c>
      <c r="C6322" t="s">
        <v>40</v>
      </c>
      <c r="D6322">
        <v>5.1135440000000001</v>
      </c>
      <c r="E6322">
        <v>0.56220800000000004</v>
      </c>
      <c r="F6322" t="s">
        <v>41</v>
      </c>
      <c r="G6322">
        <v>-301.14699999999999</v>
      </c>
      <c r="H6322">
        <v>0.89182289999999997</v>
      </c>
      <c r="I6322">
        <v>-36.60915</v>
      </c>
      <c r="J6322">
        <v>-301.0976</v>
      </c>
      <c r="K6322">
        <v>1.112088</v>
      </c>
      <c r="L6322">
        <v>-36.047089999999997</v>
      </c>
      <c r="M6322">
        <v>0.1110559</v>
      </c>
      <c r="N6322">
        <v>0</v>
      </c>
      <c r="O6322">
        <v>-0.99372380000000005</v>
      </c>
      <c r="P6322">
        <v>0.1338579</v>
      </c>
      <c r="Q6322">
        <v>-2.1910860000000001E-2</v>
      </c>
      <c r="R6322">
        <v>-0.99075849999999999</v>
      </c>
      <c r="S6322">
        <v>-0.11334230000000001</v>
      </c>
      <c r="T6322">
        <v>-0.91163280000000002</v>
      </c>
      <c r="U6322">
        <v>-3.0180660000000001</v>
      </c>
      <c r="V6322">
        <v>-2.2957149999999999E-2</v>
      </c>
      <c r="W6322">
        <v>-8.5937889999999992E-3</v>
      </c>
      <c r="X6322">
        <v>0.99969949999999996</v>
      </c>
      <c r="Y6322">
        <v>0.14669209999999999</v>
      </c>
      <c r="Z6322">
        <v>0.2848405</v>
      </c>
      <c r="AA6322">
        <v>0.94728420000000002</v>
      </c>
      <c r="AB6322">
        <v>17</v>
      </c>
      <c r="AC6322">
        <v>-4.9399999999991402E-2</v>
      </c>
      <c r="AD6322">
        <v>-0.22026509999999999</v>
      </c>
      <c r="AE6322">
        <v>-0.56205999999999501</v>
      </c>
      <c r="AF6322">
        <v>9.6772023776570903E-2</v>
      </c>
      <c r="AG6322">
        <v>-0.22026509999999999</v>
      </c>
      <c r="AH6322">
        <v>0.47995145649403997</v>
      </c>
      <c r="AI6322">
        <v>114.22195223465501</v>
      </c>
      <c r="AJ6322">
        <v>78.600363121198001</v>
      </c>
      <c r="AK6322">
        <v>0.53687516189014906</v>
      </c>
      <c r="AL6322">
        <v>90.492393907005194</v>
      </c>
      <c r="AM6322">
        <v>91.315511973947807</v>
      </c>
      <c r="AN6322">
        <v>0.99999998712287397</v>
      </c>
    </row>
    <row r="6323" spans="1:40" x14ac:dyDescent="0.25">
      <c r="A6323" t="str">
        <f>"20190312154422864"</f>
        <v>20190312154422864</v>
      </c>
      <c r="B6323" t="str">
        <f>"1552376662853514"</f>
        <v>1552376662853514</v>
      </c>
      <c r="C6323" t="s">
        <v>40</v>
      </c>
      <c r="D6323">
        <v>5.058173</v>
      </c>
      <c r="E6323">
        <v>0.48180309999999998</v>
      </c>
      <c r="F6323" t="s">
        <v>41</v>
      </c>
      <c r="G6323">
        <v>-301.11759999999998</v>
      </c>
      <c r="H6323">
        <v>0.90011790000000003</v>
      </c>
      <c r="I6323">
        <v>-36.764429999999997</v>
      </c>
      <c r="J6323">
        <v>-301.07380000000001</v>
      </c>
      <c r="K6323">
        <v>1.112174</v>
      </c>
      <c r="L6323">
        <v>-36.223239999999997</v>
      </c>
      <c r="M6323">
        <v>0.1145369</v>
      </c>
      <c r="N6323">
        <v>0</v>
      </c>
      <c r="O6323">
        <v>-0.99332849999999995</v>
      </c>
      <c r="P6323">
        <v>0.13842489999999999</v>
      </c>
      <c r="Q6323">
        <v>-1.854834E-2</v>
      </c>
      <c r="R6323">
        <v>-0.99019939999999995</v>
      </c>
      <c r="S6323">
        <v>-8.3160399999999995E-2</v>
      </c>
      <c r="T6323">
        <v>-0.89284929999999996</v>
      </c>
      <c r="U6323">
        <v>-3.0194700000000001</v>
      </c>
      <c r="V6323">
        <v>-2.4067910000000001E-2</v>
      </c>
      <c r="W6323">
        <v>-5.2358609999999996E-3</v>
      </c>
      <c r="X6323">
        <v>0.99969660000000005</v>
      </c>
      <c r="Y6323">
        <v>0.14072579999999901</v>
      </c>
      <c r="Z6323">
        <v>0.27932970000000001</v>
      </c>
      <c r="AA6323">
        <v>0.94982690000000003</v>
      </c>
      <c r="AB6323">
        <v>17</v>
      </c>
      <c r="AC6323">
        <v>-4.3799999999975997E-2</v>
      </c>
      <c r="AD6323">
        <v>-0.2120561</v>
      </c>
      <c r="AE6323">
        <v>-0.54118999999999295</v>
      </c>
      <c r="AF6323">
        <v>9.1540465938361598E-2</v>
      </c>
      <c r="AG6323">
        <v>-0.2120561</v>
      </c>
      <c r="AH6323">
        <v>0.46212139809196301</v>
      </c>
      <c r="AI6323">
        <v>114.233894087167</v>
      </c>
      <c r="AJ6323">
        <v>78.795470582070706</v>
      </c>
      <c r="AK6323">
        <v>0.51662717023584104</v>
      </c>
      <c r="AL6323">
        <v>90.299994112525198</v>
      </c>
      <c r="AM6323">
        <v>91.379141760793601</v>
      </c>
      <c r="AN6323">
        <v>0.99999998529186895</v>
      </c>
    </row>
    <row r="6324" spans="1:40" x14ac:dyDescent="0.25">
      <c r="A6324" t="str">
        <f>"20190312154422885"</f>
        <v>20190312154422885</v>
      </c>
      <c r="B6324" t="str">
        <f>"1552376662874010"</f>
        <v>1552376662874010</v>
      </c>
      <c r="C6324" t="s">
        <v>40</v>
      </c>
      <c r="D6324">
        <v>4.8688969999999996</v>
      </c>
      <c r="E6324">
        <v>0.45939600000000003</v>
      </c>
      <c r="F6324" t="s">
        <v>41</v>
      </c>
      <c r="G6324">
        <v>-300.935</v>
      </c>
      <c r="H6324">
        <v>0.99797069999999999</v>
      </c>
      <c r="I6324">
        <v>-36.949359999999999</v>
      </c>
      <c r="J6324">
        <v>-301.05189999999999</v>
      </c>
      <c r="K6324">
        <v>1.1122559999999999</v>
      </c>
      <c r="L6324">
        <v>-36.379640000000002</v>
      </c>
      <c r="M6324">
        <v>0.1177491</v>
      </c>
      <c r="N6324">
        <v>0</v>
      </c>
      <c r="O6324">
        <v>-0.99295290000000003</v>
      </c>
      <c r="P6324">
        <v>0.14232330000000001</v>
      </c>
      <c r="Q6324">
        <v>-1.7382689999999999E-2</v>
      </c>
      <c r="R6324">
        <v>-0.98966779999999999</v>
      </c>
      <c r="S6324">
        <v>0.56231690000000001</v>
      </c>
      <c r="T6324">
        <v>-0.46280569999999999</v>
      </c>
      <c r="U6324">
        <v>-2.9424130000000002</v>
      </c>
      <c r="V6324">
        <v>-2.4773070000000001E-2</v>
      </c>
      <c r="W6324">
        <v>-4.0733699999999998E-3</v>
      </c>
      <c r="X6324">
        <v>0.99968480000000004</v>
      </c>
      <c r="Y6324">
        <v>-6.8535730000000003E-2</v>
      </c>
      <c r="Z6324">
        <v>0.15225129999999901</v>
      </c>
      <c r="AA6324">
        <v>0.98596269999999997</v>
      </c>
      <c r="AB6324">
        <v>17</v>
      </c>
      <c r="AC6324">
        <v>0.116899999999986</v>
      </c>
      <c r="AD6324">
        <v>-0.11428529999999899</v>
      </c>
      <c r="AE6324">
        <v>-0.56971999999999601</v>
      </c>
      <c r="AF6324">
        <v>-4.7174954177047701E-2</v>
      </c>
      <c r="AG6324">
        <v>-0.11428529999999899</v>
      </c>
      <c r="AH6324">
        <v>0.55797623857933898</v>
      </c>
      <c r="AI6324">
        <v>101.535242965432</v>
      </c>
      <c r="AJ6324">
        <v>94.832666326319497</v>
      </c>
      <c r="AK6324">
        <v>0.57151035766365998</v>
      </c>
      <c r="AL6324">
        <v>90.233387555191996</v>
      </c>
      <c r="AM6324">
        <v>91.419549359687807</v>
      </c>
      <c r="AN6324">
        <v>0.99999999834570996</v>
      </c>
    </row>
    <row r="6325" spans="1:40" x14ac:dyDescent="0.25">
      <c r="A6325" t="str">
        <f>"20190312154422912"</f>
        <v>20190312154422912</v>
      </c>
      <c r="B6325" t="str">
        <f>"1552376662904265"</f>
        <v>1552376662904265</v>
      </c>
      <c r="C6325" t="s">
        <v>40</v>
      </c>
      <c r="D6325">
        <v>5.2023809999999999</v>
      </c>
      <c r="E6325">
        <v>0.40163720000000003</v>
      </c>
      <c r="F6325" t="s">
        <v>70</v>
      </c>
      <c r="G6325">
        <v>-298.9529</v>
      </c>
      <c r="H6325" s="1">
        <v>-2.9099089999999999E-6</v>
      </c>
      <c r="I6325">
        <v>-44.543509999999998</v>
      </c>
      <c r="J6325">
        <v>-301.0231</v>
      </c>
      <c r="K6325">
        <v>1.1123590000000001</v>
      </c>
      <c r="L6325">
        <v>-36.579099999999997</v>
      </c>
      <c r="M6325">
        <v>0.1220362</v>
      </c>
      <c r="N6325">
        <v>0</v>
      </c>
      <c r="O6325">
        <v>-0.99243479999999995</v>
      </c>
      <c r="P6325">
        <v>0.14617639999999901</v>
      </c>
      <c r="Q6325">
        <v>-1.734084E-2</v>
      </c>
      <c r="R6325">
        <v>-0.98910670000000001</v>
      </c>
      <c r="S6325">
        <v>0.74987789999999999</v>
      </c>
      <c r="T6325">
        <v>-0.39734940000000002</v>
      </c>
      <c r="U6325">
        <v>-2.9165040000000002</v>
      </c>
      <c r="V6325">
        <v>-2.434834E-2</v>
      </c>
      <c r="W6325">
        <v>-4.0289760000000001E-3</v>
      </c>
      <c r="X6325">
        <v>0.99969540000000001</v>
      </c>
      <c r="Y6325">
        <v>-0.12679840000000001</v>
      </c>
      <c r="Z6325">
        <v>0.13086739999999999</v>
      </c>
      <c r="AA6325">
        <v>0.98325779999999996</v>
      </c>
      <c r="AB6325">
        <v>17</v>
      </c>
      <c r="AC6325">
        <v>2.0701999999999998</v>
      </c>
      <c r="AD6325">
        <v>-1.1123619099089901</v>
      </c>
      <c r="AE6325">
        <v>-7.96441</v>
      </c>
      <c r="AF6325">
        <v>-1.06326168332743</v>
      </c>
      <c r="AG6325">
        <v>-1.1123619099089901</v>
      </c>
      <c r="AH6325">
        <v>8.0111511649539597</v>
      </c>
      <c r="AI6325">
        <v>97.837210916360206</v>
      </c>
      <c r="AJ6325">
        <v>97.560265527628502</v>
      </c>
      <c r="AK6325">
        <v>8.1575987529169307</v>
      </c>
      <c r="AL6325">
        <v>90.230843948895696</v>
      </c>
      <c r="AM6325">
        <v>91.395206347460004</v>
      </c>
      <c r="AN6325">
        <v>0.99999998354476105</v>
      </c>
    </row>
    <row r="6326" spans="1:40" x14ac:dyDescent="0.25">
      <c r="A6326" t="str">
        <f>"20190312154422935"</f>
        <v>20190312154422935</v>
      </c>
      <c r="B6326" t="str">
        <f>"1552376662923788"</f>
        <v>1552376662923788</v>
      </c>
      <c r="C6326" t="s">
        <v>40</v>
      </c>
      <c r="D6326">
        <v>4.9905189999999999</v>
      </c>
      <c r="E6326">
        <v>0.40040809999999999</v>
      </c>
      <c r="F6326" t="s">
        <v>70</v>
      </c>
      <c r="G6326">
        <v>-296.13659999999999</v>
      </c>
      <c r="H6326" s="1">
        <v>-5.3692639999999901E-6</v>
      </c>
      <c r="I6326">
        <v>-48.024189999999997</v>
      </c>
      <c r="J6326">
        <v>-300.99619999999999</v>
      </c>
      <c r="K6326">
        <v>1.1124540000000001</v>
      </c>
      <c r="L6326">
        <v>-36.758580000000002</v>
      </c>
      <c r="M6326">
        <v>0.1260819</v>
      </c>
      <c r="N6326">
        <v>0</v>
      </c>
      <c r="O6326">
        <v>-0.99192899999999995</v>
      </c>
      <c r="P6326">
        <v>0.14951249999999999</v>
      </c>
      <c r="Q6326">
        <v>-1.6105660000000001E-2</v>
      </c>
      <c r="R6326">
        <v>-0.98862870000000003</v>
      </c>
      <c r="S6326">
        <v>1.216156</v>
      </c>
      <c r="T6326">
        <v>-0.27684500000000001</v>
      </c>
      <c r="U6326">
        <v>-2.8484500000000001</v>
      </c>
      <c r="V6326">
        <v>-2.364722E-2</v>
      </c>
      <c r="W6326">
        <v>-2.78838E-3</v>
      </c>
      <c r="X6326">
        <v>0.99971650000000001</v>
      </c>
      <c r="Y6326">
        <v>-0.27196939999999997</v>
      </c>
      <c r="Z6326">
        <v>8.9881959999999997E-2</v>
      </c>
      <c r="AA6326">
        <v>0.95809909999999998</v>
      </c>
      <c r="AB6326">
        <v>17</v>
      </c>
      <c r="AC6326">
        <v>4.8596000000000004</v>
      </c>
      <c r="AD6326">
        <v>-1.1124593692639999</v>
      </c>
      <c r="AE6326">
        <v>-11.265610000000001</v>
      </c>
      <c r="AF6326">
        <v>-3.3725678039336202</v>
      </c>
      <c r="AG6326">
        <v>-1.1124593692639999</v>
      </c>
      <c r="AH6326">
        <v>11.692327738818401</v>
      </c>
      <c r="AI6326">
        <v>95.223314462722797</v>
      </c>
      <c r="AJ6326">
        <v>106.089825420842</v>
      </c>
      <c r="AK6326">
        <v>12.219750709091199</v>
      </c>
      <c r="AL6326">
        <v>90.159762608996104</v>
      </c>
      <c r="AM6326">
        <v>91.355017445529697</v>
      </c>
      <c r="AN6326">
        <v>1.0000000232245001</v>
      </c>
    </row>
    <row r="6327" spans="1:40" x14ac:dyDescent="0.25">
      <c r="A6327" t="str">
        <f>"20190312154422956"</f>
        <v>20190312154422956</v>
      </c>
      <c r="B6327" t="str">
        <f>"1552376662954042"</f>
        <v>1552376662954042</v>
      </c>
      <c r="C6327" t="s">
        <v>40</v>
      </c>
      <c r="D6327">
        <v>4.9025749999999997</v>
      </c>
      <c r="E6327">
        <v>0.40094730000000001</v>
      </c>
      <c r="F6327" t="s">
        <v>70</v>
      </c>
      <c r="G6327">
        <v>-296.61380000000003</v>
      </c>
      <c r="H6327" s="1">
        <v>-4.6601889999999998E-6</v>
      </c>
      <c r="I6327">
        <v>-46.840249999999997</v>
      </c>
      <c r="J6327">
        <v>-300.971</v>
      </c>
      <c r="K6327">
        <v>1.1125290000000001</v>
      </c>
      <c r="L6327">
        <v>-36.920650000000002</v>
      </c>
      <c r="M6327">
        <v>0.12986310000000001</v>
      </c>
      <c r="N6327">
        <v>0</v>
      </c>
      <c r="O6327">
        <v>-0.99144100000000002</v>
      </c>
      <c r="P6327">
        <v>0.15356939999999999</v>
      </c>
      <c r="Q6327">
        <v>-1.3620419999999999E-2</v>
      </c>
      <c r="R6327">
        <v>-0.98804429999999999</v>
      </c>
      <c r="S6327">
        <v>1.2355959999999999</v>
      </c>
      <c r="T6327">
        <v>-0.31365779999999999</v>
      </c>
      <c r="U6327">
        <v>-2.8425289999999999</v>
      </c>
      <c r="V6327">
        <v>-2.3945250000000001E-2</v>
      </c>
      <c r="W6327">
        <v>-3.0194789999999998E-4</v>
      </c>
      <c r="X6327">
        <v>0.99971319999999997</v>
      </c>
      <c r="Y6327">
        <v>-0.27409260000000002</v>
      </c>
      <c r="Z6327">
        <v>0.1016671</v>
      </c>
      <c r="AA6327">
        <v>0.95631429999999995</v>
      </c>
      <c r="AB6327">
        <v>17</v>
      </c>
      <c r="AC6327">
        <v>4.3571999999999704</v>
      </c>
      <c r="AD6327">
        <v>-1.1125336601889999</v>
      </c>
      <c r="AE6327">
        <v>-9.9195999999999902</v>
      </c>
      <c r="AF6327">
        <v>-3.0003533987766402</v>
      </c>
      <c r="AG6327">
        <v>-1.1125336601889999</v>
      </c>
      <c r="AH6327">
        <v>10.2929433598587</v>
      </c>
      <c r="AI6327">
        <v>95.924282517959497</v>
      </c>
      <c r="AJ6327">
        <v>106.25120056025401</v>
      </c>
      <c r="AK6327">
        <v>10.7788930169968</v>
      </c>
      <c r="AL6327">
        <v>90.017300341011804</v>
      </c>
      <c r="AM6327">
        <v>91.372093004271704</v>
      </c>
      <c r="AN6327">
        <v>0.99999997421216802</v>
      </c>
    </row>
    <row r="6328" spans="1:40" x14ac:dyDescent="0.25">
      <c r="A6328" t="str">
        <f>"20190312154422975"</f>
        <v>20190312154422975</v>
      </c>
      <c r="B6328" t="str">
        <f>"1552376662963802"</f>
        <v>1552376662963802</v>
      </c>
      <c r="C6328" t="s">
        <v>40</v>
      </c>
      <c r="D6328">
        <v>4.8906640000000001</v>
      </c>
      <c r="E6328">
        <v>0.40126539999999999</v>
      </c>
      <c r="F6328" t="s">
        <v>70</v>
      </c>
      <c r="G6328">
        <v>-296.68110000000001</v>
      </c>
      <c r="H6328" s="1">
        <v>-4.5819549999999997E-6</v>
      </c>
      <c r="I6328">
        <v>-46.715989999999998</v>
      </c>
      <c r="J6328">
        <v>-300.94909999999999</v>
      </c>
      <c r="K6328">
        <v>1.1125799999999999</v>
      </c>
      <c r="L6328">
        <v>-37.057920000000003</v>
      </c>
      <c r="M6328">
        <v>0.133163</v>
      </c>
      <c r="N6328">
        <v>0</v>
      </c>
      <c r="O6328">
        <v>-0.99100319999999997</v>
      </c>
      <c r="P6328">
        <v>0.15793399999999999</v>
      </c>
      <c r="Q6328">
        <v>-1.2552779999999999E-2</v>
      </c>
      <c r="R6328">
        <v>-0.98737010000000003</v>
      </c>
      <c r="S6328">
        <v>1.2431950000000001</v>
      </c>
      <c r="T6328">
        <v>-0.32240469999999999</v>
      </c>
      <c r="U6328">
        <v>-2.8386230000000001</v>
      </c>
      <c r="V6328">
        <v>-2.503878E-2</v>
      </c>
      <c r="W6328">
        <v>7.622878E-4</v>
      </c>
      <c r="X6328">
        <v>0.99968619999999997</v>
      </c>
      <c r="Y6328">
        <v>-0.27340579999999998</v>
      </c>
      <c r="Z6328">
        <v>0.1044887</v>
      </c>
      <c r="AA6328">
        <v>0.95620669999999997</v>
      </c>
      <c r="AB6328">
        <v>17</v>
      </c>
      <c r="AC6328">
        <v>4.2679999999999696</v>
      </c>
      <c r="AD6328">
        <v>-1.112584581955</v>
      </c>
      <c r="AE6328">
        <v>-9.6580700000000004</v>
      </c>
      <c r="AF6328">
        <v>-2.9114456127194202</v>
      </c>
      <c r="AG6328">
        <v>-1.112584581955</v>
      </c>
      <c r="AH6328">
        <v>10.029085829314001</v>
      </c>
      <c r="AI6328">
        <v>96.081205389640004</v>
      </c>
      <c r="AJ6328">
        <v>106.188023565211</v>
      </c>
      <c r="AK6328">
        <v>10.502234170859699</v>
      </c>
      <c r="AL6328">
        <v>89.956324122493797</v>
      </c>
      <c r="AM6328">
        <v>91.434766766208199</v>
      </c>
      <c r="AN6328">
        <v>1.0000000100285</v>
      </c>
    </row>
    <row r="6329" spans="1:40" x14ac:dyDescent="0.25">
      <c r="A6329" t="str">
        <f>"20190312154422999"</f>
        <v>20190312154422999</v>
      </c>
      <c r="B6329" t="str">
        <f>"1552376662994059"</f>
        <v>1552376662994059</v>
      </c>
      <c r="C6329" t="s">
        <v>40</v>
      </c>
      <c r="D6329">
        <v>4.9184679999999998</v>
      </c>
      <c r="E6329">
        <v>0.40185369999999998</v>
      </c>
      <c r="F6329" t="s">
        <v>70</v>
      </c>
      <c r="G6329">
        <v>-296.61799999999999</v>
      </c>
      <c r="H6329" s="1">
        <v>-4.6666009999999997E-6</v>
      </c>
      <c r="I6329">
        <v>-46.854619999999997</v>
      </c>
      <c r="J6329">
        <v>-300.91930000000002</v>
      </c>
      <c r="K6329">
        <v>1.1126400000000001</v>
      </c>
      <c r="L6329">
        <v>-37.239690000000003</v>
      </c>
      <c r="M6329">
        <v>0.13767639999999901</v>
      </c>
      <c r="N6329">
        <v>0</v>
      </c>
      <c r="O6329">
        <v>-0.99038610000000005</v>
      </c>
      <c r="P6329">
        <v>0.16351109999999999</v>
      </c>
      <c r="Q6329">
        <v>-1.373804E-2</v>
      </c>
      <c r="R6329">
        <v>-0.98644600000000005</v>
      </c>
      <c r="S6329">
        <v>1.252869</v>
      </c>
      <c r="T6329">
        <v>-0.32183400000000001</v>
      </c>
      <c r="U6329">
        <v>-2.8338619999999999</v>
      </c>
      <c r="V6329">
        <v>-2.6129429999999999E-2</v>
      </c>
      <c r="W6329">
        <v>-4.259566E-4</v>
      </c>
      <c r="X6329">
        <v>0.99965850000000001</v>
      </c>
      <c r="Y6329">
        <v>-0.27235690000000001</v>
      </c>
      <c r="Z6329">
        <v>0.1043149</v>
      </c>
      <c r="AA6329">
        <v>0.95652499999999996</v>
      </c>
      <c r="AB6329">
        <v>17</v>
      </c>
      <c r="AC6329">
        <v>4.3013000000000199</v>
      </c>
      <c r="AD6329">
        <v>-1.1126446666009999</v>
      </c>
      <c r="AE6329">
        <v>-9.6149299999999993</v>
      </c>
      <c r="AF6329">
        <v>-2.90405991521106</v>
      </c>
      <c r="AG6329">
        <v>-1.1126446666009999</v>
      </c>
      <c r="AH6329">
        <v>10.0039678619851</v>
      </c>
      <c r="AI6329">
        <v>96.096701210149007</v>
      </c>
      <c r="AJ6329">
        <v>106.187527323411</v>
      </c>
      <c r="AK6329">
        <v>10.476207096506</v>
      </c>
      <c r="AL6329">
        <v>90.024405515622504</v>
      </c>
      <c r="AM6329">
        <v>91.497276571953805</v>
      </c>
      <c r="AN6329">
        <v>1.0000000225866901</v>
      </c>
    </row>
    <row r="6330" spans="1:40" x14ac:dyDescent="0.25">
      <c r="A6330" t="str">
        <f>"20190312154423019"</f>
        <v>20190312154423019</v>
      </c>
      <c r="B6330" t="str">
        <f>"1552376663013578"</f>
        <v>1552376663013578</v>
      </c>
      <c r="C6330" t="s">
        <v>40</v>
      </c>
      <c r="D6330">
        <v>4.8896129999999998</v>
      </c>
      <c r="E6330">
        <v>0.4022657</v>
      </c>
      <c r="F6330" t="s">
        <v>70</v>
      </c>
      <c r="G6330">
        <v>-296.60019999999997</v>
      </c>
      <c r="H6330" s="1">
        <v>-4.6940119999999998E-6</v>
      </c>
      <c r="I6330">
        <v>-46.900700000000001</v>
      </c>
      <c r="J6330">
        <v>-300.89359999999999</v>
      </c>
      <c r="K6330">
        <v>1.1126879999999999</v>
      </c>
      <c r="L6330">
        <v>-37.390929999999997</v>
      </c>
      <c r="M6330">
        <v>0.14154849999999999</v>
      </c>
      <c r="N6330">
        <v>0</v>
      </c>
      <c r="O6330">
        <v>-0.98983980000000005</v>
      </c>
      <c r="P6330">
        <v>0.1684862</v>
      </c>
      <c r="Q6330">
        <v>-1.366912E-2</v>
      </c>
      <c r="R6330">
        <v>-0.98560910000000002</v>
      </c>
      <c r="S6330">
        <v>1.263916</v>
      </c>
      <c r="T6330">
        <v>-0.32560209999999901</v>
      </c>
      <c r="U6330">
        <v>-2.8271790000000001</v>
      </c>
      <c r="V6330">
        <v>-2.7263900000000001E-2</v>
      </c>
      <c r="W6330">
        <v>-3.6042700000000002E-4</v>
      </c>
      <c r="X6330">
        <v>0.99962819999999997</v>
      </c>
      <c r="Y6330">
        <v>-0.27249649999999997</v>
      </c>
      <c r="Z6330">
        <v>0.10557850000000001</v>
      </c>
      <c r="AA6330">
        <v>0.95634660000000005</v>
      </c>
      <c r="AB6330">
        <v>17</v>
      </c>
      <c r="AC6330">
        <v>4.2934000000000196</v>
      </c>
      <c r="AD6330">
        <v>-1.1126926940120001</v>
      </c>
      <c r="AE6330">
        <v>-9.5097699999999996</v>
      </c>
      <c r="AF6330">
        <v>-2.8712945523367202</v>
      </c>
      <c r="AG6330">
        <v>-1.1126926940120001</v>
      </c>
      <c r="AH6330">
        <v>9.9090925148795606</v>
      </c>
      <c r="AI6330">
        <v>96.155753704796098</v>
      </c>
      <c r="AJ6330">
        <v>106.15966548734301</v>
      </c>
      <c r="AK6330">
        <v>10.376537568284901</v>
      </c>
      <c r="AL6330">
        <v>90.020650946489596</v>
      </c>
      <c r="AM6330">
        <v>91.562300102623595</v>
      </c>
      <c r="AN6330">
        <v>0.99999999419303598</v>
      </c>
    </row>
    <row r="6331" spans="1:40" x14ac:dyDescent="0.25">
      <c r="A6331" t="str">
        <f>"20190312154423065"</f>
        <v>20190312154423065</v>
      </c>
      <c r="B6331" t="str">
        <f>"1552376663053594"</f>
        <v>1552376663053594</v>
      </c>
      <c r="C6331" t="s">
        <v>40</v>
      </c>
      <c r="D6331">
        <v>4.9286070000000004</v>
      </c>
      <c r="E6331">
        <v>0.4033138</v>
      </c>
      <c r="F6331" t="s">
        <v>70</v>
      </c>
      <c r="G6331">
        <v>-296.51339999999999</v>
      </c>
      <c r="H6331" s="1">
        <v>-4.8089720000000001E-6</v>
      </c>
      <c r="I6331">
        <v>-47.088560000000001</v>
      </c>
      <c r="J6331">
        <v>-300.83370000000002</v>
      </c>
      <c r="K6331">
        <v>1.1127959999999999</v>
      </c>
      <c r="L6331">
        <v>-37.728639999999999</v>
      </c>
      <c r="M6331">
        <v>0.1505367</v>
      </c>
      <c r="N6331">
        <v>0</v>
      </c>
      <c r="O6331">
        <v>-0.98851259999999996</v>
      </c>
      <c r="P6331">
        <v>0.17937709999999901</v>
      </c>
      <c r="Q6331">
        <v>-1.205226E-2</v>
      </c>
      <c r="R6331">
        <v>-0.98370659999999999</v>
      </c>
      <c r="S6331">
        <v>1.274384</v>
      </c>
      <c r="T6331">
        <v>-0.32372830000000002</v>
      </c>
      <c r="U6331">
        <v>-2.8214419999999998</v>
      </c>
      <c r="V6331">
        <v>-2.924291E-2</v>
      </c>
      <c r="W6331">
        <v>1.252953E-3</v>
      </c>
      <c r="X6331">
        <v>0.9995716</v>
      </c>
      <c r="Y6331">
        <v>-0.26745560000000002</v>
      </c>
      <c r="Z6331">
        <v>0.1049601</v>
      </c>
      <c r="AA6331">
        <v>0.95783660000000004</v>
      </c>
      <c r="AB6331">
        <v>17</v>
      </c>
      <c r="AC6331">
        <v>4.3203000000000298</v>
      </c>
      <c r="AD6331">
        <v>-1.1128008089719901</v>
      </c>
      <c r="AE6331">
        <v>-9.35991999999999</v>
      </c>
      <c r="AF6331">
        <v>-2.8289554782966002</v>
      </c>
      <c r="AG6331">
        <v>-1.1128008089719901</v>
      </c>
      <c r="AH6331">
        <v>9.7895903515932208</v>
      </c>
      <c r="AI6331">
        <v>96.232210983828907</v>
      </c>
      <c r="AJ6331">
        <v>106.11801837849499</v>
      </c>
      <c r="AK6331">
        <v>10.2507265103816</v>
      </c>
      <c r="AL6331">
        <v>89.928211066020793</v>
      </c>
      <c r="AM6331">
        <v>91.675735445892002</v>
      </c>
      <c r="AN6331">
        <v>1.0000000506015201</v>
      </c>
    </row>
    <row r="6332" spans="1:40" x14ac:dyDescent="0.25">
      <c r="A6332" t="str">
        <f>"20190312154423085"</f>
        <v>20190312154423085</v>
      </c>
      <c r="B6332" t="str">
        <f>"1552376663074090"</f>
        <v>1552376663074090</v>
      </c>
      <c r="C6332" t="s">
        <v>40</v>
      </c>
      <c r="D6332">
        <v>4.9241919999999997</v>
      </c>
      <c r="E6332">
        <v>0.40380120000000003</v>
      </c>
      <c r="F6332" t="s">
        <v>70</v>
      </c>
      <c r="G6332">
        <v>-296.37040000000002</v>
      </c>
      <c r="H6332" s="1">
        <v>-4.9951319999999999E-6</v>
      </c>
      <c r="I6332">
        <v>-47.391660000000002</v>
      </c>
      <c r="J6332">
        <v>-300.80459999999999</v>
      </c>
      <c r="K6332">
        <v>1.1128199999999999</v>
      </c>
      <c r="L6332">
        <v>-37.885710000000003</v>
      </c>
      <c r="M6332">
        <v>0.1548522</v>
      </c>
      <c r="N6332">
        <v>0</v>
      </c>
      <c r="O6332">
        <v>-0.98784590000000005</v>
      </c>
      <c r="P6332">
        <v>0.18518100000000001</v>
      </c>
      <c r="Q6332">
        <v>-1.3364020000000001E-2</v>
      </c>
      <c r="R6332">
        <v>-0.98261359999999998</v>
      </c>
      <c r="S6332">
        <v>1.2975460000000001</v>
      </c>
      <c r="T6332">
        <v>-0.32350299999999999</v>
      </c>
      <c r="U6332">
        <v>-2.8091430000000002</v>
      </c>
      <c r="V6332">
        <v>-3.0773379999999999E-2</v>
      </c>
      <c r="W6332" s="1">
        <v>-6.5142459999999999E-5</v>
      </c>
      <c r="X6332">
        <v>0.99952640000000004</v>
      </c>
      <c r="Y6332">
        <v>-0.2713488</v>
      </c>
      <c r="Z6332">
        <v>0.1049658</v>
      </c>
      <c r="AA6332">
        <v>0.95674029999999999</v>
      </c>
      <c r="AB6332">
        <v>17</v>
      </c>
      <c r="AC6332">
        <v>4.4341999999999704</v>
      </c>
      <c r="AD6332">
        <v>-1.112824995132</v>
      </c>
      <c r="AE6332">
        <v>-9.5059500000000003</v>
      </c>
      <c r="AF6332">
        <v>-2.8761800531574599</v>
      </c>
      <c r="AG6332">
        <v>-1.112824995132</v>
      </c>
      <c r="AH6332">
        <v>9.9658035806317997</v>
      </c>
      <c r="AI6332">
        <v>96.123591769233101</v>
      </c>
      <c r="AJ6332">
        <v>106.098400717454</v>
      </c>
      <c r="AK6332">
        <v>10.432067492865601</v>
      </c>
      <c r="AL6332">
        <v>90.003732387972704</v>
      </c>
      <c r="AM6332">
        <v>91.763463181376693</v>
      </c>
      <c r="AN6332">
        <v>1.0000000147285599</v>
      </c>
    </row>
    <row r="6333" spans="1:40" x14ac:dyDescent="0.25">
      <c r="A6333" t="str">
        <f>"20190312154423109"</f>
        <v>20190312154423109</v>
      </c>
      <c r="B6333" t="str">
        <f>"1552376663104349"</f>
        <v>1552376663104349</v>
      </c>
      <c r="C6333" t="s">
        <v>40</v>
      </c>
      <c r="D6333">
        <v>5.1713930000000001</v>
      </c>
      <c r="E6333">
        <v>0.38082670000000002</v>
      </c>
      <c r="F6333" t="s">
        <v>70</v>
      </c>
      <c r="G6333">
        <v>-296.43130000000002</v>
      </c>
      <c r="H6333" s="1">
        <v>-4.904255E-6</v>
      </c>
      <c r="I6333">
        <v>-47.239840000000001</v>
      </c>
      <c r="J6333">
        <v>-300.77249999999998</v>
      </c>
      <c r="K6333">
        <v>1.112846</v>
      </c>
      <c r="L6333">
        <v>-38.053959999999996</v>
      </c>
      <c r="M6333">
        <v>0.15956409999999999</v>
      </c>
      <c r="N6333">
        <v>0</v>
      </c>
      <c r="O6333">
        <v>-0.98709570000000002</v>
      </c>
      <c r="P6333">
        <v>0.1922278</v>
      </c>
      <c r="Q6333">
        <v>-1.504257E-2</v>
      </c>
      <c r="R6333">
        <v>-0.98123530000000003</v>
      </c>
      <c r="S6333">
        <v>1.3098449999999999</v>
      </c>
      <c r="T6333">
        <v>-0.33330739999999998</v>
      </c>
      <c r="U6333">
        <v>-2.8016969999999999</v>
      </c>
      <c r="V6333">
        <v>-3.3171069999999997E-2</v>
      </c>
      <c r="W6333">
        <v>-1.755237E-3</v>
      </c>
      <c r="X6333">
        <v>0.99944809999999995</v>
      </c>
      <c r="Y6333">
        <v>-0.2710322</v>
      </c>
      <c r="Z6333">
        <v>0.108153399999999</v>
      </c>
      <c r="AA6333">
        <v>0.95647499999999996</v>
      </c>
      <c r="AB6333">
        <v>17</v>
      </c>
      <c r="AC6333">
        <v>4.34119999999995</v>
      </c>
      <c r="AD6333">
        <v>-1.1128509042550001</v>
      </c>
      <c r="AE6333">
        <v>-9.1858799999999992</v>
      </c>
      <c r="AF6333">
        <v>-2.7862712009534198</v>
      </c>
      <c r="AG6333">
        <v>-1.1128509042550001</v>
      </c>
      <c r="AH6333">
        <v>9.6452111708224209</v>
      </c>
      <c r="AI6333">
        <v>96.325199765568001</v>
      </c>
      <c r="AJ6333">
        <v>106.11274309852</v>
      </c>
      <c r="AK6333">
        <v>10.101081272325301</v>
      </c>
      <c r="AL6333">
        <v>90.100567728544405</v>
      </c>
      <c r="AM6333">
        <v>91.900914042680299</v>
      </c>
      <c r="AN6333">
        <v>0.999999952667739</v>
      </c>
    </row>
    <row r="6334" spans="1:40" x14ac:dyDescent="0.25">
      <c r="A6334" t="str">
        <f>"20190312154423131"</f>
        <v>20190312154423131</v>
      </c>
      <c r="B6334" t="str">
        <f>"1552376663123868"</f>
        <v>1552376663123868</v>
      </c>
      <c r="C6334" t="s">
        <v>40</v>
      </c>
      <c r="D6334">
        <v>5.0477819999999998</v>
      </c>
      <c r="E6334">
        <v>0.3773956</v>
      </c>
      <c r="F6334" t="s">
        <v>70</v>
      </c>
      <c r="G6334">
        <v>-296.11880000000002</v>
      </c>
      <c r="H6334" s="1">
        <v>-4.6221589999999999E-6</v>
      </c>
      <c r="I6334">
        <v>-46.550199999999997</v>
      </c>
      <c r="J6334">
        <v>-300.73899999999998</v>
      </c>
      <c r="K6334">
        <v>1.112865</v>
      </c>
      <c r="L6334">
        <v>-38.224330000000002</v>
      </c>
      <c r="M6334">
        <v>0.16443440000000001</v>
      </c>
      <c r="N6334">
        <v>0</v>
      </c>
      <c r="O6334">
        <v>-0.9862959</v>
      </c>
      <c r="P6334">
        <v>0.19932939999999999</v>
      </c>
      <c r="Q6334">
        <v>-1.4609840000000001E-2</v>
      </c>
      <c r="R6334">
        <v>-0.97982389999999997</v>
      </c>
      <c r="S6334">
        <v>1.5096130000000001</v>
      </c>
      <c r="T6334">
        <v>-0.3609985</v>
      </c>
      <c r="U6334">
        <v>-2.7561040000000001</v>
      </c>
      <c r="V6334">
        <v>-3.5477139999999997E-2</v>
      </c>
      <c r="W6334">
        <v>-1.333386E-3</v>
      </c>
      <c r="X6334">
        <v>0.99936959999999997</v>
      </c>
      <c r="Y6334">
        <v>-0.32637739999999998</v>
      </c>
      <c r="Z6334">
        <v>0.11574479999999999</v>
      </c>
      <c r="AA6334">
        <v>0.93812629999999997</v>
      </c>
      <c r="AB6334">
        <v>17</v>
      </c>
      <c r="AC6334">
        <v>4.6202000000000103</v>
      </c>
      <c r="AD6334">
        <v>-1.112869622159</v>
      </c>
      <c r="AE6334">
        <v>-8.3258699999999894</v>
      </c>
      <c r="AF6334">
        <v>-3.1451526101663498</v>
      </c>
      <c r="AG6334">
        <v>-1.112869622159</v>
      </c>
      <c r="AH6334">
        <v>8.8513987504565197</v>
      </c>
      <c r="AI6334">
        <v>96.756416902938597</v>
      </c>
      <c r="AJ6334">
        <v>109.561566360973</v>
      </c>
      <c r="AK6334">
        <v>9.4592665453904896</v>
      </c>
      <c r="AL6334">
        <v>90.076397412793497</v>
      </c>
      <c r="AM6334">
        <v>92.033118838159794</v>
      </c>
      <c r="AN6334">
        <v>1.0000000013924799</v>
      </c>
    </row>
    <row r="6335" spans="1:40" x14ac:dyDescent="0.25">
      <c r="A6335" t="str">
        <f>"20190312154423156"</f>
        <v>20190312154423156</v>
      </c>
      <c r="B6335" t="str">
        <f>"1552376663144363"</f>
        <v>1552376663144363</v>
      </c>
      <c r="C6335" t="s">
        <v>40</v>
      </c>
      <c r="D6335">
        <v>5.0157600000000002</v>
      </c>
      <c r="E6335">
        <v>0.376836</v>
      </c>
      <c r="F6335" t="s">
        <v>70</v>
      </c>
      <c r="G6335">
        <v>-296.18709999999999</v>
      </c>
      <c r="H6335" s="1">
        <v>-4.4479089999999998E-6</v>
      </c>
      <c r="I6335">
        <v>-46.237929999999999</v>
      </c>
      <c r="J6335">
        <v>-300.70389999999998</v>
      </c>
      <c r="K6335">
        <v>1.1128750000000001</v>
      </c>
      <c r="L6335">
        <v>-38.397669999999998</v>
      </c>
      <c r="M6335">
        <v>0.16945750000000001</v>
      </c>
      <c r="N6335">
        <v>0</v>
      </c>
      <c r="O6335">
        <v>-0.98544529999999997</v>
      </c>
      <c r="P6335">
        <v>0.20636969999999999</v>
      </c>
      <c r="Q6335">
        <v>-1.399922E-2</v>
      </c>
      <c r="R6335">
        <v>-0.97837410000000002</v>
      </c>
      <c r="S6335">
        <v>1.556122</v>
      </c>
      <c r="T6335">
        <v>-0.38044640000000002</v>
      </c>
      <c r="U6335">
        <v>-2.7395320000000001</v>
      </c>
      <c r="V6335">
        <v>-3.757336E-2</v>
      </c>
      <c r="W6335">
        <v>-7.3205489999999998E-4</v>
      </c>
      <c r="X6335">
        <v>0.9992936</v>
      </c>
      <c r="Y6335">
        <v>-0.3357135</v>
      </c>
      <c r="Z6335">
        <v>0.121687</v>
      </c>
      <c r="AA6335">
        <v>0.93407110000000004</v>
      </c>
      <c r="AB6335">
        <v>17</v>
      </c>
      <c r="AC6335">
        <v>4.5167999999999804</v>
      </c>
      <c r="AD6335">
        <v>-1.1128794479090001</v>
      </c>
      <c r="AE6335">
        <v>-7.8402599999999998</v>
      </c>
      <c r="AF6335">
        <v>-3.0762169397812</v>
      </c>
      <c r="AG6335">
        <v>-1.1128794479090001</v>
      </c>
      <c r="AH6335">
        <v>8.3657719617541897</v>
      </c>
      <c r="AI6335">
        <v>97.116791997218698</v>
      </c>
      <c r="AJ6335">
        <v>110.189214688001</v>
      </c>
      <c r="AK6335">
        <v>8.9826361299035007</v>
      </c>
      <c r="AL6335">
        <v>90.041943660049895</v>
      </c>
      <c r="AM6335">
        <v>92.153302395117294</v>
      </c>
      <c r="AN6335">
        <v>0.99999999614351298</v>
      </c>
    </row>
    <row r="6336" spans="1:40" x14ac:dyDescent="0.25">
      <c r="A6336" t="str">
        <f>"20190312154423175"</f>
        <v>20190312154423175</v>
      </c>
      <c r="B6336" t="str">
        <f>"1552376663163883"</f>
        <v>1552376663163883</v>
      </c>
      <c r="C6336" t="s">
        <v>40</v>
      </c>
      <c r="D6336">
        <v>5.0262209999999996</v>
      </c>
      <c r="E6336">
        <v>0.3770925</v>
      </c>
      <c r="F6336" t="s">
        <v>70</v>
      </c>
      <c r="G6336">
        <v>-296.12540000000001</v>
      </c>
      <c r="H6336" s="1">
        <v>-4.4942220000000003E-6</v>
      </c>
      <c r="I6336">
        <v>-46.301990000000004</v>
      </c>
      <c r="J6336">
        <v>-300.67349999999999</v>
      </c>
      <c r="K6336">
        <v>1.11287</v>
      </c>
      <c r="L6336">
        <v>-38.544220000000003</v>
      </c>
      <c r="M6336">
        <v>0.1737464</v>
      </c>
      <c r="N6336">
        <v>0</v>
      </c>
      <c r="O6336">
        <v>-0.98469810000000002</v>
      </c>
      <c r="P6336">
        <v>0.21240029999999999</v>
      </c>
      <c r="Q6336">
        <v>-1.5320540000000001E-2</v>
      </c>
      <c r="R6336">
        <v>-0.9770626</v>
      </c>
      <c r="S6336">
        <v>1.579895</v>
      </c>
      <c r="T6336">
        <v>-0.38402520000000001</v>
      </c>
      <c r="U6336">
        <v>-2.7275700000000001</v>
      </c>
      <c r="V6336">
        <v>-3.9381550000000001E-2</v>
      </c>
      <c r="W6336">
        <v>-2.0617489999999999E-3</v>
      </c>
      <c r="X6336">
        <v>0.9992221</v>
      </c>
      <c r="Y6336">
        <v>-0.33942159999999999</v>
      </c>
      <c r="Z6336">
        <v>0.1228031</v>
      </c>
      <c r="AA6336">
        <v>0.93258370000000002</v>
      </c>
      <c r="AB6336">
        <v>17</v>
      </c>
      <c r="AC6336">
        <v>4.5480999999999696</v>
      </c>
      <c r="AD6336">
        <v>-1.1128744942219999</v>
      </c>
      <c r="AE6336">
        <v>-7.7577699999999998</v>
      </c>
      <c r="AF6336">
        <v>-3.0836792135225202</v>
      </c>
      <c r="AG6336">
        <v>-1.1128744942219999</v>
      </c>
      <c r="AH6336">
        <v>8.3028858961798395</v>
      </c>
      <c r="AI6336">
        <v>97.161610076012906</v>
      </c>
      <c r="AJ6336">
        <v>110.374920181015</v>
      </c>
      <c r="AK6336">
        <v>8.9266724672065205</v>
      </c>
      <c r="AL6336">
        <v>90.118129602026201</v>
      </c>
      <c r="AM6336">
        <v>92.256985098390103</v>
      </c>
      <c r="AN6336">
        <v>0.99999998120887501</v>
      </c>
    </row>
    <row r="6337" spans="1:40" x14ac:dyDescent="0.25">
      <c r="A6337" t="str">
        <f>"20190312154423198"</f>
        <v>20190312154423198</v>
      </c>
      <c r="B6337" t="str">
        <f>"1552376663194139"</f>
        <v>1552376663194139</v>
      </c>
      <c r="C6337" t="s">
        <v>40</v>
      </c>
      <c r="D6337">
        <v>4.9816079999999996</v>
      </c>
      <c r="E6337">
        <v>0.37763170000000001</v>
      </c>
      <c r="F6337" t="s">
        <v>70</v>
      </c>
      <c r="G6337">
        <v>-296.14319999999998</v>
      </c>
      <c r="H6337" s="1">
        <v>-4.4716639999999997E-6</v>
      </c>
      <c r="I6337">
        <v>-46.265430000000002</v>
      </c>
      <c r="J6337">
        <v>-300.63830000000002</v>
      </c>
      <c r="K6337">
        <v>1.112857</v>
      </c>
      <c r="L6337">
        <v>-38.70926</v>
      </c>
      <c r="M6337">
        <v>0.1786181</v>
      </c>
      <c r="N6337">
        <v>0</v>
      </c>
      <c r="O6337">
        <v>-0.98382610000000004</v>
      </c>
      <c r="P6337">
        <v>0.21866169999999999</v>
      </c>
      <c r="Q6337">
        <v>-1.662696E-2</v>
      </c>
      <c r="R6337">
        <v>-0.97565930000000001</v>
      </c>
      <c r="S6337">
        <v>1.594543</v>
      </c>
      <c r="T6337">
        <v>-0.39170060000000001</v>
      </c>
      <c r="U6337">
        <v>-2.717651</v>
      </c>
      <c r="V6337">
        <v>-4.0839830000000001E-2</v>
      </c>
      <c r="W6337">
        <v>-3.3746340000000001E-3</v>
      </c>
      <c r="X6337">
        <v>0.99916000000000005</v>
      </c>
      <c r="Y6337">
        <v>-0.33983629999999998</v>
      </c>
      <c r="Z6337">
        <v>0.1252723</v>
      </c>
      <c r="AA6337">
        <v>0.93210420000000005</v>
      </c>
      <c r="AB6337">
        <v>17</v>
      </c>
      <c r="AC6337">
        <v>4.4951000000000301</v>
      </c>
      <c r="AD6337">
        <v>-1.112861471664</v>
      </c>
      <c r="AE6337">
        <v>-7.5561699999999998</v>
      </c>
      <c r="AF6337">
        <v>-3.0245505263241199</v>
      </c>
      <c r="AG6337">
        <v>-1.112861471664</v>
      </c>
      <c r="AH6337">
        <v>8.1077173115272601</v>
      </c>
      <c r="AI6337">
        <v>97.328159953426095</v>
      </c>
      <c r="AJ6337">
        <v>110.457822940287</v>
      </c>
      <c r="AK6337">
        <v>8.7247605437078093</v>
      </c>
      <c r="AL6337">
        <v>90.193352653995603</v>
      </c>
      <c r="AM6337">
        <v>92.340614199673993</v>
      </c>
      <c r="AN6337">
        <v>0.999999992734531</v>
      </c>
    </row>
    <row r="6338" spans="1:40" x14ac:dyDescent="0.25">
      <c r="A6338" t="str">
        <f>"20190312154423220"</f>
        <v>20190312154423220</v>
      </c>
      <c r="B6338" t="str">
        <f>"1552376663213658"</f>
        <v>1552376663213658</v>
      </c>
      <c r="C6338" t="s">
        <v>40</v>
      </c>
      <c r="D6338">
        <v>4.9759779999999996</v>
      </c>
      <c r="E6338">
        <v>0.37802330000000001</v>
      </c>
      <c r="F6338" t="s">
        <v>70</v>
      </c>
      <c r="G6338">
        <v>-296.11810000000003</v>
      </c>
      <c r="H6338" s="1">
        <v>-4.5077850000000001E-6</v>
      </c>
      <c r="I6338">
        <v>-46.32544</v>
      </c>
      <c r="J6338">
        <v>-300.6019</v>
      </c>
      <c r="K6338">
        <v>1.112851</v>
      </c>
      <c r="L6338">
        <v>-38.875979999999998</v>
      </c>
      <c r="M6338">
        <v>0.1835804</v>
      </c>
      <c r="N6338">
        <v>0</v>
      </c>
      <c r="O6338">
        <v>-0.98291209999999996</v>
      </c>
      <c r="P6338">
        <v>0.22594700000000001</v>
      </c>
      <c r="Q6338">
        <v>-1.715299E-2</v>
      </c>
      <c r="R6338">
        <v>-0.97398899999999999</v>
      </c>
      <c r="S6338">
        <v>1.6071470000000001</v>
      </c>
      <c r="T6338">
        <v>-0.39567550000000001</v>
      </c>
      <c r="U6338">
        <v>-2.707916</v>
      </c>
      <c r="V6338">
        <v>-4.3263259999999998E-2</v>
      </c>
      <c r="W6338">
        <v>-3.9136520000000001E-3</v>
      </c>
      <c r="X6338">
        <v>0.99905600000000006</v>
      </c>
      <c r="Y6338">
        <v>-0.33968490000000001</v>
      </c>
      <c r="Z6338">
        <v>0.12659680000000001</v>
      </c>
      <c r="AA6338">
        <v>0.93198040000000004</v>
      </c>
      <c r="AB6338">
        <v>17</v>
      </c>
      <c r="AC6338">
        <v>4.4837999999999703</v>
      </c>
      <c r="AD6338">
        <v>-1.112855507785</v>
      </c>
      <c r="AE6338">
        <v>-7.4494600000000002</v>
      </c>
      <c r="AF6338">
        <v>-2.9908869770675799</v>
      </c>
      <c r="AG6338">
        <v>-1.112855507785</v>
      </c>
      <c r="AH6338">
        <v>8.0147475557755197</v>
      </c>
      <c r="AI6338">
        <v>97.411881144159693</v>
      </c>
      <c r="AJ6338">
        <v>110.464213840635</v>
      </c>
      <c r="AK6338">
        <v>8.6267045083049805</v>
      </c>
      <c r="AL6338">
        <v>90.224236323763805</v>
      </c>
      <c r="AM6338">
        <v>92.479595228234203</v>
      </c>
      <c r="AN6338">
        <v>0.99999995873690095</v>
      </c>
    </row>
    <row r="6339" spans="1:40" x14ac:dyDescent="0.25">
      <c r="A6339" t="str">
        <f>"20190312154423242"</f>
        <v>20190312154423242</v>
      </c>
      <c r="B6339" t="str">
        <f>"1552376663234155"</f>
        <v>1552376663234155</v>
      </c>
      <c r="C6339" t="s">
        <v>40</v>
      </c>
      <c r="D6339">
        <v>4.8665529999999997</v>
      </c>
      <c r="E6339">
        <v>0.37893749999999998</v>
      </c>
      <c r="F6339" t="s">
        <v>70</v>
      </c>
      <c r="G6339">
        <v>-296.09109999999998</v>
      </c>
      <c r="H6339" s="1">
        <v>-4.537071E-6</v>
      </c>
      <c r="I6339">
        <v>-46.371139999999997</v>
      </c>
      <c r="J6339">
        <v>-300.56610000000001</v>
      </c>
      <c r="K6339">
        <v>1.1128469999999999</v>
      </c>
      <c r="L6339">
        <v>-39.036009999999997</v>
      </c>
      <c r="M6339">
        <v>0.188384</v>
      </c>
      <c r="N6339">
        <v>0</v>
      </c>
      <c r="O6339">
        <v>-0.98200259999999995</v>
      </c>
      <c r="P6339">
        <v>0.23369309999999999</v>
      </c>
      <c r="Q6339">
        <v>-1.8014450000000001E-2</v>
      </c>
      <c r="R6339">
        <v>-0.97214370000000006</v>
      </c>
      <c r="S6339">
        <v>1.6228940000000001</v>
      </c>
      <c r="T6339">
        <v>-0.40038059999999998</v>
      </c>
      <c r="U6339">
        <v>-2.6965940000000002</v>
      </c>
      <c r="V6339">
        <v>-4.6328889999999998E-2</v>
      </c>
      <c r="W6339">
        <v>-4.7928559999999999E-3</v>
      </c>
      <c r="X6339">
        <v>0.99891470000000004</v>
      </c>
      <c r="Y6339">
        <v>-0.34070850000000003</v>
      </c>
      <c r="Z6339">
        <v>0.12815119999999999</v>
      </c>
      <c r="AA6339">
        <v>0.9313941</v>
      </c>
      <c r="AB6339">
        <v>17</v>
      </c>
      <c r="AC6339">
        <v>4.4750000000000201</v>
      </c>
      <c r="AD6339">
        <v>-1.1128515370709999</v>
      </c>
      <c r="AE6339">
        <v>-7.3351300000000004</v>
      </c>
      <c r="AF6339">
        <v>-2.9632096297309398</v>
      </c>
      <c r="AG6339">
        <v>-1.1128515370709999</v>
      </c>
      <c r="AH6339">
        <v>7.9141155617782397</v>
      </c>
      <c r="AI6339">
        <v>97.501996840496105</v>
      </c>
      <c r="AJ6339">
        <v>110.52694630606599</v>
      </c>
      <c r="AK6339">
        <v>8.5236303872512007</v>
      </c>
      <c r="AL6339">
        <v>90.274611483609306</v>
      </c>
      <c r="AM6339">
        <v>92.655430989055205</v>
      </c>
      <c r="AN6339">
        <v>0.99999995769667804</v>
      </c>
    </row>
    <row r="6340" spans="1:40" x14ac:dyDescent="0.25">
      <c r="A6340" t="str">
        <f>"20190312154423265"</f>
        <v>20190312154423265</v>
      </c>
      <c r="B6340" t="str">
        <f>"1552376663253674"</f>
        <v>1552376663253674</v>
      </c>
      <c r="C6340" t="s">
        <v>40</v>
      </c>
      <c r="D6340">
        <v>4.9342160000000002</v>
      </c>
      <c r="E6340">
        <v>0.37949840000000001</v>
      </c>
      <c r="F6340" t="s">
        <v>70</v>
      </c>
      <c r="G6340">
        <v>-296.07069999999999</v>
      </c>
      <c r="H6340" s="1">
        <v>-4.5617909999999996E-6</v>
      </c>
      <c r="I6340">
        <v>-46.410789999999999</v>
      </c>
      <c r="J6340">
        <v>-300.52910000000003</v>
      </c>
      <c r="K6340">
        <v>1.112857</v>
      </c>
      <c r="L6340">
        <v>-39.197479999999999</v>
      </c>
      <c r="M6340">
        <v>0.19328100000000001</v>
      </c>
      <c r="N6340">
        <v>0</v>
      </c>
      <c r="O6340">
        <v>-0.98105070000000005</v>
      </c>
      <c r="P6340">
        <v>0.24083189999999999</v>
      </c>
      <c r="Q6340">
        <v>-1.8969369999999999E-2</v>
      </c>
      <c r="R6340">
        <v>-0.97038150000000001</v>
      </c>
      <c r="S6340">
        <v>1.6366879999999999</v>
      </c>
      <c r="T6340">
        <v>-0.405165</v>
      </c>
      <c r="U6340">
        <v>-2.6849980000000002</v>
      </c>
      <c r="V6340">
        <v>-4.8684390000000001E-2</v>
      </c>
      <c r="W6340">
        <v>-5.7616730000000001E-3</v>
      </c>
      <c r="X6340">
        <v>0.99879759999999995</v>
      </c>
      <c r="Y6340">
        <v>-0.3411844</v>
      </c>
      <c r="Z6340">
        <v>0.1297674</v>
      </c>
      <c r="AA6340">
        <v>0.93099600000000005</v>
      </c>
      <c r="AB6340">
        <v>17</v>
      </c>
      <c r="AC6340">
        <v>4.4584000000000401</v>
      </c>
      <c r="AD6340">
        <v>-1.112861561791</v>
      </c>
      <c r="AE6340">
        <v>-7.2133099999999999</v>
      </c>
      <c r="AF6340">
        <v>-2.9295376592019999</v>
      </c>
      <c r="AG6340">
        <v>-1.112861561791</v>
      </c>
      <c r="AH6340">
        <v>7.8046530447316904</v>
      </c>
      <c r="AI6340">
        <v>97.603743983394494</v>
      </c>
      <c r="AJ6340">
        <v>110.57401777420699</v>
      </c>
      <c r="AK6340">
        <v>8.4103068256178606</v>
      </c>
      <c r="AL6340">
        <v>90.330121370292801</v>
      </c>
      <c r="AM6340">
        <v>92.790559486576399</v>
      </c>
      <c r="AN6340">
        <v>1.00000000623559</v>
      </c>
    </row>
    <row r="6341" spans="1:40" x14ac:dyDescent="0.25">
      <c r="A6341" t="str">
        <f>"20190312154423287"</f>
        <v>20190312154423287</v>
      </c>
      <c r="B6341" t="str">
        <f>"1552376663283931"</f>
        <v>1552376663283931</v>
      </c>
      <c r="C6341" t="s">
        <v>40</v>
      </c>
      <c r="D6341">
        <v>4.929335</v>
      </c>
      <c r="E6341">
        <v>0.38045590000000001</v>
      </c>
      <c r="F6341" t="s">
        <v>70</v>
      </c>
      <c r="G6341">
        <v>-295.98919999999998</v>
      </c>
      <c r="H6341" s="1">
        <v>-4.6474779999999998E-6</v>
      </c>
      <c r="I6341">
        <v>-46.543500000000002</v>
      </c>
      <c r="J6341">
        <v>-300.49169999999998</v>
      </c>
      <c r="K6341">
        <v>1.1128819999999999</v>
      </c>
      <c r="L6341">
        <v>-39.357120000000002</v>
      </c>
      <c r="M6341">
        <v>0.19818469999999999</v>
      </c>
      <c r="N6341">
        <v>0</v>
      </c>
      <c r="O6341">
        <v>-0.98007180000000005</v>
      </c>
      <c r="P6341">
        <v>0.24793680000000001</v>
      </c>
      <c r="Q6341">
        <v>-1.91629E-2</v>
      </c>
      <c r="R6341">
        <v>-0.96858659999999996</v>
      </c>
      <c r="S6341">
        <v>1.6523129999999999</v>
      </c>
      <c r="T6341">
        <v>-0.40502630000000001</v>
      </c>
      <c r="U6341">
        <v>-2.673584</v>
      </c>
      <c r="V6341">
        <v>-5.100789E-2</v>
      </c>
      <c r="W6341">
        <v>-5.9697099999999996E-3</v>
      </c>
      <c r="X6341">
        <v>0.99868040000000002</v>
      </c>
      <c r="Y6341">
        <v>-0.34219919999999998</v>
      </c>
      <c r="Z6341">
        <v>0.12978779999999901</v>
      </c>
      <c r="AA6341">
        <v>0.93062069999999997</v>
      </c>
      <c r="AB6341">
        <v>17</v>
      </c>
      <c r="AC6341">
        <v>4.5024999999999897</v>
      </c>
      <c r="AD6341">
        <v>-1.1128866474779999</v>
      </c>
      <c r="AE6341">
        <v>-7.1863799999999998</v>
      </c>
      <c r="AF6341">
        <v>-2.9382141629509499</v>
      </c>
      <c r="AG6341">
        <v>-1.1128866474779999</v>
      </c>
      <c r="AH6341">
        <v>7.8018572941896398</v>
      </c>
      <c r="AI6341">
        <v>97.603519809584796</v>
      </c>
      <c r="AJ6341">
        <v>110.63659719498401</v>
      </c>
      <c r="AK6341">
        <v>8.41074291584283</v>
      </c>
      <c r="AL6341">
        <v>90.342041222316993</v>
      </c>
      <c r="AM6341">
        <v>92.923857785791697</v>
      </c>
      <c r="AN6341">
        <v>0.99999999181194799</v>
      </c>
    </row>
    <row r="6342" spans="1:40" x14ac:dyDescent="0.25">
      <c r="A6342" t="str">
        <f>"20190312154423310"</f>
        <v>20190312154423310</v>
      </c>
      <c r="B6342" t="str">
        <f>"1552376663303450"</f>
        <v>1552376663303450</v>
      </c>
      <c r="C6342" t="s">
        <v>40</v>
      </c>
      <c r="D6342">
        <v>4.9252880000000001</v>
      </c>
      <c r="E6342">
        <v>0.38127739999999999</v>
      </c>
      <c r="F6342" t="s">
        <v>70</v>
      </c>
      <c r="G6342">
        <v>-295.86</v>
      </c>
      <c r="H6342" s="1">
        <v>-4.7888569999999999E-6</v>
      </c>
      <c r="I6342">
        <v>-46.764719999999997</v>
      </c>
      <c r="J6342">
        <v>-300.4522</v>
      </c>
      <c r="K6342">
        <v>1.1129260000000001</v>
      </c>
      <c r="L6342">
        <v>-39.520899999999997</v>
      </c>
      <c r="M6342">
        <v>0.20331389999999999</v>
      </c>
      <c r="N6342">
        <v>0</v>
      </c>
      <c r="O6342">
        <v>-0.97902049999999996</v>
      </c>
      <c r="P6342">
        <v>0.25406879999999998</v>
      </c>
      <c r="Q6342">
        <v>-1.7902250000000001E-2</v>
      </c>
      <c r="R6342">
        <v>-0.96702060000000001</v>
      </c>
      <c r="S6342">
        <v>1.6651609999999999</v>
      </c>
      <c r="T6342">
        <v>-0.4000996</v>
      </c>
      <c r="U6342">
        <v>-2.6631469999999999</v>
      </c>
      <c r="V6342">
        <v>-5.2107769999999998E-2</v>
      </c>
      <c r="W6342">
        <v>-4.7165089999999998E-3</v>
      </c>
      <c r="X6342">
        <v>0.99863029999999997</v>
      </c>
      <c r="Y6342">
        <v>-0.34225169999999999</v>
      </c>
      <c r="Z6342">
        <v>0.1283009</v>
      </c>
      <c r="AA6342">
        <v>0.93080750000000001</v>
      </c>
      <c r="AB6342">
        <v>17</v>
      </c>
      <c r="AC6342">
        <v>4.5921999999999903</v>
      </c>
      <c r="AD6342">
        <v>-1.1129307888569999</v>
      </c>
      <c r="AE6342">
        <v>-7.2438200000000004</v>
      </c>
      <c r="AF6342">
        <v>-2.9733002017438301</v>
      </c>
      <c r="AG6342">
        <v>-1.1129307888569999</v>
      </c>
      <c r="AH6342">
        <v>7.8933311294530997</v>
      </c>
      <c r="AI6342">
        <v>97.516514864554196</v>
      </c>
      <c r="AJ6342">
        <v>110.640643938846</v>
      </c>
      <c r="AK6342">
        <v>8.5078672621091798</v>
      </c>
      <c r="AL6342">
        <v>90.270237069607305</v>
      </c>
      <c r="AM6342">
        <v>92.986941368515204</v>
      </c>
      <c r="AN6342">
        <v>0.99999997061480395</v>
      </c>
    </row>
    <row r="6343" spans="1:40" x14ac:dyDescent="0.25">
      <c r="A6343" t="str">
        <f>"20190312154423334"</f>
        <v>20190312154423334</v>
      </c>
      <c r="B6343" t="str">
        <f>"1552376663323946"</f>
        <v>1552376663323946</v>
      </c>
      <c r="C6343" t="s">
        <v>40</v>
      </c>
      <c r="D6343">
        <v>4.8728959999999999</v>
      </c>
      <c r="E6343">
        <v>0.3819767</v>
      </c>
      <c r="F6343" t="s">
        <v>70</v>
      </c>
      <c r="G6343">
        <v>-295.7149</v>
      </c>
      <c r="H6343" s="1">
        <v>-4.9531710000000001E-6</v>
      </c>
      <c r="I6343">
        <v>-47.024070000000002</v>
      </c>
      <c r="J6343">
        <v>-300.40940000000001</v>
      </c>
      <c r="K6343">
        <v>1.1129899999999999</v>
      </c>
      <c r="L6343">
        <v>-39.693730000000002</v>
      </c>
      <c r="M6343">
        <v>0.20885819999999999</v>
      </c>
      <c r="N6343">
        <v>0</v>
      </c>
      <c r="O6343">
        <v>-0.97785250000000001</v>
      </c>
      <c r="P6343">
        <v>0.25892100000000001</v>
      </c>
      <c r="Q6343">
        <v>-1.6429869999999999E-2</v>
      </c>
      <c r="R6343">
        <v>-0.96575860000000002</v>
      </c>
      <c r="S6343">
        <v>1.676086</v>
      </c>
      <c r="T6343">
        <v>-0.39376119999999998</v>
      </c>
      <c r="U6343">
        <v>-2.6546630000000002</v>
      </c>
      <c r="V6343">
        <v>-5.1466169999999999E-2</v>
      </c>
      <c r="W6343">
        <v>-3.2404840000000001E-3</v>
      </c>
      <c r="X6343">
        <v>0.99866949999999999</v>
      </c>
      <c r="Y6343">
        <v>-0.341149599999999</v>
      </c>
      <c r="Z6343">
        <v>0.12631539999999999</v>
      </c>
      <c r="AA6343">
        <v>0.93148339999999996</v>
      </c>
      <c r="AB6343">
        <v>17</v>
      </c>
      <c r="AC6343">
        <v>4.6944999999999997</v>
      </c>
      <c r="AD6343">
        <v>-1.1129949531709999</v>
      </c>
      <c r="AE6343">
        <v>-7.3303399999999996</v>
      </c>
      <c r="AF6343">
        <v>-3.01058810233204</v>
      </c>
      <c r="AG6343">
        <v>-1.1129949531709999</v>
      </c>
      <c r="AH6343">
        <v>8.0181366912377694</v>
      </c>
      <c r="AI6343">
        <v>97.404171588599993</v>
      </c>
      <c r="AJ6343">
        <v>110.57976529965801</v>
      </c>
      <c r="AK6343">
        <v>8.6367189653861498</v>
      </c>
      <c r="AL6343">
        <v>90.185666378226998</v>
      </c>
      <c r="AM6343">
        <v>92.950113108196703</v>
      </c>
      <c r="AN6343">
        <v>1.0000000188106299</v>
      </c>
    </row>
    <row r="6344" spans="1:40" x14ac:dyDescent="0.25">
      <c r="A6344" t="str">
        <f>"20190312154423358"</f>
        <v>20190312154423358</v>
      </c>
      <c r="B6344" t="str">
        <f>"1552376663354202"</f>
        <v>1552376663354202</v>
      </c>
      <c r="C6344" t="s">
        <v>40</v>
      </c>
      <c r="D6344">
        <v>4.900512</v>
      </c>
      <c r="E6344">
        <v>0.38316169999999999</v>
      </c>
      <c r="F6344" t="s">
        <v>70</v>
      </c>
      <c r="G6344">
        <v>-295.53399999999999</v>
      </c>
      <c r="H6344" s="1">
        <v>-5.1628239999999997E-6</v>
      </c>
      <c r="I6344">
        <v>-47.356819999999999</v>
      </c>
      <c r="J6344">
        <v>-300.36559999999997</v>
      </c>
      <c r="K6344">
        <v>1.1130610000000001</v>
      </c>
      <c r="L6344">
        <v>-39.865630000000003</v>
      </c>
      <c r="M6344">
        <v>0.2145011</v>
      </c>
      <c r="N6344">
        <v>0</v>
      </c>
      <c r="O6344">
        <v>-0.9766302</v>
      </c>
      <c r="P6344">
        <v>0.26204759999999999</v>
      </c>
      <c r="Q6344">
        <v>-1.612398E-2</v>
      </c>
      <c r="R6344">
        <v>-0.96492029999999995</v>
      </c>
      <c r="S6344">
        <v>1.6847840000000001</v>
      </c>
      <c r="T6344">
        <v>-0.3846173</v>
      </c>
      <c r="U6344">
        <v>-2.6481319999999999</v>
      </c>
      <c r="V6344">
        <v>-4.893455E-2</v>
      </c>
      <c r="W6344">
        <v>-2.9173580000000001E-3</v>
      </c>
      <c r="X6344">
        <v>0.99879770000000001</v>
      </c>
      <c r="Y6344">
        <v>-0.339142</v>
      </c>
      <c r="Z6344">
        <v>0.1234022</v>
      </c>
      <c r="AA6344">
        <v>0.9326063</v>
      </c>
      <c r="AB6344">
        <v>17</v>
      </c>
      <c r="AC6344">
        <v>4.8315999999999804</v>
      </c>
      <c r="AD6344">
        <v>-1.1130661628239999</v>
      </c>
      <c r="AE6344">
        <v>-7.4911899999999996</v>
      </c>
      <c r="AF6344">
        <v>-3.06432566587995</v>
      </c>
      <c r="AG6344">
        <v>-1.1130661628239999</v>
      </c>
      <c r="AH6344">
        <v>8.2250306363311196</v>
      </c>
      <c r="AI6344">
        <v>97.227200536991802</v>
      </c>
      <c r="AJ6344">
        <v>110.43343160836</v>
      </c>
      <c r="AK6344">
        <v>8.8476062885946707</v>
      </c>
      <c r="AL6344">
        <v>90.167152542290296</v>
      </c>
      <c r="AM6344">
        <v>92.804875384689296</v>
      </c>
      <c r="AN6344">
        <v>0.999999973343346</v>
      </c>
    </row>
    <row r="6345" spans="1:40" x14ac:dyDescent="0.25">
      <c r="A6345" t="str">
        <f>"20190312154423382"</f>
        <v>20190312154423382</v>
      </c>
      <c r="B6345" t="str">
        <f>"1552376663373723"</f>
        <v>1552376663373723</v>
      </c>
      <c r="C6345" t="s">
        <v>40</v>
      </c>
      <c r="D6345">
        <v>4.8797620000000004</v>
      </c>
      <c r="E6345">
        <v>0.38384459999999998</v>
      </c>
      <c r="F6345" t="s">
        <v>70</v>
      </c>
      <c r="G6345">
        <v>-295.4135</v>
      </c>
      <c r="H6345" s="1">
        <v>-5.33345199999999E-6</v>
      </c>
      <c r="I6345">
        <v>-47.639270000000003</v>
      </c>
      <c r="J6345">
        <v>-300.32069999999999</v>
      </c>
      <c r="K6345">
        <v>1.1131310000000001</v>
      </c>
      <c r="L6345">
        <v>-40.037410000000001</v>
      </c>
      <c r="M6345">
        <v>0.2202916</v>
      </c>
      <c r="N6345">
        <v>0</v>
      </c>
      <c r="O6345">
        <v>-0.9753404</v>
      </c>
      <c r="P6345">
        <v>0.264312099999999</v>
      </c>
      <c r="Q6345">
        <v>-1.6361959999999998E-2</v>
      </c>
      <c r="R6345">
        <v>-0.96429869999999995</v>
      </c>
      <c r="S6345">
        <v>1.685028</v>
      </c>
      <c r="T6345">
        <v>-0.3787394</v>
      </c>
      <c r="U6345">
        <v>-2.645111</v>
      </c>
      <c r="V6345">
        <v>-4.5352719999999999E-2</v>
      </c>
      <c r="W6345">
        <v>-3.1298720000000001E-3</v>
      </c>
      <c r="X6345">
        <v>0.99896620000000003</v>
      </c>
      <c r="Y6345">
        <v>-0.33422839999999998</v>
      </c>
      <c r="Z6345">
        <v>0.12153170000000001</v>
      </c>
      <c r="AA6345">
        <v>0.93462369999999995</v>
      </c>
      <c r="AB6345">
        <v>17</v>
      </c>
      <c r="AC6345">
        <v>4.90719999999998</v>
      </c>
      <c r="AD6345">
        <v>-1.1131363334519999</v>
      </c>
      <c r="AE6345">
        <v>-7.6018600000000003</v>
      </c>
      <c r="AF6345">
        <v>-3.0654536621681201</v>
      </c>
      <c r="AG6345">
        <v>-1.1131363334519999</v>
      </c>
      <c r="AH6345">
        <v>8.3695209798908792</v>
      </c>
      <c r="AI6345">
        <v>97.118567055686498</v>
      </c>
      <c r="AJ6345">
        <v>110.11596042609099</v>
      </c>
      <c r="AK6345">
        <v>8.9824807311000896</v>
      </c>
      <c r="AL6345">
        <v>90.1793287367842</v>
      </c>
      <c r="AM6345">
        <v>92.599423639937598</v>
      </c>
      <c r="AN6345">
        <v>1.0000000670262801</v>
      </c>
    </row>
    <row r="6346" spans="1:40" x14ac:dyDescent="0.25">
      <c r="A6346" t="str">
        <f>"20190312154423402"</f>
        <v>20190312154423402</v>
      </c>
      <c r="B6346" t="str">
        <f>"1552376663394219"</f>
        <v>1552376663394219</v>
      </c>
      <c r="C6346" t="s">
        <v>40</v>
      </c>
      <c r="D6346">
        <v>4.8912309999999897</v>
      </c>
      <c r="E6346">
        <v>0.39364850000000001</v>
      </c>
      <c r="F6346" t="s">
        <v>70</v>
      </c>
      <c r="G6346">
        <v>-295.32780000000002</v>
      </c>
      <c r="H6346" s="1">
        <v>-5.4656239999999996E-6</v>
      </c>
      <c r="I6346">
        <v>-47.861339999999998</v>
      </c>
      <c r="J6346">
        <v>-300.28359999999998</v>
      </c>
      <c r="K6346">
        <v>1.1131899999999999</v>
      </c>
      <c r="L6346">
        <v>-40.175449999999998</v>
      </c>
      <c r="M6346">
        <v>0.22508500000000001</v>
      </c>
      <c r="N6346">
        <v>0</v>
      </c>
      <c r="O6346">
        <v>-0.97424529999999998</v>
      </c>
      <c r="P6346">
        <v>0.26562409999999997</v>
      </c>
      <c r="Q6346">
        <v>-1.7212990000000001E-2</v>
      </c>
      <c r="R6346">
        <v>-0.96392319999999998</v>
      </c>
      <c r="S6346">
        <v>1.68634</v>
      </c>
      <c r="T6346">
        <v>-0.37595590000000001</v>
      </c>
      <c r="U6346">
        <v>-2.642487</v>
      </c>
      <c r="V6346">
        <v>-4.1797349999999997E-2</v>
      </c>
      <c r="W6346">
        <v>-3.9544990000000002E-3</v>
      </c>
      <c r="X6346">
        <v>0.99911830000000001</v>
      </c>
      <c r="Y6346">
        <v>-0.33040449999999999</v>
      </c>
      <c r="Z6346">
        <v>0.1206208</v>
      </c>
      <c r="AA6346">
        <v>0.93610020000000005</v>
      </c>
      <c r="AB6346">
        <v>17</v>
      </c>
      <c r="AC6346">
        <v>4.9557999999999502</v>
      </c>
      <c r="AD6346">
        <v>-1.113195465624</v>
      </c>
      <c r="AE6346">
        <v>-7.6858899999999997</v>
      </c>
      <c r="AF6346">
        <v>-3.05322929396868</v>
      </c>
      <c r="AG6346">
        <v>-1.113195465624</v>
      </c>
      <c r="AH6346">
        <v>8.4785763803957206</v>
      </c>
      <c r="AI6346">
        <v>97.042045600276893</v>
      </c>
      <c r="AJ6346">
        <v>109.804510355931</v>
      </c>
      <c r="AK6346">
        <v>9.0800699724417608</v>
      </c>
      <c r="AL6346">
        <v>90.226576689484801</v>
      </c>
      <c r="AM6346">
        <v>92.395528296360894</v>
      </c>
      <c r="AN6346">
        <v>1.0000000169621199</v>
      </c>
    </row>
    <row r="6347" spans="1:40" x14ac:dyDescent="0.25">
      <c r="A6347" t="str">
        <f>"20190312154423423"</f>
        <v>20190312154423423</v>
      </c>
      <c r="B6347" t="str">
        <f>"1552376663413739"</f>
        <v>1552376663413739</v>
      </c>
      <c r="C6347" t="s">
        <v>40</v>
      </c>
      <c r="D6347">
        <v>4.9322780000000002</v>
      </c>
      <c r="E6347">
        <v>0.3946963</v>
      </c>
      <c r="F6347" t="s">
        <v>70</v>
      </c>
      <c r="G6347">
        <v>-295.1454</v>
      </c>
      <c r="H6347" s="1">
        <v>-5.8163240000000004E-6</v>
      </c>
      <c r="I6347">
        <v>-48.640940000000001</v>
      </c>
      <c r="J6347">
        <v>-300.24029999999999</v>
      </c>
      <c r="K6347">
        <v>1.1132599999999999</v>
      </c>
      <c r="L6347">
        <v>-40.333190000000002</v>
      </c>
      <c r="M6347">
        <v>0.23072429999999999</v>
      </c>
      <c r="N6347">
        <v>0</v>
      </c>
      <c r="O6347">
        <v>-0.97292489999999998</v>
      </c>
      <c r="P6347">
        <v>0.26746170000000002</v>
      </c>
      <c r="Q6347">
        <v>-1.9571060000000001E-2</v>
      </c>
      <c r="R6347">
        <v>-0.9633697</v>
      </c>
      <c r="S6347">
        <v>1.6150819999999999</v>
      </c>
      <c r="T6347">
        <v>-0.34990969999999999</v>
      </c>
      <c r="U6347">
        <v>-2.6609500000000001</v>
      </c>
      <c r="V6347">
        <v>-3.7909989999999998E-2</v>
      </c>
      <c r="W6347">
        <v>-6.2817469999999999E-3</v>
      </c>
      <c r="X6347">
        <v>0.99926139999999997</v>
      </c>
      <c r="Y6347">
        <v>-0.30424010000000001</v>
      </c>
      <c r="Z6347">
        <v>0.11274389999999899</v>
      </c>
      <c r="AA6347">
        <v>0.94589999999999996</v>
      </c>
      <c r="AB6347">
        <v>17</v>
      </c>
      <c r="AC6347">
        <v>5.0948999999999902</v>
      </c>
      <c r="AD6347">
        <v>-1.1132658163239999</v>
      </c>
      <c r="AE6347">
        <v>-8.3077499999999898</v>
      </c>
      <c r="AF6347">
        <v>-3.00127026617236</v>
      </c>
      <c r="AG6347">
        <v>-1.1132658163239999</v>
      </c>
      <c r="AH6347">
        <v>9.1399156641104202</v>
      </c>
      <c r="AI6347">
        <v>96.601093933639802</v>
      </c>
      <c r="AJ6347">
        <v>108.17860689091</v>
      </c>
      <c r="AK6347">
        <v>9.6842677748736801</v>
      </c>
      <c r="AL6347">
        <v>90.359919963009602</v>
      </c>
      <c r="AM6347">
        <v>92.172645956237204</v>
      </c>
      <c r="AN6347">
        <v>0.99999998660856504</v>
      </c>
    </row>
    <row r="6348" spans="1:40" x14ac:dyDescent="0.25">
      <c r="A6348" t="str">
        <f>"20190312154423445"</f>
        <v>20190312154423445</v>
      </c>
      <c r="B6348" t="str">
        <f>"1552376663434234"</f>
        <v>1552376663434234</v>
      </c>
      <c r="C6348" t="s">
        <v>40</v>
      </c>
      <c r="D6348">
        <v>4.9106120000000004</v>
      </c>
      <c r="E6348">
        <v>0.3946096</v>
      </c>
      <c r="F6348" t="s">
        <v>70</v>
      </c>
      <c r="G6348">
        <v>-295.30349999999999</v>
      </c>
      <c r="H6348" s="1">
        <v>-5.72949399999999E-6</v>
      </c>
      <c r="I6348">
        <v>-48.476750000000003</v>
      </c>
      <c r="J6348">
        <v>-300.19639999999998</v>
      </c>
      <c r="K6348">
        <v>1.113345</v>
      </c>
      <c r="L6348">
        <v>-40.488460000000003</v>
      </c>
      <c r="M6348">
        <v>0.2364501</v>
      </c>
      <c r="N6348">
        <v>0</v>
      </c>
      <c r="O6348">
        <v>-0.971549</v>
      </c>
      <c r="P6348">
        <v>0.268901</v>
      </c>
      <c r="Q6348">
        <v>-2.108635E-2</v>
      </c>
      <c r="R6348">
        <v>-0.9629373</v>
      </c>
      <c r="S6348">
        <v>1.6120000000000001</v>
      </c>
      <c r="T6348">
        <v>-0.36351529999999999</v>
      </c>
      <c r="U6348">
        <v>-2.659119</v>
      </c>
      <c r="V6348">
        <v>-3.3514670000000003E-2</v>
      </c>
      <c r="W6348">
        <v>-7.7595989999999998E-3</v>
      </c>
      <c r="X6348">
        <v>0.99940810000000002</v>
      </c>
      <c r="Y6348">
        <v>-0.2978497</v>
      </c>
      <c r="Z6348">
        <v>0.1170409</v>
      </c>
      <c r="AA6348">
        <v>0.94741059999999999</v>
      </c>
      <c r="AB6348">
        <v>17</v>
      </c>
      <c r="AC6348">
        <v>4.8928999999999903</v>
      </c>
      <c r="AD6348">
        <v>-1.1133507294939999</v>
      </c>
      <c r="AE6348">
        <v>-7.9882900000000001</v>
      </c>
      <c r="AF6348">
        <v>-2.8252162659889</v>
      </c>
      <c r="AG6348">
        <v>-1.1133507294939999</v>
      </c>
      <c r="AH6348">
        <v>8.7945355869545399</v>
      </c>
      <c r="AI6348">
        <v>96.872658689719302</v>
      </c>
      <c r="AJ6348">
        <v>107.80944805294899</v>
      </c>
      <c r="AK6348">
        <v>9.3040449798290901</v>
      </c>
      <c r="AL6348">
        <v>90.4445967362701</v>
      </c>
      <c r="AM6348">
        <v>91.920666656330994</v>
      </c>
      <c r="AN6348">
        <v>0.99999999741372902</v>
      </c>
    </row>
    <row r="6349" spans="1:40" x14ac:dyDescent="0.25">
      <c r="A6349" t="str">
        <f>"20190312154423466"</f>
        <v>20190312154423466</v>
      </c>
      <c r="B6349" t="str">
        <f>"1552376663453755"</f>
        <v>1552376663453755</v>
      </c>
      <c r="C6349" t="s">
        <v>40</v>
      </c>
      <c r="D6349">
        <v>4.9094850000000001</v>
      </c>
      <c r="E6349">
        <v>0.39459349999999999</v>
      </c>
      <c r="F6349" t="s">
        <v>70</v>
      </c>
      <c r="G6349">
        <v>-295.27289999999999</v>
      </c>
      <c r="H6349" s="1">
        <v>-5.772662E-6</v>
      </c>
      <c r="I6349">
        <v>-48.578200000000002</v>
      </c>
      <c r="J6349">
        <v>-300.15530000000001</v>
      </c>
      <c r="K6349">
        <v>1.1134250000000001</v>
      </c>
      <c r="L6349">
        <v>-40.630070000000003</v>
      </c>
      <c r="M6349">
        <v>0.24182960000000001</v>
      </c>
      <c r="N6349">
        <v>0</v>
      </c>
      <c r="O6349">
        <v>-0.97022379999999997</v>
      </c>
      <c r="P6349">
        <v>0.27047090000000001</v>
      </c>
      <c r="Q6349">
        <v>-2.225332E-2</v>
      </c>
      <c r="R6349">
        <v>-0.96247110000000002</v>
      </c>
      <c r="S6349">
        <v>1.6164860000000001</v>
      </c>
      <c r="T6349">
        <v>-0.36554150000000002</v>
      </c>
      <c r="U6349">
        <v>-2.6560670000000002</v>
      </c>
      <c r="V6349">
        <v>-2.9603529999999999E-2</v>
      </c>
      <c r="W6349">
        <v>-8.8906739999999995E-3</v>
      </c>
      <c r="X6349">
        <v>0.99952209999999997</v>
      </c>
      <c r="Y6349">
        <v>-0.29417650000000001</v>
      </c>
      <c r="Z6349">
        <v>0.1175818</v>
      </c>
      <c r="AA6349">
        <v>0.94849070000000002</v>
      </c>
      <c r="AB6349">
        <v>17</v>
      </c>
      <c r="AC6349">
        <v>4.8824000000000103</v>
      </c>
      <c r="AD6349">
        <v>-1.1134307726620001</v>
      </c>
      <c r="AE6349">
        <v>-7.9481299999999901</v>
      </c>
      <c r="AF6349">
        <v>-2.7756395587434799</v>
      </c>
      <c r="AG6349">
        <v>-1.1134307726620001</v>
      </c>
      <c r="AH6349">
        <v>8.76806541076804</v>
      </c>
      <c r="AI6349">
        <v>96.902962049592304</v>
      </c>
      <c r="AJ6349">
        <v>107.56582743124901</v>
      </c>
      <c r="AK6349">
        <v>9.2640635842528294</v>
      </c>
      <c r="AL6349">
        <v>90.509404848664403</v>
      </c>
      <c r="AM6349">
        <v>91.696472372221905</v>
      </c>
      <c r="AN6349">
        <v>0.99999992073051902</v>
      </c>
    </row>
    <row r="6350" spans="1:40" x14ac:dyDescent="0.25">
      <c r="A6350" t="str">
        <f>"20190312154423488"</f>
        <v>20190312154423488</v>
      </c>
      <c r="B6350" t="str">
        <f>"1552376663484010"</f>
        <v>1552376663484010</v>
      </c>
      <c r="C6350" t="s">
        <v>40</v>
      </c>
      <c r="D6350">
        <v>4.8568020000000001</v>
      </c>
      <c r="E6350">
        <v>0.39480359999999998</v>
      </c>
      <c r="F6350" t="s">
        <v>70</v>
      </c>
      <c r="G6350">
        <v>-295.26100000000002</v>
      </c>
      <c r="H6350" s="1">
        <v>-5.7986099999999997E-6</v>
      </c>
      <c r="I6350">
        <v>-48.64181</v>
      </c>
      <c r="J6350">
        <v>-300.10930000000002</v>
      </c>
      <c r="K6350">
        <v>1.113504</v>
      </c>
      <c r="L6350">
        <v>-40.784730000000003</v>
      </c>
      <c r="M6350">
        <v>0.24787120000000001</v>
      </c>
      <c r="N6350">
        <v>0</v>
      </c>
      <c r="O6350">
        <v>-0.96869749999999999</v>
      </c>
      <c r="P6350">
        <v>0.27404669999999998</v>
      </c>
      <c r="Q6350">
        <v>-2.4200320000000001E-2</v>
      </c>
      <c r="R6350">
        <v>-0.96141180000000004</v>
      </c>
      <c r="S6350">
        <v>1.6207279999999999</v>
      </c>
      <c r="T6350">
        <v>-0.36870229999999998</v>
      </c>
      <c r="U6350">
        <v>-2.6530149999999999</v>
      </c>
      <c r="V6350">
        <v>-2.7086430000000002E-2</v>
      </c>
      <c r="W6350">
        <v>-1.0809930000000001E-2</v>
      </c>
      <c r="X6350">
        <v>0.99957470000000004</v>
      </c>
      <c r="Y6350">
        <v>-0.28975230000000002</v>
      </c>
      <c r="Z6350">
        <v>0.1184597</v>
      </c>
      <c r="AA6350">
        <v>0.94974259999999999</v>
      </c>
      <c r="AB6350">
        <v>17</v>
      </c>
      <c r="AC6350">
        <v>4.8483000000000498</v>
      </c>
      <c r="AD6350">
        <v>-1.11350979861</v>
      </c>
      <c r="AE6350">
        <v>-7.8570799999999998</v>
      </c>
      <c r="AF6350">
        <v>-2.7098291864075201</v>
      </c>
      <c r="AG6350">
        <v>-1.11350979861</v>
      </c>
      <c r="AH6350">
        <v>8.6873363727619104</v>
      </c>
      <c r="AI6350">
        <v>96.9761195791327</v>
      </c>
      <c r="AJ6350">
        <v>107.324196772067</v>
      </c>
      <c r="AK6350">
        <v>9.1680364061569097</v>
      </c>
      <c r="AL6350">
        <v>90.619375394925598</v>
      </c>
      <c r="AM6350">
        <v>91.552218584630197</v>
      </c>
      <c r="AN6350">
        <v>1.0000000550784101</v>
      </c>
    </row>
    <row r="6351" spans="1:40" x14ac:dyDescent="0.25">
      <c r="A6351" t="str">
        <f>"20190312154423511"</f>
        <v>20190312154423511</v>
      </c>
      <c r="B6351" t="str">
        <f>"1552376663503530"</f>
        <v>1552376663503530</v>
      </c>
      <c r="C6351" t="s">
        <v>40</v>
      </c>
      <c r="D6351">
        <v>4.8322839999999996</v>
      </c>
      <c r="E6351">
        <v>0.44076860000000001</v>
      </c>
      <c r="F6351" t="s">
        <v>70</v>
      </c>
      <c r="G6351">
        <v>-295.2801</v>
      </c>
      <c r="H6351" s="1">
        <v>-5.7912940000000002E-6</v>
      </c>
      <c r="I6351">
        <v>-48.630360000000003</v>
      </c>
      <c r="J6351">
        <v>-300.0607</v>
      </c>
      <c r="K6351">
        <v>1.1135900000000001</v>
      </c>
      <c r="L6351">
        <v>-40.942959999999999</v>
      </c>
      <c r="M6351">
        <v>0.2542527</v>
      </c>
      <c r="N6351">
        <v>0</v>
      </c>
      <c r="O6351">
        <v>-0.96704230000000002</v>
      </c>
      <c r="P6351">
        <v>0.27946120000000002</v>
      </c>
      <c r="Q6351">
        <v>-2.492509E-2</v>
      </c>
      <c r="R6351">
        <v>-0.95983370000000001</v>
      </c>
      <c r="S6351">
        <v>1.629059</v>
      </c>
      <c r="T6351">
        <v>-0.37562570000000001</v>
      </c>
      <c r="U6351">
        <v>-2.6466059999999998</v>
      </c>
      <c r="V6351">
        <v>-2.6127230000000001E-2</v>
      </c>
      <c r="W6351">
        <v>-1.1516759999999999E-2</v>
      </c>
      <c r="X6351">
        <v>0.99959229999999999</v>
      </c>
      <c r="Y6351">
        <v>-0.28649980000000003</v>
      </c>
      <c r="Z6351">
        <v>0.1205599</v>
      </c>
      <c r="AA6351">
        <v>0.95046470000000005</v>
      </c>
      <c r="AB6351">
        <v>17</v>
      </c>
      <c r="AC6351">
        <v>4.78059999999999</v>
      </c>
      <c r="AD6351">
        <v>-1.11359579129399</v>
      </c>
      <c r="AE6351">
        <v>-7.6873999999999896</v>
      </c>
      <c r="AF6351">
        <v>-2.6289644853774998</v>
      </c>
      <c r="AG6351">
        <v>-1.11359579129399</v>
      </c>
      <c r="AH6351">
        <v>8.5213726245902901</v>
      </c>
      <c r="AI6351">
        <v>97.117957476255697</v>
      </c>
      <c r="AJ6351">
        <v>107.14573742099201</v>
      </c>
      <c r="AK6351">
        <v>8.9869539477445102</v>
      </c>
      <c r="AL6351">
        <v>90.659876318152598</v>
      </c>
      <c r="AM6351">
        <v>91.497249670920894</v>
      </c>
      <c r="AN6351">
        <v>1.0000000170638299</v>
      </c>
    </row>
    <row r="6352" spans="1:40" x14ac:dyDescent="0.25">
      <c r="A6352" t="str">
        <f>"20190312154423537"</f>
        <v>20190312154423537</v>
      </c>
      <c r="B6352" t="str">
        <f>"1552376663524026"</f>
        <v>1552376663524026</v>
      </c>
      <c r="C6352" t="s">
        <v>40</v>
      </c>
      <c r="D6352">
        <v>4.9779479999999996</v>
      </c>
      <c r="E6352">
        <v>0.50809819999999895</v>
      </c>
      <c r="F6352" t="s">
        <v>70</v>
      </c>
      <c r="G6352">
        <v>-295.20499999999998</v>
      </c>
      <c r="H6352" s="1">
        <v>-8.8584270000000003E-6</v>
      </c>
      <c r="I6352">
        <v>-51.243839999999999</v>
      </c>
      <c r="J6352">
        <v>-300.00420000000003</v>
      </c>
      <c r="K6352">
        <v>1.113664</v>
      </c>
      <c r="L6352">
        <v>-41.121980000000001</v>
      </c>
      <c r="M6352">
        <v>0.2616579</v>
      </c>
      <c r="N6352">
        <v>0</v>
      </c>
      <c r="O6352">
        <v>-0.96506449999999999</v>
      </c>
      <c r="P6352">
        <v>0.28744890000000001</v>
      </c>
      <c r="Q6352">
        <v>-2.4926199999999999E-2</v>
      </c>
      <c r="R6352">
        <v>-0.95747199999999999</v>
      </c>
      <c r="S6352">
        <v>1.2923279999999999</v>
      </c>
      <c r="T6352">
        <v>-0.2963845</v>
      </c>
      <c r="U6352">
        <v>-2.7415769999999999</v>
      </c>
      <c r="V6352">
        <v>-2.6791659999999998E-2</v>
      </c>
      <c r="W6352">
        <v>-1.151043E-2</v>
      </c>
      <c r="X6352">
        <v>0.99957479999999999</v>
      </c>
      <c r="Y6352">
        <v>-0.17278569999999999</v>
      </c>
      <c r="Z6352">
        <v>9.6170160000000005E-2</v>
      </c>
      <c r="AA6352">
        <v>0.98025320000000005</v>
      </c>
      <c r="AB6352">
        <v>17</v>
      </c>
      <c r="AC6352">
        <v>4.7992000000000399</v>
      </c>
      <c r="AD6352">
        <v>-1.1136728584269999</v>
      </c>
      <c r="AE6352">
        <v>-10.12186</v>
      </c>
      <c r="AF6352">
        <v>-1.96384668207395</v>
      </c>
      <c r="AG6352">
        <v>-1.1136728584269999</v>
      </c>
      <c r="AH6352">
        <v>10.917116803890099</v>
      </c>
      <c r="AI6352">
        <v>95.733290540527094</v>
      </c>
      <c r="AJ6352">
        <v>100.197698761667</v>
      </c>
      <c r="AK6352">
        <v>11.1481119628424</v>
      </c>
      <c r="AL6352">
        <v>90.659513602034906</v>
      </c>
      <c r="AM6352">
        <v>91.5353344316717</v>
      </c>
      <c r="AN6352">
        <v>1.00000003191968</v>
      </c>
    </row>
    <row r="6353" spans="1:40" x14ac:dyDescent="0.25">
      <c r="A6353" t="str">
        <f>"20190312154423560"</f>
        <v>20190312154423560</v>
      </c>
      <c r="B6353" t="str">
        <f>"1552376663553307"</f>
        <v>1552376663553307</v>
      </c>
      <c r="C6353" t="s">
        <v>40</v>
      </c>
      <c r="D6353">
        <v>4.9993100000000004</v>
      </c>
      <c r="E6353">
        <v>0.53763830000000001</v>
      </c>
      <c r="F6353" t="s">
        <v>41</v>
      </c>
      <c r="G6353">
        <v>-299.79480000000001</v>
      </c>
      <c r="H6353">
        <v>0.98295630000000001</v>
      </c>
      <c r="I6353">
        <v>-41.874029999999998</v>
      </c>
      <c r="J6353">
        <v>-299.95400000000001</v>
      </c>
      <c r="K6353">
        <v>1.1137030000000001</v>
      </c>
      <c r="L6353">
        <v>-41.276339999999998</v>
      </c>
      <c r="M6353">
        <v>0.26818389999999998</v>
      </c>
      <c r="N6353">
        <v>0</v>
      </c>
      <c r="O6353">
        <v>-0.96327130000000005</v>
      </c>
      <c r="P6353">
        <v>0.29439369999999998</v>
      </c>
      <c r="Q6353">
        <v>-2.485571E-2</v>
      </c>
      <c r="R6353">
        <v>-0.95536129999999997</v>
      </c>
      <c r="S6353">
        <v>0.80163569999999995</v>
      </c>
      <c r="T6353">
        <v>-0.5007644</v>
      </c>
      <c r="U6353">
        <v>-2.8795470000000001</v>
      </c>
      <c r="V6353">
        <v>-2.7283100000000001E-2</v>
      </c>
      <c r="W6353">
        <v>-1.1433209999999999E-2</v>
      </c>
      <c r="X6353">
        <v>0.99956239999999996</v>
      </c>
      <c r="Y6353">
        <v>3.5697540000000001E-3</v>
      </c>
      <c r="Z6353">
        <v>0.15917600000000001</v>
      </c>
      <c r="AA6353">
        <v>0.9872438</v>
      </c>
      <c r="AB6353">
        <v>16</v>
      </c>
      <c r="AC6353">
        <v>0.15919999999999801</v>
      </c>
      <c r="AD6353">
        <v>-0.13074669999999999</v>
      </c>
      <c r="AE6353">
        <v>-0.59768999999999295</v>
      </c>
      <c r="AF6353">
        <v>6.6419089978286498E-3</v>
      </c>
      <c r="AG6353">
        <v>-0.13074669999999999</v>
      </c>
      <c r="AH6353">
        <v>0.59203606242842499</v>
      </c>
      <c r="AI6353">
        <v>102.452692177599</v>
      </c>
      <c r="AJ6353">
        <v>89.357239510744193</v>
      </c>
      <c r="AK6353">
        <v>0.60633778847419595</v>
      </c>
      <c r="AL6353">
        <v>90.655088926503197</v>
      </c>
      <c r="AM6353">
        <v>91.563502637820093</v>
      </c>
      <c r="AN6353">
        <v>1.00000003866513</v>
      </c>
    </row>
    <row r="6354" spans="1:40" x14ac:dyDescent="0.25">
      <c r="A6354" t="str">
        <f>"20190312154423582"</f>
        <v>20190312154423582</v>
      </c>
      <c r="B6354" t="str">
        <f>"1552376663573802"</f>
        <v>1552376663573802</v>
      </c>
      <c r="C6354" t="s">
        <v>40</v>
      </c>
      <c r="D6354">
        <v>4.9694039999999999</v>
      </c>
      <c r="E6354">
        <v>0.54565779999999997</v>
      </c>
      <c r="F6354" t="s">
        <v>41</v>
      </c>
      <c r="G6354">
        <v>-299.80549999999999</v>
      </c>
      <c r="H6354">
        <v>0.93766649999999996</v>
      </c>
      <c r="I6354">
        <v>-42.002890000000001</v>
      </c>
      <c r="J6354">
        <v>-299.90370000000001</v>
      </c>
      <c r="K6354">
        <v>1.1137360000000001</v>
      </c>
      <c r="L6354">
        <v>-41.427149999999997</v>
      </c>
      <c r="M6354">
        <v>0.2746902</v>
      </c>
      <c r="N6354">
        <v>0</v>
      </c>
      <c r="O6354">
        <v>-0.9614357</v>
      </c>
      <c r="P6354">
        <v>0.30057499999999998</v>
      </c>
      <c r="Q6354">
        <v>-2.5129680000000001E-2</v>
      </c>
      <c r="R6354">
        <v>-0.95342700000000002</v>
      </c>
      <c r="S6354">
        <v>0.60043329999999995</v>
      </c>
      <c r="T6354">
        <v>-0.71226239999999996</v>
      </c>
      <c r="U6354">
        <v>-2.9366460000000001</v>
      </c>
      <c r="V6354">
        <v>-2.6997989999999999E-2</v>
      </c>
      <c r="W6354">
        <v>-1.169476E-2</v>
      </c>
      <c r="X6354">
        <v>0.99956710000000004</v>
      </c>
      <c r="Y6354">
        <v>8.1629660000000007E-2</v>
      </c>
      <c r="Z6354">
        <v>0.2198937</v>
      </c>
      <c r="AA6354">
        <v>0.97210249999999998</v>
      </c>
      <c r="AB6354">
        <v>16</v>
      </c>
      <c r="AC6354">
        <v>9.8200000000019799E-2</v>
      </c>
      <c r="AD6354">
        <v>-0.17606949999999999</v>
      </c>
      <c r="AE6354">
        <v>-0.57574000000000303</v>
      </c>
      <c r="AF6354">
        <v>5.8432811639621197E-2</v>
      </c>
      <c r="AG6354">
        <v>-0.17606949999999999</v>
      </c>
      <c r="AH6354">
        <v>0.53220018588045503</v>
      </c>
      <c r="AI6354">
        <v>108.203811508341</v>
      </c>
      <c r="AJ6354">
        <v>83.734318444601399</v>
      </c>
      <c r="AK6354">
        <v>0.56360615695497196</v>
      </c>
      <c r="AL6354">
        <v>90.670075649590402</v>
      </c>
      <c r="AM6354">
        <v>91.547164655211006</v>
      </c>
      <c r="AN6354">
        <v>1.0000000231389501</v>
      </c>
    </row>
    <row r="6355" spans="1:40" x14ac:dyDescent="0.25">
      <c r="A6355" t="str">
        <f>"20190312154423601"</f>
        <v>20190312154423601</v>
      </c>
      <c r="B6355" t="str">
        <f>"1552376663593322"</f>
        <v>1552376663593322</v>
      </c>
      <c r="C6355" t="s">
        <v>40</v>
      </c>
      <c r="D6355">
        <v>4.992019</v>
      </c>
      <c r="E6355">
        <v>0.54977369999999903</v>
      </c>
      <c r="F6355" t="s">
        <v>41</v>
      </c>
      <c r="G6355">
        <v>-299.76889999999997</v>
      </c>
      <c r="H6355">
        <v>0.92782659999999995</v>
      </c>
      <c r="I6355">
        <v>-42.137729999999998</v>
      </c>
      <c r="J6355">
        <v>-299.85700000000003</v>
      </c>
      <c r="K6355">
        <v>1.1137709999999901</v>
      </c>
      <c r="L6355">
        <v>-41.56409</v>
      </c>
      <c r="M6355">
        <v>0.28071020000000002</v>
      </c>
      <c r="N6355">
        <v>0</v>
      </c>
      <c r="O6355">
        <v>-0.95969530000000003</v>
      </c>
      <c r="P6355">
        <v>0.3050408</v>
      </c>
      <c r="Q6355">
        <v>-2.549684E-2</v>
      </c>
      <c r="R6355">
        <v>-0.95199789999999995</v>
      </c>
      <c r="S6355">
        <v>0.56011959999999905</v>
      </c>
      <c r="T6355">
        <v>-0.77233079999999998</v>
      </c>
      <c r="U6355">
        <v>-2.9495849999999999</v>
      </c>
      <c r="V6355">
        <v>-2.5417820000000001E-2</v>
      </c>
      <c r="W6355">
        <v>-1.2039390000000001E-2</v>
      </c>
      <c r="X6355">
        <v>0.99960439999999995</v>
      </c>
      <c r="Y6355">
        <v>0.1022116</v>
      </c>
      <c r="Z6355">
        <v>0.23577960000000001</v>
      </c>
      <c r="AA6355">
        <v>0.96641650000000001</v>
      </c>
      <c r="AB6355">
        <v>16</v>
      </c>
      <c r="AC6355">
        <v>8.8100000000053996E-2</v>
      </c>
      <c r="AD6355">
        <v>-0.18594439999999901</v>
      </c>
      <c r="AE6355">
        <v>-0.57363999999999704</v>
      </c>
      <c r="AF6355">
        <v>6.9364280953448099E-2</v>
      </c>
      <c r="AG6355">
        <v>-0.18594439999999901</v>
      </c>
      <c r="AH6355">
        <v>0.52174619693127899</v>
      </c>
      <c r="AI6355">
        <v>109.457306575416</v>
      </c>
      <c r="AJ6355">
        <v>82.427139884355597</v>
      </c>
      <c r="AK6355">
        <v>0.55821664018174999</v>
      </c>
      <c r="AL6355">
        <v>90.689822910911005</v>
      </c>
      <c r="AM6355">
        <v>91.456596284287798</v>
      </c>
      <c r="AN6355">
        <v>0.99999998449224203</v>
      </c>
    </row>
    <row r="6356" spans="1:40" x14ac:dyDescent="0.25">
      <c r="A6356" t="str">
        <f>"20190312154423622"</f>
        <v>20190312154423622</v>
      </c>
      <c r="B6356" t="str">
        <f>"1552376663613818"</f>
        <v>1552376663613818</v>
      </c>
      <c r="C6356" t="s">
        <v>40</v>
      </c>
      <c r="D6356">
        <v>5.0091510000000001</v>
      </c>
      <c r="E6356">
        <v>0.55241530000000005</v>
      </c>
      <c r="F6356" t="s">
        <v>41</v>
      </c>
      <c r="G6356">
        <v>-299.7269</v>
      </c>
      <c r="H6356">
        <v>0.92157979999999995</v>
      </c>
      <c r="I6356">
        <v>-42.272660000000002</v>
      </c>
      <c r="J6356">
        <v>-299.80689999999998</v>
      </c>
      <c r="K6356">
        <v>1.1138140000000001</v>
      </c>
      <c r="L6356">
        <v>-41.70731</v>
      </c>
      <c r="M6356">
        <v>0.28711439999999999</v>
      </c>
      <c r="N6356">
        <v>0</v>
      </c>
      <c r="O6356">
        <v>-0.95779879999999995</v>
      </c>
      <c r="P6356">
        <v>0.3091159</v>
      </c>
      <c r="Q6356">
        <v>-2.5664510000000001E-2</v>
      </c>
      <c r="R6356">
        <v>-0.95067829999999998</v>
      </c>
      <c r="S6356">
        <v>0.54293819999999904</v>
      </c>
      <c r="T6356">
        <v>-0.80252100000000004</v>
      </c>
      <c r="U6356">
        <v>-2.9558110000000002</v>
      </c>
      <c r="V6356">
        <v>-2.3022549999999999E-2</v>
      </c>
      <c r="W6356">
        <v>-1.217647E-2</v>
      </c>
      <c r="X6356">
        <v>0.99966080000000002</v>
      </c>
      <c r="Y6356">
        <v>0.11499860000000001</v>
      </c>
      <c r="Z6356">
        <v>0.24314050000000001</v>
      </c>
      <c r="AA6356">
        <v>0.96314999999999995</v>
      </c>
      <c r="AB6356">
        <v>16</v>
      </c>
      <c r="AC6356">
        <v>7.9999999999984001E-2</v>
      </c>
      <c r="AD6356">
        <v>-0.19223419999999899</v>
      </c>
      <c r="AE6356">
        <v>-0.56534999999999502</v>
      </c>
      <c r="AF6356">
        <v>7.6978787051771094E-2</v>
      </c>
      <c r="AG6356">
        <v>-0.19223419999999899</v>
      </c>
      <c r="AH6356">
        <v>0.50704102544553598</v>
      </c>
      <c r="AI6356">
        <v>110.547719975573</v>
      </c>
      <c r="AJ6356">
        <v>81.367298073403902</v>
      </c>
      <c r="AK6356">
        <v>0.54769546537328795</v>
      </c>
      <c r="AL6356">
        <v>90.6976775747234</v>
      </c>
      <c r="AM6356">
        <v>91.319309317621205</v>
      </c>
      <c r="AN6356">
        <v>1.0000000096434001</v>
      </c>
    </row>
    <row r="6357" spans="1:40" x14ac:dyDescent="0.25">
      <c r="A6357" t="str">
        <f>"20190312154423645"</f>
        <v>20190312154423645</v>
      </c>
      <c r="B6357" t="str">
        <f>"1552376663633339"</f>
        <v>1552376663633339</v>
      </c>
      <c r="C6357" t="s">
        <v>40</v>
      </c>
      <c r="D6357">
        <v>5.0345630000000003</v>
      </c>
      <c r="E6357">
        <v>0.55421509999999996</v>
      </c>
      <c r="F6357" t="s">
        <v>41</v>
      </c>
      <c r="G6357">
        <v>-299.68009999999998</v>
      </c>
      <c r="H6357">
        <v>0.91930319999999999</v>
      </c>
      <c r="I6357">
        <v>-42.408169999999998</v>
      </c>
      <c r="J6357">
        <v>-299.75209999999998</v>
      </c>
      <c r="K6357">
        <v>1.11385499999999</v>
      </c>
      <c r="L6357">
        <v>-41.860289999999999</v>
      </c>
      <c r="M6357">
        <v>0.29406470000000001</v>
      </c>
      <c r="N6357">
        <v>0</v>
      </c>
      <c r="O6357">
        <v>-0.95568759999999997</v>
      </c>
      <c r="P6357">
        <v>0.31389840000000002</v>
      </c>
      <c r="Q6357">
        <v>-2.6274579999999999E-2</v>
      </c>
      <c r="R6357">
        <v>-0.94909330000000003</v>
      </c>
      <c r="S6357">
        <v>0.53524780000000005</v>
      </c>
      <c r="T6357">
        <v>-0.82112439999999998</v>
      </c>
      <c r="U6357">
        <v>-2.9594420000000001</v>
      </c>
      <c r="V6357">
        <v>-2.0792459999999999E-2</v>
      </c>
      <c r="W6357">
        <v>-1.275634E-2</v>
      </c>
      <c r="X6357">
        <v>0.99970250000000005</v>
      </c>
      <c r="Y6357">
        <v>0.12504180000000001</v>
      </c>
      <c r="Z6357">
        <v>0.24718789999999999</v>
      </c>
      <c r="AA6357">
        <v>0.96086559999999999</v>
      </c>
      <c r="AB6357">
        <v>16</v>
      </c>
      <c r="AC6357">
        <v>7.2000000000002701E-2</v>
      </c>
      <c r="AD6357">
        <v>-0.194551799999999</v>
      </c>
      <c r="AE6357">
        <v>-0.54787999999999903</v>
      </c>
      <c r="AF6357">
        <v>8.2130793669451294E-2</v>
      </c>
      <c r="AG6357">
        <v>-0.194551799999999</v>
      </c>
      <c r="AH6357">
        <v>0.48473992841282698</v>
      </c>
      <c r="AI6357">
        <v>111.58935860987501</v>
      </c>
      <c r="AJ6357">
        <v>80.383548698048799</v>
      </c>
      <c r="AK6357">
        <v>0.52874253502974999</v>
      </c>
      <c r="AL6357">
        <v>90.730904216743994</v>
      </c>
      <c r="AM6357">
        <v>91.191502938473803</v>
      </c>
      <c r="AN6357">
        <v>1.00000006955464</v>
      </c>
    </row>
    <row r="6358" spans="1:40" x14ac:dyDescent="0.25">
      <c r="A6358" t="str">
        <f>"20190312154423667"</f>
        <v>20190312154423667</v>
      </c>
      <c r="B6358" t="str">
        <f>"1552376663663595"</f>
        <v>1552376663663595</v>
      </c>
      <c r="C6358" t="s">
        <v>40</v>
      </c>
      <c r="D6358">
        <v>5.0463990000000001</v>
      </c>
      <c r="E6358">
        <v>0.55588609999999905</v>
      </c>
      <c r="F6358" t="s">
        <v>41</v>
      </c>
      <c r="G6358">
        <v>-299.62860000000001</v>
      </c>
      <c r="H6358">
        <v>0.92131200000000002</v>
      </c>
      <c r="I6358">
        <v>-42.543979999999998</v>
      </c>
      <c r="J6358">
        <v>-299.69779999999997</v>
      </c>
      <c r="K6358">
        <v>1.113891</v>
      </c>
      <c r="L6358">
        <v>-42.008119999999998</v>
      </c>
      <c r="M6358">
        <v>0.30088429999999999</v>
      </c>
      <c r="N6358">
        <v>0</v>
      </c>
      <c r="O6358">
        <v>-0.95356229999999997</v>
      </c>
      <c r="P6358">
        <v>0.31959219999999999</v>
      </c>
      <c r="Q6358">
        <v>-2.7168749999999998E-2</v>
      </c>
      <c r="R6358">
        <v>-0.94716579999999995</v>
      </c>
      <c r="S6358">
        <v>0.53524780000000005</v>
      </c>
      <c r="T6358">
        <v>-0.83512310000000001</v>
      </c>
      <c r="U6358">
        <v>-2.9607540000000001</v>
      </c>
      <c r="V6358">
        <v>-1.965387E-2</v>
      </c>
      <c r="W6358">
        <v>-1.363051E-2</v>
      </c>
      <c r="X6358">
        <v>0.99971390000000004</v>
      </c>
      <c r="Y6358">
        <v>0.1323491</v>
      </c>
      <c r="Z6358">
        <v>0.25004349999999997</v>
      </c>
      <c r="AA6358">
        <v>0.95914650000000001</v>
      </c>
      <c r="AB6358">
        <v>16</v>
      </c>
      <c r="AC6358">
        <v>6.9199999999966594E-2</v>
      </c>
      <c r="AD6358">
        <v>-0.192578999999999</v>
      </c>
      <c r="AE6358">
        <v>-0.535859999999999</v>
      </c>
      <c r="AF6358">
        <v>8.4517396070420595E-2</v>
      </c>
      <c r="AG6358">
        <v>-0.192578999999999</v>
      </c>
      <c r="AH6358">
        <v>0.471898157352865</v>
      </c>
      <c r="AI6358">
        <v>111.885452961295</v>
      </c>
      <c r="AJ6358">
        <v>79.845930692077303</v>
      </c>
      <c r="AK6358">
        <v>0.51664081564715103</v>
      </c>
      <c r="AL6358">
        <v>90.780994901090295</v>
      </c>
      <c r="AM6358">
        <v>91.1262609834735</v>
      </c>
      <c r="AN6358">
        <v>0.999999973631023</v>
      </c>
    </row>
    <row r="6359" spans="1:40" x14ac:dyDescent="0.25">
      <c r="A6359" t="str">
        <f>"20190312154423690"</f>
        <v>20190312154423690</v>
      </c>
      <c r="B6359" t="str">
        <f>"1552376663683759"</f>
        <v>1552376663683759</v>
      </c>
      <c r="C6359" t="s">
        <v>40</v>
      </c>
      <c r="D6359">
        <v>5.0578059999999896</v>
      </c>
      <c r="E6359">
        <v>0.55643480000000001</v>
      </c>
      <c r="F6359" t="s">
        <v>41</v>
      </c>
      <c r="G6359">
        <v>-299.57569999999998</v>
      </c>
      <c r="H6359">
        <v>0.92106149999999998</v>
      </c>
      <c r="I6359">
        <v>-42.677889999999998</v>
      </c>
      <c r="J6359">
        <v>-299.63909999999998</v>
      </c>
      <c r="K6359">
        <v>1.11392</v>
      </c>
      <c r="L6359">
        <v>-42.163730000000001</v>
      </c>
      <c r="M6359">
        <v>0.30818119999999999</v>
      </c>
      <c r="N6359">
        <v>0</v>
      </c>
      <c r="O6359">
        <v>-0.95122890000000004</v>
      </c>
      <c r="P6359">
        <v>0.32621559999999999</v>
      </c>
      <c r="Q6359">
        <v>-2.7759570000000001E-2</v>
      </c>
      <c r="R6359">
        <v>-0.9448879</v>
      </c>
      <c r="S6359">
        <v>0.53970340000000006</v>
      </c>
      <c r="T6359">
        <v>-0.85245939999999998</v>
      </c>
      <c r="U6359">
        <v>-2.960785</v>
      </c>
      <c r="V6359">
        <v>-1.899348E-2</v>
      </c>
      <c r="W6359">
        <v>-1.420563E-2</v>
      </c>
      <c r="X6359">
        <v>0.99971869999999996</v>
      </c>
      <c r="Y6359">
        <v>0.138742</v>
      </c>
      <c r="Z6359">
        <v>0.25377480000000002</v>
      </c>
      <c r="AA6359">
        <v>0.95726120000000003</v>
      </c>
      <c r="AB6359">
        <v>16</v>
      </c>
      <c r="AC6359">
        <v>6.34000000000014E-2</v>
      </c>
      <c r="AD6359">
        <v>-0.19285849999999999</v>
      </c>
      <c r="AE6359">
        <v>-0.51416000000000395</v>
      </c>
      <c r="AF6359">
        <v>8.6208277839523895E-2</v>
      </c>
      <c r="AG6359">
        <v>-0.19285849999999999</v>
      </c>
      <c r="AH6359">
        <v>0.44675518946848602</v>
      </c>
      <c r="AI6359">
        <v>112.970525767604</v>
      </c>
      <c r="AJ6359">
        <v>79.078139418067394</v>
      </c>
      <c r="AK6359">
        <v>0.49418262566315502</v>
      </c>
      <c r="AL6359">
        <v>90.813950008978097</v>
      </c>
      <c r="AM6359">
        <v>91.088421507493194</v>
      </c>
      <c r="AN6359">
        <v>1.0000000156679401</v>
      </c>
    </row>
    <row r="6360" spans="1:40" x14ac:dyDescent="0.25">
      <c r="A6360" t="str">
        <f>"20190312154423712"</f>
        <v>20190312154423712</v>
      </c>
      <c r="B6360" t="str">
        <f>"1552376663704256"</f>
        <v>1552376663704256</v>
      </c>
      <c r="C6360" t="s">
        <v>40</v>
      </c>
      <c r="D6360">
        <v>5.0874199999999998</v>
      </c>
      <c r="E6360">
        <v>0.55677119999999902</v>
      </c>
      <c r="F6360" t="s">
        <v>41</v>
      </c>
      <c r="G6360">
        <v>-299.49349999999998</v>
      </c>
      <c r="H6360">
        <v>0.88912789999999997</v>
      </c>
      <c r="I6360">
        <v>-42.938839999999999</v>
      </c>
      <c r="J6360">
        <v>-299.5829</v>
      </c>
      <c r="K6360">
        <v>1.1139319999999999</v>
      </c>
      <c r="L6360">
        <v>-42.308779999999999</v>
      </c>
      <c r="M6360">
        <v>0.31508180000000002</v>
      </c>
      <c r="N6360">
        <v>0</v>
      </c>
      <c r="O6360">
        <v>-0.94896519999999995</v>
      </c>
      <c r="P6360">
        <v>0.33290170000000002</v>
      </c>
      <c r="Q6360">
        <v>-2.7914089999999999E-2</v>
      </c>
      <c r="R6360">
        <v>-0.94254819999999995</v>
      </c>
      <c r="S6360">
        <v>0.55572509999999997</v>
      </c>
      <c r="T6360">
        <v>-0.85832109999999995</v>
      </c>
      <c r="U6360">
        <v>-2.957916</v>
      </c>
      <c r="V6360">
        <v>-1.881468E-2</v>
      </c>
      <c r="W6360">
        <v>-1.4349519999999999E-2</v>
      </c>
      <c r="X6360">
        <v>0.99972000000000005</v>
      </c>
      <c r="Y6360">
        <v>0.140816</v>
      </c>
      <c r="Z6360">
        <v>0.2545596</v>
      </c>
      <c r="AA6360">
        <v>0.95674990000000004</v>
      </c>
      <c r="AB6360">
        <v>16</v>
      </c>
      <c r="AC6360">
        <v>8.9400000000011901E-2</v>
      </c>
      <c r="AD6360">
        <v>-0.22480409999999901</v>
      </c>
      <c r="AE6360">
        <v>-0.63005999999999995</v>
      </c>
      <c r="AF6360">
        <v>0.10107969862605</v>
      </c>
      <c r="AG6360">
        <v>-0.22480409999999901</v>
      </c>
      <c r="AH6360">
        <v>0.556664857644945</v>
      </c>
      <c r="AI6360">
        <v>111.670082345501</v>
      </c>
      <c r="AJ6360">
        <v>79.708314999217507</v>
      </c>
      <c r="AK6360">
        <v>0.60879368638974096</v>
      </c>
      <c r="AL6360">
        <v>90.822195160384496</v>
      </c>
      <c r="AM6360">
        <v>91.078176400660496</v>
      </c>
      <c r="AN6360">
        <v>0.99999998965386605</v>
      </c>
    </row>
    <row r="6361" spans="1:40" x14ac:dyDescent="0.25">
      <c r="A6361" t="str">
        <f>"20190312154423736"</f>
        <v>20190312154423736</v>
      </c>
      <c r="B6361" t="str">
        <f>"1552376663723776"</f>
        <v>1552376663723776</v>
      </c>
      <c r="C6361" t="s">
        <v>40</v>
      </c>
      <c r="D6361">
        <v>5.0933440000000001</v>
      </c>
      <c r="E6361">
        <v>0.55686910000000001</v>
      </c>
      <c r="F6361" t="s">
        <v>41</v>
      </c>
      <c r="G6361">
        <v>-299.43509999999998</v>
      </c>
      <c r="H6361">
        <v>0.89164949999999998</v>
      </c>
      <c r="I6361">
        <v>-43.071240000000003</v>
      </c>
      <c r="J6361">
        <v>-299.51819999999998</v>
      </c>
      <c r="K6361">
        <v>1.1139349999999999</v>
      </c>
      <c r="L6361">
        <v>-42.472050000000003</v>
      </c>
      <c r="M6361">
        <v>0.32293559999999999</v>
      </c>
      <c r="N6361">
        <v>0</v>
      </c>
      <c r="O6361">
        <v>-0.94632139999999998</v>
      </c>
      <c r="P6361">
        <v>0.34050580000000003</v>
      </c>
      <c r="Q6361">
        <v>-2.837284E-2</v>
      </c>
      <c r="R6361">
        <v>-0.93981429999999999</v>
      </c>
      <c r="S6361">
        <v>0.57354740000000004</v>
      </c>
      <c r="T6361">
        <v>-0.86203619999999903</v>
      </c>
      <c r="U6361">
        <v>-2.954742</v>
      </c>
      <c r="V6361">
        <v>-1.8607189999999999E-2</v>
      </c>
      <c r="W6361">
        <v>-1.4797100000000001E-2</v>
      </c>
      <c r="X6361">
        <v>0.99971739999999998</v>
      </c>
      <c r="Y6361">
        <v>0.14329069999999999</v>
      </c>
      <c r="Z6361">
        <v>0.2545906</v>
      </c>
      <c r="AA6361">
        <v>0.9563741</v>
      </c>
      <c r="AB6361">
        <v>16</v>
      </c>
      <c r="AC6361">
        <v>8.31000000000017E-2</v>
      </c>
      <c r="AD6361">
        <v>-0.2222855</v>
      </c>
      <c r="AE6361">
        <v>-0.59919</v>
      </c>
      <c r="AF6361">
        <v>0.101205822014736</v>
      </c>
      <c r="AG6361">
        <v>-0.2222855</v>
      </c>
      <c r="AH6361">
        <v>0.52326372161064205</v>
      </c>
      <c r="AI6361">
        <v>112.639865291891</v>
      </c>
      <c r="AJ6361">
        <v>79.053433997645598</v>
      </c>
      <c r="AK6361">
        <v>0.57745855632568799</v>
      </c>
      <c r="AL6361">
        <v>90.847842294626403</v>
      </c>
      <c r="AM6361">
        <v>91.066291706372795</v>
      </c>
      <c r="AN6361">
        <v>1.00000003077543</v>
      </c>
    </row>
    <row r="6362" spans="1:40" x14ac:dyDescent="0.25">
      <c r="A6362" t="str">
        <f>"20190312154423760"</f>
        <v>20190312154423760</v>
      </c>
      <c r="B6362" t="str">
        <f>"1552376663754032"</f>
        <v>1552376663754032</v>
      </c>
      <c r="C6362" t="s">
        <v>40</v>
      </c>
      <c r="D6362">
        <v>5.0563650000000004</v>
      </c>
      <c r="E6362">
        <v>0.55691550000000001</v>
      </c>
      <c r="F6362" t="s">
        <v>41</v>
      </c>
      <c r="G6362">
        <v>-299.37009999999998</v>
      </c>
      <c r="H6362">
        <v>0.89955499999999899</v>
      </c>
      <c r="I6362">
        <v>-43.203360000000004</v>
      </c>
      <c r="J6362">
        <v>-299.4554</v>
      </c>
      <c r="K6362">
        <v>1.1139300000000001</v>
      </c>
      <c r="L6362">
        <v>-42.626649999999998</v>
      </c>
      <c r="M6362">
        <v>0.33044230000000002</v>
      </c>
      <c r="N6362">
        <v>0</v>
      </c>
      <c r="O6362">
        <v>-0.94372610000000001</v>
      </c>
      <c r="P6362">
        <v>0.3480066</v>
      </c>
      <c r="Q6362">
        <v>-2.855301E-2</v>
      </c>
      <c r="R6362">
        <v>-0.93705749999999999</v>
      </c>
      <c r="S6362">
        <v>0.59732059999999998</v>
      </c>
      <c r="T6362">
        <v>-0.86497880000000005</v>
      </c>
      <c r="U6362">
        <v>-2.9495849999999999</v>
      </c>
      <c r="V6362">
        <v>-1.8656720000000002E-2</v>
      </c>
      <c r="W6362">
        <v>-1.496989E-2</v>
      </c>
      <c r="X6362">
        <v>0.99971390000000004</v>
      </c>
      <c r="Y6362">
        <v>0.14344770000000001</v>
      </c>
      <c r="Z6362">
        <v>0.25457800000000003</v>
      </c>
      <c r="AA6362">
        <v>0.95635389999999998</v>
      </c>
      <c r="AB6362">
        <v>16</v>
      </c>
      <c r="AC6362">
        <v>8.5300000000017903E-2</v>
      </c>
      <c r="AD6362">
        <v>-0.21437500000000001</v>
      </c>
      <c r="AE6362">
        <v>-0.57670999999999795</v>
      </c>
      <c r="AF6362">
        <v>9.6968100879429905E-2</v>
      </c>
      <c r="AG6362">
        <v>-0.21437500000000001</v>
      </c>
      <c r="AH6362">
        <v>0.50430582356716203</v>
      </c>
      <c r="AI6362">
        <v>112.65773226687</v>
      </c>
      <c r="AJ6362">
        <v>79.115983614101495</v>
      </c>
      <c r="AK6362">
        <v>0.55649242303639401</v>
      </c>
      <c r="AL6362">
        <v>90.857743532602598</v>
      </c>
      <c r="AM6362">
        <v>91.069133125036601</v>
      </c>
      <c r="AN6362">
        <v>1.00000002633049</v>
      </c>
    </row>
    <row r="6363" spans="1:40" x14ac:dyDescent="0.25">
      <c r="A6363" t="str">
        <f>"20190312154423783"</f>
        <v>20190312154423783</v>
      </c>
      <c r="B6363" t="str">
        <f>"1552376663774527"</f>
        <v>1552376663774527</v>
      </c>
      <c r="C6363" t="s">
        <v>40</v>
      </c>
      <c r="D6363">
        <v>5.1122779999999999</v>
      </c>
      <c r="E6363">
        <v>0.55690680000000004</v>
      </c>
      <c r="F6363" t="s">
        <v>41</v>
      </c>
      <c r="G6363">
        <v>-299.30619999999999</v>
      </c>
      <c r="H6363">
        <v>0.90551970000000004</v>
      </c>
      <c r="I6363">
        <v>-43.334530000000001</v>
      </c>
      <c r="J6363">
        <v>-299.39339999999999</v>
      </c>
      <c r="K6363">
        <v>1.1139289999999999</v>
      </c>
      <c r="L6363">
        <v>-42.776029999999999</v>
      </c>
      <c r="M6363">
        <v>0.3377598</v>
      </c>
      <c r="N6363">
        <v>0</v>
      </c>
      <c r="O6363">
        <v>-0.94113190000000002</v>
      </c>
      <c r="P6363">
        <v>0.35502509999999998</v>
      </c>
      <c r="Q6363">
        <v>-2.8482150000000001E-2</v>
      </c>
      <c r="R6363">
        <v>-0.93442289999999995</v>
      </c>
      <c r="S6363">
        <v>0.62149049999999995</v>
      </c>
      <c r="T6363">
        <v>-0.86776350000000002</v>
      </c>
      <c r="U6363">
        <v>-2.9442750000000002</v>
      </c>
      <c r="V6363">
        <v>-1.8393130000000001E-2</v>
      </c>
      <c r="W6363">
        <v>-1.4890219999999999E-2</v>
      </c>
      <c r="X6363">
        <v>0.99972000000000005</v>
      </c>
      <c r="Y6363">
        <v>0.14329140000000001</v>
      </c>
      <c r="Z6363">
        <v>0.25452550000000002</v>
      </c>
      <c r="AA6363">
        <v>0.95639130000000006</v>
      </c>
      <c r="AB6363">
        <v>16</v>
      </c>
      <c r="AC6363">
        <v>8.7199999999995698E-2</v>
      </c>
      <c r="AD6363">
        <v>-0.20840929999999999</v>
      </c>
      <c r="AE6363">
        <v>-0.55850000000000199</v>
      </c>
      <c r="AF6363">
        <v>9.3827836259321201E-2</v>
      </c>
      <c r="AG6363">
        <v>-0.20840929999999999</v>
      </c>
      <c r="AH6363">
        <v>0.48869682220958199</v>
      </c>
      <c r="AI6363">
        <v>112.72442110172599</v>
      </c>
      <c r="AJ6363">
        <v>79.131695561187797</v>
      </c>
      <c r="AK6363">
        <v>0.53950225506603799</v>
      </c>
      <c r="AL6363">
        <v>90.853178247102903</v>
      </c>
      <c r="AM6363">
        <v>91.054024964042696</v>
      </c>
      <c r="AN6363">
        <v>1.0000000521414201</v>
      </c>
    </row>
    <row r="6364" spans="1:40" x14ac:dyDescent="0.25">
      <c r="A6364" t="str">
        <f>"20190312154423802"</f>
        <v>20190312154423802</v>
      </c>
      <c r="B6364" t="str">
        <f>"1552376663794048"</f>
        <v>1552376663794048</v>
      </c>
      <c r="C6364" t="s">
        <v>40</v>
      </c>
      <c r="D6364">
        <v>5.0325160000000002</v>
      </c>
      <c r="E6364">
        <v>0.56998000000000004</v>
      </c>
      <c r="F6364" t="s">
        <v>41</v>
      </c>
      <c r="G6364">
        <v>-299.24279999999999</v>
      </c>
      <c r="H6364">
        <v>0.91066550000000002</v>
      </c>
      <c r="I6364">
        <v>-43.465209999999999</v>
      </c>
      <c r="J6364">
        <v>-299.33999999999997</v>
      </c>
      <c r="K6364">
        <v>1.1139330000000001</v>
      </c>
      <c r="L6364">
        <v>-42.901580000000003</v>
      </c>
      <c r="M6364">
        <v>0.34396159999999998</v>
      </c>
      <c r="N6364">
        <v>0</v>
      </c>
      <c r="O6364">
        <v>-0.93888289999999996</v>
      </c>
      <c r="P6364">
        <v>0.36014639999999998</v>
      </c>
      <c r="Q6364">
        <v>-2.787891E-2</v>
      </c>
      <c r="R6364">
        <v>-0.93247910000000001</v>
      </c>
      <c r="S6364">
        <v>0.64257810000000004</v>
      </c>
      <c r="T6364">
        <v>-0.86751029999999996</v>
      </c>
      <c r="U6364">
        <v>-2.9399410000000001</v>
      </c>
      <c r="V6364">
        <v>-1.7281120000000001E-2</v>
      </c>
      <c r="W6364">
        <v>-1.4272079999999999E-2</v>
      </c>
      <c r="X6364">
        <v>0.99974879999999999</v>
      </c>
      <c r="Y6364">
        <v>0.14295579999999999</v>
      </c>
      <c r="Z6364">
        <v>0.25372990000000001</v>
      </c>
      <c r="AA6364">
        <v>0.95665290000000003</v>
      </c>
      <c r="AB6364">
        <v>16</v>
      </c>
      <c r="AC6364">
        <v>9.7199999999986603E-2</v>
      </c>
      <c r="AD6364">
        <v>-0.20326749999999999</v>
      </c>
      <c r="AE6364">
        <v>-0.56363000000000296</v>
      </c>
      <c r="AF6364">
        <v>9.1109767764731897E-2</v>
      </c>
      <c r="AG6364">
        <v>-0.20326749999999999</v>
      </c>
      <c r="AH6364">
        <v>0.49957070079309801</v>
      </c>
      <c r="AI6364">
        <v>111.815332190878</v>
      </c>
      <c r="AJ6364">
        <v>79.664211842248704</v>
      </c>
      <c r="AK6364">
        <v>0.54698222222417803</v>
      </c>
      <c r="AL6364">
        <v>90.817757715371897</v>
      </c>
      <c r="AM6364">
        <v>90.990285405382195</v>
      </c>
      <c r="AN6364">
        <v>0.99999999623871005</v>
      </c>
    </row>
    <row r="6365" spans="1:40" x14ac:dyDescent="0.25">
      <c r="A6365" t="str">
        <f>"20190312154423824"</f>
        <v>20190312154423824</v>
      </c>
      <c r="B6365" t="str">
        <f>"1552376663814544"</f>
        <v>1552376663814544</v>
      </c>
      <c r="C6365" t="s">
        <v>40</v>
      </c>
      <c r="D6365">
        <v>4.9889640000000002</v>
      </c>
      <c r="E6365">
        <v>0.56962969999999902</v>
      </c>
      <c r="F6365" t="s">
        <v>41</v>
      </c>
      <c r="G6365">
        <v>-299.20870000000002</v>
      </c>
      <c r="H6365">
        <v>0.88995419999999903</v>
      </c>
      <c r="I6365">
        <v>-43.595480000000002</v>
      </c>
      <c r="J6365">
        <v>-299.27949999999998</v>
      </c>
      <c r="K6365">
        <v>1.113947</v>
      </c>
      <c r="L6365">
        <v>-43.041260000000001</v>
      </c>
      <c r="M6365">
        <v>0.35091549999999999</v>
      </c>
      <c r="N6365">
        <v>0</v>
      </c>
      <c r="O6365">
        <v>-0.93630610000000003</v>
      </c>
      <c r="P6365">
        <v>0.36605539999999998</v>
      </c>
      <c r="Q6365">
        <v>-2.7792810000000001E-2</v>
      </c>
      <c r="R6365">
        <v>-0.93017830000000001</v>
      </c>
      <c r="S6365">
        <v>0.56262209999999901</v>
      </c>
      <c r="T6365">
        <v>-0.96007730000000002</v>
      </c>
      <c r="U6365">
        <v>-2.971222</v>
      </c>
      <c r="V6365">
        <v>-1.6209479999999998E-2</v>
      </c>
      <c r="W6365">
        <v>-1.417089E-2</v>
      </c>
      <c r="X6365">
        <v>0.9997682</v>
      </c>
      <c r="Y6365">
        <v>0.17812349999999999</v>
      </c>
      <c r="Z6365">
        <v>0.27444740000000001</v>
      </c>
      <c r="AA6365">
        <v>0.94496069999999999</v>
      </c>
      <c r="AB6365">
        <v>16</v>
      </c>
      <c r="AC6365">
        <v>7.0799999999962795E-2</v>
      </c>
      <c r="AD6365">
        <v>-0.22399279999999999</v>
      </c>
      <c r="AE6365">
        <v>-0.55422000000000005</v>
      </c>
      <c r="AF6365">
        <v>0.11045376769446801</v>
      </c>
      <c r="AG6365">
        <v>-0.22399279999999999</v>
      </c>
      <c r="AH6365">
        <v>0.46851540691069099</v>
      </c>
      <c r="AI6365">
        <v>114.954158052769</v>
      </c>
      <c r="AJ6365">
        <v>76.734586668696906</v>
      </c>
      <c r="AK6365">
        <v>0.53092324846670103</v>
      </c>
      <c r="AL6365">
        <v>90.811959359845901</v>
      </c>
      <c r="AM6365">
        <v>90.9288687381502</v>
      </c>
      <c r="AN6365">
        <v>1.00000000754825</v>
      </c>
    </row>
    <row r="6366" spans="1:40" x14ac:dyDescent="0.25">
      <c r="A6366" t="str">
        <f>"20190312154423845"</f>
        <v>20190312154423845</v>
      </c>
      <c r="B6366" t="str">
        <f>"1552376663834064"</f>
        <v>1552376663834064</v>
      </c>
      <c r="C6366" t="s">
        <v>40</v>
      </c>
      <c r="D6366">
        <v>4.9661670000000004</v>
      </c>
      <c r="E6366">
        <v>0.56896659999999999</v>
      </c>
      <c r="F6366" t="s">
        <v>41</v>
      </c>
      <c r="G6366">
        <v>-299.14510000000001</v>
      </c>
      <c r="H6366">
        <v>0.89240940000000002</v>
      </c>
      <c r="I6366">
        <v>-43.72428</v>
      </c>
      <c r="J6366">
        <v>-299.2165</v>
      </c>
      <c r="K6366">
        <v>1.11396299999999</v>
      </c>
      <c r="L6366">
        <v>-43.183810000000001</v>
      </c>
      <c r="M6366">
        <v>0.35807610000000001</v>
      </c>
      <c r="N6366">
        <v>0</v>
      </c>
      <c r="O6366">
        <v>-0.93359110000000001</v>
      </c>
      <c r="P6366">
        <v>0.37225540000000001</v>
      </c>
      <c r="Q6366">
        <v>-2.7725980000000001E-2</v>
      </c>
      <c r="R6366">
        <v>-0.92771630000000005</v>
      </c>
      <c r="S6366">
        <v>0.58410640000000003</v>
      </c>
      <c r="T6366">
        <v>-0.96232810000000002</v>
      </c>
      <c r="U6366">
        <v>-2.9665530000000002</v>
      </c>
      <c r="V6366">
        <v>-1.5224089999999999E-2</v>
      </c>
      <c r="W6366">
        <v>-1.408951E-2</v>
      </c>
      <c r="X6366">
        <v>0.99978480000000003</v>
      </c>
      <c r="Y6366">
        <v>0.17879709999999999</v>
      </c>
      <c r="Z6366">
        <v>0.27404859999999998</v>
      </c>
      <c r="AA6366">
        <v>0.94494920000000004</v>
      </c>
      <c r="AB6366">
        <v>16</v>
      </c>
      <c r="AC6366">
        <v>7.1399999999982797E-2</v>
      </c>
      <c r="AD6366">
        <v>-0.22155359999999899</v>
      </c>
      <c r="AE6366">
        <v>-0.54046999999999901</v>
      </c>
      <c r="AF6366">
        <v>0.10889763913695</v>
      </c>
      <c r="AG6366">
        <v>-0.22155359999999899</v>
      </c>
      <c r="AH6366">
        <v>0.45504097654985398</v>
      </c>
      <c r="AI6366">
        <v>115.338327090703</v>
      </c>
      <c r="AJ6366">
        <v>76.541441165978398</v>
      </c>
      <c r="AK6366">
        <v>0.51769390939241899</v>
      </c>
      <c r="AL6366">
        <v>90.807296196717601</v>
      </c>
      <c r="AM6366">
        <v>90.872396434011705</v>
      </c>
      <c r="AN6366">
        <v>0.99999996675970304</v>
      </c>
    </row>
    <row r="6367" spans="1:40" x14ac:dyDescent="0.25">
      <c r="A6367" t="str">
        <f>"20190312154423869"</f>
        <v>20190312154423869</v>
      </c>
      <c r="B6367" t="str">
        <f>"1552376663853584"</f>
        <v>1552376663853584</v>
      </c>
      <c r="C6367" t="s">
        <v>40</v>
      </c>
      <c r="D6367">
        <v>4.9560500000000003</v>
      </c>
      <c r="E6367">
        <v>0.56848549999999998</v>
      </c>
      <c r="F6367" t="s">
        <v>41</v>
      </c>
      <c r="G6367">
        <v>-299.07889999999998</v>
      </c>
      <c r="H6367">
        <v>0.8977735</v>
      </c>
      <c r="I6367">
        <v>-43.853020000000001</v>
      </c>
      <c r="J6367">
        <v>-299.15170000000001</v>
      </c>
      <c r="K6367">
        <v>1.113988</v>
      </c>
      <c r="L6367">
        <v>-43.326839999999997</v>
      </c>
      <c r="M6367">
        <v>0.3653305</v>
      </c>
      <c r="N6367">
        <v>0</v>
      </c>
      <c r="O6367">
        <v>-0.93077619999999905</v>
      </c>
      <c r="P6367">
        <v>0.37836920000000002</v>
      </c>
      <c r="Q6367">
        <v>-2.7355910000000001E-2</v>
      </c>
      <c r="R6367">
        <v>-0.92525069999999998</v>
      </c>
      <c r="S6367">
        <v>0.60928340000000003</v>
      </c>
      <c r="T6367">
        <v>-0.95781850000000002</v>
      </c>
      <c r="U6367">
        <v>-2.9606629999999998</v>
      </c>
      <c r="V6367">
        <v>-1.4039950000000001E-2</v>
      </c>
      <c r="W6367">
        <v>-1.370301E-2</v>
      </c>
      <c r="X6367">
        <v>0.99980749999999996</v>
      </c>
      <c r="Y6367">
        <v>0.178282</v>
      </c>
      <c r="Z6367">
        <v>0.27195269999999999</v>
      </c>
      <c r="AA6367">
        <v>0.94565180000000004</v>
      </c>
      <c r="AB6367">
        <v>16</v>
      </c>
      <c r="AC6367">
        <v>7.2800000000029202E-2</v>
      </c>
      <c r="AD6367">
        <v>-0.216214499999999</v>
      </c>
      <c r="AE6367">
        <v>-0.52617999999999598</v>
      </c>
      <c r="AF6367">
        <v>0.10678834531627</v>
      </c>
      <c r="AG6367">
        <v>-0.216214499999999</v>
      </c>
      <c r="AH6367">
        <v>0.44300444981223502</v>
      </c>
      <c r="AI6367">
        <v>115.38309439015499</v>
      </c>
      <c r="AJ6367">
        <v>76.447136780625996</v>
      </c>
      <c r="AK6367">
        <v>0.50438616481727305</v>
      </c>
      <c r="AL6367">
        <v>90.785149240088302</v>
      </c>
      <c r="AM6367">
        <v>90.804531881403094</v>
      </c>
      <c r="AN6367">
        <v>0.99999996486765497</v>
      </c>
    </row>
    <row r="6368" spans="1:40" x14ac:dyDescent="0.25">
      <c r="A6368" t="str">
        <f>"20190312154423890"</f>
        <v>20190312154423890</v>
      </c>
      <c r="B6368" t="str">
        <f>"1552376663883840"</f>
        <v>1552376663883840</v>
      </c>
      <c r="C6368" t="s">
        <v>40</v>
      </c>
      <c r="D6368">
        <v>4.9417070000000001</v>
      </c>
      <c r="E6368">
        <v>0.56797969999999998</v>
      </c>
      <c r="F6368" t="s">
        <v>41</v>
      </c>
      <c r="G6368">
        <v>-298.98520000000002</v>
      </c>
      <c r="H6368">
        <v>0.86345640000000001</v>
      </c>
      <c r="I6368">
        <v>-44.105690000000003</v>
      </c>
      <c r="J6368">
        <v>-299.08530000000002</v>
      </c>
      <c r="K6368">
        <v>1.1140139999999901</v>
      </c>
      <c r="L6368">
        <v>-43.470089999999999</v>
      </c>
      <c r="M6368">
        <v>0.37268380000000001</v>
      </c>
      <c r="N6368">
        <v>0</v>
      </c>
      <c r="O6368">
        <v>-0.92785629999999997</v>
      </c>
      <c r="P6368">
        <v>0.3850827</v>
      </c>
      <c r="Q6368">
        <v>-2.6476619999999999E-2</v>
      </c>
      <c r="R6368">
        <v>-0.9225023</v>
      </c>
      <c r="S6368">
        <v>0.63214110000000001</v>
      </c>
      <c r="T6368">
        <v>-0.95166609999999996</v>
      </c>
      <c r="U6368">
        <v>-2.9557190000000002</v>
      </c>
      <c r="V6368">
        <v>-1.339221E-2</v>
      </c>
      <c r="W6368">
        <v>-1.281154E-2</v>
      </c>
      <c r="X6368">
        <v>0.99982819999999994</v>
      </c>
      <c r="Y6368">
        <v>0.17861969999999999</v>
      </c>
      <c r="Z6368">
        <v>0.26930140000000002</v>
      </c>
      <c r="AA6368">
        <v>0.94634649999999998</v>
      </c>
      <c r="AB6368">
        <v>16</v>
      </c>
      <c r="AC6368">
        <v>0.100099999999997</v>
      </c>
      <c r="AD6368">
        <v>-0.25055759999999899</v>
      </c>
      <c r="AE6368">
        <v>-0.63560000000000305</v>
      </c>
      <c r="AF6368">
        <v>0.12505066121514699</v>
      </c>
      <c r="AG6368">
        <v>-0.25055759999999899</v>
      </c>
      <c r="AH6368">
        <v>0.54453804729817801</v>
      </c>
      <c r="AI6368">
        <v>114.154114129794</v>
      </c>
      <c r="AJ6368">
        <v>77.066532936764403</v>
      </c>
      <c r="AK6368">
        <v>0.61232218949129902</v>
      </c>
      <c r="AL6368">
        <v>90.734067283786501</v>
      </c>
      <c r="AM6368">
        <v>90.767403067268702</v>
      </c>
      <c r="AN6368">
        <v>0.99999995818054699</v>
      </c>
    </row>
    <row r="6369" spans="1:40" x14ac:dyDescent="0.25">
      <c r="A6369" t="str">
        <f>"20190312154423913"</f>
        <v>20190312154423913</v>
      </c>
      <c r="B6369" t="str">
        <f>"1552376663904336"</f>
        <v>1552376663904336</v>
      </c>
      <c r="C6369" t="s">
        <v>40</v>
      </c>
      <c r="D6369">
        <v>4.9090210000000001</v>
      </c>
      <c r="E6369">
        <v>0.56780520000000001</v>
      </c>
      <c r="F6369" t="s">
        <v>41</v>
      </c>
      <c r="G6369">
        <v>-298.91539999999998</v>
      </c>
      <c r="H6369">
        <v>0.8702278</v>
      </c>
      <c r="I6369">
        <v>-44.232559999999999</v>
      </c>
      <c r="J6369">
        <v>-299.0179</v>
      </c>
      <c r="K6369">
        <v>1.114023</v>
      </c>
      <c r="L6369">
        <v>-43.612270000000002</v>
      </c>
      <c r="M6369">
        <v>0.38005250000000002</v>
      </c>
      <c r="N6369">
        <v>0</v>
      </c>
      <c r="O6369">
        <v>-0.92486230000000003</v>
      </c>
      <c r="P6369">
        <v>0.39192320000000003</v>
      </c>
      <c r="Q6369">
        <v>-2.682232E-2</v>
      </c>
      <c r="R6369">
        <v>-0.91960730000000002</v>
      </c>
      <c r="S6369">
        <v>0.65747069999999996</v>
      </c>
      <c r="T6369">
        <v>-0.94367979999999996</v>
      </c>
      <c r="U6369">
        <v>-2.9504999999999999</v>
      </c>
      <c r="V6369">
        <v>-1.2864860000000001E-2</v>
      </c>
      <c r="W6369">
        <v>-1.3146649999999999E-2</v>
      </c>
      <c r="X6369">
        <v>0.99983080000000002</v>
      </c>
      <c r="Y6369">
        <v>0.17818529999999999</v>
      </c>
      <c r="Z6369">
        <v>0.26617180000000001</v>
      </c>
      <c r="AA6369">
        <v>0.94731330000000002</v>
      </c>
      <c r="AB6369">
        <v>16</v>
      </c>
      <c r="AC6369">
        <v>0.10250000000002001</v>
      </c>
      <c r="AD6369">
        <v>-0.24379519999999999</v>
      </c>
      <c r="AE6369">
        <v>-0.62028999999999701</v>
      </c>
      <c r="AF6369">
        <v>0.12253255102454499</v>
      </c>
      <c r="AG6369">
        <v>-0.24379519999999999</v>
      </c>
      <c r="AH6369">
        <v>0.53260813877511304</v>
      </c>
      <c r="AI6369">
        <v>114.04095049606499</v>
      </c>
      <c r="AJ6369">
        <v>77.043896673919306</v>
      </c>
      <c r="AK6369">
        <v>0.59843274901455101</v>
      </c>
      <c r="AL6369">
        <v>90.7532692714544</v>
      </c>
      <c r="AM6369">
        <v>90.737186239608107</v>
      </c>
      <c r="AN6369">
        <v>0.99999998382884003</v>
      </c>
    </row>
    <row r="6370" spans="1:40" x14ac:dyDescent="0.25">
      <c r="A6370" t="str">
        <f>"20190312154423936"</f>
        <v>20190312154423936</v>
      </c>
      <c r="B6370" t="str">
        <f>"1552376663923856"</f>
        <v>1552376663923856</v>
      </c>
      <c r="C6370" t="s">
        <v>40</v>
      </c>
      <c r="D6370">
        <v>4.887702</v>
      </c>
      <c r="E6370">
        <v>0.56768169999999996</v>
      </c>
      <c r="F6370" t="s">
        <v>41</v>
      </c>
      <c r="G6370">
        <v>-298.84539999999998</v>
      </c>
      <c r="H6370">
        <v>0.87507269999999904</v>
      </c>
      <c r="I6370">
        <v>-44.3581</v>
      </c>
      <c r="J6370">
        <v>-298.94580000000002</v>
      </c>
      <c r="K6370">
        <v>1.114031</v>
      </c>
      <c r="L6370">
        <v>-43.761139999999997</v>
      </c>
      <c r="M6370">
        <v>0.38784099999999999</v>
      </c>
      <c r="N6370">
        <v>0</v>
      </c>
      <c r="O6370">
        <v>-0.92162310000000003</v>
      </c>
      <c r="P6370">
        <v>0.3988044</v>
      </c>
      <c r="Q6370">
        <v>-2.7413219999999999E-2</v>
      </c>
      <c r="R6370">
        <v>-0.9166263</v>
      </c>
      <c r="S6370">
        <v>0.68109129999999996</v>
      </c>
      <c r="T6370">
        <v>-0.94350560000000006</v>
      </c>
      <c r="U6370">
        <v>-2.944458</v>
      </c>
      <c r="V6370">
        <v>-1.192555E-2</v>
      </c>
      <c r="W6370">
        <v>-1.3723600000000001E-2</v>
      </c>
      <c r="X6370">
        <v>0.99983469999999997</v>
      </c>
      <c r="Y6370">
        <v>0.17880889999999999</v>
      </c>
      <c r="Z6370">
        <v>0.26499990000000001</v>
      </c>
      <c r="AA6370">
        <v>0.94752440000000004</v>
      </c>
      <c r="AB6370">
        <v>16</v>
      </c>
      <c r="AC6370">
        <v>0.100400000000036</v>
      </c>
      <c r="AD6370">
        <v>-0.23895830000000001</v>
      </c>
      <c r="AE6370">
        <v>-0.59695999999999505</v>
      </c>
      <c r="AF6370">
        <v>0.120267094894191</v>
      </c>
      <c r="AG6370">
        <v>-0.23895830000000001</v>
      </c>
      <c r="AH6370">
        <v>0.50973714085273103</v>
      </c>
      <c r="AI6370">
        <v>114.52531145001601</v>
      </c>
      <c r="AJ6370">
        <v>76.724450585347796</v>
      </c>
      <c r="AK6370">
        <v>0.57567108318717497</v>
      </c>
      <c r="AL6370">
        <v>90.786329050124706</v>
      </c>
      <c r="AM6370">
        <v>90.683364243620403</v>
      </c>
      <c r="AN6370">
        <v>0.99999999163192599</v>
      </c>
    </row>
    <row r="6371" spans="1:40" x14ac:dyDescent="0.25">
      <c r="A6371" t="str">
        <f>"20190312154423959"</f>
        <v>20190312154423959</v>
      </c>
      <c r="B6371" t="str">
        <f>"1552376663944353"</f>
        <v>1552376663944353</v>
      </c>
      <c r="C6371" t="s">
        <v>40</v>
      </c>
      <c r="D6371">
        <v>4.8872819999999999</v>
      </c>
      <c r="E6371">
        <v>0.56742349999999997</v>
      </c>
      <c r="F6371" t="s">
        <v>41</v>
      </c>
      <c r="G6371">
        <v>-298.77269999999999</v>
      </c>
      <c r="H6371">
        <v>0.88187219999999999</v>
      </c>
      <c r="I6371">
        <v>-44.48292</v>
      </c>
      <c r="J6371">
        <v>-298.87549999999999</v>
      </c>
      <c r="K6371">
        <v>1.1140380000000001</v>
      </c>
      <c r="L6371">
        <v>-43.903109999999998</v>
      </c>
      <c r="M6371">
        <v>0.3953372</v>
      </c>
      <c r="N6371">
        <v>0</v>
      </c>
      <c r="O6371">
        <v>-0.91843249999999999</v>
      </c>
      <c r="P6371">
        <v>0.40508080000000002</v>
      </c>
      <c r="Q6371">
        <v>-2.7703100000000001E-2</v>
      </c>
      <c r="R6371">
        <v>-0.91386120000000004</v>
      </c>
      <c r="S6371">
        <v>0.70477290000000004</v>
      </c>
      <c r="T6371">
        <v>-0.94504560000000004</v>
      </c>
      <c r="U6371">
        <v>-2.9379580000000001</v>
      </c>
      <c r="V6371">
        <v>-1.0636339999999999E-2</v>
      </c>
      <c r="W6371">
        <v>-1.3997020000000001E-2</v>
      </c>
      <c r="X6371">
        <v>0.9998454</v>
      </c>
      <c r="Y6371">
        <v>0.17912410000000001</v>
      </c>
      <c r="Z6371">
        <v>0.26432509999999998</v>
      </c>
      <c r="AA6371">
        <v>0.94765330000000003</v>
      </c>
      <c r="AB6371">
        <v>16</v>
      </c>
      <c r="AC6371">
        <v>0.102800000000001</v>
      </c>
      <c r="AD6371">
        <v>-0.23216579999999901</v>
      </c>
      <c r="AE6371">
        <v>-0.57981000000000105</v>
      </c>
      <c r="AF6371">
        <v>0.116680722382546</v>
      </c>
      <c r="AG6371">
        <v>-0.23216579999999901</v>
      </c>
      <c r="AH6371">
        <v>0.49609492287168799</v>
      </c>
      <c r="AI6371">
        <v>114.49192019281899</v>
      </c>
      <c r="AJ6371">
        <v>76.764677780557307</v>
      </c>
      <c r="AK6371">
        <v>0.56002278718318099</v>
      </c>
      <c r="AL6371">
        <v>90.801996411861296</v>
      </c>
      <c r="AM6371">
        <v>90.609488631380898</v>
      </c>
      <c r="AN6371">
        <v>0.99999993609931503</v>
      </c>
    </row>
    <row r="6372" spans="1:40" x14ac:dyDescent="0.25">
      <c r="A6372" t="str">
        <f>"20190312154423983"</f>
        <v>20190312154423983</v>
      </c>
      <c r="B6372" t="str">
        <f>"1552376663974139"</f>
        <v>1552376663974139</v>
      </c>
      <c r="C6372" t="s">
        <v>40</v>
      </c>
      <c r="D6372">
        <v>4.8819800000000004</v>
      </c>
      <c r="E6372">
        <v>0.56711339999999999</v>
      </c>
      <c r="F6372" t="s">
        <v>41</v>
      </c>
      <c r="G6372">
        <v>-298.70089999999999</v>
      </c>
      <c r="H6372">
        <v>0.88736749999999998</v>
      </c>
      <c r="I6372">
        <v>-44.607120000000002</v>
      </c>
      <c r="J6372">
        <v>-298.80009999999999</v>
      </c>
      <c r="K6372">
        <v>1.1140479999999999</v>
      </c>
      <c r="L6372">
        <v>-44.052399999999999</v>
      </c>
      <c r="M6372">
        <v>0.40329150000000002</v>
      </c>
      <c r="N6372">
        <v>0</v>
      </c>
      <c r="O6372">
        <v>-0.91496759999999999</v>
      </c>
      <c r="P6372">
        <v>0.41135949999999999</v>
      </c>
      <c r="Q6372">
        <v>-2.9408279999999998E-2</v>
      </c>
      <c r="R6372">
        <v>-0.91099889999999994</v>
      </c>
      <c r="S6372">
        <v>0.72760009999999997</v>
      </c>
      <c r="T6372">
        <v>-0.94462299999999999</v>
      </c>
      <c r="U6372">
        <v>-2.93161</v>
      </c>
      <c r="V6372">
        <v>-8.8477650000000005E-3</v>
      </c>
      <c r="W6372">
        <v>-1.5681529999999999E-2</v>
      </c>
      <c r="X6372">
        <v>0.99983789999999995</v>
      </c>
      <c r="Y6372">
        <v>0.18018139999999999</v>
      </c>
      <c r="Z6372">
        <v>0.26299479999999997</v>
      </c>
      <c r="AA6372">
        <v>0.94782299999999997</v>
      </c>
      <c r="AB6372">
        <v>16</v>
      </c>
      <c r="AC6372">
        <v>9.9199999999996097E-2</v>
      </c>
      <c r="AD6372">
        <v>-0.22668049999999901</v>
      </c>
      <c r="AE6372">
        <v>-0.55472000000000299</v>
      </c>
      <c r="AF6372">
        <v>0.114443453090772</v>
      </c>
      <c r="AG6372">
        <v>-0.22668049999999901</v>
      </c>
      <c r="AH6372">
        <v>0.47134102449960402</v>
      </c>
      <c r="AI6372">
        <v>115.048943289929</v>
      </c>
      <c r="AJ6372">
        <v>76.352459969577595</v>
      </c>
      <c r="AK6372">
        <v>0.53539117887011001</v>
      </c>
      <c r="AL6372">
        <v>90.898522305059799</v>
      </c>
      <c r="AM6372">
        <v>90.507008546799497</v>
      </c>
      <c r="AN6372">
        <v>1.0000000098025199</v>
      </c>
    </row>
    <row r="6373" spans="1:40" x14ac:dyDescent="0.25">
      <c r="A6373" t="str">
        <f>"20190312154424008"</f>
        <v>20190312154424008</v>
      </c>
      <c r="B6373" t="str">
        <f>"1552376663993660"</f>
        <v>1552376663993660</v>
      </c>
      <c r="C6373" t="s">
        <v>40</v>
      </c>
      <c r="D6373">
        <v>4.8858699999999997</v>
      </c>
      <c r="E6373">
        <v>0.56693760000000004</v>
      </c>
      <c r="F6373" t="s">
        <v>41</v>
      </c>
      <c r="G6373">
        <v>-298.62610000000001</v>
      </c>
      <c r="H6373">
        <v>0.89428890000000005</v>
      </c>
      <c r="I6373">
        <v>-44.730260000000001</v>
      </c>
      <c r="J6373">
        <v>-298.72199999999998</v>
      </c>
      <c r="K6373">
        <v>1.1140589999999999</v>
      </c>
      <c r="L6373">
        <v>-44.20337</v>
      </c>
      <c r="M6373">
        <v>0.41140719999999997</v>
      </c>
      <c r="N6373">
        <v>0</v>
      </c>
      <c r="O6373">
        <v>-0.91134720000000002</v>
      </c>
      <c r="P6373">
        <v>0.41850409999999999</v>
      </c>
      <c r="Q6373">
        <v>-2.936708E-2</v>
      </c>
      <c r="R6373">
        <v>-0.9077404</v>
      </c>
      <c r="S6373">
        <v>0.75042719999999996</v>
      </c>
      <c r="T6373">
        <v>-0.94793269999999996</v>
      </c>
      <c r="U6373">
        <v>-2.923645</v>
      </c>
      <c r="V6373">
        <v>-7.8170129999999994E-3</v>
      </c>
      <c r="W6373">
        <v>-1.562529E-2</v>
      </c>
      <c r="X6373">
        <v>0.99984740000000005</v>
      </c>
      <c r="Y6373">
        <v>0.18138650000000001</v>
      </c>
      <c r="Z6373">
        <v>0.26266109999999998</v>
      </c>
      <c r="AA6373">
        <v>0.94768569999999996</v>
      </c>
      <c r="AB6373">
        <v>16</v>
      </c>
      <c r="AC6373">
        <v>9.5899999999971897E-2</v>
      </c>
      <c r="AD6373">
        <v>-0.219770099999999</v>
      </c>
      <c r="AE6373">
        <v>-0.52688999999999397</v>
      </c>
      <c r="AF6373">
        <v>0.11073298272405301</v>
      </c>
      <c r="AG6373">
        <v>-0.219770099999999</v>
      </c>
      <c r="AH6373">
        <v>0.444781733371441</v>
      </c>
      <c r="AI6373">
        <v>115.616413194979</v>
      </c>
      <c r="AJ6373">
        <v>76.019837853237803</v>
      </c>
      <c r="AK6373">
        <v>0.50832222129066795</v>
      </c>
      <c r="AL6373">
        <v>90.895299569156904</v>
      </c>
      <c r="AM6373">
        <v>90.447941083947796</v>
      </c>
      <c r="AN6373">
        <v>1.00000003933329</v>
      </c>
    </row>
    <row r="6374" spans="1:40" x14ac:dyDescent="0.25">
      <c r="A6374" t="str">
        <f>"20190312154424025"</f>
        <v>20190312154424025</v>
      </c>
      <c r="B6374" t="str">
        <f>"1552376664014156"</f>
        <v>1552376664014156</v>
      </c>
      <c r="C6374" t="s">
        <v>40</v>
      </c>
      <c r="D6374">
        <v>4.8773410000000004</v>
      </c>
      <c r="E6374">
        <v>0.56674269999999904</v>
      </c>
      <c r="F6374" t="s">
        <v>41</v>
      </c>
      <c r="G6374">
        <v>-298.54939999999999</v>
      </c>
      <c r="H6374">
        <v>0.9034894</v>
      </c>
      <c r="I6374">
        <v>-44.853189999999998</v>
      </c>
      <c r="J6374">
        <v>-298.6635</v>
      </c>
      <c r="K6374">
        <v>1.114069</v>
      </c>
      <c r="L6374">
        <v>-44.314120000000003</v>
      </c>
      <c r="M6374">
        <v>0.41740880000000002</v>
      </c>
      <c r="N6374">
        <v>0</v>
      </c>
      <c r="O6374">
        <v>-0.90861389999999997</v>
      </c>
      <c r="P6374">
        <v>0.42414370000000001</v>
      </c>
      <c r="Q6374">
        <v>-2.8970679999999999E-2</v>
      </c>
      <c r="R6374">
        <v>-0.90513149999999998</v>
      </c>
      <c r="S6374">
        <v>0.77508540000000004</v>
      </c>
      <c r="T6374">
        <v>-0.94603009999999998</v>
      </c>
      <c r="U6374">
        <v>-2.9169619999999998</v>
      </c>
      <c r="V6374">
        <v>-7.4413680000000003E-3</v>
      </c>
      <c r="W6374">
        <v>-1.522125E-2</v>
      </c>
      <c r="X6374">
        <v>0.99985650000000004</v>
      </c>
      <c r="Y6374">
        <v>0.17979249999999999</v>
      </c>
      <c r="Z6374">
        <v>0.26134400000000002</v>
      </c>
      <c r="AA6374">
        <v>0.94835329999999995</v>
      </c>
      <c r="AB6374">
        <v>16</v>
      </c>
      <c r="AC6374">
        <v>0.114100000000007</v>
      </c>
      <c r="AD6374">
        <v>-0.21057960000000001</v>
      </c>
      <c r="AE6374">
        <v>-0.53907000000000205</v>
      </c>
      <c r="AF6374">
        <v>0.105886324027747</v>
      </c>
      <c r="AG6374">
        <v>-0.21057960000000001</v>
      </c>
      <c r="AH6374">
        <v>0.46898731682637301</v>
      </c>
      <c r="AI6374">
        <v>113.65268606954101</v>
      </c>
      <c r="AJ6374">
        <v>77.277276113018999</v>
      </c>
      <c r="AK6374">
        <v>0.52488549693839903</v>
      </c>
      <c r="AL6374">
        <v>90.872147028242196</v>
      </c>
      <c r="AM6374">
        <v>90.426412298643001</v>
      </c>
      <c r="AN6374">
        <v>1.0000000405007601</v>
      </c>
    </row>
    <row r="6375" spans="1:40" x14ac:dyDescent="0.25">
      <c r="A6375" t="str">
        <f>"20190312154424047"</f>
        <v>20190312154424047</v>
      </c>
      <c r="B6375" t="str">
        <f>"1552376664033676"</f>
        <v>1552376664033676</v>
      </c>
      <c r="C6375" t="s">
        <v>40</v>
      </c>
      <c r="D6375">
        <v>4.9056290000000002</v>
      </c>
      <c r="E6375">
        <v>0.56645619999999997</v>
      </c>
      <c r="F6375" t="s">
        <v>41</v>
      </c>
      <c r="G6375">
        <v>-298.48320000000001</v>
      </c>
      <c r="H6375">
        <v>0.89993699999999999</v>
      </c>
      <c r="I6375">
        <v>-44.974699999999999</v>
      </c>
      <c r="J6375">
        <v>-298.59390000000002</v>
      </c>
      <c r="K6375">
        <v>1.114082</v>
      </c>
      <c r="L6375">
        <v>-44.443600000000004</v>
      </c>
      <c r="M6375">
        <v>0.42446539999999999</v>
      </c>
      <c r="N6375">
        <v>0</v>
      </c>
      <c r="O6375">
        <v>-0.90533869999999905</v>
      </c>
      <c r="P6375">
        <v>0.43216690000000002</v>
      </c>
      <c r="Q6375">
        <v>-2.8859869999999999E-2</v>
      </c>
      <c r="R6375">
        <v>-0.90133189999999996</v>
      </c>
      <c r="S6375">
        <v>0.79486080000000003</v>
      </c>
      <c r="T6375">
        <v>-0.94397660000000005</v>
      </c>
      <c r="U6375">
        <v>-2.911743</v>
      </c>
      <c r="V6375">
        <v>-8.5422359999999999E-3</v>
      </c>
      <c r="W6375">
        <v>-1.5115719999999999E-2</v>
      </c>
      <c r="X6375">
        <v>0.99984930000000005</v>
      </c>
      <c r="Y6375">
        <v>0.18092920000000001</v>
      </c>
      <c r="Z6375">
        <v>0.25960159999999999</v>
      </c>
      <c r="AA6375">
        <v>0.94861569999999995</v>
      </c>
      <c r="AB6375">
        <v>16</v>
      </c>
      <c r="AC6375">
        <v>0.110700000000008</v>
      </c>
      <c r="AD6375">
        <v>-0.214144999999999</v>
      </c>
      <c r="AE6375">
        <v>-0.53109999999999502</v>
      </c>
      <c r="AF6375">
        <v>0.108343589689518</v>
      </c>
      <c r="AG6375">
        <v>-0.214144999999999</v>
      </c>
      <c r="AH6375">
        <v>0.45670515995092198</v>
      </c>
      <c r="AI6375">
        <v>114.52385312421301</v>
      </c>
      <c r="AJ6375">
        <v>76.654494640576402</v>
      </c>
      <c r="AK6375">
        <v>0.51592249183148398</v>
      </c>
      <c r="AL6375">
        <v>90.866099910680404</v>
      </c>
      <c r="AM6375">
        <v>90.489495929739206</v>
      </c>
      <c r="AN6375">
        <v>1.00000003874874</v>
      </c>
    </row>
    <row r="6376" spans="1:40" x14ac:dyDescent="0.25">
      <c r="A6376" t="str">
        <f>"20190312154424069"</f>
        <v>20190312154424069</v>
      </c>
      <c r="B6376" t="str">
        <f>"1552376664063931"</f>
        <v>1552376664063931</v>
      </c>
      <c r="C6376" t="s">
        <v>40</v>
      </c>
      <c r="D6376">
        <v>4.9267089999999998</v>
      </c>
      <c r="E6376">
        <v>0.56609200000000004</v>
      </c>
      <c r="F6376" t="s">
        <v>41</v>
      </c>
      <c r="G6376">
        <v>-298.40929999999997</v>
      </c>
      <c r="H6376">
        <v>0.90283449999999998</v>
      </c>
      <c r="I6376">
        <v>-45.095260000000003</v>
      </c>
      <c r="J6376">
        <v>-298.51960000000003</v>
      </c>
      <c r="K6376">
        <v>1.114079</v>
      </c>
      <c r="L6376">
        <v>-44.578949999999999</v>
      </c>
      <c r="M6376">
        <v>0.43188720000000003</v>
      </c>
      <c r="N6376">
        <v>0</v>
      </c>
      <c r="O6376">
        <v>-0.90182180000000001</v>
      </c>
      <c r="P6376">
        <v>0.44032019999999999</v>
      </c>
      <c r="Q6376">
        <v>-3.0320119999999999E-2</v>
      </c>
      <c r="R6376">
        <v>-0.89732869999999998</v>
      </c>
      <c r="S6376">
        <v>0.82244869999999903</v>
      </c>
      <c r="T6376">
        <v>-0.94198930000000003</v>
      </c>
      <c r="U6376">
        <v>-2.903931</v>
      </c>
      <c r="V6376">
        <v>-9.4016240000000008E-3</v>
      </c>
      <c r="W6376">
        <v>-1.6580290000000001E-2</v>
      </c>
      <c r="X6376">
        <v>0.99981830000000005</v>
      </c>
      <c r="Y6376">
        <v>0.17991760000000001</v>
      </c>
      <c r="Z6376">
        <v>0.25796059999999998</v>
      </c>
      <c r="AA6376">
        <v>0.94925550000000003</v>
      </c>
      <c r="AB6376">
        <v>16</v>
      </c>
      <c r="AC6376">
        <v>0.110300000000052</v>
      </c>
      <c r="AD6376">
        <v>-0.2112445</v>
      </c>
      <c r="AE6376">
        <v>-0.51630999999999705</v>
      </c>
      <c r="AF6376">
        <v>0.106481710680025</v>
      </c>
      <c r="AG6376">
        <v>-0.2112445</v>
      </c>
      <c r="AH6376">
        <v>0.44247007309960001</v>
      </c>
      <c r="AI6376">
        <v>114.899278799485</v>
      </c>
      <c r="AJ6376">
        <v>76.468900379480402</v>
      </c>
      <c r="AK6376">
        <v>0.50173933379630498</v>
      </c>
      <c r="AL6376">
        <v>90.950024204847693</v>
      </c>
      <c r="AM6376">
        <v>90.538755391487499</v>
      </c>
      <c r="AN6376">
        <v>0.999999964782605</v>
      </c>
    </row>
    <row r="6377" spans="1:40" x14ac:dyDescent="0.25">
      <c r="A6377" t="str">
        <f>"20190312154424091"</f>
        <v>20190312154424091</v>
      </c>
      <c r="B6377" t="str">
        <f>"1552376664084427"</f>
        <v>1552376664084427</v>
      </c>
      <c r="C6377" t="s">
        <v>40</v>
      </c>
      <c r="D6377">
        <v>4.948766</v>
      </c>
      <c r="E6377">
        <v>0.56580940000000002</v>
      </c>
      <c r="F6377" t="s">
        <v>41</v>
      </c>
      <c r="G6377">
        <v>-298.29750000000001</v>
      </c>
      <c r="H6377">
        <v>0.867641</v>
      </c>
      <c r="I6377">
        <v>-45.334589999999999</v>
      </c>
      <c r="J6377">
        <v>-298.44420000000002</v>
      </c>
      <c r="K6377">
        <v>1.114074</v>
      </c>
      <c r="L6377">
        <v>-44.713470000000001</v>
      </c>
      <c r="M6377">
        <v>0.43930200000000003</v>
      </c>
      <c r="N6377">
        <v>0</v>
      </c>
      <c r="O6377">
        <v>-0.89823319999999995</v>
      </c>
      <c r="P6377">
        <v>0.4477701</v>
      </c>
      <c r="Q6377">
        <v>-3.2420879999999999E-2</v>
      </c>
      <c r="R6377">
        <v>-0.89356089999999999</v>
      </c>
      <c r="S6377">
        <v>0.85086059999999997</v>
      </c>
      <c r="T6377">
        <v>-0.94442800000000005</v>
      </c>
      <c r="U6377">
        <v>-2.8938290000000002</v>
      </c>
      <c r="V6377">
        <v>-9.4970999999999996E-3</v>
      </c>
      <c r="W6377">
        <v>-1.8680120000000001E-2</v>
      </c>
      <c r="X6377">
        <v>0.99978040000000001</v>
      </c>
      <c r="Y6377">
        <v>0.1785764</v>
      </c>
      <c r="Z6377">
        <v>0.25756780000000001</v>
      </c>
      <c r="AA6377">
        <v>0.9496154</v>
      </c>
      <c r="AB6377">
        <v>16</v>
      </c>
      <c r="AC6377">
        <v>0.14670000000000899</v>
      </c>
      <c r="AD6377">
        <v>-0.24643299999999899</v>
      </c>
      <c r="AE6377">
        <v>-0.621120000000004</v>
      </c>
      <c r="AF6377">
        <v>0.122793636168679</v>
      </c>
      <c r="AG6377">
        <v>-0.24643299999999899</v>
      </c>
      <c r="AH6377">
        <v>0.54165584096947705</v>
      </c>
      <c r="AI6377">
        <v>113.927029598134</v>
      </c>
      <c r="AJ6377">
        <v>77.226915059658694</v>
      </c>
      <c r="AK6377">
        <v>0.60761710857157203</v>
      </c>
      <c r="AL6377">
        <v>91.070354297763103</v>
      </c>
      <c r="AM6377">
        <v>90.544246898265897</v>
      </c>
      <c r="AN6377">
        <v>0.99999999500789205</v>
      </c>
    </row>
    <row r="6378" spans="1:40" x14ac:dyDescent="0.25">
      <c r="A6378" t="str">
        <f>"20190312154424114"</f>
        <v>20190312154424114</v>
      </c>
      <c r="B6378" t="str">
        <f>"1552376664103948"</f>
        <v>1552376664103948</v>
      </c>
      <c r="C6378" t="s">
        <v>40</v>
      </c>
      <c r="D6378">
        <v>4.9334059999999997</v>
      </c>
      <c r="E6378">
        <v>0.56555630000000001</v>
      </c>
      <c r="F6378" t="s">
        <v>41</v>
      </c>
      <c r="G6378">
        <v>-298.21940000000001</v>
      </c>
      <c r="H6378">
        <v>0.87078290000000003</v>
      </c>
      <c r="I6378">
        <v>-45.452159999999999</v>
      </c>
      <c r="J6378">
        <v>-298.36660000000001</v>
      </c>
      <c r="K6378">
        <v>1.1140600000000001</v>
      </c>
      <c r="L6378">
        <v>-44.849240000000002</v>
      </c>
      <c r="M6378">
        <v>0.4468105</v>
      </c>
      <c r="N6378">
        <v>0</v>
      </c>
      <c r="O6378">
        <v>-0.89452180000000003</v>
      </c>
      <c r="P6378">
        <v>0.45498379999999999</v>
      </c>
      <c r="Q6378">
        <v>-3.2896019999999998E-2</v>
      </c>
      <c r="R6378">
        <v>-0.88989219999999902</v>
      </c>
      <c r="S6378">
        <v>0.87734990000000002</v>
      </c>
      <c r="T6378">
        <v>-0.94986559999999998</v>
      </c>
      <c r="U6378">
        <v>-2.88327</v>
      </c>
      <c r="V6378">
        <v>-9.214313E-3</v>
      </c>
      <c r="W6378">
        <v>-1.915159E-2</v>
      </c>
      <c r="X6378">
        <v>0.99977419999999995</v>
      </c>
      <c r="Y6378">
        <v>0.17795910000000001</v>
      </c>
      <c r="Z6378">
        <v>0.25788460000000002</v>
      </c>
      <c r="AA6378">
        <v>0.94964530000000003</v>
      </c>
      <c r="AB6378">
        <v>16</v>
      </c>
      <c r="AC6378">
        <v>0.147199999999998</v>
      </c>
      <c r="AD6378">
        <v>-0.2432771</v>
      </c>
      <c r="AE6378">
        <v>-0.60291999999999701</v>
      </c>
      <c r="AF6378">
        <v>0.11938655335114901</v>
      </c>
      <c r="AG6378">
        <v>-0.2432771</v>
      </c>
      <c r="AH6378">
        <v>0.52455454827656101</v>
      </c>
      <c r="AI6378">
        <v>114.33314843547601</v>
      </c>
      <c r="AJ6378">
        <v>77.178118957515395</v>
      </c>
      <c r="AK6378">
        <v>0.59041880950991299</v>
      </c>
      <c r="AL6378">
        <v>91.097372292232095</v>
      </c>
      <c r="AM6378">
        <v>90.528045531340993</v>
      </c>
      <c r="AN6378">
        <v>1.00000006897461</v>
      </c>
    </row>
    <row r="6379" spans="1:40" x14ac:dyDescent="0.25">
      <c r="A6379" t="str">
        <f>"20190312154424137"</f>
        <v>20190312154424137</v>
      </c>
      <c r="B6379" t="str">
        <f>"1552376664124443"</f>
        <v>1552376664124443</v>
      </c>
      <c r="C6379" t="s">
        <v>40</v>
      </c>
      <c r="D6379">
        <v>4.9395540000000002</v>
      </c>
      <c r="E6379">
        <v>0.56537230000000005</v>
      </c>
      <c r="F6379" t="s">
        <v>41</v>
      </c>
      <c r="G6379">
        <v>-298.1404</v>
      </c>
      <c r="H6379">
        <v>0.87609369999999998</v>
      </c>
      <c r="I6379">
        <v>-45.569850000000002</v>
      </c>
      <c r="J6379">
        <v>-298.2894</v>
      </c>
      <c r="K6379">
        <v>1.1140380000000001</v>
      </c>
      <c r="L6379">
        <v>-44.981929999999998</v>
      </c>
      <c r="M6379">
        <v>0.45416190000000001</v>
      </c>
      <c r="N6379">
        <v>0</v>
      </c>
      <c r="O6379">
        <v>-0.89081200000000005</v>
      </c>
      <c r="P6379">
        <v>0.4618292</v>
      </c>
      <c r="Q6379">
        <v>-3.2044049999999998E-2</v>
      </c>
      <c r="R6379">
        <v>-0.88639029999999996</v>
      </c>
      <c r="S6379">
        <v>0.90277099999999999</v>
      </c>
      <c r="T6379">
        <v>-0.95022130000000005</v>
      </c>
      <c r="U6379">
        <v>-2.8745120000000002</v>
      </c>
      <c r="V6379">
        <v>-8.6814679999999995E-3</v>
      </c>
      <c r="W6379">
        <v>-1.8294540000000001E-2</v>
      </c>
      <c r="X6379">
        <v>0.99979499999999999</v>
      </c>
      <c r="Y6379">
        <v>0.1775572</v>
      </c>
      <c r="Z6379">
        <v>0.25678800000000002</v>
      </c>
      <c r="AA6379">
        <v>0.95001760000000002</v>
      </c>
      <c r="AB6379">
        <v>16</v>
      </c>
      <c r="AC6379">
        <v>0.14899999999999999</v>
      </c>
      <c r="AD6379">
        <v>-0.237944299999999</v>
      </c>
      <c r="AE6379">
        <v>-0.58792000000000399</v>
      </c>
      <c r="AF6379">
        <v>0.116380139533742</v>
      </c>
      <c r="AG6379">
        <v>-0.237944299999999</v>
      </c>
      <c r="AH6379">
        <v>0.51256217597518805</v>
      </c>
      <c r="AI6379">
        <v>114.35638223820099</v>
      </c>
      <c r="AJ6379">
        <v>77.207561056598294</v>
      </c>
      <c r="AK6379">
        <v>0.57695910688783003</v>
      </c>
      <c r="AL6379">
        <v>91.048258356840194</v>
      </c>
      <c r="AM6379">
        <v>90.4975009632319</v>
      </c>
      <c r="AN6379">
        <v>1.00000005005272</v>
      </c>
    </row>
    <row r="6380" spans="1:40" x14ac:dyDescent="0.25">
      <c r="A6380" t="str">
        <f>"20190312154424159"</f>
        <v>20190312154424159</v>
      </c>
      <c r="B6380" t="str">
        <f>"1552376664153723"</f>
        <v>1552376664153723</v>
      </c>
      <c r="C6380" t="s">
        <v>40</v>
      </c>
      <c r="D6380">
        <v>4.9589030000000003</v>
      </c>
      <c r="E6380">
        <v>0.56510109999999902</v>
      </c>
      <c r="F6380" t="s">
        <v>41</v>
      </c>
      <c r="G6380">
        <v>-298.06169999999997</v>
      </c>
      <c r="H6380">
        <v>0.88148340000000003</v>
      </c>
      <c r="I6380">
        <v>-45.68732</v>
      </c>
      <c r="J6380">
        <v>-298.2099</v>
      </c>
      <c r="K6380">
        <v>1.114007</v>
      </c>
      <c r="L6380">
        <v>-45.11591</v>
      </c>
      <c r="M6380">
        <v>0.46158919999999998</v>
      </c>
      <c r="N6380">
        <v>0</v>
      </c>
      <c r="O6380">
        <v>-0.886986099999999</v>
      </c>
      <c r="P6380">
        <v>0.46876109999999999</v>
      </c>
      <c r="Q6380">
        <v>-3.1718620000000003E-2</v>
      </c>
      <c r="R6380">
        <v>-0.88275530000000002</v>
      </c>
      <c r="S6380">
        <v>0.92593380000000003</v>
      </c>
      <c r="T6380">
        <v>-0.94636600000000004</v>
      </c>
      <c r="U6380">
        <v>-2.8678590000000002</v>
      </c>
      <c r="V6380">
        <v>-8.1613929999999994E-3</v>
      </c>
      <c r="W6380">
        <v>-1.7965620000000002E-2</v>
      </c>
      <c r="X6380">
        <v>0.99980530000000001</v>
      </c>
      <c r="Y6380">
        <v>0.17803289999999999</v>
      </c>
      <c r="Z6380">
        <v>0.25443149999999998</v>
      </c>
      <c r="AA6380">
        <v>0.95056240000000003</v>
      </c>
      <c r="AB6380">
        <v>16</v>
      </c>
      <c r="AC6380">
        <v>0.148200000000031</v>
      </c>
      <c r="AD6380">
        <v>-0.232523599999999</v>
      </c>
      <c r="AE6380">
        <v>-0.57140999999999997</v>
      </c>
      <c r="AF6380">
        <v>0.114545668258831</v>
      </c>
      <c r="AG6380">
        <v>-0.232523599999999</v>
      </c>
      <c r="AH6380">
        <v>0.49802431343422099</v>
      </c>
      <c r="AI6380">
        <v>114.466107963773</v>
      </c>
      <c r="AJ6380">
        <v>77.047227163948705</v>
      </c>
      <c r="AK6380">
        <v>0.56144113800597995</v>
      </c>
      <c r="AL6380">
        <v>91.029409578357701</v>
      </c>
      <c r="AM6380">
        <v>90.467694047933705</v>
      </c>
      <c r="AN6380">
        <v>1.0000000048728801</v>
      </c>
    </row>
    <row r="6381" spans="1:40" x14ac:dyDescent="0.25">
      <c r="A6381" t="str">
        <f>"20190312154424182"</f>
        <v>20190312154424182</v>
      </c>
      <c r="B6381" t="str">
        <f>"1552376664174220"</f>
        <v>1552376664174220</v>
      </c>
      <c r="C6381" t="s">
        <v>40</v>
      </c>
      <c r="D6381">
        <v>5.0070350000000001</v>
      </c>
      <c r="E6381">
        <v>0.56494049999999996</v>
      </c>
      <c r="F6381" t="s">
        <v>41</v>
      </c>
      <c r="G6381">
        <v>-297.98129999999998</v>
      </c>
      <c r="H6381">
        <v>0.88726099999999997</v>
      </c>
      <c r="I6381">
        <v>-45.803600000000003</v>
      </c>
      <c r="J6381">
        <v>-298.12950000000001</v>
      </c>
      <c r="K6381">
        <v>1.11398</v>
      </c>
      <c r="L6381">
        <v>-45.248959999999997</v>
      </c>
      <c r="M6381">
        <v>0.4689624</v>
      </c>
      <c r="N6381">
        <v>0</v>
      </c>
      <c r="O6381">
        <v>-0.88311010000000001</v>
      </c>
      <c r="P6381">
        <v>0.47505059999999899</v>
      </c>
      <c r="Q6381">
        <v>-3.3002620000000003E-2</v>
      </c>
      <c r="R6381">
        <v>-0.8793398</v>
      </c>
      <c r="S6381">
        <v>0.95101930000000001</v>
      </c>
      <c r="T6381">
        <v>-0.94430040000000004</v>
      </c>
      <c r="U6381">
        <v>-2.8595280000000001</v>
      </c>
      <c r="V6381">
        <v>-6.9822319999999997E-3</v>
      </c>
      <c r="W6381">
        <v>-1.924203E-2</v>
      </c>
      <c r="X6381">
        <v>0.99979050000000003</v>
      </c>
      <c r="Y6381">
        <v>0.17779020000000001</v>
      </c>
      <c r="Z6381">
        <v>0.25262319999999999</v>
      </c>
      <c r="AA6381">
        <v>0.95108999999999999</v>
      </c>
      <c r="AB6381">
        <v>16</v>
      </c>
      <c r="AC6381">
        <v>0.148200000000031</v>
      </c>
      <c r="AD6381">
        <v>-0.226718999999999</v>
      </c>
      <c r="AE6381">
        <v>-0.55464000000000602</v>
      </c>
      <c r="AF6381">
        <v>0.111804139779779</v>
      </c>
      <c r="AG6381">
        <v>-0.226718999999999</v>
      </c>
      <c r="AH6381">
        <v>0.48389519260601599</v>
      </c>
      <c r="AI6381">
        <v>114.536818211408</v>
      </c>
      <c r="AJ6381">
        <v>76.990093156103597</v>
      </c>
      <c r="AK6381">
        <v>0.54594526104739705</v>
      </c>
      <c r="AL6381">
        <v>91.102555125080997</v>
      </c>
      <c r="AM6381">
        <v>90.400129748768606</v>
      </c>
      <c r="AN6381">
        <v>1.00000002558623</v>
      </c>
    </row>
    <row r="6382" spans="1:40" x14ac:dyDescent="0.25">
      <c r="A6382" t="str">
        <f>"20190312154424203"</f>
        <v>20190312154424203</v>
      </c>
      <c r="B6382" t="str">
        <f>"1552376664193740"</f>
        <v>1552376664193740</v>
      </c>
      <c r="C6382" t="s">
        <v>40</v>
      </c>
      <c r="D6382">
        <v>5.0292430000000001</v>
      </c>
      <c r="E6382">
        <v>0.56484019999999902</v>
      </c>
      <c r="F6382" t="s">
        <v>41</v>
      </c>
      <c r="G6382">
        <v>-297.90069999999997</v>
      </c>
      <c r="H6382">
        <v>0.89119930000000003</v>
      </c>
      <c r="I6382">
        <v>-45.918590000000002</v>
      </c>
      <c r="J6382">
        <v>-298.05119999999999</v>
      </c>
      <c r="K6382">
        <v>1.113964</v>
      </c>
      <c r="L6382">
        <v>-45.376159999999999</v>
      </c>
      <c r="M6382">
        <v>0.47600599999999998</v>
      </c>
      <c r="N6382">
        <v>0</v>
      </c>
      <c r="O6382">
        <v>-0.87933359999999905</v>
      </c>
      <c r="P6382">
        <v>0.48110340000000001</v>
      </c>
      <c r="Q6382">
        <v>-3.3344789999999999E-2</v>
      </c>
      <c r="R6382">
        <v>-0.87602939999999996</v>
      </c>
      <c r="S6382">
        <v>0.97375489999999998</v>
      </c>
      <c r="T6382">
        <v>-0.94847210000000004</v>
      </c>
      <c r="U6382">
        <v>-2.8499759999999998</v>
      </c>
      <c r="V6382">
        <v>-5.8899850000000004E-3</v>
      </c>
      <c r="W6382">
        <v>-1.958068E-2</v>
      </c>
      <c r="X6382">
        <v>0.99979090000000004</v>
      </c>
      <c r="Y6382">
        <v>0.17794189999999999</v>
      </c>
      <c r="Z6382">
        <v>0.25248300000000001</v>
      </c>
      <c r="AA6382">
        <v>0.95109889999999997</v>
      </c>
      <c r="AB6382">
        <v>16</v>
      </c>
      <c r="AC6382">
        <v>0.15050000000002201</v>
      </c>
      <c r="AD6382">
        <v>-0.22276469999999901</v>
      </c>
      <c r="AE6382">
        <v>-0.54243000000000297</v>
      </c>
      <c r="AF6382">
        <v>0.108829343745988</v>
      </c>
      <c r="AG6382">
        <v>-0.22276469999999901</v>
      </c>
      <c r="AH6382">
        <v>0.47437940916464499</v>
      </c>
      <c r="AI6382">
        <v>114.593648848955</v>
      </c>
      <c r="AJ6382">
        <v>77.079120425027099</v>
      </c>
      <c r="AK6382">
        <v>0.53526046133230298</v>
      </c>
      <c r="AL6382">
        <v>91.121962060132105</v>
      </c>
      <c r="AM6382">
        <v>90.337537957021596</v>
      </c>
      <c r="AN6382">
        <v>0.99999996933768498</v>
      </c>
    </row>
    <row r="6383" spans="1:40" x14ac:dyDescent="0.25">
      <c r="A6383" t="str">
        <f>"20190312154424225"</f>
        <v>20190312154424225</v>
      </c>
      <c r="B6383" t="str">
        <f>"1552376664214236"</f>
        <v>1552376664214236</v>
      </c>
      <c r="C6383" t="s">
        <v>40</v>
      </c>
      <c r="D6383">
        <v>5.0291579999999998</v>
      </c>
      <c r="E6383">
        <v>0.56469279999999999</v>
      </c>
      <c r="F6383" t="s">
        <v>41</v>
      </c>
      <c r="G6383">
        <v>-297.82080000000002</v>
      </c>
      <c r="H6383">
        <v>0.89422109999999899</v>
      </c>
      <c r="I6383">
        <v>-46.033209999999997</v>
      </c>
      <c r="J6383">
        <v>-297.97109999999998</v>
      </c>
      <c r="K6383">
        <v>1.113936</v>
      </c>
      <c r="L6383">
        <v>-45.503970000000002</v>
      </c>
      <c r="M6383">
        <v>0.4831433</v>
      </c>
      <c r="N6383">
        <v>0</v>
      </c>
      <c r="O6383">
        <v>-0.87543579999999999</v>
      </c>
      <c r="P6383">
        <v>0.48828329999999998</v>
      </c>
      <c r="Q6383">
        <v>-3.1580690000000002E-2</v>
      </c>
      <c r="R6383">
        <v>-0.87211380000000005</v>
      </c>
      <c r="S6383">
        <v>0.99612429999999996</v>
      </c>
      <c r="T6383">
        <v>-0.95053339999999997</v>
      </c>
      <c r="U6383">
        <v>-2.8413390000000001</v>
      </c>
      <c r="V6383">
        <v>-5.951657E-3</v>
      </c>
      <c r="W6383">
        <v>-1.8034109999999999E-2</v>
      </c>
      <c r="X6383">
        <v>0.99981960000000003</v>
      </c>
      <c r="Y6383">
        <v>0.178366</v>
      </c>
      <c r="Z6383">
        <v>0.25168570000000001</v>
      </c>
      <c r="AA6383">
        <v>0.95123069999999998</v>
      </c>
      <c r="AB6383">
        <v>16</v>
      </c>
      <c r="AC6383">
        <v>0.15029999999995799</v>
      </c>
      <c r="AD6383">
        <v>-0.21971489999999999</v>
      </c>
      <c r="AE6383">
        <v>-0.52923999999999405</v>
      </c>
      <c r="AF6383">
        <v>0.107057790843487</v>
      </c>
      <c r="AG6383">
        <v>-0.21971489999999999</v>
      </c>
      <c r="AH6383">
        <v>0.462257118875188</v>
      </c>
      <c r="AI6383">
        <v>114.846615486792</v>
      </c>
      <c r="AJ6383">
        <v>76.960311275273099</v>
      </c>
      <c r="AK6383">
        <v>0.52289353774270997</v>
      </c>
      <c r="AL6383">
        <v>91.033334467174896</v>
      </c>
      <c r="AM6383">
        <v>90.341062327103003</v>
      </c>
      <c r="AN6383">
        <v>0.99999994194434705</v>
      </c>
    </row>
    <row r="6384" spans="1:40" x14ac:dyDescent="0.25">
      <c r="A6384" t="str">
        <f>"20190312154424248"</f>
        <v>20190312154424248</v>
      </c>
      <c r="B6384" t="str">
        <f>"1552376664233755"</f>
        <v>1552376664233755</v>
      </c>
      <c r="C6384" t="s">
        <v>40</v>
      </c>
      <c r="D6384">
        <v>5.0529260000000003</v>
      </c>
      <c r="E6384">
        <v>0.56089209999999901</v>
      </c>
      <c r="F6384" t="s">
        <v>41</v>
      </c>
      <c r="G6384">
        <v>-297.73910000000001</v>
      </c>
      <c r="H6384">
        <v>0.89927639999999998</v>
      </c>
      <c r="I6384">
        <v>-46.148319999999998</v>
      </c>
      <c r="J6384">
        <v>-297.8888</v>
      </c>
      <c r="K6384">
        <v>1.113917</v>
      </c>
      <c r="L6384">
        <v>-45.633090000000003</v>
      </c>
      <c r="M6384">
        <v>0.49035099999999998</v>
      </c>
      <c r="N6384">
        <v>0</v>
      </c>
      <c r="O6384">
        <v>-0.87142419999999998</v>
      </c>
      <c r="P6384">
        <v>0.49681239999999999</v>
      </c>
      <c r="Q6384">
        <v>-2.7384329999999998E-2</v>
      </c>
      <c r="R6384">
        <v>-0.86742600000000003</v>
      </c>
      <c r="S6384">
        <v>1.0206299999999999</v>
      </c>
      <c r="T6384">
        <v>-0.94423000000000001</v>
      </c>
      <c r="U6384">
        <v>-2.8342900000000002</v>
      </c>
      <c r="V6384">
        <v>-7.4696129999999999E-3</v>
      </c>
      <c r="W6384">
        <v>-1.417816E-2</v>
      </c>
      <c r="X6384">
        <v>0.99987159999999997</v>
      </c>
      <c r="Y6384">
        <v>0.17821629999999899</v>
      </c>
      <c r="Z6384">
        <v>0.2486816</v>
      </c>
      <c r="AA6384">
        <v>0.95204849999999996</v>
      </c>
      <c r="AB6384">
        <v>16</v>
      </c>
      <c r="AC6384">
        <v>0.149699999999995</v>
      </c>
      <c r="AD6384">
        <v>-0.21464059999999999</v>
      </c>
      <c r="AE6384">
        <v>-0.51522999999999497</v>
      </c>
      <c r="AF6384">
        <v>0.105343133819073</v>
      </c>
      <c r="AG6384">
        <v>-0.21464059999999999</v>
      </c>
      <c r="AH6384">
        <v>0.45036038428187503</v>
      </c>
      <c r="AI6384">
        <v>114.894651005334</v>
      </c>
      <c r="AJ6384">
        <v>76.834727175236097</v>
      </c>
      <c r="AK6384">
        <v>0.509894340762576</v>
      </c>
      <c r="AL6384">
        <v>90.8123759352154</v>
      </c>
      <c r="AM6384">
        <v>90.428024296356497</v>
      </c>
      <c r="AN6384">
        <v>1.0000000159129501</v>
      </c>
    </row>
    <row r="6385" spans="1:40" x14ac:dyDescent="0.25">
      <c r="A6385" t="str">
        <f>"20190312154424270"</f>
        <v>20190312154424270</v>
      </c>
      <c r="B6385" t="str">
        <f>"1552376664264011"</f>
        <v>1552376664264011</v>
      </c>
      <c r="C6385" t="s">
        <v>40</v>
      </c>
      <c r="D6385">
        <v>5.0630550000000003</v>
      </c>
      <c r="E6385">
        <v>0.56074460000000004</v>
      </c>
      <c r="F6385" t="s">
        <v>41</v>
      </c>
      <c r="G6385">
        <v>-297.64850000000001</v>
      </c>
      <c r="H6385">
        <v>0.9122479</v>
      </c>
      <c r="I6385">
        <v>-46.262329999999999</v>
      </c>
      <c r="J6385">
        <v>-297.80259999999998</v>
      </c>
      <c r="K6385">
        <v>1.113909</v>
      </c>
      <c r="L6385">
        <v>-45.765560000000001</v>
      </c>
      <c r="M6385">
        <v>0.4976719</v>
      </c>
      <c r="N6385">
        <v>0</v>
      </c>
      <c r="O6385">
        <v>-0.86726639999999999</v>
      </c>
      <c r="P6385">
        <v>0.50516830000000001</v>
      </c>
      <c r="Q6385">
        <v>-2.6553279999999999E-2</v>
      </c>
      <c r="R6385">
        <v>-0.86261270000000001</v>
      </c>
      <c r="S6385">
        <v>1.0748899999999999</v>
      </c>
      <c r="T6385">
        <v>-0.90290879999999996</v>
      </c>
      <c r="U6385">
        <v>-2.814362</v>
      </c>
      <c r="V6385">
        <v>-8.7012010000000004E-3</v>
      </c>
      <c r="W6385">
        <v>-1.3516709999999999E-2</v>
      </c>
      <c r="X6385">
        <v>0.99987079999999995</v>
      </c>
      <c r="Y6385">
        <v>0.16723109999999999</v>
      </c>
      <c r="Z6385">
        <v>0.23806939999999999</v>
      </c>
      <c r="AA6385">
        <v>0.9567428</v>
      </c>
      <c r="AB6385">
        <v>16</v>
      </c>
      <c r="AC6385">
        <v>0.15409999999997101</v>
      </c>
      <c r="AD6385">
        <v>-0.20166110000000001</v>
      </c>
      <c r="AE6385">
        <v>-0.49676999999999699</v>
      </c>
      <c r="AF6385">
        <v>9.8748091488089093E-2</v>
      </c>
      <c r="AG6385">
        <v>-0.20166110000000001</v>
      </c>
      <c r="AH6385">
        <v>0.441237412249607</v>
      </c>
      <c r="AI6385">
        <v>114.036998817753</v>
      </c>
      <c r="AJ6385">
        <v>77.385179282595502</v>
      </c>
      <c r="AK6385">
        <v>0.49508467840812798</v>
      </c>
      <c r="AL6385">
        <v>90.774474008797796</v>
      </c>
      <c r="AM6385">
        <v>90.498593927960499</v>
      </c>
      <c r="AN6385">
        <v>1.00000001452035</v>
      </c>
    </row>
    <row r="6386" spans="1:40" x14ac:dyDescent="0.25">
      <c r="A6386" t="str">
        <f>"20190312154424292"</f>
        <v>20190312154424292</v>
      </c>
      <c r="B6386" t="str">
        <f>"1552376664283531"</f>
        <v>1552376664283531</v>
      </c>
      <c r="C6386" t="s">
        <v>40</v>
      </c>
      <c r="D6386">
        <v>5.0747070000000001</v>
      </c>
      <c r="E6386">
        <v>0.56098040000000005</v>
      </c>
      <c r="F6386" t="s">
        <v>41</v>
      </c>
      <c r="G6386">
        <v>-297.517</v>
      </c>
      <c r="H6386">
        <v>0.88008779999999998</v>
      </c>
      <c r="I6386">
        <v>-46.490630000000003</v>
      </c>
      <c r="J6386">
        <v>-297.7199</v>
      </c>
      <c r="K6386">
        <v>1.1138939999999999</v>
      </c>
      <c r="L6386">
        <v>-45.89038</v>
      </c>
      <c r="M6386">
        <v>0.5045712</v>
      </c>
      <c r="N6386">
        <v>0</v>
      </c>
      <c r="O6386">
        <v>-0.8632708</v>
      </c>
      <c r="P6386">
        <v>0.51244840000000003</v>
      </c>
      <c r="Q6386">
        <v>-2.7472110000000001E-2</v>
      </c>
      <c r="R6386">
        <v>-0.85827869999999995</v>
      </c>
      <c r="S6386">
        <v>1.1042179999999999</v>
      </c>
      <c r="T6386">
        <v>-0.90459990000000001</v>
      </c>
      <c r="U6386">
        <v>-2.8033139999999999</v>
      </c>
      <c r="V6386">
        <v>-9.195969E-3</v>
      </c>
      <c r="W6386">
        <v>-1.4456439999999999E-2</v>
      </c>
      <c r="X6386">
        <v>0.9998532</v>
      </c>
      <c r="Y6386">
        <v>0.1651377</v>
      </c>
      <c r="Z6386">
        <v>0.2373294</v>
      </c>
      <c r="AA6386">
        <v>0.95729010000000003</v>
      </c>
      <c r="AB6386">
        <v>16</v>
      </c>
      <c r="AC6386">
        <v>0.202899999999999</v>
      </c>
      <c r="AD6386">
        <v>-0.23380619999999999</v>
      </c>
      <c r="AE6386">
        <v>-0.60024999999999495</v>
      </c>
      <c r="AF6386">
        <v>0.112415307611773</v>
      </c>
      <c r="AG6386">
        <v>-0.23380619999999999</v>
      </c>
      <c r="AH6386">
        <v>0.54623213112770097</v>
      </c>
      <c r="AI6386">
        <v>112.745775967523</v>
      </c>
      <c r="AJ6386">
        <v>78.370818712904693</v>
      </c>
      <c r="AK6386">
        <v>0.60470826157759705</v>
      </c>
      <c r="AL6386">
        <v>90.828321862056299</v>
      </c>
      <c r="AM6386">
        <v>90.5269527129783</v>
      </c>
      <c r="AN6386">
        <v>0.99999998802678103</v>
      </c>
    </row>
    <row r="6387" spans="1:40" x14ac:dyDescent="0.25">
      <c r="A6387" t="str">
        <f>"20190312154424315"</f>
        <v>20190312154424315</v>
      </c>
      <c r="B6387" t="str">
        <f>"1552376664304028"</f>
        <v>1552376664304028</v>
      </c>
      <c r="C6387" t="s">
        <v>40</v>
      </c>
      <c r="D6387">
        <v>5.2888900000000003</v>
      </c>
      <c r="E6387">
        <v>0.5608824</v>
      </c>
      <c r="F6387" t="s">
        <v>41</v>
      </c>
      <c r="G6387">
        <v>-297.43270000000001</v>
      </c>
      <c r="H6387">
        <v>0.88154580000000005</v>
      </c>
      <c r="I6387">
        <v>-46.601669999999999</v>
      </c>
      <c r="J6387">
        <v>-297.63240000000002</v>
      </c>
      <c r="K6387">
        <v>1.1138809999999999</v>
      </c>
      <c r="L6387">
        <v>-46.020420000000001</v>
      </c>
      <c r="M6387">
        <v>0.51182890000000003</v>
      </c>
      <c r="N6387">
        <v>0</v>
      </c>
      <c r="O6387">
        <v>-0.85898819999999998</v>
      </c>
      <c r="P6387">
        <v>0.5195708</v>
      </c>
      <c r="Q6387">
        <v>-2.7658780000000001E-2</v>
      </c>
      <c r="R6387">
        <v>-0.85397979999999996</v>
      </c>
      <c r="S6387">
        <v>1.1275329999999999</v>
      </c>
      <c r="T6387">
        <v>-0.91209510000000005</v>
      </c>
      <c r="U6387">
        <v>-2.7929689999999998</v>
      </c>
      <c r="V6387">
        <v>-9.0900990000000008E-3</v>
      </c>
      <c r="W6387">
        <v>-1.467218E-2</v>
      </c>
      <c r="X6387">
        <v>0.99985100000000005</v>
      </c>
      <c r="Y6387">
        <v>0.16547679999999901</v>
      </c>
      <c r="Z6387">
        <v>0.23780870000000001</v>
      </c>
      <c r="AA6387">
        <v>0.95711259999999998</v>
      </c>
      <c r="AB6387">
        <v>16</v>
      </c>
      <c r="AC6387">
        <v>0.19970000000000701</v>
      </c>
      <c r="AD6387">
        <v>-0.23233519999999899</v>
      </c>
      <c r="AE6387">
        <v>-0.58124999999999705</v>
      </c>
      <c r="AF6387">
        <v>0.11022033249558801</v>
      </c>
      <c r="AG6387">
        <v>-0.23233519999999899</v>
      </c>
      <c r="AH6387">
        <v>0.52633467031223802</v>
      </c>
      <c r="AI6387">
        <v>113.36672741442899</v>
      </c>
      <c r="AJ6387">
        <v>78.172539972503102</v>
      </c>
      <c r="AK6387">
        <v>0.58579548651997104</v>
      </c>
      <c r="AL6387">
        <v>90.840684186386</v>
      </c>
      <c r="AM6387">
        <v>90.520887571519793</v>
      </c>
      <c r="AN6387">
        <v>0.99999996248338996</v>
      </c>
    </row>
    <row r="6388" spans="1:40" x14ac:dyDescent="0.25">
      <c r="A6388" t="str">
        <f>"20190312154424338"</f>
        <v>20190312154424338</v>
      </c>
      <c r="B6388" t="str">
        <f>"1552376664324525"</f>
        <v>1552376664324525</v>
      </c>
      <c r="C6388" t="s">
        <v>40</v>
      </c>
      <c r="D6388">
        <v>5.0786110000000004</v>
      </c>
      <c r="E6388">
        <v>0.51082590000000005</v>
      </c>
      <c r="F6388" t="s">
        <v>41</v>
      </c>
      <c r="G6388">
        <v>-297.3458</v>
      </c>
      <c r="H6388">
        <v>0.88681889999999997</v>
      </c>
      <c r="I6388">
        <v>-46.712829999999997</v>
      </c>
      <c r="J6388">
        <v>-297.54660000000001</v>
      </c>
      <c r="K6388">
        <v>1.11388</v>
      </c>
      <c r="L6388">
        <v>-46.145659999999999</v>
      </c>
      <c r="M6388">
        <v>0.51884070000000004</v>
      </c>
      <c r="N6388">
        <v>0</v>
      </c>
      <c r="O6388">
        <v>-0.85477239999999999</v>
      </c>
      <c r="P6388">
        <v>0.52597780000000005</v>
      </c>
      <c r="Q6388">
        <v>-2.6450870000000001E-2</v>
      </c>
      <c r="R6388">
        <v>-0.85008689999999998</v>
      </c>
      <c r="S6388">
        <v>1.1519779999999999</v>
      </c>
      <c r="T6388">
        <v>-0.91330460000000002</v>
      </c>
      <c r="U6388">
        <v>-2.7825319999999998</v>
      </c>
      <c r="V6388">
        <v>-8.4175150000000004E-3</v>
      </c>
      <c r="W6388">
        <v>-1.354343E-2</v>
      </c>
      <c r="X6388">
        <v>0.99987289999999995</v>
      </c>
      <c r="Y6388">
        <v>0.16506889999999999</v>
      </c>
      <c r="Z6388">
        <v>0.23679839999999999</v>
      </c>
      <c r="AA6388">
        <v>0.95743339999999999</v>
      </c>
      <c r="AB6388">
        <v>16</v>
      </c>
      <c r="AC6388">
        <v>0.20080000000001499</v>
      </c>
      <c r="AD6388">
        <v>-0.22706109999999899</v>
      </c>
      <c r="AE6388">
        <v>-0.56716999999999695</v>
      </c>
      <c r="AF6388">
        <v>0.10735351990407201</v>
      </c>
      <c r="AG6388">
        <v>-0.22706109999999899</v>
      </c>
      <c r="AH6388">
        <v>0.51560160884930595</v>
      </c>
      <c r="AI6388">
        <v>113.32255893155499</v>
      </c>
      <c r="AJ6388">
        <v>78.238472166145897</v>
      </c>
      <c r="AK6388">
        <v>0.57352117695600102</v>
      </c>
      <c r="AL6388">
        <v>90.776005066477595</v>
      </c>
      <c r="AM6388">
        <v>90.482337995465798</v>
      </c>
      <c r="AN6388">
        <v>1.00000004760467</v>
      </c>
    </row>
    <row r="6389" spans="1:40" x14ac:dyDescent="0.25">
      <c r="A6389" t="str">
        <f>"20190312154424360"</f>
        <v>20190312154424360</v>
      </c>
      <c r="B6389" t="str">
        <f>"1552376664353803"</f>
        <v>1552376664353803</v>
      </c>
      <c r="C6389" t="s">
        <v>40</v>
      </c>
      <c r="D6389">
        <v>4.8833789999999997</v>
      </c>
      <c r="E6389">
        <v>0.4383822</v>
      </c>
      <c r="F6389" t="s">
        <v>41</v>
      </c>
      <c r="G6389">
        <v>-297.16359999999997</v>
      </c>
      <c r="H6389">
        <v>0.95355749999999995</v>
      </c>
      <c r="I6389">
        <v>-46.798909999999999</v>
      </c>
      <c r="J6389">
        <v>-297.45830000000001</v>
      </c>
      <c r="K6389">
        <v>1.1139019999999999</v>
      </c>
      <c r="L6389">
        <v>-46.27225</v>
      </c>
      <c r="M6389">
        <v>0.52588389999999996</v>
      </c>
      <c r="N6389">
        <v>0</v>
      </c>
      <c r="O6389">
        <v>-0.85045869999999901</v>
      </c>
      <c r="P6389">
        <v>0.53244239999999998</v>
      </c>
      <c r="Q6389">
        <v>-2.5708490000000001E-2</v>
      </c>
      <c r="R6389">
        <v>-0.8460763</v>
      </c>
      <c r="S6389">
        <v>1.509949</v>
      </c>
      <c r="T6389">
        <v>-0.63214609999999904</v>
      </c>
      <c r="U6389">
        <v>-2.5751040000000001</v>
      </c>
      <c r="V6389">
        <v>-7.7729790000000002E-3</v>
      </c>
      <c r="W6389">
        <v>-1.288449E-2</v>
      </c>
      <c r="X6389">
        <v>0.99988679999999996</v>
      </c>
      <c r="Y6389">
        <v>3.2666920000000002E-2</v>
      </c>
      <c r="Z6389">
        <v>0.17493909999999999</v>
      </c>
      <c r="AA6389">
        <v>0.98403719999999995</v>
      </c>
      <c r="AB6389">
        <v>16</v>
      </c>
      <c r="AC6389">
        <v>0.29470000000003399</v>
      </c>
      <c r="AD6389">
        <v>-0.160344499999999</v>
      </c>
      <c r="AE6389">
        <v>-0.52665999999999902</v>
      </c>
      <c r="AF6389">
        <v>2.4597664061119899E-2</v>
      </c>
      <c r="AG6389">
        <v>-0.160344499999999</v>
      </c>
      <c r="AH6389">
        <v>0.56317583226199797</v>
      </c>
      <c r="AI6389">
        <v>105.87806465432401</v>
      </c>
      <c r="AJ6389">
        <v>87.499098681327595</v>
      </c>
      <c r="AK6389">
        <v>0.58607373409965102</v>
      </c>
      <c r="AL6389">
        <v>90.738247309681796</v>
      </c>
      <c r="AM6389">
        <v>90.445400339146801</v>
      </c>
      <c r="AN6389">
        <v>1.00000002104966</v>
      </c>
    </row>
    <row r="6390" spans="1:40" x14ac:dyDescent="0.25">
      <c r="A6390" t="str">
        <f>"20190312154424383"</f>
        <v>20190312154424383</v>
      </c>
      <c r="B6390" t="str">
        <f>"1552376664374300"</f>
        <v>1552376664374300</v>
      </c>
      <c r="C6390" t="s">
        <v>40</v>
      </c>
      <c r="D6390">
        <v>5.1624040000000004</v>
      </c>
      <c r="E6390">
        <v>0.4296701</v>
      </c>
      <c r="F6390" t="s">
        <v>70</v>
      </c>
      <c r="G6390">
        <v>-290.2903</v>
      </c>
      <c r="H6390" s="1">
        <v>-1.028133E-5</v>
      </c>
      <c r="I6390">
        <v>-54.335700000000003</v>
      </c>
      <c r="J6390">
        <v>-297.36869999999999</v>
      </c>
      <c r="K6390">
        <v>1.1139319999999999</v>
      </c>
      <c r="L6390">
        <v>-46.398560000000003</v>
      </c>
      <c r="M6390">
        <v>0.53286679999999997</v>
      </c>
      <c r="N6390">
        <v>0</v>
      </c>
      <c r="O6390">
        <v>-0.84610160000000001</v>
      </c>
      <c r="P6390">
        <v>0.53851470000000001</v>
      </c>
      <c r="Q6390">
        <v>-2.5902930000000001E-2</v>
      </c>
      <c r="R6390">
        <v>-0.84221769999999996</v>
      </c>
      <c r="S6390">
        <v>2.0158689999999999</v>
      </c>
      <c r="T6390">
        <v>-0.31326340000000003</v>
      </c>
      <c r="U6390">
        <v>-2.2676699999999999</v>
      </c>
      <c r="V6390">
        <v>-6.7359500000000001E-3</v>
      </c>
      <c r="W6390">
        <v>-1.31203E-2</v>
      </c>
      <c r="X6390">
        <v>0.99989119999999998</v>
      </c>
      <c r="Y6390">
        <v>-0.16063549999999999</v>
      </c>
      <c r="Z6390">
        <v>9.1405470000000003E-2</v>
      </c>
      <c r="AA6390">
        <v>0.98277219999999998</v>
      </c>
      <c r="AB6390">
        <v>16</v>
      </c>
      <c r="AC6390">
        <v>7.0783999999999798</v>
      </c>
      <c r="AD6390">
        <v>-1.11394228133</v>
      </c>
      <c r="AE6390">
        <v>-7.9371400000000003</v>
      </c>
      <c r="AF6390">
        <v>-1.74065527738631</v>
      </c>
      <c r="AG6390">
        <v>-1.11394228133</v>
      </c>
      <c r="AH6390">
        <v>10.3745156274049</v>
      </c>
      <c r="AI6390">
        <v>96.044684514741306</v>
      </c>
      <c r="AJ6390">
        <v>99.524478549590498</v>
      </c>
      <c r="AK6390">
        <v>10.578342152913001</v>
      </c>
      <c r="AL6390">
        <v>90.751759412650202</v>
      </c>
      <c r="AM6390">
        <v>90.385977662158496</v>
      </c>
      <c r="AN6390">
        <v>0.99999996356596499</v>
      </c>
    </row>
    <row r="6391" spans="1:40" x14ac:dyDescent="0.25">
      <c r="A6391" t="str">
        <f>"20190312154424404"</f>
        <v>20190312154424404</v>
      </c>
      <c r="B6391" t="str">
        <f>"1552376664393820"</f>
        <v>1552376664393820</v>
      </c>
      <c r="C6391" t="s">
        <v>40</v>
      </c>
      <c r="D6391">
        <v>5.0557600000000003</v>
      </c>
      <c r="E6391">
        <v>0.38246429999999998</v>
      </c>
      <c r="F6391" t="s">
        <v>70</v>
      </c>
      <c r="G6391">
        <v>-289.67660000000001</v>
      </c>
      <c r="H6391" s="1">
        <v>-2.3361310000000002E-6</v>
      </c>
      <c r="I6391">
        <v>-54.5531199999999</v>
      </c>
      <c r="J6391">
        <v>-297.28019999999998</v>
      </c>
      <c r="K6391">
        <v>1.11395</v>
      </c>
      <c r="L6391">
        <v>-46.521120000000003</v>
      </c>
      <c r="M6391">
        <v>0.53964919999999905</v>
      </c>
      <c r="N6391">
        <v>0</v>
      </c>
      <c r="O6391">
        <v>-0.8417924</v>
      </c>
      <c r="P6391">
        <v>0.54464829999999997</v>
      </c>
      <c r="Q6391">
        <v>-2.6120669999999999E-2</v>
      </c>
      <c r="R6391">
        <v>-0.83825780000000005</v>
      </c>
      <c r="S6391">
        <v>2.0904240000000001</v>
      </c>
      <c r="T6391">
        <v>-0.3027244</v>
      </c>
      <c r="U6391">
        <v>-2.2160950000000001</v>
      </c>
      <c r="V6391">
        <v>-6.0007259999999996E-3</v>
      </c>
      <c r="W6391">
        <v>-1.335564E-2</v>
      </c>
      <c r="X6391">
        <v>0.99989280000000003</v>
      </c>
      <c r="Y6391">
        <v>-0.18192539999999999</v>
      </c>
      <c r="Z6391">
        <v>8.8214150000000005E-2</v>
      </c>
      <c r="AA6391">
        <v>0.97934750000000004</v>
      </c>
      <c r="AB6391">
        <v>16</v>
      </c>
      <c r="AC6391">
        <v>7.6035999999999699</v>
      </c>
      <c r="AD6391">
        <v>-1.113952336131</v>
      </c>
      <c r="AE6391">
        <v>-8.0319999999999894</v>
      </c>
      <c r="AF6391">
        <v>-2.0456094599367298</v>
      </c>
      <c r="AG6391">
        <v>-1.113952336131</v>
      </c>
      <c r="AH6391">
        <v>10.756333836329301</v>
      </c>
      <c r="AI6391">
        <v>95.809225793143099</v>
      </c>
      <c r="AJ6391">
        <v>100.76776588035</v>
      </c>
      <c r="AK6391">
        <v>11.005640620532599</v>
      </c>
      <c r="AL6391">
        <v>90.765244558243495</v>
      </c>
      <c r="AM6391">
        <v>90.343849006838397</v>
      </c>
      <c r="AN6391">
        <v>0.99999999666208805</v>
      </c>
    </row>
    <row r="6392" spans="1:40" x14ac:dyDescent="0.25">
      <c r="A6392" t="str">
        <f>"20190312154424427"</f>
        <v>20190312154424427</v>
      </c>
      <c r="B6392" t="str">
        <f>"1552376664424076"</f>
        <v>1552376664424076</v>
      </c>
      <c r="C6392" t="s">
        <v>40</v>
      </c>
      <c r="D6392">
        <v>5.030697</v>
      </c>
      <c r="E6392">
        <v>0.38266349999999999</v>
      </c>
      <c r="F6392" t="s">
        <v>70</v>
      </c>
      <c r="G6392">
        <v>-289.25459999999998</v>
      </c>
      <c r="H6392" s="1">
        <v>-2.9029979999999999E-6</v>
      </c>
      <c r="I6392">
        <v>-53.127079999999999</v>
      </c>
      <c r="J6392">
        <v>-297.18979999999999</v>
      </c>
      <c r="K6392">
        <v>1.1139460000000001</v>
      </c>
      <c r="L6392">
        <v>-46.644100000000002</v>
      </c>
      <c r="M6392">
        <v>0.54649749999999997</v>
      </c>
      <c r="N6392">
        <v>0</v>
      </c>
      <c r="O6392">
        <v>-0.83736309999999903</v>
      </c>
      <c r="P6392">
        <v>0.55068019999999995</v>
      </c>
      <c r="Q6392">
        <v>-2.6586080000000002E-2</v>
      </c>
      <c r="R6392">
        <v>-0.8342929</v>
      </c>
      <c r="S6392">
        <v>2.4227599999999998</v>
      </c>
      <c r="T6392">
        <v>-0.3362792</v>
      </c>
      <c r="U6392">
        <v>-1.994202</v>
      </c>
      <c r="V6392">
        <v>-5.0609460000000002E-3</v>
      </c>
      <c r="W6392">
        <v>-1.383791E-2</v>
      </c>
      <c r="X6392">
        <v>0.99989150000000004</v>
      </c>
      <c r="Y6392">
        <v>-0.29486519999999999</v>
      </c>
      <c r="Z6392">
        <v>9.8124760000000005E-2</v>
      </c>
      <c r="AA6392">
        <v>0.95048730000000003</v>
      </c>
      <c r="AB6392">
        <v>16</v>
      </c>
      <c r="AC6392">
        <v>7.9352</v>
      </c>
      <c r="AD6392">
        <v>-1.1139489029980001</v>
      </c>
      <c r="AE6392">
        <v>-6.4829800000000004</v>
      </c>
      <c r="AF6392">
        <v>-3.0657331003820198</v>
      </c>
      <c r="AG6392">
        <v>-1.1139489029980001</v>
      </c>
      <c r="AH6392">
        <v>9.6519043324707301</v>
      </c>
      <c r="AI6392">
        <v>96.277124461776197</v>
      </c>
      <c r="AJ6392">
        <v>107.621402543366</v>
      </c>
      <c r="AK6392">
        <v>10.188172497775801</v>
      </c>
      <c r="AL6392">
        <v>90.7928791014144</v>
      </c>
      <c r="AM6392">
        <v>90.289999834935102</v>
      </c>
      <c r="AN6392">
        <v>1.0000000563499101</v>
      </c>
    </row>
    <row r="6393" spans="1:40" x14ac:dyDescent="0.25">
      <c r="A6393" t="str">
        <f>"20190312154424449"</f>
        <v>20190312154424449</v>
      </c>
      <c r="B6393" t="str">
        <f>"1552376664444572"</f>
        <v>1552376664444572</v>
      </c>
      <c r="C6393" t="s">
        <v>40</v>
      </c>
      <c r="D6393">
        <v>4.9622699999999904</v>
      </c>
      <c r="E6393">
        <v>0.38343250000000001</v>
      </c>
      <c r="F6393" t="s">
        <v>70</v>
      </c>
      <c r="G6393">
        <v>-289.27699999999999</v>
      </c>
      <c r="H6393" s="1">
        <v>-2.903002E-6</v>
      </c>
      <c r="I6393">
        <v>-53.067570000000003</v>
      </c>
      <c r="J6393">
        <v>-297.0985</v>
      </c>
      <c r="K6393">
        <v>1.1139380000000001</v>
      </c>
      <c r="L6393">
        <v>-46.766269999999999</v>
      </c>
      <c r="M6393">
        <v>0.55332669999999995</v>
      </c>
      <c r="N6393">
        <v>0</v>
      </c>
      <c r="O6393">
        <v>-0.83286669999999996</v>
      </c>
      <c r="P6393">
        <v>0.55765909999999996</v>
      </c>
      <c r="Q6393">
        <v>-2.696832E-2</v>
      </c>
      <c r="R6393">
        <v>-0.82963199999999904</v>
      </c>
      <c r="S6393">
        <v>2.4356990000000001</v>
      </c>
      <c r="T6393">
        <v>-0.34288950000000001</v>
      </c>
      <c r="U6393">
        <v>-1.9772339999999999</v>
      </c>
      <c r="V6393">
        <v>-5.2759449999999998E-3</v>
      </c>
      <c r="W6393">
        <v>-1.42518E-2</v>
      </c>
      <c r="X6393">
        <v>0.99988449999999995</v>
      </c>
      <c r="Y6393">
        <v>-0.29336289999999998</v>
      </c>
      <c r="Z6393">
        <v>9.9635070000000006E-2</v>
      </c>
      <c r="AA6393">
        <v>0.95079499999999995</v>
      </c>
      <c r="AB6393">
        <v>16</v>
      </c>
      <c r="AC6393">
        <v>7.8215000000000101</v>
      </c>
      <c r="AD6393">
        <v>-1.11394090300199</v>
      </c>
      <c r="AE6393">
        <v>-6.3012999999999897</v>
      </c>
      <c r="AF6393">
        <v>-2.9910453321886501</v>
      </c>
      <c r="AG6393">
        <v>-1.11394090300199</v>
      </c>
      <c r="AH6393">
        <v>9.4604023114676306</v>
      </c>
      <c r="AI6393">
        <v>96.405778227055507</v>
      </c>
      <c r="AJ6393">
        <v>107.545116034774</v>
      </c>
      <c r="AK6393">
        <v>9.9843091102694999</v>
      </c>
      <c r="AL6393">
        <v>90.816595650910998</v>
      </c>
      <c r="AM6393">
        <v>90.302321494172901</v>
      </c>
      <c r="AN6393">
        <v>0.99999998136956603</v>
      </c>
    </row>
    <row r="6394" spans="1:40" x14ac:dyDescent="0.25">
      <c r="A6394" t="str">
        <f>"20190312154424471"</f>
        <v>20190312154424471</v>
      </c>
      <c r="B6394" t="str">
        <f>"1552376664464095"</f>
        <v>1552376664464095</v>
      </c>
      <c r="C6394" t="s">
        <v>40</v>
      </c>
      <c r="D6394">
        <v>4.980734</v>
      </c>
      <c r="E6394">
        <v>0.38452989999999998</v>
      </c>
      <c r="F6394" t="s">
        <v>70</v>
      </c>
      <c r="G6394">
        <v>-289.18299999999999</v>
      </c>
      <c r="H6394" s="1">
        <v>-2.9497470000000001E-6</v>
      </c>
      <c r="I6394">
        <v>-53.107430000000001</v>
      </c>
      <c r="J6394">
        <v>-297.0059</v>
      </c>
      <c r="K6394">
        <v>1.1139289999999999</v>
      </c>
      <c r="L6394">
        <v>-46.888089999999998</v>
      </c>
      <c r="M6394">
        <v>0.56014519999999901</v>
      </c>
      <c r="N6394">
        <v>0</v>
      </c>
      <c r="O6394">
        <v>-0.828296699999999</v>
      </c>
      <c r="P6394">
        <v>0.56514359999999997</v>
      </c>
      <c r="Q6394">
        <v>-2.701021E-2</v>
      </c>
      <c r="R6394">
        <v>-0.82455040000000002</v>
      </c>
      <c r="S6394">
        <v>2.4468380000000001</v>
      </c>
      <c r="T6394">
        <v>-0.34434019999999999</v>
      </c>
      <c r="U6394">
        <v>-1.960175</v>
      </c>
      <c r="V6394">
        <v>-6.1160269999999996E-3</v>
      </c>
      <c r="W6394">
        <v>-1.432632E-2</v>
      </c>
      <c r="X6394">
        <v>0.99987859999999995</v>
      </c>
      <c r="Y6394">
        <v>-0.29164400000000001</v>
      </c>
      <c r="Z6394">
        <v>9.9675299999999994E-2</v>
      </c>
      <c r="AA6394">
        <v>0.95131940000000004</v>
      </c>
      <c r="AB6394">
        <v>16</v>
      </c>
      <c r="AC6394">
        <v>7.8228999999999997</v>
      </c>
      <c r="AD6394">
        <v>-1.1139319497469999</v>
      </c>
      <c r="AE6394">
        <v>-6.2193399999999999</v>
      </c>
      <c r="AF6394">
        <v>-2.9594246780362301</v>
      </c>
      <c r="AG6394">
        <v>-1.1139319497469999</v>
      </c>
      <c r="AH6394">
        <v>9.4171951330793497</v>
      </c>
      <c r="AI6394">
        <v>96.438361586382499</v>
      </c>
      <c r="AJ6394">
        <v>107.445719823747</v>
      </c>
      <c r="AK6394">
        <v>9.9339117666773404</v>
      </c>
      <c r="AL6394">
        <v>90.820865808974801</v>
      </c>
      <c r="AM6394">
        <v>90.350460710178496</v>
      </c>
      <c r="AN6394">
        <v>0.99999993198448101</v>
      </c>
    </row>
    <row r="6395" spans="1:40" x14ac:dyDescent="0.25">
      <c r="A6395" t="str">
        <f>"20190312154424493"</f>
        <v>20190312154424493</v>
      </c>
      <c r="B6395" t="str">
        <f>"1552376664483612"</f>
        <v>1552376664483612</v>
      </c>
      <c r="C6395" t="s">
        <v>40</v>
      </c>
      <c r="D6395">
        <v>4.9224189999999997</v>
      </c>
      <c r="E6395">
        <v>0.38551560000000001</v>
      </c>
      <c r="F6395" t="s">
        <v>70</v>
      </c>
      <c r="G6395">
        <v>-289.00029999999998</v>
      </c>
      <c r="H6395" s="1">
        <v>-3.0331019999999999E-6</v>
      </c>
      <c r="I6395">
        <v>-53.219050000000003</v>
      </c>
      <c r="J6395">
        <v>-296.91239999999999</v>
      </c>
      <c r="K6395">
        <v>1.1139209999999999</v>
      </c>
      <c r="L6395">
        <v>-47.00891</v>
      </c>
      <c r="M6395">
        <v>0.56690509999999905</v>
      </c>
      <c r="N6395">
        <v>0</v>
      </c>
      <c r="O6395">
        <v>-0.823685</v>
      </c>
      <c r="P6395">
        <v>0.57247440000000005</v>
      </c>
      <c r="Q6395">
        <v>-2.736968E-2</v>
      </c>
      <c r="R6395">
        <v>-0.81946559999999902</v>
      </c>
      <c r="S6395">
        <v>2.4570620000000001</v>
      </c>
      <c r="T6395">
        <v>-0.34188580000000002</v>
      </c>
      <c r="U6395">
        <v>-1.943085</v>
      </c>
      <c r="V6395">
        <v>-6.8535640000000004E-3</v>
      </c>
      <c r="W6395">
        <v>-1.471103E-2</v>
      </c>
      <c r="X6395">
        <v>0.99986830000000004</v>
      </c>
      <c r="Y6395">
        <v>-0.28989320000000002</v>
      </c>
      <c r="Z6395">
        <v>9.8607379999999994E-2</v>
      </c>
      <c r="AA6395">
        <v>0.95196559999999997</v>
      </c>
      <c r="AB6395">
        <v>16</v>
      </c>
      <c r="AC6395">
        <v>7.9120999999999997</v>
      </c>
      <c r="AD6395">
        <v>-1.1139240331019999</v>
      </c>
      <c r="AE6395">
        <v>-6.21014</v>
      </c>
      <c r="AF6395">
        <v>-2.96044998657676</v>
      </c>
      <c r="AG6395">
        <v>-1.1139240331019999</v>
      </c>
      <c r="AH6395">
        <v>9.4850497564172702</v>
      </c>
      <c r="AI6395">
        <v>96.396510828405397</v>
      </c>
      <c r="AJ6395">
        <v>107.334056447221</v>
      </c>
      <c r="AK6395">
        <v>9.9985628845477503</v>
      </c>
      <c r="AL6395">
        <v>90.842910334842799</v>
      </c>
      <c r="AM6395">
        <v>90.392725864132899</v>
      </c>
      <c r="AN6395">
        <v>1.00000000154402</v>
      </c>
    </row>
    <row r="6396" spans="1:40" x14ac:dyDescent="0.25">
      <c r="A6396" t="str">
        <f>"20190312154424515"</f>
        <v>20190312154424515</v>
      </c>
      <c r="B6396" t="str">
        <f>"1552376664504108"</f>
        <v>1552376664504108</v>
      </c>
      <c r="C6396" t="s">
        <v>40</v>
      </c>
      <c r="D6396">
        <v>4.9002179999999997</v>
      </c>
      <c r="E6396">
        <v>0.38631260000000001</v>
      </c>
      <c r="F6396" t="s">
        <v>70</v>
      </c>
      <c r="G6396">
        <v>-288.77120000000002</v>
      </c>
      <c r="H6396" s="1">
        <v>-3.137068E-6</v>
      </c>
      <c r="I6396">
        <v>-53.361179999999997</v>
      </c>
      <c r="J6396">
        <v>-296.81909999999999</v>
      </c>
      <c r="K6396">
        <v>1.11391</v>
      </c>
      <c r="L6396">
        <v>-47.127470000000002</v>
      </c>
      <c r="M6396">
        <v>0.57353679999999996</v>
      </c>
      <c r="N6396">
        <v>0</v>
      </c>
      <c r="O6396">
        <v>-0.81908139999999996</v>
      </c>
      <c r="P6396">
        <v>0.57918939999999997</v>
      </c>
      <c r="Q6396">
        <v>-2.822817E-2</v>
      </c>
      <c r="R6396">
        <v>-0.81470450000000005</v>
      </c>
      <c r="S6396">
        <v>2.4678650000000002</v>
      </c>
      <c r="T6396">
        <v>-0.33767019999999998</v>
      </c>
      <c r="U6396">
        <v>-1.9255979999999999</v>
      </c>
      <c r="V6396">
        <v>-7.00747E-3</v>
      </c>
      <c r="W6396">
        <v>-1.55852E-2</v>
      </c>
      <c r="X6396">
        <v>0.99985400000000002</v>
      </c>
      <c r="Y6396">
        <v>-0.28850740000000002</v>
      </c>
      <c r="Z6396">
        <v>9.7041479999999999E-2</v>
      </c>
      <c r="AA6396">
        <v>0.95254729999999999</v>
      </c>
      <c r="AB6396">
        <v>16</v>
      </c>
      <c r="AC6396">
        <v>8.0478999999999701</v>
      </c>
      <c r="AD6396">
        <v>-1.113913137068</v>
      </c>
      <c r="AE6396">
        <v>-6.2337100000000003</v>
      </c>
      <c r="AF6396">
        <v>-2.9811708129141201</v>
      </c>
      <c r="AG6396">
        <v>-1.113913137068</v>
      </c>
      <c r="AH6396">
        <v>9.6074304633162804</v>
      </c>
      <c r="AI6396">
        <v>96.318866628192794</v>
      </c>
      <c r="AJ6396">
        <v>107.239035744576</v>
      </c>
      <c r="AK6396">
        <v>10.120815283373201</v>
      </c>
      <c r="AL6396">
        <v>90.893002325937104</v>
      </c>
      <c r="AM6396">
        <v>90.401550508901295</v>
      </c>
      <c r="AN6396">
        <v>1.00000001220542</v>
      </c>
    </row>
    <row r="6397" spans="1:40" x14ac:dyDescent="0.25">
      <c r="A6397" t="str">
        <f>"20190312154424539"</f>
        <v>20190312154424539</v>
      </c>
      <c r="B6397" t="str">
        <f>"1552376664534364"</f>
        <v>1552376664534364</v>
      </c>
      <c r="C6397" t="s">
        <v>40</v>
      </c>
      <c r="D6397">
        <v>4.8463070000000004</v>
      </c>
      <c r="E6397">
        <v>0.3875749</v>
      </c>
      <c r="F6397" t="s">
        <v>70</v>
      </c>
      <c r="G6397">
        <v>-288.64710000000002</v>
      </c>
      <c r="H6397" s="1">
        <v>-3.1972839999999998E-6</v>
      </c>
      <c r="I6397">
        <v>-53.420740000000002</v>
      </c>
      <c r="J6397">
        <v>-296.72160000000002</v>
      </c>
      <c r="K6397">
        <v>1.1138509999999999</v>
      </c>
      <c r="L6397">
        <v>-47.249479999999998</v>
      </c>
      <c r="M6397">
        <v>0.58008530000000003</v>
      </c>
      <c r="N6397">
        <v>0</v>
      </c>
      <c r="O6397">
        <v>-0.81444850000000002</v>
      </c>
      <c r="P6397">
        <v>0.58532479999999998</v>
      </c>
      <c r="Q6397">
        <v>-2.835729E-2</v>
      </c>
      <c r="R6397">
        <v>-0.810303</v>
      </c>
      <c r="S6397">
        <v>2.4784549999999999</v>
      </c>
      <c r="T6397">
        <v>-0.33783449999999998</v>
      </c>
      <c r="U6397">
        <v>-1.9086609999999999</v>
      </c>
      <c r="V6397">
        <v>-6.5502859999999998E-3</v>
      </c>
      <c r="W6397">
        <v>-1.5208370000000001E-2</v>
      </c>
      <c r="X6397">
        <v>0.9998629</v>
      </c>
      <c r="Y6397">
        <v>-0.28689330000000002</v>
      </c>
      <c r="Z6397">
        <v>9.6704810000000002E-2</v>
      </c>
      <c r="AA6397">
        <v>0.95306900000000006</v>
      </c>
      <c r="AB6397">
        <v>16</v>
      </c>
      <c r="AC6397">
        <v>8.0745000000000005</v>
      </c>
      <c r="AD6397">
        <v>-1.1138541972839999</v>
      </c>
      <c r="AE6397">
        <v>-6.1712600000000002</v>
      </c>
      <c r="AF6397">
        <v>-2.9610988640381302</v>
      </c>
      <c r="AG6397">
        <v>-1.1138541972839999</v>
      </c>
      <c r="AH6397">
        <v>9.5956529973779592</v>
      </c>
      <c r="AI6397">
        <v>96.329259917984601</v>
      </c>
      <c r="AJ6397">
        <v>107.149573563716</v>
      </c>
      <c r="AK6397">
        <v>10.103728722679699</v>
      </c>
      <c r="AL6397">
        <v>90.871408999972601</v>
      </c>
      <c r="AM6397">
        <v>90.375349833906995</v>
      </c>
      <c r="AN6397">
        <v>1.0000000097805699</v>
      </c>
    </row>
    <row r="6398" spans="1:40" x14ac:dyDescent="0.25">
      <c r="A6398" t="str">
        <f>"20190312154424572"</f>
        <v>20190312154424572</v>
      </c>
      <c r="B6398" t="str">
        <f>"1552376664563644"</f>
        <v>1552376664563644</v>
      </c>
      <c r="C6398" t="s">
        <v>40</v>
      </c>
      <c r="D6398">
        <v>4.7963290000000001</v>
      </c>
      <c r="E6398">
        <v>0.38841100000000001</v>
      </c>
      <c r="F6398" t="s">
        <v>70</v>
      </c>
      <c r="G6398">
        <v>-288.40789999999998</v>
      </c>
      <c r="H6398" s="1">
        <v>-3.3004210000000001E-6</v>
      </c>
      <c r="I6398">
        <v>-53.5937699999999</v>
      </c>
      <c r="J6398">
        <v>-296.58449999999999</v>
      </c>
      <c r="K6398">
        <v>1.1135949999999999</v>
      </c>
      <c r="L6398">
        <v>-47.41919</v>
      </c>
      <c r="M6398">
        <v>0.58824299999999996</v>
      </c>
      <c r="N6398">
        <v>0</v>
      </c>
      <c r="O6398">
        <v>-0.8085386</v>
      </c>
      <c r="P6398">
        <v>0.59297500000000003</v>
      </c>
      <c r="Q6398">
        <v>-2.944312E-2</v>
      </c>
      <c r="R6398">
        <v>-0.80468269999999997</v>
      </c>
      <c r="S6398">
        <v>2.4845280000000001</v>
      </c>
      <c r="T6398">
        <v>-0.33287080000000002</v>
      </c>
      <c r="U6398">
        <v>-1.895966</v>
      </c>
      <c r="V6398">
        <v>-6.0087680000000003E-3</v>
      </c>
      <c r="W6398">
        <v>-1.412887E-2</v>
      </c>
      <c r="X6398">
        <v>0.9998821</v>
      </c>
      <c r="Y6398">
        <v>-0.28160000000000002</v>
      </c>
      <c r="Z6398">
        <v>9.4713530000000004E-2</v>
      </c>
      <c r="AA6398">
        <v>0.95484599999999997</v>
      </c>
      <c r="AB6398">
        <v>16</v>
      </c>
      <c r="AC6398">
        <v>8.1766000000000005</v>
      </c>
      <c r="AD6398">
        <v>-1.1135983004209999</v>
      </c>
      <c r="AE6398">
        <v>-6.17457999999999</v>
      </c>
      <c r="AF6398">
        <v>-2.94451208354316</v>
      </c>
      <c r="AG6398">
        <v>-1.1135983004209999</v>
      </c>
      <c r="AH6398">
        <v>9.6889182028541097</v>
      </c>
      <c r="AI6398">
        <v>96.275549719127199</v>
      </c>
      <c r="AJ6398">
        <v>106.904296617322</v>
      </c>
      <c r="AK6398">
        <v>10.1875114000638</v>
      </c>
      <c r="AL6398">
        <v>90.809551578866902</v>
      </c>
      <c r="AM6398">
        <v>90.344313496739204</v>
      </c>
      <c r="AN6398">
        <v>0.99999997208038105</v>
      </c>
    </row>
    <row r="6399" spans="1:40" x14ac:dyDescent="0.25">
      <c r="A6399" t="str">
        <f>"20190312154424594"</f>
        <v>20190312154424594</v>
      </c>
      <c r="B6399" t="str">
        <f>"1552376664584140"</f>
        <v>1552376664584140</v>
      </c>
      <c r="C6399" t="s">
        <v>40</v>
      </c>
      <c r="D6399">
        <v>4.7901059999999998</v>
      </c>
      <c r="E6399">
        <v>0.3991383</v>
      </c>
      <c r="F6399" t="s">
        <v>70</v>
      </c>
      <c r="G6399">
        <v>-288.23719999999997</v>
      </c>
      <c r="H6399" s="1">
        <v>-3.3736709999999998E-6</v>
      </c>
      <c r="I6399">
        <v>-53.692390000000003</v>
      </c>
      <c r="J6399">
        <v>-296.49349999999998</v>
      </c>
      <c r="K6399">
        <v>1.1134269999999999</v>
      </c>
      <c r="L6399">
        <v>-47.531039999999997</v>
      </c>
      <c r="M6399">
        <v>0.59302959999999905</v>
      </c>
      <c r="N6399">
        <v>0</v>
      </c>
      <c r="O6399">
        <v>-0.80499849999999995</v>
      </c>
      <c r="P6399">
        <v>0.59806530000000002</v>
      </c>
      <c r="Q6399">
        <v>-3.1442390000000001E-2</v>
      </c>
      <c r="R6399">
        <v>-0.80083079999999995</v>
      </c>
      <c r="S6399">
        <v>2.496613</v>
      </c>
      <c r="T6399">
        <v>-0.33306599999999997</v>
      </c>
      <c r="U6399">
        <v>-1.8762509999999999</v>
      </c>
      <c r="V6399">
        <v>-6.4569229999999998E-3</v>
      </c>
      <c r="W6399">
        <v>-1.433103E-2</v>
      </c>
      <c r="X6399">
        <v>0.9998764</v>
      </c>
      <c r="Y6399">
        <v>-0.28292260000000002</v>
      </c>
      <c r="Z6399">
        <v>9.4582830000000007E-2</v>
      </c>
      <c r="AA6399">
        <v>0.95446790000000004</v>
      </c>
      <c r="AB6399">
        <v>15</v>
      </c>
      <c r="AC6399">
        <v>8.2563000000000102</v>
      </c>
      <c r="AD6399">
        <v>-1.1134303736709901</v>
      </c>
      <c r="AE6399">
        <v>-6.1613499999999899</v>
      </c>
      <c r="AF6399">
        <v>-2.9583278658625698</v>
      </c>
      <c r="AG6399">
        <v>-1.1134303736709901</v>
      </c>
      <c r="AH6399">
        <v>9.7437335510706102</v>
      </c>
      <c r="AI6399">
        <v>96.240093349303706</v>
      </c>
      <c r="AJ6399">
        <v>106.888991858645</v>
      </c>
      <c r="AK6399">
        <v>10.2436211601762</v>
      </c>
      <c r="AL6399">
        <v>90.821135690959807</v>
      </c>
      <c r="AM6399">
        <v>90.369995025421304</v>
      </c>
      <c r="AN6399">
        <v>0.99999994277622195</v>
      </c>
    </row>
    <row r="6400" spans="1:40" x14ac:dyDescent="0.25">
      <c r="A6400" t="str">
        <f>"20190312154424616"</f>
        <v>20190312154424616</v>
      </c>
      <c r="B6400" t="str">
        <f>"1552376664603660"</f>
        <v>1552376664603660</v>
      </c>
      <c r="C6400" t="s">
        <v>40</v>
      </c>
      <c r="D6400">
        <v>4.7535119999999997</v>
      </c>
      <c r="E6400">
        <v>0.40042680000000003</v>
      </c>
      <c r="F6400" t="s">
        <v>70</v>
      </c>
      <c r="G6400">
        <v>-287.72449999999998</v>
      </c>
      <c r="H6400" s="1">
        <v>-3.504857E-6</v>
      </c>
      <c r="I6400">
        <v>-54.40446</v>
      </c>
      <c r="J6400">
        <v>-296.40910000000002</v>
      </c>
      <c r="K6400">
        <v>1.1133690000000001</v>
      </c>
      <c r="L6400">
        <v>-47.634219999999999</v>
      </c>
      <c r="M6400">
        <v>0.59708229999999995</v>
      </c>
      <c r="N6400">
        <v>0</v>
      </c>
      <c r="O6400">
        <v>-0.80195799999999995</v>
      </c>
      <c r="P6400">
        <v>0.60187139999999995</v>
      </c>
      <c r="Q6400">
        <v>-3.47564E-2</v>
      </c>
      <c r="R6400">
        <v>-0.79783649999999995</v>
      </c>
      <c r="S6400">
        <v>2.4394529999999999</v>
      </c>
      <c r="T6400">
        <v>-0.30974879999999999</v>
      </c>
      <c r="U6400">
        <v>-1.91214</v>
      </c>
      <c r="V6400">
        <v>-6.2388859999999999E-3</v>
      </c>
      <c r="W6400">
        <v>-1.5913199999999999E-2</v>
      </c>
      <c r="X6400">
        <v>0.99985389999999996</v>
      </c>
      <c r="Y6400">
        <v>-0.25915080000000001</v>
      </c>
      <c r="Z6400">
        <v>8.7684100000000001E-2</v>
      </c>
      <c r="AA6400">
        <v>0.96184840000000005</v>
      </c>
      <c r="AB6400">
        <v>14</v>
      </c>
      <c r="AC6400">
        <v>8.6846000000000405</v>
      </c>
      <c r="AD6400">
        <v>-1.113372504857</v>
      </c>
      <c r="AE6400">
        <v>-6.7702400000000003</v>
      </c>
      <c r="AF6400">
        <v>-2.8932374866102002</v>
      </c>
      <c r="AG6400">
        <v>-1.113372504857</v>
      </c>
      <c r="AH6400">
        <v>10.509324991850599</v>
      </c>
      <c r="AI6400">
        <v>95.832043988369094</v>
      </c>
      <c r="AJ6400">
        <v>105.392333211219</v>
      </c>
      <c r="AK6400">
        <v>10.9570220987654</v>
      </c>
      <c r="AL6400">
        <v>90.911797695128698</v>
      </c>
      <c r="AM6400">
        <v>90.357509429631506</v>
      </c>
      <c r="AN6400">
        <v>0.999999987488985</v>
      </c>
    </row>
    <row r="6401" spans="1:40" x14ac:dyDescent="0.25">
      <c r="A6401" t="str">
        <f>"20190312154424638"</f>
        <v>20190312154424638</v>
      </c>
      <c r="B6401" t="str">
        <f>"1552376664633916"</f>
        <v>1552376664633916</v>
      </c>
      <c r="C6401" t="s">
        <v>40</v>
      </c>
      <c r="D6401">
        <v>4.6399549999999996</v>
      </c>
      <c r="E6401">
        <v>0.40114329999999998</v>
      </c>
      <c r="F6401" t="s">
        <v>70</v>
      </c>
      <c r="G6401">
        <v>-287.82420000000002</v>
      </c>
      <c r="H6401" s="1">
        <v>-3.4663390000000002E-6</v>
      </c>
      <c r="I6401">
        <v>-54.33925</v>
      </c>
      <c r="J6401">
        <v>-296.32220000000001</v>
      </c>
      <c r="K6401">
        <v>1.113405</v>
      </c>
      <c r="L6401">
        <v>-47.739780000000003</v>
      </c>
      <c r="M6401">
        <v>0.6011978</v>
      </c>
      <c r="N6401">
        <v>0</v>
      </c>
      <c r="O6401">
        <v>-0.79883359999999903</v>
      </c>
      <c r="P6401">
        <v>0.60513729999999999</v>
      </c>
      <c r="Q6401">
        <v>-3.7313100000000002E-2</v>
      </c>
      <c r="R6401">
        <v>-0.79524609999999996</v>
      </c>
      <c r="S6401">
        <v>2.4400019999999998</v>
      </c>
      <c r="T6401">
        <v>-0.3164421</v>
      </c>
      <c r="U6401">
        <v>-1.9057010000000001</v>
      </c>
      <c r="V6401">
        <v>-5.2466630000000004E-3</v>
      </c>
      <c r="W6401">
        <v>-1.6698669999999999E-2</v>
      </c>
      <c r="X6401">
        <v>0.99984680000000004</v>
      </c>
      <c r="Y6401">
        <v>-0.25568859999999999</v>
      </c>
      <c r="Z6401">
        <v>8.9294869999999998E-2</v>
      </c>
      <c r="AA6401">
        <v>0.96262650000000005</v>
      </c>
      <c r="AB6401">
        <v>14</v>
      </c>
      <c r="AC6401">
        <v>8.4979999999999905</v>
      </c>
      <c r="AD6401">
        <v>-1.113408466339</v>
      </c>
      <c r="AE6401">
        <v>-6.5994700000000002</v>
      </c>
      <c r="AF6401">
        <v>-2.7916091251114801</v>
      </c>
      <c r="AG6401">
        <v>-1.113408466339</v>
      </c>
      <c r="AH6401">
        <v>10.2730634702509</v>
      </c>
      <c r="AI6401">
        <v>95.970774851531203</v>
      </c>
      <c r="AJ6401">
        <v>105.20249072285399</v>
      </c>
      <c r="AK6401">
        <v>10.703671939298401</v>
      </c>
      <c r="AL6401">
        <v>90.956807786596002</v>
      </c>
      <c r="AM6401">
        <v>90.300654947606006</v>
      </c>
      <c r="AN6401">
        <v>0.99999999826132202</v>
      </c>
    </row>
    <row r="6402" spans="1:40" x14ac:dyDescent="0.25">
      <c r="A6402" t="str">
        <f>"20190312154424661"</f>
        <v>20190312154424661</v>
      </c>
      <c r="B6402" t="str">
        <f>"1552376664654415"</f>
        <v>1552376664654415</v>
      </c>
      <c r="C6402" t="s">
        <v>40</v>
      </c>
      <c r="D6402">
        <v>4.7498699999999996</v>
      </c>
      <c r="E6402">
        <v>0.38424770000000003</v>
      </c>
      <c r="F6402" t="s">
        <v>70</v>
      </c>
      <c r="G6402">
        <v>-287.83550000000002</v>
      </c>
      <c r="H6402" s="1">
        <v>-3.4613499999999999E-6</v>
      </c>
      <c r="I6402">
        <v>-54.335320000000003</v>
      </c>
      <c r="J6402">
        <v>-296.24029999999999</v>
      </c>
      <c r="K6402">
        <v>1.1136360000000001</v>
      </c>
      <c r="L6402">
        <v>-47.838070000000002</v>
      </c>
      <c r="M6402">
        <v>0.60560669999999905</v>
      </c>
      <c r="N6402">
        <v>0</v>
      </c>
      <c r="O6402">
        <v>-0.79545909999999997</v>
      </c>
      <c r="P6402">
        <v>0.60907049999999996</v>
      </c>
      <c r="Q6402">
        <v>-3.8905049999999997E-2</v>
      </c>
      <c r="R6402">
        <v>-0.79216149999999996</v>
      </c>
      <c r="S6402">
        <v>2.4428709999999998</v>
      </c>
      <c r="T6402">
        <v>-0.32049</v>
      </c>
      <c r="U6402">
        <v>-1.8984989999999999</v>
      </c>
      <c r="V6402">
        <v>-4.6907379999999999E-3</v>
      </c>
      <c r="W6402">
        <v>-1.6897969999999998E-2</v>
      </c>
      <c r="X6402">
        <v>0.99984620000000002</v>
      </c>
      <c r="Y6402">
        <v>-0.25255169999999999</v>
      </c>
      <c r="Z6402">
        <v>9.0102139999999997E-2</v>
      </c>
      <c r="AA6402">
        <v>0.96337910000000004</v>
      </c>
      <c r="AB6402">
        <v>14</v>
      </c>
      <c r="AC6402">
        <v>8.4047999999999607</v>
      </c>
      <c r="AD6402">
        <v>-1.11363946135</v>
      </c>
      <c r="AE6402">
        <v>-6.4972499999999904</v>
      </c>
      <c r="AF6402">
        <v>-2.7216553253983302</v>
      </c>
      <c r="AG6402">
        <v>-1.11363946135</v>
      </c>
      <c r="AH6402">
        <v>10.1492572468656</v>
      </c>
      <c r="AI6402">
        <v>96.049721512151194</v>
      </c>
      <c r="AJ6402">
        <v>105.011429333704</v>
      </c>
      <c r="AK6402">
        <v>10.5666940536385</v>
      </c>
      <c r="AL6402">
        <v>90.968228460743504</v>
      </c>
      <c r="AM6402">
        <v>90.268798859712007</v>
      </c>
      <c r="AN6402">
        <v>0.99999998403377199</v>
      </c>
    </row>
    <row r="6403" spans="1:40" x14ac:dyDescent="0.25">
      <c r="A6403" t="str">
        <f>"20190312154424683"</f>
        <v>20190312154424683</v>
      </c>
      <c r="B6403" t="str">
        <f>"1552376664673932"</f>
        <v>1552376664673932</v>
      </c>
      <c r="C6403" t="s">
        <v>40</v>
      </c>
      <c r="D6403">
        <v>4.6834619999999996</v>
      </c>
      <c r="E6403">
        <v>0.38342979999999999</v>
      </c>
      <c r="F6403" t="s">
        <v>70</v>
      </c>
      <c r="G6403">
        <v>-287.42489999999998</v>
      </c>
      <c r="H6403" s="1">
        <v>-3.7184799999999999E-6</v>
      </c>
      <c r="I6403">
        <v>-54.051400000000001</v>
      </c>
      <c r="J6403">
        <v>-296.15449999999998</v>
      </c>
      <c r="K6403">
        <v>1.114066</v>
      </c>
      <c r="L6403">
        <v>-47.938899999999997</v>
      </c>
      <c r="M6403">
        <v>0.61127279999999995</v>
      </c>
      <c r="N6403">
        <v>0</v>
      </c>
      <c r="O6403">
        <v>-0.7911011</v>
      </c>
      <c r="P6403">
        <v>0.61418589999999995</v>
      </c>
      <c r="Q6403">
        <v>-3.9310270000000001E-2</v>
      </c>
      <c r="R6403">
        <v>-0.7881821</v>
      </c>
      <c r="S6403">
        <v>2.559021</v>
      </c>
      <c r="T6403">
        <v>-0.32328099999999999</v>
      </c>
      <c r="U6403">
        <v>-1.8036799999999999</v>
      </c>
      <c r="V6403">
        <v>-4.0042009999999998E-3</v>
      </c>
      <c r="W6403">
        <v>-1.6867320000000002E-2</v>
      </c>
      <c r="X6403">
        <v>0.99984969999999995</v>
      </c>
      <c r="Y6403">
        <v>-0.29036319999999999</v>
      </c>
      <c r="Z6403">
        <v>9.0709269999999995E-2</v>
      </c>
      <c r="AA6403">
        <v>0.95260750000000005</v>
      </c>
      <c r="AB6403">
        <v>13</v>
      </c>
      <c r="AC6403">
        <v>8.7295999999999996</v>
      </c>
      <c r="AD6403">
        <v>-1.1140697184799999</v>
      </c>
      <c r="AE6403">
        <v>-6.1124999999999998</v>
      </c>
      <c r="AF6403">
        <v>-3.13611764816662</v>
      </c>
      <c r="AG6403">
        <v>-1.1140697184799999</v>
      </c>
      <c r="AH6403">
        <v>10.064350113546601</v>
      </c>
      <c r="AI6403">
        <v>96.032777986316404</v>
      </c>
      <c r="AJ6403">
        <v>107.30737741872299</v>
      </c>
      <c r="AK6403">
        <v>10.6003551095622</v>
      </c>
      <c r="AL6403">
        <v>90.966472097346696</v>
      </c>
      <c r="AM6403">
        <v>90.229457078498896</v>
      </c>
      <c r="AN6403">
        <v>0.99999998134986001</v>
      </c>
    </row>
    <row r="6404" spans="1:40" x14ac:dyDescent="0.25">
      <c r="A6404" t="str">
        <f>"20190312154424706"</f>
        <v>20190312154424706</v>
      </c>
      <c r="B6404" t="str">
        <f>"1552376664694428"</f>
        <v>1552376664694428</v>
      </c>
      <c r="C6404" t="s">
        <v>40</v>
      </c>
      <c r="D6404">
        <v>4.670255</v>
      </c>
      <c r="E6404">
        <v>0.38351489999999999</v>
      </c>
      <c r="F6404" t="s">
        <v>70</v>
      </c>
      <c r="G6404">
        <v>-287.1626</v>
      </c>
      <c r="H6404" s="1">
        <v>-3.8306000000000002E-6</v>
      </c>
      <c r="I6404">
        <v>-54.1631199999999</v>
      </c>
      <c r="J6404">
        <v>-296.07069999999999</v>
      </c>
      <c r="K6404">
        <v>1.114527</v>
      </c>
      <c r="L6404">
        <v>-48.034300000000002</v>
      </c>
      <c r="M6404">
        <v>0.61714650000000004</v>
      </c>
      <c r="N6404">
        <v>0</v>
      </c>
      <c r="O6404">
        <v>-0.78654690000000005</v>
      </c>
      <c r="P6404">
        <v>0.61969689999999999</v>
      </c>
      <c r="Q6404">
        <v>-3.9347890000000003E-2</v>
      </c>
      <c r="R6404">
        <v>-0.78385469999999902</v>
      </c>
      <c r="S6404">
        <v>2.5758969999999999</v>
      </c>
      <c r="T6404">
        <v>-0.31914720000000002</v>
      </c>
      <c r="U6404">
        <v>-1.7830509999999999</v>
      </c>
      <c r="V6404">
        <v>-3.542646E-3</v>
      </c>
      <c r="W6404">
        <v>-1.76048E-2</v>
      </c>
      <c r="X6404">
        <v>0.99983880000000003</v>
      </c>
      <c r="Y6404">
        <v>-0.29146349999999999</v>
      </c>
      <c r="Z6404">
        <v>8.9164809999999997E-2</v>
      </c>
      <c r="AA6404">
        <v>0.95241730000000002</v>
      </c>
      <c r="AB6404">
        <v>13</v>
      </c>
      <c r="AC6404">
        <v>8.9080999999999904</v>
      </c>
      <c r="AD6404">
        <v>-1.1145308305999999</v>
      </c>
      <c r="AE6404">
        <v>-6.1288199999999904</v>
      </c>
      <c r="AF6404">
        <v>-3.1911193409582301</v>
      </c>
      <c r="AG6404">
        <v>-1.1145308305999999</v>
      </c>
      <c r="AH6404">
        <v>10.2121554343826</v>
      </c>
      <c r="AI6404">
        <v>95.947065568431995</v>
      </c>
      <c r="AJ6404">
        <v>107.3531085059</v>
      </c>
      <c r="AK6404">
        <v>10.7570228333208</v>
      </c>
      <c r="AL6404">
        <v>91.008732796552707</v>
      </c>
      <c r="AM6404">
        <v>90.203010539990004</v>
      </c>
      <c r="AN6404">
        <v>1.00000005265457</v>
      </c>
    </row>
    <row r="6405" spans="1:40" x14ac:dyDescent="0.25">
      <c r="A6405" t="str">
        <f>"20190312154424728"</f>
        <v>20190312154424728</v>
      </c>
      <c r="B6405" t="str">
        <f>"1552376664723708"</f>
        <v>1552376664723708</v>
      </c>
      <c r="C6405" t="s">
        <v>40</v>
      </c>
      <c r="D6405">
        <v>4.6343709999999998</v>
      </c>
      <c r="E6405">
        <v>0.38480720000000002</v>
      </c>
      <c r="F6405" t="s">
        <v>70</v>
      </c>
      <c r="G6405">
        <v>-286.8553</v>
      </c>
      <c r="H6405" s="1">
        <v>-3.9574819999999997E-6</v>
      </c>
      <c r="I6405">
        <v>-54.319049999999997</v>
      </c>
      <c r="J6405">
        <v>-295.9812</v>
      </c>
      <c r="K6405">
        <v>1.114797</v>
      </c>
      <c r="L6405">
        <v>-48.133000000000003</v>
      </c>
      <c r="M6405">
        <v>0.62313339999999995</v>
      </c>
      <c r="N6405">
        <v>0</v>
      </c>
      <c r="O6405">
        <v>-0.78184049999999905</v>
      </c>
      <c r="P6405">
        <v>0.62515559999999903</v>
      </c>
      <c r="Q6405">
        <v>-3.889401E-2</v>
      </c>
      <c r="R6405">
        <v>-0.77953050000000002</v>
      </c>
      <c r="S6405">
        <v>2.5883790000000002</v>
      </c>
      <c r="T6405">
        <v>-0.31304349999999997</v>
      </c>
      <c r="U6405">
        <v>-1.76522799999999</v>
      </c>
      <c r="V6405">
        <v>-2.8618020000000001E-3</v>
      </c>
      <c r="W6405">
        <v>-1.8180950000000001E-2</v>
      </c>
      <c r="X6405">
        <v>0.99983060000000001</v>
      </c>
      <c r="Y6405">
        <v>-0.2909697</v>
      </c>
      <c r="Z6405">
        <v>8.7070620000000001E-2</v>
      </c>
      <c r="AA6405">
        <v>0.95276190000000005</v>
      </c>
      <c r="AB6405">
        <v>13</v>
      </c>
      <c r="AC6405">
        <v>9.1258999999999997</v>
      </c>
      <c r="AD6405">
        <v>-1.1148009574819999</v>
      </c>
      <c r="AE6405">
        <v>-6.1860499999999901</v>
      </c>
      <c r="AF6405">
        <v>-3.2477628890421499</v>
      </c>
      <c r="AG6405">
        <v>-1.1148009574819999</v>
      </c>
      <c r="AH6405">
        <v>10.4188937333584</v>
      </c>
      <c r="AI6405">
        <v>95.832542490773093</v>
      </c>
      <c r="AJ6405">
        <v>107.31322742709</v>
      </c>
      <c r="AK6405">
        <v>10.9701454678257</v>
      </c>
      <c r="AL6405">
        <v>91.041749117023699</v>
      </c>
      <c r="AM6405">
        <v>90.163996509630294</v>
      </c>
      <c r="AN6405">
        <v>0.99999998277497404</v>
      </c>
    </row>
    <row r="6406" spans="1:40" x14ac:dyDescent="0.25">
      <c r="A6406" t="str">
        <f>"20190312154424751"</f>
        <v>20190312154424751</v>
      </c>
      <c r="B6406" t="str">
        <f>"1552376664744204"</f>
        <v>1552376664744204</v>
      </c>
      <c r="C6406" t="s">
        <v>40</v>
      </c>
      <c r="D6406">
        <v>4.6225690000000004</v>
      </c>
      <c r="E6406">
        <v>0.3857949</v>
      </c>
      <c r="F6406" t="s">
        <v>70</v>
      </c>
      <c r="G6406">
        <v>-286.4486</v>
      </c>
      <c r="H6406" s="1">
        <v>-4.1155389999999998E-6</v>
      </c>
      <c r="I6406">
        <v>-54.580860000000001</v>
      </c>
      <c r="J6406">
        <v>-295.89170000000001</v>
      </c>
      <c r="K6406">
        <v>1.114692</v>
      </c>
      <c r="L6406">
        <v>-48.228999999999999</v>
      </c>
      <c r="M6406">
        <v>0.62879750000000001</v>
      </c>
      <c r="N6406">
        <v>0</v>
      </c>
      <c r="O6406">
        <v>-0.77731219999999901</v>
      </c>
      <c r="P6406">
        <v>0.63065749999999998</v>
      </c>
      <c r="Q6406">
        <v>-3.820718E-2</v>
      </c>
      <c r="R6406">
        <v>-0.77512060000000005</v>
      </c>
      <c r="S6406">
        <v>2.5929570000000002</v>
      </c>
      <c r="T6406">
        <v>-0.3032359</v>
      </c>
      <c r="U6406">
        <v>-1.75387599999999</v>
      </c>
      <c r="V6406">
        <v>-2.659654E-3</v>
      </c>
      <c r="W6406">
        <v>-1.8241730000000001E-2</v>
      </c>
      <c r="X6406">
        <v>0.99983010000000005</v>
      </c>
      <c r="Y6406">
        <v>-0.2879311</v>
      </c>
      <c r="Z6406">
        <v>8.3977040000000003E-2</v>
      </c>
      <c r="AA6406">
        <v>0.95396199999999998</v>
      </c>
      <c r="AB6406">
        <v>13</v>
      </c>
      <c r="AC6406">
        <v>9.44310000000001</v>
      </c>
      <c r="AD6406">
        <v>-1.1146961155390001</v>
      </c>
      <c r="AE6406">
        <v>-6.3518599999999896</v>
      </c>
      <c r="AF6406">
        <v>-3.31506819994557</v>
      </c>
      <c r="AG6406">
        <v>-1.1146961155390001</v>
      </c>
      <c r="AH6406">
        <v>10.773987217278799</v>
      </c>
      <c r="AI6406">
        <v>95.6474263637744</v>
      </c>
      <c r="AJ6406">
        <v>107.1027056991</v>
      </c>
      <c r="AK6406">
        <v>11.3274456590343</v>
      </c>
      <c r="AL6406">
        <v>91.045232081075298</v>
      </c>
      <c r="AM6406">
        <v>90.1524124846094</v>
      </c>
      <c r="AN6406">
        <v>1.0000000316694</v>
      </c>
    </row>
    <row r="6407" spans="1:40" x14ac:dyDescent="0.25">
      <c r="A6407" t="str">
        <f>"20190312154424773"</f>
        <v>20190312154424773</v>
      </c>
      <c r="B6407" t="str">
        <f>"1552376664763724"</f>
        <v>1552376664763724</v>
      </c>
      <c r="C6407" t="s">
        <v>40</v>
      </c>
      <c r="D6407">
        <v>4.6119919999999999</v>
      </c>
      <c r="E6407">
        <v>0.39337670000000002</v>
      </c>
      <c r="F6407" t="s">
        <v>70</v>
      </c>
      <c r="G6407">
        <v>-286.24979999999999</v>
      </c>
      <c r="H6407" s="1">
        <v>-4.1968710000000003E-6</v>
      </c>
      <c r="I6407">
        <v>-54.685839999999999</v>
      </c>
      <c r="J6407">
        <v>-295.80079999999998</v>
      </c>
      <c r="K6407">
        <v>1.1142259999999999</v>
      </c>
      <c r="L6407">
        <v>-48.325130000000001</v>
      </c>
      <c r="M6407">
        <v>0.63461469999999998</v>
      </c>
      <c r="N6407">
        <v>0</v>
      </c>
      <c r="O6407">
        <v>-0.77258490000000002</v>
      </c>
      <c r="P6407">
        <v>0.63675969999999904</v>
      </c>
      <c r="Q6407">
        <v>-3.6620260000000002E-2</v>
      </c>
      <c r="R6407">
        <v>-0.77019209999999905</v>
      </c>
      <c r="S6407">
        <v>2.599335</v>
      </c>
      <c r="T6407">
        <v>-0.30051020000000001</v>
      </c>
      <c r="U6407">
        <v>-1.7406919999999999</v>
      </c>
      <c r="V6407">
        <v>-3.034915E-3</v>
      </c>
      <c r="W6407">
        <v>-1.724299E-2</v>
      </c>
      <c r="X6407">
        <v>0.99984669999999998</v>
      </c>
      <c r="Y6407">
        <v>-0.28525739999999999</v>
      </c>
      <c r="Z6407">
        <v>8.2825090000000004E-2</v>
      </c>
      <c r="AA6407">
        <v>0.95486559999999998</v>
      </c>
      <c r="AB6407">
        <v>13</v>
      </c>
      <c r="AC6407">
        <v>9.5509999999999806</v>
      </c>
      <c r="AD6407">
        <v>-1.114230196871</v>
      </c>
      <c r="AE6407">
        <v>-6.3607099999999903</v>
      </c>
      <c r="AF6407">
        <v>-3.31176410567172</v>
      </c>
      <c r="AG6407">
        <v>-1.114230196871</v>
      </c>
      <c r="AH6407">
        <v>10.874930467772399</v>
      </c>
      <c r="AI6407">
        <v>95.597933385341506</v>
      </c>
      <c r="AJ6407">
        <v>106.937169318435</v>
      </c>
      <c r="AK6407">
        <v>11.422495484880701</v>
      </c>
      <c r="AL6407">
        <v>90.987999538371099</v>
      </c>
      <c r="AM6407">
        <v>90.173913947651599</v>
      </c>
      <c r="AN6407">
        <v>0.99999997745704305</v>
      </c>
    </row>
    <row r="6408" spans="1:40" x14ac:dyDescent="0.25">
      <c r="A6408" t="str">
        <f>"20190312154424795"</f>
        <v>20190312154424795</v>
      </c>
      <c r="B6408" t="str">
        <f>"1552376664784221"</f>
        <v>1552376664784221</v>
      </c>
      <c r="C6408" t="s">
        <v>40</v>
      </c>
      <c r="D6408">
        <v>4.6026069999999999</v>
      </c>
      <c r="E6408">
        <v>0.39416659999999998</v>
      </c>
      <c r="F6408" t="s">
        <v>70</v>
      </c>
      <c r="G6408">
        <v>-284.87939999999998</v>
      </c>
      <c r="H6408" s="1">
        <v>-4.6817929999999998E-6</v>
      </c>
      <c r="I6408">
        <v>-55.819400000000002</v>
      </c>
      <c r="J6408">
        <v>-295.71190000000001</v>
      </c>
      <c r="K6408">
        <v>1.113585</v>
      </c>
      <c r="L6408">
        <v>-48.418579999999999</v>
      </c>
      <c r="M6408">
        <v>0.64053530000000003</v>
      </c>
      <c r="N6408">
        <v>0</v>
      </c>
      <c r="O6408">
        <v>-0.76769829999999994</v>
      </c>
      <c r="P6408">
        <v>0.64289529999999995</v>
      </c>
      <c r="Q6408">
        <v>-3.5769019999999999E-2</v>
      </c>
      <c r="R6408">
        <v>-0.76511879999999999</v>
      </c>
      <c r="S6408">
        <v>2.566284</v>
      </c>
      <c r="T6408">
        <v>-0.26181979999999999</v>
      </c>
      <c r="U6408">
        <v>-1.7609859999999999</v>
      </c>
      <c r="V6408">
        <v>-3.3481639999999998E-3</v>
      </c>
      <c r="W6408">
        <v>-1.6974630000000001E-2</v>
      </c>
      <c r="X6408">
        <v>0.99985029999999997</v>
      </c>
      <c r="Y6408">
        <v>-0.26791490000000001</v>
      </c>
      <c r="Z6408">
        <v>7.1756280000000006E-2</v>
      </c>
      <c r="AA6408">
        <v>0.96076669999999997</v>
      </c>
      <c r="AB6408">
        <v>13</v>
      </c>
      <c r="AC6408">
        <v>10.8325</v>
      </c>
      <c r="AD6408">
        <v>-1.113589681793</v>
      </c>
      <c r="AE6408">
        <v>-7.4008200000000004</v>
      </c>
      <c r="AF6408">
        <v>-3.55065584642837</v>
      </c>
      <c r="AG6408">
        <v>-1.113589681793</v>
      </c>
      <c r="AH6408">
        <v>12.532135533301799</v>
      </c>
      <c r="AI6408">
        <v>94.8865383129516</v>
      </c>
      <c r="AJ6408">
        <v>105.818703489689</v>
      </c>
      <c r="AK6408">
        <v>13.0729361638546</v>
      </c>
      <c r="AL6408">
        <v>90.972621384078295</v>
      </c>
      <c r="AM6408">
        <v>90.191863671260506</v>
      </c>
      <c r="AN6408">
        <v>0.99999998533794798</v>
      </c>
    </row>
    <row r="6409" spans="1:40" x14ac:dyDescent="0.25">
      <c r="A6409" t="str">
        <f>"20190312154424817"</f>
        <v>20190312154424817</v>
      </c>
      <c r="B6409" t="str">
        <f>"1552376664814476"</f>
        <v>1552376664814476</v>
      </c>
      <c r="C6409" t="s">
        <v>40</v>
      </c>
      <c r="D6409">
        <v>4.6131640000000003</v>
      </c>
      <c r="E6409">
        <v>0.39538089999999998</v>
      </c>
      <c r="F6409" t="s">
        <v>70</v>
      </c>
      <c r="G6409">
        <v>-284.4479</v>
      </c>
      <c r="H6409" s="1">
        <v>-4.8416530000000003E-6</v>
      </c>
      <c r="I6409">
        <v>-56.050449999999998</v>
      </c>
      <c r="J6409">
        <v>-295.62479999999999</v>
      </c>
      <c r="K6409">
        <v>1.113038</v>
      </c>
      <c r="L6409">
        <v>-48.509860000000003</v>
      </c>
      <c r="M6409">
        <v>0.64634499999999995</v>
      </c>
      <c r="N6409">
        <v>0</v>
      </c>
      <c r="O6409">
        <v>-0.762827699999999</v>
      </c>
      <c r="P6409">
        <v>0.64868919999999997</v>
      </c>
      <c r="Q6409">
        <v>-3.6175800000000001E-2</v>
      </c>
      <c r="R6409">
        <v>-0.76019309999999995</v>
      </c>
      <c r="S6409">
        <v>2.5754700000000001</v>
      </c>
      <c r="T6409">
        <v>-0.2546176</v>
      </c>
      <c r="U6409">
        <v>-1.7449950000000001</v>
      </c>
      <c r="V6409">
        <v>-3.3891059999999998E-3</v>
      </c>
      <c r="W6409">
        <v>-1.7977759999999999E-2</v>
      </c>
      <c r="X6409">
        <v>0.99983259999999996</v>
      </c>
      <c r="Y6409">
        <v>-0.26644909999999999</v>
      </c>
      <c r="Z6409">
        <v>6.9450239999999996E-2</v>
      </c>
      <c r="AA6409">
        <v>0.96134359999999996</v>
      </c>
      <c r="AB6409">
        <v>13</v>
      </c>
      <c r="AC6409">
        <v>11.1768999999999</v>
      </c>
      <c r="AD6409">
        <v>-1.113042841653</v>
      </c>
      <c r="AE6409">
        <v>-7.5405899999999999</v>
      </c>
      <c r="AF6409">
        <v>-3.6281070392508301</v>
      </c>
      <c r="AG6409">
        <v>-1.113042841653</v>
      </c>
      <c r="AH6409">
        <v>12.8906090738193</v>
      </c>
      <c r="AI6409">
        <v>94.751270774969001</v>
      </c>
      <c r="AJ6409">
        <v>105.71944224764</v>
      </c>
      <c r="AK6409">
        <v>13.437627296128101</v>
      </c>
      <c r="AL6409">
        <v>91.030105310835395</v>
      </c>
      <c r="AM6409">
        <v>90.1942132377159</v>
      </c>
      <c r="AN6409">
        <v>0.99999995695842703</v>
      </c>
    </row>
    <row r="6410" spans="1:40" x14ac:dyDescent="0.25">
      <c r="A6410" t="str">
        <f>"20190312154424839"</f>
        <v>20190312154424839</v>
      </c>
      <c r="B6410" t="str">
        <f>"1552376664833998"</f>
        <v>1552376664833998</v>
      </c>
      <c r="C6410" t="s">
        <v>40</v>
      </c>
      <c r="D6410">
        <v>4.5736470000000002</v>
      </c>
      <c r="E6410">
        <v>0.39618019999999998</v>
      </c>
      <c r="F6410" t="s">
        <v>70</v>
      </c>
      <c r="G6410">
        <v>-284.35359999999997</v>
      </c>
      <c r="H6410" s="1">
        <v>-4.881717E-6</v>
      </c>
      <c r="I6410">
        <v>-56.072249999999997</v>
      </c>
      <c r="J6410">
        <v>-295.5351</v>
      </c>
      <c r="K6410">
        <v>1.112725</v>
      </c>
      <c r="L6410">
        <v>-48.603209999999997</v>
      </c>
      <c r="M6410">
        <v>0.65202599999999999</v>
      </c>
      <c r="N6410">
        <v>0</v>
      </c>
      <c r="O6410">
        <v>-0.75799119999999998</v>
      </c>
      <c r="P6410">
        <v>0.65461020000000003</v>
      </c>
      <c r="Q6410">
        <v>-3.5197150000000003E-2</v>
      </c>
      <c r="R6410">
        <v>-0.75514700000000001</v>
      </c>
      <c r="S6410">
        <v>2.5810550000000001</v>
      </c>
      <c r="T6410">
        <v>-0.25488129999999998</v>
      </c>
      <c r="U6410">
        <v>-1.7317499999999999</v>
      </c>
      <c r="V6410">
        <v>-3.7247700000000001E-3</v>
      </c>
      <c r="W6410">
        <v>-1.7571779999999999E-2</v>
      </c>
      <c r="X6410">
        <v>0.99983869999999997</v>
      </c>
      <c r="Y6410">
        <v>-0.26362550000000001</v>
      </c>
      <c r="Z6410">
        <v>6.9171430000000006E-2</v>
      </c>
      <c r="AA6410">
        <v>0.96214180000000005</v>
      </c>
      <c r="AB6410">
        <v>13</v>
      </c>
      <c r="AC6410">
        <v>11.1815</v>
      </c>
      <c r="AD6410">
        <v>-1.1127298817169999</v>
      </c>
      <c r="AE6410">
        <v>-7.4690399999999997</v>
      </c>
      <c r="AF6410">
        <v>-3.58150645678261</v>
      </c>
      <c r="AG6410">
        <v>-1.1127298817169999</v>
      </c>
      <c r="AH6410">
        <v>12.866008806022901</v>
      </c>
      <c r="AI6410">
        <v>94.762774817821295</v>
      </c>
      <c r="AJ6410">
        <v>105.55558912478701</v>
      </c>
      <c r="AK6410">
        <v>13.401475250370799</v>
      </c>
      <c r="AL6410">
        <v>91.006840616411594</v>
      </c>
      <c r="AM6410">
        <v>90.213447042394094</v>
      </c>
      <c r="AN6410">
        <v>1.0000000336907999</v>
      </c>
    </row>
    <row r="6411" spans="1:40" x14ac:dyDescent="0.25">
      <c r="A6411" t="str">
        <f>"20190312154424863"</f>
        <v>20190312154424863</v>
      </c>
      <c r="B6411" t="str">
        <f>"1552376664854491"</f>
        <v>1552376664854491</v>
      </c>
      <c r="C6411" t="s">
        <v>40</v>
      </c>
      <c r="D6411">
        <v>4.6022360000000004</v>
      </c>
      <c r="E6411">
        <v>0.39676909999999999</v>
      </c>
      <c r="F6411" t="s">
        <v>70</v>
      </c>
      <c r="G6411">
        <v>-284.17840000000001</v>
      </c>
      <c r="H6411" s="1">
        <v>-4.9533249999999997E-6</v>
      </c>
      <c r="I6411">
        <v>-56.128349999999998</v>
      </c>
      <c r="J6411">
        <v>-295.4434</v>
      </c>
      <c r="K6411">
        <v>1.1126769999999999</v>
      </c>
      <c r="L6411">
        <v>-48.697659999999999</v>
      </c>
      <c r="M6411">
        <v>0.65740669999999901</v>
      </c>
      <c r="N6411">
        <v>0</v>
      </c>
      <c r="O6411">
        <v>-0.75334049999999997</v>
      </c>
      <c r="P6411">
        <v>0.65977949999999996</v>
      </c>
      <c r="Q6411">
        <v>-3.386024E-2</v>
      </c>
      <c r="R6411">
        <v>-0.75069629999999998</v>
      </c>
      <c r="S6411">
        <v>2.5896910000000002</v>
      </c>
      <c r="T6411">
        <v>-0.25373800000000002</v>
      </c>
      <c r="U6411">
        <v>-1.715973</v>
      </c>
      <c r="V6411">
        <v>-3.442578E-3</v>
      </c>
      <c r="W6411">
        <v>-1.6721179999999999E-2</v>
      </c>
      <c r="X6411">
        <v>0.99985429999999997</v>
      </c>
      <c r="Y6411">
        <v>-0.26234859999999999</v>
      </c>
      <c r="Z6411">
        <v>6.8541240000000003E-2</v>
      </c>
      <c r="AA6411">
        <v>0.9625359</v>
      </c>
      <c r="AB6411">
        <v>13</v>
      </c>
      <c r="AC6411">
        <v>11.264999999999899</v>
      </c>
      <c r="AD6411">
        <v>-1.1126819533249901</v>
      </c>
      <c r="AE6411">
        <v>-7.4306899999999896</v>
      </c>
      <c r="AF6411">
        <v>-3.57760444666066</v>
      </c>
      <c r="AG6411">
        <v>-1.1126819533249901</v>
      </c>
      <c r="AH6411">
        <v>12.917624624838799</v>
      </c>
      <c r="AI6411">
        <v>94.745349485100306</v>
      </c>
      <c r="AJ6411">
        <v>105.48035225453999</v>
      </c>
      <c r="AK6411">
        <v>13.4499940763653</v>
      </c>
      <c r="AL6411">
        <v>90.958097659283098</v>
      </c>
      <c r="AM6411">
        <v>90.197273153314597</v>
      </c>
      <c r="AN6411">
        <v>1.00000003521618</v>
      </c>
    </row>
    <row r="6412" spans="1:40" x14ac:dyDescent="0.25">
      <c r="A6412" t="str">
        <f>"20190312154424884"</f>
        <v>20190312154424884</v>
      </c>
      <c r="B6412" t="str">
        <f>"1552376664874012"</f>
        <v>1552376664874012</v>
      </c>
      <c r="C6412" t="s">
        <v>40</v>
      </c>
      <c r="D6412">
        <v>4.6230279999999997</v>
      </c>
      <c r="E6412">
        <v>0.39740229999999999</v>
      </c>
      <c r="F6412" t="s">
        <v>70</v>
      </c>
      <c r="G6412">
        <v>-283.95940000000002</v>
      </c>
      <c r="H6412" s="1">
        <v>-5.0390700000000002E-6</v>
      </c>
      <c r="I6412">
        <v>-56.21978</v>
      </c>
      <c r="J6412">
        <v>-295.35489999999999</v>
      </c>
      <c r="K6412">
        <v>1.1127769999999999</v>
      </c>
      <c r="L6412">
        <v>-48.787509999999997</v>
      </c>
      <c r="M6412">
        <v>0.66228779999999998</v>
      </c>
      <c r="N6412">
        <v>0</v>
      </c>
      <c r="O6412">
        <v>-0.7490618</v>
      </c>
      <c r="P6412">
        <v>0.66518109999999997</v>
      </c>
      <c r="Q6412">
        <v>-3.3570009999999997E-2</v>
      </c>
      <c r="R6412">
        <v>-0.74592720000000001</v>
      </c>
      <c r="S6412">
        <v>2.5979610000000002</v>
      </c>
      <c r="T6412">
        <v>-0.25171650000000001</v>
      </c>
      <c r="U6412">
        <v>-1.7016910000000001</v>
      </c>
      <c r="V6412">
        <v>-4.1548610000000001E-3</v>
      </c>
      <c r="W6412">
        <v>-1.6826859999999999E-2</v>
      </c>
      <c r="X6412">
        <v>0.99984980000000001</v>
      </c>
      <c r="Y6412">
        <v>-0.26124340000000001</v>
      </c>
      <c r="Z6412">
        <v>6.7694279999999996E-2</v>
      </c>
      <c r="AA6412">
        <v>0.96289630000000004</v>
      </c>
      <c r="AB6412">
        <v>13</v>
      </c>
      <c r="AC6412">
        <v>11.395499999999901</v>
      </c>
      <c r="AD6412">
        <v>-1.1127820390700001</v>
      </c>
      <c r="AE6412">
        <v>-7.4322700000000097</v>
      </c>
      <c r="AF6412">
        <v>-3.59012259042195</v>
      </c>
      <c r="AG6412">
        <v>-1.1127820390700001</v>
      </c>
      <c r="AH6412">
        <v>13.0290115510051</v>
      </c>
      <c r="AI6412">
        <v>94.707076859863406</v>
      </c>
      <c r="AJ6412">
        <v>105.405456164973</v>
      </c>
      <c r="AK6412">
        <v>13.5603247039649</v>
      </c>
      <c r="AL6412">
        <v>90.9641535492202</v>
      </c>
      <c r="AM6412">
        <v>90.238090390699497</v>
      </c>
      <c r="AN6412">
        <v>1.00000001432371</v>
      </c>
    </row>
    <row r="6413" spans="1:40" x14ac:dyDescent="0.25">
      <c r="A6413" t="str">
        <f>"20190312154424906"</f>
        <v>20190312154424906</v>
      </c>
      <c r="B6413" t="str">
        <f>"1552376664904269"</f>
        <v>1552376664904269</v>
      </c>
      <c r="C6413" t="s">
        <v>40</v>
      </c>
      <c r="D6413">
        <v>4.6609660000000002</v>
      </c>
      <c r="E6413">
        <v>0.40389439999999999</v>
      </c>
      <c r="F6413" t="s">
        <v>70</v>
      </c>
      <c r="G6413">
        <v>-283.7783</v>
      </c>
      <c r="H6413" s="1">
        <v>-5.113198E-6</v>
      </c>
      <c r="I6413">
        <v>-56.277230000000003</v>
      </c>
      <c r="J6413">
        <v>-295.26549999999997</v>
      </c>
      <c r="K6413">
        <v>1.1129209999999901</v>
      </c>
      <c r="L6413">
        <v>-48.876739999999998</v>
      </c>
      <c r="M6413">
        <v>0.66709319999999905</v>
      </c>
      <c r="N6413">
        <v>0</v>
      </c>
      <c r="O6413">
        <v>-0.7447937</v>
      </c>
      <c r="P6413">
        <v>0.67014269999999998</v>
      </c>
      <c r="Q6413">
        <v>-3.3737820000000002E-2</v>
      </c>
      <c r="R6413">
        <v>-0.74146529999999999</v>
      </c>
      <c r="S6413">
        <v>2.6064150000000001</v>
      </c>
      <c r="T6413">
        <v>-0.25053829999999999</v>
      </c>
      <c r="U6413">
        <v>-1.6862790000000001</v>
      </c>
      <c r="V6413">
        <v>-4.3946339999999997E-3</v>
      </c>
      <c r="W6413">
        <v>-1.7357069999999999E-2</v>
      </c>
      <c r="X6413">
        <v>0.9998397</v>
      </c>
      <c r="Y6413">
        <v>-0.2605094</v>
      </c>
      <c r="Z6413">
        <v>6.7094780000000007E-2</v>
      </c>
      <c r="AA6413">
        <v>0.96313709999999997</v>
      </c>
      <c r="AB6413">
        <v>13</v>
      </c>
      <c r="AC6413">
        <v>11.4871999999999</v>
      </c>
      <c r="AD6413">
        <v>-1.11292611319799</v>
      </c>
      <c r="AE6413">
        <v>-7.4004899999999898</v>
      </c>
      <c r="AF6413">
        <v>-3.5954147228563</v>
      </c>
      <c r="AG6413">
        <v>-1.11292611319799</v>
      </c>
      <c r="AH6413">
        <v>13.0898140618661</v>
      </c>
      <c r="AI6413">
        <v>94.686958691115805</v>
      </c>
      <c r="AJ6413">
        <v>105.358815979057</v>
      </c>
      <c r="AK6413">
        <v>13.620163131805599</v>
      </c>
      <c r="AL6413">
        <v>90.994536793800506</v>
      </c>
      <c r="AM6413">
        <v>90.251832728040398</v>
      </c>
      <c r="AN6413">
        <v>1.0000000031915299</v>
      </c>
    </row>
    <row r="6414" spans="1:40" x14ac:dyDescent="0.25">
      <c r="A6414" t="str">
        <f>"20190312154424929"</f>
        <v>20190312154424929</v>
      </c>
      <c r="B6414" t="str">
        <f>"1552376664923788"</f>
        <v>1552376664923788</v>
      </c>
      <c r="C6414" t="s">
        <v>40</v>
      </c>
      <c r="D6414">
        <v>4.6872379999999998</v>
      </c>
      <c r="E6414">
        <v>0.40443600000000002</v>
      </c>
      <c r="F6414" t="s">
        <v>70</v>
      </c>
      <c r="G6414">
        <v>-284.59370000000001</v>
      </c>
      <c r="H6414" s="1">
        <v>-4.7968560000000002E-6</v>
      </c>
      <c r="I6414">
        <v>-55.920740000000002</v>
      </c>
      <c r="J6414">
        <v>-295.1712</v>
      </c>
      <c r="K6414">
        <v>1.113027</v>
      </c>
      <c r="L6414">
        <v>-48.96951</v>
      </c>
      <c r="M6414">
        <v>0.67218140000000004</v>
      </c>
      <c r="N6414">
        <v>0</v>
      </c>
      <c r="O6414">
        <v>-0.74021289999999995</v>
      </c>
      <c r="P6414">
        <v>0.67551619999999901</v>
      </c>
      <c r="Q6414">
        <v>-3.2777889999999997E-2</v>
      </c>
      <c r="R6414">
        <v>-0.73661639999999995</v>
      </c>
      <c r="S6414">
        <v>2.5794069999999998</v>
      </c>
      <c r="T6414">
        <v>-0.26899580000000001</v>
      </c>
      <c r="U6414">
        <v>-1.702545</v>
      </c>
      <c r="V6414">
        <v>-4.7884859999999998E-3</v>
      </c>
      <c r="W6414">
        <v>-1.6767250000000001E-2</v>
      </c>
      <c r="X6414">
        <v>0.99984790000000001</v>
      </c>
      <c r="Y6414">
        <v>-0.2446827</v>
      </c>
      <c r="Z6414">
        <v>7.1504730000000002E-2</v>
      </c>
      <c r="AA6414">
        <v>0.96696300000000002</v>
      </c>
      <c r="AB6414">
        <v>13</v>
      </c>
      <c r="AC6414">
        <v>10.577499999999899</v>
      </c>
      <c r="AD6414">
        <v>-1.113031796856</v>
      </c>
      <c r="AE6414">
        <v>-6.9512299999999998</v>
      </c>
      <c r="AF6414">
        <v>-3.1332907231485501</v>
      </c>
      <c r="AG6414">
        <v>-1.113031796856</v>
      </c>
      <c r="AH6414">
        <v>12.1629092142693</v>
      </c>
      <c r="AI6414">
        <v>95.064157498583597</v>
      </c>
      <c r="AJ6414">
        <v>104.44589184695199</v>
      </c>
      <c r="AK6414">
        <v>12.609231185569501</v>
      </c>
      <c r="AL6414">
        <v>90.960737730909699</v>
      </c>
      <c r="AM6414">
        <v>90.274399676650603</v>
      </c>
      <c r="AN6414">
        <v>0.99999994670256998</v>
      </c>
    </row>
    <row r="6415" spans="1:40" x14ac:dyDescent="0.25">
      <c r="A6415" t="str">
        <f>"20190312154424953"</f>
        <v>20190312154424953</v>
      </c>
      <c r="B6415" t="str">
        <f>"1552376664944284"</f>
        <v>1552376664944284</v>
      </c>
      <c r="C6415" t="s">
        <v>40</v>
      </c>
      <c r="D6415">
        <v>4.6436820000000001</v>
      </c>
      <c r="E6415">
        <v>0.40490880000000001</v>
      </c>
      <c r="F6415" t="s">
        <v>70</v>
      </c>
      <c r="G6415">
        <v>-284.27109999999999</v>
      </c>
      <c r="H6415" s="1">
        <v>-4.9202230000000003E-6</v>
      </c>
      <c r="I6415">
        <v>-56.071770000000001</v>
      </c>
      <c r="J6415">
        <v>-295.0779</v>
      </c>
      <c r="K6415">
        <v>1.113065</v>
      </c>
      <c r="L6415">
        <v>-49.059809999999999</v>
      </c>
      <c r="M6415">
        <v>0.677249199999999</v>
      </c>
      <c r="N6415">
        <v>0</v>
      </c>
      <c r="O6415">
        <v>-0.73558659999999998</v>
      </c>
      <c r="P6415">
        <v>0.68077080000000001</v>
      </c>
      <c r="Q6415">
        <v>-3.1217849999999998E-2</v>
      </c>
      <c r="R6415">
        <v>-0.73183120000000002</v>
      </c>
      <c r="S6415">
        <v>2.5888369999999998</v>
      </c>
      <c r="T6415">
        <v>-0.26435170000000002</v>
      </c>
      <c r="U6415">
        <v>-1.6868289999999999</v>
      </c>
      <c r="V6415">
        <v>-5.0412699999999996E-3</v>
      </c>
      <c r="W6415">
        <v>-1.556168E-2</v>
      </c>
      <c r="X6415">
        <v>0.99986620000000004</v>
      </c>
      <c r="Y6415">
        <v>-0.2438718</v>
      </c>
      <c r="Z6415">
        <v>6.9928329999999997E-2</v>
      </c>
      <c r="AA6415">
        <v>0.96728309999999995</v>
      </c>
      <c r="AB6415">
        <v>13</v>
      </c>
      <c r="AC6415">
        <v>10.806800000000001</v>
      </c>
      <c r="AD6415">
        <v>-1.1130699202230001</v>
      </c>
      <c r="AE6415">
        <v>-7.0119599999999904</v>
      </c>
      <c r="AF6415">
        <v>-3.1771675248257498</v>
      </c>
      <c r="AG6415">
        <v>-1.1130699202230001</v>
      </c>
      <c r="AH6415">
        <v>12.3858685704839</v>
      </c>
      <c r="AI6415">
        <v>94.9749344721086</v>
      </c>
      <c r="AJ6415">
        <v>104.387053576987</v>
      </c>
      <c r="AK6415">
        <v>12.835227242764899</v>
      </c>
      <c r="AL6415">
        <v>90.891654577462901</v>
      </c>
      <c r="AM6415">
        <v>90.288879698943603</v>
      </c>
      <c r="AN6415">
        <v>0.99999999909503701</v>
      </c>
    </row>
    <row r="6416" spans="1:40" x14ac:dyDescent="0.25">
      <c r="A6416" t="str">
        <f>"20190312154424975"</f>
        <v>20190312154424975</v>
      </c>
      <c r="B6416" t="str">
        <f>"1552376664963805"</f>
        <v>1552376664963805</v>
      </c>
      <c r="C6416" t="s">
        <v>40</v>
      </c>
      <c r="D6416">
        <v>4.6488379999999996</v>
      </c>
      <c r="E6416">
        <v>0.40575939999999999</v>
      </c>
      <c r="F6416" t="s">
        <v>70</v>
      </c>
      <c r="G6416">
        <v>-283.81079999999997</v>
      </c>
      <c r="H6416" s="1">
        <v>-5.0926189999999996E-6</v>
      </c>
      <c r="I6416">
        <v>-56.3078199999999</v>
      </c>
      <c r="J6416">
        <v>-294.9853</v>
      </c>
      <c r="K6416">
        <v>1.113057</v>
      </c>
      <c r="L6416">
        <v>-49.148159999999997</v>
      </c>
      <c r="M6416">
        <v>0.68227009999999999</v>
      </c>
      <c r="N6416">
        <v>0</v>
      </c>
      <c r="O6416">
        <v>-0.73093900000000001</v>
      </c>
      <c r="P6416">
        <v>0.68575659999999905</v>
      </c>
      <c r="Q6416">
        <v>-3.073598E-2</v>
      </c>
      <c r="R6416">
        <v>-0.72718209999999905</v>
      </c>
      <c r="S6416">
        <v>2.598236</v>
      </c>
      <c r="T6416">
        <v>-0.25667820000000002</v>
      </c>
      <c r="U6416">
        <v>-1.6714169999999999</v>
      </c>
      <c r="V6416">
        <v>-5.0198259999999998E-3</v>
      </c>
      <c r="W6416">
        <v>-1.541059E-2</v>
      </c>
      <c r="X6416">
        <v>0.9998686</v>
      </c>
      <c r="Y6416">
        <v>-0.24305740000000001</v>
      </c>
      <c r="Z6416">
        <v>6.7562010000000006E-2</v>
      </c>
      <c r="AA6416">
        <v>0.96765619999999997</v>
      </c>
      <c r="AB6416">
        <v>13</v>
      </c>
      <c r="AC6416">
        <v>11.1745</v>
      </c>
      <c r="AD6416">
        <v>-1.113062092619</v>
      </c>
      <c r="AE6416">
        <v>-7.1596599999999899</v>
      </c>
      <c r="AF6416">
        <v>-3.2605083149086198</v>
      </c>
      <c r="AG6416">
        <v>-1.113062092619</v>
      </c>
      <c r="AH6416">
        <v>12.768999693530199</v>
      </c>
      <c r="AI6416">
        <v>94.827694790443303</v>
      </c>
      <c r="AJ6416">
        <v>104.324144552842</v>
      </c>
      <c r="AK6416">
        <v>13.225625689054899</v>
      </c>
      <c r="AL6416">
        <v>90.882996762274004</v>
      </c>
      <c r="AM6416">
        <v>90.287650224495493</v>
      </c>
      <c r="AN6416">
        <v>0.99999995110158801</v>
      </c>
    </row>
    <row r="6417" spans="1:40" x14ac:dyDescent="0.25">
      <c r="A6417" t="str">
        <f>"20190312154424996"</f>
        <v>20190312154424996</v>
      </c>
      <c r="B6417" t="str">
        <f>"1552376664984300"</f>
        <v>1552376664984300</v>
      </c>
      <c r="C6417" t="s">
        <v>40</v>
      </c>
      <c r="D6417">
        <v>4.6129930000000003</v>
      </c>
      <c r="E6417">
        <v>0.40279730000000002</v>
      </c>
      <c r="F6417" t="s">
        <v>70</v>
      </c>
      <c r="G6417">
        <v>-283.46499999999997</v>
      </c>
      <c r="H6417" s="1">
        <v>-5.222279E-6</v>
      </c>
      <c r="I6417">
        <v>-56.48433</v>
      </c>
      <c r="J6417">
        <v>-294.89359999999999</v>
      </c>
      <c r="K6417">
        <v>1.1130230000000001</v>
      </c>
      <c r="L6417">
        <v>-49.234499999999997</v>
      </c>
      <c r="M6417">
        <v>0.6872047</v>
      </c>
      <c r="N6417">
        <v>0</v>
      </c>
      <c r="O6417">
        <v>-0.72630819999999996</v>
      </c>
      <c r="P6417">
        <v>0.69082119999999902</v>
      </c>
      <c r="Q6417">
        <v>-3.1393230000000001E-2</v>
      </c>
      <c r="R6417">
        <v>-0.72234399999999999</v>
      </c>
      <c r="S6417">
        <v>2.6046140000000002</v>
      </c>
      <c r="T6417">
        <v>-0.25165179999999998</v>
      </c>
      <c r="U6417">
        <v>-1.6586299999999901</v>
      </c>
      <c r="V6417">
        <v>-5.254318E-3</v>
      </c>
      <c r="W6417">
        <v>-1.638475E-2</v>
      </c>
      <c r="X6417">
        <v>0.99985190000000002</v>
      </c>
      <c r="Y6417">
        <v>-0.24105860000000001</v>
      </c>
      <c r="Z6417">
        <v>6.5892720000000002E-2</v>
      </c>
      <c r="AA6417">
        <v>0.96827110000000005</v>
      </c>
      <c r="AB6417">
        <v>13</v>
      </c>
      <c r="AC6417">
        <v>11.428599999999999</v>
      </c>
      <c r="AD6417">
        <v>-1.11302822227899</v>
      </c>
      <c r="AE6417">
        <v>-7.2498300000000002</v>
      </c>
      <c r="AF6417">
        <v>-3.2966480407115402</v>
      </c>
      <c r="AG6417">
        <v>-1.11302822227899</v>
      </c>
      <c r="AH6417">
        <v>13.0327392213773</v>
      </c>
      <c r="AI6417">
        <v>94.732995160850294</v>
      </c>
      <c r="AJ6417">
        <v>104.19528157870501</v>
      </c>
      <c r="AK6417">
        <v>13.4892183517186</v>
      </c>
      <c r="AL6417">
        <v>90.9388190841929</v>
      </c>
      <c r="AM6417">
        <v>90.301092066128902</v>
      </c>
      <c r="AN6417">
        <v>0.99999994491190702</v>
      </c>
    </row>
    <row r="6418" spans="1:40" x14ac:dyDescent="0.25">
      <c r="A6418" t="str">
        <f>"20190312154425019"</f>
        <v>20190312154425019</v>
      </c>
      <c r="B6418" t="str">
        <f>"1552376665013580"</f>
        <v>1552376665013580</v>
      </c>
      <c r="C6418" t="s">
        <v>40</v>
      </c>
      <c r="D6418">
        <v>4.6333320000000002</v>
      </c>
      <c r="E6418">
        <v>0.40437869999999998</v>
      </c>
      <c r="F6418" t="s">
        <v>43</v>
      </c>
      <c r="G6418">
        <v>-276.92419999999998</v>
      </c>
      <c r="H6418" s="1">
        <v>-2.1335980000000002E-6</v>
      </c>
      <c r="I6418">
        <v>-60.343649999999997</v>
      </c>
      <c r="J6418">
        <v>-294.7996</v>
      </c>
      <c r="K6418">
        <v>1.112984</v>
      </c>
      <c r="L6418">
        <v>-49.321779999999997</v>
      </c>
      <c r="M6418">
        <v>0.69221080000000001</v>
      </c>
      <c r="N6418">
        <v>0</v>
      </c>
      <c r="O6418">
        <v>-0.72154560000000001</v>
      </c>
      <c r="P6418">
        <v>0.69606330000000005</v>
      </c>
      <c r="Q6418">
        <v>-3.1477890000000001E-2</v>
      </c>
      <c r="R6418">
        <v>-0.71729030000000005</v>
      </c>
      <c r="S6418">
        <v>2.6331180000000001</v>
      </c>
      <c r="T6418">
        <v>-0.16309609999999999</v>
      </c>
      <c r="U6418">
        <v>-1.627869</v>
      </c>
      <c r="V6418">
        <v>-5.6271119999999897E-3</v>
      </c>
      <c r="W6418">
        <v>-1.679959E-2</v>
      </c>
      <c r="X6418">
        <v>0.99984309999999998</v>
      </c>
      <c r="Y6418">
        <v>-0.2487084</v>
      </c>
      <c r="Z6418">
        <v>4.2584440000000001E-2</v>
      </c>
      <c r="AA6418">
        <v>0.9676418</v>
      </c>
      <c r="AB6418">
        <v>13</v>
      </c>
      <c r="AC6418">
        <v>17.875399999999999</v>
      </c>
      <c r="AD6418">
        <v>-1.112986133598</v>
      </c>
      <c r="AE6418">
        <v>-11.02187</v>
      </c>
      <c r="AF6418">
        <v>-5.2542697737723998</v>
      </c>
      <c r="AG6418">
        <v>-1.112986133598</v>
      </c>
      <c r="AH6418">
        <v>20.271583946275801</v>
      </c>
      <c r="AI6418">
        <v>93.0422658103343</v>
      </c>
      <c r="AJ6418">
        <v>104.530943082094</v>
      </c>
      <c r="AK6418">
        <v>20.9710086710217</v>
      </c>
      <c r="AL6418">
        <v>90.962590830771006</v>
      </c>
      <c r="AM6418">
        <v>90.322456957971198</v>
      </c>
      <c r="AN6418">
        <v>1.0000000576156101</v>
      </c>
    </row>
    <row r="6419" spans="1:40" x14ac:dyDescent="0.25">
      <c r="A6419" t="str">
        <f>"20190312154425040"</f>
        <v>20190312154425040</v>
      </c>
      <c r="B6419" t="str">
        <f>"1552376665034077"</f>
        <v>1552376665034077</v>
      </c>
      <c r="C6419" t="s">
        <v>40</v>
      </c>
      <c r="D6419">
        <v>4.7616079999999998</v>
      </c>
      <c r="E6419">
        <v>0.39923720000000001</v>
      </c>
      <c r="F6419" t="s">
        <v>43</v>
      </c>
      <c r="G6419">
        <v>-277.16340000000002</v>
      </c>
      <c r="H6419" s="1">
        <v>-2.280836E-6</v>
      </c>
      <c r="I6419">
        <v>-60.141689999999997</v>
      </c>
      <c r="J6419">
        <v>-294.70639999999997</v>
      </c>
      <c r="K6419">
        <v>1.112943</v>
      </c>
      <c r="L6419">
        <v>-49.407229999999998</v>
      </c>
      <c r="M6419">
        <v>0.69713519999999995</v>
      </c>
      <c r="N6419">
        <v>0</v>
      </c>
      <c r="O6419">
        <v>-0.71679559999999998</v>
      </c>
      <c r="P6419">
        <v>0.70092559999999904</v>
      </c>
      <c r="Q6419">
        <v>-3.0420220000000001E-2</v>
      </c>
      <c r="R6419">
        <v>-0.71258529999999998</v>
      </c>
      <c r="S6419">
        <v>2.6359859999999999</v>
      </c>
      <c r="T6419">
        <v>-0.16635129999999901</v>
      </c>
      <c r="U6419">
        <v>-1.6171879999999901</v>
      </c>
      <c r="V6419">
        <v>-5.5585219999999998E-3</v>
      </c>
      <c r="W6419">
        <v>-1.6083179999999999E-2</v>
      </c>
      <c r="X6419">
        <v>0.99985520000000006</v>
      </c>
      <c r="Y6419">
        <v>-0.2453583</v>
      </c>
      <c r="Z6419">
        <v>4.318926E-2</v>
      </c>
      <c r="AA6419">
        <v>0.96846989999999999</v>
      </c>
      <c r="AB6419">
        <v>13</v>
      </c>
      <c r="AC6419">
        <v>17.5429999999999</v>
      </c>
      <c r="AD6419">
        <v>-1.1129452808360001</v>
      </c>
      <c r="AE6419">
        <v>-10.73446</v>
      </c>
      <c r="AF6419">
        <v>-5.0770339589597198</v>
      </c>
      <c r="AG6419">
        <v>-1.1129452808360001</v>
      </c>
      <c r="AH6419">
        <v>19.868134071933898</v>
      </c>
      <c r="AI6419">
        <v>93.106545763542002</v>
      </c>
      <c r="AJ6419">
        <v>104.334411943486</v>
      </c>
      <c r="AK6419">
        <v>20.536739578592002</v>
      </c>
      <c r="AL6419">
        <v>90.9215380729771</v>
      </c>
      <c r="AM6419">
        <v>90.318522692085395</v>
      </c>
      <c r="AN6419">
        <v>0.99999999340638801</v>
      </c>
    </row>
    <row r="6420" spans="1:40" x14ac:dyDescent="0.25">
      <c r="A6420" t="str">
        <f>"20190312154425064"</f>
        <v>20190312154425064</v>
      </c>
      <c r="B6420" t="str">
        <f>"1552376665053596"</f>
        <v>1552376665053596</v>
      </c>
      <c r="C6420" t="s">
        <v>40</v>
      </c>
      <c r="D6420">
        <v>4.7811180000000002</v>
      </c>
      <c r="E6420">
        <v>0.39339400000000002</v>
      </c>
      <c r="F6420" t="s">
        <v>70</v>
      </c>
      <c r="G6420">
        <v>-282.95659999999998</v>
      </c>
      <c r="H6420" s="1">
        <v>-5.4946249999999999E-6</v>
      </c>
      <c r="I6420">
        <v>-56.284799999999997</v>
      </c>
      <c r="J6420">
        <v>-294.60809999999998</v>
      </c>
      <c r="K6420">
        <v>1.112916</v>
      </c>
      <c r="L6420">
        <v>-49.49615</v>
      </c>
      <c r="M6420">
        <v>0.70227649999999997</v>
      </c>
      <c r="N6420">
        <v>0</v>
      </c>
      <c r="O6420">
        <v>-0.71176709999999999</v>
      </c>
      <c r="P6420">
        <v>0.70650740000000001</v>
      </c>
      <c r="Q6420">
        <v>-2.8438740000000001E-2</v>
      </c>
      <c r="R6420">
        <v>-0.7071345</v>
      </c>
      <c r="S6420">
        <v>2.6763919999999999</v>
      </c>
      <c r="T6420">
        <v>-0.25350990000000001</v>
      </c>
      <c r="U6420">
        <v>-1.566589</v>
      </c>
      <c r="V6420">
        <v>-6.1803780000000003E-3</v>
      </c>
      <c r="W6420">
        <v>-1.448285E-2</v>
      </c>
      <c r="X6420">
        <v>0.99987599999999999</v>
      </c>
      <c r="Y6420">
        <v>-0.2569825</v>
      </c>
      <c r="Z6420">
        <v>6.553908E-2</v>
      </c>
      <c r="AA6420">
        <v>0.96419120000000003</v>
      </c>
      <c r="AB6420">
        <v>13</v>
      </c>
      <c r="AC6420">
        <v>11.6515</v>
      </c>
      <c r="AD6420">
        <v>-1.1129214946249999</v>
      </c>
      <c r="AE6420">
        <v>-6.7886499999999899</v>
      </c>
      <c r="AF6420">
        <v>-3.5021351568197701</v>
      </c>
      <c r="AG6420">
        <v>-1.1129214946249999</v>
      </c>
      <c r="AH6420">
        <v>12.9277284710072</v>
      </c>
      <c r="AI6420">
        <v>94.749962246758997</v>
      </c>
      <c r="AJ6420">
        <v>105.15768247625</v>
      </c>
      <c r="AK6420">
        <v>13.4398552198274</v>
      </c>
      <c r="AL6420">
        <v>90.829835206468005</v>
      </c>
      <c r="AM6420">
        <v>90.354148980004297</v>
      </c>
      <c r="AN6420">
        <v>0.99999998269617196</v>
      </c>
    </row>
    <row r="6421" spans="1:40" x14ac:dyDescent="0.25">
      <c r="A6421" t="str">
        <f>"20190312154425085"</f>
        <v>20190312154425085</v>
      </c>
      <c r="B6421" t="str">
        <f>"1552376665074092"</f>
        <v>1552376665074092</v>
      </c>
      <c r="C6421" t="s">
        <v>40</v>
      </c>
      <c r="D6421">
        <v>4.8029679999999999</v>
      </c>
      <c r="E6421">
        <v>0.39208340000000003</v>
      </c>
      <c r="F6421" t="s">
        <v>70</v>
      </c>
      <c r="G6421">
        <v>-283.20260000000002</v>
      </c>
      <c r="H6421" s="1">
        <v>-5.4606629999999997E-6</v>
      </c>
      <c r="I6421">
        <v>-55.831949999999999</v>
      </c>
      <c r="J6421">
        <v>-294.51639999999998</v>
      </c>
      <c r="K6421">
        <v>1.1128960000000001</v>
      </c>
      <c r="L6421">
        <v>-49.578060000000001</v>
      </c>
      <c r="M6421">
        <v>0.70702119999999902</v>
      </c>
      <c r="N6421">
        <v>0</v>
      </c>
      <c r="O6421">
        <v>-0.7070611</v>
      </c>
      <c r="P6421">
        <v>0.71153440000000001</v>
      </c>
      <c r="Q6421">
        <v>-2.7258899999999999E-2</v>
      </c>
      <c r="R6421">
        <v>-0.70212249999999998</v>
      </c>
      <c r="S6421">
        <v>2.7220759999999999</v>
      </c>
      <c r="T6421">
        <v>-0.26561259999999998</v>
      </c>
      <c r="U6421">
        <v>-1.5121150000000001</v>
      </c>
      <c r="V6421">
        <v>-6.6028780000000004E-3</v>
      </c>
      <c r="W6421">
        <v>-1.367086E-2</v>
      </c>
      <c r="X6421">
        <v>0.99988469999999996</v>
      </c>
      <c r="Y6421">
        <v>-0.27194970000000002</v>
      </c>
      <c r="Z6421">
        <v>6.8502880000000002E-2</v>
      </c>
      <c r="AA6421">
        <v>0.95987020000000001</v>
      </c>
      <c r="AB6421">
        <v>13</v>
      </c>
      <c r="AC6421">
        <v>11.313799999999899</v>
      </c>
      <c r="AD6421">
        <v>-1.1129014606630001</v>
      </c>
      <c r="AE6421">
        <v>-6.2538899999999904</v>
      </c>
      <c r="AF6421">
        <v>-3.5519223178581498</v>
      </c>
      <c r="AG6421">
        <v>-1.1129014606630001</v>
      </c>
      <c r="AH6421">
        <v>12.330743196478499</v>
      </c>
      <c r="AI6421">
        <v>94.956732548919604</v>
      </c>
      <c r="AJ6421">
        <v>106.06926786607301</v>
      </c>
      <c r="AK6421">
        <v>12.8802922944607</v>
      </c>
      <c r="AL6421">
        <v>90.7833070183449</v>
      </c>
      <c r="AM6421">
        <v>90.378355167311199</v>
      </c>
      <c r="AN6421">
        <v>0.99999995185255497</v>
      </c>
    </row>
    <row r="6422" spans="1:40" x14ac:dyDescent="0.25">
      <c r="A6422" t="str">
        <f>"20190312154425109"</f>
        <v>20190312154425109</v>
      </c>
      <c r="B6422" t="str">
        <f>"1552376665104349"</f>
        <v>1552376665104349</v>
      </c>
      <c r="C6422" t="s">
        <v>40</v>
      </c>
      <c r="D6422">
        <v>4.867013</v>
      </c>
      <c r="E6422">
        <v>0.3926576</v>
      </c>
      <c r="F6422" t="s">
        <v>70</v>
      </c>
      <c r="G6422">
        <v>-283.08980000000003</v>
      </c>
      <c r="H6422" s="1">
        <v>-5.5241350000000001E-6</v>
      </c>
      <c r="I6422">
        <v>-55.77055</v>
      </c>
      <c r="J6422">
        <v>-294.41590000000002</v>
      </c>
      <c r="K6422">
        <v>1.112868</v>
      </c>
      <c r="L6422">
        <v>-49.666499999999999</v>
      </c>
      <c r="M6422">
        <v>0.71214140000000004</v>
      </c>
      <c r="N6422">
        <v>0</v>
      </c>
      <c r="O6422">
        <v>-0.70191159999999997</v>
      </c>
      <c r="P6422">
        <v>0.7168061</v>
      </c>
      <c r="Q6422">
        <v>-2.637401E-2</v>
      </c>
      <c r="R6422">
        <v>-0.69677409999999995</v>
      </c>
      <c r="S6422">
        <v>2.7404790000000001</v>
      </c>
      <c r="T6422">
        <v>-0.26691110000000001</v>
      </c>
      <c r="U6422">
        <v>-1.485168</v>
      </c>
      <c r="V6422">
        <v>-6.8556149999999998E-3</v>
      </c>
      <c r="W6422">
        <v>-1.3204840000000001E-2</v>
      </c>
      <c r="X6422">
        <v>0.99988929999999998</v>
      </c>
      <c r="Y6422">
        <v>-0.274955</v>
      </c>
      <c r="Z6422">
        <v>6.8484840000000005E-2</v>
      </c>
      <c r="AA6422">
        <v>0.9590149</v>
      </c>
      <c r="AB6422">
        <v>13</v>
      </c>
      <c r="AC6422">
        <v>11.326099999999901</v>
      </c>
      <c r="AD6422">
        <v>-1.1128735241350001</v>
      </c>
      <c r="AE6422">
        <v>-6.10405</v>
      </c>
      <c r="AF6422">
        <v>-3.5765312559476299</v>
      </c>
      <c r="AG6422">
        <v>-1.1128735241350001</v>
      </c>
      <c r="AH6422">
        <v>12.259646787189601</v>
      </c>
      <c r="AI6422">
        <v>94.980332824499499</v>
      </c>
      <c r="AJ6422">
        <v>106.263654406757</v>
      </c>
      <c r="AK6422">
        <v>12.8190874344526</v>
      </c>
      <c r="AL6422">
        <v>90.756603597867198</v>
      </c>
      <c r="AM6422">
        <v>90.392835137366006</v>
      </c>
      <c r="AN6422">
        <v>0.999999989755471</v>
      </c>
    </row>
    <row r="6423" spans="1:40" x14ac:dyDescent="0.25">
      <c r="A6423" t="str">
        <f>"20190312154425130"</f>
        <v>20190312154425130</v>
      </c>
      <c r="B6423" t="str">
        <f>"1552376665123868"</f>
        <v>1552376665123868</v>
      </c>
      <c r="C6423" t="s">
        <v>40</v>
      </c>
      <c r="D6423">
        <v>4.8656300000000003</v>
      </c>
      <c r="E6423">
        <v>0.3935882</v>
      </c>
      <c r="F6423" t="s">
        <v>70</v>
      </c>
      <c r="G6423">
        <v>-282.89260000000002</v>
      </c>
      <c r="H6423" s="1">
        <v>-5.6072399999999997E-6</v>
      </c>
      <c r="I6423">
        <v>-55.819540000000003</v>
      </c>
      <c r="J6423">
        <v>-294.31959999999998</v>
      </c>
      <c r="K6423">
        <v>1.1128359999999999</v>
      </c>
      <c r="L6423">
        <v>-49.750059999999998</v>
      </c>
      <c r="M6423">
        <v>0.71696369999999998</v>
      </c>
      <c r="N6423">
        <v>0</v>
      </c>
      <c r="O6423">
        <v>-0.69699309999999903</v>
      </c>
      <c r="P6423">
        <v>0.721952699999999</v>
      </c>
      <c r="Q6423">
        <v>-2.5106509999999999E-2</v>
      </c>
      <c r="R6423">
        <v>-0.69148730000000003</v>
      </c>
      <c r="S6423">
        <v>2.7487490000000001</v>
      </c>
      <c r="T6423">
        <v>-0.26546439999999999</v>
      </c>
      <c r="U6423">
        <v>-1.467743</v>
      </c>
      <c r="V6423">
        <v>-7.3520259999999898E-3</v>
      </c>
      <c r="W6423">
        <v>-1.2357089999999999E-2</v>
      </c>
      <c r="X6423">
        <v>0.99989660000000002</v>
      </c>
      <c r="Y6423">
        <v>-0.27430759999999899</v>
      </c>
      <c r="Z6423">
        <v>6.7755650000000001E-2</v>
      </c>
      <c r="AA6423">
        <v>0.95925210000000005</v>
      </c>
      <c r="AB6423">
        <v>13</v>
      </c>
      <c r="AC6423">
        <v>11.4269999999999</v>
      </c>
      <c r="AD6423">
        <v>-1.11284160724</v>
      </c>
      <c r="AE6423">
        <v>-6.0694800000000004</v>
      </c>
      <c r="AF6423">
        <v>-3.5867071125162999</v>
      </c>
      <c r="AG6423">
        <v>-1.11284160724</v>
      </c>
      <c r="AH6423">
        <v>12.332916519034301</v>
      </c>
      <c r="AI6423">
        <v>94.951952154721894</v>
      </c>
      <c r="AJ6423">
        <v>106.215694353525</v>
      </c>
      <c r="AK6423">
        <v>12.892001947690201</v>
      </c>
      <c r="AL6423">
        <v>90.708027137789401</v>
      </c>
      <c r="AM6423">
        <v>90.421276029625503</v>
      </c>
      <c r="AN6423">
        <v>0.99999998032556603</v>
      </c>
    </row>
    <row r="6424" spans="1:40" x14ac:dyDescent="0.25">
      <c r="A6424" t="str">
        <f>"20190312154425153"</f>
        <v>20190312154425153</v>
      </c>
      <c r="B6424" t="str">
        <f>"1552376665144364"</f>
        <v>1552376665144364</v>
      </c>
      <c r="C6424" t="s">
        <v>40</v>
      </c>
      <c r="D6424">
        <v>4.8679079999999999</v>
      </c>
      <c r="E6424">
        <v>0.39453529999999998</v>
      </c>
      <c r="F6424" t="s">
        <v>70</v>
      </c>
      <c r="G6424">
        <v>-282.81580000000002</v>
      </c>
      <c r="H6424" s="1">
        <v>-5.6433200000000004E-6</v>
      </c>
      <c r="I6424">
        <v>-55.817909999999998</v>
      </c>
      <c r="J6424">
        <v>-294.21940000000001</v>
      </c>
      <c r="K6424">
        <v>1.1128009999999999</v>
      </c>
      <c r="L6424">
        <v>-49.835850000000001</v>
      </c>
      <c r="M6424">
        <v>0.7218928</v>
      </c>
      <c r="N6424">
        <v>0</v>
      </c>
      <c r="O6424">
        <v>-0.69189449999999997</v>
      </c>
      <c r="P6424">
        <v>0.72745729999999997</v>
      </c>
      <c r="Q6424">
        <v>-2.478267E-2</v>
      </c>
      <c r="R6424">
        <v>-0.68570520000000001</v>
      </c>
      <c r="S6424">
        <v>2.7545169999999999</v>
      </c>
      <c r="T6424">
        <v>-0.26646350000000002</v>
      </c>
      <c r="U6424">
        <v>-1.4529110000000001</v>
      </c>
      <c r="V6424">
        <v>-8.2440810000000003E-3</v>
      </c>
      <c r="W6424">
        <v>-1.2470210000000001E-2</v>
      </c>
      <c r="X6424">
        <v>0.9998882</v>
      </c>
      <c r="Y6424">
        <v>-0.27235120000000002</v>
      </c>
      <c r="Z6424">
        <v>6.7609920000000004E-2</v>
      </c>
      <c r="AA6424">
        <v>0.95981959999999999</v>
      </c>
      <c r="AB6424">
        <v>13</v>
      </c>
      <c r="AC6424">
        <v>11.4035999999999</v>
      </c>
      <c r="AD6424">
        <v>-1.1128066433199999</v>
      </c>
      <c r="AE6424">
        <v>-5.9820599999999899</v>
      </c>
      <c r="AF6424">
        <v>-3.5454785751246098</v>
      </c>
      <c r="AG6424">
        <v>-1.1128066433199999</v>
      </c>
      <c r="AH6424">
        <v>12.2803708406508</v>
      </c>
      <c r="AI6424">
        <v>94.975674717349193</v>
      </c>
      <c r="AJ6424">
        <v>106.10401244724</v>
      </c>
      <c r="AK6424">
        <v>12.830287016898399</v>
      </c>
      <c r="AL6424">
        <v>90.714508963497593</v>
      </c>
      <c r="AM6424">
        <v>90.472393157769602</v>
      </c>
      <c r="AN6424">
        <v>0.999999941754107</v>
      </c>
    </row>
    <row r="6425" spans="1:40" x14ac:dyDescent="0.25">
      <c r="A6425" t="str">
        <f>"20190312154425175"</f>
        <v>20190312154425175</v>
      </c>
      <c r="B6425" t="str">
        <f>"1552376665163884"</f>
        <v>1552376665163884</v>
      </c>
      <c r="C6425" t="s">
        <v>40</v>
      </c>
      <c r="D6425">
        <v>4.7642680000000004</v>
      </c>
      <c r="E6425">
        <v>0.39516580000000001</v>
      </c>
      <c r="F6425" t="s">
        <v>70</v>
      </c>
      <c r="G6425">
        <v>-282.7466</v>
      </c>
      <c r="H6425" s="1">
        <v>-5.6777529999999998E-6</v>
      </c>
      <c r="I6425">
        <v>-55.805610000000001</v>
      </c>
      <c r="J6425">
        <v>-294.1191</v>
      </c>
      <c r="K6425">
        <v>1.11276</v>
      </c>
      <c r="L6425">
        <v>-49.920560000000002</v>
      </c>
      <c r="M6425">
        <v>0.72674119999999998</v>
      </c>
      <c r="N6425">
        <v>0</v>
      </c>
      <c r="O6425">
        <v>-0.68680779999999997</v>
      </c>
      <c r="P6425">
        <v>0.7324001</v>
      </c>
      <c r="Q6425">
        <v>-2.5323499999999999E-2</v>
      </c>
      <c r="R6425">
        <v>-0.68040339999999999</v>
      </c>
      <c r="S6425">
        <v>2.760742</v>
      </c>
      <c r="T6425">
        <v>-0.26777849999999997</v>
      </c>
      <c r="U6425">
        <v>-1.436523</v>
      </c>
      <c r="V6425">
        <v>-8.4599580000000001E-3</v>
      </c>
      <c r="W6425">
        <v>-1.344353E-2</v>
      </c>
      <c r="X6425">
        <v>0.99987380000000003</v>
      </c>
      <c r="Y6425">
        <v>-0.27094439999999997</v>
      </c>
      <c r="Z6425">
        <v>6.7562460000000005E-2</v>
      </c>
      <c r="AA6425">
        <v>0.96022110000000005</v>
      </c>
      <c r="AB6425">
        <v>13</v>
      </c>
      <c r="AC6425">
        <v>11.3725</v>
      </c>
      <c r="AD6425">
        <v>-1.1127656777529999</v>
      </c>
      <c r="AE6425">
        <v>-5.8850499999999997</v>
      </c>
      <c r="AF6425">
        <v>-3.50757636385742</v>
      </c>
      <c r="AG6425">
        <v>-1.1127656777529999</v>
      </c>
      <c r="AH6425">
        <v>12.2153901288649</v>
      </c>
      <c r="AI6425">
        <v>95.003899897211397</v>
      </c>
      <c r="AJ6425">
        <v>106.021103125463</v>
      </c>
      <c r="AK6425">
        <v>12.7576289098816</v>
      </c>
      <c r="AL6425">
        <v>90.770280766510197</v>
      </c>
      <c r="AM6425">
        <v>90.4847694998018</v>
      </c>
      <c r="AN6425">
        <v>0.99999995765732996</v>
      </c>
    </row>
    <row r="6426" spans="1:40" x14ac:dyDescent="0.25">
      <c r="A6426" t="str">
        <f>"20190312154425198"</f>
        <v>20190312154425198</v>
      </c>
      <c r="B6426" t="str">
        <f>"1552376665194141"</f>
        <v>1552376665194141</v>
      </c>
      <c r="C6426" t="s">
        <v>40</v>
      </c>
      <c r="D6426">
        <v>4.8793259999999998</v>
      </c>
      <c r="E6426">
        <v>0.39608949999999998</v>
      </c>
      <c r="F6426" t="s">
        <v>70</v>
      </c>
      <c r="G6426">
        <v>-282.76620000000003</v>
      </c>
      <c r="H6426" s="1">
        <v>-5.6792739999999997E-6</v>
      </c>
      <c r="I6426">
        <v>-55.745669999999997</v>
      </c>
      <c r="J6426">
        <v>-294.0172</v>
      </c>
      <c r="K6426">
        <v>1.1127100000000001</v>
      </c>
      <c r="L6426">
        <v>-50.005490000000002</v>
      </c>
      <c r="M6426">
        <v>0.73158140000000005</v>
      </c>
      <c r="N6426">
        <v>0</v>
      </c>
      <c r="O6426">
        <v>-0.68165759999999997</v>
      </c>
      <c r="P6426">
        <v>0.73741109999999999</v>
      </c>
      <c r="Q6426">
        <v>-2.4661780000000001E-2</v>
      </c>
      <c r="R6426">
        <v>-0.67499409999999904</v>
      </c>
      <c r="S6426">
        <v>2.7675480000000001</v>
      </c>
      <c r="T6426">
        <v>-0.27126409999999901</v>
      </c>
      <c r="U6426">
        <v>-1.420013</v>
      </c>
      <c r="V6426">
        <v>-8.7689340000000008E-3</v>
      </c>
      <c r="W6426">
        <v>-1.323847E-2</v>
      </c>
      <c r="X6426">
        <v>0.99987389999999998</v>
      </c>
      <c r="Y6426">
        <v>-0.2695748</v>
      </c>
      <c r="Z6426">
        <v>6.8035440000000003E-2</v>
      </c>
      <c r="AA6426">
        <v>0.96057309999999996</v>
      </c>
      <c r="AB6426">
        <v>13</v>
      </c>
      <c r="AC6426">
        <v>11.2509999999999</v>
      </c>
      <c r="AD6426">
        <v>-1.1127156792739901</v>
      </c>
      <c r="AE6426">
        <v>-5.7401799999999898</v>
      </c>
      <c r="AF6426">
        <v>-3.4434248774221201</v>
      </c>
      <c r="AG6426">
        <v>-1.1127156792739901</v>
      </c>
      <c r="AH6426">
        <v>12.0511307346137</v>
      </c>
      <c r="AI6426">
        <v>95.073406740154994</v>
      </c>
      <c r="AJ6426">
        <v>105.946471348035</v>
      </c>
      <c r="AK6426">
        <v>12.582728760173699</v>
      </c>
      <c r="AL6426">
        <v>90.758530628065401</v>
      </c>
      <c r="AM6426">
        <v>90.502473390466093</v>
      </c>
      <c r="AN6426">
        <v>0.99999998359632303</v>
      </c>
    </row>
    <row r="6427" spans="1:40" x14ac:dyDescent="0.25">
      <c r="A6427" t="str">
        <f>"20190312154425220"</f>
        <v>20190312154425220</v>
      </c>
      <c r="B6427" t="str">
        <f>"1552376665213660"</f>
        <v>1552376665213660</v>
      </c>
      <c r="C6427" t="s">
        <v>40</v>
      </c>
      <c r="D6427">
        <v>4.8873790000000001</v>
      </c>
      <c r="E6427">
        <v>0.3966131</v>
      </c>
      <c r="F6427" t="s">
        <v>70</v>
      </c>
      <c r="G6427">
        <v>-282.60829999999999</v>
      </c>
      <c r="H6427" s="1">
        <v>-5.7457559999999997E-6</v>
      </c>
      <c r="I6427">
        <v>-55.785510000000002</v>
      </c>
      <c r="J6427">
        <v>-293.91449999999998</v>
      </c>
      <c r="K6427">
        <v>1.1126529999999999</v>
      </c>
      <c r="L6427">
        <v>-50.089970000000001</v>
      </c>
      <c r="M6427">
        <v>0.7363672</v>
      </c>
      <c r="N6427">
        <v>0</v>
      </c>
      <c r="O6427">
        <v>-0.67649269999999995</v>
      </c>
      <c r="P6427">
        <v>0.74229499999999904</v>
      </c>
      <c r="Q6427">
        <v>-2.4273119999999999E-2</v>
      </c>
      <c r="R6427">
        <v>-0.66963349999999999</v>
      </c>
      <c r="S6427">
        <v>2.773193</v>
      </c>
      <c r="T6427">
        <v>-0.27047149999999998</v>
      </c>
      <c r="U6427">
        <v>-1.404968</v>
      </c>
      <c r="V6427">
        <v>-8.98061E-3</v>
      </c>
      <c r="W6427">
        <v>-1.333871E-2</v>
      </c>
      <c r="X6427">
        <v>0.9998707</v>
      </c>
      <c r="Y6427">
        <v>-0.26776290000000003</v>
      </c>
      <c r="Z6427">
        <v>6.7424849999999995E-2</v>
      </c>
      <c r="AA6427">
        <v>0.96112280000000005</v>
      </c>
      <c r="AB6427">
        <v>13</v>
      </c>
      <c r="AC6427">
        <v>11.306199999999899</v>
      </c>
      <c r="AD6427">
        <v>-1.112658745756</v>
      </c>
      <c r="AE6427">
        <v>-5.6955399999999896</v>
      </c>
      <c r="AF6427">
        <v>-3.4282799550085699</v>
      </c>
      <c r="AG6427">
        <v>-1.112658745756</v>
      </c>
      <c r="AH6427">
        <v>12.0858846792097</v>
      </c>
      <c r="AI6427">
        <v>95.061386453206893</v>
      </c>
      <c r="AJ6427">
        <v>105.836509027552</v>
      </c>
      <c r="AK6427">
        <v>12.611888098678</v>
      </c>
      <c r="AL6427">
        <v>90.764274455832293</v>
      </c>
      <c r="AM6427">
        <v>90.514603752729997</v>
      </c>
      <c r="AN6427">
        <v>0.99999999462946298</v>
      </c>
    </row>
    <row r="6428" spans="1:40" x14ac:dyDescent="0.25">
      <c r="A6428" t="str">
        <f>"20190312154425241"</f>
        <v>20190312154425241</v>
      </c>
      <c r="B6428" t="str">
        <f>"1552376665234156"</f>
        <v>1552376665234156</v>
      </c>
      <c r="C6428" t="s">
        <v>40</v>
      </c>
      <c r="D6428">
        <v>4.8360789999999998</v>
      </c>
      <c r="E6428">
        <v>0.39724510000000002</v>
      </c>
      <c r="F6428" t="s">
        <v>70</v>
      </c>
      <c r="G6428">
        <v>-282.46510000000001</v>
      </c>
      <c r="H6428" s="1">
        <v>-5.808877E-6</v>
      </c>
      <c r="I6428">
        <v>-55.805700000000002</v>
      </c>
      <c r="J6428">
        <v>-293.81270000000001</v>
      </c>
      <c r="K6428">
        <v>1.1125929999999999</v>
      </c>
      <c r="L6428">
        <v>-50.172640000000001</v>
      </c>
      <c r="M6428">
        <v>0.7410215</v>
      </c>
      <c r="N6428">
        <v>0</v>
      </c>
      <c r="O6428">
        <v>-0.67139979999999999</v>
      </c>
      <c r="P6428">
        <v>0.74710279999999996</v>
      </c>
      <c r="Q6428">
        <v>-2.4085789999999999E-2</v>
      </c>
      <c r="R6428">
        <v>-0.66427219999999998</v>
      </c>
      <c r="S6428">
        <v>2.7804869999999999</v>
      </c>
      <c r="T6428">
        <v>-0.27020840000000002</v>
      </c>
      <c r="U6428">
        <v>-1.3880619999999999</v>
      </c>
      <c r="V6428">
        <v>-9.2814149999999995E-3</v>
      </c>
      <c r="W6428">
        <v>-1.36648E-2</v>
      </c>
      <c r="X6428">
        <v>0.99986359999999996</v>
      </c>
      <c r="Y6428">
        <v>-0.26682359999999999</v>
      </c>
      <c r="Z6428">
        <v>6.6964759999999998E-2</v>
      </c>
      <c r="AA6428">
        <v>0.9614161</v>
      </c>
      <c r="AB6428">
        <v>14</v>
      </c>
      <c r="AC6428">
        <v>11.3476</v>
      </c>
      <c r="AD6428">
        <v>-1.112598808877</v>
      </c>
      <c r="AE6428">
        <v>-5.6330599999999897</v>
      </c>
      <c r="AF6428">
        <v>-3.4183815196180101</v>
      </c>
      <c r="AG6428">
        <v>-1.112598808877</v>
      </c>
      <c r="AH6428">
        <v>12.098208813326901</v>
      </c>
      <c r="AI6428">
        <v>95.057446070082307</v>
      </c>
      <c r="AJ6428">
        <v>105.77778203969299</v>
      </c>
      <c r="AK6428">
        <v>12.6210088667286</v>
      </c>
      <c r="AL6428">
        <v>90.782959700522099</v>
      </c>
      <c r="AM6428">
        <v>90.531843177268996</v>
      </c>
      <c r="AN6428">
        <v>1.0000000450141999</v>
      </c>
    </row>
    <row r="6429" spans="1:40" x14ac:dyDescent="0.25">
      <c r="A6429" t="str">
        <f>"20190312154425265"</f>
        <v>20190312154425265</v>
      </c>
      <c r="B6429" t="str">
        <f>"1552376665253677"</f>
        <v>1552376665253677</v>
      </c>
      <c r="C6429" t="s">
        <v>40</v>
      </c>
      <c r="D6429">
        <v>4.7508439999999998</v>
      </c>
      <c r="E6429">
        <v>0.39655059999999998</v>
      </c>
      <c r="F6429" t="s">
        <v>70</v>
      </c>
      <c r="G6429">
        <v>-282.31310000000002</v>
      </c>
      <c r="H6429" s="1">
        <v>-5.875005E-6</v>
      </c>
      <c r="I6429">
        <v>-55.831910000000001</v>
      </c>
      <c r="J6429">
        <v>-293.70460000000003</v>
      </c>
      <c r="K6429">
        <v>1.112528</v>
      </c>
      <c r="L6429">
        <v>-50.259369999999997</v>
      </c>
      <c r="M6429">
        <v>0.74586750000000002</v>
      </c>
      <c r="N6429">
        <v>0</v>
      </c>
      <c r="O6429">
        <v>-0.66602059999999996</v>
      </c>
      <c r="P6429">
        <v>0.75172569999999905</v>
      </c>
      <c r="Q6429">
        <v>-2.409085E-2</v>
      </c>
      <c r="R6429">
        <v>-0.65903579999999995</v>
      </c>
      <c r="S6429">
        <v>2.7872309999999998</v>
      </c>
      <c r="T6429">
        <v>-0.2696674</v>
      </c>
      <c r="U6429">
        <v>-1.3716740000000001</v>
      </c>
      <c r="V6429">
        <v>-9.0238839999999994E-3</v>
      </c>
      <c r="W6429">
        <v>-1.423688E-2</v>
      </c>
      <c r="X6429">
        <v>0.99985789999999997</v>
      </c>
      <c r="Y6429">
        <v>-0.26534799999999997</v>
      </c>
      <c r="Z6429">
        <v>6.6399130000000001E-2</v>
      </c>
      <c r="AA6429">
        <v>0.96186360000000004</v>
      </c>
      <c r="AB6429">
        <v>14</v>
      </c>
      <c r="AC6429">
        <v>11.391500000000001</v>
      </c>
      <c r="AD6429">
        <v>-1.112533875005</v>
      </c>
      <c r="AE6429">
        <v>-5.5725399999999903</v>
      </c>
      <c r="AF6429">
        <v>-3.4045628071460499</v>
      </c>
      <c r="AG6429">
        <v>-1.112533875005</v>
      </c>
      <c r="AH6429">
        <v>12.115331234609</v>
      </c>
      <c r="AI6429">
        <v>95.052062261094207</v>
      </c>
      <c r="AJ6429">
        <v>105.69604120604799</v>
      </c>
      <c r="AK6429">
        <v>12.633686336739901</v>
      </c>
      <c r="AL6429">
        <v>90.815740720635105</v>
      </c>
      <c r="AM6429">
        <v>90.517089909174899</v>
      </c>
      <c r="AN6429">
        <v>0.99999996971349403</v>
      </c>
    </row>
    <row r="6430" spans="1:40" x14ac:dyDescent="0.25">
      <c r="A6430" t="str">
        <f>"20190312154425279"</f>
        <v>20190312154425279</v>
      </c>
      <c r="B6430" t="str">
        <f>"1552376665274173"</f>
        <v>1552376665274173</v>
      </c>
      <c r="C6430" t="s">
        <v>40</v>
      </c>
      <c r="D6430">
        <v>4.9377769999999996</v>
      </c>
      <c r="E6430">
        <v>0.40858640000000002</v>
      </c>
      <c r="F6430" t="s">
        <v>70</v>
      </c>
      <c r="G6430">
        <v>-281.81049999999999</v>
      </c>
      <c r="H6430" s="1">
        <v>-6.0362750000000001E-6</v>
      </c>
      <c r="I6430">
        <v>-55.986229999999999</v>
      </c>
      <c r="J6430">
        <v>-293.63580000000002</v>
      </c>
      <c r="K6430">
        <v>1.112492</v>
      </c>
      <c r="L6430">
        <v>-50.313870000000001</v>
      </c>
      <c r="M6430">
        <v>0.74889619999999901</v>
      </c>
      <c r="N6430">
        <v>0</v>
      </c>
      <c r="O6430">
        <v>-0.66261890000000001</v>
      </c>
      <c r="P6430">
        <v>0.75477530000000004</v>
      </c>
      <c r="Q6430">
        <v>-2.3404689999999999E-2</v>
      </c>
      <c r="R6430">
        <v>-0.65556619999999999</v>
      </c>
      <c r="S6430">
        <v>2.8003230000000001</v>
      </c>
      <c r="T6430">
        <v>-0.26193440000000001</v>
      </c>
      <c r="U6430">
        <v>-1.348328</v>
      </c>
      <c r="V6430">
        <v>-9.0916260000000002E-3</v>
      </c>
      <c r="W6430">
        <v>-1.392495E-2</v>
      </c>
      <c r="X6430">
        <v>0.99986169999999996</v>
      </c>
      <c r="Y6430">
        <v>-0.26939550000000001</v>
      </c>
      <c r="Z6430">
        <v>6.4355780000000001E-2</v>
      </c>
      <c r="AA6430">
        <v>0.96087690000000003</v>
      </c>
      <c r="AB6430">
        <v>14</v>
      </c>
      <c r="AC6430">
        <v>11.8253</v>
      </c>
      <c r="AD6430">
        <v>-1.1124980362749901</v>
      </c>
      <c r="AE6430">
        <v>-5.6723600000000003</v>
      </c>
      <c r="AF6430">
        <v>-3.56219081066389</v>
      </c>
      <c r="AG6430">
        <v>-1.1124980362749901</v>
      </c>
      <c r="AH6430">
        <v>12.524988701545601</v>
      </c>
      <c r="AI6430">
        <v>94.883161063643797</v>
      </c>
      <c r="AJ6430">
        <v>105.876107585307</v>
      </c>
      <c r="AK6430">
        <v>13.0691314641081</v>
      </c>
      <c r="AL6430">
        <v>90.797866658871996</v>
      </c>
      <c r="AM6430">
        <v>90.520969493083001</v>
      </c>
      <c r="AN6430">
        <v>0.99999999051135802</v>
      </c>
    </row>
    <row r="6431" spans="1:40" x14ac:dyDescent="0.25">
      <c r="A6431" t="str">
        <f>"20190312154425298"</f>
        <v>20190312154425298</v>
      </c>
      <c r="B6431" t="str">
        <f>"1552376665293693"</f>
        <v>1552376665293693</v>
      </c>
      <c r="C6431" t="s">
        <v>40</v>
      </c>
      <c r="D6431">
        <v>4.8955120000000001</v>
      </c>
      <c r="E6431">
        <v>0.40849740000000001</v>
      </c>
      <c r="F6431" t="s">
        <v>70</v>
      </c>
      <c r="G6431">
        <v>-282.68180000000001</v>
      </c>
      <c r="H6431" s="1">
        <v>-5.6855110000000001E-6</v>
      </c>
      <c r="I6431">
        <v>-55.931739999999998</v>
      </c>
      <c r="J6431">
        <v>-293.54410000000001</v>
      </c>
      <c r="K6431">
        <v>1.1124540000000001</v>
      </c>
      <c r="L6431">
        <v>-50.385890000000003</v>
      </c>
      <c r="M6431">
        <v>0.75287459999999995</v>
      </c>
      <c r="N6431">
        <v>0</v>
      </c>
      <c r="O6431">
        <v>-0.65810210000000002</v>
      </c>
      <c r="P6431">
        <v>0.75851420000000003</v>
      </c>
      <c r="Q6431">
        <v>-2.147725E-2</v>
      </c>
      <c r="R6431">
        <v>-0.65130250000000001</v>
      </c>
      <c r="S6431">
        <v>2.7438349999999998</v>
      </c>
      <c r="T6431">
        <v>-0.2786651</v>
      </c>
      <c r="U6431">
        <v>-1.4071959999999999</v>
      </c>
      <c r="V6431">
        <v>-8.7523280000000002E-3</v>
      </c>
      <c r="W6431">
        <v>-1.2502640000000001E-2</v>
      </c>
      <c r="X6431">
        <v>0.99988350000000004</v>
      </c>
      <c r="Y6431">
        <v>-0.23899960000000001</v>
      </c>
      <c r="Z6431">
        <v>6.7539660000000001E-2</v>
      </c>
      <c r="AA6431">
        <v>0.96866790000000003</v>
      </c>
      <c r="AB6431">
        <v>14</v>
      </c>
      <c r="AC6431">
        <v>10.862299999999999</v>
      </c>
      <c r="AD6431">
        <v>-1.1124596855110001</v>
      </c>
      <c r="AE6431">
        <v>-5.5458499999999997</v>
      </c>
      <c r="AF6431">
        <v>-2.9487602692108701</v>
      </c>
      <c r="AG6431">
        <v>-1.1124596855110001</v>
      </c>
      <c r="AH6431">
        <v>11.7305687755091</v>
      </c>
      <c r="AI6431">
        <v>95.254876627372695</v>
      </c>
      <c r="AJ6431">
        <v>104.110314292335</v>
      </c>
      <c r="AK6431">
        <v>12.1465631959873</v>
      </c>
      <c r="AL6431">
        <v>90.716367192936303</v>
      </c>
      <c r="AM6431">
        <v>90.501517074877796</v>
      </c>
      <c r="AN6431">
        <v>0.99999996641231903</v>
      </c>
    </row>
    <row r="6432" spans="1:40" x14ac:dyDescent="0.25">
      <c r="A6432" t="str">
        <f>"20190312154425320"</f>
        <v>20190312154425320</v>
      </c>
      <c r="B6432" t="str">
        <f>"1552376665314192"</f>
        <v>1552376665314192</v>
      </c>
      <c r="C6432" t="s">
        <v>40</v>
      </c>
      <c r="D6432">
        <v>4.8843940000000003</v>
      </c>
      <c r="E6432">
        <v>0.40417750000000002</v>
      </c>
      <c r="F6432" t="s">
        <v>70</v>
      </c>
      <c r="G6432">
        <v>-282.1361</v>
      </c>
      <c r="H6432" s="1">
        <v>-5.9002690000000003E-6</v>
      </c>
      <c r="I6432">
        <v>-56.153120000000001</v>
      </c>
      <c r="J6432">
        <v>-293.43450000000001</v>
      </c>
      <c r="K6432">
        <v>1.1124179999999999</v>
      </c>
      <c r="L6432">
        <v>-50.470889999999997</v>
      </c>
      <c r="M6432">
        <v>0.75754239999999995</v>
      </c>
      <c r="N6432">
        <v>0</v>
      </c>
      <c r="O6432">
        <v>-0.65273190000000003</v>
      </c>
      <c r="P6432">
        <v>0.76305369999999995</v>
      </c>
      <c r="Q6432">
        <v>-1.858222E-2</v>
      </c>
      <c r="R6432">
        <v>-0.64606770000000002</v>
      </c>
      <c r="S6432">
        <v>2.7526250000000001</v>
      </c>
      <c r="T6432">
        <v>-0.26842470000000002</v>
      </c>
      <c r="U6432">
        <v>-1.3915709999999999</v>
      </c>
      <c r="V6432">
        <v>-8.5809100000000006E-3</v>
      </c>
      <c r="W6432">
        <v>-1.0224209999999999E-2</v>
      </c>
      <c r="X6432">
        <v>0.99991090000000005</v>
      </c>
      <c r="Y6432">
        <v>-0.2379579</v>
      </c>
      <c r="Z6432">
        <v>6.4602569999999998E-2</v>
      </c>
      <c r="AA6432">
        <v>0.9691246</v>
      </c>
      <c r="AB6432">
        <v>14</v>
      </c>
      <c r="AC6432">
        <v>11.298400000000001</v>
      </c>
      <c r="AD6432">
        <v>-1.112423900269</v>
      </c>
      <c r="AE6432">
        <v>-5.6822299999999899</v>
      </c>
      <c r="AF6432">
        <v>-3.0468306132323901</v>
      </c>
      <c r="AG6432">
        <v>-1.112423900269</v>
      </c>
      <c r="AH6432">
        <v>12.174229336950001</v>
      </c>
      <c r="AI6432">
        <v>95.065541759672499</v>
      </c>
      <c r="AJ6432">
        <v>104.050741456569</v>
      </c>
      <c r="AK6432">
        <v>12.5989096221964</v>
      </c>
      <c r="AL6432">
        <v>90.585814295946705</v>
      </c>
      <c r="AM6432">
        <v>90.491681667542295</v>
      </c>
      <c r="AN6432">
        <v>0.99999998721268102</v>
      </c>
    </row>
    <row r="6433" spans="1:40" x14ac:dyDescent="0.25">
      <c r="A6433" t="str">
        <f>"20190312154425332"</f>
        <v>20190312154425332</v>
      </c>
      <c r="B6433" t="str">
        <f>"1552376665323949"</f>
        <v>1552376665323949</v>
      </c>
      <c r="C6433" t="s">
        <v>40</v>
      </c>
      <c r="D6433">
        <v>4.897875</v>
      </c>
      <c r="E6433">
        <v>0.40521780000000002</v>
      </c>
      <c r="F6433" t="s">
        <v>43</v>
      </c>
      <c r="G6433">
        <v>-276.2774</v>
      </c>
      <c r="H6433" s="1">
        <v>-2.200097E-6</v>
      </c>
      <c r="I6433">
        <v>-58.787790000000001</v>
      </c>
      <c r="J6433">
        <v>-293.37259999999998</v>
      </c>
      <c r="K6433">
        <v>1.112401</v>
      </c>
      <c r="L6433">
        <v>-50.518430000000002</v>
      </c>
      <c r="M6433">
        <v>0.76014019999999904</v>
      </c>
      <c r="N6433">
        <v>0</v>
      </c>
      <c r="O6433">
        <v>-0.64970919999999999</v>
      </c>
      <c r="P6433">
        <v>0.76574770000000003</v>
      </c>
      <c r="Q6433">
        <v>-1.6250779999999999E-2</v>
      </c>
      <c r="R6433">
        <v>-0.64293619999999996</v>
      </c>
      <c r="S6433">
        <v>2.7843930000000001</v>
      </c>
      <c r="T6433">
        <v>-0.18053230000000001</v>
      </c>
      <c r="U6433">
        <v>-1.349731</v>
      </c>
      <c r="V6433">
        <v>-8.7388880000000002E-3</v>
      </c>
      <c r="W6433">
        <v>-8.2456200000000004E-3</v>
      </c>
      <c r="X6433">
        <v>0.99992780000000003</v>
      </c>
      <c r="Y6433">
        <v>-0.25179259999999998</v>
      </c>
      <c r="Z6433">
        <v>4.3533620000000002E-2</v>
      </c>
      <c r="AA6433">
        <v>0.96680160000000004</v>
      </c>
      <c r="AB6433">
        <v>14</v>
      </c>
      <c r="AC6433">
        <v>17.095199999999899</v>
      </c>
      <c r="AD6433">
        <v>-1.1124032000969999</v>
      </c>
      <c r="AE6433">
        <v>-8.2693599999999901</v>
      </c>
      <c r="AF6433">
        <v>-4.8047054196286396</v>
      </c>
      <c r="AG6433">
        <v>-1.1124032000969999</v>
      </c>
      <c r="AH6433">
        <v>18.305211885215002</v>
      </c>
      <c r="AI6433">
        <v>93.363901664728203</v>
      </c>
      <c r="AJ6433">
        <v>104.707095403224</v>
      </c>
      <c r="AK6433">
        <v>18.957938105490602</v>
      </c>
      <c r="AL6433">
        <v>90.472444587768507</v>
      </c>
      <c r="AM6433">
        <v>90.500724805229794</v>
      </c>
      <c r="AN6433">
        <v>0.99999998181274996</v>
      </c>
    </row>
    <row r="6434" spans="1:40" x14ac:dyDescent="0.25">
      <c r="A6434" t="str">
        <f>"20190312154425345"</f>
        <v>20190312154425345</v>
      </c>
      <c r="B6434" t="str">
        <f>"1552376665333709"</f>
        <v>1552376665333709</v>
      </c>
      <c r="C6434" t="s">
        <v>40</v>
      </c>
      <c r="D6434">
        <v>4.8925260000000002</v>
      </c>
      <c r="E6434">
        <v>0.40602050000000001</v>
      </c>
      <c r="F6434" t="s">
        <v>43</v>
      </c>
      <c r="G6434">
        <v>-276.35610000000003</v>
      </c>
      <c r="H6434" s="1">
        <v>-2.2456990000000001E-6</v>
      </c>
      <c r="I6434">
        <v>-58.734229999999997</v>
      </c>
      <c r="J6434">
        <v>-293.30849999999998</v>
      </c>
      <c r="K6434">
        <v>1.1123879999999999</v>
      </c>
      <c r="L6434">
        <v>-50.56729</v>
      </c>
      <c r="M6434">
        <v>0.76280249999999905</v>
      </c>
      <c r="N6434">
        <v>0</v>
      </c>
      <c r="O6434">
        <v>-0.64658590000000005</v>
      </c>
      <c r="P6434">
        <v>0.76817950000000002</v>
      </c>
      <c r="Q6434">
        <v>-1.455269E-2</v>
      </c>
      <c r="R6434">
        <v>-0.64006949999999996</v>
      </c>
      <c r="S6434">
        <v>2.7849430000000002</v>
      </c>
      <c r="T6434">
        <v>-0.18205689999999999</v>
      </c>
      <c r="U6434">
        <v>-1.3446039999999999</v>
      </c>
      <c r="V6434">
        <v>-8.4033049999999998E-3</v>
      </c>
      <c r="W6434">
        <v>-6.9110980000000001E-3</v>
      </c>
      <c r="X6434">
        <v>0.99994079999999996</v>
      </c>
      <c r="Y6434">
        <v>-0.24932209999999999</v>
      </c>
      <c r="Z6434">
        <v>4.3703230000000003E-2</v>
      </c>
      <c r="AA6434">
        <v>0.96743400000000002</v>
      </c>
      <c r="AB6434">
        <v>14</v>
      </c>
      <c r="AC6434">
        <v>16.952399999999901</v>
      </c>
      <c r="AD6434">
        <v>-1.112390245699</v>
      </c>
      <c r="AE6434">
        <v>-8.1669400000000003</v>
      </c>
      <c r="AF6434">
        <v>-4.7150824070265198</v>
      </c>
      <c r="AG6434">
        <v>-1.112390245699</v>
      </c>
      <c r="AH6434">
        <v>18.149073294677901</v>
      </c>
      <c r="AI6434">
        <v>93.394953342856596</v>
      </c>
      <c r="AJ6434">
        <v>104.563343601439</v>
      </c>
      <c r="AK6434">
        <v>18.784522235589801</v>
      </c>
      <c r="AL6434">
        <v>90.395979902961599</v>
      </c>
      <c r="AM6434">
        <v>90.481491080692194</v>
      </c>
      <c r="AN6434">
        <v>0.99999999115756399</v>
      </c>
    </row>
    <row r="6435" spans="1:40" x14ac:dyDescent="0.25">
      <c r="A6435" t="str">
        <f>"20190312154425365"</f>
        <v>20190312154425365</v>
      </c>
      <c r="B6435" t="str">
        <f>"1552376665354205"</f>
        <v>1552376665354205</v>
      </c>
      <c r="C6435" t="s">
        <v>40</v>
      </c>
      <c r="D6435">
        <v>4.9172890000000002</v>
      </c>
      <c r="E6435">
        <v>0.40669569999999999</v>
      </c>
      <c r="F6435" t="s">
        <v>43</v>
      </c>
      <c r="G6435">
        <v>-276.25839999999999</v>
      </c>
      <c r="H6435" s="1">
        <v>-2.1977979999999999E-6</v>
      </c>
      <c r="I6435">
        <v>-58.76126</v>
      </c>
      <c r="J6435">
        <v>-293.20420000000001</v>
      </c>
      <c r="K6435">
        <v>1.1123700000000001</v>
      </c>
      <c r="L6435">
        <v>-50.645969999999998</v>
      </c>
      <c r="M6435">
        <v>0.767069</v>
      </c>
      <c r="N6435">
        <v>0</v>
      </c>
      <c r="O6435">
        <v>-0.64152559999999903</v>
      </c>
      <c r="P6435">
        <v>0.77208909999999997</v>
      </c>
      <c r="Q6435">
        <v>-1.1507959999999999E-2</v>
      </c>
      <c r="R6435">
        <v>-0.63541040000000004</v>
      </c>
      <c r="S6435">
        <v>2.7861940000000001</v>
      </c>
      <c r="T6435">
        <v>-0.18177750000000001</v>
      </c>
      <c r="U6435">
        <v>-1.338989</v>
      </c>
      <c r="V6435">
        <v>-7.8822609999999998E-3</v>
      </c>
      <c r="W6435">
        <v>-4.4573829999999997E-3</v>
      </c>
      <c r="X6435">
        <v>0.99995900000000004</v>
      </c>
      <c r="Y6435">
        <v>-0.2446789</v>
      </c>
      <c r="Z6435">
        <v>4.3279570000000003E-2</v>
      </c>
      <c r="AA6435">
        <v>0.96863779999999999</v>
      </c>
      <c r="AB6435">
        <v>14</v>
      </c>
      <c r="AC6435">
        <v>16.945799999999998</v>
      </c>
      <c r="AD6435">
        <v>-1.1123721977979999</v>
      </c>
      <c r="AE6435">
        <v>-8.1152899999999999</v>
      </c>
      <c r="AF6435">
        <v>-4.6300644637722401</v>
      </c>
      <c r="AG6435">
        <v>-1.1123721977979999</v>
      </c>
      <c r="AH6435">
        <v>18.1416311161036</v>
      </c>
      <c r="AI6435">
        <v>93.400037307491999</v>
      </c>
      <c r="AJ6435">
        <v>104.31726029137</v>
      </c>
      <c r="AK6435">
        <v>18.7561629444271</v>
      </c>
      <c r="AL6435">
        <v>90.255390079273198</v>
      </c>
      <c r="AM6435">
        <v>90.451629451647804</v>
      </c>
      <c r="AN6435">
        <v>0.99999999999134004</v>
      </c>
    </row>
    <row r="6436" spans="1:40" x14ac:dyDescent="0.25">
      <c r="A6436" t="str">
        <f>"20190312154425388"</f>
        <v>20190312154425388</v>
      </c>
      <c r="B6436" t="str">
        <f>"1552376665384073"</f>
        <v>1552376665384073</v>
      </c>
      <c r="C6436" t="s">
        <v>40</v>
      </c>
      <c r="D6436">
        <v>4.9431969999999996</v>
      </c>
      <c r="E6436">
        <v>0.40866069999999999</v>
      </c>
      <c r="F6436" t="s">
        <v>43</v>
      </c>
      <c r="G6436">
        <v>-275.04730000000001</v>
      </c>
      <c r="H6436" s="1">
        <v>-1.5645739999999999E-6</v>
      </c>
      <c r="I6436">
        <v>-59.275410000000001</v>
      </c>
      <c r="J6436">
        <v>-293.08710000000002</v>
      </c>
      <c r="K6436">
        <v>1.112352</v>
      </c>
      <c r="L6436">
        <v>-50.733220000000003</v>
      </c>
      <c r="M6436">
        <v>0.77177390000000001</v>
      </c>
      <c r="N6436">
        <v>0</v>
      </c>
      <c r="O6436">
        <v>-0.6358644</v>
      </c>
      <c r="P6436">
        <v>0.77639009999999997</v>
      </c>
      <c r="Q6436">
        <v>-8.9316889999999996E-3</v>
      </c>
      <c r="R6436">
        <v>-0.63018949999999996</v>
      </c>
      <c r="S6436">
        <v>2.7912599999999999</v>
      </c>
      <c r="T6436">
        <v>-0.1710043</v>
      </c>
      <c r="U6436">
        <v>-1.3265990000000001</v>
      </c>
      <c r="V6436">
        <v>-7.2982069999999897E-3</v>
      </c>
      <c r="W6436">
        <v>-2.54317E-3</v>
      </c>
      <c r="X6436">
        <v>0.99997009999999997</v>
      </c>
      <c r="Y6436">
        <v>-0.24188709999999999</v>
      </c>
      <c r="Z6436">
        <v>4.038709E-2</v>
      </c>
      <c r="AA6436">
        <v>0.96946350000000003</v>
      </c>
      <c r="AB6436">
        <v>15</v>
      </c>
      <c r="AC6436">
        <v>18.0398</v>
      </c>
      <c r="AD6436">
        <v>-1.1123535645739999</v>
      </c>
      <c r="AE6436">
        <v>-8.5421899999999908</v>
      </c>
      <c r="AF6436">
        <v>-4.8632247408142897</v>
      </c>
      <c r="AG6436">
        <v>-1.1123535645739999</v>
      </c>
      <c r="AH6436">
        <v>19.294798758027799</v>
      </c>
      <c r="AI6436">
        <v>93.199623601183404</v>
      </c>
      <c r="AJ6436">
        <v>104.14665541472</v>
      </c>
      <c r="AK6436">
        <v>19.929313697292201</v>
      </c>
      <c r="AL6436">
        <v>90.145713069579003</v>
      </c>
      <c r="AM6436">
        <v>90.418161537731905</v>
      </c>
      <c r="AN6436">
        <v>0.99999996621653597</v>
      </c>
    </row>
    <row r="6437" spans="1:40" x14ac:dyDescent="0.25">
      <c r="A6437" t="str">
        <f>"20190312154425411"</f>
        <v>20190312154425411</v>
      </c>
      <c r="B6437" t="str">
        <f>"1552376665404568"</f>
        <v>1552376665404568</v>
      </c>
      <c r="C6437" t="s">
        <v>40</v>
      </c>
      <c r="D6437">
        <v>4.9626890000000001</v>
      </c>
      <c r="E6437">
        <v>0.4092556</v>
      </c>
      <c r="F6437" t="s">
        <v>43</v>
      </c>
      <c r="G6437">
        <v>-274.92439999999999</v>
      </c>
      <c r="H6437" s="1">
        <v>-1.5012389999999999E-6</v>
      </c>
      <c r="I6437">
        <v>-59.323399999999999</v>
      </c>
      <c r="J6437">
        <v>-292.96820000000002</v>
      </c>
      <c r="K6437">
        <v>1.112331</v>
      </c>
      <c r="L6437">
        <v>-50.820369999999997</v>
      </c>
      <c r="M6437">
        <v>0.77644369999999996</v>
      </c>
      <c r="N6437">
        <v>0</v>
      </c>
      <c r="O6437">
        <v>-0.63016019999999995</v>
      </c>
      <c r="P6437">
        <v>0.78062469999999995</v>
      </c>
      <c r="Q6437">
        <v>-6.2650240000000001E-3</v>
      </c>
      <c r="R6437">
        <v>-0.62496870000000004</v>
      </c>
      <c r="S6437">
        <v>2.7907099999999998</v>
      </c>
      <c r="T6437">
        <v>-0.1709135</v>
      </c>
      <c r="U6437">
        <v>-1.319885</v>
      </c>
      <c r="V6437">
        <v>-6.6621440000000001E-3</v>
      </c>
      <c r="W6437">
        <v>-5.3834779999999995E-4</v>
      </c>
      <c r="X6437">
        <v>0.99997760000000002</v>
      </c>
      <c r="Y6437">
        <v>-0.23657349999999999</v>
      </c>
      <c r="Z6437">
        <v>4.0006649999999998E-2</v>
      </c>
      <c r="AA6437">
        <v>0.97078960000000003</v>
      </c>
      <c r="AB6437">
        <v>15</v>
      </c>
      <c r="AC6437">
        <v>18.043800000000001</v>
      </c>
      <c r="AD6437">
        <v>-1.112332501239</v>
      </c>
      <c r="AE6437">
        <v>-8.5030299999999901</v>
      </c>
      <c r="AF6437">
        <v>-4.7536575506991303</v>
      </c>
      <c r="AG6437">
        <v>-1.112332501239</v>
      </c>
      <c r="AH6437">
        <v>19.308544879171802</v>
      </c>
      <c r="AI6437">
        <v>93.201674194126795</v>
      </c>
      <c r="AJ6437">
        <v>103.830847168209</v>
      </c>
      <c r="AK6437">
        <v>19.916185605020399</v>
      </c>
      <c r="AL6437">
        <v>90.030845060275794</v>
      </c>
      <c r="AM6437">
        <v>90.381715636702694</v>
      </c>
      <c r="AN6437">
        <v>0.99999993724139302</v>
      </c>
    </row>
    <row r="6438" spans="1:40" x14ac:dyDescent="0.25">
      <c r="A6438" t="str">
        <f>"20190312154425432"</f>
        <v>20190312154425432</v>
      </c>
      <c r="B6438" t="str">
        <f>"1552376665424088"</f>
        <v>1552376665424088</v>
      </c>
      <c r="C6438" t="s">
        <v>40</v>
      </c>
      <c r="D6438">
        <v>4.9659769999999996</v>
      </c>
      <c r="E6438">
        <v>0.41527799999999998</v>
      </c>
      <c r="F6438" t="s">
        <v>43</v>
      </c>
      <c r="G6438">
        <v>-274.15269999999998</v>
      </c>
      <c r="H6438" s="1">
        <v>-1.108881E-6</v>
      </c>
      <c r="I6438">
        <v>-59.6008</v>
      </c>
      <c r="J6438">
        <v>-292.84930000000003</v>
      </c>
      <c r="K6438">
        <v>1.1123190000000001</v>
      </c>
      <c r="L6438">
        <v>-50.906460000000003</v>
      </c>
      <c r="M6438">
        <v>0.78102389999999999</v>
      </c>
      <c r="N6438">
        <v>0</v>
      </c>
      <c r="O6438">
        <v>-0.62448049999999999</v>
      </c>
      <c r="P6438">
        <v>0.78496119999999903</v>
      </c>
      <c r="Q6438">
        <v>-3.5332319999999999E-3</v>
      </c>
      <c r="R6438">
        <v>-0.61953549999999902</v>
      </c>
      <c r="S6438">
        <v>2.7968440000000001</v>
      </c>
      <c r="T6438">
        <v>-0.16534380000000001</v>
      </c>
      <c r="U6438">
        <v>-1.3051759999999999</v>
      </c>
      <c r="V6438">
        <v>-6.3316969999999998E-3</v>
      </c>
      <c r="W6438">
        <v>1.549545E-3</v>
      </c>
      <c r="X6438">
        <v>0.99997879999999995</v>
      </c>
      <c r="Y6438">
        <v>-0.23457259999999999</v>
      </c>
      <c r="Z6438">
        <v>3.8396E-2</v>
      </c>
      <c r="AA6438">
        <v>0.97134010000000004</v>
      </c>
      <c r="AB6438">
        <v>15</v>
      </c>
      <c r="AC6438">
        <v>18.6966</v>
      </c>
      <c r="AD6438">
        <v>-1.112320108881</v>
      </c>
      <c r="AE6438">
        <v>-8.6943400000000004</v>
      </c>
      <c r="AF6438">
        <v>-4.8710622938356796</v>
      </c>
      <c r="AG6438">
        <v>-1.112320108881</v>
      </c>
      <c r="AH6438">
        <v>19.974068179904901</v>
      </c>
      <c r="AI6438">
        <v>93.096833794758993</v>
      </c>
      <c r="AJ6438">
        <v>103.70516960166</v>
      </c>
      <c r="AK6438">
        <v>20.589509550995601</v>
      </c>
      <c r="AL6438">
        <v>89.911217579885999</v>
      </c>
      <c r="AM6438">
        <v>90.362782358162306</v>
      </c>
      <c r="AN6438">
        <v>1.0000000459630201</v>
      </c>
    </row>
    <row r="6439" spans="1:40" x14ac:dyDescent="0.25">
      <c r="A6439" t="str">
        <f>"20190312154425444"</f>
        <v>20190312154425444</v>
      </c>
      <c r="B6439" t="str">
        <f>"1552376665433849"</f>
        <v>1552376665433849</v>
      </c>
      <c r="C6439" t="s">
        <v>40</v>
      </c>
      <c r="D6439">
        <v>4.9681050000000004</v>
      </c>
      <c r="E6439">
        <v>0.41582239999999998</v>
      </c>
      <c r="F6439" t="s">
        <v>43</v>
      </c>
      <c r="G6439">
        <v>-276.98450000000003</v>
      </c>
      <c r="H6439" s="1">
        <v>-2.5753199999999998E-6</v>
      </c>
      <c r="I6439">
        <v>-58.46264</v>
      </c>
      <c r="J6439">
        <v>-292.78059999999999</v>
      </c>
      <c r="K6439">
        <v>1.112311</v>
      </c>
      <c r="L6439">
        <v>-50.955660000000002</v>
      </c>
      <c r="M6439">
        <v>0.78362379999999998</v>
      </c>
      <c r="N6439">
        <v>0</v>
      </c>
      <c r="O6439">
        <v>-0.62121749999999998</v>
      </c>
      <c r="P6439">
        <v>0.7874949</v>
      </c>
      <c r="Q6439">
        <v>-2.8090369999999999E-3</v>
      </c>
      <c r="R6439">
        <v>-0.61631480000000005</v>
      </c>
      <c r="S6439">
        <v>2.7770389999999998</v>
      </c>
      <c r="T6439">
        <v>-0.19470509999999999</v>
      </c>
      <c r="U6439">
        <v>-1.322662</v>
      </c>
      <c r="V6439">
        <v>-6.2606449999999996E-3</v>
      </c>
      <c r="W6439">
        <v>1.9124179999999999E-3</v>
      </c>
      <c r="X6439">
        <v>0.99997860000000005</v>
      </c>
      <c r="Y6439">
        <v>-0.22246179999999999</v>
      </c>
      <c r="Z6439">
        <v>4.4852089999999997E-2</v>
      </c>
      <c r="AA6439">
        <v>0.97390909999999997</v>
      </c>
      <c r="AB6439">
        <v>15</v>
      </c>
      <c r="AC6439">
        <v>15.7960999999999</v>
      </c>
      <c r="AD6439">
        <v>-1.11231357532</v>
      </c>
      <c r="AE6439">
        <v>-7.5069800000000004</v>
      </c>
      <c r="AF6439">
        <v>-3.91437634686352</v>
      </c>
      <c r="AG6439">
        <v>-1.11231357532</v>
      </c>
      <c r="AH6439">
        <v>16.973203351687001</v>
      </c>
      <c r="AI6439">
        <v>93.653795495526197</v>
      </c>
      <c r="AJ6439">
        <v>102.986550443181</v>
      </c>
      <c r="AK6439">
        <v>17.454203381777301</v>
      </c>
      <c r="AL6439">
        <v>89.890426456073499</v>
      </c>
      <c r="AM6439">
        <v>90.358711525258101</v>
      </c>
      <c r="AN6439">
        <v>1.0000000267381901</v>
      </c>
    </row>
    <row r="6440" spans="1:40" x14ac:dyDescent="0.25">
      <c r="A6440" t="str">
        <f>"20190312154425465"</f>
        <v>20190312154425465</v>
      </c>
      <c r="B6440" t="str">
        <f>"1552376665454345"</f>
        <v>1552376665454345</v>
      </c>
      <c r="C6440" t="s">
        <v>40</v>
      </c>
      <c r="D6440">
        <v>4.9584000000000001</v>
      </c>
      <c r="E6440">
        <v>0.41352889999999998</v>
      </c>
      <c r="F6440" t="s">
        <v>43</v>
      </c>
      <c r="G6440">
        <v>-274.94389999999999</v>
      </c>
      <c r="H6440" s="1">
        <v>-1.4934740000000001E-6</v>
      </c>
      <c r="I6440">
        <v>-59.396520000000002</v>
      </c>
      <c r="J6440">
        <v>-292.66449999999998</v>
      </c>
      <c r="K6440">
        <v>1.1122989999999999</v>
      </c>
      <c r="L6440">
        <v>-51.0379</v>
      </c>
      <c r="M6440">
        <v>0.78792980000000001</v>
      </c>
      <c r="N6440">
        <v>0</v>
      </c>
      <c r="O6440">
        <v>-0.61575080000000004</v>
      </c>
      <c r="P6440">
        <v>0.79136790000000001</v>
      </c>
      <c r="Q6440">
        <v>-1.7806979999999901E-3</v>
      </c>
      <c r="R6440">
        <v>-0.61133749999999998</v>
      </c>
      <c r="S6440">
        <v>2.77948</v>
      </c>
      <c r="T6440">
        <v>-0.1733315</v>
      </c>
      <c r="U6440">
        <v>-1.3153379999999999</v>
      </c>
      <c r="V6440">
        <v>-5.6116769999999998E-3</v>
      </c>
      <c r="W6440">
        <v>2.357306E-3</v>
      </c>
      <c r="X6440">
        <v>0.99998149999999997</v>
      </c>
      <c r="Y6440">
        <v>-0.21841150000000001</v>
      </c>
      <c r="Z6440">
        <v>3.9577670000000002E-2</v>
      </c>
      <c r="AA6440">
        <v>0.97505379999999997</v>
      </c>
      <c r="AB6440">
        <v>15</v>
      </c>
      <c r="AC6440">
        <v>17.720599999999902</v>
      </c>
      <c r="AD6440">
        <v>-1.112300493474</v>
      </c>
      <c r="AE6440">
        <v>-8.3586199999999895</v>
      </c>
      <c r="AF6440">
        <v>-4.3116101421882496</v>
      </c>
      <c r="AG6440">
        <v>-1.112300493474</v>
      </c>
      <c r="AH6440">
        <v>19.048194055341401</v>
      </c>
      <c r="AI6440">
        <v>93.259657923069099</v>
      </c>
      <c r="AJ6440">
        <v>102.75413147537201</v>
      </c>
      <c r="AK6440">
        <v>19.561720046456699</v>
      </c>
      <c r="AL6440">
        <v>89.864936193341606</v>
      </c>
      <c r="AM6440">
        <v>90.321527981253595</v>
      </c>
      <c r="AN6440">
        <v>1.0000000240762801</v>
      </c>
    </row>
    <row r="6441" spans="1:40" x14ac:dyDescent="0.25">
      <c r="A6441" t="str">
        <f>"20190312154425480"</f>
        <v>20190312154425480</v>
      </c>
      <c r="B6441" t="str">
        <f>"1552376665473865"</f>
        <v>1552376665473865</v>
      </c>
      <c r="C6441" t="s">
        <v>40</v>
      </c>
      <c r="D6441">
        <v>4.9446680000000001</v>
      </c>
      <c r="E6441">
        <v>0.40592470000000003</v>
      </c>
      <c r="F6441" t="s">
        <v>43</v>
      </c>
      <c r="G6441">
        <v>-273.96940000000001</v>
      </c>
      <c r="H6441" s="1">
        <v>-1.028057E-6</v>
      </c>
      <c r="I6441">
        <v>-59.610660000000003</v>
      </c>
      <c r="J6441">
        <v>-292.58109999999999</v>
      </c>
      <c r="K6441">
        <v>1.1122890000000001</v>
      </c>
      <c r="L6441">
        <v>-51.09619</v>
      </c>
      <c r="M6441">
        <v>0.79093849999999999</v>
      </c>
      <c r="N6441">
        <v>0</v>
      </c>
      <c r="O6441">
        <v>-0.61188419999999999</v>
      </c>
      <c r="P6441">
        <v>0.79438319999999996</v>
      </c>
      <c r="Q6441">
        <v>-1.1792809999999999E-3</v>
      </c>
      <c r="R6441">
        <v>-0.60741599999999996</v>
      </c>
      <c r="S6441">
        <v>2.7990110000000001</v>
      </c>
      <c r="T6441">
        <v>-0.16653299999999999</v>
      </c>
      <c r="U6441">
        <v>-1.2835080000000001</v>
      </c>
      <c r="V6441">
        <v>-5.6607879999999999E-3</v>
      </c>
      <c r="W6441">
        <v>2.5528090000000001E-3</v>
      </c>
      <c r="X6441">
        <v>0.99998069999999895</v>
      </c>
      <c r="Y6441">
        <v>-0.22546910000000001</v>
      </c>
      <c r="Z6441">
        <v>3.7941629999999997E-2</v>
      </c>
      <c r="AA6441">
        <v>0.97351120000000002</v>
      </c>
      <c r="AB6441">
        <v>16</v>
      </c>
      <c r="AC6441">
        <v>18.6116999999999</v>
      </c>
      <c r="AD6441">
        <v>-1.1122900280569901</v>
      </c>
      <c r="AE6441">
        <v>-8.5144699999999904</v>
      </c>
      <c r="AF6441">
        <v>-4.6401111578430596</v>
      </c>
      <c r="AG6441">
        <v>-1.1122900280569901</v>
      </c>
      <c r="AH6441">
        <v>19.872027715908398</v>
      </c>
      <c r="AI6441">
        <v>93.1199031774606</v>
      </c>
      <c r="AJ6441">
        <v>103.143058210042</v>
      </c>
      <c r="AK6441">
        <v>20.436861456825699</v>
      </c>
      <c r="AL6441">
        <v>89.853734656733195</v>
      </c>
      <c r="AM6441">
        <v>90.324342056420804</v>
      </c>
      <c r="AN6441">
        <v>0.99999998086353004</v>
      </c>
    </row>
    <row r="6442" spans="1:40" x14ac:dyDescent="0.25">
      <c r="A6442" t="str">
        <f>"20190312154425499"</f>
        <v>20190312154425499</v>
      </c>
      <c r="B6442" t="str">
        <f>"1552376665494364"</f>
        <v>1552376665494364</v>
      </c>
      <c r="C6442" t="s">
        <v>40</v>
      </c>
      <c r="D6442">
        <v>4.9600799999999996</v>
      </c>
      <c r="E6442">
        <v>0.40260499999999999</v>
      </c>
      <c r="F6442" t="s">
        <v>43</v>
      </c>
      <c r="G6442">
        <v>-273.72239999999999</v>
      </c>
      <c r="H6442" s="1">
        <v>-1.0128559999999999E-6</v>
      </c>
      <c r="I6442">
        <v>-59.200119999999998</v>
      </c>
      <c r="J6442">
        <v>-292.46969999999999</v>
      </c>
      <c r="K6442">
        <v>1.112263</v>
      </c>
      <c r="L6442">
        <v>-51.173400000000001</v>
      </c>
      <c r="M6442">
        <v>0.79486499999999904</v>
      </c>
      <c r="N6442">
        <v>0</v>
      </c>
      <c r="O6442">
        <v>-0.60677780000000003</v>
      </c>
      <c r="P6442">
        <v>0.79855790000000004</v>
      </c>
      <c r="Q6442">
        <v>1.9957589999999999E-4</v>
      </c>
      <c r="R6442">
        <v>-0.60191850000000002</v>
      </c>
      <c r="S6442">
        <v>2.842346</v>
      </c>
      <c r="T6442">
        <v>-0.1676416</v>
      </c>
      <c r="U6442">
        <v>-1.2214050000000001</v>
      </c>
      <c r="V6442">
        <v>-6.1290169999999996E-3</v>
      </c>
      <c r="W6442">
        <v>3.402052E-3</v>
      </c>
      <c r="X6442">
        <v>0.99997539999999996</v>
      </c>
      <c r="Y6442">
        <v>-0.2425928</v>
      </c>
      <c r="Z6442">
        <v>3.8148750000000002E-2</v>
      </c>
      <c r="AA6442">
        <v>0.96937790000000001</v>
      </c>
      <c r="AB6442">
        <v>16</v>
      </c>
      <c r="AC6442">
        <v>18.747299999999999</v>
      </c>
      <c r="AD6442">
        <v>-1.112264012856</v>
      </c>
      <c r="AE6442">
        <v>-8.0267199999999903</v>
      </c>
      <c r="AF6442">
        <v>-4.9804971635321502</v>
      </c>
      <c r="AG6442">
        <v>-1.112264012856</v>
      </c>
      <c r="AH6442">
        <v>19.713469337114599</v>
      </c>
      <c r="AI6442">
        <v>93.131113967510501</v>
      </c>
      <c r="AJ6442">
        <v>104.17875365237001</v>
      </c>
      <c r="AK6442">
        <v>20.363284522286701</v>
      </c>
      <c r="AL6442">
        <v>89.8050763968034</v>
      </c>
      <c r="AM6442">
        <v>90.351171048178401</v>
      </c>
      <c r="AN6442">
        <v>0.99999996970617799</v>
      </c>
    </row>
    <row r="6443" spans="1:40" x14ac:dyDescent="0.25">
      <c r="A6443" t="str">
        <f>"20190312154425521"</f>
        <v>20190312154425521</v>
      </c>
      <c r="B6443" t="str">
        <f>"1552376665513880"</f>
        <v>1552376665513880</v>
      </c>
      <c r="C6443" t="s">
        <v>40</v>
      </c>
      <c r="D6443">
        <v>5.0503739999999997</v>
      </c>
      <c r="E6443">
        <v>0.40060079999999998</v>
      </c>
      <c r="F6443" t="s">
        <v>43</v>
      </c>
      <c r="G6443">
        <v>-272.76510000000002</v>
      </c>
      <c r="H6443" s="1">
        <v>-5.8227569999999996E-7</v>
      </c>
      <c r="I6443">
        <v>-59.290109999999999</v>
      </c>
      <c r="J6443">
        <v>-292.33800000000002</v>
      </c>
      <c r="K6443">
        <v>1.112217</v>
      </c>
      <c r="L6443">
        <v>-51.263489999999997</v>
      </c>
      <c r="M6443">
        <v>0.79934939999999999</v>
      </c>
      <c r="N6443">
        <v>0</v>
      </c>
      <c r="O6443">
        <v>-0.60086079999999997</v>
      </c>
      <c r="P6443">
        <v>0.80363949999999995</v>
      </c>
      <c r="Q6443">
        <v>2.4806120000000001E-3</v>
      </c>
      <c r="R6443">
        <v>-0.59511159999999996</v>
      </c>
      <c r="S6443">
        <v>2.8666990000000001</v>
      </c>
      <c r="T6443">
        <v>-0.16181599999999999</v>
      </c>
      <c r="U6443">
        <v>-1.180847</v>
      </c>
      <c r="V6443">
        <v>-7.2123090000000001E-3</v>
      </c>
      <c r="W6443">
        <v>5.0814579999999996E-3</v>
      </c>
      <c r="X6443">
        <v>0.99996110000000005</v>
      </c>
      <c r="Y6443">
        <v>-0.25011929999999999</v>
      </c>
      <c r="Z6443">
        <v>3.6630620000000003E-2</v>
      </c>
      <c r="AA6443">
        <v>0.96752179999999999</v>
      </c>
      <c r="AB6443">
        <v>16</v>
      </c>
      <c r="AC6443">
        <v>19.572899999999901</v>
      </c>
      <c r="AD6443">
        <v>-1.1122175822756999</v>
      </c>
      <c r="AE6443">
        <v>-8.0266199999999905</v>
      </c>
      <c r="AF6443">
        <v>-5.3298003515212597</v>
      </c>
      <c r="AG6443">
        <v>-1.1122175822756999</v>
      </c>
      <c r="AH6443">
        <v>20.412114924140401</v>
      </c>
      <c r="AI6443">
        <v>93.017870738324504</v>
      </c>
      <c r="AJ6443">
        <v>104.63375304063101</v>
      </c>
      <c r="AK6443">
        <v>21.125771830011701</v>
      </c>
      <c r="AL6443">
        <v>89.708852655696603</v>
      </c>
      <c r="AM6443">
        <v>90.413243775958605</v>
      </c>
      <c r="AN6443">
        <v>1.00000002006486</v>
      </c>
    </row>
    <row r="6444" spans="1:40" x14ac:dyDescent="0.25">
      <c r="A6444" t="str">
        <f>"20190312154425534"</f>
        <v>20190312154425534</v>
      </c>
      <c r="B6444" t="str">
        <f>"1552376665523641"</f>
        <v>1552376665523641</v>
      </c>
      <c r="C6444" t="s">
        <v>40</v>
      </c>
      <c r="D6444">
        <v>4.9102980000000001</v>
      </c>
      <c r="E6444">
        <v>0.40023740000000002</v>
      </c>
      <c r="F6444" t="s">
        <v>43</v>
      </c>
      <c r="G6444">
        <v>-273.18610000000001</v>
      </c>
      <c r="H6444" s="1">
        <v>-8.6021380000000002E-7</v>
      </c>
      <c r="I6444">
        <v>-58.849919999999997</v>
      </c>
      <c r="J6444">
        <v>-292.26150000000001</v>
      </c>
      <c r="K6444">
        <v>1.112185</v>
      </c>
      <c r="L6444">
        <v>-51.315309999999997</v>
      </c>
      <c r="M6444">
        <v>0.80187399999999998</v>
      </c>
      <c r="N6444">
        <v>0</v>
      </c>
      <c r="O6444">
        <v>-0.59748869999999998</v>
      </c>
      <c r="P6444">
        <v>0.80620570000000003</v>
      </c>
      <c r="Q6444">
        <v>3.6342689999999999E-3</v>
      </c>
      <c r="R6444">
        <v>-0.591624699999999</v>
      </c>
      <c r="S6444">
        <v>2.886749</v>
      </c>
      <c r="T6444">
        <v>-0.1676433</v>
      </c>
      <c r="U6444">
        <v>-1.143494</v>
      </c>
      <c r="V6444">
        <v>-7.335294E-3</v>
      </c>
      <c r="W6444">
        <v>5.9049430000000002E-3</v>
      </c>
      <c r="X6444">
        <v>0.9999557</v>
      </c>
      <c r="Y6444">
        <v>-0.2590961</v>
      </c>
      <c r="Z6444">
        <v>3.7931039999999999E-2</v>
      </c>
      <c r="AA6444">
        <v>0.96510640000000003</v>
      </c>
      <c r="AB6444">
        <v>16</v>
      </c>
      <c r="AC6444">
        <v>19.075399999999998</v>
      </c>
      <c r="AD6444">
        <v>-1.1121858602137999</v>
      </c>
      <c r="AE6444">
        <v>-7.5346099999999998</v>
      </c>
      <c r="AF6444">
        <v>-5.3398398081536502</v>
      </c>
      <c r="AG6444">
        <v>-1.1121858602137999</v>
      </c>
      <c r="AH6444">
        <v>19.7399163827011</v>
      </c>
      <c r="AI6444">
        <v>93.113089823874503</v>
      </c>
      <c r="AJ6444">
        <v>105.136793564214</v>
      </c>
      <c r="AK6444">
        <v>20.479627568889899</v>
      </c>
      <c r="AL6444">
        <v>89.661669734646296</v>
      </c>
      <c r="AM6444">
        <v>90.420292468257301</v>
      </c>
      <c r="AN6444">
        <v>1.00000003842619</v>
      </c>
    </row>
    <row r="6445" spans="1:40" x14ac:dyDescent="0.25">
      <c r="A6445" t="str">
        <f>"20190312154425554"</f>
        <v>20190312154425554</v>
      </c>
      <c r="B6445" t="str">
        <f>"1552376665544137"</f>
        <v>1552376665544137</v>
      </c>
      <c r="C6445" t="s">
        <v>40</v>
      </c>
      <c r="D6445">
        <v>4.9801849999999996</v>
      </c>
      <c r="E6445">
        <v>0.39993770000000001</v>
      </c>
      <c r="F6445" t="s">
        <v>43</v>
      </c>
      <c r="G6445">
        <v>-273.11149999999998</v>
      </c>
      <c r="H6445" s="1">
        <v>-8.424179E-7</v>
      </c>
      <c r="I6445">
        <v>-58.7857699999999</v>
      </c>
      <c r="J6445">
        <v>-292.13400000000001</v>
      </c>
      <c r="K6445">
        <v>1.112125</v>
      </c>
      <c r="L6445">
        <v>-51.400820000000003</v>
      </c>
      <c r="M6445">
        <v>0.80594929999999998</v>
      </c>
      <c r="N6445">
        <v>0</v>
      </c>
      <c r="O6445">
        <v>-0.59198189999999995</v>
      </c>
      <c r="P6445">
        <v>0.81085969999999996</v>
      </c>
      <c r="Q6445">
        <v>4.6395000000000004E-3</v>
      </c>
      <c r="R6445">
        <v>-0.58522220000000003</v>
      </c>
      <c r="S6445">
        <v>2.8935550000000001</v>
      </c>
      <c r="T6445">
        <v>-0.1680509</v>
      </c>
      <c r="U6445">
        <v>-1.128784</v>
      </c>
      <c r="V6445">
        <v>-8.4033330000000007E-3</v>
      </c>
      <c r="W6445">
        <v>6.3827229999999999E-3</v>
      </c>
      <c r="X6445">
        <v>0.99994430000000001</v>
      </c>
      <c r="Y6445">
        <v>-0.25751230000000003</v>
      </c>
      <c r="Z6445">
        <v>3.7706580000000003E-2</v>
      </c>
      <c r="AA6445">
        <v>0.96553900000000004</v>
      </c>
      <c r="AB6445">
        <v>16</v>
      </c>
      <c r="AC6445">
        <v>19.022500000000001</v>
      </c>
      <c r="AD6445">
        <v>-1.1121258424178999</v>
      </c>
      <c r="AE6445">
        <v>-7.3849499999999804</v>
      </c>
      <c r="AF6445">
        <v>-5.2933657531162996</v>
      </c>
      <c r="AG6445">
        <v>-1.1121258424178999</v>
      </c>
      <c r="AH6445">
        <v>19.644607448577901</v>
      </c>
      <c r="AI6445">
        <v>93.128822640754706</v>
      </c>
      <c r="AJ6445">
        <v>105.080542931031</v>
      </c>
      <c r="AK6445">
        <v>20.375650828730901</v>
      </c>
      <c r="AL6445">
        <v>89.634294419548795</v>
      </c>
      <c r="AM6445">
        <v>90.481490999716797</v>
      </c>
      <c r="AN6445">
        <v>0.99999997913044603</v>
      </c>
    </row>
    <row r="6446" spans="1:40" x14ac:dyDescent="0.25">
      <c r="A6446" t="str">
        <f>"20190312154425567"</f>
        <v>20190312154425567</v>
      </c>
      <c r="B6446" t="str">
        <f>"1552376665563657"</f>
        <v>1552376665563657</v>
      </c>
      <c r="C6446" t="s">
        <v>40</v>
      </c>
      <c r="D6446">
        <v>4.9420789999999997</v>
      </c>
      <c r="E6446">
        <v>0.40010129999999999</v>
      </c>
      <c r="F6446" t="s">
        <v>43</v>
      </c>
      <c r="G6446">
        <v>-274.15440000000001</v>
      </c>
      <c r="H6446" s="1">
        <v>-1.4123039999999999E-6</v>
      </c>
      <c r="I6446">
        <v>-58.231670000000001</v>
      </c>
      <c r="J6446">
        <v>-292.05549999999999</v>
      </c>
      <c r="K6446">
        <v>1.112085</v>
      </c>
      <c r="L6446">
        <v>-51.453029999999998</v>
      </c>
      <c r="M6446">
        <v>0.80838779999999999</v>
      </c>
      <c r="N6446">
        <v>0</v>
      </c>
      <c r="O6446">
        <v>-0.58864859999999997</v>
      </c>
      <c r="P6446">
        <v>0.813590699999999</v>
      </c>
      <c r="Q6446">
        <v>5.319458E-3</v>
      </c>
      <c r="R6446">
        <v>-0.58141390000000004</v>
      </c>
      <c r="S6446">
        <v>2.9044189999999999</v>
      </c>
      <c r="T6446">
        <v>-0.1796526</v>
      </c>
      <c r="U6446">
        <v>-1.1034550000000001</v>
      </c>
      <c r="V6446">
        <v>-8.9621319999999994E-3</v>
      </c>
      <c r="W6446">
        <v>6.7532180000000001E-3</v>
      </c>
      <c r="X6446">
        <v>0.99993710000000002</v>
      </c>
      <c r="Y6446">
        <v>-0.2619242</v>
      </c>
      <c r="Z6446">
        <v>4.022568E-2</v>
      </c>
      <c r="AA6446">
        <v>0.96424980000000005</v>
      </c>
      <c r="AB6446">
        <v>17</v>
      </c>
      <c r="AC6446">
        <v>17.9010999999999</v>
      </c>
      <c r="AD6446">
        <v>-1.112086412304</v>
      </c>
      <c r="AE6446">
        <v>-6.7786399999999896</v>
      </c>
      <c r="AF6446">
        <v>-5.0406784167897003</v>
      </c>
      <c r="AG6446">
        <v>-1.112086412304</v>
      </c>
      <c r="AH6446">
        <v>18.399181976711802</v>
      </c>
      <c r="AI6446">
        <v>93.336230488335204</v>
      </c>
      <c r="AJ6446">
        <v>105.32094999038</v>
      </c>
      <c r="AK6446">
        <v>19.1095544820406</v>
      </c>
      <c r="AL6446">
        <v>89.613066194446006</v>
      </c>
      <c r="AM6446">
        <v>90.513510889938104</v>
      </c>
      <c r="AN6446">
        <v>1.0000000648598699</v>
      </c>
    </row>
    <row r="6447" spans="1:40" x14ac:dyDescent="0.25">
      <c r="A6447" t="str">
        <f>"20190312154425590"</f>
        <v>20190312154425590</v>
      </c>
      <c r="B6447" t="str">
        <f>"1552376665584153"</f>
        <v>1552376665584153</v>
      </c>
      <c r="C6447" t="s">
        <v>40</v>
      </c>
      <c r="D6447">
        <v>4.9065469999999998</v>
      </c>
      <c r="E6447">
        <v>0.40068340000000002</v>
      </c>
      <c r="F6447" t="s">
        <v>43</v>
      </c>
      <c r="G6447">
        <v>-274.20269999999999</v>
      </c>
      <c r="H6447" s="1">
        <v>-1.4517940000000001E-6</v>
      </c>
      <c r="I6447">
        <v>-58.146839999999997</v>
      </c>
      <c r="J6447">
        <v>-291.91759999999999</v>
      </c>
      <c r="K6447">
        <v>1.1120080000000001</v>
      </c>
      <c r="L6447">
        <v>-51.543610000000001</v>
      </c>
      <c r="M6447">
        <v>0.81248069999999994</v>
      </c>
      <c r="N6447">
        <v>0</v>
      </c>
      <c r="O6447">
        <v>-0.58298739999999905</v>
      </c>
      <c r="P6447">
        <v>0.81818849999999999</v>
      </c>
      <c r="Q6447">
        <v>5.075235E-3</v>
      </c>
      <c r="R6447">
        <v>-0.57492769999999904</v>
      </c>
      <c r="S6447">
        <v>2.909027</v>
      </c>
      <c r="T6447">
        <v>-0.18121000000000001</v>
      </c>
      <c r="U6447">
        <v>-1.0907290000000001</v>
      </c>
      <c r="V6447">
        <v>-9.9210359999999994E-3</v>
      </c>
      <c r="W6447">
        <v>6.0103219999999898E-3</v>
      </c>
      <c r="X6447">
        <v>0.99993270000000001</v>
      </c>
      <c r="Y6447">
        <v>-0.25937270000000001</v>
      </c>
      <c r="Z6447">
        <v>4.0214470000000002E-2</v>
      </c>
      <c r="AA6447">
        <v>0.96493969999999996</v>
      </c>
      <c r="AB6447">
        <v>17</v>
      </c>
      <c r="AC6447">
        <v>17.7149</v>
      </c>
      <c r="AD6447">
        <v>-1.11200945179399</v>
      </c>
      <c r="AE6447">
        <v>-6.6032299999999999</v>
      </c>
      <c r="AF6447">
        <v>-4.9454587786559197</v>
      </c>
      <c r="AG6447">
        <v>-1.11200945179399</v>
      </c>
      <c r="AH6447">
        <v>18.179725282051798</v>
      </c>
      <c r="AI6447">
        <v>93.377830597354802</v>
      </c>
      <c r="AJ6447">
        <v>105.218009653153</v>
      </c>
      <c r="AK6447">
        <v>18.873169815458599</v>
      </c>
      <c r="AL6447">
        <v>89.655631834869894</v>
      </c>
      <c r="AM6447">
        <v>90.568453096955906</v>
      </c>
      <c r="AN6447">
        <v>0.99999997772757299</v>
      </c>
    </row>
    <row r="6448" spans="1:40" x14ac:dyDescent="0.25">
      <c r="A6448" t="str">
        <f>"20190312154425611"</f>
        <v>20190312154425611</v>
      </c>
      <c r="B6448" t="str">
        <f>"1552376665603672"</f>
        <v>1552376665603672</v>
      </c>
      <c r="C6448" t="s">
        <v>40</v>
      </c>
      <c r="D6448">
        <v>4.9587960000000004</v>
      </c>
      <c r="E6448">
        <v>0.40170470000000003</v>
      </c>
      <c r="F6448" t="s">
        <v>43</v>
      </c>
      <c r="G6448">
        <v>-274.73590000000002</v>
      </c>
      <c r="H6448" s="1">
        <v>-1.744439E-6</v>
      </c>
      <c r="I6448">
        <v>-57.857779999999998</v>
      </c>
      <c r="J6448">
        <v>-291.77499999999998</v>
      </c>
      <c r="K6448">
        <v>1.111915</v>
      </c>
      <c r="L6448">
        <v>-51.636229999999998</v>
      </c>
      <c r="M6448">
        <v>0.81649139999999998</v>
      </c>
      <c r="N6448">
        <v>0</v>
      </c>
      <c r="O6448">
        <v>-0.57735740000000002</v>
      </c>
      <c r="P6448">
        <v>0.822936</v>
      </c>
      <c r="Q6448">
        <v>5.2640229999999996E-3</v>
      </c>
      <c r="R6448">
        <v>-0.56810959999999999</v>
      </c>
      <c r="S6448">
        <v>2.9150390000000002</v>
      </c>
      <c r="T6448">
        <v>-0.188663</v>
      </c>
      <c r="U6448">
        <v>-1.071259</v>
      </c>
      <c r="V6448">
        <v>-1.131427E-2</v>
      </c>
      <c r="W6448">
        <v>5.7280389999999999E-3</v>
      </c>
      <c r="X6448">
        <v>0.99991960000000002</v>
      </c>
      <c r="Y6448">
        <v>-0.25892110000000002</v>
      </c>
      <c r="Z6448">
        <v>4.1559020000000002E-2</v>
      </c>
      <c r="AA6448">
        <v>0.96500399999999997</v>
      </c>
      <c r="AB6448">
        <v>17</v>
      </c>
      <c r="AC6448">
        <v>17.039099999999902</v>
      </c>
      <c r="AD6448">
        <v>-1.1119167444389999</v>
      </c>
      <c r="AE6448">
        <v>-6.2215499999999997</v>
      </c>
      <c r="AF6448">
        <v>-4.7399984529603696</v>
      </c>
      <c r="AG6448">
        <v>-1.1119167444389999</v>
      </c>
      <c r="AH6448">
        <v>17.438812387931399</v>
      </c>
      <c r="AI6448">
        <v>93.520895354205194</v>
      </c>
      <c r="AJ6448">
        <v>105.206051836055</v>
      </c>
      <c r="AK6448">
        <v>18.105693073784799</v>
      </c>
      <c r="AL6448">
        <v>89.671805750555194</v>
      </c>
      <c r="AM6448">
        <v>90.648284377176495</v>
      </c>
      <c r="AN6448">
        <v>1.0000000148002799</v>
      </c>
    </row>
    <row r="6449" spans="1:40" x14ac:dyDescent="0.25">
      <c r="A6449" t="str">
        <f>"20190312154425624"</f>
        <v>20190312154425624</v>
      </c>
      <c r="B6449" t="str">
        <f>"1552376665614409"</f>
        <v>1552376665614409</v>
      </c>
      <c r="C6449" t="s">
        <v>40</v>
      </c>
      <c r="D6449">
        <v>4.9253660000000004</v>
      </c>
      <c r="E6449">
        <v>0.40211809999999998</v>
      </c>
      <c r="F6449" t="s">
        <v>43</v>
      </c>
      <c r="G6449">
        <v>-274.69200000000001</v>
      </c>
      <c r="H6449" s="1">
        <v>-1.7373399999999999E-6</v>
      </c>
      <c r="I6449">
        <v>-57.804780000000001</v>
      </c>
      <c r="J6449">
        <v>-291.69080000000002</v>
      </c>
      <c r="K6449">
        <v>1.111864</v>
      </c>
      <c r="L6449">
        <v>-51.690460000000002</v>
      </c>
      <c r="M6449">
        <v>0.81876559999999998</v>
      </c>
      <c r="N6449">
        <v>0</v>
      </c>
      <c r="O6449">
        <v>-0.57412790000000002</v>
      </c>
      <c r="P6449">
        <v>0.82560239999999996</v>
      </c>
      <c r="Q6449">
        <v>5.5035709999999996E-3</v>
      </c>
      <c r="R6449">
        <v>-0.56422589999999995</v>
      </c>
      <c r="S6449">
        <v>2.9190369999999999</v>
      </c>
      <c r="T6449">
        <v>-0.1899981</v>
      </c>
      <c r="U6449">
        <v>-1.054047</v>
      </c>
      <c r="V6449">
        <v>-1.2075229999999999E-2</v>
      </c>
      <c r="W6449">
        <v>5.7099179999999996E-3</v>
      </c>
      <c r="X6449">
        <v>0.99991079999999999</v>
      </c>
      <c r="Y6449">
        <v>-0.2605402</v>
      </c>
      <c r="Z6449">
        <v>4.1744900000000001E-2</v>
      </c>
      <c r="AA6449">
        <v>0.96456010000000003</v>
      </c>
      <c r="AB6449">
        <v>17</v>
      </c>
      <c r="AC6449">
        <v>16.998799999999999</v>
      </c>
      <c r="AD6449">
        <v>-1.11186573734</v>
      </c>
      <c r="AE6449">
        <v>-6.11432000000001</v>
      </c>
      <c r="AF6449">
        <v>-4.7353522771858003</v>
      </c>
      <c r="AG6449">
        <v>-1.11186573734</v>
      </c>
      <c r="AH6449">
        <v>17.362662156375499</v>
      </c>
      <c r="AI6449">
        <v>93.535310126032797</v>
      </c>
      <c r="AJ6449">
        <v>105.255366817263</v>
      </c>
      <c r="AK6449">
        <v>18.0311353986196</v>
      </c>
      <c r="AL6449">
        <v>89.672844023145601</v>
      </c>
      <c r="AM6449">
        <v>90.691887802024098</v>
      </c>
      <c r="AN6449">
        <v>1.0000000111498699</v>
      </c>
    </row>
    <row r="6450" spans="1:40" x14ac:dyDescent="0.25">
      <c r="A6450" t="str">
        <f>"20190312154425637"</f>
        <v>20190312154425637</v>
      </c>
      <c r="B6450" t="str">
        <f>"1552376665624169"</f>
        <v>1552376665624169</v>
      </c>
      <c r="C6450" t="s">
        <v>40</v>
      </c>
      <c r="D6450">
        <v>4.9676519999999904</v>
      </c>
      <c r="E6450">
        <v>0.402785</v>
      </c>
      <c r="F6450" t="s">
        <v>43</v>
      </c>
      <c r="G6450">
        <v>-274.70359999999999</v>
      </c>
      <c r="H6450" s="1">
        <v>-1.7533E-6</v>
      </c>
      <c r="I6450">
        <v>-57.754930000000002</v>
      </c>
      <c r="J6450">
        <v>-291.60539999999997</v>
      </c>
      <c r="K6450">
        <v>1.111812</v>
      </c>
      <c r="L6450">
        <v>-51.74503</v>
      </c>
      <c r="M6450">
        <v>0.82098749999999998</v>
      </c>
      <c r="N6450">
        <v>0</v>
      </c>
      <c r="O6450">
        <v>-0.57094619999999996</v>
      </c>
      <c r="P6450">
        <v>0.82816569999999901</v>
      </c>
      <c r="Q6450">
        <v>5.6932119999999996E-3</v>
      </c>
      <c r="R6450">
        <v>-0.56045469999999997</v>
      </c>
      <c r="S6450">
        <v>2.9220579999999998</v>
      </c>
      <c r="T6450">
        <v>-0.19125800000000001</v>
      </c>
      <c r="U6450">
        <v>-1.0431820000000001</v>
      </c>
      <c r="V6450">
        <v>-1.275371E-2</v>
      </c>
      <c r="W6450">
        <v>5.6579450000000002E-3</v>
      </c>
      <c r="X6450">
        <v>0.99990270000000003</v>
      </c>
      <c r="Y6450">
        <v>-0.26027660000000002</v>
      </c>
      <c r="Z6450">
        <v>4.1847589999999997E-2</v>
      </c>
      <c r="AA6450">
        <v>0.96462680000000001</v>
      </c>
      <c r="AB6450">
        <v>17</v>
      </c>
      <c r="AC6450">
        <v>16.901799999999898</v>
      </c>
      <c r="AD6450">
        <v>-1.1118137532999901</v>
      </c>
      <c r="AE6450">
        <v>-6.0099</v>
      </c>
      <c r="AF6450">
        <v>-4.69791893249519</v>
      </c>
      <c r="AG6450">
        <v>-1.1118137532999901</v>
      </c>
      <c r="AH6450">
        <v>17.241264807987498</v>
      </c>
      <c r="AI6450">
        <v>93.560198750068906</v>
      </c>
      <c r="AJ6450">
        <v>105.24199010992901</v>
      </c>
      <c r="AK6450">
        <v>17.904406840146201</v>
      </c>
      <c r="AL6450">
        <v>89.675821913943906</v>
      </c>
      <c r="AM6450">
        <v>90.730765236065395</v>
      </c>
      <c r="AN6450">
        <v>1.00000003946383</v>
      </c>
    </row>
    <row r="6451" spans="1:40" x14ac:dyDescent="0.25">
      <c r="A6451" t="str">
        <f>"20190312154425651"</f>
        <v>20190312154425651</v>
      </c>
      <c r="B6451" t="str">
        <f>"1552376665643689"</f>
        <v>1552376665643689</v>
      </c>
      <c r="C6451" t="s">
        <v>40</v>
      </c>
      <c r="D6451">
        <v>4.9450690000000002</v>
      </c>
      <c r="E6451">
        <v>0.40393869999999998</v>
      </c>
      <c r="F6451" t="s">
        <v>43</v>
      </c>
      <c r="G6451">
        <v>-274.63260000000002</v>
      </c>
      <c r="H6451" s="1">
        <v>-1.7240759999999999E-6</v>
      </c>
      <c r="I6451">
        <v>-57.749339999999997</v>
      </c>
      <c r="J6451">
        <v>-291.51260000000002</v>
      </c>
      <c r="K6451">
        <v>1.111753</v>
      </c>
      <c r="L6451">
        <v>-51.804020000000001</v>
      </c>
      <c r="M6451">
        <v>0.82333709999999904</v>
      </c>
      <c r="N6451">
        <v>0</v>
      </c>
      <c r="O6451">
        <v>-0.56755269999999902</v>
      </c>
      <c r="P6451">
        <v>0.83085869999999995</v>
      </c>
      <c r="Q6451">
        <v>5.8948610000000004E-3</v>
      </c>
      <c r="R6451">
        <v>-0.55645259999999996</v>
      </c>
      <c r="S6451">
        <v>2.9238279999999999</v>
      </c>
      <c r="T6451">
        <v>-0.19152640000000001</v>
      </c>
      <c r="U6451">
        <v>-1.034332</v>
      </c>
      <c r="V6451">
        <v>-1.344888E-2</v>
      </c>
      <c r="W6451">
        <v>5.6107400000000003E-3</v>
      </c>
      <c r="X6451">
        <v>0.99989380000000005</v>
      </c>
      <c r="Y6451">
        <v>-0.25907180000000002</v>
      </c>
      <c r="Z6451">
        <v>4.1701420000000003E-2</v>
      </c>
      <c r="AA6451">
        <v>0.96495739999999997</v>
      </c>
      <c r="AB6451">
        <v>18</v>
      </c>
      <c r="AC6451">
        <v>16.8799999999999</v>
      </c>
      <c r="AD6451">
        <v>-1.111754724076</v>
      </c>
      <c r="AE6451">
        <v>-5.9453199999999997</v>
      </c>
      <c r="AF6451">
        <v>-4.66727543614582</v>
      </c>
      <c r="AG6451">
        <v>-1.111754724076</v>
      </c>
      <c r="AH6451">
        <v>17.2058132338367</v>
      </c>
      <c r="AI6451">
        <v>93.5684252017967</v>
      </c>
      <c r="AJ6451">
        <v>105.176923507311</v>
      </c>
      <c r="AK6451">
        <v>17.8622357951356</v>
      </c>
      <c r="AL6451">
        <v>89.678526585576506</v>
      </c>
      <c r="AM6451">
        <v>90.770599438095303</v>
      </c>
      <c r="AN6451">
        <v>0.99999998202752005</v>
      </c>
    </row>
    <row r="6452" spans="1:40" x14ac:dyDescent="0.25">
      <c r="A6452" t="str">
        <f>"20190312154425663"</f>
        <v>20190312154425663</v>
      </c>
      <c r="B6452" t="str">
        <f>"1552376665654425"</f>
        <v>1552376665654425</v>
      </c>
      <c r="C6452" t="s">
        <v>40</v>
      </c>
      <c r="D6452">
        <v>4.9474739999999997</v>
      </c>
      <c r="E6452">
        <v>0.40464539999999999</v>
      </c>
      <c r="F6452" t="s">
        <v>43</v>
      </c>
      <c r="G6452">
        <v>-274.48829999999998</v>
      </c>
      <c r="H6452" s="1">
        <v>-1.6531619999999999E-6</v>
      </c>
      <c r="I6452">
        <v>-57.790030000000002</v>
      </c>
      <c r="J6452">
        <v>-291.4271</v>
      </c>
      <c r="K6452">
        <v>1.111693</v>
      </c>
      <c r="L6452">
        <v>-51.857970000000002</v>
      </c>
      <c r="M6452">
        <v>0.82540970000000002</v>
      </c>
      <c r="N6452">
        <v>0</v>
      </c>
      <c r="O6452">
        <v>-0.56453419999999999</v>
      </c>
      <c r="P6452">
        <v>0.83314169999999999</v>
      </c>
      <c r="Q6452">
        <v>6.2189669999999997E-3</v>
      </c>
      <c r="R6452">
        <v>-0.55302489999999904</v>
      </c>
      <c r="S6452">
        <v>2.9236149999999999</v>
      </c>
      <c r="T6452">
        <v>-0.19092300000000001</v>
      </c>
      <c r="U6452">
        <v>-1.0279849999999999</v>
      </c>
      <c r="V6452">
        <v>-1.3906099999999999E-2</v>
      </c>
      <c r="W6452">
        <v>5.725178E-3</v>
      </c>
      <c r="X6452">
        <v>0.99988690000000002</v>
      </c>
      <c r="Y6452">
        <v>-0.25739109999999998</v>
      </c>
      <c r="Z6452">
        <v>4.1387510000000002E-2</v>
      </c>
      <c r="AA6452">
        <v>0.96542059999999996</v>
      </c>
      <c r="AB6452">
        <v>18</v>
      </c>
      <c r="AC6452">
        <v>16.938800000000001</v>
      </c>
      <c r="AD6452">
        <v>-1.111694653162</v>
      </c>
      <c r="AE6452">
        <v>-5.9320599999999999</v>
      </c>
      <c r="AF6452">
        <v>-4.6483175159715797</v>
      </c>
      <c r="AG6452">
        <v>-1.111694653162</v>
      </c>
      <c r="AH6452">
        <v>17.2640623333623</v>
      </c>
      <c r="AI6452">
        <v>93.558023710249202</v>
      </c>
      <c r="AJ6452">
        <v>105.069418771884</v>
      </c>
      <c r="AK6452">
        <v>17.913418684923801</v>
      </c>
      <c r="AL6452">
        <v>89.671969666702196</v>
      </c>
      <c r="AM6452">
        <v>90.796799592760294</v>
      </c>
      <c r="AN6452">
        <v>0.99999998503597498</v>
      </c>
    </row>
    <row r="6453" spans="1:40" x14ac:dyDescent="0.25">
      <c r="A6453" t="str">
        <f>"20190312154425677"</f>
        <v>20190312154425677</v>
      </c>
      <c r="B6453" t="str">
        <f>"1552376665673945"</f>
        <v>1552376665673945</v>
      </c>
      <c r="C6453" t="s">
        <v>40</v>
      </c>
      <c r="D6453">
        <v>4.9453849999999999</v>
      </c>
      <c r="E6453">
        <v>0.40605740000000001</v>
      </c>
      <c r="F6453" t="s">
        <v>43</v>
      </c>
      <c r="G6453">
        <v>-274.38099999999997</v>
      </c>
      <c r="H6453" s="1">
        <v>-1.6035340000000001E-6</v>
      </c>
      <c r="I6453">
        <v>-57.80639</v>
      </c>
      <c r="J6453">
        <v>-291.33339999999998</v>
      </c>
      <c r="K6453">
        <v>1.1116239999999999</v>
      </c>
      <c r="L6453">
        <v>-51.91675</v>
      </c>
      <c r="M6453">
        <v>0.82759090000000002</v>
      </c>
      <c r="N6453">
        <v>0</v>
      </c>
      <c r="O6453">
        <v>-0.56133140000000004</v>
      </c>
      <c r="P6453">
        <v>0.83572329999999995</v>
      </c>
      <c r="Q6453">
        <v>7.1869319999999896E-3</v>
      </c>
      <c r="R6453">
        <v>-0.54910409999999998</v>
      </c>
      <c r="S6453">
        <v>2.9247740000000002</v>
      </c>
      <c r="T6453">
        <v>-0.19074479999999999</v>
      </c>
      <c r="U6453">
        <v>-1.0206299999999999</v>
      </c>
      <c r="V6453">
        <v>-1.4730389999999999E-2</v>
      </c>
      <c r="W6453">
        <v>6.4799970000000004E-3</v>
      </c>
      <c r="X6453">
        <v>0.9998705</v>
      </c>
      <c r="Y6453">
        <v>-0.2559382</v>
      </c>
      <c r="Z6453">
        <v>4.1148549999999999E-2</v>
      </c>
      <c r="AA6453">
        <v>0.96581700000000004</v>
      </c>
      <c r="AB6453">
        <v>18</v>
      </c>
      <c r="AC6453">
        <v>16.952400000000001</v>
      </c>
      <c r="AD6453">
        <v>-1.111625603534</v>
      </c>
      <c r="AE6453">
        <v>-5.88964</v>
      </c>
      <c r="AF6453">
        <v>-4.6239617709323904</v>
      </c>
      <c r="AG6453">
        <v>-1.111625603534</v>
      </c>
      <c r="AH6453">
        <v>17.269436314802999</v>
      </c>
      <c r="AI6453">
        <v>93.558026726596495</v>
      </c>
      <c r="AJ6453">
        <v>104.989568421415</v>
      </c>
      <c r="AK6453">
        <v>17.912290880077599</v>
      </c>
      <c r="AL6453">
        <v>89.628720920680493</v>
      </c>
      <c r="AM6453">
        <v>90.844037428406594</v>
      </c>
      <c r="AN6453">
        <v>0.99999999576046095</v>
      </c>
    </row>
    <row r="6454" spans="1:40" x14ac:dyDescent="0.25">
      <c r="A6454" t="str">
        <f>"20190312154425700"</f>
        <v>20190312154425700</v>
      </c>
      <c r="B6454" t="str">
        <f>"1552376665693465"</f>
        <v>1552376665693465</v>
      </c>
      <c r="C6454" t="s">
        <v>40</v>
      </c>
      <c r="D6454">
        <v>5.0305260000000001</v>
      </c>
      <c r="E6454">
        <v>0.4067635</v>
      </c>
      <c r="F6454" t="s">
        <v>43</v>
      </c>
      <c r="G6454">
        <v>-274.19130000000001</v>
      </c>
      <c r="H6454" s="1">
        <v>-1.5069370000000001E-6</v>
      </c>
      <c r="I6454">
        <v>-57.875269999999901</v>
      </c>
      <c r="J6454">
        <v>-291.1755</v>
      </c>
      <c r="K6454">
        <v>1.111499</v>
      </c>
      <c r="L6454">
        <v>-52.015050000000002</v>
      </c>
      <c r="M6454">
        <v>0.83107880000000001</v>
      </c>
      <c r="N6454">
        <v>0</v>
      </c>
      <c r="O6454">
        <v>-0.55615409999999998</v>
      </c>
      <c r="P6454">
        <v>0.84032830000000003</v>
      </c>
      <c r="Q6454">
        <v>9.5459140000000008E-3</v>
      </c>
      <c r="R6454">
        <v>-0.54199410000000003</v>
      </c>
      <c r="S6454">
        <v>2.9236149999999999</v>
      </c>
      <c r="T6454">
        <v>-0.18958949999999999</v>
      </c>
      <c r="U6454">
        <v>-1.016235</v>
      </c>
      <c r="V6454">
        <v>-1.697046E-2</v>
      </c>
      <c r="W6454">
        <v>8.5074529999999999E-3</v>
      </c>
      <c r="X6454">
        <v>0.99981980000000004</v>
      </c>
      <c r="Y6454">
        <v>-0.25110719999999997</v>
      </c>
      <c r="Z6454">
        <v>4.051544E-2</v>
      </c>
      <c r="AA6454">
        <v>0.96711100000000005</v>
      </c>
      <c r="AB6454">
        <v>18</v>
      </c>
      <c r="AC6454">
        <v>16.984199999999898</v>
      </c>
      <c r="AD6454">
        <v>-1.1115005069370001</v>
      </c>
      <c r="AE6454">
        <v>-5.8602199999999902</v>
      </c>
      <c r="AF6454">
        <v>-4.5580847300760201</v>
      </c>
      <c r="AG6454">
        <v>-1.1115005069370001</v>
      </c>
      <c r="AH6454">
        <v>17.308158121635302</v>
      </c>
      <c r="AI6454">
        <v>93.553559640318696</v>
      </c>
      <c r="AJ6454">
        <v>104.753798370144</v>
      </c>
      <c r="AK6454">
        <v>17.932760728538199</v>
      </c>
      <c r="AL6454">
        <v>89.512552970000201</v>
      </c>
      <c r="AM6454">
        <v>90.972417603435304</v>
      </c>
      <c r="AN6454">
        <v>1.00000000287059</v>
      </c>
    </row>
    <row r="6455" spans="1:40" x14ac:dyDescent="0.25">
      <c r="A6455" t="str">
        <f>"20190312154425734"</f>
        <v>20190312154425734</v>
      </c>
      <c r="B6455" t="str">
        <f>"1552376665723720"</f>
        <v>1552376665723720</v>
      </c>
      <c r="C6455" t="s">
        <v>40</v>
      </c>
      <c r="D6455">
        <v>4.9147360000000004</v>
      </c>
      <c r="E6455">
        <v>0.42911270000000001</v>
      </c>
      <c r="F6455" t="s">
        <v>43</v>
      </c>
      <c r="G6455">
        <v>-273.63780000000003</v>
      </c>
      <c r="H6455" s="1">
        <v>-1.245694E-6</v>
      </c>
      <c r="I6455">
        <v>-57.982979999999998</v>
      </c>
      <c r="J6455">
        <v>-290.93439999999998</v>
      </c>
      <c r="K6455">
        <v>1.1112789999999999</v>
      </c>
      <c r="L6455">
        <v>-52.163449999999997</v>
      </c>
      <c r="M6455">
        <v>0.83593790000000001</v>
      </c>
      <c r="N6455">
        <v>0</v>
      </c>
      <c r="O6455">
        <v>-0.5488227</v>
      </c>
      <c r="P6455">
        <v>0.84570939999999994</v>
      </c>
      <c r="Q6455">
        <v>1.120258E-2</v>
      </c>
      <c r="R6455">
        <v>-0.53352670000000002</v>
      </c>
      <c r="S6455">
        <v>2.92923</v>
      </c>
      <c r="T6455">
        <v>-0.1856486</v>
      </c>
      <c r="U6455">
        <v>-0.99679569999999995</v>
      </c>
      <c r="V6455">
        <v>-1.8212180000000001E-2</v>
      </c>
      <c r="W6455">
        <v>9.7538529999999998E-3</v>
      </c>
      <c r="X6455">
        <v>0.99978659999999997</v>
      </c>
      <c r="Y6455">
        <v>-0.2489797</v>
      </c>
      <c r="Z6455">
        <v>3.9230149999999998E-2</v>
      </c>
      <c r="AA6455">
        <v>0.96771379999999996</v>
      </c>
      <c r="AB6455">
        <v>18</v>
      </c>
      <c r="AC6455">
        <v>17.296599999999899</v>
      </c>
      <c r="AD6455">
        <v>-1.1112802456940001</v>
      </c>
      <c r="AE6455">
        <v>-5.8195300000000003</v>
      </c>
      <c r="AF6455">
        <v>-4.6109067166306001</v>
      </c>
      <c r="AG6455">
        <v>-1.1112802456940001</v>
      </c>
      <c r="AH6455">
        <v>17.587570126296999</v>
      </c>
      <c r="AI6455">
        <v>93.497566621918295</v>
      </c>
      <c r="AJ6455">
        <v>104.69053281396</v>
      </c>
      <c r="AK6455">
        <v>18.215872954139599</v>
      </c>
      <c r="AL6455">
        <v>89.4411365460127</v>
      </c>
      <c r="AM6455">
        <v>91.043588356724101</v>
      </c>
      <c r="AN6455">
        <v>1.0000000333441199</v>
      </c>
    </row>
    <row r="6456" spans="1:40" x14ac:dyDescent="0.25">
      <c r="A6456" t="str">
        <f>"20190312154425756"</f>
        <v>20190312154425756</v>
      </c>
      <c r="B6456" t="str">
        <f>"1552376665753976"</f>
        <v>1552376665753976</v>
      </c>
      <c r="C6456" t="s">
        <v>40</v>
      </c>
      <c r="D6456">
        <v>4.9671890000000003</v>
      </c>
      <c r="E6456">
        <v>0.40208349999999998</v>
      </c>
      <c r="F6456" t="s">
        <v>43</v>
      </c>
      <c r="G6456">
        <v>-276.0822</v>
      </c>
      <c r="H6456" s="1">
        <v>-2.2900300000000001E-6</v>
      </c>
      <c r="I6456">
        <v>-58.002319999999997</v>
      </c>
      <c r="J6456">
        <v>-290.77330000000001</v>
      </c>
      <c r="K6456">
        <v>1.111138</v>
      </c>
      <c r="L6456">
        <v>-52.261600000000001</v>
      </c>
      <c r="M6456">
        <v>0.83889419999999904</v>
      </c>
      <c r="N6456">
        <v>0</v>
      </c>
      <c r="O6456">
        <v>-0.5442922</v>
      </c>
      <c r="P6456">
        <v>0.84851509999999997</v>
      </c>
      <c r="Q6456">
        <v>1.088224E-2</v>
      </c>
      <c r="R6456">
        <v>-0.52905930000000001</v>
      </c>
      <c r="S6456">
        <v>2.8446349999999998</v>
      </c>
      <c r="T6456">
        <v>-0.21284339999999999</v>
      </c>
      <c r="U6456">
        <v>-1.118317</v>
      </c>
      <c r="V6456">
        <v>-1.8071630000000002E-2</v>
      </c>
      <c r="W6456">
        <v>9.2140959999999997E-3</v>
      </c>
      <c r="X6456">
        <v>0.99979419999999997</v>
      </c>
      <c r="Y6456">
        <v>-0.1980277</v>
      </c>
      <c r="Z6456">
        <v>4.3678729999999999E-2</v>
      </c>
      <c r="AA6456">
        <v>0.97922279999999995</v>
      </c>
      <c r="AB6456">
        <v>19</v>
      </c>
      <c r="AC6456">
        <v>14.6911</v>
      </c>
      <c r="AD6456">
        <v>-1.11114029002999</v>
      </c>
      <c r="AE6456">
        <v>-5.7407199999999898</v>
      </c>
      <c r="AF6456">
        <v>-3.1646931306903001</v>
      </c>
      <c r="AG6456">
        <v>-1.11114029002999</v>
      </c>
      <c r="AH6456">
        <v>15.372637950390001</v>
      </c>
      <c r="AI6456">
        <v>94.049542735438393</v>
      </c>
      <c r="AJ6456">
        <v>101.63269812148999</v>
      </c>
      <c r="AK6456">
        <v>15.734290988453701</v>
      </c>
      <c r="AL6456">
        <v>89.472063697126202</v>
      </c>
      <c r="AM6456">
        <v>91.035528497356495</v>
      </c>
      <c r="AN6456">
        <v>0.99999996286479598</v>
      </c>
    </row>
    <row r="6457" spans="1:40" x14ac:dyDescent="0.25">
      <c r="A6457" t="str">
        <f>"20190312154425779"</f>
        <v>20190312154425779</v>
      </c>
      <c r="B6457" t="str">
        <f>"1552376665773500"</f>
        <v>1552376665773500</v>
      </c>
      <c r="C6457" t="s">
        <v>40</v>
      </c>
      <c r="D6457">
        <v>5.0014190000000003</v>
      </c>
      <c r="E6457">
        <v>0.4023447</v>
      </c>
      <c r="F6457" t="s">
        <v>43</v>
      </c>
      <c r="G6457">
        <v>-276.59339999999997</v>
      </c>
      <c r="H6457" s="1">
        <v>-2.8060100000000002E-6</v>
      </c>
      <c r="I6457">
        <v>-56.660359999999997</v>
      </c>
      <c r="J6457">
        <v>-290.60390000000001</v>
      </c>
      <c r="K6457">
        <v>1.110997</v>
      </c>
      <c r="L6457">
        <v>-52.36401</v>
      </c>
      <c r="M6457">
        <v>0.84179389999999998</v>
      </c>
      <c r="N6457">
        <v>0</v>
      </c>
      <c r="O6457">
        <v>-0.53979619999999995</v>
      </c>
      <c r="P6457">
        <v>0.85137999999999903</v>
      </c>
      <c r="Q6457">
        <v>1.1733169999999999E-2</v>
      </c>
      <c r="R6457">
        <v>-0.5244181</v>
      </c>
      <c r="S6457">
        <v>2.9650880000000002</v>
      </c>
      <c r="T6457">
        <v>-0.23234399999999999</v>
      </c>
      <c r="U6457">
        <v>-0.91979979999999995</v>
      </c>
      <c r="V6457">
        <v>-1.817736E-2</v>
      </c>
      <c r="W6457">
        <v>9.8663799999999992E-3</v>
      </c>
      <c r="X6457">
        <v>0.99978610000000001</v>
      </c>
      <c r="Y6457">
        <v>-0.2641191</v>
      </c>
      <c r="Z6457">
        <v>4.8788619999999998E-2</v>
      </c>
      <c r="AA6457">
        <v>0.96325530000000004</v>
      </c>
      <c r="AB6457">
        <v>19</v>
      </c>
      <c r="AC6457">
        <v>14.0105</v>
      </c>
      <c r="AD6457">
        <v>-1.1109998060099999</v>
      </c>
      <c r="AE6457">
        <v>-4.2963499999999897</v>
      </c>
      <c r="AF6457">
        <v>-3.9236279536407199</v>
      </c>
      <c r="AG6457">
        <v>-1.1109998060099999</v>
      </c>
      <c r="AH6457">
        <v>14.032475100693</v>
      </c>
      <c r="AI6457">
        <v>94.360303814612607</v>
      </c>
      <c r="AJ6457">
        <v>105.621552265725</v>
      </c>
      <c r="AK6457">
        <v>14.612991970815299</v>
      </c>
      <c r="AL6457">
        <v>89.434688897085394</v>
      </c>
      <c r="AM6457">
        <v>91.041594073304097</v>
      </c>
      <c r="AN6457">
        <v>1.00000000381204</v>
      </c>
    </row>
    <row r="6458" spans="1:40" x14ac:dyDescent="0.25">
      <c r="A6458" t="str">
        <f>"20190312154425801"</f>
        <v>20190312154425801</v>
      </c>
      <c r="B6458" t="str">
        <f>"1552376665793992"</f>
        <v>1552376665793992</v>
      </c>
      <c r="C6458" t="s">
        <v>40</v>
      </c>
      <c r="D6458">
        <v>5.0321360000000004</v>
      </c>
      <c r="E6458">
        <v>0.40248060000000002</v>
      </c>
      <c r="F6458" t="s">
        <v>43</v>
      </c>
      <c r="G6458">
        <v>-276.38319999999999</v>
      </c>
      <c r="H6458" s="1">
        <v>-2.7068009999999999E-6</v>
      </c>
      <c r="I6458">
        <v>-56.701340000000002</v>
      </c>
      <c r="J6458">
        <v>-290.43729999999999</v>
      </c>
      <c r="K6458">
        <v>1.1108720000000001</v>
      </c>
      <c r="L6458">
        <v>-52.46396</v>
      </c>
      <c r="M6458">
        <v>0.84444359999999996</v>
      </c>
      <c r="N6458">
        <v>0</v>
      </c>
      <c r="O6458">
        <v>-0.53564119999999904</v>
      </c>
      <c r="P6458">
        <v>0.85385529999999998</v>
      </c>
      <c r="Q6458">
        <v>1.1369209999999999E-2</v>
      </c>
      <c r="R6458">
        <v>-0.52038649999999997</v>
      </c>
      <c r="S6458">
        <v>2.9690859999999999</v>
      </c>
      <c r="T6458">
        <v>-0.23196240000000001</v>
      </c>
      <c r="U6458">
        <v>-0.90557860000000001</v>
      </c>
      <c r="V6458">
        <v>-1.7975310000000001E-2</v>
      </c>
      <c r="W6458">
        <v>9.3395000000000006E-3</v>
      </c>
      <c r="X6458">
        <v>0.99979479999999998</v>
      </c>
      <c r="Y6458">
        <v>-0.26396720000000001</v>
      </c>
      <c r="Z6458">
        <v>4.8426240000000002E-2</v>
      </c>
      <c r="AA6458">
        <v>0.96331520000000004</v>
      </c>
      <c r="AB6458">
        <v>19</v>
      </c>
      <c r="AC6458">
        <v>14.0541</v>
      </c>
      <c r="AD6458">
        <v>-1.1108747068010001</v>
      </c>
      <c r="AE6458">
        <v>-4.2373799999999999</v>
      </c>
      <c r="AF6458">
        <v>-3.9272416766277201</v>
      </c>
      <c r="AG6458">
        <v>-1.1108747068010001</v>
      </c>
      <c r="AH6458">
        <v>14.0571279240314</v>
      </c>
      <c r="AI6458">
        <v>94.352460289555594</v>
      </c>
      <c r="AJ6458">
        <v>105.60915393046101</v>
      </c>
      <c r="AK6458">
        <v>14.637626695384499</v>
      </c>
      <c r="AL6458">
        <v>89.464878282286193</v>
      </c>
      <c r="AM6458">
        <v>91.030009807148602</v>
      </c>
      <c r="AN6458">
        <v>0.99999999006844298</v>
      </c>
    </row>
    <row r="6459" spans="1:40" x14ac:dyDescent="0.25">
      <c r="A6459" t="str">
        <f>"20190312154425823"</f>
        <v>20190312154425823</v>
      </c>
      <c r="B6459" t="str">
        <f>"1552376665813513"</f>
        <v>1552376665813513</v>
      </c>
      <c r="C6459" t="s">
        <v>40</v>
      </c>
      <c r="D6459">
        <v>4.9950020000000004</v>
      </c>
      <c r="E6459">
        <v>0.40308739999999998</v>
      </c>
      <c r="F6459" t="s">
        <v>43</v>
      </c>
      <c r="G6459">
        <v>-277.01780000000002</v>
      </c>
      <c r="H6459" s="1">
        <v>-3.025006E-6</v>
      </c>
      <c r="I6459">
        <v>-56.493450000000003</v>
      </c>
      <c r="J6459">
        <v>-290.26819999999998</v>
      </c>
      <c r="K6459">
        <v>1.110743</v>
      </c>
      <c r="L6459">
        <v>-52.564790000000002</v>
      </c>
      <c r="M6459">
        <v>0.84694439999999904</v>
      </c>
      <c r="N6459">
        <v>0</v>
      </c>
      <c r="O6459">
        <v>-0.53167759999999997</v>
      </c>
      <c r="P6459">
        <v>0.85637989999999997</v>
      </c>
      <c r="Q6459">
        <v>1.1765980000000001E-2</v>
      </c>
      <c r="R6459">
        <v>-0.51621220000000001</v>
      </c>
      <c r="S6459">
        <v>2.9727779999999999</v>
      </c>
      <c r="T6459">
        <v>-0.24608840000000001</v>
      </c>
      <c r="U6459">
        <v>-0.89263919999999997</v>
      </c>
      <c r="V6459">
        <v>-1.8165959999999998E-2</v>
      </c>
      <c r="W6459">
        <v>9.5979340000000007E-3</v>
      </c>
      <c r="X6459">
        <v>0.99978889999999998</v>
      </c>
      <c r="Y6459">
        <v>-0.26338260000000002</v>
      </c>
      <c r="Z6459">
        <v>5.106078E-2</v>
      </c>
      <c r="AA6459">
        <v>0.96333919999999995</v>
      </c>
      <c r="AB6459">
        <v>20</v>
      </c>
      <c r="AC6459">
        <v>13.2503999999999</v>
      </c>
      <c r="AD6459">
        <v>-1.1107460250059999</v>
      </c>
      <c r="AE6459">
        <v>-3.9286599999999998</v>
      </c>
      <c r="AF6459">
        <v>-3.6937333424604599</v>
      </c>
      <c r="AG6459">
        <v>-1.1107460250059999</v>
      </c>
      <c r="AH6459">
        <v>13.2257322333862</v>
      </c>
      <c r="AI6459">
        <v>94.6244905020842</v>
      </c>
      <c r="AJ6459">
        <v>105.60418977921501</v>
      </c>
      <c r="AK6459">
        <v>13.7766982926426</v>
      </c>
      <c r="AL6459">
        <v>89.450070437178496</v>
      </c>
      <c r="AM6459">
        <v>91.040938062816096</v>
      </c>
      <c r="AN6459">
        <v>0.99999998350149899</v>
      </c>
    </row>
    <row r="6460" spans="1:40" x14ac:dyDescent="0.25">
      <c r="A6460" t="str">
        <f>"20190312154425845"</f>
        <v>20190312154425845</v>
      </c>
      <c r="B6460" t="str">
        <f>"1552376665834009"</f>
        <v>1552376665834009</v>
      </c>
      <c r="C6460" t="s">
        <v>40</v>
      </c>
      <c r="D6460">
        <v>5.0247789999999997</v>
      </c>
      <c r="E6460">
        <v>0.40409020000000001</v>
      </c>
      <c r="F6460" t="s">
        <v>43</v>
      </c>
      <c r="G6460">
        <v>-277.2835</v>
      </c>
      <c r="H6460" s="1">
        <v>-3.1563709999999998E-6</v>
      </c>
      <c r="I6460">
        <v>-56.414819999999999</v>
      </c>
      <c r="J6460">
        <v>-290.096</v>
      </c>
      <c r="K6460">
        <v>1.1106149999999999</v>
      </c>
      <c r="L6460">
        <v>-52.66675</v>
      </c>
      <c r="M6460">
        <v>0.84930620000000001</v>
      </c>
      <c r="N6460">
        <v>0</v>
      </c>
      <c r="O6460">
        <v>-0.52789629999999998</v>
      </c>
      <c r="P6460">
        <v>0.85842980000000002</v>
      </c>
      <c r="Q6460">
        <v>1.18285E-2</v>
      </c>
      <c r="R6460">
        <v>-0.51279520000000001</v>
      </c>
      <c r="S6460">
        <v>2.9749150000000002</v>
      </c>
      <c r="T6460">
        <v>-0.25448310000000002</v>
      </c>
      <c r="U6460">
        <v>-0.88208009999999903</v>
      </c>
      <c r="V6460">
        <v>-1.7690190000000001E-2</v>
      </c>
      <c r="W6460">
        <v>9.5478679999999993E-3</v>
      </c>
      <c r="X6460">
        <v>0.99979790000000002</v>
      </c>
      <c r="Y6460">
        <v>-0.26226949999999999</v>
      </c>
      <c r="Z6460">
        <v>5.2488220000000002E-2</v>
      </c>
      <c r="AA6460">
        <v>0.96356609999999998</v>
      </c>
      <c r="AB6460">
        <v>20</v>
      </c>
      <c r="AC6460">
        <v>12.8125</v>
      </c>
      <c r="AD6460">
        <v>-1.11061815637099</v>
      </c>
      <c r="AE6460">
        <v>-3.74806999999999</v>
      </c>
      <c r="AF6460">
        <v>-3.5558086420396799</v>
      </c>
      <c r="AG6460">
        <v>-1.11061815637099</v>
      </c>
      <c r="AH6460">
        <v>12.771955320046899</v>
      </c>
      <c r="AI6460">
        <v>94.788575811161394</v>
      </c>
      <c r="AJ6460">
        <v>105.557603467582</v>
      </c>
      <c r="AK6460">
        <v>13.304138096297001</v>
      </c>
      <c r="AL6460">
        <v>89.452939133275194</v>
      </c>
      <c r="AM6460">
        <v>91.013672335923303</v>
      </c>
      <c r="AN6460">
        <v>0.99999997272499497</v>
      </c>
    </row>
    <row r="6461" spans="1:40" x14ac:dyDescent="0.25">
      <c r="A6461" t="str">
        <f>"20190312154425868"</f>
        <v>20190312154425868</v>
      </c>
      <c r="B6461" t="str">
        <f>"1552376665864265"</f>
        <v>1552376665864265</v>
      </c>
      <c r="C6461" t="s">
        <v>40</v>
      </c>
      <c r="D6461">
        <v>4.9977619999999998</v>
      </c>
      <c r="E6461">
        <v>0.40573340000000002</v>
      </c>
      <c r="F6461" t="s">
        <v>43</v>
      </c>
      <c r="G6461">
        <v>-277.36430000000001</v>
      </c>
      <c r="H6461" s="1">
        <v>-3.1897749999999999E-6</v>
      </c>
      <c r="I6461">
        <v>-56.420400000000001</v>
      </c>
      <c r="J6461">
        <v>-289.91989999999998</v>
      </c>
      <c r="K6461">
        <v>1.1104959999999999</v>
      </c>
      <c r="L6461">
        <v>-52.770510000000002</v>
      </c>
      <c r="M6461">
        <v>0.85154830000000004</v>
      </c>
      <c r="N6461">
        <v>0</v>
      </c>
      <c r="O6461">
        <v>-0.5242715</v>
      </c>
      <c r="P6461">
        <v>0.86040559999999999</v>
      </c>
      <c r="Q6461">
        <v>1.2041100000000001E-2</v>
      </c>
      <c r="R6461">
        <v>-0.50946809999999998</v>
      </c>
      <c r="S6461">
        <v>2.9744869999999999</v>
      </c>
      <c r="T6461">
        <v>-0.25946999999999998</v>
      </c>
      <c r="U6461">
        <v>-0.87695309999999904</v>
      </c>
      <c r="V6461">
        <v>-1.7295430000000001E-2</v>
      </c>
      <c r="W6461">
        <v>9.6689800000000006E-3</v>
      </c>
      <c r="X6461">
        <v>0.99980369999999996</v>
      </c>
      <c r="Y6461">
        <v>-0.25956750000000001</v>
      </c>
      <c r="Z6461">
        <v>5.3165909999999997E-2</v>
      </c>
      <c r="AA6461">
        <v>0.96426040000000002</v>
      </c>
      <c r="AB6461">
        <v>20</v>
      </c>
      <c r="AC6461">
        <v>12.555599999999901</v>
      </c>
      <c r="AD6461">
        <v>-1.1104991897749901</v>
      </c>
      <c r="AE6461">
        <v>-3.6498900000000001</v>
      </c>
      <c r="AF6461">
        <v>-3.4496112690301599</v>
      </c>
      <c r="AG6461">
        <v>-1.1104991897749901</v>
      </c>
      <c r="AH6461">
        <v>12.5149904294883</v>
      </c>
      <c r="AI6461">
        <v>94.889370717739297</v>
      </c>
      <c r="AJ6461">
        <v>105.41024877639001</v>
      </c>
      <c r="AK6461">
        <v>13.029121682143201</v>
      </c>
      <c r="AL6461">
        <v>89.445999637913502</v>
      </c>
      <c r="AM6461">
        <v>90.991050857323103</v>
      </c>
      <c r="AN6461">
        <v>1.0000000298034</v>
      </c>
    </row>
    <row r="6462" spans="1:40" x14ac:dyDescent="0.25">
      <c r="A6462" t="str">
        <f>"20190312154425890"</f>
        <v>20190312154425890</v>
      </c>
      <c r="B6462" t="str">
        <f>"1552376665883785"</f>
        <v>1552376665883785</v>
      </c>
      <c r="C6462" t="s">
        <v>40</v>
      </c>
      <c r="D6462">
        <v>4.947762</v>
      </c>
      <c r="E6462">
        <v>0.40595029999999999</v>
      </c>
      <c r="F6462" t="s">
        <v>43</v>
      </c>
      <c r="G6462">
        <v>-277.51639999999998</v>
      </c>
      <c r="H6462" s="1">
        <v>-3.2533869999999999E-6</v>
      </c>
      <c r="I6462">
        <v>-56.427849999999999</v>
      </c>
      <c r="J6462">
        <v>-289.73669999999998</v>
      </c>
      <c r="K6462">
        <v>1.1103879999999999</v>
      </c>
      <c r="L6462">
        <v>-52.877690000000001</v>
      </c>
      <c r="M6462">
        <v>0.85369680000000003</v>
      </c>
      <c r="N6462">
        <v>0</v>
      </c>
      <c r="O6462">
        <v>-0.52076529999999999</v>
      </c>
      <c r="P6462">
        <v>0.86238340000000002</v>
      </c>
      <c r="Q6462">
        <v>1.231545E-2</v>
      </c>
      <c r="R6462">
        <v>-0.50610670000000002</v>
      </c>
      <c r="S6462">
        <v>2.971619</v>
      </c>
      <c r="T6462">
        <v>-0.2660518</v>
      </c>
      <c r="U6462">
        <v>-0.87622069999999996</v>
      </c>
      <c r="V6462">
        <v>-1.7082759999999999E-2</v>
      </c>
      <c r="W6462">
        <v>9.8706709999999993E-3</v>
      </c>
      <c r="X6462">
        <v>0.99980530000000001</v>
      </c>
      <c r="Y6462">
        <v>-0.25545319999999999</v>
      </c>
      <c r="Z6462">
        <v>5.4126229999999997E-2</v>
      </c>
      <c r="AA6462">
        <v>0.96530510000000003</v>
      </c>
      <c r="AB6462">
        <v>20</v>
      </c>
      <c r="AC6462">
        <v>12.2203</v>
      </c>
      <c r="AD6462">
        <v>-1.110391253387</v>
      </c>
      <c r="AE6462">
        <v>-3.5501599999999902</v>
      </c>
      <c r="AF6462">
        <v>-3.30797063686187</v>
      </c>
      <c r="AG6462">
        <v>-1.110391253387</v>
      </c>
      <c r="AH6462">
        <v>12.1884634109872</v>
      </c>
      <c r="AI6462">
        <v>95.024596768047005</v>
      </c>
      <c r="AJ6462">
        <v>105.184407423921</v>
      </c>
      <c r="AK6462">
        <v>12.6781023339817</v>
      </c>
      <c r="AL6462">
        <v>89.434442995305801</v>
      </c>
      <c r="AM6462">
        <v>90.978865406674103</v>
      </c>
      <c r="AN6462">
        <v>0.99999994437164696</v>
      </c>
    </row>
    <row r="6463" spans="1:40" x14ac:dyDescent="0.25">
      <c r="A6463" t="str">
        <f>"20190312154425913"</f>
        <v>20190312154425913</v>
      </c>
      <c r="B6463" t="str">
        <f>"1552376665904285"</f>
        <v>1552376665904285</v>
      </c>
      <c r="C6463" t="s">
        <v>40</v>
      </c>
      <c r="D6463">
        <v>4.9522209999999998</v>
      </c>
      <c r="E6463">
        <v>0.40579029999999999</v>
      </c>
      <c r="F6463" t="s">
        <v>43</v>
      </c>
      <c r="G6463">
        <v>-277.40609999999998</v>
      </c>
      <c r="H6463" s="1">
        <v>-3.1973139999999998E-6</v>
      </c>
      <c r="I6463">
        <v>-56.467529999999996</v>
      </c>
      <c r="J6463">
        <v>-289.55590000000001</v>
      </c>
      <c r="K6463">
        <v>1.1102909999999999</v>
      </c>
      <c r="L6463">
        <v>-52.982880000000002</v>
      </c>
      <c r="M6463">
        <v>0.85566559999999903</v>
      </c>
      <c r="N6463">
        <v>0</v>
      </c>
      <c r="O6463">
        <v>-0.51752349999999903</v>
      </c>
      <c r="P6463">
        <v>0.86401430000000001</v>
      </c>
      <c r="Q6463">
        <v>1.3240389999999999E-2</v>
      </c>
      <c r="R6463">
        <v>-0.50329349999999995</v>
      </c>
      <c r="S6463">
        <v>2.9743650000000001</v>
      </c>
      <c r="T6463">
        <v>-0.2678468</v>
      </c>
      <c r="U6463">
        <v>-0.86593629999999999</v>
      </c>
      <c r="V6463">
        <v>-1.6543410000000001E-2</v>
      </c>
      <c r="W6463">
        <v>1.074514E-2</v>
      </c>
      <c r="X6463">
        <v>0.99980539999999996</v>
      </c>
      <c r="Y6463">
        <v>-0.25507999999999997</v>
      </c>
      <c r="Z6463">
        <v>5.422254E-2</v>
      </c>
      <c r="AA6463">
        <v>0.96539839999999999</v>
      </c>
      <c r="AB6463">
        <v>21</v>
      </c>
      <c r="AC6463">
        <v>12.149800000000001</v>
      </c>
      <c r="AD6463">
        <v>-1.1102941973139999</v>
      </c>
      <c r="AE6463">
        <v>-3.4846499999999998</v>
      </c>
      <c r="AF6463">
        <v>-3.2808059319765599</v>
      </c>
      <c r="AG6463">
        <v>-1.1102941973139999</v>
      </c>
      <c r="AH6463">
        <v>12.1061751861536</v>
      </c>
      <c r="AI6463">
        <v>95.058640882217901</v>
      </c>
      <c r="AJ6463">
        <v>105.163107492264</v>
      </c>
      <c r="AK6463">
        <v>12.591898919770699</v>
      </c>
      <c r="AL6463">
        <v>89.384336974069001</v>
      </c>
      <c r="AM6463">
        <v>90.947965554200707</v>
      </c>
      <c r="AN6463">
        <v>0.99999999015860297</v>
      </c>
    </row>
    <row r="6464" spans="1:40" x14ac:dyDescent="0.25">
      <c r="A6464" t="str">
        <f>"20190312154425934"</f>
        <v>20190312154425934</v>
      </c>
      <c r="B6464" t="str">
        <f>"1552376665923801"</f>
        <v>1552376665923801</v>
      </c>
      <c r="C6464" t="s">
        <v>40</v>
      </c>
      <c r="D6464">
        <v>4.954758</v>
      </c>
      <c r="E6464">
        <v>0.4058059</v>
      </c>
      <c r="F6464" t="s">
        <v>43</v>
      </c>
      <c r="G6464">
        <v>-276.84949999999998</v>
      </c>
      <c r="H6464" s="1">
        <v>-2.9221040000000001E-6</v>
      </c>
      <c r="I6464">
        <v>-56.632269999999998</v>
      </c>
      <c r="J6464">
        <v>-289.37329999999997</v>
      </c>
      <c r="K6464">
        <v>1.11022</v>
      </c>
      <c r="L6464">
        <v>-53.088590000000003</v>
      </c>
      <c r="M6464">
        <v>0.85753230000000003</v>
      </c>
      <c r="N6464">
        <v>0</v>
      </c>
      <c r="O6464">
        <v>-0.51442460000000001</v>
      </c>
      <c r="P6464">
        <v>0.86576799999999998</v>
      </c>
      <c r="Q6464">
        <v>1.388938E-2</v>
      </c>
      <c r="R6464">
        <v>-0.50025319999999995</v>
      </c>
      <c r="S6464">
        <v>2.9779360000000001</v>
      </c>
      <c r="T6464">
        <v>-0.26021300000000003</v>
      </c>
      <c r="U6464">
        <v>-0.85528559999999998</v>
      </c>
      <c r="V6464">
        <v>-1.6436989999999999E-2</v>
      </c>
      <c r="W6464">
        <v>1.1357839999999999E-2</v>
      </c>
      <c r="X6464">
        <v>0.99980040000000003</v>
      </c>
      <c r="Y6464">
        <v>-0.25523869999999999</v>
      </c>
      <c r="Z6464">
        <v>5.2442450000000002E-2</v>
      </c>
      <c r="AA6464">
        <v>0.96545479999999995</v>
      </c>
      <c r="AB6464">
        <v>21</v>
      </c>
      <c r="AC6464">
        <v>12.5237999999999</v>
      </c>
      <c r="AD6464">
        <v>-1.1102229221040001</v>
      </c>
      <c r="AE6464">
        <v>-3.5436799999999899</v>
      </c>
      <c r="AF6464">
        <v>-3.3791533613634201</v>
      </c>
      <c r="AG6464">
        <v>-1.1102229221040001</v>
      </c>
      <c r="AH6464">
        <v>12.471808764321</v>
      </c>
      <c r="AI6464">
        <v>94.910833375566</v>
      </c>
      <c r="AJ6464">
        <v>105.15993938649601</v>
      </c>
      <c r="AK6464">
        <v>12.969089645390399</v>
      </c>
      <c r="AL6464">
        <v>89.349229716369194</v>
      </c>
      <c r="AM6464">
        <v>90.941873318564603</v>
      </c>
      <c r="AN6464">
        <v>1.00000000750494</v>
      </c>
    </row>
    <row r="6465" spans="1:40" x14ac:dyDescent="0.25">
      <c r="A6465" t="str">
        <f>"20190312154425956"</f>
        <v>20190312154425956</v>
      </c>
      <c r="B6465" t="str">
        <f>"1552376665944296"</f>
        <v>1552376665944296</v>
      </c>
      <c r="C6465" t="s">
        <v>40</v>
      </c>
      <c r="D6465">
        <v>4.9524759999999999</v>
      </c>
      <c r="E6465">
        <v>0.40574290000000002</v>
      </c>
      <c r="F6465" t="s">
        <v>43</v>
      </c>
      <c r="G6465">
        <v>-276.31420000000003</v>
      </c>
      <c r="H6465" s="1">
        <v>-2.6573119999999999E-6</v>
      </c>
      <c r="I6465">
        <v>-56.791359999999997</v>
      </c>
      <c r="J6465">
        <v>-289.18979999999999</v>
      </c>
      <c r="K6465">
        <v>1.1101650000000001</v>
      </c>
      <c r="L6465">
        <v>-53.194180000000003</v>
      </c>
      <c r="M6465">
        <v>0.85930229999999996</v>
      </c>
      <c r="N6465">
        <v>0</v>
      </c>
      <c r="O6465">
        <v>-0.51146219999999998</v>
      </c>
      <c r="P6465">
        <v>0.86735569999999895</v>
      </c>
      <c r="Q6465">
        <v>1.3237860000000001E-2</v>
      </c>
      <c r="R6465">
        <v>-0.49751279999999998</v>
      </c>
      <c r="S6465">
        <v>2.9808349999999999</v>
      </c>
      <c r="T6465">
        <v>-0.253416799999999</v>
      </c>
      <c r="U6465">
        <v>-0.8451843</v>
      </c>
      <c r="V6465">
        <v>-1.6150109999999999E-2</v>
      </c>
      <c r="W6465">
        <v>1.068507E-2</v>
      </c>
      <c r="X6465">
        <v>0.99981249999999999</v>
      </c>
      <c r="Y6465">
        <v>-0.2553145</v>
      </c>
      <c r="Z6465">
        <v>5.0857859999999998E-2</v>
      </c>
      <c r="AA6465">
        <v>0.96551949999999997</v>
      </c>
      <c r="AB6465">
        <v>21</v>
      </c>
      <c r="AC6465">
        <v>12.875599999999899</v>
      </c>
      <c r="AD6465">
        <v>-1.1101676573119901</v>
      </c>
      <c r="AE6465">
        <v>-3.5971799999999901</v>
      </c>
      <c r="AF6465">
        <v>-3.4703959771222399</v>
      </c>
      <c r="AG6465">
        <v>-1.1101676573119901</v>
      </c>
      <c r="AH6465">
        <v>12.8155160586068</v>
      </c>
      <c r="AI6465">
        <v>94.779684768585</v>
      </c>
      <c r="AJ6465">
        <v>105.152098037096</v>
      </c>
      <c r="AK6465">
        <v>13.3234219445973</v>
      </c>
      <c r="AL6465">
        <v>89.387778944975693</v>
      </c>
      <c r="AM6465">
        <v>90.925426191172306</v>
      </c>
      <c r="AN6465">
        <v>1.0000000159650799</v>
      </c>
    </row>
    <row r="6466" spans="1:40" x14ac:dyDescent="0.25">
      <c r="A6466" t="str">
        <f>"20190312154425979"</f>
        <v>20190312154425979</v>
      </c>
      <c r="B6466" t="str">
        <f>"1552376665973577"</f>
        <v>1552376665973577</v>
      </c>
      <c r="C6466" t="s">
        <v>40</v>
      </c>
      <c r="D6466">
        <v>4.9176970000000004</v>
      </c>
      <c r="E6466">
        <v>0.40553050000000002</v>
      </c>
      <c r="F6466" t="s">
        <v>43</v>
      </c>
      <c r="G6466">
        <v>-276.1112</v>
      </c>
      <c r="H6466" s="1">
        <v>-2.5551529999999999E-6</v>
      </c>
      <c r="I6466">
        <v>-56.859380000000002</v>
      </c>
      <c r="J6466">
        <v>-288.99299999999999</v>
      </c>
      <c r="K6466">
        <v>1.1101289999999999</v>
      </c>
      <c r="L6466">
        <v>-53.306789999999999</v>
      </c>
      <c r="M6466">
        <v>0.86109859999999905</v>
      </c>
      <c r="N6466">
        <v>0</v>
      </c>
      <c r="O6466">
        <v>-0.508432</v>
      </c>
      <c r="P6466">
        <v>0.86932369999999903</v>
      </c>
      <c r="Q6466">
        <v>1.245199E-2</v>
      </c>
      <c r="R6466">
        <v>-0.49408649999999998</v>
      </c>
      <c r="S6466">
        <v>2.9831240000000001</v>
      </c>
      <c r="T6466">
        <v>-0.25321939999999998</v>
      </c>
      <c r="U6466">
        <v>-0.83599849999999998</v>
      </c>
      <c r="V6466">
        <v>-1.6575030000000001E-2</v>
      </c>
      <c r="W6466">
        <v>9.8883140000000005E-3</v>
      </c>
      <c r="X6466">
        <v>0.99981370000000003</v>
      </c>
      <c r="Y6466">
        <v>-0.2548723</v>
      </c>
      <c r="Z6466">
        <v>5.0578850000000002E-2</v>
      </c>
      <c r="AA6466">
        <v>0.96565100000000004</v>
      </c>
      <c r="AB6466">
        <v>22</v>
      </c>
      <c r="AC6466">
        <v>12.881799999999901</v>
      </c>
      <c r="AD6466">
        <v>-1.110131555153</v>
      </c>
      <c r="AE6466">
        <v>-3.5525899999999999</v>
      </c>
      <c r="AF6466">
        <v>-3.4664748898717499</v>
      </c>
      <c r="AG6466">
        <v>-1.110131555153</v>
      </c>
      <c r="AH6466">
        <v>12.810375439806</v>
      </c>
      <c r="AI6466">
        <v>94.781676103240798</v>
      </c>
      <c r="AJ6466">
        <v>105.141558970503</v>
      </c>
      <c r="AK6466">
        <v>13.3174531777154</v>
      </c>
      <c r="AL6466">
        <v>89.433432092435396</v>
      </c>
      <c r="AM6466">
        <v>90.949769219264198</v>
      </c>
      <c r="AN6466">
        <v>0.99999997254047601</v>
      </c>
    </row>
    <row r="6467" spans="1:40" x14ac:dyDescent="0.25">
      <c r="A6467" t="str">
        <f>"20190312154426135"</f>
        <v>20190312154426135</v>
      </c>
      <c r="B6467" t="str">
        <f>"1552376666123885"</f>
        <v>1552376666123885</v>
      </c>
      <c r="C6467" t="s">
        <v>40</v>
      </c>
      <c r="D6467">
        <v>4.6578179999999998</v>
      </c>
      <c r="E6467">
        <v>0.42337999999999998</v>
      </c>
      <c r="F6467" t="s">
        <v>43</v>
      </c>
      <c r="G6467">
        <v>-276.01010000000002</v>
      </c>
      <c r="H6467" s="1">
        <v>-2.5063469999999999E-6</v>
      </c>
      <c r="I6467">
        <v>-56.88411</v>
      </c>
      <c r="J6467">
        <v>-287.59589999999997</v>
      </c>
      <c r="K6467">
        <v>1.1100939999999999</v>
      </c>
      <c r="L6467">
        <v>-54.087589999999999</v>
      </c>
      <c r="M6467">
        <v>0.87167859999999997</v>
      </c>
      <c r="N6467">
        <v>0</v>
      </c>
      <c r="O6467">
        <v>-0.49007279999999998</v>
      </c>
      <c r="P6467">
        <v>0.88008349999999902</v>
      </c>
      <c r="Q6467">
        <v>1.7343810000000001E-2</v>
      </c>
      <c r="R6467">
        <v>-0.47450229999999999</v>
      </c>
      <c r="S6467">
        <v>2.986847</v>
      </c>
      <c r="T6467">
        <v>-0.2553976</v>
      </c>
      <c r="U6467">
        <v>-0.82299800000000001</v>
      </c>
      <c r="V6467">
        <v>-1.7751449999999998E-2</v>
      </c>
      <c r="W6467">
        <v>1.498626E-2</v>
      </c>
      <c r="X6467">
        <v>0.99973009999999995</v>
      </c>
      <c r="Y6467">
        <v>-0.23863229999999999</v>
      </c>
      <c r="Z6467">
        <v>4.9003110000000002E-2</v>
      </c>
      <c r="AA6467">
        <v>0.96987279999999998</v>
      </c>
      <c r="AB6467">
        <v>24</v>
      </c>
      <c r="AC6467">
        <v>11.5857999999999</v>
      </c>
      <c r="AD6467">
        <v>-1.1100965063470001</v>
      </c>
      <c r="AE6467">
        <v>-2.7965199999999899</v>
      </c>
      <c r="AF6467">
        <v>-3.2123593650737101</v>
      </c>
      <c r="AG6467">
        <v>-1.1100965063470001</v>
      </c>
      <c r="AH6467">
        <v>11.370976609356701</v>
      </c>
      <c r="AI6467">
        <v>95.367094246536695</v>
      </c>
      <c r="AJ6467">
        <v>105.77525881128599</v>
      </c>
      <c r="AK6467">
        <v>11.8680527465258</v>
      </c>
      <c r="AL6467">
        <v>89.141318396858296</v>
      </c>
      <c r="AM6467">
        <v>91.017250851392902</v>
      </c>
      <c r="AN6467">
        <v>0.99999998740594898</v>
      </c>
    </row>
    <row r="6468" spans="1:40" x14ac:dyDescent="0.25">
      <c r="A6468" t="str">
        <f>"20190312154426158"</f>
        <v>20190312154426158</v>
      </c>
      <c r="B6468" t="str">
        <f>"1552376666154137"</f>
        <v>1552376666154137</v>
      </c>
      <c r="C6468" t="s">
        <v>40</v>
      </c>
      <c r="D6468">
        <v>4.3078719999999997</v>
      </c>
      <c r="E6468">
        <v>0.41455160000000002</v>
      </c>
      <c r="F6468" t="s">
        <v>70</v>
      </c>
      <c r="G6468">
        <v>-285.00380000000001</v>
      </c>
      <c r="H6468" s="1">
        <v>-4.7963869999999998E-6</v>
      </c>
      <c r="I6468">
        <v>-54.840530000000001</v>
      </c>
      <c r="J6468">
        <v>-287.3854</v>
      </c>
      <c r="K6468">
        <v>1.1101000000000001</v>
      </c>
      <c r="L6468">
        <v>-54.202509999999997</v>
      </c>
      <c r="M6468">
        <v>0.87305789999999905</v>
      </c>
      <c r="N6468">
        <v>0</v>
      </c>
      <c r="O6468">
        <v>-0.48761169999999998</v>
      </c>
      <c r="P6468">
        <v>0.88122239999999996</v>
      </c>
      <c r="Q6468">
        <v>1.5834029999999999E-2</v>
      </c>
      <c r="R6468">
        <v>-0.4724372</v>
      </c>
      <c r="S6468">
        <v>2.968842</v>
      </c>
      <c r="T6468">
        <v>-1.2714299999999901</v>
      </c>
      <c r="U6468">
        <v>-0.86236569999999901</v>
      </c>
      <c r="V6468">
        <v>-1.728416E-2</v>
      </c>
      <c r="W6468">
        <v>1.3533959999999999E-2</v>
      </c>
      <c r="X6468">
        <v>0.99975899999999995</v>
      </c>
      <c r="Y6468">
        <v>-0.17544119999999999</v>
      </c>
      <c r="Z6468">
        <v>0.22176499999999999</v>
      </c>
      <c r="AA6468">
        <v>0.95918749999999997</v>
      </c>
      <c r="AB6468">
        <v>24</v>
      </c>
      <c r="AC6468">
        <v>2.3815999999999899</v>
      </c>
      <c r="AD6468">
        <v>-1.1101047963869899</v>
      </c>
      <c r="AE6468">
        <v>-0.63802000000000403</v>
      </c>
      <c r="AF6468">
        <v>-0.50242010836491602</v>
      </c>
      <c r="AG6468">
        <v>-1.1101047963869899</v>
      </c>
      <c r="AH6468">
        <v>1.98748913504623</v>
      </c>
      <c r="AI6468">
        <v>118.436077586203</v>
      </c>
      <c r="AJ6468">
        <v>104.18667036825001</v>
      </c>
      <c r="AK6468">
        <v>2.3312811255139598</v>
      </c>
      <c r="AL6468">
        <v>89.224537525068996</v>
      </c>
      <c r="AM6468">
        <v>90.990449473157497</v>
      </c>
      <c r="AN6468">
        <v>0.99999998417059299</v>
      </c>
    </row>
    <row r="6469" spans="1:40" x14ac:dyDescent="0.25">
      <c r="A6469" t="str">
        <f>"20190312154426226"</f>
        <v>20190312154426226</v>
      </c>
      <c r="B6469" t="str">
        <f>"1552376666214649"</f>
        <v>1552376666214649</v>
      </c>
      <c r="C6469" t="s">
        <v>40</v>
      </c>
      <c r="D6469">
        <v>4.9552649999999998</v>
      </c>
      <c r="E6469">
        <v>0.41455160000000002</v>
      </c>
      <c r="F6469" t="s">
        <v>70</v>
      </c>
      <c r="G6469">
        <v>-284.12810000000002</v>
      </c>
      <c r="H6469" s="1">
        <v>-5.1653959999999996E-6</v>
      </c>
      <c r="I6469">
        <v>-55.068829999999998</v>
      </c>
      <c r="J6469">
        <v>-286.72649999999999</v>
      </c>
      <c r="K6469">
        <v>1.1101859999999999</v>
      </c>
      <c r="L6469">
        <v>-54.55789</v>
      </c>
      <c r="M6469">
        <v>0.87721459999999996</v>
      </c>
      <c r="N6469">
        <v>0</v>
      </c>
      <c r="O6469">
        <v>-0.48009429999999997</v>
      </c>
      <c r="P6469">
        <v>0.88394889999999904</v>
      </c>
      <c r="Q6469">
        <v>1.38382E-2</v>
      </c>
      <c r="R6469">
        <v>-0.46737889999999999</v>
      </c>
      <c r="S6469">
        <v>2.9955750000000001</v>
      </c>
      <c r="T6469">
        <v>-1.020886</v>
      </c>
      <c r="U6469">
        <v>-0.79669190000000001</v>
      </c>
      <c r="V6469">
        <v>-1.443696E-2</v>
      </c>
      <c r="W6469">
        <v>1.174358E-2</v>
      </c>
      <c r="X6469">
        <v>0.99982680000000002</v>
      </c>
      <c r="Y6469">
        <v>-0.20509559999999999</v>
      </c>
      <c r="Z6469">
        <v>0.1825196</v>
      </c>
      <c r="AA6469">
        <v>0.96157289999999995</v>
      </c>
      <c r="AB6469">
        <v>24</v>
      </c>
      <c r="AC6469">
        <v>2.5983999999999599</v>
      </c>
      <c r="AD6469">
        <v>-1.1101911653959999</v>
      </c>
      <c r="AE6469">
        <v>-0.51094000000000495</v>
      </c>
      <c r="AF6469">
        <v>-0.67979690672117599</v>
      </c>
      <c r="AG6469">
        <v>-1.1101911653959999</v>
      </c>
      <c r="AH6469">
        <v>2.1472661276139799</v>
      </c>
      <c r="AI6469">
        <v>116.239307246484</v>
      </c>
      <c r="AJ6469">
        <v>107.56711898383701</v>
      </c>
      <c r="AK6469">
        <v>2.51105557105162</v>
      </c>
      <c r="AL6469">
        <v>89.327126951906905</v>
      </c>
      <c r="AM6469">
        <v>90.827262677835407</v>
      </c>
      <c r="AN6469">
        <v>0.99999998374174803</v>
      </c>
    </row>
    <row r="6470" spans="1:40" x14ac:dyDescent="0.25">
      <c r="A6470" t="str">
        <f>"20190312154426247"</f>
        <v>20190312154426247</v>
      </c>
      <c r="B6470" t="str">
        <f>"1552376666243929"</f>
        <v>1552376666243929</v>
      </c>
      <c r="C6470" t="s">
        <v>40</v>
      </c>
      <c r="D6470">
        <v>4.9639100000000003</v>
      </c>
      <c r="E6470">
        <v>0.41868539999999999</v>
      </c>
      <c r="F6470" t="s">
        <v>70</v>
      </c>
      <c r="G6470">
        <v>-283.47430000000003</v>
      </c>
      <c r="H6470" s="1">
        <v>-5.4113719999999996E-6</v>
      </c>
      <c r="I6470">
        <v>-55.397860000000001</v>
      </c>
      <c r="J6470">
        <v>-286.51690000000002</v>
      </c>
      <c r="K6470">
        <v>1.1102209999999999</v>
      </c>
      <c r="L6470">
        <v>-54.669460000000001</v>
      </c>
      <c r="M6470">
        <v>0.8785039</v>
      </c>
      <c r="N6470">
        <v>0</v>
      </c>
      <c r="O6470">
        <v>-0.47773120000000002</v>
      </c>
      <c r="P6470">
        <v>0.88456109999999899</v>
      </c>
      <c r="Q6470">
        <v>1.3066120000000001E-2</v>
      </c>
      <c r="R6470">
        <v>-0.46624090000000001</v>
      </c>
      <c r="S6470">
        <v>3.0001829999999998</v>
      </c>
      <c r="T6470">
        <v>-1.0241549999999999</v>
      </c>
      <c r="U6470">
        <v>-0.7748718</v>
      </c>
      <c r="V6470">
        <v>-1.3035390000000001E-2</v>
      </c>
      <c r="W6470">
        <v>1.104458E-2</v>
      </c>
      <c r="X6470">
        <v>0.99985400000000002</v>
      </c>
      <c r="Y6470">
        <v>-0.20908189999999999</v>
      </c>
      <c r="Z6470">
        <v>0.18301600000000001</v>
      </c>
      <c r="AA6470">
        <v>0.96061949999999996</v>
      </c>
      <c r="AB6470">
        <v>25</v>
      </c>
      <c r="AC6470">
        <v>3.04259999999999</v>
      </c>
      <c r="AD6470">
        <v>-1.110226411372</v>
      </c>
      <c r="AE6470">
        <v>-0.72839999999999305</v>
      </c>
      <c r="AF6470">
        <v>-0.72264180843519399</v>
      </c>
      <c r="AG6470">
        <v>-1.110226411372</v>
      </c>
      <c r="AH6470">
        <v>2.6830446893709801</v>
      </c>
      <c r="AI6470">
        <v>111.779421559428</v>
      </c>
      <c r="AJ6470">
        <v>105.074135358383</v>
      </c>
      <c r="AK6470">
        <v>2.9922470942367498</v>
      </c>
      <c r="AL6470">
        <v>89.367179289938804</v>
      </c>
      <c r="AM6470">
        <v>90.746939573220502</v>
      </c>
      <c r="AN6470">
        <v>0.99999996272791303</v>
      </c>
    </row>
    <row r="6471" spans="1:40" x14ac:dyDescent="0.25">
      <c r="A6471" t="str">
        <f>"20190312154426258"</f>
        <v>20190312154426258</v>
      </c>
      <c r="B6471" t="str">
        <f>"1552376666253689"</f>
        <v>1552376666253689</v>
      </c>
      <c r="C6471" t="s">
        <v>40</v>
      </c>
      <c r="D6471">
        <v>4.9505039999999996</v>
      </c>
      <c r="E6471">
        <v>0.4194756</v>
      </c>
      <c r="F6471" t="s">
        <v>43</v>
      </c>
      <c r="G6471">
        <v>-267.35219999999998</v>
      </c>
      <c r="H6471" s="1">
        <v>-2.232361E-6</v>
      </c>
      <c r="I6471">
        <v>-59.971939999999996</v>
      </c>
      <c r="J6471">
        <v>-286.4051</v>
      </c>
      <c r="K6471">
        <v>1.1102369999999999</v>
      </c>
      <c r="L6471">
        <v>-54.728639999999999</v>
      </c>
      <c r="M6471">
        <v>0.87918719999999995</v>
      </c>
      <c r="N6471">
        <v>0</v>
      </c>
      <c r="O6471">
        <v>-0.47647279999999997</v>
      </c>
      <c r="P6471">
        <v>0.88499649999999996</v>
      </c>
      <c r="Q6471">
        <v>1.251565E-2</v>
      </c>
      <c r="R6471">
        <v>-0.46543030000000002</v>
      </c>
      <c r="S6471">
        <v>2.9620669999999998</v>
      </c>
      <c r="T6471">
        <v>-0.17159369999999999</v>
      </c>
      <c r="U6471">
        <v>-0.81954959999999899</v>
      </c>
      <c r="V6471">
        <v>-1.252293E-2</v>
      </c>
      <c r="W6471">
        <v>1.053249E-2</v>
      </c>
      <c r="X6471">
        <v>0.99986609999999998</v>
      </c>
      <c r="Y6471">
        <v>-0.22376399999999999</v>
      </c>
      <c r="Z6471">
        <v>3.2136650000000003E-2</v>
      </c>
      <c r="AA6471">
        <v>0.97411340000000002</v>
      </c>
      <c r="AB6471">
        <v>25</v>
      </c>
      <c r="AC6471">
        <v>19.052900000000001</v>
      </c>
      <c r="AD6471">
        <v>-1.110239232361</v>
      </c>
      <c r="AE6471">
        <v>-5.2432999999999899</v>
      </c>
      <c r="AF6471">
        <v>-4.4542942732668198</v>
      </c>
      <c r="AG6471">
        <v>-1.110239232361</v>
      </c>
      <c r="AH6471">
        <v>19.188820104522701</v>
      </c>
      <c r="AI6471">
        <v>93.225783975972007</v>
      </c>
      <c r="AJ6471">
        <v>103.068600380631</v>
      </c>
      <c r="AK6471">
        <v>19.730285999692601</v>
      </c>
      <c r="AL6471">
        <v>89.396521609711002</v>
      </c>
      <c r="AM6471">
        <v>90.717569604595397</v>
      </c>
      <c r="AN6471">
        <v>0.99999998752529695</v>
      </c>
    </row>
    <row r="6472" spans="1:40" x14ac:dyDescent="0.25">
      <c r="A6472" t="str">
        <f>"20190312154426270"</f>
        <v>20190312154426270</v>
      </c>
      <c r="B6472" t="str">
        <f>"1552376666264425"</f>
        <v>1552376666264425</v>
      </c>
      <c r="C6472" t="s">
        <v>40</v>
      </c>
      <c r="D6472">
        <v>4.9583079999999997</v>
      </c>
      <c r="E6472">
        <v>0.41986089999999998</v>
      </c>
      <c r="F6472" t="s">
        <v>43</v>
      </c>
      <c r="G6472">
        <v>-267.65750000000003</v>
      </c>
      <c r="H6472" s="1">
        <v>-2.369739E-6</v>
      </c>
      <c r="I6472">
        <v>-59.935809999999996</v>
      </c>
      <c r="J6472">
        <v>-286.28899999999999</v>
      </c>
      <c r="K6472">
        <v>1.1102559999999999</v>
      </c>
      <c r="L6472">
        <v>-54.790010000000002</v>
      </c>
      <c r="M6472">
        <v>0.87989409999999901</v>
      </c>
      <c r="N6472">
        <v>0</v>
      </c>
      <c r="O6472">
        <v>-0.47516609999999998</v>
      </c>
      <c r="P6472">
        <v>0.88557399999999997</v>
      </c>
      <c r="Q6472">
        <v>1.170357E-2</v>
      </c>
      <c r="R6472">
        <v>-0.4643505</v>
      </c>
      <c r="S6472">
        <v>2.9599609999999998</v>
      </c>
      <c r="T6472">
        <v>-0.17528959999999999</v>
      </c>
      <c r="U6472">
        <v>-0.82214359999999997</v>
      </c>
      <c r="V6472">
        <v>-1.225889E-2</v>
      </c>
      <c r="W6472">
        <v>9.7600499999999993E-3</v>
      </c>
      <c r="X6472">
        <v>0.99987720000000002</v>
      </c>
      <c r="Y6472">
        <v>-0.22130530000000001</v>
      </c>
      <c r="Z6472">
        <v>3.270783E-2</v>
      </c>
      <c r="AA6472">
        <v>0.97465590000000002</v>
      </c>
      <c r="AB6472">
        <v>25</v>
      </c>
      <c r="AC6472">
        <v>18.6314999999999</v>
      </c>
      <c r="AD6472">
        <v>-1.1102583697389901</v>
      </c>
      <c r="AE6472">
        <v>-5.1458000000000004</v>
      </c>
      <c r="AF6472">
        <v>-4.3110820792835503</v>
      </c>
      <c r="AG6472">
        <v>-1.1102583697389901</v>
      </c>
      <c r="AH6472">
        <v>18.7769385545201</v>
      </c>
      <c r="AI6472">
        <v>93.298273632871798</v>
      </c>
      <c r="AJ6472">
        <v>102.930697174481</v>
      </c>
      <c r="AK6472">
        <v>19.297448635042901</v>
      </c>
      <c r="AL6472">
        <v>89.440781435678602</v>
      </c>
      <c r="AM6472">
        <v>90.702433727129005</v>
      </c>
      <c r="AN6472">
        <v>0.99999997701993704</v>
      </c>
    </row>
    <row r="6473" spans="1:40" x14ac:dyDescent="0.25">
      <c r="A6473" t="str">
        <f>"20190312154426281"</f>
        <v>20190312154426281</v>
      </c>
      <c r="B6473" t="str">
        <f>"1552376666274185"</f>
        <v>1552376666274185</v>
      </c>
      <c r="C6473" t="s">
        <v>40</v>
      </c>
      <c r="D6473">
        <v>4.9955499999999997</v>
      </c>
      <c r="E6473">
        <v>0.42031760000000001</v>
      </c>
      <c r="F6473" t="s">
        <v>74</v>
      </c>
      <c r="G6473">
        <v>-268.02350000000001</v>
      </c>
      <c r="H6473" s="1">
        <v>-2.5407180000000002E-6</v>
      </c>
      <c r="I6473">
        <v>-59.857089999999999</v>
      </c>
      <c r="J6473">
        <v>-286.16739999999999</v>
      </c>
      <c r="K6473">
        <v>1.110277</v>
      </c>
      <c r="L6473">
        <v>-54.853909999999999</v>
      </c>
      <c r="M6473">
        <v>0.88063130000000001</v>
      </c>
      <c r="N6473">
        <v>0</v>
      </c>
      <c r="O6473">
        <v>-0.47379890000000002</v>
      </c>
      <c r="P6473">
        <v>0.88596730000000001</v>
      </c>
      <c r="Q6473">
        <v>1.1163319999999999E-2</v>
      </c>
      <c r="R6473">
        <v>-0.46361380000000002</v>
      </c>
      <c r="S6473">
        <v>2.9595030000000002</v>
      </c>
      <c r="T6473">
        <v>-0.17989169999999999</v>
      </c>
      <c r="U6473">
        <v>-0.82101440000000003</v>
      </c>
      <c r="V6473">
        <v>-1.1539489999999999E-2</v>
      </c>
      <c r="W6473">
        <v>9.2636850000000007E-3</v>
      </c>
      <c r="X6473">
        <v>0.99989050000000002</v>
      </c>
      <c r="Y6473">
        <v>-0.22004460000000001</v>
      </c>
      <c r="Z6473">
        <v>3.346412E-2</v>
      </c>
      <c r="AA6473">
        <v>0.97491559999999999</v>
      </c>
      <c r="AB6473">
        <v>25</v>
      </c>
      <c r="AC6473">
        <v>18.143899999999899</v>
      </c>
      <c r="AD6473">
        <v>-1.1102795407179999</v>
      </c>
      <c r="AE6473">
        <v>-5.0031800000000004</v>
      </c>
      <c r="AF6473">
        <v>-4.1760768519648197</v>
      </c>
      <c r="AG6473">
        <v>-1.1102795407179999</v>
      </c>
      <c r="AH6473">
        <v>18.284984773766201</v>
      </c>
      <c r="AI6473">
        <v>93.387760495149493</v>
      </c>
      <c r="AJ6473">
        <v>102.865030416588</v>
      </c>
      <c r="AK6473">
        <v>18.788640363499301</v>
      </c>
      <c r="AL6473">
        <v>89.4692223517836</v>
      </c>
      <c r="AM6473">
        <v>90.661207125999397</v>
      </c>
      <c r="AN6473">
        <v>0.99999999383974403</v>
      </c>
    </row>
    <row r="6474" spans="1:40" x14ac:dyDescent="0.25">
      <c r="A6474" t="str">
        <f>"20190312154426292"</f>
        <v>20190312154426292</v>
      </c>
      <c r="B6474" t="str">
        <f>"1552376666283945"</f>
        <v>1552376666283945</v>
      </c>
      <c r="C6474" t="s">
        <v>40</v>
      </c>
      <c r="D6474">
        <v>5.0411580000000002</v>
      </c>
      <c r="E6474">
        <v>0.42082789999999998</v>
      </c>
      <c r="F6474" t="s">
        <v>43</v>
      </c>
      <c r="G6474">
        <v>-268.45749999999998</v>
      </c>
      <c r="H6474" s="1">
        <v>-2.7420160000000002E-6</v>
      </c>
      <c r="I6474">
        <v>-59.771909999999998</v>
      </c>
      <c r="J6474">
        <v>-286.0609</v>
      </c>
      <c r="K6474">
        <v>1.1102970000000001</v>
      </c>
      <c r="L6474">
        <v>-54.909820000000003</v>
      </c>
      <c r="M6474">
        <v>0.88127489999999997</v>
      </c>
      <c r="N6474">
        <v>0</v>
      </c>
      <c r="O6474">
        <v>-0.47260099999999999</v>
      </c>
      <c r="P6474">
        <v>0.88652109999999995</v>
      </c>
      <c r="Q6474">
        <v>1.057263E-2</v>
      </c>
      <c r="R6474">
        <v>-0.46256799999999998</v>
      </c>
      <c r="S6474">
        <v>2.9585569999999999</v>
      </c>
      <c r="T6474">
        <v>-0.18547930000000001</v>
      </c>
      <c r="U6474">
        <v>-0.82159419999999905</v>
      </c>
      <c r="V6474">
        <v>-1.1360749999999999E-2</v>
      </c>
      <c r="W6474">
        <v>8.7091479999999999E-3</v>
      </c>
      <c r="X6474">
        <v>0.99989749999999999</v>
      </c>
      <c r="Y6474">
        <v>-0.2183949</v>
      </c>
      <c r="Z6474">
        <v>3.4396419999999997E-2</v>
      </c>
      <c r="AA6474">
        <v>0.97525410000000001</v>
      </c>
      <c r="AB6474">
        <v>25</v>
      </c>
      <c r="AC6474">
        <v>17.603400000000001</v>
      </c>
      <c r="AD6474">
        <v>-1.1102997420159999</v>
      </c>
      <c r="AE6474">
        <v>-4.8620900000000002</v>
      </c>
      <c r="AF6474">
        <v>-4.0196945852289803</v>
      </c>
      <c r="AG6474">
        <v>-1.1102997420159999</v>
      </c>
      <c r="AH6474">
        <v>17.745696318677599</v>
      </c>
      <c r="AI6474">
        <v>93.491936179304901</v>
      </c>
      <c r="AJ6474">
        <v>102.763063638689</v>
      </c>
      <c r="AK6474">
        <v>18.229109904500799</v>
      </c>
      <c r="AL6474">
        <v>89.500996249769997</v>
      </c>
      <c r="AM6474">
        <v>90.650961742960007</v>
      </c>
      <c r="AN6474">
        <v>0.99999996320284801</v>
      </c>
    </row>
    <row r="6475" spans="1:40" x14ac:dyDescent="0.25">
      <c r="A6475" t="str">
        <f>"20190312154426304"</f>
        <v>20190312154426304</v>
      </c>
      <c r="B6475" t="str">
        <f>"1552376666294681"</f>
        <v>1552376666294681</v>
      </c>
      <c r="C6475" t="s">
        <v>40</v>
      </c>
      <c r="D6475">
        <v>5.0515080000000001</v>
      </c>
      <c r="E6475">
        <v>0.42109659999999899</v>
      </c>
      <c r="F6475" t="s">
        <v>43</v>
      </c>
      <c r="G6475">
        <v>-268.5274</v>
      </c>
      <c r="H6475" s="1">
        <v>-2.7706749999999999E-6</v>
      </c>
      <c r="I6475">
        <v>-59.779429999999998</v>
      </c>
      <c r="J6475">
        <v>-285.9409</v>
      </c>
      <c r="K6475">
        <v>1.1103190000000001</v>
      </c>
      <c r="L6475">
        <v>-54.972470000000001</v>
      </c>
      <c r="M6475">
        <v>0.88199689999999997</v>
      </c>
      <c r="N6475">
        <v>0</v>
      </c>
      <c r="O6475">
        <v>-0.47125220000000001</v>
      </c>
      <c r="P6475">
        <v>0.88712089999999999</v>
      </c>
      <c r="Q6475">
        <v>9.9225119999999997E-3</v>
      </c>
      <c r="R6475">
        <v>-0.46143099999999998</v>
      </c>
      <c r="S6475">
        <v>2.9576419999999999</v>
      </c>
      <c r="T6475">
        <v>-0.18729090000000001</v>
      </c>
      <c r="U6475">
        <v>-0.82144169999999905</v>
      </c>
      <c r="V6475">
        <v>-1.1114310000000001E-2</v>
      </c>
      <c r="W6475">
        <v>8.1007240000000001E-3</v>
      </c>
      <c r="X6475">
        <v>0.99990540000000006</v>
      </c>
      <c r="Y6475">
        <v>-0.21685199999999999</v>
      </c>
      <c r="Z6475">
        <v>3.4621760000000001E-2</v>
      </c>
      <c r="AA6475">
        <v>0.97559030000000002</v>
      </c>
      <c r="AB6475">
        <v>26</v>
      </c>
      <c r="AC6475">
        <v>17.413499999999999</v>
      </c>
      <c r="AD6475">
        <v>-1.1103217706749999</v>
      </c>
      <c r="AE6475">
        <v>-4.8069600000000099</v>
      </c>
      <c r="AF6475">
        <v>-3.95150424391128</v>
      </c>
      <c r="AG6475">
        <v>-1.1103217706749999</v>
      </c>
      <c r="AH6475">
        <v>17.557640323537001</v>
      </c>
      <c r="AI6475">
        <v>93.530415927419298</v>
      </c>
      <c r="AJ6475">
        <v>102.683598746765</v>
      </c>
      <c r="AK6475">
        <v>18.031026980035701</v>
      </c>
      <c r="AL6475">
        <v>89.535857617784998</v>
      </c>
      <c r="AM6475">
        <v>90.636837075991096</v>
      </c>
      <c r="AN6475">
        <v>0.99999997928262996</v>
      </c>
    </row>
    <row r="6476" spans="1:40" x14ac:dyDescent="0.25">
      <c r="A6476" t="str">
        <f>"20190312154426315"</f>
        <v>20190312154426315</v>
      </c>
      <c r="B6476" t="str">
        <f>"1552376666304441"</f>
        <v>1552376666304441</v>
      </c>
      <c r="C6476" t="s">
        <v>40</v>
      </c>
      <c r="D6476">
        <v>5.040082</v>
      </c>
      <c r="E6476">
        <v>0.42147829999999997</v>
      </c>
      <c r="F6476" t="s">
        <v>43</v>
      </c>
      <c r="G6476">
        <v>-268.68639999999999</v>
      </c>
      <c r="H6476" s="1">
        <v>-2.8436409999999998E-6</v>
      </c>
      <c r="I6476">
        <v>-59.752670000000002</v>
      </c>
      <c r="J6476">
        <v>-285.83</v>
      </c>
      <c r="K6476">
        <v>1.1103419999999999</v>
      </c>
      <c r="L6476">
        <v>-55.030180000000001</v>
      </c>
      <c r="M6476">
        <v>0.88266219999999995</v>
      </c>
      <c r="N6476">
        <v>0</v>
      </c>
      <c r="O6476">
        <v>-0.4700048</v>
      </c>
      <c r="P6476">
        <v>0.88751329999999995</v>
      </c>
      <c r="Q6476">
        <v>9.2164399999999994E-3</v>
      </c>
      <c r="R6476">
        <v>-0.46069009999999999</v>
      </c>
      <c r="S6476">
        <v>2.9576419999999999</v>
      </c>
      <c r="T6476">
        <v>-0.19032299999999999</v>
      </c>
      <c r="U6476">
        <v>-0.81939699999999904</v>
      </c>
      <c r="V6476">
        <v>-1.0536490000000001E-2</v>
      </c>
      <c r="W6476">
        <v>7.4355549999999999E-3</v>
      </c>
      <c r="X6476">
        <v>0.9999169</v>
      </c>
      <c r="Y6476">
        <v>-0.2160628</v>
      </c>
      <c r="Z6476">
        <v>3.5092190000000002E-2</v>
      </c>
      <c r="AA6476">
        <v>0.97574870000000002</v>
      </c>
      <c r="AB6476">
        <v>26</v>
      </c>
      <c r="AC6476">
        <v>17.1435999999999</v>
      </c>
      <c r="AD6476">
        <v>-1.1103448436409999</v>
      </c>
      <c r="AE6476">
        <v>-4.7224899999999899</v>
      </c>
      <c r="AF6476">
        <v>-3.8741116230060002</v>
      </c>
      <c r="AG6476">
        <v>-1.1103448436409999</v>
      </c>
      <c r="AH6476">
        <v>17.284235782133099</v>
      </c>
      <c r="AI6476">
        <v>93.586892130832297</v>
      </c>
      <c r="AJ6476">
        <v>102.63354745036401</v>
      </c>
      <c r="AK6476">
        <v>17.747856577955499</v>
      </c>
      <c r="AL6476">
        <v>89.573970178274294</v>
      </c>
      <c r="AM6476">
        <v>90.603724234827595</v>
      </c>
      <c r="AN6476">
        <v>1.0000000560026401</v>
      </c>
    </row>
    <row r="6477" spans="1:40" x14ac:dyDescent="0.25">
      <c r="A6477" t="str">
        <f>"20190312154426324"</f>
        <v>20190312154426324</v>
      </c>
      <c r="B6477" t="str">
        <f>"1552376666314200"</f>
        <v>1552376666314200</v>
      </c>
      <c r="C6477" t="s">
        <v>40</v>
      </c>
      <c r="D6477">
        <v>5.0021940000000003</v>
      </c>
      <c r="E6477">
        <v>0.42194559999999998</v>
      </c>
      <c r="F6477" t="s">
        <v>43</v>
      </c>
      <c r="G6477">
        <v>-268.95569999999998</v>
      </c>
      <c r="H6477" s="1">
        <v>-2.9674479999999998E-6</v>
      </c>
      <c r="I6477">
        <v>-59.706029999999998</v>
      </c>
      <c r="J6477">
        <v>-285.72000000000003</v>
      </c>
      <c r="K6477">
        <v>1.1103609999999999</v>
      </c>
      <c r="L6477">
        <v>-55.087339999999998</v>
      </c>
      <c r="M6477">
        <v>0.883320199999999</v>
      </c>
      <c r="N6477">
        <v>0</v>
      </c>
      <c r="O6477">
        <v>-0.4687675</v>
      </c>
      <c r="P6477">
        <v>0.88815529999999998</v>
      </c>
      <c r="Q6477">
        <v>9.0684000000000008E-3</v>
      </c>
      <c r="R6477">
        <v>-0.45945439999999999</v>
      </c>
      <c r="S6477">
        <v>2.956909</v>
      </c>
      <c r="T6477">
        <v>-0.1945672</v>
      </c>
      <c r="U6477">
        <v>-0.8193665</v>
      </c>
      <c r="V6477">
        <v>-1.0527440000000001E-2</v>
      </c>
      <c r="W6477">
        <v>7.3254089999999997E-3</v>
      </c>
      <c r="X6477">
        <v>0.99991770000000002</v>
      </c>
      <c r="Y6477">
        <v>-0.2145908</v>
      </c>
      <c r="Z6477">
        <v>3.5764829999999997E-2</v>
      </c>
      <c r="AA6477">
        <v>0.97604900000000006</v>
      </c>
      <c r="AB6477">
        <v>26</v>
      </c>
      <c r="AC6477">
        <v>16.764299999999999</v>
      </c>
      <c r="AD6477">
        <v>-1.1103639674479999</v>
      </c>
      <c r="AE6477">
        <v>-4.61869</v>
      </c>
      <c r="AF6477">
        <v>-3.7634363274672902</v>
      </c>
      <c r="AG6477">
        <v>-1.1103639674479999</v>
      </c>
      <c r="AH6477">
        <v>16.904430846356501</v>
      </c>
      <c r="AI6477">
        <v>93.6685032009201</v>
      </c>
      <c r="AJ6477">
        <v>102.55107957822599</v>
      </c>
      <c r="AK6477">
        <v>17.353850966582499</v>
      </c>
      <c r="AL6477">
        <v>89.580281205282503</v>
      </c>
      <c r="AM6477">
        <v>90.603205239885398</v>
      </c>
      <c r="AN6477">
        <v>0.99999994769162903</v>
      </c>
    </row>
    <row r="6478" spans="1:40" x14ac:dyDescent="0.25">
      <c r="A6478" t="str">
        <f>"20190312154426349"</f>
        <v>20190312154426349</v>
      </c>
      <c r="B6478" t="str">
        <f>"1552376666333721"</f>
        <v>1552376666333721</v>
      </c>
      <c r="C6478" t="s">
        <v>40</v>
      </c>
      <c r="D6478">
        <v>5.0237040000000004</v>
      </c>
      <c r="E6478">
        <v>0.42272130000000002</v>
      </c>
      <c r="F6478" t="s">
        <v>43</v>
      </c>
      <c r="G6478">
        <v>-268.9862</v>
      </c>
      <c r="H6478" s="1">
        <v>-2.978042E-6</v>
      </c>
      <c r="I6478">
        <v>-59.720050000000001</v>
      </c>
      <c r="J6478">
        <v>-285.48790000000002</v>
      </c>
      <c r="K6478">
        <v>1.1104019999999999</v>
      </c>
      <c r="L6478">
        <v>-55.207149999999999</v>
      </c>
      <c r="M6478">
        <v>0.88470199999999999</v>
      </c>
      <c r="N6478">
        <v>0</v>
      </c>
      <c r="O6478">
        <v>-0.46615450000000003</v>
      </c>
      <c r="P6478">
        <v>0.8893472</v>
      </c>
      <c r="Q6478">
        <v>9.1206970000000005E-3</v>
      </c>
      <c r="R6478">
        <v>-0.4571424</v>
      </c>
      <c r="S6478">
        <v>2.9563899999999999</v>
      </c>
      <c r="T6478">
        <v>-0.19616990000000001</v>
      </c>
      <c r="U6478">
        <v>-0.81848140000000003</v>
      </c>
      <c r="V6478">
        <v>-1.0174590000000001E-2</v>
      </c>
      <c r="W6478">
        <v>7.459874E-3</v>
      </c>
      <c r="X6478">
        <v>0.99992040000000004</v>
      </c>
      <c r="Y6478">
        <v>-0.21191860000000001</v>
      </c>
      <c r="Z6478">
        <v>3.58319E-2</v>
      </c>
      <c r="AA6478">
        <v>0.9766302</v>
      </c>
      <c r="AB6478">
        <v>26</v>
      </c>
      <c r="AC6478">
        <v>16.5017</v>
      </c>
      <c r="AD6478">
        <v>-1.110404978042</v>
      </c>
      <c r="AE6478">
        <v>-4.5129000000000001</v>
      </c>
      <c r="AF6478">
        <v>-3.6842530233133801</v>
      </c>
      <c r="AG6478">
        <v>-1.110404978042</v>
      </c>
      <c r="AH6478">
        <v>16.632743218039199</v>
      </c>
      <c r="AI6478">
        <v>93.729280640193494</v>
      </c>
      <c r="AJ6478">
        <v>102.489698386085</v>
      </c>
      <c r="AK6478">
        <v>17.072049276881899</v>
      </c>
      <c r="AL6478">
        <v>89.572576735077703</v>
      </c>
      <c r="AM6478">
        <v>90.582987352629601</v>
      </c>
      <c r="AN6478">
        <v>0.99999998916896105</v>
      </c>
    </row>
    <row r="6479" spans="1:40" x14ac:dyDescent="0.25">
      <c r="A6479" t="str">
        <f>"20190312154426360"</f>
        <v>20190312154426360</v>
      </c>
      <c r="B6479" t="str">
        <f>"1552376666354217"</f>
        <v>1552376666354217</v>
      </c>
      <c r="C6479" t="s">
        <v>40</v>
      </c>
      <c r="D6479">
        <v>5.0283720000000001</v>
      </c>
      <c r="E6479">
        <v>0.42340470000000002</v>
      </c>
      <c r="F6479" t="s">
        <v>43</v>
      </c>
      <c r="G6479">
        <v>-269.00540000000001</v>
      </c>
      <c r="H6479" s="1">
        <v>-2.9793290000000002E-6</v>
      </c>
      <c r="I6479">
        <v>-59.759099999999997</v>
      </c>
      <c r="J6479">
        <v>-285.35930000000002</v>
      </c>
      <c r="K6479">
        <v>1.1104320000000001</v>
      </c>
      <c r="L6479">
        <v>-55.273099999999999</v>
      </c>
      <c r="M6479">
        <v>0.88546469999999899</v>
      </c>
      <c r="N6479">
        <v>0</v>
      </c>
      <c r="O6479">
        <v>-0.46470400000000001</v>
      </c>
      <c r="P6479">
        <v>0.89008209999999999</v>
      </c>
      <c r="Q6479">
        <v>9.0095190000000006E-3</v>
      </c>
      <c r="R6479">
        <v>-0.4557117</v>
      </c>
      <c r="S6479">
        <v>2.9557190000000002</v>
      </c>
      <c r="T6479">
        <v>-0.19912199999999999</v>
      </c>
      <c r="U6479">
        <v>-0.81628420000000002</v>
      </c>
      <c r="V6479">
        <v>-1.014409E-2</v>
      </c>
      <c r="W6479">
        <v>7.3940730000000001E-3</v>
      </c>
      <c r="X6479">
        <v>0.99992119999999995</v>
      </c>
      <c r="Y6479">
        <v>-0.21089930000000001</v>
      </c>
      <c r="Z6479">
        <v>3.6265390000000002E-2</v>
      </c>
      <c r="AA6479">
        <v>0.9768348</v>
      </c>
      <c r="AB6479">
        <v>26</v>
      </c>
      <c r="AC6479">
        <v>16.353899999999999</v>
      </c>
      <c r="AD6479">
        <v>-1.11043497932899</v>
      </c>
      <c r="AE6479">
        <v>-4.48599999999999</v>
      </c>
      <c r="AF6479">
        <v>-3.6120447701046201</v>
      </c>
      <c r="AG6479">
        <v>-1.11043497932899</v>
      </c>
      <c r="AH6479">
        <v>16.494757148493498</v>
      </c>
      <c r="AI6479">
        <v>93.762478959506495</v>
      </c>
      <c r="AJ6479">
        <v>102.351738649415</v>
      </c>
      <c r="AK6479">
        <v>16.9220845835357</v>
      </c>
      <c r="AL6479">
        <v>89.576346959273394</v>
      </c>
      <c r="AM6479">
        <v>90.581239407634101</v>
      </c>
      <c r="AN6479">
        <v>0.99999999054344801</v>
      </c>
    </row>
    <row r="6480" spans="1:40" x14ac:dyDescent="0.25">
      <c r="A6480" t="str">
        <f>"20190312154426372"</f>
        <v>20190312154426372</v>
      </c>
      <c r="B6480" t="str">
        <f>"1552376666363977"</f>
        <v>1552376666363977</v>
      </c>
      <c r="C6480" t="s">
        <v>40</v>
      </c>
      <c r="D6480">
        <v>5.0383079999999998</v>
      </c>
      <c r="E6480">
        <v>0.42382170000000002</v>
      </c>
      <c r="F6480" t="s">
        <v>43</v>
      </c>
      <c r="G6480">
        <v>-269.10989999999998</v>
      </c>
      <c r="H6480" s="1">
        <v>-3.0236219999999999E-6</v>
      </c>
      <c r="I6480">
        <v>-59.762210000000003</v>
      </c>
      <c r="J6480">
        <v>-285.23149999999998</v>
      </c>
      <c r="K6480">
        <v>1.1104579999999999</v>
      </c>
      <c r="L6480">
        <v>-55.338470000000001</v>
      </c>
      <c r="M6480">
        <v>0.88622080000000003</v>
      </c>
      <c r="N6480">
        <v>0</v>
      </c>
      <c r="O6480">
        <v>-0.46326089999999998</v>
      </c>
      <c r="P6480">
        <v>0.8907484</v>
      </c>
      <c r="Q6480">
        <v>9.4636830000000005E-3</v>
      </c>
      <c r="R6480">
        <v>-0.454399</v>
      </c>
      <c r="S6480">
        <v>2.95459</v>
      </c>
      <c r="T6480">
        <v>-0.20190720000000001</v>
      </c>
      <c r="U6480">
        <v>-0.81625369999999997</v>
      </c>
      <c r="V6480">
        <v>-9.9900409999999999E-3</v>
      </c>
      <c r="W6480">
        <v>7.8937829999999997E-3</v>
      </c>
      <c r="X6480">
        <v>0.99991890000000005</v>
      </c>
      <c r="Y6480">
        <v>-0.20918819999999999</v>
      </c>
      <c r="Z6480">
        <v>3.664332E-2</v>
      </c>
      <c r="AA6480">
        <v>0.97718859999999996</v>
      </c>
      <c r="AB6480">
        <v>26</v>
      </c>
      <c r="AC6480">
        <v>16.121600000000001</v>
      </c>
      <c r="AD6480">
        <v>-1.1104610236220001</v>
      </c>
      <c r="AE6480">
        <v>-4.4237399999999996</v>
      </c>
      <c r="AF6480">
        <v>-3.5325136932002801</v>
      </c>
      <c r="AG6480">
        <v>-1.1104610236220001</v>
      </c>
      <c r="AH6480">
        <v>16.264894372293</v>
      </c>
      <c r="AI6480">
        <v>93.817007134344095</v>
      </c>
      <c r="AJ6480">
        <v>102.25356234259</v>
      </c>
      <c r="AK6480">
        <v>16.681084066075599</v>
      </c>
      <c r="AL6480">
        <v>89.547714834258599</v>
      </c>
      <c r="AM6480">
        <v>90.572414565746399</v>
      </c>
      <c r="AN6480">
        <v>0.99999995965321997</v>
      </c>
    </row>
    <row r="6481" spans="1:40" x14ac:dyDescent="0.25">
      <c r="A6481" t="str">
        <f>"20190312154426385"</f>
        <v>20190312154426385</v>
      </c>
      <c r="B6481" t="str">
        <f>"1552376666373738"</f>
        <v>1552376666373738</v>
      </c>
      <c r="C6481" t="s">
        <v>40</v>
      </c>
      <c r="D6481">
        <v>5.0053729999999996</v>
      </c>
      <c r="E6481">
        <v>0.42428860000000002</v>
      </c>
      <c r="F6481" t="s">
        <v>43</v>
      </c>
      <c r="G6481">
        <v>-268.93880000000001</v>
      </c>
      <c r="H6481" s="1">
        <v>-2.9378590000000002E-6</v>
      </c>
      <c r="I6481">
        <v>-59.831859999999999</v>
      </c>
      <c r="J6481">
        <v>-285.0924</v>
      </c>
      <c r="K6481">
        <v>1.110487</v>
      </c>
      <c r="L6481">
        <v>-55.409329999999997</v>
      </c>
      <c r="M6481">
        <v>0.88704039999999995</v>
      </c>
      <c r="N6481">
        <v>0</v>
      </c>
      <c r="O6481">
        <v>-0.46168940000000003</v>
      </c>
      <c r="P6481">
        <v>0.89162619999999904</v>
      </c>
      <c r="Q6481">
        <v>9.2915729999999992E-3</v>
      </c>
      <c r="R6481">
        <v>-0.45267669999999999</v>
      </c>
      <c r="S6481">
        <v>2.954437</v>
      </c>
      <c r="T6481">
        <v>-0.20136509999999999</v>
      </c>
      <c r="U6481">
        <v>-0.81481930000000002</v>
      </c>
      <c r="V6481">
        <v>-1.015025E-2</v>
      </c>
      <c r="W6481">
        <v>7.7698100000000003E-3</v>
      </c>
      <c r="X6481">
        <v>0.99991830000000004</v>
      </c>
      <c r="Y6481">
        <v>-0.20789530000000001</v>
      </c>
      <c r="Z6481">
        <v>3.641515E-2</v>
      </c>
      <c r="AA6481">
        <v>0.97747300000000004</v>
      </c>
      <c r="AB6481">
        <v>26</v>
      </c>
      <c r="AC6481">
        <v>16.153599999999901</v>
      </c>
      <c r="AD6481">
        <v>-1.1104899378590001</v>
      </c>
      <c r="AE6481">
        <v>-4.4225299999999903</v>
      </c>
      <c r="AF6481">
        <v>-3.5195137515286099</v>
      </c>
      <c r="AG6481">
        <v>-1.1104899378590001</v>
      </c>
      <c r="AH6481">
        <v>16.2990914397203</v>
      </c>
      <c r="AI6481">
        <v>93.810105900097795</v>
      </c>
      <c r="AJ6481">
        <v>102.184972304669</v>
      </c>
      <c r="AK6481">
        <v>16.711688924511702</v>
      </c>
      <c r="AL6481">
        <v>89.554818200972093</v>
      </c>
      <c r="AM6481">
        <v>90.581594027744103</v>
      </c>
      <c r="AN6481">
        <v>1.0000000020986901</v>
      </c>
    </row>
    <row r="6482" spans="1:40" x14ac:dyDescent="0.25">
      <c r="A6482" t="str">
        <f>"20190312154426398"</f>
        <v>20190312154426398</v>
      </c>
      <c r="B6482" t="str">
        <f>"1552376666394233"</f>
        <v>1552376666394233</v>
      </c>
      <c r="C6482" t="s">
        <v>40</v>
      </c>
      <c r="D6482">
        <v>5.2098089999999999</v>
      </c>
      <c r="E6482">
        <v>0.4247417</v>
      </c>
      <c r="F6482" t="s">
        <v>74</v>
      </c>
      <c r="G6482">
        <v>-268.91930000000002</v>
      </c>
      <c r="H6482" s="1">
        <v>-2.9254239999999998E-6</v>
      </c>
      <c r="I6482">
        <v>-59.854810000000001</v>
      </c>
      <c r="J6482">
        <v>-284.96420000000001</v>
      </c>
      <c r="K6482">
        <v>1.1105160000000001</v>
      </c>
      <c r="L6482">
        <v>-55.474269999999997</v>
      </c>
      <c r="M6482">
        <v>0.88779519999999901</v>
      </c>
      <c r="N6482">
        <v>0</v>
      </c>
      <c r="O6482">
        <v>-0.4602368</v>
      </c>
      <c r="P6482">
        <v>0.89238680000000004</v>
      </c>
      <c r="Q6482">
        <v>9.2527140000000004E-3</v>
      </c>
      <c r="R6482">
        <v>-0.4511771</v>
      </c>
      <c r="S6482">
        <v>2.9544679999999999</v>
      </c>
      <c r="T6482">
        <v>-0.20286170000000001</v>
      </c>
      <c r="U6482">
        <v>-0.81210329999999997</v>
      </c>
      <c r="V6482">
        <v>-1.0195549999999999E-2</v>
      </c>
      <c r="W6482">
        <v>7.7764849999999996E-3</v>
      </c>
      <c r="X6482">
        <v>0.99991779999999997</v>
      </c>
      <c r="Y6482">
        <v>-0.20711599999999999</v>
      </c>
      <c r="Z6482">
        <v>3.6578960000000001E-2</v>
      </c>
      <c r="AA6482">
        <v>0.97763230000000001</v>
      </c>
      <c r="AB6482">
        <v>26</v>
      </c>
      <c r="AC6482">
        <v>16.044899999999899</v>
      </c>
      <c r="AD6482">
        <v>-1.110518925424</v>
      </c>
      <c r="AE6482">
        <v>-4.3805399999999999</v>
      </c>
      <c r="AF6482">
        <v>-3.4799200931664598</v>
      </c>
      <c r="AG6482">
        <v>-1.110518925424</v>
      </c>
      <c r="AH6482">
        <v>16.188514289295199</v>
      </c>
      <c r="AI6482">
        <v>93.836918156288306</v>
      </c>
      <c r="AJ6482">
        <v>102.13181495852101</v>
      </c>
      <c r="AK6482">
        <v>16.595514184057699</v>
      </c>
      <c r="AL6482">
        <v>89.554435745775095</v>
      </c>
      <c r="AM6482">
        <v>90.584189762083</v>
      </c>
      <c r="AN6482">
        <v>1.0000000148577901</v>
      </c>
    </row>
    <row r="6483" spans="1:40" x14ac:dyDescent="0.25">
      <c r="A6483" t="str">
        <f>"20190312154426411"</f>
        <v>20190312154426411</v>
      </c>
      <c r="B6483" t="str">
        <f>"1552376666403994"</f>
        <v>1552376666403994</v>
      </c>
      <c r="C6483" t="s">
        <v>40</v>
      </c>
      <c r="D6483">
        <v>5.0350820000000001</v>
      </c>
      <c r="E6483">
        <v>0.43269570000000002</v>
      </c>
      <c r="F6483" t="s">
        <v>43</v>
      </c>
      <c r="G6483">
        <v>-268.90690000000001</v>
      </c>
      <c r="H6483" s="1">
        <v>-2.9159619999999999E-6</v>
      </c>
      <c r="I6483">
        <v>-59.878120000000003</v>
      </c>
      <c r="J6483">
        <v>-284.81650000000002</v>
      </c>
      <c r="K6483">
        <v>1.1105480000000001</v>
      </c>
      <c r="L6483">
        <v>-55.54889</v>
      </c>
      <c r="M6483">
        <v>0.88866309999999904</v>
      </c>
      <c r="N6483">
        <v>0</v>
      </c>
      <c r="O6483">
        <v>-0.45855889999999999</v>
      </c>
      <c r="P6483">
        <v>0.89351499999999995</v>
      </c>
      <c r="Q6483">
        <v>9.390776E-3</v>
      </c>
      <c r="R6483">
        <v>-0.44893529999999998</v>
      </c>
      <c r="S6483">
        <v>2.9542540000000002</v>
      </c>
      <c r="T6483">
        <v>-0.20431540000000001</v>
      </c>
      <c r="U6483">
        <v>-0.81024169999999995</v>
      </c>
      <c r="V6483">
        <v>-1.0817749999999999E-2</v>
      </c>
      <c r="W6483">
        <v>7.9638759999999999E-3</v>
      </c>
      <c r="X6483">
        <v>0.99990979999999996</v>
      </c>
      <c r="Y6483">
        <v>-0.20580860000000001</v>
      </c>
      <c r="Z6483">
        <v>3.6703149999999997E-2</v>
      </c>
      <c r="AA6483">
        <v>0.97790370000000004</v>
      </c>
      <c r="AB6483">
        <v>27</v>
      </c>
      <c r="AC6483">
        <v>15.909599999999999</v>
      </c>
      <c r="AD6483">
        <v>-1.110550915962</v>
      </c>
      <c r="AE6483">
        <v>-4.3292299999999901</v>
      </c>
      <c r="AF6483">
        <v>-3.4326916061083099</v>
      </c>
      <c r="AG6483">
        <v>-1.110550915962</v>
      </c>
      <c r="AH6483">
        <v>16.0506782016245</v>
      </c>
      <c r="AI6483">
        <v>93.870746612153496</v>
      </c>
      <c r="AJ6483">
        <v>102.071753656547</v>
      </c>
      <c r="AK6483">
        <v>16.451169129630099</v>
      </c>
      <c r="AL6483">
        <v>89.543698705778198</v>
      </c>
      <c r="AM6483">
        <v>90.619843148470494</v>
      </c>
      <c r="AN6483">
        <v>1.0000000275860199</v>
      </c>
    </row>
    <row r="6484" spans="1:40" x14ac:dyDescent="0.25">
      <c r="A6484" t="str">
        <f>"20190312154426426"</f>
        <v>20190312154426426</v>
      </c>
      <c r="B6484" t="str">
        <f>"1552376666413753"</f>
        <v>1552376666413753</v>
      </c>
      <c r="C6484" t="s">
        <v>40</v>
      </c>
      <c r="D6484">
        <v>5.0518269999999896</v>
      </c>
      <c r="E6484">
        <v>0.43276320000000001</v>
      </c>
      <c r="F6484" t="s">
        <v>43</v>
      </c>
      <c r="G6484">
        <v>-263.22859999999997</v>
      </c>
      <c r="H6484" s="1">
        <v>-7.9393640000000004E-7</v>
      </c>
      <c r="I6484">
        <v>-61.900509999999997</v>
      </c>
      <c r="J6484">
        <v>-284.65129999999999</v>
      </c>
      <c r="K6484">
        <v>1.1105940000000001</v>
      </c>
      <c r="L6484">
        <v>-55.631900000000002</v>
      </c>
      <c r="M6484">
        <v>0.88963359999999903</v>
      </c>
      <c r="N6484">
        <v>0</v>
      </c>
      <c r="O6484">
        <v>-0.45667340000000001</v>
      </c>
      <c r="P6484">
        <v>0.89493289999999903</v>
      </c>
      <c r="Q6484">
        <v>9.6005719999999999E-3</v>
      </c>
      <c r="R6484">
        <v>-0.44609779999999999</v>
      </c>
      <c r="S6484">
        <v>2.9265140000000001</v>
      </c>
      <c r="T6484">
        <v>-0.1505494</v>
      </c>
      <c r="U6484">
        <v>-0.86105350000000003</v>
      </c>
      <c r="V6484">
        <v>-1.187144E-2</v>
      </c>
      <c r="W6484">
        <v>8.2270799999999995E-3</v>
      </c>
      <c r="X6484">
        <v>0.99989570000000005</v>
      </c>
      <c r="Y6484">
        <v>-0.18626970000000001</v>
      </c>
      <c r="Z6484">
        <v>2.6644069999999999E-2</v>
      </c>
      <c r="AA6484">
        <v>0.98213729999999999</v>
      </c>
      <c r="AB6484">
        <v>27</v>
      </c>
      <c r="AC6484">
        <v>21.422699999999999</v>
      </c>
      <c r="AD6484">
        <v>-1.1105947939364</v>
      </c>
      <c r="AE6484">
        <v>-6.26860999999999</v>
      </c>
      <c r="AF6484">
        <v>-4.1960264866056001</v>
      </c>
      <c r="AG6484">
        <v>-1.1105947939364</v>
      </c>
      <c r="AH6484">
        <v>21.866943020082498</v>
      </c>
      <c r="AI6484">
        <v>92.855475544151602</v>
      </c>
      <c r="AJ6484">
        <v>100.86239315738401</v>
      </c>
      <c r="AK6484">
        <v>22.293569837873601</v>
      </c>
      <c r="AL6484">
        <v>89.528617726928104</v>
      </c>
      <c r="AM6484">
        <v>90.680222398979396</v>
      </c>
      <c r="AN6484">
        <v>1.0000000134057401</v>
      </c>
    </row>
    <row r="6485" spans="1:40" x14ac:dyDescent="0.25">
      <c r="A6485" t="str">
        <f>"20190312154426449"</f>
        <v>20190312154426449</v>
      </c>
      <c r="B6485" t="str">
        <f>"1552376666444010"</f>
        <v>1552376666444010</v>
      </c>
      <c r="C6485" t="s">
        <v>40</v>
      </c>
      <c r="D6485">
        <v>5.0282299999999998</v>
      </c>
      <c r="E6485">
        <v>0.4329866</v>
      </c>
      <c r="F6485" t="s">
        <v>43</v>
      </c>
      <c r="G6485">
        <v>-262.84949999999998</v>
      </c>
      <c r="H6485" s="1">
        <v>-6.503175E-7</v>
      </c>
      <c r="I6485">
        <v>-61.971989999999998</v>
      </c>
      <c r="J6485">
        <v>-284.40890000000002</v>
      </c>
      <c r="K6485">
        <v>1.1106579999999999</v>
      </c>
      <c r="L6485">
        <v>-55.752870000000001</v>
      </c>
      <c r="M6485">
        <v>0.89106200000000002</v>
      </c>
      <c r="N6485">
        <v>0</v>
      </c>
      <c r="O6485">
        <v>-0.45388050000000002</v>
      </c>
      <c r="P6485">
        <v>0.89649489999999998</v>
      </c>
      <c r="Q6485">
        <v>1.060437E-2</v>
      </c>
      <c r="R6485">
        <v>-0.44292749999999997</v>
      </c>
      <c r="S6485">
        <v>2.9291990000000001</v>
      </c>
      <c r="T6485">
        <v>-0.14921489999999901</v>
      </c>
      <c r="U6485">
        <v>-0.85183719999999996</v>
      </c>
      <c r="V6485">
        <v>-1.2275629999999999E-2</v>
      </c>
      <c r="W6485">
        <v>9.3166120000000002E-3</v>
      </c>
      <c r="X6485">
        <v>0.99988129999999997</v>
      </c>
      <c r="Y6485">
        <v>-0.1862943</v>
      </c>
      <c r="Z6485">
        <v>2.6278909999999999E-2</v>
      </c>
      <c r="AA6485">
        <v>0.98214250000000003</v>
      </c>
      <c r="AB6485">
        <v>27</v>
      </c>
      <c r="AC6485">
        <v>21.5594</v>
      </c>
      <c r="AD6485">
        <v>-1.1106586503175</v>
      </c>
      <c r="AE6485">
        <v>-6.21912000000001</v>
      </c>
      <c r="AF6485">
        <v>-4.2333998454419204</v>
      </c>
      <c r="AG6485">
        <v>-1.1106586503175</v>
      </c>
      <c r="AH6485">
        <v>21.979659227130401</v>
      </c>
      <c r="AI6485">
        <v>92.840642555036993</v>
      </c>
      <c r="AJ6485">
        <v>100.901972170744</v>
      </c>
      <c r="AK6485">
        <v>22.411172584889201</v>
      </c>
      <c r="AL6485">
        <v>89.466189758336398</v>
      </c>
      <c r="AM6485">
        <v>90.703389947943705</v>
      </c>
      <c r="AN6485">
        <v>1.00000005222037</v>
      </c>
    </row>
    <row r="6486" spans="1:40" x14ac:dyDescent="0.25">
      <c r="A6486" t="str">
        <f>"20190312154426471"</f>
        <v>20190312154426471</v>
      </c>
      <c r="B6486" t="str">
        <f>"1552376666464521"</f>
        <v>1552376666464521</v>
      </c>
      <c r="C6486" t="s">
        <v>40</v>
      </c>
      <c r="D6486">
        <v>5.0664160000000003</v>
      </c>
      <c r="E6486">
        <v>0.43310609999999999</v>
      </c>
      <c r="F6486" t="s">
        <v>74</v>
      </c>
      <c r="G6486">
        <v>-263.07229999999998</v>
      </c>
      <c r="H6486" s="1">
        <v>-7.234133E-7</v>
      </c>
      <c r="I6486">
        <v>-61.887509999999999</v>
      </c>
      <c r="J6486">
        <v>-284.1694</v>
      </c>
      <c r="K6486">
        <v>1.1107309999999999</v>
      </c>
      <c r="L6486">
        <v>-55.871400000000001</v>
      </c>
      <c r="M6486">
        <v>0.89247969999999899</v>
      </c>
      <c r="N6486">
        <v>0</v>
      </c>
      <c r="O6486">
        <v>-0.4510864</v>
      </c>
      <c r="P6486">
        <v>0.89782119999999999</v>
      </c>
      <c r="Q6486">
        <v>1.2018910000000001E-2</v>
      </c>
      <c r="R6486">
        <v>-0.44019659999999999</v>
      </c>
      <c r="S6486">
        <v>2.931702</v>
      </c>
      <c r="T6486">
        <v>-0.15260760000000001</v>
      </c>
      <c r="U6486">
        <v>-0.84292599999999995</v>
      </c>
      <c r="V6486">
        <v>-1.2187720000000001E-2</v>
      </c>
      <c r="W6486">
        <v>1.081857E-2</v>
      </c>
      <c r="X6486">
        <v>0.99986719999999896</v>
      </c>
      <c r="Y6486">
        <v>-0.18616679999999999</v>
      </c>
      <c r="Z6486">
        <v>2.6740300000000002E-2</v>
      </c>
      <c r="AA6486">
        <v>0.98215419999999998</v>
      </c>
      <c r="AB6486">
        <v>27</v>
      </c>
      <c r="AC6486">
        <v>21.097100000000001</v>
      </c>
      <c r="AD6486">
        <v>-1.1107317234132901</v>
      </c>
      <c r="AE6486">
        <v>-6.0161099999999896</v>
      </c>
      <c r="AF6486">
        <v>-4.13675677090552</v>
      </c>
      <c r="AG6486">
        <v>-1.1107317234132901</v>
      </c>
      <c r="AH6486">
        <v>21.487448819536102</v>
      </c>
      <c r="AI6486">
        <v>92.905839532909695</v>
      </c>
      <c r="AJ6486">
        <v>100.89723942760899</v>
      </c>
      <c r="AK6486">
        <v>21.910201694991599</v>
      </c>
      <c r="AL6486">
        <v>89.380129506354095</v>
      </c>
      <c r="AM6486">
        <v>90.698363078876795</v>
      </c>
      <c r="AN6486">
        <v>0.99999999980574095</v>
      </c>
    </row>
    <row r="6487" spans="1:40" x14ac:dyDescent="0.25">
      <c r="A6487" t="str">
        <f>"20190312154426482"</f>
        <v>20190312154426482</v>
      </c>
      <c r="B6487" t="str">
        <f>"1552376666474265"</f>
        <v>1552376666474265</v>
      </c>
      <c r="C6487" t="s">
        <v>40</v>
      </c>
      <c r="D6487">
        <v>5.0425329999999997</v>
      </c>
      <c r="E6487">
        <v>0.43319289999999999</v>
      </c>
      <c r="F6487" t="s">
        <v>43</v>
      </c>
      <c r="G6487">
        <v>-269.541</v>
      </c>
      <c r="H6487" s="1">
        <v>-3.1633490000000001E-6</v>
      </c>
      <c r="I6487">
        <v>-60.017060000000001</v>
      </c>
      <c r="J6487">
        <v>-284.04419999999999</v>
      </c>
      <c r="K6487">
        <v>1.11077</v>
      </c>
      <c r="L6487">
        <v>-55.932949999999998</v>
      </c>
      <c r="M6487">
        <v>0.89322289999999904</v>
      </c>
      <c r="N6487">
        <v>0</v>
      </c>
      <c r="O6487">
        <v>-0.44961289999999998</v>
      </c>
      <c r="P6487">
        <v>0.898217499999999</v>
      </c>
      <c r="Q6487">
        <v>1.2331150000000001E-2</v>
      </c>
      <c r="R6487">
        <v>-0.4393784</v>
      </c>
      <c r="S6487">
        <v>2.936401</v>
      </c>
      <c r="T6487">
        <v>-0.2229611</v>
      </c>
      <c r="U6487">
        <v>-0.83218380000000003</v>
      </c>
      <c r="V6487">
        <v>-1.1449630000000001E-2</v>
      </c>
      <c r="W6487">
        <v>1.118095E-2</v>
      </c>
      <c r="X6487">
        <v>0.99987190000000004</v>
      </c>
      <c r="Y6487">
        <v>-0.18744739999999999</v>
      </c>
      <c r="Z6487">
        <v>3.895676E-2</v>
      </c>
      <c r="AA6487">
        <v>0.98150179999999998</v>
      </c>
      <c r="AB6487">
        <v>28</v>
      </c>
      <c r="AC6487">
        <v>14.5031999999999</v>
      </c>
      <c r="AD6487">
        <v>-1.1107731633489999</v>
      </c>
      <c r="AE6487">
        <v>-4.0841099999999999</v>
      </c>
      <c r="AF6487">
        <v>-2.85727814442552</v>
      </c>
      <c r="AG6487">
        <v>-1.1107731633489999</v>
      </c>
      <c r="AH6487">
        <v>14.7109164925998</v>
      </c>
      <c r="AI6487">
        <v>94.239100920382597</v>
      </c>
      <c r="AJ6487">
        <v>100.991614290252</v>
      </c>
      <c r="AK6487">
        <v>15.0269397904987</v>
      </c>
      <c r="AL6487">
        <v>89.359365381250001</v>
      </c>
      <c r="AM6487">
        <v>90.656070847001601</v>
      </c>
      <c r="AN6487">
        <v>0.999999962039824</v>
      </c>
    </row>
    <row r="6488" spans="1:40" x14ac:dyDescent="0.25">
      <c r="A6488" t="str">
        <f>"20190312154426493"</f>
        <v>20190312154426493</v>
      </c>
      <c r="B6488" t="str">
        <f>"1552376666484026"</f>
        <v>1552376666484026</v>
      </c>
      <c r="C6488" t="s">
        <v>40</v>
      </c>
      <c r="D6488">
        <v>5.1637050000000002</v>
      </c>
      <c r="E6488">
        <v>0.43319289999999999</v>
      </c>
      <c r="F6488" t="s">
        <v>43</v>
      </c>
      <c r="G6488">
        <v>-269.45440000000002</v>
      </c>
      <c r="H6488" s="1">
        <v>-3.1191989999999999E-6</v>
      </c>
      <c r="I6488">
        <v>-60.05659</v>
      </c>
      <c r="J6488">
        <v>-283.92529999999999</v>
      </c>
      <c r="K6488">
        <v>1.1108049999999901</v>
      </c>
      <c r="L6488">
        <v>-55.991210000000002</v>
      </c>
      <c r="M6488">
        <v>0.89393029999999996</v>
      </c>
      <c r="N6488">
        <v>0</v>
      </c>
      <c r="O6488">
        <v>-0.44820480000000001</v>
      </c>
      <c r="P6488">
        <v>0.89862749999999902</v>
      </c>
      <c r="Q6488">
        <v>1.276679E-2</v>
      </c>
      <c r="R6488">
        <v>-0.43852629999999998</v>
      </c>
      <c r="S6488">
        <v>2.9369510000000001</v>
      </c>
      <c r="T6488">
        <v>-0.2236004</v>
      </c>
      <c r="U6488">
        <v>-0.83010859999999997</v>
      </c>
      <c r="V6488">
        <v>-1.0823080000000001E-2</v>
      </c>
      <c r="W6488">
        <v>1.166347E-2</v>
      </c>
      <c r="X6488">
        <v>0.99987340000000002</v>
      </c>
      <c r="Y6488">
        <v>-0.18658640000000001</v>
      </c>
      <c r="Z6488">
        <v>3.8941610000000002E-2</v>
      </c>
      <c r="AA6488">
        <v>0.98166640000000005</v>
      </c>
      <c r="AB6488">
        <v>28</v>
      </c>
      <c r="AC6488">
        <v>14.470899999999901</v>
      </c>
      <c r="AD6488">
        <v>-1.11080811919899</v>
      </c>
      <c r="AE6488">
        <v>-4.0653800000000002</v>
      </c>
      <c r="AF6488">
        <v>-2.8362722790588801</v>
      </c>
      <c r="AG6488">
        <v>-1.11080811919899</v>
      </c>
      <c r="AH6488">
        <v>14.6779460877273</v>
      </c>
      <c r="AI6488">
        <v>94.249507820916904</v>
      </c>
      <c r="AJ6488">
        <v>100.936676583188</v>
      </c>
      <c r="AK6488">
        <v>14.9906783193045</v>
      </c>
      <c r="AL6488">
        <v>89.331717239326906</v>
      </c>
      <c r="AM6488">
        <v>90.620171101264305</v>
      </c>
      <c r="AN6488">
        <v>0.99999999581034305</v>
      </c>
    </row>
    <row r="6489" spans="1:40" x14ac:dyDescent="0.25">
      <c r="A6489" t="str">
        <f>"20190312154426504"</f>
        <v>20190312154426504</v>
      </c>
      <c r="B6489" t="str">
        <f>"1552376666493786"</f>
        <v>1552376666493786</v>
      </c>
      <c r="C6489" t="s">
        <v>40</v>
      </c>
      <c r="D6489">
        <v>5.071072</v>
      </c>
      <c r="E6489">
        <v>0.43360179999999998</v>
      </c>
      <c r="F6489" t="s">
        <v>43</v>
      </c>
      <c r="G6489">
        <v>-269.26799999999997</v>
      </c>
      <c r="H6489" s="1">
        <v>-3.027943E-6</v>
      </c>
      <c r="I6489">
        <v>-60.120170000000002</v>
      </c>
      <c r="J6489">
        <v>-283.79770000000002</v>
      </c>
      <c r="K6489">
        <v>1.1108439999999999</v>
      </c>
      <c r="L6489">
        <v>-56.053469999999997</v>
      </c>
      <c r="M6489">
        <v>0.89469069999999995</v>
      </c>
      <c r="N6489">
        <v>0</v>
      </c>
      <c r="O6489">
        <v>-0.44668540000000001</v>
      </c>
      <c r="P6489">
        <v>0.89886630000000001</v>
      </c>
      <c r="Q6489">
        <v>1.302799E-2</v>
      </c>
      <c r="R6489">
        <v>-0.43802970000000002</v>
      </c>
      <c r="S6489">
        <v>2.9377439999999999</v>
      </c>
      <c r="T6489">
        <v>-0.22263769999999999</v>
      </c>
      <c r="U6489">
        <v>-0.82757569999999903</v>
      </c>
      <c r="V6489">
        <v>-9.6782980000000001E-3</v>
      </c>
      <c r="W6489">
        <v>1.197817E-2</v>
      </c>
      <c r="X6489">
        <v>0.99988140000000003</v>
      </c>
      <c r="Y6489">
        <v>-0.18579000000000001</v>
      </c>
      <c r="Z6489">
        <v>3.8641429999999997E-2</v>
      </c>
      <c r="AA6489">
        <v>0.98182930000000002</v>
      </c>
      <c r="AB6489">
        <v>28</v>
      </c>
      <c r="AC6489">
        <v>14.5297</v>
      </c>
      <c r="AD6489">
        <v>-1.1108470279429901</v>
      </c>
      <c r="AE6489">
        <v>-4.0666999999999902</v>
      </c>
      <c r="AF6489">
        <v>-2.8363924882067399</v>
      </c>
      <c r="AG6489">
        <v>-1.1108470279429901</v>
      </c>
      <c r="AH6489">
        <v>14.736250159944101</v>
      </c>
      <c r="AI6489">
        <v>94.233496757221999</v>
      </c>
      <c r="AJ6489">
        <v>100.894893666204</v>
      </c>
      <c r="AK6489">
        <v>15.0477962586918</v>
      </c>
      <c r="AL6489">
        <v>89.313684986655701</v>
      </c>
      <c r="AM6489">
        <v>90.554574083584797</v>
      </c>
      <c r="AN6489">
        <v>0.99999998003734203</v>
      </c>
    </row>
    <row r="6490" spans="1:40" x14ac:dyDescent="0.25">
      <c r="A6490" t="str">
        <f>"20190312154426516"</f>
        <v>20190312154426516</v>
      </c>
      <c r="B6490" t="str">
        <f>"1552376666504521"</f>
        <v>1552376666504521</v>
      </c>
      <c r="C6490" t="s">
        <v>40</v>
      </c>
      <c r="D6490">
        <v>5.0874240000000004</v>
      </c>
      <c r="E6490">
        <v>0.43378820000000001</v>
      </c>
      <c r="F6490" t="s">
        <v>43</v>
      </c>
      <c r="G6490">
        <v>-269.46280000000002</v>
      </c>
      <c r="H6490" s="1">
        <v>-3.1151800000000001E-6</v>
      </c>
      <c r="I6490">
        <v>-60.099460000000001</v>
      </c>
      <c r="J6490">
        <v>-283.67180000000002</v>
      </c>
      <c r="K6490">
        <v>1.110884</v>
      </c>
      <c r="L6490">
        <v>-56.114559999999997</v>
      </c>
      <c r="M6490">
        <v>0.89544519999999905</v>
      </c>
      <c r="N6490">
        <v>0</v>
      </c>
      <c r="O6490">
        <v>-0.44517109999999899</v>
      </c>
      <c r="P6490">
        <v>0.89927099999999904</v>
      </c>
      <c r="Q6490">
        <v>1.3329550000000001E-2</v>
      </c>
      <c r="R6490">
        <v>-0.43718940000000001</v>
      </c>
      <c r="S6490">
        <v>2.9369200000000002</v>
      </c>
      <c r="T6490">
        <v>-0.22758829999999999</v>
      </c>
      <c r="U6490">
        <v>-0.82894899999999905</v>
      </c>
      <c r="V6490">
        <v>-8.9220810000000001E-3</v>
      </c>
      <c r="W6490">
        <v>1.2331470000000001E-2</v>
      </c>
      <c r="X6490">
        <v>0.9998842</v>
      </c>
      <c r="Y6490">
        <v>-0.1835688</v>
      </c>
      <c r="Z6490">
        <v>3.9319939999999998E-2</v>
      </c>
      <c r="AA6490">
        <v>0.98222019999999999</v>
      </c>
      <c r="AB6490">
        <v>28</v>
      </c>
      <c r="AC6490">
        <v>14.209</v>
      </c>
      <c r="AD6490">
        <v>-1.1108871151799999</v>
      </c>
      <c r="AE6490">
        <v>-3.9849000000000001</v>
      </c>
      <c r="AF6490">
        <v>-2.74164128095657</v>
      </c>
      <c r="AG6490">
        <v>-1.1108871151799999</v>
      </c>
      <c r="AH6490">
        <v>14.415657935665999</v>
      </c>
      <c r="AI6490">
        <v>94.329272352424795</v>
      </c>
      <c r="AJ6490">
        <v>100.76819475115801</v>
      </c>
      <c r="AK6490">
        <v>14.7160409354638</v>
      </c>
      <c r="AL6490">
        <v>89.293440934869494</v>
      </c>
      <c r="AM6490">
        <v>90.511243220867499</v>
      </c>
      <c r="AN6490">
        <v>1.00000004104568</v>
      </c>
    </row>
    <row r="6491" spans="1:40" x14ac:dyDescent="0.25">
      <c r="A6491" t="str">
        <f>"20190312154426527"</f>
        <v>20190312154426527</v>
      </c>
      <c r="B6491" t="str">
        <f>"1552376666524041"</f>
        <v>1552376666524041</v>
      </c>
      <c r="C6491" t="s">
        <v>40</v>
      </c>
      <c r="D6491">
        <v>5.065175</v>
      </c>
      <c r="E6491">
        <v>0.43428369999999999</v>
      </c>
      <c r="F6491" t="s">
        <v>74</v>
      </c>
      <c r="G6491">
        <v>-269.36739999999998</v>
      </c>
      <c r="H6491" s="1">
        <v>-3.0661059999999999E-6</v>
      </c>
      <c r="I6491">
        <v>-60.145510000000002</v>
      </c>
      <c r="J6491">
        <v>-283.53460000000001</v>
      </c>
      <c r="K6491">
        <v>1.1109309999999999</v>
      </c>
      <c r="L6491">
        <v>-56.18103</v>
      </c>
      <c r="M6491">
        <v>0.89626849999999902</v>
      </c>
      <c r="N6491">
        <v>0</v>
      </c>
      <c r="O6491">
        <v>-0.4435114</v>
      </c>
      <c r="P6491">
        <v>0.89987189999999995</v>
      </c>
      <c r="Q6491">
        <v>1.327732E-2</v>
      </c>
      <c r="R6491">
        <v>-0.43595250000000002</v>
      </c>
      <c r="S6491">
        <v>2.9370419999999999</v>
      </c>
      <c r="T6491">
        <v>-0.22809219999999999</v>
      </c>
      <c r="U6491">
        <v>-0.82766719999999905</v>
      </c>
      <c r="V6491">
        <v>-8.4457769999999998E-3</v>
      </c>
      <c r="W6491">
        <v>1.2332910000000001E-2</v>
      </c>
      <c r="X6491">
        <v>0.99988829999999995</v>
      </c>
      <c r="Y6491">
        <v>-0.1821557</v>
      </c>
      <c r="Z6491">
        <v>3.924308E-2</v>
      </c>
      <c r="AA6491">
        <v>0.98248619999999998</v>
      </c>
      <c r="AB6491">
        <v>28</v>
      </c>
      <c r="AC6491">
        <v>14.167199999999999</v>
      </c>
      <c r="AD6491">
        <v>-1.1109340661060001</v>
      </c>
      <c r="AE6491">
        <v>-3.96447999999998</v>
      </c>
      <c r="AF6491">
        <v>-2.7145967218658802</v>
      </c>
      <c r="AG6491">
        <v>-1.1109340661060001</v>
      </c>
      <c r="AH6491">
        <v>14.373942653889801</v>
      </c>
      <c r="AI6491">
        <v>94.343023591301701</v>
      </c>
      <c r="AJ6491">
        <v>100.69465817858099</v>
      </c>
      <c r="AK6491">
        <v>14.6701546440013</v>
      </c>
      <c r="AL6491">
        <v>89.293358409320902</v>
      </c>
      <c r="AM6491">
        <v>90.483949926047401</v>
      </c>
      <c r="AN6491">
        <v>1.00000002214754</v>
      </c>
    </row>
    <row r="6492" spans="1:40" x14ac:dyDescent="0.25">
      <c r="A6492" t="str">
        <f>"20190312154426540"</f>
        <v>20190312154426540</v>
      </c>
      <c r="B6492" t="str">
        <f>"1552376666533802"</f>
        <v>1552376666533802</v>
      </c>
      <c r="C6492" t="s">
        <v>40</v>
      </c>
      <c r="D6492">
        <v>5.0857260000000002</v>
      </c>
      <c r="E6492">
        <v>0.43436140000000001</v>
      </c>
      <c r="F6492" t="s">
        <v>43</v>
      </c>
      <c r="G6492">
        <v>-269.56599999999997</v>
      </c>
      <c r="H6492" s="1">
        <v>-3.1564730000000001E-6</v>
      </c>
      <c r="I6492">
        <v>-60.116370000000003</v>
      </c>
      <c r="J6492">
        <v>-283.39769999999999</v>
      </c>
      <c r="K6492">
        <v>1.110978</v>
      </c>
      <c r="L6492">
        <v>-56.2468</v>
      </c>
      <c r="M6492">
        <v>0.89709839999999996</v>
      </c>
      <c r="N6492">
        <v>0</v>
      </c>
      <c r="O6492">
        <v>-0.44183030000000001</v>
      </c>
      <c r="P6492">
        <v>0.9003584</v>
      </c>
      <c r="Q6492">
        <v>1.3378920000000001E-2</v>
      </c>
      <c r="R6492">
        <v>-0.43494389999999999</v>
      </c>
      <c r="S6492">
        <v>2.9364620000000001</v>
      </c>
      <c r="T6492">
        <v>-0.2335401</v>
      </c>
      <c r="U6492">
        <v>-0.82730099999999995</v>
      </c>
      <c r="V6492">
        <v>-7.6933929999999998E-3</v>
      </c>
      <c r="W6492">
        <v>1.249025E-2</v>
      </c>
      <c r="X6492">
        <v>0.99989240000000001</v>
      </c>
      <c r="Y6492">
        <v>-0.1803052</v>
      </c>
      <c r="Z6492">
        <v>3.9998279999999997E-2</v>
      </c>
      <c r="AA6492">
        <v>0.98279709999999998</v>
      </c>
      <c r="AB6492">
        <v>28</v>
      </c>
      <c r="AC6492">
        <v>13.8317</v>
      </c>
      <c r="AD6492">
        <v>-1.1109811564730001</v>
      </c>
      <c r="AE6492">
        <v>-3.8695699999999902</v>
      </c>
      <c r="AF6492">
        <v>-2.6241786096280202</v>
      </c>
      <c r="AG6492">
        <v>-1.1109811564730001</v>
      </c>
      <c r="AH6492">
        <v>14.0341228712181</v>
      </c>
      <c r="AI6492">
        <v>94.449459360616899</v>
      </c>
      <c r="AJ6492">
        <v>100.59117955607201</v>
      </c>
      <c r="AK6492">
        <v>14.3205166551251</v>
      </c>
      <c r="AL6492">
        <v>89.284342783494907</v>
      </c>
      <c r="AM6492">
        <v>90.440837684894603</v>
      </c>
      <c r="AN6492">
        <v>1.0000000031093299</v>
      </c>
    </row>
    <row r="6493" spans="1:40" x14ac:dyDescent="0.25">
      <c r="A6493" t="str">
        <f>"20190312154426553"</f>
        <v>20190312154426553</v>
      </c>
      <c r="B6493" t="str">
        <f>"1552376666544538"</f>
        <v>1552376666544538</v>
      </c>
      <c r="C6493" t="s">
        <v>40</v>
      </c>
      <c r="D6493">
        <v>5.1289610000000003</v>
      </c>
      <c r="E6493">
        <v>0.43453989999999998</v>
      </c>
      <c r="F6493" t="s">
        <v>43</v>
      </c>
      <c r="G6493">
        <v>-269.51620000000003</v>
      </c>
      <c r="H6493" s="1">
        <v>-3.1300269999999998E-6</v>
      </c>
      <c r="I6493">
        <v>-60.145009999999999</v>
      </c>
      <c r="J6493">
        <v>-283.25479999999999</v>
      </c>
      <c r="K6493">
        <v>1.1110279999999999</v>
      </c>
      <c r="L6493">
        <v>-56.315249999999999</v>
      </c>
      <c r="M6493">
        <v>0.8979665</v>
      </c>
      <c r="N6493">
        <v>0</v>
      </c>
      <c r="O6493">
        <v>-0.44006309999999899</v>
      </c>
      <c r="P6493">
        <v>0.90119179999999999</v>
      </c>
      <c r="Q6493">
        <v>1.340394E-2</v>
      </c>
      <c r="R6493">
        <v>-0.43321369999999998</v>
      </c>
      <c r="S6493">
        <v>2.9370419999999999</v>
      </c>
      <c r="T6493">
        <v>-0.2350612</v>
      </c>
      <c r="U6493">
        <v>-0.82479859999999905</v>
      </c>
      <c r="V6493">
        <v>-7.6476159999999899E-3</v>
      </c>
      <c r="W6493">
        <v>1.256988E-2</v>
      </c>
      <c r="X6493">
        <v>0.9998918</v>
      </c>
      <c r="Y6493">
        <v>-0.1791809</v>
      </c>
      <c r="Z6493">
        <v>4.0089890000000003E-2</v>
      </c>
      <c r="AA6493">
        <v>0.98299899999999996</v>
      </c>
      <c r="AB6493">
        <v>28</v>
      </c>
      <c r="AC6493">
        <v>13.7385999999999</v>
      </c>
      <c r="AD6493">
        <v>-1.1110311300269999</v>
      </c>
      <c r="AE6493">
        <v>-3.8297599999999998</v>
      </c>
      <c r="AF6493">
        <v>-2.59113178640369</v>
      </c>
      <c r="AG6493">
        <v>-1.1110311300269999</v>
      </c>
      <c r="AH6493">
        <v>13.9375657426496</v>
      </c>
      <c r="AI6493">
        <v>94.4812250235574</v>
      </c>
      <c r="AJ6493">
        <v>100.53161945977899</v>
      </c>
      <c r="AK6493">
        <v>14.219848555349699</v>
      </c>
      <c r="AL6493">
        <v>89.279779996020906</v>
      </c>
      <c r="AM6493">
        <v>90.438214991055801</v>
      </c>
      <c r="AN6493">
        <v>1.00000004981046</v>
      </c>
    </row>
    <row r="6494" spans="1:40" x14ac:dyDescent="0.25">
      <c r="A6494" t="str">
        <f>"20190312154426570"</f>
        <v>20190312154426570</v>
      </c>
      <c r="B6494" t="str">
        <f>"1552376666564057"</f>
        <v>1552376666564057</v>
      </c>
      <c r="C6494" t="s">
        <v>40</v>
      </c>
      <c r="D6494">
        <v>5.1250679999999997</v>
      </c>
      <c r="E6494">
        <v>0.43486419999999998</v>
      </c>
      <c r="F6494" t="s">
        <v>43</v>
      </c>
      <c r="G6494">
        <v>-269.35969999999998</v>
      </c>
      <c r="H6494" s="1">
        <v>-3.0538369999999998E-6</v>
      </c>
      <c r="I6494">
        <v>-60.19603</v>
      </c>
      <c r="J6494">
        <v>-283.041</v>
      </c>
      <c r="K6494">
        <v>1.111108</v>
      </c>
      <c r="L6494">
        <v>-56.416899999999998</v>
      </c>
      <c r="M6494">
        <v>0.89927330000000005</v>
      </c>
      <c r="N6494">
        <v>0</v>
      </c>
      <c r="O6494">
        <v>-0.43738660000000001</v>
      </c>
      <c r="P6494">
        <v>0.9025763</v>
      </c>
      <c r="Q6494">
        <v>1.357652E-2</v>
      </c>
      <c r="R6494">
        <v>-0.43031619999999998</v>
      </c>
      <c r="S6494">
        <v>2.9379270000000002</v>
      </c>
      <c r="T6494">
        <v>-0.23491310000000001</v>
      </c>
      <c r="U6494">
        <v>-0.82055659999999897</v>
      </c>
      <c r="V6494">
        <v>-7.8840739999999996E-3</v>
      </c>
      <c r="W6494">
        <v>1.2822099999999999E-2</v>
      </c>
      <c r="X6494">
        <v>0.99988670000000002</v>
      </c>
      <c r="Y6494">
        <v>-0.17765710000000001</v>
      </c>
      <c r="Z6494">
        <v>3.9817959999999999E-2</v>
      </c>
      <c r="AA6494">
        <v>0.98328660000000001</v>
      </c>
      <c r="AB6494">
        <v>28</v>
      </c>
      <c r="AC6494">
        <v>13.6813</v>
      </c>
      <c r="AD6494">
        <v>-1.1111110538369999</v>
      </c>
      <c r="AE6494">
        <v>-3.7791299999999999</v>
      </c>
      <c r="AF6494">
        <v>-2.5697992107963898</v>
      </c>
      <c r="AG6494">
        <v>-1.1111110538369999</v>
      </c>
      <c r="AH6494">
        <v>13.8711680249443</v>
      </c>
      <c r="AI6494">
        <v>94.503431439225395</v>
      </c>
      <c r="AJ6494">
        <v>100.495727719196</v>
      </c>
      <c r="AK6494">
        <v>14.1508917787539</v>
      </c>
      <c r="AL6494">
        <v>89.265327645591</v>
      </c>
      <c r="AM6494">
        <v>90.451765989365995</v>
      </c>
      <c r="AN6494">
        <v>0.99999998885406804</v>
      </c>
    </row>
    <row r="6495" spans="1:40" x14ac:dyDescent="0.25">
      <c r="A6495" t="str">
        <f>"20190312154426582"</f>
        <v>20190312154426582</v>
      </c>
      <c r="B6495" t="str">
        <f>"1552376666573818"</f>
        <v>1552376666573818</v>
      </c>
      <c r="C6495" t="s">
        <v>40</v>
      </c>
      <c r="D6495">
        <v>5.1211099999999998</v>
      </c>
      <c r="E6495">
        <v>0.43506549999999999</v>
      </c>
      <c r="F6495" t="s">
        <v>43</v>
      </c>
      <c r="G6495">
        <v>-269.09129999999999</v>
      </c>
      <c r="H6495" s="1">
        <v>-2.9242049999999998E-6</v>
      </c>
      <c r="I6495">
        <v>-60.277589999999996</v>
      </c>
      <c r="J6495">
        <v>-282.90820000000002</v>
      </c>
      <c r="K6495">
        <v>1.1111580000000001</v>
      </c>
      <c r="L6495">
        <v>-56.479610000000001</v>
      </c>
      <c r="M6495">
        <v>0.90008999999999995</v>
      </c>
      <c r="N6495">
        <v>0</v>
      </c>
      <c r="O6495">
        <v>-0.43570360000000002</v>
      </c>
      <c r="P6495">
        <v>0.90350909999999995</v>
      </c>
      <c r="Q6495">
        <v>1.3385910000000001E-2</v>
      </c>
      <c r="R6495">
        <v>-0.42835960000000001</v>
      </c>
      <c r="S6495">
        <v>2.9394840000000002</v>
      </c>
      <c r="T6495">
        <v>-0.23413249999999999</v>
      </c>
      <c r="U6495">
        <v>-0.81353759999999997</v>
      </c>
      <c r="V6495">
        <v>-8.1816040000000003E-3</v>
      </c>
      <c r="W6495">
        <v>1.268002E-2</v>
      </c>
      <c r="X6495">
        <v>0.99988619999999995</v>
      </c>
      <c r="Y6495">
        <v>-0.1781452</v>
      </c>
      <c r="Z6495">
        <v>3.958499E-2</v>
      </c>
      <c r="AA6495">
        <v>0.98320770000000002</v>
      </c>
      <c r="AB6495">
        <v>29</v>
      </c>
      <c r="AC6495">
        <v>13.8169</v>
      </c>
      <c r="AD6495">
        <v>-1.111160924205</v>
      </c>
      <c r="AE6495">
        <v>-3.7979799999999999</v>
      </c>
      <c r="AF6495">
        <v>-2.58599984535378</v>
      </c>
      <c r="AG6495">
        <v>-1.111160924205</v>
      </c>
      <c r="AH6495">
        <v>14.007023980822099</v>
      </c>
      <c r="AI6495">
        <v>94.460637159853405</v>
      </c>
      <c r="AJ6495">
        <v>100.460256108023</v>
      </c>
      <c r="AK6495">
        <v>14.287014894615901</v>
      </c>
      <c r="AL6495">
        <v>89.273468948870203</v>
      </c>
      <c r="AM6495">
        <v>90.468814268310098</v>
      </c>
      <c r="AN6495">
        <v>1.00000006725082</v>
      </c>
    </row>
    <row r="6496" spans="1:40" x14ac:dyDescent="0.25">
      <c r="A6496" t="str">
        <f>"20190312154426594"</f>
        <v>20190312154426594</v>
      </c>
      <c r="B6496" t="str">
        <f>"1552376666584553"</f>
        <v>1552376666584553</v>
      </c>
      <c r="C6496" t="s">
        <v>40</v>
      </c>
      <c r="D6496">
        <v>5.1452239999999998</v>
      </c>
      <c r="E6496">
        <v>0.43506549999999999</v>
      </c>
      <c r="F6496" t="s">
        <v>43</v>
      </c>
      <c r="G6496">
        <v>-269.02550000000002</v>
      </c>
      <c r="H6496" s="1">
        <v>-2.8926489999999999E-6</v>
      </c>
      <c r="I6496">
        <v>-60.296410000000002</v>
      </c>
      <c r="J6496">
        <v>-282.77280000000002</v>
      </c>
      <c r="K6496">
        <v>1.1112070000000001</v>
      </c>
      <c r="L6496">
        <v>-56.5432699999999</v>
      </c>
      <c r="M6496">
        <v>0.90092470000000002</v>
      </c>
      <c r="N6496">
        <v>0</v>
      </c>
      <c r="O6496">
        <v>-0.43397530000000001</v>
      </c>
      <c r="P6496">
        <v>0.90429179999999998</v>
      </c>
      <c r="Q6496">
        <v>1.364721E-2</v>
      </c>
      <c r="R6496">
        <v>-0.42669699999999999</v>
      </c>
      <c r="S6496">
        <v>2.940582</v>
      </c>
      <c r="T6496">
        <v>-0.23536109999999999</v>
      </c>
      <c r="U6496">
        <v>-0.80847170000000002</v>
      </c>
      <c r="V6496">
        <v>-8.1033759999999903E-3</v>
      </c>
      <c r="W6496">
        <v>1.2993269999999999E-2</v>
      </c>
      <c r="X6496">
        <v>0.99988279999999996</v>
      </c>
      <c r="Y6496">
        <v>-0.17791279999999901</v>
      </c>
      <c r="Z6496">
        <v>3.9660189999999998E-2</v>
      </c>
      <c r="AA6496">
        <v>0.98324670000000003</v>
      </c>
      <c r="AB6496">
        <v>29</v>
      </c>
      <c r="AC6496">
        <v>13.7472999999999</v>
      </c>
      <c r="AD6496">
        <v>-1.1112098926489999</v>
      </c>
      <c r="AE6496">
        <v>-3.7531400000000001</v>
      </c>
      <c r="AF6496">
        <v>-2.56907111178224</v>
      </c>
      <c r="AG6496">
        <v>-1.1112098926489999</v>
      </c>
      <c r="AH6496">
        <v>13.929356013625</v>
      </c>
      <c r="AI6496">
        <v>94.485752847972407</v>
      </c>
      <c r="AJ6496">
        <v>100.44995525363601</v>
      </c>
      <c r="AK6496">
        <v>14.2078102731288</v>
      </c>
      <c r="AL6496">
        <v>89.255519556626695</v>
      </c>
      <c r="AM6496">
        <v>90.464333500040098</v>
      </c>
      <c r="AN6496">
        <v>1.0000000517518599</v>
      </c>
    </row>
    <row r="6497" spans="1:40" x14ac:dyDescent="0.25">
      <c r="A6497" t="str">
        <f>"20190312154426607"</f>
        <v>20190312154426607</v>
      </c>
      <c r="B6497" t="str">
        <f>"1552376666594316"</f>
        <v>1552376666594316</v>
      </c>
      <c r="C6497" t="s">
        <v>40</v>
      </c>
      <c r="D6497">
        <v>5.2062629999999999</v>
      </c>
      <c r="E6497">
        <v>0.45243840000000002</v>
      </c>
      <c r="F6497" t="s">
        <v>74</v>
      </c>
      <c r="G6497">
        <v>-268.81670000000003</v>
      </c>
      <c r="H6497" s="1">
        <v>-2.7931820000000001E-6</v>
      </c>
      <c r="I6497">
        <v>-60.3521199999999</v>
      </c>
      <c r="J6497">
        <v>-282.6284</v>
      </c>
      <c r="K6497">
        <v>1.1112580000000001</v>
      </c>
      <c r="L6497">
        <v>-56.610900000000001</v>
      </c>
      <c r="M6497">
        <v>0.9018157</v>
      </c>
      <c r="N6497">
        <v>0</v>
      </c>
      <c r="O6497">
        <v>-0.43212080000000003</v>
      </c>
      <c r="P6497">
        <v>0.90533079999999999</v>
      </c>
      <c r="Q6497">
        <v>1.408007E-2</v>
      </c>
      <c r="R6497">
        <v>-0.42447370000000001</v>
      </c>
      <c r="S6497">
        <v>2.9421689999999998</v>
      </c>
      <c r="T6497">
        <v>-0.23426</v>
      </c>
      <c r="U6497">
        <v>-0.80297850000000004</v>
      </c>
      <c r="V6497">
        <v>-8.5047730000000002E-3</v>
      </c>
      <c r="W6497">
        <v>1.347865E-2</v>
      </c>
      <c r="X6497">
        <v>0.99987300000000001</v>
      </c>
      <c r="Y6497">
        <v>-0.1777532</v>
      </c>
      <c r="Z6497">
        <v>3.9332579999999999E-2</v>
      </c>
      <c r="AA6497">
        <v>0.98328879999999996</v>
      </c>
      <c r="AB6497">
        <v>29</v>
      </c>
      <c r="AC6497">
        <v>13.811699999999901</v>
      </c>
      <c r="AD6497">
        <v>-1.111260793182</v>
      </c>
      <c r="AE6497">
        <v>-3.74121999999999</v>
      </c>
      <c r="AF6497">
        <v>-2.5788788482594001</v>
      </c>
      <c r="AG6497">
        <v>-1.111260793182</v>
      </c>
      <c r="AH6497">
        <v>13.9879066122955</v>
      </c>
      <c r="AI6497">
        <v>94.467312542452305</v>
      </c>
      <c r="AJ6497">
        <v>100.446029170174</v>
      </c>
      <c r="AK6497">
        <v>14.2669915559926</v>
      </c>
      <c r="AL6497">
        <v>89.227706864222199</v>
      </c>
      <c r="AM6497">
        <v>90.487337739341996</v>
      </c>
      <c r="AN6497">
        <v>1.0000000106493001</v>
      </c>
    </row>
    <row r="6498" spans="1:40" x14ac:dyDescent="0.25">
      <c r="A6498" t="str">
        <f>"20190312154426619"</f>
        <v>20190312154426619</v>
      </c>
      <c r="B6498" t="str">
        <f>"1552376666613834"</f>
        <v>1552376666613834</v>
      </c>
      <c r="C6498" t="s">
        <v>40</v>
      </c>
      <c r="D6498">
        <v>5.171532</v>
      </c>
      <c r="E6498">
        <v>0.46583780000000002</v>
      </c>
      <c r="F6498" t="s">
        <v>74</v>
      </c>
      <c r="G6498">
        <v>-268.0462</v>
      </c>
      <c r="H6498" s="1">
        <v>-2.6926400000000001E-6</v>
      </c>
      <c r="I6498">
        <v>-61.268999999999998</v>
      </c>
      <c r="J6498">
        <v>-282.48129999999998</v>
      </c>
      <c r="K6498">
        <v>1.1113090000000001</v>
      </c>
      <c r="L6498">
        <v>-56.679200000000002</v>
      </c>
      <c r="M6498">
        <v>0.90272669999999999</v>
      </c>
      <c r="N6498">
        <v>0</v>
      </c>
      <c r="O6498">
        <v>-0.4302144</v>
      </c>
      <c r="P6498">
        <v>0.90634000000000003</v>
      </c>
      <c r="Q6498">
        <v>1.4105639999999999E-2</v>
      </c>
      <c r="R6498">
        <v>-0.42231370000000001</v>
      </c>
      <c r="S6498">
        <v>2.8850099999999999</v>
      </c>
      <c r="T6498">
        <v>-0.21985830000000001</v>
      </c>
      <c r="U6498">
        <v>-0.92160030000000004</v>
      </c>
      <c r="V6498">
        <v>-8.7779550000000005E-3</v>
      </c>
      <c r="W6498">
        <v>1.35578E-2</v>
      </c>
      <c r="X6498">
        <v>0.99986960000000003</v>
      </c>
      <c r="Y6498">
        <v>-0.1337382</v>
      </c>
      <c r="Z6498">
        <v>3.5578770000000003E-2</v>
      </c>
      <c r="AA6498">
        <v>0.99037779999999997</v>
      </c>
      <c r="AB6498">
        <v>29</v>
      </c>
      <c r="AC6498">
        <v>14.435099999999901</v>
      </c>
      <c r="AD6498">
        <v>-1.11131169264</v>
      </c>
      <c r="AE6498">
        <v>-4.5897999999999897</v>
      </c>
      <c r="AF6498">
        <v>-2.0557871290966401</v>
      </c>
      <c r="AG6498">
        <v>-1.11131169264</v>
      </c>
      <c r="AH6498">
        <v>14.925209853621</v>
      </c>
      <c r="AI6498">
        <v>94.218626996239095</v>
      </c>
      <c r="AJ6498">
        <v>97.842529422694398</v>
      </c>
      <c r="AK6498">
        <v>15.1070567475264</v>
      </c>
      <c r="AL6498">
        <v>89.223171513036903</v>
      </c>
      <c r="AM6498">
        <v>90.502992444110404</v>
      </c>
      <c r="AN6498">
        <v>1.0000000417194901</v>
      </c>
    </row>
    <row r="6499" spans="1:40" x14ac:dyDescent="0.25">
      <c r="A6499" t="str">
        <f>"20190312154426633"</f>
        <v>20190312154426633</v>
      </c>
      <c r="B6499" t="str">
        <f>"1552376666624569"</f>
        <v>1552376666624569</v>
      </c>
      <c r="C6499" t="s">
        <v>40</v>
      </c>
      <c r="D6499">
        <v>5.1771909999999997</v>
      </c>
      <c r="E6499">
        <v>0.46890540000000003</v>
      </c>
      <c r="F6499" t="s">
        <v>43</v>
      </c>
      <c r="G6499">
        <v>-268.95010000000002</v>
      </c>
      <c r="H6499" s="1">
        <v>-3.1308679999999999E-6</v>
      </c>
      <c r="I6499">
        <v>-61.492370000000001</v>
      </c>
      <c r="J6499">
        <v>-282.32279999999997</v>
      </c>
      <c r="K6499">
        <v>1.111359</v>
      </c>
      <c r="L6499">
        <v>-56.75253</v>
      </c>
      <c r="M6499">
        <v>0.90370790000000001</v>
      </c>
      <c r="N6499">
        <v>0</v>
      </c>
      <c r="O6499">
        <v>-0.42814920000000001</v>
      </c>
      <c r="P6499">
        <v>0.9074816</v>
      </c>
      <c r="Q6499">
        <v>1.430917E-2</v>
      </c>
      <c r="R6499">
        <v>-0.41984779999999999</v>
      </c>
      <c r="S6499">
        <v>2.8424680000000002</v>
      </c>
      <c r="T6499">
        <v>-0.2334514</v>
      </c>
      <c r="U6499">
        <v>-1.0111079999999999</v>
      </c>
      <c r="V6499">
        <v>-9.2127389999999993E-3</v>
      </c>
      <c r="W6499">
        <v>1.381813E-2</v>
      </c>
      <c r="X6499">
        <v>0.99986209999999998</v>
      </c>
      <c r="Y6499">
        <v>-9.9061150000000001E-2</v>
      </c>
      <c r="Z6499">
        <v>3.6539139999999998E-2</v>
      </c>
      <c r="AA6499">
        <v>0.99441029999999997</v>
      </c>
      <c r="AB6499">
        <v>29</v>
      </c>
      <c r="AC6499">
        <v>13.372699999999901</v>
      </c>
      <c r="AD6499">
        <v>-1.111362130868</v>
      </c>
      <c r="AE6499">
        <v>-4.7398399999999796</v>
      </c>
      <c r="AF6499">
        <v>-1.4332856782019101</v>
      </c>
      <c r="AG6499">
        <v>-1.111362130868</v>
      </c>
      <c r="AH6499">
        <v>14.028299266788</v>
      </c>
      <c r="AI6499">
        <v>94.506313352232297</v>
      </c>
      <c r="AJ6499">
        <v>95.833725311033305</v>
      </c>
      <c r="AK6499">
        <v>14.145056166019</v>
      </c>
      <c r="AL6499">
        <v>89.208254286367406</v>
      </c>
      <c r="AM6499">
        <v>90.527908924028594</v>
      </c>
      <c r="AN6499">
        <v>1.00000001714649</v>
      </c>
    </row>
    <row r="6500" spans="1:40" x14ac:dyDescent="0.25">
      <c r="A6500" t="str">
        <f>"20190312154426646"</f>
        <v>20190312154426646</v>
      </c>
      <c r="B6500" t="str">
        <f>"1552376666634330"</f>
        <v>1552376666634330</v>
      </c>
      <c r="C6500" t="s">
        <v>40</v>
      </c>
      <c r="D6500">
        <v>5.1729560000000001</v>
      </c>
      <c r="E6500">
        <v>0.47140720000000003</v>
      </c>
      <c r="F6500" t="s">
        <v>43</v>
      </c>
      <c r="G6500">
        <v>-269.0204</v>
      </c>
      <c r="H6500" s="1">
        <v>-3.167554E-6</v>
      </c>
      <c r="I6500">
        <v>-61.564430000000002</v>
      </c>
      <c r="J6500">
        <v>-282.15949999999998</v>
      </c>
      <c r="K6500">
        <v>1.1114090000000001</v>
      </c>
      <c r="L6500">
        <v>-56.82761</v>
      </c>
      <c r="M6500">
        <v>0.90471820000000003</v>
      </c>
      <c r="N6500">
        <v>0</v>
      </c>
      <c r="O6500">
        <v>-0.42601060000000002</v>
      </c>
      <c r="P6500">
        <v>0.90839479999999995</v>
      </c>
      <c r="Q6500">
        <v>1.4426960000000001E-2</v>
      </c>
      <c r="R6500">
        <v>-0.41786489999999998</v>
      </c>
      <c r="S6500">
        <v>2.8351440000000001</v>
      </c>
      <c r="T6500">
        <v>-0.23686460000000001</v>
      </c>
      <c r="U6500">
        <v>-1.025574</v>
      </c>
      <c r="V6500">
        <v>-9.0334509999999996E-3</v>
      </c>
      <c r="W6500">
        <v>1.399835E-2</v>
      </c>
      <c r="X6500">
        <v>0.99986120000000001</v>
      </c>
      <c r="Y6500">
        <v>-9.1381309999999993E-2</v>
      </c>
      <c r="Z6500">
        <v>3.6657969999999998E-2</v>
      </c>
      <c r="AA6500">
        <v>0.99514100000000005</v>
      </c>
      <c r="AB6500">
        <v>29</v>
      </c>
      <c r="AC6500">
        <v>13.1390999999999</v>
      </c>
      <c r="AD6500">
        <v>-1.1114121675540001</v>
      </c>
      <c r="AE6500">
        <v>-4.7368199999999998</v>
      </c>
      <c r="AF6500">
        <v>-1.3036536260824401</v>
      </c>
      <c r="AG6500">
        <v>-1.1114121675540001</v>
      </c>
      <c r="AH6500">
        <v>13.817622601185001</v>
      </c>
      <c r="AI6500">
        <v>94.578406418630905</v>
      </c>
      <c r="AJ6500">
        <v>95.389740531040403</v>
      </c>
      <c r="AK6500">
        <v>13.923413522975</v>
      </c>
      <c r="AL6500">
        <v>89.197927419033604</v>
      </c>
      <c r="AM6500">
        <v>90.517636382751903</v>
      </c>
      <c r="AN6500">
        <v>0.99999998815256497</v>
      </c>
    </row>
    <row r="6501" spans="1:40" x14ac:dyDescent="0.25">
      <c r="A6501" t="str">
        <f>"20190312154426661"</f>
        <v>20190312154426661</v>
      </c>
      <c r="B6501" t="str">
        <f>"1552376666653849"</f>
        <v>1552376666653849</v>
      </c>
      <c r="C6501" t="s">
        <v>40</v>
      </c>
      <c r="D6501">
        <v>5.122916</v>
      </c>
      <c r="E6501">
        <v>0.47491879999999997</v>
      </c>
      <c r="F6501" t="s">
        <v>43</v>
      </c>
      <c r="G6501">
        <v>-269.0231</v>
      </c>
      <c r="H6501" s="1">
        <v>-3.1828420000000001E-6</v>
      </c>
      <c r="I6501">
        <v>-61.645339999999997</v>
      </c>
      <c r="J6501">
        <v>-281.98070000000001</v>
      </c>
      <c r="K6501">
        <v>1.1114580000000001</v>
      </c>
      <c r="L6501">
        <v>-56.909120000000001</v>
      </c>
      <c r="M6501">
        <v>0.90582399999999996</v>
      </c>
      <c r="N6501">
        <v>0</v>
      </c>
      <c r="O6501">
        <v>-0.42365419999999998</v>
      </c>
      <c r="P6501">
        <v>0.90970329999999999</v>
      </c>
      <c r="Q6501">
        <v>1.410665E-2</v>
      </c>
      <c r="R6501">
        <v>-0.4150199</v>
      </c>
      <c r="S6501">
        <v>2.8290709999999999</v>
      </c>
      <c r="T6501">
        <v>-0.23935519999999999</v>
      </c>
      <c r="U6501">
        <v>-1.0375669999999999</v>
      </c>
      <c r="V6501">
        <v>-9.5622239999999994E-3</v>
      </c>
      <c r="W6501">
        <v>1.374089E-2</v>
      </c>
      <c r="X6501">
        <v>0.99985990000000002</v>
      </c>
      <c r="Y6501">
        <v>-8.4373180000000006E-2</v>
      </c>
      <c r="Z6501">
        <v>3.6625680000000001E-2</v>
      </c>
      <c r="AA6501">
        <v>0.99576089999999995</v>
      </c>
      <c r="AB6501">
        <v>29</v>
      </c>
      <c r="AC6501">
        <v>12.957599999999999</v>
      </c>
      <c r="AD6501">
        <v>-1.111461182842</v>
      </c>
      <c r="AE6501">
        <v>-4.7362200000000003</v>
      </c>
      <c r="AF6501">
        <v>-1.1916256611010601</v>
      </c>
      <c r="AG6501">
        <v>-1.111461182842</v>
      </c>
      <c r="AH6501">
        <v>13.6551954064782</v>
      </c>
      <c r="AI6501">
        <v>94.635776776856304</v>
      </c>
      <c r="AJ6501">
        <v>94.987303083627793</v>
      </c>
      <c r="AK6501">
        <v>13.75207908886</v>
      </c>
      <c r="AL6501">
        <v>89.212680245706807</v>
      </c>
      <c r="AM6501">
        <v>90.547935141383405</v>
      </c>
      <c r="AN6501">
        <v>1.0000000339069099</v>
      </c>
    </row>
    <row r="6502" spans="1:40" x14ac:dyDescent="0.25">
      <c r="A6502" t="str">
        <f>"20190312154426673"</f>
        <v>20190312154426673</v>
      </c>
      <c r="B6502" t="str">
        <f>"1552376666664587"</f>
        <v>1552376666664587</v>
      </c>
      <c r="C6502" t="s">
        <v>40</v>
      </c>
      <c r="D6502">
        <v>5.104838</v>
      </c>
      <c r="E6502">
        <v>0.4762962</v>
      </c>
      <c r="F6502" t="s">
        <v>43</v>
      </c>
      <c r="G6502">
        <v>-269.06540000000001</v>
      </c>
      <c r="H6502" s="1">
        <v>-3.213469E-6</v>
      </c>
      <c r="I6502">
        <v>-61.7367699999999</v>
      </c>
      <c r="J6502">
        <v>-281.83969999999999</v>
      </c>
      <c r="K6502">
        <v>1.1114949999999999</v>
      </c>
      <c r="L6502">
        <v>-56.973109999999998</v>
      </c>
      <c r="M6502">
        <v>0.90669379999999999</v>
      </c>
      <c r="N6502">
        <v>0</v>
      </c>
      <c r="O6502">
        <v>-0.42178939999999998</v>
      </c>
      <c r="P6502">
        <v>0.91064149999999999</v>
      </c>
      <c r="Q6502">
        <v>1.37869E-2</v>
      </c>
      <c r="R6502">
        <v>-0.41296729999999998</v>
      </c>
      <c r="S6502">
        <v>2.820557</v>
      </c>
      <c r="T6502">
        <v>-0.242731</v>
      </c>
      <c r="U6502">
        <v>-1.0543209999999901</v>
      </c>
      <c r="V6502">
        <v>-9.7605969999999993E-3</v>
      </c>
      <c r="W6502">
        <v>1.347198E-2</v>
      </c>
      <c r="X6502">
        <v>0.99986160000000002</v>
      </c>
      <c r="Y6502">
        <v>-7.6133110000000004E-2</v>
      </c>
      <c r="Z6502">
        <v>3.671779E-2</v>
      </c>
      <c r="AA6502">
        <v>0.99642140000000001</v>
      </c>
      <c r="AB6502">
        <v>29</v>
      </c>
      <c r="AC6502">
        <v>12.774299999999901</v>
      </c>
      <c r="AD6502">
        <v>-1.1114982134689999</v>
      </c>
      <c r="AE6502">
        <v>-4.76365999999999</v>
      </c>
      <c r="AF6502">
        <v>-1.0618258985564299</v>
      </c>
      <c r="AG6502">
        <v>-1.1114982134689999</v>
      </c>
      <c r="AH6502">
        <v>13.501899265594799</v>
      </c>
      <c r="AI6502">
        <v>94.691648891779593</v>
      </c>
      <c r="AJ6502">
        <v>94.496640313621697</v>
      </c>
      <c r="AK6502">
        <v>13.5891201442794</v>
      </c>
      <c r="AL6502">
        <v>89.228089046853299</v>
      </c>
      <c r="AM6502">
        <v>90.559300657446499</v>
      </c>
      <c r="AN6502">
        <v>0.999999991326738</v>
      </c>
    </row>
    <row r="6503" spans="1:40" x14ac:dyDescent="0.25">
      <c r="A6503" t="str">
        <f>"20190312154426685"</f>
        <v>20190312154426685</v>
      </c>
      <c r="B6503" t="str">
        <f>"1552376666674347"</f>
        <v>1552376666674347</v>
      </c>
      <c r="C6503" t="s">
        <v>40</v>
      </c>
      <c r="D6503">
        <v>5.1209959999999999</v>
      </c>
      <c r="E6503">
        <v>0.47733940000000002</v>
      </c>
      <c r="F6503" t="s">
        <v>74</v>
      </c>
      <c r="G6503">
        <v>-269.14190000000002</v>
      </c>
      <c r="H6503" s="1">
        <v>-3.240156E-6</v>
      </c>
      <c r="I6503">
        <v>-61.740479999999998</v>
      </c>
      <c r="J6503">
        <v>-281.69200000000001</v>
      </c>
      <c r="K6503">
        <v>1.111534</v>
      </c>
      <c r="L6503">
        <v>-57.039760000000001</v>
      </c>
      <c r="M6503">
        <v>0.90760160000000001</v>
      </c>
      <c r="N6503">
        <v>0</v>
      </c>
      <c r="O6503">
        <v>-0.41983229999999999</v>
      </c>
      <c r="P6503">
        <v>0.91156610000000005</v>
      </c>
      <c r="Q6503">
        <v>1.3505919999999999E-2</v>
      </c>
      <c r="R6503">
        <v>-0.41093180000000001</v>
      </c>
      <c r="S6503">
        <v>2.8182680000000002</v>
      </c>
      <c r="T6503">
        <v>-0.24669779999999999</v>
      </c>
      <c r="U6503">
        <v>-1.058136</v>
      </c>
      <c r="V6503">
        <v>-9.8388150000000008E-3</v>
      </c>
      <c r="W6503">
        <v>1.324502E-2</v>
      </c>
      <c r="X6503">
        <v>0.99986390000000003</v>
      </c>
      <c r="Y6503">
        <v>-7.2500209999999995E-2</v>
      </c>
      <c r="Z6503">
        <v>3.7032870000000002E-2</v>
      </c>
      <c r="AA6503">
        <v>0.99668060000000003</v>
      </c>
      <c r="AB6503">
        <v>29</v>
      </c>
      <c r="AC6503">
        <v>12.550099999999899</v>
      </c>
      <c r="AD6503">
        <v>-1.111537240156</v>
      </c>
      <c r="AE6503">
        <v>-4.7007199999999996</v>
      </c>
      <c r="AF6503">
        <v>-0.99570678538054302</v>
      </c>
      <c r="AG6503">
        <v>-1.111537240156</v>
      </c>
      <c r="AH6503">
        <v>13.272700652367099</v>
      </c>
      <c r="AI6503">
        <v>94.773776956874897</v>
      </c>
      <c r="AJ6503">
        <v>94.290244679871705</v>
      </c>
      <c r="AK6503">
        <v>13.356329198026399</v>
      </c>
      <c r="AL6503">
        <v>89.241094083605006</v>
      </c>
      <c r="AM6503">
        <v>90.563781111747005</v>
      </c>
      <c r="AN6503">
        <v>1.0000000256793</v>
      </c>
    </row>
    <row r="6504" spans="1:40" x14ac:dyDescent="0.25">
      <c r="A6504" t="str">
        <f>"20190312154426696"</f>
        <v>20190312154426696</v>
      </c>
      <c r="B6504" t="str">
        <f>"1552376666684105"</f>
        <v>1552376666684105</v>
      </c>
      <c r="C6504" t="s">
        <v>40</v>
      </c>
      <c r="D6504">
        <v>5.1151749999999998</v>
      </c>
      <c r="E6504">
        <v>0.47821609999999998</v>
      </c>
      <c r="F6504" t="s">
        <v>74</v>
      </c>
      <c r="G6504">
        <v>-269.17750000000001</v>
      </c>
      <c r="H6504" s="1">
        <v>-3.253292E-6</v>
      </c>
      <c r="I6504">
        <v>-61.746310000000001</v>
      </c>
      <c r="J6504">
        <v>-281.56</v>
      </c>
      <c r="K6504">
        <v>1.1115630000000001</v>
      </c>
      <c r="L6504">
        <v>-57.098909999999997</v>
      </c>
      <c r="M6504">
        <v>0.90840940000000003</v>
      </c>
      <c r="N6504">
        <v>0</v>
      </c>
      <c r="O6504">
        <v>-0.4180818</v>
      </c>
      <c r="P6504">
        <v>0.91243819999999998</v>
      </c>
      <c r="Q6504">
        <v>1.3351460000000001E-2</v>
      </c>
      <c r="R6504">
        <v>-0.4089971</v>
      </c>
      <c r="S6504">
        <v>2.8171390000000001</v>
      </c>
      <c r="T6504">
        <v>-0.25021900000000002</v>
      </c>
      <c r="U6504">
        <v>-1.059509</v>
      </c>
      <c r="V6504">
        <v>-1.0033830000000001E-2</v>
      </c>
      <c r="W6504">
        <v>1.3138220000000001E-2</v>
      </c>
      <c r="X6504">
        <v>0.99986330000000001</v>
      </c>
      <c r="Y6504">
        <v>-6.9988649999999999E-2</v>
      </c>
      <c r="Z6504">
        <v>3.7328729999999997E-2</v>
      </c>
      <c r="AA6504">
        <v>0.99684910000000004</v>
      </c>
      <c r="AB6504">
        <v>29</v>
      </c>
      <c r="AC6504">
        <v>12.382499999999901</v>
      </c>
      <c r="AD6504">
        <v>-1.1115662532920001</v>
      </c>
      <c r="AE6504">
        <v>-4.6474000000000002</v>
      </c>
      <c r="AF6504">
        <v>-0.94845660890109496</v>
      </c>
      <c r="AG6504">
        <v>-1.1115662532920001</v>
      </c>
      <c r="AH6504">
        <v>13.0988488848161</v>
      </c>
      <c r="AI6504">
        <v>94.837884736126199</v>
      </c>
      <c r="AJ6504">
        <v>94.1414240761342</v>
      </c>
      <c r="AK6504">
        <v>13.1800983145678</v>
      </c>
      <c r="AL6504">
        <v>89.247213751709893</v>
      </c>
      <c r="AM6504">
        <v>90.574955410565195</v>
      </c>
      <c r="AN6504">
        <v>0.99999995462806202</v>
      </c>
    </row>
    <row r="6505" spans="1:40" x14ac:dyDescent="0.25">
      <c r="A6505" t="str">
        <f>"20190312154426707"</f>
        <v>20190312154426707</v>
      </c>
      <c r="B6505" t="str">
        <f>"1552376666693865"</f>
        <v>1552376666693865</v>
      </c>
      <c r="C6505" t="s">
        <v>40</v>
      </c>
      <c r="D6505">
        <v>5.1207449999999897</v>
      </c>
      <c r="E6505">
        <v>0.479043</v>
      </c>
      <c r="F6505" t="s">
        <v>43</v>
      </c>
      <c r="G6505">
        <v>-269.22989999999999</v>
      </c>
      <c r="H6505" s="1">
        <v>-3.269683E-6</v>
      </c>
      <c r="I6505">
        <v>-61.73809</v>
      </c>
      <c r="J6505">
        <v>-281.42259999999999</v>
      </c>
      <c r="K6505">
        <v>1.1115919999999999</v>
      </c>
      <c r="L6505">
        <v>-57.160339999999998</v>
      </c>
      <c r="M6505">
        <v>0.90924749999999999</v>
      </c>
      <c r="N6505">
        <v>0</v>
      </c>
      <c r="O6505">
        <v>-0.41625600000000001</v>
      </c>
      <c r="P6505">
        <v>0.9133057</v>
      </c>
      <c r="Q6505">
        <v>1.308671E-2</v>
      </c>
      <c r="R6505">
        <v>-0.40706490000000001</v>
      </c>
      <c r="S6505">
        <v>2.816589</v>
      </c>
      <c r="T6505">
        <v>-0.25391730000000001</v>
      </c>
      <c r="U6505">
        <v>-1.0597529999999999</v>
      </c>
      <c r="V6505">
        <v>-1.0142089999999999E-2</v>
      </c>
      <c r="W6505">
        <v>1.292271E-2</v>
      </c>
      <c r="X6505">
        <v>0.99986509999999995</v>
      </c>
      <c r="Y6505">
        <v>-6.7810709999999996E-2</v>
      </c>
      <c r="Z6505">
        <v>3.7648710000000002E-2</v>
      </c>
      <c r="AA6505">
        <v>0.99698759999999997</v>
      </c>
      <c r="AB6505">
        <v>30</v>
      </c>
      <c r="AC6505">
        <v>12.1927</v>
      </c>
      <c r="AD6505">
        <v>-1.1115952696829901</v>
      </c>
      <c r="AE6505">
        <v>-4.5777499999999902</v>
      </c>
      <c r="AF6505">
        <v>-0.90637393307766501</v>
      </c>
      <c r="AG6505">
        <v>-1.1115952696829901</v>
      </c>
      <c r="AH6505">
        <v>12.897738994345501</v>
      </c>
      <c r="AI6505">
        <v>94.913821894313998</v>
      </c>
      <c r="AJ6505">
        <v>94.019787280274201</v>
      </c>
      <c r="AK6505">
        <v>12.977242731659301</v>
      </c>
      <c r="AL6505">
        <v>89.259562676122002</v>
      </c>
      <c r="AM6505">
        <v>90.581157422100205</v>
      </c>
      <c r="AN6505">
        <v>1.00000003831066</v>
      </c>
    </row>
    <row r="6506" spans="1:40" x14ac:dyDescent="0.25">
      <c r="A6506" t="str">
        <f>"20190312154426719"</f>
        <v>20190312154426719</v>
      </c>
      <c r="B6506" t="str">
        <f>"1552376666714362"</f>
        <v>1552376666714362</v>
      </c>
      <c r="C6506" t="s">
        <v>40</v>
      </c>
      <c r="D6506">
        <v>5.1143929999999997</v>
      </c>
      <c r="E6506">
        <v>0.48037390000000002</v>
      </c>
      <c r="F6506" t="s">
        <v>74</v>
      </c>
      <c r="G6506">
        <v>-269.24869999999999</v>
      </c>
      <c r="H6506" s="1">
        <v>-3.2765770000000001E-6</v>
      </c>
      <c r="I6506">
        <v>-61.740900000000003</v>
      </c>
      <c r="J6506">
        <v>-281.28710000000001</v>
      </c>
      <c r="K6506">
        <v>1.111621</v>
      </c>
      <c r="L6506">
        <v>-57.22034</v>
      </c>
      <c r="M6506">
        <v>0.91006980000000004</v>
      </c>
      <c r="N6506">
        <v>0</v>
      </c>
      <c r="O6506">
        <v>-0.41445510000000002</v>
      </c>
      <c r="P6506">
        <v>0.91414930000000005</v>
      </c>
      <c r="Q6506">
        <v>1.273781E-2</v>
      </c>
      <c r="R6506">
        <v>-0.40517779999999998</v>
      </c>
      <c r="S6506">
        <v>2.8161619999999998</v>
      </c>
      <c r="T6506">
        <v>-0.25714369999999998</v>
      </c>
      <c r="U6506">
        <v>-1.059631</v>
      </c>
      <c r="V6506">
        <v>-1.022842E-2</v>
      </c>
      <c r="W6506">
        <v>1.26228E-2</v>
      </c>
      <c r="X6506">
        <v>0.99986799999999998</v>
      </c>
      <c r="Y6506">
        <v>-6.5794809999999995E-2</v>
      </c>
      <c r="Z6506">
        <v>3.790106E-2</v>
      </c>
      <c r="AA6506">
        <v>0.99711309999999997</v>
      </c>
      <c r="AB6506">
        <v>30</v>
      </c>
      <c r="AC6506">
        <v>12.038399999999999</v>
      </c>
      <c r="AD6506">
        <v>-1.1116242765769999</v>
      </c>
      <c r="AE6506">
        <v>-4.5205599999999997</v>
      </c>
      <c r="AF6506">
        <v>-0.86885821543335295</v>
      </c>
      <c r="AG6506">
        <v>-1.1116242765769999</v>
      </c>
      <c r="AH6506">
        <v>12.734191577477899</v>
      </c>
      <c r="AI6506">
        <v>94.977442693413806</v>
      </c>
      <c r="AJ6506">
        <v>93.9032609397334</v>
      </c>
      <c r="AK6506">
        <v>12.812113731258799</v>
      </c>
      <c r="AL6506">
        <v>89.276747617180305</v>
      </c>
      <c r="AM6506">
        <v>90.586102221001795</v>
      </c>
      <c r="AN6506">
        <v>0.99999998653976796</v>
      </c>
    </row>
    <row r="6507" spans="1:40" x14ac:dyDescent="0.25">
      <c r="A6507" t="str">
        <f>"20190312154426730"</f>
        <v>20190312154426730</v>
      </c>
      <c r="B6507" t="str">
        <f>"1552376666724122"</f>
        <v>1552376666724122</v>
      </c>
      <c r="C6507" t="s">
        <v>40</v>
      </c>
      <c r="D6507">
        <v>5.1286649999999998</v>
      </c>
      <c r="E6507">
        <v>0.48099540000000002</v>
      </c>
      <c r="F6507" t="s">
        <v>74</v>
      </c>
      <c r="G6507">
        <v>-269.2894</v>
      </c>
      <c r="H6507" s="1">
        <v>-3.292598E-6</v>
      </c>
      <c r="I6507">
        <v>-61.7532</v>
      </c>
      <c r="J6507">
        <v>-281.13929999999999</v>
      </c>
      <c r="K6507">
        <v>1.11165</v>
      </c>
      <c r="L6507">
        <v>-57.285679999999999</v>
      </c>
      <c r="M6507">
        <v>0.91096259999999996</v>
      </c>
      <c r="N6507">
        <v>0</v>
      </c>
      <c r="O6507">
        <v>-0.4124891</v>
      </c>
      <c r="P6507">
        <v>0.91515860000000004</v>
      </c>
      <c r="Q6507">
        <v>1.255965E-2</v>
      </c>
      <c r="R6507">
        <v>-0.40289849999999999</v>
      </c>
      <c r="S6507">
        <v>2.8141479999999999</v>
      </c>
      <c r="T6507">
        <v>-0.26073970000000002</v>
      </c>
      <c r="U6507">
        <v>-1.063232</v>
      </c>
      <c r="V6507">
        <v>-1.05617E-2</v>
      </c>
      <c r="W6507">
        <v>1.24955E-2</v>
      </c>
      <c r="X6507">
        <v>0.99986609999999998</v>
      </c>
      <c r="Y6507">
        <v>-6.2259670000000003E-2</v>
      </c>
      <c r="Z6507">
        <v>3.812948E-2</v>
      </c>
      <c r="AA6507">
        <v>0.99733139999999998</v>
      </c>
      <c r="AB6507">
        <v>30</v>
      </c>
      <c r="AC6507">
        <v>11.8498999999999</v>
      </c>
      <c r="AD6507">
        <v>-1.1116532925980001</v>
      </c>
      <c r="AE6507">
        <v>-4.4675199999999897</v>
      </c>
      <c r="AF6507">
        <v>-0.81195452138308799</v>
      </c>
      <c r="AG6507">
        <v>-1.1116532925980001</v>
      </c>
      <c r="AH6507">
        <v>12.540985774166099</v>
      </c>
      <c r="AI6507">
        <v>95.055022418426802</v>
      </c>
      <c r="AJ6507">
        <v>93.704391991730702</v>
      </c>
      <c r="AK6507">
        <v>12.616313541426299</v>
      </c>
      <c r="AL6507">
        <v>89.284041920925603</v>
      </c>
      <c r="AM6507">
        <v>90.605199365104099</v>
      </c>
      <c r="AN6507">
        <v>0.99999995247817297</v>
      </c>
    </row>
    <row r="6508" spans="1:40" x14ac:dyDescent="0.25">
      <c r="A6508" t="str">
        <f>"20190312154426742"</f>
        <v>20190312154426742</v>
      </c>
      <c r="B6508" t="str">
        <f>"1552376666733882"</f>
        <v>1552376666733882</v>
      </c>
      <c r="C6508" t="s">
        <v>40</v>
      </c>
      <c r="D6508">
        <v>5.0971760000000002</v>
      </c>
      <c r="E6508">
        <v>0.48156369999999998</v>
      </c>
      <c r="F6508" t="s">
        <v>74</v>
      </c>
      <c r="G6508">
        <v>-269.22340000000003</v>
      </c>
      <c r="H6508" s="1">
        <v>-3.27414E-6</v>
      </c>
      <c r="I6508">
        <v>-61.775640000000003</v>
      </c>
      <c r="J6508">
        <v>-280.99740000000003</v>
      </c>
      <c r="K6508">
        <v>1.111677</v>
      </c>
      <c r="L6508">
        <v>-57.347900000000003</v>
      </c>
      <c r="M6508">
        <v>0.91181460000000003</v>
      </c>
      <c r="N6508">
        <v>0</v>
      </c>
      <c r="O6508">
        <v>-0.41060219999999997</v>
      </c>
      <c r="P6508">
        <v>0.91607649999999996</v>
      </c>
      <c r="Q6508">
        <v>1.2269820000000001E-2</v>
      </c>
      <c r="R6508">
        <v>-0.40081610000000001</v>
      </c>
      <c r="S6508">
        <v>2.8147579999999999</v>
      </c>
      <c r="T6508">
        <v>-0.26259539999999998</v>
      </c>
      <c r="U6508">
        <v>-1.060638</v>
      </c>
      <c r="V6508">
        <v>-1.076627E-2</v>
      </c>
      <c r="W6508">
        <v>1.225566E-2</v>
      </c>
      <c r="X6508">
        <v>0.99986699999999995</v>
      </c>
      <c r="Y6508">
        <v>-6.1056140000000002E-2</v>
      </c>
      <c r="Z6508">
        <v>3.8194150000000003E-2</v>
      </c>
      <c r="AA6508">
        <v>0.99740329999999999</v>
      </c>
      <c r="AB6508">
        <v>30</v>
      </c>
      <c r="AC6508">
        <v>11.773999999999999</v>
      </c>
      <c r="AD6508">
        <v>-1.11168027413999</v>
      </c>
      <c r="AE6508">
        <v>-4.42774</v>
      </c>
      <c r="AF6508">
        <v>-0.79097459451995</v>
      </c>
      <c r="AG6508">
        <v>-1.11168027413999</v>
      </c>
      <c r="AH6508">
        <v>12.456456500384601</v>
      </c>
      <c r="AI6508">
        <v>95.089671521877506</v>
      </c>
      <c r="AJ6508">
        <v>93.633356028197795</v>
      </c>
      <c r="AK6508">
        <v>12.5309529720234</v>
      </c>
      <c r="AL6508">
        <v>89.297784873336497</v>
      </c>
      <c r="AM6508">
        <v>90.616920043767905</v>
      </c>
      <c r="AN6508">
        <v>1.00000006573037</v>
      </c>
    </row>
    <row r="6509" spans="1:40" x14ac:dyDescent="0.25">
      <c r="A6509" t="str">
        <f>"20190312154426753"</f>
        <v>20190312154426753</v>
      </c>
      <c r="B6509" t="str">
        <f>"1552376666744618"</f>
        <v>1552376666744618</v>
      </c>
      <c r="C6509" t="s">
        <v>40</v>
      </c>
      <c r="D6509">
        <v>5.096622</v>
      </c>
      <c r="E6509">
        <v>0.48201090000000002</v>
      </c>
      <c r="F6509" t="s">
        <v>43</v>
      </c>
      <c r="G6509">
        <v>-269.17140000000001</v>
      </c>
      <c r="H6509" s="1">
        <v>-3.2597069999999999E-6</v>
      </c>
      <c r="I6509">
        <v>-61.794080000000001</v>
      </c>
      <c r="J6509">
        <v>-280.85860000000002</v>
      </c>
      <c r="K6509">
        <v>1.111702</v>
      </c>
      <c r="L6509">
        <v>-57.408479999999997</v>
      </c>
      <c r="M6509">
        <v>0.91264369999999995</v>
      </c>
      <c r="N6509">
        <v>0</v>
      </c>
      <c r="O6509">
        <v>-0.40875600000000001</v>
      </c>
      <c r="P6509">
        <v>0.91699520000000001</v>
      </c>
      <c r="Q6509">
        <v>1.2067430000000001E-2</v>
      </c>
      <c r="R6509">
        <v>-0.39871580000000001</v>
      </c>
      <c r="S6509">
        <v>2.815277</v>
      </c>
      <c r="T6509">
        <v>-0.26464569999999998</v>
      </c>
      <c r="U6509">
        <v>-1.0584720000000001</v>
      </c>
      <c r="V6509">
        <v>-1.103471E-2</v>
      </c>
      <c r="W6509">
        <v>1.210118E-2</v>
      </c>
      <c r="X6509">
        <v>0.99986589999999997</v>
      </c>
      <c r="Y6509">
        <v>-5.975374E-2</v>
      </c>
      <c r="Z6509">
        <v>3.8282480000000001E-2</v>
      </c>
      <c r="AA6509">
        <v>0.9974788</v>
      </c>
      <c r="AB6509">
        <v>30</v>
      </c>
      <c r="AC6509">
        <v>11.687200000000001</v>
      </c>
      <c r="AD6509">
        <v>-1.1117052597069901</v>
      </c>
      <c r="AE6509">
        <v>-4.3856000000000002</v>
      </c>
      <c r="AF6509">
        <v>-0.76862670389201404</v>
      </c>
      <c r="AG6509">
        <v>-1.1117052597069901</v>
      </c>
      <c r="AH6509">
        <v>12.3608521438804</v>
      </c>
      <c r="AI6509">
        <v>95.129363334949801</v>
      </c>
      <c r="AJ6509">
        <v>93.558204227661506</v>
      </c>
      <c r="AK6509">
        <v>12.434522158783199</v>
      </c>
      <c r="AL6509">
        <v>89.306636543052605</v>
      </c>
      <c r="AM6509">
        <v>90.632301436140395</v>
      </c>
      <c r="AN6509">
        <v>1.00000001068249</v>
      </c>
    </row>
    <row r="6510" spans="1:40" x14ac:dyDescent="0.25">
      <c r="A6510" t="str">
        <f>"20190312154426764"</f>
        <v>20190312154426764</v>
      </c>
      <c r="B6510" t="str">
        <f>"1552376666754378"</f>
        <v>1552376666754378</v>
      </c>
      <c r="C6510" t="s">
        <v>40</v>
      </c>
      <c r="D6510">
        <v>5.1600619999999999</v>
      </c>
      <c r="E6510">
        <v>0.48257539999999999</v>
      </c>
      <c r="F6510" t="s">
        <v>43</v>
      </c>
      <c r="G6510">
        <v>-269.11290000000002</v>
      </c>
      <c r="H6510" s="1">
        <v>-3.2425450000000001E-6</v>
      </c>
      <c r="I6510">
        <v>-61.809539999999998</v>
      </c>
      <c r="J6510">
        <v>-280.71820000000002</v>
      </c>
      <c r="K6510">
        <v>1.111729</v>
      </c>
      <c r="L6510">
        <v>-57.469450000000002</v>
      </c>
      <c r="M6510">
        <v>0.91347719999999999</v>
      </c>
      <c r="N6510">
        <v>0</v>
      </c>
      <c r="O6510">
        <v>-0.40689029999999998</v>
      </c>
      <c r="P6510">
        <v>0.91787960000000002</v>
      </c>
      <c r="Q6510">
        <v>1.193835E-2</v>
      </c>
      <c r="R6510">
        <v>-0.39668019999999998</v>
      </c>
      <c r="S6510">
        <v>2.8161930000000002</v>
      </c>
      <c r="T6510">
        <v>-0.2665479</v>
      </c>
      <c r="U6510">
        <v>-1.055237</v>
      </c>
      <c r="V6510">
        <v>-1.121113E-2</v>
      </c>
      <c r="W6510">
        <v>1.2020599999999999E-2</v>
      </c>
      <c r="X6510">
        <v>0.99986489999999995</v>
      </c>
      <c r="Y6510">
        <v>-5.8810750000000002E-2</v>
      </c>
      <c r="Z6510">
        <v>3.8359110000000002E-2</v>
      </c>
      <c r="AA6510">
        <v>0.99753190000000003</v>
      </c>
      <c r="AB6510">
        <v>30</v>
      </c>
      <c r="AC6510">
        <v>11.6053</v>
      </c>
      <c r="AD6510">
        <v>-1.111732242545</v>
      </c>
      <c r="AE6510">
        <v>-4.34009</v>
      </c>
      <c r="AF6510">
        <v>-0.75146078456034304</v>
      </c>
      <c r="AG6510">
        <v>-1.111732242545</v>
      </c>
      <c r="AH6510">
        <v>12.2683459598897</v>
      </c>
      <c r="AI6510">
        <v>95.1682500490964</v>
      </c>
      <c r="AJ6510">
        <v>93.505102243489404</v>
      </c>
      <c r="AK6510">
        <v>12.34151345992</v>
      </c>
      <c r="AL6510">
        <v>89.311253766260094</v>
      </c>
      <c r="AM6510">
        <v>90.642410304740807</v>
      </c>
      <c r="AN6510">
        <v>1.0000000012561201</v>
      </c>
    </row>
    <row r="6511" spans="1:40" x14ac:dyDescent="0.25">
      <c r="A6511" t="str">
        <f>"20190312154426774"</f>
        <v>20190312154426774</v>
      </c>
      <c r="B6511" t="str">
        <f>"1552376666764138"</f>
        <v>1552376666764138</v>
      </c>
      <c r="C6511" t="s">
        <v>40</v>
      </c>
      <c r="D6511">
        <v>5.0984629999999997</v>
      </c>
      <c r="E6511">
        <v>0.4830161</v>
      </c>
      <c r="F6511" t="s">
        <v>74</v>
      </c>
      <c r="G6511">
        <v>-269.01990000000001</v>
      </c>
      <c r="H6511" s="1">
        <v>-3.2169270000000002E-6</v>
      </c>
      <c r="I6511">
        <v>-61.843620000000001</v>
      </c>
      <c r="J6511">
        <v>-280.59210000000002</v>
      </c>
      <c r="K6511">
        <v>1.1117520000000001</v>
      </c>
      <c r="L6511">
        <v>-57.523859999999999</v>
      </c>
      <c r="M6511">
        <v>0.91422210000000004</v>
      </c>
      <c r="N6511">
        <v>0</v>
      </c>
      <c r="O6511">
        <v>-0.4052135</v>
      </c>
      <c r="P6511">
        <v>0.91873210000000005</v>
      </c>
      <c r="Q6511">
        <v>1.1524700000000001E-2</v>
      </c>
      <c r="R6511">
        <v>-0.39471339999999999</v>
      </c>
      <c r="S6511">
        <v>2.8167110000000002</v>
      </c>
      <c r="T6511">
        <v>-0.26768140000000001</v>
      </c>
      <c r="U6511">
        <v>-1.053223</v>
      </c>
      <c r="V6511">
        <v>-1.151727E-2</v>
      </c>
      <c r="W6511">
        <v>1.165012E-2</v>
      </c>
      <c r="X6511">
        <v>0.99986580000000003</v>
      </c>
      <c r="Y6511">
        <v>-5.7660570000000001E-2</v>
      </c>
      <c r="Z6511">
        <v>3.8330589999999998E-2</v>
      </c>
      <c r="AA6511">
        <v>0.99760009999999999</v>
      </c>
      <c r="AB6511">
        <v>30</v>
      </c>
      <c r="AC6511">
        <v>11.5722</v>
      </c>
      <c r="AD6511">
        <v>-1.111755216927</v>
      </c>
      <c r="AE6511">
        <v>-4.3197599999999898</v>
      </c>
      <c r="AF6511">
        <v>-0.73404518979689104</v>
      </c>
      <c r="AG6511">
        <v>-1.111755216927</v>
      </c>
      <c r="AH6511">
        <v>12.2309048914149</v>
      </c>
      <c r="AI6511">
        <v>95.184476614463094</v>
      </c>
      <c r="AJ6511">
        <v>93.434521409268399</v>
      </c>
      <c r="AK6511">
        <v>12.3032457695465</v>
      </c>
      <c r="AL6511">
        <v>89.332482189690197</v>
      </c>
      <c r="AM6511">
        <v>90.659950344708605</v>
      </c>
      <c r="AN6511">
        <v>0.99999999540695295</v>
      </c>
    </row>
    <row r="6512" spans="1:40" x14ac:dyDescent="0.25">
      <c r="A6512" t="str">
        <f>"20190312154426786"</f>
        <v>20190312154426786</v>
      </c>
      <c r="B6512" t="str">
        <f>"1552376666773898"</f>
        <v>1552376666773898</v>
      </c>
      <c r="C6512" t="s">
        <v>40</v>
      </c>
      <c r="D6512">
        <v>5.0827619999999998</v>
      </c>
      <c r="E6512">
        <v>0.48337210000000003</v>
      </c>
      <c r="F6512" t="s">
        <v>43</v>
      </c>
      <c r="G6512">
        <v>-268.97399999999999</v>
      </c>
      <c r="H6512" s="1">
        <v>-3.2033380000000001E-6</v>
      </c>
      <c r="I6512">
        <v>-61.854999999999997</v>
      </c>
      <c r="J6512">
        <v>-280.44060000000002</v>
      </c>
      <c r="K6512">
        <v>1.1117809999999999</v>
      </c>
      <c r="L6512">
        <v>-57.589019999999998</v>
      </c>
      <c r="M6512">
        <v>0.91511189999999998</v>
      </c>
      <c r="N6512">
        <v>0</v>
      </c>
      <c r="O6512">
        <v>-0.40320030000000001</v>
      </c>
      <c r="P6512">
        <v>0.91962999999999995</v>
      </c>
      <c r="Q6512">
        <v>1.1114229999999999E-2</v>
      </c>
      <c r="R6512">
        <v>-0.39262940000000002</v>
      </c>
      <c r="S6512">
        <v>2.8174739999999998</v>
      </c>
      <c r="T6512">
        <v>-0.26961020000000002</v>
      </c>
      <c r="U6512">
        <v>-1.050354</v>
      </c>
      <c r="V6512">
        <v>-1.158359E-2</v>
      </c>
      <c r="W6512">
        <v>1.1292999999999999E-2</v>
      </c>
      <c r="X6512">
        <v>0.99986909999999896</v>
      </c>
      <c r="Y6512">
        <v>-5.6430250000000001E-2</v>
      </c>
      <c r="Z6512">
        <v>3.8381020000000002E-2</v>
      </c>
      <c r="AA6512">
        <v>0.99766860000000002</v>
      </c>
      <c r="AB6512">
        <v>30</v>
      </c>
      <c r="AC6512">
        <v>11.4666</v>
      </c>
      <c r="AD6512">
        <v>-1.1117842033380001</v>
      </c>
      <c r="AE6512">
        <v>-4.2659799999999901</v>
      </c>
      <c r="AF6512">
        <v>-0.71359456253985298</v>
      </c>
      <c r="AG6512">
        <v>-1.1117842033380001</v>
      </c>
      <c r="AH6512">
        <v>12.1132342452277</v>
      </c>
      <c r="AI6512">
        <v>95.235037985025699</v>
      </c>
      <c r="AJ6512">
        <v>93.371416493546604</v>
      </c>
      <c r="AK6512">
        <v>12.1850615589022</v>
      </c>
      <c r="AL6512">
        <v>89.352944984988596</v>
      </c>
      <c r="AM6512">
        <v>90.663748013262705</v>
      </c>
      <c r="AN6512">
        <v>0.99999996427054805</v>
      </c>
    </row>
    <row r="6513" spans="1:40" x14ac:dyDescent="0.25">
      <c r="A6513" t="str">
        <f>"20190312154426798"</f>
        <v>20190312154426798</v>
      </c>
      <c r="B6513" t="str">
        <f>"1552376666794394"</f>
        <v>1552376666794394</v>
      </c>
      <c r="C6513" t="s">
        <v>40</v>
      </c>
      <c r="D6513">
        <v>5.0391089999999998</v>
      </c>
      <c r="E6513">
        <v>0.4837708</v>
      </c>
      <c r="F6513" t="s">
        <v>43</v>
      </c>
      <c r="G6513">
        <v>-268.91739999999999</v>
      </c>
      <c r="H6513" s="1">
        <v>-3.1864340000000002E-6</v>
      </c>
      <c r="I6513">
        <v>-61.868310000000001</v>
      </c>
      <c r="J6513">
        <v>-280.30579999999998</v>
      </c>
      <c r="K6513">
        <v>1.111807</v>
      </c>
      <c r="L6513">
        <v>-57.646450000000002</v>
      </c>
      <c r="M6513">
        <v>0.91589799999999999</v>
      </c>
      <c r="N6513">
        <v>0</v>
      </c>
      <c r="O6513">
        <v>-0.40141159999999998</v>
      </c>
      <c r="P6513">
        <v>0.9203694</v>
      </c>
      <c r="Q6513">
        <v>1.1324300000000001E-2</v>
      </c>
      <c r="R6513">
        <v>-0.39088709999999999</v>
      </c>
      <c r="S6513">
        <v>2.8185419999999999</v>
      </c>
      <c r="T6513">
        <v>-0.27194010000000002</v>
      </c>
      <c r="U6513">
        <v>-1.0467219999999999</v>
      </c>
      <c r="V6513">
        <v>-1.152539E-2</v>
      </c>
      <c r="W6513">
        <v>1.15519E-2</v>
      </c>
      <c r="X6513">
        <v>0.99986679999999994</v>
      </c>
      <c r="Y6513">
        <v>-5.5711860000000002E-2</v>
      </c>
      <c r="Z6513">
        <v>3.8525499999999997E-2</v>
      </c>
      <c r="AA6513">
        <v>0.99770340000000002</v>
      </c>
      <c r="AB6513">
        <v>30</v>
      </c>
      <c r="AC6513">
        <v>11.388399999999899</v>
      </c>
      <c r="AD6513">
        <v>-1.111810186434</v>
      </c>
      <c r="AE6513">
        <v>-4.2218600000000004</v>
      </c>
      <c r="AF6513">
        <v>-0.69878719453777105</v>
      </c>
      <c r="AG6513">
        <v>-1.111810186434</v>
      </c>
      <c r="AH6513">
        <v>12.024555678851501</v>
      </c>
      <c r="AI6513">
        <v>95.273794667482406</v>
      </c>
      <c r="AJ6513">
        <v>93.325908923782904</v>
      </c>
      <c r="AK6513">
        <v>12.0960474828643</v>
      </c>
      <c r="AL6513">
        <v>89.338110129441304</v>
      </c>
      <c r="AM6513">
        <v>90.660414926663705</v>
      </c>
      <c r="AN6513">
        <v>0.99999994937524905</v>
      </c>
    </row>
    <row r="6514" spans="1:40" x14ac:dyDescent="0.25">
      <c r="A6514" t="str">
        <f>"20190312154426810"</f>
        <v>20190312154426810</v>
      </c>
      <c r="B6514" t="str">
        <f>"1552376666804153"</f>
        <v>1552376666804153</v>
      </c>
      <c r="C6514" t="s">
        <v>40</v>
      </c>
      <c r="D6514">
        <v>5.0880219999999996</v>
      </c>
      <c r="E6514">
        <v>0.48413499999999998</v>
      </c>
      <c r="F6514" t="s">
        <v>43</v>
      </c>
      <c r="G6514">
        <v>-269.1071</v>
      </c>
      <c r="H6514" s="1">
        <v>-3.2376320000000002E-6</v>
      </c>
      <c r="I6514">
        <v>-61.793059999999997</v>
      </c>
      <c r="J6514">
        <v>-280.16050000000001</v>
      </c>
      <c r="K6514">
        <v>1.111834</v>
      </c>
      <c r="L6514">
        <v>-57.708280000000002</v>
      </c>
      <c r="M6514">
        <v>0.91674160000000005</v>
      </c>
      <c r="N6514">
        <v>0</v>
      </c>
      <c r="O6514">
        <v>-0.39948090000000003</v>
      </c>
      <c r="P6514">
        <v>0.92117789999999999</v>
      </c>
      <c r="Q6514">
        <v>1.122542E-2</v>
      </c>
      <c r="R6514">
        <v>-0.3889802</v>
      </c>
      <c r="S6514">
        <v>2.8195800000000002</v>
      </c>
      <c r="T6514">
        <v>-0.27992800000000001</v>
      </c>
      <c r="U6514">
        <v>-1.0440370000000001</v>
      </c>
      <c r="V6514">
        <v>-1.149011E-2</v>
      </c>
      <c r="W6514">
        <v>1.150518E-2</v>
      </c>
      <c r="X6514">
        <v>0.99986779999999997</v>
      </c>
      <c r="Y6514">
        <v>-5.4473050000000002E-2</v>
      </c>
      <c r="Z6514">
        <v>3.9421230000000002E-2</v>
      </c>
      <c r="AA6514">
        <v>0.99773679999999998</v>
      </c>
      <c r="AB6514">
        <v>31</v>
      </c>
      <c r="AC6514">
        <v>11.0534</v>
      </c>
      <c r="AD6514">
        <v>-1.111837237632</v>
      </c>
      <c r="AE6514">
        <v>-4.0847799999999896</v>
      </c>
      <c r="AF6514">
        <v>-0.66501430957019803</v>
      </c>
      <c r="AG6514">
        <v>-1.111837237632</v>
      </c>
      <c r="AH6514">
        <v>11.661093329185</v>
      </c>
      <c r="AI6514">
        <v>95.437670168297402</v>
      </c>
      <c r="AJ6514">
        <v>93.263955303528206</v>
      </c>
      <c r="AK6514">
        <v>11.7328395415126</v>
      </c>
      <c r="AL6514">
        <v>89.340787202730695</v>
      </c>
      <c r="AM6514">
        <v>90.658392871615803</v>
      </c>
      <c r="AN6514">
        <v>1.00000000463574</v>
      </c>
    </row>
    <row r="6515" spans="1:40" x14ac:dyDescent="0.25">
      <c r="A6515" t="str">
        <f>"20190312154426829"</f>
        <v>20190312154426829</v>
      </c>
      <c r="B6515" t="str">
        <f>"1552376666824650"</f>
        <v>1552376666824650</v>
      </c>
      <c r="C6515" t="s">
        <v>40</v>
      </c>
      <c r="D6515">
        <v>5.0725559999999996</v>
      </c>
      <c r="E6515">
        <v>0.4847786</v>
      </c>
      <c r="F6515" t="s">
        <v>41</v>
      </c>
      <c r="G6515">
        <v>-279.24360000000001</v>
      </c>
      <c r="H6515">
        <v>1.0205599999999999</v>
      </c>
      <c r="I6515">
        <v>-58.046869999999998</v>
      </c>
      <c r="J6515">
        <v>-279.91449999999998</v>
      </c>
      <c r="K6515">
        <v>1.1118749999999999</v>
      </c>
      <c r="L6515">
        <v>-57.811979999999998</v>
      </c>
      <c r="M6515">
        <v>0.91815740000000001</v>
      </c>
      <c r="N6515">
        <v>0</v>
      </c>
      <c r="O6515">
        <v>-0.39621600000000001</v>
      </c>
      <c r="P6515">
        <v>0.92275019999999996</v>
      </c>
      <c r="Q6515">
        <v>1.096485E-2</v>
      </c>
      <c r="R6515">
        <v>-0.38524330000000001</v>
      </c>
      <c r="S6515">
        <v>2.820557</v>
      </c>
      <c r="T6515">
        <v>-0.28084480000000001</v>
      </c>
      <c r="U6515">
        <v>-1.0410159999999999</v>
      </c>
      <c r="V6515">
        <v>-1.19855E-2</v>
      </c>
      <c r="W6515">
        <v>1.132828E-2</v>
      </c>
      <c r="X6515">
        <v>0.99986399999999998</v>
      </c>
      <c r="Y6515">
        <v>-5.1982809999999997E-2</v>
      </c>
      <c r="Z6515">
        <v>3.914422E-2</v>
      </c>
      <c r="AA6515">
        <v>0.99788049999999995</v>
      </c>
      <c r="AB6515">
        <v>31</v>
      </c>
      <c r="AC6515">
        <v>0.67089999999995997</v>
      </c>
      <c r="AD6515">
        <v>-9.1314999999999799E-2</v>
      </c>
      <c r="AE6515">
        <v>-0.23488999999999199</v>
      </c>
      <c r="AF6515">
        <v>-4.9341064247769399E-2</v>
      </c>
      <c r="AG6515">
        <v>-9.1314999999999799E-2</v>
      </c>
      <c r="AH6515">
        <v>0.69754759001038802</v>
      </c>
      <c r="AI6515">
        <v>97.439721786912997</v>
      </c>
      <c r="AJ6515">
        <v>94.046080739952799</v>
      </c>
      <c r="AK6515">
        <v>0.70522734644609597</v>
      </c>
      <c r="AL6515">
        <v>89.350923483901397</v>
      </c>
      <c r="AM6515">
        <v>90.686779078318295</v>
      </c>
      <c r="AN6515">
        <v>1.000000000317</v>
      </c>
    </row>
    <row r="6516" spans="1:40" x14ac:dyDescent="0.25">
      <c r="A6516" t="str">
        <f>"20190312154426842"</f>
        <v>20190312154426842</v>
      </c>
      <c r="B6516" t="str">
        <f>"1552376666834410"</f>
        <v>1552376666834410</v>
      </c>
      <c r="C6516" t="s">
        <v>40</v>
      </c>
      <c r="D6516">
        <v>5.1026959999999999</v>
      </c>
      <c r="E6516">
        <v>0.4851355</v>
      </c>
      <c r="F6516" t="s">
        <v>41</v>
      </c>
      <c r="G6516">
        <v>-278.98919999999998</v>
      </c>
      <c r="H6516">
        <v>1.0183690000000001</v>
      </c>
      <c r="I6516">
        <v>-58.151339999999998</v>
      </c>
      <c r="J6516">
        <v>-279.74419999999998</v>
      </c>
      <c r="K6516">
        <v>1.1119019999999999</v>
      </c>
      <c r="L6516">
        <v>-57.88306</v>
      </c>
      <c r="M6516">
        <v>0.91912899999999997</v>
      </c>
      <c r="N6516">
        <v>0</v>
      </c>
      <c r="O6516">
        <v>-0.3939568</v>
      </c>
      <c r="P6516">
        <v>0.92394299999999996</v>
      </c>
      <c r="Q6516">
        <v>1.078048E-2</v>
      </c>
      <c r="R6516">
        <v>-0.38237880000000002</v>
      </c>
      <c r="S6516">
        <v>2.822632</v>
      </c>
      <c r="T6516">
        <v>-0.28531669999999998</v>
      </c>
      <c r="U6516">
        <v>-1.0346070000000001</v>
      </c>
      <c r="V6516">
        <v>-1.262868E-2</v>
      </c>
      <c r="W6516">
        <v>1.1199539999999999E-2</v>
      </c>
      <c r="X6516">
        <v>0.99985749999999995</v>
      </c>
      <c r="Y6516">
        <v>-5.171332E-2</v>
      </c>
      <c r="Z6516">
        <v>3.9544749999999997E-2</v>
      </c>
      <c r="AA6516">
        <v>0.99787870000000001</v>
      </c>
      <c r="AB6516">
        <v>31</v>
      </c>
      <c r="AC6516">
        <v>0.75499999999999501</v>
      </c>
      <c r="AD6516">
        <v>-9.3532999999999797E-2</v>
      </c>
      <c r="AE6516">
        <v>-0.26828000000000402</v>
      </c>
      <c r="AF6516">
        <v>-5.0169797887036301E-2</v>
      </c>
      <c r="AG6516">
        <v>-9.3532999999999797E-2</v>
      </c>
      <c r="AH6516">
        <v>0.78888310707833198</v>
      </c>
      <c r="AI6516">
        <v>96.748134743627304</v>
      </c>
      <c r="AJ6516">
        <v>93.638881031736602</v>
      </c>
      <c r="AK6516">
        <v>0.79599119803084994</v>
      </c>
      <c r="AL6516">
        <v>89.358300189015793</v>
      </c>
      <c r="AM6516">
        <v>90.7236347096418</v>
      </c>
      <c r="AN6516">
        <v>0.99999996678050096</v>
      </c>
    </row>
    <row r="6517" spans="1:40" x14ac:dyDescent="0.25">
      <c r="A6517" t="str">
        <f>"20190312154426855"</f>
        <v>20190312154426855</v>
      </c>
      <c r="B6517" t="str">
        <f>"1552376666844170"</f>
        <v>1552376666844170</v>
      </c>
      <c r="C6517" t="s">
        <v>40</v>
      </c>
      <c r="D6517">
        <v>5.0870470000000001</v>
      </c>
      <c r="E6517">
        <v>0.48552489999999998</v>
      </c>
      <c r="F6517" t="s">
        <v>43</v>
      </c>
      <c r="G6517">
        <v>-268.76400000000001</v>
      </c>
      <c r="H6517" s="1">
        <v>-3.1364390000000002E-6</v>
      </c>
      <c r="I6517">
        <v>-61.88073</v>
      </c>
      <c r="J6517">
        <v>-279.57429999999999</v>
      </c>
      <c r="K6517">
        <v>1.1119250000000001</v>
      </c>
      <c r="L6517">
        <v>-57.95355</v>
      </c>
      <c r="M6517">
        <v>0.92009160000000001</v>
      </c>
      <c r="N6517">
        <v>0</v>
      </c>
      <c r="O6517">
        <v>-0.39170290000000002</v>
      </c>
      <c r="P6517">
        <v>0.92499509999999996</v>
      </c>
      <c r="Q6517">
        <v>9.9748419999999994E-3</v>
      </c>
      <c r="R6517">
        <v>-0.37984820000000002</v>
      </c>
      <c r="S6517">
        <v>2.8247070000000001</v>
      </c>
      <c r="T6517">
        <v>-0.28604439999999998</v>
      </c>
      <c r="U6517">
        <v>-1.0284420000000001</v>
      </c>
      <c r="V6517">
        <v>-1.291342E-2</v>
      </c>
      <c r="W6517">
        <v>1.045191E-2</v>
      </c>
      <c r="X6517">
        <v>0.99986200000000003</v>
      </c>
      <c r="Y6517">
        <v>-5.1425020000000002E-2</v>
      </c>
      <c r="Z6517">
        <v>3.942325E-2</v>
      </c>
      <c r="AA6517">
        <v>0.99789839999999996</v>
      </c>
      <c r="AB6517">
        <v>31</v>
      </c>
      <c r="AC6517">
        <v>10.8102999999999</v>
      </c>
      <c r="AD6517">
        <v>-1.1119281364389999</v>
      </c>
      <c r="AE6517">
        <v>-3.9271799999999999</v>
      </c>
      <c r="AF6517">
        <v>-0.61530972262052996</v>
      </c>
      <c r="AG6517">
        <v>-1.1119281364389999</v>
      </c>
      <c r="AH6517">
        <v>11.378409133962601</v>
      </c>
      <c r="AI6517">
        <v>95.573281108774097</v>
      </c>
      <c r="AJ6517">
        <v>93.095366381832605</v>
      </c>
      <c r="AK6517">
        <v>11.449156504092301</v>
      </c>
      <c r="AL6517">
        <v>89.401138770657994</v>
      </c>
      <c r="AM6517">
        <v>90.739945443487102</v>
      </c>
      <c r="AN6517">
        <v>1.0000000089413701</v>
      </c>
    </row>
    <row r="6518" spans="1:40" x14ac:dyDescent="0.25">
      <c r="A6518" t="str">
        <f>"20190312154426868"</f>
        <v>20190312154426868</v>
      </c>
      <c r="B6518" t="str">
        <f>"1552376666853931"</f>
        <v>1552376666853931</v>
      </c>
      <c r="C6518" t="s">
        <v>40</v>
      </c>
      <c r="D6518">
        <v>5.101159</v>
      </c>
      <c r="E6518">
        <v>0.4858152</v>
      </c>
      <c r="F6518" t="s">
        <v>41</v>
      </c>
      <c r="G6518">
        <v>-278.7269</v>
      </c>
      <c r="H6518">
        <v>1.025323</v>
      </c>
      <c r="I6518">
        <v>-58.260660000000001</v>
      </c>
      <c r="J6518">
        <v>-279.40390000000002</v>
      </c>
      <c r="K6518">
        <v>1.11195</v>
      </c>
      <c r="L6518">
        <v>-58.02393</v>
      </c>
      <c r="M6518">
        <v>0.92105130000000002</v>
      </c>
      <c r="N6518">
        <v>0</v>
      </c>
      <c r="O6518">
        <v>-0.38944119999999999</v>
      </c>
      <c r="P6518">
        <v>0.92615860000000005</v>
      </c>
      <c r="Q6518">
        <v>9.8211410000000002E-3</v>
      </c>
      <c r="R6518">
        <v>-0.37700699999999998</v>
      </c>
      <c r="S6518">
        <v>2.8260190000000001</v>
      </c>
      <c r="T6518">
        <v>-0.28893479999999999</v>
      </c>
      <c r="U6518">
        <v>-1.0236510000000001</v>
      </c>
      <c r="V6518">
        <v>-1.352656E-2</v>
      </c>
      <c r="W6518">
        <v>1.0353680000000001E-2</v>
      </c>
      <c r="X6518">
        <v>0.99985489999999999</v>
      </c>
      <c r="Y6518">
        <v>-5.059015E-2</v>
      </c>
      <c r="Z6518">
        <v>3.9573579999999997E-2</v>
      </c>
      <c r="AA6518">
        <v>0.99793520000000002</v>
      </c>
      <c r="AB6518">
        <v>31</v>
      </c>
      <c r="AC6518">
        <v>0.67700000000002003</v>
      </c>
      <c r="AD6518">
        <v>-8.6626999999999996E-2</v>
      </c>
      <c r="AE6518">
        <v>-0.23672999999998701</v>
      </c>
      <c r="AF6518">
        <v>-4.4955357654321897E-2</v>
      </c>
      <c r="AG6518">
        <v>-8.6626999999999996E-2</v>
      </c>
      <c r="AH6518">
        <v>0.70545219682202698</v>
      </c>
      <c r="AI6518">
        <v>96.986637708263203</v>
      </c>
      <c r="AJ6518">
        <v>93.646276919749297</v>
      </c>
      <c r="AK6518">
        <v>0.71217134406816196</v>
      </c>
      <c r="AL6518">
        <v>89.406767230599101</v>
      </c>
      <c r="AM6518">
        <v>90.775079987317099</v>
      </c>
      <c r="AN6518">
        <v>0.999999993784493</v>
      </c>
    </row>
    <row r="6519" spans="1:40" x14ac:dyDescent="0.25">
      <c r="A6519" t="str">
        <f>"20190312154426880"</f>
        <v>20190312154426880</v>
      </c>
      <c r="B6519" t="str">
        <f>"1552376666874426"</f>
        <v>1552376666874426</v>
      </c>
      <c r="C6519" t="s">
        <v>40</v>
      </c>
      <c r="D6519">
        <v>5.0668889999999998</v>
      </c>
      <c r="E6519">
        <v>0.4863362</v>
      </c>
      <c r="F6519" t="s">
        <v>41</v>
      </c>
      <c r="G6519">
        <v>-278.47219999999999</v>
      </c>
      <c r="H6519">
        <v>1.0169629999999901</v>
      </c>
      <c r="I6519">
        <v>-58.35924</v>
      </c>
      <c r="J6519">
        <v>-279.25310000000002</v>
      </c>
      <c r="K6519">
        <v>1.1119779999999999</v>
      </c>
      <c r="L6519">
        <v>-58.085569999999997</v>
      </c>
      <c r="M6519">
        <v>0.92189719999999997</v>
      </c>
      <c r="N6519">
        <v>0</v>
      </c>
      <c r="O6519">
        <v>-0.38743430000000001</v>
      </c>
      <c r="P6519">
        <v>0.92730610000000002</v>
      </c>
      <c r="Q6519">
        <v>9.3074520000000008E-3</v>
      </c>
      <c r="R6519">
        <v>-0.3741892</v>
      </c>
      <c r="S6519">
        <v>2.8281559999999999</v>
      </c>
      <c r="T6519">
        <v>-0.28843459999999899</v>
      </c>
      <c r="U6519">
        <v>-1.0171509999999999</v>
      </c>
      <c r="V6519">
        <v>-1.438862E-2</v>
      </c>
      <c r="W6519">
        <v>9.8864069999999998E-3</v>
      </c>
      <c r="X6519">
        <v>0.99984759999999995</v>
      </c>
      <c r="Y6519">
        <v>-5.0700389999999998E-2</v>
      </c>
      <c r="Z6519">
        <v>3.932298E-2</v>
      </c>
      <c r="AA6519">
        <v>0.99793949999999998</v>
      </c>
      <c r="AB6519">
        <v>31</v>
      </c>
      <c r="AC6519">
        <v>0.78090000000003001</v>
      </c>
      <c r="AD6519">
        <v>-9.5015000000000294E-2</v>
      </c>
      <c r="AE6519">
        <v>-0.27367000000000202</v>
      </c>
      <c r="AF6519">
        <v>-4.9597889621762099E-2</v>
      </c>
      <c r="AG6519">
        <v>-9.5015000000000294E-2</v>
      </c>
      <c r="AH6519">
        <v>0.81519037748808498</v>
      </c>
      <c r="AI6519">
        <v>96.635985197130594</v>
      </c>
      <c r="AJ6519">
        <v>93.481703295093396</v>
      </c>
      <c r="AK6519">
        <v>0.82220627121732504</v>
      </c>
      <c r="AL6519">
        <v>89.433541375438793</v>
      </c>
      <c r="AM6519">
        <v>90.824475945880806</v>
      </c>
      <c r="AN6519">
        <v>0.99999999832731601</v>
      </c>
    </row>
    <row r="6520" spans="1:40" x14ac:dyDescent="0.25">
      <c r="A6520" t="str">
        <f>"20190312154426895"</f>
        <v>20190312154426895</v>
      </c>
      <c r="B6520" t="str">
        <f>"1552376666884186"</f>
        <v>1552376666884186</v>
      </c>
      <c r="C6520" t="s">
        <v>40</v>
      </c>
      <c r="D6520">
        <v>5.0128000000000004</v>
      </c>
      <c r="E6520">
        <v>0.48652580000000001</v>
      </c>
      <c r="F6520" t="s">
        <v>43</v>
      </c>
      <c r="G6520">
        <v>-268.34730000000002</v>
      </c>
      <c r="H6520" s="1">
        <v>-3.0128600000000002E-6</v>
      </c>
      <c r="I6520">
        <v>-61.987090000000002</v>
      </c>
      <c r="J6520">
        <v>-279.05549999999999</v>
      </c>
      <c r="K6520">
        <v>1.112025</v>
      </c>
      <c r="L6520">
        <v>-58.165889999999997</v>
      </c>
      <c r="M6520">
        <v>0.9230005</v>
      </c>
      <c r="N6520">
        <v>0</v>
      </c>
      <c r="O6520">
        <v>-0.38479859999999999</v>
      </c>
      <c r="P6520">
        <v>0.92874219999999996</v>
      </c>
      <c r="Q6520">
        <v>9.4769109999999993E-3</v>
      </c>
      <c r="R6520">
        <v>-0.37060559999999998</v>
      </c>
      <c r="S6520">
        <v>2.82959</v>
      </c>
      <c r="T6520">
        <v>-0.28851259999999901</v>
      </c>
      <c r="U6520">
        <v>-1.0122990000000001</v>
      </c>
      <c r="V6520">
        <v>-1.539455E-2</v>
      </c>
      <c r="W6520">
        <v>1.0117660000000001E-2</v>
      </c>
      <c r="X6520">
        <v>0.99983029999999995</v>
      </c>
      <c r="Y6520">
        <v>-4.9538810000000003E-2</v>
      </c>
      <c r="Z6520">
        <v>3.9036319999999999E-2</v>
      </c>
      <c r="AA6520">
        <v>0.99800900000000003</v>
      </c>
      <c r="AB6520">
        <v>31</v>
      </c>
      <c r="AC6520">
        <v>10.7081999999999</v>
      </c>
      <c r="AD6520">
        <v>-1.11202801286</v>
      </c>
      <c r="AE6520">
        <v>-3.8211999999999899</v>
      </c>
      <c r="AF6520">
        <v>-0.58790680680375795</v>
      </c>
      <c r="AG6520">
        <v>-1.11202801286</v>
      </c>
      <c r="AH6520">
        <v>11.2464799621991</v>
      </c>
      <c r="AI6520">
        <v>95.639279396672507</v>
      </c>
      <c r="AJ6520">
        <v>92.992398190017497</v>
      </c>
      <c r="AK6520">
        <v>11.316605155921</v>
      </c>
      <c r="AL6520">
        <v>89.420290889171795</v>
      </c>
      <c r="AM6520">
        <v>90.882122745916604</v>
      </c>
      <c r="AN6520">
        <v>0.99999999400583395</v>
      </c>
    </row>
    <row r="6521" spans="1:40" x14ac:dyDescent="0.25">
      <c r="A6521" t="str">
        <f>"20190312154426906"</f>
        <v>20190312154426906</v>
      </c>
      <c r="B6521" t="str">
        <f>"1552376666893946"</f>
        <v>1552376666893946</v>
      </c>
      <c r="C6521" t="s">
        <v>40</v>
      </c>
      <c r="D6521">
        <v>5.0060979999999997</v>
      </c>
      <c r="E6521">
        <v>0.48668430000000001</v>
      </c>
      <c r="F6521" t="s">
        <v>41</v>
      </c>
      <c r="G6521">
        <v>-278.20530000000002</v>
      </c>
      <c r="H6521">
        <v>1.0250140000000001</v>
      </c>
      <c r="I6521">
        <v>-58.466839999999998</v>
      </c>
      <c r="J6521">
        <v>-278.90859999999998</v>
      </c>
      <c r="K6521">
        <v>1.112063</v>
      </c>
      <c r="L6521">
        <v>-58.225340000000003</v>
      </c>
      <c r="M6521">
        <v>0.92381749999999996</v>
      </c>
      <c r="N6521">
        <v>0</v>
      </c>
      <c r="O6521">
        <v>-0.38283240000000002</v>
      </c>
      <c r="P6521">
        <v>0.92952749999999995</v>
      </c>
      <c r="Q6521">
        <v>9.4600310000000007E-3</v>
      </c>
      <c r="R6521">
        <v>-0.3686316</v>
      </c>
      <c r="S6521">
        <v>2.8332519999999999</v>
      </c>
      <c r="T6521">
        <v>-0.29007709999999998</v>
      </c>
      <c r="U6521">
        <v>-1.0022279999999999</v>
      </c>
      <c r="V6521">
        <v>-1.539073E-2</v>
      </c>
      <c r="W6521">
        <v>1.015342E-2</v>
      </c>
      <c r="X6521">
        <v>0.99983</v>
      </c>
      <c r="Y6521">
        <v>-5.0953539999999999E-2</v>
      </c>
      <c r="Z6521">
        <v>3.9121789999999997E-2</v>
      </c>
      <c r="AA6521">
        <v>0.99793449999999995</v>
      </c>
      <c r="AB6521">
        <v>32</v>
      </c>
      <c r="AC6521">
        <v>0.70329999999995596</v>
      </c>
      <c r="AD6521">
        <v>-8.7049000000000099E-2</v>
      </c>
      <c r="AE6521">
        <v>-0.24150000000000199</v>
      </c>
      <c r="AF6521">
        <v>-4.5520315298424603E-2</v>
      </c>
      <c r="AG6521">
        <v>-8.7049000000000099E-2</v>
      </c>
      <c r="AH6521">
        <v>0.73214200093656201</v>
      </c>
      <c r="AI6521">
        <v>96.7674814530112</v>
      </c>
      <c r="AJ6521">
        <v>93.557737492940703</v>
      </c>
      <c r="AK6521">
        <v>0.73870260392207998</v>
      </c>
      <c r="AL6521">
        <v>89.4182418889866</v>
      </c>
      <c r="AM6521">
        <v>90.8819041553364</v>
      </c>
      <c r="AN6521">
        <v>0.99999999770381398</v>
      </c>
    </row>
    <row r="6522" spans="1:40" x14ac:dyDescent="0.25">
      <c r="A6522" t="str">
        <f>"20190312154426917"</f>
        <v>20190312154426917</v>
      </c>
      <c r="B6522" t="str">
        <f>"1552376666903706"</f>
        <v>1552376666903706</v>
      </c>
      <c r="C6522" t="s">
        <v>40</v>
      </c>
      <c r="D6522">
        <v>5.035158</v>
      </c>
      <c r="E6522">
        <v>0.4869116</v>
      </c>
      <c r="F6522" t="s">
        <v>74</v>
      </c>
      <c r="G6522">
        <v>-268.12139999999999</v>
      </c>
      <c r="H6522" s="1">
        <v>-2.9244450000000001E-6</v>
      </c>
      <c r="I6522">
        <v>-62.018970000000003</v>
      </c>
      <c r="J6522">
        <v>-278.76889999999997</v>
      </c>
      <c r="K6522">
        <v>1.1121049999999999</v>
      </c>
      <c r="L6522">
        <v>-58.281309999999998</v>
      </c>
      <c r="M6522">
        <v>0.92459539999999996</v>
      </c>
      <c r="N6522">
        <v>0</v>
      </c>
      <c r="O6522">
        <v>-0.3809496</v>
      </c>
      <c r="P6522">
        <v>0.9301566</v>
      </c>
      <c r="Q6522">
        <v>1.019611E-2</v>
      </c>
      <c r="R6522">
        <v>-0.36702129999999999</v>
      </c>
      <c r="S6522">
        <v>2.8350219999999999</v>
      </c>
      <c r="T6522">
        <v>-0.292267</v>
      </c>
      <c r="U6522">
        <v>-0.99703980000000003</v>
      </c>
      <c r="V6522">
        <v>-1.5089770000000001E-2</v>
      </c>
      <c r="W6522">
        <v>1.094207E-2</v>
      </c>
      <c r="X6522">
        <v>0.99982629999999995</v>
      </c>
      <c r="Y6522">
        <v>-5.0720010000000003E-2</v>
      </c>
      <c r="Z6522">
        <v>3.9225240000000001E-2</v>
      </c>
      <c r="AA6522">
        <v>0.99794229999999995</v>
      </c>
      <c r="AB6522">
        <v>32</v>
      </c>
      <c r="AC6522">
        <v>10.6474999999999</v>
      </c>
      <c r="AD6522">
        <v>-1.1121079244449901</v>
      </c>
      <c r="AE6522">
        <v>-3.7376599999999902</v>
      </c>
      <c r="AF6522">
        <v>-0.59456315091784295</v>
      </c>
      <c r="AG6522">
        <v>-1.1121079244449901</v>
      </c>
      <c r="AH6522">
        <v>11.160101291986001</v>
      </c>
      <c r="AI6522">
        <v>95.682750822387902</v>
      </c>
      <c r="AJ6522">
        <v>93.049594549244205</v>
      </c>
      <c r="AK6522">
        <v>11.231124174517401</v>
      </c>
      <c r="AL6522">
        <v>89.373053077708093</v>
      </c>
      <c r="AM6522">
        <v>90.864664691280893</v>
      </c>
      <c r="AN6522">
        <v>1.00000003011311</v>
      </c>
    </row>
    <row r="6523" spans="1:40" x14ac:dyDescent="0.25">
      <c r="A6523" t="str">
        <f>"20190312154426929"</f>
        <v>20190312154426929</v>
      </c>
      <c r="B6523" t="str">
        <f>"1552376666924202"</f>
        <v>1552376666924202</v>
      </c>
      <c r="C6523" t="s">
        <v>40</v>
      </c>
      <c r="D6523">
        <v>5.0051670000000001</v>
      </c>
      <c r="E6523">
        <v>0.48710969999999998</v>
      </c>
      <c r="F6523" t="s">
        <v>41</v>
      </c>
      <c r="G6523">
        <v>-277.93579999999997</v>
      </c>
      <c r="H6523">
        <v>1.0268660000000001</v>
      </c>
      <c r="I6523">
        <v>-58.57338</v>
      </c>
      <c r="J6523">
        <v>-278.62099999999998</v>
      </c>
      <c r="K6523">
        <v>1.112144</v>
      </c>
      <c r="L6523">
        <v>-58.340420000000002</v>
      </c>
      <c r="M6523">
        <v>0.92541589999999996</v>
      </c>
      <c r="N6523">
        <v>0</v>
      </c>
      <c r="O6523">
        <v>-0.37895250000000003</v>
      </c>
      <c r="P6523">
        <v>0.93068870000000004</v>
      </c>
      <c r="Q6523">
        <v>1.087961E-2</v>
      </c>
      <c r="R6523">
        <v>-0.365651</v>
      </c>
      <c r="S6523">
        <v>2.8363339999999999</v>
      </c>
      <c r="T6523">
        <v>-0.29036149999999999</v>
      </c>
      <c r="U6523">
        <v>-0.99371339999999997</v>
      </c>
      <c r="V6523">
        <v>-1.440789E-2</v>
      </c>
      <c r="W6523">
        <v>1.1684450000000001E-2</v>
      </c>
      <c r="X6523">
        <v>0.99982789999999999</v>
      </c>
      <c r="Y6523">
        <v>-4.9787669999999999E-2</v>
      </c>
      <c r="Z6523">
        <v>3.8737130000000002E-2</v>
      </c>
      <c r="AA6523">
        <v>0.99800829999999996</v>
      </c>
      <c r="AB6523">
        <v>32</v>
      </c>
      <c r="AC6523">
        <v>0.68520000000000802</v>
      </c>
      <c r="AD6523">
        <v>-8.5277999999999896E-2</v>
      </c>
      <c r="AE6523">
        <v>-0.23296000000001199</v>
      </c>
      <c r="AF6523">
        <v>-4.3469812400962697E-2</v>
      </c>
      <c r="AG6523">
        <v>-8.5277999999999896E-2</v>
      </c>
      <c r="AH6523">
        <v>0.71248334092751897</v>
      </c>
      <c r="AI6523">
        <v>96.812783241316396</v>
      </c>
      <c r="AJ6523">
        <v>93.491384463272098</v>
      </c>
      <c r="AK6523">
        <v>0.718884186064357</v>
      </c>
      <c r="AL6523">
        <v>89.330515075768901</v>
      </c>
      <c r="AM6523">
        <v>90.825596239368593</v>
      </c>
      <c r="AN6523">
        <v>0.99999997164223098</v>
      </c>
    </row>
    <row r="6524" spans="1:40" x14ac:dyDescent="0.25">
      <c r="A6524" t="str">
        <f>"20190312154426940"</f>
        <v>20190312154426940</v>
      </c>
      <c r="B6524" t="str">
        <f>"1552376666933961"</f>
        <v>1552376666933961</v>
      </c>
      <c r="C6524" t="s">
        <v>40</v>
      </c>
      <c r="D6524">
        <v>5.0125999999999999</v>
      </c>
      <c r="E6524">
        <v>0.48734139999999998</v>
      </c>
      <c r="F6524" t="s">
        <v>41</v>
      </c>
      <c r="G6524">
        <v>-277.6832</v>
      </c>
      <c r="H6524">
        <v>1.015188</v>
      </c>
      <c r="I6524">
        <v>-58.668109999999999</v>
      </c>
      <c r="J6524">
        <v>-278.46069999999997</v>
      </c>
      <c r="K6524">
        <v>1.112196</v>
      </c>
      <c r="L6524">
        <v>-58.403840000000002</v>
      </c>
      <c r="M6524">
        <v>0.92630959999999996</v>
      </c>
      <c r="N6524">
        <v>0</v>
      </c>
      <c r="O6524">
        <v>-0.3767624</v>
      </c>
      <c r="P6524">
        <v>0.93124459999999998</v>
      </c>
      <c r="Q6524">
        <v>1.135862E-2</v>
      </c>
      <c r="R6524">
        <v>-0.36421819999999999</v>
      </c>
      <c r="S6524">
        <v>2.8375849999999998</v>
      </c>
      <c r="T6524">
        <v>-0.29352020000000001</v>
      </c>
      <c r="U6524">
        <v>-0.99081419999999998</v>
      </c>
      <c r="V6524">
        <v>-1.3585389999999999E-2</v>
      </c>
      <c r="W6524">
        <v>1.222849E-2</v>
      </c>
      <c r="X6524">
        <v>0.99983290000000002</v>
      </c>
      <c r="Y6524">
        <v>-4.8445950000000002E-2</v>
      </c>
      <c r="Z6524">
        <v>3.8881720000000002E-2</v>
      </c>
      <c r="AA6524">
        <v>0.99806870000000003</v>
      </c>
      <c r="AB6524">
        <v>32</v>
      </c>
      <c r="AC6524">
        <v>0.77749999999997499</v>
      </c>
      <c r="AD6524">
        <v>-9.70079999999999E-2</v>
      </c>
      <c r="AE6524">
        <v>-0.26426999999999601</v>
      </c>
      <c r="AF6524">
        <v>-4.74744323273378E-2</v>
      </c>
      <c r="AG6524">
        <v>-9.70079999999999E-2</v>
      </c>
      <c r="AH6524">
        <v>0.80849040059059796</v>
      </c>
      <c r="AI6524">
        <v>96.830361506488899</v>
      </c>
      <c r="AJ6524">
        <v>93.360540526643703</v>
      </c>
      <c r="AK6524">
        <v>0.81567217779935897</v>
      </c>
      <c r="AL6524">
        <v>89.299341644495499</v>
      </c>
      <c r="AM6524">
        <v>90.778467694280195</v>
      </c>
      <c r="AN6524">
        <v>0.99999996335577002</v>
      </c>
    </row>
    <row r="6525" spans="1:40" x14ac:dyDescent="0.25">
      <c r="A6525" t="str">
        <f>"20190312154426952"</f>
        <v>20190312154426952</v>
      </c>
      <c r="B6525" t="str">
        <f>"1552376666943722"</f>
        <v>1552376666943722</v>
      </c>
      <c r="C6525" t="s">
        <v>40</v>
      </c>
      <c r="D6525">
        <v>4.913233</v>
      </c>
      <c r="E6525">
        <v>0.48755100000000001</v>
      </c>
      <c r="F6525" t="s">
        <v>43</v>
      </c>
      <c r="G6525">
        <v>-267.65170000000001</v>
      </c>
      <c r="H6525" s="1">
        <v>-2.7620540000000002E-6</v>
      </c>
      <c r="I6525">
        <v>-62.165939999999999</v>
      </c>
      <c r="J6525">
        <v>-278.31229999999999</v>
      </c>
      <c r="K6525">
        <v>1.112244</v>
      </c>
      <c r="L6525">
        <v>-58.462310000000002</v>
      </c>
      <c r="M6525">
        <v>0.92713570000000001</v>
      </c>
      <c r="N6525">
        <v>0</v>
      </c>
      <c r="O6525">
        <v>-0.37472420000000001</v>
      </c>
      <c r="P6525">
        <v>0.93172679999999997</v>
      </c>
      <c r="Q6525">
        <v>1.180281E-2</v>
      </c>
      <c r="R6525">
        <v>-0.36296820000000002</v>
      </c>
      <c r="S6525">
        <v>2.8386230000000001</v>
      </c>
      <c r="T6525">
        <v>-0.29208200000000001</v>
      </c>
      <c r="U6525">
        <v>-0.98800659999999896</v>
      </c>
      <c r="V6525">
        <v>-1.2731910000000001E-2</v>
      </c>
      <c r="W6525">
        <v>1.273437E-2</v>
      </c>
      <c r="X6525">
        <v>0.99983789999999995</v>
      </c>
      <c r="Y6525">
        <v>-4.727547E-2</v>
      </c>
      <c r="Z6525">
        <v>3.8443360000000003E-2</v>
      </c>
      <c r="AA6525">
        <v>0.99814179999999997</v>
      </c>
      <c r="AB6525">
        <v>32</v>
      </c>
      <c r="AC6525">
        <v>10.660599999999899</v>
      </c>
      <c r="AD6525">
        <v>-1.112246762054</v>
      </c>
      <c r="AE6525">
        <v>-3.70363</v>
      </c>
      <c r="AF6525">
        <v>-0.55562082253965095</v>
      </c>
      <c r="AG6525">
        <v>-1.112246762054</v>
      </c>
      <c r="AH6525">
        <v>11.1632411762712</v>
      </c>
      <c r="AI6525">
        <v>95.682883815775497</v>
      </c>
      <c r="AJ6525">
        <v>92.849394608501498</v>
      </c>
      <c r="AK6525">
        <v>11.232264282758599</v>
      </c>
      <c r="AL6525">
        <v>89.270354656506299</v>
      </c>
      <c r="AM6525">
        <v>90.729563544581694</v>
      </c>
      <c r="AN6525">
        <v>1.00000004599397</v>
      </c>
    </row>
    <row r="6526" spans="1:40" x14ac:dyDescent="0.25">
      <c r="A6526" t="str">
        <f>"20190312154426963"</f>
        <v>20190312154426963</v>
      </c>
      <c r="B6526" t="str">
        <f>"1552376666954457"</f>
        <v>1552376666954457</v>
      </c>
      <c r="C6526" t="s">
        <v>40</v>
      </c>
      <c r="D6526">
        <v>4.9103050000000001</v>
      </c>
      <c r="E6526">
        <v>0.48786230000000003</v>
      </c>
      <c r="F6526" t="s">
        <v>41</v>
      </c>
      <c r="G6526">
        <v>-277.41469999999998</v>
      </c>
      <c r="H6526">
        <v>1.0196889999999901</v>
      </c>
      <c r="I6526">
        <v>-58.774149999999999</v>
      </c>
      <c r="J6526">
        <v>-278.16199999999998</v>
      </c>
      <c r="K6526">
        <v>1.1122939999999999</v>
      </c>
      <c r="L6526">
        <v>-58.521059999999999</v>
      </c>
      <c r="M6526">
        <v>0.92797399999999997</v>
      </c>
      <c r="N6526">
        <v>0</v>
      </c>
      <c r="O6526">
        <v>-0.372643</v>
      </c>
      <c r="P6526">
        <v>0.93210789999999999</v>
      </c>
      <c r="Q6526">
        <v>1.18189E-2</v>
      </c>
      <c r="R6526">
        <v>-0.36198780000000003</v>
      </c>
      <c r="S6526">
        <v>2.8395079999999999</v>
      </c>
      <c r="T6526">
        <v>-0.29297960000000001</v>
      </c>
      <c r="U6526">
        <v>-0.98583980000000004</v>
      </c>
      <c r="V6526">
        <v>-1.1541890000000001E-2</v>
      </c>
      <c r="W6526">
        <v>1.28159E-2</v>
      </c>
      <c r="X6526">
        <v>0.9998513</v>
      </c>
      <c r="Y6526">
        <v>-4.5814349999999997E-2</v>
      </c>
      <c r="Z6526">
        <v>3.8292979999999997E-2</v>
      </c>
      <c r="AA6526">
        <v>0.99821570000000004</v>
      </c>
      <c r="AB6526">
        <v>32</v>
      </c>
      <c r="AC6526">
        <v>0.74730000000005203</v>
      </c>
      <c r="AD6526">
        <v>-9.2605000000000201E-2</v>
      </c>
      <c r="AE6526">
        <v>-0.25308999999999998</v>
      </c>
      <c r="AF6526">
        <v>-4.3022530045452999E-2</v>
      </c>
      <c r="AG6526">
        <v>-9.2605000000000201E-2</v>
      </c>
      <c r="AH6526">
        <v>0.77708271297116005</v>
      </c>
      <c r="AI6526">
        <v>96.785597760388598</v>
      </c>
      <c r="AJ6526">
        <v>93.1688974703291</v>
      </c>
      <c r="AK6526">
        <v>0.78376282567823397</v>
      </c>
      <c r="AL6526">
        <v>89.265682947877906</v>
      </c>
      <c r="AM6526">
        <v>90.661370558873102</v>
      </c>
      <c r="AN6526">
        <v>1.00000004231463</v>
      </c>
    </row>
    <row r="6527" spans="1:40" x14ac:dyDescent="0.25">
      <c r="A6527" t="str">
        <f>"20190312154426973"</f>
        <v>20190312154426973</v>
      </c>
      <c r="B6527" t="str">
        <f>"1552376666964219"</f>
        <v>1552376666964219</v>
      </c>
      <c r="C6527" t="s">
        <v>40</v>
      </c>
      <c r="D6527">
        <v>4.9481320000000002</v>
      </c>
      <c r="E6527">
        <v>0.4879599</v>
      </c>
      <c r="F6527" t="s">
        <v>43</v>
      </c>
      <c r="G6527">
        <v>-267.35969999999998</v>
      </c>
      <c r="H6527" s="1">
        <v>-2.6642700000000001E-6</v>
      </c>
      <c r="I6527">
        <v>-62.269210000000001</v>
      </c>
      <c r="J6527">
        <v>-278.02690000000001</v>
      </c>
      <c r="K6527">
        <v>1.1123459999999901</v>
      </c>
      <c r="L6527">
        <v>-58.57349</v>
      </c>
      <c r="M6527">
        <v>0.92872730000000003</v>
      </c>
      <c r="N6527">
        <v>0</v>
      </c>
      <c r="O6527">
        <v>-0.37076179999999997</v>
      </c>
      <c r="P6527">
        <v>0.93243929999999997</v>
      </c>
      <c r="Q6527">
        <v>1.1629540000000001E-2</v>
      </c>
      <c r="R6527">
        <v>-0.36113980000000001</v>
      </c>
      <c r="S6527">
        <v>2.839569</v>
      </c>
      <c r="T6527">
        <v>-0.29238839999999999</v>
      </c>
      <c r="U6527">
        <v>-0.98529049999999996</v>
      </c>
      <c r="V6527">
        <v>-1.042675E-2</v>
      </c>
      <c r="W6527">
        <v>1.2697180000000001E-2</v>
      </c>
      <c r="X6527">
        <v>0.999865</v>
      </c>
      <c r="Y6527">
        <v>-4.399223E-2</v>
      </c>
      <c r="Z6527">
        <v>3.7954710000000003E-2</v>
      </c>
      <c r="AA6527">
        <v>0.99831060000000005</v>
      </c>
      <c r="AB6527">
        <v>32</v>
      </c>
      <c r="AC6527">
        <v>10.667199999999999</v>
      </c>
      <c r="AD6527">
        <v>-1.11234866426999</v>
      </c>
      <c r="AE6527">
        <v>-3.6957200000000001</v>
      </c>
      <c r="AF6527">
        <v>-0.51764897619070505</v>
      </c>
      <c r="AG6527">
        <v>-1.11234866426999</v>
      </c>
      <c r="AH6527">
        <v>11.168727730503401</v>
      </c>
      <c r="AI6527">
        <v>95.681554089157402</v>
      </c>
      <c r="AJ6527">
        <v>92.653649754406999</v>
      </c>
      <c r="AK6527">
        <v>11.2359138093691</v>
      </c>
      <c r="AL6527">
        <v>89.272485608438799</v>
      </c>
      <c r="AM6527">
        <v>90.5974677732343</v>
      </c>
      <c r="AN6527">
        <v>0.99999997686025699</v>
      </c>
    </row>
    <row r="6528" spans="1:40" x14ac:dyDescent="0.25">
      <c r="A6528" t="str">
        <f>"20190312154426996"</f>
        <v>20190312154426996</v>
      </c>
      <c r="B6528" t="str">
        <f>"1552376666983737"</f>
        <v>1552376666983737</v>
      </c>
      <c r="C6528" t="s">
        <v>40</v>
      </c>
      <c r="D6528">
        <v>4.8078560000000001</v>
      </c>
      <c r="E6528">
        <v>0.48766350000000003</v>
      </c>
      <c r="F6528" t="s">
        <v>41</v>
      </c>
      <c r="G6528">
        <v>-277.14640000000003</v>
      </c>
      <c r="H6528">
        <v>1.021549</v>
      </c>
      <c r="I6528">
        <v>-58.878529999999998</v>
      </c>
      <c r="J6528">
        <v>-277.7176</v>
      </c>
      <c r="K6528">
        <v>1.1124889999999901</v>
      </c>
      <c r="L6528">
        <v>-58.692349999999998</v>
      </c>
      <c r="M6528">
        <v>0.93045279999999997</v>
      </c>
      <c r="N6528">
        <v>0</v>
      </c>
      <c r="O6528">
        <v>-0.36640929999999999</v>
      </c>
      <c r="P6528">
        <v>0.93370010000000003</v>
      </c>
      <c r="Q6528">
        <v>1.0919130000000001E-2</v>
      </c>
      <c r="R6528">
        <v>-0.35788959999999997</v>
      </c>
      <c r="S6528">
        <v>2.8400880000000002</v>
      </c>
      <c r="T6528">
        <v>-0.29295840000000001</v>
      </c>
      <c r="U6528">
        <v>-0.98355099999999995</v>
      </c>
      <c r="V6528">
        <v>-9.2300999999999998E-3</v>
      </c>
      <c r="W6528">
        <v>1.220274E-2</v>
      </c>
      <c r="X6528">
        <v>0.99988290000000002</v>
      </c>
      <c r="Y6528">
        <v>-3.9945670000000003E-2</v>
      </c>
      <c r="Z6528">
        <v>3.742682E-2</v>
      </c>
      <c r="AA6528">
        <v>0.99850059999999996</v>
      </c>
      <c r="AB6528">
        <v>32</v>
      </c>
      <c r="AC6528">
        <v>0.57119999999997595</v>
      </c>
      <c r="AD6528">
        <v>-9.0939999999999799E-2</v>
      </c>
      <c r="AE6528">
        <v>-0.18618000000000701</v>
      </c>
      <c r="AF6528">
        <v>-3.5253554053320299E-2</v>
      </c>
      <c r="AG6528">
        <v>-9.0939999999999799E-2</v>
      </c>
      <c r="AH6528">
        <v>0.58626022264431299</v>
      </c>
      <c r="AI6528">
        <v>98.801732178348701</v>
      </c>
      <c r="AJ6528">
        <v>93.441220198051894</v>
      </c>
      <c r="AK6528">
        <v>0.59431805064994403</v>
      </c>
      <c r="AL6528">
        <v>89.300817116980497</v>
      </c>
      <c r="AM6528">
        <v>90.528892686773602</v>
      </c>
      <c r="AN6528">
        <v>0.99999995766096195</v>
      </c>
    </row>
    <row r="6529" spans="1:40" x14ac:dyDescent="0.25">
      <c r="A6529" t="str">
        <f>"20190312154427007"</f>
        <v>20190312154427007</v>
      </c>
      <c r="B6529" t="str">
        <f>"1552376666994101"</f>
        <v>1552376666994101</v>
      </c>
      <c r="C6529" t="s">
        <v>40</v>
      </c>
      <c r="D6529">
        <v>4.8419530000000002</v>
      </c>
      <c r="E6529">
        <v>0.45989790000000003</v>
      </c>
      <c r="F6529" t="s">
        <v>41</v>
      </c>
      <c r="G6529">
        <v>-276.87380000000002</v>
      </c>
      <c r="H6529">
        <v>1.02545</v>
      </c>
      <c r="I6529">
        <v>-58.980609999999999</v>
      </c>
      <c r="J6529">
        <v>-277.56099999999998</v>
      </c>
      <c r="K6529">
        <v>1.1125799999999999</v>
      </c>
      <c r="L6529">
        <v>-58.752040000000001</v>
      </c>
      <c r="M6529">
        <v>0.93132320000000002</v>
      </c>
      <c r="N6529">
        <v>0</v>
      </c>
      <c r="O6529">
        <v>-0.36419099999999999</v>
      </c>
      <c r="P6529">
        <v>0.93454020000000004</v>
      </c>
      <c r="Q6529">
        <v>9.9489469999999997E-3</v>
      </c>
      <c r="R6529">
        <v>-0.35571920000000001</v>
      </c>
      <c r="S6529">
        <v>2.8441160000000001</v>
      </c>
      <c r="T6529">
        <v>-0.2935005</v>
      </c>
      <c r="U6529">
        <v>-0.97140499999999996</v>
      </c>
      <c r="V6529">
        <v>-9.1691600000000009E-3</v>
      </c>
      <c r="W6529">
        <v>1.1374530000000001E-2</v>
      </c>
      <c r="X6529">
        <v>0.99989320000000004</v>
      </c>
      <c r="Y6529">
        <v>-4.1810960000000001E-2</v>
      </c>
      <c r="Z6529">
        <v>3.7367989999999997E-2</v>
      </c>
      <c r="AA6529">
        <v>0.99842649999999999</v>
      </c>
      <c r="AB6529">
        <v>32</v>
      </c>
      <c r="AC6529">
        <v>0.68719999999996095</v>
      </c>
      <c r="AD6529">
        <v>-8.7129999999999902E-2</v>
      </c>
      <c r="AE6529">
        <v>-0.228569999999997</v>
      </c>
      <c r="AF6529">
        <v>-3.6865937629103999E-2</v>
      </c>
      <c r="AG6529">
        <v>-8.7129999999999902E-2</v>
      </c>
      <c r="AH6529">
        <v>0.71292995269414905</v>
      </c>
      <c r="AI6529">
        <v>96.958584910900001</v>
      </c>
      <c r="AJ6529">
        <v>92.960154683443804</v>
      </c>
      <c r="AK6529">
        <v>0.71917998561260998</v>
      </c>
      <c r="AL6529">
        <v>89.348273339101297</v>
      </c>
      <c r="AM6529">
        <v>90.5253955567362</v>
      </c>
      <c r="AN6529">
        <v>0.99999993241703</v>
      </c>
    </row>
    <row r="6530" spans="1:40" x14ac:dyDescent="0.25">
      <c r="A6530" t="str">
        <f>"20190312154427018"</f>
        <v>20190312154427018</v>
      </c>
      <c r="B6530" t="str">
        <f>"1552376667003861"</f>
        <v>1552376667003861</v>
      </c>
      <c r="C6530" t="s">
        <v>40</v>
      </c>
      <c r="D6530">
        <v>4.8346640000000001</v>
      </c>
      <c r="E6530">
        <v>0.45876099999999997</v>
      </c>
      <c r="F6530" t="s">
        <v>43</v>
      </c>
      <c r="G6530">
        <v>-262.6859</v>
      </c>
      <c r="H6530" s="1">
        <v>-7.5251280000000005E-7</v>
      </c>
      <c r="I6530">
        <v>-62.619959999999999</v>
      </c>
      <c r="J6530">
        <v>-277.42239999999998</v>
      </c>
      <c r="K6530">
        <v>1.1126769999999999</v>
      </c>
      <c r="L6530">
        <v>-58.804139999999997</v>
      </c>
      <c r="M6530">
        <v>0.93209310000000001</v>
      </c>
      <c r="N6530">
        <v>0</v>
      </c>
      <c r="O6530">
        <v>-0.3622148</v>
      </c>
      <c r="P6530">
        <v>0.93535429999999997</v>
      </c>
      <c r="Q6530">
        <v>9.1239119999999996E-3</v>
      </c>
      <c r="R6530">
        <v>-0.35359489999999999</v>
      </c>
      <c r="S6530">
        <v>2.9231259999999999</v>
      </c>
      <c r="T6530">
        <v>-0.2186341</v>
      </c>
      <c r="U6530">
        <v>-0.76010129999999998</v>
      </c>
      <c r="V6530">
        <v>-9.3194130000000003E-3</v>
      </c>
      <c r="W6530">
        <v>1.0752299999999999E-2</v>
      </c>
      <c r="X6530">
        <v>0.99989879999999998</v>
      </c>
      <c r="Y6530">
        <v>-0.1147987</v>
      </c>
      <c r="Z6530">
        <v>3.0062140000000001E-2</v>
      </c>
      <c r="AA6530">
        <v>0.99293379999999998</v>
      </c>
      <c r="AB6530">
        <v>32</v>
      </c>
      <c r="AC6530">
        <v>14.7364999999999</v>
      </c>
      <c r="AD6530">
        <v>-1.1126777525128</v>
      </c>
      <c r="AE6530">
        <v>-3.8158199999999902</v>
      </c>
      <c r="AF6530">
        <v>-1.77161615352544</v>
      </c>
      <c r="AG6530">
        <v>-1.1126777525128</v>
      </c>
      <c r="AH6530">
        <v>15.0376158549543</v>
      </c>
      <c r="AI6530">
        <v>94.202811583959303</v>
      </c>
      <c r="AJ6530">
        <v>96.719175161926103</v>
      </c>
      <c r="AK6530">
        <v>15.1824426946899</v>
      </c>
      <c r="AL6530">
        <v>89.383926741335898</v>
      </c>
      <c r="AM6530">
        <v>90.534001612589606</v>
      </c>
      <c r="AN6530">
        <v>1.00000003682769</v>
      </c>
    </row>
    <row r="6531" spans="1:40" x14ac:dyDescent="0.25">
      <c r="A6531" t="str">
        <f>"20190312154427031"</f>
        <v>20190312154427031</v>
      </c>
      <c r="B6531" t="str">
        <f>"1552376667024357"</f>
        <v>1552376667024357</v>
      </c>
      <c r="C6531" t="s">
        <v>40</v>
      </c>
      <c r="D6531">
        <v>4.7738139999999998</v>
      </c>
      <c r="E6531">
        <v>0.45845449999999999</v>
      </c>
      <c r="F6531" t="s">
        <v>74</v>
      </c>
      <c r="G6531">
        <v>-262.32909999999998</v>
      </c>
      <c r="H6531" s="1">
        <v>-6.0636150000000003E-7</v>
      </c>
      <c r="I6531">
        <v>-62.645829999999997</v>
      </c>
      <c r="J6531">
        <v>-277.25130000000001</v>
      </c>
      <c r="K6531">
        <v>1.112816</v>
      </c>
      <c r="L6531">
        <v>-58.868189999999998</v>
      </c>
      <c r="M6531">
        <v>0.93303950000000002</v>
      </c>
      <c r="N6531">
        <v>0</v>
      </c>
      <c r="O6531">
        <v>-0.35976839999999999</v>
      </c>
      <c r="P6531">
        <v>0.93630360000000001</v>
      </c>
      <c r="Q6531">
        <v>8.2299769999999994E-3</v>
      </c>
      <c r="R6531">
        <v>-0.35109590000000002</v>
      </c>
      <c r="S6531">
        <v>2.9277340000000001</v>
      </c>
      <c r="T6531">
        <v>-0.21583260000000001</v>
      </c>
      <c r="U6531">
        <v>-0.74520869999999995</v>
      </c>
      <c r="V6531">
        <v>-9.3657199999999993E-3</v>
      </c>
      <c r="W6531">
        <v>1.013674E-2</v>
      </c>
      <c r="X6531">
        <v>0.99990480000000004</v>
      </c>
      <c r="Y6531">
        <v>-0.1173421</v>
      </c>
      <c r="Z6531">
        <v>2.958564E-2</v>
      </c>
      <c r="AA6531">
        <v>0.9926507</v>
      </c>
      <c r="AB6531">
        <v>32</v>
      </c>
      <c r="AC6531">
        <v>14.9222</v>
      </c>
      <c r="AD6531">
        <v>-1.1128166063614999</v>
      </c>
      <c r="AE6531">
        <v>-3.7776399999999901</v>
      </c>
      <c r="AF6531">
        <v>-1.83426572338431</v>
      </c>
      <c r="AG6531">
        <v>-1.1128166063614999</v>
      </c>
      <c r="AH6531">
        <v>15.202652617479201</v>
      </c>
      <c r="AI6531">
        <v>94.156480491343302</v>
      </c>
      <c r="AJ6531">
        <v>96.879728168053106</v>
      </c>
      <c r="AK6531">
        <v>15.353290792241401</v>
      </c>
      <c r="AL6531">
        <v>89.419197656131303</v>
      </c>
      <c r="AM6531">
        <v>90.5366516251039</v>
      </c>
      <c r="AN6531">
        <v>1.00000003963599</v>
      </c>
    </row>
    <row r="6532" spans="1:40" x14ac:dyDescent="0.25">
      <c r="A6532" t="str">
        <f>"20190312154427043"</f>
        <v>20190312154427043</v>
      </c>
      <c r="B6532" t="str">
        <f>"1552376667034117"</f>
        <v>1552376667034117</v>
      </c>
      <c r="C6532" t="s">
        <v>40</v>
      </c>
      <c r="D6532">
        <v>4.7336830000000001</v>
      </c>
      <c r="E6532">
        <v>0.45860649999999997</v>
      </c>
      <c r="F6532" t="s">
        <v>74</v>
      </c>
      <c r="G6532">
        <v>-261.9699</v>
      </c>
      <c r="H6532" s="1">
        <v>-4.6727729999999999E-7</v>
      </c>
      <c r="I6532">
        <v>-62.702199999999998</v>
      </c>
      <c r="J6532">
        <v>-277.07060000000001</v>
      </c>
      <c r="K6532">
        <v>1.1129849999999999</v>
      </c>
      <c r="L6532">
        <v>-58.935119999999998</v>
      </c>
      <c r="M6532">
        <v>0.93403910000000001</v>
      </c>
      <c r="N6532">
        <v>0</v>
      </c>
      <c r="O6532">
        <v>-0.357162799999999</v>
      </c>
      <c r="P6532">
        <v>0.9375677</v>
      </c>
      <c r="Q6532">
        <v>7.3941700000000003E-3</v>
      </c>
      <c r="R6532">
        <v>-0.34772429999999999</v>
      </c>
      <c r="S6532">
        <v>2.9302670000000002</v>
      </c>
      <c r="T6532">
        <v>-0.2133873</v>
      </c>
      <c r="U6532">
        <v>-0.73519899999999905</v>
      </c>
      <c r="V6532">
        <v>-1.0173919999999999E-2</v>
      </c>
      <c r="W6532">
        <v>9.6909130000000007E-3</v>
      </c>
      <c r="X6532">
        <v>0.99990129999999999</v>
      </c>
      <c r="Y6532">
        <v>-0.11799419999999999</v>
      </c>
      <c r="Z6532">
        <v>2.909349E-2</v>
      </c>
      <c r="AA6532">
        <v>0.99258800000000003</v>
      </c>
      <c r="AB6532">
        <v>33</v>
      </c>
      <c r="AC6532">
        <v>15.1007</v>
      </c>
      <c r="AD6532">
        <v>-1.1129854672773001</v>
      </c>
      <c r="AE6532">
        <v>-3.76708</v>
      </c>
      <c r="AF6532">
        <v>-1.8652745034162801</v>
      </c>
      <c r="AG6532">
        <v>-1.1129854672773001</v>
      </c>
      <c r="AH6532">
        <v>15.3715381818583</v>
      </c>
      <c r="AI6532">
        <v>94.111254789042405</v>
      </c>
      <c r="AJ6532">
        <v>96.918785998735899</v>
      </c>
      <c r="AK6532">
        <v>15.524244641843</v>
      </c>
      <c r="AL6532">
        <v>89.444742903125601</v>
      </c>
      <c r="AM6532">
        <v>90.582960100031499</v>
      </c>
      <c r="AN6532">
        <v>1.0000000160923099</v>
      </c>
    </row>
    <row r="6533" spans="1:40" x14ac:dyDescent="0.25">
      <c r="A6533" t="str">
        <f>"20190312154427057"</f>
        <v>20190312154427057</v>
      </c>
      <c r="B6533" t="str">
        <f>"1552376667043877"</f>
        <v>1552376667043877</v>
      </c>
      <c r="C6533" t="s">
        <v>40</v>
      </c>
      <c r="D6533">
        <v>4.7232469999999998</v>
      </c>
      <c r="E6533">
        <v>0.45877560000000001</v>
      </c>
      <c r="F6533" t="s">
        <v>74</v>
      </c>
      <c r="G6533">
        <v>-261.82470000000001</v>
      </c>
      <c r="H6533" s="1">
        <v>-4.0676039999999999E-7</v>
      </c>
      <c r="I6533">
        <v>-62.7089199999999</v>
      </c>
      <c r="J6533">
        <v>-276.89120000000003</v>
      </c>
      <c r="K6533">
        <v>1.113173</v>
      </c>
      <c r="L6533">
        <v>-59.000889999999998</v>
      </c>
      <c r="M6533">
        <v>0.93503119999999995</v>
      </c>
      <c r="N6533">
        <v>0</v>
      </c>
      <c r="O6533">
        <v>-0.35455370000000003</v>
      </c>
      <c r="P6533">
        <v>0.93901000000000001</v>
      </c>
      <c r="Q6533">
        <v>6.1457200000000003E-3</v>
      </c>
      <c r="R6533">
        <v>-0.34383509999999901</v>
      </c>
      <c r="S6533">
        <v>2.9322509999999999</v>
      </c>
      <c r="T6533">
        <v>-0.2140608</v>
      </c>
      <c r="U6533">
        <v>-0.72583009999999903</v>
      </c>
      <c r="V6533">
        <v>-1.152427E-2</v>
      </c>
      <c r="W6533">
        <v>8.9151330000000004E-3</v>
      </c>
      <c r="X6533">
        <v>0.99989380000000005</v>
      </c>
      <c r="Y6533">
        <v>-0.1183651</v>
      </c>
      <c r="Z6533">
        <v>2.9020379999999998E-2</v>
      </c>
      <c r="AA6533">
        <v>0.99254600000000004</v>
      </c>
      <c r="AB6533">
        <v>33</v>
      </c>
      <c r="AC6533">
        <v>15.0665</v>
      </c>
      <c r="AD6533">
        <v>-1.1131734067604</v>
      </c>
      <c r="AE6533">
        <v>-3.70802999999998</v>
      </c>
      <c r="AF6533">
        <v>-1.8651672141523099</v>
      </c>
      <c r="AG6533">
        <v>-1.1131734067604</v>
      </c>
      <c r="AH6533">
        <v>15.323535935334499</v>
      </c>
      <c r="AI6533">
        <v>94.124599577357401</v>
      </c>
      <c r="AJ6533">
        <v>96.939853305522306</v>
      </c>
      <c r="AK6533">
        <v>15.4767166198698</v>
      </c>
      <c r="AL6533">
        <v>89.489193713079601</v>
      </c>
      <c r="AM6533">
        <v>90.660332925582296</v>
      </c>
      <c r="AN6533">
        <v>0.99999994983693896</v>
      </c>
    </row>
    <row r="6534" spans="1:40" x14ac:dyDescent="0.25">
      <c r="A6534" t="str">
        <f>"20190312154427075"</f>
        <v>20190312154427075</v>
      </c>
      <c r="B6534" t="str">
        <f>"1552376667064372"</f>
        <v>1552376667064372</v>
      </c>
      <c r="C6534" t="s">
        <v>40</v>
      </c>
      <c r="D6534">
        <v>4.7187789999999996</v>
      </c>
      <c r="E6534">
        <v>0.45891749999999998</v>
      </c>
      <c r="F6534" t="s">
        <v>74</v>
      </c>
      <c r="G6534">
        <v>-261.85219999999998</v>
      </c>
      <c r="H6534" s="1">
        <v>-4.0707579999999997E-7</v>
      </c>
      <c r="I6534">
        <v>-62.665799999999997</v>
      </c>
      <c r="J6534">
        <v>-276.6524</v>
      </c>
      <c r="K6534">
        <v>1.113405</v>
      </c>
      <c r="L6534">
        <v>-59.087589999999999</v>
      </c>
      <c r="M6534">
        <v>0.93636620000000004</v>
      </c>
      <c r="N6534">
        <v>0</v>
      </c>
      <c r="O6534">
        <v>-0.35100710000000002</v>
      </c>
      <c r="P6534">
        <v>0.94134839999999997</v>
      </c>
      <c r="Q6534">
        <v>5.3259739999999998E-3</v>
      </c>
      <c r="R6534">
        <v>-0.33739429999999998</v>
      </c>
      <c r="S6534">
        <v>2.9344480000000002</v>
      </c>
      <c r="T6534">
        <v>-0.21720429999999999</v>
      </c>
      <c r="U6534">
        <v>-0.71511840000000004</v>
      </c>
      <c r="V6534">
        <v>-1.458711E-2</v>
      </c>
      <c r="W6534">
        <v>8.7205909999999998E-3</v>
      </c>
      <c r="X6534">
        <v>0.99985559999999996</v>
      </c>
      <c r="Y6534">
        <v>-0.1181683</v>
      </c>
      <c r="Z6534">
        <v>2.919391E-2</v>
      </c>
      <c r="AA6534">
        <v>0.99256429999999995</v>
      </c>
      <c r="AB6534">
        <v>33</v>
      </c>
      <c r="AC6534">
        <v>14.8002</v>
      </c>
      <c r="AD6534">
        <v>-1.1134054070757999</v>
      </c>
      <c r="AE6534">
        <v>-3.5782099999999901</v>
      </c>
      <c r="AF6534">
        <v>-1.83466205668258</v>
      </c>
      <c r="AG6534">
        <v>-1.1134054070757999</v>
      </c>
      <c r="AH6534">
        <v>15.0340920273023</v>
      </c>
      <c r="AI6534">
        <v>94.204441277921305</v>
      </c>
      <c r="AJ6534">
        <v>96.957599610531503</v>
      </c>
      <c r="AK6534">
        <v>15.186493326246501</v>
      </c>
      <c r="AL6534">
        <v>89.500340620954006</v>
      </c>
      <c r="AM6534">
        <v>90.835841244085799</v>
      </c>
      <c r="AN6534">
        <v>1.0000000266684499</v>
      </c>
    </row>
    <row r="6535" spans="1:40" x14ac:dyDescent="0.25">
      <c r="A6535" t="str">
        <f>"20190312154427085"</f>
        <v>20190312154427085</v>
      </c>
      <c r="B6535" t="str">
        <f>"1552376667074133"</f>
        <v>1552376667074133</v>
      </c>
      <c r="C6535" t="s">
        <v>40</v>
      </c>
      <c r="D6535">
        <v>4.7142530000000002</v>
      </c>
      <c r="E6535">
        <v>0.45917599999999997</v>
      </c>
      <c r="F6535" t="s">
        <v>43</v>
      </c>
      <c r="G6535">
        <v>-260.86880000000002</v>
      </c>
      <c r="H6535" s="1">
        <v>-2.88984E-8</v>
      </c>
      <c r="I6535">
        <v>-62.829940000000001</v>
      </c>
      <c r="J6535">
        <v>-276.49630000000002</v>
      </c>
      <c r="K6535">
        <v>1.1135360000000001</v>
      </c>
      <c r="L6535">
        <v>-59.143709999999999</v>
      </c>
      <c r="M6535">
        <v>0.93725309999999995</v>
      </c>
      <c r="N6535">
        <v>0</v>
      </c>
      <c r="O6535">
        <v>-0.34862789999999999</v>
      </c>
      <c r="P6535">
        <v>0.94269829999999999</v>
      </c>
      <c r="Q6535">
        <v>4.9283829999999997E-3</v>
      </c>
      <c r="R6535">
        <v>-0.33361049999999998</v>
      </c>
      <c r="S6535">
        <v>2.9383849999999998</v>
      </c>
      <c r="T6535">
        <v>-0.20727970000000001</v>
      </c>
      <c r="U6535">
        <v>-0.69671629999999996</v>
      </c>
      <c r="V6535">
        <v>-1.6066509999999999E-2</v>
      </c>
      <c r="W6535">
        <v>8.6924559999999994E-3</v>
      </c>
      <c r="X6535">
        <v>0.99983319999999998</v>
      </c>
      <c r="Y6535">
        <v>-0.1219295</v>
      </c>
      <c r="Z6535">
        <v>2.783062E-2</v>
      </c>
      <c r="AA6535">
        <v>0.99214849999999999</v>
      </c>
      <c r="AB6535">
        <v>32</v>
      </c>
      <c r="AC6535">
        <v>15.6274999999999</v>
      </c>
      <c r="AD6535">
        <v>-1.1135360288984</v>
      </c>
      <c r="AE6535">
        <v>-3.6862300000000001</v>
      </c>
      <c r="AF6535">
        <v>-1.9837261404203499</v>
      </c>
      <c r="AG6535">
        <v>-1.1135360288984</v>
      </c>
      <c r="AH6535">
        <v>15.8559052345417</v>
      </c>
      <c r="AI6535">
        <v>93.986224959103296</v>
      </c>
      <c r="AJ6535">
        <v>97.131199909868798</v>
      </c>
      <c r="AK6535">
        <v>16.018266532137901</v>
      </c>
      <c r="AL6535">
        <v>89.501952715210507</v>
      </c>
      <c r="AM6535">
        <v>90.920617551907199</v>
      </c>
      <c r="AN6535">
        <v>1.0000000596785601</v>
      </c>
    </row>
    <row r="6536" spans="1:40" x14ac:dyDescent="0.25">
      <c r="A6536" t="str">
        <f>"20190312154427097"</f>
        <v>20190312154427097</v>
      </c>
      <c r="B6536" t="str">
        <f>"1552376667094417"</f>
        <v>1552376667094417</v>
      </c>
      <c r="C6536" t="s">
        <v>40</v>
      </c>
      <c r="D6536">
        <v>4.6834920000000002</v>
      </c>
      <c r="E6536">
        <v>0.45979789999999998</v>
      </c>
      <c r="F6536" t="s">
        <v>43</v>
      </c>
      <c r="G6536">
        <v>-260.48469999999998</v>
      </c>
      <c r="H6536" s="1">
        <v>1.2137929999999999E-7</v>
      </c>
      <c r="I6536">
        <v>-62.884459999999997</v>
      </c>
      <c r="J6536">
        <v>-276.34399999999999</v>
      </c>
      <c r="K6536">
        <v>1.1136549999999901</v>
      </c>
      <c r="L6536">
        <v>-59.197809999999997</v>
      </c>
      <c r="M6536">
        <v>0.93813040000000003</v>
      </c>
      <c r="N6536">
        <v>0</v>
      </c>
      <c r="O6536">
        <v>-0.34625539999999999</v>
      </c>
      <c r="P6536">
        <v>0.94399840000000002</v>
      </c>
      <c r="Q6536">
        <v>4.89384E-3</v>
      </c>
      <c r="R6536">
        <v>-0.32991429999999999</v>
      </c>
      <c r="S6536">
        <v>2.9403079999999999</v>
      </c>
      <c r="T6536">
        <v>-0.20448549999999999</v>
      </c>
      <c r="U6536">
        <v>-0.68695069999999903</v>
      </c>
      <c r="V6536">
        <v>-1.746048E-2</v>
      </c>
      <c r="W6536">
        <v>9.0147860000000003E-3</v>
      </c>
      <c r="X6536">
        <v>0.99980690000000005</v>
      </c>
      <c r="Y6536">
        <v>-0.1227187</v>
      </c>
      <c r="Z6536">
        <v>2.73283E-2</v>
      </c>
      <c r="AA6536">
        <v>0.99206519999999998</v>
      </c>
      <c r="AB6536">
        <v>32</v>
      </c>
      <c r="AC6536">
        <v>15.859299999999999</v>
      </c>
      <c r="AD6536">
        <v>-1.1136548786206999</v>
      </c>
      <c r="AE6536">
        <v>-3.6866500000000002</v>
      </c>
      <c r="AF6536">
        <v>-2.02336302041213</v>
      </c>
      <c r="AG6536">
        <v>-1.1136548786206999</v>
      </c>
      <c r="AH6536">
        <v>16.079540743095301</v>
      </c>
      <c r="AI6536">
        <v>93.931026533738006</v>
      </c>
      <c r="AJ6536">
        <v>97.172096435467793</v>
      </c>
      <c r="AK6536">
        <v>16.244563878722801</v>
      </c>
      <c r="AL6536">
        <v>89.483483805698995</v>
      </c>
      <c r="AM6536">
        <v>91.000503324160306</v>
      </c>
      <c r="AN6536">
        <v>0.99999998600803297</v>
      </c>
    </row>
    <row r="6537" spans="1:40" x14ac:dyDescent="0.25">
      <c r="A6537" t="str">
        <f>"20190312154427109"</f>
        <v>20190312154427109</v>
      </c>
      <c r="B6537" t="str">
        <f>"1552376667104178"</f>
        <v>1552376667104178</v>
      </c>
      <c r="C6537" t="s">
        <v>40</v>
      </c>
      <c r="D6537">
        <v>4.6851510000000003</v>
      </c>
      <c r="E6537">
        <v>0.46003759999999999</v>
      </c>
      <c r="F6537" t="s">
        <v>75</v>
      </c>
      <c r="G6537">
        <v>-259.5247</v>
      </c>
      <c r="H6537" s="1">
        <v>-3.6260300000000001E-6</v>
      </c>
      <c r="I6537">
        <v>-63.089199999999998</v>
      </c>
      <c r="J6537">
        <v>-276.19560000000001</v>
      </c>
      <c r="K6537">
        <v>1.1137709999999901</v>
      </c>
      <c r="L6537">
        <v>-59.250309999999999</v>
      </c>
      <c r="M6537">
        <v>0.93898300000000001</v>
      </c>
      <c r="N6537">
        <v>0</v>
      </c>
      <c r="O6537">
        <v>-0.34393210000000002</v>
      </c>
      <c r="P6537">
        <v>0.94515059999999995</v>
      </c>
      <c r="Q6537">
        <v>4.7809949999999997E-3</v>
      </c>
      <c r="R6537">
        <v>-0.3266</v>
      </c>
      <c r="S6537">
        <v>2.9411619999999998</v>
      </c>
      <c r="T6537">
        <v>-0.1947439</v>
      </c>
      <c r="U6537">
        <v>-0.680481</v>
      </c>
      <c r="V6537">
        <v>-1.849831E-2</v>
      </c>
      <c r="W6537">
        <v>9.2527180000000001E-3</v>
      </c>
      <c r="X6537">
        <v>0.99978610000000001</v>
      </c>
      <c r="Y6537">
        <v>-0.1224971</v>
      </c>
      <c r="Z6537">
        <v>2.5881830000000002E-2</v>
      </c>
      <c r="AA6537">
        <v>0.9921314</v>
      </c>
      <c r="AB6537">
        <v>33</v>
      </c>
      <c r="AC6537">
        <v>16.6709</v>
      </c>
      <c r="AD6537">
        <v>-1.1137746260300001</v>
      </c>
      <c r="AE6537">
        <v>-3.8388899999999899</v>
      </c>
      <c r="AF6537">
        <v>-2.1200419134492701</v>
      </c>
      <c r="AG6537">
        <v>-1.1137746260300001</v>
      </c>
      <c r="AH6537">
        <v>16.902547246511599</v>
      </c>
      <c r="AI6537">
        <v>93.740765897658207</v>
      </c>
      <c r="AJ6537">
        <v>97.149124414201296</v>
      </c>
      <c r="AK6537">
        <v>17.071355395894301</v>
      </c>
      <c r="AL6537">
        <v>89.469850756997005</v>
      </c>
      <c r="AM6537">
        <v>91.059980902148197</v>
      </c>
      <c r="AN6537">
        <v>1.00000002300822</v>
      </c>
    </row>
    <row r="6538" spans="1:40" x14ac:dyDescent="0.25">
      <c r="A6538" t="str">
        <f>"20190312154427119"</f>
        <v>20190312154427119</v>
      </c>
      <c r="B6538" t="str">
        <f>"1552376667113937"</f>
        <v>1552376667113937</v>
      </c>
      <c r="C6538" t="s">
        <v>40</v>
      </c>
      <c r="D6538">
        <v>4.6784210000000002</v>
      </c>
      <c r="E6538">
        <v>0.46033829999999998</v>
      </c>
      <c r="F6538" t="s">
        <v>75</v>
      </c>
      <c r="G6538">
        <v>-259.23140000000001</v>
      </c>
      <c r="H6538" s="1">
        <v>-3.5307980000000001E-6</v>
      </c>
      <c r="I6538">
        <v>-63.123390000000001</v>
      </c>
      <c r="J6538">
        <v>-276.03339999999997</v>
      </c>
      <c r="K6538">
        <v>1.1138980000000001</v>
      </c>
      <c r="L6538">
        <v>-59.306849999999997</v>
      </c>
      <c r="M6538">
        <v>0.9399343</v>
      </c>
      <c r="N6538">
        <v>0</v>
      </c>
      <c r="O6538">
        <v>-0.3413176</v>
      </c>
      <c r="P6538">
        <v>0.94631419999999999</v>
      </c>
      <c r="Q6538">
        <v>4.6593909999999997E-3</v>
      </c>
      <c r="R6538">
        <v>-0.32321539999999999</v>
      </c>
      <c r="S6538">
        <v>2.9429630000000002</v>
      </c>
      <c r="T6538">
        <v>-0.19321849999999999</v>
      </c>
      <c r="U6538">
        <v>-0.67190550000000004</v>
      </c>
      <c r="V6538">
        <v>-1.929964E-2</v>
      </c>
      <c r="W6538">
        <v>9.5431000000000005E-3</v>
      </c>
      <c r="X6538">
        <v>0.9997682</v>
      </c>
      <c r="Y6538">
        <v>-0.1226346</v>
      </c>
      <c r="Z6538">
        <v>2.5521809999999999E-2</v>
      </c>
      <c r="AA6538">
        <v>0.99212370000000005</v>
      </c>
      <c r="AB6538">
        <v>33</v>
      </c>
      <c r="AC6538">
        <v>16.8019999999999</v>
      </c>
      <c r="AD6538">
        <v>-1.113901530798</v>
      </c>
      <c r="AE6538">
        <v>-3.8165399999999998</v>
      </c>
      <c r="AF6538">
        <v>-2.1386108843068001</v>
      </c>
      <c r="AG6538">
        <v>-1.113901530798</v>
      </c>
      <c r="AH6538">
        <v>17.024495381306998</v>
      </c>
      <c r="AI6538">
        <v>93.714379680968804</v>
      </c>
      <c r="AJ6538">
        <v>97.159969919118694</v>
      </c>
      <c r="AK6538">
        <v>17.194414096529599</v>
      </c>
      <c r="AL6538">
        <v>89.4532123470823</v>
      </c>
      <c r="AM6538">
        <v>91.105906941190995</v>
      </c>
      <c r="AN6538">
        <v>1.00000000029648</v>
      </c>
    </row>
    <row r="6539" spans="1:40" x14ac:dyDescent="0.25">
      <c r="A6539" t="str">
        <f>"20190312154427130"</f>
        <v>20190312154427130</v>
      </c>
      <c r="B6539" t="str">
        <f>"1552376667123697"</f>
        <v>1552376667123697</v>
      </c>
      <c r="C6539" t="s">
        <v>40</v>
      </c>
      <c r="D6539">
        <v>4.6218570000000003</v>
      </c>
      <c r="E6539">
        <v>0.46056239999999998</v>
      </c>
      <c r="F6539" t="s">
        <v>75</v>
      </c>
      <c r="G6539">
        <v>-259.03250000000003</v>
      </c>
      <c r="H6539" s="1">
        <v>-3.4650229999999999E-6</v>
      </c>
      <c r="I6539">
        <v>-63.137810000000002</v>
      </c>
      <c r="J6539">
        <v>-275.89659999999998</v>
      </c>
      <c r="K6539">
        <v>1.113998</v>
      </c>
      <c r="L6539">
        <v>-59.354370000000003</v>
      </c>
      <c r="M6539">
        <v>0.94073640000000003</v>
      </c>
      <c r="N6539">
        <v>0</v>
      </c>
      <c r="O6539">
        <v>-0.33909489999999998</v>
      </c>
      <c r="P6539">
        <v>0.94698850000000001</v>
      </c>
      <c r="Q6539">
        <v>4.3011489999999998E-3</v>
      </c>
      <c r="R6539">
        <v>-0.321239</v>
      </c>
      <c r="S6539">
        <v>2.9445190000000001</v>
      </c>
      <c r="T6539">
        <v>-0.19292500000000001</v>
      </c>
      <c r="U6539">
        <v>-0.66351319999999903</v>
      </c>
      <c r="V6539">
        <v>-1.9026479999999998E-2</v>
      </c>
      <c r="W6539">
        <v>9.5426230000000001E-3</v>
      </c>
      <c r="X6539">
        <v>0.99977340000000003</v>
      </c>
      <c r="Y6539">
        <v>-0.12309879999999999</v>
      </c>
      <c r="Z6539">
        <v>2.5361410000000001E-2</v>
      </c>
      <c r="AA6539">
        <v>0.99207029999999996</v>
      </c>
      <c r="AB6539">
        <v>33</v>
      </c>
      <c r="AC6539">
        <v>16.864099999999901</v>
      </c>
      <c r="AD6539">
        <v>-1.1140014650229999</v>
      </c>
      <c r="AE6539">
        <v>-3.7834399999999899</v>
      </c>
      <c r="AF6539">
        <v>-2.1504087503868101</v>
      </c>
      <c r="AG6539">
        <v>-1.1140014650229999</v>
      </c>
      <c r="AH6539">
        <v>17.076926323824399</v>
      </c>
      <c r="AI6539">
        <v>93.703199027933493</v>
      </c>
      <c r="AJ6539">
        <v>97.177183068519</v>
      </c>
      <c r="AK6539">
        <v>17.247801881026501</v>
      </c>
      <c r="AL6539">
        <v>89.453239656364701</v>
      </c>
      <c r="AM6539">
        <v>91.090252477434802</v>
      </c>
      <c r="AN6539">
        <v>0.99999995997123403</v>
      </c>
    </row>
    <row r="6540" spans="1:40" x14ac:dyDescent="0.25">
      <c r="A6540" t="str">
        <f>"20190312154427141"</f>
        <v>20190312154427141</v>
      </c>
      <c r="B6540" t="str">
        <f>"1552376667134433"</f>
        <v>1552376667134433</v>
      </c>
      <c r="C6540" t="s">
        <v>40</v>
      </c>
      <c r="D6540">
        <v>4.6370329999999997</v>
      </c>
      <c r="E6540">
        <v>0.46080339999999997</v>
      </c>
      <c r="F6540" t="s">
        <v>75</v>
      </c>
      <c r="G6540">
        <v>-258.71350000000001</v>
      </c>
      <c r="H6540" s="1">
        <v>-3.3645199999999998E-6</v>
      </c>
      <c r="I6540">
        <v>-63.197949999999999</v>
      </c>
      <c r="J6540">
        <v>-275.74509999999998</v>
      </c>
      <c r="K6540">
        <v>1.1141030000000001</v>
      </c>
      <c r="L6540">
        <v>-59.40634</v>
      </c>
      <c r="M6540">
        <v>0.94163920000000001</v>
      </c>
      <c r="N6540">
        <v>0</v>
      </c>
      <c r="O6540">
        <v>-0.33657350000000003</v>
      </c>
      <c r="P6540">
        <v>0.94776950000000004</v>
      </c>
      <c r="Q6540">
        <v>3.8545049999999998E-3</v>
      </c>
      <c r="R6540">
        <v>-0.31893280000000002</v>
      </c>
      <c r="S6540">
        <v>2.9452820000000002</v>
      </c>
      <c r="T6540">
        <v>-0.19094659999999999</v>
      </c>
      <c r="U6540">
        <v>-0.65881350000000005</v>
      </c>
      <c r="V6540">
        <v>-1.878287E-2</v>
      </c>
      <c r="W6540">
        <v>9.4896960000000006E-3</v>
      </c>
      <c r="X6540">
        <v>0.99977859999999996</v>
      </c>
      <c r="Y6540">
        <v>-0.1220282</v>
      </c>
      <c r="Z6540">
        <v>2.4916299999999999E-2</v>
      </c>
      <c r="AA6540">
        <v>0.99221380000000003</v>
      </c>
      <c r="AB6540">
        <v>33</v>
      </c>
      <c r="AC6540">
        <v>17.031599999999901</v>
      </c>
      <c r="AD6540">
        <v>-1.11410636452</v>
      </c>
      <c r="AE6540">
        <v>-3.7916099999999902</v>
      </c>
      <c r="AF6540">
        <v>-2.15331431410331</v>
      </c>
      <c r="AG6540">
        <v>-1.11410636452</v>
      </c>
      <c r="AH6540">
        <v>17.243769183255498</v>
      </c>
      <c r="AI6540">
        <v>93.668285375321005</v>
      </c>
      <c r="AJ6540">
        <v>97.117959994029604</v>
      </c>
      <c r="AK6540">
        <v>17.413373342697799</v>
      </c>
      <c r="AL6540">
        <v>89.456272336356506</v>
      </c>
      <c r="AM6540">
        <v>91.076290882382196</v>
      </c>
      <c r="AN6540">
        <v>1.00000004977678</v>
      </c>
    </row>
    <row r="6541" spans="1:40" x14ac:dyDescent="0.25">
      <c r="A6541" t="str">
        <f>"20190312154427152"</f>
        <v>20190312154427152</v>
      </c>
      <c r="B6541" t="str">
        <f>"1552376667144194"</f>
        <v>1552376667144194</v>
      </c>
      <c r="C6541" t="s">
        <v>40</v>
      </c>
      <c r="D6541">
        <v>4.6401159999999999</v>
      </c>
      <c r="E6541">
        <v>0.46098349999999999</v>
      </c>
      <c r="F6541" t="s">
        <v>75</v>
      </c>
      <c r="G6541">
        <v>-258.50659999999999</v>
      </c>
      <c r="H6541" s="1">
        <v>-3.2982149999999998E-6</v>
      </c>
      <c r="I6541">
        <v>-63.228740000000002</v>
      </c>
      <c r="J6541">
        <v>-275.59609999999998</v>
      </c>
      <c r="K6541">
        <v>1.114201</v>
      </c>
      <c r="L6541">
        <v>-59.457090000000001</v>
      </c>
      <c r="M6541">
        <v>0.94253050000000005</v>
      </c>
      <c r="N6541">
        <v>0</v>
      </c>
      <c r="O6541">
        <v>-0.33406229999999998</v>
      </c>
      <c r="P6541">
        <v>0.94852780000000003</v>
      </c>
      <c r="Q6541">
        <v>3.5852449999999999E-3</v>
      </c>
      <c r="R6541">
        <v>-0.31667440000000002</v>
      </c>
      <c r="S6541">
        <v>2.946259</v>
      </c>
      <c r="T6541">
        <v>-0.1904132</v>
      </c>
      <c r="U6541">
        <v>-0.65328980000000003</v>
      </c>
      <c r="V6541">
        <v>-1.8503970000000002E-2</v>
      </c>
      <c r="W6541">
        <v>9.5998409999999996E-3</v>
      </c>
      <c r="X6541">
        <v>0.99978270000000002</v>
      </c>
      <c r="Y6541">
        <v>-0.121236999999999</v>
      </c>
      <c r="Z6541">
        <v>2.4670379999999999E-2</v>
      </c>
      <c r="AA6541">
        <v>0.992317</v>
      </c>
      <c r="AB6541">
        <v>33</v>
      </c>
      <c r="AC6541">
        <v>17.089499999999902</v>
      </c>
      <c r="AD6541">
        <v>-1.114204298215</v>
      </c>
      <c r="AE6541">
        <v>-3.7716500000000002</v>
      </c>
      <c r="AF6541">
        <v>-2.1454079979724399</v>
      </c>
      <c r="AG6541">
        <v>-1.114204298215</v>
      </c>
      <c r="AH6541">
        <v>17.2975631539224</v>
      </c>
      <c r="AI6541">
        <v>93.657606820446802</v>
      </c>
      <c r="AJ6541">
        <v>97.070259378306005</v>
      </c>
      <c r="AK6541">
        <v>17.465678279410099</v>
      </c>
      <c r="AL6541">
        <v>89.449961178461194</v>
      </c>
      <c r="AM6541">
        <v>91.060308759602904</v>
      </c>
      <c r="AN6541">
        <v>1.00000000053613</v>
      </c>
    </row>
    <row r="6542" spans="1:40" x14ac:dyDescent="0.25">
      <c r="A6542" t="str">
        <f>"20190312154427163"</f>
        <v>20190312154427163</v>
      </c>
      <c r="B6542" t="str">
        <f>"1552376667153954"</f>
        <v>1552376667153954</v>
      </c>
      <c r="C6542" t="s">
        <v>40</v>
      </c>
      <c r="D6542">
        <v>4.624498</v>
      </c>
      <c r="E6542">
        <v>0.46130880000000002</v>
      </c>
      <c r="F6542" t="s">
        <v>75</v>
      </c>
      <c r="G6542">
        <v>-258.25549999999998</v>
      </c>
      <c r="H6542" s="1">
        <v>-3.2179020000000002E-6</v>
      </c>
      <c r="I6542">
        <v>-63.267150000000001</v>
      </c>
      <c r="J6542">
        <v>-275.43560000000002</v>
      </c>
      <c r="K6542">
        <v>1.1143069999999999</v>
      </c>
      <c r="L6542">
        <v>-59.511229999999998</v>
      </c>
      <c r="M6542">
        <v>0.94349989999999995</v>
      </c>
      <c r="N6542">
        <v>0</v>
      </c>
      <c r="O6542">
        <v>-0.33130720000000002</v>
      </c>
      <c r="P6542">
        <v>0.94911829999999997</v>
      </c>
      <c r="Q6542">
        <v>3.5007969999999999E-3</v>
      </c>
      <c r="R6542">
        <v>-0.31490040000000002</v>
      </c>
      <c r="S6542">
        <v>2.947327</v>
      </c>
      <c r="T6542">
        <v>-0.1893775</v>
      </c>
      <c r="U6542">
        <v>-0.64758300000000002</v>
      </c>
      <c r="V6542">
        <v>-1.745795E-2</v>
      </c>
      <c r="W6542">
        <v>9.9164449999999994E-3</v>
      </c>
      <c r="X6542">
        <v>0.99979839999999998</v>
      </c>
      <c r="Y6542">
        <v>-0.12026240000000001</v>
      </c>
      <c r="Z6542">
        <v>2.4339920000000001E-2</v>
      </c>
      <c r="AA6542">
        <v>0.99244370000000004</v>
      </c>
      <c r="AB6542">
        <v>33</v>
      </c>
      <c r="AC6542">
        <v>17.180099999999999</v>
      </c>
      <c r="AD6542">
        <v>-1.1143102179019999</v>
      </c>
      <c r="AE6542">
        <v>-3.7559199999999899</v>
      </c>
      <c r="AF6542">
        <v>-2.1396367605870199</v>
      </c>
      <c r="AG6542">
        <v>-1.1143102179019999</v>
      </c>
      <c r="AH6542">
        <v>17.384367330754898</v>
      </c>
      <c r="AI6542">
        <v>93.640158047150294</v>
      </c>
      <c r="AJ6542">
        <v>97.0165742093684</v>
      </c>
      <c r="AK6542">
        <v>17.5509532567207</v>
      </c>
      <c r="AL6542">
        <v>89.431820229044305</v>
      </c>
      <c r="AM6542">
        <v>91.000366885072793</v>
      </c>
      <c r="AN6542">
        <v>0.99999997827109999</v>
      </c>
    </row>
    <row r="6543" spans="1:40" x14ac:dyDescent="0.25">
      <c r="A6543" t="str">
        <f>"20190312154427174"</f>
        <v>20190312154427174</v>
      </c>
      <c r="B6543" t="str">
        <f>"1552376667163713"</f>
        <v>1552376667163713</v>
      </c>
      <c r="C6543" t="s">
        <v>40</v>
      </c>
      <c r="D6543">
        <v>4.6076639999999998</v>
      </c>
      <c r="E6543">
        <v>0.4616246</v>
      </c>
      <c r="F6543" t="s">
        <v>75</v>
      </c>
      <c r="G6543">
        <v>-257.96899999999999</v>
      </c>
      <c r="H6543" s="1">
        <v>-3.1288800000000001E-6</v>
      </c>
      <c r="I6543">
        <v>-63.330440000000003</v>
      </c>
      <c r="J6543">
        <v>-275.28739999999999</v>
      </c>
      <c r="K6543">
        <v>1.1144069999999999</v>
      </c>
      <c r="L6543">
        <v>-59.560609999999997</v>
      </c>
      <c r="M6543">
        <v>0.94440170000000001</v>
      </c>
      <c r="N6543">
        <v>0</v>
      </c>
      <c r="O6543">
        <v>-0.32872030000000002</v>
      </c>
      <c r="P6543">
        <v>0.94965670000000002</v>
      </c>
      <c r="Q6543">
        <v>3.3302100000000001E-3</v>
      </c>
      <c r="R6543">
        <v>-0.31327480000000002</v>
      </c>
      <c r="S6543">
        <v>2.9476619999999998</v>
      </c>
      <c r="T6543">
        <v>-0.18805150000000001</v>
      </c>
      <c r="U6543">
        <v>-0.64453130000000003</v>
      </c>
      <c r="V6543">
        <v>-1.643435E-2</v>
      </c>
      <c r="W6543">
        <v>1.009907E-2</v>
      </c>
      <c r="X6543">
        <v>0.99981390000000003</v>
      </c>
      <c r="Y6543">
        <v>-0.1185663</v>
      </c>
      <c r="Z6543">
        <v>2.3964450000000002E-2</v>
      </c>
      <c r="AA6543">
        <v>0.99265689999999995</v>
      </c>
      <c r="AB6543">
        <v>33</v>
      </c>
      <c r="AC6543">
        <v>17.318399999999901</v>
      </c>
      <c r="AD6543">
        <v>-1.1144101288799999</v>
      </c>
      <c r="AE6543">
        <v>-3.7698299999999998</v>
      </c>
      <c r="AF6543">
        <v>-2.1243291035489098</v>
      </c>
      <c r="AG6543">
        <v>-1.1144101288799999</v>
      </c>
      <c r="AH6543">
        <v>17.525885277308198</v>
      </c>
      <c r="AI6543">
        <v>93.611974947541697</v>
      </c>
      <c r="AJ6543">
        <v>96.911160661354302</v>
      </c>
      <c r="AK6543">
        <v>17.689300122642099</v>
      </c>
      <c r="AL6543">
        <v>89.421356050642004</v>
      </c>
      <c r="AM6543">
        <v>90.941709355058293</v>
      </c>
      <c r="AN6543">
        <v>0.99999995685399701</v>
      </c>
    </row>
    <row r="6544" spans="1:40" x14ac:dyDescent="0.25">
      <c r="A6544" t="str">
        <f>"20190312154427196"</f>
        <v>20190312154427196</v>
      </c>
      <c r="B6544" t="str">
        <f>"1552376667184213"</f>
        <v>1552376667184213</v>
      </c>
      <c r="C6544" t="s">
        <v>40</v>
      </c>
      <c r="D6544">
        <v>4.6219489999999999</v>
      </c>
      <c r="E6544">
        <v>0.46851300000000001</v>
      </c>
      <c r="F6544" t="s">
        <v>75</v>
      </c>
      <c r="G6544">
        <v>-257.77190000000002</v>
      </c>
      <c r="H6544" s="1">
        <v>-3.0677529999999998E-6</v>
      </c>
      <c r="I6544">
        <v>-63.374969999999998</v>
      </c>
      <c r="J6544">
        <v>-274.98719999999997</v>
      </c>
      <c r="K6544">
        <v>1.1146180000000001</v>
      </c>
      <c r="L6544">
        <v>-59.6592699999999</v>
      </c>
      <c r="M6544">
        <v>0.94624229999999998</v>
      </c>
      <c r="N6544">
        <v>0</v>
      </c>
      <c r="O6544">
        <v>-0.32336930000000003</v>
      </c>
      <c r="P6544">
        <v>0.95079009999999997</v>
      </c>
      <c r="Q6544">
        <v>2.6303640000000001E-3</v>
      </c>
      <c r="R6544">
        <v>-0.30982500000000002</v>
      </c>
      <c r="S6544">
        <v>2.9479060000000001</v>
      </c>
      <c r="T6544">
        <v>-0.18755849999999999</v>
      </c>
      <c r="U6544">
        <v>-0.64196779999999998</v>
      </c>
      <c r="V6544">
        <v>-1.4410050000000001E-2</v>
      </c>
      <c r="W6544">
        <v>1.006807E-2</v>
      </c>
      <c r="X6544">
        <v>0.99984550000000005</v>
      </c>
      <c r="Y6544">
        <v>-0.11380999999999999</v>
      </c>
      <c r="Z6544">
        <v>2.3437650000000001E-2</v>
      </c>
      <c r="AA6544">
        <v>0.9932261</v>
      </c>
      <c r="AB6544">
        <v>33</v>
      </c>
      <c r="AC6544">
        <v>17.2152999999999</v>
      </c>
      <c r="AD6544">
        <v>-1.114621067753</v>
      </c>
      <c r="AE6544">
        <v>-3.7157</v>
      </c>
      <c r="AF6544">
        <v>-2.0428238626813502</v>
      </c>
      <c r="AG6544">
        <v>-1.114621067753</v>
      </c>
      <c r="AH6544">
        <v>17.422110679036798</v>
      </c>
      <c r="AI6544">
        <v>93.635804174061505</v>
      </c>
      <c r="AJ6544">
        <v>96.687660578998504</v>
      </c>
      <c r="AK6544">
        <v>17.5768441414045</v>
      </c>
      <c r="AL6544">
        <v>89.423132346457507</v>
      </c>
      <c r="AM6544">
        <v>90.825705460947304</v>
      </c>
      <c r="AN6544">
        <v>1.00000001972238</v>
      </c>
    </row>
    <row r="6545" spans="1:40" x14ac:dyDescent="0.25">
      <c r="A6545" t="str">
        <f>"20190312154427208"</f>
        <v>20190312154427208</v>
      </c>
      <c r="B6545" t="str">
        <f>"1552376667204610"</f>
        <v>1552376667204610</v>
      </c>
      <c r="C6545" t="s">
        <v>40</v>
      </c>
      <c r="D6545">
        <v>4.5862470000000002</v>
      </c>
      <c r="E6545">
        <v>0.46912809999999999</v>
      </c>
      <c r="F6545" t="s">
        <v>75</v>
      </c>
      <c r="G6545">
        <v>-254.39410000000001</v>
      </c>
      <c r="H6545" s="1">
        <v>-1.9292999999999999E-6</v>
      </c>
      <c r="I6545">
        <v>-64.467529999999996</v>
      </c>
      <c r="J6545">
        <v>-274.83010000000002</v>
      </c>
      <c r="K6545">
        <v>1.114727</v>
      </c>
      <c r="L6545">
        <v>-59.710329999999999</v>
      </c>
      <c r="M6545">
        <v>0.94720919999999997</v>
      </c>
      <c r="N6545">
        <v>0</v>
      </c>
      <c r="O6545">
        <v>-0.32051819999999998</v>
      </c>
      <c r="P6545">
        <v>0.95137179999999999</v>
      </c>
      <c r="Q6545">
        <v>1.8279850000000001E-3</v>
      </c>
      <c r="R6545">
        <v>-0.30804009999999998</v>
      </c>
      <c r="S6545">
        <v>2.9325869999999998</v>
      </c>
      <c r="T6545">
        <v>-0.15872809999999901</v>
      </c>
      <c r="U6545">
        <v>-0.68472290000000002</v>
      </c>
      <c r="V6545">
        <v>-1.3273500000000001E-2</v>
      </c>
      <c r="W6545">
        <v>9.5984109999999994E-3</v>
      </c>
      <c r="X6545">
        <v>0.99986580000000003</v>
      </c>
      <c r="Y6545">
        <v>-9.6201259999999997E-2</v>
      </c>
      <c r="Z6545">
        <v>1.928703E-2</v>
      </c>
      <c r="AA6545">
        <v>0.99517500000000003</v>
      </c>
      <c r="AB6545">
        <v>33</v>
      </c>
      <c r="AC6545">
        <v>20.436</v>
      </c>
      <c r="AD6545">
        <v>-1.1147289293</v>
      </c>
      <c r="AE6545">
        <v>-4.7572000000000001</v>
      </c>
      <c r="AF6545">
        <v>-2.0383573417791498</v>
      </c>
      <c r="AG6545">
        <v>-1.1147289293</v>
      </c>
      <c r="AH6545">
        <v>20.823817813045601</v>
      </c>
      <c r="AI6545">
        <v>93.049653009227896</v>
      </c>
      <c r="AJ6545">
        <v>95.590636296426595</v>
      </c>
      <c r="AK6545">
        <v>20.953016717158398</v>
      </c>
      <c r="AL6545">
        <v>89.450043096565906</v>
      </c>
      <c r="AM6545">
        <v>90.760572926974007</v>
      </c>
      <c r="AN6545">
        <v>0.99999996665280599</v>
      </c>
    </row>
    <row r="6546" spans="1:40" x14ac:dyDescent="0.25">
      <c r="A6546" t="str">
        <f>"20190312154427219"</f>
        <v>20190312154427219</v>
      </c>
      <c r="B6546" t="str">
        <f>"1552376667214371"</f>
        <v>1552376667214371</v>
      </c>
      <c r="C6546" t="s">
        <v>40</v>
      </c>
      <c r="D6546">
        <v>4.4883240000000004</v>
      </c>
      <c r="E6546">
        <v>0.44924239999999999</v>
      </c>
      <c r="F6546" t="s">
        <v>75</v>
      </c>
      <c r="G6546">
        <v>-255.68799999999999</v>
      </c>
      <c r="H6546" s="1">
        <v>-2.4187740000000002E-6</v>
      </c>
      <c r="I6546">
        <v>-64.172359999999998</v>
      </c>
      <c r="J6546">
        <v>-274.6746</v>
      </c>
      <c r="K6546">
        <v>1.114833</v>
      </c>
      <c r="L6546">
        <v>-59.759830000000001</v>
      </c>
      <c r="M6546">
        <v>0.94818219999999998</v>
      </c>
      <c r="N6546">
        <v>0</v>
      </c>
      <c r="O6546">
        <v>-0.31762099999999999</v>
      </c>
      <c r="P6546">
        <v>0.95213510000000001</v>
      </c>
      <c r="Q6546">
        <v>9.685475E-4</v>
      </c>
      <c r="R6546">
        <v>-0.30567620000000001</v>
      </c>
      <c r="S6546">
        <v>2.9323429999999999</v>
      </c>
      <c r="T6546">
        <v>-0.17076369999999999</v>
      </c>
      <c r="U6546">
        <v>-0.68353269999999899</v>
      </c>
      <c r="V6546">
        <v>-1.269619E-2</v>
      </c>
      <c r="W6546">
        <v>9.0333819999999995E-3</v>
      </c>
      <c r="X6546">
        <v>0.99987859999999995</v>
      </c>
      <c r="Y6546">
        <v>-9.3444429999999995E-2</v>
      </c>
      <c r="Z6546">
        <v>2.0514500000000001E-2</v>
      </c>
      <c r="AA6546">
        <v>0.99541310000000005</v>
      </c>
      <c r="AB6546">
        <v>32</v>
      </c>
      <c r="AC6546">
        <v>18.986599999999999</v>
      </c>
      <c r="AD6546">
        <v>-1.1148354187739999</v>
      </c>
      <c r="AE6546">
        <v>-4.4125299999999896</v>
      </c>
      <c r="AF6546">
        <v>-1.8407017698044601</v>
      </c>
      <c r="AG6546">
        <v>-1.1148354187739999</v>
      </c>
      <c r="AH6546">
        <v>19.341655688330299</v>
      </c>
      <c r="AI6546">
        <v>93.284021280252205</v>
      </c>
      <c r="AJ6546">
        <v>95.436337503692997</v>
      </c>
      <c r="AK6546">
        <v>19.4610042336524</v>
      </c>
      <c r="AL6546">
        <v>89.482418299804806</v>
      </c>
      <c r="AM6546">
        <v>90.727487328112602</v>
      </c>
      <c r="AN6546">
        <v>1.00000000498441</v>
      </c>
    </row>
    <row r="6547" spans="1:40" x14ac:dyDescent="0.25">
      <c r="A6547" t="str">
        <f>"20190312154427231"</f>
        <v>20190312154427231</v>
      </c>
      <c r="B6547" t="str">
        <f>"1552376667224130"</f>
        <v>1552376667224130</v>
      </c>
      <c r="C6547" t="s">
        <v>40</v>
      </c>
      <c r="D6547">
        <v>4.4470710000000002</v>
      </c>
      <c r="E6547">
        <v>0.44126290000000001</v>
      </c>
      <c r="F6547" t="s">
        <v>75</v>
      </c>
      <c r="G6547">
        <v>-252.05629999999999</v>
      </c>
      <c r="H6547" s="1">
        <v>-7.6671740000000002E-7</v>
      </c>
      <c r="I6547">
        <v>-63.749409999999997</v>
      </c>
      <c r="J6547">
        <v>-274.51459999999997</v>
      </c>
      <c r="K6547">
        <v>1.114943</v>
      </c>
      <c r="L6547">
        <v>-59.810519999999997</v>
      </c>
      <c r="M6547">
        <v>0.94918230000000003</v>
      </c>
      <c r="N6547">
        <v>0</v>
      </c>
      <c r="O6547">
        <v>-0.31461169999999999</v>
      </c>
      <c r="P6547">
        <v>0.95294849999999998</v>
      </c>
      <c r="Q6547">
        <v>-1.8343139999999999E-4</v>
      </c>
      <c r="R6547">
        <v>-0.30313250000000003</v>
      </c>
      <c r="S6547">
        <v>2.9820859999999998</v>
      </c>
      <c r="T6547">
        <v>-0.14698369999999999</v>
      </c>
      <c r="U6547">
        <v>-0.52600100000000005</v>
      </c>
      <c r="V6547">
        <v>-1.2186600000000001E-2</v>
      </c>
      <c r="W6547">
        <v>8.1760619999999996E-3</v>
      </c>
      <c r="X6547">
        <v>0.99989229999999996</v>
      </c>
      <c r="Y6547">
        <v>-0.14443249999999999</v>
      </c>
      <c r="Z6547">
        <v>1.8604909999999999E-2</v>
      </c>
      <c r="AA6547">
        <v>0.98933970000000004</v>
      </c>
      <c r="AB6547">
        <v>32</v>
      </c>
      <c r="AC6547">
        <v>22.458299999999898</v>
      </c>
      <c r="AD6547">
        <v>-1.1149437667174</v>
      </c>
      <c r="AE6547">
        <v>-3.9388899999999998</v>
      </c>
      <c r="AF6547">
        <v>-3.31910353217169</v>
      </c>
      <c r="AG6547">
        <v>-1.1149437667174</v>
      </c>
      <c r="AH6547">
        <v>22.503251644432201</v>
      </c>
      <c r="AI6547">
        <v>92.806141580785706</v>
      </c>
      <c r="AJ6547">
        <v>98.390312821238098</v>
      </c>
      <c r="AK6547">
        <v>22.774017705114201</v>
      </c>
      <c r="AL6547">
        <v>89.5315409286369</v>
      </c>
      <c r="AM6547">
        <v>90.698281381159504</v>
      </c>
      <c r="AN6547">
        <v>0.99999998640433796</v>
      </c>
    </row>
    <row r="6548" spans="1:40" x14ac:dyDescent="0.25">
      <c r="A6548" t="str">
        <f>"20190312154427243"</f>
        <v>20190312154427243</v>
      </c>
      <c r="B6548" t="str">
        <f>"1552376667233890"</f>
        <v>1552376667233890</v>
      </c>
      <c r="C6548" t="s">
        <v>40</v>
      </c>
      <c r="D6548">
        <v>4.4316800000000001</v>
      </c>
      <c r="E6548">
        <v>0.43597229999999998</v>
      </c>
      <c r="F6548" t="s">
        <v>76</v>
      </c>
      <c r="G6548">
        <v>-249.4341</v>
      </c>
      <c r="H6548" s="1">
        <v>-3.6612709999999998E-6</v>
      </c>
      <c r="I6548">
        <v>-63.635039999999996</v>
      </c>
      <c r="J6548">
        <v>-274.3383</v>
      </c>
      <c r="K6548">
        <v>1.115054</v>
      </c>
      <c r="L6548">
        <v>-59.865450000000003</v>
      </c>
      <c r="M6548">
        <v>0.9502969</v>
      </c>
      <c r="N6548">
        <v>0</v>
      </c>
      <c r="O6548">
        <v>-0.31122060000000001</v>
      </c>
      <c r="P6548">
        <v>0.95394429999999997</v>
      </c>
      <c r="Q6548">
        <v>-7.0448959999999997E-4</v>
      </c>
      <c r="R6548">
        <v>-0.299983099999999</v>
      </c>
      <c r="S6548">
        <v>3.002472</v>
      </c>
      <c r="T6548">
        <v>-0.13347410000000001</v>
      </c>
      <c r="U6548">
        <v>-0.45785520000000002</v>
      </c>
      <c r="V6548">
        <v>-1.1918669999999999E-2</v>
      </c>
      <c r="W6548">
        <v>7.9519540000000007E-3</v>
      </c>
      <c r="X6548">
        <v>0.99989740000000005</v>
      </c>
      <c r="Y6548">
        <v>-0.16396729999999901</v>
      </c>
      <c r="Z6548">
        <v>1.711625E-2</v>
      </c>
      <c r="AA6548">
        <v>0.98631729999999995</v>
      </c>
      <c r="AB6548">
        <v>32</v>
      </c>
      <c r="AC6548">
        <v>24.904199999999999</v>
      </c>
      <c r="AD6548">
        <v>-1.1150576612709999</v>
      </c>
      <c r="AE6548">
        <v>-3.76959</v>
      </c>
      <c r="AF6548">
        <v>-4.1604782930837301</v>
      </c>
      <c r="AG6548">
        <v>-1.1150576612709999</v>
      </c>
      <c r="AH6548">
        <v>24.791933985084199</v>
      </c>
      <c r="AI6548">
        <v>92.539768697958294</v>
      </c>
      <c r="AJ6548">
        <v>99.526371393439405</v>
      </c>
      <c r="AK6548">
        <v>25.163324977751898</v>
      </c>
      <c r="AL6548">
        <v>89.544381817610599</v>
      </c>
      <c r="AM6548">
        <v>90.682927216976296</v>
      </c>
      <c r="AN6548">
        <v>1.0000000493968699</v>
      </c>
    </row>
    <row r="6549" spans="1:40" x14ac:dyDescent="0.25">
      <c r="A6549" t="str">
        <f>"20190312154427257"</f>
        <v>20190312154427257</v>
      </c>
      <c r="B6549" t="str">
        <f>"1552376667254387"</f>
        <v>1552376667254387</v>
      </c>
      <c r="C6549" t="s">
        <v>40</v>
      </c>
      <c r="D6549">
        <v>4.4225789999999998</v>
      </c>
      <c r="E6549">
        <v>0.42944830000000001</v>
      </c>
      <c r="F6549" t="s">
        <v>76</v>
      </c>
      <c r="G6549">
        <v>-247.4718</v>
      </c>
      <c r="H6549" s="1">
        <v>-2.9693710000000002E-6</v>
      </c>
      <c r="I6549">
        <v>-63.498939999999997</v>
      </c>
      <c r="J6549">
        <v>-274.15800000000002</v>
      </c>
      <c r="K6549">
        <v>1.115173</v>
      </c>
      <c r="L6549">
        <v>-59.920870000000001</v>
      </c>
      <c r="M6549">
        <v>0.95144989999999996</v>
      </c>
      <c r="N6549">
        <v>0</v>
      </c>
      <c r="O6549">
        <v>-0.30766900000000003</v>
      </c>
      <c r="P6549">
        <v>0.95501519999999995</v>
      </c>
      <c r="Q6549">
        <v>-1.61964799999999E-3</v>
      </c>
      <c r="R6549">
        <v>-0.29655229999999999</v>
      </c>
      <c r="S6549">
        <v>3.0164490000000002</v>
      </c>
      <c r="T6549">
        <v>-0.12519369999999999</v>
      </c>
      <c r="U6549">
        <v>-0.40795900000000002</v>
      </c>
      <c r="V6549">
        <v>-1.177282E-2</v>
      </c>
      <c r="W6549">
        <v>7.318733E-3</v>
      </c>
      <c r="X6549">
        <v>0.99990389999999996</v>
      </c>
      <c r="Y6549">
        <v>-0.1769838</v>
      </c>
      <c r="Z6549">
        <v>1.6138179999999998E-2</v>
      </c>
      <c r="AA6549">
        <v>0.9840814</v>
      </c>
      <c r="AB6549">
        <v>32</v>
      </c>
      <c r="AC6549">
        <v>26.686199999999999</v>
      </c>
      <c r="AD6549">
        <v>-1.1151759693709999</v>
      </c>
      <c r="AE6549">
        <v>-3.5780700000000101</v>
      </c>
      <c r="AF6549">
        <v>-4.7981303906716803</v>
      </c>
      <c r="AG6549">
        <v>-1.1151759693709999</v>
      </c>
      <c r="AH6549">
        <v>26.4471728295395</v>
      </c>
      <c r="AI6549">
        <v>92.375776700682906</v>
      </c>
      <c r="AJ6549">
        <v>100.282937638341</v>
      </c>
      <c r="AK6549">
        <v>26.902018945872499</v>
      </c>
      <c r="AL6549">
        <v>89.580663738324404</v>
      </c>
      <c r="AM6549">
        <v>90.674566558154794</v>
      </c>
      <c r="AN6549">
        <v>0.99999998618934305</v>
      </c>
    </row>
    <row r="6550" spans="1:40" x14ac:dyDescent="0.25">
      <c r="A6550" t="str">
        <f>"20190312154427270"</f>
        <v>20190312154427270</v>
      </c>
      <c r="B6550" t="str">
        <f>"1552376667264146"</f>
        <v>1552376667264146</v>
      </c>
      <c r="C6550" t="s">
        <v>40</v>
      </c>
      <c r="D6550">
        <v>4.4352999999999998</v>
      </c>
      <c r="E6550">
        <v>0.42740679999999998</v>
      </c>
      <c r="F6550" t="s">
        <v>76</v>
      </c>
      <c r="G6550">
        <v>-244.50890000000001</v>
      </c>
      <c r="H6550" s="1">
        <v>-1.703012E-6</v>
      </c>
      <c r="I6550">
        <v>-63.320979999999999</v>
      </c>
      <c r="J6550">
        <v>-273.97500000000002</v>
      </c>
      <c r="K6550">
        <v>1.1152930000000001</v>
      </c>
      <c r="L6550">
        <v>-59.976410000000001</v>
      </c>
      <c r="M6550">
        <v>0.9526249</v>
      </c>
      <c r="N6550">
        <v>0</v>
      </c>
      <c r="O6550">
        <v>-0.30400379999999999</v>
      </c>
      <c r="P6550">
        <v>0.95613490000000001</v>
      </c>
      <c r="Q6550">
        <v>-1.941765E-3</v>
      </c>
      <c r="R6550">
        <v>-0.29292109999999999</v>
      </c>
      <c r="S6550">
        <v>3.033112</v>
      </c>
      <c r="T6550">
        <v>-0.1140828</v>
      </c>
      <c r="U6550">
        <v>-0.34783940000000002</v>
      </c>
      <c r="V6550">
        <v>-1.172467E-2</v>
      </c>
      <c r="W6550">
        <v>7.2667590000000002E-3</v>
      </c>
      <c r="X6550">
        <v>0.99990489999999999</v>
      </c>
      <c r="Y6550">
        <v>-0.19315760000000001</v>
      </c>
      <c r="Z6550">
        <v>1.482578E-2</v>
      </c>
      <c r="AA6550">
        <v>0.98105569999999997</v>
      </c>
      <c r="AB6550">
        <v>32</v>
      </c>
      <c r="AC6550">
        <v>29.466100000000001</v>
      </c>
      <c r="AD6550">
        <v>-1.115294703012</v>
      </c>
      <c r="AE6550">
        <v>-3.3445700000000098</v>
      </c>
      <c r="AF6550">
        <v>-5.7637858668280098</v>
      </c>
      <c r="AG6550">
        <v>-1.115294703012</v>
      </c>
      <c r="AH6550">
        <v>29.0470906246893</v>
      </c>
      <c r="AI6550">
        <v>92.156842743927697</v>
      </c>
      <c r="AJ6550">
        <v>101.22335807049799</v>
      </c>
      <c r="AK6550">
        <v>29.634415525738401</v>
      </c>
      <c r="AL6550">
        <v>89.583641731372197</v>
      </c>
      <c r="AM6550">
        <v>90.671807210277706</v>
      </c>
      <c r="AN6550">
        <v>1.00000004135849</v>
      </c>
    </row>
    <row r="6551" spans="1:40" x14ac:dyDescent="0.25">
      <c r="A6551" t="str">
        <f>"20190312154427282"</f>
        <v>20190312154427282</v>
      </c>
      <c r="B6551" t="str">
        <f>"1552376667273906"</f>
        <v>1552376667273906</v>
      </c>
      <c r="C6551" t="s">
        <v>40</v>
      </c>
      <c r="D6551">
        <v>4.44217</v>
      </c>
      <c r="E6551">
        <v>0.4259367</v>
      </c>
      <c r="F6551" t="s">
        <v>76</v>
      </c>
      <c r="G6551">
        <v>-244.28559999999999</v>
      </c>
      <c r="H6551" s="1">
        <v>-1.551045E-6</v>
      </c>
      <c r="I6551">
        <v>-63.10998</v>
      </c>
      <c r="J6551">
        <v>-273.79719999999998</v>
      </c>
      <c r="K6551">
        <v>1.115416</v>
      </c>
      <c r="L6551">
        <v>-60.029389999999999</v>
      </c>
      <c r="M6551">
        <v>0.95378629999999998</v>
      </c>
      <c r="N6551">
        <v>0</v>
      </c>
      <c r="O6551">
        <v>-0.30033219999999999</v>
      </c>
      <c r="P6551">
        <v>0.95718190000000003</v>
      </c>
      <c r="Q6551">
        <v>-2.501545E-3</v>
      </c>
      <c r="R6551">
        <v>-0.28947689999999998</v>
      </c>
      <c r="S6551">
        <v>3.0391240000000002</v>
      </c>
      <c r="T6551">
        <v>-0.1141655</v>
      </c>
      <c r="U6551">
        <v>-0.32077030000000001</v>
      </c>
      <c r="V6551">
        <v>-1.147105E-2</v>
      </c>
      <c r="W6551">
        <v>6.9496710000000001E-3</v>
      </c>
      <c r="X6551">
        <v>0.99991010000000002</v>
      </c>
      <c r="Y6551">
        <v>-0.19822909999999999</v>
      </c>
      <c r="Z6551">
        <v>1.478208E-2</v>
      </c>
      <c r="AA6551">
        <v>0.98004420000000003</v>
      </c>
      <c r="AB6551">
        <v>32</v>
      </c>
      <c r="AC6551">
        <v>29.511599999999898</v>
      </c>
      <c r="AD6551">
        <v>-1.115417551045</v>
      </c>
      <c r="AE6551">
        <v>-3.0805899999999999</v>
      </c>
      <c r="AF6551">
        <v>-5.9169711056656196</v>
      </c>
      <c r="AG6551">
        <v>-1.115417551045</v>
      </c>
      <c r="AH6551">
        <v>29.033273569613399</v>
      </c>
      <c r="AI6551">
        <v>92.155868600379193</v>
      </c>
      <c r="AJ6551">
        <v>101.519109595069</v>
      </c>
      <c r="AK6551">
        <v>29.651065369501801</v>
      </c>
      <c r="AL6551">
        <v>89.601809995476899</v>
      </c>
      <c r="AM6551">
        <v>90.657273009759805</v>
      </c>
      <c r="AN6551">
        <v>1.00000004549855</v>
      </c>
    </row>
    <row r="6552" spans="1:40" x14ac:dyDescent="0.25">
      <c r="A6552" t="str">
        <f>"20190312154427298"</f>
        <v>20190312154427298</v>
      </c>
      <c r="B6552" t="str">
        <f>"1552376667294403"</f>
        <v>1552376667294403</v>
      </c>
      <c r="C6552" t="s">
        <v>40</v>
      </c>
      <c r="D6552">
        <v>4.433592</v>
      </c>
      <c r="E6552">
        <v>0.42441319999999999</v>
      </c>
      <c r="F6552" t="s">
        <v>76</v>
      </c>
      <c r="G6552">
        <v>-244.3494</v>
      </c>
      <c r="H6552" s="1">
        <v>-1.5273209999999999E-6</v>
      </c>
      <c r="I6552">
        <v>-62.917920000000002</v>
      </c>
      <c r="J6552">
        <v>-273.58969999999999</v>
      </c>
      <c r="K6552">
        <v>1.1155539999999999</v>
      </c>
      <c r="L6552">
        <v>-60.090240000000001</v>
      </c>
      <c r="M6552">
        <v>0.95515320000000004</v>
      </c>
      <c r="N6552">
        <v>0</v>
      </c>
      <c r="O6552">
        <v>-0.29594730000000002</v>
      </c>
      <c r="P6552">
        <v>0.95834050000000004</v>
      </c>
      <c r="Q6552">
        <v>-3.22164E-3</v>
      </c>
      <c r="R6552">
        <v>-0.28561029999999998</v>
      </c>
      <c r="S6552">
        <v>3.0436100000000001</v>
      </c>
      <c r="T6552">
        <v>-0.1152849</v>
      </c>
      <c r="U6552">
        <v>-0.29855350000000003</v>
      </c>
      <c r="V6552">
        <v>-1.090989E-2</v>
      </c>
      <c r="W6552">
        <v>6.4976399999999998E-3</v>
      </c>
      <c r="X6552">
        <v>0.99991940000000001</v>
      </c>
      <c r="Y6552">
        <v>-0.20095260000000001</v>
      </c>
      <c r="Z6552">
        <v>1.480662E-2</v>
      </c>
      <c r="AA6552">
        <v>0.97948900000000005</v>
      </c>
      <c r="AB6552">
        <v>32</v>
      </c>
      <c r="AC6552">
        <v>29.240299999999898</v>
      </c>
      <c r="AD6552">
        <v>-1.1155555273210001</v>
      </c>
      <c r="AE6552">
        <v>-2.8276799999999902</v>
      </c>
      <c r="AF6552">
        <v>-5.9444385355205203</v>
      </c>
      <c r="AG6552">
        <v>-1.1155555273210001</v>
      </c>
      <c r="AH6552">
        <v>28.725790047534399</v>
      </c>
      <c r="AI6552">
        <v>92.177846677683505</v>
      </c>
      <c r="AJ6552">
        <v>101.691610133354</v>
      </c>
      <c r="AK6552">
        <v>29.355609812983701</v>
      </c>
      <c r="AL6552">
        <v>89.627710041125297</v>
      </c>
      <c r="AM6552">
        <v>90.625116233476206</v>
      </c>
      <c r="AN6552">
        <v>1.0000000257608701</v>
      </c>
    </row>
    <row r="6553" spans="1:40" x14ac:dyDescent="0.25">
      <c r="A6553" t="str">
        <f>"20190312154427309"</f>
        <v>20190312154427309</v>
      </c>
      <c r="B6553" t="str">
        <f>"1552376667304165"</f>
        <v>1552376667304165</v>
      </c>
      <c r="C6553" t="s">
        <v>40</v>
      </c>
      <c r="D6553">
        <v>4.413786</v>
      </c>
      <c r="E6553">
        <v>0.42401939999999999</v>
      </c>
      <c r="F6553" t="s">
        <v>76</v>
      </c>
      <c r="G6553">
        <v>-244.93029999999999</v>
      </c>
      <c r="H6553" s="1">
        <v>-1.7110030000000001E-6</v>
      </c>
      <c r="I6553">
        <v>-62.671680000000002</v>
      </c>
      <c r="J6553">
        <v>-273.44420000000002</v>
      </c>
      <c r="K6553">
        <v>1.1156469999999901</v>
      </c>
      <c r="L6553">
        <v>-60.132449999999999</v>
      </c>
      <c r="M6553">
        <v>0.95611040000000003</v>
      </c>
      <c r="N6553">
        <v>0</v>
      </c>
      <c r="O6553">
        <v>-0.29283439999999999</v>
      </c>
      <c r="P6553">
        <v>0.95916199999999996</v>
      </c>
      <c r="Q6553">
        <v>-3.4816249999999999E-3</v>
      </c>
      <c r="R6553">
        <v>-0.28283649999999999</v>
      </c>
      <c r="S6553">
        <v>3.048187</v>
      </c>
      <c r="T6553">
        <v>-0.1186495</v>
      </c>
      <c r="U6553">
        <v>-0.2745667</v>
      </c>
      <c r="V6553">
        <v>-1.0546099999999999E-2</v>
      </c>
      <c r="W6553">
        <v>6.4165799999999999E-3</v>
      </c>
      <c r="X6553">
        <v>0.99992380000000003</v>
      </c>
      <c r="Y6553">
        <v>-0.20552229999999999</v>
      </c>
      <c r="Z6553">
        <v>1.5197469999999999E-2</v>
      </c>
      <c r="AA6553">
        <v>0.97853449999999997</v>
      </c>
      <c r="AB6553">
        <v>32</v>
      </c>
      <c r="AC6553">
        <v>28.5139</v>
      </c>
      <c r="AD6553">
        <v>-1.11564871100299</v>
      </c>
      <c r="AE6553">
        <v>-2.5392299999999999</v>
      </c>
      <c r="AF6553">
        <v>-5.9133839623213502</v>
      </c>
      <c r="AG6553">
        <v>-1.11564871100299</v>
      </c>
      <c r="AH6553">
        <v>27.964949278033199</v>
      </c>
      <c r="AI6553">
        <v>92.235202877851904</v>
      </c>
      <c r="AJ6553">
        <v>101.93970900393001</v>
      </c>
      <c r="AK6553">
        <v>28.605089932653101</v>
      </c>
      <c r="AL6553">
        <v>89.632354523978506</v>
      </c>
      <c r="AM6553">
        <v>90.604270662331601</v>
      </c>
      <c r="AN6553">
        <v>0.99999999926527305</v>
      </c>
    </row>
    <row r="6554" spans="1:40" x14ac:dyDescent="0.25">
      <c r="A6554" t="str">
        <f>"20190312154427319"</f>
        <v>20190312154427319</v>
      </c>
      <c r="B6554" t="str">
        <f>"1552376667313922"</f>
        <v>1552376667313922</v>
      </c>
      <c r="C6554" t="s">
        <v>40</v>
      </c>
      <c r="D6554">
        <v>4.3849479999999996</v>
      </c>
      <c r="E6554">
        <v>0.42379359999999999</v>
      </c>
      <c r="F6554" t="s">
        <v>76</v>
      </c>
      <c r="G6554">
        <v>-244.762</v>
      </c>
      <c r="H6554" s="1">
        <v>-1.6205899999999999E-6</v>
      </c>
      <c r="I6554">
        <v>-62.603200000000001</v>
      </c>
      <c r="J6554">
        <v>-273.2833</v>
      </c>
      <c r="K6554">
        <v>1.1157539999999999</v>
      </c>
      <c r="L6554">
        <v>-60.178069999999998</v>
      </c>
      <c r="M6554">
        <v>0.95718959999999997</v>
      </c>
      <c r="N6554">
        <v>0</v>
      </c>
      <c r="O6554">
        <v>-0.28928160000000003</v>
      </c>
      <c r="P6554">
        <v>0.96015200000000001</v>
      </c>
      <c r="Q6554">
        <v>-3.9061489999999998E-3</v>
      </c>
      <c r="R6554">
        <v>-0.27945209999999998</v>
      </c>
      <c r="S6554">
        <v>3.0498349999999999</v>
      </c>
      <c r="T6554">
        <v>-0.1186289</v>
      </c>
      <c r="U6554">
        <v>-0.26272579999999901</v>
      </c>
      <c r="V6554">
        <v>-1.03573E-2</v>
      </c>
      <c r="W6554">
        <v>6.1686279999999998E-3</v>
      </c>
      <c r="X6554">
        <v>0.99992729999999996</v>
      </c>
      <c r="Y6554">
        <v>-0.20570830000000001</v>
      </c>
      <c r="Z6554">
        <v>1.506215E-2</v>
      </c>
      <c r="AA6554">
        <v>0.97849739999999996</v>
      </c>
      <c r="AB6554">
        <v>32</v>
      </c>
      <c r="AC6554">
        <v>28.5213</v>
      </c>
      <c r="AD6554">
        <v>-1.1157556205900001</v>
      </c>
      <c r="AE6554">
        <v>-2.4251299999999998</v>
      </c>
      <c r="AF6554">
        <v>-5.9206912303845201</v>
      </c>
      <c r="AG6554">
        <v>-1.1157556205900001</v>
      </c>
      <c r="AH6554">
        <v>27.960813049936501</v>
      </c>
      <c r="AI6554">
        <v>92.235614837603407</v>
      </c>
      <c r="AJ6554">
        <v>101.955756377377</v>
      </c>
      <c r="AK6554">
        <v>28.602562152085799</v>
      </c>
      <c r="AL6554">
        <v>89.646561396475803</v>
      </c>
      <c r="AM6554">
        <v>90.593451499566996</v>
      </c>
      <c r="AN6554">
        <v>0.99999996545999004</v>
      </c>
    </row>
    <row r="6555" spans="1:40" x14ac:dyDescent="0.25">
      <c r="A6555" t="str">
        <f>"20190312154427331"</f>
        <v>20190312154427331</v>
      </c>
      <c r="B6555" t="str">
        <f>"1552376667324659"</f>
        <v>1552376667324659</v>
      </c>
      <c r="C6555" t="s">
        <v>40</v>
      </c>
      <c r="D6555">
        <v>4.3872540000000004</v>
      </c>
      <c r="E6555">
        <v>0.42364819999999997</v>
      </c>
      <c r="F6555" t="s">
        <v>76</v>
      </c>
      <c r="G6555">
        <v>-244.65719999999999</v>
      </c>
      <c r="H6555" s="1">
        <v>-1.5547929999999999E-6</v>
      </c>
      <c r="I6555">
        <v>-62.524909999999998</v>
      </c>
      <c r="J6555">
        <v>-273.13099999999997</v>
      </c>
      <c r="K6555">
        <v>1.115853</v>
      </c>
      <c r="L6555">
        <v>-60.220889999999997</v>
      </c>
      <c r="M6555">
        <v>0.95820749999999999</v>
      </c>
      <c r="N6555">
        <v>0</v>
      </c>
      <c r="O6555">
        <v>-0.28588599999999997</v>
      </c>
      <c r="P6555">
        <v>0.96099809999999997</v>
      </c>
      <c r="Q6555">
        <v>-4.2186319999999999E-3</v>
      </c>
      <c r="R6555">
        <v>-0.27652339999999997</v>
      </c>
      <c r="S6555">
        <v>3.0512079999999999</v>
      </c>
      <c r="T6555">
        <v>-0.1189265</v>
      </c>
      <c r="U6555">
        <v>-0.2501526</v>
      </c>
      <c r="V6555">
        <v>-9.8600019999999997E-3</v>
      </c>
      <c r="W6555">
        <v>6.0217659999999996E-3</v>
      </c>
      <c r="X6555">
        <v>0.99993319999999997</v>
      </c>
      <c r="Y6555">
        <v>-0.20628099999999999</v>
      </c>
      <c r="Z6555">
        <v>1.4981649999999999E-2</v>
      </c>
      <c r="AA6555">
        <v>0.97837810000000003</v>
      </c>
      <c r="AB6555">
        <v>32</v>
      </c>
      <c r="AC6555">
        <v>28.473799999999901</v>
      </c>
      <c r="AD6555">
        <v>-1.1158545547930001</v>
      </c>
      <c r="AE6555">
        <v>-2.3040199999999902</v>
      </c>
      <c r="AF6555">
        <v>-5.9238122905171497</v>
      </c>
      <c r="AG6555">
        <v>-1.1158545547930001</v>
      </c>
      <c r="AH6555">
        <v>27.9014276975985</v>
      </c>
      <c r="AI6555">
        <v>92.240311248181598</v>
      </c>
      <c r="AJ6555">
        <v>101.986601290636</v>
      </c>
      <c r="AK6555">
        <v>28.545163355725499</v>
      </c>
      <c r="AL6555">
        <v>89.654976118066401</v>
      </c>
      <c r="AM6555">
        <v>90.564955930627704</v>
      </c>
      <c r="AN6555">
        <v>0.99999994288371696</v>
      </c>
    </row>
    <row r="6556" spans="1:40" x14ac:dyDescent="0.25">
      <c r="A6556" t="str">
        <f>"20190312154427342"</f>
        <v>20190312154427342</v>
      </c>
      <c r="B6556" t="str">
        <f>"1552376667334418"</f>
        <v>1552376667334418</v>
      </c>
      <c r="C6556" t="s">
        <v>40</v>
      </c>
      <c r="D6556">
        <v>4.3923670000000001</v>
      </c>
      <c r="E6556">
        <v>0.42359370000000002</v>
      </c>
      <c r="F6556" t="s">
        <v>76</v>
      </c>
      <c r="G6556">
        <v>-244.65899999999999</v>
      </c>
      <c r="H6556" s="1">
        <v>-1.537542E-6</v>
      </c>
      <c r="I6556">
        <v>-62.4572</v>
      </c>
      <c r="J6556">
        <v>-272.97449999999998</v>
      </c>
      <c r="K6556">
        <v>1.1159570000000001</v>
      </c>
      <c r="L6556">
        <v>-60.264009999999999</v>
      </c>
      <c r="M6556">
        <v>0.95926140000000004</v>
      </c>
      <c r="N6556">
        <v>0</v>
      </c>
      <c r="O6556">
        <v>-0.28232390000000002</v>
      </c>
      <c r="P6556">
        <v>0.96193930000000005</v>
      </c>
      <c r="Q6556">
        <v>-5.094126E-3</v>
      </c>
      <c r="R6556">
        <v>-0.27321630000000002</v>
      </c>
      <c r="S6556">
        <v>3.0522770000000001</v>
      </c>
      <c r="T6556">
        <v>-0.1196226</v>
      </c>
      <c r="U6556">
        <v>-0.23974609999999999</v>
      </c>
      <c r="V6556">
        <v>-9.5744360000000004E-3</v>
      </c>
      <c r="W6556">
        <v>5.3007990000000001E-3</v>
      </c>
      <c r="X6556">
        <v>0.9999401</v>
      </c>
      <c r="Y6556">
        <v>-0.2059869</v>
      </c>
      <c r="Z6556">
        <v>1.4927630000000001E-2</v>
      </c>
      <c r="AA6556">
        <v>0.97844089999999995</v>
      </c>
      <c r="AB6556">
        <v>32</v>
      </c>
      <c r="AC6556">
        <v>28.315499999999901</v>
      </c>
      <c r="AD6556">
        <v>-1.11595853754199</v>
      </c>
      <c r="AE6556">
        <v>-2.19319</v>
      </c>
      <c r="AF6556">
        <v>-5.8815450161908398</v>
      </c>
      <c r="AG6556">
        <v>-1.11595853754199</v>
      </c>
      <c r="AH6556">
        <v>27.7398644668577</v>
      </c>
      <c r="AI6556">
        <v>92.253686929480907</v>
      </c>
      <c r="AJ6556">
        <v>101.970857651304</v>
      </c>
      <c r="AK6556">
        <v>28.3784780401385</v>
      </c>
      <c r="AL6556">
        <v>89.696285162651293</v>
      </c>
      <c r="AM6556">
        <v>90.5485908709406</v>
      </c>
      <c r="AN6556">
        <v>0.99999998594138295</v>
      </c>
    </row>
    <row r="6557" spans="1:40" x14ac:dyDescent="0.25">
      <c r="A6557" t="str">
        <f>"20190312154427353"</f>
        <v>20190312154427353</v>
      </c>
      <c r="B6557" t="str">
        <f>"1552376667344179"</f>
        <v>1552376667344179</v>
      </c>
      <c r="C6557" t="s">
        <v>40</v>
      </c>
      <c r="D6557">
        <v>4.4061409999999999</v>
      </c>
      <c r="E6557">
        <v>0.42351559999999999</v>
      </c>
      <c r="F6557" t="s">
        <v>76</v>
      </c>
      <c r="G6557">
        <v>-245.20490000000001</v>
      </c>
      <c r="H6557" s="1">
        <v>-1.7419490000000001E-6</v>
      </c>
      <c r="I6557">
        <v>-62.34525</v>
      </c>
      <c r="J6557">
        <v>-272.82170000000002</v>
      </c>
      <c r="K6557">
        <v>1.1160540000000001</v>
      </c>
      <c r="L6557">
        <v>-60.305570000000003</v>
      </c>
      <c r="M6557">
        <v>0.96029279999999995</v>
      </c>
      <c r="N6557">
        <v>0</v>
      </c>
      <c r="O6557">
        <v>-0.27878999999999998</v>
      </c>
      <c r="P6557">
        <v>0.9628968</v>
      </c>
      <c r="Q6557">
        <v>-5.5641739999999999E-3</v>
      </c>
      <c r="R6557">
        <v>-0.26981290000000002</v>
      </c>
      <c r="S6557">
        <v>3.0530400000000002</v>
      </c>
      <c r="T6557">
        <v>-0.1226901</v>
      </c>
      <c r="U6557">
        <v>-0.22882079999999999</v>
      </c>
      <c r="V6557">
        <v>-9.4242560000000006E-3</v>
      </c>
      <c r="W6557">
        <v>4.9765540000000002E-3</v>
      </c>
      <c r="X6557">
        <v>0.99994320000000003</v>
      </c>
      <c r="Y6557">
        <v>-0.2058683</v>
      </c>
      <c r="Z6557">
        <v>1.5170899999999999E-2</v>
      </c>
      <c r="AA6557">
        <v>0.9784621</v>
      </c>
      <c r="AB6557">
        <v>32</v>
      </c>
      <c r="AC6557">
        <v>27.616800000000001</v>
      </c>
      <c r="AD6557">
        <v>-1.116055741949</v>
      </c>
      <c r="AE6557">
        <v>-2.0396800000000002</v>
      </c>
      <c r="AF6557">
        <v>-5.73161475252122</v>
      </c>
      <c r="AG6557">
        <v>-1.116055741949</v>
      </c>
      <c r="AH6557">
        <v>27.0464678775495</v>
      </c>
      <c r="AI6557">
        <v>92.311654902423101</v>
      </c>
      <c r="AJ6557">
        <v>101.964952356387</v>
      </c>
      <c r="AK6557">
        <v>27.669629790471902</v>
      </c>
      <c r="AL6557">
        <v>89.714863280311405</v>
      </c>
      <c r="AM6557">
        <v>90.539984777919202</v>
      </c>
      <c r="AN6557">
        <v>0.99999999295855402</v>
      </c>
    </row>
    <row r="6558" spans="1:40" x14ac:dyDescent="0.25">
      <c r="A6558" t="str">
        <f>"20190312154427365"</f>
        <v>20190312154427365</v>
      </c>
      <c r="B6558" t="str">
        <f>"1552376667353938"</f>
        <v>1552376667353938</v>
      </c>
      <c r="C6558" t="s">
        <v>40</v>
      </c>
      <c r="D6558">
        <v>4.4021059999999999</v>
      </c>
      <c r="E6558">
        <v>0.42351509999999998</v>
      </c>
      <c r="F6558" t="s">
        <v>76</v>
      </c>
      <c r="G6558">
        <v>-245.3903</v>
      </c>
      <c r="H6558" s="1">
        <v>-1.7983509999999999E-6</v>
      </c>
      <c r="I6558">
        <v>-62.258330000000001</v>
      </c>
      <c r="J6558">
        <v>-272.6551</v>
      </c>
      <c r="K6558">
        <v>1.116163</v>
      </c>
      <c r="L6558">
        <v>-60.350250000000003</v>
      </c>
      <c r="M6558">
        <v>0.96141730000000003</v>
      </c>
      <c r="N6558">
        <v>0</v>
      </c>
      <c r="O6558">
        <v>-0.27488020000000002</v>
      </c>
      <c r="P6558">
        <v>0.96397390000000005</v>
      </c>
      <c r="Q6558">
        <v>-5.969645E-3</v>
      </c>
      <c r="R6558">
        <v>-0.2659299</v>
      </c>
      <c r="S6558">
        <v>3.0539550000000002</v>
      </c>
      <c r="T6558">
        <v>-0.12425079999999999</v>
      </c>
      <c r="U6558">
        <v>-0.21740719999999999</v>
      </c>
      <c r="V6558">
        <v>-9.3827849999999994E-3</v>
      </c>
      <c r="W6558">
        <v>4.7238330000000002E-3</v>
      </c>
      <c r="X6558">
        <v>0.99994479999999997</v>
      </c>
      <c r="Y6558">
        <v>-0.20554</v>
      </c>
      <c r="Z6558">
        <v>1.520288E-2</v>
      </c>
      <c r="AA6558">
        <v>0.97853060000000003</v>
      </c>
      <c r="AB6558">
        <v>32</v>
      </c>
      <c r="AC6558">
        <v>27.264800000000001</v>
      </c>
      <c r="AD6558">
        <v>-1.1161647983509999</v>
      </c>
      <c r="AE6558">
        <v>-1.90808</v>
      </c>
      <c r="AF6558">
        <v>-5.65100110176384</v>
      </c>
      <c r="AG6558">
        <v>-1.1161647983509999</v>
      </c>
      <c r="AH6558">
        <v>26.6943972864274</v>
      </c>
      <c r="AI6558">
        <v>92.342444710847303</v>
      </c>
      <c r="AJ6558">
        <v>101.952619322673</v>
      </c>
      <c r="AK6558">
        <v>27.308798651622102</v>
      </c>
      <c r="AL6558">
        <v>89.729343293185096</v>
      </c>
      <c r="AM6558">
        <v>90.537607879633399</v>
      </c>
      <c r="AN6558">
        <v>0.99999997714980304</v>
      </c>
    </row>
    <row r="6559" spans="1:40" x14ac:dyDescent="0.25">
      <c r="A6559" t="str">
        <f>"20190312154427377"</f>
        <v>20190312154427377</v>
      </c>
      <c r="B6559" t="str">
        <f>"1552376667374435"</f>
        <v>1552376667374435</v>
      </c>
      <c r="C6559" t="s">
        <v>40</v>
      </c>
      <c r="D6559">
        <v>4.3450639999999998</v>
      </c>
      <c r="E6559">
        <v>0.42331560000000001</v>
      </c>
      <c r="F6559" t="s">
        <v>76</v>
      </c>
      <c r="G6559">
        <v>-245.63030000000001</v>
      </c>
      <c r="H6559" s="1">
        <v>-1.876502E-6</v>
      </c>
      <c r="I6559">
        <v>-62.165019999999998</v>
      </c>
      <c r="J6559">
        <v>-272.49790000000002</v>
      </c>
      <c r="K6559">
        <v>1.1160000000000001</v>
      </c>
      <c r="L6559">
        <v>-60.391660000000002</v>
      </c>
      <c r="M6559">
        <v>0.96246540000000003</v>
      </c>
      <c r="N6559">
        <v>0</v>
      </c>
      <c r="O6559">
        <v>-0.27119919999999997</v>
      </c>
      <c r="P6559">
        <v>0.96498300000000004</v>
      </c>
      <c r="Q6559">
        <v>-5.7808240000000004E-3</v>
      </c>
      <c r="R6559">
        <v>-0.2622486</v>
      </c>
      <c r="S6559">
        <v>3.0547490000000002</v>
      </c>
      <c r="T6559">
        <v>-0.1261659</v>
      </c>
      <c r="U6559">
        <v>-0.20513919999999999</v>
      </c>
      <c r="V6559">
        <v>-9.369914E-3</v>
      </c>
      <c r="W6559">
        <v>4.6246530000000003E-3</v>
      </c>
      <c r="X6559">
        <v>0.99994539999999998</v>
      </c>
      <c r="Y6559">
        <v>-0.20571439999999999</v>
      </c>
      <c r="Z6559">
        <v>1.5293660000000001E-2</v>
      </c>
      <c r="AA6559">
        <v>0.97849260000000005</v>
      </c>
      <c r="AB6559">
        <v>32</v>
      </c>
      <c r="AC6559">
        <v>26.867599999999999</v>
      </c>
      <c r="AD6559">
        <v>-1.1160018765019999</v>
      </c>
      <c r="AE6559">
        <v>-1.77336</v>
      </c>
      <c r="AF6559">
        <v>-5.5704155363683201</v>
      </c>
      <c r="AG6559">
        <v>-1.1160018765019999</v>
      </c>
      <c r="AH6559">
        <v>26.296362670175402</v>
      </c>
      <c r="AI6559">
        <v>92.377446747295593</v>
      </c>
      <c r="AJ6559">
        <v>101.960283635002</v>
      </c>
      <c r="AK6559">
        <v>26.9030421907554</v>
      </c>
      <c r="AL6559">
        <v>89.735025954966801</v>
      </c>
      <c r="AM6559">
        <v>90.536870127663605</v>
      </c>
      <c r="AN6559">
        <v>0.999999992842448</v>
      </c>
    </row>
    <row r="6560" spans="1:40" x14ac:dyDescent="0.25">
      <c r="A6560" t="str">
        <f>"20190312154427389"</f>
        <v>20190312154427389</v>
      </c>
      <c r="B6560" t="str">
        <f>"1552376667384194"</f>
        <v>1552376667384194</v>
      </c>
      <c r="C6560" t="s">
        <v>40</v>
      </c>
      <c r="D6560">
        <v>4.4053979999999999</v>
      </c>
      <c r="E6560">
        <v>0.42323880000000003</v>
      </c>
      <c r="F6560" t="s">
        <v>76</v>
      </c>
      <c r="G6560">
        <v>-245.33750000000001</v>
      </c>
      <c r="H6560" s="1">
        <v>-1.7329829999999999E-6</v>
      </c>
      <c r="I6560">
        <v>-62.097650000000002</v>
      </c>
      <c r="J6560">
        <v>-272.32740000000001</v>
      </c>
      <c r="K6560">
        <v>1.115745</v>
      </c>
      <c r="L6560">
        <v>-60.436279999999996</v>
      </c>
      <c r="M6560">
        <v>0.96358339999999998</v>
      </c>
      <c r="N6560">
        <v>0</v>
      </c>
      <c r="O6560">
        <v>-0.26721790000000001</v>
      </c>
      <c r="P6560">
        <v>0.96601709999999996</v>
      </c>
      <c r="Q6560">
        <v>-5.8874749999999997E-3</v>
      </c>
      <c r="R6560">
        <v>-0.2584109</v>
      </c>
      <c r="S6560">
        <v>3.055939</v>
      </c>
      <c r="T6560">
        <v>-0.1255666</v>
      </c>
      <c r="U6560">
        <v>-0.1919556</v>
      </c>
      <c r="V6560">
        <v>-9.1992370000000007E-3</v>
      </c>
      <c r="W6560">
        <v>4.0681889999999998E-3</v>
      </c>
      <c r="X6560">
        <v>0.99994939999999999</v>
      </c>
      <c r="Y6560">
        <v>-0.20590349999999999</v>
      </c>
      <c r="Z6560">
        <v>1.506478E-2</v>
      </c>
      <c r="AA6560">
        <v>0.97845629999999995</v>
      </c>
      <c r="AB6560">
        <v>32</v>
      </c>
      <c r="AC6560">
        <v>26.989899999999999</v>
      </c>
      <c r="AD6560">
        <v>-1.115746732983</v>
      </c>
      <c r="AE6560">
        <v>-1.66136999999999</v>
      </c>
      <c r="AF6560">
        <v>-5.6020634992843199</v>
      </c>
      <c r="AG6560">
        <v>-1.115746732983</v>
      </c>
      <c r="AH6560">
        <v>26.407353126672</v>
      </c>
      <c r="AI6560">
        <v>92.366777280721806</v>
      </c>
      <c r="AJ6560">
        <v>101.97717834999</v>
      </c>
      <c r="AK6560">
        <v>27.018073680018901</v>
      </c>
      <c r="AL6560">
        <v>89.766909294602897</v>
      </c>
      <c r="AM6560">
        <v>90.527089256661796</v>
      </c>
      <c r="AN6560">
        <v>0.99999998934174095</v>
      </c>
    </row>
    <row r="6561" spans="1:40" x14ac:dyDescent="0.25">
      <c r="A6561" t="str">
        <f>"20190312154427401"</f>
        <v>20190312154427401</v>
      </c>
      <c r="B6561" t="str">
        <f>"1552376667394462"</f>
        <v>1552376667394462</v>
      </c>
      <c r="C6561" t="s">
        <v>40</v>
      </c>
      <c r="D6561">
        <v>4.3985779999999997</v>
      </c>
      <c r="E6561">
        <v>0.42314469999999998</v>
      </c>
      <c r="F6561" t="s">
        <v>76</v>
      </c>
      <c r="G6561">
        <v>-245.0521</v>
      </c>
      <c r="H6561" s="1">
        <v>-1.594141E-6</v>
      </c>
      <c r="I6561">
        <v>-62.035980000000002</v>
      </c>
      <c r="J6561">
        <v>-272.15230000000003</v>
      </c>
      <c r="K6561">
        <v>1.1154269999999999</v>
      </c>
      <c r="L6561">
        <v>-60.481259999999999</v>
      </c>
      <c r="M6561">
        <v>0.9646749</v>
      </c>
      <c r="N6561">
        <v>0</v>
      </c>
      <c r="O6561">
        <v>-0.26327399999999901</v>
      </c>
      <c r="P6561">
        <v>0.96704999999999997</v>
      </c>
      <c r="Q6561">
        <v>-4.8681979999999998E-3</v>
      </c>
      <c r="R6561">
        <v>-0.2545405</v>
      </c>
      <c r="S6561">
        <v>3.0568240000000002</v>
      </c>
      <c r="T6561">
        <v>-0.1250452</v>
      </c>
      <c r="U6561">
        <v>-0.1792908</v>
      </c>
      <c r="V6561">
        <v>-9.1172119999999995E-3</v>
      </c>
      <c r="W6561">
        <v>4.4534700000000002E-3</v>
      </c>
      <c r="X6561">
        <v>0.99994850000000002</v>
      </c>
      <c r="Y6561">
        <v>-0.20596220000000001</v>
      </c>
      <c r="Z6561">
        <v>1.4846460000000001E-2</v>
      </c>
      <c r="AA6561">
        <v>0.97844730000000002</v>
      </c>
      <c r="AB6561">
        <v>33</v>
      </c>
      <c r="AC6561">
        <v>27.100200000000001</v>
      </c>
      <c r="AD6561">
        <v>-1.115428594141</v>
      </c>
      <c r="AE6561">
        <v>-1.5547200000000001</v>
      </c>
      <c r="AF6561">
        <v>-5.6257305819878898</v>
      </c>
      <c r="AG6561">
        <v>-1.115428594141</v>
      </c>
      <c r="AH6561">
        <v>26.508622676988999</v>
      </c>
      <c r="AI6561">
        <v>92.357034926282793</v>
      </c>
      <c r="AJ6561">
        <v>101.98169492912901</v>
      </c>
      <c r="AK6561">
        <v>27.121948708762002</v>
      </c>
      <c r="AL6561">
        <v>89.744834116185302</v>
      </c>
      <c r="AM6561">
        <v>90.522390196886505</v>
      </c>
      <c r="AN6561">
        <v>0.999999979800971</v>
      </c>
    </row>
    <row r="6562" spans="1:40" x14ac:dyDescent="0.25">
      <c r="A6562" t="str">
        <f>"20190312154427413"</f>
        <v>20190312154427413</v>
      </c>
      <c r="B6562" t="str">
        <f>"1552376667404223"</f>
        <v>1552376667404223</v>
      </c>
      <c r="C6562" t="s">
        <v>40</v>
      </c>
      <c r="D6562">
        <v>4.4186909999999999</v>
      </c>
      <c r="E6562">
        <v>0.4231164</v>
      </c>
      <c r="F6562" t="s">
        <v>76</v>
      </c>
      <c r="G6562">
        <v>-244.1027</v>
      </c>
      <c r="H6562" s="1">
        <v>-1.1794849999999999E-6</v>
      </c>
      <c r="I6562">
        <v>-62.008279999999999</v>
      </c>
      <c r="J6562">
        <v>-271.98270000000002</v>
      </c>
      <c r="K6562">
        <v>1.1151279999999999</v>
      </c>
      <c r="L6562">
        <v>-60.524439999999998</v>
      </c>
      <c r="M6562">
        <v>0.96571180000000001</v>
      </c>
      <c r="N6562">
        <v>0</v>
      </c>
      <c r="O6562">
        <v>-0.25946590000000003</v>
      </c>
      <c r="P6562">
        <v>0.96799060000000003</v>
      </c>
      <c r="Q6562">
        <v>-4.0664209999999998E-3</v>
      </c>
      <c r="R6562">
        <v>-0.2509536</v>
      </c>
      <c r="S6562">
        <v>3.0577999999999999</v>
      </c>
      <c r="T6562">
        <v>-0.12159730000000001</v>
      </c>
      <c r="U6562">
        <v>-0.16647339999999999</v>
      </c>
      <c r="V6562">
        <v>-8.8797519999999994E-3</v>
      </c>
      <c r="W6562">
        <v>4.6365740000000001E-3</v>
      </c>
      <c r="X6562">
        <v>0.9999498</v>
      </c>
      <c r="Y6562">
        <v>-0.20623040000000001</v>
      </c>
      <c r="Z6562">
        <v>1.4294619999999999E-2</v>
      </c>
      <c r="AA6562">
        <v>0.97839900000000002</v>
      </c>
      <c r="AB6562">
        <v>33</v>
      </c>
      <c r="AC6562">
        <v>27.88</v>
      </c>
      <c r="AD6562">
        <v>-1.115129179485</v>
      </c>
      <c r="AE6562">
        <v>-1.48384</v>
      </c>
      <c r="AF6562">
        <v>-5.7919344811448896</v>
      </c>
      <c r="AG6562">
        <v>-1.115129179485</v>
      </c>
      <c r="AH6562">
        <v>27.2666204094241</v>
      </c>
      <c r="AI6562">
        <v>92.290875923468306</v>
      </c>
      <c r="AJ6562">
        <v>101.992431125493</v>
      </c>
      <c r="AK6562">
        <v>27.897286725996</v>
      </c>
      <c r="AL6562">
        <v>89.734342919955694</v>
      </c>
      <c r="AM6562">
        <v>90.508784480762301</v>
      </c>
      <c r="AN6562">
        <v>0.99999997516703898</v>
      </c>
    </row>
    <row r="6563" spans="1:40" x14ac:dyDescent="0.25">
      <c r="A6563" t="str">
        <f>"20190312154427424"</f>
        <v>20190312154427424</v>
      </c>
      <c r="B6563" t="str">
        <f>"1552376667413983"</f>
        <v>1552376667413983</v>
      </c>
      <c r="C6563" t="s">
        <v>40</v>
      </c>
      <c r="D6563">
        <v>4.4097150000000003</v>
      </c>
      <c r="E6563">
        <v>0.42292400000000002</v>
      </c>
      <c r="F6563" t="s">
        <v>76</v>
      </c>
      <c r="G6563">
        <v>-243.2373</v>
      </c>
      <c r="H6563" s="1">
        <v>-8.0100490000000003E-7</v>
      </c>
      <c r="I6563">
        <v>-61.98113</v>
      </c>
      <c r="J6563">
        <v>-271.80549999999999</v>
      </c>
      <c r="K6563">
        <v>1.114819</v>
      </c>
      <c r="L6563">
        <v>-60.569090000000003</v>
      </c>
      <c r="M6563">
        <v>0.96677230000000003</v>
      </c>
      <c r="N6563">
        <v>0</v>
      </c>
      <c r="O6563">
        <v>-0.25550850000000003</v>
      </c>
      <c r="P6563">
        <v>0.96899389999999996</v>
      </c>
      <c r="Q6563">
        <v>-3.1911320000000002E-3</v>
      </c>
      <c r="R6563">
        <v>-0.2470637</v>
      </c>
      <c r="S6563">
        <v>3.0585330000000002</v>
      </c>
      <c r="T6563">
        <v>-0.11865059999999999</v>
      </c>
      <c r="U6563">
        <v>-0.15499879999999999</v>
      </c>
      <c r="V6563">
        <v>-8.8010680000000004E-3</v>
      </c>
      <c r="W6563">
        <v>4.854962E-3</v>
      </c>
      <c r="X6563">
        <v>0.99994950000000005</v>
      </c>
      <c r="Y6563">
        <v>-0.2059153</v>
      </c>
      <c r="Z6563">
        <v>1.379273E-2</v>
      </c>
      <c r="AA6563">
        <v>0.97847260000000003</v>
      </c>
      <c r="AB6563">
        <v>33</v>
      </c>
      <c r="AC6563">
        <v>28.568199999999901</v>
      </c>
      <c r="AD6563">
        <v>-1.1148198010049</v>
      </c>
      <c r="AE6563">
        <v>-1.41204</v>
      </c>
      <c r="AF6563">
        <v>-5.92549340236293</v>
      </c>
      <c r="AG6563">
        <v>-1.1148198010049</v>
      </c>
      <c r="AH6563">
        <v>27.938225466167701</v>
      </c>
      <c r="AI6563">
        <v>92.235390378790896</v>
      </c>
      <c r="AJ6563">
        <v>101.97456862171801</v>
      </c>
      <c r="AK6563">
        <v>28.581440436909102</v>
      </c>
      <c r="AL6563">
        <v>89.721830079373007</v>
      </c>
      <c r="AM6563">
        <v>90.504276496965005</v>
      </c>
      <c r="AN6563">
        <v>1.0000000160021001</v>
      </c>
    </row>
    <row r="6564" spans="1:40" x14ac:dyDescent="0.25">
      <c r="A6564" t="str">
        <f>"20190312154427438"</f>
        <v>20190312154427438</v>
      </c>
      <c r="B6564" t="str">
        <f>"1552376667423742"</f>
        <v>1552376667423742</v>
      </c>
      <c r="C6564" t="s">
        <v>40</v>
      </c>
      <c r="D6564">
        <v>4.4356710000000001</v>
      </c>
      <c r="E6564">
        <v>0.42298360000000002</v>
      </c>
      <c r="F6564" t="s">
        <v>76</v>
      </c>
      <c r="G6564">
        <v>-242.244</v>
      </c>
      <c r="H6564" s="1">
        <v>-3.622284E-7</v>
      </c>
      <c r="I6564">
        <v>-61.933619999999998</v>
      </c>
      <c r="J6564">
        <v>-271.63389999999998</v>
      </c>
      <c r="K6564">
        <v>1.11459</v>
      </c>
      <c r="L6564">
        <v>-60.611690000000003</v>
      </c>
      <c r="M6564">
        <v>0.96777760000000002</v>
      </c>
      <c r="N6564">
        <v>0</v>
      </c>
      <c r="O6564">
        <v>-0.25169390000000003</v>
      </c>
      <c r="P6564">
        <v>0.96996859999999996</v>
      </c>
      <c r="Q6564">
        <v>-2.5447870000000002E-3</v>
      </c>
      <c r="R6564">
        <v>-0.24321770000000001</v>
      </c>
      <c r="S6564">
        <v>3.059631</v>
      </c>
      <c r="T6564">
        <v>-0.11538420000000001</v>
      </c>
      <c r="U6564">
        <v>-0.14123540000000001</v>
      </c>
      <c r="V6564">
        <v>-8.8230010000000005E-3</v>
      </c>
      <c r="W6564">
        <v>4.8745129999999996E-3</v>
      </c>
      <c r="X6564">
        <v>0.99994919999999998</v>
      </c>
      <c r="Y6564">
        <v>-0.2064849</v>
      </c>
      <c r="Z6564">
        <v>1.328236E-2</v>
      </c>
      <c r="AA6564">
        <v>0.9783596</v>
      </c>
      <c r="AB6564">
        <v>33</v>
      </c>
      <c r="AC6564">
        <v>29.389899999999901</v>
      </c>
      <c r="AD6564">
        <v>-1.1145903622283999</v>
      </c>
      <c r="AE6564">
        <v>-1.3219299999999901</v>
      </c>
      <c r="AF6564">
        <v>-6.1093287514404304</v>
      </c>
      <c r="AG6564">
        <v>-1.1145903622283999</v>
      </c>
      <c r="AH6564">
        <v>28.735179467205999</v>
      </c>
      <c r="AI6564">
        <v>92.172779217018402</v>
      </c>
      <c r="AJ6564">
        <v>102.002819227169</v>
      </c>
      <c r="AK6564">
        <v>29.398584123751402</v>
      </c>
      <c r="AL6564">
        <v>89.720709873110593</v>
      </c>
      <c r="AM6564">
        <v>90.505533282831806</v>
      </c>
      <c r="AN6564">
        <v>1.00000000440213</v>
      </c>
    </row>
    <row r="6565" spans="1:40" x14ac:dyDescent="0.25">
      <c r="A6565" t="str">
        <f>"20190312154427453"</f>
        <v>20190312154427453</v>
      </c>
      <c r="B6565" t="str">
        <f>"1552376667444239"</f>
        <v>1552376667444239</v>
      </c>
      <c r="C6565" t="s">
        <v>40</v>
      </c>
      <c r="D6565">
        <v>4.5006930000000001</v>
      </c>
      <c r="E6565">
        <v>0.4232978</v>
      </c>
      <c r="F6565" t="s">
        <v>76</v>
      </c>
      <c r="G6565">
        <v>-241.1849</v>
      </c>
      <c r="H6565" s="1">
        <v>1.0082210000000001E-7</v>
      </c>
      <c r="I6565">
        <v>-61.900979999999997</v>
      </c>
      <c r="J6565">
        <v>-271.42</v>
      </c>
      <c r="K6565">
        <v>1.1143590000000001</v>
      </c>
      <c r="L6565">
        <v>-60.664149999999999</v>
      </c>
      <c r="M6565">
        <v>0.96900229999999998</v>
      </c>
      <c r="N6565">
        <v>0</v>
      </c>
      <c r="O6565">
        <v>-0.2469596</v>
      </c>
      <c r="P6565">
        <v>0.97105569999999997</v>
      </c>
      <c r="Q6565">
        <v>-1.7866290000000001E-3</v>
      </c>
      <c r="R6565">
        <v>-0.23884720000000001</v>
      </c>
      <c r="S6565">
        <v>3.0600890000000001</v>
      </c>
      <c r="T6565">
        <v>-0.1120149</v>
      </c>
      <c r="U6565">
        <v>-0.12957759999999999</v>
      </c>
      <c r="V6565">
        <v>-8.4353529999999996E-3</v>
      </c>
      <c r="W6565">
        <v>4.8716519999999998E-3</v>
      </c>
      <c r="X6565">
        <v>0.99995259999999997</v>
      </c>
      <c r="Y6565">
        <v>-0.20544899999999999</v>
      </c>
      <c r="Z6565">
        <v>1.270758E-2</v>
      </c>
      <c r="AA6565">
        <v>0.97858529999999999</v>
      </c>
      <c r="AB6565">
        <v>33</v>
      </c>
      <c r="AC6565">
        <v>30.235099999999999</v>
      </c>
      <c r="AD6565">
        <v>-1.1143588991778901</v>
      </c>
      <c r="AE6565">
        <v>-1.2368300000000001</v>
      </c>
      <c r="AF6565">
        <v>-6.2600103070595603</v>
      </c>
      <c r="AG6565">
        <v>-1.1143588991778901</v>
      </c>
      <c r="AH6565">
        <v>29.5639094656071</v>
      </c>
      <c r="AI6565">
        <v>92.111859707047202</v>
      </c>
      <c r="AJ6565">
        <v>101.95550418529</v>
      </c>
      <c r="AK6565">
        <v>30.239944902252699</v>
      </c>
      <c r="AL6565">
        <v>89.720873809672099</v>
      </c>
      <c r="AM6565">
        <v>90.483321571108405</v>
      </c>
      <c r="AN6565">
        <v>1.0000000452101001</v>
      </c>
    </row>
    <row r="6566" spans="1:40" x14ac:dyDescent="0.25">
      <c r="A6566" t="str">
        <f>"20190312154427466"</f>
        <v>20190312154427466</v>
      </c>
      <c r="B6566" t="str">
        <f>"1552376667453998"</f>
        <v>1552376667453998</v>
      </c>
      <c r="C6566" t="s">
        <v>40</v>
      </c>
      <c r="D6566">
        <v>4.5233879999999997</v>
      </c>
      <c r="E6566">
        <v>0.42342590000000002</v>
      </c>
      <c r="F6566" t="s">
        <v>77</v>
      </c>
      <c r="G6566">
        <v>-239.2921</v>
      </c>
      <c r="H6566" s="1">
        <v>-3.3064109999999999E-6</v>
      </c>
      <c r="I6566">
        <v>-61.906939999999999</v>
      </c>
      <c r="J6566">
        <v>-271.21550000000002</v>
      </c>
      <c r="K6566">
        <v>1.114242</v>
      </c>
      <c r="L6566">
        <v>-60.713500000000003</v>
      </c>
      <c r="M6566">
        <v>0.97014120000000004</v>
      </c>
      <c r="N6566">
        <v>0</v>
      </c>
      <c r="O6566">
        <v>-0.2424655</v>
      </c>
      <c r="P6566">
        <v>0.97204760000000001</v>
      </c>
      <c r="Q6566">
        <v>-1.9256189999999999E-3</v>
      </c>
      <c r="R6566">
        <v>-0.2347766</v>
      </c>
      <c r="S6566">
        <v>3.06012</v>
      </c>
      <c r="T6566">
        <v>-0.1061407</v>
      </c>
      <c r="U6566">
        <v>-0.1183777</v>
      </c>
      <c r="V6566">
        <v>-7.9771619999999994E-3</v>
      </c>
      <c r="W6566">
        <v>4.0271810000000003E-3</v>
      </c>
      <c r="X6566">
        <v>0.99996010000000002</v>
      </c>
      <c r="Y6566">
        <v>-0.2045216</v>
      </c>
      <c r="Z6566">
        <v>1.1875490000000001E-2</v>
      </c>
      <c r="AA6566">
        <v>0.97879000000000005</v>
      </c>
      <c r="AB6566">
        <v>34</v>
      </c>
      <c r="AC6566">
        <v>31.923400000000001</v>
      </c>
      <c r="AD6566">
        <v>-1.1142453064110001</v>
      </c>
      <c r="AE6566">
        <v>-1.1934400000000001</v>
      </c>
      <c r="AF6566">
        <v>-6.57463956934739</v>
      </c>
      <c r="AG6566">
        <v>-1.1142453064110001</v>
      </c>
      <c r="AH6566">
        <v>31.222160717179499</v>
      </c>
      <c r="AI6566">
        <v>92.000058088232194</v>
      </c>
      <c r="AJ6566">
        <v>101.89138715133799</v>
      </c>
      <c r="AK6566">
        <v>31.926333142393201</v>
      </c>
      <c r="AL6566">
        <v>89.769258907994399</v>
      </c>
      <c r="AM6566">
        <v>90.457066256659004</v>
      </c>
      <c r="AN6566">
        <v>1.00000002744619</v>
      </c>
    </row>
    <row r="6567" spans="1:40" x14ac:dyDescent="0.25">
      <c r="A6567" t="str">
        <f>"20190312154427481"</f>
        <v>20190312154427481</v>
      </c>
      <c r="B6567" t="str">
        <f>"1552376667474495"</f>
        <v>1552376667474495</v>
      </c>
      <c r="C6567" t="s">
        <v>40</v>
      </c>
      <c r="D6567">
        <v>4.5401300000000004</v>
      </c>
      <c r="E6567">
        <v>0.42379090000000003</v>
      </c>
      <c r="F6567" t="s">
        <v>77</v>
      </c>
      <c r="G6567">
        <v>-238.9726</v>
      </c>
      <c r="H6567" s="1">
        <v>-3.1850960000000001E-6</v>
      </c>
      <c r="I6567">
        <v>-61.835889999999999</v>
      </c>
      <c r="J6567">
        <v>-271.012</v>
      </c>
      <c r="K6567">
        <v>1.1142650000000001</v>
      </c>
      <c r="L6567">
        <v>-60.761470000000003</v>
      </c>
      <c r="M6567">
        <v>0.97124239999999995</v>
      </c>
      <c r="N6567">
        <v>0</v>
      </c>
      <c r="O6567">
        <v>-0.23803160000000001</v>
      </c>
      <c r="P6567">
        <v>0.97305900000000001</v>
      </c>
      <c r="Q6567">
        <v>-1.6398039999999999E-3</v>
      </c>
      <c r="R6567">
        <v>-0.23055030000000001</v>
      </c>
      <c r="S6567">
        <v>3.060333</v>
      </c>
      <c r="T6567">
        <v>-0.10575850000000001</v>
      </c>
      <c r="U6567">
        <v>-0.1065369</v>
      </c>
      <c r="V6567">
        <v>-7.7502069999999899E-3</v>
      </c>
      <c r="W6567">
        <v>3.6624029999999998E-3</v>
      </c>
      <c r="X6567">
        <v>0.9999633</v>
      </c>
      <c r="Y6567">
        <v>-0.2038391</v>
      </c>
      <c r="Z6567">
        <v>1.16726E-2</v>
      </c>
      <c r="AA6567">
        <v>0.97893479999999999</v>
      </c>
      <c r="AB6567">
        <v>34</v>
      </c>
      <c r="AC6567">
        <v>32.039400000000001</v>
      </c>
      <c r="AD6567">
        <v>-1.1142681850959999</v>
      </c>
      <c r="AE6567">
        <v>-1.0744199999999999</v>
      </c>
      <c r="AF6567">
        <v>-6.5750197169096696</v>
      </c>
      <c r="AG6567">
        <v>-1.1142681850959999</v>
      </c>
      <c r="AH6567">
        <v>31.3363678832721</v>
      </c>
      <c r="AI6567">
        <v>91.993118321940301</v>
      </c>
      <c r="AJ6567">
        <v>101.84994142042</v>
      </c>
      <c r="AK6567">
        <v>32.038109026311602</v>
      </c>
      <c r="AL6567">
        <v>89.790159304536402</v>
      </c>
      <c r="AM6567">
        <v>90.444061557370603</v>
      </c>
      <c r="AN6567">
        <v>1.00000004012558</v>
      </c>
    </row>
    <row r="6568" spans="1:40" x14ac:dyDescent="0.25">
      <c r="A6568" t="str">
        <f>"20190312154427493"</f>
        <v>20190312154427493</v>
      </c>
      <c r="B6568" t="str">
        <f>"1552376667484255"</f>
        <v>1552376667484255</v>
      </c>
      <c r="C6568" t="s">
        <v>40</v>
      </c>
      <c r="D6568">
        <v>4.5360740000000002</v>
      </c>
      <c r="E6568">
        <v>0.42392970000000002</v>
      </c>
      <c r="F6568" t="s">
        <v>77</v>
      </c>
      <c r="G6568">
        <v>-238.41030000000001</v>
      </c>
      <c r="H6568" s="1">
        <v>-2.968406E-6</v>
      </c>
      <c r="I6568">
        <v>-61.786549999999998</v>
      </c>
      <c r="J6568">
        <v>-270.82709999999997</v>
      </c>
      <c r="K6568">
        <v>1.1143479999999999</v>
      </c>
      <c r="L6568">
        <v>-60.804380000000002</v>
      </c>
      <c r="M6568">
        <v>0.97221979999999997</v>
      </c>
      <c r="N6568">
        <v>0</v>
      </c>
      <c r="O6568">
        <v>-0.2340198</v>
      </c>
      <c r="P6568">
        <v>0.97393269999999998</v>
      </c>
      <c r="Q6568">
        <v>-1.4571320000000001E-3</v>
      </c>
      <c r="R6568">
        <v>-0.2268329</v>
      </c>
      <c r="S6568">
        <v>3.0600890000000001</v>
      </c>
      <c r="T6568">
        <v>-0.1045883</v>
      </c>
      <c r="U6568">
        <v>-9.6221920000000002E-2</v>
      </c>
      <c r="V6568">
        <v>-7.4359919999999998E-3</v>
      </c>
      <c r="W6568">
        <v>3.3019170000000001E-3</v>
      </c>
      <c r="X6568">
        <v>0.99996689999999999</v>
      </c>
      <c r="Y6568">
        <v>-0.20309840000000001</v>
      </c>
      <c r="Z6568">
        <v>1.139942E-2</v>
      </c>
      <c r="AA6568">
        <v>0.97909190000000001</v>
      </c>
      <c r="AB6568">
        <v>34</v>
      </c>
      <c r="AC6568">
        <v>32.416799999999903</v>
      </c>
      <c r="AD6568">
        <v>-1.11435096840599</v>
      </c>
      <c r="AE6568">
        <v>-0.98216999999999599</v>
      </c>
      <c r="AF6568">
        <v>-6.62354569627289</v>
      </c>
      <c r="AG6568">
        <v>-1.11435096840599</v>
      </c>
      <c r="AH6568">
        <v>31.709037475739802</v>
      </c>
      <c r="AI6568">
        <v>91.970227799309896</v>
      </c>
      <c r="AJ6568">
        <v>101.798584840807</v>
      </c>
      <c r="AK6568">
        <v>32.412593128432</v>
      </c>
      <c r="AL6568">
        <v>89.810813747609402</v>
      </c>
      <c r="AM6568">
        <v>90.426057207643296</v>
      </c>
      <c r="AN6568">
        <v>0.99999999886425395</v>
      </c>
    </row>
    <row r="6569" spans="1:40" x14ac:dyDescent="0.25">
      <c r="A6569" t="str">
        <f>"20190312154427502"</f>
        <v>20190312154427502</v>
      </c>
      <c r="B6569" t="str">
        <f>"1552376667494015"</f>
        <v>1552376667494015</v>
      </c>
      <c r="C6569" t="s">
        <v>40</v>
      </c>
      <c r="D6569">
        <v>4.5130860000000004</v>
      </c>
      <c r="E6569">
        <v>0.4240855</v>
      </c>
      <c r="F6569" t="s">
        <v>77</v>
      </c>
      <c r="G6569">
        <v>-237.98869999999999</v>
      </c>
      <c r="H6569" s="1">
        <v>-2.7709489999999999E-6</v>
      </c>
      <c r="I6569">
        <v>-61.724209999999999</v>
      </c>
      <c r="J6569">
        <v>-270.67219999999998</v>
      </c>
      <c r="K6569">
        <v>1.1144849999999999</v>
      </c>
      <c r="L6569">
        <v>-60.83963</v>
      </c>
      <c r="M6569">
        <v>0.97301970000000004</v>
      </c>
      <c r="N6569">
        <v>0</v>
      </c>
      <c r="O6569">
        <v>-0.23067879999999999</v>
      </c>
      <c r="P6569">
        <v>0.97463849999999996</v>
      </c>
      <c r="Q6569">
        <v>-1.0664520000000001E-3</v>
      </c>
      <c r="R6569">
        <v>-0.22378329999999999</v>
      </c>
      <c r="S6569">
        <v>3.060181</v>
      </c>
      <c r="T6569">
        <v>-0.1038452</v>
      </c>
      <c r="U6569">
        <v>-8.5723880000000002E-2</v>
      </c>
      <c r="V6569">
        <v>-7.1317799999999999E-3</v>
      </c>
      <c r="W6569">
        <v>3.2933340000000002E-3</v>
      </c>
      <c r="X6569">
        <v>0.99996910000000006</v>
      </c>
      <c r="Y6569">
        <v>-0.2030969</v>
      </c>
      <c r="Z6569">
        <v>1.120874E-2</v>
      </c>
      <c r="AA6569">
        <v>0.97909449999999998</v>
      </c>
      <c r="AB6569">
        <v>34</v>
      </c>
      <c r="AC6569">
        <v>32.683499999999903</v>
      </c>
      <c r="AD6569">
        <v>-1.114487770949</v>
      </c>
      <c r="AE6569">
        <v>-0.88457999999999204</v>
      </c>
      <c r="AF6569">
        <v>-6.67099228371863</v>
      </c>
      <c r="AG6569">
        <v>-1.114487770949</v>
      </c>
      <c r="AH6569">
        <v>31.968917293080501</v>
      </c>
      <c r="AI6569">
        <v>91.954547309831895</v>
      </c>
      <c r="AJ6569">
        <v>101.786840671946</v>
      </c>
      <c r="AK6569">
        <v>32.676534301128903</v>
      </c>
      <c r="AL6569">
        <v>89.811305511615402</v>
      </c>
      <c r="AM6569">
        <v>90.408626592963202</v>
      </c>
      <c r="AN6569">
        <v>0.99999995464480596</v>
      </c>
    </row>
    <row r="6570" spans="1:40" x14ac:dyDescent="0.25">
      <c r="A6570" t="str">
        <f>"20190312154427513"</f>
        <v>20190312154427513</v>
      </c>
      <c r="B6570" t="str">
        <f>"1552376667503774"</f>
        <v>1552376667503774</v>
      </c>
      <c r="C6570" t="s">
        <v>40</v>
      </c>
      <c r="D6570">
        <v>4.5236839999999896</v>
      </c>
      <c r="E6570">
        <v>0.42428399999999999</v>
      </c>
      <c r="F6570" t="s">
        <v>77</v>
      </c>
      <c r="G6570">
        <v>-237.53370000000001</v>
      </c>
      <c r="H6570" s="1">
        <v>-2.5636279999999998E-6</v>
      </c>
      <c r="I6570">
        <v>-61.678640000000001</v>
      </c>
      <c r="J6570">
        <v>-270.51760000000002</v>
      </c>
      <c r="K6570">
        <v>1.1146720000000001</v>
      </c>
      <c r="L6570">
        <v>-60.874110000000002</v>
      </c>
      <c r="M6570">
        <v>0.97379939999999998</v>
      </c>
      <c r="N6570">
        <v>0</v>
      </c>
      <c r="O6570">
        <v>-0.2273714</v>
      </c>
      <c r="P6570">
        <v>0.97535709999999998</v>
      </c>
      <c r="Q6570">
        <v>-8.2225349999999996E-4</v>
      </c>
      <c r="R6570">
        <v>-0.22063079999999999</v>
      </c>
      <c r="S6570">
        <v>3.060181</v>
      </c>
      <c r="T6570">
        <v>-0.10291740000000001</v>
      </c>
      <c r="U6570">
        <v>-7.7484129999999998E-2</v>
      </c>
      <c r="V6570">
        <v>-6.967755E-3</v>
      </c>
      <c r="W6570">
        <v>3.207503E-3</v>
      </c>
      <c r="X6570">
        <v>0.99997060000000004</v>
      </c>
      <c r="Y6570">
        <v>-0.2024107</v>
      </c>
      <c r="Z6570">
        <v>1.098938E-2</v>
      </c>
      <c r="AA6570">
        <v>0.97923899999999997</v>
      </c>
      <c r="AB6570">
        <v>34</v>
      </c>
      <c r="AC6570">
        <v>32.983899999999998</v>
      </c>
      <c r="AD6570">
        <v>-1.114674563628</v>
      </c>
      <c r="AE6570">
        <v>-0.80453000000000596</v>
      </c>
      <c r="AF6570">
        <v>-6.7085446309977401</v>
      </c>
      <c r="AG6570">
        <v>-1.114674563628</v>
      </c>
      <c r="AH6570">
        <v>32.266075155817099</v>
      </c>
      <c r="AI6570">
        <v>91.937177663763904</v>
      </c>
      <c r="AJ6570">
        <v>101.74521933982</v>
      </c>
      <c r="AK6570">
        <v>32.974940127462297</v>
      </c>
      <c r="AL6570">
        <v>89.816223303747705</v>
      </c>
      <c r="AM6570">
        <v>90.399228230593195</v>
      </c>
      <c r="AN6570">
        <v>1.00000001927479</v>
      </c>
    </row>
    <row r="6571" spans="1:40" x14ac:dyDescent="0.25">
      <c r="A6571" t="str">
        <f>"20190312154427523"</f>
        <v>20190312154427523</v>
      </c>
      <c r="B6571" t="str">
        <f>"1552376667514511"</f>
        <v>1552376667514511</v>
      </c>
      <c r="C6571" t="s">
        <v>40</v>
      </c>
      <c r="D6571">
        <v>4.5436880000000004</v>
      </c>
      <c r="E6571">
        <v>0.42450769999999999</v>
      </c>
      <c r="F6571" t="s">
        <v>77</v>
      </c>
      <c r="G6571">
        <v>-237.14599999999999</v>
      </c>
      <c r="H6571" s="1">
        <v>-2.383986E-6</v>
      </c>
      <c r="I6571">
        <v>-61.628540000000001</v>
      </c>
      <c r="J6571">
        <v>-270.3614</v>
      </c>
      <c r="K6571">
        <v>1.114897</v>
      </c>
      <c r="L6571">
        <v>-60.908360000000002</v>
      </c>
      <c r="M6571">
        <v>0.97456900000000002</v>
      </c>
      <c r="N6571">
        <v>0</v>
      </c>
      <c r="O6571">
        <v>-0.22405410000000001</v>
      </c>
      <c r="P6571">
        <v>0.9760955</v>
      </c>
      <c r="Q6571">
        <v>-5.7758389999999998E-4</v>
      </c>
      <c r="R6571">
        <v>-0.21734120000000001</v>
      </c>
      <c r="S6571">
        <v>3.0600589999999999</v>
      </c>
      <c r="T6571">
        <v>-0.1022117</v>
      </c>
      <c r="U6571">
        <v>-6.9183350000000005E-2</v>
      </c>
      <c r="V6571">
        <v>-6.9353310000000003E-3</v>
      </c>
      <c r="W6571">
        <v>3.1808000000000001E-3</v>
      </c>
      <c r="X6571">
        <v>0.9999709</v>
      </c>
      <c r="Y6571">
        <v>-0.201735</v>
      </c>
      <c r="Z6571">
        <v>1.079574E-2</v>
      </c>
      <c r="AA6571">
        <v>0.97938060000000005</v>
      </c>
      <c r="AB6571">
        <v>34</v>
      </c>
      <c r="AC6571">
        <v>33.215400000000002</v>
      </c>
      <c r="AD6571">
        <v>-1.114899383986</v>
      </c>
      <c r="AE6571">
        <v>-0.72018000000000604</v>
      </c>
      <c r="AF6571">
        <v>-6.7326502505607397</v>
      </c>
      <c r="AG6571">
        <v>-1.114899383986</v>
      </c>
      <c r="AH6571">
        <v>32.4957084668889</v>
      </c>
      <c r="AI6571">
        <v>91.924164714414204</v>
      </c>
      <c r="AJ6571">
        <v>101.705262188565</v>
      </c>
      <c r="AK6571">
        <v>33.204557650988498</v>
      </c>
      <c r="AL6571">
        <v>89.817753278773594</v>
      </c>
      <c r="AM6571">
        <v>90.397370388185706</v>
      </c>
      <c r="AN6571">
        <v>1.0000000085757601</v>
      </c>
    </row>
    <row r="6572" spans="1:40" x14ac:dyDescent="0.25">
      <c r="A6572" t="str">
        <f>"20190312154427534"</f>
        <v>20190312154427534</v>
      </c>
      <c r="B6572" t="str">
        <f>"1552376667524271"</f>
        <v>1552376667524271</v>
      </c>
      <c r="C6572" t="s">
        <v>40</v>
      </c>
      <c r="D6572">
        <v>4.5511540000000004</v>
      </c>
      <c r="E6572">
        <v>0.4248111</v>
      </c>
      <c r="F6572" t="s">
        <v>77</v>
      </c>
      <c r="G6572">
        <v>-236.60300000000001</v>
      </c>
      <c r="H6572" s="1">
        <v>-2.1373030000000001E-6</v>
      </c>
      <c r="I6572">
        <v>-61.576949999999997</v>
      </c>
      <c r="J6572">
        <v>-270.21679999999998</v>
      </c>
      <c r="K6572">
        <v>1.115124</v>
      </c>
      <c r="L6572">
        <v>-60.939269999999901</v>
      </c>
      <c r="M6572">
        <v>0.97526349999999995</v>
      </c>
      <c r="N6572">
        <v>0</v>
      </c>
      <c r="O6572">
        <v>-0.22101460000000001</v>
      </c>
      <c r="P6572">
        <v>0.9768367</v>
      </c>
      <c r="Q6572">
        <v>-6.8152700000000002E-4</v>
      </c>
      <c r="R6572">
        <v>-0.21398529999999999</v>
      </c>
      <c r="S6572">
        <v>3.0599370000000001</v>
      </c>
      <c r="T6572">
        <v>-0.10105690000000001</v>
      </c>
      <c r="U6572">
        <v>-6.0607910000000001E-2</v>
      </c>
      <c r="V6572">
        <v>-7.2509940000000002E-3</v>
      </c>
      <c r="W6572">
        <v>2.8975609999999999E-3</v>
      </c>
      <c r="X6572">
        <v>0.99996949999999996</v>
      </c>
      <c r="Y6572">
        <v>-0.201431</v>
      </c>
      <c r="Z6572">
        <v>1.0571840000000001E-2</v>
      </c>
      <c r="AA6572">
        <v>0.97944560000000003</v>
      </c>
      <c r="AB6572">
        <v>34</v>
      </c>
      <c r="AC6572">
        <v>33.613799999999998</v>
      </c>
      <c r="AD6572">
        <v>-1.1151261373029999</v>
      </c>
      <c r="AE6572">
        <v>-0.63768000000000302</v>
      </c>
      <c r="AF6572">
        <v>-6.7998001207533996</v>
      </c>
      <c r="AG6572">
        <v>-1.1151261373029999</v>
      </c>
      <c r="AH6572">
        <v>32.887292228119399</v>
      </c>
      <c r="AI6572">
        <v>91.9018176482938</v>
      </c>
      <c r="AJ6572">
        <v>101.68190569167101</v>
      </c>
      <c r="AK6572">
        <v>33.601410358525399</v>
      </c>
      <c r="AL6572">
        <v>89.833981749323897</v>
      </c>
      <c r="AM6572">
        <v>90.415456743640803</v>
      </c>
      <c r="AN6572">
        <v>0.99999998685199298</v>
      </c>
    </row>
    <row r="6573" spans="1:40" x14ac:dyDescent="0.25">
      <c r="A6573" t="str">
        <f>"20190312154427543"</f>
        <v>20190312154427543</v>
      </c>
      <c r="B6573" t="str">
        <f>"1552376667534031"</f>
        <v>1552376667534031</v>
      </c>
      <c r="C6573" t="s">
        <v>40</v>
      </c>
      <c r="D6573">
        <v>4.5480900000000002</v>
      </c>
      <c r="E6573">
        <v>0.42512169999999999</v>
      </c>
      <c r="F6573" t="s">
        <v>77</v>
      </c>
      <c r="G6573">
        <v>-236.55189999999999</v>
      </c>
      <c r="H6573" s="1">
        <v>-2.0990979999999999E-6</v>
      </c>
      <c r="I6573">
        <v>-61.515749999999997</v>
      </c>
      <c r="J6573">
        <v>-270.05189999999999</v>
      </c>
      <c r="K6573">
        <v>1.115394</v>
      </c>
      <c r="L6573">
        <v>-60.973999999999997</v>
      </c>
      <c r="M6573">
        <v>0.97603790000000001</v>
      </c>
      <c r="N6573">
        <v>0</v>
      </c>
      <c r="O6573">
        <v>-0.2175716</v>
      </c>
      <c r="P6573">
        <v>0.9776918</v>
      </c>
      <c r="Q6573">
        <v>-1.0531920000000001E-3</v>
      </c>
      <c r="R6573">
        <v>-0.21004249999999999</v>
      </c>
      <c r="S6573">
        <v>3.0596009999999998</v>
      </c>
      <c r="T6573">
        <v>-0.1013469</v>
      </c>
      <c r="U6573">
        <v>-5.2398680000000003E-2</v>
      </c>
      <c r="V6573">
        <v>-7.749761E-3</v>
      </c>
      <c r="W6573">
        <v>2.3849629999999999E-3</v>
      </c>
      <c r="X6573">
        <v>0.9999671</v>
      </c>
      <c r="Y6573">
        <v>-0.20060020000000001</v>
      </c>
      <c r="Z6573">
        <v>1.0478599999999999E-2</v>
      </c>
      <c r="AA6573">
        <v>0.97961719999999997</v>
      </c>
      <c r="AB6573">
        <v>35</v>
      </c>
      <c r="AC6573">
        <v>33.5</v>
      </c>
      <c r="AD6573">
        <v>-1.1153960990979901</v>
      </c>
      <c r="AE6573">
        <v>-0.54174999999999995</v>
      </c>
      <c r="AF6573">
        <v>-6.7524390224587796</v>
      </c>
      <c r="AG6573">
        <v>-1.1153960990979901</v>
      </c>
      <c r="AH6573">
        <v>32.779017279429603</v>
      </c>
      <c r="AI6573">
        <v>91.908844295101702</v>
      </c>
      <c r="AJ6573">
        <v>101.640035807819</v>
      </c>
      <c r="AK6573">
        <v>33.485870378639603</v>
      </c>
      <c r="AL6573">
        <v>89.863351552703193</v>
      </c>
      <c r="AM6573">
        <v>90.444034316725194</v>
      </c>
      <c r="AN6573">
        <v>0.99999997396323903</v>
      </c>
    </row>
    <row r="6574" spans="1:40" x14ac:dyDescent="0.25">
      <c r="A6574" t="str">
        <f>"20190312154427554"</f>
        <v>20190312154427554</v>
      </c>
      <c r="B6574" t="str">
        <f>"1552376667543791"</f>
        <v>1552376667543791</v>
      </c>
      <c r="C6574" t="s">
        <v>40</v>
      </c>
      <c r="D6574">
        <v>4.5594510000000001</v>
      </c>
      <c r="E6574">
        <v>0.42512169999999999</v>
      </c>
      <c r="F6574" t="s">
        <v>77</v>
      </c>
      <c r="G6574">
        <v>-236.58240000000001</v>
      </c>
      <c r="H6574" s="1">
        <v>-2.0916079999999998E-6</v>
      </c>
      <c r="I6574">
        <v>-61.438360000000003</v>
      </c>
      <c r="J6574">
        <v>-269.8963</v>
      </c>
      <c r="K6574">
        <v>1.115634</v>
      </c>
      <c r="L6574">
        <v>-61.005830000000003</v>
      </c>
      <c r="M6574">
        <v>0.97675909999999999</v>
      </c>
      <c r="N6574">
        <v>0</v>
      </c>
      <c r="O6574">
        <v>-0.21431210000000001</v>
      </c>
      <c r="P6574">
        <v>0.97842130000000005</v>
      </c>
      <c r="Q6574">
        <v>-1.4902649999999999E-3</v>
      </c>
      <c r="R6574">
        <v>-0.20661599999999999</v>
      </c>
      <c r="S6574">
        <v>3.0592039999999998</v>
      </c>
      <c r="T6574">
        <v>-0.1019502</v>
      </c>
      <c r="U6574">
        <v>-4.244995E-2</v>
      </c>
      <c r="V6574">
        <v>-7.9075949999999999E-3</v>
      </c>
      <c r="W6574">
        <v>1.894298E-3</v>
      </c>
      <c r="X6574">
        <v>0.99996689999999999</v>
      </c>
      <c r="Y6574">
        <v>-0.20051169999999999</v>
      </c>
      <c r="Z6574">
        <v>1.043521E-2</v>
      </c>
      <c r="AA6574">
        <v>0.9796357</v>
      </c>
      <c r="AB6574">
        <v>35</v>
      </c>
      <c r="AC6574">
        <v>33.313899999999897</v>
      </c>
      <c r="AD6574">
        <v>-1.1156360916079999</v>
      </c>
      <c r="AE6574">
        <v>-0.43252999999999198</v>
      </c>
      <c r="AF6574">
        <v>-6.7096110332826804</v>
      </c>
      <c r="AG6574">
        <v>-1.1156360916079999</v>
      </c>
      <c r="AH6574">
        <v>32.5959971164176</v>
      </c>
      <c r="AI6574">
        <v>91.920026397931593</v>
      </c>
      <c r="AJ6574">
        <v>101.631391990922</v>
      </c>
      <c r="AK6574">
        <v>33.2980863131855</v>
      </c>
      <c r="AL6574">
        <v>89.891464650181604</v>
      </c>
      <c r="AM6574">
        <v>90.453077372653098</v>
      </c>
      <c r="AN6574">
        <v>0.99999995975960199</v>
      </c>
    </row>
    <row r="6575" spans="1:40" x14ac:dyDescent="0.25">
      <c r="A6575" t="str">
        <f>"20190312154427565"</f>
        <v>20190312154427565</v>
      </c>
      <c r="B6575" t="str">
        <f>"1552376667554530"</f>
        <v>1552376667554530</v>
      </c>
      <c r="C6575" t="s">
        <v>40</v>
      </c>
      <c r="D6575">
        <v>4.5653100000000002</v>
      </c>
      <c r="E6575">
        <v>0.43770239999999999</v>
      </c>
      <c r="F6575" t="s">
        <v>77</v>
      </c>
      <c r="G6575">
        <v>-236.76070000000001</v>
      </c>
      <c r="H6575" s="1">
        <v>-2.1441770000000002E-6</v>
      </c>
      <c r="I6575">
        <v>-61.34854</v>
      </c>
      <c r="J6575">
        <v>-269.72710000000001</v>
      </c>
      <c r="K6575">
        <v>1.1158859999999999</v>
      </c>
      <c r="L6575">
        <v>-61.03998</v>
      </c>
      <c r="M6575">
        <v>0.97753109999999999</v>
      </c>
      <c r="N6575">
        <v>0</v>
      </c>
      <c r="O6575">
        <v>-0.2107618</v>
      </c>
      <c r="P6575">
        <v>0.97914480000000004</v>
      </c>
      <c r="Q6575">
        <v>-1.7528779999999901E-3</v>
      </c>
      <c r="R6575">
        <v>-0.20315620000000001</v>
      </c>
      <c r="S6575">
        <v>3.0592959999999998</v>
      </c>
      <c r="T6575">
        <v>-0.1030027</v>
      </c>
      <c r="U6575">
        <v>-3.1646729999999998E-2</v>
      </c>
      <c r="V6575">
        <v>-7.8046069999999999E-3</v>
      </c>
      <c r="W6575">
        <v>1.6186869999999999E-3</v>
      </c>
      <c r="X6575">
        <v>0.99996819999999997</v>
      </c>
      <c r="Y6575">
        <v>-0.2004088</v>
      </c>
      <c r="Z6575">
        <v>1.042441E-2</v>
      </c>
      <c r="AA6575">
        <v>0.97965690000000005</v>
      </c>
      <c r="AB6575">
        <v>35</v>
      </c>
      <c r="AC6575">
        <v>32.966399999999901</v>
      </c>
      <c r="AD6575">
        <v>-1.1158881441769899</v>
      </c>
      <c r="AE6575">
        <v>-0.30855999999999201</v>
      </c>
      <c r="AF6575">
        <v>-6.6388660942300097</v>
      </c>
      <c r="AG6575">
        <v>-1.1158881441769899</v>
      </c>
      <c r="AH6575">
        <v>32.2539618617784</v>
      </c>
      <c r="AI6575">
        <v>91.940813805913294</v>
      </c>
      <c r="AJ6575">
        <v>101.630812792277</v>
      </c>
      <c r="AK6575">
        <v>32.949018272908901</v>
      </c>
      <c r="AL6575">
        <v>89.907256022942093</v>
      </c>
      <c r="AM6575">
        <v>90.447176182470699</v>
      </c>
      <c r="AN6575">
        <v>0.99999996652463297</v>
      </c>
    </row>
    <row r="6576" spans="1:40" x14ac:dyDescent="0.25">
      <c r="A6576" t="str">
        <f>"20190312154427576"</f>
        <v>20190312154427576</v>
      </c>
      <c r="B6576" t="str">
        <f>"1552376667564286"</f>
        <v>1552376667564286</v>
      </c>
      <c r="C6576" t="s">
        <v>40</v>
      </c>
      <c r="D6576">
        <v>4.5678650000000003</v>
      </c>
      <c r="E6576">
        <v>0.43787039999999999</v>
      </c>
      <c r="F6576" t="s">
        <v>77</v>
      </c>
      <c r="G6576">
        <v>-233.053</v>
      </c>
      <c r="H6576" s="1">
        <v>-8.5533629999999995E-7</v>
      </c>
      <c r="I6576">
        <v>-62.482520000000001</v>
      </c>
      <c r="J6576">
        <v>-269.56150000000002</v>
      </c>
      <c r="K6576">
        <v>1.1160870000000001</v>
      </c>
      <c r="L6576">
        <v>-61.072240000000001</v>
      </c>
      <c r="M6576">
        <v>0.97829219999999895</v>
      </c>
      <c r="N6576">
        <v>0</v>
      </c>
      <c r="O6576">
        <v>-0.20719989999999999</v>
      </c>
      <c r="P6576">
        <v>0.97984009999999999</v>
      </c>
      <c r="Q6576">
        <v>-1.8200779999999999E-3</v>
      </c>
      <c r="R6576">
        <v>-0.19977519999999999</v>
      </c>
      <c r="S6576">
        <v>3.03891</v>
      </c>
      <c r="T6576">
        <v>-9.2465279999999997E-2</v>
      </c>
      <c r="U6576">
        <v>-0.1195374</v>
      </c>
      <c r="V6576">
        <v>-7.6143540000000003E-3</v>
      </c>
      <c r="W6576">
        <v>1.602951E-3</v>
      </c>
      <c r="X6576">
        <v>0.99996969999999996</v>
      </c>
      <c r="Y6576">
        <v>-0.1684167</v>
      </c>
      <c r="Z6576">
        <v>8.8203099999999996E-3</v>
      </c>
      <c r="AA6576">
        <v>0.98567640000000001</v>
      </c>
      <c r="AB6576">
        <v>35</v>
      </c>
      <c r="AC6576">
        <v>36.508499999999998</v>
      </c>
      <c r="AD6576">
        <v>-1.1160878553363001</v>
      </c>
      <c r="AE6576">
        <v>-1.41027999999999</v>
      </c>
      <c r="AF6576">
        <v>-6.17916428984321</v>
      </c>
      <c r="AG6576">
        <v>-1.1160878553363001</v>
      </c>
      <c r="AH6576">
        <v>35.974846341453201</v>
      </c>
      <c r="AI6576">
        <v>91.751350363872703</v>
      </c>
      <c r="AJ6576">
        <v>99.746217751435097</v>
      </c>
      <c r="AK6576">
        <v>36.518725233951898</v>
      </c>
      <c r="AL6576">
        <v>89.908157631249793</v>
      </c>
      <c r="AM6576">
        <v>90.436275135420502</v>
      </c>
      <c r="AN6576">
        <v>0.99999997437841703</v>
      </c>
    </row>
    <row r="6577" spans="1:40" x14ac:dyDescent="0.25">
      <c r="A6577" t="str">
        <f>"20190312154427587"</f>
        <v>20190312154427587</v>
      </c>
      <c r="B6577" t="str">
        <f>"1552376667574047"</f>
        <v>1552376667574047</v>
      </c>
      <c r="C6577" t="s">
        <v>40</v>
      </c>
      <c r="D6577">
        <v>4.5954280000000001</v>
      </c>
      <c r="E6577">
        <v>0.43833250000000001</v>
      </c>
      <c r="F6577" t="s">
        <v>77</v>
      </c>
      <c r="G6577">
        <v>-234.4684</v>
      </c>
      <c r="H6577" s="1">
        <v>-1.425777E-6</v>
      </c>
      <c r="I6577">
        <v>-62.34431</v>
      </c>
      <c r="J6577">
        <v>-269.40010000000001</v>
      </c>
      <c r="K6577">
        <v>1.1162700000000001</v>
      </c>
      <c r="L6577">
        <v>-61.103450000000002</v>
      </c>
      <c r="M6577">
        <v>0.97902529999999999</v>
      </c>
      <c r="N6577">
        <v>0</v>
      </c>
      <c r="O6577">
        <v>-0.2037071</v>
      </c>
      <c r="P6577">
        <v>0.98048139999999995</v>
      </c>
      <c r="Q6577">
        <v>-1.769166E-3</v>
      </c>
      <c r="R6577">
        <v>-0.19660459999999999</v>
      </c>
      <c r="S6577">
        <v>3.0390929999999998</v>
      </c>
      <c r="T6577">
        <v>-9.6654420000000005E-2</v>
      </c>
      <c r="U6577">
        <v>-0.1101685</v>
      </c>
      <c r="V6577">
        <v>-7.2829610000000001E-3</v>
      </c>
      <c r="W6577">
        <v>1.718345E-3</v>
      </c>
      <c r="X6577">
        <v>0.99997199999999997</v>
      </c>
      <c r="Y6577">
        <v>-0.1679215</v>
      </c>
      <c r="Z6577">
        <v>9.1033620000000003E-3</v>
      </c>
      <c r="AA6577">
        <v>0.98575840000000003</v>
      </c>
      <c r="AB6577">
        <v>35</v>
      </c>
      <c r="AC6577">
        <v>34.931699999999999</v>
      </c>
      <c r="AD6577">
        <v>-1.1162714257769999</v>
      </c>
      <c r="AE6577">
        <v>-1.2408599999999901</v>
      </c>
      <c r="AF6577">
        <v>-5.8950277039327599</v>
      </c>
      <c r="AG6577">
        <v>-1.1162714257769999</v>
      </c>
      <c r="AH6577">
        <v>34.416910528990101</v>
      </c>
      <c r="AI6577">
        <v>91.831022627749604</v>
      </c>
      <c r="AJ6577">
        <v>99.719469400788398</v>
      </c>
      <c r="AK6577">
        <v>34.935957749668901</v>
      </c>
      <c r="AL6577">
        <v>89.9015460350561</v>
      </c>
      <c r="AM6577">
        <v>90.417287233748795</v>
      </c>
      <c r="AN6577">
        <v>0.99999999750723301</v>
      </c>
    </row>
    <row r="6578" spans="1:40" x14ac:dyDescent="0.25">
      <c r="A6578" t="str">
        <f>"20190312154427599"</f>
        <v>20190312154427599</v>
      </c>
      <c r="B6578" t="str">
        <f>"1552376667594542"</f>
        <v>1552376667594542</v>
      </c>
      <c r="C6578" t="s">
        <v>40</v>
      </c>
      <c r="D6578">
        <v>4.5932040000000001</v>
      </c>
      <c r="E6578">
        <v>0.4395696</v>
      </c>
      <c r="F6578" t="s">
        <v>77</v>
      </c>
      <c r="G6578">
        <v>-234.68350000000001</v>
      </c>
      <c r="H6578" s="1">
        <v>-1.5038220000000001E-6</v>
      </c>
      <c r="I6578">
        <v>-62.2909199999999</v>
      </c>
      <c r="J6578">
        <v>-269.21710000000002</v>
      </c>
      <c r="K6578">
        <v>1.116417</v>
      </c>
      <c r="L6578">
        <v>-61.137390000000003</v>
      </c>
      <c r="M6578">
        <v>0.97987100000000005</v>
      </c>
      <c r="N6578">
        <v>0</v>
      </c>
      <c r="O6578">
        <v>-0.19959679999999999</v>
      </c>
      <c r="P6578">
        <v>0.98114129999999999</v>
      </c>
      <c r="Q6578">
        <v>-1.385905E-3</v>
      </c>
      <c r="R6578">
        <v>-0.1932865</v>
      </c>
      <c r="S6578">
        <v>3.0386959999999998</v>
      </c>
      <c r="T6578">
        <v>-9.7705719999999996E-2</v>
      </c>
      <c r="U6578">
        <v>-0.1039429</v>
      </c>
      <c r="V6578">
        <v>-6.479505E-3</v>
      </c>
      <c r="W6578">
        <v>2.2338050000000002E-3</v>
      </c>
      <c r="X6578">
        <v>0.99997650000000005</v>
      </c>
      <c r="Y6578">
        <v>-0.16579579999999999</v>
      </c>
      <c r="Z6578">
        <v>9.0402659999999999E-3</v>
      </c>
      <c r="AA6578">
        <v>0.98611870000000001</v>
      </c>
      <c r="AB6578">
        <v>35</v>
      </c>
      <c r="AC6578">
        <v>34.5336</v>
      </c>
      <c r="AD6578">
        <v>-1.116418503822</v>
      </c>
      <c r="AE6578">
        <v>-1.15352999999998</v>
      </c>
      <c r="AF6578">
        <v>-5.7565160223959699</v>
      </c>
      <c r="AG6578">
        <v>-1.116418503822</v>
      </c>
      <c r="AH6578">
        <v>34.033421827540899</v>
      </c>
      <c r="AI6578">
        <v>91.852539293584002</v>
      </c>
      <c r="AJ6578">
        <v>99.600316850189003</v>
      </c>
      <c r="AK6578">
        <v>34.5348761150683</v>
      </c>
      <c r="AL6578">
        <v>89.872012293167103</v>
      </c>
      <c r="AM6578">
        <v>90.371251818644097</v>
      </c>
      <c r="AN6578">
        <v>0.999999987211036</v>
      </c>
    </row>
    <row r="6579" spans="1:40" x14ac:dyDescent="0.25">
      <c r="A6579" t="str">
        <f>"20190312154427612"</f>
        <v>20190312154427612</v>
      </c>
      <c r="B6579" t="str">
        <f>"1552376667604303"</f>
        <v>1552376667604303</v>
      </c>
      <c r="C6579" t="s">
        <v>40</v>
      </c>
      <c r="D6579">
        <v>4.6084129999999996</v>
      </c>
      <c r="E6579">
        <v>0.440137</v>
      </c>
      <c r="F6579" t="s">
        <v>77</v>
      </c>
      <c r="G6579">
        <v>-234.6446</v>
      </c>
      <c r="H6579" s="1">
        <v>-1.4928069999999999E-6</v>
      </c>
      <c r="I6579">
        <v>-62.312179999999998</v>
      </c>
      <c r="J6579">
        <v>-269.04059999999998</v>
      </c>
      <c r="K6579">
        <v>1.1165430000000001</v>
      </c>
      <c r="L6579">
        <v>-61.1697699999999</v>
      </c>
      <c r="M6579">
        <v>0.9806802</v>
      </c>
      <c r="N6579">
        <v>0</v>
      </c>
      <c r="O6579">
        <v>-0.19557949999999999</v>
      </c>
      <c r="P6579">
        <v>0.98179530000000004</v>
      </c>
      <c r="Q6579">
        <v>-1.129344E-3</v>
      </c>
      <c r="R6579">
        <v>-0.1899391</v>
      </c>
      <c r="S6579">
        <v>3.037201</v>
      </c>
      <c r="T6579">
        <v>-9.8077540000000005E-2</v>
      </c>
      <c r="U6579">
        <v>-0.10321039999999999</v>
      </c>
      <c r="V6579">
        <v>-5.8000200000000003E-3</v>
      </c>
      <c r="W6579">
        <v>2.6271950000000001E-3</v>
      </c>
      <c r="X6579">
        <v>0.99997970000000003</v>
      </c>
      <c r="Y6579">
        <v>-0.1619767</v>
      </c>
      <c r="Z6579">
        <v>8.8900850000000007E-3</v>
      </c>
      <c r="AA6579">
        <v>0.98675449999999998</v>
      </c>
      <c r="AB6579">
        <v>35</v>
      </c>
      <c r="AC6579">
        <v>34.395999999999901</v>
      </c>
      <c r="AD6579">
        <v>-1.1165444928070001</v>
      </c>
      <c r="AE6579">
        <v>-1.1424100000000099</v>
      </c>
      <c r="AF6579">
        <v>-5.6009601896763703</v>
      </c>
      <c r="AG6579">
        <v>-1.1165444928070001</v>
      </c>
      <c r="AH6579">
        <v>33.919459746883703</v>
      </c>
      <c r="AI6579">
        <v>91.860182604011797</v>
      </c>
      <c r="AJ6579">
        <v>99.376372567043603</v>
      </c>
      <c r="AK6579">
        <v>34.396906491299802</v>
      </c>
      <c r="AL6579">
        <v>89.849472637076005</v>
      </c>
      <c r="AM6579">
        <v>90.332319686701695</v>
      </c>
      <c r="AN6579">
        <v>0.99999997139882801</v>
      </c>
    </row>
    <row r="6580" spans="1:40" x14ac:dyDescent="0.25">
      <c r="A6580" t="str">
        <f>"20190312154427621"</f>
        <v>20190312154427621</v>
      </c>
      <c r="B6580" t="str">
        <f>"1552376667614063"</f>
        <v>1552376667614063</v>
      </c>
      <c r="C6580" t="s">
        <v>40</v>
      </c>
      <c r="D6580">
        <v>4.650398</v>
      </c>
      <c r="E6580">
        <v>0.44058439999999999</v>
      </c>
      <c r="F6580" t="s">
        <v>77</v>
      </c>
      <c r="G6580">
        <v>-233.89340000000001</v>
      </c>
      <c r="H6580" s="1">
        <v>-1.1664669999999999E-6</v>
      </c>
      <c r="I6580">
        <v>-62.296810000000001</v>
      </c>
      <c r="J6580">
        <v>-268.8716</v>
      </c>
      <c r="K6580">
        <v>1.116633</v>
      </c>
      <c r="L6580">
        <v>-61.199770000000001</v>
      </c>
      <c r="M6580">
        <v>0.98145870000000002</v>
      </c>
      <c r="N6580">
        <v>0</v>
      </c>
      <c r="O6580">
        <v>-0.19163150000000001</v>
      </c>
      <c r="P6580">
        <v>0.98241959999999995</v>
      </c>
      <c r="Q6580">
        <v>-3.0069800000000001E-4</v>
      </c>
      <c r="R6580">
        <v>-0.18668709999999999</v>
      </c>
      <c r="S6580">
        <v>3.0367130000000002</v>
      </c>
      <c r="T6580">
        <v>-9.6469399999999997E-2</v>
      </c>
      <c r="U6580">
        <v>-9.7381590000000004E-2</v>
      </c>
      <c r="V6580">
        <v>-5.1057419999999999E-3</v>
      </c>
      <c r="W6580">
        <v>3.6104280000000002E-3</v>
      </c>
      <c r="X6580">
        <v>0.99998039999999999</v>
      </c>
      <c r="Y6580">
        <v>-0.15990099999999999</v>
      </c>
      <c r="Z6580">
        <v>8.5900679999999993E-3</v>
      </c>
      <c r="AA6580">
        <v>0.98709570000000002</v>
      </c>
      <c r="AB6580">
        <v>35</v>
      </c>
      <c r="AC6580">
        <v>34.978199999999902</v>
      </c>
      <c r="AD6580">
        <v>-1.1166341664669901</v>
      </c>
      <c r="AE6580">
        <v>-1.09704</v>
      </c>
      <c r="AF6580">
        <v>-5.6205486159426004</v>
      </c>
      <c r="AG6580">
        <v>-1.1166341664669901</v>
      </c>
      <c r="AH6580">
        <v>34.505035353909101</v>
      </c>
      <c r="AI6580">
        <v>91.829434681614003</v>
      </c>
      <c r="AJ6580">
        <v>99.251693238944597</v>
      </c>
      <c r="AK6580">
        <v>34.977634330817899</v>
      </c>
      <c r="AL6580">
        <v>89.793137254035301</v>
      </c>
      <c r="AM6580">
        <v>90.292540659605507</v>
      </c>
      <c r="AN6580">
        <v>0.99999995208793502</v>
      </c>
    </row>
    <row r="6581" spans="1:40" x14ac:dyDescent="0.25">
      <c r="A6581" t="str">
        <f>"20190312154427632"</f>
        <v>20190312154427632</v>
      </c>
      <c r="B6581" t="str">
        <f>"1552376667623823"</f>
        <v>1552376667623823</v>
      </c>
      <c r="C6581" t="s">
        <v>40</v>
      </c>
      <c r="D6581">
        <v>4.6291989999999998</v>
      </c>
      <c r="E6581">
        <v>0.44108799999999998</v>
      </c>
      <c r="F6581" t="s">
        <v>77</v>
      </c>
      <c r="G6581">
        <v>-233.1181</v>
      </c>
      <c r="H6581" s="1">
        <v>-8.2649439999999996E-7</v>
      </c>
      <c r="I6581">
        <v>-62.269109999999998</v>
      </c>
      <c r="J6581">
        <v>-268.71280000000002</v>
      </c>
      <c r="K6581">
        <v>1.1167009999999999</v>
      </c>
      <c r="L6581">
        <v>-61.227420000000002</v>
      </c>
      <c r="M6581">
        <v>0.98218530000000004</v>
      </c>
      <c r="N6581">
        <v>0</v>
      </c>
      <c r="O6581">
        <v>-0.1878696</v>
      </c>
      <c r="P6581">
        <v>0.98299340000000002</v>
      </c>
      <c r="Q6581">
        <v>7.8990869999999999E-4</v>
      </c>
      <c r="R6581">
        <v>-0.18363879999999999</v>
      </c>
      <c r="S6581">
        <v>3.0364070000000001</v>
      </c>
      <c r="T6581">
        <v>-9.4831470000000001E-2</v>
      </c>
      <c r="U6581">
        <v>-9.0820310000000001E-2</v>
      </c>
      <c r="V6581">
        <v>-4.3995350000000004E-3</v>
      </c>
      <c r="W6581">
        <v>4.854962E-3</v>
      </c>
      <c r="X6581">
        <v>0.99997849999999999</v>
      </c>
      <c r="Y6581">
        <v>-0.15825500000000001</v>
      </c>
      <c r="Z6581">
        <v>8.3044060000000003E-3</v>
      </c>
      <c r="AA6581">
        <v>0.98736330000000005</v>
      </c>
      <c r="AB6581">
        <v>35</v>
      </c>
      <c r="AC6581">
        <v>35.594700000000003</v>
      </c>
      <c r="AD6581">
        <v>-1.1167018264944</v>
      </c>
      <c r="AE6581">
        <v>-1.04169</v>
      </c>
      <c r="AF6581">
        <v>-5.6585131274295097</v>
      </c>
      <c r="AG6581">
        <v>-1.1167018264944</v>
      </c>
      <c r="AH6581">
        <v>35.122053521376998</v>
      </c>
      <c r="AI6581">
        <v>91.797930581130601</v>
      </c>
      <c r="AJ6581">
        <v>99.152275542525899</v>
      </c>
      <c r="AK6581">
        <v>35.592477257716403</v>
      </c>
      <c r="AL6581">
        <v>89.721830064772107</v>
      </c>
      <c r="AM6581">
        <v>90.252078580579706</v>
      </c>
      <c r="AN6581">
        <v>0.99999996351324305</v>
      </c>
    </row>
    <row r="6582" spans="1:40" x14ac:dyDescent="0.25">
      <c r="A6582" t="str">
        <f>"20190312154427645"</f>
        <v>20190312154427645</v>
      </c>
      <c r="B6582" t="str">
        <f>"1552376667634558"</f>
        <v>1552376667634558</v>
      </c>
      <c r="C6582" t="s">
        <v>40</v>
      </c>
      <c r="D6582">
        <v>4.6437710000000001</v>
      </c>
      <c r="E6582">
        <v>0.44108799999999998</v>
      </c>
      <c r="F6582" t="s">
        <v>77</v>
      </c>
      <c r="G6582">
        <v>-232.79900000000001</v>
      </c>
      <c r="H6582" s="1">
        <v>-6.8074639999999997E-7</v>
      </c>
      <c r="I6582">
        <v>-62.235979999999998</v>
      </c>
      <c r="J6582">
        <v>-268.52199999999999</v>
      </c>
      <c r="K6582">
        <v>1.1167720000000001</v>
      </c>
      <c r="L6582">
        <v>-61.259860000000003</v>
      </c>
      <c r="M6582">
        <v>0.98305149999999997</v>
      </c>
      <c r="N6582">
        <v>0</v>
      </c>
      <c r="O6582">
        <v>-0.183279</v>
      </c>
      <c r="P6582">
        <v>0.98370440000000003</v>
      </c>
      <c r="Q6582">
        <v>1.534084E-3</v>
      </c>
      <c r="R6582">
        <v>-0.17978740000000001</v>
      </c>
      <c r="S6582">
        <v>3.036041</v>
      </c>
      <c r="T6582">
        <v>-9.4402429999999996E-2</v>
      </c>
      <c r="U6582">
        <v>-8.5266110000000006E-2</v>
      </c>
      <c r="V6582">
        <v>-3.6623419999999999E-3</v>
      </c>
      <c r="W6582">
        <v>5.7933639999999996E-3</v>
      </c>
      <c r="X6582">
        <v>0.99997650000000005</v>
      </c>
      <c r="Y6582">
        <v>-0.1554478</v>
      </c>
      <c r="Z6582">
        <v>8.0841030000000005E-3</v>
      </c>
      <c r="AA6582">
        <v>0.98781099999999999</v>
      </c>
      <c r="AB6582">
        <v>35</v>
      </c>
      <c r="AC6582">
        <v>35.7229999999999</v>
      </c>
      <c r="AD6582">
        <v>-1.11677268074639</v>
      </c>
      <c r="AE6582">
        <v>-0.97612000000000798</v>
      </c>
      <c r="AF6582">
        <v>-5.5822997473829803</v>
      </c>
      <c r="AG6582">
        <v>-1.11677268074639</v>
      </c>
      <c r="AH6582">
        <v>35.262341889376003</v>
      </c>
      <c r="AI6582">
        <v>91.791677116912695</v>
      </c>
      <c r="AJ6582">
        <v>98.995709869523296</v>
      </c>
      <c r="AK6582">
        <v>35.7189306560728</v>
      </c>
      <c r="AL6582">
        <v>89.668062832872096</v>
      </c>
      <c r="AM6582">
        <v>90.209840732791605</v>
      </c>
      <c r="AN6582">
        <v>0.99999998818380498</v>
      </c>
    </row>
    <row r="6583" spans="1:40" x14ac:dyDescent="0.25">
      <c r="A6583" t="str">
        <f>"20190312154427657"</f>
        <v>20190312154427657</v>
      </c>
      <c r="B6583" t="str">
        <f>"1552376667654079"</f>
        <v>1552376667654079</v>
      </c>
      <c r="C6583" t="s">
        <v>40</v>
      </c>
      <c r="D6583">
        <v>4.6648100000000001</v>
      </c>
      <c r="E6583">
        <v>0.44683430000000002</v>
      </c>
      <c r="F6583" t="s">
        <v>77</v>
      </c>
      <c r="G6583">
        <v>-231.70599999999999</v>
      </c>
      <c r="H6583" s="1">
        <v>-1.889169E-7</v>
      </c>
      <c r="I6583">
        <v>-62.14969</v>
      </c>
      <c r="J6583">
        <v>-268.3399</v>
      </c>
      <c r="K6583">
        <v>1.116822</v>
      </c>
      <c r="L6583">
        <v>-61.289790000000004</v>
      </c>
      <c r="M6583">
        <v>0.98386870000000004</v>
      </c>
      <c r="N6583">
        <v>0</v>
      </c>
      <c r="O6583">
        <v>-0.17883569999999999</v>
      </c>
      <c r="P6583">
        <v>0.98444969999999998</v>
      </c>
      <c r="Q6583">
        <v>1.9493749999999999E-3</v>
      </c>
      <c r="R6583">
        <v>-0.17565610000000001</v>
      </c>
      <c r="S6583">
        <v>3.036438</v>
      </c>
      <c r="T6583">
        <v>-9.2106820000000006E-2</v>
      </c>
      <c r="U6583">
        <v>-7.3394780000000007E-2</v>
      </c>
      <c r="V6583">
        <v>-3.3538230000000001E-3</v>
      </c>
      <c r="W6583">
        <v>6.3922609999999998E-3</v>
      </c>
      <c r="X6583">
        <v>0.99997400000000003</v>
      </c>
      <c r="Y6583">
        <v>-0.154858</v>
      </c>
      <c r="Z6583">
        <v>7.745661E-3</v>
      </c>
      <c r="AA6583">
        <v>0.98790639999999996</v>
      </c>
      <c r="AB6583">
        <v>35</v>
      </c>
      <c r="AC6583">
        <v>36.633899999999997</v>
      </c>
      <c r="AD6583">
        <v>-1.1168221889169001</v>
      </c>
      <c r="AE6583">
        <v>-0.859899999999996</v>
      </c>
      <c r="AF6583">
        <v>-5.70018318347591</v>
      </c>
      <c r="AG6583">
        <v>-1.1168221889169001</v>
      </c>
      <c r="AH6583">
        <v>36.163501721602401</v>
      </c>
      <c r="AI6583">
        <v>91.747320043915494</v>
      </c>
      <c r="AJ6583">
        <v>98.957409891327401</v>
      </c>
      <c r="AK6583">
        <v>36.627015124019898</v>
      </c>
      <c r="AL6583">
        <v>89.633747948995804</v>
      </c>
      <c r="AM6583">
        <v>90.192164178890096</v>
      </c>
      <c r="AN6583">
        <v>1.0000000549026999</v>
      </c>
    </row>
    <row r="6584" spans="1:40" x14ac:dyDescent="0.25">
      <c r="A6584" t="str">
        <f>"20190312154427678"</f>
        <v>20190312154427678</v>
      </c>
      <c r="B6584" t="str">
        <f>"1552376667674574"</f>
        <v>1552376667674574</v>
      </c>
      <c r="C6584" t="s">
        <v>40</v>
      </c>
      <c r="D6584">
        <v>4.6607159999999999</v>
      </c>
      <c r="E6584">
        <v>0.44703130000000002</v>
      </c>
      <c r="F6584" t="s">
        <v>77</v>
      </c>
      <c r="G6584">
        <v>-233.49430000000001</v>
      </c>
      <c r="H6584" s="1">
        <v>-1.050525E-6</v>
      </c>
      <c r="I6584">
        <v>-62.504539999999999</v>
      </c>
      <c r="J6584">
        <v>-268.0104</v>
      </c>
      <c r="K6584">
        <v>1.1168880000000001</v>
      </c>
      <c r="L6584">
        <v>-61.34216</v>
      </c>
      <c r="M6584">
        <v>0.98530700000000004</v>
      </c>
      <c r="N6584">
        <v>0</v>
      </c>
      <c r="O6584">
        <v>-0.1707245</v>
      </c>
      <c r="P6584">
        <v>0.98577349999999997</v>
      </c>
      <c r="Q6584">
        <v>1.9326300000000001E-3</v>
      </c>
      <c r="R6584">
        <v>-0.168069</v>
      </c>
      <c r="S6584">
        <v>3.028778</v>
      </c>
      <c r="T6584">
        <v>-9.7074149999999998E-2</v>
      </c>
      <c r="U6584">
        <v>-0.1055908</v>
      </c>
      <c r="V6584">
        <v>-2.8240650000000002E-3</v>
      </c>
      <c r="W6584">
        <v>6.7055359999999998E-3</v>
      </c>
      <c r="X6584">
        <v>0.99997349999999996</v>
      </c>
      <c r="Y6584">
        <v>-0.13613649999999999</v>
      </c>
      <c r="Z6584">
        <v>7.6249450000000002E-3</v>
      </c>
      <c r="AA6584">
        <v>0.99066069999999995</v>
      </c>
      <c r="AB6584">
        <v>35</v>
      </c>
      <c r="AC6584">
        <v>34.516099999999902</v>
      </c>
      <c r="AD6584">
        <v>-1.116889050525</v>
      </c>
      <c r="AE6584">
        <v>-1.16238</v>
      </c>
      <c r="AF6584">
        <v>-4.7425378253427599</v>
      </c>
      <c r="AG6584">
        <v>-1.116889050525</v>
      </c>
      <c r="AH6584">
        <v>34.1720594600338</v>
      </c>
      <c r="AI6584">
        <v>91.854245137705703</v>
      </c>
      <c r="AJ6584">
        <v>97.901271144821294</v>
      </c>
      <c r="AK6584">
        <v>34.517658581022999</v>
      </c>
      <c r="AL6584">
        <v>89.615798197091806</v>
      </c>
      <c r="AM6584">
        <v>90.1618108633822</v>
      </c>
      <c r="AN6584">
        <v>0.99999997012921005</v>
      </c>
    </row>
    <row r="6585" spans="1:40" x14ac:dyDescent="0.25">
      <c r="A6585" t="str">
        <f>"20190312154427691"</f>
        <v>20190312154427691</v>
      </c>
      <c r="B6585" t="str">
        <f>"1552376667684334"</f>
        <v>1552376667684334</v>
      </c>
      <c r="C6585" t="s">
        <v>40</v>
      </c>
      <c r="D6585">
        <v>4.6644569999999996</v>
      </c>
      <c r="E6585">
        <v>0.44727270000000002</v>
      </c>
      <c r="F6585" t="s">
        <v>77</v>
      </c>
      <c r="G6585">
        <v>-233.88159999999999</v>
      </c>
      <c r="H6585" s="1">
        <v>-1.15876E-6</v>
      </c>
      <c r="I6585">
        <v>-62.286949999999997</v>
      </c>
      <c r="J6585">
        <v>-267.81939999999997</v>
      </c>
      <c r="K6585">
        <v>1.1169150000000001</v>
      </c>
      <c r="L6585">
        <v>-61.371459999999999</v>
      </c>
      <c r="M6585">
        <v>0.9861124</v>
      </c>
      <c r="N6585">
        <v>0</v>
      </c>
      <c r="O6585">
        <v>-0.1660044</v>
      </c>
      <c r="P6585">
        <v>0.98655400000000004</v>
      </c>
      <c r="Q6585">
        <v>1.5337899999999999E-3</v>
      </c>
      <c r="R6585">
        <v>-0.16342809999999999</v>
      </c>
      <c r="S6585">
        <v>3.029175</v>
      </c>
      <c r="T6585">
        <v>-9.9131940000000002E-2</v>
      </c>
      <c r="U6585">
        <v>-8.3862300000000001E-2</v>
      </c>
      <c r="V6585">
        <v>-2.7372859999999998E-3</v>
      </c>
      <c r="W6585">
        <v>6.4876269999999897E-3</v>
      </c>
      <c r="X6585">
        <v>0.99997519999999995</v>
      </c>
      <c r="Y6585">
        <v>-0.13849049999999999</v>
      </c>
      <c r="Z6585">
        <v>7.6731630000000002E-3</v>
      </c>
      <c r="AA6585">
        <v>0.99033400000000005</v>
      </c>
      <c r="AB6585">
        <v>35</v>
      </c>
      <c r="AC6585">
        <v>33.937799999999903</v>
      </c>
      <c r="AD6585">
        <v>-1.1169161587599901</v>
      </c>
      <c r="AE6585">
        <v>-0.91548999999999803</v>
      </c>
      <c r="AF6585">
        <v>-4.7259918645936096</v>
      </c>
      <c r="AG6585">
        <v>-1.1169161587599901</v>
      </c>
      <c r="AH6585">
        <v>33.58253166507</v>
      </c>
      <c r="AI6585">
        <v>91.886315832675393</v>
      </c>
      <c r="AJ6585">
        <v>98.010497979769298</v>
      </c>
      <c r="AK6585">
        <v>33.931827741006401</v>
      </c>
      <c r="AL6585">
        <v>89.628283743043397</v>
      </c>
      <c r="AM6585">
        <v>90.156838432988195</v>
      </c>
      <c r="AN6585">
        <v>0.99999999132688799</v>
      </c>
    </row>
    <row r="6586" spans="1:40" x14ac:dyDescent="0.25">
      <c r="A6586" t="str">
        <f>"20190312154427700"</f>
        <v>20190312154427700</v>
      </c>
      <c r="B6586" t="str">
        <f>"1552376667694095"</f>
        <v>1552376667694095</v>
      </c>
      <c r="C6586" t="s">
        <v>40</v>
      </c>
      <c r="D6586">
        <v>4.6794969999999996</v>
      </c>
      <c r="E6586">
        <v>0.44789590000000001</v>
      </c>
      <c r="F6586" t="s">
        <v>77</v>
      </c>
      <c r="G6586">
        <v>-234.88210000000001</v>
      </c>
      <c r="H6586" s="1">
        <v>-1.551059E-6</v>
      </c>
      <c r="I6586">
        <v>-62.148200000000003</v>
      </c>
      <c r="J6586">
        <v>-267.65379999999999</v>
      </c>
      <c r="K6586">
        <v>1.11693</v>
      </c>
      <c r="L6586">
        <v>-61.395899999999997</v>
      </c>
      <c r="M6586">
        <v>0.98679159999999999</v>
      </c>
      <c r="N6586">
        <v>0</v>
      </c>
      <c r="O6586">
        <v>-0.16191249999999999</v>
      </c>
      <c r="P6586">
        <v>0.98725050000000003</v>
      </c>
      <c r="Q6586">
        <v>8.4928049999999995E-4</v>
      </c>
      <c r="R6586">
        <v>-0.15917249999999999</v>
      </c>
      <c r="S6586">
        <v>3.029236</v>
      </c>
      <c r="T6586">
        <v>-0.10272249999999999</v>
      </c>
      <c r="U6586">
        <v>-7.1441649999999995E-2</v>
      </c>
      <c r="V6586">
        <v>-2.8913110000000001E-3</v>
      </c>
      <c r="W6586">
        <v>5.9469040000000003E-3</v>
      </c>
      <c r="X6586">
        <v>0.99997809999999998</v>
      </c>
      <c r="Y6586">
        <v>-0.13843150000000001</v>
      </c>
      <c r="Z6586">
        <v>7.8135340000000005E-3</v>
      </c>
      <c r="AA6586">
        <v>0.99034120000000003</v>
      </c>
      <c r="AB6586">
        <v>35</v>
      </c>
      <c r="AC6586">
        <v>32.771699999999903</v>
      </c>
      <c r="AD6586">
        <v>-1.1169315510590001</v>
      </c>
      <c r="AE6586">
        <v>-0.75230000000000496</v>
      </c>
      <c r="AF6586">
        <v>-4.5585530299669204</v>
      </c>
      <c r="AG6586">
        <v>-1.1169315510590001</v>
      </c>
      <c r="AH6586">
        <v>32.423434991790003</v>
      </c>
      <c r="AI6586">
        <v>91.953760669656603</v>
      </c>
      <c r="AJ6586">
        <v>98.003008976588106</v>
      </c>
      <c r="AK6586">
        <v>32.761365638257601</v>
      </c>
      <c r="AL6586">
        <v>89.659265478589504</v>
      </c>
      <c r="AM6586">
        <v>90.165663083942107</v>
      </c>
      <c r="AN6586">
        <v>0.99999996291304605</v>
      </c>
    </row>
    <row r="6587" spans="1:40" x14ac:dyDescent="0.25">
      <c r="A6587" t="str">
        <f>"20190312154427711"</f>
        <v>20190312154427711</v>
      </c>
      <c r="B6587" t="str">
        <f>"1552376667703855"</f>
        <v>1552376667703855</v>
      </c>
      <c r="C6587" t="s">
        <v>40</v>
      </c>
      <c r="D6587">
        <v>4.6835380000000004</v>
      </c>
      <c r="E6587">
        <v>0.44861669999999998</v>
      </c>
      <c r="F6587" t="s">
        <v>77</v>
      </c>
      <c r="G6587">
        <v>-237.2876</v>
      </c>
      <c r="H6587" s="1">
        <v>-2.55133E-6</v>
      </c>
      <c r="I6587">
        <v>-62.029229999999998</v>
      </c>
      <c r="J6587">
        <v>-267.50560000000002</v>
      </c>
      <c r="K6587">
        <v>1.116933</v>
      </c>
      <c r="L6587">
        <v>-61.417450000000002</v>
      </c>
      <c r="M6587">
        <v>0.98738380000000003</v>
      </c>
      <c r="N6587">
        <v>0</v>
      </c>
      <c r="O6587">
        <v>-0.15825690000000001</v>
      </c>
      <c r="P6587">
        <v>0.98785420000000002</v>
      </c>
      <c r="Q6587">
        <v>1.594368E-4</v>
      </c>
      <c r="R6587">
        <v>-0.15538279999999999</v>
      </c>
      <c r="S6587">
        <v>3.0286249999999999</v>
      </c>
      <c r="T6587">
        <v>-0.1113991</v>
      </c>
      <c r="U6587">
        <v>-6.3171389999999994E-2</v>
      </c>
      <c r="V6587">
        <v>-3.0148190000000002E-3</v>
      </c>
      <c r="W6587">
        <v>5.3823380000000004E-3</v>
      </c>
      <c r="X6587">
        <v>0.99998100000000001</v>
      </c>
      <c r="Y6587">
        <v>-0.1374349</v>
      </c>
      <c r="Z6587">
        <v>8.3240840000000007E-3</v>
      </c>
      <c r="AA6587">
        <v>0.99047580000000002</v>
      </c>
      <c r="AB6587">
        <v>35</v>
      </c>
      <c r="AC6587">
        <v>30.218</v>
      </c>
      <c r="AD6587">
        <v>-1.1169355513300001</v>
      </c>
      <c r="AE6587">
        <v>-0.61178000000000299</v>
      </c>
      <c r="AF6587">
        <v>-4.1725055277327696</v>
      </c>
      <c r="AG6587">
        <v>-1.1169355513300001</v>
      </c>
      <c r="AH6587">
        <v>29.8931766171393</v>
      </c>
      <c r="AI6587">
        <v>92.119291122556206</v>
      </c>
      <c r="AJ6587">
        <v>97.946037358788203</v>
      </c>
      <c r="AK6587">
        <v>30.203631498021402</v>
      </c>
      <c r="AL6587">
        <v>89.691613268809604</v>
      </c>
      <c r="AM6587">
        <v>90.172739163381493</v>
      </c>
      <c r="AN6587">
        <v>1.0000000295284699</v>
      </c>
    </row>
    <row r="6588" spans="1:40" x14ac:dyDescent="0.25">
      <c r="A6588" t="str">
        <f>"20190312154427722"</f>
        <v>20190312154427722</v>
      </c>
      <c r="B6588" t="str">
        <f>"1552376667714591"</f>
        <v>1552376667714591</v>
      </c>
      <c r="C6588" t="s">
        <v>40</v>
      </c>
      <c r="D6588">
        <v>4.6911209999999999</v>
      </c>
      <c r="E6588">
        <v>0.44931140000000003</v>
      </c>
      <c r="F6588" t="s">
        <v>77</v>
      </c>
      <c r="G6588">
        <v>-239.32660000000001</v>
      </c>
      <c r="H6588" s="1">
        <v>-3.3255280000000001E-6</v>
      </c>
      <c r="I6588">
        <v>-61.94849</v>
      </c>
      <c r="J6588">
        <v>-267.33120000000002</v>
      </c>
      <c r="K6588">
        <v>1.1169389999999999</v>
      </c>
      <c r="L6588">
        <v>-61.441929999999999</v>
      </c>
      <c r="M6588">
        <v>0.98805920000000003</v>
      </c>
      <c r="N6588">
        <v>0</v>
      </c>
      <c r="O6588">
        <v>-0.1539799</v>
      </c>
      <c r="P6588">
        <v>0.98849670000000001</v>
      </c>
      <c r="Q6588">
        <v>-3.9032850000000002E-4</v>
      </c>
      <c r="R6588">
        <v>-0.15124209999999999</v>
      </c>
      <c r="S6588">
        <v>3.0279240000000001</v>
      </c>
      <c r="T6588">
        <v>-0.1200186</v>
      </c>
      <c r="U6588">
        <v>-5.706787E-2</v>
      </c>
      <c r="V6588">
        <v>-2.8670079999999999E-3</v>
      </c>
      <c r="W6588">
        <v>4.975124E-3</v>
      </c>
      <c r="X6588">
        <v>0.99998350000000003</v>
      </c>
      <c r="Y6588">
        <v>-0.1351097</v>
      </c>
      <c r="Z6588">
        <v>8.7563810000000006E-3</v>
      </c>
      <c r="AA6588">
        <v>0.99079200000000001</v>
      </c>
      <c r="AB6588">
        <v>35</v>
      </c>
      <c r="AC6588">
        <v>28.0046</v>
      </c>
      <c r="AD6588">
        <v>-1.116942325528</v>
      </c>
      <c r="AE6588">
        <v>-0.50655999999999302</v>
      </c>
      <c r="AF6588">
        <v>-3.80563805491603</v>
      </c>
      <c r="AG6588">
        <v>-1.116942325528</v>
      </c>
      <c r="AH6588">
        <v>27.704551286923699</v>
      </c>
      <c r="AI6588">
        <v>92.287242790891696</v>
      </c>
      <c r="AJ6588">
        <v>97.821489771893596</v>
      </c>
      <c r="AK6588">
        <v>27.987007756696102</v>
      </c>
      <c r="AL6588">
        <v>89.714945212288299</v>
      </c>
      <c r="AM6588">
        <v>90.164269718589594</v>
      </c>
      <c r="AN6588">
        <v>0.99999998593296802</v>
      </c>
    </row>
    <row r="6589" spans="1:40" x14ac:dyDescent="0.25">
      <c r="A6589" t="str">
        <f>"20190312154427733"</f>
        <v>20190312154427733</v>
      </c>
      <c r="B6589" t="str">
        <f>"1552376667724350"</f>
        <v>1552376667724350</v>
      </c>
      <c r="C6589" t="s">
        <v>40</v>
      </c>
      <c r="D6589">
        <v>4.7034739999999999</v>
      </c>
      <c r="E6589">
        <v>0.44992070000000001</v>
      </c>
      <c r="F6589" t="s">
        <v>76</v>
      </c>
      <c r="G6589">
        <v>-240.47069999999999</v>
      </c>
      <c r="H6589" s="1">
        <v>4.119098E-7</v>
      </c>
      <c r="I6589">
        <v>-61.883229999999998</v>
      </c>
      <c r="J6589">
        <v>-267.15780000000001</v>
      </c>
      <c r="K6589">
        <v>1.1169389999999999</v>
      </c>
      <c r="L6589">
        <v>-61.46564</v>
      </c>
      <c r="M6589">
        <v>0.98870820000000004</v>
      </c>
      <c r="N6589">
        <v>0</v>
      </c>
      <c r="O6589">
        <v>-0.1497512</v>
      </c>
      <c r="P6589">
        <v>0.98918039999999996</v>
      </c>
      <c r="Q6589">
        <v>-1.0838899999999999E-3</v>
      </c>
      <c r="R6589">
        <v>-0.1467011</v>
      </c>
      <c r="S6589">
        <v>3.0272830000000002</v>
      </c>
      <c r="T6589">
        <v>-0.1258832</v>
      </c>
      <c r="U6589">
        <v>-4.974365E-2</v>
      </c>
      <c r="V6589">
        <v>-3.1707559999999998E-3</v>
      </c>
      <c r="W6589">
        <v>4.4072159999999898E-3</v>
      </c>
      <c r="X6589">
        <v>0.99998529999999997</v>
      </c>
      <c r="Y6589">
        <v>-0.13324540000000001</v>
      </c>
      <c r="Z6589">
        <v>8.9734959999999992E-3</v>
      </c>
      <c r="AA6589">
        <v>0.99104239999999999</v>
      </c>
      <c r="AB6589">
        <v>35</v>
      </c>
      <c r="AC6589">
        <v>26.687100000000001</v>
      </c>
      <c r="AD6589">
        <v>-1.1169385880902001</v>
      </c>
      <c r="AE6589">
        <v>-0.41759000000000401</v>
      </c>
      <c r="AF6589">
        <v>-3.57734071585516</v>
      </c>
      <c r="AG6589">
        <v>-1.1169385880902001</v>
      </c>
      <c r="AH6589">
        <v>26.402457398438798</v>
      </c>
      <c r="AI6589">
        <v>92.400507476788704</v>
      </c>
      <c r="AJ6589">
        <v>97.716171325997493</v>
      </c>
      <c r="AK6589">
        <v>26.667108487484299</v>
      </c>
      <c r="AL6589">
        <v>89.747484316114594</v>
      </c>
      <c r="AM6589">
        <v>90.181672998423295</v>
      </c>
      <c r="AN6589">
        <v>1.00000003873128</v>
      </c>
    </row>
    <row r="6590" spans="1:40" x14ac:dyDescent="0.25">
      <c r="A6590" t="str">
        <f>"20190312154427743"</f>
        <v>20190312154427743</v>
      </c>
      <c r="B6590" t="str">
        <f>"1552376667734112"</f>
        <v>1552376667734112</v>
      </c>
      <c r="C6590" t="s">
        <v>40</v>
      </c>
      <c r="D6590">
        <v>4.7082800000000002</v>
      </c>
      <c r="E6590">
        <v>0.45055250000000002</v>
      </c>
      <c r="F6590" t="s">
        <v>76</v>
      </c>
      <c r="G6590">
        <v>-241.6678</v>
      </c>
      <c r="H6590" s="1">
        <v>-8.1271199999999998E-8</v>
      </c>
      <c r="I6590">
        <v>-61.806629999999998</v>
      </c>
      <c r="J6590">
        <v>-266.9828</v>
      </c>
      <c r="K6590">
        <v>1.1169359999999999</v>
      </c>
      <c r="L6590">
        <v>-61.488889999999998</v>
      </c>
      <c r="M6590">
        <v>0.98934040000000001</v>
      </c>
      <c r="N6590">
        <v>0</v>
      </c>
      <c r="O6590">
        <v>-0.14551069999999999</v>
      </c>
      <c r="P6590">
        <v>0.98981030000000003</v>
      </c>
      <c r="Q6590">
        <v>-1.6056779999999999E-3</v>
      </c>
      <c r="R6590">
        <v>-0.1423828</v>
      </c>
      <c r="S6590">
        <v>3.026672</v>
      </c>
      <c r="T6590">
        <v>-0.1326251</v>
      </c>
      <c r="U6590">
        <v>-4.0496829999999998E-2</v>
      </c>
      <c r="V6590">
        <v>-3.2394250000000002E-3</v>
      </c>
      <c r="W6590">
        <v>4.0081079999999998E-3</v>
      </c>
      <c r="X6590">
        <v>0.99998670000000001</v>
      </c>
      <c r="Y6590">
        <v>-0.13199830000000001</v>
      </c>
      <c r="Z6590">
        <v>9.2447410000000008E-3</v>
      </c>
      <c r="AA6590">
        <v>0.99120680000000005</v>
      </c>
      <c r="AB6590">
        <v>35</v>
      </c>
      <c r="AC6590">
        <v>25.315000000000001</v>
      </c>
      <c r="AD6590">
        <v>-1.1169360812711999</v>
      </c>
      <c r="AE6590">
        <v>-0.31774000000000002</v>
      </c>
      <c r="AF6590">
        <v>-3.3627593345784899</v>
      </c>
      <c r="AG6590">
        <v>-1.1169360812711999</v>
      </c>
      <c r="AH6590">
        <v>25.043047074248602</v>
      </c>
      <c r="AI6590">
        <v>92.531049712910601</v>
      </c>
      <c r="AJ6590">
        <v>97.647882071353607</v>
      </c>
      <c r="AK6590">
        <v>25.292487092316001</v>
      </c>
      <c r="AL6590">
        <v>89.770351708173905</v>
      </c>
      <c r="AM6590">
        <v>90.185607199871896</v>
      </c>
      <c r="AN6590">
        <v>0.99999997949047903</v>
      </c>
    </row>
    <row r="6591" spans="1:40" x14ac:dyDescent="0.25">
      <c r="A6591" t="str">
        <f>"20190312154427755"</f>
        <v>20190312154427755</v>
      </c>
      <c r="B6591" t="str">
        <f>"1552376667743871"</f>
        <v>1552376667743871</v>
      </c>
      <c r="C6591" t="s">
        <v>40</v>
      </c>
      <c r="D6591">
        <v>4.7104549999999996</v>
      </c>
      <c r="E6591">
        <v>0.45109450000000001</v>
      </c>
      <c r="F6591" t="s">
        <v>76</v>
      </c>
      <c r="G6591">
        <v>-242.3571</v>
      </c>
      <c r="H6591" s="1">
        <v>-3.622541E-7</v>
      </c>
      <c r="I6591">
        <v>-61.751339999999999</v>
      </c>
      <c r="J6591">
        <v>-266.81</v>
      </c>
      <c r="K6591">
        <v>1.116922</v>
      </c>
      <c r="L6591">
        <v>-61.511020000000002</v>
      </c>
      <c r="M6591">
        <v>0.98993940000000002</v>
      </c>
      <c r="N6591">
        <v>0</v>
      </c>
      <c r="O6591">
        <v>-0.14137459999999999</v>
      </c>
      <c r="P6591">
        <v>0.99036939999999996</v>
      </c>
      <c r="Q6591">
        <v>-2.1168860000000001E-3</v>
      </c>
      <c r="R6591">
        <v>-0.13843429999999901</v>
      </c>
      <c r="S6591">
        <v>3.0260310000000001</v>
      </c>
      <c r="T6591">
        <v>-0.1372507</v>
      </c>
      <c r="U6591">
        <v>-3.225708E-2</v>
      </c>
      <c r="V6591">
        <v>-3.0401149999999999E-3</v>
      </c>
      <c r="W6591">
        <v>3.6113819999999998E-3</v>
      </c>
      <c r="X6591">
        <v>0.99998889999999996</v>
      </c>
      <c r="Y6591">
        <v>-0.13053809999999999</v>
      </c>
      <c r="Z6591">
        <v>9.3503019999999996E-3</v>
      </c>
      <c r="AA6591">
        <v>0.99139920000000004</v>
      </c>
      <c r="AB6591">
        <v>35</v>
      </c>
      <c r="AC6591">
        <v>24.4529</v>
      </c>
      <c r="AD6591">
        <v>-1.1169223622541</v>
      </c>
      <c r="AE6591">
        <v>-0.240320000000004</v>
      </c>
      <c r="AF6591">
        <v>-3.2124685128616899</v>
      </c>
      <c r="AG6591">
        <v>-1.1169223622541</v>
      </c>
      <c r="AH6591">
        <v>24.1908014098927</v>
      </c>
      <c r="AI6591">
        <v>92.620573489219893</v>
      </c>
      <c r="AJ6591">
        <v>97.564454562057904</v>
      </c>
      <c r="AK6591">
        <v>24.4287196218365</v>
      </c>
      <c r="AL6591">
        <v>89.793082612159097</v>
      </c>
      <c r="AM6591">
        <v>90.174187155577201</v>
      </c>
      <c r="AN6591">
        <v>1.0000000422511801</v>
      </c>
    </row>
    <row r="6592" spans="1:40" x14ac:dyDescent="0.25">
      <c r="A6592" t="str">
        <f>"20190312154427766"</f>
        <v>20190312154427766</v>
      </c>
      <c r="B6592" t="str">
        <f>"1552376667754607"</f>
        <v>1552376667754607</v>
      </c>
      <c r="C6592" t="s">
        <v>40</v>
      </c>
      <c r="D6592">
        <v>4.7571180000000002</v>
      </c>
      <c r="E6592">
        <v>0.4516232</v>
      </c>
      <c r="F6592" t="s">
        <v>76</v>
      </c>
      <c r="G6592">
        <v>-242.90289999999999</v>
      </c>
      <c r="H6592" s="1">
        <v>-5.8381340000000004E-7</v>
      </c>
      <c r="I6592">
        <v>-61.704120000000003</v>
      </c>
      <c r="J6592">
        <v>-266.63380000000001</v>
      </c>
      <c r="K6592">
        <v>1.1169</v>
      </c>
      <c r="L6592">
        <v>-61.533169999999998</v>
      </c>
      <c r="M6592">
        <v>0.9905292</v>
      </c>
      <c r="N6592">
        <v>0</v>
      </c>
      <c r="O6592">
        <v>-0.13717650000000001</v>
      </c>
      <c r="P6592">
        <v>0.99096550000000005</v>
      </c>
      <c r="Q6592">
        <v>-2.2899869999999998E-3</v>
      </c>
      <c r="R6592">
        <v>-0.1340981</v>
      </c>
      <c r="S6592">
        <v>3.0253909999999999</v>
      </c>
      <c r="T6592">
        <v>-0.14134379999999999</v>
      </c>
      <c r="U6592">
        <v>-2.444458E-2</v>
      </c>
      <c r="V6592">
        <v>-3.1760120000000002E-3</v>
      </c>
      <c r="W6592">
        <v>3.5431949999999999E-3</v>
      </c>
      <c r="X6592">
        <v>0.99998869999999895</v>
      </c>
      <c r="Y6592">
        <v>-0.12888189999999999</v>
      </c>
      <c r="Z6592">
        <v>9.3981229999999995E-3</v>
      </c>
      <c r="AA6592">
        <v>0.99161540000000004</v>
      </c>
      <c r="AB6592">
        <v>36</v>
      </c>
      <c r="AC6592">
        <v>23.730899999999998</v>
      </c>
      <c r="AD6592">
        <v>-1.1169005838134001</v>
      </c>
      <c r="AE6592">
        <v>-0.17094999999999699</v>
      </c>
      <c r="AF6592">
        <v>-3.07922354156142</v>
      </c>
      <c r="AG6592">
        <v>-1.1169005838134001</v>
      </c>
      <c r="AH6592">
        <v>23.478001455654901</v>
      </c>
      <c r="AI6592">
        <v>92.700541227225898</v>
      </c>
      <c r="AJ6592">
        <v>97.471898374768898</v>
      </c>
      <c r="AK6592">
        <v>23.705392569724701</v>
      </c>
      <c r="AL6592">
        <v>89.796989459936498</v>
      </c>
      <c r="AM6592">
        <v>90.181973527719606</v>
      </c>
      <c r="AN6592">
        <v>1.0000000207053601</v>
      </c>
    </row>
    <row r="6593" spans="1:40" x14ac:dyDescent="0.25">
      <c r="A6593" t="str">
        <f>"20190312154427779"</f>
        <v>20190312154427779</v>
      </c>
      <c r="B6593" t="str">
        <f>"1552376667774127"</f>
        <v>1552376667774127</v>
      </c>
      <c r="C6593" t="s">
        <v>40</v>
      </c>
      <c r="D6593">
        <v>4.7917540000000001</v>
      </c>
      <c r="E6593">
        <v>0.45208890000000002</v>
      </c>
      <c r="F6593" t="s">
        <v>76</v>
      </c>
      <c r="G6593">
        <v>-243.28729999999999</v>
      </c>
      <c r="H6593" s="1">
        <v>-7.3482359999999999E-7</v>
      </c>
      <c r="I6593">
        <v>-61.651820000000001</v>
      </c>
      <c r="J6593">
        <v>-266.46530000000001</v>
      </c>
      <c r="K6593">
        <v>1.1168720000000001</v>
      </c>
      <c r="L6593">
        <v>-61.553310000000003</v>
      </c>
      <c r="M6593">
        <v>0.99106620000000001</v>
      </c>
      <c r="N6593">
        <v>0</v>
      </c>
      <c r="O6593">
        <v>-0.13323689999999999</v>
      </c>
      <c r="P6593">
        <v>0.9915389</v>
      </c>
      <c r="Q6593">
        <v>-2.9262210000000001E-3</v>
      </c>
      <c r="R6593">
        <v>-0.12977549999999999</v>
      </c>
      <c r="S6593">
        <v>3.0249329999999999</v>
      </c>
      <c r="T6593">
        <v>-0.1447136</v>
      </c>
      <c r="U6593">
        <v>-1.538086E-2</v>
      </c>
      <c r="V6593">
        <v>-3.5498539999999999E-3</v>
      </c>
      <c r="W6593">
        <v>2.989589E-3</v>
      </c>
      <c r="X6593">
        <v>0.99998920000000002</v>
      </c>
      <c r="Y6593">
        <v>-0.12790029999999999</v>
      </c>
      <c r="Z6593">
        <v>9.4133350000000001E-3</v>
      </c>
      <c r="AA6593">
        <v>0.99174240000000002</v>
      </c>
      <c r="AB6593">
        <v>36</v>
      </c>
      <c r="AC6593">
        <v>23.178000000000001</v>
      </c>
      <c r="AD6593">
        <v>-1.1168727348235901</v>
      </c>
      <c r="AE6593">
        <v>-9.8509999999997405E-2</v>
      </c>
      <c r="AF6593">
        <v>-2.9836605159595999</v>
      </c>
      <c r="AG6593">
        <v>-1.1168727348235901</v>
      </c>
      <c r="AH6593">
        <v>22.931223496366702</v>
      </c>
      <c r="AI6593">
        <v>92.765134844316506</v>
      </c>
      <c r="AJ6593">
        <v>97.413304003141505</v>
      </c>
      <c r="AK6593">
        <v>23.151471785193401</v>
      </c>
      <c r="AL6593">
        <v>89.828708907458804</v>
      </c>
      <c r="AM6593">
        <v>90.203392994375804</v>
      </c>
      <c r="AN6593">
        <v>0.99999996961122395</v>
      </c>
    </row>
    <row r="6594" spans="1:40" x14ac:dyDescent="0.25">
      <c r="A6594" t="str">
        <f>"20190312154427788"</f>
        <v>20190312154427788</v>
      </c>
      <c r="B6594" t="str">
        <f>"1552376667783887"</f>
        <v>1552376667783887</v>
      </c>
      <c r="C6594" t="s">
        <v>40</v>
      </c>
      <c r="D6594">
        <v>4.7819320000000003</v>
      </c>
      <c r="E6594">
        <v>0.45817920000000001</v>
      </c>
      <c r="F6594" t="s">
        <v>76</v>
      </c>
      <c r="G6594">
        <v>-243.84460000000001</v>
      </c>
      <c r="H6594" s="1">
        <v>-9.5921059999999998E-7</v>
      </c>
      <c r="I6594">
        <v>-61.596620000000001</v>
      </c>
      <c r="J6594">
        <v>-266.2851</v>
      </c>
      <c r="K6594">
        <v>1.1168400000000001</v>
      </c>
      <c r="L6594">
        <v>-61.574620000000003</v>
      </c>
      <c r="M6594">
        <v>0.99162079999999997</v>
      </c>
      <c r="N6594">
        <v>0</v>
      </c>
      <c r="O6594">
        <v>-0.12903999999999999</v>
      </c>
      <c r="P6594">
        <v>0.99212630000000002</v>
      </c>
      <c r="Q6594">
        <v>-2.9660239999999998E-3</v>
      </c>
      <c r="R6594">
        <v>-0.12520680000000001</v>
      </c>
      <c r="S6594">
        <v>3.0244140000000002</v>
      </c>
      <c r="T6594">
        <v>-0.14932719999999999</v>
      </c>
      <c r="U6594">
        <v>-5.7983399999999999E-3</v>
      </c>
      <c r="V6594">
        <v>-3.9236890000000002E-3</v>
      </c>
      <c r="W6594">
        <v>3.0367969999999999E-3</v>
      </c>
      <c r="X6594">
        <v>0.99998770000000003</v>
      </c>
      <c r="Y6594">
        <v>-0.12683</v>
      </c>
      <c r="Z6594">
        <v>9.4830120000000007E-3</v>
      </c>
      <c r="AA6594">
        <v>0.99187910000000001</v>
      </c>
      <c r="AB6594">
        <v>36</v>
      </c>
      <c r="AC6594">
        <v>22.440499999999901</v>
      </c>
      <c r="AD6594">
        <v>-1.1168409592105999</v>
      </c>
      <c r="AE6594">
        <v>-2.1999999999998399E-2</v>
      </c>
      <c r="AF6594">
        <v>-2.8668583765665199</v>
      </c>
      <c r="AG6594">
        <v>-1.1168409592105999</v>
      </c>
      <c r="AH6594">
        <v>22.2007256204536</v>
      </c>
      <c r="AI6594">
        <v>92.856246316201904</v>
      </c>
      <c r="AJ6594">
        <v>97.358087499622997</v>
      </c>
      <c r="AK6594">
        <v>22.412907637210399</v>
      </c>
      <c r="AL6594">
        <v>89.826004082758701</v>
      </c>
      <c r="AM6594">
        <v>90.224812431317702</v>
      </c>
      <c r="AN6594">
        <v>1.0000000088113301</v>
      </c>
    </row>
    <row r="6595" spans="1:40" x14ac:dyDescent="0.25">
      <c r="A6595" t="str">
        <f>"20190312154427799"</f>
        <v>20190312154427799</v>
      </c>
      <c r="B6595" t="str">
        <f>"1552376667794623"</f>
        <v>1552376667794623</v>
      </c>
      <c r="C6595" t="s">
        <v>40</v>
      </c>
      <c r="D6595">
        <v>4.751449</v>
      </c>
      <c r="E6595">
        <v>0.45948060000000002</v>
      </c>
      <c r="F6595" t="s">
        <v>76</v>
      </c>
      <c r="G6595">
        <v>-249.68510000000001</v>
      </c>
      <c r="H6595" s="1">
        <v>-3.4188300000000002E-6</v>
      </c>
      <c r="I6595">
        <v>-61.786700000000003</v>
      </c>
      <c r="J6595">
        <v>-266.10559999999998</v>
      </c>
      <c r="K6595">
        <v>1.1168</v>
      </c>
      <c r="L6595">
        <v>-61.594670000000001</v>
      </c>
      <c r="M6595">
        <v>0.99214480000000005</v>
      </c>
      <c r="N6595">
        <v>0</v>
      </c>
      <c r="O6595">
        <v>-0.1249425</v>
      </c>
      <c r="P6595">
        <v>0.99265250000000005</v>
      </c>
      <c r="Q6595">
        <v>-3.1757740000000001E-3</v>
      </c>
      <c r="R6595">
        <v>-0.1209583</v>
      </c>
      <c r="S6595">
        <v>3.0183719999999998</v>
      </c>
      <c r="T6595">
        <v>-0.20307539999999999</v>
      </c>
      <c r="U6595">
        <v>-3.8574219999999999E-2</v>
      </c>
      <c r="V6595">
        <v>-4.0710329999999999E-3</v>
      </c>
      <c r="W6595">
        <v>2.9061439999999998E-3</v>
      </c>
      <c r="X6595">
        <v>0.99998750000000003</v>
      </c>
      <c r="Y6595">
        <v>-0.1117224</v>
      </c>
      <c r="Z6595">
        <v>1.2132159999999999E-2</v>
      </c>
      <c r="AA6595">
        <v>0.99366540000000003</v>
      </c>
      <c r="AB6595">
        <v>36</v>
      </c>
      <c r="AC6595">
        <v>16.420499999999901</v>
      </c>
      <c r="AD6595">
        <v>-1.11680341882999</v>
      </c>
      <c r="AE6595">
        <v>-0.192030000000009</v>
      </c>
      <c r="AF6595">
        <v>-1.85256388288683</v>
      </c>
      <c r="AG6595">
        <v>-1.11680341882999</v>
      </c>
      <c r="AH6595">
        <v>16.240702045885701</v>
      </c>
      <c r="AI6595">
        <v>93.908525260882001</v>
      </c>
      <c r="AJ6595">
        <v>96.507556013950904</v>
      </c>
      <c r="AK6595">
        <v>16.384127860820701</v>
      </c>
      <c r="AL6595">
        <v>89.833489981354006</v>
      </c>
      <c r="AM6595">
        <v>90.233254636230498</v>
      </c>
      <c r="AN6595">
        <v>1.0000000095694399</v>
      </c>
    </row>
    <row r="6596" spans="1:40" x14ac:dyDescent="0.25">
      <c r="A6596" t="str">
        <f>"20190312154427812"</f>
        <v>20190312154427812</v>
      </c>
      <c r="B6596" t="str">
        <f>"1552376667804383"</f>
        <v>1552376667804383</v>
      </c>
      <c r="C6596" t="s">
        <v>40</v>
      </c>
      <c r="D6596">
        <v>4.7773899999999996</v>
      </c>
      <c r="E6596">
        <v>0.46051760000000003</v>
      </c>
      <c r="F6596" t="s">
        <v>76</v>
      </c>
      <c r="G6596">
        <v>-248.8964</v>
      </c>
      <c r="H6596" s="1">
        <v>-3.153079E-6</v>
      </c>
      <c r="I6596">
        <v>-61.801569999999998</v>
      </c>
      <c r="J6596">
        <v>-265.92399999999998</v>
      </c>
      <c r="K6596">
        <v>1.1167579999999999</v>
      </c>
      <c r="L6596">
        <v>-61.614530000000002</v>
      </c>
      <c r="M6596">
        <v>0.99265380000000003</v>
      </c>
      <c r="N6596">
        <v>0</v>
      </c>
      <c r="O6596">
        <v>-0.120828</v>
      </c>
      <c r="P6596">
        <v>0.99316360000000004</v>
      </c>
      <c r="Q6596">
        <v>-3.1660799999999999E-3</v>
      </c>
      <c r="R6596">
        <v>-0.1166884</v>
      </c>
      <c r="S6596">
        <v>3.0171510000000001</v>
      </c>
      <c r="T6596">
        <v>-0.19580049999999999</v>
      </c>
      <c r="U6596">
        <v>-3.6285400000000002E-2</v>
      </c>
      <c r="V6596">
        <v>-4.2274319999999997E-3</v>
      </c>
      <c r="W6596">
        <v>2.9929280000000002E-3</v>
      </c>
      <c r="X6596">
        <v>0.99998659999999995</v>
      </c>
      <c r="Y6596">
        <v>-0.10840320000000001</v>
      </c>
      <c r="Z6596">
        <v>1.1330669999999999E-2</v>
      </c>
      <c r="AA6596">
        <v>0.99404250000000005</v>
      </c>
      <c r="AB6596">
        <v>36</v>
      </c>
      <c r="AC6596">
        <v>17.0276</v>
      </c>
      <c r="AD6596">
        <v>-1.11676115307899</v>
      </c>
      <c r="AE6596">
        <v>-0.18703999999999599</v>
      </c>
      <c r="AF6596">
        <v>-1.8637655066152099</v>
      </c>
      <c r="AG6596">
        <v>-1.11676115307899</v>
      </c>
      <c r="AH6596">
        <v>16.852958579206799</v>
      </c>
      <c r="AI6596">
        <v>93.768255490946103</v>
      </c>
      <c r="AJ6596">
        <v>96.3106860201747</v>
      </c>
      <c r="AK6596">
        <v>16.992439207163098</v>
      </c>
      <c r="AL6596">
        <v>89.828517603685199</v>
      </c>
      <c r="AM6596">
        <v>90.242215814563707</v>
      </c>
      <c r="AN6596">
        <v>1.0000000144894401</v>
      </c>
    </row>
    <row r="6597" spans="1:40" x14ac:dyDescent="0.25">
      <c r="A6597" t="str">
        <f>"20190312154427821"</f>
        <v>20190312154427821</v>
      </c>
      <c r="B6597" t="str">
        <f>"1552376667814143"</f>
        <v>1552376667814143</v>
      </c>
      <c r="C6597" t="s">
        <v>40</v>
      </c>
      <c r="D6597">
        <v>4.7836019999999904</v>
      </c>
      <c r="E6597">
        <v>0.46132509999999999</v>
      </c>
      <c r="F6597" t="s">
        <v>76</v>
      </c>
      <c r="G6597">
        <v>-248.33690000000001</v>
      </c>
      <c r="H6597" s="1">
        <v>-2.9401710000000001E-6</v>
      </c>
      <c r="I6597">
        <v>-61.7988199999999</v>
      </c>
      <c r="J6597">
        <v>-265.75709999999998</v>
      </c>
      <c r="K6597">
        <v>1.1167210000000001</v>
      </c>
      <c r="L6597">
        <v>-61.63205</v>
      </c>
      <c r="M6597">
        <v>0.99309990000000004</v>
      </c>
      <c r="N6597">
        <v>0</v>
      </c>
      <c r="O6597">
        <v>-0.1171012</v>
      </c>
      <c r="P6597">
        <v>0.99359160000000002</v>
      </c>
      <c r="Q6597">
        <v>-3.32673E-3</v>
      </c>
      <c r="R6597">
        <v>-0.11298130000000001</v>
      </c>
      <c r="S6597">
        <v>3.0163570000000002</v>
      </c>
      <c r="T6597">
        <v>-0.19153510000000001</v>
      </c>
      <c r="U6597">
        <v>-3.1616209999999999E-2</v>
      </c>
      <c r="V6597">
        <v>-4.2035909999999996E-3</v>
      </c>
      <c r="W6597">
        <v>2.9004220000000002E-3</v>
      </c>
      <c r="X6597">
        <v>0.99998690000000001</v>
      </c>
      <c r="Y6597">
        <v>-0.1062394</v>
      </c>
      <c r="Z6597">
        <v>1.0783829999999999E-2</v>
      </c>
      <c r="AA6597">
        <v>0.99428209999999995</v>
      </c>
      <c r="AB6597">
        <v>36</v>
      </c>
      <c r="AC6597">
        <v>17.420199999999902</v>
      </c>
      <c r="AD6597">
        <v>-1.1167239401710001</v>
      </c>
      <c r="AE6597">
        <v>-0.16676999999999201</v>
      </c>
      <c r="AF6597">
        <v>-1.8666741145796799</v>
      </c>
      <c r="AG6597">
        <v>-1.1167239401710001</v>
      </c>
      <c r="AH6597">
        <v>17.248995695573502</v>
      </c>
      <c r="AI6597">
        <v>93.682795839084093</v>
      </c>
      <c r="AJ6597">
        <v>96.1764718369284</v>
      </c>
      <c r="AK6597">
        <v>17.3856089083618</v>
      </c>
      <c r="AL6597">
        <v>89.833817817854097</v>
      </c>
      <c r="AM6597">
        <v>90.240849759599797</v>
      </c>
      <c r="AN6597">
        <v>0.99999994139833903</v>
      </c>
    </row>
    <row r="6598" spans="1:40" x14ac:dyDescent="0.25">
      <c r="A6598" t="str">
        <f>"20190312154427833"</f>
        <v>20190312154427833</v>
      </c>
      <c r="B6598" t="str">
        <f>"1552376667823903"</f>
        <v>1552376667823903</v>
      </c>
      <c r="C6598" t="s">
        <v>40</v>
      </c>
      <c r="D6598">
        <v>4.8324150000000001</v>
      </c>
      <c r="E6598">
        <v>0.46207530000000002</v>
      </c>
      <c r="F6598" t="s">
        <v>76</v>
      </c>
      <c r="G6598">
        <v>-248.04089999999999</v>
      </c>
      <c r="H6598" s="1">
        <v>-2.8106939999999999E-6</v>
      </c>
      <c r="I6598">
        <v>-61.789389999999997</v>
      </c>
      <c r="J6598">
        <v>-265.57929999999999</v>
      </c>
      <c r="K6598">
        <v>1.1166830000000001</v>
      </c>
      <c r="L6598">
        <v>-61.650120000000001</v>
      </c>
      <c r="M6598">
        <v>0.99355479999999996</v>
      </c>
      <c r="N6598">
        <v>0</v>
      </c>
      <c r="O6598">
        <v>-0.1131733</v>
      </c>
      <c r="P6598">
        <v>0.99401519999999999</v>
      </c>
      <c r="Q6598">
        <v>-2.9381099999999999E-3</v>
      </c>
      <c r="R6598">
        <v>-0.1092032</v>
      </c>
      <c r="S6598">
        <v>3.0156860000000001</v>
      </c>
      <c r="T6598">
        <v>-0.19009029999999999</v>
      </c>
      <c r="U6598">
        <v>-2.6794430000000001E-2</v>
      </c>
      <c r="V6598">
        <v>-4.0591059999999998E-3</v>
      </c>
      <c r="W6598">
        <v>3.3591369999999999E-3</v>
      </c>
      <c r="X6598">
        <v>0.99998609999999999</v>
      </c>
      <c r="Y6598">
        <v>-0.10391359999999999</v>
      </c>
      <c r="Z6598">
        <v>1.0386019999999999E-2</v>
      </c>
      <c r="AA6598">
        <v>0.99453210000000003</v>
      </c>
      <c r="AB6598">
        <v>36</v>
      </c>
      <c r="AC6598">
        <v>17.5383999999999</v>
      </c>
      <c r="AD6598">
        <v>-1.1166858106940001</v>
      </c>
      <c r="AE6598">
        <v>-0.13927000000001</v>
      </c>
      <c r="AF6598">
        <v>-1.8390886055487501</v>
      </c>
      <c r="AG6598">
        <v>-1.1166858106940001</v>
      </c>
      <c r="AH6598">
        <v>17.3710602061314</v>
      </c>
      <c r="AI6598">
        <v>93.657769721948</v>
      </c>
      <c r="AJ6598">
        <v>96.043439407260095</v>
      </c>
      <c r="AK6598">
        <v>17.503798638692899</v>
      </c>
      <c r="AL6598">
        <v>89.807535261319998</v>
      </c>
      <c r="AM6598">
        <v>90.2325715978196</v>
      </c>
      <c r="AN6598">
        <v>0.99999998016805602</v>
      </c>
    </row>
    <row r="6599" spans="1:40" x14ac:dyDescent="0.25">
      <c r="A6599" t="str">
        <f>"20190312154427845"</f>
        <v>20190312154427845</v>
      </c>
      <c r="B6599" t="str">
        <f>"1552376667834639"</f>
        <v>1552376667834639</v>
      </c>
      <c r="C6599" t="s">
        <v>40</v>
      </c>
      <c r="D6599">
        <v>4.8011980000000003</v>
      </c>
      <c r="E6599">
        <v>0.46281319999999998</v>
      </c>
      <c r="F6599" t="s">
        <v>76</v>
      </c>
      <c r="G6599">
        <v>-247.56440000000001</v>
      </c>
      <c r="H6599" s="1">
        <v>-2.6029589999999998E-6</v>
      </c>
      <c r="I6599">
        <v>-61.776960000000003</v>
      </c>
      <c r="J6599">
        <v>-265.39819999999997</v>
      </c>
      <c r="K6599">
        <v>1.116644</v>
      </c>
      <c r="L6599">
        <v>-61.667909999999999</v>
      </c>
      <c r="M6599">
        <v>0.99399769999999998</v>
      </c>
      <c r="N6599">
        <v>0</v>
      </c>
      <c r="O6599">
        <v>-0.1092123</v>
      </c>
      <c r="P6599">
        <v>0.99443979999999998</v>
      </c>
      <c r="Q6599">
        <v>-2.6741120000000002E-3</v>
      </c>
      <c r="R6599">
        <v>-0.1052742</v>
      </c>
      <c r="S6599">
        <v>3.0151669999999999</v>
      </c>
      <c r="T6599">
        <v>-0.18690000000000001</v>
      </c>
      <c r="U6599">
        <v>-2.1240229999999999E-2</v>
      </c>
      <c r="V6599">
        <v>-4.0309689999999997E-3</v>
      </c>
      <c r="W6599">
        <v>3.6895830000000002E-3</v>
      </c>
      <c r="X6599">
        <v>0.99998500000000001</v>
      </c>
      <c r="Y6599">
        <v>-0.1018054</v>
      </c>
      <c r="Z6599">
        <v>9.9046840000000004E-3</v>
      </c>
      <c r="AA6599">
        <v>0.99475499999999994</v>
      </c>
      <c r="AB6599">
        <v>36</v>
      </c>
      <c r="AC6599">
        <v>17.833799999999901</v>
      </c>
      <c r="AD6599">
        <v>-1.1166466029590001</v>
      </c>
      <c r="AE6599">
        <v>-0.109049999999996</v>
      </c>
      <c r="AF6599">
        <v>-1.8321301639638301</v>
      </c>
      <c r="AG6599">
        <v>-1.1166466029590001</v>
      </c>
      <c r="AH6599">
        <v>17.669759556619798</v>
      </c>
      <c r="AI6599">
        <v>93.596786211047998</v>
      </c>
      <c r="AJ6599">
        <v>95.919692466187101</v>
      </c>
      <c r="AK6599">
        <v>17.7995506505743</v>
      </c>
      <c r="AL6599">
        <v>89.788601971716304</v>
      </c>
      <c r="AM6599">
        <v>90.230959724497893</v>
      </c>
      <c r="AN6599">
        <v>0.99999993097939399</v>
      </c>
    </row>
    <row r="6600" spans="1:40" x14ac:dyDescent="0.25">
      <c r="A6600" t="str">
        <f>"20190312154427858"</f>
        <v>20190312154427858</v>
      </c>
      <c r="B6600" t="str">
        <f>"1552376667854159"</f>
        <v>1552376667854159</v>
      </c>
      <c r="C6600" t="s">
        <v>40</v>
      </c>
      <c r="D6600">
        <v>4.798578</v>
      </c>
      <c r="E6600">
        <v>0.46352759999999998</v>
      </c>
      <c r="F6600" t="s">
        <v>76</v>
      </c>
      <c r="G6600">
        <v>-247.0779</v>
      </c>
      <c r="H6600" s="1">
        <v>-2.3895900000000001E-6</v>
      </c>
      <c r="I6600">
        <v>-61.759459999999997</v>
      </c>
      <c r="J6600">
        <v>-265.20280000000002</v>
      </c>
      <c r="K6600">
        <v>1.1166049999999901</v>
      </c>
      <c r="L6600">
        <v>-61.686129999999999</v>
      </c>
      <c r="M6600">
        <v>0.99445039999999996</v>
      </c>
      <c r="N6600">
        <v>0</v>
      </c>
      <c r="O6600">
        <v>-0.1050055</v>
      </c>
      <c r="P6600">
        <v>0.9948283</v>
      </c>
      <c r="Q6600">
        <v>-2.3147829999999999E-3</v>
      </c>
      <c r="R6600">
        <v>-0.101545</v>
      </c>
      <c r="S6600">
        <v>3.0146480000000002</v>
      </c>
      <c r="T6600">
        <v>-0.1837461</v>
      </c>
      <c r="U6600">
        <v>-1.5075679999999999E-2</v>
      </c>
      <c r="V6600">
        <v>-3.556516E-3</v>
      </c>
      <c r="W6600">
        <v>4.1220709999999997E-3</v>
      </c>
      <c r="X6600">
        <v>0.99998520000000002</v>
      </c>
      <c r="Y6600">
        <v>-9.9654060000000003E-2</v>
      </c>
      <c r="Z6600">
        <v>9.4192470000000004E-3</v>
      </c>
      <c r="AA6600">
        <v>0.99497749999999996</v>
      </c>
      <c r="AB6600">
        <v>36</v>
      </c>
      <c r="AC6600">
        <v>18.1249</v>
      </c>
      <c r="AD6600">
        <v>-1.1166073895899999</v>
      </c>
      <c r="AE6600">
        <v>-7.3329999999991402E-2</v>
      </c>
      <c r="AF6600">
        <v>-1.8234094716164</v>
      </c>
      <c r="AG6600">
        <v>-1.1166073895899999</v>
      </c>
      <c r="AH6600">
        <v>17.964215973418</v>
      </c>
      <c r="AI6600">
        <v>93.5386402796493</v>
      </c>
      <c r="AJ6600">
        <v>95.795804351984899</v>
      </c>
      <c r="AK6600">
        <v>18.091011295758801</v>
      </c>
      <c r="AL6600">
        <v>89.763822064790403</v>
      </c>
      <c r="AM6600">
        <v>90.203775513266194</v>
      </c>
      <c r="AN6600">
        <v>1.0000000202472099</v>
      </c>
    </row>
    <row r="6601" spans="1:40" x14ac:dyDescent="0.25">
      <c r="A6601" t="str">
        <f>"20190312154427870"</f>
        <v>20190312154427870</v>
      </c>
      <c r="B6601" t="str">
        <f>"1552376667863919"</f>
        <v>1552376667863919</v>
      </c>
      <c r="C6601" t="s">
        <v>40</v>
      </c>
      <c r="D6601">
        <v>4.8268750000000002</v>
      </c>
      <c r="E6601">
        <v>0.47010279999999999</v>
      </c>
      <c r="F6601" t="s">
        <v>76</v>
      </c>
      <c r="G6601">
        <v>-246.70500000000001</v>
      </c>
      <c r="H6601" s="1">
        <v>-2.2253440000000001E-6</v>
      </c>
      <c r="I6601">
        <v>-61.743369999999999</v>
      </c>
      <c r="J6601">
        <v>-265.00510000000003</v>
      </c>
      <c r="K6601">
        <v>1.116563</v>
      </c>
      <c r="L6601">
        <v>-61.704039999999999</v>
      </c>
      <c r="M6601">
        <v>0.99488710000000002</v>
      </c>
      <c r="N6601">
        <v>0</v>
      </c>
      <c r="O6601">
        <v>-0.1007798</v>
      </c>
      <c r="P6601">
        <v>0.99520399999999998</v>
      </c>
      <c r="Q6601">
        <v>-1.5611869999999999E-3</v>
      </c>
      <c r="R6601">
        <v>-9.780788E-2</v>
      </c>
      <c r="S6601">
        <v>3.014221</v>
      </c>
      <c r="T6601">
        <v>-0.1819509</v>
      </c>
      <c r="U6601">
        <v>-9.3383790000000008E-3</v>
      </c>
      <c r="V6601">
        <v>-3.078721E-3</v>
      </c>
      <c r="W6601">
        <v>4.947468E-3</v>
      </c>
      <c r="X6601">
        <v>0.99998299999999996</v>
      </c>
      <c r="Y6601">
        <v>-9.7339079999999994E-2</v>
      </c>
      <c r="Z6601">
        <v>9.0052919999999998E-3</v>
      </c>
      <c r="AA6601">
        <v>0.9952105</v>
      </c>
      <c r="AB6601">
        <v>36</v>
      </c>
      <c r="AC6601">
        <v>18.3001</v>
      </c>
      <c r="AD6601">
        <v>-1.1165652253439999</v>
      </c>
      <c r="AE6601">
        <v>-3.9329999999999601E-2</v>
      </c>
      <c r="AF6601">
        <v>-1.79849512504922</v>
      </c>
      <c r="AG6601">
        <v>-1.1165652253439999</v>
      </c>
      <c r="AH6601">
        <v>18.143347019166399</v>
      </c>
      <c r="AI6601">
        <v>93.5044830035838</v>
      </c>
      <c r="AJ6601">
        <v>95.661063532981899</v>
      </c>
      <c r="AK6601">
        <v>18.266426680529701</v>
      </c>
      <c r="AL6601">
        <v>89.716529801677794</v>
      </c>
      <c r="AM6601">
        <v>90.176400161055298</v>
      </c>
      <c r="AN6601">
        <v>0.99999997812580299</v>
      </c>
    </row>
    <row r="6602" spans="1:40" x14ac:dyDescent="0.25">
      <c r="A6602" t="str">
        <f>"20190312154427881"</f>
        <v>20190312154427881</v>
      </c>
      <c r="B6602" t="str">
        <f>"1552376667873679"</f>
        <v>1552376667873679</v>
      </c>
      <c r="C6602" t="s">
        <v>40</v>
      </c>
      <c r="D6602">
        <v>4.8335280000000003</v>
      </c>
      <c r="E6602">
        <v>0.47075650000000002</v>
      </c>
      <c r="F6602" t="s">
        <v>76</v>
      </c>
      <c r="G6602">
        <v>-244.19460000000001</v>
      </c>
      <c r="H6602" s="1">
        <v>-1.2313730000000001E-6</v>
      </c>
      <c r="I6602">
        <v>-62.055160000000001</v>
      </c>
      <c r="J6602">
        <v>-264.81670000000003</v>
      </c>
      <c r="K6602">
        <v>1.1165309999999999</v>
      </c>
      <c r="L6602">
        <v>-61.720059999999997</v>
      </c>
      <c r="M6602">
        <v>0.99528039999999995</v>
      </c>
      <c r="N6602">
        <v>0</v>
      </c>
      <c r="O6602">
        <v>-9.6815219999999994E-2</v>
      </c>
      <c r="P6602">
        <v>0.99551509999999999</v>
      </c>
      <c r="Q6602">
        <v>-1.087137E-3</v>
      </c>
      <c r="R6602">
        <v>-9.4596749999999993E-2</v>
      </c>
      <c r="S6602">
        <v>3.0091860000000001</v>
      </c>
      <c r="T6602">
        <v>-0.16145470000000001</v>
      </c>
      <c r="U6602">
        <v>-5.078125E-2</v>
      </c>
      <c r="V6602">
        <v>-2.3296139999999998E-3</v>
      </c>
      <c r="W6602">
        <v>5.4891469999999998E-3</v>
      </c>
      <c r="X6602">
        <v>0.99998220000000004</v>
      </c>
      <c r="Y6602">
        <v>-7.9756339999999995E-2</v>
      </c>
      <c r="Z6602">
        <v>7.3212889999999999E-3</v>
      </c>
      <c r="AA6602">
        <v>0.99678750000000005</v>
      </c>
      <c r="AB6602">
        <v>36</v>
      </c>
      <c r="AC6602">
        <v>20.6221</v>
      </c>
      <c r="AD6602">
        <v>-1.116532231373</v>
      </c>
      <c r="AE6602">
        <v>-0.33510000000000401</v>
      </c>
      <c r="AF6602">
        <v>-1.6581914983657799</v>
      </c>
      <c r="AG6602">
        <v>-1.116532231373</v>
      </c>
      <c r="AH6602">
        <v>20.49759328903</v>
      </c>
      <c r="AI6602">
        <v>93.107766476310005</v>
      </c>
      <c r="AJ6602">
        <v>94.624978683929996</v>
      </c>
      <c r="AK6602">
        <v>20.5948433815709</v>
      </c>
      <c r="AL6602">
        <v>89.685493457793399</v>
      </c>
      <c r="AM6602">
        <v>90.133479184551703</v>
      </c>
      <c r="AN6602">
        <v>0.99999997907650795</v>
      </c>
    </row>
    <row r="6603" spans="1:40" x14ac:dyDescent="0.25">
      <c r="A6603" t="str">
        <f>"20190312154427894"</f>
        <v>20190312154427894</v>
      </c>
      <c r="B6603" t="str">
        <f>"1552376667884414"</f>
        <v>1552376667884414</v>
      </c>
      <c r="C6603" t="s">
        <v>40</v>
      </c>
      <c r="D6603">
        <v>4.8253219999999999</v>
      </c>
      <c r="E6603">
        <v>0.47134720000000002</v>
      </c>
      <c r="F6603" t="s">
        <v>76</v>
      </c>
      <c r="G6603">
        <v>-244.1918</v>
      </c>
      <c r="H6603" s="1">
        <v>-1.2250769999999999E-6</v>
      </c>
      <c r="I6603">
        <v>-62.036070000000002</v>
      </c>
      <c r="J6603">
        <v>-264.62169999999998</v>
      </c>
      <c r="K6603">
        <v>1.116498</v>
      </c>
      <c r="L6603">
        <v>-61.735990000000001</v>
      </c>
      <c r="M6603">
        <v>0.99566779999999999</v>
      </c>
      <c r="N6603">
        <v>0</v>
      </c>
      <c r="O6603">
        <v>-9.2742279999999996E-2</v>
      </c>
      <c r="P6603">
        <v>0.99581960000000003</v>
      </c>
      <c r="Q6603">
        <v>-8.508395E-4</v>
      </c>
      <c r="R6603">
        <v>-9.1337520000000005E-2</v>
      </c>
      <c r="S6603">
        <v>3.0090029999999999</v>
      </c>
      <c r="T6603">
        <v>-0.16289279999999901</v>
      </c>
      <c r="U6603">
        <v>-4.6112060000000003E-2</v>
      </c>
      <c r="V6603">
        <v>-1.517095E-3</v>
      </c>
      <c r="W6603">
        <v>5.7938410000000001E-3</v>
      </c>
      <c r="X6603">
        <v>0.99998209999999998</v>
      </c>
      <c r="Y6603">
        <v>-7.7228169999999999E-2</v>
      </c>
      <c r="Z6603">
        <v>7.0991800000000001E-3</v>
      </c>
      <c r="AA6603">
        <v>0.99698819999999999</v>
      </c>
      <c r="AB6603">
        <v>36</v>
      </c>
      <c r="AC6603">
        <v>20.4298999999999</v>
      </c>
      <c r="AD6603">
        <v>-1.1164992250770001</v>
      </c>
      <c r="AE6603">
        <v>-0.30007999999999402</v>
      </c>
      <c r="AF6603">
        <v>-1.59121963327859</v>
      </c>
      <c r="AG6603">
        <v>-1.1164992250770001</v>
      </c>
      <c r="AH6603">
        <v>20.309034038174001</v>
      </c>
      <c r="AI6603">
        <v>93.137101415494996</v>
      </c>
      <c r="AJ6603">
        <v>94.479991294296994</v>
      </c>
      <c r="AK6603">
        <v>20.401848298736098</v>
      </c>
      <c r="AL6603">
        <v>89.668035517949306</v>
      </c>
      <c r="AM6603">
        <v>90.086924629882205</v>
      </c>
      <c r="AN6603">
        <v>1.00000003524559</v>
      </c>
    </row>
    <row r="6604" spans="1:40" x14ac:dyDescent="0.25">
      <c r="A6604" t="str">
        <f>"20190312154427904"</f>
        <v>20190312154427904</v>
      </c>
      <c r="B6604" t="str">
        <f>"1552376667894175"</f>
        <v>1552376667894175</v>
      </c>
      <c r="C6604" t="s">
        <v>40</v>
      </c>
      <c r="D6604">
        <v>4.8232140000000001</v>
      </c>
      <c r="E6604">
        <v>0.471833</v>
      </c>
      <c r="F6604" t="s">
        <v>76</v>
      </c>
      <c r="G6604">
        <v>-244.14519999999999</v>
      </c>
      <c r="H6604" s="1">
        <v>-1.199142E-6</v>
      </c>
      <c r="I6604">
        <v>-62.013620000000003</v>
      </c>
      <c r="J6604">
        <v>-264.43979999999999</v>
      </c>
      <c r="K6604">
        <v>1.1164719999999999</v>
      </c>
      <c r="L6604">
        <v>-61.750269999999901</v>
      </c>
      <c r="M6604">
        <v>0.99601150000000005</v>
      </c>
      <c r="N6604">
        <v>0</v>
      </c>
      <c r="O6604">
        <v>-8.8971919999999996E-2</v>
      </c>
      <c r="P6604">
        <v>0.99608730000000001</v>
      </c>
      <c r="Q6604">
        <v>-6.9397130000000003E-4</v>
      </c>
      <c r="R6604">
        <v>-8.8373279999999999E-2</v>
      </c>
      <c r="S6604">
        <v>3.0086979999999999</v>
      </c>
      <c r="T6604">
        <v>-0.16405239999999999</v>
      </c>
      <c r="U6604">
        <v>-4.0801999999999998E-2</v>
      </c>
      <c r="V6604">
        <v>-7.1077649999999896E-4</v>
      </c>
      <c r="W6604">
        <v>6.012229E-3</v>
      </c>
      <c r="X6604">
        <v>0.99998169999999997</v>
      </c>
      <c r="Y6604">
        <v>-7.5215920000000006E-2</v>
      </c>
      <c r="Z6604">
        <v>6.8910209999999998E-3</v>
      </c>
      <c r="AA6604">
        <v>0.99714340000000001</v>
      </c>
      <c r="AB6604">
        <v>36</v>
      </c>
      <c r="AC6604">
        <v>20.294599999999999</v>
      </c>
      <c r="AD6604">
        <v>-1.1164731991419901</v>
      </c>
      <c r="AE6604">
        <v>-0.26335000000000203</v>
      </c>
      <c r="AF6604">
        <v>-1.5387285709043901</v>
      </c>
      <c r="AG6604">
        <v>-1.1164731991419901</v>
      </c>
      <c r="AH6604">
        <v>20.176488845894799</v>
      </c>
      <c r="AI6604">
        <v>93.158100322865906</v>
      </c>
      <c r="AJ6604">
        <v>94.361131724614395</v>
      </c>
      <c r="AK6604">
        <v>20.265855525189099</v>
      </c>
      <c r="AL6604">
        <v>89.6555225865458</v>
      </c>
      <c r="AM6604">
        <v>90.040725232040501</v>
      </c>
      <c r="AN6604">
        <v>1.0000000262178299</v>
      </c>
    </row>
    <row r="6605" spans="1:40" x14ac:dyDescent="0.25">
      <c r="A6605" t="str">
        <f>"20190312154427915"</f>
        <v>20190312154427915</v>
      </c>
      <c r="B6605" t="str">
        <f>"1552376667903936"</f>
        <v>1552376667903936</v>
      </c>
      <c r="C6605" t="s">
        <v>40</v>
      </c>
      <c r="D6605">
        <v>4.8190989999999996</v>
      </c>
      <c r="E6605">
        <v>0.47221410000000003</v>
      </c>
      <c r="F6605" t="s">
        <v>76</v>
      </c>
      <c r="G6605">
        <v>-244.0377</v>
      </c>
      <c r="H6605" s="1">
        <v>-1.1470829999999999E-6</v>
      </c>
      <c r="I6605">
        <v>-61.991309999999999</v>
      </c>
      <c r="J6605">
        <v>-264.27260000000001</v>
      </c>
      <c r="K6605">
        <v>1.1164559999999999</v>
      </c>
      <c r="L6605">
        <v>-61.762569999999997</v>
      </c>
      <c r="M6605">
        <v>0.99631210000000003</v>
      </c>
      <c r="N6605">
        <v>0</v>
      </c>
      <c r="O6605">
        <v>-8.5536940000000006E-2</v>
      </c>
      <c r="P6605">
        <v>0.99631599999999998</v>
      </c>
      <c r="Q6605">
        <v>-7.4088949999999995E-4</v>
      </c>
      <c r="R6605">
        <v>-8.5754689999999995E-2</v>
      </c>
      <c r="S6605">
        <v>3.0085449999999998</v>
      </c>
      <c r="T6605">
        <v>-0.16463839999999999</v>
      </c>
      <c r="U6605">
        <v>-3.5552979999999998E-2</v>
      </c>
      <c r="V6605">
        <v>1.094052E-4</v>
      </c>
      <c r="W6605">
        <v>6.0208120000000004E-3</v>
      </c>
      <c r="X6605">
        <v>0.99998189999999998</v>
      </c>
      <c r="Y6605">
        <v>-7.3522050000000005E-2</v>
      </c>
      <c r="Z6605">
        <v>6.6825679999999998E-3</v>
      </c>
      <c r="AA6605">
        <v>0.99727120000000002</v>
      </c>
      <c r="AB6605">
        <v>36</v>
      </c>
      <c r="AC6605">
        <v>20.2349</v>
      </c>
      <c r="AD6605">
        <v>-1.11645714708299</v>
      </c>
      <c r="AE6605">
        <v>-0.228740000000001</v>
      </c>
      <c r="AF6605">
        <v>-1.49840832472745</v>
      </c>
      <c r="AG6605">
        <v>-1.11645714708299</v>
      </c>
      <c r="AH6605">
        <v>20.119061998403598</v>
      </c>
      <c r="AI6605">
        <v>93.167474052160401</v>
      </c>
      <c r="AJ6605">
        <v>94.259356764973404</v>
      </c>
      <c r="AK6605">
        <v>20.2056516787876</v>
      </c>
      <c r="AL6605">
        <v>89.655030809713693</v>
      </c>
      <c r="AM6605">
        <v>89.993731430347097</v>
      </c>
      <c r="AN6605">
        <v>1.00000003123712</v>
      </c>
    </row>
    <row r="6606" spans="1:40" x14ac:dyDescent="0.25">
      <c r="A6606" t="str">
        <f>"20190312154427926"</f>
        <v>20190312154427926</v>
      </c>
      <c r="B6606" t="str">
        <f>"1552376667913695"</f>
        <v>1552376667913695</v>
      </c>
      <c r="C6606" t="s">
        <v>40</v>
      </c>
      <c r="D6606">
        <v>4.8269549999999999</v>
      </c>
      <c r="E6606">
        <v>0.47265600000000002</v>
      </c>
      <c r="F6606" t="s">
        <v>76</v>
      </c>
      <c r="G6606">
        <v>-244.2706</v>
      </c>
      <c r="H6606" s="1">
        <v>-1.239939E-6</v>
      </c>
      <c r="I6606">
        <v>-61.96481</v>
      </c>
      <c r="J6606">
        <v>-264.09949999999998</v>
      </c>
      <c r="K6606">
        <v>1.1164339999999999</v>
      </c>
      <c r="L6606">
        <v>-61.775019999999998</v>
      </c>
      <c r="M6606">
        <v>0.99660979999999999</v>
      </c>
      <c r="N6606">
        <v>0</v>
      </c>
      <c r="O6606">
        <v>-8.1991699999999904E-2</v>
      </c>
      <c r="P6606">
        <v>0.99653080000000005</v>
      </c>
      <c r="Q6606">
        <v>-6.7487169999999998E-4</v>
      </c>
      <c r="R6606">
        <v>-8.322156E-2</v>
      </c>
      <c r="S6606">
        <v>3.0083310000000001</v>
      </c>
      <c r="T6606">
        <v>-0.1679175</v>
      </c>
      <c r="U6606">
        <v>-3.042603E-2</v>
      </c>
      <c r="V6606">
        <v>1.1233110000000001E-3</v>
      </c>
      <c r="W6606">
        <v>6.1457409999999997E-3</v>
      </c>
      <c r="X6606">
        <v>0.99998050000000005</v>
      </c>
      <c r="Y6606">
        <v>-7.1671170000000006E-2</v>
      </c>
      <c r="Z6606">
        <v>6.567313E-3</v>
      </c>
      <c r="AA6606">
        <v>0.99740669999999998</v>
      </c>
      <c r="AB6606">
        <v>36</v>
      </c>
      <c r="AC6606">
        <v>19.828899999999901</v>
      </c>
      <c r="AD6606">
        <v>-1.1164352399389901</v>
      </c>
      <c r="AE6606">
        <v>-0.18979000000000201</v>
      </c>
      <c r="AF6606">
        <v>-1.4321522655199299</v>
      </c>
      <c r="AG6606">
        <v>-1.1164352399389901</v>
      </c>
      <c r="AH6606">
        <v>19.715201822084101</v>
      </c>
      <c r="AI6606">
        <v>93.232592399424504</v>
      </c>
      <c r="AJ6606">
        <v>94.154783864055204</v>
      </c>
      <c r="AK6606">
        <v>19.7986532532422</v>
      </c>
      <c r="AL6606">
        <v>89.647872767741006</v>
      </c>
      <c r="AM6606">
        <v>89.935637792628199</v>
      </c>
      <c r="AN6606">
        <v>1.0000000161701399</v>
      </c>
    </row>
    <row r="6607" spans="1:40" x14ac:dyDescent="0.25">
      <c r="A6607" t="str">
        <f>"20190312154427937"</f>
        <v>20190312154427937</v>
      </c>
      <c r="B6607" t="str">
        <f>"1552376667924431"</f>
        <v>1552376667924431</v>
      </c>
      <c r="C6607" t="s">
        <v>40</v>
      </c>
      <c r="D6607">
        <v>4.808414</v>
      </c>
      <c r="E6607">
        <v>0.47272069999999999</v>
      </c>
      <c r="F6607" t="s">
        <v>76</v>
      </c>
      <c r="G6607">
        <v>-244.25</v>
      </c>
      <c r="H6607" s="1">
        <v>-1.226546E-6</v>
      </c>
      <c r="I6607">
        <v>-61.947740000000003</v>
      </c>
      <c r="J6607">
        <v>-263.93880000000001</v>
      </c>
      <c r="K6607">
        <v>1.1164190000000001</v>
      </c>
      <c r="L6607">
        <v>-61.785710000000002</v>
      </c>
      <c r="M6607">
        <v>0.9968728</v>
      </c>
      <c r="N6607">
        <v>0</v>
      </c>
      <c r="O6607">
        <v>-7.8725909999999996E-2</v>
      </c>
      <c r="P6607">
        <v>0.99673160000000005</v>
      </c>
      <c r="Q6607">
        <v>-7.6743959999999996E-4</v>
      </c>
      <c r="R6607">
        <v>-8.0779110000000001E-2</v>
      </c>
      <c r="S6607">
        <v>3.0081479999999998</v>
      </c>
      <c r="T6607">
        <v>-0.16919339999999999</v>
      </c>
      <c r="U6607">
        <v>-2.6184079999999998E-2</v>
      </c>
      <c r="V6607">
        <v>1.9502320000000001E-3</v>
      </c>
      <c r="W6607">
        <v>6.1023500000000003E-3</v>
      </c>
      <c r="X6607">
        <v>0.99997950000000002</v>
      </c>
      <c r="Y6607">
        <v>-6.9813230000000004E-2</v>
      </c>
      <c r="Z6607">
        <v>6.3823830000000002E-3</v>
      </c>
      <c r="AA6607">
        <v>0.99753959999999997</v>
      </c>
      <c r="AB6607">
        <v>36</v>
      </c>
      <c r="AC6607">
        <v>19.688800000000001</v>
      </c>
      <c r="AD6607">
        <v>-1.1164202265459999</v>
      </c>
      <c r="AE6607">
        <v>-0.162030000000008</v>
      </c>
      <c r="AF6607">
        <v>-1.38407804725447</v>
      </c>
      <c r="AG6607">
        <v>-1.1164202265459999</v>
      </c>
      <c r="AH6607">
        <v>19.5775026292863</v>
      </c>
      <c r="AI6607">
        <v>93.255686998813403</v>
      </c>
      <c r="AJ6607">
        <v>94.043932820947404</v>
      </c>
      <c r="AK6607">
        <v>19.658094398055098</v>
      </c>
      <c r="AL6607">
        <v>89.6503589372671</v>
      </c>
      <c r="AM6607">
        <v>89.888257788282999</v>
      </c>
      <c r="AN6607">
        <v>1.00000002125031</v>
      </c>
    </row>
    <row r="6608" spans="1:40" x14ac:dyDescent="0.25">
      <c r="A6608" t="str">
        <f>"20190312154427946"</f>
        <v>20190312154427946</v>
      </c>
      <c r="B6608" t="str">
        <f>"1552376667934191"</f>
        <v>1552376667934191</v>
      </c>
      <c r="C6608" t="s">
        <v>40</v>
      </c>
      <c r="D6608">
        <v>4.8230649999999997</v>
      </c>
      <c r="E6608">
        <v>0.47272069999999999</v>
      </c>
      <c r="F6608" t="s">
        <v>76</v>
      </c>
      <c r="G6608">
        <v>-244.11150000000001</v>
      </c>
      <c r="H6608" s="1">
        <v>-1.157785E-6</v>
      </c>
      <c r="I6608">
        <v>-61.912570000000002</v>
      </c>
      <c r="J6608">
        <v>-263.76929999999999</v>
      </c>
      <c r="K6608">
        <v>1.1164000000000001</v>
      </c>
      <c r="L6608">
        <v>-61.796779999999998</v>
      </c>
      <c r="M6608">
        <v>0.99713839999999998</v>
      </c>
      <c r="N6608">
        <v>0</v>
      </c>
      <c r="O6608">
        <v>-7.528522E-2</v>
      </c>
      <c r="P6608">
        <v>0.9969306</v>
      </c>
      <c r="Q6608">
        <v>-1.1854809999999999E-3</v>
      </c>
      <c r="R6608">
        <v>-7.8283649999999996E-2</v>
      </c>
      <c r="S6608">
        <v>3.0081479999999998</v>
      </c>
      <c r="T6608">
        <v>-0.16938029999999901</v>
      </c>
      <c r="U6608">
        <v>-1.9256590000000001E-2</v>
      </c>
      <c r="V6608">
        <v>2.904458E-3</v>
      </c>
      <c r="W6608">
        <v>5.7375760000000003E-3</v>
      </c>
      <c r="X6608">
        <v>0.99997930000000002</v>
      </c>
      <c r="Y6608">
        <v>-6.8674449999999998E-2</v>
      </c>
      <c r="Z6608">
        <v>6.1644159999999998E-3</v>
      </c>
      <c r="AA6608">
        <v>0.99762010000000001</v>
      </c>
      <c r="AB6608">
        <v>36</v>
      </c>
      <c r="AC6608">
        <v>19.657799999999899</v>
      </c>
      <c r="AD6608">
        <v>-1.1164011577849999</v>
      </c>
      <c r="AE6608">
        <v>-0.115789999999989</v>
      </c>
      <c r="AF6608">
        <v>-1.36012863219294</v>
      </c>
      <c r="AG6608">
        <v>-1.1164011577849999</v>
      </c>
      <c r="AH6608">
        <v>19.547681773041699</v>
      </c>
      <c r="AI6608">
        <v>93.260841148516505</v>
      </c>
      <c r="AJ6608">
        <v>93.980228079507398</v>
      </c>
      <c r="AK6608">
        <v>19.626720667022301</v>
      </c>
      <c r="AL6608">
        <v>89.671259299650401</v>
      </c>
      <c r="AM6608">
        <v>89.833583837976406</v>
      </c>
      <c r="AN6608">
        <v>0.99999997804155905</v>
      </c>
    </row>
    <row r="6609" spans="1:40" x14ac:dyDescent="0.25">
      <c r="A6609" t="str">
        <f>"20190312154427956"</f>
        <v>20190312154427956</v>
      </c>
      <c r="B6609" t="str">
        <f>"1552376667943950"</f>
        <v>1552376667943950</v>
      </c>
      <c r="C6609" t="s">
        <v>40</v>
      </c>
      <c r="D6609">
        <v>4.8176129999999997</v>
      </c>
      <c r="E6609">
        <v>0.47019100000000003</v>
      </c>
      <c r="F6609" t="s">
        <v>76</v>
      </c>
      <c r="G6609">
        <v>-244.0686</v>
      </c>
      <c r="H6609" s="1">
        <v>-1.128629E-6</v>
      </c>
      <c r="I6609">
        <v>-61.872269999999901</v>
      </c>
      <c r="J6609">
        <v>-263.61320000000001</v>
      </c>
      <c r="K6609">
        <v>1.1163890000000001</v>
      </c>
      <c r="L6609">
        <v>-61.806060000000002</v>
      </c>
      <c r="M6609">
        <v>0.99737100000000001</v>
      </c>
      <c r="N6609">
        <v>0</v>
      </c>
      <c r="O6609">
        <v>-7.2134580000000004E-2</v>
      </c>
      <c r="P6609">
        <v>0.99711039999999995</v>
      </c>
      <c r="Q6609">
        <v>-1.247937E-3</v>
      </c>
      <c r="R6609">
        <v>-7.5957230000000001E-2</v>
      </c>
      <c r="S6609">
        <v>3.0081180000000001</v>
      </c>
      <c r="T6609">
        <v>-0.1704638</v>
      </c>
      <c r="U6609">
        <v>-1.153564E-2</v>
      </c>
      <c r="V6609">
        <v>3.7310500000000001E-3</v>
      </c>
      <c r="W6609">
        <v>5.7204100000000004E-3</v>
      </c>
      <c r="X6609">
        <v>0.99997670000000005</v>
      </c>
      <c r="Y6609">
        <v>-6.8086149999999998E-2</v>
      </c>
      <c r="Z6609">
        <v>6.009314E-3</v>
      </c>
      <c r="AA6609">
        <v>0.99766140000000003</v>
      </c>
      <c r="AB6609">
        <v>36</v>
      </c>
      <c r="AC6609">
        <v>19.544599999999999</v>
      </c>
      <c r="AD6609">
        <v>-1.1163901286289999</v>
      </c>
      <c r="AE6609">
        <v>-6.6209999999998104E-2</v>
      </c>
      <c r="AF6609">
        <v>-1.3394673802961501</v>
      </c>
      <c r="AG6609">
        <v>-1.1163901286289999</v>
      </c>
      <c r="AH6609">
        <v>19.435048043093701</v>
      </c>
      <c r="AI6609">
        <v>93.279814363131294</v>
      </c>
      <c r="AJ6609">
        <v>93.942601973037</v>
      </c>
      <c r="AK6609">
        <v>19.513113339996199</v>
      </c>
      <c r="AL6609">
        <v>89.6722428696322</v>
      </c>
      <c r="AM6609">
        <v>89.786222592832999</v>
      </c>
      <c r="AN6609">
        <v>1.0000000221837799</v>
      </c>
    </row>
    <row r="6610" spans="1:40" x14ac:dyDescent="0.25">
      <c r="A6610" t="str">
        <f>"20190312154427967"</f>
        <v>20190312154427967</v>
      </c>
      <c r="B6610" t="str">
        <f>"1552376667964447"</f>
        <v>1552376667964447</v>
      </c>
      <c r="C6610" t="s">
        <v>40</v>
      </c>
      <c r="D6610">
        <v>4.7753940000000004</v>
      </c>
      <c r="E6610">
        <v>0.46782950000000001</v>
      </c>
      <c r="F6610" t="s">
        <v>76</v>
      </c>
      <c r="G6610">
        <v>-242.84630000000001</v>
      </c>
      <c r="H6610" s="1">
        <v>-5.585166E-7</v>
      </c>
      <c r="I6610">
        <v>-61.700290000000003</v>
      </c>
      <c r="J6610">
        <v>-263.43130000000002</v>
      </c>
      <c r="K6610">
        <v>1.116377</v>
      </c>
      <c r="L6610">
        <v>-61.816800000000001</v>
      </c>
      <c r="M6610">
        <v>0.99762949999999995</v>
      </c>
      <c r="N6610">
        <v>0</v>
      </c>
      <c r="O6610">
        <v>-6.8466479999999996E-2</v>
      </c>
      <c r="P6610">
        <v>0.99732050000000005</v>
      </c>
      <c r="Q6610">
        <v>-1.2952700000000001E-3</v>
      </c>
      <c r="R6610">
        <v>-7.3147530000000002E-2</v>
      </c>
      <c r="S6610">
        <v>3.009674</v>
      </c>
      <c r="T6610">
        <v>-0.1617941</v>
      </c>
      <c r="U6610">
        <v>1.531982E-2</v>
      </c>
      <c r="V6610">
        <v>4.590991E-3</v>
      </c>
      <c r="W6610">
        <v>5.7237479999999999E-3</v>
      </c>
      <c r="X6610">
        <v>0.99997309999999995</v>
      </c>
      <c r="Y6610">
        <v>-7.334077E-2</v>
      </c>
      <c r="Z6610">
        <v>5.6459209999999999E-3</v>
      </c>
      <c r="AA6610">
        <v>0.99729100000000004</v>
      </c>
      <c r="AB6610">
        <v>36</v>
      </c>
      <c r="AC6610">
        <v>20.585000000000001</v>
      </c>
      <c r="AD6610">
        <v>-1.1163775585166</v>
      </c>
      <c r="AE6610">
        <v>0.116509999999998</v>
      </c>
      <c r="AF6610">
        <v>-1.52117880227461</v>
      </c>
      <c r="AG6610">
        <v>-1.1163775585166</v>
      </c>
      <c r="AH6610">
        <v>20.468516564421101</v>
      </c>
      <c r="AI6610">
        <v>93.113318821452907</v>
      </c>
      <c r="AJ6610">
        <v>94.250293061818695</v>
      </c>
      <c r="AK6610">
        <v>20.555302336614499</v>
      </c>
      <c r="AL6610">
        <v>89.672051612348099</v>
      </c>
      <c r="AM6610">
        <v>89.736950364037995</v>
      </c>
      <c r="AN6610">
        <v>1.0000000196065599</v>
      </c>
    </row>
    <row r="6611" spans="1:40" x14ac:dyDescent="0.25">
      <c r="A6611" t="str">
        <f>"20190312154427979"</f>
        <v>20190312154427979</v>
      </c>
      <c r="B6611" t="str">
        <f>"1552376667974207"</f>
        <v>1552376667974207</v>
      </c>
      <c r="C6611" t="s">
        <v>40</v>
      </c>
      <c r="D6611">
        <v>4.7785299999999999</v>
      </c>
      <c r="E6611">
        <v>0.46698610000000002</v>
      </c>
      <c r="F6611" t="s">
        <v>76</v>
      </c>
      <c r="G6611">
        <v>-241.3245</v>
      </c>
      <c r="H6611" s="1">
        <v>1.4602219999999999E-7</v>
      </c>
      <c r="I6611">
        <v>-61.505960000000002</v>
      </c>
      <c r="J6611">
        <v>-263.25029999999998</v>
      </c>
      <c r="K6611">
        <v>1.1163689999999999</v>
      </c>
      <c r="L6611">
        <v>-61.826259999999998</v>
      </c>
      <c r="M6611">
        <v>0.99787179999999998</v>
      </c>
      <c r="N6611">
        <v>0</v>
      </c>
      <c r="O6611">
        <v>-6.4832559999999997E-2</v>
      </c>
      <c r="P6611">
        <v>0.99751210000000001</v>
      </c>
      <c r="Q6611">
        <v>-1.2533760000000001E-3</v>
      </c>
      <c r="R6611">
        <v>-7.0484030000000003E-2</v>
      </c>
      <c r="S6611">
        <v>3.0109249999999999</v>
      </c>
      <c r="T6611">
        <v>-0.1520494</v>
      </c>
      <c r="U6611">
        <v>4.2327879999999998E-2</v>
      </c>
      <c r="V6611">
        <v>5.5614130000000003E-3</v>
      </c>
      <c r="W6611">
        <v>5.8148219999999999E-3</v>
      </c>
      <c r="X6611">
        <v>0.99996759999999996</v>
      </c>
      <c r="Y6611">
        <v>-7.8672080000000005E-2</v>
      </c>
      <c r="Z6611">
        <v>5.2555550000000003E-3</v>
      </c>
      <c r="AA6611">
        <v>0.99688670000000001</v>
      </c>
      <c r="AB6611">
        <v>36</v>
      </c>
      <c r="AC6611">
        <v>21.925799999999899</v>
      </c>
      <c r="AD6611">
        <v>-1.1163688539777901</v>
      </c>
      <c r="AE6611">
        <v>0.32030000000000303</v>
      </c>
      <c r="AF6611">
        <v>-1.73666520473083</v>
      </c>
      <c r="AG6611">
        <v>-1.1163688539777901</v>
      </c>
      <c r="AH6611">
        <v>21.8023941353281</v>
      </c>
      <c r="AI6611">
        <v>92.921971681456995</v>
      </c>
      <c r="AJ6611">
        <v>94.554267631080606</v>
      </c>
      <c r="AK6611">
        <v>21.899924097668599</v>
      </c>
      <c r="AL6611">
        <v>89.666833353673098</v>
      </c>
      <c r="AM6611">
        <v>89.681347467942899</v>
      </c>
      <c r="AN6611">
        <v>0.99999997125960305</v>
      </c>
    </row>
    <row r="6612" spans="1:40" x14ac:dyDescent="0.25">
      <c r="A6612" t="str">
        <f>"20190312154427991"</f>
        <v>20190312154427991</v>
      </c>
      <c r="B6612" t="str">
        <f>"1552376667983967"</f>
        <v>1552376667983967</v>
      </c>
      <c r="C6612" t="s">
        <v>40</v>
      </c>
      <c r="D6612">
        <v>4.7964320000000003</v>
      </c>
      <c r="E6612">
        <v>0.46648279999999998</v>
      </c>
      <c r="F6612" t="s">
        <v>76</v>
      </c>
      <c r="G6612">
        <v>-240.77019999999999</v>
      </c>
      <c r="H6612" s="1">
        <v>4.1195469999999998E-7</v>
      </c>
      <c r="I6612">
        <v>-61.400179999999999</v>
      </c>
      <c r="J6612">
        <v>-263.0598</v>
      </c>
      <c r="K6612">
        <v>1.11636</v>
      </c>
      <c r="L6612">
        <v>-61.835940000000001</v>
      </c>
      <c r="M6612">
        <v>0.99811240000000001</v>
      </c>
      <c r="N6612">
        <v>0</v>
      </c>
      <c r="O6612">
        <v>-6.1012169999999998E-2</v>
      </c>
      <c r="P6612">
        <v>0.99771540000000003</v>
      </c>
      <c r="Q6612">
        <v>-9.3897619999999996E-4</v>
      </c>
      <c r="R6612">
        <v>-6.7552299999999996E-2</v>
      </c>
      <c r="S6612">
        <v>3.0113219999999998</v>
      </c>
      <c r="T6612">
        <v>-0.14954339999999999</v>
      </c>
      <c r="U6612">
        <v>5.706787E-2</v>
      </c>
      <c r="V6612">
        <v>6.4443469999999996E-3</v>
      </c>
      <c r="W6612">
        <v>6.1781639999999999E-3</v>
      </c>
      <c r="X6612">
        <v>0.99996010000000002</v>
      </c>
      <c r="Y6612">
        <v>-7.9741740000000005E-2</v>
      </c>
      <c r="Z6612">
        <v>5.0054569999999996E-3</v>
      </c>
      <c r="AA6612">
        <v>0.99680299999999999</v>
      </c>
      <c r="AB6612">
        <v>36</v>
      </c>
      <c r="AC6612">
        <v>22.2896</v>
      </c>
      <c r="AD6612">
        <v>-1.1163595880453001</v>
      </c>
      <c r="AE6612">
        <v>0.43575999999999399</v>
      </c>
      <c r="AF6612">
        <v>-1.7904289691685999</v>
      </c>
      <c r="AG6612">
        <v>-1.1163595880453001</v>
      </c>
      <c r="AH6612">
        <v>22.165905017628798</v>
      </c>
      <c r="AI6612">
        <v>92.873853919653797</v>
      </c>
      <c r="AJ6612">
        <v>94.617983861999704</v>
      </c>
      <c r="AK6612">
        <v>22.266100688580401</v>
      </c>
      <c r="AL6612">
        <v>89.646015008180299</v>
      </c>
      <c r="AM6612">
        <v>89.630756494026301</v>
      </c>
      <c r="AN6612">
        <v>0.99999995045533696</v>
      </c>
    </row>
    <row r="6613" spans="1:40" x14ac:dyDescent="0.25">
      <c r="A6613" t="str">
        <f>"20190312154428002"</f>
        <v>20190312154428002</v>
      </c>
      <c r="B6613" t="str">
        <f>"1552376667993727"</f>
        <v>1552376667993727</v>
      </c>
      <c r="C6613" t="s">
        <v>40</v>
      </c>
      <c r="D6613">
        <v>4.774661</v>
      </c>
      <c r="E6613">
        <v>0.46604590000000001</v>
      </c>
      <c r="F6613" t="s">
        <v>76</v>
      </c>
      <c r="G6613">
        <v>-240.0847</v>
      </c>
      <c r="H6613" s="1">
        <v>7.3201249999999996E-7</v>
      </c>
      <c r="I6613">
        <v>-61.302480000000003</v>
      </c>
      <c r="J6613">
        <v>-262.87299999999999</v>
      </c>
      <c r="K6613">
        <v>1.116352</v>
      </c>
      <c r="L6613">
        <v>-61.84451</v>
      </c>
      <c r="M6613">
        <v>0.99833349999999998</v>
      </c>
      <c r="N6613">
        <v>0</v>
      </c>
      <c r="O6613">
        <v>-5.7280749999999998E-2</v>
      </c>
      <c r="P6613">
        <v>0.9978939</v>
      </c>
      <c r="Q6613">
        <v>-7.1269089999999996E-4</v>
      </c>
      <c r="R6613">
        <v>-6.486488E-2</v>
      </c>
      <c r="S6613">
        <v>3.0114749999999999</v>
      </c>
      <c r="T6613">
        <v>-0.14632809999999999</v>
      </c>
      <c r="U6613">
        <v>6.9915770000000002E-2</v>
      </c>
      <c r="V6613">
        <v>7.4845739999999999E-3</v>
      </c>
      <c r="W6613">
        <v>6.4523410000000003E-3</v>
      </c>
      <c r="X6613">
        <v>0.99995120000000004</v>
      </c>
      <c r="Y6613">
        <v>-8.0276620000000007E-2</v>
      </c>
      <c r="Z6613">
        <v>4.7295710000000001E-3</v>
      </c>
      <c r="AA6613">
        <v>0.99676140000000002</v>
      </c>
      <c r="AB6613">
        <v>37</v>
      </c>
      <c r="AC6613">
        <v>22.7882999999999</v>
      </c>
      <c r="AD6613">
        <v>-1.1163512679875001</v>
      </c>
      <c r="AE6613">
        <v>0.54202999999999601</v>
      </c>
      <c r="AF6613">
        <v>-1.84208482548944</v>
      </c>
      <c r="AG6613">
        <v>-1.1163512679875001</v>
      </c>
      <c r="AH6613">
        <v>22.665471430692001</v>
      </c>
      <c r="AI6613">
        <v>92.810480863006902</v>
      </c>
      <c r="AJ6613">
        <v>94.646372430454406</v>
      </c>
      <c r="AK6613">
        <v>22.7675890650141</v>
      </c>
      <c r="AL6613">
        <v>89.630305537430004</v>
      </c>
      <c r="AM6613">
        <v>89.5711525787098</v>
      </c>
      <c r="AN6613">
        <v>1.0000000269668901</v>
      </c>
    </row>
    <row r="6614" spans="1:40" x14ac:dyDescent="0.25">
      <c r="A6614" t="str">
        <f>"20190312154428013"</f>
        <v>20190312154428013</v>
      </c>
      <c r="B6614" t="str">
        <f>"1552376668004462"</f>
        <v>1552376668004462</v>
      </c>
      <c r="C6614" t="s">
        <v>40</v>
      </c>
      <c r="D6614">
        <v>4.7677889999999996</v>
      </c>
      <c r="E6614">
        <v>0.46580139999999998</v>
      </c>
      <c r="F6614" t="s">
        <v>77</v>
      </c>
      <c r="G6614">
        <v>-239.50579999999999</v>
      </c>
      <c r="H6614" s="1">
        <v>-3.2557710000000001E-6</v>
      </c>
      <c r="I6614">
        <v>-61.211500000000001</v>
      </c>
      <c r="J6614">
        <v>-262.70060000000001</v>
      </c>
      <c r="K6614">
        <v>1.116349</v>
      </c>
      <c r="L6614">
        <v>-61.851930000000003</v>
      </c>
      <c r="M6614">
        <v>0.99852459999999998</v>
      </c>
      <c r="N6614">
        <v>0</v>
      </c>
      <c r="O6614">
        <v>-5.3842630000000002E-2</v>
      </c>
      <c r="P6614">
        <v>0.99806360000000005</v>
      </c>
      <c r="Q6614">
        <v>-6.3078850000000003E-4</v>
      </c>
      <c r="R6614">
        <v>-6.2200329999999998E-2</v>
      </c>
      <c r="S6614">
        <v>3.011536</v>
      </c>
      <c r="T6614">
        <v>-0.143874</v>
      </c>
      <c r="U6614">
        <v>8.1573489999999999E-2</v>
      </c>
      <c r="V6614">
        <v>8.2564040000000002E-3</v>
      </c>
      <c r="W6614">
        <v>6.5744089999999998E-3</v>
      </c>
      <c r="X6614">
        <v>0.99994430000000001</v>
      </c>
      <c r="Y6614">
        <v>-8.0708650000000007E-2</v>
      </c>
      <c r="Z6614">
        <v>4.4964059999999997E-3</v>
      </c>
      <c r="AA6614">
        <v>0.99672760000000005</v>
      </c>
      <c r="AB6614">
        <v>37</v>
      </c>
      <c r="AC6614">
        <v>23.194800000000001</v>
      </c>
      <c r="AD6614">
        <v>-1.1163522557709999</v>
      </c>
      <c r="AE6614">
        <v>0.64043000000000205</v>
      </c>
      <c r="AF6614">
        <v>-1.88404002857319</v>
      </c>
      <c r="AG6614">
        <v>-1.1163522557709999</v>
      </c>
      <c r="AH6614">
        <v>23.0732623048827</v>
      </c>
      <c r="AI6614">
        <v>92.760803927285494</v>
      </c>
      <c r="AJ6614">
        <v>94.668112505680398</v>
      </c>
      <c r="AK6614">
        <v>23.1769558522717</v>
      </c>
      <c r="AL6614">
        <v>89.623311396781801</v>
      </c>
      <c r="AM6614">
        <v>89.526927296604796</v>
      </c>
      <c r="AN6614">
        <v>0.99999999708160003</v>
      </c>
    </row>
    <row r="6615" spans="1:40" x14ac:dyDescent="0.25">
      <c r="A6615" t="str">
        <f>"20190312154428023"</f>
        <v>20190312154428023</v>
      </c>
      <c r="B6615" t="str">
        <f>"1552376668014224"</f>
        <v>1552376668014224</v>
      </c>
      <c r="C6615" t="s">
        <v>40</v>
      </c>
      <c r="D6615">
        <v>4.7742829999999996</v>
      </c>
      <c r="E6615">
        <v>0.4655745</v>
      </c>
      <c r="F6615" t="s">
        <v>77</v>
      </c>
      <c r="G6615">
        <v>-238.96340000000001</v>
      </c>
      <c r="H6615" s="1">
        <v>-3.0309180000000001E-6</v>
      </c>
      <c r="I6615">
        <v>-61.129730000000002</v>
      </c>
      <c r="J6615">
        <v>-262.52339999999998</v>
      </c>
      <c r="K6615">
        <v>1.1163419999999999</v>
      </c>
      <c r="L6615">
        <v>-61.858919999999998</v>
      </c>
      <c r="M6615">
        <v>0.99870840000000005</v>
      </c>
      <c r="N6615">
        <v>0</v>
      </c>
      <c r="O6615">
        <v>-5.031534E-2</v>
      </c>
      <c r="P6615">
        <v>0.99822239999999995</v>
      </c>
      <c r="Q6615">
        <v>-5.8356860000000001E-4</v>
      </c>
      <c r="R6615">
        <v>-5.9602559999999999E-2</v>
      </c>
      <c r="S6615">
        <v>3.0114139999999998</v>
      </c>
      <c r="T6615">
        <v>-0.14162539999999901</v>
      </c>
      <c r="U6615">
        <v>9.1613769999999997E-2</v>
      </c>
      <c r="V6615">
        <v>9.1844279999999997E-3</v>
      </c>
      <c r="W6615">
        <v>6.6630980000000001E-3</v>
      </c>
      <c r="X6615">
        <v>0.99993560000000004</v>
      </c>
      <c r="Y6615">
        <v>-8.0518430000000002E-2</v>
      </c>
      <c r="Z6615">
        <v>4.2561049999999996E-3</v>
      </c>
      <c r="AA6615">
        <v>0.99674399999999996</v>
      </c>
      <c r="AB6615">
        <v>37</v>
      </c>
      <c r="AC6615">
        <v>23.559999999999899</v>
      </c>
      <c r="AD6615">
        <v>-1.1163450309180001</v>
      </c>
      <c r="AE6615">
        <v>0.72918999999999501</v>
      </c>
      <c r="AF6615">
        <v>-1.90944244361263</v>
      </c>
      <c r="AG6615">
        <v>-1.1163450309180001</v>
      </c>
      <c r="AH6615">
        <v>23.440888550245699</v>
      </c>
      <c r="AI6615">
        <v>92.717597064276006</v>
      </c>
      <c r="AJ6615">
        <v>94.656904342989705</v>
      </c>
      <c r="AK6615">
        <v>23.545009082575501</v>
      </c>
      <c r="AL6615">
        <v>89.618229772541994</v>
      </c>
      <c r="AM6615">
        <v>89.473751945596803</v>
      </c>
      <c r="AN6615">
        <v>0.99999997737000201</v>
      </c>
    </row>
    <row r="6616" spans="1:40" x14ac:dyDescent="0.25">
      <c r="A6616" t="str">
        <f>"20190312154428035"</f>
        <v>20190312154428035</v>
      </c>
      <c r="B6616" t="str">
        <f>"1552376668023984"</f>
        <v>1552376668023984</v>
      </c>
      <c r="C6616" t="s">
        <v>40</v>
      </c>
      <c r="D6616">
        <v>4.7598919999999998</v>
      </c>
      <c r="E6616">
        <v>0.46541739999999998</v>
      </c>
      <c r="F6616" t="s">
        <v>77</v>
      </c>
      <c r="G6616">
        <v>-238.46940000000001</v>
      </c>
      <c r="H6616" s="1">
        <v>-2.797934E-6</v>
      </c>
      <c r="I6616">
        <v>-61.050510000000003</v>
      </c>
      <c r="J6616">
        <v>-262.33769999999998</v>
      </c>
      <c r="K6616">
        <v>1.1163320000000001</v>
      </c>
      <c r="L6616">
        <v>-61.865450000000003</v>
      </c>
      <c r="M6616">
        <v>0.99888679999999996</v>
      </c>
      <c r="N6616">
        <v>0</v>
      </c>
      <c r="O6616">
        <v>-4.6634340000000003E-2</v>
      </c>
      <c r="P6616">
        <v>0.99838919999999998</v>
      </c>
      <c r="Q6616">
        <v>-7.2209349999999999E-4</v>
      </c>
      <c r="R6616">
        <v>-5.6732589999999999E-2</v>
      </c>
      <c r="S6616">
        <v>3.0112920000000001</v>
      </c>
      <c r="T6616">
        <v>-0.13975379999999901</v>
      </c>
      <c r="U6616">
        <v>0.1011963</v>
      </c>
      <c r="V6616">
        <v>9.997087E-3</v>
      </c>
      <c r="W6616">
        <v>6.5629649999999996E-3</v>
      </c>
      <c r="X6616">
        <v>0.9999285</v>
      </c>
      <c r="Y6616">
        <v>-8.0023129999999998E-2</v>
      </c>
      <c r="Z6616">
        <v>4.017825E-3</v>
      </c>
      <c r="AA6616">
        <v>0.99678489999999997</v>
      </c>
      <c r="AB6616">
        <v>37</v>
      </c>
      <c r="AC6616">
        <v>23.868299999999898</v>
      </c>
      <c r="AD6616">
        <v>-1.1163347979339999</v>
      </c>
      <c r="AE6616">
        <v>0.81494000000000699</v>
      </c>
      <c r="AF6616">
        <v>-1.92296222908849</v>
      </c>
      <c r="AG6616">
        <v>-1.1163347979339999</v>
      </c>
      <c r="AH6616">
        <v>23.752427802472099</v>
      </c>
      <c r="AI6616">
        <v>92.682088487158396</v>
      </c>
      <c r="AJ6616">
        <v>94.628488972829501</v>
      </c>
      <c r="AK6616">
        <v>23.856274093563499</v>
      </c>
      <c r="AL6616">
        <v>89.623967108570199</v>
      </c>
      <c r="AM6616">
        <v>89.427187234854401</v>
      </c>
      <c r="AN6616">
        <v>1.00000000968516</v>
      </c>
    </row>
    <row r="6617" spans="1:40" x14ac:dyDescent="0.25">
      <c r="A6617" t="str">
        <f>"20190312154428046"</f>
        <v>20190312154428046</v>
      </c>
      <c r="B6617" t="str">
        <f>"1552376668033744"</f>
        <v>1552376668033744</v>
      </c>
      <c r="C6617" t="s">
        <v>40</v>
      </c>
      <c r="D6617">
        <v>4.7993709999999998</v>
      </c>
      <c r="E6617">
        <v>0.46532689999999999</v>
      </c>
      <c r="F6617" t="s">
        <v>77</v>
      </c>
      <c r="G6617">
        <v>-238.12780000000001</v>
      </c>
      <c r="H6617" s="1">
        <v>-2.6304970000000002E-6</v>
      </c>
      <c r="I6617">
        <v>-60.971980000000002</v>
      </c>
      <c r="J6617">
        <v>-262.15960000000001</v>
      </c>
      <c r="K6617">
        <v>1.1163190000000001</v>
      </c>
      <c r="L6617">
        <v>-61.871369999999999</v>
      </c>
      <c r="M6617">
        <v>0.99904490000000001</v>
      </c>
      <c r="N6617">
        <v>0</v>
      </c>
      <c r="O6617">
        <v>-4.3111789999999997E-2</v>
      </c>
      <c r="P6617">
        <v>0.99854670000000001</v>
      </c>
      <c r="Q6617">
        <v>-7.058028E-4</v>
      </c>
      <c r="R6617">
        <v>-5.3893719999999999E-2</v>
      </c>
      <c r="S6617">
        <v>3.0110169999999998</v>
      </c>
      <c r="T6617">
        <v>-0.13884009999999999</v>
      </c>
      <c r="U6617">
        <v>0.1111145</v>
      </c>
      <c r="V6617">
        <v>1.0679259999999999E-2</v>
      </c>
      <c r="W6617">
        <v>6.6135079999999997E-3</v>
      </c>
      <c r="X6617">
        <v>0.99992110000000001</v>
      </c>
      <c r="Y6617">
        <v>-7.9796370000000005E-2</v>
      </c>
      <c r="Z6617">
        <v>3.8243000000000001E-3</v>
      </c>
      <c r="AA6617">
        <v>0.99680380000000002</v>
      </c>
      <c r="AB6617">
        <v>37</v>
      </c>
      <c r="AC6617">
        <v>24.0318</v>
      </c>
      <c r="AD6617">
        <v>-1.1163216304970001</v>
      </c>
      <c r="AE6617">
        <v>0.89938999999999603</v>
      </c>
      <c r="AF6617">
        <v>-1.9304742117050999</v>
      </c>
      <c r="AG6617">
        <v>-1.1163216304970001</v>
      </c>
      <c r="AH6617">
        <v>23.919140191231001</v>
      </c>
      <c r="AI6617">
        <v>92.663443865069198</v>
      </c>
      <c r="AJ6617">
        <v>94.614246051709998</v>
      </c>
      <c r="AK6617">
        <v>24.0228676921082</v>
      </c>
      <c r="AL6617">
        <v>89.621071139846904</v>
      </c>
      <c r="AM6617">
        <v>89.388098457535605</v>
      </c>
      <c r="AN6617">
        <v>0.999999995653711</v>
      </c>
    </row>
    <row r="6618" spans="1:40" x14ac:dyDescent="0.25">
      <c r="A6618" t="str">
        <f>"20190312154428058"</f>
        <v>20190312154428058</v>
      </c>
      <c r="B6618" t="str">
        <f>"1552376668054239"</f>
        <v>1552376668054239</v>
      </c>
      <c r="C6618" t="s">
        <v>40</v>
      </c>
      <c r="D6618">
        <v>4.7775720000000002</v>
      </c>
      <c r="E6618">
        <v>0.46512629999999999</v>
      </c>
      <c r="F6618" t="s">
        <v>77</v>
      </c>
      <c r="G6618">
        <v>-237.81139999999999</v>
      </c>
      <c r="H6618" s="1">
        <v>-2.475037E-6</v>
      </c>
      <c r="I6618">
        <v>-60.897939999999998</v>
      </c>
      <c r="J6618">
        <v>-261.9744</v>
      </c>
      <c r="K6618">
        <v>1.1163000000000001</v>
      </c>
      <c r="L6618">
        <v>-61.876530000000002</v>
      </c>
      <c r="M6618">
        <v>0.99919500000000006</v>
      </c>
      <c r="N6618">
        <v>0</v>
      </c>
      <c r="O6618">
        <v>-3.9474960000000003E-2</v>
      </c>
      <c r="P6618">
        <v>0.99869180000000002</v>
      </c>
      <c r="Q6618">
        <v>-9.3821810000000003E-4</v>
      </c>
      <c r="R6618">
        <v>-5.1128750000000001E-2</v>
      </c>
      <c r="S6618">
        <v>3.0107729999999999</v>
      </c>
      <c r="T6618">
        <v>-0.1380382</v>
      </c>
      <c r="U6618">
        <v>0.1203613</v>
      </c>
      <c r="V6618">
        <v>1.1554180000000001E-2</v>
      </c>
      <c r="W6618">
        <v>6.417056E-3</v>
      </c>
      <c r="X6618">
        <v>0.99991269999999999</v>
      </c>
      <c r="Y6618">
        <v>-7.9233769999999995E-2</v>
      </c>
      <c r="Z6618">
        <v>3.6229109999999999E-3</v>
      </c>
      <c r="AA6618">
        <v>0.99684950000000005</v>
      </c>
      <c r="AB6618">
        <v>37</v>
      </c>
      <c r="AC6618">
        <v>24.163</v>
      </c>
      <c r="AD6618">
        <v>-1.1163024750370001</v>
      </c>
      <c r="AE6618">
        <v>0.97858999999999696</v>
      </c>
      <c r="AF6618">
        <v>-1.9275776742691499</v>
      </c>
      <c r="AG6618">
        <v>-1.1163024750370001</v>
      </c>
      <c r="AH6618">
        <v>24.054278883461901</v>
      </c>
      <c r="AI6618">
        <v>92.6485776961526</v>
      </c>
      <c r="AJ6618">
        <v>94.581578603066802</v>
      </c>
      <c r="AK6618">
        <v>24.157193949411301</v>
      </c>
      <c r="AL6618">
        <v>89.6323272665784</v>
      </c>
      <c r="AM6618">
        <v>89.337965916525803</v>
      </c>
      <c r="AN6618">
        <v>1.00000004265223</v>
      </c>
    </row>
    <row r="6619" spans="1:40" x14ac:dyDescent="0.25">
      <c r="A6619" t="str">
        <f>"20190312154428069"</f>
        <v>20190312154428069</v>
      </c>
      <c r="B6619" t="str">
        <f>"1552376668063999"</f>
        <v>1552376668063999</v>
      </c>
      <c r="C6619" t="s">
        <v>40</v>
      </c>
      <c r="D6619">
        <v>4.7478699999999998</v>
      </c>
      <c r="E6619">
        <v>0.4650939</v>
      </c>
      <c r="F6619" t="s">
        <v>77</v>
      </c>
      <c r="G6619">
        <v>-236.8115</v>
      </c>
      <c r="H6619" s="1">
        <v>-2.017124E-6</v>
      </c>
      <c r="I6619">
        <v>-60.789050000000003</v>
      </c>
      <c r="J6619">
        <v>-261.78210000000001</v>
      </c>
      <c r="K6619">
        <v>1.116277</v>
      </c>
      <c r="L6619">
        <v>-61.881529999999998</v>
      </c>
      <c r="M6619">
        <v>0.99933649999999996</v>
      </c>
      <c r="N6619">
        <v>0</v>
      </c>
      <c r="O6619">
        <v>-3.5709459999999998E-2</v>
      </c>
      <c r="P6619">
        <v>0.99882950000000004</v>
      </c>
      <c r="Q6619">
        <v>-1.114456E-3</v>
      </c>
      <c r="R6619">
        <v>-4.8362799999999997E-2</v>
      </c>
      <c r="S6619">
        <v>3.0104679999999999</v>
      </c>
      <c r="T6619">
        <v>-0.13355330000000001</v>
      </c>
      <c r="U6619">
        <v>0.1300964</v>
      </c>
      <c r="V6619">
        <v>1.2555999999999999E-2</v>
      </c>
      <c r="W6619">
        <v>6.2787750000000003E-3</v>
      </c>
      <c r="X6619">
        <v>0.9999015</v>
      </c>
      <c r="Y6619">
        <v>-7.8711589999999998E-2</v>
      </c>
      <c r="Z6619">
        <v>3.327024E-3</v>
      </c>
      <c r="AA6619">
        <v>0.99689190000000005</v>
      </c>
      <c r="AB6619">
        <v>37</v>
      </c>
      <c r="AC6619">
        <v>24.970600000000001</v>
      </c>
      <c r="AD6619">
        <v>-1.116279017124</v>
      </c>
      <c r="AE6619">
        <v>1.0924799999999999</v>
      </c>
      <c r="AF6619">
        <v>-1.9795443415396601</v>
      </c>
      <c r="AG6619">
        <v>-1.116279017124</v>
      </c>
      <c r="AH6619">
        <v>24.866062413452902</v>
      </c>
      <c r="AI6619">
        <v>92.562281851022206</v>
      </c>
      <c r="AJ6619">
        <v>94.5516191221638</v>
      </c>
      <c r="AK6619">
        <v>24.969696325625002</v>
      </c>
      <c r="AL6619">
        <v>89.640250343668299</v>
      </c>
      <c r="AM6619">
        <v>89.280561137104598</v>
      </c>
      <c r="AN6619">
        <v>1.0000000429268701</v>
      </c>
    </row>
    <row r="6620" spans="1:40" x14ac:dyDescent="0.25">
      <c r="A6620" t="str">
        <f>"20190312154428080"</f>
        <v>20190312154428080</v>
      </c>
      <c r="B6620" t="str">
        <f>"1552376668073759"</f>
        <v>1552376668073759</v>
      </c>
      <c r="C6620" t="s">
        <v>40</v>
      </c>
      <c r="D6620">
        <v>4.7739279999999997</v>
      </c>
      <c r="E6620">
        <v>0.46512609999999899</v>
      </c>
      <c r="F6620" t="s">
        <v>77</v>
      </c>
      <c r="G6620">
        <v>-236.2422</v>
      </c>
      <c r="H6620" s="1">
        <v>-1.750554E-6</v>
      </c>
      <c r="I6620">
        <v>-60.705120000000001</v>
      </c>
      <c r="J6620">
        <v>-261.5915</v>
      </c>
      <c r="K6620">
        <v>1.116249</v>
      </c>
      <c r="L6620">
        <v>-61.885469999999998</v>
      </c>
      <c r="M6620">
        <v>0.9994615</v>
      </c>
      <c r="N6620">
        <v>0</v>
      </c>
      <c r="O6620">
        <v>-3.2017320000000002E-2</v>
      </c>
      <c r="P6620">
        <v>0.99895599999999996</v>
      </c>
      <c r="Q6620">
        <v>-1.301214E-3</v>
      </c>
      <c r="R6620">
        <v>-4.5667149999999997E-2</v>
      </c>
      <c r="S6620">
        <v>3.0100709999999999</v>
      </c>
      <c r="T6620">
        <v>-0.13156180000000001</v>
      </c>
      <c r="U6620">
        <v>0.1386414</v>
      </c>
      <c r="V6620">
        <v>1.355497E-2</v>
      </c>
      <c r="W6620">
        <v>6.1257150000000003E-3</v>
      </c>
      <c r="X6620">
        <v>0.99988940000000004</v>
      </c>
      <c r="Y6620">
        <v>-7.7866329999999997E-2</v>
      </c>
      <c r="Z6620">
        <v>3.0980420000000001E-3</v>
      </c>
      <c r="AA6620">
        <v>0.99695900000000004</v>
      </c>
      <c r="AB6620">
        <v>37</v>
      </c>
      <c r="AC6620">
        <v>25.349299999999999</v>
      </c>
      <c r="AD6620">
        <v>-1.116250750554</v>
      </c>
      <c r="AE6620">
        <v>1.18035</v>
      </c>
      <c r="AF6620">
        <v>-1.98753679275393</v>
      </c>
      <c r="AG6620">
        <v>-1.116250750554</v>
      </c>
      <c r="AH6620">
        <v>25.2496557727411</v>
      </c>
      <c r="AI6620">
        <v>92.523519513953403</v>
      </c>
      <c r="AJ6620">
        <v>94.500779818064402</v>
      </c>
      <c r="AK6620">
        <v>25.352345747141101</v>
      </c>
      <c r="AL6620">
        <v>89.649020201882706</v>
      </c>
      <c r="AM6620">
        <v>89.223319097990597</v>
      </c>
      <c r="AN6620">
        <v>1.00000003691416</v>
      </c>
    </row>
    <row r="6621" spans="1:40" x14ac:dyDescent="0.25">
      <c r="A6621" t="str">
        <f>"20190312154428092"</f>
        <v>20190312154428092</v>
      </c>
      <c r="B6621" t="str">
        <f>"1552376668084494"</f>
        <v>1552376668084494</v>
      </c>
      <c r="C6621" t="s">
        <v>40</v>
      </c>
      <c r="D6621">
        <v>4.799582</v>
      </c>
      <c r="E6621">
        <v>0.46521400000000002</v>
      </c>
      <c r="F6621" t="s">
        <v>77</v>
      </c>
      <c r="G6621">
        <v>-235.80199999999999</v>
      </c>
      <c r="H6621" s="1">
        <v>-1.5418420000000001E-6</v>
      </c>
      <c r="I6621">
        <v>-60.630459999999999</v>
      </c>
      <c r="J6621">
        <v>-261.40769999999998</v>
      </c>
      <c r="K6621">
        <v>1.1162179999999999</v>
      </c>
      <c r="L6621">
        <v>-61.888849999999998</v>
      </c>
      <c r="M6621">
        <v>0.99956849999999997</v>
      </c>
      <c r="N6621">
        <v>0</v>
      </c>
      <c r="O6621">
        <v>-2.8475029999999998E-2</v>
      </c>
      <c r="P6621">
        <v>0.99907789999999996</v>
      </c>
      <c r="Q6621">
        <v>-1.5496279999999999E-3</v>
      </c>
      <c r="R6621">
        <v>-4.2908729999999999E-2</v>
      </c>
      <c r="S6621">
        <v>3.009674</v>
      </c>
      <c r="T6621">
        <v>-0.1302681</v>
      </c>
      <c r="U6621">
        <v>0.1464539</v>
      </c>
      <c r="V6621">
        <v>1.434212E-2</v>
      </c>
      <c r="W6621">
        <v>5.9063719999999896E-3</v>
      </c>
      <c r="X6621">
        <v>0.99987969999999904</v>
      </c>
      <c r="Y6621">
        <v>-7.6927460000000003E-2</v>
      </c>
      <c r="Z6621">
        <v>2.894373E-3</v>
      </c>
      <c r="AA6621">
        <v>0.99703249999999999</v>
      </c>
      <c r="AB6621">
        <v>37</v>
      </c>
      <c r="AC6621">
        <v>25.605699999999899</v>
      </c>
      <c r="AD6621">
        <v>-1.116219541842</v>
      </c>
      <c r="AE6621">
        <v>1.2583899999999899</v>
      </c>
      <c r="AF6621">
        <v>-1.9832619853494</v>
      </c>
      <c r="AG6621">
        <v>-1.116219541842</v>
      </c>
      <c r="AH6621">
        <v>25.511120432887399</v>
      </c>
      <c r="AI6621">
        <v>92.4978080024067</v>
      </c>
      <c r="AJ6621">
        <v>94.445294705204702</v>
      </c>
      <c r="AK6621">
        <v>25.612429402721801</v>
      </c>
      <c r="AL6621">
        <v>89.661587843890103</v>
      </c>
      <c r="AM6621">
        <v>89.178214543732096</v>
      </c>
      <c r="AN6621">
        <v>0.99999999805419304</v>
      </c>
    </row>
    <row r="6622" spans="1:40" x14ac:dyDescent="0.25">
      <c r="A6622" t="str">
        <f>"20190312154428104"</f>
        <v>20190312154428104</v>
      </c>
      <c r="B6622" t="str">
        <f>"1552376668094255"</f>
        <v>1552376668094255</v>
      </c>
      <c r="C6622" t="s">
        <v>40</v>
      </c>
      <c r="D6622">
        <v>4.7714359999999996</v>
      </c>
      <c r="E6622">
        <v>0.46535690000000002</v>
      </c>
      <c r="F6622" t="s">
        <v>77</v>
      </c>
      <c r="G6622">
        <v>-235.87020000000001</v>
      </c>
      <c r="H6622" s="1">
        <v>-1.558008E-6</v>
      </c>
      <c r="I6622">
        <v>-60.581159999999997</v>
      </c>
      <c r="J6622">
        <v>-261.2122</v>
      </c>
      <c r="K6622">
        <v>1.116179</v>
      </c>
      <c r="L6622">
        <v>-61.891689999999997</v>
      </c>
      <c r="M6622">
        <v>0.9996678</v>
      </c>
      <c r="N6622">
        <v>0</v>
      </c>
      <c r="O6622">
        <v>-2.474204E-2</v>
      </c>
      <c r="P6622">
        <v>0.99920710000000001</v>
      </c>
      <c r="Q6622">
        <v>-1.444215E-3</v>
      </c>
      <c r="R6622">
        <v>-3.9788089999999998E-2</v>
      </c>
      <c r="S6622">
        <v>3.0091860000000001</v>
      </c>
      <c r="T6622">
        <v>-0.13152900000000001</v>
      </c>
      <c r="U6622">
        <v>0.15408329999999901</v>
      </c>
      <c r="V6622">
        <v>1.4951529999999999E-2</v>
      </c>
      <c r="W6622">
        <v>6.0365469999999997E-3</v>
      </c>
      <c r="X6622">
        <v>0.99987000000000004</v>
      </c>
      <c r="Y6622">
        <v>-7.5736250000000005E-2</v>
      </c>
      <c r="Z6622">
        <v>2.7336600000000002E-3</v>
      </c>
      <c r="AA6622">
        <v>0.99712409999999996</v>
      </c>
      <c r="AB6622">
        <v>37</v>
      </c>
      <c r="AC6622">
        <v>25.341999999999899</v>
      </c>
      <c r="AD6622">
        <v>-1.116180558008</v>
      </c>
      <c r="AE6622">
        <v>1.31053</v>
      </c>
      <c r="AF6622">
        <v>-1.93341720415304</v>
      </c>
      <c r="AG6622">
        <v>-1.116180558008</v>
      </c>
      <c r="AH6622">
        <v>25.252957162024899</v>
      </c>
      <c r="AI6622">
        <v>92.523450355915102</v>
      </c>
      <c r="AJ6622">
        <v>94.378138971403402</v>
      </c>
      <c r="AK6622">
        <v>25.351445847336901</v>
      </c>
      <c r="AL6622">
        <v>89.654129234336395</v>
      </c>
      <c r="AM6622">
        <v>89.143292904764905</v>
      </c>
      <c r="AN6622">
        <v>1.0000000025245099</v>
      </c>
    </row>
    <row r="6623" spans="1:40" x14ac:dyDescent="0.25">
      <c r="A6623" t="str">
        <f>"20190312154428113"</f>
        <v>20190312154428113</v>
      </c>
      <c r="B6623" t="str">
        <f>"1552376668104015"</f>
        <v>1552376668104015</v>
      </c>
      <c r="C6623" t="s">
        <v>40</v>
      </c>
      <c r="D6623">
        <v>4.8052199999999896</v>
      </c>
      <c r="E6623">
        <v>0.4655551</v>
      </c>
      <c r="F6623" t="s">
        <v>77</v>
      </c>
      <c r="G6623">
        <v>-235.58840000000001</v>
      </c>
      <c r="H6623" s="1">
        <v>-1.4178659999999999E-6</v>
      </c>
      <c r="I6623">
        <v>-60.508920000000003</v>
      </c>
      <c r="J6623">
        <v>-261.04719999999998</v>
      </c>
      <c r="K6623">
        <v>1.1161430000000001</v>
      </c>
      <c r="L6623">
        <v>-61.89349</v>
      </c>
      <c r="M6623">
        <v>0.99973990000000001</v>
      </c>
      <c r="N6623">
        <v>0</v>
      </c>
      <c r="O6623">
        <v>-2.1626039999999999E-2</v>
      </c>
      <c r="P6623">
        <v>0.99930640000000004</v>
      </c>
      <c r="Q6623">
        <v>-1.557922E-3</v>
      </c>
      <c r="R6623">
        <v>-3.720565E-2</v>
      </c>
      <c r="S6623">
        <v>3.008667</v>
      </c>
      <c r="T6623">
        <v>-0.13105820000000001</v>
      </c>
      <c r="U6623">
        <v>0.16235350000000001</v>
      </c>
      <c r="V6623">
        <v>1.548623E-2</v>
      </c>
      <c r="W6623">
        <v>5.9416579999999998E-3</v>
      </c>
      <c r="X6623">
        <v>0.99986240000000004</v>
      </c>
      <c r="Y6623">
        <v>-7.5374399999999994E-2</v>
      </c>
      <c r="Z6623">
        <v>2.5807059999999999E-3</v>
      </c>
      <c r="AA6623">
        <v>0.99715200000000004</v>
      </c>
      <c r="AB6623">
        <v>37</v>
      </c>
      <c r="AC6623">
        <v>25.458799999999901</v>
      </c>
      <c r="AD6623">
        <v>-1.1161444178659901</v>
      </c>
      <c r="AE6623">
        <v>1.3845700000000001</v>
      </c>
      <c r="AF6623">
        <v>-1.9311328488722601</v>
      </c>
      <c r="AG6623">
        <v>-1.1161444178659901</v>
      </c>
      <c r="AH6623">
        <v>25.374275253302599</v>
      </c>
      <c r="AI6623">
        <v>92.511406460944301</v>
      </c>
      <c r="AJ6623">
        <v>94.352158866292001</v>
      </c>
      <c r="AK6623">
        <v>25.472119995632301</v>
      </c>
      <c r="AL6623">
        <v>89.659566060928398</v>
      </c>
      <c r="AM6623">
        <v>89.112653222221994</v>
      </c>
      <c r="AN6623">
        <v>0.99999997277658004</v>
      </c>
    </row>
    <row r="6624" spans="1:40" x14ac:dyDescent="0.25">
      <c r="A6624" t="str">
        <f>"20190312154428124"</f>
        <v>20190312154428124</v>
      </c>
      <c r="B6624" t="str">
        <f>"1552376668113776"</f>
        <v>1552376668113776</v>
      </c>
      <c r="C6624" t="s">
        <v>40</v>
      </c>
      <c r="D6624">
        <v>4.765288</v>
      </c>
      <c r="E6624">
        <v>0.46571899999999999</v>
      </c>
      <c r="F6624" t="s">
        <v>77</v>
      </c>
      <c r="G6624">
        <v>-235.59270000000001</v>
      </c>
      <c r="H6624" s="1">
        <v>-1.408708E-6</v>
      </c>
      <c r="I6624">
        <v>-60.467449999999999</v>
      </c>
      <c r="J6624">
        <v>-260.8673</v>
      </c>
      <c r="K6624">
        <v>1.116098</v>
      </c>
      <c r="L6624">
        <v>-61.895049999999998</v>
      </c>
      <c r="M6624">
        <v>0.99980709999999995</v>
      </c>
      <c r="N6624">
        <v>0</v>
      </c>
      <c r="O6624">
        <v>-1.8254369999999999E-2</v>
      </c>
      <c r="P6624">
        <v>0.9994075</v>
      </c>
      <c r="Q6624">
        <v>-1.6528070000000001E-3</v>
      </c>
      <c r="R6624">
        <v>-3.4383709999999998E-2</v>
      </c>
      <c r="S6624">
        <v>3.0081180000000001</v>
      </c>
      <c r="T6624">
        <v>-0.13190199999999999</v>
      </c>
      <c r="U6624">
        <v>0.1685181</v>
      </c>
      <c r="V6624">
        <v>1.603659E-2</v>
      </c>
      <c r="W6624">
        <v>5.8658419999999996E-3</v>
      </c>
      <c r="X6624">
        <v>0.99985420000000003</v>
      </c>
      <c r="Y6624">
        <v>-7.4061890000000005E-2</v>
      </c>
      <c r="Z6624">
        <v>2.4212180000000002E-3</v>
      </c>
      <c r="AA6624">
        <v>0.99725070000000005</v>
      </c>
      <c r="AB6624">
        <v>37</v>
      </c>
      <c r="AC6624">
        <v>25.2745999999999</v>
      </c>
      <c r="AD6624">
        <v>-1.1160994087080001</v>
      </c>
      <c r="AE6624">
        <v>1.42759999999999</v>
      </c>
      <c r="AF6624">
        <v>-1.88508189369255</v>
      </c>
      <c r="AG6624">
        <v>-1.1160994087080001</v>
      </c>
      <c r="AH6624">
        <v>25.195352799597099</v>
      </c>
      <c r="AI6624">
        <v>92.529360030155502</v>
      </c>
      <c r="AJ6624">
        <v>94.278819839914902</v>
      </c>
      <c r="AK6624">
        <v>25.290413486778199</v>
      </c>
      <c r="AL6624">
        <v>89.663910082986504</v>
      </c>
      <c r="AM6624">
        <v>89.081115878485605</v>
      </c>
      <c r="AN6624">
        <v>1.0000000007894101</v>
      </c>
    </row>
    <row r="6625" spans="1:40" x14ac:dyDescent="0.25">
      <c r="A6625" t="str">
        <f>"20190312154428136"</f>
        <v>20190312154428136</v>
      </c>
      <c r="B6625" t="str">
        <f>"1552376668124511"</f>
        <v>1552376668124511</v>
      </c>
      <c r="C6625" t="s">
        <v>40</v>
      </c>
      <c r="D6625">
        <v>4.7909709999999999</v>
      </c>
      <c r="E6625">
        <v>0.46585389999999999</v>
      </c>
      <c r="F6625" t="s">
        <v>77</v>
      </c>
      <c r="G6625">
        <v>-235.5626</v>
      </c>
      <c r="H6625" s="1">
        <v>-1.382088E-6</v>
      </c>
      <c r="I6625">
        <v>-60.416029999999999</v>
      </c>
      <c r="J6625">
        <v>-260.69240000000002</v>
      </c>
      <c r="K6625">
        <v>1.116045</v>
      </c>
      <c r="L6625">
        <v>-61.89584</v>
      </c>
      <c r="M6625">
        <v>0.99986079999999999</v>
      </c>
      <c r="N6625">
        <v>0</v>
      </c>
      <c r="O6625">
        <v>-1.5034280000000001E-2</v>
      </c>
      <c r="P6625">
        <v>0.99950470000000002</v>
      </c>
      <c r="Q6625">
        <v>-2.0146220000000002E-3</v>
      </c>
      <c r="R6625">
        <v>-3.140896E-2</v>
      </c>
      <c r="S6625">
        <v>3.0075989999999999</v>
      </c>
      <c r="T6625">
        <v>-0.1326543</v>
      </c>
      <c r="U6625">
        <v>0.175781299999999</v>
      </c>
      <c r="V6625">
        <v>1.6287690000000001E-2</v>
      </c>
      <c r="W6625">
        <v>5.5158500000000001E-3</v>
      </c>
      <c r="X6625">
        <v>0.99985210000000002</v>
      </c>
      <c r="Y6625">
        <v>-7.3263030000000007E-2</v>
      </c>
      <c r="Z6625">
        <v>2.2758169999999999E-3</v>
      </c>
      <c r="AA6625">
        <v>0.99731000000000003</v>
      </c>
      <c r="AB6625">
        <v>37</v>
      </c>
      <c r="AC6625">
        <v>25.129799999999999</v>
      </c>
      <c r="AD6625">
        <v>-1.116046382088</v>
      </c>
      <c r="AE6625">
        <v>1.4798099999999901</v>
      </c>
      <c r="AF6625">
        <v>-1.8538173187721001</v>
      </c>
      <c r="AG6625">
        <v>-1.116046382088</v>
      </c>
      <c r="AH6625">
        <v>25.055463543520201</v>
      </c>
      <c r="AI6625">
        <v>92.543498750581705</v>
      </c>
      <c r="AJ6625">
        <v>94.2315211164494</v>
      </c>
      <c r="AK6625">
        <v>25.1487266389179</v>
      </c>
      <c r="AL6625">
        <v>89.683963461790796</v>
      </c>
      <c r="AM6625">
        <v>89.066728609341396</v>
      </c>
      <c r="AN6625">
        <v>0.99999996766058297</v>
      </c>
    </row>
    <row r="6626" spans="1:40" x14ac:dyDescent="0.25">
      <c r="A6626" t="str">
        <f>"20190312154428146"</f>
        <v>20190312154428146</v>
      </c>
      <c r="B6626" t="str">
        <f>"1552376668134271"</f>
        <v>1552376668134271</v>
      </c>
      <c r="C6626" t="s">
        <v>40</v>
      </c>
      <c r="D6626">
        <v>4.7892349999999997</v>
      </c>
      <c r="E6626">
        <v>0.46600360000000002</v>
      </c>
      <c r="F6626" t="s">
        <v>77</v>
      </c>
      <c r="G6626">
        <v>-235.65209999999999</v>
      </c>
      <c r="H6626" s="1">
        <v>-1.414762E-6</v>
      </c>
      <c r="I6626">
        <v>-60.367440000000002</v>
      </c>
      <c r="J6626">
        <v>-260.51280000000003</v>
      </c>
      <c r="K6626">
        <v>1.1159859999999999</v>
      </c>
      <c r="L6626">
        <v>-61.896360000000001</v>
      </c>
      <c r="M6626">
        <v>0.99990460000000003</v>
      </c>
      <c r="N6626">
        <v>0</v>
      </c>
      <c r="O6626">
        <v>-1.1751080000000001E-2</v>
      </c>
      <c r="P6626">
        <v>0.99959030000000004</v>
      </c>
      <c r="Q6626">
        <v>-2.5498080000000002E-3</v>
      </c>
      <c r="R6626">
        <v>-2.8508550000000001E-2</v>
      </c>
      <c r="S6626">
        <v>3.0069889999999999</v>
      </c>
      <c r="T6626">
        <v>-0.13402139999999901</v>
      </c>
      <c r="U6626">
        <v>0.18353269999999999</v>
      </c>
      <c r="V6626">
        <v>1.6679019999999999E-2</v>
      </c>
      <c r="W6626">
        <v>4.9946740000000002E-3</v>
      </c>
      <c r="X6626">
        <v>0.99984839999999997</v>
      </c>
      <c r="Y6626">
        <v>-7.2563959999999997E-2</v>
      </c>
      <c r="Z6626">
        <v>2.1378360000000002E-3</v>
      </c>
      <c r="AA6626">
        <v>0.99736150000000001</v>
      </c>
      <c r="AB6626">
        <v>37</v>
      </c>
      <c r="AC6626">
        <v>24.860700000000001</v>
      </c>
      <c r="AD6626">
        <v>-1.1159874147619999</v>
      </c>
      <c r="AE6626">
        <v>1.5289199999999901</v>
      </c>
      <c r="AF6626">
        <v>-1.81731396998392</v>
      </c>
      <c r="AG6626">
        <v>-1.1159874147619999</v>
      </c>
      <c r="AH6626">
        <v>24.791248364700198</v>
      </c>
      <c r="AI6626">
        <v>92.570563128441407</v>
      </c>
      <c r="AJ6626">
        <v>94.192548568306705</v>
      </c>
      <c r="AK6626">
        <v>24.8828063822322</v>
      </c>
      <c r="AL6626">
        <v>89.713825064090301</v>
      </c>
      <c r="AM6626">
        <v>89.044306292664899</v>
      </c>
      <c r="AN6626">
        <v>0.99999997972954302</v>
      </c>
    </row>
    <row r="6627" spans="1:40" x14ac:dyDescent="0.25">
      <c r="A6627" t="str">
        <f>"20190312154428157"</f>
        <v>20190312154428157</v>
      </c>
      <c r="B6627" t="str">
        <f>"1552376668144031"</f>
        <v>1552376668144031</v>
      </c>
      <c r="C6627" t="s">
        <v>40</v>
      </c>
      <c r="D6627">
        <v>4.7934199999999896</v>
      </c>
      <c r="E6627">
        <v>0.46621839999999998</v>
      </c>
      <c r="F6627" t="s">
        <v>77</v>
      </c>
      <c r="G6627">
        <v>-235.9983</v>
      </c>
      <c r="H6627" s="1">
        <v>-1.568504E-6</v>
      </c>
      <c r="I6627">
        <v>-60.338000000000001</v>
      </c>
      <c r="J6627">
        <v>-260.33359999999999</v>
      </c>
      <c r="K6627">
        <v>1.11592</v>
      </c>
      <c r="L6627">
        <v>-61.896030000000003</v>
      </c>
      <c r="M6627">
        <v>0.99993690000000002</v>
      </c>
      <c r="N6627">
        <v>0</v>
      </c>
      <c r="O6627">
        <v>-8.556246E-3</v>
      </c>
      <c r="P6627">
        <v>0.99966820000000001</v>
      </c>
      <c r="Q6627">
        <v>-3.362341E-3</v>
      </c>
      <c r="R6627">
        <v>-2.5538269999999998E-2</v>
      </c>
      <c r="S6627">
        <v>3.0063170000000001</v>
      </c>
      <c r="T6627">
        <v>-0.13685820000000001</v>
      </c>
      <c r="U6627">
        <v>0.1911011</v>
      </c>
      <c r="V6627">
        <v>1.6916810000000001E-2</v>
      </c>
      <c r="W6627">
        <v>4.1907350000000001E-3</v>
      </c>
      <c r="X6627">
        <v>0.99984810000000002</v>
      </c>
      <c r="Y6627">
        <v>-7.189239E-2</v>
      </c>
      <c r="Z6627">
        <v>2.0228550000000001E-3</v>
      </c>
      <c r="AA6627">
        <v>0.99741040000000003</v>
      </c>
      <c r="AB6627">
        <v>37</v>
      </c>
      <c r="AC6627">
        <v>24.335299999999901</v>
      </c>
      <c r="AD6627">
        <v>-1.115921568504</v>
      </c>
      <c r="AE6627">
        <v>1.55803</v>
      </c>
      <c r="AF6627">
        <v>-1.7625062604897299</v>
      </c>
      <c r="AG6627">
        <v>-1.115921568504</v>
      </c>
      <c r="AH6627">
        <v>24.2702512380591</v>
      </c>
      <c r="AI6627">
        <v>92.6256432565458</v>
      </c>
      <c r="AJ6627">
        <v>94.153529755539594</v>
      </c>
      <c r="AK6627">
        <v>24.359737363605301</v>
      </c>
      <c r="AL6627">
        <v>89.759887864273296</v>
      </c>
      <c r="AM6627">
        <v>89.030683417817897</v>
      </c>
      <c r="AN6627">
        <v>0.999999981897013</v>
      </c>
    </row>
    <row r="6628" spans="1:40" x14ac:dyDescent="0.25">
      <c r="A6628" t="str">
        <f>"20190312154428169"</f>
        <v>20190312154428169</v>
      </c>
      <c r="B6628" t="str">
        <f>"1552376668164527"</f>
        <v>1552376668164527</v>
      </c>
      <c r="C6628" t="s">
        <v>40</v>
      </c>
      <c r="D6628">
        <v>4.8198699999999999</v>
      </c>
      <c r="E6628">
        <v>0.46666560000000001</v>
      </c>
      <c r="F6628" t="s">
        <v>77</v>
      </c>
      <c r="G6628">
        <v>-236.2157</v>
      </c>
      <c r="H6628" s="1">
        <v>-1.667681E-6</v>
      </c>
      <c r="I6628">
        <v>-60.304729999999999</v>
      </c>
      <c r="J6628">
        <v>-260.14490000000001</v>
      </c>
      <c r="K6628">
        <v>1.1158459999999999</v>
      </c>
      <c r="L6628">
        <v>-61.895479999999999</v>
      </c>
      <c r="M6628">
        <v>0.99995990000000001</v>
      </c>
      <c r="N6628">
        <v>0</v>
      </c>
      <c r="O6628">
        <v>-5.2160440000000004E-3</v>
      </c>
      <c r="P6628">
        <v>0.99973920000000005</v>
      </c>
      <c r="Q6628">
        <v>-3.7385410000000002E-3</v>
      </c>
      <c r="R6628">
        <v>-2.252908E-2</v>
      </c>
      <c r="S6628">
        <v>3.0056150000000001</v>
      </c>
      <c r="T6628">
        <v>-0.13906840000000001</v>
      </c>
      <c r="U6628">
        <v>0.19830320000000001</v>
      </c>
      <c r="V6628">
        <v>1.7253609999999999E-2</v>
      </c>
      <c r="W6628">
        <v>3.8245269999999999E-3</v>
      </c>
      <c r="X6628">
        <v>0.99984379999999995</v>
      </c>
      <c r="Y6628">
        <v>-7.0957270000000003E-2</v>
      </c>
      <c r="Z6628">
        <v>1.879892E-3</v>
      </c>
      <c r="AA6628">
        <v>0.99747759999999996</v>
      </c>
      <c r="AB6628">
        <v>37</v>
      </c>
      <c r="AC6628">
        <v>23.929200000000002</v>
      </c>
      <c r="AD6628">
        <v>-1.1158476676810001</v>
      </c>
      <c r="AE6628">
        <v>1.5907500000000001</v>
      </c>
      <c r="AF6628">
        <v>-1.7118414554691701</v>
      </c>
      <c r="AG6628">
        <v>-1.1158476676810001</v>
      </c>
      <c r="AH6628">
        <v>23.8689029573118</v>
      </c>
      <c r="AI6628">
        <v>92.669725296296207</v>
      </c>
      <c r="AJ6628">
        <v>94.102142697634704</v>
      </c>
      <c r="AK6628">
        <v>23.9562110019865</v>
      </c>
      <c r="AL6628">
        <v>89.780870203319495</v>
      </c>
      <c r="AM6628">
        <v>89.011384650784905</v>
      </c>
      <c r="AN6628">
        <v>0.99999996923162204</v>
      </c>
    </row>
    <row r="6629" spans="1:40" x14ac:dyDescent="0.25">
      <c r="A6629" t="str">
        <f>"20190312154428180"</f>
        <v>20190312154428180</v>
      </c>
      <c r="B6629" t="str">
        <f>"1552376668174287"</f>
        <v>1552376668174287</v>
      </c>
      <c r="C6629" t="s">
        <v>40</v>
      </c>
      <c r="D6629">
        <v>4.8106229999999996</v>
      </c>
      <c r="E6629">
        <v>0.46691959999999999</v>
      </c>
      <c r="F6629" t="s">
        <v>77</v>
      </c>
      <c r="G6629">
        <v>-236.2</v>
      </c>
      <c r="H6629" s="1">
        <v>-1.666789E-6</v>
      </c>
      <c r="I6629">
        <v>-60.271669999999901</v>
      </c>
      <c r="J6629">
        <v>-259.94819999999999</v>
      </c>
      <c r="K6629">
        <v>1.1157570000000001</v>
      </c>
      <c r="L6629">
        <v>-61.893920000000001</v>
      </c>
      <c r="M6629">
        <v>0.99997170000000002</v>
      </c>
      <c r="N6629">
        <v>0</v>
      </c>
      <c r="O6629">
        <v>-1.847209E-3</v>
      </c>
      <c r="P6629">
        <v>0.99980309999999994</v>
      </c>
      <c r="Q6629">
        <v>-3.8503579999999999E-3</v>
      </c>
      <c r="R6629">
        <v>-1.9461119999999998E-2</v>
      </c>
      <c r="S6629">
        <v>3.004883</v>
      </c>
      <c r="T6629">
        <v>-0.14002919999999999</v>
      </c>
      <c r="U6629">
        <v>0.2037659</v>
      </c>
      <c r="V6629">
        <v>1.7556370000000002E-2</v>
      </c>
      <c r="W6629">
        <v>3.7186699999999999E-3</v>
      </c>
      <c r="X6629">
        <v>0.99983889999999997</v>
      </c>
      <c r="Y6629">
        <v>-6.9422129999999999E-2</v>
      </c>
      <c r="Z6629">
        <v>1.700766E-3</v>
      </c>
      <c r="AA6629">
        <v>0.99758599999999997</v>
      </c>
      <c r="AB6629">
        <v>37</v>
      </c>
      <c r="AC6629">
        <v>23.748200000000001</v>
      </c>
      <c r="AD6629">
        <v>-1.1157586667889901</v>
      </c>
      <c r="AE6629">
        <v>1.62225</v>
      </c>
      <c r="AF6629">
        <v>-1.66246362585289</v>
      </c>
      <c r="AG6629">
        <v>-1.1157586667889901</v>
      </c>
      <c r="AH6629">
        <v>23.693105747926801</v>
      </c>
      <c r="AI6629">
        <v>92.689585027259199</v>
      </c>
      <c r="AJ6629">
        <v>94.013669240773794</v>
      </c>
      <c r="AK6629">
        <v>23.777551654706599</v>
      </c>
      <c r="AL6629">
        <v>89.786935399813899</v>
      </c>
      <c r="AM6629">
        <v>88.994035397545701</v>
      </c>
      <c r="AN6629">
        <v>0.999999940293676</v>
      </c>
    </row>
    <row r="6630" spans="1:40" x14ac:dyDescent="0.25">
      <c r="A6630" t="str">
        <f>"20190312154428191"</f>
        <v>20190312154428191</v>
      </c>
      <c r="B6630" t="str">
        <f>"1552376668184047"</f>
        <v>1552376668184047</v>
      </c>
      <c r="C6630" t="s">
        <v>40</v>
      </c>
      <c r="D6630">
        <v>4.8193429999999999</v>
      </c>
      <c r="E6630">
        <v>0.4671536</v>
      </c>
      <c r="F6630" t="s">
        <v>77</v>
      </c>
      <c r="G6630">
        <v>-236.04069999999999</v>
      </c>
      <c r="H6630" s="1">
        <v>-1.6084660000000001E-6</v>
      </c>
      <c r="I6630">
        <v>-60.215179999999997</v>
      </c>
      <c r="J6630">
        <v>-259.76530000000002</v>
      </c>
      <c r="K6630">
        <v>1.1156740000000001</v>
      </c>
      <c r="L6630">
        <v>-61.892150000000001</v>
      </c>
      <c r="M6630">
        <v>0.9999728</v>
      </c>
      <c r="N6630">
        <v>0</v>
      </c>
      <c r="O6630">
        <v>1.2511029999999999E-3</v>
      </c>
      <c r="P6630">
        <v>0.9998553</v>
      </c>
      <c r="Q6630">
        <v>-3.8890130000000002E-3</v>
      </c>
      <c r="R6630">
        <v>-1.656695E-2</v>
      </c>
      <c r="S6630">
        <v>3.0041500000000001</v>
      </c>
      <c r="T6630">
        <v>-0.14020279999999999</v>
      </c>
      <c r="U6630">
        <v>0.2109375</v>
      </c>
      <c r="V6630">
        <v>1.7761329999999999E-2</v>
      </c>
      <c r="W6630">
        <v>3.6848150000000001E-3</v>
      </c>
      <c r="X6630">
        <v>0.99983549999999999</v>
      </c>
      <c r="Y6630">
        <v>-6.872172E-2</v>
      </c>
      <c r="Z6630">
        <v>1.5424849999999999E-3</v>
      </c>
      <c r="AA6630">
        <v>0.99763460000000004</v>
      </c>
      <c r="AB6630">
        <v>37</v>
      </c>
      <c r="AC6630">
        <v>23.724599999999999</v>
      </c>
      <c r="AD6630">
        <v>-1.115675608466</v>
      </c>
      <c r="AE6630">
        <v>1.6769699999999901</v>
      </c>
      <c r="AF6630">
        <v>-1.64366915591115</v>
      </c>
      <c r="AG6630">
        <v>-1.115675608466</v>
      </c>
      <c r="AH6630">
        <v>23.6745845587571</v>
      </c>
      <c r="AI6630">
        <v>92.691623932060295</v>
      </c>
      <c r="AJ6630">
        <v>93.971534417942493</v>
      </c>
      <c r="AK6630">
        <v>23.757784711272201</v>
      </c>
      <c r="AL6630">
        <v>89.788875181805594</v>
      </c>
      <c r="AM6630">
        <v>88.982290365031005</v>
      </c>
      <c r="AN6630">
        <v>1.0000000348825999</v>
      </c>
    </row>
    <row r="6631" spans="1:40" x14ac:dyDescent="0.25">
      <c r="A6631" t="str">
        <f>"20190312154428202"</f>
        <v>20190312154428202</v>
      </c>
      <c r="B6631" t="str">
        <f>"1552376668193808"</f>
        <v>1552376668193808</v>
      </c>
      <c r="C6631" t="s">
        <v>40</v>
      </c>
      <c r="D6631">
        <v>4.8314409999999999</v>
      </c>
      <c r="E6631">
        <v>0.46701320000000002</v>
      </c>
      <c r="F6631" t="s">
        <v>77</v>
      </c>
      <c r="G6631">
        <v>-235.8699</v>
      </c>
      <c r="H6631" s="1">
        <v>-1.545074E-6</v>
      </c>
      <c r="I6631">
        <v>-60.159509999999997</v>
      </c>
      <c r="J6631">
        <v>-259.5847</v>
      </c>
      <c r="K6631">
        <v>1.115588</v>
      </c>
      <c r="L6631">
        <v>-61.889740000000003</v>
      </c>
      <c r="M6631">
        <v>0.99996450000000003</v>
      </c>
      <c r="N6631">
        <v>0</v>
      </c>
      <c r="O6631">
        <v>4.2349010000000001E-3</v>
      </c>
      <c r="P6631">
        <v>0.99990080000000003</v>
      </c>
      <c r="Q6631">
        <v>-4.0597709999999898E-3</v>
      </c>
      <c r="R6631">
        <v>-1.3489309999999999E-2</v>
      </c>
      <c r="S6631">
        <v>3.003479</v>
      </c>
      <c r="T6631">
        <v>-0.14023239999999901</v>
      </c>
      <c r="U6631">
        <v>0.21777340000000001</v>
      </c>
      <c r="V6631">
        <v>1.7670749999999999E-2</v>
      </c>
      <c r="W6631">
        <v>3.5131540000000001E-3</v>
      </c>
      <c r="X6631">
        <v>0.99983770000000005</v>
      </c>
      <c r="Y6631">
        <v>-6.8023529999999999E-2</v>
      </c>
      <c r="Z6631">
        <v>1.3877099999999999E-3</v>
      </c>
      <c r="AA6631">
        <v>0.99768279999999998</v>
      </c>
      <c r="AB6631">
        <v>37</v>
      </c>
      <c r="AC6631">
        <v>23.7148</v>
      </c>
      <c r="AD6631">
        <v>-1.1155895450740001</v>
      </c>
      <c r="AE6631">
        <v>1.7302299999999999</v>
      </c>
      <c r="AF6631">
        <v>-1.62620235306094</v>
      </c>
      <c r="AG6631">
        <v>-1.1155895450740001</v>
      </c>
      <c r="AH6631">
        <v>23.669812318926098</v>
      </c>
      <c r="AI6631">
        <v>92.692092205766599</v>
      </c>
      <c r="AJ6631">
        <v>93.930252740835201</v>
      </c>
      <c r="AK6631">
        <v>23.7518228635059</v>
      </c>
      <c r="AL6631">
        <v>89.798710691373699</v>
      </c>
      <c r="AM6631">
        <v>88.987481668880307</v>
      </c>
      <c r="AN6631">
        <v>1.0000000119989401</v>
      </c>
    </row>
    <row r="6632" spans="1:40" x14ac:dyDescent="0.25">
      <c r="A6632" t="str">
        <f>"20190312154428213"</f>
        <v>20190312154428213</v>
      </c>
      <c r="B6632" t="str">
        <f>"1552376668204543"</f>
        <v>1552376668204543</v>
      </c>
      <c r="C6632" t="s">
        <v>40</v>
      </c>
      <c r="D6632">
        <v>4.8279259999999997</v>
      </c>
      <c r="E6632">
        <v>0.46701320000000002</v>
      </c>
      <c r="F6632" t="s">
        <v>77</v>
      </c>
      <c r="G6632">
        <v>-235.5916</v>
      </c>
      <c r="H6632" s="1">
        <v>-1.441873E-6</v>
      </c>
      <c r="I6632">
        <v>-60.068179999999998</v>
      </c>
      <c r="J6632">
        <v>-259.3974</v>
      </c>
      <c r="K6632">
        <v>1.115494</v>
      </c>
      <c r="L6632">
        <v>-61.886839999999999</v>
      </c>
      <c r="M6632">
        <v>0.99994700000000003</v>
      </c>
      <c r="N6632">
        <v>0</v>
      </c>
      <c r="O6632">
        <v>7.2667130000000002E-3</v>
      </c>
      <c r="P6632">
        <v>0.99993399999999999</v>
      </c>
      <c r="Q6632">
        <v>-4.1073409999999996E-3</v>
      </c>
      <c r="R6632">
        <v>-1.0734499999999999E-2</v>
      </c>
      <c r="S6632">
        <v>3.0028079999999999</v>
      </c>
      <c r="T6632">
        <v>-0.1396194</v>
      </c>
      <c r="U6632">
        <v>0.22796630000000001</v>
      </c>
      <c r="V6632">
        <v>1.7948950000000002E-2</v>
      </c>
      <c r="W6632">
        <v>3.4697629999999998E-3</v>
      </c>
      <c r="X6632">
        <v>0.99983290000000002</v>
      </c>
      <c r="Y6632">
        <v>-6.8386199999999994E-2</v>
      </c>
      <c r="Z6632">
        <v>1.2495220000000001E-3</v>
      </c>
      <c r="AA6632">
        <v>0.99765809999999999</v>
      </c>
      <c r="AB6632">
        <v>37</v>
      </c>
      <c r="AC6632">
        <v>23.805800000000001</v>
      </c>
      <c r="AD6632">
        <v>-1.1154954418729901</v>
      </c>
      <c r="AE6632">
        <v>1.81865999999999</v>
      </c>
      <c r="AF6632">
        <v>-1.6420329949402801</v>
      </c>
      <c r="AG6632">
        <v>-1.1154954418729901</v>
      </c>
      <c r="AH6632">
        <v>23.766506486547598</v>
      </c>
      <c r="AI6632">
        <v>92.680858634561204</v>
      </c>
      <c r="AJ6632">
        <v>93.952296887367595</v>
      </c>
      <c r="AK6632">
        <v>23.849264831697099</v>
      </c>
      <c r="AL6632">
        <v>89.801196828460206</v>
      </c>
      <c r="AM6632">
        <v>88.971539516119407</v>
      </c>
      <c r="AN6632">
        <v>1.00000001599189</v>
      </c>
    </row>
    <row r="6633" spans="1:40" x14ac:dyDescent="0.25">
      <c r="A6633" t="str">
        <f>"20190312154428224"</f>
        <v>20190312154428224</v>
      </c>
      <c r="B6633" t="str">
        <f>"1552376668214303"</f>
        <v>1552376668214303</v>
      </c>
      <c r="C6633" t="s">
        <v>40</v>
      </c>
      <c r="D6633">
        <v>4.7448649999999999</v>
      </c>
      <c r="E6633">
        <v>0.43738490000000002</v>
      </c>
      <c r="F6633" t="s">
        <v>77</v>
      </c>
      <c r="G6633">
        <v>-235.46600000000001</v>
      </c>
      <c r="H6633" s="1">
        <v>-1.399404E-6</v>
      </c>
      <c r="I6633">
        <v>-60.003889999999998</v>
      </c>
      <c r="J6633">
        <v>-259.21069999999997</v>
      </c>
      <c r="K6633">
        <v>1.115402</v>
      </c>
      <c r="L6633">
        <v>-61.883450000000003</v>
      </c>
      <c r="M6633">
        <v>0.99992110000000001</v>
      </c>
      <c r="N6633">
        <v>0</v>
      </c>
      <c r="O6633">
        <v>1.0227099999999999E-2</v>
      </c>
      <c r="P6633">
        <v>0.99996079999999998</v>
      </c>
      <c r="Q6633">
        <v>-4.2093249999999999E-3</v>
      </c>
      <c r="R6633">
        <v>-7.7797719999999999E-3</v>
      </c>
      <c r="S6633">
        <v>3.002167</v>
      </c>
      <c r="T6633">
        <v>-0.13993749999999999</v>
      </c>
      <c r="U6633">
        <v>0.2362061</v>
      </c>
      <c r="V6633">
        <v>1.7957029999999999E-2</v>
      </c>
      <c r="W6633">
        <v>3.3672429999999998E-3</v>
      </c>
      <c r="X6633">
        <v>0.99983310000000003</v>
      </c>
      <c r="Y6633">
        <v>-6.8173650000000002E-2</v>
      </c>
      <c r="Z6633">
        <v>1.109879E-3</v>
      </c>
      <c r="AA6633">
        <v>0.99767289999999997</v>
      </c>
      <c r="AB6633">
        <v>37</v>
      </c>
      <c r="AC6633">
        <v>23.744699999999899</v>
      </c>
      <c r="AD6633">
        <v>-1.115403399404</v>
      </c>
      <c r="AE6633">
        <v>1.8795599999999899</v>
      </c>
      <c r="AF6633">
        <v>-1.6330347424443099</v>
      </c>
      <c r="AG6633">
        <v>-1.115403399404</v>
      </c>
      <c r="AH6633">
        <v>23.7106860458703</v>
      </c>
      <c r="AI6633">
        <v>92.686979300239898</v>
      </c>
      <c r="AJ6633">
        <v>93.939931274338804</v>
      </c>
      <c r="AK6633">
        <v>23.793014940928799</v>
      </c>
      <c r="AL6633">
        <v>89.807070824957606</v>
      </c>
      <c r="AM6633">
        <v>88.971076843863898</v>
      </c>
      <c r="AN6633">
        <v>1.0000000105537199</v>
      </c>
    </row>
    <row r="6634" spans="1:40" x14ac:dyDescent="0.25">
      <c r="A6634" t="str">
        <f>"20190312154428235"</f>
        <v>20190312154428235</v>
      </c>
      <c r="B6634" t="str">
        <f>"1552376668224064"</f>
        <v>1552376668224064</v>
      </c>
      <c r="C6634" t="s">
        <v>40</v>
      </c>
      <c r="D6634">
        <v>4.7515309999999999</v>
      </c>
      <c r="E6634">
        <v>0.43016840000000001</v>
      </c>
      <c r="F6634" t="s">
        <v>78</v>
      </c>
      <c r="G6634">
        <v>-217.26150000000001</v>
      </c>
      <c r="H6634" s="1">
        <v>-3.005106E-6</v>
      </c>
      <c r="I6634">
        <v>-55.191989999999997</v>
      </c>
      <c r="J6634">
        <v>-259.02289999999999</v>
      </c>
      <c r="K6634">
        <v>1.1153029999999999</v>
      </c>
      <c r="L6634">
        <v>-61.879429999999999</v>
      </c>
      <c r="M6634">
        <v>0.99988730000000003</v>
      </c>
      <c r="N6634">
        <v>0</v>
      </c>
      <c r="O6634">
        <v>1.311055E-2</v>
      </c>
      <c r="P6634">
        <v>0.99997769999999997</v>
      </c>
      <c r="Q6634">
        <v>-4.4349250000000002E-3</v>
      </c>
      <c r="R6634">
        <v>-4.9865489999999998E-3</v>
      </c>
      <c r="S6634">
        <v>3.0035099999999999</v>
      </c>
      <c r="T6634">
        <v>-7.9861520000000005E-2</v>
      </c>
      <c r="U6634">
        <v>0.47909550000000001</v>
      </c>
      <c r="V6634">
        <v>1.8051580000000001E-2</v>
      </c>
      <c r="W6634">
        <v>3.1426539999999999E-3</v>
      </c>
      <c r="X6634">
        <v>0.9998321</v>
      </c>
      <c r="Y6634">
        <v>-0.14451449999999999</v>
      </c>
      <c r="Z6634">
        <v>1.5626139999999999E-3</v>
      </c>
      <c r="AA6634">
        <v>0.98950150000000003</v>
      </c>
      <c r="AB6634">
        <v>37</v>
      </c>
      <c r="AC6634">
        <v>41.761399999999902</v>
      </c>
      <c r="AD6634">
        <v>-1.115306005106</v>
      </c>
      <c r="AE6634">
        <v>6.6874399999999996</v>
      </c>
      <c r="AF6634">
        <v>-6.1350692381094296</v>
      </c>
      <c r="AG6634">
        <v>-1.115306005106</v>
      </c>
      <c r="AH6634">
        <v>41.816409301433097</v>
      </c>
      <c r="AI6634">
        <v>91.511626963962001</v>
      </c>
      <c r="AJ6634">
        <v>98.346568673724903</v>
      </c>
      <c r="AK6634">
        <v>42.2787779968438</v>
      </c>
      <c r="AL6634">
        <v>89.819938889699799</v>
      </c>
      <c r="AM6634">
        <v>88.965659345685495</v>
      </c>
      <c r="AN6634">
        <v>0.99999998200253404</v>
      </c>
    </row>
    <row r="6635" spans="1:40" x14ac:dyDescent="0.25">
      <c r="A6635" t="str">
        <f>"20190312154428247"</f>
        <v>20190312154428247</v>
      </c>
      <c r="B6635" t="str">
        <f>"1552376668244559"</f>
        <v>1552376668244559</v>
      </c>
      <c r="C6635" t="s">
        <v>40</v>
      </c>
      <c r="D6635">
        <v>4.7415760000000002</v>
      </c>
      <c r="E6635">
        <v>0.42415239999999998</v>
      </c>
      <c r="F6635" t="s">
        <v>78</v>
      </c>
      <c r="G6635">
        <v>-211.44399999999999</v>
      </c>
      <c r="H6635" s="1">
        <v>-1.362527E-6</v>
      </c>
      <c r="I6635">
        <v>-53.24906</v>
      </c>
      <c r="J6635">
        <v>-258.82339999999999</v>
      </c>
      <c r="K6635">
        <v>1.115194</v>
      </c>
      <c r="L6635">
        <v>-61.874879999999997</v>
      </c>
      <c r="M6635">
        <v>0.99984309999999998</v>
      </c>
      <c r="N6635">
        <v>0</v>
      </c>
      <c r="O6635">
        <v>1.6132150000000001E-2</v>
      </c>
      <c r="P6635">
        <v>0.99998609999999999</v>
      </c>
      <c r="Q6635">
        <v>-4.6962540000000004E-3</v>
      </c>
      <c r="R6635">
        <v>-2.4268079999999999E-3</v>
      </c>
      <c r="S6635">
        <v>3.002472</v>
      </c>
      <c r="T6635">
        <v>-7.0381399999999997E-2</v>
      </c>
      <c r="U6635">
        <v>0.54461669999999995</v>
      </c>
      <c r="V6635">
        <v>1.8518079999999999E-2</v>
      </c>
      <c r="W6635">
        <v>2.8889779999999999E-3</v>
      </c>
      <c r="X6635">
        <v>0.9998243</v>
      </c>
      <c r="Y6635">
        <v>-0.1625414</v>
      </c>
      <c r="Z6635">
        <v>1.5145009999999999E-3</v>
      </c>
      <c r="AA6635">
        <v>0.98670049999999998</v>
      </c>
      <c r="AB6635">
        <v>38</v>
      </c>
      <c r="AC6635">
        <v>47.379399999999897</v>
      </c>
      <c r="AD6635">
        <v>-1.1151953625269999</v>
      </c>
      <c r="AE6635">
        <v>8.6258199999999992</v>
      </c>
      <c r="AF6635">
        <v>-7.8561326087894097</v>
      </c>
      <c r="AG6635">
        <v>-1.1151953625269999</v>
      </c>
      <c r="AH6635">
        <v>47.4869263414123</v>
      </c>
      <c r="AI6635">
        <v>91.327267510002997</v>
      </c>
      <c r="AJ6635">
        <v>99.393802639028905</v>
      </c>
      <c r="AK6635">
        <v>48.145307700940201</v>
      </c>
      <c r="AL6635">
        <v>89.834473514662307</v>
      </c>
      <c r="AM6635">
        <v>88.938927038475001</v>
      </c>
      <c r="AN6635">
        <v>0.99999994817562898</v>
      </c>
    </row>
    <row r="6636" spans="1:40" x14ac:dyDescent="0.25">
      <c r="A6636" t="str">
        <f>"20190312154428259"</f>
        <v>20190312154428259</v>
      </c>
      <c r="B6636" t="str">
        <f>"1552376668254319"</f>
        <v>1552376668254319</v>
      </c>
      <c r="C6636" t="s">
        <v>40</v>
      </c>
      <c r="D6636">
        <v>4.7425509999999997</v>
      </c>
      <c r="E6636">
        <v>0.42310940000000002</v>
      </c>
      <c r="F6636" t="s">
        <v>70</v>
      </c>
      <c r="G6636">
        <v>-208.46629999999999</v>
      </c>
      <c r="H6636" s="1">
        <v>-3.1599629999999999E-6</v>
      </c>
      <c r="I6636">
        <v>-51.804259999999999</v>
      </c>
      <c r="J6636">
        <v>-258.64620000000002</v>
      </c>
      <c r="K6636">
        <v>1.115094</v>
      </c>
      <c r="L6636">
        <v>-61.870060000000002</v>
      </c>
      <c r="M6636">
        <v>0.99979870000000004</v>
      </c>
      <c r="N6636">
        <v>0</v>
      </c>
      <c r="O6636">
        <v>1.868597E-2</v>
      </c>
      <c r="P6636">
        <v>0.99998969999999998</v>
      </c>
      <c r="Q6636">
        <v>-4.5513919999999996E-3</v>
      </c>
      <c r="R6636">
        <v>-1.5906420000000001E-4</v>
      </c>
      <c r="S6636">
        <v>3.0011899999999998</v>
      </c>
      <c r="T6636">
        <v>-6.6463590000000003E-2</v>
      </c>
      <c r="U6636">
        <v>0.60018919999999998</v>
      </c>
      <c r="V6636">
        <v>1.880329E-2</v>
      </c>
      <c r="W6636">
        <v>3.0401339999999999E-3</v>
      </c>
      <c r="X6636">
        <v>0.9998186</v>
      </c>
      <c r="Y6636">
        <v>-0.17770549999999999</v>
      </c>
      <c r="Z6636">
        <v>1.538675E-3</v>
      </c>
      <c r="AA6636">
        <v>0.98408249999999997</v>
      </c>
      <c r="AB6636">
        <v>38</v>
      </c>
      <c r="AC6636">
        <v>50.179900000000004</v>
      </c>
      <c r="AD6636">
        <v>-1.115097159963</v>
      </c>
      <c r="AE6636">
        <v>10.0657999999999</v>
      </c>
      <c r="AF6636">
        <v>-9.1220269336446496</v>
      </c>
      <c r="AG6636">
        <v>-1.115097159963</v>
      </c>
      <c r="AH6636">
        <v>50.3353375337961</v>
      </c>
      <c r="AI6636">
        <v>91.248752944706297</v>
      </c>
      <c r="AJ6636">
        <v>100.27194973998</v>
      </c>
      <c r="AK6636">
        <v>51.1673824002701</v>
      </c>
      <c r="AL6636">
        <v>89.825812887726499</v>
      </c>
      <c r="AM6636">
        <v>88.922582388137499</v>
      </c>
      <c r="AN6636">
        <v>1.0000000195177601</v>
      </c>
    </row>
    <row r="6637" spans="1:40" x14ac:dyDescent="0.25">
      <c r="A6637" t="str">
        <f>"20190312154428270"</f>
        <v>20190312154428270</v>
      </c>
      <c r="B6637" t="str">
        <f>"1552376668264080"</f>
        <v>1552376668264080</v>
      </c>
      <c r="C6637" t="s">
        <v>40</v>
      </c>
      <c r="D6637">
        <v>4.7196559999999996</v>
      </c>
      <c r="E6637">
        <v>0.4226992</v>
      </c>
      <c r="F6637" t="s">
        <v>70</v>
      </c>
      <c r="G6637">
        <v>-208.89490000000001</v>
      </c>
      <c r="H6637" s="1">
        <v>-2.9565290000000001E-6</v>
      </c>
      <c r="I6637">
        <v>-51.664400000000001</v>
      </c>
      <c r="J6637">
        <v>-258.4409</v>
      </c>
      <c r="K6637">
        <v>1.114978</v>
      </c>
      <c r="L6637">
        <v>-61.864260000000002</v>
      </c>
      <c r="M6637">
        <v>0.99973979999999996</v>
      </c>
      <c r="N6637">
        <v>0</v>
      </c>
      <c r="O6637">
        <v>2.1609529999999998E-2</v>
      </c>
      <c r="P6637">
        <v>0.99998690000000001</v>
      </c>
      <c r="Q6637">
        <v>-4.5143789999999998E-3</v>
      </c>
      <c r="R6637">
        <v>2.4522120000000001E-3</v>
      </c>
      <c r="S6637">
        <v>2.9997859999999998</v>
      </c>
      <c r="T6637">
        <v>-6.7235470000000006E-2</v>
      </c>
      <c r="U6637">
        <v>0.61535640000000003</v>
      </c>
      <c r="V6637">
        <v>1.911618E-2</v>
      </c>
      <c r="W6637">
        <v>3.0854340000000002E-3</v>
      </c>
      <c r="X6637">
        <v>0.99981249999999999</v>
      </c>
      <c r="Y6637">
        <v>-0.17969479999999999</v>
      </c>
      <c r="Z6637">
        <v>1.5137779999999999E-3</v>
      </c>
      <c r="AA6637">
        <v>0.98372130000000002</v>
      </c>
      <c r="AB6637">
        <v>38</v>
      </c>
      <c r="AC6637">
        <v>49.5459999999999</v>
      </c>
      <c r="AD6637">
        <v>-1.1149809565289901</v>
      </c>
      <c r="AE6637">
        <v>10.1998599999999</v>
      </c>
      <c r="AF6637">
        <v>-9.1223517487843893</v>
      </c>
      <c r="AG6637">
        <v>-1.1149809565289901</v>
      </c>
      <c r="AH6637">
        <v>49.730688757607197</v>
      </c>
      <c r="AI6637">
        <v>91.263306700915194</v>
      </c>
      <c r="AJ6637">
        <v>100.394496548208</v>
      </c>
      <c r="AK6637">
        <v>50.5727385877804</v>
      </c>
      <c r="AL6637">
        <v>89.823217371873199</v>
      </c>
      <c r="AM6637">
        <v>88.904651623560795</v>
      </c>
      <c r="AN6637">
        <v>0.99999999169850495</v>
      </c>
    </row>
    <row r="6638" spans="1:40" x14ac:dyDescent="0.25">
      <c r="A6638" t="str">
        <f>"20190312154428282"</f>
        <v>20190312154428282</v>
      </c>
      <c r="B6638" t="str">
        <f>"1552376668273839"</f>
        <v>1552376668273839</v>
      </c>
      <c r="C6638" t="s">
        <v>40</v>
      </c>
      <c r="D6638">
        <v>4.7227709999999998</v>
      </c>
      <c r="E6638">
        <v>0.42260300000000001</v>
      </c>
      <c r="F6638" t="s">
        <v>70</v>
      </c>
      <c r="G6638">
        <v>-207.93709999999999</v>
      </c>
      <c r="H6638" s="1">
        <v>-3.558513E-6</v>
      </c>
      <c r="I6638">
        <v>-51.312170000000002</v>
      </c>
      <c r="J6638">
        <v>-258.2353</v>
      </c>
      <c r="K6638">
        <v>1.1148530000000001</v>
      </c>
      <c r="L6638">
        <v>-61.857759999999999</v>
      </c>
      <c r="M6638">
        <v>0.99967519999999999</v>
      </c>
      <c r="N6638">
        <v>0</v>
      </c>
      <c r="O6638">
        <v>2.4412329999999999E-2</v>
      </c>
      <c r="P6638">
        <v>0.99998019999999999</v>
      </c>
      <c r="Q6638">
        <v>-4.1982900000000004E-3</v>
      </c>
      <c r="R6638">
        <v>4.7069130000000001E-3</v>
      </c>
      <c r="S6638">
        <v>2.9981990000000001</v>
      </c>
      <c r="T6638">
        <v>-6.619179E-2</v>
      </c>
      <c r="U6638">
        <v>0.6264343</v>
      </c>
      <c r="V6638">
        <v>1.9661419999999999E-2</v>
      </c>
      <c r="W6638">
        <v>3.415403E-3</v>
      </c>
      <c r="X6638">
        <v>0.99980089999999999</v>
      </c>
      <c r="Y6638">
        <v>-0.18052609999999999</v>
      </c>
      <c r="Z6638">
        <v>1.438461E-3</v>
      </c>
      <c r="AA6638">
        <v>0.98356909999999997</v>
      </c>
      <c r="AB6638">
        <v>38</v>
      </c>
      <c r="AC6638">
        <v>50.298200000000001</v>
      </c>
      <c r="AD6638">
        <v>-1.1148565585129999</v>
      </c>
      <c r="AE6638">
        <v>10.545589999999899</v>
      </c>
      <c r="AF6638">
        <v>-9.3101365222797998</v>
      </c>
      <c r="AG6638">
        <v>-1.1148565585129999</v>
      </c>
      <c r="AH6638">
        <v>50.516885226212203</v>
      </c>
      <c r="AI6638">
        <v>91.243322647535294</v>
      </c>
      <c r="AJ6638">
        <v>100.44229590425201</v>
      </c>
      <c r="AK6638">
        <v>51.379735695776503</v>
      </c>
      <c r="AL6638">
        <v>89.804311449753499</v>
      </c>
      <c r="AM6638">
        <v>88.873404493419798</v>
      </c>
      <c r="AN6638">
        <v>1.0000000380274301</v>
      </c>
    </row>
    <row r="6639" spans="1:40" x14ac:dyDescent="0.25">
      <c r="A6639" t="str">
        <f>"20190312154428294"</f>
        <v>20190312154428294</v>
      </c>
      <c r="B6639" t="str">
        <f>"1552376668283599"</f>
        <v>1552376668283599</v>
      </c>
      <c r="C6639" t="s">
        <v>40</v>
      </c>
      <c r="D6639">
        <v>4.7586149999999998</v>
      </c>
      <c r="E6639">
        <v>0.42283159999999997</v>
      </c>
      <c r="F6639" t="s">
        <v>70</v>
      </c>
      <c r="G6639">
        <v>-206.41929999999999</v>
      </c>
      <c r="H6639" s="1">
        <v>-4.4806519999999997E-6</v>
      </c>
      <c r="I6639">
        <v>-50.897199999999998</v>
      </c>
      <c r="J6639">
        <v>-258.0498</v>
      </c>
      <c r="K6639">
        <v>1.114743</v>
      </c>
      <c r="L6639">
        <v>-61.851500000000001</v>
      </c>
      <c r="M6639">
        <v>0.99961199999999995</v>
      </c>
      <c r="N6639">
        <v>0</v>
      </c>
      <c r="O6639">
        <v>2.686771E-2</v>
      </c>
      <c r="P6639">
        <v>0.99997259999999999</v>
      </c>
      <c r="Q6639">
        <v>-3.9248449999999997E-3</v>
      </c>
      <c r="R6639">
        <v>6.2763410000000004E-3</v>
      </c>
      <c r="S6639">
        <v>2.9968110000000001</v>
      </c>
      <c r="T6639">
        <v>-6.4478519999999998E-2</v>
      </c>
      <c r="U6639">
        <v>0.63391109999999995</v>
      </c>
      <c r="V6639">
        <v>2.0545040000000001E-2</v>
      </c>
      <c r="W6639">
        <v>3.7072260000000001E-3</v>
      </c>
      <c r="X6639">
        <v>0.99978199999999995</v>
      </c>
      <c r="Y6639">
        <v>-0.18055389999999999</v>
      </c>
      <c r="Z6639">
        <v>1.349652E-3</v>
      </c>
      <c r="AA6639">
        <v>0.9835642</v>
      </c>
      <c r="AB6639">
        <v>38</v>
      </c>
      <c r="AC6639">
        <v>51.630499999999998</v>
      </c>
      <c r="AD6639">
        <v>-1.1147474806519999</v>
      </c>
      <c r="AE6639">
        <v>10.9543</v>
      </c>
      <c r="AF6639">
        <v>-9.55885045944353</v>
      </c>
      <c r="AG6639">
        <v>-1.1147474806519999</v>
      </c>
      <c r="AH6639">
        <v>51.883040916600102</v>
      </c>
      <c r="AI6639">
        <v>91.210488365452505</v>
      </c>
      <c r="AJ6639">
        <v>100.439022124109</v>
      </c>
      <c r="AK6639">
        <v>52.768022691827497</v>
      </c>
      <c r="AL6639">
        <v>89.787591098243198</v>
      </c>
      <c r="AM6639">
        <v>88.8227649347441</v>
      </c>
      <c r="AN6639">
        <v>0.99999994485860599</v>
      </c>
    </row>
    <row r="6640" spans="1:40" x14ac:dyDescent="0.25">
      <c r="A6640" t="str">
        <f>"20190312154428307"</f>
        <v>20190312154428307</v>
      </c>
      <c r="B6640" t="str">
        <f>"1552376668294336"</f>
        <v>1552376668294336</v>
      </c>
      <c r="C6640" t="s">
        <v>40</v>
      </c>
      <c r="D6640">
        <v>4.7798480000000003</v>
      </c>
      <c r="E6640">
        <v>0.42308410000000002</v>
      </c>
      <c r="F6640" t="s">
        <v>70</v>
      </c>
      <c r="G6640">
        <v>-205.39709999999999</v>
      </c>
      <c r="H6640" s="1">
        <v>-5.0923630000000002E-6</v>
      </c>
      <c r="I6640">
        <v>-50.659889999999997</v>
      </c>
      <c r="J6640">
        <v>-257.83170000000001</v>
      </c>
      <c r="K6640">
        <v>1.1146100000000001</v>
      </c>
      <c r="L6640">
        <v>-61.843719999999998</v>
      </c>
      <c r="M6640">
        <v>0.99953210000000003</v>
      </c>
      <c r="N6640">
        <v>0</v>
      </c>
      <c r="O6640">
        <v>2.968399E-2</v>
      </c>
      <c r="P6640">
        <v>0.99995880000000004</v>
      </c>
      <c r="Q6640">
        <v>-3.6956570000000002E-3</v>
      </c>
      <c r="R6640">
        <v>8.2916729999999994E-3</v>
      </c>
      <c r="S6640">
        <v>2.9958339999999999</v>
      </c>
      <c r="T6640">
        <v>-6.3426850000000007E-2</v>
      </c>
      <c r="U6640">
        <v>0.63677980000000001</v>
      </c>
      <c r="V6640">
        <v>2.1344999999999999E-2</v>
      </c>
      <c r="W6640">
        <v>3.9561329999999997E-3</v>
      </c>
      <c r="X6640">
        <v>0.99976430000000005</v>
      </c>
      <c r="Y6640">
        <v>-0.17875060000000001</v>
      </c>
      <c r="Z6640">
        <v>1.2502049999999999E-3</v>
      </c>
      <c r="AA6640">
        <v>0.98389360000000003</v>
      </c>
      <c r="AB6640">
        <v>38</v>
      </c>
      <c r="AC6640">
        <v>52.434600000000003</v>
      </c>
      <c r="AD6640">
        <v>-1.114615092363</v>
      </c>
      <c r="AE6640">
        <v>11.183829999999899</v>
      </c>
      <c r="AF6640">
        <v>-9.6182338003941901</v>
      </c>
      <c r="AG6640">
        <v>-1.114615092363</v>
      </c>
      <c r="AH6640">
        <v>52.720695988731698</v>
      </c>
      <c r="AI6640">
        <v>91.191500059444607</v>
      </c>
      <c r="AJ6640">
        <v>100.33919346134201</v>
      </c>
      <c r="AK6640">
        <v>53.602467982168797</v>
      </c>
      <c r="AL6640">
        <v>89.773329675066606</v>
      </c>
      <c r="AM6640">
        <v>88.776919076234904</v>
      </c>
      <c r="AN6640">
        <v>0.99999995778390005</v>
      </c>
    </row>
    <row r="6641" spans="1:40" x14ac:dyDescent="0.25">
      <c r="A6641" t="str">
        <f>"20190312154428316"</f>
        <v>20190312154428316</v>
      </c>
      <c r="B6641" t="str">
        <f>"1552376668313856"</f>
        <v>1552376668313856</v>
      </c>
      <c r="C6641" t="s">
        <v>40</v>
      </c>
      <c r="D6641">
        <v>4.7934869999999998</v>
      </c>
      <c r="E6641">
        <v>0.42334690000000003</v>
      </c>
      <c r="F6641" t="s">
        <v>70</v>
      </c>
      <c r="G6641">
        <v>-205.31540000000001</v>
      </c>
      <c r="H6641" s="1">
        <v>-5.1495329999999998E-6</v>
      </c>
      <c r="I6641">
        <v>-50.603580000000001</v>
      </c>
      <c r="J6641">
        <v>-257.66969999999998</v>
      </c>
      <c r="K6641">
        <v>1.114511</v>
      </c>
      <c r="L6641">
        <v>-61.837400000000002</v>
      </c>
      <c r="M6641">
        <v>0.99947109999999995</v>
      </c>
      <c r="N6641">
        <v>0</v>
      </c>
      <c r="O6641">
        <v>3.1670860000000002E-2</v>
      </c>
      <c r="P6641">
        <v>0.99994899999999998</v>
      </c>
      <c r="Q6641">
        <v>-3.6141369999999999E-3</v>
      </c>
      <c r="R6641">
        <v>9.4267819999999999E-3</v>
      </c>
      <c r="S6641">
        <v>2.9945680000000001</v>
      </c>
      <c r="T6641">
        <v>-6.3557150000000007E-2</v>
      </c>
      <c r="U6641">
        <v>0.64093020000000001</v>
      </c>
      <c r="V6641">
        <v>2.2197169999999999E-2</v>
      </c>
      <c r="W6641">
        <v>4.0562690000000004E-3</v>
      </c>
      <c r="X6641">
        <v>0.99974540000000001</v>
      </c>
      <c r="Y6641">
        <v>-0.17818410000000001</v>
      </c>
      <c r="Z6641">
        <v>1.2055589999999999E-3</v>
      </c>
      <c r="AA6641">
        <v>0.98399650000000005</v>
      </c>
      <c r="AB6641">
        <v>38</v>
      </c>
      <c r="AC6641">
        <v>52.354299999999903</v>
      </c>
      <c r="AD6641">
        <v>-1.114516149533</v>
      </c>
      <c r="AE6641">
        <v>11.23382</v>
      </c>
      <c r="AF6641">
        <v>-9.5658891679067395</v>
      </c>
      <c r="AG6641">
        <v>-1.114516149533</v>
      </c>
      <c r="AH6641">
        <v>52.661015236032299</v>
      </c>
      <c r="AI6641">
        <v>91.192909554518096</v>
      </c>
      <c r="AJ6641">
        <v>100.295535028931</v>
      </c>
      <c r="AK6641">
        <v>53.534389951785798</v>
      </c>
      <c r="AL6641">
        <v>89.767592272190299</v>
      </c>
      <c r="AM6641">
        <v>88.728080934603696</v>
      </c>
      <c r="AN6641">
        <v>1.0000000162476801</v>
      </c>
    </row>
    <row r="6642" spans="1:40" x14ac:dyDescent="0.25">
      <c r="A6642" t="str">
        <f>"20190312154428325"</f>
        <v>20190312154428325</v>
      </c>
      <c r="B6642" t="str">
        <f>"1552376668313856"</f>
        <v>1552376668313856</v>
      </c>
      <c r="C6642" t="s">
        <v>40</v>
      </c>
      <c r="D6642">
        <v>4.7934869999999998</v>
      </c>
      <c r="E6642">
        <v>0.42334690000000003</v>
      </c>
      <c r="F6642" t="s">
        <v>70</v>
      </c>
      <c r="G6642">
        <v>-205.0256</v>
      </c>
      <c r="H6642" s="1">
        <v>-5.3211980000000003E-6</v>
      </c>
      <c r="I6642">
        <v>-50.5441</v>
      </c>
      <c r="J6642">
        <v>-257.51310000000001</v>
      </c>
      <c r="K6642">
        <v>1.114412</v>
      </c>
      <c r="L6642">
        <v>-61.831240000000001</v>
      </c>
      <c r="M6642">
        <v>0.99940870000000004</v>
      </c>
      <c r="N6642">
        <v>0</v>
      </c>
      <c r="O6642">
        <v>3.3578459999999997E-2</v>
      </c>
      <c r="P6642">
        <v>0.99993909999999997</v>
      </c>
      <c r="Q6642">
        <v>-3.7613859999999998E-3</v>
      </c>
      <c r="R6642">
        <v>1.037303E-2</v>
      </c>
      <c r="S6642">
        <v>2.9938349999999998</v>
      </c>
      <c r="T6642">
        <v>-6.3381789999999993E-2</v>
      </c>
      <c r="U6642">
        <v>0.64224239999999999</v>
      </c>
      <c r="V6642">
        <v>2.3161899999999999E-2</v>
      </c>
      <c r="W6642">
        <v>3.9289529999999998E-3</v>
      </c>
      <c r="X6642">
        <v>0.99972399999999995</v>
      </c>
      <c r="Y6642">
        <v>-0.17676829999999999</v>
      </c>
      <c r="Z6642">
        <v>1.1478079999999999E-3</v>
      </c>
      <c r="AA6642">
        <v>0.98425180000000001</v>
      </c>
      <c r="AB6642">
        <v>38</v>
      </c>
      <c r="AC6642">
        <v>52.487499999999997</v>
      </c>
      <c r="AD6642">
        <v>-1.114417321198</v>
      </c>
      <c r="AE6642">
        <v>11.2871399999999</v>
      </c>
      <c r="AF6642">
        <v>-9.5141775835077294</v>
      </c>
      <c r="AG6642">
        <v>-1.114417321198</v>
      </c>
      <c r="AH6642">
        <v>52.814158736354997</v>
      </c>
      <c r="AI6642">
        <v>91.189659733597196</v>
      </c>
      <c r="AJ6642">
        <v>100.21199016214401</v>
      </c>
      <c r="AK6642">
        <v>53.675849914884502</v>
      </c>
      <c r="AL6642">
        <v>89.774886994502097</v>
      </c>
      <c r="AM6642">
        <v>88.672791943990006</v>
      </c>
      <c r="AN6642">
        <v>0.99999999322964295</v>
      </c>
    </row>
    <row r="6643" spans="1:40" x14ac:dyDescent="0.25">
      <c r="A6643" t="str">
        <f>"20190312154428336"</f>
        <v>20190312154428336</v>
      </c>
      <c r="B6643" t="str">
        <f>"1552376668334351"</f>
        <v>1552376668334351</v>
      </c>
      <c r="C6643" t="s">
        <v>40</v>
      </c>
      <c r="D6643">
        <v>4.8093219999999999</v>
      </c>
      <c r="E6643">
        <v>0.42411349999999998</v>
      </c>
      <c r="F6643" t="s">
        <v>70</v>
      </c>
      <c r="G6643">
        <v>-205.23070000000001</v>
      </c>
      <c r="H6643" s="1">
        <v>-5.2046460000000001E-6</v>
      </c>
      <c r="I6643">
        <v>-50.563789999999997</v>
      </c>
      <c r="J6643">
        <v>-257.33440000000002</v>
      </c>
      <c r="K6643">
        <v>1.114296</v>
      </c>
      <c r="L6643">
        <v>-61.8236699999999</v>
      </c>
      <c r="M6643">
        <v>0.99933700000000003</v>
      </c>
      <c r="N6643">
        <v>0</v>
      </c>
      <c r="O6643">
        <v>3.5645040000000003E-2</v>
      </c>
      <c r="P6643">
        <v>0.99992499999999995</v>
      </c>
      <c r="Q6643">
        <v>-3.7505220000000001E-3</v>
      </c>
      <c r="R6643">
        <v>1.166205E-2</v>
      </c>
      <c r="S6643">
        <v>2.9932560000000001</v>
      </c>
      <c r="T6643">
        <v>-6.3802239999999996E-2</v>
      </c>
      <c r="U6643">
        <v>0.6450806</v>
      </c>
      <c r="V6643">
        <v>2.3941090000000002E-2</v>
      </c>
      <c r="W6643">
        <v>3.9613790000000001E-3</v>
      </c>
      <c r="X6643">
        <v>0.99970550000000002</v>
      </c>
      <c r="Y6643">
        <v>-0.17566419999999999</v>
      </c>
      <c r="Z6643">
        <v>1.10045E-3</v>
      </c>
      <c r="AA6643">
        <v>0.98444949999999998</v>
      </c>
      <c r="AB6643">
        <v>38</v>
      </c>
      <c r="AC6643">
        <v>52.103700000000003</v>
      </c>
      <c r="AD6643">
        <v>-1.1143012046459999</v>
      </c>
      <c r="AE6643">
        <v>11.2598799999999</v>
      </c>
      <c r="AF6643">
        <v>-9.3913308976433605</v>
      </c>
      <c r="AG6643">
        <v>-1.1143012046459999</v>
      </c>
      <c r="AH6643">
        <v>52.449038577158099</v>
      </c>
      <c r="AI6643">
        <v>91.198041006755204</v>
      </c>
      <c r="AJ6643">
        <v>100.151592098195</v>
      </c>
      <c r="AK6643">
        <v>53.294844130290201</v>
      </c>
      <c r="AL6643">
        <v>89.773029103519406</v>
      </c>
      <c r="AM6643">
        <v>88.628134715514705</v>
      </c>
      <c r="AN6643">
        <v>0.99999997752210901</v>
      </c>
    </row>
    <row r="6644" spans="1:40" x14ac:dyDescent="0.25">
      <c r="A6644" t="str">
        <f>"20190312154428347"</f>
        <v>20190312154428347</v>
      </c>
      <c r="B6644" t="str">
        <f>"1552376668344113"</f>
        <v>1552376668344113</v>
      </c>
      <c r="C6644" t="s">
        <v>40</v>
      </c>
      <c r="D6644">
        <v>4.7745160000000002</v>
      </c>
      <c r="E6644">
        <v>0.42441849999999998</v>
      </c>
      <c r="F6644" t="s">
        <v>70</v>
      </c>
      <c r="G6644">
        <v>-207.8201</v>
      </c>
      <c r="H6644" s="1">
        <v>-3.6507419999999999E-6</v>
      </c>
      <c r="I6644">
        <v>-51.184840000000001</v>
      </c>
      <c r="J6644">
        <v>-257.14229999999998</v>
      </c>
      <c r="K6644">
        <v>1.1141700000000001</v>
      </c>
      <c r="L6644">
        <v>-61.815429999999999</v>
      </c>
      <c r="M6644">
        <v>0.99925640000000004</v>
      </c>
      <c r="N6644">
        <v>0</v>
      </c>
      <c r="O6644">
        <v>3.7835010000000002E-2</v>
      </c>
      <c r="P6644">
        <v>0.99991370000000002</v>
      </c>
      <c r="Q6644">
        <v>-3.8419420000000001E-3</v>
      </c>
      <c r="R6644">
        <v>1.2575869999999999E-2</v>
      </c>
      <c r="S6644">
        <v>2.9924770000000001</v>
      </c>
      <c r="T6644">
        <v>-6.7344429999999997E-2</v>
      </c>
      <c r="U6644">
        <v>0.64297490000000002</v>
      </c>
      <c r="V6644">
        <v>2.5220349999999999E-2</v>
      </c>
      <c r="W6644">
        <v>3.8989129999999999E-3</v>
      </c>
      <c r="X6644">
        <v>0.99967430000000002</v>
      </c>
      <c r="Y6644">
        <v>-0.17289450000000001</v>
      </c>
      <c r="Z6644">
        <v>1.082494E-3</v>
      </c>
      <c r="AA6644">
        <v>0.98493980000000003</v>
      </c>
      <c r="AB6644">
        <v>38</v>
      </c>
      <c r="AC6644">
        <v>49.322199999999903</v>
      </c>
      <c r="AD6644">
        <v>-1.1141736507419999</v>
      </c>
      <c r="AE6644">
        <v>10.63059</v>
      </c>
      <c r="AF6644">
        <v>-8.7525525696872997</v>
      </c>
      <c r="AG6644">
        <v>-1.1141736507419999</v>
      </c>
      <c r="AH6644">
        <v>49.664884265681003</v>
      </c>
      <c r="AI6644">
        <v>91.265650911600403</v>
      </c>
      <c r="AJ6644">
        <v>99.994733973033505</v>
      </c>
      <c r="AK6644">
        <v>50.442534517336</v>
      </c>
      <c r="AL6644">
        <v>89.776608171483801</v>
      </c>
      <c r="AM6644">
        <v>88.554816149397894</v>
      </c>
      <c r="AN6644">
        <v>0.99999998682859603</v>
      </c>
    </row>
    <row r="6645" spans="1:40" x14ac:dyDescent="0.25">
      <c r="A6645" t="str">
        <f>"20190312154428359"</f>
        <v>20190312154428359</v>
      </c>
      <c r="B6645" t="str">
        <f>"1552376668353871"</f>
        <v>1552376668353871</v>
      </c>
      <c r="C6645" t="s">
        <v>40</v>
      </c>
      <c r="D6645">
        <v>4.7784319999999996</v>
      </c>
      <c r="E6645">
        <v>0.42483120000000002</v>
      </c>
      <c r="F6645" t="s">
        <v>70</v>
      </c>
      <c r="G6645">
        <v>-209.27760000000001</v>
      </c>
      <c r="H6645" s="1">
        <v>-2.7785320000000002E-6</v>
      </c>
      <c r="I6645">
        <v>-51.52308</v>
      </c>
      <c r="J6645">
        <v>-256.9468</v>
      </c>
      <c r="K6645">
        <v>1.1140369999999999</v>
      </c>
      <c r="L6645">
        <v>-61.806370000000001</v>
      </c>
      <c r="M6645">
        <v>0.99917529999999999</v>
      </c>
      <c r="N6645">
        <v>0</v>
      </c>
      <c r="O6645">
        <v>3.9913209999999998E-2</v>
      </c>
      <c r="P6645">
        <v>0.99990120000000005</v>
      </c>
      <c r="Q6645">
        <v>-4.0217680000000002E-3</v>
      </c>
      <c r="R6645">
        <v>1.347479E-2</v>
      </c>
      <c r="S6645">
        <v>2.9918670000000001</v>
      </c>
      <c r="T6645">
        <v>-6.9643380000000005E-2</v>
      </c>
      <c r="U6645">
        <v>0.6433411</v>
      </c>
      <c r="V6645">
        <v>2.6403889999999999E-2</v>
      </c>
      <c r="W6645">
        <v>3.7530020000000001E-3</v>
      </c>
      <c r="X6645">
        <v>0.99964430000000004</v>
      </c>
      <c r="Y6645">
        <v>-0.17100099999999999</v>
      </c>
      <c r="Z6645">
        <v>1.0501620000000001E-3</v>
      </c>
      <c r="AA6645">
        <v>0.98527030000000004</v>
      </c>
      <c r="AB6645">
        <v>38</v>
      </c>
      <c r="AC6645">
        <v>47.669199999999897</v>
      </c>
      <c r="AD6645">
        <v>-1.114039778532</v>
      </c>
      <c r="AE6645">
        <v>10.2832899999999</v>
      </c>
      <c r="AF6645">
        <v>-8.3680444455892093</v>
      </c>
      <c r="AG6645">
        <v>-1.114039778532</v>
      </c>
      <c r="AH6645">
        <v>48.0166042792372</v>
      </c>
      <c r="AI6645">
        <v>91.309360917562003</v>
      </c>
      <c r="AJ6645">
        <v>99.885878401522206</v>
      </c>
      <c r="AK6645">
        <v>48.753046458455998</v>
      </c>
      <c r="AL6645">
        <v>89.784968317628199</v>
      </c>
      <c r="AM6645">
        <v>88.486982027407507</v>
      </c>
      <c r="AN6645">
        <v>0.99999998847681704</v>
      </c>
    </row>
    <row r="6646" spans="1:40" x14ac:dyDescent="0.25">
      <c r="A6646" t="str">
        <f>"20190312154428370"</f>
        <v>20190312154428370</v>
      </c>
      <c r="B6646" t="str">
        <f>"1552376668364608"</f>
        <v>1552376668364608</v>
      </c>
      <c r="C6646" t="s">
        <v>40</v>
      </c>
      <c r="D6646">
        <v>4.7899570000000002</v>
      </c>
      <c r="E6646">
        <v>0.42519030000000002</v>
      </c>
      <c r="F6646" t="s">
        <v>78</v>
      </c>
      <c r="G6646">
        <v>-210.2852</v>
      </c>
      <c r="H6646" s="1">
        <v>-1.358931E-6</v>
      </c>
      <c r="I6646">
        <v>-51.780430000000003</v>
      </c>
      <c r="J6646">
        <v>-256.76049999999998</v>
      </c>
      <c r="K6646">
        <v>1.113907</v>
      </c>
      <c r="L6646">
        <v>-61.797640000000001</v>
      </c>
      <c r="M6646">
        <v>0.99909539999999997</v>
      </c>
      <c r="N6646">
        <v>0</v>
      </c>
      <c r="O6646">
        <v>4.1859649999999998E-2</v>
      </c>
      <c r="P6646">
        <v>0.99989059999999996</v>
      </c>
      <c r="Q6646">
        <v>-4.1275230000000001E-3</v>
      </c>
      <c r="R6646">
        <v>1.420594E-2</v>
      </c>
      <c r="S6646">
        <v>2.9913479999999999</v>
      </c>
      <c r="T6646">
        <v>-7.1417809999999998E-2</v>
      </c>
      <c r="U6646">
        <v>0.64273069999999999</v>
      </c>
      <c r="V6646">
        <v>2.7622420000000002E-2</v>
      </c>
      <c r="W6646">
        <v>3.6814759999999999E-3</v>
      </c>
      <c r="X6646">
        <v>0.99961169999999999</v>
      </c>
      <c r="Y6646">
        <v>-0.1689234</v>
      </c>
      <c r="Z6646">
        <v>1.006786E-3</v>
      </c>
      <c r="AA6646">
        <v>0.98562870000000002</v>
      </c>
      <c r="AB6646">
        <v>38</v>
      </c>
      <c r="AC6646">
        <v>46.475299999999898</v>
      </c>
      <c r="AD6646">
        <v>-1.1139083589309999</v>
      </c>
      <c r="AE6646">
        <v>10.01721</v>
      </c>
      <c r="AF6646">
        <v>-8.0585112917143693</v>
      </c>
      <c r="AG6646">
        <v>-1.1139083589309999</v>
      </c>
      <c r="AH6646">
        <v>46.828184464878397</v>
      </c>
      <c r="AI6646">
        <v>91.342913525986802</v>
      </c>
      <c r="AJ6646">
        <v>99.764210235456403</v>
      </c>
      <c r="AK6646">
        <v>47.529561920424399</v>
      </c>
      <c r="AL6646">
        <v>89.789066497117702</v>
      </c>
      <c r="AM6646">
        <v>88.417139936973399</v>
      </c>
      <c r="AN6646">
        <v>1.0000000510645399</v>
      </c>
    </row>
    <row r="6647" spans="1:40" x14ac:dyDescent="0.25">
      <c r="A6647" t="str">
        <f>"20190312154428382"</f>
        <v>20190312154428382</v>
      </c>
      <c r="B6647" t="str">
        <f>"1552376668374367"</f>
        <v>1552376668374367</v>
      </c>
      <c r="C6647" t="s">
        <v>40</v>
      </c>
      <c r="D6647">
        <v>4.9603840000000003</v>
      </c>
      <c r="E6647">
        <v>0.4255215</v>
      </c>
      <c r="F6647" t="s">
        <v>78</v>
      </c>
      <c r="G6647">
        <v>-210.9581</v>
      </c>
      <c r="H6647" s="1">
        <v>-1.538916E-6</v>
      </c>
      <c r="I6647">
        <v>-51.964689999999997</v>
      </c>
      <c r="J6647">
        <v>-256.55990000000003</v>
      </c>
      <c r="K6647">
        <v>1.1137649999999999</v>
      </c>
      <c r="L6647">
        <v>-61.787750000000003</v>
      </c>
      <c r="M6647">
        <v>0.99901090000000003</v>
      </c>
      <c r="N6647">
        <v>0</v>
      </c>
      <c r="O6647">
        <v>4.3825290000000003E-2</v>
      </c>
      <c r="P6647">
        <v>0.99987979999999999</v>
      </c>
      <c r="Q6647">
        <v>-4.7636670000000001E-3</v>
      </c>
      <c r="R6647">
        <v>1.4756979999999999E-2</v>
      </c>
      <c r="S6647">
        <v>2.9909059999999998</v>
      </c>
      <c r="T6647">
        <v>-7.2738529999999996E-2</v>
      </c>
      <c r="U6647">
        <v>0.64208980000000004</v>
      </c>
      <c r="V6647">
        <v>2.9046059999999999E-2</v>
      </c>
      <c r="W6647">
        <v>3.0897250000000002E-3</v>
      </c>
      <c r="X6647">
        <v>0.9995733</v>
      </c>
      <c r="Y6647">
        <v>-0.16681179999999901</v>
      </c>
      <c r="Z6647">
        <v>9.5306310000000001E-4</v>
      </c>
      <c r="AA6647">
        <v>0.98598830000000004</v>
      </c>
      <c r="AB6647">
        <v>38</v>
      </c>
      <c r="AC6647">
        <v>45.601799999999997</v>
      </c>
      <c r="AD6647">
        <v>-1.1137665389160001</v>
      </c>
      <c r="AE6647">
        <v>9.8230599999999892</v>
      </c>
      <c r="AF6647">
        <v>-7.8106003689823904</v>
      </c>
      <c r="AG6647">
        <v>-1.1137665389160001</v>
      </c>
      <c r="AH6647">
        <v>45.962292816242801</v>
      </c>
      <c r="AI6647">
        <v>91.368518260167093</v>
      </c>
      <c r="AJ6647">
        <v>99.644423404072398</v>
      </c>
      <c r="AK6647">
        <v>46.6345184917053</v>
      </c>
      <c r="AL6647">
        <v>89.822971516162696</v>
      </c>
      <c r="AM6647">
        <v>88.335541307031505</v>
      </c>
      <c r="AN6647">
        <v>1.0000000010374901</v>
      </c>
    </row>
    <row r="6648" spans="1:40" x14ac:dyDescent="0.25">
      <c r="A6648" t="str">
        <f>"20190312154428393"</f>
        <v>20190312154428393</v>
      </c>
      <c r="B6648" t="str">
        <f>"1552376668384128"</f>
        <v>1552376668384128</v>
      </c>
      <c r="C6648" t="s">
        <v>40</v>
      </c>
      <c r="D6648">
        <v>4.8065189999999998</v>
      </c>
      <c r="E6648">
        <v>0.42577599999999999</v>
      </c>
      <c r="F6648" t="s">
        <v>78</v>
      </c>
      <c r="G6648">
        <v>-211.04660000000001</v>
      </c>
      <c r="H6648" s="1">
        <v>-1.551112E-6</v>
      </c>
      <c r="I6648">
        <v>-52.031959999999998</v>
      </c>
      <c r="J6648">
        <v>-256.37049999999999</v>
      </c>
      <c r="K6648">
        <v>1.113632</v>
      </c>
      <c r="L6648">
        <v>-61.77814</v>
      </c>
      <c r="M6648">
        <v>0.9989304</v>
      </c>
      <c r="N6648">
        <v>0</v>
      </c>
      <c r="O6648">
        <v>4.5615459999999997E-2</v>
      </c>
      <c r="P6648">
        <v>0.99987599999999999</v>
      </c>
      <c r="Q6648">
        <v>-5.1851179999999998E-3</v>
      </c>
      <c r="R6648">
        <v>1.487547E-2</v>
      </c>
      <c r="S6648">
        <v>2.9905550000000001</v>
      </c>
      <c r="T6648">
        <v>-7.3182460000000005E-2</v>
      </c>
      <c r="U6648">
        <v>0.64102169999999903</v>
      </c>
      <c r="V6648">
        <v>3.0723770000000001E-2</v>
      </c>
      <c r="W6648">
        <v>2.7173169999999999E-3</v>
      </c>
      <c r="X6648">
        <v>0.99952419999999997</v>
      </c>
      <c r="Y6648">
        <v>-0.1647322</v>
      </c>
      <c r="Z6648">
        <v>8.9069009999999903E-4</v>
      </c>
      <c r="AA6648">
        <v>0.98633800000000005</v>
      </c>
      <c r="AB6648">
        <v>38</v>
      </c>
      <c r="AC6648">
        <v>45.323899999999902</v>
      </c>
      <c r="AD6648">
        <v>-1.1136335511119999</v>
      </c>
      <c r="AE6648">
        <v>9.7461800000000007</v>
      </c>
      <c r="AF6648">
        <v>-7.6640821790605003</v>
      </c>
      <c r="AG6648">
        <v>-1.1136335511119999</v>
      </c>
      <c r="AH6648">
        <v>45.694940266919097</v>
      </c>
      <c r="AI6648">
        <v>91.376857529244205</v>
      </c>
      <c r="AJ6648">
        <v>99.5211872286946</v>
      </c>
      <c r="AK6648">
        <v>46.346584570288002</v>
      </c>
      <c r="AL6648">
        <v>89.844309009606505</v>
      </c>
      <c r="AM6648">
        <v>88.239374047553696</v>
      </c>
      <c r="AN6648">
        <v>0.999999980120165</v>
      </c>
    </row>
    <row r="6649" spans="1:40" x14ac:dyDescent="0.25">
      <c r="A6649" t="str">
        <f>"20190312154428403"</f>
        <v>20190312154428403</v>
      </c>
      <c r="B6649" t="str">
        <f>"1552376668393888"</f>
        <v>1552376668393888</v>
      </c>
      <c r="C6649" t="s">
        <v>40</v>
      </c>
      <c r="D6649">
        <v>4.8007419999999996</v>
      </c>
      <c r="E6649">
        <v>0.42622389999999999</v>
      </c>
      <c r="F6649" t="s">
        <v>78</v>
      </c>
      <c r="G6649">
        <v>-210.38839999999999</v>
      </c>
      <c r="H6649" s="1">
        <v>-1.349341E-6</v>
      </c>
      <c r="I6649">
        <v>-51.948500000000003</v>
      </c>
      <c r="J6649">
        <v>-256.18310000000002</v>
      </c>
      <c r="K6649">
        <v>1.1134980000000001</v>
      </c>
      <c r="L6649">
        <v>-61.7684</v>
      </c>
      <c r="M6649">
        <v>0.99885119999999905</v>
      </c>
      <c r="N6649">
        <v>0</v>
      </c>
      <c r="O6649">
        <v>4.7313460000000002E-2</v>
      </c>
      <c r="P6649">
        <v>0.99987539999999997</v>
      </c>
      <c r="Q6649">
        <v>-5.6872889999999999E-3</v>
      </c>
      <c r="R6649">
        <v>1.4740400000000001E-2</v>
      </c>
      <c r="S6649">
        <v>2.9905240000000002</v>
      </c>
      <c r="T6649">
        <v>-7.2426920000000006E-2</v>
      </c>
      <c r="U6649">
        <v>0.63928219999999902</v>
      </c>
      <c r="V6649">
        <v>3.2563219999999997E-2</v>
      </c>
      <c r="W6649">
        <v>2.269568E-3</v>
      </c>
      <c r="X6649">
        <v>0.99946710000000005</v>
      </c>
      <c r="Y6649">
        <v>-0.1625104</v>
      </c>
      <c r="Z6649">
        <v>8.1442820000000003E-4</v>
      </c>
      <c r="AA6649">
        <v>0.98670650000000004</v>
      </c>
      <c r="AB6649">
        <v>38</v>
      </c>
      <c r="AC6649">
        <v>45.794699999999999</v>
      </c>
      <c r="AD6649">
        <v>-1.1134993493409999</v>
      </c>
      <c r="AE6649">
        <v>9.8198999999999899</v>
      </c>
      <c r="AF6649">
        <v>-7.6378166092751698</v>
      </c>
      <c r="AG6649">
        <v>-1.1134993493409999</v>
      </c>
      <c r="AH6649">
        <v>46.181934572000102</v>
      </c>
      <c r="AI6649">
        <v>91.362695672955994</v>
      </c>
      <c r="AJ6649">
        <v>99.390878970950794</v>
      </c>
      <c r="AK6649">
        <v>46.822507452830898</v>
      </c>
      <c r="AL6649">
        <v>89.869963220530707</v>
      </c>
      <c r="AM6649">
        <v>88.133930233670696</v>
      </c>
      <c r="AN6649">
        <v>0.99999999910904203</v>
      </c>
    </row>
    <row r="6650" spans="1:40" x14ac:dyDescent="0.25">
      <c r="A6650" t="str">
        <f>"20190312154428416"</f>
        <v>20190312154428416</v>
      </c>
      <c r="B6650" t="str">
        <f>"1552376668404624"</f>
        <v>1552376668404624</v>
      </c>
      <c r="C6650" t="s">
        <v>40</v>
      </c>
      <c r="D6650">
        <v>4.7556450000000003</v>
      </c>
      <c r="E6650">
        <v>0.42653720000000001</v>
      </c>
      <c r="F6650" t="s">
        <v>78</v>
      </c>
      <c r="G6650">
        <v>-211.70189999999999</v>
      </c>
      <c r="H6650" s="1">
        <v>-1.697927E-6</v>
      </c>
      <c r="I6650">
        <v>-52.318370000000002</v>
      </c>
      <c r="J6650">
        <v>-255.98560000000001</v>
      </c>
      <c r="K6650">
        <v>1.113354</v>
      </c>
      <c r="L6650">
        <v>-61.757750000000001</v>
      </c>
      <c r="M6650">
        <v>0.99876909999999997</v>
      </c>
      <c r="N6650">
        <v>0</v>
      </c>
      <c r="O6650">
        <v>4.9001629999999997E-2</v>
      </c>
      <c r="P6650">
        <v>0.99987280000000001</v>
      </c>
      <c r="Q6650">
        <v>-5.9513709999999996E-3</v>
      </c>
      <c r="R6650">
        <v>1.4798230000000001E-2</v>
      </c>
      <c r="S6650">
        <v>2.9905849999999998</v>
      </c>
      <c r="T6650">
        <v>-7.4863429999999995E-2</v>
      </c>
      <c r="U6650">
        <v>0.63534550000000001</v>
      </c>
      <c r="V6650">
        <v>3.419734E-2</v>
      </c>
      <c r="W6650">
        <v>2.0664360000000001E-3</v>
      </c>
      <c r="X6650">
        <v>0.999413</v>
      </c>
      <c r="Y6650">
        <v>-0.1595946</v>
      </c>
      <c r="Z6650">
        <v>7.6417089999999998E-4</v>
      </c>
      <c r="AA6650">
        <v>0.98718229999999996</v>
      </c>
      <c r="AB6650">
        <v>38</v>
      </c>
      <c r="AC6650">
        <v>44.283700000000003</v>
      </c>
      <c r="AD6650">
        <v>-1.1133556979270001</v>
      </c>
      <c r="AE6650">
        <v>9.4393799999999999</v>
      </c>
      <c r="AF6650">
        <v>-7.2536164699642498</v>
      </c>
      <c r="AG6650">
        <v>-1.1133556979270001</v>
      </c>
      <c r="AH6650">
        <v>44.666051463504097</v>
      </c>
      <c r="AI6650">
        <v>91.409414894908593</v>
      </c>
      <c r="AJ6650">
        <v>99.224116152439507</v>
      </c>
      <c r="AK6650">
        <v>45.264894412158299</v>
      </c>
      <c r="AL6650">
        <v>89.881601858611901</v>
      </c>
      <c r="AM6650">
        <v>88.040250532946601</v>
      </c>
      <c r="AN6650">
        <v>1.0000000363949</v>
      </c>
    </row>
    <row r="6651" spans="1:40" x14ac:dyDescent="0.25">
      <c r="A6651" t="str">
        <f>"20190312154428427"</f>
        <v>20190312154428427</v>
      </c>
      <c r="B6651" t="str">
        <f>"1552376668414384"</f>
        <v>1552376668414384</v>
      </c>
      <c r="C6651" t="s">
        <v>40</v>
      </c>
      <c r="D6651">
        <v>4.7875040000000002</v>
      </c>
      <c r="E6651">
        <v>0.4268981</v>
      </c>
      <c r="F6651" t="s">
        <v>78</v>
      </c>
      <c r="G6651">
        <v>-211.5016</v>
      </c>
      <c r="H6651" s="1">
        <v>-1.6232030000000001E-6</v>
      </c>
      <c r="I6651">
        <v>-52.342939999999999</v>
      </c>
      <c r="J6651">
        <v>-255.79169999999999</v>
      </c>
      <c r="K6651">
        <v>1.1132169999999999</v>
      </c>
      <c r="L6651">
        <v>-61.747129999999999</v>
      </c>
      <c r="M6651">
        <v>0.99868860000000004</v>
      </c>
      <c r="N6651">
        <v>0</v>
      </c>
      <c r="O6651">
        <v>5.0609179999999997E-2</v>
      </c>
      <c r="P6651">
        <v>0.99987420000000005</v>
      </c>
      <c r="Q6651">
        <v>-6.0225069999999999E-3</v>
      </c>
      <c r="R6651">
        <v>1.4683740000000001E-2</v>
      </c>
      <c r="S6651">
        <v>2.99057</v>
      </c>
      <c r="T6651">
        <v>-7.4848650000000003E-2</v>
      </c>
      <c r="U6651">
        <v>0.63293459999999901</v>
      </c>
      <c r="V6651">
        <v>3.5921139999999997E-2</v>
      </c>
      <c r="W6651">
        <v>2.0592840000000002E-3</v>
      </c>
      <c r="X6651">
        <v>0.99935249999999998</v>
      </c>
      <c r="Y6651">
        <v>-0.15724579999999999</v>
      </c>
      <c r="Z6651">
        <v>6.9536619999999996E-4</v>
      </c>
      <c r="AA6651">
        <v>0.98755930000000003</v>
      </c>
      <c r="AB6651">
        <v>38</v>
      </c>
      <c r="AC6651">
        <v>44.290100000000002</v>
      </c>
      <c r="AD6651">
        <v>-1.1132186232029999</v>
      </c>
      <c r="AE6651">
        <v>9.4041899999999998</v>
      </c>
      <c r="AF6651">
        <v>-7.1462655605882697</v>
      </c>
      <c r="AG6651">
        <v>-1.1132186232029999</v>
      </c>
      <c r="AH6651">
        <v>44.682282509700599</v>
      </c>
      <c r="AI6651">
        <v>91.409274332514201</v>
      </c>
      <c r="AJ6651">
        <v>99.086651504440397</v>
      </c>
      <c r="AK6651">
        <v>45.2638347628898</v>
      </c>
      <c r="AL6651">
        <v>89.882011633893995</v>
      </c>
      <c r="AM6651">
        <v>87.941423036118707</v>
      </c>
      <c r="AN6651">
        <v>0.99999999410287099</v>
      </c>
    </row>
    <row r="6652" spans="1:40" x14ac:dyDescent="0.25">
      <c r="A6652" t="str">
        <f>"20190312154428438"</f>
        <v>20190312154428438</v>
      </c>
      <c r="B6652" t="str">
        <f>"1552376668433904"</f>
        <v>1552376668433904</v>
      </c>
      <c r="C6652" t="s">
        <v>40</v>
      </c>
      <c r="D6652">
        <v>4.8077730000000001</v>
      </c>
      <c r="E6652">
        <v>0.4276452</v>
      </c>
      <c r="F6652" t="s">
        <v>78</v>
      </c>
      <c r="G6652">
        <v>-212.56379999999999</v>
      </c>
      <c r="H6652" s="1">
        <v>-1.9043900000000001E-6</v>
      </c>
      <c r="I6652">
        <v>-52.644710000000003</v>
      </c>
      <c r="J6652">
        <v>-255.61529999999999</v>
      </c>
      <c r="K6652">
        <v>1.113089</v>
      </c>
      <c r="L6652">
        <v>-61.737119999999997</v>
      </c>
      <c r="M6652">
        <v>0.9986197</v>
      </c>
      <c r="N6652">
        <v>0</v>
      </c>
      <c r="O6652">
        <v>5.1939689999999997E-2</v>
      </c>
      <c r="P6652">
        <v>0.99987800000000004</v>
      </c>
      <c r="Q6652">
        <v>-6.1928479999999999E-3</v>
      </c>
      <c r="R6652">
        <v>1.4343150000000001E-2</v>
      </c>
      <c r="S6652">
        <v>2.9906459999999999</v>
      </c>
      <c r="T6652">
        <v>-7.7016000000000001E-2</v>
      </c>
      <c r="U6652">
        <v>0.62973020000000002</v>
      </c>
      <c r="V6652">
        <v>3.7594420000000003E-2</v>
      </c>
      <c r="W6652">
        <v>1.960102E-3</v>
      </c>
      <c r="X6652">
        <v>0.99929120000000005</v>
      </c>
      <c r="Y6652">
        <v>-0.15491079999999999</v>
      </c>
      <c r="Z6652">
        <v>6.52047E-4</v>
      </c>
      <c r="AA6652">
        <v>0.98792829999999998</v>
      </c>
      <c r="AB6652">
        <v>38</v>
      </c>
      <c r="AC6652">
        <v>43.051499999999997</v>
      </c>
      <c r="AD6652">
        <v>-1.1130909043899999</v>
      </c>
      <c r="AE6652">
        <v>9.0924099999999992</v>
      </c>
      <c r="AF6652">
        <v>-6.8396099281767402</v>
      </c>
      <c r="AG6652">
        <v>-1.1130909043899999</v>
      </c>
      <c r="AH6652">
        <v>43.437860694372702</v>
      </c>
      <c r="AI6652">
        <v>91.450020259920606</v>
      </c>
      <c r="AJ6652">
        <v>98.948173474627893</v>
      </c>
      <c r="AK6652">
        <v>43.9871228547035</v>
      </c>
      <c r="AL6652">
        <v>89.887694360834203</v>
      </c>
      <c r="AM6652">
        <v>87.845486638831005</v>
      </c>
      <c r="AN6652">
        <v>1.0000000424062101</v>
      </c>
    </row>
    <row r="6653" spans="1:40" x14ac:dyDescent="0.25">
      <c r="A6653" t="str">
        <f>"20190312154428449"</f>
        <v>20190312154428449</v>
      </c>
      <c r="B6653" t="str">
        <f>"1552376668444640"</f>
        <v>1552376668444640</v>
      </c>
      <c r="C6653" t="s">
        <v>40</v>
      </c>
      <c r="D6653">
        <v>4.8287630000000004</v>
      </c>
      <c r="E6653">
        <v>0.42796299999999998</v>
      </c>
      <c r="F6653" t="s">
        <v>78</v>
      </c>
      <c r="G6653">
        <v>-214.10839999999999</v>
      </c>
      <c r="H6653" s="1">
        <v>-2.3105799999999998E-6</v>
      </c>
      <c r="I6653">
        <v>-53.093609999999998</v>
      </c>
      <c r="J6653">
        <v>-255.42250000000001</v>
      </c>
      <c r="K6653">
        <v>1.1129530000000001</v>
      </c>
      <c r="L6653">
        <v>-61.726140000000001</v>
      </c>
      <c r="M6653">
        <v>0.99854379999999998</v>
      </c>
      <c r="N6653">
        <v>0</v>
      </c>
      <c r="O6653">
        <v>5.3368609999999997E-2</v>
      </c>
      <c r="P6653">
        <v>0.99987380000000003</v>
      </c>
      <c r="Q6653">
        <v>-6.3191319999999999E-3</v>
      </c>
      <c r="R6653">
        <v>1.458139E-2</v>
      </c>
      <c r="S6653">
        <v>2.9909210000000002</v>
      </c>
      <c r="T6653">
        <v>-8.0207589999999995E-2</v>
      </c>
      <c r="U6653">
        <v>0.62283330000000003</v>
      </c>
      <c r="V6653">
        <v>3.8787460000000003E-2</v>
      </c>
      <c r="W6653">
        <v>1.9081269999999999E-3</v>
      </c>
      <c r="X6653">
        <v>0.99924559999999996</v>
      </c>
      <c r="Y6653">
        <v>-0.15129429999999999</v>
      </c>
      <c r="Z6653">
        <v>5.9340179999999997E-4</v>
      </c>
      <c r="AA6653">
        <v>0.98848860000000005</v>
      </c>
      <c r="AB6653">
        <v>38</v>
      </c>
      <c r="AC6653">
        <v>41.314100000000003</v>
      </c>
      <c r="AD6653">
        <v>-1.1129553105800001</v>
      </c>
      <c r="AE6653">
        <v>8.6325299999999991</v>
      </c>
      <c r="AF6653">
        <v>-6.4108245925213598</v>
      </c>
      <c r="AG6653">
        <v>-1.1129553105800001</v>
      </c>
      <c r="AH6653">
        <v>41.686952437429902</v>
      </c>
      <c r="AI6653">
        <v>91.511554245564696</v>
      </c>
      <c r="AJ6653">
        <v>98.742734838779</v>
      </c>
      <c r="AK6653">
        <v>42.191697583766</v>
      </c>
      <c r="AL6653">
        <v>89.890672303065202</v>
      </c>
      <c r="AM6653">
        <v>87.777080436918396</v>
      </c>
      <c r="AN6653">
        <v>0.99999993856062797</v>
      </c>
    </row>
    <row r="6654" spans="1:40" x14ac:dyDescent="0.25">
      <c r="A6654" t="str">
        <f>"20190312154428459"</f>
        <v>20190312154428459</v>
      </c>
      <c r="B6654" t="str">
        <f>"1552376668454399"</f>
        <v>1552376668454399</v>
      </c>
      <c r="C6654" t="s">
        <v>40</v>
      </c>
      <c r="D6654">
        <v>4.8192779999999997</v>
      </c>
      <c r="E6654">
        <v>0.4282667</v>
      </c>
      <c r="F6654" t="s">
        <v>78</v>
      </c>
      <c r="G6654">
        <v>-214.7389</v>
      </c>
      <c r="H6654" s="1">
        <v>-2.4760519999999998E-6</v>
      </c>
      <c r="I6654">
        <v>-53.278170000000003</v>
      </c>
      <c r="J6654">
        <v>-255.238</v>
      </c>
      <c r="K6654">
        <v>1.112814</v>
      </c>
      <c r="L6654">
        <v>-61.715240000000001</v>
      </c>
      <c r="M6654">
        <v>0.9984769</v>
      </c>
      <c r="N6654">
        <v>0</v>
      </c>
      <c r="O6654">
        <v>5.459046E-2</v>
      </c>
      <c r="P6654">
        <v>0.99987470000000001</v>
      </c>
      <c r="Q6654">
        <v>-6.7637230000000001E-3</v>
      </c>
      <c r="R6654">
        <v>1.431204E-2</v>
      </c>
      <c r="S6654">
        <v>2.9907840000000001</v>
      </c>
      <c r="T6654">
        <v>-8.1816910000000007E-2</v>
      </c>
      <c r="U6654">
        <v>0.62103269999999899</v>
      </c>
      <c r="V6654">
        <v>4.0282890000000002E-2</v>
      </c>
      <c r="W6654">
        <v>1.55669799999999E-3</v>
      </c>
      <c r="X6654">
        <v>0.99918709999999999</v>
      </c>
      <c r="Y6654">
        <v>-0.14952270000000001</v>
      </c>
      <c r="Z6654">
        <v>5.484493E-4</v>
      </c>
      <c r="AA6654">
        <v>0.98875809999999997</v>
      </c>
      <c r="AB6654">
        <v>38</v>
      </c>
      <c r="AC6654">
        <v>40.499099999999999</v>
      </c>
      <c r="AD6654">
        <v>-1.1128164760519901</v>
      </c>
      <c r="AE6654">
        <v>8.4370700000000003</v>
      </c>
      <c r="AF6654">
        <v>-6.2090601503513803</v>
      </c>
      <c r="AG6654">
        <v>-1.1128164760519901</v>
      </c>
      <c r="AH6654">
        <v>40.8697294792793</v>
      </c>
      <c r="AI6654">
        <v>91.542000827870098</v>
      </c>
      <c r="AJ6654">
        <v>98.638501672838004</v>
      </c>
      <c r="AK6654">
        <v>41.353664603871799</v>
      </c>
      <c r="AL6654">
        <v>89.910807738392293</v>
      </c>
      <c r="AM6654">
        <v>87.691332942329097</v>
      </c>
      <c r="AN6654">
        <v>0.99999999767091197</v>
      </c>
    </row>
    <row r="6655" spans="1:40" x14ac:dyDescent="0.25">
      <c r="A6655" t="str">
        <f>"20190312154428471"</f>
        <v>20190312154428471</v>
      </c>
      <c r="B6655" t="str">
        <f>"1552376668464162"</f>
        <v>1552376668464162</v>
      </c>
      <c r="C6655" t="s">
        <v>40</v>
      </c>
      <c r="D6655">
        <v>4.8268430000000002</v>
      </c>
      <c r="E6655">
        <v>0.42855470000000001</v>
      </c>
      <c r="F6655" t="s">
        <v>78</v>
      </c>
      <c r="G6655">
        <v>-215.70169999999999</v>
      </c>
      <c r="H6655" s="1">
        <v>-2.7316790000000001E-6</v>
      </c>
      <c r="I6655">
        <v>-53.548769999999998</v>
      </c>
      <c r="J6655">
        <v>-255.03450000000001</v>
      </c>
      <c r="K6655">
        <v>1.112663</v>
      </c>
      <c r="L6655">
        <v>-61.703189999999999</v>
      </c>
      <c r="M6655">
        <v>0.99840430000000002</v>
      </c>
      <c r="N6655">
        <v>0</v>
      </c>
      <c r="O6655">
        <v>5.5888720000000003E-2</v>
      </c>
      <c r="P6655">
        <v>0.99987150000000002</v>
      </c>
      <c r="Q6655">
        <v>-7.6386889999999997E-3</v>
      </c>
      <c r="R6655">
        <v>1.4107140000000001E-2</v>
      </c>
      <c r="S6655">
        <v>2.9909669999999999</v>
      </c>
      <c r="T6655">
        <v>-8.4185839999999998E-2</v>
      </c>
      <c r="U6655">
        <v>0.61779790000000001</v>
      </c>
      <c r="V6655">
        <v>4.1793080000000003E-2</v>
      </c>
      <c r="W6655">
        <v>7.9089799999999995E-4</v>
      </c>
      <c r="X6655">
        <v>0.99912599999999996</v>
      </c>
      <c r="Y6655">
        <v>-0.14719849999999901</v>
      </c>
      <c r="Z6655">
        <v>4.959656E-4</v>
      </c>
      <c r="AA6655">
        <v>0.98910679999999995</v>
      </c>
      <c r="AB6655">
        <v>38</v>
      </c>
      <c r="AC6655">
        <v>39.332799999999999</v>
      </c>
      <c r="AD6655">
        <v>-1.1126657316789901</v>
      </c>
      <c r="AE6655">
        <v>8.15442</v>
      </c>
      <c r="AF6655">
        <v>-5.9387856128155097</v>
      </c>
      <c r="AG6655">
        <v>-1.1126657316789901</v>
      </c>
      <c r="AH6655">
        <v>39.696616272853902</v>
      </c>
      <c r="AI6655">
        <v>91.587874477997303</v>
      </c>
      <c r="AJ6655">
        <v>98.508592862764402</v>
      </c>
      <c r="AK6655">
        <v>40.153811065696402</v>
      </c>
      <c r="AL6655">
        <v>89.954684879004304</v>
      </c>
      <c r="AM6655">
        <v>87.604734583084095</v>
      </c>
      <c r="AN6655">
        <v>1.0000000254657599</v>
      </c>
    </row>
    <row r="6656" spans="1:40" x14ac:dyDescent="0.25">
      <c r="A6656" t="str">
        <f>"20190312154428483"</f>
        <v>20190312154428483</v>
      </c>
      <c r="B6656" t="str">
        <f>"1552376668473919"</f>
        <v>1552376668473919</v>
      </c>
      <c r="C6656" t="s">
        <v>40</v>
      </c>
      <c r="D6656">
        <v>4.8204830000000003</v>
      </c>
      <c r="E6656">
        <v>0.42872060000000001</v>
      </c>
      <c r="F6656" t="s">
        <v>78</v>
      </c>
      <c r="G6656">
        <v>-217.07769999999999</v>
      </c>
      <c r="H6656" s="1">
        <v>-3.1553760000000001E-6</v>
      </c>
      <c r="I6656">
        <v>-53.90034</v>
      </c>
      <c r="J6656">
        <v>-254.8261</v>
      </c>
      <c r="K6656">
        <v>1.1125050000000001</v>
      </c>
      <c r="L6656">
        <v>-61.690550000000002</v>
      </c>
      <c r="M6656">
        <v>0.99833450000000001</v>
      </c>
      <c r="N6656">
        <v>0</v>
      </c>
      <c r="O6656">
        <v>5.7102119999999999E-2</v>
      </c>
      <c r="P6656">
        <v>0.99986710000000001</v>
      </c>
      <c r="Q6656">
        <v>-8.6806929999999997E-3</v>
      </c>
      <c r="R6656">
        <v>1.3809500000000001E-2</v>
      </c>
      <c r="S6656">
        <v>2.9910429999999999</v>
      </c>
      <c r="T6656">
        <v>-8.7679389999999996E-2</v>
      </c>
      <c r="U6656">
        <v>0.61486819999999998</v>
      </c>
      <c r="V6656">
        <v>4.3311530000000001E-2</v>
      </c>
      <c r="W6656">
        <v>-1.2281050000000001E-4</v>
      </c>
      <c r="X6656">
        <v>0.99906159999999999</v>
      </c>
      <c r="Y6656">
        <v>-0.1450601</v>
      </c>
      <c r="Z6656">
        <v>4.5049899999999998E-4</v>
      </c>
      <c r="AA6656">
        <v>0.98942269999999999</v>
      </c>
      <c r="AB6656">
        <v>38</v>
      </c>
      <c r="AC6656">
        <v>37.748399999999997</v>
      </c>
      <c r="AD6656">
        <v>-1.1125081553759999</v>
      </c>
      <c r="AE6656">
        <v>7.7902100000000001</v>
      </c>
      <c r="AF6656">
        <v>-5.6172319854595001</v>
      </c>
      <c r="AG6656">
        <v>-1.1125081553759999</v>
      </c>
      <c r="AH6656">
        <v>38.099914964645997</v>
      </c>
      <c r="AI6656">
        <v>91.654670556989998</v>
      </c>
      <c r="AJ6656">
        <v>98.386939403382002</v>
      </c>
      <c r="AK6656">
        <v>38.527840451905803</v>
      </c>
      <c r="AL6656">
        <v>90.007036523402704</v>
      </c>
      <c r="AM6656">
        <v>87.517655575359697</v>
      </c>
      <c r="AN6656">
        <v>0.99999999215395896</v>
      </c>
    </row>
    <row r="6657" spans="1:40" x14ac:dyDescent="0.25">
      <c r="A6657" t="str">
        <f>"20190312154428495"</f>
        <v>20190312154428495</v>
      </c>
      <c r="B6657" t="str">
        <f>"1552376668484655"</f>
        <v>1552376668484655</v>
      </c>
      <c r="C6657" t="s">
        <v>40</v>
      </c>
      <c r="D6657">
        <v>4.8419869999999996</v>
      </c>
      <c r="E6657">
        <v>0.42886010000000002</v>
      </c>
      <c r="F6657" t="s">
        <v>78</v>
      </c>
      <c r="G6657">
        <v>-218.06059999999999</v>
      </c>
      <c r="H6657" s="1">
        <v>-3.5309119999999998E-6</v>
      </c>
      <c r="I6657">
        <v>-54.160299999999999</v>
      </c>
      <c r="J6657">
        <v>-254.63050000000001</v>
      </c>
      <c r="K6657">
        <v>1.1123609999999999</v>
      </c>
      <c r="L6657">
        <v>-61.678530000000002</v>
      </c>
      <c r="M6657">
        <v>0.99827330000000003</v>
      </c>
      <c r="N6657">
        <v>0</v>
      </c>
      <c r="O6657">
        <v>5.8139339999999998E-2</v>
      </c>
      <c r="P6657">
        <v>0.9998629</v>
      </c>
      <c r="Q6657">
        <v>-9.5742550000000003E-3</v>
      </c>
      <c r="R6657">
        <v>1.3510960000000001E-2</v>
      </c>
      <c r="S6657">
        <v>2.9911650000000001</v>
      </c>
      <c r="T6657">
        <v>-9.0511439999999999E-2</v>
      </c>
      <c r="U6657">
        <v>0.61264039999999997</v>
      </c>
      <c r="V6657">
        <v>4.4652690000000002E-2</v>
      </c>
      <c r="W6657">
        <v>-8.7861470000000002E-4</v>
      </c>
      <c r="X6657">
        <v>0.99900219999999995</v>
      </c>
      <c r="Y6657">
        <v>-0.14331549999999901</v>
      </c>
      <c r="Z6657">
        <v>4.0800189999999999E-4</v>
      </c>
      <c r="AA6657">
        <v>0.98967700000000003</v>
      </c>
      <c r="AB6657">
        <v>38</v>
      </c>
      <c r="AC6657">
        <v>36.569899999999997</v>
      </c>
      <c r="AD6657">
        <v>-1.112364530912</v>
      </c>
      <c r="AE6657">
        <v>7.51823</v>
      </c>
      <c r="AF6657">
        <v>-5.3745163519009704</v>
      </c>
      <c r="AG6657">
        <v>-1.112364530912</v>
      </c>
      <c r="AH6657">
        <v>36.912389843350802</v>
      </c>
      <c r="AI6657">
        <v>91.708100915317502</v>
      </c>
      <c r="AJ6657">
        <v>98.284163954365397</v>
      </c>
      <c r="AK6657">
        <v>37.318189999167799</v>
      </c>
      <c r="AL6657">
        <v>90.050340919842498</v>
      </c>
      <c r="AM6657">
        <v>87.440737419055296</v>
      </c>
      <c r="AN6657">
        <v>1.0000000151464301</v>
      </c>
    </row>
    <row r="6658" spans="1:40" x14ac:dyDescent="0.25">
      <c r="A6658" t="str">
        <f>"20190312154428507"</f>
        <v>20190312154428507</v>
      </c>
      <c r="B6658" t="str">
        <f>"1552376668494415"</f>
        <v>1552376668494415</v>
      </c>
      <c r="C6658" t="s">
        <v>40</v>
      </c>
      <c r="D6658">
        <v>4.8247799999999996</v>
      </c>
      <c r="E6658">
        <v>0.42897689999999999</v>
      </c>
      <c r="F6658" t="s">
        <v>78</v>
      </c>
      <c r="G6658">
        <v>-218.72819999999999</v>
      </c>
      <c r="H6658" s="1">
        <v>-3.7838000000000001E-6</v>
      </c>
      <c r="I6658">
        <v>-54.349170000000001</v>
      </c>
      <c r="J6658">
        <v>-254.41890000000001</v>
      </c>
      <c r="K6658">
        <v>1.1122069999999999</v>
      </c>
      <c r="L6658">
        <v>-61.665410000000001</v>
      </c>
      <c r="M6658">
        <v>0.99820989999999998</v>
      </c>
      <c r="N6658">
        <v>0</v>
      </c>
      <c r="O6658">
        <v>5.919667E-2</v>
      </c>
      <c r="P6658">
        <v>0.99986260000000005</v>
      </c>
      <c r="Q6658">
        <v>-1.0328220000000001E-2</v>
      </c>
      <c r="R6658">
        <v>1.2977789999999999E-2</v>
      </c>
      <c r="S6658">
        <v>2.9912869999999998</v>
      </c>
      <c r="T6658">
        <v>-9.2679259999999999E-2</v>
      </c>
      <c r="U6658">
        <v>0.61065669999999905</v>
      </c>
      <c r="V6658">
        <v>4.6246719999999998E-2</v>
      </c>
      <c r="W6658">
        <v>-1.4713899999999999E-3</v>
      </c>
      <c r="X6658">
        <v>0.99892899999999996</v>
      </c>
      <c r="Y6658">
        <v>-0.14162859999999999</v>
      </c>
      <c r="Z6658">
        <v>3.5962800000000002E-4</v>
      </c>
      <c r="AA6658">
        <v>0.98991980000000002</v>
      </c>
      <c r="AB6658">
        <v>38</v>
      </c>
      <c r="AC6658">
        <v>35.6907</v>
      </c>
      <c r="AD6658">
        <v>-1.1122107837999999</v>
      </c>
      <c r="AE6658">
        <v>7.3162399999999996</v>
      </c>
      <c r="AF6658">
        <v>-5.1857286340985604</v>
      </c>
      <c r="AG6658">
        <v>-1.1122107837999999</v>
      </c>
      <c r="AH6658">
        <v>36.0276432933941</v>
      </c>
      <c r="AI6658">
        <v>91.750192763260301</v>
      </c>
      <c r="AJ6658">
        <v>98.190754639852003</v>
      </c>
      <c r="AK6658">
        <v>36.415928871445203</v>
      </c>
      <c r="AL6658">
        <v>90.084304464438702</v>
      </c>
      <c r="AM6658">
        <v>87.349309913816597</v>
      </c>
      <c r="AN6658">
        <v>1.0000000355701399</v>
      </c>
    </row>
    <row r="6659" spans="1:40" x14ac:dyDescent="0.25">
      <c r="A6659" t="str">
        <f>"20190312154428519"</f>
        <v>20190312154428519</v>
      </c>
      <c r="B6659" t="str">
        <f>"1552376668513936"</f>
        <v>1552376668513936</v>
      </c>
      <c r="C6659" t="s">
        <v>40</v>
      </c>
      <c r="D6659">
        <v>4.8393240000000004</v>
      </c>
      <c r="E6659">
        <v>0.42943029999999999</v>
      </c>
      <c r="F6659" t="s">
        <v>78</v>
      </c>
      <c r="G6659">
        <v>-219.1472</v>
      </c>
      <c r="H6659" s="1">
        <v>-3.937493E-6</v>
      </c>
      <c r="I6659">
        <v>-54.496020000000001</v>
      </c>
      <c r="J6659">
        <v>-254.227</v>
      </c>
      <c r="K6659">
        <v>1.112066</v>
      </c>
      <c r="L6659">
        <v>-61.653320000000001</v>
      </c>
      <c r="M6659">
        <v>0.99816050000000001</v>
      </c>
      <c r="N6659">
        <v>0</v>
      </c>
      <c r="O6659">
        <v>5.9993379999999999E-2</v>
      </c>
      <c r="P6659">
        <v>0.99986280000000005</v>
      </c>
      <c r="Q6659">
        <v>-1.065701E-2</v>
      </c>
      <c r="R6659">
        <v>1.2693299999999999E-2</v>
      </c>
      <c r="S6659">
        <v>2.9915620000000001</v>
      </c>
      <c r="T6659">
        <v>-9.4331620000000005E-2</v>
      </c>
      <c r="U6659">
        <v>0.60806269999999996</v>
      </c>
      <c r="V6659">
        <v>4.7328099999999998E-2</v>
      </c>
      <c r="W6659">
        <v>-1.6197679999999999E-3</v>
      </c>
      <c r="X6659">
        <v>0.99887809999999999</v>
      </c>
      <c r="Y6659">
        <v>-0.13999589999999901</v>
      </c>
      <c r="Z6659">
        <v>3.1579090000000002E-4</v>
      </c>
      <c r="AA6659">
        <v>0.99015200000000003</v>
      </c>
      <c r="AB6659">
        <v>38</v>
      </c>
      <c r="AC6659">
        <v>35.079799999999999</v>
      </c>
      <c r="AD6659">
        <v>-1.1120699374930001</v>
      </c>
      <c r="AE6659">
        <v>7.1572999999999896</v>
      </c>
      <c r="AF6659">
        <v>-5.0349132391834903</v>
      </c>
      <c r="AG6659">
        <v>-1.1120699374930001</v>
      </c>
      <c r="AH6659">
        <v>35.411850217363302</v>
      </c>
      <c r="AI6659">
        <v>91.780820937817097</v>
      </c>
      <c r="AJ6659">
        <v>98.092166682537396</v>
      </c>
      <c r="AK6659">
        <v>35.785278910313799</v>
      </c>
      <c r="AL6659">
        <v>90.092805909316894</v>
      </c>
      <c r="AM6659">
        <v>87.287282732020003</v>
      </c>
      <c r="AN6659">
        <v>1.00000001567879</v>
      </c>
    </row>
    <row r="6660" spans="1:40" x14ac:dyDescent="0.25">
      <c r="A6660" t="str">
        <f>"20190312154428530"</f>
        <v>20190312154428530</v>
      </c>
      <c r="B6660" t="str">
        <f>"1552376668524671"</f>
        <v>1552376668524671</v>
      </c>
      <c r="C6660" t="s">
        <v>40</v>
      </c>
      <c r="D6660">
        <v>4.8541610000000004</v>
      </c>
      <c r="E6660">
        <v>0.42963970000000001</v>
      </c>
      <c r="F6660" t="s">
        <v>78</v>
      </c>
      <c r="G6660">
        <v>-219.5505</v>
      </c>
      <c r="H6660" s="1">
        <v>-4.0820229999999996E-6</v>
      </c>
      <c r="I6660">
        <v>-54.656619999999997</v>
      </c>
      <c r="J6660">
        <v>-254.0334</v>
      </c>
      <c r="K6660">
        <v>1.1119220000000001</v>
      </c>
      <c r="L6660">
        <v>-61.641080000000002</v>
      </c>
      <c r="M6660">
        <v>0.99811229999999995</v>
      </c>
      <c r="N6660">
        <v>0</v>
      </c>
      <c r="O6660">
        <v>6.0758100000000002E-2</v>
      </c>
      <c r="P6660">
        <v>0.99986569999999997</v>
      </c>
      <c r="Q6660">
        <v>-1.0798149999999999E-2</v>
      </c>
      <c r="R6660">
        <v>1.2326180000000001E-2</v>
      </c>
      <c r="S6660">
        <v>2.99173</v>
      </c>
      <c r="T6660">
        <v>-9.5944290000000002E-2</v>
      </c>
      <c r="U6660">
        <v>0.60363769999999894</v>
      </c>
      <c r="V6660">
        <v>4.8459049999999997E-2</v>
      </c>
      <c r="W6660">
        <v>-1.5691469999999999E-3</v>
      </c>
      <c r="X6660">
        <v>0.99882389999999999</v>
      </c>
      <c r="Y6660">
        <v>-0.13781940000000001</v>
      </c>
      <c r="Z6660">
        <v>2.6247880000000002E-4</v>
      </c>
      <c r="AA6660">
        <v>0.99045740000000004</v>
      </c>
      <c r="AB6660">
        <v>38</v>
      </c>
      <c r="AC6660">
        <v>34.482900000000001</v>
      </c>
      <c r="AD6660">
        <v>-1.1119260820229999</v>
      </c>
      <c r="AE6660">
        <v>6.9844600000000003</v>
      </c>
      <c r="AF6660">
        <v>-4.8714900219799402</v>
      </c>
      <c r="AG6660">
        <v>-1.1119260820229999</v>
      </c>
      <c r="AH6660">
        <v>34.808800603291303</v>
      </c>
      <c r="AI6660">
        <v>91.811977257455396</v>
      </c>
      <c r="AJ6660">
        <v>97.966798037264596</v>
      </c>
      <c r="AK6660">
        <v>35.165613802204902</v>
      </c>
      <c r="AL6660">
        <v>90.0899055408034</v>
      </c>
      <c r="AM6660">
        <v>87.222409613391505</v>
      </c>
      <c r="AN6660">
        <v>0.99999996248020895</v>
      </c>
    </row>
    <row r="6661" spans="1:40" x14ac:dyDescent="0.25">
      <c r="A6661" t="str">
        <f>"20190312154428540"</f>
        <v>20190312154428540</v>
      </c>
      <c r="B6661" t="str">
        <f>"1552376668534432"</f>
        <v>1552376668534432</v>
      </c>
      <c r="C6661" t="s">
        <v>40</v>
      </c>
      <c r="D6661">
        <v>4.8089719999999998</v>
      </c>
      <c r="E6661">
        <v>0.42978119999999997</v>
      </c>
      <c r="F6661" t="s">
        <v>78</v>
      </c>
      <c r="G6661">
        <v>-219.74340000000001</v>
      </c>
      <c r="H6661" s="1">
        <v>-4.1475170000000004E-6</v>
      </c>
      <c r="I6661">
        <v>-54.753970000000002</v>
      </c>
      <c r="J6661">
        <v>-253.8603</v>
      </c>
      <c r="K6661">
        <v>1.111799</v>
      </c>
      <c r="L6661">
        <v>-61.630040000000001</v>
      </c>
      <c r="M6661">
        <v>0.99807630000000003</v>
      </c>
      <c r="N6661">
        <v>0</v>
      </c>
      <c r="O6661">
        <v>6.1317730000000001E-2</v>
      </c>
      <c r="P6661">
        <v>0.99986649999999999</v>
      </c>
      <c r="Q6661">
        <v>-1.1068349999999999E-2</v>
      </c>
      <c r="R6661">
        <v>1.2027339999999999E-2</v>
      </c>
      <c r="S6661">
        <v>2.991943</v>
      </c>
      <c r="T6661">
        <v>-9.7019910000000001E-2</v>
      </c>
      <c r="U6661">
        <v>0.60092159999999994</v>
      </c>
      <c r="V6661">
        <v>4.931721E-2</v>
      </c>
      <c r="W6661">
        <v>-1.6346710000000001E-3</v>
      </c>
      <c r="X6661">
        <v>0.99878180000000005</v>
      </c>
      <c r="Y6661">
        <v>-0.13638610000000001</v>
      </c>
      <c r="Z6661">
        <v>2.2451940000000001E-4</v>
      </c>
      <c r="AA6661">
        <v>0.99065570000000003</v>
      </c>
      <c r="AB6661">
        <v>38</v>
      </c>
      <c r="AC6661">
        <v>34.116899999999902</v>
      </c>
      <c r="AD6661">
        <v>-1.111803147517</v>
      </c>
      <c r="AE6661">
        <v>6.8760700000000003</v>
      </c>
      <c r="AF6661">
        <v>-4.7662075950345004</v>
      </c>
      <c r="AG6661">
        <v>-1.111803147517</v>
      </c>
      <c r="AH6661">
        <v>34.439193315672199</v>
      </c>
      <c r="AI6661">
        <v>91.831596755505103</v>
      </c>
      <c r="AJ6661">
        <v>97.879391174147898</v>
      </c>
      <c r="AK6661">
        <v>34.785210611868301</v>
      </c>
      <c r="AL6661">
        <v>90.093659793556895</v>
      </c>
      <c r="AM6661">
        <v>87.173181468556706</v>
      </c>
      <c r="AN6661">
        <v>0.99999997168135002</v>
      </c>
    </row>
    <row r="6662" spans="1:40" x14ac:dyDescent="0.25">
      <c r="A6662" t="str">
        <f>"20190312154428550"</f>
        <v>20190312154428550</v>
      </c>
      <c r="B6662" t="str">
        <f>"1552376668544191"</f>
        <v>1552376668544191</v>
      </c>
      <c r="C6662" t="s">
        <v>40</v>
      </c>
      <c r="D6662">
        <v>4.824872</v>
      </c>
      <c r="E6662">
        <v>0.42993340000000002</v>
      </c>
      <c r="F6662" t="s">
        <v>79</v>
      </c>
      <c r="G6662">
        <v>-220.1301</v>
      </c>
      <c r="H6662" s="1">
        <v>-8.7129049999999998E-7</v>
      </c>
      <c r="I6662">
        <v>-54.87914</v>
      </c>
      <c r="J6662">
        <v>-253.6986</v>
      </c>
      <c r="K6662">
        <v>1.1116870000000001</v>
      </c>
      <c r="L6662">
        <v>-61.619689999999999</v>
      </c>
      <c r="M6662">
        <v>0.99804349999999997</v>
      </c>
      <c r="N6662">
        <v>0</v>
      </c>
      <c r="O6662">
        <v>6.1817660000000003E-2</v>
      </c>
      <c r="P6662">
        <v>0.99986620000000004</v>
      </c>
      <c r="Q6662">
        <v>-1.129994E-2</v>
      </c>
      <c r="R6662">
        <v>1.184968E-2</v>
      </c>
      <c r="S6662">
        <v>2.9920810000000002</v>
      </c>
      <c r="T6662">
        <v>-9.8623509999999998E-2</v>
      </c>
      <c r="U6662">
        <v>0.5988464</v>
      </c>
      <c r="V6662">
        <v>4.9994280000000002E-2</v>
      </c>
      <c r="W6662">
        <v>-1.6715440000000001E-3</v>
      </c>
      <c r="X6662">
        <v>0.99874810000000003</v>
      </c>
      <c r="Y6662">
        <v>-0.135219899999999</v>
      </c>
      <c r="Z6662">
        <v>1.9295489999999999E-4</v>
      </c>
      <c r="AA6662">
        <v>0.99081560000000002</v>
      </c>
      <c r="AB6662">
        <v>38</v>
      </c>
      <c r="AC6662">
        <v>33.5685</v>
      </c>
      <c r="AD6662">
        <v>-1.1116878712905001</v>
      </c>
      <c r="AE6662">
        <v>6.7405499999999998</v>
      </c>
      <c r="AF6662">
        <v>-4.6475405534144603</v>
      </c>
      <c r="AG6662">
        <v>-1.1116878712905001</v>
      </c>
      <c r="AH6662">
        <v>33.885273742845598</v>
      </c>
      <c r="AI6662">
        <v>91.861635732303895</v>
      </c>
      <c r="AJ6662">
        <v>97.8096850308509</v>
      </c>
      <c r="AK6662">
        <v>34.220567788194103</v>
      </c>
      <c r="AL6662">
        <v>90.0957724615796</v>
      </c>
      <c r="AM6662">
        <v>87.134340137612597</v>
      </c>
      <c r="AN6662">
        <v>0.99999999467283596</v>
      </c>
    </row>
    <row r="6663" spans="1:40" x14ac:dyDescent="0.25">
      <c r="A6663" t="str">
        <f>"20190312154428559"</f>
        <v>20190312154428559</v>
      </c>
      <c r="B6663" t="str">
        <f>"1552376668553951"</f>
        <v>1552376668553951</v>
      </c>
      <c r="C6663" t="s">
        <v>40</v>
      </c>
      <c r="D6663">
        <v>4.8076910000000002</v>
      </c>
      <c r="E6663">
        <v>0.43011080000000002</v>
      </c>
      <c r="F6663" t="s">
        <v>79</v>
      </c>
      <c r="G6663">
        <v>-220.5069</v>
      </c>
      <c r="H6663" s="1">
        <v>-9.6329110000000006E-7</v>
      </c>
      <c r="I6663">
        <v>-54.99606</v>
      </c>
      <c r="J6663">
        <v>-253.5257</v>
      </c>
      <c r="K6663">
        <v>1.1115660000000001</v>
      </c>
      <c r="L6663">
        <v>-61.608580000000003</v>
      </c>
      <c r="M6663">
        <v>0.99801490000000004</v>
      </c>
      <c r="N6663">
        <v>0</v>
      </c>
      <c r="O6663">
        <v>6.2239589999999997E-2</v>
      </c>
      <c r="P6663">
        <v>0.99986050000000004</v>
      </c>
      <c r="Q6663">
        <v>-1.1736460000000001E-2</v>
      </c>
      <c r="R6663">
        <v>1.190197E-2</v>
      </c>
      <c r="S6663">
        <v>2.9921720000000001</v>
      </c>
      <c r="T6663">
        <v>-0.1002165</v>
      </c>
      <c r="U6663">
        <v>0.5971069</v>
      </c>
      <c r="V6663">
        <v>5.0364199999999998E-2</v>
      </c>
      <c r="W6663">
        <v>-1.879192E-3</v>
      </c>
      <c r="X6663">
        <v>0.99872919999999998</v>
      </c>
      <c r="Y6663">
        <v>-0.13424059999999999</v>
      </c>
      <c r="Z6663">
        <v>1.658977E-4</v>
      </c>
      <c r="AA6663">
        <v>0.99094870000000002</v>
      </c>
      <c r="AB6663">
        <v>38</v>
      </c>
      <c r="AC6663">
        <v>33.018799999999999</v>
      </c>
      <c r="AD6663">
        <v>-1.1115669632911001</v>
      </c>
      <c r="AE6663">
        <v>6.61252</v>
      </c>
      <c r="AF6663">
        <v>-4.5395807134461901</v>
      </c>
      <c r="AG6663">
        <v>-1.1115669632911001</v>
      </c>
      <c r="AH6663">
        <v>33.330041283396199</v>
      </c>
      <c r="AI6663">
        <v>91.892662093558897</v>
      </c>
      <c r="AJ6663">
        <v>97.756010399475699</v>
      </c>
      <c r="AK6663">
        <v>33.656129101854098</v>
      </c>
      <c r="AL6663">
        <v>90.107669828538704</v>
      </c>
      <c r="AM6663">
        <v>87.113117611707096</v>
      </c>
      <c r="AN6663">
        <v>1.00000004946842</v>
      </c>
    </row>
    <row r="6664" spans="1:40" x14ac:dyDescent="0.25">
      <c r="A6664" t="str">
        <f>"20190312154428571"</f>
        <v>20190312154428571</v>
      </c>
      <c r="B6664" t="str">
        <f>"1552376668564689"</f>
        <v>1552376668564689</v>
      </c>
      <c r="C6664" t="s">
        <v>40</v>
      </c>
      <c r="D6664">
        <v>4.8229790000000001</v>
      </c>
      <c r="E6664">
        <v>0.43013109999999999</v>
      </c>
      <c r="F6664" t="s">
        <v>79</v>
      </c>
      <c r="G6664">
        <v>-220.9417</v>
      </c>
      <c r="H6664" s="1">
        <v>-1.0728360000000001E-6</v>
      </c>
      <c r="I6664">
        <v>-55.120100000000001</v>
      </c>
      <c r="J6664">
        <v>-253.3211</v>
      </c>
      <c r="K6664">
        <v>1.1114269999999999</v>
      </c>
      <c r="L6664">
        <v>-61.595399999999998</v>
      </c>
      <c r="M6664">
        <v>0.99798359999999997</v>
      </c>
      <c r="N6664">
        <v>0</v>
      </c>
      <c r="O6664">
        <v>6.2691070000000002E-2</v>
      </c>
      <c r="P6664">
        <v>0.99985210000000002</v>
      </c>
      <c r="Q6664">
        <v>-1.244109E-2</v>
      </c>
      <c r="R6664">
        <v>1.1876960000000001E-2</v>
      </c>
      <c r="S6664">
        <v>2.9921259999999998</v>
      </c>
      <c r="T6664">
        <v>-0.1020732</v>
      </c>
      <c r="U6664">
        <v>0.59582519999999894</v>
      </c>
      <c r="V6664">
        <v>5.084164E-2</v>
      </c>
      <c r="W6664">
        <v>-2.3113439999999999E-3</v>
      </c>
      <c r="X6664">
        <v>0.99870409999999998</v>
      </c>
      <c r="Y6664">
        <v>-0.13338599999999901</v>
      </c>
      <c r="Z6664">
        <v>1.3935520000000001E-4</v>
      </c>
      <c r="AA6664">
        <v>0.9910641</v>
      </c>
      <c r="AB6664">
        <v>38</v>
      </c>
      <c r="AC6664">
        <v>32.379399999999997</v>
      </c>
      <c r="AD6664">
        <v>-1.111428072836</v>
      </c>
      <c r="AE6664">
        <v>6.4752999999999901</v>
      </c>
      <c r="AF6664">
        <v>-4.4275464193942904</v>
      </c>
      <c r="AG6664">
        <v>-1.111428072836</v>
      </c>
      <c r="AH6664">
        <v>32.684637590927501</v>
      </c>
      <c r="AI6664">
        <v>91.929956254151094</v>
      </c>
      <c r="AJ6664">
        <v>97.714477533617497</v>
      </c>
      <c r="AK6664">
        <v>33.001878342107297</v>
      </c>
      <c r="AL6664">
        <v>90.132430367891104</v>
      </c>
      <c r="AM6664">
        <v>87.0857245279404</v>
      </c>
      <c r="AN6664">
        <v>1.00000004701289</v>
      </c>
    </row>
    <row r="6665" spans="1:40" x14ac:dyDescent="0.25">
      <c r="A6665" t="str">
        <f>"20190312154428582"</f>
        <v>20190312154428582</v>
      </c>
      <c r="B6665" t="str">
        <f>"1552376668574447"</f>
        <v>1552376668574447</v>
      </c>
      <c r="C6665" t="s">
        <v>40</v>
      </c>
      <c r="D6665">
        <v>5.0387209999999998</v>
      </c>
      <c r="E6665">
        <v>0.4301952</v>
      </c>
      <c r="F6665" t="s">
        <v>79</v>
      </c>
      <c r="G6665">
        <v>-221.18379999999999</v>
      </c>
      <c r="H6665" s="1">
        <v>-1.1309869999999999E-6</v>
      </c>
      <c r="I6665">
        <v>-55.198390000000003</v>
      </c>
      <c r="J6665">
        <v>-253.13630000000001</v>
      </c>
      <c r="K6665">
        <v>1.111305</v>
      </c>
      <c r="L6665">
        <v>-61.583440000000003</v>
      </c>
      <c r="M6665">
        <v>0.99796099999999999</v>
      </c>
      <c r="N6665">
        <v>0</v>
      </c>
      <c r="O6665">
        <v>6.3006179999999995E-2</v>
      </c>
      <c r="P6665">
        <v>0.99984770000000001</v>
      </c>
      <c r="Q6665">
        <v>-1.2942179999999999E-2</v>
      </c>
      <c r="R6665">
        <v>1.1718579999999999E-2</v>
      </c>
      <c r="S6665">
        <v>2.9920810000000002</v>
      </c>
      <c r="T6665">
        <v>-0.1034775</v>
      </c>
      <c r="U6665">
        <v>0.59558109999999997</v>
      </c>
      <c r="V6665">
        <v>5.1314600000000002E-2</v>
      </c>
      <c r="W6665">
        <v>-2.562716E-3</v>
      </c>
      <c r="X6665">
        <v>0.99867919999999999</v>
      </c>
      <c r="Y6665">
        <v>-0.13299729999999901</v>
      </c>
      <c r="Z6665">
        <v>1.2387410000000001E-4</v>
      </c>
      <c r="AA6665">
        <v>0.99111640000000001</v>
      </c>
      <c r="AB6665">
        <v>38</v>
      </c>
      <c r="AC6665">
        <v>31.952500000000001</v>
      </c>
      <c r="AD6665">
        <v>-1.111306130987</v>
      </c>
      <c r="AE6665">
        <v>6.3850499999999997</v>
      </c>
      <c r="AF6665">
        <v>-4.3539881908704903</v>
      </c>
      <c r="AG6665">
        <v>-1.111306130987</v>
      </c>
      <c r="AH6665">
        <v>32.253809184714697</v>
      </c>
      <c r="AI6665">
        <v>91.955623505818096</v>
      </c>
      <c r="AJ6665">
        <v>97.687966171942307</v>
      </c>
      <c r="AK6665">
        <v>32.565325446047602</v>
      </c>
      <c r="AL6665">
        <v>90.146832978939202</v>
      </c>
      <c r="AM6665">
        <v>87.058588336482799</v>
      </c>
      <c r="AN6665">
        <v>0.99999995009954701</v>
      </c>
    </row>
    <row r="6666" spans="1:40" x14ac:dyDescent="0.25">
      <c r="A6666" t="str">
        <f>"20190312154428592"</f>
        <v>20190312154428592</v>
      </c>
      <c r="B6666" t="str">
        <f>"1552376668584208"</f>
        <v>1552376668584208</v>
      </c>
      <c r="C6666" t="s">
        <v>40</v>
      </c>
      <c r="D6666">
        <v>4.8161500000000004</v>
      </c>
      <c r="E6666">
        <v>0.43022700000000003</v>
      </c>
      <c r="F6666" t="s">
        <v>79</v>
      </c>
      <c r="G6666">
        <v>-221.184</v>
      </c>
      <c r="H6666" s="1">
        <v>-1.119775E-6</v>
      </c>
      <c r="I6666">
        <v>-55.234749999999998</v>
      </c>
      <c r="J6666">
        <v>-252.9562</v>
      </c>
      <c r="K6666">
        <v>1.1111839999999999</v>
      </c>
      <c r="L6666">
        <v>-61.571840000000002</v>
      </c>
      <c r="M6666">
        <v>0.99794300000000002</v>
      </c>
      <c r="N6666">
        <v>0</v>
      </c>
      <c r="O6666">
        <v>6.3251920000000003E-2</v>
      </c>
      <c r="P6666">
        <v>0.99984070000000003</v>
      </c>
      <c r="Q6666">
        <v>-1.352597E-2</v>
      </c>
      <c r="R6666">
        <v>1.165805E-2</v>
      </c>
      <c r="S6666">
        <v>2.9921259999999998</v>
      </c>
      <c r="T6666">
        <v>-0.10406650000000001</v>
      </c>
      <c r="U6666">
        <v>0.59451290000000001</v>
      </c>
      <c r="V6666">
        <v>5.1620859999999998E-2</v>
      </c>
      <c r="W6666">
        <v>-2.9090940000000001E-3</v>
      </c>
      <c r="X6666">
        <v>0.99866250000000001</v>
      </c>
      <c r="Y6666">
        <v>-0.1324099</v>
      </c>
      <c r="Z6666">
        <v>1.060322E-4</v>
      </c>
      <c r="AA6666">
        <v>0.99119500000000005</v>
      </c>
      <c r="AB6666">
        <v>38</v>
      </c>
      <c r="AC6666">
        <v>31.772199999999899</v>
      </c>
      <c r="AD6666">
        <v>-1.111185119775</v>
      </c>
      <c r="AE6666">
        <v>6.3370899999999999</v>
      </c>
      <c r="AF6666">
        <v>-4.3095674749219404</v>
      </c>
      <c r="AG6666">
        <v>-1.111185119775</v>
      </c>
      <c r="AH6666">
        <v>32.071699620519198</v>
      </c>
      <c r="AI6666">
        <v>91.9666660265178</v>
      </c>
      <c r="AJ6666">
        <v>97.653158095504594</v>
      </c>
      <c r="AK6666">
        <v>32.379021306088397</v>
      </c>
      <c r="AL6666">
        <v>90.166679046426793</v>
      </c>
      <c r="AM6666">
        <v>87.041014874296806</v>
      </c>
      <c r="AN6666">
        <v>0.99999998246064503</v>
      </c>
    </row>
    <row r="6667" spans="1:40" x14ac:dyDescent="0.25">
      <c r="A6667" t="str">
        <f>"20190312154428604"</f>
        <v>20190312154428604</v>
      </c>
      <c r="B6667" t="str">
        <f>"1552376668593968"</f>
        <v>1552376668593968</v>
      </c>
      <c r="C6667" t="s">
        <v>40</v>
      </c>
      <c r="D6667">
        <v>4.8080610000000004</v>
      </c>
      <c r="E6667">
        <v>0.43031190000000002</v>
      </c>
      <c r="F6667" t="s">
        <v>79</v>
      </c>
      <c r="G6667">
        <v>-221.23849999999999</v>
      </c>
      <c r="H6667" s="1">
        <v>-1.1260830000000001E-6</v>
      </c>
      <c r="I6667">
        <v>-55.27431</v>
      </c>
      <c r="J6667">
        <v>-252.76300000000001</v>
      </c>
      <c r="K6667">
        <v>1.1110530000000001</v>
      </c>
      <c r="L6667">
        <v>-61.559359999999998</v>
      </c>
      <c r="M6667">
        <v>0.99792769999999997</v>
      </c>
      <c r="N6667">
        <v>0</v>
      </c>
      <c r="O6667">
        <v>6.3447699999999996E-2</v>
      </c>
      <c r="P6667">
        <v>0.99983270000000002</v>
      </c>
      <c r="Q6667">
        <v>-1.396853E-2</v>
      </c>
      <c r="R6667">
        <v>1.181044E-2</v>
      </c>
      <c r="S6667">
        <v>2.9921259999999998</v>
      </c>
      <c r="T6667">
        <v>-0.1048251</v>
      </c>
      <c r="U6667">
        <v>0.59408570000000005</v>
      </c>
      <c r="V6667">
        <v>5.1663889999999997E-2</v>
      </c>
      <c r="W6667">
        <v>-3.1037289999999999E-3</v>
      </c>
      <c r="X6667">
        <v>0.99865970000000004</v>
      </c>
      <c r="Y6667">
        <v>-0.132078799999999</v>
      </c>
      <c r="Z6667" s="1">
        <v>9.429688E-5</v>
      </c>
      <c r="AA6667">
        <v>0.99123919999999999</v>
      </c>
      <c r="AB6667">
        <v>38</v>
      </c>
      <c r="AC6667">
        <v>31.5245</v>
      </c>
      <c r="AD6667">
        <v>-1.111054126083</v>
      </c>
      <c r="AE6667">
        <v>6.2850499999999903</v>
      </c>
      <c r="AF6667">
        <v>-4.2670158248123</v>
      </c>
      <c r="AG6667">
        <v>-1.111054126083</v>
      </c>
      <c r="AH6667">
        <v>31.821754576881101</v>
      </c>
      <c r="AI6667">
        <v>91.981941091275502</v>
      </c>
      <c r="AJ6667">
        <v>97.637300680315093</v>
      </c>
      <c r="AK6667">
        <v>32.1257829425453</v>
      </c>
      <c r="AL6667">
        <v>90.177830859114394</v>
      </c>
      <c r="AM6667">
        <v>87.038544430573495</v>
      </c>
      <c r="AN6667">
        <v>0.99999999353386304</v>
      </c>
    </row>
    <row r="6668" spans="1:40" x14ac:dyDescent="0.25">
      <c r="A6668" t="str">
        <f>"20190312154428615"</f>
        <v>20190312154428615</v>
      </c>
      <c r="B6668" t="str">
        <f>"1552376668604227"</f>
        <v>1552376668604227</v>
      </c>
      <c r="C6668" t="s">
        <v>40</v>
      </c>
      <c r="D6668">
        <v>4.8184079999999998</v>
      </c>
      <c r="E6668">
        <v>0.43037409999999998</v>
      </c>
      <c r="F6668" t="s">
        <v>79</v>
      </c>
      <c r="G6668">
        <v>-221.08590000000001</v>
      </c>
      <c r="H6668" s="1">
        <v>-1.0748869999999999E-6</v>
      </c>
      <c r="I6668">
        <v>-55.271909999999998</v>
      </c>
      <c r="J6668">
        <v>-252.5718</v>
      </c>
      <c r="K6668">
        <v>1.1109279999999999</v>
      </c>
      <c r="L6668">
        <v>-61.547029999999999</v>
      </c>
      <c r="M6668">
        <v>0.99791799999999997</v>
      </c>
      <c r="N6668">
        <v>0</v>
      </c>
      <c r="O6668">
        <v>6.3555009999999995E-2</v>
      </c>
      <c r="P6668">
        <v>0.99981580000000003</v>
      </c>
      <c r="Q6668">
        <v>-1.502072E-2</v>
      </c>
      <c r="R6668">
        <v>1.1951389999999999E-2</v>
      </c>
      <c r="S6668">
        <v>2.9920200000000001</v>
      </c>
      <c r="T6668">
        <v>-0.10494299999999999</v>
      </c>
      <c r="U6668">
        <v>0.59387209999999901</v>
      </c>
      <c r="V6668">
        <v>5.163065E-2</v>
      </c>
      <c r="W6668">
        <v>-3.9230890000000003E-3</v>
      </c>
      <c r="X6668">
        <v>0.9986585</v>
      </c>
      <c r="Y6668">
        <v>-0.13191079999999999</v>
      </c>
      <c r="Z6668" s="1">
        <v>8.7772729999999996E-5</v>
      </c>
      <c r="AA6668">
        <v>0.99126159999999996</v>
      </c>
      <c r="AB6668">
        <v>38</v>
      </c>
      <c r="AC6668">
        <v>31.485899999999901</v>
      </c>
      <c r="AD6668">
        <v>-1.110929074887</v>
      </c>
      <c r="AE6668">
        <v>6.2751200000000003</v>
      </c>
      <c r="AF6668">
        <v>-4.2561289904176203</v>
      </c>
      <c r="AG6668">
        <v>-1.110929074887</v>
      </c>
      <c r="AH6668">
        <v>31.7830221212688</v>
      </c>
      <c r="AI6668">
        <v>91.984178042910202</v>
      </c>
      <c r="AJ6668">
        <v>97.627218574838295</v>
      </c>
      <c r="AK6668">
        <v>32.085967221724196</v>
      </c>
      <c r="AL6668">
        <v>90.224777028568496</v>
      </c>
      <c r="AM6668">
        <v>87.040442861366998</v>
      </c>
      <c r="AN6668">
        <v>0.99999995713448597</v>
      </c>
    </row>
    <row r="6669" spans="1:40" x14ac:dyDescent="0.25">
      <c r="A6669" t="str">
        <f>"20190312154428625"</f>
        <v>20190312154428625</v>
      </c>
      <c r="B6669" t="str">
        <f>"1552376668613988"</f>
        <v>1552376668613988</v>
      </c>
      <c r="C6669" t="s">
        <v>40</v>
      </c>
      <c r="D6669">
        <v>4.819712</v>
      </c>
      <c r="E6669">
        <v>0.43042019999999998</v>
      </c>
      <c r="F6669" t="s">
        <v>79</v>
      </c>
      <c r="G6669">
        <v>-221.4864</v>
      </c>
      <c r="H6669" s="1">
        <v>-1.1784279999999999E-6</v>
      </c>
      <c r="I6669">
        <v>-55.37764</v>
      </c>
      <c r="J6669">
        <v>-252.39060000000001</v>
      </c>
      <c r="K6669">
        <v>1.110806</v>
      </c>
      <c r="L6669">
        <v>-61.535339999999998</v>
      </c>
      <c r="M6669">
        <v>0.99791129999999995</v>
      </c>
      <c r="N6669">
        <v>0</v>
      </c>
      <c r="O6669">
        <v>6.3619759999999997E-2</v>
      </c>
      <c r="P6669">
        <v>0.99979490000000004</v>
      </c>
      <c r="Q6669">
        <v>-1.6042799999999999E-2</v>
      </c>
      <c r="R6669">
        <v>1.2366490000000001E-2</v>
      </c>
      <c r="S6669">
        <v>2.9918520000000002</v>
      </c>
      <c r="T6669">
        <v>-0.1069229</v>
      </c>
      <c r="U6669">
        <v>0.59378050000000004</v>
      </c>
      <c r="V6669">
        <v>5.1280359999999997E-2</v>
      </c>
      <c r="W6669">
        <v>-4.7303830000000003E-3</v>
      </c>
      <c r="X6669">
        <v>0.99867309999999998</v>
      </c>
      <c r="Y6669">
        <v>-0.1318262</v>
      </c>
      <c r="Z6669" s="1">
        <v>8.5650239999999998E-5</v>
      </c>
      <c r="AA6669">
        <v>0.99127279999999995</v>
      </c>
      <c r="AB6669">
        <v>38</v>
      </c>
      <c r="AC6669">
        <v>30.904199999999999</v>
      </c>
      <c r="AD6669">
        <v>-1.110807178428</v>
      </c>
      <c r="AE6669">
        <v>6.1577000000000002</v>
      </c>
      <c r="AF6669">
        <v>-4.1737966074164596</v>
      </c>
      <c r="AG6669">
        <v>-1.110807178428</v>
      </c>
      <c r="AH6669">
        <v>31.194600105738399</v>
      </c>
      <c r="AI6669">
        <v>92.021383184983193</v>
      </c>
      <c r="AJ6669">
        <v>97.620838974618195</v>
      </c>
      <c r="AK6669">
        <v>31.4921823071166</v>
      </c>
      <c r="AL6669">
        <v>90.271031990483905</v>
      </c>
      <c r="AM6669">
        <v>87.060529646326799</v>
      </c>
      <c r="AN6669">
        <v>1.0000000062543299</v>
      </c>
    </row>
    <row r="6670" spans="1:40" x14ac:dyDescent="0.25">
      <c r="A6670" t="str">
        <f>"20190312154428638"</f>
        <v>20190312154428638</v>
      </c>
      <c r="B6670" t="str">
        <f>"1552376668634484"</f>
        <v>1552376668634484</v>
      </c>
      <c r="C6670" t="s">
        <v>40</v>
      </c>
      <c r="D6670">
        <v>4.7921589999999998</v>
      </c>
      <c r="E6670">
        <v>0.4306625</v>
      </c>
      <c r="F6670" t="s">
        <v>79</v>
      </c>
      <c r="G6670">
        <v>-221.88570000000001</v>
      </c>
      <c r="H6670" s="1">
        <v>-1.2849599999999999E-6</v>
      </c>
      <c r="I6670">
        <v>-55.472349999999999</v>
      </c>
      <c r="J6670">
        <v>-252.1961</v>
      </c>
      <c r="K6670">
        <v>1.110676</v>
      </c>
      <c r="L6670">
        <v>-61.522860000000001</v>
      </c>
      <c r="M6670">
        <v>0.99791050000000003</v>
      </c>
      <c r="N6670">
        <v>0</v>
      </c>
      <c r="O6670">
        <v>6.3591250000000002E-2</v>
      </c>
      <c r="P6670">
        <v>0.99977559999999999</v>
      </c>
      <c r="Q6670">
        <v>-1.698243E-2</v>
      </c>
      <c r="R6670">
        <v>1.2657150000000001E-2</v>
      </c>
      <c r="S6670">
        <v>2.991501</v>
      </c>
      <c r="T6670">
        <v>-0.10893269999999999</v>
      </c>
      <c r="U6670">
        <v>0.59457399999999905</v>
      </c>
      <c r="V6670">
        <v>5.0960569999999997E-2</v>
      </c>
      <c r="W6670">
        <v>-5.4559069999999899E-3</v>
      </c>
      <c r="X6670">
        <v>0.99868579999999996</v>
      </c>
      <c r="Y6670">
        <v>-0.13212779999999999</v>
      </c>
      <c r="Z6670" s="1">
        <v>9.3724349999999997E-5</v>
      </c>
      <c r="AA6670">
        <v>0.99123269999999997</v>
      </c>
      <c r="AB6670">
        <v>38</v>
      </c>
      <c r="AC6670">
        <v>30.310399999999898</v>
      </c>
      <c r="AD6670">
        <v>-1.11067728496</v>
      </c>
      <c r="AE6670">
        <v>6.0505099999999903</v>
      </c>
      <c r="AF6670">
        <v>-4.10535885751416</v>
      </c>
      <c r="AG6670">
        <v>-1.11067728496</v>
      </c>
      <c r="AH6670">
        <v>30.5943231761199</v>
      </c>
      <c r="AI6670">
        <v>92.060663902216504</v>
      </c>
      <c r="AJ6670">
        <v>97.642692212701505</v>
      </c>
      <c r="AK6670">
        <v>30.888512200900202</v>
      </c>
      <c r="AL6670">
        <v>90.312601983869996</v>
      </c>
      <c r="AM6670">
        <v>87.078865743434406</v>
      </c>
      <c r="AN6670">
        <v>1.00000003686877</v>
      </c>
    </row>
    <row r="6671" spans="1:40" x14ac:dyDescent="0.25">
      <c r="A6671" t="str">
        <f>"20190312154428649"</f>
        <v>20190312154428649</v>
      </c>
      <c r="B6671" t="str">
        <f>"1552376668644244"</f>
        <v>1552376668644244</v>
      </c>
      <c r="C6671" t="s">
        <v>40</v>
      </c>
      <c r="D6671">
        <v>4.7950629999999999</v>
      </c>
      <c r="E6671">
        <v>0.4307781</v>
      </c>
      <c r="F6671" t="s">
        <v>79</v>
      </c>
      <c r="G6671">
        <v>-222.64160000000001</v>
      </c>
      <c r="H6671" s="1">
        <v>-1.48431E-6</v>
      </c>
      <c r="I6671">
        <v>-55.659170000000003</v>
      </c>
      <c r="J6671">
        <v>-252.00360000000001</v>
      </c>
      <c r="K6671">
        <v>1.1105430000000001</v>
      </c>
      <c r="L6671">
        <v>-61.510530000000003</v>
      </c>
      <c r="M6671">
        <v>0.99791129999999995</v>
      </c>
      <c r="N6671">
        <v>0</v>
      </c>
      <c r="O6671">
        <v>6.3537659999999996E-2</v>
      </c>
      <c r="P6671">
        <v>0.99975259999999999</v>
      </c>
      <c r="Q6671">
        <v>-1.8085130000000001E-2</v>
      </c>
      <c r="R6671">
        <v>1.2954190000000001E-2</v>
      </c>
      <c r="S6671">
        <v>2.9912719999999999</v>
      </c>
      <c r="T6671">
        <v>-0.112413899999999</v>
      </c>
      <c r="U6671">
        <v>0.59347530000000004</v>
      </c>
      <c r="V6671">
        <v>5.060833E-2</v>
      </c>
      <c r="W6671">
        <v>-6.3511720000000004E-3</v>
      </c>
      <c r="X6671">
        <v>0.99869839999999999</v>
      </c>
      <c r="Y6671">
        <v>-0.1318424</v>
      </c>
      <c r="Z6671" s="1">
        <v>9.3392099999999996E-5</v>
      </c>
      <c r="AA6671">
        <v>0.99127069999999995</v>
      </c>
      <c r="AB6671">
        <v>38</v>
      </c>
      <c r="AC6671">
        <v>29.361999999999899</v>
      </c>
      <c r="AD6671">
        <v>-1.1105444843100001</v>
      </c>
      <c r="AE6671">
        <v>5.8513599999999997</v>
      </c>
      <c r="AF6671">
        <v>-3.9683556664968802</v>
      </c>
      <c r="AG6671">
        <v>-1.1105444843100001</v>
      </c>
      <c r="AH6671">
        <v>29.633698291918702</v>
      </c>
      <c r="AI6671">
        <v>92.127225643023394</v>
      </c>
      <c r="AJ6671">
        <v>97.627307831234603</v>
      </c>
      <c r="AK6671">
        <v>29.918844065302899</v>
      </c>
      <c r="AL6671">
        <v>90.363897790739202</v>
      </c>
      <c r="AM6671">
        <v>87.0990585827318</v>
      </c>
      <c r="AN6671">
        <v>1.0000000173068599</v>
      </c>
    </row>
    <row r="6672" spans="1:40" x14ac:dyDescent="0.25">
      <c r="A6672" t="str">
        <f>"20190312154428660"</f>
        <v>20190312154428660</v>
      </c>
      <c r="B6672" t="str">
        <f>"1552376668654004"</f>
        <v>1552376668654004</v>
      </c>
      <c r="C6672" t="s">
        <v>40</v>
      </c>
      <c r="D6672">
        <v>4.8018280000000004</v>
      </c>
      <c r="E6672">
        <v>0.43088270000000001</v>
      </c>
      <c r="F6672" t="s">
        <v>79</v>
      </c>
      <c r="G6672">
        <v>-223.42230000000001</v>
      </c>
      <c r="H6672" s="1">
        <v>-1.694391E-6</v>
      </c>
      <c r="I6672">
        <v>-55.83869</v>
      </c>
      <c r="J6672">
        <v>-251.8064</v>
      </c>
      <c r="K6672">
        <v>1.1104160000000001</v>
      </c>
      <c r="L6672">
        <v>-61.497990000000001</v>
      </c>
      <c r="M6672">
        <v>0.99791779999999997</v>
      </c>
      <c r="N6672">
        <v>0</v>
      </c>
      <c r="O6672">
        <v>6.3395160000000006E-2</v>
      </c>
      <c r="P6672">
        <v>0.9997452</v>
      </c>
      <c r="Q6672">
        <v>-1.8518529999999998E-2</v>
      </c>
      <c r="R6672">
        <v>1.2925270000000001E-2</v>
      </c>
      <c r="S6672">
        <v>2.9909210000000002</v>
      </c>
      <c r="T6672">
        <v>-0.11621430000000001</v>
      </c>
      <c r="U6672">
        <v>0.59353639999999996</v>
      </c>
      <c r="V6672">
        <v>5.0492299999999997E-2</v>
      </c>
      <c r="W6672">
        <v>-6.5889679999999997E-3</v>
      </c>
      <c r="X6672">
        <v>0.99870270000000005</v>
      </c>
      <c r="Y6672">
        <v>-0.132022</v>
      </c>
      <c r="Z6672">
        <v>1.054637E-4</v>
      </c>
      <c r="AA6672">
        <v>0.99124679999999998</v>
      </c>
      <c r="AB6672">
        <v>38</v>
      </c>
      <c r="AC6672">
        <v>28.384099999999901</v>
      </c>
      <c r="AD6672">
        <v>-1.110417694391</v>
      </c>
      <c r="AE6672">
        <v>5.6593</v>
      </c>
      <c r="AF6672">
        <v>-3.8427169169972299</v>
      </c>
      <c r="AG6672">
        <v>-1.110417694391</v>
      </c>
      <c r="AH6672">
        <v>28.643633066874401</v>
      </c>
      <c r="AI6672">
        <v>92.200360788925494</v>
      </c>
      <c r="AJ6672">
        <v>97.640953670974497</v>
      </c>
      <c r="AK6672">
        <v>28.921570082378601</v>
      </c>
      <c r="AL6672">
        <v>90.377522795132805</v>
      </c>
      <c r="AM6672">
        <v>87.105710705985899</v>
      </c>
      <c r="AN6672">
        <v>0.99999998492294195</v>
      </c>
    </row>
    <row r="6673" spans="1:40" x14ac:dyDescent="0.25">
      <c r="A6673" t="str">
        <f>"20190312154428672"</f>
        <v>20190312154428672</v>
      </c>
      <c r="B6673" t="str">
        <f>"1552376668664741"</f>
        <v>1552376668664741</v>
      </c>
      <c r="C6673" t="s">
        <v>40</v>
      </c>
      <c r="D6673">
        <v>4.8026759999999999</v>
      </c>
      <c r="E6673">
        <v>0.43098330000000001</v>
      </c>
      <c r="F6673" t="s">
        <v>79</v>
      </c>
      <c r="G6673">
        <v>-223.6165</v>
      </c>
      <c r="H6673" s="1">
        <v>-1.7374549999999999E-6</v>
      </c>
      <c r="I6673">
        <v>-55.912979999999997</v>
      </c>
      <c r="J6673">
        <v>-251.6095</v>
      </c>
      <c r="K6673">
        <v>1.1102959999999999</v>
      </c>
      <c r="L6673">
        <v>-61.4854699999999</v>
      </c>
      <c r="M6673">
        <v>0.99792610000000004</v>
      </c>
      <c r="N6673">
        <v>0</v>
      </c>
      <c r="O6673">
        <v>6.3224530000000001E-2</v>
      </c>
      <c r="P6673">
        <v>0.99974320000000005</v>
      </c>
      <c r="Q6673">
        <v>-1.8736369999999999E-2</v>
      </c>
      <c r="R6673">
        <v>1.274526E-2</v>
      </c>
      <c r="S6673">
        <v>2.9909059999999998</v>
      </c>
      <c r="T6673">
        <v>-0.1178135</v>
      </c>
      <c r="U6673">
        <v>0.59255979999999997</v>
      </c>
      <c r="V6673">
        <v>5.0499290000000002E-2</v>
      </c>
      <c r="W6673">
        <v>-6.6181779999999997E-3</v>
      </c>
      <c r="X6673">
        <v>0.99870219999999998</v>
      </c>
      <c r="Y6673">
        <v>-0.13187950000000001</v>
      </c>
      <c r="Z6673">
        <v>1.107506E-4</v>
      </c>
      <c r="AA6673">
        <v>0.99126579999999997</v>
      </c>
      <c r="AB6673">
        <v>38</v>
      </c>
      <c r="AC6673">
        <v>27.992999999999899</v>
      </c>
      <c r="AD6673">
        <v>-1.110297737455</v>
      </c>
      <c r="AE6673">
        <v>5.5724899999999797</v>
      </c>
      <c r="AF6673">
        <v>-3.7856375201905101</v>
      </c>
      <c r="AG6673">
        <v>-1.110297737455</v>
      </c>
      <c r="AH6673">
        <v>28.246587497985001</v>
      </c>
      <c r="AI6673">
        <v>92.231057751087604</v>
      </c>
      <c r="AJ6673">
        <v>97.633355279014197</v>
      </c>
      <c r="AK6673">
        <v>28.520755911816099</v>
      </c>
      <c r="AL6673">
        <v>90.379196423734896</v>
      </c>
      <c r="AM6673">
        <v>87.105309264055293</v>
      </c>
      <c r="AN6673">
        <v>1.00000003142769</v>
      </c>
    </row>
    <row r="6674" spans="1:40" x14ac:dyDescent="0.25">
      <c r="A6674" t="str">
        <f>"20190312154428685"</f>
        <v>20190312154428685</v>
      </c>
      <c r="B6674" t="str">
        <f>"1552376668674500"</f>
        <v>1552376668674500</v>
      </c>
      <c r="C6674" t="s">
        <v>40</v>
      </c>
      <c r="D6674">
        <v>5.0054809999999996</v>
      </c>
      <c r="E6674">
        <v>0.43098330000000001</v>
      </c>
      <c r="F6674" t="s">
        <v>79</v>
      </c>
      <c r="G6674">
        <v>-223.33439999999999</v>
      </c>
      <c r="H6674" s="1">
        <v>-1.6463809999999999E-6</v>
      </c>
      <c r="I6674">
        <v>-55.897060000000003</v>
      </c>
      <c r="J6674">
        <v>-251.38890000000001</v>
      </c>
      <c r="K6674">
        <v>1.110174</v>
      </c>
      <c r="L6674">
        <v>-61.471589999999999</v>
      </c>
      <c r="M6674">
        <v>0.99793909999999997</v>
      </c>
      <c r="N6674">
        <v>0</v>
      </c>
      <c r="O6674">
        <v>6.2979800000000002E-2</v>
      </c>
      <c r="P6674">
        <v>0.99974039999999997</v>
      </c>
      <c r="Q6674">
        <v>-1.8959569999999999E-2</v>
      </c>
      <c r="R6674">
        <v>1.2646269999999999E-2</v>
      </c>
      <c r="S6674">
        <v>2.9910130000000001</v>
      </c>
      <c r="T6674">
        <v>-0.11745</v>
      </c>
      <c r="U6674">
        <v>0.59115600000000001</v>
      </c>
      <c r="V6674">
        <v>5.0350590000000001E-2</v>
      </c>
      <c r="W6674">
        <v>-6.6430269999999897E-3</v>
      </c>
      <c r="X6674">
        <v>0.99870950000000003</v>
      </c>
      <c r="Y6674">
        <v>-0.13166820000000001</v>
      </c>
      <c r="Z6674">
        <v>1.157601E-4</v>
      </c>
      <c r="AA6674">
        <v>0.9912938</v>
      </c>
      <c r="AB6674">
        <v>38</v>
      </c>
      <c r="AC6674">
        <v>28.054500000000001</v>
      </c>
      <c r="AD6674">
        <v>-1.110175646381</v>
      </c>
      <c r="AE6674">
        <v>5.5745300000000002</v>
      </c>
      <c r="AF6674">
        <v>-3.7907508231173801</v>
      </c>
      <c r="AG6674">
        <v>-1.110175646381</v>
      </c>
      <c r="AH6674">
        <v>28.307263064478398</v>
      </c>
      <c r="AI6674">
        <v>92.226067025833899</v>
      </c>
      <c r="AJ6674">
        <v>97.627353352061405</v>
      </c>
      <c r="AK6674">
        <v>28.5815224221938</v>
      </c>
      <c r="AL6674">
        <v>90.380620214131895</v>
      </c>
      <c r="AM6674">
        <v>87.113839586054695</v>
      </c>
      <c r="AN6674">
        <v>0.99999998855565997</v>
      </c>
    </row>
    <row r="6675" spans="1:40" x14ac:dyDescent="0.25">
      <c r="A6675" t="str">
        <f>"20190312154428706"</f>
        <v>20190312154428706</v>
      </c>
      <c r="B6675" t="str">
        <f>"1552376668694019"</f>
        <v>1552376668694019</v>
      </c>
      <c r="C6675" t="s">
        <v>40</v>
      </c>
      <c r="D6675">
        <v>5.0026159999999997</v>
      </c>
      <c r="E6675">
        <v>0.47529860000000002</v>
      </c>
      <c r="F6675" t="s">
        <v>79</v>
      </c>
      <c r="G6675">
        <v>-223.2397</v>
      </c>
      <c r="H6675" s="1">
        <v>-1.6100879999999999E-6</v>
      </c>
      <c r="I6675">
        <v>-55.910179999999997</v>
      </c>
      <c r="J6675">
        <v>-251.03700000000001</v>
      </c>
      <c r="K6675">
        <v>1.109996</v>
      </c>
      <c r="L6675">
        <v>-61.449649999999998</v>
      </c>
      <c r="M6675">
        <v>0.99796530000000006</v>
      </c>
      <c r="N6675">
        <v>0</v>
      </c>
      <c r="O6675">
        <v>6.2499359999999997E-2</v>
      </c>
      <c r="P6675">
        <v>0.99977649999999996</v>
      </c>
      <c r="Q6675">
        <v>-1.7622889999999999E-2</v>
      </c>
      <c r="R6675">
        <v>1.169019E-2</v>
      </c>
      <c r="S6675">
        <v>2.9910739999999998</v>
      </c>
      <c r="T6675">
        <v>-0.1179646</v>
      </c>
      <c r="U6675">
        <v>0.59094239999999998</v>
      </c>
      <c r="V6675">
        <v>5.0823170000000001E-2</v>
      </c>
      <c r="W6675">
        <v>-5.0172560000000003E-3</v>
      </c>
      <c r="X6675">
        <v>0.99869509999999995</v>
      </c>
      <c r="Y6675">
        <v>-0.1320722</v>
      </c>
      <c r="Z6675">
        <v>1.4281529999999999E-4</v>
      </c>
      <c r="AA6675">
        <v>0.99124009999999996</v>
      </c>
      <c r="AB6675">
        <v>38</v>
      </c>
      <c r="AC6675">
        <v>27.7973</v>
      </c>
      <c r="AD6675">
        <v>-1.109997610088</v>
      </c>
      <c r="AE6675">
        <v>5.5394699999999899</v>
      </c>
      <c r="AF6675">
        <v>-3.7853815231646899</v>
      </c>
      <c r="AG6675">
        <v>-1.109997610088</v>
      </c>
      <c r="AH6675">
        <v>28.046175670345399</v>
      </c>
      <c r="AI6675">
        <v>92.246096164760303</v>
      </c>
      <c r="AJ6675">
        <v>97.686737972716202</v>
      </c>
      <c r="AK6675">
        <v>28.322238218442202</v>
      </c>
      <c r="AL6675">
        <v>90.287468789519195</v>
      </c>
      <c r="AM6675">
        <v>87.086755208136495</v>
      </c>
      <c r="AN6675">
        <v>1.00000003511531</v>
      </c>
    </row>
    <row r="6676" spans="1:40" x14ac:dyDescent="0.25">
      <c r="A6676" t="str">
        <f>"20190312154428717"</f>
        <v>20190312154428717</v>
      </c>
      <c r="B6676" t="str">
        <f>"1552376668704755"</f>
        <v>1552376668704755</v>
      </c>
      <c r="C6676" t="s">
        <v>40</v>
      </c>
      <c r="D6676">
        <v>4.8959679999999999</v>
      </c>
      <c r="E6676">
        <v>0.4838191</v>
      </c>
      <c r="F6676" t="s">
        <v>78</v>
      </c>
      <c r="G6676">
        <v>-217.36680000000001</v>
      </c>
      <c r="H6676" s="1">
        <v>-2.4065190000000001E-6</v>
      </c>
      <c r="I6676">
        <v>-58.821269999999998</v>
      </c>
      <c r="J6676">
        <v>-250.85380000000001</v>
      </c>
      <c r="K6676">
        <v>1.10992</v>
      </c>
      <c r="L6676">
        <v>-61.43835</v>
      </c>
      <c r="M6676">
        <v>0.99798149999999997</v>
      </c>
      <c r="N6676">
        <v>0</v>
      </c>
      <c r="O6676">
        <v>6.221028E-2</v>
      </c>
      <c r="P6676">
        <v>0.99979249999999997</v>
      </c>
      <c r="Q6676">
        <v>-1.702712E-2</v>
      </c>
      <c r="R6676">
        <v>1.1201010000000001E-2</v>
      </c>
      <c r="S6676">
        <v>2.996216</v>
      </c>
      <c r="T6676">
        <v>-9.8775740000000001E-2</v>
      </c>
      <c r="U6676">
        <v>0.2338867</v>
      </c>
      <c r="V6676">
        <v>5.1022100000000001E-2</v>
      </c>
      <c r="W6676">
        <v>-4.2856980000000001E-3</v>
      </c>
      <c r="X6676">
        <v>0.99868829999999997</v>
      </c>
      <c r="Y6676">
        <v>-1.5671600000000001E-2</v>
      </c>
      <c r="Z6676">
        <v>-1.787283E-3</v>
      </c>
      <c r="AA6676">
        <v>0.99987559999999998</v>
      </c>
      <c r="AB6676">
        <v>38</v>
      </c>
      <c r="AC6676">
        <v>33.486999999999902</v>
      </c>
      <c r="AD6676">
        <v>-1.1099224065189901</v>
      </c>
      <c r="AE6676">
        <v>2.6170800000000001</v>
      </c>
      <c r="AF6676">
        <v>-0.528028248417309</v>
      </c>
      <c r="AG6676">
        <v>-1.1099224065189901</v>
      </c>
      <c r="AH6676">
        <v>33.548317946015203</v>
      </c>
      <c r="AI6676">
        <v>91.894664742199694</v>
      </c>
      <c r="AJ6676">
        <v>90.901723069815205</v>
      </c>
      <c r="AK6676">
        <v>33.570826301813703</v>
      </c>
      <c r="AL6676">
        <v>90.245553166424699</v>
      </c>
      <c r="AM6676">
        <v>87.075352182242995</v>
      </c>
      <c r="AN6676">
        <v>0.999999971226323</v>
      </c>
    </row>
    <row r="6677" spans="1:40" x14ac:dyDescent="0.25">
      <c r="A6677" t="str">
        <f>"20190312154428727"</f>
        <v>20190312154428727</v>
      </c>
      <c r="B6677" t="str">
        <f>"1552376668714516"</f>
        <v>1552376668714516</v>
      </c>
      <c r="C6677" t="s">
        <v>40</v>
      </c>
      <c r="D6677">
        <v>4.8950579999999997</v>
      </c>
      <c r="E6677">
        <v>0.49000700000000003</v>
      </c>
      <c r="F6677" t="s">
        <v>78</v>
      </c>
      <c r="G6677">
        <v>-219.07550000000001</v>
      </c>
      <c r="H6677" s="1">
        <v>-2.985146E-6</v>
      </c>
      <c r="I6677">
        <v>-59.691549999999999</v>
      </c>
      <c r="J6677">
        <v>-250.68170000000001</v>
      </c>
      <c r="K6677">
        <v>1.109845</v>
      </c>
      <c r="L6677">
        <v>-61.427799999999998</v>
      </c>
      <c r="M6677">
        <v>0.99799680000000002</v>
      </c>
      <c r="N6677">
        <v>0</v>
      </c>
      <c r="O6677">
        <v>6.1932380000000002E-2</v>
      </c>
      <c r="P6677">
        <v>0.99981089999999995</v>
      </c>
      <c r="Q6677">
        <v>-1.6531460000000001E-2</v>
      </c>
      <c r="R6677">
        <v>1.0227409999999999E-2</v>
      </c>
      <c r="S6677">
        <v>2.9969939999999999</v>
      </c>
      <c r="T6677">
        <v>-0.10467609999999999</v>
      </c>
      <c r="U6677">
        <v>0.16473389999999999</v>
      </c>
      <c r="V6677">
        <v>5.1716570000000003E-2</v>
      </c>
      <c r="W6677">
        <v>-3.665668E-3</v>
      </c>
      <c r="X6677">
        <v>0.99865510000000002</v>
      </c>
      <c r="Y6677">
        <v>7.0241879999999998E-3</v>
      </c>
      <c r="Z6677">
        <v>-2.2815869999999999E-3</v>
      </c>
      <c r="AA6677">
        <v>0.99997270000000005</v>
      </c>
      <c r="AB6677">
        <v>38</v>
      </c>
      <c r="AC6677">
        <v>31.606200000000001</v>
      </c>
      <c r="AD6677">
        <v>-1.1098479851459999</v>
      </c>
      <c r="AE6677">
        <v>1.7362499999999901</v>
      </c>
      <c r="AF6677">
        <v>0.22441809407629601</v>
      </c>
      <c r="AG6677">
        <v>-1.1098479851459999</v>
      </c>
      <c r="AH6677">
        <v>31.614191263898</v>
      </c>
      <c r="AI6677">
        <v>92.010549654883405</v>
      </c>
      <c r="AJ6677">
        <v>89.593284118594596</v>
      </c>
      <c r="AK6677">
        <v>31.6344624626594</v>
      </c>
      <c r="AL6677">
        <v>90.210027770662194</v>
      </c>
      <c r="AM6677">
        <v>87.035516482953199</v>
      </c>
      <c r="AN6677">
        <v>1.0000000247452301</v>
      </c>
    </row>
    <row r="6678" spans="1:40" x14ac:dyDescent="0.25">
      <c r="A6678" t="str">
        <f>"20190312154428738"</f>
        <v>20190312154428738</v>
      </c>
      <c r="B6678" t="str">
        <f>"1552376668734036"</f>
        <v>1552376668734036</v>
      </c>
      <c r="C6678" t="s">
        <v>40</v>
      </c>
      <c r="D6678">
        <v>4.8764260000000004</v>
      </c>
      <c r="E6678">
        <v>0.49726550000000003</v>
      </c>
      <c r="F6678" t="s">
        <v>79</v>
      </c>
      <c r="G6678">
        <v>-222.048</v>
      </c>
      <c r="H6678" s="1">
        <v>-4.3730779999999997E-9</v>
      </c>
      <c r="I6678">
        <v>-60.348579999999998</v>
      </c>
      <c r="J6678">
        <v>-250.48589999999999</v>
      </c>
      <c r="K6678">
        <v>1.109774</v>
      </c>
      <c r="L6678">
        <v>-61.415889999999997</v>
      </c>
      <c r="M6678">
        <v>0.99801640000000003</v>
      </c>
      <c r="N6678">
        <v>0</v>
      </c>
      <c r="O6678">
        <v>6.1588039999999997E-2</v>
      </c>
      <c r="P6678">
        <v>0.99982059999999995</v>
      </c>
      <c r="Q6678">
        <v>-1.6471019999999999E-2</v>
      </c>
      <c r="R6678">
        <v>9.3541839999999998E-3</v>
      </c>
      <c r="S6678">
        <v>2.9974980000000002</v>
      </c>
      <c r="T6678">
        <v>-0.1161832</v>
      </c>
      <c r="U6678">
        <v>0.1129761</v>
      </c>
      <c r="V6678">
        <v>5.2243640000000001E-2</v>
      </c>
      <c r="W6678">
        <v>-3.4771419999999999E-3</v>
      </c>
      <c r="X6678">
        <v>0.99862830000000002</v>
      </c>
      <c r="Y6678">
        <v>2.389368E-2</v>
      </c>
      <c r="Z6678">
        <v>-2.8465140000000001E-3</v>
      </c>
      <c r="AA6678">
        <v>0.9997104</v>
      </c>
      <c r="AB6678">
        <v>38</v>
      </c>
      <c r="AC6678">
        <v>28.4378999999999</v>
      </c>
      <c r="AD6678">
        <v>-1.1097740043730699</v>
      </c>
      <c r="AE6678">
        <v>1.06730999999999</v>
      </c>
      <c r="AF6678">
        <v>0.68525792036283495</v>
      </c>
      <c r="AG6678">
        <v>-1.1097740043730699</v>
      </c>
      <c r="AH6678">
        <v>28.406445386537801</v>
      </c>
      <c r="AI6678">
        <v>92.236625547314702</v>
      </c>
      <c r="AJ6678">
        <v>88.618103293506394</v>
      </c>
      <c r="AK6678">
        <v>28.4363731206453</v>
      </c>
      <c r="AL6678">
        <v>90.199225965815103</v>
      </c>
      <c r="AM6678">
        <v>87.005278411681402</v>
      </c>
      <c r="AN6678">
        <v>0.99999998499891296</v>
      </c>
    </row>
    <row r="6679" spans="1:40" x14ac:dyDescent="0.25">
      <c r="A6679" t="str">
        <f>"20190312154428750"</f>
        <v>20190312154428750</v>
      </c>
      <c r="B6679" t="str">
        <f>"1552376668744771"</f>
        <v>1552376668744771</v>
      </c>
      <c r="C6679" t="s">
        <v>40</v>
      </c>
      <c r="D6679">
        <v>4.8768919999999998</v>
      </c>
      <c r="E6679">
        <v>0.49956</v>
      </c>
      <c r="F6679" t="s">
        <v>79</v>
      </c>
      <c r="G6679">
        <v>-224.67910000000001</v>
      </c>
      <c r="H6679" s="1">
        <v>-1.253601E-6</v>
      </c>
      <c r="I6679">
        <v>-60.960369999999998</v>
      </c>
      <c r="J6679">
        <v>-250.29140000000001</v>
      </c>
      <c r="K6679">
        <v>1.1097030000000001</v>
      </c>
      <c r="L6679">
        <v>-61.40408</v>
      </c>
      <c r="M6679">
        <v>0.99803620000000004</v>
      </c>
      <c r="N6679">
        <v>0</v>
      </c>
      <c r="O6679">
        <v>6.123924E-2</v>
      </c>
      <c r="P6679">
        <v>0.99982179999999998</v>
      </c>
      <c r="Q6679">
        <v>-1.6961029999999998E-2</v>
      </c>
      <c r="R6679">
        <v>8.2874639999999996E-3</v>
      </c>
      <c r="S6679">
        <v>2.9979100000000001</v>
      </c>
      <c r="T6679">
        <v>-0.12891949999999999</v>
      </c>
      <c r="U6679">
        <v>5.2917480000000003E-2</v>
      </c>
      <c r="V6679">
        <v>5.2958860000000003E-2</v>
      </c>
      <c r="W6679">
        <v>-3.8440739999999998E-3</v>
      </c>
      <c r="X6679">
        <v>0.99858930000000001</v>
      </c>
      <c r="Y6679">
        <v>4.3522730000000003E-2</v>
      </c>
      <c r="Z6679">
        <v>-3.5659950000000002E-3</v>
      </c>
      <c r="AA6679">
        <v>0.99904610000000005</v>
      </c>
      <c r="AB6679">
        <v>38</v>
      </c>
      <c r="AC6679">
        <v>25.612300000000001</v>
      </c>
      <c r="AD6679">
        <v>-1.109704253601</v>
      </c>
      <c r="AE6679">
        <v>0.44371000000000999</v>
      </c>
      <c r="AF6679">
        <v>1.1236281308086999</v>
      </c>
      <c r="AG6679">
        <v>-1.109704253601</v>
      </c>
      <c r="AH6679">
        <v>25.5434586212323</v>
      </c>
      <c r="AI6679">
        <v>92.485180458435593</v>
      </c>
      <c r="AJ6679">
        <v>87.481246618862301</v>
      </c>
      <c r="AK6679">
        <v>25.592230501490299</v>
      </c>
      <c r="AL6679">
        <v>90.220249757910693</v>
      </c>
      <c r="AM6679">
        <v>86.964238239723102</v>
      </c>
      <c r="AN6679">
        <v>1.00000000391595</v>
      </c>
    </row>
    <row r="6680" spans="1:40" x14ac:dyDescent="0.25">
      <c r="A6680" t="str">
        <f>"20190312154428760"</f>
        <v>20190312154428760</v>
      </c>
      <c r="B6680" t="str">
        <f>"1552376668754531"</f>
        <v>1552376668754531</v>
      </c>
      <c r="C6680" t="s">
        <v>40</v>
      </c>
      <c r="D6680">
        <v>4.8947960000000004</v>
      </c>
      <c r="E6680">
        <v>0.50135059999999998</v>
      </c>
      <c r="F6680" t="s">
        <v>79</v>
      </c>
      <c r="G6680">
        <v>-225.4426</v>
      </c>
      <c r="H6680" s="1">
        <v>-1.6217010000000001E-6</v>
      </c>
      <c r="I6680">
        <v>-61.142789999999998</v>
      </c>
      <c r="J6680">
        <v>-250.1121</v>
      </c>
      <c r="K6680">
        <v>1.10965</v>
      </c>
      <c r="L6680">
        <v>-61.393369999999997</v>
      </c>
      <c r="M6680">
        <v>0.99805529999999998</v>
      </c>
      <c r="N6680">
        <v>0</v>
      </c>
      <c r="O6680">
        <v>6.0902159999999997E-2</v>
      </c>
      <c r="P6680">
        <v>0.99982539999999998</v>
      </c>
      <c r="Q6680">
        <v>-1.721922E-2</v>
      </c>
      <c r="R6680">
        <v>7.2747769999999996E-3</v>
      </c>
      <c r="S6680">
        <v>2.9979710000000002</v>
      </c>
      <c r="T6680">
        <v>-0.13388410000000001</v>
      </c>
      <c r="U6680">
        <v>3.1524660000000003E-2</v>
      </c>
      <c r="V6680">
        <v>5.3631940000000003E-2</v>
      </c>
      <c r="W6680">
        <v>-3.9989869999999999E-3</v>
      </c>
      <c r="X6680">
        <v>0.99855269999999996</v>
      </c>
      <c r="Y6680">
        <v>5.0298179999999998E-2</v>
      </c>
      <c r="Z6680">
        <v>-3.8396350000000001E-3</v>
      </c>
      <c r="AA6680">
        <v>0.99872680000000003</v>
      </c>
      <c r="AB6680">
        <v>38</v>
      </c>
      <c r="AC6680">
        <v>24.669499999999999</v>
      </c>
      <c r="AD6680">
        <v>-1.109651621701</v>
      </c>
      <c r="AE6680">
        <v>0.25057999999999198</v>
      </c>
      <c r="AF6680">
        <v>1.2499150527323899</v>
      </c>
      <c r="AG6680">
        <v>-1.109651621701</v>
      </c>
      <c r="AH6680">
        <v>24.589215776922401</v>
      </c>
      <c r="AI6680">
        <v>92.580539158988898</v>
      </c>
      <c r="AJ6680">
        <v>87.090054759338599</v>
      </c>
      <c r="AK6680">
        <v>24.645955994536799</v>
      </c>
      <c r="AL6680">
        <v>90.229125702837095</v>
      </c>
      <c r="AM6680">
        <v>86.925616344080694</v>
      </c>
      <c r="AN6680">
        <v>0.99999993578123703</v>
      </c>
    </row>
    <row r="6681" spans="1:40" x14ac:dyDescent="0.25">
      <c r="A6681" t="str">
        <f>"20190312154428772"</f>
        <v>20190312154428772</v>
      </c>
      <c r="B6681" t="str">
        <f>"1552376668764291"</f>
        <v>1552376668764291</v>
      </c>
      <c r="C6681" t="s">
        <v>40</v>
      </c>
      <c r="D6681">
        <v>4.8626239999999896</v>
      </c>
      <c r="E6681">
        <v>0.50273780000000001</v>
      </c>
      <c r="F6681" t="s">
        <v>79</v>
      </c>
      <c r="G6681">
        <v>-225.58279999999999</v>
      </c>
      <c r="H6681" s="1">
        <v>-1.711515E-6</v>
      </c>
      <c r="I6681">
        <v>-61.27628</v>
      </c>
      <c r="J6681">
        <v>-249.91739999999999</v>
      </c>
      <c r="K6681">
        <v>1.1095969999999999</v>
      </c>
      <c r="L6681">
        <v>-61.381740000000001</v>
      </c>
      <c r="M6681">
        <v>0.99807630000000003</v>
      </c>
      <c r="N6681">
        <v>0</v>
      </c>
      <c r="O6681">
        <v>6.053074E-2</v>
      </c>
      <c r="P6681">
        <v>0.99982199999999999</v>
      </c>
      <c r="Q6681">
        <v>-1.7892519999999999E-2</v>
      </c>
      <c r="R6681">
        <v>6.0086879999999999E-3</v>
      </c>
      <c r="S6681">
        <v>2.9980929999999999</v>
      </c>
      <c r="T6681">
        <v>-0.13562689999999999</v>
      </c>
      <c r="U6681">
        <v>1.4312739999999999E-2</v>
      </c>
      <c r="V6681">
        <v>5.452278E-2</v>
      </c>
      <c r="W6681">
        <v>-4.5652119999999999E-3</v>
      </c>
      <c r="X6681">
        <v>0.99850209999999995</v>
      </c>
      <c r="Y6681">
        <v>5.5651590000000001E-2</v>
      </c>
      <c r="Z6681">
        <v>-3.9938739999999997E-3</v>
      </c>
      <c r="AA6681">
        <v>0.99844219999999895</v>
      </c>
      <c r="AB6681">
        <v>38</v>
      </c>
      <c r="AC6681">
        <v>24.334599999999899</v>
      </c>
      <c r="AD6681">
        <v>-1.1095987115149999</v>
      </c>
      <c r="AE6681">
        <v>0.105459999999993</v>
      </c>
      <c r="AF6681">
        <v>1.36501913543677</v>
      </c>
      <c r="AG6681">
        <v>-1.1095987115149999</v>
      </c>
      <c r="AH6681">
        <v>24.245944842748901</v>
      </c>
      <c r="AI6681">
        <v>92.616136077025899</v>
      </c>
      <c r="AJ6681">
        <v>86.777714277572997</v>
      </c>
      <c r="AK6681">
        <v>24.309675601667799</v>
      </c>
      <c r="AL6681">
        <v>90.261568286345295</v>
      </c>
      <c r="AM6681">
        <v>86.874492404994498</v>
      </c>
      <c r="AN6681">
        <v>1.0000000092019701</v>
      </c>
    </row>
    <row r="6682" spans="1:40" x14ac:dyDescent="0.25">
      <c r="A6682" t="str">
        <f>"20190312154428782"</f>
        <v>20190312154428782</v>
      </c>
      <c r="B6682" t="str">
        <f>"1552376668774052"</f>
        <v>1552376668774052</v>
      </c>
      <c r="C6682" t="s">
        <v>40</v>
      </c>
      <c r="D6682">
        <v>4.8683370000000004</v>
      </c>
      <c r="E6682">
        <v>0.50375329999999996</v>
      </c>
      <c r="F6682" t="s">
        <v>79</v>
      </c>
      <c r="G6682">
        <v>-225.923</v>
      </c>
      <c r="H6682" s="1">
        <v>-1.881911E-6</v>
      </c>
      <c r="I6682">
        <v>-61.386139999999997</v>
      </c>
      <c r="J6682">
        <v>-249.73750000000001</v>
      </c>
      <c r="K6682">
        <v>1.10955</v>
      </c>
      <c r="L6682">
        <v>-61.371090000000002</v>
      </c>
      <c r="M6682">
        <v>0.99809630000000005</v>
      </c>
      <c r="N6682">
        <v>0</v>
      </c>
      <c r="O6682">
        <v>6.017956E-2</v>
      </c>
      <c r="P6682">
        <v>0.99981189999999998</v>
      </c>
      <c r="Q6682">
        <v>-1.8781559999999999E-2</v>
      </c>
      <c r="R6682">
        <v>4.8683440000000001E-3</v>
      </c>
      <c r="S6682">
        <v>2.998062</v>
      </c>
      <c r="T6682">
        <v>-0.13864279999999901</v>
      </c>
      <c r="U6682">
        <v>-5.4931640000000002E-4</v>
      </c>
      <c r="V6682">
        <v>5.5307969999999998E-2</v>
      </c>
      <c r="W6682">
        <v>-5.3625919999999898E-3</v>
      </c>
      <c r="X6682">
        <v>0.99845490000000003</v>
      </c>
      <c r="Y6682">
        <v>6.0239300000000003E-2</v>
      </c>
      <c r="Z6682">
        <v>-4.1725740000000001E-3</v>
      </c>
      <c r="AA6682">
        <v>0.99817529999999999</v>
      </c>
      <c r="AB6682">
        <v>38</v>
      </c>
      <c r="AC6682">
        <v>23.814499999999999</v>
      </c>
      <c r="AD6682">
        <v>-1.109551881911</v>
      </c>
      <c r="AE6682">
        <v>-1.5050000000002201E-2</v>
      </c>
      <c r="AF6682">
        <v>1.4451623216792699</v>
      </c>
      <c r="AG6682">
        <v>-1.109551881911</v>
      </c>
      <c r="AH6682">
        <v>23.718936022211398</v>
      </c>
      <c r="AI6682">
        <v>92.673345576025497</v>
      </c>
      <c r="AJ6682">
        <v>86.513356764920303</v>
      </c>
      <c r="AK6682">
        <v>23.788810931621001</v>
      </c>
      <c r="AL6682">
        <v>90.307255374369404</v>
      </c>
      <c r="AM6682">
        <v>86.829423146439694</v>
      </c>
      <c r="AN6682">
        <v>0.99999995813624298</v>
      </c>
    </row>
    <row r="6683" spans="1:40" x14ac:dyDescent="0.25">
      <c r="A6683" t="str">
        <f>"20190312154428794"</f>
        <v>20190312154428794</v>
      </c>
      <c r="B6683" t="str">
        <f>"1552376668783813"</f>
        <v>1552376668783813</v>
      </c>
      <c r="C6683" t="s">
        <v>40</v>
      </c>
      <c r="D6683">
        <v>4.8983040000000004</v>
      </c>
      <c r="E6683">
        <v>0.5045906</v>
      </c>
      <c r="F6683" t="s">
        <v>79</v>
      </c>
      <c r="G6683">
        <v>-226.58009999999999</v>
      </c>
      <c r="H6683" s="1">
        <v>-2.181055E-6</v>
      </c>
      <c r="I6683">
        <v>-61.463740000000001</v>
      </c>
      <c r="J6683">
        <v>-249.53829999999999</v>
      </c>
      <c r="K6683">
        <v>1.1095120000000001</v>
      </c>
      <c r="L6683">
        <v>-61.359380000000002</v>
      </c>
      <c r="M6683">
        <v>0.99811850000000002</v>
      </c>
      <c r="N6683">
        <v>0</v>
      </c>
      <c r="O6683">
        <v>5.9787119999999999E-2</v>
      </c>
      <c r="P6683">
        <v>0.9998051</v>
      </c>
      <c r="Q6683">
        <v>-1.936183E-2</v>
      </c>
      <c r="R6683">
        <v>3.8766809999999999E-3</v>
      </c>
      <c r="S6683">
        <v>2.9979399999999998</v>
      </c>
      <c r="T6683">
        <v>-0.14364189999999999</v>
      </c>
      <c r="U6683">
        <v>-1.1993409999999999E-2</v>
      </c>
      <c r="V6683">
        <v>5.5904059999999998E-2</v>
      </c>
      <c r="W6683">
        <v>-5.8474709999999999E-3</v>
      </c>
      <c r="X6683">
        <v>0.99841899999999995</v>
      </c>
      <c r="Y6683">
        <v>6.3643980000000003E-2</v>
      </c>
      <c r="Z6683">
        <v>-4.385852E-3</v>
      </c>
      <c r="AA6683">
        <v>0.99796300000000004</v>
      </c>
      <c r="AB6683">
        <v>38</v>
      </c>
      <c r="AC6683">
        <v>22.958200000000001</v>
      </c>
      <c r="AD6683">
        <v>-1.109514181055</v>
      </c>
      <c r="AE6683">
        <v>-0.104359999999999</v>
      </c>
      <c r="AF6683">
        <v>1.4734636119298199</v>
      </c>
      <c r="AG6683">
        <v>-1.109514181055</v>
      </c>
      <c r="AH6683">
        <v>22.857499823795301</v>
      </c>
      <c r="AI6683">
        <v>92.773236756079598</v>
      </c>
      <c r="AJ6683">
        <v>86.311643975572593</v>
      </c>
      <c r="AK6683">
        <v>22.9317992082707</v>
      </c>
      <c r="AL6683">
        <v>90.335037325764304</v>
      </c>
      <c r="AM6683">
        <v>86.795207630575305</v>
      </c>
      <c r="AN6683">
        <v>0.99999997820128905</v>
      </c>
    </row>
    <row r="6684" spans="1:40" x14ac:dyDescent="0.25">
      <c r="A6684" t="str">
        <f>"20190312154428805"</f>
        <v>20190312154428805</v>
      </c>
      <c r="B6684" t="str">
        <f>"1552376668794548"</f>
        <v>1552376668794548</v>
      </c>
      <c r="C6684" t="s">
        <v>40</v>
      </c>
      <c r="D6684">
        <v>4.8923759999999996</v>
      </c>
      <c r="E6684">
        <v>0.5052198</v>
      </c>
      <c r="F6684" t="s">
        <v>79</v>
      </c>
      <c r="G6684">
        <v>-226.88149999999999</v>
      </c>
      <c r="H6684" s="1">
        <v>-2.3234469999999999E-6</v>
      </c>
      <c r="I6684">
        <v>-61.522669999999998</v>
      </c>
      <c r="J6684">
        <v>-249.3595</v>
      </c>
      <c r="K6684">
        <v>1.1094820000000001</v>
      </c>
      <c r="L6684">
        <v>-61.348939999999999</v>
      </c>
      <c r="M6684">
        <v>0.99813850000000004</v>
      </c>
      <c r="N6684">
        <v>0</v>
      </c>
      <c r="O6684">
        <v>5.9432060000000002E-2</v>
      </c>
      <c r="P6684">
        <v>0.99979890000000005</v>
      </c>
      <c r="Q6684">
        <v>-1.9852809999999999E-2</v>
      </c>
      <c r="R6684">
        <v>2.877756E-3</v>
      </c>
      <c r="S6684">
        <v>2.997833</v>
      </c>
      <c r="T6684">
        <v>-0.14680489999999999</v>
      </c>
      <c r="U6684">
        <v>-2.1606449999999999E-2</v>
      </c>
      <c r="V6684">
        <v>5.654468E-2</v>
      </c>
      <c r="W6684">
        <v>-6.2575919999999898E-3</v>
      </c>
      <c r="X6684">
        <v>0.9983805</v>
      </c>
      <c r="Y6684">
        <v>6.6479679999999999E-2</v>
      </c>
      <c r="Z6684">
        <v>-4.5345400000000001E-3</v>
      </c>
      <c r="AA6684">
        <v>0.99777749999999998</v>
      </c>
      <c r="AB6684">
        <v>38</v>
      </c>
      <c r="AC6684">
        <v>22.478000000000002</v>
      </c>
      <c r="AD6684">
        <v>-1.109484323447</v>
      </c>
      <c r="AE6684">
        <v>-0.173729999999999</v>
      </c>
      <c r="AF6684">
        <v>1.50579354917179</v>
      </c>
      <c r="AG6684">
        <v>-1.109484323447</v>
      </c>
      <c r="AH6684">
        <v>22.373428618663802</v>
      </c>
      <c r="AI6684">
        <v>92.832538789441401</v>
      </c>
      <c r="AJ6684">
        <v>86.149642368327605</v>
      </c>
      <c r="AK6684">
        <v>22.451473845410298</v>
      </c>
      <c r="AL6684">
        <v>90.358535936899301</v>
      </c>
      <c r="AM6684">
        <v>86.758436170124497</v>
      </c>
      <c r="AN6684">
        <v>1.0000000405370899</v>
      </c>
    </row>
    <row r="6685" spans="1:40" x14ac:dyDescent="0.25">
      <c r="A6685" t="str">
        <f>"20190312154428816"</f>
        <v>20190312154428816</v>
      </c>
      <c r="B6685" t="str">
        <f>"1552376668804307"</f>
        <v>1552376668804307</v>
      </c>
      <c r="C6685" t="s">
        <v>40</v>
      </c>
      <c r="D6685">
        <v>4.901885</v>
      </c>
      <c r="E6685">
        <v>0.50564809999999905</v>
      </c>
      <c r="F6685" t="s">
        <v>79</v>
      </c>
      <c r="G6685">
        <v>-227.06829999999999</v>
      </c>
      <c r="H6685" s="1">
        <v>-2.4139969999999998E-6</v>
      </c>
      <c r="I6685">
        <v>-61.569519999999997</v>
      </c>
      <c r="J6685">
        <v>-249.17230000000001</v>
      </c>
      <c r="K6685">
        <v>1.1094619999999999</v>
      </c>
      <c r="L6685">
        <v>-61.338099999999997</v>
      </c>
      <c r="M6685">
        <v>0.99815949999999998</v>
      </c>
      <c r="N6685">
        <v>0</v>
      </c>
      <c r="O6685">
        <v>5.905958E-2</v>
      </c>
      <c r="P6685">
        <v>0.99979759999999995</v>
      </c>
      <c r="Q6685">
        <v>-2.000702E-2</v>
      </c>
      <c r="R6685">
        <v>2.1440109999999999E-3</v>
      </c>
      <c r="S6685">
        <v>2.9977260000000001</v>
      </c>
      <c r="T6685">
        <v>-0.14920329999999901</v>
      </c>
      <c r="U6685">
        <v>-2.966309E-2</v>
      </c>
      <c r="V6685">
        <v>5.6904259999999998E-2</v>
      </c>
      <c r="W6685">
        <v>-6.3339169999999997E-3</v>
      </c>
      <c r="X6685">
        <v>0.99835960000000001</v>
      </c>
      <c r="Y6685">
        <v>6.8781529999999994E-2</v>
      </c>
      <c r="Z6685">
        <v>-4.6474439999999997E-3</v>
      </c>
      <c r="AA6685">
        <v>0.99762090000000003</v>
      </c>
      <c r="AB6685">
        <v>38</v>
      </c>
      <c r="AC6685">
        <v>22.103999999999999</v>
      </c>
      <c r="AD6685">
        <v>-1.109464413997</v>
      </c>
      <c r="AE6685">
        <v>-0.23141999999999999</v>
      </c>
      <c r="AF6685">
        <v>1.5327316540458999</v>
      </c>
      <c r="AG6685">
        <v>-1.109464413997</v>
      </c>
      <c r="AH6685">
        <v>21.996330452377698</v>
      </c>
      <c r="AI6685">
        <v>92.880499894005993</v>
      </c>
      <c r="AJ6685">
        <v>86.014001821253302</v>
      </c>
      <c r="AK6685">
        <v>22.077561708201301</v>
      </c>
      <c r="AL6685">
        <v>90.362909119563696</v>
      </c>
      <c r="AM6685">
        <v>86.737798591549605</v>
      </c>
      <c r="AN6685">
        <v>1.0000000521114301</v>
      </c>
    </row>
    <row r="6686" spans="1:40" x14ac:dyDescent="0.25">
      <c r="A6686" t="str">
        <f>"20190312154428826"</f>
        <v>20190312154428826</v>
      </c>
      <c r="B6686" t="str">
        <f>"1552376668814068"</f>
        <v>1552376668814068</v>
      </c>
      <c r="C6686" t="s">
        <v>40</v>
      </c>
      <c r="D6686">
        <v>4.8707729999999998</v>
      </c>
      <c r="E6686">
        <v>0.50616519999999998</v>
      </c>
      <c r="F6686" t="s">
        <v>79</v>
      </c>
      <c r="G6686">
        <v>-227.4169</v>
      </c>
      <c r="H6686" s="1">
        <v>-2.5689920000000001E-6</v>
      </c>
      <c r="I6686">
        <v>-61.593919999999997</v>
      </c>
      <c r="J6686">
        <v>-248.98759999999999</v>
      </c>
      <c r="K6686">
        <v>1.109437</v>
      </c>
      <c r="L6686">
        <v>-61.327419999999996</v>
      </c>
      <c r="M6686">
        <v>0.99817999999999996</v>
      </c>
      <c r="N6686">
        <v>0</v>
      </c>
      <c r="O6686">
        <v>5.8691989999999999E-2</v>
      </c>
      <c r="P6686">
        <v>0.9997916</v>
      </c>
      <c r="Q6686">
        <v>-2.0372959999999999E-2</v>
      </c>
      <c r="R6686">
        <v>1.3284389999999901E-3</v>
      </c>
      <c r="S6686">
        <v>2.99762</v>
      </c>
      <c r="T6686">
        <v>-0.15287039999999999</v>
      </c>
      <c r="U6686">
        <v>-3.5247800000000003E-2</v>
      </c>
      <c r="V6686">
        <v>5.7349629999999999E-2</v>
      </c>
      <c r="W6686">
        <v>-6.6257340000000003E-3</v>
      </c>
      <c r="X6686">
        <v>0.99833209999999994</v>
      </c>
      <c r="Y6686">
        <v>7.0263539999999999E-2</v>
      </c>
      <c r="Z6686">
        <v>-4.7807370000000002E-3</v>
      </c>
      <c r="AA6686">
        <v>0.99751699999999999</v>
      </c>
      <c r="AB6686">
        <v>38</v>
      </c>
      <c r="AC6686">
        <v>21.570699999999899</v>
      </c>
      <c r="AD6686">
        <v>-1.109439568992</v>
      </c>
      <c r="AE6686">
        <v>-0.26650000000000001</v>
      </c>
      <c r="AF6686">
        <v>1.52814750048032</v>
      </c>
      <c r="AG6686">
        <v>-1.109439568992</v>
      </c>
      <c r="AH6686">
        <v>21.4611021585951</v>
      </c>
      <c r="AI6686">
        <v>92.951831638113006</v>
      </c>
      <c r="AJ6686">
        <v>85.927102275275203</v>
      </c>
      <c r="AK6686">
        <v>21.544024619418799</v>
      </c>
      <c r="AL6686">
        <v>90.379629398191994</v>
      </c>
      <c r="AM6686">
        <v>86.712231894060096</v>
      </c>
      <c r="AN6686">
        <v>0.99999993115129004</v>
      </c>
    </row>
    <row r="6687" spans="1:40" x14ac:dyDescent="0.25">
      <c r="A6687" t="str">
        <f>"20190312154428839"</f>
        <v>20190312154428839</v>
      </c>
      <c r="B6687" t="str">
        <f>"1552376668834563"</f>
        <v>1552376668834563</v>
      </c>
      <c r="C6687" t="s">
        <v>40</v>
      </c>
      <c r="D6687">
        <v>4.9277119999999996</v>
      </c>
      <c r="E6687">
        <v>0.50698889999999996</v>
      </c>
      <c r="F6687" t="s">
        <v>79</v>
      </c>
      <c r="G6687">
        <v>-227.53700000000001</v>
      </c>
      <c r="H6687" s="1">
        <v>-2.6277260000000001E-6</v>
      </c>
      <c r="I6687">
        <v>-61.626399999999997</v>
      </c>
      <c r="J6687">
        <v>-248.79499999999999</v>
      </c>
      <c r="K6687">
        <v>1.1094189999999999</v>
      </c>
      <c r="L6687">
        <v>-61.316409999999998</v>
      </c>
      <c r="M6687">
        <v>0.99820140000000002</v>
      </c>
      <c r="N6687">
        <v>0</v>
      </c>
      <c r="O6687">
        <v>5.8309920000000001E-2</v>
      </c>
      <c r="P6687">
        <v>0.99978100000000003</v>
      </c>
      <c r="Q6687">
        <v>-2.090179E-2</v>
      </c>
      <c r="R6687">
        <v>1.2220740000000001E-3</v>
      </c>
      <c r="S6687">
        <v>2.9975130000000001</v>
      </c>
      <c r="T6687">
        <v>-0.155033</v>
      </c>
      <c r="U6687">
        <v>-4.1778559999999999E-2</v>
      </c>
      <c r="V6687">
        <v>5.707218E-2</v>
      </c>
      <c r="W6687">
        <v>-7.0842240000000001E-3</v>
      </c>
      <c r="X6687">
        <v>0.99834489999999998</v>
      </c>
      <c r="Y6687">
        <v>7.2048399999999999E-2</v>
      </c>
      <c r="Z6687">
        <v>-4.8748309999999996E-3</v>
      </c>
      <c r="AA6687">
        <v>0.99738919999999998</v>
      </c>
      <c r="AB6687">
        <v>38</v>
      </c>
      <c r="AC6687">
        <v>21.2579999999999</v>
      </c>
      <c r="AD6687">
        <v>-1.1094216277260001</v>
      </c>
      <c r="AE6687">
        <v>-0.30998999999999899</v>
      </c>
      <c r="AF6687">
        <v>1.54492802036943</v>
      </c>
      <c r="AG6687">
        <v>-1.1094216277260001</v>
      </c>
      <c r="AH6687">
        <v>21.146163738806798</v>
      </c>
      <c r="AI6687">
        <v>92.995268814944296</v>
      </c>
      <c r="AJ6687">
        <v>85.821423442423196</v>
      </c>
      <c r="AK6687">
        <v>21.2315298507812</v>
      </c>
      <c r="AL6687">
        <v>90.405899539725098</v>
      </c>
      <c r="AM6687">
        <v>86.728144903595407</v>
      </c>
      <c r="AN6687">
        <v>0.99999997965782195</v>
      </c>
    </row>
    <row r="6688" spans="1:40" x14ac:dyDescent="0.25">
      <c r="A6688" t="str">
        <f>"20190312154428851"</f>
        <v>20190312154428851</v>
      </c>
      <c r="B6688" t="str">
        <f>"1552376668844324"</f>
        <v>1552376668844324</v>
      </c>
      <c r="C6688" t="s">
        <v>40</v>
      </c>
      <c r="D6688">
        <v>4.9951169999999996</v>
      </c>
      <c r="E6688">
        <v>0.50702429999999998</v>
      </c>
      <c r="F6688" t="s">
        <v>79</v>
      </c>
      <c r="G6688">
        <v>-227.8126</v>
      </c>
      <c r="H6688" s="1">
        <v>-2.752957E-6</v>
      </c>
      <c r="I6688">
        <v>-61.657780000000002</v>
      </c>
      <c r="J6688">
        <v>-248.59700000000001</v>
      </c>
      <c r="K6688">
        <v>1.109407</v>
      </c>
      <c r="L6688">
        <v>-61.305149999999998</v>
      </c>
      <c r="M6688">
        <v>0.99822339999999998</v>
      </c>
      <c r="N6688">
        <v>0</v>
      </c>
      <c r="O6688">
        <v>5.7917599999999902E-2</v>
      </c>
      <c r="P6688">
        <v>0.99976880000000001</v>
      </c>
      <c r="Q6688">
        <v>-2.149278E-2</v>
      </c>
      <c r="R6688">
        <v>9.8132870000000008E-4</v>
      </c>
      <c r="S6688">
        <v>2.9974059999999998</v>
      </c>
      <c r="T6688">
        <v>-0.15848489999999901</v>
      </c>
      <c r="U6688">
        <v>-4.8767089999999999E-2</v>
      </c>
      <c r="V6688">
        <v>5.691823E-2</v>
      </c>
      <c r="W6688">
        <v>-7.6056069999999899E-3</v>
      </c>
      <c r="X6688">
        <v>0.99834979999999995</v>
      </c>
      <c r="Y6688">
        <v>7.3971759999999998E-2</v>
      </c>
      <c r="Z6688">
        <v>-5.0134709999999898E-3</v>
      </c>
      <c r="AA6688">
        <v>0.99724780000000002</v>
      </c>
      <c r="AB6688">
        <v>38</v>
      </c>
      <c r="AC6688">
        <v>20.784400000000002</v>
      </c>
      <c r="AD6688">
        <v>-1.109409752957</v>
      </c>
      <c r="AE6688">
        <v>-0.352630000000004</v>
      </c>
      <c r="AF6688">
        <v>1.55151908350762</v>
      </c>
      <c r="AG6688">
        <v>-1.109409752957</v>
      </c>
      <c r="AH6688">
        <v>20.670203601972901</v>
      </c>
      <c r="AI6688">
        <v>93.063625606860896</v>
      </c>
      <c r="AJ6688">
        <v>85.707390679055095</v>
      </c>
      <c r="AK6688">
        <v>20.758018171623601</v>
      </c>
      <c r="AL6688">
        <v>90.435773415000597</v>
      </c>
      <c r="AM6688">
        <v>86.736967490130993</v>
      </c>
      <c r="AN6688">
        <v>0.99999992666210202</v>
      </c>
    </row>
    <row r="6689" spans="1:40" x14ac:dyDescent="0.25">
      <c r="A6689" t="str">
        <f>"20190312154428860"</f>
        <v>20190312154428860</v>
      </c>
      <c r="B6689" t="str">
        <f>"1552376668854084"</f>
        <v>1552376668854084</v>
      </c>
      <c r="C6689" t="s">
        <v>40</v>
      </c>
      <c r="D6689">
        <v>4.9981269999999904</v>
      </c>
      <c r="E6689">
        <v>0.50718920000000001</v>
      </c>
      <c r="F6689" t="s">
        <v>41</v>
      </c>
      <c r="G6689">
        <v>-247.5598</v>
      </c>
      <c r="H6689">
        <v>1.052832</v>
      </c>
      <c r="I6689">
        <v>-61.322539999999996</v>
      </c>
      <c r="J6689">
        <v>-248.41290000000001</v>
      </c>
      <c r="K6689">
        <v>1.1093949999999999</v>
      </c>
      <c r="L6689">
        <v>-61.2947699999999</v>
      </c>
      <c r="M6689">
        <v>0.9982434</v>
      </c>
      <c r="N6689">
        <v>0</v>
      </c>
      <c r="O6689">
        <v>5.7554849999999998E-2</v>
      </c>
      <c r="P6689">
        <v>0.99975610000000004</v>
      </c>
      <c r="Q6689">
        <v>-2.20541E-2</v>
      </c>
      <c r="R6689">
        <v>1.134548E-3</v>
      </c>
      <c r="S6689">
        <v>2.9972379999999998</v>
      </c>
      <c r="T6689">
        <v>-0.16346040000000001</v>
      </c>
      <c r="U6689">
        <v>-4.9713130000000001E-2</v>
      </c>
      <c r="V6689">
        <v>5.6401090000000001E-2</v>
      </c>
      <c r="W6689">
        <v>-8.1075230000000002E-3</v>
      </c>
      <c r="X6689">
        <v>0.99837529999999997</v>
      </c>
      <c r="Y6689">
        <v>7.3913859999999998E-2</v>
      </c>
      <c r="Z6689">
        <v>-5.1495899999999999E-3</v>
      </c>
      <c r="AA6689">
        <v>0.99725129999999995</v>
      </c>
      <c r="AB6689">
        <v>38</v>
      </c>
      <c r="AC6689">
        <v>0.85310000000001196</v>
      </c>
      <c r="AD6689">
        <v>-5.6563000000000099E-2</v>
      </c>
      <c r="AE6689">
        <v>-2.7770000000010901E-2</v>
      </c>
      <c r="AF6689">
        <v>7.6492938364988605E-2</v>
      </c>
      <c r="AG6689">
        <v>-5.6563000000000099E-2</v>
      </c>
      <c r="AH6689">
        <v>0.84637035113094305</v>
      </c>
      <c r="AI6689">
        <v>93.807922111728899</v>
      </c>
      <c r="AJ6689">
        <v>84.835773951842597</v>
      </c>
      <c r="AK6689">
        <v>0.85170024883301898</v>
      </c>
      <c r="AL6689">
        <v>90.464531926730402</v>
      </c>
      <c r="AM6689">
        <v>86.766633529883705</v>
      </c>
      <c r="AN6689">
        <v>1.0000000272662299</v>
      </c>
    </row>
    <row r="6690" spans="1:40" x14ac:dyDescent="0.25">
      <c r="A6690" t="str">
        <f>"20190312154428872"</f>
        <v>20190312154428872</v>
      </c>
      <c r="B6690" t="str">
        <f>"1552376668863844"</f>
        <v>1552376668863844</v>
      </c>
      <c r="C6690" t="s">
        <v>40</v>
      </c>
      <c r="D6690">
        <v>4.9555600000000002</v>
      </c>
      <c r="E6690">
        <v>0.50753950000000003</v>
      </c>
      <c r="F6690" t="s">
        <v>79</v>
      </c>
      <c r="G6690">
        <v>-228.5984</v>
      </c>
      <c r="H6690" s="1">
        <v>-3.0835920000000002E-6</v>
      </c>
      <c r="I6690">
        <v>-61.6286699999999</v>
      </c>
      <c r="J6690">
        <v>-248.2278</v>
      </c>
      <c r="K6690">
        <v>1.1093850000000001</v>
      </c>
      <c r="L6690">
        <v>-61.284390000000002</v>
      </c>
      <c r="M6690">
        <v>0.99826340000000002</v>
      </c>
      <c r="N6690">
        <v>0</v>
      </c>
      <c r="O6690">
        <v>5.7190589999999999E-2</v>
      </c>
      <c r="P6690">
        <v>0.99974649999999998</v>
      </c>
      <c r="Q6690">
        <v>-2.2471959999999999E-2</v>
      </c>
      <c r="R6690">
        <v>1.4458920000000001E-3</v>
      </c>
      <c r="S6690">
        <v>2.9971009999999998</v>
      </c>
      <c r="T6690">
        <v>-0.1678056</v>
      </c>
      <c r="U6690">
        <v>-5.0506589999999997E-2</v>
      </c>
      <c r="V6690">
        <v>5.572448E-2</v>
      </c>
      <c r="W6690">
        <v>-8.4680859999999997E-3</v>
      </c>
      <c r="X6690">
        <v>0.99841029999999997</v>
      </c>
      <c r="Y6690">
        <v>7.3804939999999999E-2</v>
      </c>
      <c r="Z6690">
        <v>-5.2631020000000004E-3</v>
      </c>
      <c r="AA6690">
        <v>0.9972588</v>
      </c>
      <c r="AB6690">
        <v>38</v>
      </c>
      <c r="AC6690">
        <v>19.6294</v>
      </c>
      <c r="AD6690">
        <v>-1.109388083592</v>
      </c>
      <c r="AE6690">
        <v>-0.34427999999998998</v>
      </c>
      <c r="AF6690">
        <v>1.4617776419299899</v>
      </c>
      <c r="AG6690">
        <v>-1.109388083592</v>
      </c>
      <c r="AH6690">
        <v>19.515259034916099</v>
      </c>
      <c r="AI6690">
        <v>93.244533841476496</v>
      </c>
      <c r="AJ6690">
        <v>85.716296838190502</v>
      </c>
      <c r="AK6690">
        <v>19.601348703452398</v>
      </c>
      <c r="AL6690">
        <v>90.485191374264303</v>
      </c>
      <c r="AM6690">
        <v>86.805453215310195</v>
      </c>
      <c r="AN6690">
        <v>1.00000002664893</v>
      </c>
    </row>
    <row r="6691" spans="1:40" x14ac:dyDescent="0.25">
      <c r="A6691" t="str">
        <f>"20190312154428884"</f>
        <v>20190312154428884</v>
      </c>
      <c r="B6691" t="str">
        <f>"1552376668874579"</f>
        <v>1552376668874579</v>
      </c>
      <c r="C6691" t="s">
        <v>40</v>
      </c>
      <c r="D6691">
        <v>4.9533339999999999</v>
      </c>
      <c r="E6691">
        <v>0.50778219999999996</v>
      </c>
      <c r="F6691" t="s">
        <v>41</v>
      </c>
      <c r="G6691">
        <v>-247.2242</v>
      </c>
      <c r="H6691">
        <v>1.0526310000000001</v>
      </c>
      <c r="I6691">
        <v>-61.302100000000003</v>
      </c>
      <c r="J6691">
        <v>-248.024</v>
      </c>
      <c r="K6691">
        <v>1.1093740000000001</v>
      </c>
      <c r="L6691">
        <v>-61.273040000000002</v>
      </c>
      <c r="M6691">
        <v>0.99828550000000005</v>
      </c>
      <c r="N6691">
        <v>0</v>
      </c>
      <c r="O6691">
        <v>5.6790930000000003E-2</v>
      </c>
      <c r="P6691">
        <v>0.99973400000000001</v>
      </c>
      <c r="Q6691">
        <v>-2.301164E-2</v>
      </c>
      <c r="R6691">
        <v>1.6272420000000001E-3</v>
      </c>
      <c r="S6691">
        <v>2.9970249999999998</v>
      </c>
      <c r="T6691">
        <v>-0.1694562</v>
      </c>
      <c r="U6691">
        <v>-5.2459720000000001E-2</v>
      </c>
      <c r="V6691">
        <v>5.5142070000000001E-2</v>
      </c>
      <c r="W6691">
        <v>-8.9497039999999993E-3</v>
      </c>
      <c r="X6691">
        <v>0.99843839999999995</v>
      </c>
      <c r="Y6691">
        <v>7.4052030000000005E-2</v>
      </c>
      <c r="Z6691">
        <v>-5.299336E-3</v>
      </c>
      <c r="AA6691">
        <v>0.99724029999999997</v>
      </c>
      <c r="AB6691">
        <v>38</v>
      </c>
      <c r="AC6691">
        <v>0.79980000000000395</v>
      </c>
      <c r="AD6691">
        <v>-5.6743000000000203E-2</v>
      </c>
      <c r="AE6691">
        <v>-2.9060000000001199E-2</v>
      </c>
      <c r="AF6691">
        <v>7.4066722174183905E-2</v>
      </c>
      <c r="AG6691">
        <v>-5.6743000000000203E-2</v>
      </c>
      <c r="AH6691">
        <v>0.79287283964487298</v>
      </c>
      <c r="AI6691">
        <v>94.075784863684106</v>
      </c>
      <c r="AJ6691">
        <v>84.663166167816598</v>
      </c>
      <c r="AK6691">
        <v>0.79834390285712797</v>
      </c>
      <c r="AL6691">
        <v>90.512787116899901</v>
      </c>
      <c r="AM6691">
        <v>86.838862056697707</v>
      </c>
      <c r="AN6691">
        <v>0.99999999184006605</v>
      </c>
    </row>
    <row r="6692" spans="1:40" x14ac:dyDescent="0.25">
      <c r="A6692" t="str">
        <f>"20190312154428897"</f>
        <v>20190312154428897</v>
      </c>
      <c r="B6692" t="str">
        <f>"1552376668884339"</f>
        <v>1552376668884339</v>
      </c>
      <c r="C6692" t="s">
        <v>40</v>
      </c>
      <c r="D6692">
        <v>4.9336919999999997</v>
      </c>
      <c r="E6692">
        <v>0.50803229999999999</v>
      </c>
      <c r="F6692" t="s">
        <v>79</v>
      </c>
      <c r="G6692">
        <v>-228.60730000000001</v>
      </c>
      <c r="H6692" s="1">
        <v>-3.0859759999999999E-6</v>
      </c>
      <c r="I6692">
        <v>-61.622210000000003</v>
      </c>
      <c r="J6692">
        <v>-247.82830000000001</v>
      </c>
      <c r="K6692">
        <v>1.109369</v>
      </c>
      <c r="L6692">
        <v>-61.262270000000001</v>
      </c>
      <c r="M6692">
        <v>0.99830660000000004</v>
      </c>
      <c r="N6692">
        <v>0</v>
      </c>
      <c r="O6692">
        <v>5.6407649999999997E-2</v>
      </c>
      <c r="P6692">
        <v>0.9997258</v>
      </c>
      <c r="Q6692">
        <v>-2.3332370000000002E-2</v>
      </c>
      <c r="R6692">
        <v>2.0663510000000001E-3</v>
      </c>
      <c r="S6692">
        <v>2.9969480000000002</v>
      </c>
      <c r="T6692">
        <v>-0.171231299999999</v>
      </c>
      <c r="U6692">
        <v>-5.3894039999999997E-2</v>
      </c>
      <c r="V6692">
        <v>5.4319369999999999E-2</v>
      </c>
      <c r="W6692">
        <v>-9.2186739999999996E-3</v>
      </c>
      <c r="X6692">
        <v>0.99848099999999995</v>
      </c>
      <c r="Y6692">
        <v>7.4142830000000007E-2</v>
      </c>
      <c r="Z6692">
        <v>-5.3356139999999998E-3</v>
      </c>
      <c r="AA6692">
        <v>0.99723329999999999</v>
      </c>
      <c r="AB6692">
        <v>38</v>
      </c>
      <c r="AC6692">
        <v>19.221</v>
      </c>
      <c r="AD6692">
        <v>-1.1093720859759999</v>
      </c>
      <c r="AE6692">
        <v>-0.35994000000000098</v>
      </c>
      <c r="AF6692">
        <v>1.4388962263777301</v>
      </c>
      <c r="AG6692">
        <v>-1.1093720859759999</v>
      </c>
      <c r="AH6692">
        <v>19.106459723516299</v>
      </c>
      <c r="AI6692">
        <v>93.313652666782701</v>
      </c>
      <c r="AJ6692">
        <v>85.693218301052596</v>
      </c>
      <c r="AK6692">
        <v>19.1926530719903</v>
      </c>
      <c r="AL6692">
        <v>90.528198624788999</v>
      </c>
      <c r="AM6692">
        <v>86.886064180290902</v>
      </c>
      <c r="AN6692">
        <v>0.99999994263425596</v>
      </c>
    </row>
    <row r="6693" spans="1:40" x14ac:dyDescent="0.25">
      <c r="A6693" t="str">
        <f>"20190312154428908"</f>
        <v>20190312154428908</v>
      </c>
      <c r="B6693" t="str">
        <f>"1552376668894100"</f>
        <v>1552376668894100</v>
      </c>
      <c r="C6693" t="s">
        <v>40</v>
      </c>
      <c r="D6693">
        <v>4.9442240000000002</v>
      </c>
      <c r="E6693">
        <v>0.5082719</v>
      </c>
      <c r="F6693" t="s">
        <v>79</v>
      </c>
      <c r="G6693">
        <v>-228.5257</v>
      </c>
      <c r="H6693" s="1">
        <v>-3.0491129999999999E-6</v>
      </c>
      <c r="I6693">
        <v>-61.613909999999997</v>
      </c>
      <c r="J6693">
        <v>-247.61940000000001</v>
      </c>
      <c r="K6693">
        <v>1.1093649999999999</v>
      </c>
      <c r="L6693">
        <v>-61.25076</v>
      </c>
      <c r="M6693">
        <v>0.99832880000000002</v>
      </c>
      <c r="N6693">
        <v>0</v>
      </c>
      <c r="O6693">
        <v>5.5999100000000003E-2</v>
      </c>
      <c r="P6693">
        <v>0.9997376</v>
      </c>
      <c r="Q6693">
        <v>-2.2781659999999999E-2</v>
      </c>
      <c r="R6693">
        <v>2.4737000000000001E-3</v>
      </c>
      <c r="S6693">
        <v>2.996902</v>
      </c>
      <c r="T6693">
        <v>-0.17224039999999999</v>
      </c>
      <c r="U6693">
        <v>-5.4595949999999997E-2</v>
      </c>
      <c r="V6693">
        <v>5.3505469999999999E-2</v>
      </c>
      <c r="W6693">
        <v>-8.6150879999999999E-3</v>
      </c>
      <c r="X6693">
        <v>0.99853040000000004</v>
      </c>
      <c r="Y6693">
        <v>7.3966980000000002E-2</v>
      </c>
      <c r="Z6693">
        <v>-5.3385960000000001E-3</v>
      </c>
      <c r="AA6693">
        <v>0.99724639999999998</v>
      </c>
      <c r="AB6693">
        <v>38</v>
      </c>
      <c r="AC6693">
        <v>19.093699999999998</v>
      </c>
      <c r="AD6693">
        <v>-1.109368049113</v>
      </c>
      <c r="AE6693">
        <v>-0.36314999999999698</v>
      </c>
      <c r="AF6693">
        <v>1.4271031626303601</v>
      </c>
      <c r="AG6693">
        <v>-1.109368049113</v>
      </c>
      <c r="AH6693">
        <v>18.979347789489101</v>
      </c>
      <c r="AI6693">
        <v>93.335812536673501</v>
      </c>
      <c r="AJ6693">
        <v>85.699883425583195</v>
      </c>
      <c r="AK6693">
        <v>19.0652291730146</v>
      </c>
      <c r="AL6693">
        <v>90.493614285000405</v>
      </c>
      <c r="AM6693">
        <v>86.932783852310905</v>
      </c>
      <c r="AN6693">
        <v>1.00000000739266</v>
      </c>
    </row>
    <row r="6694" spans="1:40" x14ac:dyDescent="0.25">
      <c r="A6694" t="str">
        <f>"20190312154428922"</f>
        <v>20190312154428922</v>
      </c>
      <c r="B6694" t="str">
        <f>"1552376668914596"</f>
        <v>1552376668914596</v>
      </c>
      <c r="C6694" t="s">
        <v>40</v>
      </c>
      <c r="D6694">
        <v>4.9854699999999896</v>
      </c>
      <c r="E6694">
        <v>0.50867689999999999</v>
      </c>
      <c r="F6694" t="s">
        <v>41</v>
      </c>
      <c r="G6694">
        <v>-246.55889999999999</v>
      </c>
      <c r="H6694">
        <v>1.048659</v>
      </c>
      <c r="I6694">
        <v>-61.270499999999998</v>
      </c>
      <c r="J6694">
        <v>-247.3964</v>
      </c>
      <c r="K6694">
        <v>1.1093649999999999</v>
      </c>
      <c r="L6694">
        <v>-61.23865</v>
      </c>
      <c r="M6694">
        <v>0.99835229999999997</v>
      </c>
      <c r="N6694">
        <v>0</v>
      </c>
      <c r="O6694">
        <v>5.5563429999999997E-2</v>
      </c>
      <c r="P6694">
        <v>0.99975009999999997</v>
      </c>
      <c r="Q6694">
        <v>-2.2195159999999999E-2</v>
      </c>
      <c r="R6694">
        <v>2.7134989999999999E-3</v>
      </c>
      <c r="S6694">
        <v>2.9970089999999998</v>
      </c>
      <c r="T6694">
        <v>-0.17151240000000001</v>
      </c>
      <c r="U6694">
        <v>-5.5267330000000003E-2</v>
      </c>
      <c r="V6694">
        <v>5.2832039999999997E-2</v>
      </c>
      <c r="W6694">
        <v>-7.9788979999999999E-3</v>
      </c>
      <c r="X6694">
        <v>0.99857149999999995</v>
      </c>
      <c r="Y6694">
        <v>7.3757390000000006E-2</v>
      </c>
      <c r="Z6694">
        <v>-5.2849949999999998E-3</v>
      </c>
      <c r="AA6694">
        <v>0.99726219999999999</v>
      </c>
      <c r="AB6694">
        <v>38</v>
      </c>
      <c r="AC6694">
        <v>0.83750000000000502</v>
      </c>
      <c r="AD6694">
        <v>-6.0705999999999899E-2</v>
      </c>
      <c r="AE6694">
        <v>-3.1849999999998602E-2</v>
      </c>
      <c r="AF6694">
        <v>7.7931077038840502E-2</v>
      </c>
      <c r="AG6694">
        <v>-6.0705999999999899E-2</v>
      </c>
      <c r="AH6694">
        <v>0.83008106998947795</v>
      </c>
      <c r="AI6694">
        <v>94.164495748118</v>
      </c>
      <c r="AJ6694">
        <v>84.636581697111794</v>
      </c>
      <c r="AK6694">
        <v>0.835938427134026</v>
      </c>
      <c r="AL6694">
        <v>90.4571620478428</v>
      </c>
      <c r="AM6694">
        <v>86.971440511824696</v>
      </c>
      <c r="AN6694">
        <v>0.99999996393805202</v>
      </c>
    </row>
    <row r="6695" spans="1:40" x14ac:dyDescent="0.25">
      <c r="A6695" t="str">
        <f>"20190312154428933"</f>
        <v>20190312154428933</v>
      </c>
      <c r="B6695" t="str">
        <f>"1552376668924356"</f>
        <v>1552376668924356</v>
      </c>
      <c r="C6695" t="s">
        <v>40</v>
      </c>
      <c r="D6695">
        <v>4.9534789999999997</v>
      </c>
      <c r="E6695">
        <v>0.5088608</v>
      </c>
      <c r="F6695" t="s">
        <v>79</v>
      </c>
      <c r="G6695">
        <v>-227.89250000000001</v>
      </c>
      <c r="H6695" s="1">
        <v>-2.7776939999999999E-6</v>
      </c>
      <c r="I6695">
        <v>-61.614980000000003</v>
      </c>
      <c r="J6695">
        <v>-247.2071</v>
      </c>
      <c r="K6695">
        <v>1.109364</v>
      </c>
      <c r="L6695">
        <v>-61.2284199999999</v>
      </c>
      <c r="M6695">
        <v>0.99837229999999999</v>
      </c>
      <c r="N6695">
        <v>0</v>
      </c>
      <c r="O6695">
        <v>5.519338E-2</v>
      </c>
      <c r="P6695">
        <v>0.99975539999999996</v>
      </c>
      <c r="Q6695">
        <v>-2.1911980000000001E-2</v>
      </c>
      <c r="R6695">
        <v>3.0192460000000002E-3</v>
      </c>
      <c r="S6695">
        <v>2.9971160000000001</v>
      </c>
      <c r="T6695">
        <v>-0.17047409999999999</v>
      </c>
      <c r="U6695">
        <v>-5.7830810000000003E-2</v>
      </c>
      <c r="V6695">
        <v>5.2157420000000003E-2</v>
      </c>
      <c r="W6695">
        <v>-7.6557309999999998E-3</v>
      </c>
      <c r="X6695">
        <v>0.99860950000000004</v>
      </c>
      <c r="Y6695">
        <v>7.4242169999999996E-2</v>
      </c>
      <c r="Z6695">
        <v>-5.2456050000000004E-3</v>
      </c>
      <c r="AA6695">
        <v>0.99722639999999996</v>
      </c>
      <c r="AB6695">
        <v>38</v>
      </c>
      <c r="AC6695">
        <v>19.314599999999899</v>
      </c>
      <c r="AD6695">
        <v>-1.1093667776939999</v>
      </c>
      <c r="AE6695">
        <v>-0.38656000000001001</v>
      </c>
      <c r="AF6695">
        <v>1.4473459055576401</v>
      </c>
      <c r="AG6695">
        <v>-1.1093667776939999</v>
      </c>
      <c r="AH6695">
        <v>19.200498020283501</v>
      </c>
      <c r="AI6695">
        <v>93.297425985205805</v>
      </c>
      <c r="AJ6695">
        <v>85.689159985242696</v>
      </c>
      <c r="AK6695">
        <v>19.286903044415801</v>
      </c>
      <c r="AL6695">
        <v>90.4386453734312</v>
      </c>
      <c r="AM6695">
        <v>87.010155575377595</v>
      </c>
      <c r="AN6695">
        <v>0.99999997008422403</v>
      </c>
    </row>
    <row r="6696" spans="1:40" x14ac:dyDescent="0.25">
      <c r="A6696" t="str">
        <f>"20190312154428942"</f>
        <v>20190312154428942</v>
      </c>
      <c r="B6696" t="str">
        <f>"1552376668934116"</f>
        <v>1552376668934116</v>
      </c>
      <c r="C6696" t="s">
        <v>40</v>
      </c>
      <c r="D6696">
        <v>4.9701110000000002</v>
      </c>
      <c r="E6696">
        <v>0.50905310000000004</v>
      </c>
      <c r="F6696" t="s">
        <v>79</v>
      </c>
      <c r="G6696">
        <v>-227.65450000000001</v>
      </c>
      <c r="H6696" s="1">
        <v>-2.67421E-6</v>
      </c>
      <c r="I6696">
        <v>-61.60868</v>
      </c>
      <c r="J6696">
        <v>-247.0384</v>
      </c>
      <c r="K6696">
        <v>1.1093630000000001</v>
      </c>
      <c r="L6696">
        <v>-61.2194199999999</v>
      </c>
      <c r="M6696">
        <v>0.99839</v>
      </c>
      <c r="N6696">
        <v>0</v>
      </c>
      <c r="O6696">
        <v>5.4863599999999998E-2</v>
      </c>
      <c r="P6696">
        <v>0.99976449999999994</v>
      </c>
      <c r="Q6696">
        <v>-2.1442099999999999E-2</v>
      </c>
      <c r="R6696">
        <v>3.3589150000000001E-3</v>
      </c>
      <c r="S6696">
        <v>2.9971770000000002</v>
      </c>
      <c r="T6696">
        <v>-0.17005309999999901</v>
      </c>
      <c r="U6696">
        <v>-5.8288569999999998E-2</v>
      </c>
      <c r="V6696">
        <v>5.148987E-2</v>
      </c>
      <c r="W6696">
        <v>-7.1523730000000001E-3</v>
      </c>
      <c r="X6696">
        <v>0.99864790000000003</v>
      </c>
      <c r="Y6696">
        <v>7.4066499999999993E-2</v>
      </c>
      <c r="Z6696">
        <v>-5.2089049999999998E-3</v>
      </c>
      <c r="AA6696">
        <v>0.99723969999999995</v>
      </c>
      <c r="AB6696">
        <v>38</v>
      </c>
      <c r="AC6696">
        <v>19.383899999999901</v>
      </c>
      <c r="AD6696">
        <v>-1.10936567421</v>
      </c>
      <c r="AE6696">
        <v>-0.38926000000001398</v>
      </c>
      <c r="AF6696">
        <v>1.44751511900213</v>
      </c>
      <c r="AG6696">
        <v>-1.10936567421</v>
      </c>
      <c r="AH6696">
        <v>19.270247891874298</v>
      </c>
      <c r="AI6696">
        <v>93.285578453424506</v>
      </c>
      <c r="AJ6696">
        <v>85.704204544479495</v>
      </c>
      <c r="AK6696">
        <v>19.356354151367</v>
      </c>
      <c r="AL6696">
        <v>90.409804282252495</v>
      </c>
      <c r="AM6696">
        <v>87.0484670508189</v>
      </c>
      <c r="AN6696">
        <v>0.99999999566327802</v>
      </c>
    </row>
    <row r="6697" spans="1:40" x14ac:dyDescent="0.25">
      <c r="A6697" t="str">
        <f>"20190312154428952"</f>
        <v>20190312154428952</v>
      </c>
      <c r="B6697" t="str">
        <f>"1552376668943876"</f>
        <v>1552376668943876</v>
      </c>
      <c r="C6697" t="s">
        <v>40</v>
      </c>
      <c r="D6697">
        <v>5.009538</v>
      </c>
      <c r="E6697">
        <v>0.50929020000000003</v>
      </c>
      <c r="F6697" t="s">
        <v>79</v>
      </c>
      <c r="G6697">
        <v>-227.41220000000001</v>
      </c>
      <c r="H6697" s="1">
        <v>-2.5692400000000002E-6</v>
      </c>
      <c r="I6697">
        <v>-61.604100000000003</v>
      </c>
      <c r="J6697">
        <v>-246.8828</v>
      </c>
      <c r="K6697">
        <v>1.1093649999999999</v>
      </c>
      <c r="L6697">
        <v>-61.211089999999999</v>
      </c>
      <c r="M6697">
        <v>0.99840640000000003</v>
      </c>
      <c r="N6697">
        <v>0</v>
      </c>
      <c r="O6697">
        <v>5.4558959999999997E-2</v>
      </c>
      <c r="P6697">
        <v>0.99976319999999996</v>
      </c>
      <c r="Q6697">
        <v>-2.1537799999999999E-2</v>
      </c>
      <c r="R6697">
        <v>3.1368099999999999E-3</v>
      </c>
      <c r="S6697">
        <v>2.9972690000000002</v>
      </c>
      <c r="T6697">
        <v>-0.16941989999999901</v>
      </c>
      <c r="U6697">
        <v>-5.8746340000000001E-2</v>
      </c>
      <c r="V6697">
        <v>5.1406849999999997E-2</v>
      </c>
      <c r="W6697">
        <v>-7.2205359999999996E-3</v>
      </c>
      <c r="X6697">
        <v>0.99865170000000003</v>
      </c>
      <c r="Y6697">
        <v>7.3916159999999995E-2</v>
      </c>
      <c r="Z6697">
        <v>-5.1679400000000002E-3</v>
      </c>
      <c r="AA6697">
        <v>0.99725109999999995</v>
      </c>
      <c r="AB6697">
        <v>38</v>
      </c>
      <c r="AC6697">
        <v>19.470599999999902</v>
      </c>
      <c r="AD6697">
        <v>-1.10936756924</v>
      </c>
      <c r="AE6697">
        <v>-0.39300999999999597</v>
      </c>
      <c r="AF6697">
        <v>1.4501250190114101</v>
      </c>
      <c r="AG6697">
        <v>-1.10936756924</v>
      </c>
      <c r="AH6697">
        <v>19.357334399698299</v>
      </c>
      <c r="AI6697">
        <v>93.270884189991605</v>
      </c>
      <c r="AJ6697">
        <v>85.715776983581804</v>
      </c>
      <c r="AK6697">
        <v>19.4432495750115</v>
      </c>
      <c r="AL6697">
        <v>90.413709829766304</v>
      </c>
      <c r="AM6697">
        <v>87.053228771392298</v>
      </c>
      <c r="AN6697">
        <v>1.0000000091399699</v>
      </c>
    </row>
    <row r="6698" spans="1:40" x14ac:dyDescent="0.25">
      <c r="A6698" t="str">
        <f>"20190312154428962"</f>
        <v>20190312154428962</v>
      </c>
      <c r="B6698" t="str">
        <f>"1552376668954612"</f>
        <v>1552376668954612</v>
      </c>
      <c r="C6698" t="s">
        <v>40</v>
      </c>
      <c r="D6698">
        <v>4.9671669999999999</v>
      </c>
      <c r="E6698">
        <v>0.50947679999999995</v>
      </c>
      <c r="F6698" t="s">
        <v>41</v>
      </c>
      <c r="G6698">
        <v>-245.88079999999999</v>
      </c>
      <c r="H6698">
        <v>1.052573</v>
      </c>
      <c r="I6698">
        <v>-61.231929999999998</v>
      </c>
      <c r="J6698">
        <v>-246.72329999999999</v>
      </c>
      <c r="K6698">
        <v>1.109367</v>
      </c>
      <c r="L6698">
        <v>-61.202669999999998</v>
      </c>
      <c r="M6698">
        <v>0.9984229</v>
      </c>
      <c r="N6698">
        <v>0</v>
      </c>
      <c r="O6698">
        <v>5.4246719999999998E-2</v>
      </c>
      <c r="P6698">
        <v>0.99976259999999995</v>
      </c>
      <c r="Q6698">
        <v>-2.1571839999999998E-2</v>
      </c>
      <c r="R6698">
        <v>3.081248E-3</v>
      </c>
      <c r="S6698">
        <v>2.9972530000000002</v>
      </c>
      <c r="T6698">
        <v>-0.1697379</v>
      </c>
      <c r="U6698">
        <v>-6.1218259999999997E-2</v>
      </c>
      <c r="V6698">
        <v>5.114991E-2</v>
      </c>
      <c r="W6698">
        <v>-7.2277819999999899E-3</v>
      </c>
      <c r="X6698">
        <v>0.99866489999999997</v>
      </c>
      <c r="Y6698">
        <v>7.4425459999999999E-2</v>
      </c>
      <c r="Z6698">
        <v>-5.1743839999999998E-3</v>
      </c>
      <c r="AA6698">
        <v>0.99721320000000002</v>
      </c>
      <c r="AB6698">
        <v>37</v>
      </c>
      <c r="AC6698">
        <v>0.84250000000000103</v>
      </c>
      <c r="AD6698">
        <v>-5.6793999999999997E-2</v>
      </c>
      <c r="AE6698">
        <v>-2.9260000000007801E-2</v>
      </c>
      <c r="AF6698">
        <v>7.4586014490977806E-2</v>
      </c>
      <c r="AG6698">
        <v>-5.6793999999999997E-2</v>
      </c>
      <c r="AH6698">
        <v>0.83587789982869198</v>
      </c>
      <c r="AI6698">
        <v>93.871670721197901</v>
      </c>
      <c r="AJ6698">
        <v>84.900958902091801</v>
      </c>
      <c r="AK6698">
        <v>0.841118597711211</v>
      </c>
      <c r="AL6698">
        <v>90.414124981310906</v>
      </c>
      <c r="AM6698">
        <v>87.0679701474495</v>
      </c>
      <c r="AN6698">
        <v>1.0000000683088199</v>
      </c>
    </row>
    <row r="6699" spans="1:40" x14ac:dyDescent="0.25">
      <c r="A6699" t="str">
        <f>"20190312154428973"</f>
        <v>20190312154428973</v>
      </c>
      <c r="B6699" t="str">
        <f>"1552376668964372"</f>
        <v>1552376668964372</v>
      </c>
      <c r="C6699" t="s">
        <v>40</v>
      </c>
      <c r="D6699">
        <v>4.9796579999999997</v>
      </c>
      <c r="E6699">
        <v>0.50967629999999997</v>
      </c>
      <c r="F6699" t="s">
        <v>79</v>
      </c>
      <c r="G6699">
        <v>-227.21430000000001</v>
      </c>
      <c r="H6699" s="1">
        <v>-2.4859420000000001E-6</v>
      </c>
      <c r="I6699">
        <v>-61.611269999999998</v>
      </c>
      <c r="J6699">
        <v>-246.53989999999999</v>
      </c>
      <c r="K6699">
        <v>1.1093710000000001</v>
      </c>
      <c r="L6699">
        <v>-61.193019999999997</v>
      </c>
      <c r="M6699">
        <v>0.99844189999999999</v>
      </c>
      <c r="N6699">
        <v>0</v>
      </c>
      <c r="O6699">
        <v>5.3887369999999997E-2</v>
      </c>
      <c r="P6699">
        <v>0.99976050000000005</v>
      </c>
      <c r="Q6699">
        <v>-2.1727409999999999E-2</v>
      </c>
      <c r="R6699">
        <v>2.6530519999999999E-3</v>
      </c>
      <c r="S6699">
        <v>2.997223</v>
      </c>
      <c r="T6699">
        <v>-0.1704359</v>
      </c>
      <c r="U6699">
        <v>-6.2774659999999996E-2</v>
      </c>
      <c r="V6699">
        <v>5.1217760000000001E-2</v>
      </c>
      <c r="W6699">
        <v>-7.3553230000000004E-3</v>
      </c>
      <c r="X6699">
        <v>0.9986604</v>
      </c>
      <c r="Y6699">
        <v>7.4582999999999997E-2</v>
      </c>
      <c r="Z6699">
        <v>-5.1797379999999997E-3</v>
      </c>
      <c r="AA6699">
        <v>0.99720140000000002</v>
      </c>
      <c r="AB6699">
        <v>37</v>
      </c>
      <c r="AC6699">
        <v>19.325599999999898</v>
      </c>
      <c r="AD6699">
        <v>-1.1093734859419999</v>
      </c>
      <c r="AE6699">
        <v>-0.41825000000000001</v>
      </c>
      <c r="AF6699">
        <v>1.4543669736582101</v>
      </c>
      <c r="AG6699">
        <v>-1.1093734859419999</v>
      </c>
      <c r="AH6699">
        <v>19.211695752954501</v>
      </c>
      <c r="AI6699">
        <v>93.295448755988602</v>
      </c>
      <c r="AJ6699">
        <v>85.670842680545107</v>
      </c>
      <c r="AK6699">
        <v>19.2985788733126</v>
      </c>
      <c r="AL6699">
        <v>90.421432774528697</v>
      </c>
      <c r="AM6699">
        <v>87.064074424038097</v>
      </c>
      <c r="AN6699">
        <v>0.99999997712200495</v>
      </c>
    </row>
    <row r="6700" spans="1:40" x14ac:dyDescent="0.25">
      <c r="A6700" t="str">
        <f>"20190312154428984"</f>
        <v>20190312154428984</v>
      </c>
      <c r="B6700" t="str">
        <f>"1552376668974132"</f>
        <v>1552376668974132</v>
      </c>
      <c r="C6700" t="s">
        <v>40</v>
      </c>
      <c r="D6700">
        <v>4.9739380000000004</v>
      </c>
      <c r="E6700">
        <v>0.50987649999999995</v>
      </c>
      <c r="F6700" t="s">
        <v>41</v>
      </c>
      <c r="G6700">
        <v>-245.54660000000001</v>
      </c>
      <c r="H6700">
        <v>1.052543</v>
      </c>
      <c r="I6700">
        <v>-61.214910000000003</v>
      </c>
      <c r="J6700">
        <v>-246.34690000000001</v>
      </c>
      <c r="K6700">
        <v>1.109375</v>
      </c>
      <c r="L6700">
        <v>-61.182920000000003</v>
      </c>
      <c r="M6700">
        <v>0.99846210000000002</v>
      </c>
      <c r="N6700">
        <v>0</v>
      </c>
      <c r="O6700">
        <v>5.3508720000000003E-2</v>
      </c>
      <c r="P6700">
        <v>0.99976540000000003</v>
      </c>
      <c r="Q6700">
        <v>-2.155717E-2</v>
      </c>
      <c r="R6700">
        <v>2.2084689999999998E-3</v>
      </c>
      <c r="S6700">
        <v>2.9971920000000001</v>
      </c>
      <c r="T6700">
        <v>-0.1714193</v>
      </c>
      <c r="U6700">
        <v>-6.5582280000000007E-2</v>
      </c>
      <c r="V6700">
        <v>5.128361E-2</v>
      </c>
      <c r="W6700">
        <v>-7.15761E-3</v>
      </c>
      <c r="X6700">
        <v>0.9986585</v>
      </c>
      <c r="Y6700">
        <v>7.5136069999999999E-2</v>
      </c>
      <c r="Z6700">
        <v>-5.2037759999999898E-3</v>
      </c>
      <c r="AA6700">
        <v>0.99715969999999998</v>
      </c>
      <c r="AB6700">
        <v>37</v>
      </c>
      <c r="AC6700">
        <v>0.80029999999999202</v>
      </c>
      <c r="AD6700">
        <v>-5.6832000000000001E-2</v>
      </c>
      <c r="AE6700">
        <v>-3.19900000000004E-2</v>
      </c>
      <c r="AF6700">
        <v>7.4397113442048607E-2</v>
      </c>
      <c r="AG6700">
        <v>-5.6832000000000001E-2</v>
      </c>
      <c r="AH6700">
        <v>0.79344642388245701</v>
      </c>
      <c r="AI6700">
        <v>94.079083417530398</v>
      </c>
      <c r="AJ6700">
        <v>84.643350961739102</v>
      </c>
      <c r="AK6700">
        <v>0.79895058313037703</v>
      </c>
      <c r="AL6700">
        <v>90.410104338021398</v>
      </c>
      <c r="AM6700">
        <v>87.060300776746004</v>
      </c>
      <c r="AN6700">
        <v>1.0000000198288901</v>
      </c>
    </row>
    <row r="6701" spans="1:40" x14ac:dyDescent="0.25">
      <c r="A6701" t="str">
        <f>"20190312154428996"</f>
        <v>20190312154428996</v>
      </c>
      <c r="B6701" t="str">
        <f>"1552376668983892"</f>
        <v>1552376668983892</v>
      </c>
      <c r="C6701" t="s">
        <v>40</v>
      </c>
      <c r="D6701">
        <v>5.0106310000000001</v>
      </c>
      <c r="E6701">
        <v>0.51010109999999997</v>
      </c>
      <c r="F6701" t="s">
        <v>79</v>
      </c>
      <c r="G6701">
        <v>-226.91300000000001</v>
      </c>
      <c r="H6701" s="1">
        <v>-2.3602229999999999E-6</v>
      </c>
      <c r="I6701">
        <v>-61.627160000000003</v>
      </c>
      <c r="J6701">
        <v>-246.15280000000001</v>
      </c>
      <c r="K6701">
        <v>1.10938</v>
      </c>
      <c r="L6701">
        <v>-61.172879999999999</v>
      </c>
      <c r="M6701">
        <v>0.99848199999999998</v>
      </c>
      <c r="N6701">
        <v>0</v>
      </c>
      <c r="O6701">
        <v>5.3128139999999997E-2</v>
      </c>
      <c r="P6701">
        <v>0.99977470000000002</v>
      </c>
      <c r="Q6701">
        <v>-2.1183569999999999E-2</v>
      </c>
      <c r="R6701">
        <v>1.494249E-3</v>
      </c>
      <c r="S6701">
        <v>2.9971619999999999</v>
      </c>
      <c r="T6701">
        <v>-0.17109260000000001</v>
      </c>
      <c r="U6701">
        <v>-6.8511959999999997E-2</v>
      </c>
      <c r="V6701">
        <v>5.1617469999999999E-2</v>
      </c>
      <c r="W6701">
        <v>-6.7596440000000004E-3</v>
      </c>
      <c r="X6701">
        <v>0.99864410000000003</v>
      </c>
      <c r="Y6701">
        <v>7.5730889999999995E-2</v>
      </c>
      <c r="Z6701">
        <v>-5.1891649999999999E-3</v>
      </c>
      <c r="AA6701">
        <v>0.99711479999999997</v>
      </c>
      <c r="AB6701">
        <v>37</v>
      </c>
      <c r="AC6701">
        <v>19.239799999999999</v>
      </c>
      <c r="AD6701">
        <v>-1.109382360223</v>
      </c>
      <c r="AE6701">
        <v>-0.45427999999999003</v>
      </c>
      <c r="AF6701">
        <v>1.47103286144381</v>
      </c>
      <c r="AG6701">
        <v>-1.109382360223</v>
      </c>
      <c r="AH6701">
        <v>19.1249338020545</v>
      </c>
      <c r="AI6701">
        <v>93.310087678702303</v>
      </c>
      <c r="AJ6701">
        <v>85.601639801645504</v>
      </c>
      <c r="AK6701">
        <v>19.213478597942299</v>
      </c>
      <c r="AL6701">
        <v>90.387302003441107</v>
      </c>
      <c r="AM6701">
        <v>87.041154430081505</v>
      </c>
      <c r="AN6701">
        <v>1.0000000472305</v>
      </c>
    </row>
    <row r="6702" spans="1:40" x14ac:dyDescent="0.25">
      <c r="A6702" t="str">
        <f>"20190312154429006"</f>
        <v>20190312154429006</v>
      </c>
      <c r="B6702" t="str">
        <f>"1552376668994627"</f>
        <v>1552376668994627</v>
      </c>
      <c r="C6702" t="s">
        <v>40</v>
      </c>
      <c r="D6702">
        <v>4.9134830000000003</v>
      </c>
      <c r="E6702">
        <v>0.51027939999999905</v>
      </c>
      <c r="F6702" t="s">
        <v>79</v>
      </c>
      <c r="G6702">
        <v>-226.66929999999999</v>
      </c>
      <c r="H6702" s="1">
        <v>-2.2593519999999999E-6</v>
      </c>
      <c r="I6702">
        <v>-61.643839999999997</v>
      </c>
      <c r="J6702">
        <v>-245.9873</v>
      </c>
      <c r="K6702">
        <v>1.109381</v>
      </c>
      <c r="L6702">
        <v>-61.164340000000003</v>
      </c>
      <c r="M6702">
        <v>0.99849889999999997</v>
      </c>
      <c r="N6702">
        <v>0</v>
      </c>
      <c r="O6702">
        <v>5.2803389999999999E-2</v>
      </c>
      <c r="P6702">
        <v>0.99978339999999999</v>
      </c>
      <c r="Q6702">
        <v>-2.0790179999999998E-2</v>
      </c>
      <c r="R6702">
        <v>9.1019720000000003E-4</v>
      </c>
      <c r="S6702">
        <v>2.9971770000000002</v>
      </c>
      <c r="T6702">
        <v>-0.17065739999999999</v>
      </c>
      <c r="U6702">
        <v>-7.2448730000000003E-2</v>
      </c>
      <c r="V6702">
        <v>5.1877279999999998E-2</v>
      </c>
      <c r="W6702">
        <v>-6.3462099999999997E-3</v>
      </c>
      <c r="X6702">
        <v>0.99863329999999995</v>
      </c>
      <c r="Y6702">
        <v>7.6715430000000001E-2</v>
      </c>
      <c r="Z6702">
        <v>-5.185449E-3</v>
      </c>
      <c r="AA6702">
        <v>0.99703960000000003</v>
      </c>
      <c r="AB6702">
        <v>37</v>
      </c>
      <c r="AC6702">
        <v>19.318000000000001</v>
      </c>
      <c r="AD6702">
        <v>-1.1093832593520001</v>
      </c>
      <c r="AE6702">
        <v>-0.47950000000000098</v>
      </c>
      <c r="AF6702">
        <v>1.4940705466836099</v>
      </c>
      <c r="AG6702">
        <v>-1.1093832593520001</v>
      </c>
      <c r="AH6702">
        <v>19.202433460096699</v>
      </c>
      <c r="AI6702">
        <v>93.296535637961995</v>
      </c>
      <c r="AJ6702">
        <v>85.550990041020597</v>
      </c>
      <c r="AK6702">
        <v>19.292393029482898</v>
      </c>
      <c r="AL6702">
        <v>90.363613490662203</v>
      </c>
      <c r="AM6702">
        <v>87.026256017060604</v>
      </c>
      <c r="AN6702">
        <v>0.99999999721522603</v>
      </c>
    </row>
    <row r="6703" spans="1:40" x14ac:dyDescent="0.25">
      <c r="A6703" t="str">
        <f>"20190312154429018"</f>
        <v>20190312154429018</v>
      </c>
      <c r="B6703" t="str">
        <f>"1552376669004412"</f>
        <v>1552376669004412</v>
      </c>
      <c r="C6703" t="s">
        <v>40</v>
      </c>
      <c r="D6703">
        <v>4.9191760000000002</v>
      </c>
      <c r="E6703">
        <v>0.51044020000000001</v>
      </c>
      <c r="F6703" t="s">
        <v>79</v>
      </c>
      <c r="G6703">
        <v>-226.40039999999999</v>
      </c>
      <c r="H6703" s="1">
        <v>-2.1472439999999999E-6</v>
      </c>
      <c r="I6703">
        <v>-61.658329999999999</v>
      </c>
      <c r="J6703">
        <v>-245.80170000000001</v>
      </c>
      <c r="K6703">
        <v>1.109386</v>
      </c>
      <c r="L6703">
        <v>-61.154850000000003</v>
      </c>
      <c r="M6703">
        <v>0.99851769999999995</v>
      </c>
      <c r="N6703">
        <v>0</v>
      </c>
      <c r="O6703">
        <v>5.2439140000000002E-2</v>
      </c>
      <c r="P6703">
        <v>0.99979479999999998</v>
      </c>
      <c r="Q6703">
        <v>-2.0256690000000001E-2</v>
      </c>
      <c r="R6703">
        <v>3.6064929999999999E-4</v>
      </c>
      <c r="S6703">
        <v>2.997223</v>
      </c>
      <c r="T6703">
        <v>-0.1697602</v>
      </c>
      <c r="U6703">
        <v>-7.5592039999999999E-2</v>
      </c>
      <c r="V6703">
        <v>5.206326E-2</v>
      </c>
      <c r="W6703">
        <v>-5.7926239999999997E-3</v>
      </c>
      <c r="X6703">
        <v>0.99862700000000004</v>
      </c>
      <c r="Y6703">
        <v>7.7398060000000005E-2</v>
      </c>
      <c r="Z6703">
        <v>-5.1568229999999996E-3</v>
      </c>
      <c r="AA6703">
        <v>0.99698690000000001</v>
      </c>
      <c r="AB6703">
        <v>37</v>
      </c>
      <c r="AC6703">
        <v>19.401299999999999</v>
      </c>
      <c r="AD6703">
        <v>-1.1093881472439999</v>
      </c>
      <c r="AE6703">
        <v>-0.50348000000000304</v>
      </c>
      <c r="AF6703">
        <v>1.5153314311294199</v>
      </c>
      <c r="AG6703">
        <v>-1.1093881472439999</v>
      </c>
      <c r="AH6703">
        <v>19.285181675652801</v>
      </c>
      <c r="AI6703">
        <v>93.282240766349702</v>
      </c>
      <c r="AJ6703">
        <v>85.507220223740205</v>
      </c>
      <c r="AK6703">
        <v>19.376408430623801</v>
      </c>
      <c r="AL6703">
        <v>90.331894759856198</v>
      </c>
      <c r="AM6703">
        <v>87.015595592069005</v>
      </c>
      <c r="AN6703">
        <v>1.0000000113318099</v>
      </c>
    </row>
    <row r="6704" spans="1:40" x14ac:dyDescent="0.25">
      <c r="A6704" t="str">
        <f>"20190312154429029"</f>
        <v>20190312154429029</v>
      </c>
      <c r="B6704" t="str">
        <f>"1552376669023935"</f>
        <v>1552376669023935</v>
      </c>
      <c r="C6704" t="s">
        <v>40</v>
      </c>
      <c r="D6704">
        <v>4.961239</v>
      </c>
      <c r="E6704">
        <v>0.51074350000000002</v>
      </c>
      <c r="F6704" t="s">
        <v>79</v>
      </c>
      <c r="G6704">
        <v>-226.06700000000001</v>
      </c>
      <c r="H6704" s="1">
        <v>-2.0071600000000002E-6</v>
      </c>
      <c r="I6704">
        <v>-61.671660000000003</v>
      </c>
      <c r="J6704">
        <v>-245.6011</v>
      </c>
      <c r="K6704">
        <v>1.1093900000000001</v>
      </c>
      <c r="L6704">
        <v>-61.144649999999999</v>
      </c>
      <c r="M6704">
        <v>0.99853809999999998</v>
      </c>
      <c r="N6704">
        <v>0</v>
      </c>
      <c r="O6704">
        <v>5.2045019999999997E-2</v>
      </c>
      <c r="P6704">
        <v>0.99980769999999997</v>
      </c>
      <c r="Q6704">
        <v>-1.9612190000000002E-2</v>
      </c>
      <c r="R6704">
        <v>-3.9019320000000001E-4</v>
      </c>
      <c r="S6704">
        <v>2.997223</v>
      </c>
      <c r="T6704">
        <v>-0.16848929999999901</v>
      </c>
      <c r="U6704">
        <v>-7.8491210000000006E-2</v>
      </c>
      <c r="V6704">
        <v>5.2421049999999997E-2</v>
      </c>
      <c r="W6704">
        <v>-5.1276890000000004E-3</v>
      </c>
      <c r="X6704">
        <v>0.9986119</v>
      </c>
      <c r="Y6704">
        <v>7.7971090000000007E-2</v>
      </c>
      <c r="Z6704">
        <v>-5.1122030000000001E-3</v>
      </c>
      <c r="AA6704">
        <v>0.99694249999999995</v>
      </c>
      <c r="AB6704">
        <v>37</v>
      </c>
      <c r="AC6704">
        <v>19.534099999999899</v>
      </c>
      <c r="AD6704">
        <v>-1.1093920071600001</v>
      </c>
      <c r="AE6704">
        <v>-0.52700999999999698</v>
      </c>
      <c r="AF6704">
        <v>1.53809914421623</v>
      </c>
      <c r="AG6704">
        <v>-1.1093920071600001</v>
      </c>
      <c r="AH6704">
        <v>19.4176054523899</v>
      </c>
      <c r="AI6704">
        <v>93.259753995734997</v>
      </c>
      <c r="AJ6704">
        <v>85.470967599278794</v>
      </c>
      <c r="AK6704">
        <v>19.5099949028099</v>
      </c>
      <c r="AL6704">
        <v>90.293796227822</v>
      </c>
      <c r="AM6704">
        <v>86.995078223741004</v>
      </c>
      <c r="AN6704">
        <v>0.99999999324959599</v>
      </c>
    </row>
    <row r="6705" spans="1:40" x14ac:dyDescent="0.25">
      <c r="A6705" t="str">
        <f>"20190312154429039"</f>
        <v>20190312154429039</v>
      </c>
      <c r="B6705" t="str">
        <f>"1552376669034668"</f>
        <v>1552376669034668</v>
      </c>
      <c r="C6705" t="s">
        <v>40</v>
      </c>
      <c r="D6705">
        <v>4.9486939999999997</v>
      </c>
      <c r="E6705">
        <v>0.51089890000000004</v>
      </c>
      <c r="F6705" t="s">
        <v>41</v>
      </c>
      <c r="G6705">
        <v>-244.55330000000001</v>
      </c>
      <c r="H6705">
        <v>1.0508729999999999</v>
      </c>
      <c r="I6705">
        <v>-61.173900000000003</v>
      </c>
      <c r="J6705">
        <v>-245.4205</v>
      </c>
      <c r="K6705">
        <v>1.1093930000000001</v>
      </c>
      <c r="L6705">
        <v>-61.135620000000003</v>
      </c>
      <c r="M6705">
        <v>0.99855629999999995</v>
      </c>
      <c r="N6705">
        <v>0</v>
      </c>
      <c r="O6705">
        <v>5.1690170000000001E-2</v>
      </c>
      <c r="P6705">
        <v>0.99980720000000001</v>
      </c>
      <c r="Q6705">
        <v>-1.9593739999999998E-2</v>
      </c>
      <c r="R6705">
        <v>-1.3331809999999999E-3</v>
      </c>
      <c r="S6705">
        <v>2.9972989999999999</v>
      </c>
      <c r="T6705">
        <v>-0.16741500000000001</v>
      </c>
      <c r="U6705">
        <v>-8.3129880000000003E-2</v>
      </c>
      <c r="V6705">
        <v>5.3008E-2</v>
      </c>
      <c r="W6705">
        <v>-5.0938709999999998E-3</v>
      </c>
      <c r="X6705">
        <v>0.9985811</v>
      </c>
      <c r="Y6705">
        <v>7.9159199999999999E-2</v>
      </c>
      <c r="Z6705">
        <v>-5.0928120000000004E-3</v>
      </c>
      <c r="AA6705">
        <v>0.99684899999999999</v>
      </c>
      <c r="AB6705">
        <v>37</v>
      </c>
      <c r="AC6705">
        <v>0.86719999999999597</v>
      </c>
      <c r="AD6705">
        <v>-5.85200000000001E-2</v>
      </c>
      <c r="AE6705">
        <v>-3.8280000000007398E-2</v>
      </c>
      <c r="AF6705">
        <v>8.2683526569021795E-2</v>
      </c>
      <c r="AG6705">
        <v>-5.85200000000001E-2</v>
      </c>
      <c r="AH6705">
        <v>0.86015223302531196</v>
      </c>
      <c r="AI6705">
        <v>93.874286295665797</v>
      </c>
      <c r="AJ6705">
        <v>84.509221118448394</v>
      </c>
      <c r="AK6705">
        <v>0.86609642647012497</v>
      </c>
      <c r="AL6705">
        <v>90.291858570567697</v>
      </c>
      <c r="AM6705">
        <v>86.961401757812595</v>
      </c>
      <c r="AN6705">
        <v>1.0000000044314801</v>
      </c>
    </row>
    <row r="6706" spans="1:40" x14ac:dyDescent="0.25">
      <c r="A6706" t="str">
        <f>"20190312154429051"</f>
        <v>20190312154429051</v>
      </c>
      <c r="B6706" t="str">
        <f>"1552376669044428"</f>
        <v>1552376669044428</v>
      </c>
      <c r="C6706" t="s">
        <v>40</v>
      </c>
      <c r="D6706">
        <v>4.9651019999999999</v>
      </c>
      <c r="E6706">
        <v>0.51102269999999905</v>
      </c>
      <c r="F6706" t="s">
        <v>79</v>
      </c>
      <c r="G6706">
        <v>-225.5975</v>
      </c>
      <c r="H6706" s="1">
        <v>-1.8147679999999999E-6</v>
      </c>
      <c r="I6706">
        <v>-61.712069999999997</v>
      </c>
      <c r="J6706">
        <v>-245.2398</v>
      </c>
      <c r="K6706">
        <v>1.109399</v>
      </c>
      <c r="L6706">
        <v>-61.126559999999998</v>
      </c>
      <c r="M6706">
        <v>0.99857439999999997</v>
      </c>
      <c r="N6706">
        <v>0</v>
      </c>
      <c r="O6706">
        <v>5.1334730000000002E-2</v>
      </c>
      <c r="P6706">
        <v>0.9998049</v>
      </c>
      <c r="Q6706">
        <v>-1.966524E-2</v>
      </c>
      <c r="R6706">
        <v>-1.910885E-3</v>
      </c>
      <c r="S6706">
        <v>2.9971770000000002</v>
      </c>
      <c r="T6706">
        <v>-0.1677372</v>
      </c>
      <c r="U6706">
        <v>-8.7158200000000005E-2</v>
      </c>
      <c r="V6706">
        <v>5.3229220000000001E-2</v>
      </c>
      <c r="W6706">
        <v>-5.1497649999999997E-3</v>
      </c>
      <c r="X6706">
        <v>0.99856900000000004</v>
      </c>
      <c r="Y6706">
        <v>8.0142400000000003E-2</v>
      </c>
      <c r="Z6706">
        <v>-5.1103570000000003E-3</v>
      </c>
      <c r="AA6706">
        <v>0.9967703</v>
      </c>
      <c r="AB6706">
        <v>37</v>
      </c>
      <c r="AC6706">
        <v>19.642299999999999</v>
      </c>
      <c r="AD6706">
        <v>-1.1094008147679999</v>
      </c>
      <c r="AE6706">
        <v>-0.58550999999999898</v>
      </c>
      <c r="AF6706">
        <v>1.58811626199031</v>
      </c>
      <c r="AG6706">
        <v>-1.1094008147679999</v>
      </c>
      <c r="AH6706">
        <v>19.524109093616499</v>
      </c>
      <c r="AI6706">
        <v>93.241486311499003</v>
      </c>
      <c r="AJ6706">
        <v>85.3497252608569</v>
      </c>
      <c r="AK6706">
        <v>19.619982653632601</v>
      </c>
      <c r="AL6706">
        <v>90.295061116309498</v>
      </c>
      <c r="AM6706">
        <v>86.948707687073707</v>
      </c>
      <c r="AN6706">
        <v>0.99999995885117998</v>
      </c>
    </row>
    <row r="6707" spans="1:40" x14ac:dyDescent="0.25">
      <c r="A6707" t="str">
        <f>"20190312154429061"</f>
        <v>20190312154429061</v>
      </c>
      <c r="B6707" t="str">
        <f>"1552376669054188"</f>
        <v>1552376669054188</v>
      </c>
      <c r="C6707" t="s">
        <v>40</v>
      </c>
      <c r="D6707">
        <v>4.9665530000000002</v>
      </c>
      <c r="E6707">
        <v>0.51102269999999905</v>
      </c>
      <c r="F6707" t="s">
        <v>41</v>
      </c>
      <c r="G6707">
        <v>-244.21789999999999</v>
      </c>
      <c r="H6707">
        <v>1.051733</v>
      </c>
      <c r="I6707">
        <v>-61.157249999999998</v>
      </c>
      <c r="J6707">
        <v>-245.0505</v>
      </c>
      <c r="K6707">
        <v>1.1093999999999999</v>
      </c>
      <c r="L6707">
        <v>-61.117159999999998</v>
      </c>
      <c r="M6707">
        <v>0.99859319999999896</v>
      </c>
      <c r="N6707">
        <v>0</v>
      </c>
      <c r="O6707">
        <v>5.096237E-2</v>
      </c>
      <c r="P6707">
        <v>0.99979649999999998</v>
      </c>
      <c r="Q6707">
        <v>-2.0016389999999998E-2</v>
      </c>
      <c r="R6707">
        <v>-2.5428429999999999E-3</v>
      </c>
      <c r="S6707">
        <v>2.9970859999999999</v>
      </c>
      <c r="T6707">
        <v>-0.16911039999999999</v>
      </c>
      <c r="U6707">
        <v>-8.9782710000000002E-2</v>
      </c>
      <c r="V6707">
        <v>5.3486970000000002E-2</v>
      </c>
      <c r="W6707">
        <v>-5.4864060000000001E-3</v>
      </c>
      <c r="X6707">
        <v>0.99855349999999998</v>
      </c>
      <c r="Y6707">
        <v>8.0640130000000004E-2</v>
      </c>
      <c r="Z6707">
        <v>-5.1452829999999996E-3</v>
      </c>
      <c r="AA6707">
        <v>0.99673</v>
      </c>
      <c r="AB6707">
        <v>37</v>
      </c>
      <c r="AC6707">
        <v>0.832600000000013</v>
      </c>
      <c r="AD6707">
        <v>-5.7666999999999899E-2</v>
      </c>
      <c r="AE6707">
        <v>-4.0089999999999203E-2</v>
      </c>
      <c r="AF6707">
        <v>8.2080872482885994E-2</v>
      </c>
      <c r="AG6707">
        <v>-5.7666999999999899E-2</v>
      </c>
      <c r="AH6707">
        <v>0.82552357778371999</v>
      </c>
      <c r="AI6707">
        <v>93.976365295788199</v>
      </c>
      <c r="AJ6707">
        <v>84.321808312255797</v>
      </c>
      <c r="AK6707">
        <v>0.83159601369498204</v>
      </c>
      <c r="AL6707">
        <v>90.314349477831996</v>
      </c>
      <c r="AM6707">
        <v>86.933913141594303</v>
      </c>
      <c r="AN6707">
        <v>1.00000002448641</v>
      </c>
    </row>
    <row r="6708" spans="1:40" x14ac:dyDescent="0.25">
      <c r="A6708" t="str">
        <f>"20190312154429073"</f>
        <v>20190312154429073</v>
      </c>
      <c r="B6708" t="str">
        <f>"1552376669063948"</f>
        <v>1552376669063948</v>
      </c>
      <c r="C6708" t="s">
        <v>40</v>
      </c>
      <c r="D6708">
        <v>4.9713890000000003</v>
      </c>
      <c r="E6708">
        <v>0.52777859999999999</v>
      </c>
      <c r="F6708" t="s">
        <v>79</v>
      </c>
      <c r="G6708">
        <v>-225.5127</v>
      </c>
      <c r="H6708" s="1">
        <v>-1.7789029999999999E-6</v>
      </c>
      <c r="I6708">
        <v>-61.714399999999998</v>
      </c>
      <c r="J6708">
        <v>-244.86770000000001</v>
      </c>
      <c r="K6708">
        <v>1.1093980000000001</v>
      </c>
      <c r="L6708">
        <v>-61.108150000000002</v>
      </c>
      <c r="M6708">
        <v>0.99861129999999998</v>
      </c>
      <c r="N6708">
        <v>0</v>
      </c>
      <c r="O6708">
        <v>5.0602849999999998E-2</v>
      </c>
      <c r="P6708">
        <v>0.99978140000000004</v>
      </c>
      <c r="Q6708">
        <v>-2.065995E-2</v>
      </c>
      <c r="R6708">
        <v>-3.2162919999999999E-3</v>
      </c>
      <c r="S6708">
        <v>2.9969790000000001</v>
      </c>
      <c r="T6708">
        <v>-0.17017599999999999</v>
      </c>
      <c r="U6708">
        <v>-9.1613769999999997E-2</v>
      </c>
      <c r="V6708">
        <v>5.3798430000000001E-2</v>
      </c>
      <c r="W6708">
        <v>-6.1172170000000003E-3</v>
      </c>
      <c r="X6708">
        <v>0.99853309999999995</v>
      </c>
      <c r="Y6708">
        <v>8.0888310000000005E-2</v>
      </c>
      <c r="Z6708">
        <v>-5.1644580000000002E-3</v>
      </c>
      <c r="AA6708">
        <v>0.99670979999999998</v>
      </c>
      <c r="AB6708">
        <v>37</v>
      </c>
      <c r="AC6708">
        <v>19.355</v>
      </c>
      <c r="AD6708">
        <v>-1.1093997789029999</v>
      </c>
      <c r="AE6708">
        <v>-0.60624999999999496</v>
      </c>
      <c r="AF6708">
        <v>1.5798112752882201</v>
      </c>
      <c r="AG6708">
        <v>-1.1093997789029999</v>
      </c>
      <c r="AH6708">
        <v>19.236379354941601</v>
      </c>
      <c r="AI6708">
        <v>93.289653135484798</v>
      </c>
      <c r="AJ6708">
        <v>85.305050204475904</v>
      </c>
      <c r="AK6708">
        <v>19.332999307458199</v>
      </c>
      <c r="AL6708">
        <v>90.350492894843796</v>
      </c>
      <c r="AM6708">
        <v>86.916030490819196</v>
      </c>
      <c r="AN6708">
        <v>1.0000000216049401</v>
      </c>
    </row>
    <row r="6709" spans="1:40" x14ac:dyDescent="0.25">
      <c r="A6709" t="str">
        <f>"20190312154429085"</f>
        <v>20190312154429085</v>
      </c>
      <c r="B6709" t="str">
        <f>"1552376669074684"</f>
        <v>1552376669074684</v>
      </c>
      <c r="C6709" t="s">
        <v>40</v>
      </c>
      <c r="D6709">
        <v>5.0546300000000004</v>
      </c>
      <c r="E6709">
        <v>0.53087090000000003</v>
      </c>
      <c r="F6709" t="s">
        <v>41</v>
      </c>
      <c r="G6709">
        <v>-243.93119999999999</v>
      </c>
      <c r="H6709">
        <v>0.96755679999999999</v>
      </c>
      <c r="I6709">
        <v>-61.176349999999999</v>
      </c>
      <c r="J6709">
        <v>-244.66650000000001</v>
      </c>
      <c r="K6709">
        <v>1.1093999999999999</v>
      </c>
      <c r="L6709">
        <v>-61.098300000000002</v>
      </c>
      <c r="M6709">
        <v>0.99863109999999999</v>
      </c>
      <c r="N6709">
        <v>0</v>
      </c>
      <c r="O6709">
        <v>5.0206670000000002E-2</v>
      </c>
      <c r="P6709">
        <v>0.99977479999999996</v>
      </c>
      <c r="Q6709">
        <v>-2.090382E-2</v>
      </c>
      <c r="R6709">
        <v>-3.7057800000000001E-3</v>
      </c>
      <c r="S6709">
        <v>2.9906009999999998</v>
      </c>
      <c r="T6709">
        <v>-0.4528644</v>
      </c>
      <c r="U6709">
        <v>-0.2172241</v>
      </c>
      <c r="V6709">
        <v>5.3890340000000002E-2</v>
      </c>
      <c r="W6709">
        <v>-6.3473899999999996E-3</v>
      </c>
      <c r="X6709">
        <v>0.99852669999999999</v>
      </c>
      <c r="Y6709">
        <v>0.12049609999999999</v>
      </c>
      <c r="Z6709">
        <v>-1.6611609999999999E-2</v>
      </c>
      <c r="AA6709">
        <v>0.99257479999999998</v>
      </c>
      <c r="AB6709">
        <v>37</v>
      </c>
      <c r="AC6709">
        <v>0.73530000000002305</v>
      </c>
      <c r="AD6709">
        <v>-0.141843199999999</v>
      </c>
      <c r="AE6709">
        <v>-7.8049999999997496E-2</v>
      </c>
      <c r="AF6709">
        <v>0.110795453573598</v>
      </c>
      <c r="AG6709">
        <v>-0.141843199999999</v>
      </c>
      <c r="AH6709">
        <v>0.70452832438341095</v>
      </c>
      <c r="AI6709">
        <v>101.248568159963</v>
      </c>
      <c r="AJ6709">
        <v>81.062754477162898</v>
      </c>
      <c r="AK6709">
        <v>0.72715561317871802</v>
      </c>
      <c r="AL6709">
        <v>90.363681094808996</v>
      </c>
      <c r="AM6709">
        <v>86.910752228089507</v>
      </c>
      <c r="AN6709">
        <v>1.000000014359</v>
      </c>
    </row>
    <row r="6710" spans="1:40" x14ac:dyDescent="0.25">
      <c r="A6710" t="str">
        <f>"20190312154429098"</f>
        <v>20190312154429098</v>
      </c>
      <c r="B6710" t="str">
        <f>"1552376669084445"</f>
        <v>1552376669084445</v>
      </c>
      <c r="C6710" t="s">
        <v>40</v>
      </c>
      <c r="D6710">
        <v>4.9837379999999998</v>
      </c>
      <c r="E6710">
        <v>0.53231139999999999</v>
      </c>
      <c r="F6710" t="s">
        <v>41</v>
      </c>
      <c r="G6710">
        <v>-243.92930000000001</v>
      </c>
      <c r="H6710">
        <v>0.97401870000000002</v>
      </c>
      <c r="I6710">
        <v>-61.157640000000001</v>
      </c>
      <c r="J6710">
        <v>-244.46530000000001</v>
      </c>
      <c r="K6710">
        <v>1.1094029999999999</v>
      </c>
      <c r="L6710">
        <v>-61.088560000000001</v>
      </c>
      <c r="M6710">
        <v>0.99865060000000005</v>
      </c>
      <c r="N6710">
        <v>0</v>
      </c>
      <c r="O6710">
        <v>4.9810809999999997E-2</v>
      </c>
      <c r="P6710">
        <v>0.99977099999999997</v>
      </c>
      <c r="Q6710">
        <v>-2.0992130000000001E-2</v>
      </c>
      <c r="R6710">
        <v>-4.1463350000000001E-3</v>
      </c>
      <c r="S6710">
        <v>2.9883120000000001</v>
      </c>
      <c r="T6710">
        <v>-0.548759</v>
      </c>
      <c r="U6710">
        <v>-0.2398682</v>
      </c>
      <c r="V6710">
        <v>5.3934269999999999E-2</v>
      </c>
      <c r="W6710">
        <v>-6.423453E-3</v>
      </c>
      <c r="X6710">
        <v>0.99852379999999996</v>
      </c>
      <c r="Y6710">
        <v>0.12663440000000001</v>
      </c>
      <c r="Z6710">
        <v>-2.0572389999999999E-2</v>
      </c>
      <c r="AA6710">
        <v>0.99173610000000001</v>
      </c>
      <c r="AB6710">
        <v>37</v>
      </c>
      <c r="AC6710">
        <v>0.53600000000000103</v>
      </c>
      <c r="AD6710">
        <v>-0.13538430000000001</v>
      </c>
      <c r="AE6710">
        <v>-6.9079999999999503E-2</v>
      </c>
      <c r="AF6710">
        <v>9.0044884947905302E-2</v>
      </c>
      <c r="AG6710">
        <v>-0.13538430000000001</v>
      </c>
      <c r="AH6710">
        <v>0.50048496222719296</v>
      </c>
      <c r="AI6710">
        <v>104.90814490843201</v>
      </c>
      <c r="AJ6710">
        <v>79.800728903835306</v>
      </c>
      <c r="AK6710">
        <v>0.52623396641353903</v>
      </c>
      <c r="AL6710">
        <v>90.368039287808003</v>
      </c>
      <c r="AM6710">
        <v>86.9082298756162</v>
      </c>
      <c r="AN6710">
        <v>0.99999997269765695</v>
      </c>
    </row>
    <row r="6711" spans="1:40" x14ac:dyDescent="0.25">
      <c r="A6711" t="str">
        <f>"20190312154429110"</f>
        <v>20190312154429110</v>
      </c>
      <c r="B6711" t="str">
        <f>"1552376669103966"</f>
        <v>1552376669103966</v>
      </c>
      <c r="C6711" t="s">
        <v>40</v>
      </c>
      <c r="D6711">
        <v>5.0099019999999896</v>
      </c>
      <c r="E6711">
        <v>0.53316229999999998</v>
      </c>
      <c r="F6711" t="s">
        <v>41</v>
      </c>
      <c r="G6711">
        <v>-243.61619999999999</v>
      </c>
      <c r="H6711">
        <v>0.93281210000000003</v>
      </c>
      <c r="I6711">
        <v>-61.159689999999998</v>
      </c>
      <c r="J6711">
        <v>-244.26769999999999</v>
      </c>
      <c r="K6711">
        <v>1.109407</v>
      </c>
      <c r="L6711">
        <v>-61.079039999999999</v>
      </c>
      <c r="M6711">
        <v>0.9986699</v>
      </c>
      <c r="N6711">
        <v>0</v>
      </c>
      <c r="O6711">
        <v>4.9421689999999997E-2</v>
      </c>
      <c r="P6711">
        <v>0.99977229999999995</v>
      </c>
      <c r="Q6711">
        <v>-2.07654E-2</v>
      </c>
      <c r="R6711">
        <v>-4.9215270000000002E-3</v>
      </c>
      <c r="S6711">
        <v>2.986618</v>
      </c>
      <c r="T6711">
        <v>-0.62110140000000003</v>
      </c>
      <c r="U6711">
        <v>-0.2498474</v>
      </c>
      <c r="V6711">
        <v>5.4320069999999998E-2</v>
      </c>
      <c r="W6711">
        <v>-6.186146E-3</v>
      </c>
      <c r="X6711">
        <v>0.99850439999999996</v>
      </c>
      <c r="Y6711">
        <v>0.1287288</v>
      </c>
      <c r="Z6711">
        <v>-2.3376259999999999E-2</v>
      </c>
      <c r="AA6711">
        <v>0.99140430000000002</v>
      </c>
      <c r="AB6711">
        <v>37</v>
      </c>
      <c r="AC6711">
        <v>0.65149999999999797</v>
      </c>
      <c r="AD6711">
        <v>-0.1765949</v>
      </c>
      <c r="AE6711">
        <v>-8.0650000000005606E-2</v>
      </c>
      <c r="AF6711">
        <v>0.10514445647032</v>
      </c>
      <c r="AG6711">
        <v>-0.1765949</v>
      </c>
      <c r="AH6711">
        <v>0.60307637355259702</v>
      </c>
      <c r="AI6711">
        <v>106.091366978054</v>
      </c>
      <c r="AJ6711">
        <v>80.110070120676994</v>
      </c>
      <c r="AK6711">
        <v>0.63713595705296799</v>
      </c>
      <c r="AL6711">
        <v>90.354442322323493</v>
      </c>
      <c r="AM6711">
        <v>86.886096963323595</v>
      </c>
      <c r="AN6711">
        <v>0.99999998761324804</v>
      </c>
    </row>
    <row r="6712" spans="1:40" x14ac:dyDescent="0.25">
      <c r="A6712" t="str">
        <f>"20190312154429121"</f>
        <v>20190312154429121</v>
      </c>
      <c r="B6712" t="str">
        <f>"1552376669114701"</f>
        <v>1552376669114701</v>
      </c>
      <c r="C6712" t="s">
        <v>40</v>
      </c>
      <c r="D6712">
        <v>4.9889229999999998</v>
      </c>
      <c r="E6712">
        <v>0.53355439999999998</v>
      </c>
      <c r="F6712" t="s">
        <v>41</v>
      </c>
      <c r="G6712">
        <v>-243.3057</v>
      </c>
      <c r="H6712">
        <v>0.88255059999999996</v>
      </c>
      <c r="I6712">
        <v>-61.161760000000001</v>
      </c>
      <c r="J6712">
        <v>-244.0788</v>
      </c>
      <c r="K6712">
        <v>1.10941</v>
      </c>
      <c r="L6712">
        <v>-61.070039999999999</v>
      </c>
      <c r="M6712">
        <v>0.99868800000000002</v>
      </c>
      <c r="N6712">
        <v>0</v>
      </c>
      <c r="O6712">
        <v>4.9049460000000003E-2</v>
      </c>
      <c r="P6712">
        <v>0.99977760000000004</v>
      </c>
      <c r="Q6712">
        <v>-2.0423520000000001E-2</v>
      </c>
      <c r="R6712">
        <v>-5.2442790000000001E-3</v>
      </c>
      <c r="S6712">
        <v>2.9848330000000001</v>
      </c>
      <c r="T6712">
        <v>-0.70376660000000002</v>
      </c>
      <c r="U6712">
        <v>-0.25592039999999999</v>
      </c>
      <c r="V6712">
        <v>5.4271340000000001E-2</v>
      </c>
      <c r="W6712">
        <v>-5.8344709999999999E-3</v>
      </c>
      <c r="X6712">
        <v>0.99850919999999999</v>
      </c>
      <c r="Y6712">
        <v>0.1293387</v>
      </c>
      <c r="Z6712">
        <v>-2.640723E-2</v>
      </c>
      <c r="AA6712">
        <v>0.99124880000000004</v>
      </c>
      <c r="AB6712">
        <v>37</v>
      </c>
      <c r="AC6712">
        <v>0.77309999999999901</v>
      </c>
      <c r="AD6712">
        <v>-0.22685939999999999</v>
      </c>
      <c r="AE6712">
        <v>-9.1719999999995097E-2</v>
      </c>
      <c r="AF6712">
        <v>0.119395628621096</v>
      </c>
      <c r="AG6712">
        <v>-0.22685939999999999</v>
      </c>
      <c r="AH6712">
        <v>0.70758692488455499</v>
      </c>
      <c r="AI6712">
        <v>107.543878492605</v>
      </c>
      <c r="AJ6712">
        <v>80.422338018344405</v>
      </c>
      <c r="AK6712">
        <v>0.75259534928789396</v>
      </c>
      <c r="AL6712">
        <v>90.334292453620407</v>
      </c>
      <c r="AM6712">
        <v>86.8888998513155</v>
      </c>
      <c r="AN6712">
        <v>1.0000000209409401</v>
      </c>
    </row>
    <row r="6713" spans="1:40" x14ac:dyDescent="0.25">
      <c r="A6713" t="str">
        <f>"20190312154429132"</f>
        <v>20190312154429132</v>
      </c>
      <c r="B6713" t="str">
        <f>"1552376669124460"</f>
        <v>1552376669124460</v>
      </c>
      <c r="C6713" t="s">
        <v>40</v>
      </c>
      <c r="D6713">
        <v>4.9962710000000001</v>
      </c>
      <c r="E6713">
        <v>0.53387700000000005</v>
      </c>
      <c r="F6713" t="s">
        <v>41</v>
      </c>
      <c r="G6713">
        <v>-243.2921</v>
      </c>
      <c r="H6713">
        <v>0.91842829999999998</v>
      </c>
      <c r="I6713">
        <v>-61.138570000000001</v>
      </c>
      <c r="J6713">
        <v>-243.8895</v>
      </c>
      <c r="K6713">
        <v>1.109413</v>
      </c>
      <c r="L6713">
        <v>-61.061070000000001</v>
      </c>
      <c r="M6713">
        <v>0.99870619999999999</v>
      </c>
      <c r="N6713">
        <v>0</v>
      </c>
      <c r="O6713">
        <v>4.867639E-2</v>
      </c>
      <c r="P6713">
        <v>0.99978049999999996</v>
      </c>
      <c r="Q6713">
        <v>-2.0138369999999999E-2</v>
      </c>
      <c r="R6713">
        <v>-5.7872109999999996E-3</v>
      </c>
      <c r="S6713">
        <v>2.9845120000000001</v>
      </c>
      <c r="T6713">
        <v>-0.72448459999999903</v>
      </c>
      <c r="U6713">
        <v>-0.25912479999999999</v>
      </c>
      <c r="V6713">
        <v>5.4441370000000003E-2</v>
      </c>
      <c r="W6713">
        <v>-5.5406700000000001E-3</v>
      </c>
      <c r="X6713">
        <v>0.99850159999999999</v>
      </c>
      <c r="Y6713">
        <v>0.1297461</v>
      </c>
      <c r="Z6713">
        <v>-2.7124329999999999E-2</v>
      </c>
      <c r="AA6713">
        <v>0.99117619999999895</v>
      </c>
      <c r="AB6713">
        <v>37</v>
      </c>
      <c r="AC6713">
        <v>0.59739999999999305</v>
      </c>
      <c r="AD6713">
        <v>-0.19098469999999901</v>
      </c>
      <c r="AE6713">
        <v>-7.7500000000000499E-2</v>
      </c>
      <c r="AF6713">
        <v>9.6764525729136894E-2</v>
      </c>
      <c r="AG6713">
        <v>-0.19098469999999901</v>
      </c>
      <c r="AH6713">
        <v>0.53876630306167195</v>
      </c>
      <c r="AI6713">
        <v>109.234008774811</v>
      </c>
      <c r="AJ6713">
        <v>79.818010776237998</v>
      </c>
      <c r="AK6713">
        <v>0.579747926592598</v>
      </c>
      <c r="AL6713">
        <v>90.317458629857001</v>
      </c>
      <c r="AM6713">
        <v>86.879148425495401</v>
      </c>
      <c r="AN6713">
        <v>1.00000000349704</v>
      </c>
    </row>
    <row r="6714" spans="1:40" x14ac:dyDescent="0.25">
      <c r="A6714" t="str">
        <f>"20190312154429142"</f>
        <v>20190312154429142</v>
      </c>
      <c r="B6714" t="str">
        <f>"1552376669134220"</f>
        <v>1552376669134220</v>
      </c>
      <c r="C6714" t="s">
        <v>40</v>
      </c>
      <c r="D6714">
        <v>5.0061289999999996</v>
      </c>
      <c r="E6714">
        <v>0.53414010000000001</v>
      </c>
      <c r="F6714" t="s">
        <v>41</v>
      </c>
      <c r="G6714">
        <v>-242.97489999999999</v>
      </c>
      <c r="H6714">
        <v>0.88324009999999997</v>
      </c>
      <c r="I6714">
        <v>-61.141629999999999</v>
      </c>
      <c r="J6714">
        <v>-243.72630000000001</v>
      </c>
      <c r="K6714">
        <v>1.109418</v>
      </c>
      <c r="L6714">
        <v>-61.05341</v>
      </c>
      <c r="M6714">
        <v>0.99872179999999999</v>
      </c>
      <c r="N6714">
        <v>0</v>
      </c>
      <c r="O6714">
        <v>4.8354370000000001E-2</v>
      </c>
      <c r="P6714">
        <v>0.99978339999999999</v>
      </c>
      <c r="Q6714">
        <v>-1.9847440000000001E-2</v>
      </c>
      <c r="R6714">
        <v>-6.2976949999999999E-3</v>
      </c>
      <c r="S6714">
        <v>2.984299</v>
      </c>
      <c r="T6714">
        <v>-0.73793299999999995</v>
      </c>
      <c r="U6714">
        <v>-0.26232909999999998</v>
      </c>
      <c r="V6714">
        <v>5.4629919999999998E-2</v>
      </c>
      <c r="W6714">
        <v>-5.243124E-3</v>
      </c>
      <c r="X6714">
        <v>0.99849290000000002</v>
      </c>
      <c r="Y6714">
        <v>0.13029199999999999</v>
      </c>
      <c r="Z6714">
        <v>-2.7602109999999999E-2</v>
      </c>
      <c r="AA6714">
        <v>0.99109139999999996</v>
      </c>
      <c r="AB6714">
        <v>37</v>
      </c>
      <c r="AC6714">
        <v>0.75140000000001705</v>
      </c>
      <c r="AD6714">
        <v>-0.22617789999999999</v>
      </c>
      <c r="AE6714">
        <v>-8.8220000000006807E-2</v>
      </c>
      <c r="AF6714">
        <v>0.114243744896408</v>
      </c>
      <c r="AG6714">
        <v>-0.22617789999999999</v>
      </c>
      <c r="AH6714">
        <v>0.68503049857794696</v>
      </c>
      <c r="AI6714">
        <v>108.039088832094</v>
      </c>
      <c r="AJ6714">
        <v>80.531818984330101</v>
      </c>
      <c r="AK6714">
        <v>0.730393633377452</v>
      </c>
      <c r="AL6714">
        <v>90.300410254594794</v>
      </c>
      <c r="AM6714">
        <v>86.868334041371398</v>
      </c>
      <c r="AN6714">
        <v>0.99999999492944702</v>
      </c>
    </row>
    <row r="6715" spans="1:40" x14ac:dyDescent="0.25">
      <c r="A6715" t="str">
        <f>"20190312154429152"</f>
        <v>20190312154429152</v>
      </c>
      <c r="B6715" t="str">
        <f>"1552376669143979"</f>
        <v>1552376669143979</v>
      </c>
      <c r="C6715" t="s">
        <v>40</v>
      </c>
      <c r="D6715">
        <v>5.022659</v>
      </c>
      <c r="E6715">
        <v>0.53425040000000001</v>
      </c>
      <c r="F6715" t="s">
        <v>41</v>
      </c>
      <c r="G6715">
        <v>-242.9616</v>
      </c>
      <c r="H6715">
        <v>0.91783130000000002</v>
      </c>
      <c r="I6715">
        <v>-61.121479999999998</v>
      </c>
      <c r="J6715">
        <v>-243.56829999999999</v>
      </c>
      <c r="K6715">
        <v>1.1094280000000001</v>
      </c>
      <c r="L6715">
        <v>-61.046050000000001</v>
      </c>
      <c r="M6715">
        <v>0.99873670000000003</v>
      </c>
      <c r="N6715">
        <v>0</v>
      </c>
      <c r="O6715">
        <v>4.8043139999999998E-2</v>
      </c>
      <c r="P6715">
        <v>0.99978739999999999</v>
      </c>
      <c r="Q6715">
        <v>-1.951189E-2</v>
      </c>
      <c r="R6715">
        <v>-6.6981389999999997E-3</v>
      </c>
      <c r="S6715">
        <v>2.9841609999999998</v>
      </c>
      <c r="T6715">
        <v>-0.74762109999999904</v>
      </c>
      <c r="U6715">
        <v>-0.26504519999999998</v>
      </c>
      <c r="V6715">
        <v>5.4719539999999997E-2</v>
      </c>
      <c r="W6715">
        <v>-4.9013700000000004E-3</v>
      </c>
      <c r="X6715">
        <v>0.99848970000000004</v>
      </c>
      <c r="Y6715">
        <v>0.13073889999999999</v>
      </c>
      <c r="Z6715">
        <v>-2.793236E-2</v>
      </c>
      <c r="AA6715">
        <v>0.99102319999999999</v>
      </c>
      <c r="AB6715">
        <v>37</v>
      </c>
      <c r="AC6715">
        <v>0.60669999999998903</v>
      </c>
      <c r="AD6715">
        <v>-0.19159670000000001</v>
      </c>
      <c r="AE6715">
        <v>-7.5430000000004299E-2</v>
      </c>
      <c r="AF6715">
        <v>9.51490020527994E-2</v>
      </c>
      <c r="AG6715">
        <v>-0.19159670000000001</v>
      </c>
      <c r="AH6715">
        <v>0.548504993170432</v>
      </c>
      <c r="AI6715">
        <v>108.99178312096601</v>
      </c>
      <c r="AJ6715">
        <v>80.158850321121193</v>
      </c>
      <c r="AK6715">
        <v>0.58874472870288197</v>
      </c>
      <c r="AL6715">
        <v>90.280828948731198</v>
      </c>
      <c r="AM6715">
        <v>86.863196783609993</v>
      </c>
      <c r="AN6715">
        <v>0.99999996624588805</v>
      </c>
    </row>
    <row r="6716" spans="1:40" x14ac:dyDescent="0.25">
      <c r="A6716" t="str">
        <f>"20190312154429162"</f>
        <v>20190312154429162</v>
      </c>
      <c r="B6716" t="str">
        <f>"1552376669154715"</f>
        <v>1552376669154715</v>
      </c>
      <c r="C6716" t="s">
        <v>40</v>
      </c>
      <c r="D6716">
        <v>5.0343470000000003</v>
      </c>
      <c r="E6716">
        <v>0.53452619999999995</v>
      </c>
      <c r="F6716" t="s">
        <v>41</v>
      </c>
      <c r="G6716">
        <v>-242.64709999999999</v>
      </c>
      <c r="H6716">
        <v>0.87621629999999995</v>
      </c>
      <c r="I6716">
        <v>-61.128430000000002</v>
      </c>
      <c r="J6716">
        <v>-243.38390000000001</v>
      </c>
      <c r="K6716">
        <v>1.1094329999999999</v>
      </c>
      <c r="L6716">
        <v>-61.037480000000002</v>
      </c>
      <c r="M6716">
        <v>0.99875400000000003</v>
      </c>
      <c r="N6716">
        <v>0</v>
      </c>
      <c r="O6716">
        <v>4.7679279999999997E-2</v>
      </c>
      <c r="P6716">
        <v>0.99979340000000005</v>
      </c>
      <c r="Q6716">
        <v>-1.9043009999999999E-2</v>
      </c>
      <c r="R6716">
        <v>-7.1287410000000001E-3</v>
      </c>
      <c r="S6716">
        <v>2.984146</v>
      </c>
      <c r="T6716">
        <v>-0.75539769999999995</v>
      </c>
      <c r="U6716">
        <v>-0.26614379999999999</v>
      </c>
      <c r="V6716">
        <v>5.4787139999999998E-2</v>
      </c>
      <c r="W6716">
        <v>-4.4258259999999999E-3</v>
      </c>
      <c r="X6716">
        <v>0.99848820000000005</v>
      </c>
      <c r="Y6716">
        <v>0.13064200000000001</v>
      </c>
      <c r="Z6716">
        <v>-2.8111259999999999E-2</v>
      </c>
      <c r="AA6716">
        <v>0.991031</v>
      </c>
      <c r="AB6716">
        <v>37</v>
      </c>
      <c r="AC6716">
        <v>0.736800000000016</v>
      </c>
      <c r="AD6716">
        <v>-0.233216699999999</v>
      </c>
      <c r="AE6716">
        <v>-9.0949999999999406E-2</v>
      </c>
      <c r="AF6716">
        <v>0.114664723781101</v>
      </c>
      <c r="AG6716">
        <v>-0.233216699999999</v>
      </c>
      <c r="AH6716">
        <v>0.66590946750793301</v>
      </c>
      <c r="AI6716">
        <v>109.041776549528</v>
      </c>
      <c r="AJ6716">
        <v>80.229897550594899</v>
      </c>
      <c r="AK6716">
        <v>0.71482406713497304</v>
      </c>
      <c r="AL6716">
        <v>90.253581990670398</v>
      </c>
      <c r="AM6716">
        <v>86.859324651049207</v>
      </c>
      <c r="AN6716">
        <v>0.99999995209219905</v>
      </c>
    </row>
    <row r="6717" spans="1:40" x14ac:dyDescent="0.25">
      <c r="A6717" t="str">
        <f>"20190312154429175"</f>
        <v>20190312154429175</v>
      </c>
      <c r="B6717" t="str">
        <f>"1552376669164477"</f>
        <v>1552376669164477</v>
      </c>
      <c r="C6717" t="s">
        <v>40</v>
      </c>
      <c r="D6717">
        <v>5.0224070000000003</v>
      </c>
      <c r="E6717">
        <v>0.53473700000000002</v>
      </c>
      <c r="F6717" t="s">
        <v>41</v>
      </c>
      <c r="G6717">
        <v>-242.63120000000001</v>
      </c>
      <c r="H6717">
        <v>0.91749910000000001</v>
      </c>
      <c r="I6717">
        <v>-61.105620000000002</v>
      </c>
      <c r="J6717">
        <v>-243.18299999999999</v>
      </c>
      <c r="K6717">
        <v>1.10944</v>
      </c>
      <c r="L6717">
        <v>-61.028260000000003</v>
      </c>
      <c r="M6717">
        <v>0.99877280000000002</v>
      </c>
      <c r="N6717">
        <v>0</v>
      </c>
      <c r="O6717">
        <v>4.7282879999999999E-2</v>
      </c>
      <c r="P6717">
        <v>0.99979379999999995</v>
      </c>
      <c r="Q6717">
        <v>-1.869322E-2</v>
      </c>
      <c r="R6717">
        <v>-7.9489150000000008E-3</v>
      </c>
      <c r="S6717">
        <v>2.9842070000000001</v>
      </c>
      <c r="T6717">
        <v>-0.76091279999999994</v>
      </c>
      <c r="U6717">
        <v>-0.269287099999999</v>
      </c>
      <c r="V6717">
        <v>5.521102E-2</v>
      </c>
      <c r="W6717">
        <v>-4.0704410000000002E-3</v>
      </c>
      <c r="X6717">
        <v>0.99846639999999998</v>
      </c>
      <c r="Y6717">
        <v>0.131197799999999</v>
      </c>
      <c r="Z6717">
        <v>-2.8278709999999999E-2</v>
      </c>
      <c r="AA6717">
        <v>0.99095279999999997</v>
      </c>
      <c r="AB6717">
        <v>37</v>
      </c>
      <c r="AC6717">
        <v>0.55179999999998497</v>
      </c>
      <c r="AD6717">
        <v>-0.1919409</v>
      </c>
      <c r="AE6717">
        <v>-7.7359999999998694E-2</v>
      </c>
      <c r="AF6717">
        <v>9.2402184458079795E-2</v>
      </c>
      <c r="AG6717">
        <v>-0.1919409</v>
      </c>
      <c r="AH6717">
        <v>0.48944505775396202</v>
      </c>
      <c r="AI6717">
        <v>111.07432252115601</v>
      </c>
      <c r="AJ6717">
        <v>79.308976817255797</v>
      </c>
      <c r="AK6717">
        <v>0.53379390905593305</v>
      </c>
      <c r="AL6717">
        <v>90.233219736741205</v>
      </c>
      <c r="AM6717">
        <v>86.835005958833904</v>
      </c>
      <c r="AN6717">
        <v>0.99999998857416705</v>
      </c>
    </row>
    <row r="6718" spans="1:40" x14ac:dyDescent="0.25">
      <c r="A6718" t="str">
        <f>"20190312154429184"</f>
        <v>20190312154429184</v>
      </c>
      <c r="B6718" t="str">
        <f>"1552376669174237"</f>
        <v>1552376669174237</v>
      </c>
      <c r="C6718" t="s">
        <v>40</v>
      </c>
      <c r="D6718">
        <v>5.0075599999999998</v>
      </c>
      <c r="E6718">
        <v>0.53500630000000005</v>
      </c>
      <c r="F6718" t="s">
        <v>41</v>
      </c>
      <c r="G6718">
        <v>-242.31299999999999</v>
      </c>
      <c r="H6718">
        <v>0.88627080000000003</v>
      </c>
      <c r="I6718">
        <v>-61.108029999999999</v>
      </c>
      <c r="J6718">
        <v>-243.01230000000001</v>
      </c>
      <c r="K6718">
        <v>1.109442</v>
      </c>
      <c r="L6718">
        <v>-61.020479999999999</v>
      </c>
      <c r="M6718">
        <v>0.99878869999999997</v>
      </c>
      <c r="N6718">
        <v>0</v>
      </c>
      <c r="O6718">
        <v>4.6946149999999999E-2</v>
      </c>
      <c r="P6718">
        <v>0.99979390000000001</v>
      </c>
      <c r="Q6718">
        <v>-1.84047E-2</v>
      </c>
      <c r="R6718">
        <v>-8.5914479999999998E-3</v>
      </c>
      <c r="S6718">
        <v>2.9841310000000001</v>
      </c>
      <c r="T6718">
        <v>-0.76549069999999997</v>
      </c>
      <c r="U6718">
        <v>-0.27307130000000002</v>
      </c>
      <c r="V6718">
        <v>5.5516660000000002E-2</v>
      </c>
      <c r="W6718">
        <v>-3.7774060000000001E-3</v>
      </c>
      <c r="X6718">
        <v>0.99845059999999997</v>
      </c>
      <c r="Y6718">
        <v>0.13202949999999999</v>
      </c>
      <c r="Z6718">
        <v>-2.84627E-2</v>
      </c>
      <c r="AA6718">
        <v>0.99083699999999997</v>
      </c>
      <c r="AB6718">
        <v>37</v>
      </c>
      <c r="AC6718">
        <v>0.69930000000002202</v>
      </c>
      <c r="AD6718">
        <v>-0.22317119999999999</v>
      </c>
      <c r="AE6718">
        <v>-8.7550000000000197E-2</v>
      </c>
      <c r="AF6718">
        <v>0.109323943915239</v>
      </c>
      <c r="AG6718">
        <v>-0.22317119999999999</v>
      </c>
      <c r="AH6718">
        <v>0.63113122081932205</v>
      </c>
      <c r="AI6718">
        <v>109.20918542268601</v>
      </c>
      <c r="AJ6718">
        <v>80.172793699306098</v>
      </c>
      <c r="AK6718">
        <v>0.67829471995255097</v>
      </c>
      <c r="AL6718">
        <v>90.216429939365995</v>
      </c>
      <c r="AM6718">
        <v>86.817470680826403</v>
      </c>
      <c r="AN6718">
        <v>0.999999984487001</v>
      </c>
    </row>
    <row r="6719" spans="1:40" x14ac:dyDescent="0.25">
      <c r="A6719" t="str">
        <f>"20190312154429196"</f>
        <v>20190312154429196</v>
      </c>
      <c r="B6719" t="str">
        <f>"1552376669183996"</f>
        <v>1552376669183996</v>
      </c>
      <c r="C6719" t="s">
        <v>40</v>
      </c>
      <c r="D6719">
        <v>5.0322290000000001</v>
      </c>
      <c r="E6719">
        <v>0.53517340000000002</v>
      </c>
      <c r="F6719" t="s">
        <v>41</v>
      </c>
      <c r="G6719">
        <v>-242.29769999999999</v>
      </c>
      <c r="H6719">
        <v>0.92495289999999997</v>
      </c>
      <c r="I6719">
        <v>-61.086930000000002</v>
      </c>
      <c r="J6719">
        <v>-242.828</v>
      </c>
      <c r="K6719">
        <v>1.109448</v>
      </c>
      <c r="L6719">
        <v>-61.012149999999998</v>
      </c>
      <c r="M6719">
        <v>0.99880550000000001</v>
      </c>
      <c r="N6719">
        <v>0</v>
      </c>
      <c r="O6719">
        <v>4.6582369999999998E-2</v>
      </c>
      <c r="P6719">
        <v>0.9997878</v>
      </c>
      <c r="Q6719">
        <v>-1.8317130000000001E-2</v>
      </c>
      <c r="R6719">
        <v>-9.4341879999999996E-3</v>
      </c>
      <c r="S6719">
        <v>2.9840550000000001</v>
      </c>
      <c r="T6719">
        <v>-0.77031719999999904</v>
      </c>
      <c r="U6719">
        <v>-0.27682499999999999</v>
      </c>
      <c r="V6719">
        <v>5.5994700000000001E-2</v>
      </c>
      <c r="W6719">
        <v>-3.686155E-3</v>
      </c>
      <c r="X6719">
        <v>0.99842419999999998</v>
      </c>
      <c r="Y6719">
        <v>0.13282179999999999</v>
      </c>
      <c r="Z6719">
        <v>-2.864392E-2</v>
      </c>
      <c r="AA6719">
        <v>0.99072590000000005</v>
      </c>
      <c r="AB6719">
        <v>37</v>
      </c>
      <c r="AC6719">
        <v>0.53030000000001098</v>
      </c>
      <c r="AD6719">
        <v>-0.184495099999999</v>
      </c>
      <c r="AE6719">
        <v>-7.4780000000003996E-2</v>
      </c>
      <c r="AF6719">
        <v>8.8858460015298305E-2</v>
      </c>
      <c r="AG6719">
        <v>-0.184495099999999</v>
      </c>
      <c r="AH6719">
        <v>0.470412185561499</v>
      </c>
      <c r="AI6719">
        <v>111.075843680286</v>
      </c>
      <c r="AJ6719">
        <v>79.303157039873895</v>
      </c>
      <c r="AK6719">
        <v>0.51305154922780105</v>
      </c>
      <c r="AL6719">
        <v>90.211201615380901</v>
      </c>
      <c r="AM6719">
        <v>86.7900390837424</v>
      </c>
      <c r="AN6719">
        <v>0.99999993865620496</v>
      </c>
    </row>
    <row r="6720" spans="1:40" x14ac:dyDescent="0.25">
      <c r="A6720" t="str">
        <f>"20190312154429207"</f>
        <v>20190312154429207</v>
      </c>
      <c r="B6720" t="str">
        <f>"1552376669194732"</f>
        <v>1552376669194732</v>
      </c>
      <c r="C6720" t="s">
        <v>40</v>
      </c>
      <c r="D6720">
        <v>5.0298970000000001</v>
      </c>
      <c r="E6720">
        <v>0.53550799999999998</v>
      </c>
      <c r="F6720" t="s">
        <v>41</v>
      </c>
      <c r="G6720">
        <v>-241.9819</v>
      </c>
      <c r="H6720">
        <v>0.88948329999999998</v>
      </c>
      <c r="I6720">
        <v>-61.09178</v>
      </c>
      <c r="J6720">
        <v>-242.65559999999999</v>
      </c>
      <c r="K6720">
        <v>1.1094520000000001</v>
      </c>
      <c r="L6720">
        <v>-61.004359999999998</v>
      </c>
      <c r="M6720">
        <v>0.99882130000000002</v>
      </c>
      <c r="N6720">
        <v>0</v>
      </c>
      <c r="O6720">
        <v>4.6241949999999997E-2</v>
      </c>
      <c r="P6720">
        <v>0.9997817</v>
      </c>
      <c r="Q6720">
        <v>-1.8166939999999999E-2</v>
      </c>
      <c r="R6720">
        <v>-1.035852E-2</v>
      </c>
      <c r="S6720">
        <v>2.9837950000000002</v>
      </c>
      <c r="T6720">
        <v>-0.77573409999999998</v>
      </c>
      <c r="U6720">
        <v>-0.2804565</v>
      </c>
      <c r="V6720">
        <v>5.6577750000000003E-2</v>
      </c>
      <c r="W6720">
        <v>-3.5330439999999999E-3</v>
      </c>
      <c r="X6720">
        <v>0.9983919</v>
      </c>
      <c r="Y6720">
        <v>0.13359209999999999</v>
      </c>
      <c r="Z6720">
        <v>-2.8851249999999998E-2</v>
      </c>
      <c r="AA6720">
        <v>0.99061639999999995</v>
      </c>
      <c r="AB6720">
        <v>37</v>
      </c>
      <c r="AC6720">
        <v>0.67369999999999597</v>
      </c>
      <c r="AD6720">
        <v>-0.21996869999999999</v>
      </c>
      <c r="AE6720">
        <v>-8.7420000000008699E-2</v>
      </c>
      <c r="AF6720">
        <v>0.1072397810741</v>
      </c>
      <c r="AG6720">
        <v>-0.21996869999999999</v>
      </c>
      <c r="AH6720">
        <v>0.60545852949220302</v>
      </c>
      <c r="AI6720">
        <v>109.68421625489</v>
      </c>
      <c r="AJ6720">
        <v>79.955850744079996</v>
      </c>
      <c r="AK6720">
        <v>0.65304412604308104</v>
      </c>
      <c r="AL6720">
        <v>90.202428940259693</v>
      </c>
      <c r="AM6720">
        <v>86.756581352773694</v>
      </c>
      <c r="AN6720">
        <v>0.99999995509028805</v>
      </c>
    </row>
    <row r="6721" spans="1:40" x14ac:dyDescent="0.25">
      <c r="A6721" t="str">
        <f>"20190312154429219"</f>
        <v>20190312154429219</v>
      </c>
      <c r="B6721" t="str">
        <f>"1552376669214253"</f>
        <v>1552376669214253</v>
      </c>
      <c r="C6721" t="s">
        <v>40</v>
      </c>
      <c r="D6721">
        <v>5.0219620000000003</v>
      </c>
      <c r="E6721">
        <v>0.53590869999999902</v>
      </c>
      <c r="F6721" t="s">
        <v>41</v>
      </c>
      <c r="G6721">
        <v>-241.9659</v>
      </c>
      <c r="H6721">
        <v>0.92919309999999999</v>
      </c>
      <c r="I6721">
        <v>-61.07056</v>
      </c>
      <c r="J6721">
        <v>-242.4676</v>
      </c>
      <c r="K6721">
        <v>1.1094550000000001</v>
      </c>
      <c r="L6721">
        <v>-60.996029999999998</v>
      </c>
      <c r="M6721">
        <v>0.99883840000000002</v>
      </c>
      <c r="N6721">
        <v>0</v>
      </c>
      <c r="O6721">
        <v>4.5867959999999999E-2</v>
      </c>
      <c r="P6721">
        <v>0.9997703</v>
      </c>
      <c r="Q6721">
        <v>-1.8157280000000001E-2</v>
      </c>
      <c r="R6721">
        <v>-1.137663E-2</v>
      </c>
      <c r="S6721">
        <v>2.9835210000000001</v>
      </c>
      <c r="T6721">
        <v>-0.77974209999999899</v>
      </c>
      <c r="U6721">
        <v>-0.2858887</v>
      </c>
      <c r="V6721">
        <v>5.7220920000000002E-2</v>
      </c>
      <c r="W6721">
        <v>-3.521255E-3</v>
      </c>
      <c r="X6721">
        <v>0.99835529999999995</v>
      </c>
      <c r="Y6721">
        <v>0.13492489999999999</v>
      </c>
      <c r="Z6721">
        <v>-2.9070800000000001E-2</v>
      </c>
      <c r="AA6721">
        <v>0.99042929999999996</v>
      </c>
      <c r="AB6721">
        <v>37</v>
      </c>
      <c r="AC6721">
        <v>0.50169999999999904</v>
      </c>
      <c r="AD6721">
        <v>-0.180261899999999</v>
      </c>
      <c r="AE6721">
        <v>-7.4529999999995697E-2</v>
      </c>
      <c r="AF6721">
        <v>8.6535639895746003E-2</v>
      </c>
      <c r="AG6721">
        <v>-0.180261899999999</v>
      </c>
      <c r="AH6721">
        <v>0.44193223228515499</v>
      </c>
      <c r="AI6721">
        <v>111.815879609801</v>
      </c>
      <c r="AJ6721">
        <v>78.920977242595896</v>
      </c>
      <c r="AK6721">
        <v>0.485063776730768</v>
      </c>
      <c r="AL6721">
        <v>90.201753473280604</v>
      </c>
      <c r="AM6721">
        <v>86.719670576697098</v>
      </c>
      <c r="AN6721">
        <v>0.99999996898025501</v>
      </c>
    </row>
    <row r="6722" spans="1:40" x14ac:dyDescent="0.25">
      <c r="A6722" t="str">
        <f>"20190312154429230"</f>
        <v>20190312154429230</v>
      </c>
      <c r="B6722" t="str">
        <f>"1552376669224012"</f>
        <v>1552376669224012</v>
      </c>
      <c r="C6722" t="s">
        <v>40</v>
      </c>
      <c r="D6722">
        <v>5.0232109999999999</v>
      </c>
      <c r="E6722">
        <v>0.53610849999999999</v>
      </c>
      <c r="F6722" t="s">
        <v>41</v>
      </c>
      <c r="G6722">
        <v>-241.6507</v>
      </c>
      <c r="H6722">
        <v>0.89379299999999995</v>
      </c>
      <c r="I6722">
        <v>-61.07593</v>
      </c>
      <c r="J6722">
        <v>-242.2747</v>
      </c>
      <c r="K6722">
        <v>1.1094599999999999</v>
      </c>
      <c r="L6722">
        <v>-60.987520000000004</v>
      </c>
      <c r="M6722">
        <v>0.99885599999999997</v>
      </c>
      <c r="N6722">
        <v>0</v>
      </c>
      <c r="O6722">
        <v>4.5482219999999997E-2</v>
      </c>
      <c r="P6722">
        <v>0.99976229999999999</v>
      </c>
      <c r="Q6722">
        <v>-1.8013390000000001E-2</v>
      </c>
      <c r="R6722">
        <v>-1.2295469999999999E-2</v>
      </c>
      <c r="S6722">
        <v>2.9830779999999999</v>
      </c>
      <c r="T6722">
        <v>-0.78756669999999995</v>
      </c>
      <c r="U6722">
        <v>-0.29196169999999999</v>
      </c>
      <c r="V6722">
        <v>5.7752900000000003E-2</v>
      </c>
      <c r="W6722">
        <v>-3.3751129999999999E-3</v>
      </c>
      <c r="X6722">
        <v>0.99832520000000002</v>
      </c>
      <c r="Y6722">
        <v>0.13639709999999999</v>
      </c>
      <c r="Z6722">
        <v>-2.9445260000000001E-2</v>
      </c>
      <c r="AA6722">
        <v>0.9902166</v>
      </c>
      <c r="AB6722">
        <v>37</v>
      </c>
      <c r="AC6722">
        <v>0.623999999999995</v>
      </c>
      <c r="AD6722">
        <v>-0.215667</v>
      </c>
      <c r="AE6722">
        <v>-8.84100000000103E-2</v>
      </c>
      <c r="AF6722">
        <v>0.10446890804303099</v>
      </c>
      <c r="AG6722">
        <v>-0.215667</v>
      </c>
      <c r="AH6722">
        <v>0.55440976443720602</v>
      </c>
      <c r="AI6722">
        <v>110.92062479049</v>
      </c>
      <c r="AJ6722">
        <v>79.328730693593698</v>
      </c>
      <c r="AK6722">
        <v>0.60398360452914801</v>
      </c>
      <c r="AL6722">
        <v>90.193380098024903</v>
      </c>
      <c r="AM6722">
        <v>86.6891414497032</v>
      </c>
      <c r="AN6722">
        <v>0.99999999690060604</v>
      </c>
    </row>
    <row r="6723" spans="1:40" x14ac:dyDescent="0.25">
      <c r="A6723" t="str">
        <f>"20190312154429240"</f>
        <v>20190312154429240</v>
      </c>
      <c r="B6723" t="str">
        <f>"1552376669234749"</f>
        <v>1552376669234749</v>
      </c>
      <c r="C6723" t="s">
        <v>40</v>
      </c>
      <c r="D6723">
        <v>5.0612560000000002</v>
      </c>
      <c r="E6723">
        <v>0.53629329999999997</v>
      </c>
      <c r="F6723" t="s">
        <v>41</v>
      </c>
      <c r="G6723">
        <v>-241.33410000000001</v>
      </c>
      <c r="H6723">
        <v>0.86025799999999997</v>
      </c>
      <c r="I6723">
        <v>-61.081009999999999</v>
      </c>
      <c r="J6723">
        <v>-242.09479999999999</v>
      </c>
      <c r="K6723">
        <v>1.109459</v>
      </c>
      <c r="L6723">
        <v>-60.979680000000002</v>
      </c>
      <c r="M6723">
        <v>0.9988726</v>
      </c>
      <c r="N6723">
        <v>0</v>
      </c>
      <c r="O6723">
        <v>4.5116469999999999E-2</v>
      </c>
      <c r="P6723">
        <v>0.99975360000000002</v>
      </c>
      <c r="Q6723">
        <v>-1.7795189999999999E-2</v>
      </c>
      <c r="R6723">
        <v>-1.327762E-2</v>
      </c>
      <c r="S6723">
        <v>2.9828489999999999</v>
      </c>
      <c r="T6723">
        <v>-0.79027130000000001</v>
      </c>
      <c r="U6723">
        <v>-0.29632570000000003</v>
      </c>
      <c r="V6723">
        <v>5.8368650000000001E-2</v>
      </c>
      <c r="W6723">
        <v>-3.1559399999999999E-3</v>
      </c>
      <c r="X6723">
        <v>0.99829009999999996</v>
      </c>
      <c r="Y6723">
        <v>0.1374128</v>
      </c>
      <c r="Z6723">
        <v>-2.9580169999999999E-2</v>
      </c>
      <c r="AA6723">
        <v>0.99007210000000001</v>
      </c>
      <c r="AB6723">
        <v>37</v>
      </c>
      <c r="AC6723">
        <v>0.76069999999998505</v>
      </c>
      <c r="AD6723">
        <v>-0.24920100000000001</v>
      </c>
      <c r="AE6723">
        <v>-0.10132999999999701</v>
      </c>
      <c r="AF6723">
        <v>0.122620657226132</v>
      </c>
      <c r="AG6723">
        <v>-0.24920100000000001</v>
      </c>
      <c r="AH6723">
        <v>0.68330104214577003</v>
      </c>
      <c r="AI6723">
        <v>109.74648440324</v>
      </c>
      <c r="AJ6723">
        <v>79.826367272921999</v>
      </c>
      <c r="AK6723">
        <v>0.73758882731306596</v>
      </c>
      <c r="AL6723">
        <v>90.180822344096498</v>
      </c>
      <c r="AM6723">
        <v>86.653804134495701</v>
      </c>
      <c r="AN6723">
        <v>0.99999999150905805</v>
      </c>
    </row>
    <row r="6724" spans="1:40" x14ac:dyDescent="0.25">
      <c r="A6724" t="str">
        <f>"20190312154429252"</f>
        <v>20190312154429252</v>
      </c>
      <c r="B6724" t="str">
        <f>"1552376669244508"</f>
        <v>1552376669244508</v>
      </c>
      <c r="C6724" t="s">
        <v>40</v>
      </c>
      <c r="D6724">
        <v>5.0452130000000004</v>
      </c>
      <c r="E6724">
        <v>0.53645549999999997</v>
      </c>
      <c r="F6724" t="s">
        <v>41</v>
      </c>
      <c r="G6724">
        <v>-241.31780000000001</v>
      </c>
      <c r="H6724">
        <v>0.90303029999999995</v>
      </c>
      <c r="I6724">
        <v>-61.058120000000002</v>
      </c>
      <c r="J6724">
        <v>-241.9135</v>
      </c>
      <c r="K6724">
        <v>1.1094580000000001</v>
      </c>
      <c r="L6724">
        <v>-60.971800000000002</v>
      </c>
      <c r="M6724">
        <v>0.99888929999999998</v>
      </c>
      <c r="N6724">
        <v>0</v>
      </c>
      <c r="O6724">
        <v>4.4744069999999997E-2</v>
      </c>
      <c r="P6724">
        <v>0.99974540000000001</v>
      </c>
      <c r="Q6724">
        <v>-1.7661969999999999E-2</v>
      </c>
      <c r="R6724">
        <v>-1.405383E-2</v>
      </c>
      <c r="S6724">
        <v>2.9826199999999998</v>
      </c>
      <c r="T6724">
        <v>-0.79241309999999998</v>
      </c>
      <c r="U6724">
        <v>-0.30096440000000002</v>
      </c>
      <c r="V6724">
        <v>5.8771759999999999E-2</v>
      </c>
      <c r="W6724">
        <v>-3.0215960000000001E-3</v>
      </c>
      <c r="X6724">
        <v>0.99826689999999996</v>
      </c>
      <c r="Y6724">
        <v>0.13851749999999999</v>
      </c>
      <c r="Z6724">
        <v>-2.9704620000000001E-2</v>
      </c>
      <c r="AA6724">
        <v>0.98991439999999997</v>
      </c>
      <c r="AB6724">
        <v>37</v>
      </c>
      <c r="AC6724">
        <v>0.59569999999999301</v>
      </c>
      <c r="AD6724">
        <v>-0.20642769999999999</v>
      </c>
      <c r="AE6724">
        <v>-8.6319999999993499E-2</v>
      </c>
      <c r="AF6724">
        <v>0.101010331824837</v>
      </c>
      <c r="AG6724">
        <v>-0.20642769999999999</v>
      </c>
      <c r="AH6724">
        <v>0.52902071691288899</v>
      </c>
      <c r="AI6724">
        <v>110.97097892605601</v>
      </c>
      <c r="AJ6724">
        <v>79.190152743988705</v>
      </c>
      <c r="AK6724">
        <v>0.57678280260916304</v>
      </c>
      <c r="AL6724">
        <v>90.173124957007005</v>
      </c>
      <c r="AM6724">
        <v>86.630669317262402</v>
      </c>
      <c r="AN6724">
        <v>1.0000000267257401</v>
      </c>
    </row>
    <row r="6725" spans="1:40" x14ac:dyDescent="0.25">
      <c r="A6725" t="str">
        <f>"20190312154429263"</f>
        <v>20190312154429263</v>
      </c>
      <c r="B6725" t="str">
        <f>"1552376669254268"</f>
        <v>1552376669254268</v>
      </c>
      <c r="C6725" t="s">
        <v>40</v>
      </c>
      <c r="D6725">
        <v>5.0482050000000003</v>
      </c>
      <c r="E6725">
        <v>0.53651879999999996</v>
      </c>
      <c r="F6725" t="s">
        <v>41</v>
      </c>
      <c r="G6725">
        <v>-241.0027</v>
      </c>
      <c r="H6725">
        <v>0.86684269999999997</v>
      </c>
      <c r="I6725">
        <v>-61.064770000000003</v>
      </c>
      <c r="J6725">
        <v>-241.72659999999999</v>
      </c>
      <c r="K6725">
        <v>1.1094520000000001</v>
      </c>
      <c r="L6725">
        <v>-60.96378</v>
      </c>
      <c r="M6725">
        <v>0.99890659999999998</v>
      </c>
      <c r="N6725">
        <v>0</v>
      </c>
      <c r="O6725">
        <v>4.4354060000000001E-2</v>
      </c>
      <c r="P6725">
        <v>0.99972870000000003</v>
      </c>
      <c r="Q6725">
        <v>-1.7878689999999999E-2</v>
      </c>
      <c r="R6725">
        <v>-1.493386E-2</v>
      </c>
      <c r="S6725">
        <v>2.9824519999999999</v>
      </c>
      <c r="T6725">
        <v>-0.79449150000000002</v>
      </c>
      <c r="U6725">
        <v>-0.30435180000000001</v>
      </c>
      <c r="V6725">
        <v>5.9260119999999999E-2</v>
      </c>
      <c r="W6725">
        <v>-3.2380640000000001E-3</v>
      </c>
      <c r="X6725">
        <v>0.99823729999999999</v>
      </c>
      <c r="Y6725">
        <v>0.13920689999999999</v>
      </c>
      <c r="Z6725">
        <v>-2.9768119999999999E-2</v>
      </c>
      <c r="AA6725">
        <v>0.98981580000000002</v>
      </c>
      <c r="AB6725">
        <v>37</v>
      </c>
      <c r="AC6725">
        <v>0.723899999999986</v>
      </c>
      <c r="AD6725">
        <v>-0.2426093</v>
      </c>
      <c r="AE6725">
        <v>-0.10098999999998801</v>
      </c>
      <c r="AF6725">
        <v>0.119802641515108</v>
      </c>
      <c r="AG6725">
        <v>-0.2426093</v>
      </c>
      <c r="AH6725">
        <v>0.64738178336000096</v>
      </c>
      <c r="AI6725">
        <v>110.22873593608</v>
      </c>
      <c r="AJ6725">
        <v>79.515614619555905</v>
      </c>
      <c r="AK6725">
        <v>0.70165170760631901</v>
      </c>
      <c r="AL6725">
        <v>90.185527729473506</v>
      </c>
      <c r="AM6725">
        <v>86.602636893985107</v>
      </c>
      <c r="AN6725">
        <v>0.999999976996086</v>
      </c>
    </row>
    <row r="6726" spans="1:40" x14ac:dyDescent="0.25">
      <c r="A6726" t="str">
        <f>"20190312154429274"</f>
        <v>20190312154429274</v>
      </c>
      <c r="B6726" t="str">
        <f>"1552376669264028"</f>
        <v>1552376669264028</v>
      </c>
      <c r="C6726" t="s">
        <v>40</v>
      </c>
      <c r="D6726">
        <v>5.0193960000000004</v>
      </c>
      <c r="E6726">
        <v>0.53651879999999996</v>
      </c>
      <c r="F6726" t="s">
        <v>41</v>
      </c>
      <c r="G6726">
        <v>-240.98570000000001</v>
      </c>
      <c r="H6726">
        <v>0.91163919999999998</v>
      </c>
      <c r="I6726">
        <v>-61.040230000000001</v>
      </c>
      <c r="J6726">
        <v>-241.54390000000001</v>
      </c>
      <c r="K6726">
        <v>1.109443</v>
      </c>
      <c r="L6726">
        <v>-60.95599</v>
      </c>
      <c r="M6726">
        <v>0.99892389999999998</v>
      </c>
      <c r="N6726">
        <v>0</v>
      </c>
      <c r="O6726">
        <v>4.3963040000000002E-2</v>
      </c>
      <c r="P6726">
        <v>0.99971299999999996</v>
      </c>
      <c r="Q6726">
        <v>-1.826939E-2</v>
      </c>
      <c r="R6726">
        <v>-1.549642E-2</v>
      </c>
      <c r="S6726">
        <v>2.9819640000000001</v>
      </c>
      <c r="T6726">
        <v>-0.79611209999999999</v>
      </c>
      <c r="U6726">
        <v>-0.30758669999999999</v>
      </c>
      <c r="V6726">
        <v>5.9430070000000002E-2</v>
      </c>
      <c r="W6726">
        <v>-3.628427E-3</v>
      </c>
      <c r="X6726">
        <v>0.9982259</v>
      </c>
      <c r="Y6726">
        <v>0.1398626</v>
      </c>
      <c r="Z6726">
        <v>-2.981342E-2</v>
      </c>
      <c r="AA6726">
        <v>0.98972199999999999</v>
      </c>
      <c r="AB6726">
        <v>37</v>
      </c>
      <c r="AC6726">
        <v>0.55819999999999903</v>
      </c>
      <c r="AD6726">
        <v>-0.1978038</v>
      </c>
      <c r="AE6726">
        <v>-8.4240000000008294E-2</v>
      </c>
      <c r="AF6726">
        <v>9.6814940477298606E-2</v>
      </c>
      <c r="AG6726">
        <v>-0.1978038</v>
      </c>
      <c r="AH6726">
        <v>0.49338148678838001</v>
      </c>
      <c r="AI6726">
        <v>111.475264693527</v>
      </c>
      <c r="AJ6726">
        <v>78.898060844609006</v>
      </c>
      <c r="AK6726">
        <v>0.54030062696574299</v>
      </c>
      <c r="AL6726">
        <v>90.207894004748297</v>
      </c>
      <c r="AM6726">
        <v>86.592877817908501</v>
      </c>
      <c r="AN6726">
        <v>1.0000000230667501</v>
      </c>
    </row>
    <row r="6727" spans="1:40" x14ac:dyDescent="0.25">
      <c r="A6727" t="str">
        <f>"20190312154429286"</f>
        <v>20190312154429286</v>
      </c>
      <c r="B6727" t="str">
        <f>"1552376669273788"</f>
        <v>1552376669273788</v>
      </c>
      <c r="C6727" t="s">
        <v>40</v>
      </c>
      <c r="D6727">
        <v>4.9507379999999896</v>
      </c>
      <c r="E6727">
        <v>0.53898509999999999</v>
      </c>
      <c r="F6727" t="s">
        <v>41</v>
      </c>
      <c r="G6727">
        <v>-240.67070000000001</v>
      </c>
      <c r="H6727">
        <v>0.87594950000000005</v>
      </c>
      <c r="I6727">
        <v>-61.046770000000002</v>
      </c>
      <c r="J6727">
        <v>-241.34909999999999</v>
      </c>
      <c r="K6727">
        <v>1.109432</v>
      </c>
      <c r="L6727">
        <v>-60.947749999999999</v>
      </c>
      <c r="M6727">
        <v>0.99894240000000001</v>
      </c>
      <c r="N6727">
        <v>0</v>
      </c>
      <c r="O6727">
        <v>4.353978E-2</v>
      </c>
      <c r="P6727">
        <v>0.99970199999999998</v>
      </c>
      <c r="Q6727">
        <v>-1.7976349999999999E-2</v>
      </c>
      <c r="R6727">
        <v>-1.6518950000000001E-2</v>
      </c>
      <c r="S6727">
        <v>2.9814910000000001</v>
      </c>
      <c r="T6727">
        <v>-0.79722519999999997</v>
      </c>
      <c r="U6727">
        <v>-0.30938719999999997</v>
      </c>
      <c r="V6727">
        <v>6.0028499999999999E-2</v>
      </c>
      <c r="W6727">
        <v>-3.3365479999999999E-3</v>
      </c>
      <c r="X6727">
        <v>0.9981911</v>
      </c>
      <c r="Y6727">
        <v>0.14004040000000001</v>
      </c>
      <c r="Z6727">
        <v>-2.976972E-2</v>
      </c>
      <c r="AA6727">
        <v>0.98969819999999997</v>
      </c>
      <c r="AB6727">
        <v>37</v>
      </c>
      <c r="AC6727">
        <v>0.67839999999998202</v>
      </c>
      <c r="AD6727">
        <v>-0.23348249999999901</v>
      </c>
      <c r="AE6727">
        <v>-9.9019999999995806E-2</v>
      </c>
      <c r="AF6727">
        <v>0.11511562404039501</v>
      </c>
      <c r="AG6727">
        <v>-0.23348249999999901</v>
      </c>
      <c r="AH6727">
        <v>0.60345613482140403</v>
      </c>
      <c r="AI6727">
        <v>110.809573394718</v>
      </c>
      <c r="AJ6727">
        <v>79.199980785979093</v>
      </c>
      <c r="AK6727">
        <v>0.65721000552186404</v>
      </c>
      <c r="AL6727">
        <v>90.191170470810505</v>
      </c>
      <c r="AM6727">
        <v>86.558532218751395</v>
      </c>
      <c r="AN6727">
        <v>1.0000000127419999</v>
      </c>
    </row>
    <row r="6728" spans="1:40" x14ac:dyDescent="0.25">
      <c r="A6728" t="str">
        <f>"20190312154429298"</f>
        <v>20190312154429298</v>
      </c>
      <c r="B6728" t="str">
        <f>"1552376669284524"</f>
        <v>1552376669284524</v>
      </c>
      <c r="C6728" t="s">
        <v>40</v>
      </c>
      <c r="D6728">
        <v>4.9625529999999998</v>
      </c>
      <c r="E6728">
        <v>0.5392055</v>
      </c>
      <c r="F6728" t="s">
        <v>41</v>
      </c>
      <c r="G6728">
        <v>-240.62379999999999</v>
      </c>
      <c r="H6728">
        <v>0.98039050000000005</v>
      </c>
      <c r="I6728">
        <v>-61.031120000000001</v>
      </c>
      <c r="J6728">
        <v>-241.1635</v>
      </c>
      <c r="K6728">
        <v>1.109416</v>
      </c>
      <c r="L6728">
        <v>-60.940119999999901</v>
      </c>
      <c r="M6728">
        <v>0.99896090000000004</v>
      </c>
      <c r="N6728">
        <v>0</v>
      </c>
      <c r="O6728">
        <v>4.3114039999999999E-2</v>
      </c>
      <c r="P6728">
        <v>0.99968679999999999</v>
      </c>
      <c r="Q6728">
        <v>-1.7887380000000001E-2</v>
      </c>
      <c r="R6728">
        <v>-1.7515449999999998E-2</v>
      </c>
      <c r="S6728">
        <v>2.985703</v>
      </c>
      <c r="T6728">
        <v>-0.53113619999999995</v>
      </c>
      <c r="U6728">
        <v>-0.34252929999999998</v>
      </c>
      <c r="V6728">
        <v>6.0598060000000002E-2</v>
      </c>
      <c r="W6728">
        <v>-3.2501140000000001E-3</v>
      </c>
      <c r="X6728">
        <v>0.99815699999999996</v>
      </c>
      <c r="Y6728">
        <v>0.1536544</v>
      </c>
      <c r="Z6728">
        <v>-2.110662E-2</v>
      </c>
      <c r="AA6728">
        <v>0.98789919999999998</v>
      </c>
      <c r="AB6728">
        <v>37</v>
      </c>
      <c r="AC6728">
        <v>0.53970000000000995</v>
      </c>
      <c r="AD6728">
        <v>-0.12902549999999899</v>
      </c>
      <c r="AE6728">
        <v>-9.1000000000000997E-2</v>
      </c>
      <c r="AF6728">
        <v>0.108174846682851</v>
      </c>
      <c r="AG6728">
        <v>-0.12902549999999899</v>
      </c>
      <c r="AH6728">
        <v>0.50709306850199698</v>
      </c>
      <c r="AI6728">
        <v>103.97380375841701</v>
      </c>
      <c r="AJ6728">
        <v>77.957966066737001</v>
      </c>
      <c r="AK6728">
        <v>0.53431522271771303</v>
      </c>
      <c r="AL6728">
        <v>90.186218135089405</v>
      </c>
      <c r="AM6728">
        <v>86.525840227641694</v>
      </c>
      <c r="AN6728">
        <v>1.0000000423828801</v>
      </c>
    </row>
    <row r="6729" spans="1:40" x14ac:dyDescent="0.25">
      <c r="A6729" t="str">
        <f>"20190312154429311"</f>
        <v>20190312154429311</v>
      </c>
      <c r="B6729" t="str">
        <f>"1552376669304552"</f>
        <v>1552376669304552</v>
      </c>
      <c r="C6729" t="s">
        <v>40</v>
      </c>
      <c r="D6729">
        <v>4.9921709999999999</v>
      </c>
      <c r="E6729">
        <v>0.53847929999999999</v>
      </c>
      <c r="F6729" t="s">
        <v>41</v>
      </c>
      <c r="G6729">
        <v>-240.2919</v>
      </c>
      <c r="H6729">
        <v>0.9846144</v>
      </c>
      <c r="I6729">
        <v>-61.042740000000002</v>
      </c>
      <c r="J6729">
        <v>-240.95910000000001</v>
      </c>
      <c r="K6729">
        <v>1.1094029999999999</v>
      </c>
      <c r="L6729">
        <v>-60.931699999999999</v>
      </c>
      <c r="M6729">
        <v>0.99898129999999996</v>
      </c>
      <c r="N6729">
        <v>0</v>
      </c>
      <c r="O6729">
        <v>4.2634989999999998E-2</v>
      </c>
      <c r="P6729">
        <v>0.99967240000000002</v>
      </c>
      <c r="Q6729">
        <v>-1.7572290000000001E-2</v>
      </c>
      <c r="R6729">
        <v>-1.860755E-2</v>
      </c>
      <c r="S6729">
        <v>2.9871370000000002</v>
      </c>
      <c r="T6729">
        <v>-0.42769629999999997</v>
      </c>
      <c r="U6729">
        <v>-0.35147089999999998</v>
      </c>
      <c r="V6729">
        <v>6.1210550000000002E-2</v>
      </c>
      <c r="W6729">
        <v>-2.9382919999999999E-3</v>
      </c>
      <c r="X6729">
        <v>0.99812049999999997</v>
      </c>
      <c r="Y6729">
        <v>0.15708520000000001</v>
      </c>
      <c r="Z6729">
        <v>-1.720671E-2</v>
      </c>
      <c r="AA6729">
        <v>0.98743519999999896</v>
      </c>
      <c r="AB6729">
        <v>37</v>
      </c>
      <c r="AC6729">
        <v>0.66720000000000801</v>
      </c>
      <c r="AD6729">
        <v>-0.1247886</v>
      </c>
      <c r="AE6729">
        <v>-0.111040000000002</v>
      </c>
      <c r="AF6729">
        <v>0.13479978404901799</v>
      </c>
      <c r="AG6729">
        <v>-0.1247886</v>
      </c>
      <c r="AH6729">
        <v>0.64007132428640801</v>
      </c>
      <c r="AI6729">
        <v>100.80085325839001</v>
      </c>
      <c r="AJ6729">
        <v>78.107233988134396</v>
      </c>
      <c r="AK6729">
        <v>0.66590875999898003</v>
      </c>
      <c r="AL6729">
        <v>90.168351981450897</v>
      </c>
      <c r="AM6729">
        <v>86.490684743784897</v>
      </c>
      <c r="AN6729">
        <v>0.99999994875571296</v>
      </c>
    </row>
    <row r="6730" spans="1:40" x14ac:dyDescent="0.25">
      <c r="A6730" t="str">
        <f>"20190312154429331"</f>
        <v>20190312154429331</v>
      </c>
      <c r="B6730" t="str">
        <f>"1552376669324072"</f>
        <v>1552376669324072</v>
      </c>
      <c r="C6730" t="s">
        <v>40</v>
      </c>
      <c r="D6730">
        <v>5.0305059999999999</v>
      </c>
      <c r="E6730">
        <v>0.53813669999999902</v>
      </c>
      <c r="F6730" t="s">
        <v>41</v>
      </c>
      <c r="G6730">
        <v>-239.95490000000001</v>
      </c>
      <c r="H6730">
        <v>1.000621</v>
      </c>
      <c r="I6730">
        <v>-61.050539999999998</v>
      </c>
      <c r="J6730">
        <v>-240.61359999999999</v>
      </c>
      <c r="K6730">
        <v>1.109359</v>
      </c>
      <c r="L6730">
        <v>-60.917789999999997</v>
      </c>
      <c r="M6730">
        <v>0.99901819999999997</v>
      </c>
      <c r="N6730">
        <v>0</v>
      </c>
      <c r="O6730">
        <v>4.1764389999999998E-2</v>
      </c>
      <c r="P6730">
        <v>0.99963519999999995</v>
      </c>
      <c r="Q6730">
        <v>-1.763348E-2</v>
      </c>
      <c r="R6730">
        <v>-2.0464059999999999E-2</v>
      </c>
      <c r="S6730">
        <v>2.9887239999999999</v>
      </c>
      <c r="T6730">
        <v>-0.32363979999999998</v>
      </c>
      <c r="U6730">
        <v>-0.35290529999999998</v>
      </c>
      <c r="V6730">
        <v>6.219367E-2</v>
      </c>
      <c r="W6730">
        <v>-3.0074390000000002E-3</v>
      </c>
      <c r="X6730">
        <v>0.99805960000000005</v>
      </c>
      <c r="Y6730">
        <v>0.15749250000000001</v>
      </c>
      <c r="Z6730">
        <v>-1.296931E-2</v>
      </c>
      <c r="AA6730">
        <v>0.98743499999999995</v>
      </c>
      <c r="AB6730">
        <v>37</v>
      </c>
      <c r="AC6730">
        <v>0.65869999999998097</v>
      </c>
      <c r="AD6730">
        <v>-0.108738</v>
      </c>
      <c r="AE6730">
        <v>-0.13275000000000101</v>
      </c>
      <c r="AF6730">
        <v>0.156060494580119</v>
      </c>
      <c r="AG6730">
        <v>-0.108738</v>
      </c>
      <c r="AH6730">
        <v>0.63592687394241598</v>
      </c>
      <c r="AI6730">
        <v>99.428717559324895</v>
      </c>
      <c r="AJ6730">
        <v>76.211737479020897</v>
      </c>
      <c r="AK6730">
        <v>0.66376337622285597</v>
      </c>
      <c r="AL6730">
        <v>90.172313816219102</v>
      </c>
      <c r="AM6730">
        <v>86.434247894808905</v>
      </c>
      <c r="AN6730">
        <v>1.0000000312147801</v>
      </c>
    </row>
    <row r="6731" spans="1:40" x14ac:dyDescent="0.25">
      <c r="A6731" t="str">
        <f>"20190312154429341"</f>
        <v>20190312154429341</v>
      </c>
      <c r="B6731" t="str">
        <f>"1552376669333832"</f>
        <v>1552376669333832</v>
      </c>
      <c r="C6731" t="s">
        <v>40</v>
      </c>
      <c r="D6731">
        <v>5.017074</v>
      </c>
      <c r="E6731">
        <v>0.53828699999999996</v>
      </c>
      <c r="F6731" t="s">
        <v>41</v>
      </c>
      <c r="G6731">
        <v>-239.6189</v>
      </c>
      <c r="H6731">
        <v>1.01814</v>
      </c>
      <c r="I6731">
        <v>-61.036830000000002</v>
      </c>
      <c r="J6731">
        <v>-240.4478</v>
      </c>
      <c r="K6731">
        <v>1.1093329999999999</v>
      </c>
      <c r="L6731">
        <v>-60.911219999999901</v>
      </c>
      <c r="M6731">
        <v>0.99903660000000005</v>
      </c>
      <c r="N6731">
        <v>0</v>
      </c>
      <c r="O6731">
        <v>4.1320009999999997E-2</v>
      </c>
      <c r="P6731">
        <v>0.99962249999999997</v>
      </c>
      <c r="Q6731">
        <v>-1.7591530000000001E-2</v>
      </c>
      <c r="R6731">
        <v>-2.1120960000000001E-2</v>
      </c>
      <c r="S6731">
        <v>2.988937</v>
      </c>
      <c r="T6731">
        <v>-0.27412180000000003</v>
      </c>
      <c r="U6731">
        <v>-0.3577881</v>
      </c>
      <c r="V6731">
        <v>6.2405380000000003E-2</v>
      </c>
      <c r="W6731">
        <v>-2.9692870000000001E-3</v>
      </c>
      <c r="X6731">
        <v>0.99804649999999995</v>
      </c>
      <c r="Y6731">
        <v>0.15895609999999999</v>
      </c>
      <c r="Z6731">
        <v>-1.101829E-2</v>
      </c>
      <c r="AA6731">
        <v>0.9872242</v>
      </c>
      <c r="AB6731">
        <v>37</v>
      </c>
      <c r="AC6731">
        <v>0.82890000000000397</v>
      </c>
      <c r="AD6731">
        <v>-9.1192999999999802E-2</v>
      </c>
      <c r="AE6731">
        <v>-0.12561000000000799</v>
      </c>
      <c r="AF6731">
        <v>0.15788846271982601</v>
      </c>
      <c r="AG6731">
        <v>-9.1192999999999802E-2</v>
      </c>
      <c r="AH6731">
        <v>0.81337727448594599</v>
      </c>
      <c r="AI6731">
        <v>96.280811770652306</v>
      </c>
      <c r="AJ6731">
        <v>79.014666498306894</v>
      </c>
      <c r="AK6731">
        <v>0.83356314731351699</v>
      </c>
      <c r="AL6731">
        <v>90.170127857789097</v>
      </c>
      <c r="AM6731">
        <v>86.422094553699196</v>
      </c>
      <c r="AN6731">
        <v>1.00000003214024</v>
      </c>
    </row>
    <row r="6732" spans="1:40" x14ac:dyDescent="0.25">
      <c r="A6732" t="str">
        <f>"20190312154429354"</f>
        <v>20190312154429354</v>
      </c>
      <c r="B6732" t="str">
        <f>"1552376669344568"</f>
        <v>1552376669344568</v>
      </c>
      <c r="C6732" t="s">
        <v>40</v>
      </c>
      <c r="D6732">
        <v>5.0355809999999996</v>
      </c>
      <c r="E6732">
        <v>0.53840589999999999</v>
      </c>
      <c r="F6732" t="s">
        <v>41</v>
      </c>
      <c r="G6732">
        <v>-239.6088</v>
      </c>
      <c r="H6732">
        <v>1.036667</v>
      </c>
      <c r="I6732">
        <v>-61.012680000000003</v>
      </c>
      <c r="J6732">
        <v>-240.25319999999999</v>
      </c>
      <c r="K6732">
        <v>1.1093029999999999</v>
      </c>
      <c r="L6732">
        <v>-60.903689999999997</v>
      </c>
      <c r="M6732">
        <v>0.99905869999999997</v>
      </c>
      <c r="N6732">
        <v>0</v>
      </c>
      <c r="O6732">
        <v>4.0780860000000002E-2</v>
      </c>
      <c r="P6732">
        <v>0.99960340000000003</v>
      </c>
      <c r="Q6732">
        <v>-1.7665210000000001E-2</v>
      </c>
      <c r="R6732">
        <v>-2.1935469999999999E-2</v>
      </c>
      <c r="S6732">
        <v>2.988937</v>
      </c>
      <c r="T6732">
        <v>-0.2588818</v>
      </c>
      <c r="U6732">
        <v>-0.36154170000000002</v>
      </c>
      <c r="V6732">
        <v>6.2679550000000001E-2</v>
      </c>
      <c r="W6732">
        <v>-3.04785E-3</v>
      </c>
      <c r="X6732">
        <v>0.9980291</v>
      </c>
      <c r="Y6732">
        <v>0.15973409999999999</v>
      </c>
      <c r="Z6732">
        <v>-1.039434E-2</v>
      </c>
      <c r="AA6732">
        <v>0.98710540000000002</v>
      </c>
      <c r="AB6732">
        <v>37</v>
      </c>
      <c r="AC6732">
        <v>0.64439999999998998</v>
      </c>
      <c r="AD6732">
        <v>-7.2636000000000103E-2</v>
      </c>
      <c r="AE6732">
        <v>-0.10898999999999801</v>
      </c>
      <c r="AF6732">
        <v>0.13353196171183199</v>
      </c>
      <c r="AG6732">
        <v>-7.2636000000000103E-2</v>
      </c>
      <c r="AH6732">
        <v>0.63161678033519597</v>
      </c>
      <c r="AI6732">
        <v>96.419532641572403</v>
      </c>
      <c r="AJ6732">
        <v>78.062706693766998</v>
      </c>
      <c r="AK6732">
        <v>0.64965108365614999</v>
      </c>
      <c r="AL6732">
        <v>90.174629203239903</v>
      </c>
      <c r="AM6732">
        <v>86.406354100705002</v>
      </c>
      <c r="AN6732">
        <v>1.0000000499123101</v>
      </c>
    </row>
    <row r="6733" spans="1:40" x14ac:dyDescent="0.25">
      <c r="A6733" t="str">
        <f>"20190312154429365"</f>
        <v>20190312154429365</v>
      </c>
      <c r="B6733" t="str">
        <f>"1552376669354329"</f>
        <v>1552376669354329</v>
      </c>
      <c r="C6733" t="s">
        <v>40</v>
      </c>
      <c r="D6733">
        <v>5.020689</v>
      </c>
      <c r="E6733">
        <v>0.53851380000000004</v>
      </c>
      <c r="F6733" t="s">
        <v>41</v>
      </c>
      <c r="G6733">
        <v>-239.28370000000001</v>
      </c>
      <c r="H6733">
        <v>1.0289109999999999</v>
      </c>
      <c r="I6733">
        <v>-61.022410000000001</v>
      </c>
      <c r="J6733">
        <v>-240.06630000000001</v>
      </c>
      <c r="K6733">
        <v>1.1092660000000001</v>
      </c>
      <c r="L6733">
        <v>-60.896509999999999</v>
      </c>
      <c r="M6733">
        <v>0.99908050000000004</v>
      </c>
      <c r="N6733">
        <v>0</v>
      </c>
      <c r="O6733">
        <v>4.0242840000000002E-2</v>
      </c>
      <c r="P6733">
        <v>0.99959070000000005</v>
      </c>
      <c r="Q6733">
        <v>-1.7316049999999999E-2</v>
      </c>
      <c r="R6733">
        <v>-2.277214E-2</v>
      </c>
      <c r="S6733">
        <v>2.9888150000000002</v>
      </c>
      <c r="T6733">
        <v>-0.24773490000000001</v>
      </c>
      <c r="U6733">
        <v>-0.36538700000000002</v>
      </c>
      <c r="V6733">
        <v>6.2978329999999999E-2</v>
      </c>
      <c r="W6733">
        <v>-2.703806E-3</v>
      </c>
      <c r="X6733">
        <v>0.99801119999999999</v>
      </c>
      <c r="Y6733">
        <v>0.16052040000000001</v>
      </c>
      <c r="Z6733">
        <v>-9.9360070000000002E-3</v>
      </c>
      <c r="AA6733">
        <v>0.98698249999999998</v>
      </c>
      <c r="AB6733">
        <v>37</v>
      </c>
      <c r="AC6733">
        <v>0.78260000000000196</v>
      </c>
      <c r="AD6733">
        <v>-8.0354999999999899E-2</v>
      </c>
      <c r="AE6733">
        <v>-0.12590000000000101</v>
      </c>
      <c r="AF6733">
        <v>0.15569546057501099</v>
      </c>
      <c r="AG6733">
        <v>-8.0354999999999899E-2</v>
      </c>
      <c r="AH6733">
        <v>0.76899610804879004</v>
      </c>
      <c r="AI6733">
        <v>95.8475782878986</v>
      </c>
      <c r="AJ6733">
        <v>78.554282615836598</v>
      </c>
      <c r="AK6733">
        <v>0.78870337685523595</v>
      </c>
      <c r="AL6733">
        <v>90.154916866139402</v>
      </c>
      <c r="AM6733">
        <v>86.389204581121206</v>
      </c>
      <c r="AN6733">
        <v>0.99999996797095603</v>
      </c>
    </row>
    <row r="6734" spans="1:40" x14ac:dyDescent="0.25">
      <c r="A6734" t="str">
        <f>"20190312154429376"</f>
        <v>20190312154429376</v>
      </c>
      <c r="B6734" t="str">
        <f>"1552376669364088"</f>
        <v>1552376669364088</v>
      </c>
      <c r="C6734" t="s">
        <v>40</v>
      </c>
      <c r="D6734">
        <v>5.0332160000000004</v>
      </c>
      <c r="E6734">
        <v>0.53858319999999904</v>
      </c>
      <c r="F6734" t="s">
        <v>79</v>
      </c>
      <c r="G6734">
        <v>-226.1181</v>
      </c>
      <c r="H6734" s="1">
        <v>-2.239766E-6</v>
      </c>
      <c r="I6734">
        <v>-62.619140000000002</v>
      </c>
      <c r="J6734">
        <v>-239.88509999999999</v>
      </c>
      <c r="K6734">
        <v>1.109227</v>
      </c>
      <c r="L6734">
        <v>-60.889710000000001</v>
      </c>
      <c r="M6734">
        <v>0.99910279999999996</v>
      </c>
      <c r="N6734">
        <v>0</v>
      </c>
      <c r="O6734">
        <v>3.9686279999999997E-2</v>
      </c>
      <c r="P6734">
        <v>0.99957289999999999</v>
      </c>
      <c r="Q6734">
        <v>-1.7422940000000001E-2</v>
      </c>
      <c r="R6734">
        <v>-2.3468470000000002E-2</v>
      </c>
      <c r="S6734">
        <v>2.9887079999999999</v>
      </c>
      <c r="T6734">
        <v>-0.23768400000000001</v>
      </c>
      <c r="U6734">
        <v>-0.3691101</v>
      </c>
      <c r="V6734">
        <v>6.3116800000000001E-2</v>
      </c>
      <c r="W6734">
        <v>-2.8160669999999998E-3</v>
      </c>
      <c r="X6734">
        <v>0.99800219999999995</v>
      </c>
      <c r="Y6734">
        <v>0.16123950000000001</v>
      </c>
      <c r="Z6734">
        <v>-9.5181970000000008E-3</v>
      </c>
      <c r="AA6734">
        <v>0.98686940000000001</v>
      </c>
      <c r="AB6734">
        <v>37</v>
      </c>
      <c r="AC6734">
        <v>13.7669999999999</v>
      </c>
      <c r="AD6734">
        <v>-1.109229239766</v>
      </c>
      <c r="AE6734">
        <v>-1.72943</v>
      </c>
      <c r="AF6734">
        <v>2.2600441977991199</v>
      </c>
      <c r="AG6734">
        <v>-1.109229239766</v>
      </c>
      <c r="AH6734">
        <v>13.6005892854393</v>
      </c>
      <c r="AI6734">
        <v>94.599778606295303</v>
      </c>
      <c r="AJ6734">
        <v>80.565227301420705</v>
      </c>
      <c r="AK6734">
        <v>13.8316383047549</v>
      </c>
      <c r="AL6734">
        <v>90.161348962996897</v>
      </c>
      <c r="AM6734">
        <v>86.381254076974699</v>
      </c>
      <c r="AN6734">
        <v>1.00000002594021</v>
      </c>
    </row>
    <row r="6735" spans="1:40" x14ac:dyDescent="0.25">
      <c r="A6735" t="str">
        <f>"20190312154429387"</f>
        <v>20190312154429387</v>
      </c>
      <c r="B6735" t="str">
        <f>"1552376669373848"</f>
        <v>1552376669373848</v>
      </c>
      <c r="C6735" t="s">
        <v>40</v>
      </c>
      <c r="D6735">
        <v>5.0006409999999999</v>
      </c>
      <c r="E6735">
        <v>0.53847219999999996</v>
      </c>
      <c r="F6735" t="s">
        <v>79</v>
      </c>
      <c r="G6735">
        <v>-225.53380000000001</v>
      </c>
      <c r="H6735" s="1">
        <v>-2.001674E-6</v>
      </c>
      <c r="I6735">
        <v>-62.675710000000002</v>
      </c>
      <c r="J6735">
        <v>-239.69890000000001</v>
      </c>
      <c r="K6735">
        <v>1.1091850000000001</v>
      </c>
      <c r="L6735">
        <v>-60.882779999999997</v>
      </c>
      <c r="M6735">
        <v>0.99912570000000001</v>
      </c>
      <c r="N6735">
        <v>0</v>
      </c>
      <c r="O6735">
        <v>3.9100570000000001E-2</v>
      </c>
      <c r="P6735">
        <v>0.99955479999999997</v>
      </c>
      <c r="Q6735">
        <v>-1.7653120000000001E-2</v>
      </c>
      <c r="R6735">
        <v>-2.4048259999999998E-2</v>
      </c>
      <c r="S6735">
        <v>2.9885410000000001</v>
      </c>
      <c r="T6735">
        <v>-0.23098640000000001</v>
      </c>
      <c r="U6735">
        <v>-0.37191770000000002</v>
      </c>
      <c r="V6735">
        <v>6.3109819999999997E-2</v>
      </c>
      <c r="W6735">
        <v>-3.0516689999999999E-3</v>
      </c>
      <c r="X6735">
        <v>0.9980019</v>
      </c>
      <c r="Y6735">
        <v>0.16161619999999999</v>
      </c>
      <c r="Z6735">
        <v>-9.2201980000000006E-3</v>
      </c>
      <c r="AA6735">
        <v>0.98681059999999998</v>
      </c>
      <c r="AB6735">
        <v>37</v>
      </c>
      <c r="AC6735">
        <v>14.165099999999899</v>
      </c>
      <c r="AD6735">
        <v>-1.109187001674</v>
      </c>
      <c r="AE6735">
        <v>-1.7929299999999899</v>
      </c>
      <c r="AF6735">
        <v>2.3314129835042698</v>
      </c>
      <c r="AG6735">
        <v>-1.109187001674</v>
      </c>
      <c r="AH6735">
        <v>13.999666924974299</v>
      </c>
      <c r="AI6735">
        <v>94.4687657069707</v>
      </c>
      <c r="AJ6735">
        <v>80.545103810661104</v>
      </c>
      <c r="AK6735">
        <v>14.235745723865399</v>
      </c>
      <c r="AL6735">
        <v>90.174848029536307</v>
      </c>
      <c r="AM6735">
        <v>86.3816521210791</v>
      </c>
      <c r="AN6735">
        <v>0.99999997723386302</v>
      </c>
    </row>
    <row r="6736" spans="1:40" x14ac:dyDescent="0.25">
      <c r="A6736" t="str">
        <f>"20190312154429399"</f>
        <v>20190312154429399</v>
      </c>
      <c r="B6736" t="str">
        <f>"1552376669384584"</f>
        <v>1552376669384584</v>
      </c>
      <c r="C6736" t="s">
        <v>40</v>
      </c>
      <c r="D6736">
        <v>5.0346859999999998</v>
      </c>
      <c r="E6736">
        <v>0.53845730000000003</v>
      </c>
      <c r="F6736" t="s">
        <v>79</v>
      </c>
      <c r="G6736">
        <v>-225.0309</v>
      </c>
      <c r="H6736" s="1">
        <v>-1.794356E-6</v>
      </c>
      <c r="I6736">
        <v>-62.713540000000002</v>
      </c>
      <c r="J6736">
        <v>-239.5172</v>
      </c>
      <c r="K6736">
        <v>1.109143</v>
      </c>
      <c r="L6736">
        <v>-60.876249999999999</v>
      </c>
      <c r="M6736">
        <v>0.99915019999999999</v>
      </c>
      <c r="N6736">
        <v>0</v>
      </c>
      <c r="O6736">
        <v>3.8476179999999999E-2</v>
      </c>
      <c r="P6736">
        <v>0.99952790000000002</v>
      </c>
      <c r="Q6736">
        <v>-1.8060940000000001E-2</v>
      </c>
      <c r="R6736">
        <v>-2.4861020000000001E-2</v>
      </c>
      <c r="S6736">
        <v>2.9883579999999998</v>
      </c>
      <c r="T6736">
        <v>-0.22597790000000001</v>
      </c>
      <c r="U6736">
        <v>-0.37298579999999998</v>
      </c>
      <c r="V6736">
        <v>6.3295920000000006E-2</v>
      </c>
      <c r="W6736">
        <v>-3.4664909999999999E-3</v>
      </c>
      <c r="X6736">
        <v>0.99798880000000001</v>
      </c>
      <c r="Y6736">
        <v>0.16138189999999999</v>
      </c>
      <c r="Z6736">
        <v>-8.9653879999999995E-3</v>
      </c>
      <c r="AA6736">
        <v>0.98685129999999999</v>
      </c>
      <c r="AB6736">
        <v>37</v>
      </c>
      <c r="AC6736">
        <v>14.4863</v>
      </c>
      <c r="AD6736">
        <v>-1.109144794356</v>
      </c>
      <c r="AE6736">
        <v>-1.8372900000000001</v>
      </c>
      <c r="AF6736">
        <v>2.3796384972871798</v>
      </c>
      <c r="AG6736">
        <v>-1.109144794356</v>
      </c>
      <c r="AH6736">
        <v>14.322240344909</v>
      </c>
      <c r="AI6736">
        <v>94.368616354367305</v>
      </c>
      <c r="AJ6736">
        <v>80.566489704502104</v>
      </c>
      <c r="AK6736">
        <v>14.5608876806998</v>
      </c>
      <c r="AL6736">
        <v>90.198615698327799</v>
      </c>
      <c r="AM6736">
        <v>86.3709631989949</v>
      </c>
      <c r="AN6736">
        <v>1.0000000174869601</v>
      </c>
    </row>
    <row r="6737" spans="1:40" x14ac:dyDescent="0.25">
      <c r="A6737" t="str">
        <f>"20190312154429411"</f>
        <v>20190312154429411</v>
      </c>
      <c r="B6737" t="str">
        <f>"1552376669404613"</f>
        <v>1552376669404613</v>
      </c>
      <c r="C6737" t="s">
        <v>40</v>
      </c>
      <c r="D6737">
        <v>4.9986079999999999</v>
      </c>
      <c r="E6737">
        <v>0.53854659999999999</v>
      </c>
      <c r="F6737" t="s">
        <v>79</v>
      </c>
      <c r="G6737">
        <v>-224.6506</v>
      </c>
      <c r="H6737" s="1">
        <v>-1.6379499999999999E-6</v>
      </c>
      <c r="I6737">
        <v>-62.7438199999999</v>
      </c>
      <c r="J6737">
        <v>-239.3227</v>
      </c>
      <c r="K6737">
        <v>1.1090949999999999</v>
      </c>
      <c r="L6737">
        <v>-60.869349999999997</v>
      </c>
      <c r="M6737">
        <v>0.99917619999999896</v>
      </c>
      <c r="N6737">
        <v>0</v>
      </c>
      <c r="O6737">
        <v>3.7792149999999997E-2</v>
      </c>
      <c r="P6737">
        <v>0.99951809999999996</v>
      </c>
      <c r="Q6737">
        <v>-1.8064859999999999E-2</v>
      </c>
      <c r="R6737">
        <v>-2.5246580000000001E-2</v>
      </c>
      <c r="S6737">
        <v>2.9880680000000002</v>
      </c>
      <c r="T6737">
        <v>-0.2229295</v>
      </c>
      <c r="U6737">
        <v>-0.37536619999999998</v>
      </c>
      <c r="V6737">
        <v>6.2997139999999993E-2</v>
      </c>
      <c r="W6737">
        <v>-3.4763289999999998E-3</v>
      </c>
      <c r="X6737">
        <v>0.99800770000000005</v>
      </c>
      <c r="Y6737">
        <v>0.1615086</v>
      </c>
      <c r="Z6737">
        <v>-8.79910699999999E-3</v>
      </c>
      <c r="AA6737">
        <v>0.98683209999999999</v>
      </c>
      <c r="AB6737">
        <v>37</v>
      </c>
      <c r="AC6737">
        <v>14.6721</v>
      </c>
      <c r="AD6737">
        <v>-1.10909663795</v>
      </c>
      <c r="AE6737">
        <v>-1.8744699999999901</v>
      </c>
      <c r="AF6737">
        <v>2.4141083471406199</v>
      </c>
      <c r="AG6737">
        <v>-1.10909663795</v>
      </c>
      <c r="AH6737">
        <v>14.5091915777436</v>
      </c>
      <c r="AI6737">
        <v>94.3121905848663</v>
      </c>
      <c r="AJ6737">
        <v>80.553394073519499</v>
      </c>
      <c r="AK6737">
        <v>14.7504120181001</v>
      </c>
      <c r="AL6737">
        <v>90.1991793717376</v>
      </c>
      <c r="AM6737">
        <v>86.388116350994196</v>
      </c>
      <c r="AN6737">
        <v>1.00000004688539</v>
      </c>
    </row>
    <row r="6738" spans="1:40" x14ac:dyDescent="0.25">
      <c r="A6738" t="str">
        <f>"20190312154429422"</f>
        <v>20190312154429422</v>
      </c>
      <c r="B6738" t="str">
        <f>"1552376669414374"</f>
        <v>1552376669414374</v>
      </c>
      <c r="C6738" t="s">
        <v>40</v>
      </c>
      <c r="D6738">
        <v>5.0050559999999997</v>
      </c>
      <c r="E6738">
        <v>0.53856859999999995</v>
      </c>
      <c r="F6738" t="s">
        <v>79</v>
      </c>
      <c r="G6738">
        <v>-224.0258</v>
      </c>
      <c r="H6738" s="1">
        <v>-1.382749E-6</v>
      </c>
      <c r="I6738">
        <v>-62.801479999999998</v>
      </c>
      <c r="J6738">
        <v>-239.1266</v>
      </c>
      <c r="K6738">
        <v>1.1090420000000001</v>
      </c>
      <c r="L6738">
        <v>-60.862609999999997</v>
      </c>
      <c r="M6738">
        <v>0.99920370000000003</v>
      </c>
      <c r="N6738">
        <v>0</v>
      </c>
      <c r="O6738">
        <v>3.7053349999999999E-2</v>
      </c>
      <c r="P6738">
        <v>0.99950320000000004</v>
      </c>
      <c r="Q6738">
        <v>-1.822089E-2</v>
      </c>
      <c r="R6738">
        <v>-2.5715740000000001E-2</v>
      </c>
      <c r="S6738">
        <v>2.9880070000000001</v>
      </c>
      <c r="T6738">
        <v>-0.21664539999999999</v>
      </c>
      <c r="U6738">
        <v>-0.37741089999999999</v>
      </c>
      <c r="V6738">
        <v>6.2726760000000006E-2</v>
      </c>
      <c r="W6738">
        <v>-3.6391140000000002E-3</v>
      </c>
      <c r="X6738">
        <v>0.99802409999999997</v>
      </c>
      <c r="Y6738">
        <v>0.1614786</v>
      </c>
      <c r="Z6738">
        <v>-8.4971319999999993E-3</v>
      </c>
      <c r="AA6738">
        <v>0.98683969999999999</v>
      </c>
      <c r="AB6738">
        <v>36</v>
      </c>
      <c r="AC6738">
        <v>15.1007999999999</v>
      </c>
      <c r="AD6738">
        <v>-1.1090433827490001</v>
      </c>
      <c r="AE6738">
        <v>-1.9388700000000001</v>
      </c>
      <c r="AF6738">
        <v>2.4839540414591501</v>
      </c>
      <c r="AG6738">
        <v>-1.1090433827490001</v>
      </c>
      <c r="AH6738">
        <v>14.939305132583</v>
      </c>
      <c r="AI6738">
        <v>94.188365109593803</v>
      </c>
      <c r="AJ6738">
        <v>80.559808047455604</v>
      </c>
      <c r="AK6738">
        <v>15.184954486244701</v>
      </c>
      <c r="AL6738">
        <v>90.208506334233505</v>
      </c>
      <c r="AM6738">
        <v>86.403636511248806</v>
      </c>
      <c r="AN6738">
        <v>0.99999999687580599</v>
      </c>
    </row>
    <row r="6739" spans="1:40" x14ac:dyDescent="0.25">
      <c r="A6739" t="str">
        <f>"20190312154429433"</f>
        <v>20190312154429433</v>
      </c>
      <c r="B6739" t="str">
        <f>"1552376669424134"</f>
        <v>1552376669424134</v>
      </c>
      <c r="C6739" t="s">
        <v>40</v>
      </c>
      <c r="D6739">
        <v>4.9923000000000002</v>
      </c>
      <c r="E6739">
        <v>0.538844199999999</v>
      </c>
      <c r="F6739" t="s">
        <v>79</v>
      </c>
      <c r="G6739">
        <v>-223.65549999999999</v>
      </c>
      <c r="H6739" s="1">
        <v>-1.229193E-6</v>
      </c>
      <c r="I6739">
        <v>-62.825380000000003</v>
      </c>
      <c r="J6739">
        <v>-238.94839999999999</v>
      </c>
      <c r="K6739">
        <v>1.1089929999999999</v>
      </c>
      <c r="L6739">
        <v>-60.8566</v>
      </c>
      <c r="M6739">
        <v>0.99922940000000005</v>
      </c>
      <c r="N6739">
        <v>0</v>
      </c>
      <c r="O6739">
        <v>3.6355760000000001E-2</v>
      </c>
      <c r="P6739">
        <v>0.99949319999999997</v>
      </c>
      <c r="Q6739">
        <v>-1.8123690000000001E-2</v>
      </c>
      <c r="R6739">
        <v>-2.616893E-2</v>
      </c>
      <c r="S6739">
        <v>2.9878390000000001</v>
      </c>
      <c r="T6739">
        <v>-0.21418319999999999</v>
      </c>
      <c r="U6739">
        <v>-0.37905879999999997</v>
      </c>
      <c r="V6739">
        <v>6.2482610000000001E-2</v>
      </c>
      <c r="W6739">
        <v>-3.5481089999999998E-3</v>
      </c>
      <c r="X6739">
        <v>0.99803969999999997</v>
      </c>
      <c r="Y6739">
        <v>0.16134599999999999</v>
      </c>
      <c r="Z6739">
        <v>-8.3464790000000004E-3</v>
      </c>
      <c r="AA6739">
        <v>0.98686260000000003</v>
      </c>
      <c r="AB6739">
        <v>36</v>
      </c>
      <c r="AC6739">
        <v>15.292899999999999</v>
      </c>
      <c r="AD6739">
        <v>-1.1089942291929999</v>
      </c>
      <c r="AE6739">
        <v>-1.96878</v>
      </c>
      <c r="AF6739">
        <v>2.5105370939837002</v>
      </c>
      <c r="AG6739">
        <v>-1.1089942291929999</v>
      </c>
      <c r="AH6739">
        <v>15.1329213180867</v>
      </c>
      <c r="AI6739">
        <v>94.135028930540997</v>
      </c>
      <c r="AJ6739">
        <v>80.580476275784306</v>
      </c>
      <c r="AK6739">
        <v>15.379791036293501</v>
      </c>
      <c r="AL6739">
        <v>90.203292106807396</v>
      </c>
      <c r="AM6739">
        <v>86.417653883358895</v>
      </c>
      <c r="AN6739">
        <v>0.99999995420298704</v>
      </c>
    </row>
    <row r="6740" spans="1:40" x14ac:dyDescent="0.25">
      <c r="A6740" t="str">
        <f>"20190312154429444"</f>
        <v>20190312154429444</v>
      </c>
      <c r="B6740" t="str">
        <f>"1552376669433894"</f>
        <v>1552376669433894</v>
      </c>
      <c r="C6740" t="s">
        <v>40</v>
      </c>
      <c r="D6740">
        <v>4.9819120000000003</v>
      </c>
      <c r="E6740">
        <v>0.53908080000000003</v>
      </c>
      <c r="F6740" t="s">
        <v>79</v>
      </c>
      <c r="G6740">
        <v>-223.12379999999999</v>
      </c>
      <c r="H6740" s="1">
        <v>-1.014124E-6</v>
      </c>
      <c r="I6740">
        <v>-62.884050000000002</v>
      </c>
      <c r="J6740">
        <v>-238.7697</v>
      </c>
      <c r="K6740">
        <v>1.10894</v>
      </c>
      <c r="L6740">
        <v>-60.850709999999999</v>
      </c>
      <c r="M6740">
        <v>0.99925560000000002</v>
      </c>
      <c r="N6740">
        <v>0</v>
      </c>
      <c r="O6740">
        <v>3.5629340000000002E-2</v>
      </c>
      <c r="P6740">
        <v>0.9994883</v>
      </c>
      <c r="Q6740">
        <v>-1.7941909999999998E-2</v>
      </c>
      <c r="R6740">
        <v>-2.6483059999999999E-2</v>
      </c>
      <c r="S6740">
        <v>2.9876860000000001</v>
      </c>
      <c r="T6740">
        <v>-0.20937729999999999</v>
      </c>
      <c r="U6740">
        <v>-0.38278200000000001</v>
      </c>
      <c r="V6740">
        <v>6.2070939999999998E-2</v>
      </c>
      <c r="W6740">
        <v>-3.371962E-3</v>
      </c>
      <c r="X6740">
        <v>0.99806609999999996</v>
      </c>
      <c r="Y6740">
        <v>0.1618677</v>
      </c>
      <c r="Z6740">
        <v>-8.1269529999999993E-3</v>
      </c>
      <c r="AA6740">
        <v>0.98677899999999996</v>
      </c>
      <c r="AB6740">
        <v>36</v>
      </c>
      <c r="AC6740">
        <v>15.645899999999999</v>
      </c>
      <c r="AD6740">
        <v>-1.1089410141239999</v>
      </c>
      <c r="AE6740">
        <v>-2.0333399999999999</v>
      </c>
      <c r="AF6740">
        <v>2.5768327859467601</v>
      </c>
      <c r="AG6740">
        <v>-1.1089410141239999</v>
      </c>
      <c r="AH6740">
        <v>15.4870009049363</v>
      </c>
      <c r="AI6740">
        <v>94.0402956545027</v>
      </c>
      <c r="AJ6740">
        <v>80.553279345721293</v>
      </c>
      <c r="AK6740">
        <v>15.7390283819883</v>
      </c>
      <c r="AL6740">
        <v>90.193199546607701</v>
      </c>
      <c r="AM6740">
        <v>86.441289394714801</v>
      </c>
      <c r="AN6740">
        <v>1.00000005584471</v>
      </c>
    </row>
    <row r="6741" spans="1:40" x14ac:dyDescent="0.25">
      <c r="A6741" t="str">
        <f>"20190312154429454"</f>
        <v>20190312154429454</v>
      </c>
      <c r="B6741" t="str">
        <f>"1552376669444630"</f>
        <v>1552376669444630</v>
      </c>
      <c r="C6741" t="s">
        <v>40</v>
      </c>
      <c r="D6741">
        <v>4.9738049999999996</v>
      </c>
      <c r="E6741">
        <v>0.53930169999999999</v>
      </c>
      <c r="F6741" t="s">
        <v>79</v>
      </c>
      <c r="G6741">
        <v>-222.6481</v>
      </c>
      <c r="H6741" s="1">
        <v>-8.2071559999999903E-7</v>
      </c>
      <c r="I6741">
        <v>-62.931899999999999</v>
      </c>
      <c r="J6741">
        <v>-238.60939999999999</v>
      </c>
      <c r="K6741">
        <v>1.1088960000000001</v>
      </c>
      <c r="L6741">
        <v>-60.845610000000001</v>
      </c>
      <c r="M6741">
        <v>0.99927969999999999</v>
      </c>
      <c r="N6741">
        <v>0</v>
      </c>
      <c r="O6741">
        <v>3.4947209999999999E-2</v>
      </c>
      <c r="P6741">
        <v>0.99947410000000003</v>
      </c>
      <c r="Q6741">
        <v>-1.7679170000000001E-2</v>
      </c>
      <c r="R6741">
        <v>-2.7184949999999999E-2</v>
      </c>
      <c r="S6741">
        <v>2.9876100000000001</v>
      </c>
      <c r="T6741">
        <v>-0.2055062</v>
      </c>
      <c r="U6741">
        <v>-0.3856812</v>
      </c>
      <c r="V6741">
        <v>6.2091109999999998E-2</v>
      </c>
      <c r="W6741">
        <v>-3.1176070000000001E-3</v>
      </c>
      <c r="X6741">
        <v>0.9980656</v>
      </c>
      <c r="Y6741">
        <v>0.16215769999999999</v>
      </c>
      <c r="Z6741">
        <v>-7.9399850000000001E-3</v>
      </c>
      <c r="AA6741">
        <v>0.98673290000000002</v>
      </c>
      <c r="AB6741">
        <v>36</v>
      </c>
      <c r="AC6741">
        <v>15.9612999999999</v>
      </c>
      <c r="AD6741">
        <v>-1.10889682071559</v>
      </c>
      <c r="AE6741">
        <v>-2.0862899999999902</v>
      </c>
      <c r="AF6741">
        <v>2.6303965249148602</v>
      </c>
      <c r="AG6741">
        <v>-1.10889682071559</v>
      </c>
      <c r="AH6741">
        <v>15.803632795958199</v>
      </c>
      <c r="AI6741">
        <v>93.959413981307605</v>
      </c>
      <c r="AJ6741">
        <v>80.550173603319195</v>
      </c>
      <c r="AK6741">
        <v>16.059372577618401</v>
      </c>
      <c r="AL6741">
        <v>90.178626015558606</v>
      </c>
      <c r="AM6741">
        <v>86.440134183427602</v>
      </c>
      <c r="AN6741">
        <v>0.99999998365889897</v>
      </c>
    </row>
    <row r="6742" spans="1:40" x14ac:dyDescent="0.25">
      <c r="A6742" t="str">
        <f>"20190312154429465"</f>
        <v>20190312154429465</v>
      </c>
      <c r="B6742" t="str">
        <f>"1552376669454391"</f>
        <v>1552376669454391</v>
      </c>
      <c r="C6742" t="s">
        <v>40</v>
      </c>
      <c r="D6742">
        <v>4.9456280000000001</v>
      </c>
      <c r="E6742">
        <v>0.53943640000000004</v>
      </c>
      <c r="F6742" t="s">
        <v>79</v>
      </c>
      <c r="G6742">
        <v>-222.19829999999999</v>
      </c>
      <c r="H6742" s="1">
        <v>-6.3976429999999999E-7</v>
      </c>
      <c r="I6742">
        <v>-62.985950000000003</v>
      </c>
      <c r="J6742">
        <v>-238.43100000000001</v>
      </c>
      <c r="K6742">
        <v>1.1088469999999999</v>
      </c>
      <c r="L6742">
        <v>-60.840029999999999</v>
      </c>
      <c r="M6742">
        <v>0.99930669999999999</v>
      </c>
      <c r="N6742">
        <v>0</v>
      </c>
      <c r="O6742">
        <v>3.4168949999999997E-2</v>
      </c>
      <c r="P6742">
        <v>0.99946159999999995</v>
      </c>
      <c r="Q6742">
        <v>-1.7229060000000001E-2</v>
      </c>
      <c r="R6742">
        <v>-2.7923239999999998E-2</v>
      </c>
      <c r="S6742">
        <v>2.9874109999999998</v>
      </c>
      <c r="T6742">
        <v>-0.20185910000000001</v>
      </c>
      <c r="U6742">
        <v>-0.38961790000000002</v>
      </c>
      <c r="V6742">
        <v>6.2052540000000003E-2</v>
      </c>
      <c r="W6742">
        <v>-2.6777210000000001E-3</v>
      </c>
      <c r="X6742">
        <v>0.99806930000000005</v>
      </c>
      <c r="Y6742">
        <v>0.162693</v>
      </c>
      <c r="Z6742">
        <v>-7.7649080000000001E-3</v>
      </c>
      <c r="AA6742">
        <v>0.98664620000000003</v>
      </c>
      <c r="AB6742">
        <v>36</v>
      </c>
      <c r="AC6742">
        <v>16.232699999999902</v>
      </c>
      <c r="AD6742">
        <v>-1.1088476397642999</v>
      </c>
      <c r="AE6742">
        <v>-2.1459199999999901</v>
      </c>
      <c r="AF6742">
        <v>2.6870586469711699</v>
      </c>
      <c r="AG6742">
        <v>-1.1088476397642999</v>
      </c>
      <c r="AH6742">
        <v>16.076161387188598</v>
      </c>
      <c r="AI6742">
        <v>93.891885977001905</v>
      </c>
      <c r="AJ6742">
        <v>80.5109840991136</v>
      </c>
      <c r="AK6742">
        <v>16.336853803820599</v>
      </c>
      <c r="AL6742">
        <v>90.153422294168394</v>
      </c>
      <c r="AM6742">
        <v>86.442352988539895</v>
      </c>
      <c r="AN6742">
        <v>1.00000000775634</v>
      </c>
    </row>
    <row r="6743" spans="1:40" x14ac:dyDescent="0.25">
      <c r="A6743" t="str">
        <f>"20190312154429475"</f>
        <v>20190312154429475</v>
      </c>
      <c r="B6743" t="str">
        <f>"1552376669464150"</f>
        <v>1552376669464150</v>
      </c>
      <c r="C6743" t="s">
        <v>40</v>
      </c>
      <c r="D6743">
        <v>4.9297139999999997</v>
      </c>
      <c r="E6743">
        <v>0.53964969999999901</v>
      </c>
      <c r="F6743" t="s">
        <v>79</v>
      </c>
      <c r="G6743">
        <v>-221.75360000000001</v>
      </c>
      <c r="H6743" s="1">
        <v>-4.5965080000000001E-7</v>
      </c>
      <c r="I6743">
        <v>-63.033799999999999</v>
      </c>
      <c r="J6743">
        <v>-238.261</v>
      </c>
      <c r="K6743">
        <v>1.108798</v>
      </c>
      <c r="L6743">
        <v>-60.83493</v>
      </c>
      <c r="M6743">
        <v>0.99933329999999998</v>
      </c>
      <c r="N6743">
        <v>0</v>
      </c>
      <c r="O6743">
        <v>3.3388349999999997E-2</v>
      </c>
      <c r="P6743">
        <v>0.99945099999999998</v>
      </c>
      <c r="Q6743">
        <v>-1.668203E-2</v>
      </c>
      <c r="R6743">
        <v>-2.8629809999999999E-2</v>
      </c>
      <c r="S6743">
        <v>2.9872130000000001</v>
      </c>
      <c r="T6743">
        <v>-0.1986145</v>
      </c>
      <c r="U6743">
        <v>-0.39294430000000002</v>
      </c>
      <c r="V6743">
        <v>6.1980300000000002E-2</v>
      </c>
      <c r="W6743">
        <v>-2.152574E-3</v>
      </c>
      <c r="X6743">
        <v>0.99807509999999999</v>
      </c>
      <c r="Y6743">
        <v>0.163026</v>
      </c>
      <c r="Z6743">
        <v>-7.5996780000000003E-3</v>
      </c>
      <c r="AA6743">
        <v>0.98659249999999998</v>
      </c>
      <c r="AB6743">
        <v>36</v>
      </c>
      <c r="AC6743">
        <v>16.507399999999901</v>
      </c>
      <c r="AD6743">
        <v>-1.1087984596508</v>
      </c>
      <c r="AE6743">
        <v>-2.1988699999999901</v>
      </c>
      <c r="AF6743">
        <v>2.7367265054291998</v>
      </c>
      <c r="AG6743">
        <v>-1.1087984596508</v>
      </c>
      <c r="AH6743">
        <v>16.352278085815399</v>
      </c>
      <c r="AI6743">
        <v>93.826063686089697</v>
      </c>
      <c r="AJ6743">
        <v>80.498999209493306</v>
      </c>
      <c r="AK6743">
        <v>16.616741695816401</v>
      </c>
      <c r="AL6743">
        <v>90.123333494590696</v>
      </c>
      <c r="AM6743">
        <v>86.446504689690002</v>
      </c>
      <c r="AN6743">
        <v>1.0000000482014599</v>
      </c>
    </row>
    <row r="6744" spans="1:40" x14ac:dyDescent="0.25">
      <c r="A6744" t="str">
        <f>"20190312154429486"</f>
        <v>20190312154429486</v>
      </c>
      <c r="B6744" t="str">
        <f>"1552376669473909"</f>
        <v>1552376669473909</v>
      </c>
      <c r="C6744" t="s">
        <v>40</v>
      </c>
      <c r="D6744">
        <v>4.9748849999999996</v>
      </c>
      <c r="E6744">
        <v>0.53991719999999999</v>
      </c>
      <c r="F6744" t="s">
        <v>79</v>
      </c>
      <c r="G6744">
        <v>-221.245</v>
      </c>
      <c r="H6744" s="1">
        <v>-2.5518910000000001E-7</v>
      </c>
      <c r="I6744">
        <v>-63.095660000000002</v>
      </c>
      <c r="J6744">
        <v>-238.08580000000001</v>
      </c>
      <c r="K6744">
        <v>1.1087450000000001</v>
      </c>
      <c r="L6744">
        <v>-60.829740000000001</v>
      </c>
      <c r="M6744">
        <v>0.99936060000000004</v>
      </c>
      <c r="N6744">
        <v>0</v>
      </c>
      <c r="O6744">
        <v>3.256949E-2</v>
      </c>
      <c r="P6744">
        <v>0.99942640000000005</v>
      </c>
      <c r="Q6744">
        <v>-1.6318559999999999E-2</v>
      </c>
      <c r="R6744">
        <v>-2.9676959999999999E-2</v>
      </c>
      <c r="S6744">
        <v>2.987015</v>
      </c>
      <c r="T6744">
        <v>-0.1946396</v>
      </c>
      <c r="U6744">
        <v>-0.3968506</v>
      </c>
      <c r="V6744">
        <v>6.2209380000000002E-2</v>
      </c>
      <c r="W6744">
        <v>-1.817705E-3</v>
      </c>
      <c r="X6744">
        <v>0.99806150000000005</v>
      </c>
      <c r="Y6744">
        <v>0.16351170000000001</v>
      </c>
      <c r="Z6744">
        <v>-7.410402E-3</v>
      </c>
      <c r="AA6744">
        <v>0.98651359999999999</v>
      </c>
      <c r="AB6744">
        <v>36</v>
      </c>
      <c r="AC6744">
        <v>16.840800000000002</v>
      </c>
      <c r="AD6744">
        <v>-1.1087452551890999</v>
      </c>
      <c r="AE6744">
        <v>-2.2659199999999902</v>
      </c>
      <c r="AF6744">
        <v>2.8013470643582701</v>
      </c>
      <c r="AG6744">
        <v>-1.1087452551890999</v>
      </c>
      <c r="AH6744">
        <v>16.6870121083778</v>
      </c>
      <c r="AI6744">
        <v>93.749042217148897</v>
      </c>
      <c r="AJ6744">
        <v>80.470279985328304</v>
      </c>
      <c r="AK6744">
        <v>16.956804962051098</v>
      </c>
      <c r="AL6744">
        <v>90.104146878668601</v>
      </c>
      <c r="AM6744">
        <v>86.4333562897787</v>
      </c>
      <c r="AN6744">
        <v>1.00000003439685</v>
      </c>
    </row>
    <row r="6745" spans="1:40" x14ac:dyDescent="0.25">
      <c r="A6745" t="str">
        <f>"20190312154429498"</f>
        <v>20190312154429498</v>
      </c>
      <c r="B6745" t="str">
        <f>"1552376669494405"</f>
        <v>1552376669494405</v>
      </c>
      <c r="C6745" t="s">
        <v>40</v>
      </c>
      <c r="D6745">
        <v>4.9422360000000003</v>
      </c>
      <c r="E6745">
        <v>0.54032550000000001</v>
      </c>
      <c r="F6745" t="s">
        <v>79</v>
      </c>
      <c r="G6745">
        <v>-220.768</v>
      </c>
      <c r="H6745" s="1">
        <v>-6.5295519999999997E-8</v>
      </c>
      <c r="I6745">
        <v>-63.161969999999997</v>
      </c>
      <c r="J6745">
        <v>-237.89279999999999</v>
      </c>
      <c r="K6745">
        <v>1.1086800000000001</v>
      </c>
      <c r="L6745">
        <v>-60.824309999999997</v>
      </c>
      <c r="M6745">
        <v>0.99939169999999999</v>
      </c>
      <c r="N6745">
        <v>0</v>
      </c>
      <c r="O6745">
        <v>3.1620259999999997E-2</v>
      </c>
      <c r="P6745">
        <v>0.99940759999999995</v>
      </c>
      <c r="Q6745">
        <v>-1.5645559999999999E-2</v>
      </c>
      <c r="R6745">
        <v>-3.065762E-2</v>
      </c>
      <c r="S6745">
        <v>2.9866790000000001</v>
      </c>
      <c r="T6745">
        <v>-0.1912169</v>
      </c>
      <c r="U6745">
        <v>-0.40222170000000002</v>
      </c>
      <c r="V6745">
        <v>6.2243079999999999E-2</v>
      </c>
      <c r="W6745">
        <v>-1.1982309999999999E-3</v>
      </c>
      <c r="X6745">
        <v>0.99806030000000001</v>
      </c>
      <c r="Y6745">
        <v>0.16434649999999901</v>
      </c>
      <c r="Z6745">
        <v>-7.24641E-3</v>
      </c>
      <c r="AA6745">
        <v>0.98637600000000003</v>
      </c>
      <c r="AB6745">
        <v>36</v>
      </c>
      <c r="AC6745">
        <v>17.124799999999901</v>
      </c>
      <c r="AD6745">
        <v>-1.10868006529552</v>
      </c>
      <c r="AE6745">
        <v>-2.3376600000000001</v>
      </c>
      <c r="AF6745">
        <v>2.86624615577007</v>
      </c>
      <c r="AG6745">
        <v>-1.10868006529552</v>
      </c>
      <c r="AH6745">
        <v>16.972472114799402</v>
      </c>
      <c r="AI6745">
        <v>93.685344300626497</v>
      </c>
      <c r="AJ6745">
        <v>80.414548146682307</v>
      </c>
      <c r="AK6745">
        <v>17.248459299319901</v>
      </c>
      <c r="AL6745">
        <v>90.0686535956374</v>
      </c>
      <c r="AM6745">
        <v>86.431424883282403</v>
      </c>
      <c r="AN6745">
        <v>0.99999999960075203</v>
      </c>
    </row>
    <row r="6746" spans="1:40" x14ac:dyDescent="0.25">
      <c r="A6746" t="str">
        <f>"20190312154429511"</f>
        <v>20190312154429511</v>
      </c>
      <c r="B6746" t="str">
        <f>"1552376669504165"</f>
        <v>1552376669504165</v>
      </c>
      <c r="C6746" t="s">
        <v>40</v>
      </c>
      <c r="D6746">
        <v>4.9268839999999896</v>
      </c>
      <c r="E6746">
        <v>0.54055940000000002</v>
      </c>
      <c r="F6746" t="s">
        <v>79</v>
      </c>
      <c r="G6746">
        <v>-220.06389999999999</v>
      </c>
      <c r="H6746" s="1">
        <v>2.1430400000000001E-7</v>
      </c>
      <c r="I6746">
        <v>-63.262979999999999</v>
      </c>
      <c r="J6746">
        <v>-237.6936</v>
      </c>
      <c r="K6746">
        <v>1.1086119999999999</v>
      </c>
      <c r="L6746">
        <v>-60.81888</v>
      </c>
      <c r="M6746">
        <v>0.99942370000000003</v>
      </c>
      <c r="N6746">
        <v>0</v>
      </c>
      <c r="O6746">
        <v>3.0623009999999999E-2</v>
      </c>
      <c r="P6746">
        <v>0.99937279999999995</v>
      </c>
      <c r="Q6746">
        <v>-1.5479059999999999E-2</v>
      </c>
      <c r="R6746">
        <v>-3.1855769999999999E-2</v>
      </c>
      <c r="S6746">
        <v>2.9863590000000002</v>
      </c>
      <c r="T6746">
        <v>-0.18570439999999999</v>
      </c>
      <c r="U6746">
        <v>-0.4084778</v>
      </c>
      <c r="V6746">
        <v>6.2443970000000001E-2</v>
      </c>
      <c r="W6746">
        <v>-1.0975620000000001E-3</v>
      </c>
      <c r="X6746">
        <v>0.99804789999999999</v>
      </c>
      <c r="Y6746">
        <v>0.1654274</v>
      </c>
      <c r="Z6746">
        <v>-7.0093890000000004E-3</v>
      </c>
      <c r="AA6746">
        <v>0.98619710000000005</v>
      </c>
      <c r="AB6746">
        <v>36</v>
      </c>
      <c r="AC6746">
        <v>17.6297</v>
      </c>
      <c r="AD6746">
        <v>-1.1086117856960001</v>
      </c>
      <c r="AE6746">
        <v>-2.4441000000000002</v>
      </c>
      <c r="AF6746">
        <v>2.9713578142594601</v>
      </c>
      <c r="AG6746">
        <v>-1.1086117856960001</v>
      </c>
      <c r="AH6746">
        <v>17.478763417573401</v>
      </c>
      <c r="AI6746">
        <v>93.577996482220797</v>
      </c>
      <c r="AJ6746">
        <v>80.352056528284095</v>
      </c>
      <c r="AK6746">
        <v>17.764153736084499</v>
      </c>
      <c r="AL6746">
        <v>90.062885680944504</v>
      </c>
      <c r="AM6746">
        <v>86.4198928237427</v>
      </c>
      <c r="AN6746">
        <v>1.00000003236305</v>
      </c>
    </row>
    <row r="6747" spans="1:40" x14ac:dyDescent="0.25">
      <c r="A6747" t="str">
        <f>"20190312154429522"</f>
        <v>20190312154429522</v>
      </c>
      <c r="B6747" t="str">
        <f>"1552376669513926"</f>
        <v>1552376669513926</v>
      </c>
      <c r="C6747" t="s">
        <v>40</v>
      </c>
      <c r="D6747">
        <v>5.1719150000000003</v>
      </c>
      <c r="E6747">
        <v>0.54055940000000002</v>
      </c>
      <c r="F6747" t="s">
        <v>78</v>
      </c>
      <c r="G6747">
        <v>-219.6746</v>
      </c>
      <c r="H6747" s="1">
        <v>-3.6723439999999999E-6</v>
      </c>
      <c r="I6747">
        <v>-63.317059999999998</v>
      </c>
      <c r="J6747">
        <v>-237.4913</v>
      </c>
      <c r="K6747">
        <v>1.108541</v>
      </c>
      <c r="L6747">
        <v>-60.813630000000003</v>
      </c>
      <c r="M6747">
        <v>0.99945649999999997</v>
      </c>
      <c r="N6747">
        <v>0</v>
      </c>
      <c r="O6747">
        <v>2.9569999999999999E-2</v>
      </c>
      <c r="P6747">
        <v>0.99933550000000004</v>
      </c>
      <c r="Q6747">
        <v>-1.50049E-2</v>
      </c>
      <c r="R6747">
        <v>-3.3217259999999998E-2</v>
      </c>
      <c r="S6747">
        <v>2.98584</v>
      </c>
      <c r="T6747">
        <v>-0.1837029</v>
      </c>
      <c r="U6747">
        <v>-0.41397089999999998</v>
      </c>
      <c r="V6747">
        <v>6.2753799999999998E-2</v>
      </c>
      <c r="W6747">
        <v>-7.1411119999999998E-4</v>
      </c>
      <c r="X6747">
        <v>0.99802880000000005</v>
      </c>
      <c r="Y6747">
        <v>0.1662004</v>
      </c>
      <c r="Z6747">
        <v>-6.8934979999999996E-3</v>
      </c>
      <c r="AA6747">
        <v>0.9860679</v>
      </c>
      <c r="AB6747">
        <v>36</v>
      </c>
      <c r="AC6747">
        <v>17.816699999999901</v>
      </c>
      <c r="AD6747">
        <v>-1.108544672344</v>
      </c>
      <c r="AE6747">
        <v>-2.5034299999999901</v>
      </c>
      <c r="AF6747">
        <v>3.01777441322879</v>
      </c>
      <c r="AG6747">
        <v>-1.108544672344</v>
      </c>
      <c r="AH6747">
        <v>17.667800674316101</v>
      </c>
      <c r="AI6747">
        <v>93.539125170368294</v>
      </c>
      <c r="AJ6747">
        <v>80.307052028068597</v>
      </c>
      <c r="AK6747">
        <v>17.957923442510999</v>
      </c>
      <c r="AL6747">
        <v>90.040915560624498</v>
      </c>
      <c r="AM6747">
        <v>86.402107175793603</v>
      </c>
      <c r="AN6747">
        <v>1.00000001749934</v>
      </c>
    </row>
    <row r="6748" spans="1:40" x14ac:dyDescent="0.25">
      <c r="A6748" t="str">
        <f>"20190312154429536"</f>
        <v>20190312154429536</v>
      </c>
      <c r="B6748" t="str">
        <f>"1552376669524661"</f>
        <v>1552376669524661</v>
      </c>
      <c r="C6748" t="s">
        <v>40</v>
      </c>
      <c r="D6748">
        <v>4.9463460000000001</v>
      </c>
      <c r="E6748">
        <v>0.54321980000000003</v>
      </c>
      <c r="F6748" t="s">
        <v>78</v>
      </c>
      <c r="G6748">
        <v>-219.3399</v>
      </c>
      <c r="H6748" s="1">
        <v>-3.5651809999999999E-6</v>
      </c>
      <c r="I6748">
        <v>-63.355060000000002</v>
      </c>
      <c r="J6748">
        <v>-237.28720000000001</v>
      </c>
      <c r="K6748">
        <v>1.1084719999999999</v>
      </c>
      <c r="L6748">
        <v>-60.808529999999998</v>
      </c>
      <c r="M6748">
        <v>0.99948939999999997</v>
      </c>
      <c r="N6748">
        <v>0</v>
      </c>
      <c r="O6748">
        <v>2.8483379999999999E-2</v>
      </c>
      <c r="P6748">
        <v>0.99929429999999997</v>
      </c>
      <c r="Q6748">
        <v>-1.4525420000000001E-2</v>
      </c>
      <c r="R6748">
        <v>-3.4640539999999997E-2</v>
      </c>
      <c r="S6748">
        <v>2.9853670000000001</v>
      </c>
      <c r="T6748">
        <v>-0.18232290000000001</v>
      </c>
      <c r="U6748">
        <v>-0.41799930000000002</v>
      </c>
      <c r="V6748">
        <v>6.3091949999999994E-2</v>
      </c>
      <c r="W6748">
        <v>-3.3768660000000001E-4</v>
      </c>
      <c r="X6748">
        <v>0.99800770000000005</v>
      </c>
      <c r="Y6748">
        <v>0.16646179999999999</v>
      </c>
      <c r="Z6748">
        <v>-6.7841560000000004E-3</v>
      </c>
      <c r="AA6748">
        <v>0.98602460000000003</v>
      </c>
      <c r="AB6748">
        <v>36</v>
      </c>
      <c r="AC6748">
        <v>17.947299999999998</v>
      </c>
      <c r="AD6748">
        <v>-1.1084755651810001</v>
      </c>
      <c r="AE6748">
        <v>-2.54652999999999</v>
      </c>
      <c r="AF6748">
        <v>3.0453622188689402</v>
      </c>
      <c r="AG6748">
        <v>-1.1084755651810001</v>
      </c>
      <c r="AH6748">
        <v>17.800911229113101</v>
      </c>
      <c r="AI6748">
        <v>93.512349994636295</v>
      </c>
      <c r="AJ6748">
        <v>80.291879349497805</v>
      </c>
      <c r="AK6748">
        <v>18.0935178920376</v>
      </c>
      <c r="AL6748">
        <v>90.019348016596595</v>
      </c>
      <c r="AM6748">
        <v>86.382694928124494</v>
      </c>
      <c r="AN6748">
        <v>1.00000003872316</v>
      </c>
    </row>
    <row r="6749" spans="1:40" x14ac:dyDescent="0.25">
      <c r="A6749" t="str">
        <f>"20190312154429546"</f>
        <v>20190312154429546</v>
      </c>
      <c r="B6749" t="str">
        <f>"1552376669534424"</f>
        <v>1552376669534424</v>
      </c>
      <c r="C6749" t="s">
        <v>40</v>
      </c>
      <c r="D6749">
        <v>4.956607</v>
      </c>
      <c r="E6749">
        <v>0.54335649999999902</v>
      </c>
      <c r="F6749" t="s">
        <v>70</v>
      </c>
      <c r="G6749">
        <v>-201.3571</v>
      </c>
      <c r="H6749" s="1">
        <v>-5.3479890000000002E-6</v>
      </c>
      <c r="I6749">
        <v>-66.186160000000001</v>
      </c>
      <c r="J6749">
        <v>-237.10599999999999</v>
      </c>
      <c r="K6749">
        <v>1.1084130000000001</v>
      </c>
      <c r="L6749">
        <v>-60.8041699999999</v>
      </c>
      <c r="M6749">
        <v>0.99951820000000002</v>
      </c>
      <c r="N6749">
        <v>0</v>
      </c>
      <c r="O6749">
        <v>2.750408E-2</v>
      </c>
      <c r="P6749">
        <v>0.99926250000000005</v>
      </c>
      <c r="Q6749">
        <v>-1.3905890000000001E-2</v>
      </c>
      <c r="R6749">
        <v>-3.5794369999999999E-2</v>
      </c>
      <c r="S6749">
        <v>2.985306</v>
      </c>
      <c r="T6749">
        <v>-9.2099429999999996E-2</v>
      </c>
      <c r="U6749">
        <v>-0.44680789999999998</v>
      </c>
      <c r="V6749">
        <v>6.3268889999999994E-2</v>
      </c>
      <c r="W6749">
        <v>1.843611E-4</v>
      </c>
      <c r="X6749">
        <v>0.99799649999999995</v>
      </c>
      <c r="Y6749">
        <v>0.1750739</v>
      </c>
      <c r="Z6749">
        <v>-3.5290790000000001E-3</v>
      </c>
      <c r="AA6749">
        <v>0.98454900000000001</v>
      </c>
      <c r="AB6749">
        <v>36</v>
      </c>
      <c r="AC6749">
        <v>35.7488999999999</v>
      </c>
      <c r="AD6749">
        <v>-1.108418347989</v>
      </c>
      <c r="AE6749">
        <v>-5.3819900000000001</v>
      </c>
      <c r="AF6749">
        <v>6.3573196936075496</v>
      </c>
      <c r="AG6749">
        <v>-1.108418347989</v>
      </c>
      <c r="AH6749">
        <v>35.553908812812601</v>
      </c>
      <c r="AI6749">
        <v>91.757796866660598</v>
      </c>
      <c r="AJ6749">
        <v>79.862198879297495</v>
      </c>
      <c r="AK6749">
        <v>36.1348105957493</v>
      </c>
      <c r="AL6749">
        <v>89.989436887006093</v>
      </c>
      <c r="AM6749">
        <v>86.372536723349</v>
      </c>
      <c r="AN6749">
        <v>1.0000000002215399</v>
      </c>
    </row>
    <row r="6750" spans="1:40" x14ac:dyDescent="0.25">
      <c r="A6750" t="str">
        <f>"20190312154429556"</f>
        <v>20190312154429556</v>
      </c>
      <c r="B6750" t="str">
        <f>"1552376669544182"</f>
        <v>1552376669544182</v>
      </c>
      <c r="C6750" t="s">
        <v>40</v>
      </c>
      <c r="D6750">
        <v>4.9438309999999897</v>
      </c>
      <c r="E6750">
        <v>0.54338739999999996</v>
      </c>
      <c r="F6750" t="s">
        <v>70</v>
      </c>
      <c r="G6750">
        <v>-200.95050000000001</v>
      </c>
      <c r="H6750" s="1">
        <v>-5.5600509999999996E-6</v>
      </c>
      <c r="I6750">
        <v>-66.270510000000002</v>
      </c>
      <c r="J6750">
        <v>-236.94499999999999</v>
      </c>
      <c r="K6750">
        <v>1.1083639999999999</v>
      </c>
      <c r="L6750">
        <v>-60.800569999999901</v>
      </c>
      <c r="M6750">
        <v>0.99954370000000003</v>
      </c>
      <c r="N6750">
        <v>0</v>
      </c>
      <c r="O6750">
        <v>2.660881E-2</v>
      </c>
      <c r="P6750">
        <v>0.99922820000000001</v>
      </c>
      <c r="Q6750">
        <v>-1.347837E-2</v>
      </c>
      <c r="R6750">
        <v>-3.6894330000000003E-2</v>
      </c>
      <c r="S6750">
        <v>2.984756</v>
      </c>
      <c r="T6750">
        <v>-9.1503619999999994E-2</v>
      </c>
      <c r="U6750">
        <v>-0.45126339999999998</v>
      </c>
      <c r="V6750">
        <v>6.3475139999999999E-2</v>
      </c>
      <c r="W6750">
        <v>5.1337859999999998E-4</v>
      </c>
      <c r="X6750">
        <v>0.99798330000000002</v>
      </c>
      <c r="Y6750">
        <v>0.17565710000000001</v>
      </c>
      <c r="Z6750">
        <v>-3.4880919999999999E-3</v>
      </c>
      <c r="AA6750">
        <v>0.98444520000000002</v>
      </c>
      <c r="AB6750">
        <v>36</v>
      </c>
      <c r="AC6750">
        <v>35.994499999999903</v>
      </c>
      <c r="AD6750">
        <v>-1.108369560051</v>
      </c>
      <c r="AE6750">
        <v>-5.4699400000000002</v>
      </c>
      <c r="AF6750">
        <v>6.41992159546382</v>
      </c>
      <c r="AG6750">
        <v>-1.108369560051</v>
      </c>
      <c r="AH6750">
        <v>35.803007217568101</v>
      </c>
      <c r="AI6750">
        <v>91.7453451835583</v>
      </c>
      <c r="AJ6750">
        <v>79.834193448272202</v>
      </c>
      <c r="AK6750">
        <v>36.390921975058397</v>
      </c>
      <c r="AL6750">
        <v>89.970585571989005</v>
      </c>
      <c r="AM6750">
        <v>86.360695292459894</v>
      </c>
      <c r="AN6750">
        <v>1.0000000120172401</v>
      </c>
    </row>
    <row r="6751" spans="1:40" x14ac:dyDescent="0.25">
      <c r="A6751" t="str">
        <f>"20190312154429565"</f>
        <v>20190312154429565</v>
      </c>
      <c r="B6751" t="str">
        <f>"1552376669553942"</f>
        <v>1552376669553942</v>
      </c>
      <c r="C6751" t="s">
        <v>40</v>
      </c>
      <c r="D6751">
        <v>4.9648459999999996</v>
      </c>
      <c r="E6751">
        <v>0.54337040000000003</v>
      </c>
      <c r="F6751" t="s">
        <v>70</v>
      </c>
      <c r="G6751">
        <v>-200.09309999999999</v>
      </c>
      <c r="H6751" s="1">
        <v>-6.0054540000000004E-6</v>
      </c>
      <c r="I6751">
        <v>-66.417500000000004</v>
      </c>
      <c r="J6751">
        <v>-236.79130000000001</v>
      </c>
      <c r="K6751">
        <v>1.10832</v>
      </c>
      <c r="L6751">
        <v>-60.797179999999997</v>
      </c>
      <c r="M6751">
        <v>0.9995676</v>
      </c>
      <c r="N6751">
        <v>0</v>
      </c>
      <c r="O6751">
        <v>2.5750269999999999E-2</v>
      </c>
      <c r="P6751">
        <v>0.99919959999999997</v>
      </c>
      <c r="Q6751">
        <v>-1.27633E-2</v>
      </c>
      <c r="R6751">
        <v>-3.7917489999999998E-2</v>
      </c>
      <c r="S6751">
        <v>2.984299</v>
      </c>
      <c r="T6751">
        <v>-8.9756849999999999E-2</v>
      </c>
      <c r="U6751">
        <v>-0.4548645</v>
      </c>
      <c r="V6751">
        <v>6.3642790000000005E-2</v>
      </c>
      <c r="W6751">
        <v>1.1332670000000001E-3</v>
      </c>
      <c r="X6751">
        <v>0.99797210000000003</v>
      </c>
      <c r="Y6751">
        <v>0.17599860000000001</v>
      </c>
      <c r="Z6751">
        <v>-3.4011649999999998E-3</v>
      </c>
      <c r="AA6751">
        <v>0.9843845</v>
      </c>
      <c r="AB6751">
        <v>36</v>
      </c>
      <c r="AC6751">
        <v>36.6982</v>
      </c>
      <c r="AD6751">
        <v>-1.1083260054539901</v>
      </c>
      <c r="AE6751">
        <v>-5.6203200000000004</v>
      </c>
      <c r="AF6751">
        <v>6.5576955217564201</v>
      </c>
      <c r="AG6751">
        <v>-1.1083260054539901</v>
      </c>
      <c r="AH6751">
        <v>36.508752606000698</v>
      </c>
      <c r="AI6751">
        <v>91.711467778040998</v>
      </c>
      <c r="AJ6751">
        <v>79.817126850262795</v>
      </c>
      <c r="AK6751">
        <v>37.109577927222396</v>
      </c>
      <c r="AL6751">
        <v>89.935068569985205</v>
      </c>
      <c r="AM6751">
        <v>86.351068286534598</v>
      </c>
      <c r="AN6751">
        <v>1.0000000006957399</v>
      </c>
    </row>
    <row r="6752" spans="1:40" x14ac:dyDescent="0.25">
      <c r="A6752" t="str">
        <f>"20190312154429577"</f>
        <v>20190312154429577</v>
      </c>
      <c r="B6752" t="str">
        <f>"1552376669564679"</f>
        <v>1552376669564679</v>
      </c>
      <c r="C6752" t="s">
        <v>40</v>
      </c>
      <c r="D6752">
        <v>4.9369639999999997</v>
      </c>
      <c r="E6752">
        <v>0.54348699999999905</v>
      </c>
      <c r="F6752" t="s">
        <v>70</v>
      </c>
      <c r="G6752">
        <v>-198.67869999999999</v>
      </c>
      <c r="H6752" s="1">
        <v>-6.6085520000000001E-6</v>
      </c>
      <c r="I6752">
        <v>-66.644040000000004</v>
      </c>
      <c r="J6752">
        <v>-236.61869999999999</v>
      </c>
      <c r="K6752">
        <v>1.1082639999999999</v>
      </c>
      <c r="L6752">
        <v>-60.793610000000001</v>
      </c>
      <c r="M6752">
        <v>0.99959399999999998</v>
      </c>
      <c r="N6752">
        <v>0</v>
      </c>
      <c r="O6752">
        <v>2.4765760000000001E-2</v>
      </c>
      <c r="P6752">
        <v>0.99917610000000001</v>
      </c>
      <c r="Q6752">
        <v>-1.1966569999999999E-2</v>
      </c>
      <c r="R6752">
        <v>-3.8787349999999998E-2</v>
      </c>
      <c r="S6752">
        <v>2.9839169999999999</v>
      </c>
      <c r="T6752">
        <v>-8.6773279999999994E-2</v>
      </c>
      <c r="U6752">
        <v>-0.4577637</v>
      </c>
      <c r="V6752">
        <v>6.3531840000000006E-2</v>
      </c>
      <c r="W6752">
        <v>1.8122819999999999E-3</v>
      </c>
      <c r="X6752">
        <v>0.99797820000000004</v>
      </c>
      <c r="Y6752">
        <v>0.1759887</v>
      </c>
      <c r="Z6752">
        <v>-3.259708E-3</v>
      </c>
      <c r="AA6752">
        <v>0.98438680000000001</v>
      </c>
      <c r="AB6752">
        <v>36</v>
      </c>
      <c r="AC6752">
        <v>37.94</v>
      </c>
      <c r="AD6752">
        <v>-1.108270608552</v>
      </c>
      <c r="AE6752">
        <v>-5.8504300000000002</v>
      </c>
      <c r="AF6752">
        <v>6.7826882287295502</v>
      </c>
      <c r="AG6752">
        <v>-1.108270608552</v>
      </c>
      <c r="AH6752">
        <v>37.751990832992703</v>
      </c>
      <c r="AI6752">
        <v>91.655042562419695</v>
      </c>
      <c r="AJ6752">
        <v>79.8146531938077</v>
      </c>
      <c r="AK6752">
        <v>38.372463241291797</v>
      </c>
      <c r="AL6752">
        <v>89.896163836737799</v>
      </c>
      <c r="AM6752">
        <v>86.357434619743699</v>
      </c>
      <c r="AN6752">
        <v>1.0000000333675301</v>
      </c>
    </row>
    <row r="6753" spans="1:40" x14ac:dyDescent="0.25">
      <c r="A6753" t="str">
        <f>"20190312154429587"</f>
        <v>20190312154429587</v>
      </c>
      <c r="B6753" t="str">
        <f>"1552376669574437"</f>
        <v>1552376669574437</v>
      </c>
      <c r="C6753" t="s">
        <v>40</v>
      </c>
      <c r="D6753">
        <v>4.9453950000000004</v>
      </c>
      <c r="E6753">
        <v>0.54349720000000001</v>
      </c>
      <c r="F6753" t="s">
        <v>70</v>
      </c>
      <c r="G6753">
        <v>-197.78469999999999</v>
      </c>
      <c r="H6753" s="1">
        <v>-6.9815809999999999E-6</v>
      </c>
      <c r="I6753">
        <v>-66.797560000000004</v>
      </c>
      <c r="J6753">
        <v>-236.447</v>
      </c>
      <c r="K6753">
        <v>1.1082160000000001</v>
      </c>
      <c r="L6753">
        <v>-60.790100000000002</v>
      </c>
      <c r="M6753">
        <v>0.99961949999999999</v>
      </c>
      <c r="N6753">
        <v>0</v>
      </c>
      <c r="O6753">
        <v>2.378094E-2</v>
      </c>
      <c r="P6753">
        <v>0.99913549999999995</v>
      </c>
      <c r="Q6753">
        <v>-1.149124E-2</v>
      </c>
      <c r="R6753">
        <v>-3.9953870000000002E-2</v>
      </c>
      <c r="S6753">
        <v>2.9835509999999998</v>
      </c>
      <c r="T6753">
        <v>-8.5146550000000001E-2</v>
      </c>
      <c r="U6753">
        <v>-0.46127319999999999</v>
      </c>
      <c r="V6753">
        <v>6.3715820000000006E-2</v>
      </c>
      <c r="W6753">
        <v>2.1656179999999998E-3</v>
      </c>
      <c r="X6753">
        <v>0.99796580000000001</v>
      </c>
      <c r="Y6753">
        <v>0.17617140000000001</v>
      </c>
      <c r="Z6753">
        <v>-3.1733629999999998E-3</v>
      </c>
      <c r="AA6753">
        <v>0.98435439999999996</v>
      </c>
      <c r="AB6753">
        <v>36</v>
      </c>
      <c r="AC6753">
        <v>38.662300000000002</v>
      </c>
      <c r="AD6753">
        <v>-1.1082229815809901</v>
      </c>
      <c r="AE6753">
        <v>-6.00746</v>
      </c>
      <c r="AF6753">
        <v>6.9197249061420401</v>
      </c>
      <c r="AG6753">
        <v>-1.1082229815809901</v>
      </c>
      <c r="AH6753">
        <v>38.477617657258598</v>
      </c>
      <c r="AI6753">
        <v>91.623729244513001</v>
      </c>
      <c r="AJ6753">
        <v>79.805035756779702</v>
      </c>
      <c r="AK6753">
        <v>39.110584392613802</v>
      </c>
      <c r="AL6753">
        <v>89.875919139862404</v>
      </c>
      <c r="AM6753">
        <v>86.346869476139403</v>
      </c>
      <c r="AN6753">
        <v>1.0000000667946101</v>
      </c>
    </row>
    <row r="6754" spans="1:40" x14ac:dyDescent="0.25">
      <c r="A6754" t="str">
        <f>"20190312154429598"</f>
        <v>20190312154429598</v>
      </c>
      <c r="B6754" t="str">
        <f>"1552376669593958"</f>
        <v>1552376669593958</v>
      </c>
      <c r="C6754" t="s">
        <v>40</v>
      </c>
      <c r="D6754">
        <v>4.9460860000000002</v>
      </c>
      <c r="E6754">
        <v>0.54364069999999998</v>
      </c>
      <c r="F6754" t="s">
        <v>70</v>
      </c>
      <c r="G6754">
        <v>-197.34780000000001</v>
      </c>
      <c r="H6754" s="1">
        <v>-7.1644780000000004E-6</v>
      </c>
      <c r="I6754">
        <v>-66.882890000000003</v>
      </c>
      <c r="J6754">
        <v>-236.26580000000001</v>
      </c>
      <c r="K6754">
        <v>1.1081669999999999</v>
      </c>
      <c r="L6754">
        <v>-60.786769999999997</v>
      </c>
      <c r="M6754">
        <v>0.99964600000000003</v>
      </c>
      <c r="N6754">
        <v>0</v>
      </c>
      <c r="O6754">
        <v>2.2723529999999999E-2</v>
      </c>
      <c r="P6754">
        <v>0.99910560000000004</v>
      </c>
      <c r="Q6754">
        <v>-1.0894539999999999E-2</v>
      </c>
      <c r="R6754">
        <v>-4.0859779999999998E-2</v>
      </c>
      <c r="S6754">
        <v>2.9830320000000001</v>
      </c>
      <c r="T6754">
        <v>-8.4550860000000005E-2</v>
      </c>
      <c r="U6754">
        <v>-0.46484379999999997</v>
      </c>
      <c r="V6754">
        <v>6.3567380000000007E-2</v>
      </c>
      <c r="W6754">
        <v>2.6243339999999999E-3</v>
      </c>
      <c r="X6754">
        <v>0.99797409999999998</v>
      </c>
      <c r="Y6754">
        <v>0.17630789999999999</v>
      </c>
      <c r="Z6754">
        <v>-3.1235389999999998E-3</v>
      </c>
      <c r="AA6754">
        <v>0.98433009999999999</v>
      </c>
      <c r="AB6754">
        <v>36</v>
      </c>
      <c r="AC6754">
        <v>38.917999999999999</v>
      </c>
      <c r="AD6754">
        <v>-1.1081741644780001</v>
      </c>
      <c r="AE6754">
        <v>-6.09612</v>
      </c>
      <c r="AF6754">
        <v>6.9734659438355404</v>
      </c>
      <c r="AG6754">
        <v>-1.1081741644780001</v>
      </c>
      <c r="AH6754">
        <v>38.738753056003198</v>
      </c>
      <c r="AI6754">
        <v>91.612669427786898</v>
      </c>
      <c r="AJ6754">
        <v>79.795323735170101</v>
      </c>
      <c r="AK6754">
        <v>39.377001734294701</v>
      </c>
      <c r="AL6754">
        <v>89.849636565412098</v>
      </c>
      <c r="AM6754">
        <v>86.355387509939206</v>
      </c>
      <c r="AN6754">
        <v>1.0000000015999</v>
      </c>
    </row>
    <row r="6755" spans="1:40" x14ac:dyDescent="0.25">
      <c r="A6755" t="str">
        <f>"20190312154429610"</f>
        <v>20190312154429610</v>
      </c>
      <c r="B6755" t="str">
        <f>"1552376669604694"</f>
        <v>1552376669604694</v>
      </c>
      <c r="C6755" t="s">
        <v>40</v>
      </c>
      <c r="D6755">
        <v>4.9403819999999996</v>
      </c>
      <c r="E6755">
        <v>0.54366269999999906</v>
      </c>
      <c r="F6755" t="s">
        <v>70</v>
      </c>
      <c r="G6755">
        <v>-197.21019999999999</v>
      </c>
      <c r="H6755" s="1">
        <v>-7.2228639999999998E-6</v>
      </c>
      <c r="I6755">
        <v>-66.922809999999998</v>
      </c>
      <c r="J6755">
        <v>-236.07589999999999</v>
      </c>
      <c r="K6755">
        <v>1.10812</v>
      </c>
      <c r="L6755">
        <v>-60.783329999999999</v>
      </c>
      <c r="M6755">
        <v>0.99967260000000002</v>
      </c>
      <c r="N6755">
        <v>0</v>
      </c>
      <c r="O6755">
        <v>2.161132E-2</v>
      </c>
      <c r="P6755">
        <v>0.99905600000000006</v>
      </c>
      <c r="Q6755">
        <v>-1.023196E-2</v>
      </c>
      <c r="R6755">
        <v>-4.2219119999999999E-2</v>
      </c>
      <c r="S6755">
        <v>2.982605</v>
      </c>
      <c r="T6755">
        <v>-8.4629179999999998E-2</v>
      </c>
      <c r="U6755">
        <v>-0.4685974</v>
      </c>
      <c r="V6755">
        <v>6.381771E-2</v>
      </c>
      <c r="W6755">
        <v>3.1374089999999999E-3</v>
      </c>
      <c r="X6755">
        <v>0.99795659999999997</v>
      </c>
      <c r="Y6755">
        <v>0.17644360000000001</v>
      </c>
      <c r="Z6755">
        <v>-3.0971010000000001E-3</v>
      </c>
      <c r="AA6755">
        <v>0.98430589999999996</v>
      </c>
      <c r="AB6755">
        <v>36</v>
      </c>
      <c r="AC6755">
        <v>38.865699999999997</v>
      </c>
      <c r="AD6755">
        <v>-1.108127222864</v>
      </c>
      <c r="AE6755">
        <v>-6.1394799999999901</v>
      </c>
      <c r="AF6755">
        <v>6.9725336424152298</v>
      </c>
      <c r="AG6755">
        <v>-1.108127222864</v>
      </c>
      <c r="AH6755">
        <v>38.693237814147203</v>
      </c>
      <c r="AI6755">
        <v>91.614444243982504</v>
      </c>
      <c r="AJ6755">
        <v>79.784909653892498</v>
      </c>
      <c r="AK6755">
        <v>39.332058474974602</v>
      </c>
      <c r="AL6755">
        <v>89.820239403498704</v>
      </c>
      <c r="AM6755">
        <v>86.341009856160099</v>
      </c>
      <c r="AN6755">
        <v>0.99999995946421705</v>
      </c>
    </row>
    <row r="6756" spans="1:40" x14ac:dyDescent="0.25">
      <c r="A6756" t="str">
        <f>"20190312154429620"</f>
        <v>20190312154429620</v>
      </c>
      <c r="B6756" t="str">
        <f>"1552376669614453"</f>
        <v>1552376669614453</v>
      </c>
      <c r="C6756" t="s">
        <v>40</v>
      </c>
      <c r="D6756">
        <v>4.970116</v>
      </c>
      <c r="E6756">
        <v>0.54353490000000004</v>
      </c>
      <c r="F6756" t="s">
        <v>70</v>
      </c>
      <c r="G6756">
        <v>-196.65880000000001</v>
      </c>
      <c r="H6756" s="1">
        <v>-7.4538109999999998E-6</v>
      </c>
      <c r="I6756">
        <v>-67.032259999999994</v>
      </c>
      <c r="J6756">
        <v>-235.89859999999999</v>
      </c>
      <c r="K6756">
        <v>1.1080779999999999</v>
      </c>
      <c r="L6756">
        <v>-60.7804</v>
      </c>
      <c r="M6756">
        <v>0.99969669999999999</v>
      </c>
      <c r="N6756">
        <v>0</v>
      </c>
      <c r="O6756">
        <v>2.0561300000000001E-2</v>
      </c>
      <c r="P6756">
        <v>0.99901700000000004</v>
      </c>
      <c r="Q6756">
        <v>-9.7139830000000007E-3</v>
      </c>
      <c r="R6756">
        <v>-4.3254899999999999E-2</v>
      </c>
      <c r="S6756">
        <v>2.9820099999999998</v>
      </c>
      <c r="T6756">
        <v>-8.3832619999999997E-2</v>
      </c>
      <c r="U6756">
        <v>-0.4727478</v>
      </c>
      <c r="V6756">
        <v>6.3805920000000002E-2</v>
      </c>
      <c r="W6756">
        <v>3.511246E-3</v>
      </c>
      <c r="X6756">
        <v>0.99795619999999996</v>
      </c>
      <c r="Y6756">
        <v>0.1767782</v>
      </c>
      <c r="Z6756">
        <v>-3.043558E-3</v>
      </c>
      <c r="AA6756">
        <v>0.98424599999999995</v>
      </c>
      <c r="AB6756">
        <v>36</v>
      </c>
      <c r="AC6756">
        <v>39.239799999999903</v>
      </c>
      <c r="AD6756">
        <v>-1.1080854538110001</v>
      </c>
      <c r="AE6756">
        <v>-6.25185999999999</v>
      </c>
      <c r="AF6756">
        <v>7.0519492826799697</v>
      </c>
      <c r="AG6756">
        <v>-1.1080854538110001</v>
      </c>
      <c r="AH6756">
        <v>39.072558449210703</v>
      </c>
      <c r="AI6756">
        <v>91.598639974536994</v>
      </c>
      <c r="AJ6756">
        <v>79.769199430660294</v>
      </c>
      <c r="AK6756">
        <v>39.719298405503402</v>
      </c>
      <c r="AL6756">
        <v>89.798820020179306</v>
      </c>
      <c r="AM6756">
        <v>86.341682537905101</v>
      </c>
      <c r="AN6756">
        <v>1.00000005069697</v>
      </c>
    </row>
    <row r="6757" spans="1:40" x14ac:dyDescent="0.25">
      <c r="A6757" t="str">
        <f>"20190312154429632"</f>
        <v>20190312154429632</v>
      </c>
      <c r="B6757" t="str">
        <f>"1552376669624214"</f>
        <v>1552376669624214</v>
      </c>
      <c r="C6757" t="s">
        <v>40</v>
      </c>
      <c r="D6757">
        <v>4.994275</v>
      </c>
      <c r="E6757">
        <v>0.54353490000000004</v>
      </c>
      <c r="F6757" t="s">
        <v>70</v>
      </c>
      <c r="G6757">
        <v>-195.36590000000001</v>
      </c>
      <c r="H6757" s="1">
        <v>-8.0352730000000003E-6</v>
      </c>
      <c r="I6757">
        <v>-67.236109999999996</v>
      </c>
      <c r="J6757">
        <v>-235.7115</v>
      </c>
      <c r="K6757">
        <v>1.108036</v>
      </c>
      <c r="L6757">
        <v>-60.777470000000001</v>
      </c>
      <c r="M6757">
        <v>0.99972099999999997</v>
      </c>
      <c r="N6757">
        <v>0</v>
      </c>
      <c r="O6757">
        <v>1.9450680000000001E-2</v>
      </c>
      <c r="P6757">
        <v>0.99896180000000001</v>
      </c>
      <c r="Q6757">
        <v>-9.4332700000000005E-3</v>
      </c>
      <c r="R6757">
        <v>-4.4568209999999997E-2</v>
      </c>
      <c r="S6757">
        <v>2.981598</v>
      </c>
      <c r="T6757">
        <v>-8.1511020000000003E-2</v>
      </c>
      <c r="U6757">
        <v>-0.47488399999999997</v>
      </c>
      <c r="V6757">
        <v>6.4010369999999997E-2</v>
      </c>
      <c r="W6757">
        <v>3.6380850000000001E-3</v>
      </c>
      <c r="X6757">
        <v>0.99794260000000001</v>
      </c>
      <c r="Y6757">
        <v>0.17639830000000001</v>
      </c>
      <c r="Z6757">
        <v>-2.9241940000000002E-3</v>
      </c>
      <c r="AA6757">
        <v>0.98431449999999998</v>
      </c>
      <c r="AB6757">
        <v>36</v>
      </c>
      <c r="AC6757">
        <v>40.345599999999898</v>
      </c>
      <c r="AD6757">
        <v>-1.1080440352730001</v>
      </c>
      <c r="AE6757">
        <v>-6.4586399999999999</v>
      </c>
      <c r="AF6757">
        <v>7.2369156162700801</v>
      </c>
      <c r="AG6757">
        <v>-1.1080440352730001</v>
      </c>
      <c r="AH6757">
        <v>40.182778715431198</v>
      </c>
      <c r="AI6757">
        <v>91.554538690342895</v>
      </c>
      <c r="AJ6757">
        <v>79.790480518483307</v>
      </c>
      <c r="AK6757">
        <v>40.844294760889603</v>
      </c>
      <c r="AL6757">
        <v>89.791552623750903</v>
      </c>
      <c r="AM6757">
        <v>86.329942488516807</v>
      </c>
      <c r="AN6757">
        <v>0.99999999801238204</v>
      </c>
    </row>
    <row r="6758" spans="1:40" x14ac:dyDescent="0.25">
      <c r="A6758" t="str">
        <f>"20190312154429642"</f>
        <v>20190312154429642</v>
      </c>
      <c r="B6758" t="str">
        <f>"1552376669633974"</f>
        <v>1552376669633974</v>
      </c>
      <c r="C6758" t="s">
        <v>40</v>
      </c>
      <c r="D6758">
        <v>4.9282110000000001</v>
      </c>
      <c r="E6758">
        <v>0.54065200000000002</v>
      </c>
      <c r="F6758" t="s">
        <v>70</v>
      </c>
      <c r="G6758">
        <v>-194.76499999999999</v>
      </c>
      <c r="H6758" s="1">
        <v>-8.3083100000000004E-6</v>
      </c>
      <c r="I6758">
        <v>-67.354460000000003</v>
      </c>
      <c r="J6758">
        <v>-235.53659999999999</v>
      </c>
      <c r="K6758">
        <v>1.1080019999999999</v>
      </c>
      <c r="L6758">
        <v>-60.774929999999998</v>
      </c>
      <c r="M6758">
        <v>0.99974269999999998</v>
      </c>
      <c r="N6758">
        <v>0</v>
      </c>
      <c r="O6758">
        <v>1.840692E-2</v>
      </c>
      <c r="P6758">
        <v>0.99892530000000002</v>
      </c>
      <c r="Q6758">
        <v>-9.1003939999999995E-3</v>
      </c>
      <c r="R6758">
        <v>-4.5449129999999997E-2</v>
      </c>
      <c r="S6758">
        <v>2.9810029999999998</v>
      </c>
      <c r="T6758">
        <v>-8.0668210000000004E-2</v>
      </c>
      <c r="U6758">
        <v>-0.47882079999999999</v>
      </c>
      <c r="V6758">
        <v>6.3849400000000001E-2</v>
      </c>
      <c r="W6758">
        <v>3.8278650000000002E-3</v>
      </c>
      <c r="X6758">
        <v>0.99795219999999996</v>
      </c>
      <c r="Y6758">
        <v>0.1766703</v>
      </c>
      <c r="Z6758">
        <v>-2.8698170000000002E-3</v>
      </c>
      <c r="AA6758">
        <v>0.98426590000000003</v>
      </c>
      <c r="AB6758">
        <v>36</v>
      </c>
      <c r="AC6758">
        <v>40.771599999999999</v>
      </c>
      <c r="AD6758">
        <v>-1.1080103083099999</v>
      </c>
      <c r="AE6758">
        <v>-6.5795299999999903</v>
      </c>
      <c r="AF6758">
        <v>7.3236890817568501</v>
      </c>
      <c r="AG6758">
        <v>-1.1080103083099999</v>
      </c>
      <c r="AH6758">
        <v>40.614337796191897</v>
      </c>
      <c r="AI6758">
        <v>91.537921901062504</v>
      </c>
      <c r="AJ6758">
        <v>79.778115417168095</v>
      </c>
      <c r="AK6758">
        <v>41.284240858137899</v>
      </c>
      <c r="AL6758">
        <v>89.780678954463298</v>
      </c>
      <c r="AM6758">
        <v>86.339181752107095</v>
      </c>
      <c r="AN6758">
        <v>0.99999999595782896</v>
      </c>
    </row>
    <row r="6759" spans="1:40" x14ac:dyDescent="0.25">
      <c r="A6759" t="str">
        <f>"20190312154429654"</f>
        <v>20190312154429654</v>
      </c>
      <c r="B6759" t="str">
        <f>"1552376669644710"</f>
        <v>1552376669644710</v>
      </c>
      <c r="C6759" t="s">
        <v>40</v>
      </c>
      <c r="D6759">
        <v>4.9397339999999996</v>
      </c>
      <c r="E6759">
        <v>0.54065200000000002</v>
      </c>
      <c r="F6759" t="s">
        <v>70</v>
      </c>
      <c r="G6759">
        <v>-198.4171</v>
      </c>
      <c r="H6759" s="1">
        <v>-6.7054150000000004E-6</v>
      </c>
      <c r="I6759">
        <v>-66.477260000000001</v>
      </c>
      <c r="J6759">
        <v>-235.34870000000001</v>
      </c>
      <c r="K6759">
        <v>1.1079650000000001</v>
      </c>
      <c r="L6759">
        <v>-60.772399999999998</v>
      </c>
      <c r="M6759">
        <v>0.99976469999999995</v>
      </c>
      <c r="N6759">
        <v>0</v>
      </c>
      <c r="O6759">
        <v>1.7283920000000001E-2</v>
      </c>
      <c r="P6759">
        <v>0.99886710000000001</v>
      </c>
      <c r="Q6759">
        <v>-8.8855059999999996E-3</v>
      </c>
      <c r="R6759">
        <v>-4.6754469999999999E-2</v>
      </c>
      <c r="S6759">
        <v>2.9816129999999998</v>
      </c>
      <c r="T6759">
        <v>-8.9000579999999996E-2</v>
      </c>
      <c r="U6759">
        <v>-0.45803830000000001</v>
      </c>
      <c r="V6759">
        <v>6.4032889999999995E-2</v>
      </c>
      <c r="W6759">
        <v>3.8893769999999999E-3</v>
      </c>
      <c r="X6759">
        <v>0.99794020000000005</v>
      </c>
      <c r="Y6759">
        <v>0.168821</v>
      </c>
      <c r="Z6759">
        <v>-3.0173919999999998E-3</v>
      </c>
      <c r="AA6759">
        <v>0.98564209999999997</v>
      </c>
      <c r="AB6759">
        <v>36</v>
      </c>
      <c r="AC6759">
        <v>36.931600000000003</v>
      </c>
      <c r="AD6759">
        <v>-1.10797170541499</v>
      </c>
      <c r="AE6759">
        <v>-5.70486</v>
      </c>
      <c r="AF6759">
        <v>6.3368148755366303</v>
      </c>
      <c r="AG6759">
        <v>-1.10797170541499</v>
      </c>
      <c r="AH6759">
        <v>36.795126232136496</v>
      </c>
      <c r="AI6759">
        <v>91.699756815852993</v>
      </c>
      <c r="AJ6759">
        <v>80.2284394643236</v>
      </c>
      <c r="AK6759">
        <v>37.353234645819903</v>
      </c>
      <c r="AL6759">
        <v>89.777154549008799</v>
      </c>
      <c r="AM6759">
        <v>86.328646021768904</v>
      </c>
      <c r="AN6759">
        <v>0.99999999051562005</v>
      </c>
    </row>
    <row r="6760" spans="1:40" x14ac:dyDescent="0.25">
      <c r="A6760" t="str">
        <f>"20190312154429665"</f>
        <v>20190312154429665</v>
      </c>
      <c r="B6760" t="str">
        <f>"1552376669654470"</f>
        <v>1552376669654470</v>
      </c>
      <c r="C6760" t="s">
        <v>40</v>
      </c>
      <c r="D6760">
        <v>4.9581140000000001</v>
      </c>
      <c r="E6760">
        <v>0.51482700000000003</v>
      </c>
      <c r="F6760" t="s">
        <v>70</v>
      </c>
      <c r="G6760">
        <v>-197.94460000000001</v>
      </c>
      <c r="H6760" s="1">
        <v>-6.9031539999999901E-6</v>
      </c>
      <c r="I6760">
        <v>-66.568609999999893</v>
      </c>
      <c r="J6760">
        <v>-235.1661</v>
      </c>
      <c r="K6760">
        <v>1.1079319999999999</v>
      </c>
      <c r="L6760">
        <v>-60.770110000000003</v>
      </c>
      <c r="M6760">
        <v>0.99978480000000003</v>
      </c>
      <c r="N6760">
        <v>0</v>
      </c>
      <c r="O6760">
        <v>1.619058E-2</v>
      </c>
      <c r="P6760">
        <v>0.99880380000000002</v>
      </c>
      <c r="Q6760">
        <v>-8.822491E-3</v>
      </c>
      <c r="R6760">
        <v>-4.8096180000000002E-2</v>
      </c>
      <c r="S6760">
        <v>2.9810180000000002</v>
      </c>
      <c r="T6760">
        <v>-8.8302729999999996E-2</v>
      </c>
      <c r="U6760">
        <v>-0.46194459999999998</v>
      </c>
      <c r="V6760">
        <v>6.4281820000000003E-2</v>
      </c>
      <c r="W6760">
        <v>3.8030690000000001E-3</v>
      </c>
      <c r="X6760">
        <v>0.99792460000000005</v>
      </c>
      <c r="Y6760">
        <v>0.16903580000000001</v>
      </c>
      <c r="Z6760">
        <v>-2.9649899999999998E-3</v>
      </c>
      <c r="AA6760">
        <v>0.98560550000000002</v>
      </c>
      <c r="AB6760">
        <v>36</v>
      </c>
      <c r="AC6760">
        <v>37.221499999999899</v>
      </c>
      <c r="AD6760">
        <v>-1.1079389031539999</v>
      </c>
      <c r="AE6760">
        <v>-5.79849999999999</v>
      </c>
      <c r="AF6760">
        <v>6.3948964321086397</v>
      </c>
      <c r="AG6760">
        <v>-1.1079389031539999</v>
      </c>
      <c r="AH6760">
        <v>37.090646917588799</v>
      </c>
      <c r="AI6760">
        <v>91.686117269925404</v>
      </c>
      <c r="AJ6760">
        <v>80.217657012271204</v>
      </c>
      <c r="AK6760">
        <v>37.654193893320198</v>
      </c>
      <c r="AL6760">
        <v>89.782099685240993</v>
      </c>
      <c r="AM6760">
        <v>86.314355317213497</v>
      </c>
      <c r="AN6760">
        <v>1.0000000615007401</v>
      </c>
    </row>
    <row r="6761" spans="1:40" x14ac:dyDescent="0.25">
      <c r="A6761" t="str">
        <f>"20190312154429675"</f>
        <v>20190312154429675</v>
      </c>
      <c r="B6761" t="str">
        <f>"1552376669664230"</f>
        <v>1552376669664230</v>
      </c>
      <c r="C6761" t="s">
        <v>40</v>
      </c>
      <c r="D6761">
        <v>4.9459660000000003</v>
      </c>
      <c r="E6761">
        <v>0.51469259999999994</v>
      </c>
      <c r="F6761" t="s">
        <v>70</v>
      </c>
      <c r="G6761">
        <v>-206.49199999999999</v>
      </c>
      <c r="H6761" s="1">
        <v>-2.601003E-6</v>
      </c>
      <c r="I6761">
        <v>-63.254150000000003</v>
      </c>
      <c r="J6761">
        <v>-234.99430000000001</v>
      </c>
      <c r="K6761">
        <v>1.10791</v>
      </c>
      <c r="L6761">
        <v>-60.768189999999997</v>
      </c>
      <c r="M6761">
        <v>0.99980279999999999</v>
      </c>
      <c r="N6761">
        <v>0</v>
      </c>
      <c r="O6761">
        <v>1.516092E-2</v>
      </c>
      <c r="P6761">
        <v>0.99874399999999997</v>
      </c>
      <c r="Q6761">
        <v>-9.0735139999999995E-3</v>
      </c>
      <c r="R6761">
        <v>-4.9280119999999997E-2</v>
      </c>
      <c r="S6761">
        <v>2.990097</v>
      </c>
      <c r="T6761">
        <v>-0.1155342</v>
      </c>
      <c r="U6761">
        <v>-0.25903320000000002</v>
      </c>
      <c r="V6761">
        <v>6.4435080000000006E-2</v>
      </c>
      <c r="W6761">
        <v>3.4163570000000001E-3</v>
      </c>
      <c r="X6761">
        <v>0.99791600000000003</v>
      </c>
      <c r="Y6761">
        <v>0.1013165</v>
      </c>
      <c r="Z6761">
        <v>-2.537615E-3</v>
      </c>
      <c r="AA6761">
        <v>0.99485100000000004</v>
      </c>
      <c r="AB6761">
        <v>36</v>
      </c>
      <c r="AC6761">
        <v>28.502299999999899</v>
      </c>
      <c r="AD6761">
        <v>-1.107912601003</v>
      </c>
      <c r="AE6761">
        <v>-2.4859599999999902</v>
      </c>
      <c r="AF6761">
        <v>2.9134620000046301</v>
      </c>
      <c r="AG6761">
        <v>-1.107912601003</v>
      </c>
      <c r="AH6761">
        <v>28.418715872631498</v>
      </c>
      <c r="AI6761">
        <v>92.220934488450098</v>
      </c>
      <c r="AJ6761">
        <v>84.146536394585695</v>
      </c>
      <c r="AK6761">
        <v>28.5891437963135</v>
      </c>
      <c r="AL6761">
        <v>89.804256771453296</v>
      </c>
      <c r="AM6761">
        <v>86.305560601100794</v>
      </c>
      <c r="AN6761">
        <v>0.99999994704287698</v>
      </c>
    </row>
    <row r="6762" spans="1:40" x14ac:dyDescent="0.25">
      <c r="A6762" t="str">
        <f>"20190312154429686"</f>
        <v>20190312154429686</v>
      </c>
      <c r="B6762" t="str">
        <f>"1552376669673991"</f>
        <v>1552376669673991</v>
      </c>
      <c r="C6762" t="s">
        <v>40</v>
      </c>
      <c r="D6762">
        <v>4.9546619999999999</v>
      </c>
      <c r="E6762">
        <v>0.51480009999999998</v>
      </c>
      <c r="F6762" t="s">
        <v>70</v>
      </c>
      <c r="G6762">
        <v>-206.19720000000001</v>
      </c>
      <c r="H6762" s="1">
        <v>-2.7930690000000002E-6</v>
      </c>
      <c r="I6762">
        <v>-63.287500000000001</v>
      </c>
      <c r="J6762">
        <v>-234.81389999999999</v>
      </c>
      <c r="K6762">
        <v>1.10788</v>
      </c>
      <c r="L6762">
        <v>-60.766269999999999</v>
      </c>
      <c r="M6762">
        <v>0.99982040000000005</v>
      </c>
      <c r="N6762">
        <v>0</v>
      </c>
      <c r="O6762">
        <v>1.407975E-2</v>
      </c>
      <c r="P6762">
        <v>0.99868060000000003</v>
      </c>
      <c r="Q6762">
        <v>-9.0016739999999994E-3</v>
      </c>
      <c r="R6762">
        <v>-5.0556579999999997E-2</v>
      </c>
      <c r="S6762">
        <v>2.9898380000000002</v>
      </c>
      <c r="T6762">
        <v>-0.11502800000000001</v>
      </c>
      <c r="U6762">
        <v>-0.26156620000000003</v>
      </c>
      <c r="V6762">
        <v>6.4631399999999894E-2</v>
      </c>
      <c r="W6762">
        <v>3.3472160000000001E-3</v>
      </c>
      <c r="X6762">
        <v>0.9979036</v>
      </c>
      <c r="Y6762">
        <v>0.1010863</v>
      </c>
      <c r="Z6762">
        <v>-2.4806979999999999E-3</v>
      </c>
      <c r="AA6762">
        <v>0.99487460000000005</v>
      </c>
      <c r="AB6762">
        <v>36</v>
      </c>
      <c r="AC6762">
        <v>28.616699999999899</v>
      </c>
      <c r="AD6762">
        <v>-1.1078827930689901</v>
      </c>
      <c r="AE6762">
        <v>-2.5212300000000001</v>
      </c>
      <c r="AF6762">
        <v>2.9195862304790099</v>
      </c>
      <c r="AG6762">
        <v>-1.1078827930689901</v>
      </c>
      <c r="AH6762">
        <v>28.535921097668101</v>
      </c>
      <c r="AI6762">
        <v>92.211808338535405</v>
      </c>
      <c r="AJ6762">
        <v>84.158242932969202</v>
      </c>
      <c r="AK6762">
        <v>28.706274243320401</v>
      </c>
      <c r="AL6762">
        <v>89.808218293557601</v>
      </c>
      <c r="AM6762">
        <v>86.294289826611205</v>
      </c>
      <c r="AN6762">
        <v>1.00000000830693</v>
      </c>
    </row>
    <row r="6763" spans="1:40" x14ac:dyDescent="0.25">
      <c r="A6763" t="str">
        <f>"20190312154429699"</f>
        <v>20190312154429699</v>
      </c>
      <c r="B6763" t="str">
        <f>"1552376669694488"</f>
        <v>1552376669694488</v>
      </c>
      <c r="C6763" t="s">
        <v>40</v>
      </c>
      <c r="D6763">
        <v>4.9771640000000001</v>
      </c>
      <c r="E6763">
        <v>0.51518359999999996</v>
      </c>
      <c r="F6763" t="s">
        <v>70</v>
      </c>
      <c r="G6763">
        <v>-206.50710000000001</v>
      </c>
      <c r="H6763" s="1">
        <v>-2.5959360000000001E-6</v>
      </c>
      <c r="I6763">
        <v>-63.286659999999998</v>
      </c>
      <c r="J6763">
        <v>-234.6183</v>
      </c>
      <c r="K6763">
        <v>1.1078539999999999</v>
      </c>
      <c r="L6763">
        <v>-60.764530000000001</v>
      </c>
      <c r="M6763">
        <v>0.9998378</v>
      </c>
      <c r="N6763">
        <v>0</v>
      </c>
      <c r="O6763">
        <v>1.290781E-2</v>
      </c>
      <c r="P6763">
        <v>0.99861690000000003</v>
      </c>
      <c r="Q6763">
        <v>-9.3461970000000005E-3</v>
      </c>
      <c r="R6763">
        <v>-5.1735419999999997E-2</v>
      </c>
      <c r="S6763">
        <v>2.9894259999999999</v>
      </c>
      <c r="T6763">
        <v>-0.1170012</v>
      </c>
      <c r="U6763">
        <v>-0.26617429999999997</v>
      </c>
      <c r="V6763">
        <v>6.463721E-2</v>
      </c>
      <c r="W6763">
        <v>2.8608449999999999E-3</v>
      </c>
      <c r="X6763">
        <v>0.99790469999999998</v>
      </c>
      <c r="Y6763">
        <v>0.101451399999999</v>
      </c>
      <c r="Z6763">
        <v>-2.48475E-3</v>
      </c>
      <c r="AA6763">
        <v>0.99483739999999998</v>
      </c>
      <c r="AB6763">
        <v>36</v>
      </c>
      <c r="AC6763">
        <v>28.1112</v>
      </c>
      <c r="AD6763">
        <v>-1.1078565959360001</v>
      </c>
      <c r="AE6763">
        <v>-2.52212999999999</v>
      </c>
      <c r="AF6763">
        <v>2.8803646413728998</v>
      </c>
      <c r="AG6763">
        <v>-1.1078565959360001</v>
      </c>
      <c r="AH6763">
        <v>28.0331085259802</v>
      </c>
      <c r="AI6763">
        <v>92.251287037097995</v>
      </c>
      <c r="AJ6763">
        <v>84.133521710239506</v>
      </c>
      <c r="AK6763">
        <v>28.202464791819501</v>
      </c>
      <c r="AL6763">
        <v>89.836085427447301</v>
      </c>
      <c r="AM6763">
        <v>86.293961706229297</v>
      </c>
      <c r="AN6763">
        <v>0.999999971816393</v>
      </c>
    </row>
    <row r="6764" spans="1:40" x14ac:dyDescent="0.25">
      <c r="A6764" t="str">
        <f>"20190312154429712"</f>
        <v>20190312154429712</v>
      </c>
      <c r="B6764" t="str">
        <f>"1552376669704246"</f>
        <v>1552376669704246</v>
      </c>
      <c r="C6764" t="s">
        <v>40</v>
      </c>
      <c r="D6764">
        <v>4.9789560000000002</v>
      </c>
      <c r="E6764">
        <v>0.51448070000000001</v>
      </c>
      <c r="F6764" t="s">
        <v>70</v>
      </c>
      <c r="G6764">
        <v>-206.36060000000001</v>
      </c>
      <c r="H6764" s="1">
        <v>-2.6970179999999998E-6</v>
      </c>
      <c r="I6764">
        <v>-63.343870000000003</v>
      </c>
      <c r="J6764">
        <v>-234.42869999999999</v>
      </c>
      <c r="K6764">
        <v>1.107828</v>
      </c>
      <c r="L6764">
        <v>-60.76294</v>
      </c>
      <c r="M6764">
        <v>0.99985360000000001</v>
      </c>
      <c r="N6764">
        <v>0</v>
      </c>
      <c r="O6764">
        <v>1.177156E-2</v>
      </c>
      <c r="P6764">
        <v>0.99855119999999997</v>
      </c>
      <c r="Q6764">
        <v>-9.5037860000000002E-3</v>
      </c>
      <c r="R6764">
        <v>-5.2968380000000002E-2</v>
      </c>
      <c r="S6764">
        <v>2.9889220000000001</v>
      </c>
      <c r="T6764">
        <v>-0.1171821</v>
      </c>
      <c r="U6764">
        <v>-0.27282709999999999</v>
      </c>
      <c r="V6764">
        <v>6.4733769999999996E-2</v>
      </c>
      <c r="W6764">
        <v>2.5680669999999998E-3</v>
      </c>
      <c r="X6764">
        <v>0.99789930000000004</v>
      </c>
      <c r="Y6764">
        <v>0.1025319</v>
      </c>
      <c r="Z6764">
        <v>-2.465437E-3</v>
      </c>
      <c r="AA6764">
        <v>0.99472669999999996</v>
      </c>
      <c r="AB6764">
        <v>36</v>
      </c>
      <c r="AC6764">
        <v>28.068099999999902</v>
      </c>
      <c r="AD6764">
        <v>-1.1078306970180001</v>
      </c>
      <c r="AE6764">
        <v>-2.5809299999999902</v>
      </c>
      <c r="AF6764">
        <v>2.9066917755081301</v>
      </c>
      <c r="AG6764">
        <v>-1.1078306970180001</v>
      </c>
      <c r="AH6764">
        <v>27.992528975412601</v>
      </c>
      <c r="AI6764">
        <v>92.254243858206607</v>
      </c>
      <c r="AJ6764">
        <v>84.071759458527595</v>
      </c>
      <c r="AK6764">
        <v>28.1648331145486</v>
      </c>
      <c r="AL6764">
        <v>89.852860442730702</v>
      </c>
      <c r="AM6764">
        <v>86.288420778473693</v>
      </c>
      <c r="AN6764">
        <v>1.0000000344435001</v>
      </c>
    </row>
    <row r="6765" spans="1:40" x14ac:dyDescent="0.25">
      <c r="A6765" t="str">
        <f>"20190312154429722"</f>
        <v>20190312154429722</v>
      </c>
      <c r="B6765" t="str">
        <f>"1552376669714006"</f>
        <v>1552376669714006</v>
      </c>
      <c r="C6765" t="s">
        <v>40</v>
      </c>
      <c r="D6765">
        <v>4.9961949999999904</v>
      </c>
      <c r="E6765">
        <v>0.51397720000000002</v>
      </c>
      <c r="F6765" t="s">
        <v>70</v>
      </c>
      <c r="G6765">
        <v>-208.40690000000001</v>
      </c>
      <c r="H6765" s="1">
        <v>-1.365012E-6</v>
      </c>
      <c r="I6765">
        <v>-63.118639999999999</v>
      </c>
      <c r="J6765">
        <v>-234.23220000000001</v>
      </c>
      <c r="K6765">
        <v>1.1078059999999901</v>
      </c>
      <c r="L6765">
        <v>-60.761629999999997</v>
      </c>
      <c r="M6765">
        <v>0.99986839999999999</v>
      </c>
      <c r="N6765">
        <v>0</v>
      </c>
      <c r="O6765">
        <v>1.0595169999999999E-2</v>
      </c>
      <c r="P6765">
        <v>0.99849120000000002</v>
      </c>
      <c r="Q6765">
        <v>-9.6359700000000006E-3</v>
      </c>
      <c r="R6765">
        <v>-5.4063109999999998E-2</v>
      </c>
      <c r="S6765">
        <v>2.988785</v>
      </c>
      <c r="T6765">
        <v>-0.12724170000000001</v>
      </c>
      <c r="U6765">
        <v>-0.2705688</v>
      </c>
      <c r="V6765">
        <v>6.4652550000000003E-2</v>
      </c>
      <c r="W6765">
        <v>2.3062849999999999E-3</v>
      </c>
      <c r="X6765">
        <v>0.99790520000000005</v>
      </c>
      <c r="Y6765">
        <v>0.10060719999999999</v>
      </c>
      <c r="Z6765">
        <v>-2.586274E-3</v>
      </c>
      <c r="AA6765">
        <v>0.99492290000000005</v>
      </c>
      <c r="AB6765">
        <v>37</v>
      </c>
      <c r="AC6765">
        <v>25.825299999999999</v>
      </c>
      <c r="AD6765">
        <v>-1.1078073650119999</v>
      </c>
      <c r="AE6765">
        <v>-2.3570099999999901</v>
      </c>
      <c r="AF6765">
        <v>2.6257301228055199</v>
      </c>
      <c r="AG6765">
        <v>-1.1078073650119999</v>
      </c>
      <c r="AH6765">
        <v>25.751881205469001</v>
      </c>
      <c r="AI6765">
        <v>92.450569901560797</v>
      </c>
      <c r="AJ6765">
        <v>84.178090294036494</v>
      </c>
      <c r="AK6765">
        <v>25.909092640545499</v>
      </c>
      <c r="AL6765">
        <v>89.867859489925806</v>
      </c>
      <c r="AM6765">
        <v>86.293086476378605</v>
      </c>
      <c r="AN6765">
        <v>1.00000002967952</v>
      </c>
    </row>
    <row r="6766" spans="1:40" x14ac:dyDescent="0.25">
      <c r="A6766" t="str">
        <f>"20190312154429735"</f>
        <v>20190312154429735</v>
      </c>
      <c r="B6766" t="str">
        <f>"1552376669724742"</f>
        <v>1552376669724742</v>
      </c>
      <c r="C6766" t="s">
        <v>40</v>
      </c>
      <c r="D6766">
        <v>4.9968089999999998</v>
      </c>
      <c r="E6766">
        <v>0.51364299999999996</v>
      </c>
      <c r="F6766" t="s">
        <v>70</v>
      </c>
      <c r="G6766">
        <v>-209.45650000000001</v>
      </c>
      <c r="H6766" s="1">
        <v>-8.852143E-7</v>
      </c>
      <c r="I6766">
        <v>-62.9970199999999</v>
      </c>
      <c r="J6766">
        <v>-234.03890000000001</v>
      </c>
      <c r="K6766">
        <v>1.107785</v>
      </c>
      <c r="L6766">
        <v>-60.7605</v>
      </c>
      <c r="M6766">
        <v>0.99988140000000003</v>
      </c>
      <c r="N6766">
        <v>0</v>
      </c>
      <c r="O6766">
        <v>9.4375929999999993E-3</v>
      </c>
      <c r="P6766">
        <v>0.99844699999999997</v>
      </c>
      <c r="Q6766">
        <v>-9.3585720000000008E-3</v>
      </c>
      <c r="R6766">
        <v>-5.4921409999999997E-2</v>
      </c>
      <c r="S6766">
        <v>2.9886780000000002</v>
      </c>
      <c r="T6766">
        <v>-0.13363410000000001</v>
      </c>
      <c r="U6766">
        <v>-0.26965329999999998</v>
      </c>
      <c r="V6766">
        <v>6.4355910000000002E-2</v>
      </c>
      <c r="W6766">
        <v>2.464117E-3</v>
      </c>
      <c r="X6766">
        <v>0.99792400000000003</v>
      </c>
      <c r="Y6766">
        <v>9.9148410000000006E-2</v>
      </c>
      <c r="Z6766">
        <v>-2.6320369999999998E-3</v>
      </c>
      <c r="AA6766">
        <v>0.99506919999999999</v>
      </c>
      <c r="AB6766">
        <v>37</v>
      </c>
      <c r="AC6766">
        <v>24.5824</v>
      </c>
      <c r="AD6766">
        <v>-1.1077858852143001</v>
      </c>
      <c r="AE6766">
        <v>-2.2365199999999898</v>
      </c>
      <c r="AF6766">
        <v>2.4634745443157802</v>
      </c>
      <c r="AG6766">
        <v>-1.1077858852143001</v>
      </c>
      <c r="AH6766">
        <v>24.510828642126</v>
      </c>
      <c r="AI6766">
        <v>92.574811823586998</v>
      </c>
      <c r="AJ6766">
        <v>84.260728676065497</v>
      </c>
      <c r="AK6766">
        <v>24.659209580228602</v>
      </c>
      <c r="AL6766">
        <v>89.858816357372802</v>
      </c>
      <c r="AM6766">
        <v>86.310116830103098</v>
      </c>
      <c r="AN6766">
        <v>1.00000003240025</v>
      </c>
    </row>
    <row r="6767" spans="1:40" x14ac:dyDescent="0.25">
      <c r="A6767" t="str">
        <f>"20190312154429746"</f>
        <v>20190312154429746</v>
      </c>
      <c r="B6767" t="str">
        <f>"1552376669734503"</f>
        <v>1552376669734503</v>
      </c>
      <c r="C6767" t="s">
        <v>40</v>
      </c>
      <c r="D6767">
        <v>4.9914690000000004</v>
      </c>
      <c r="E6767">
        <v>0.51327920000000005</v>
      </c>
      <c r="F6767" t="s">
        <v>78</v>
      </c>
      <c r="G6767">
        <v>-210.1497</v>
      </c>
      <c r="H6767" s="1">
        <v>2.9348229999999998E-7</v>
      </c>
      <c r="I6767">
        <v>-62.913980000000002</v>
      </c>
      <c r="J6767">
        <v>-233.8432</v>
      </c>
      <c r="K6767">
        <v>1.1077619999999999</v>
      </c>
      <c r="L6767">
        <v>-60.75958</v>
      </c>
      <c r="M6767">
        <v>0.99989320000000004</v>
      </c>
      <c r="N6767">
        <v>0</v>
      </c>
      <c r="O6767">
        <v>8.2668080000000005E-3</v>
      </c>
      <c r="P6767">
        <v>0.99839869999999997</v>
      </c>
      <c r="Q6767">
        <v>-9.3030669999999999E-3</v>
      </c>
      <c r="R6767">
        <v>-5.580131E-2</v>
      </c>
      <c r="S6767">
        <v>2.988556</v>
      </c>
      <c r="T6767">
        <v>-0.13858489999999901</v>
      </c>
      <c r="U6767">
        <v>-0.26940920000000002</v>
      </c>
      <c r="V6767">
        <v>6.4066609999999996E-2</v>
      </c>
      <c r="W6767">
        <v>2.4030829999999999E-3</v>
      </c>
      <c r="X6767">
        <v>0.99794269999999996</v>
      </c>
      <c r="Y6767">
        <v>9.7900639999999997E-2</v>
      </c>
      <c r="Z6767">
        <v>-2.646542E-3</v>
      </c>
      <c r="AA6767">
        <v>0.99519259999999998</v>
      </c>
      <c r="AB6767">
        <v>37</v>
      </c>
      <c r="AC6767">
        <v>23.6935</v>
      </c>
      <c r="AD6767">
        <v>-1.1077617065176999</v>
      </c>
      <c r="AE6767">
        <v>-2.1543999999999901</v>
      </c>
      <c r="AF6767">
        <v>2.34512599186279</v>
      </c>
      <c r="AG6767">
        <v>-1.1077617065176999</v>
      </c>
      <c r="AH6767">
        <v>23.623662966645501</v>
      </c>
      <c r="AI6767">
        <v>92.671636752751795</v>
      </c>
      <c r="AJ6767">
        <v>84.3308097152876</v>
      </c>
      <c r="AK6767">
        <v>23.765609688745499</v>
      </c>
      <c r="AL6767">
        <v>89.862313349479606</v>
      </c>
      <c r="AM6767">
        <v>86.326727139548794</v>
      </c>
      <c r="AN6767">
        <v>0.99999996890404197</v>
      </c>
    </row>
    <row r="6768" spans="1:40" x14ac:dyDescent="0.25">
      <c r="A6768" t="str">
        <f>"20190312154429755"</f>
        <v>20190312154429755</v>
      </c>
      <c r="B6768" t="str">
        <f>"1552376669744261"</f>
        <v>1552376669744261</v>
      </c>
      <c r="C6768" t="s">
        <v>40</v>
      </c>
      <c r="D6768">
        <v>5.0455579999999998</v>
      </c>
      <c r="E6768">
        <v>0.51305190000000001</v>
      </c>
      <c r="F6768" t="s">
        <v>78</v>
      </c>
      <c r="G6768">
        <v>-210.66290000000001</v>
      </c>
      <c r="H6768" s="1">
        <v>9.1558209999999999E-8</v>
      </c>
      <c r="I6768">
        <v>-62.845460000000003</v>
      </c>
      <c r="J6768">
        <v>-233.69399999999999</v>
      </c>
      <c r="K6768">
        <v>1.1077490000000001</v>
      </c>
      <c r="L6768">
        <v>-60.75909</v>
      </c>
      <c r="M6768">
        <v>0.99990120000000005</v>
      </c>
      <c r="N6768">
        <v>0</v>
      </c>
      <c r="O6768">
        <v>7.3728069999999899E-3</v>
      </c>
      <c r="P6768">
        <v>0.99837480000000001</v>
      </c>
      <c r="Q6768">
        <v>-8.8473100000000006E-3</v>
      </c>
      <c r="R6768">
        <v>-5.6303510000000001E-2</v>
      </c>
      <c r="S6768">
        <v>2.9884339999999998</v>
      </c>
      <c r="T6768">
        <v>-0.14281379999999999</v>
      </c>
      <c r="U6768">
        <v>-0.26892090000000002</v>
      </c>
      <c r="V6768">
        <v>6.3678419999999999E-2</v>
      </c>
      <c r="W6768">
        <v>2.778829E-3</v>
      </c>
      <c r="X6768">
        <v>0.99796660000000004</v>
      </c>
      <c r="Y6768">
        <v>9.6848290000000004E-2</v>
      </c>
      <c r="Z6768">
        <v>-2.6596390000000001E-3</v>
      </c>
      <c r="AA6768">
        <v>0.99529559999999995</v>
      </c>
      <c r="AB6768">
        <v>37</v>
      </c>
      <c r="AC6768">
        <v>23.031099999999999</v>
      </c>
      <c r="AD6768">
        <v>-1.10774890844179</v>
      </c>
      <c r="AE6768">
        <v>-2.0863699999999898</v>
      </c>
      <c r="AF6768">
        <v>2.2509642774031202</v>
      </c>
      <c r="AG6768">
        <v>-1.10774890844179</v>
      </c>
      <c r="AH6768">
        <v>22.962401286741802</v>
      </c>
      <c r="AI6768">
        <v>92.748758401253596</v>
      </c>
      <c r="AJ6768">
        <v>84.401282319129393</v>
      </c>
      <c r="AK6768">
        <v>23.099043717774499</v>
      </c>
      <c r="AL6768">
        <v>89.840784621226902</v>
      </c>
      <c r="AM6768">
        <v>86.349010912950405</v>
      </c>
      <c r="AN6768">
        <v>0.99999999888993296</v>
      </c>
    </row>
    <row r="6769" spans="1:40" x14ac:dyDescent="0.25">
      <c r="A6769" t="str">
        <f>"20190312154429765"</f>
        <v>20190312154429765</v>
      </c>
      <c r="B6769" t="str">
        <f>"1552376669754021"</f>
        <v>1552376669754021</v>
      </c>
      <c r="C6769" t="s">
        <v>40</v>
      </c>
      <c r="D6769">
        <v>5.0156519999999896</v>
      </c>
      <c r="E6769">
        <v>0.51272059999999997</v>
      </c>
      <c r="F6769" t="s">
        <v>78</v>
      </c>
      <c r="G6769">
        <v>-210.65379999999999</v>
      </c>
      <c r="H6769" s="1">
        <v>9.9646460000000005E-8</v>
      </c>
      <c r="I6769">
        <v>-62.829770000000003</v>
      </c>
      <c r="J6769">
        <v>-233.52010000000001</v>
      </c>
      <c r="K6769">
        <v>1.1077330000000001</v>
      </c>
      <c r="L6769">
        <v>-60.758609999999997</v>
      </c>
      <c r="M6769">
        <v>0.99990950000000001</v>
      </c>
      <c r="N6769">
        <v>0</v>
      </c>
      <c r="O6769">
        <v>6.3306430000000004E-3</v>
      </c>
      <c r="P6769">
        <v>0.99834060000000002</v>
      </c>
      <c r="Q6769">
        <v>-8.6014479999999994E-3</v>
      </c>
      <c r="R6769">
        <v>-5.6941070000000003E-2</v>
      </c>
      <c r="S6769">
        <v>2.9884490000000001</v>
      </c>
      <c r="T6769">
        <v>-0.143681</v>
      </c>
      <c r="U6769">
        <v>-0.26858520000000002</v>
      </c>
      <c r="V6769">
        <v>6.3276449999999998E-2</v>
      </c>
      <c r="W6769">
        <v>2.9328470000000001E-3</v>
      </c>
      <c r="X6769">
        <v>0.99799170000000004</v>
      </c>
      <c r="Y6769">
        <v>9.5700610000000005E-2</v>
      </c>
      <c r="Z6769">
        <v>-2.5982650000000002E-3</v>
      </c>
      <c r="AA6769">
        <v>0.99540669999999998</v>
      </c>
      <c r="AB6769">
        <v>37</v>
      </c>
      <c r="AC6769">
        <v>22.866299999999999</v>
      </c>
      <c r="AD6769">
        <v>-1.1077329003535401</v>
      </c>
      <c r="AE6769">
        <v>-2.0711599999999901</v>
      </c>
      <c r="AF6769">
        <v>2.2107410977806601</v>
      </c>
      <c r="AG6769">
        <v>-1.1077329003535401</v>
      </c>
      <c r="AH6769">
        <v>22.7996579181168</v>
      </c>
      <c r="AI6769">
        <v>92.768592778391493</v>
      </c>
      <c r="AJ6769">
        <v>84.461698119199397</v>
      </c>
      <c r="AK6769">
        <v>22.9333567007337</v>
      </c>
      <c r="AL6769">
        <v>89.831959999333506</v>
      </c>
      <c r="AM6769">
        <v>86.372087032936093</v>
      </c>
      <c r="AN6769">
        <v>0.99999997199250801</v>
      </c>
    </row>
    <row r="6770" spans="1:40" x14ac:dyDescent="0.25">
      <c r="A6770" t="str">
        <f>"20190312154429777"</f>
        <v>20190312154429777</v>
      </c>
      <c r="B6770" t="str">
        <f>"1552376669764758"</f>
        <v>1552376669764758</v>
      </c>
      <c r="C6770" t="s">
        <v>40</v>
      </c>
      <c r="D6770">
        <v>5.0451600000000001</v>
      </c>
      <c r="E6770">
        <v>0.51261229999999902</v>
      </c>
      <c r="F6770" t="s">
        <v>78</v>
      </c>
      <c r="G6770">
        <v>-210.78790000000001</v>
      </c>
      <c r="H6770" s="1">
        <v>5.1275609999999997E-8</v>
      </c>
      <c r="I6770">
        <v>-62.795319999999997</v>
      </c>
      <c r="J6770">
        <v>-233.346</v>
      </c>
      <c r="K6770">
        <v>1.1077239999999999</v>
      </c>
      <c r="L6770">
        <v>-60.758360000000003</v>
      </c>
      <c r="M6770">
        <v>0.99991649999999999</v>
      </c>
      <c r="N6770">
        <v>0</v>
      </c>
      <c r="O6770">
        <v>5.2848299999999999E-3</v>
      </c>
      <c r="P6770">
        <v>0.99830700000000006</v>
      </c>
      <c r="Q6770">
        <v>-8.3641689999999994E-3</v>
      </c>
      <c r="R6770">
        <v>-5.7561729999999998E-2</v>
      </c>
      <c r="S6770">
        <v>2.988464</v>
      </c>
      <c r="T6770">
        <v>-0.14562649999999999</v>
      </c>
      <c r="U6770">
        <v>-0.26776119999999998</v>
      </c>
      <c r="V6770">
        <v>6.2853900000000004E-2</v>
      </c>
      <c r="W6770">
        <v>3.0859110000000002E-3</v>
      </c>
      <c r="X6770">
        <v>0.99801799999999996</v>
      </c>
      <c r="Y6770">
        <v>9.4386319999999996E-2</v>
      </c>
      <c r="Z6770">
        <v>-2.5506449999999998E-3</v>
      </c>
      <c r="AA6770">
        <v>0.99553239999999998</v>
      </c>
      <c r="AB6770">
        <v>37</v>
      </c>
      <c r="AC6770">
        <v>22.5580999999999</v>
      </c>
      <c r="AD6770">
        <v>-1.10772394872438</v>
      </c>
      <c r="AE6770">
        <v>-2.0369600000000001</v>
      </c>
      <c r="AF6770">
        <v>2.15101070080659</v>
      </c>
      <c r="AG6770">
        <v>-1.10772394872438</v>
      </c>
      <c r="AH6770">
        <v>22.493219125974999</v>
      </c>
      <c r="AI6770">
        <v>92.806585228012196</v>
      </c>
      <c r="AJ6770">
        <v>84.537456135827398</v>
      </c>
      <c r="AK6770">
        <v>22.622970760505599</v>
      </c>
      <c r="AL6770">
        <v>89.823190048774293</v>
      </c>
      <c r="AM6770">
        <v>86.396344313367806</v>
      </c>
      <c r="AN6770">
        <v>1.0000000319579501</v>
      </c>
    </row>
    <row r="6771" spans="1:40" x14ac:dyDescent="0.25">
      <c r="A6771" t="str">
        <f>"20190312154429788"</f>
        <v>20190312154429788</v>
      </c>
      <c r="B6771" t="str">
        <f>"1552376669774518"</f>
        <v>1552376669774518</v>
      </c>
      <c r="C6771" t="s">
        <v>40</v>
      </c>
      <c r="D6771">
        <v>4.9782339999999996</v>
      </c>
      <c r="E6771">
        <v>0.51269849999999995</v>
      </c>
      <c r="F6771" t="s">
        <v>78</v>
      </c>
      <c r="G6771">
        <v>-210.88900000000001</v>
      </c>
      <c r="H6771" s="1">
        <v>1.260457E-8</v>
      </c>
      <c r="I6771">
        <v>-62.777589999999996</v>
      </c>
      <c r="J6771">
        <v>-233.16329999999999</v>
      </c>
      <c r="K6771">
        <v>1.10771</v>
      </c>
      <c r="L6771">
        <v>-60.758209999999998</v>
      </c>
      <c r="M6771">
        <v>0.9999228</v>
      </c>
      <c r="N6771">
        <v>0</v>
      </c>
      <c r="O6771">
        <v>4.1872890000000003E-3</v>
      </c>
      <c r="P6771">
        <v>0.99827270000000001</v>
      </c>
      <c r="Q6771">
        <v>-8.266855E-3</v>
      </c>
      <c r="R6771">
        <v>-5.8168690000000002E-2</v>
      </c>
      <c r="S6771">
        <v>2.9883579999999998</v>
      </c>
      <c r="T6771">
        <v>-0.14740549999999999</v>
      </c>
      <c r="U6771">
        <v>-0.26870729999999998</v>
      </c>
      <c r="V6771">
        <v>6.2365419999999998E-2</v>
      </c>
      <c r="W6771">
        <v>3.097355E-3</v>
      </c>
      <c r="X6771">
        <v>0.99804859999999895</v>
      </c>
      <c r="Y6771">
        <v>9.3608720000000006E-2</v>
      </c>
      <c r="Z6771">
        <v>-2.5086879999999998E-3</v>
      </c>
      <c r="AA6771">
        <v>0.99560590000000004</v>
      </c>
      <c r="AB6771">
        <v>37</v>
      </c>
      <c r="AC6771">
        <v>22.274299999999901</v>
      </c>
      <c r="AD6771">
        <v>-1.1077099873954299</v>
      </c>
      <c r="AE6771">
        <v>-2.01938</v>
      </c>
      <c r="AF6771">
        <v>2.10746809044171</v>
      </c>
      <c r="AG6771">
        <v>-1.1077099873954299</v>
      </c>
      <c r="AH6771">
        <v>22.211165469701399</v>
      </c>
      <c r="AI6771">
        <v>92.842331303459204</v>
      </c>
      <c r="AJ6771">
        <v>84.579815685088306</v>
      </c>
      <c r="AK6771">
        <v>22.338404479525</v>
      </c>
      <c r="AL6771">
        <v>89.822534351276005</v>
      </c>
      <c r="AM6771">
        <v>86.424387150096194</v>
      </c>
      <c r="AN6771">
        <v>1.0000000235908599</v>
      </c>
    </row>
    <row r="6772" spans="1:40" x14ac:dyDescent="0.25">
      <c r="A6772" t="str">
        <f>"20190312154429799"</f>
        <v>20190312154429799</v>
      </c>
      <c r="B6772" t="str">
        <f>"1552376669794037"</f>
        <v>1552376669794037</v>
      </c>
      <c r="C6772" t="s">
        <v>40</v>
      </c>
      <c r="D6772">
        <v>4.9377509999999996</v>
      </c>
      <c r="E6772">
        <v>0.51281169999999998</v>
      </c>
      <c r="F6772" t="s">
        <v>78</v>
      </c>
      <c r="G6772">
        <v>-210.69059999999999</v>
      </c>
      <c r="H6772" s="1">
        <v>9.2362310000000003E-8</v>
      </c>
      <c r="I6772">
        <v>-62.797809999999998</v>
      </c>
      <c r="J6772">
        <v>-232.96010000000001</v>
      </c>
      <c r="K6772">
        <v>1.1076919999999999</v>
      </c>
      <c r="L6772">
        <v>-60.758420000000001</v>
      </c>
      <c r="M6772">
        <v>0.99992809999999999</v>
      </c>
      <c r="N6772">
        <v>0</v>
      </c>
      <c r="O6772">
        <v>2.96138E-3</v>
      </c>
      <c r="P6772">
        <v>0.99823189999999995</v>
      </c>
      <c r="Q6772">
        <v>-8.1898849999999992E-3</v>
      </c>
      <c r="R6772">
        <v>-5.8875289999999997E-2</v>
      </c>
      <c r="S6772">
        <v>2.988159</v>
      </c>
      <c r="T6772">
        <v>-0.14729030000000001</v>
      </c>
      <c r="U6772">
        <v>-0.2712097</v>
      </c>
      <c r="V6772">
        <v>6.1848340000000002E-2</v>
      </c>
      <c r="W6772">
        <v>3.0892480000000002E-3</v>
      </c>
      <c r="X6772">
        <v>0.99808079999999999</v>
      </c>
      <c r="Y6772">
        <v>9.3223180000000003E-2</v>
      </c>
      <c r="Z6772">
        <v>-2.4370500000000001E-3</v>
      </c>
      <c r="AA6772">
        <v>0.99564219999999903</v>
      </c>
      <c r="AB6772">
        <v>37</v>
      </c>
      <c r="AC6772">
        <v>22.269500000000001</v>
      </c>
      <c r="AD6772">
        <v>-1.1076919076376901</v>
      </c>
      <c r="AE6772">
        <v>-2.03939</v>
      </c>
      <c r="AF6772">
        <v>2.1001811196567699</v>
      </c>
      <c r="AG6772">
        <v>-1.1076919076376901</v>
      </c>
      <c r="AH6772">
        <v>22.208872555503799</v>
      </c>
      <c r="AI6772">
        <v>92.842662762331997</v>
      </c>
      <c r="AJ6772">
        <v>84.597891587429899</v>
      </c>
      <c r="AK6772">
        <v>22.335437364963699</v>
      </c>
      <c r="AL6772">
        <v>89.822998850085199</v>
      </c>
      <c r="AM6772">
        <v>86.454071182085798</v>
      </c>
      <c r="AN6772">
        <v>1.0000000219712999</v>
      </c>
    </row>
    <row r="6773" spans="1:40" x14ac:dyDescent="0.25">
      <c r="A6773" t="str">
        <f>"20190312154429811"</f>
        <v>20190312154429811</v>
      </c>
      <c r="B6773" t="str">
        <f>"1552376669804774"</f>
        <v>1552376669804774</v>
      </c>
      <c r="C6773" t="s">
        <v>40</v>
      </c>
      <c r="D6773">
        <v>4.9414199999999999</v>
      </c>
      <c r="E6773">
        <v>0.51287720000000003</v>
      </c>
      <c r="F6773" t="s">
        <v>78</v>
      </c>
      <c r="G6773">
        <v>-210.44300000000001</v>
      </c>
      <c r="H6773" s="1">
        <v>1.9148620000000001E-7</v>
      </c>
      <c r="I6773">
        <v>-62.824509999999997</v>
      </c>
      <c r="J6773">
        <v>-232.78569999999999</v>
      </c>
      <c r="K6773">
        <v>1.1076809999999999</v>
      </c>
      <c r="L6773">
        <v>-60.75873</v>
      </c>
      <c r="M6773">
        <v>0.99993160000000003</v>
      </c>
      <c r="N6773">
        <v>0</v>
      </c>
      <c r="O6773">
        <v>1.907455E-3</v>
      </c>
      <c r="P6773">
        <v>0.99817630000000002</v>
      </c>
      <c r="Q6773">
        <v>-8.1644170000000002E-3</v>
      </c>
      <c r="R6773">
        <v>-5.981351E-2</v>
      </c>
      <c r="S6773">
        <v>2.987946</v>
      </c>
      <c r="T6773">
        <v>-0.1469868</v>
      </c>
      <c r="U6773">
        <v>-0.27416990000000002</v>
      </c>
      <c r="V6773">
        <v>6.1734339999999999E-2</v>
      </c>
      <c r="W6773">
        <v>3.042042E-3</v>
      </c>
      <c r="X6773">
        <v>0.99808799999999998</v>
      </c>
      <c r="Y6773">
        <v>9.3160240000000005E-2</v>
      </c>
      <c r="Z6773">
        <v>-2.3788419999999999E-3</v>
      </c>
      <c r="AA6773">
        <v>0.99564830000000004</v>
      </c>
      <c r="AB6773">
        <v>37</v>
      </c>
      <c r="AC6773">
        <v>22.342700000000001</v>
      </c>
      <c r="AD6773">
        <v>-1.1076808085137999</v>
      </c>
      <c r="AE6773">
        <v>-2.0657799999999802</v>
      </c>
      <c r="AF6773">
        <v>2.1032710366213099</v>
      </c>
      <c r="AG6773">
        <v>-1.1076808085137999</v>
      </c>
      <c r="AH6773">
        <v>22.284410897180098</v>
      </c>
      <c r="AI6773">
        <v>92.833062434618697</v>
      </c>
      <c r="AJ6773">
        <v>84.608221055685704</v>
      </c>
      <c r="AK6773">
        <v>22.410838334640601</v>
      </c>
      <c r="AL6773">
        <v>89.825703566829006</v>
      </c>
      <c r="AM6773">
        <v>86.460615940804104</v>
      </c>
      <c r="AN6773">
        <v>1.0000000192493801</v>
      </c>
    </row>
    <row r="6774" spans="1:40" x14ac:dyDescent="0.25">
      <c r="A6774" t="str">
        <f>"20190312154429821"</f>
        <v>20190312154429821</v>
      </c>
      <c r="B6774" t="str">
        <f>"1552376669814534"</f>
        <v>1552376669814534</v>
      </c>
      <c r="C6774" t="s">
        <v>40</v>
      </c>
      <c r="D6774">
        <v>4.9703989999999996</v>
      </c>
      <c r="E6774">
        <v>0.51283900000000004</v>
      </c>
      <c r="F6774" t="s">
        <v>78</v>
      </c>
      <c r="G6774">
        <v>-210.2765</v>
      </c>
      <c r="H6774" s="1">
        <v>2.5635679999999999E-7</v>
      </c>
      <c r="I6774">
        <v>-62.849110000000003</v>
      </c>
      <c r="J6774">
        <v>-232.6026</v>
      </c>
      <c r="K6774">
        <v>1.107666</v>
      </c>
      <c r="L6774">
        <v>-60.759309999999999</v>
      </c>
      <c r="M6774">
        <v>0.99993379999999998</v>
      </c>
      <c r="N6774">
        <v>0</v>
      </c>
      <c r="O6774">
        <v>7.9728789999999904E-4</v>
      </c>
      <c r="P6774">
        <v>0.99812579999999995</v>
      </c>
      <c r="Q6774">
        <v>-8.5643669999999998E-3</v>
      </c>
      <c r="R6774">
        <v>-6.0593109999999999E-2</v>
      </c>
      <c r="S6774">
        <v>2.9876710000000002</v>
      </c>
      <c r="T6774">
        <v>-0.1470236</v>
      </c>
      <c r="U6774">
        <v>-0.27746579999999998</v>
      </c>
      <c r="V6774">
        <v>6.1403369999999999E-2</v>
      </c>
      <c r="W6774">
        <v>2.5733129999999998E-3</v>
      </c>
      <c r="X6774">
        <v>0.99810969999999999</v>
      </c>
      <c r="Y6774">
        <v>9.3153509999999995E-2</v>
      </c>
      <c r="Z6774">
        <v>-2.324881E-3</v>
      </c>
      <c r="AA6774">
        <v>0.99564900000000001</v>
      </c>
      <c r="AB6774">
        <v>37</v>
      </c>
      <c r="AC6774">
        <v>22.3261</v>
      </c>
      <c r="AD6774">
        <v>-1.1076657436432</v>
      </c>
      <c r="AE6774">
        <v>-2.0897999999999901</v>
      </c>
      <c r="AF6774">
        <v>2.10247065183259</v>
      </c>
      <c r="AG6774">
        <v>-1.1076657436432</v>
      </c>
      <c r="AH6774">
        <v>22.270085941298699</v>
      </c>
      <c r="AI6774">
        <v>92.834836743207404</v>
      </c>
      <c r="AJ6774">
        <v>84.606814326430893</v>
      </c>
      <c r="AK6774">
        <v>22.3965183471514</v>
      </c>
      <c r="AL6774">
        <v>89.852559860726501</v>
      </c>
      <c r="AM6774">
        <v>86.479619773912304</v>
      </c>
      <c r="AN6774">
        <v>0.999999984510621</v>
      </c>
    </row>
    <row r="6775" spans="1:40" x14ac:dyDescent="0.25">
      <c r="A6775" t="str">
        <f>"20190312154429833"</f>
        <v>20190312154429833</v>
      </c>
      <c r="B6775" t="str">
        <f>"1552376669824294"</f>
        <v>1552376669824294</v>
      </c>
      <c r="C6775" t="s">
        <v>40</v>
      </c>
      <c r="D6775">
        <v>4.976737</v>
      </c>
      <c r="E6775">
        <v>0.51283800000000002</v>
      </c>
      <c r="F6775" t="s">
        <v>78</v>
      </c>
      <c r="G6775">
        <v>-210.35120000000001</v>
      </c>
      <c r="H6775" s="1">
        <v>2.2631039999999999E-7</v>
      </c>
      <c r="I6775">
        <v>-62.841650000000001</v>
      </c>
      <c r="J6775">
        <v>-232.42060000000001</v>
      </c>
      <c r="K6775">
        <v>1.10765</v>
      </c>
      <c r="L6775">
        <v>-60.760039999999996</v>
      </c>
      <c r="M6775">
        <v>0.99993489999999996</v>
      </c>
      <c r="N6775">
        <v>0</v>
      </c>
      <c r="O6775">
        <v>-3.103537E-4</v>
      </c>
      <c r="P6775">
        <v>0.99807769999999996</v>
      </c>
      <c r="Q6775">
        <v>-8.7513399999999998E-3</v>
      </c>
      <c r="R6775">
        <v>-6.1356229999999998E-2</v>
      </c>
      <c r="S6775">
        <v>2.9873660000000002</v>
      </c>
      <c r="T6775">
        <v>-0.14870920000000001</v>
      </c>
      <c r="U6775">
        <v>-0.27957149999999997</v>
      </c>
      <c r="V6775">
        <v>6.1059570000000001E-2</v>
      </c>
      <c r="W6775">
        <v>2.3220200000000002E-3</v>
      </c>
      <c r="X6775">
        <v>0.9981314</v>
      </c>
      <c r="Y6775">
        <v>9.2754989999999995E-2</v>
      </c>
      <c r="Z6775">
        <v>-2.2867870000000002E-3</v>
      </c>
      <c r="AA6775">
        <v>0.99568639999999997</v>
      </c>
      <c r="AB6775">
        <v>37</v>
      </c>
      <c r="AC6775">
        <v>22.069400000000002</v>
      </c>
      <c r="AD6775">
        <v>-1.1076497736896</v>
      </c>
      <c r="AE6775">
        <v>-2.0816099999999902</v>
      </c>
      <c r="AF6775">
        <v>2.06959285191519</v>
      </c>
      <c r="AG6775">
        <v>-1.1076497736896</v>
      </c>
      <c r="AH6775">
        <v>22.015078586830001</v>
      </c>
      <c r="AI6775">
        <v>92.867684645265399</v>
      </c>
      <c r="AJ6775">
        <v>84.629523480400906</v>
      </c>
      <c r="AK6775">
        <v>22.139868738954899</v>
      </c>
      <c r="AL6775">
        <v>89.866957931474701</v>
      </c>
      <c r="AM6775">
        <v>86.499357290879203</v>
      </c>
      <c r="AN6775">
        <v>0.99999997726571199</v>
      </c>
    </row>
    <row r="6776" spans="1:40" x14ac:dyDescent="0.25">
      <c r="A6776" t="str">
        <f>"20190312154429844"</f>
        <v>20190312154429844</v>
      </c>
      <c r="B6776" t="str">
        <f>"1552376669834054"</f>
        <v>1552376669834054</v>
      </c>
      <c r="C6776" t="s">
        <v>40</v>
      </c>
      <c r="D6776">
        <v>4.9642910000000002</v>
      </c>
      <c r="E6776">
        <v>0.512764</v>
      </c>
      <c r="F6776" t="s">
        <v>78</v>
      </c>
      <c r="G6776">
        <v>-210.29839999999999</v>
      </c>
      <c r="H6776" s="1">
        <v>2.4746099999999999E-7</v>
      </c>
      <c r="I6776">
        <v>-62.847189999999998</v>
      </c>
      <c r="J6776">
        <v>-232.23249999999999</v>
      </c>
      <c r="K6776">
        <v>1.107634</v>
      </c>
      <c r="L6776">
        <v>-60.761020000000002</v>
      </c>
      <c r="M6776">
        <v>0.99993460000000001</v>
      </c>
      <c r="N6776">
        <v>0</v>
      </c>
      <c r="O6776">
        <v>-1.45933E-3</v>
      </c>
      <c r="P6776">
        <v>0.99800120000000003</v>
      </c>
      <c r="Q6776">
        <v>-8.9417300000000002E-3</v>
      </c>
      <c r="R6776">
        <v>-6.2561500000000006E-2</v>
      </c>
      <c r="S6776">
        <v>2.9871059999999998</v>
      </c>
      <c r="T6776">
        <v>-0.1495631</v>
      </c>
      <c r="U6776">
        <v>-0.28182980000000002</v>
      </c>
      <c r="V6776">
        <v>6.1116810000000001E-2</v>
      </c>
      <c r="W6776">
        <v>2.0664360000000001E-3</v>
      </c>
      <c r="X6776">
        <v>0.99812849999999997</v>
      </c>
      <c r="Y6776">
        <v>9.2365669999999997E-2</v>
      </c>
      <c r="Z6776">
        <v>-2.232932E-3</v>
      </c>
      <c r="AA6776">
        <v>0.99572269999999896</v>
      </c>
      <c r="AB6776">
        <v>37</v>
      </c>
      <c r="AC6776">
        <v>21.934100000000001</v>
      </c>
      <c r="AD6776">
        <v>-1.1076337525390001</v>
      </c>
      <c r="AE6776">
        <v>-2.0861700000000098</v>
      </c>
      <c r="AF6776">
        <v>2.0489784251894299</v>
      </c>
      <c r="AG6776">
        <v>-1.1076337525390001</v>
      </c>
      <c r="AH6776">
        <v>21.881821239079599</v>
      </c>
      <c r="AI6776">
        <v>92.885176384805803</v>
      </c>
      <c r="AJ6776">
        <v>84.650514313343393</v>
      </c>
      <c r="AK6776">
        <v>22.005437188469902</v>
      </c>
      <c r="AL6776">
        <v>89.881601856501206</v>
      </c>
      <c r="AM6776">
        <v>86.496073647339799</v>
      </c>
      <c r="AN6776">
        <v>1.0000000185672799</v>
      </c>
    </row>
    <row r="6777" spans="1:40" x14ac:dyDescent="0.25">
      <c r="A6777" t="str">
        <f>"20190312154429855"</f>
        <v>20190312154429855</v>
      </c>
      <c r="B6777" t="str">
        <f>"1552376669844790"</f>
        <v>1552376669844790</v>
      </c>
      <c r="C6777" t="s">
        <v>40</v>
      </c>
      <c r="D6777">
        <v>5.1101369999999999</v>
      </c>
      <c r="E6777">
        <v>0.51292760000000004</v>
      </c>
      <c r="F6777" t="s">
        <v>78</v>
      </c>
      <c r="G6777">
        <v>-210.2328</v>
      </c>
      <c r="H6777" s="1">
        <v>2.723875E-7</v>
      </c>
      <c r="I6777">
        <v>-62.859290000000001</v>
      </c>
      <c r="J6777">
        <v>-232.0566</v>
      </c>
      <c r="K6777">
        <v>1.10762</v>
      </c>
      <c r="L6777">
        <v>-60.762180000000001</v>
      </c>
      <c r="M6777">
        <v>0.99993290000000001</v>
      </c>
      <c r="N6777">
        <v>0</v>
      </c>
      <c r="O6777">
        <v>-2.5383950000000001E-3</v>
      </c>
      <c r="P6777">
        <v>0.99795109999999998</v>
      </c>
      <c r="Q6777">
        <v>-8.9798610000000004E-3</v>
      </c>
      <c r="R6777">
        <v>-6.3348050000000003E-2</v>
      </c>
      <c r="S6777">
        <v>2.9868009999999998</v>
      </c>
      <c r="T6777">
        <v>-0.1503787</v>
      </c>
      <c r="U6777">
        <v>-0.28488160000000001</v>
      </c>
      <c r="V6777">
        <v>6.0825940000000002E-2</v>
      </c>
      <c r="W6777">
        <v>1.9748840000000001E-3</v>
      </c>
      <c r="X6777">
        <v>0.99814639999999999</v>
      </c>
      <c r="Y6777">
        <v>9.2309189999999999E-2</v>
      </c>
      <c r="Z6777">
        <v>-2.1896239999999998E-3</v>
      </c>
      <c r="AA6777">
        <v>0.99572799999999995</v>
      </c>
      <c r="AB6777">
        <v>37</v>
      </c>
      <c r="AC6777">
        <v>21.823799999999999</v>
      </c>
      <c r="AD6777">
        <v>-1.1076197276124999</v>
      </c>
      <c r="AE6777">
        <v>-2.09710999999999</v>
      </c>
      <c r="AF6777">
        <v>2.0365045432688902</v>
      </c>
      <c r="AG6777">
        <v>-1.1076197276124999</v>
      </c>
      <c r="AH6777">
        <v>21.773481229163998</v>
      </c>
      <c r="AI6777">
        <v>92.899500018796104</v>
      </c>
      <c r="AJ6777">
        <v>84.656590002120197</v>
      </c>
      <c r="AK6777">
        <v>21.896544408935998</v>
      </c>
      <c r="AL6777">
        <v>89.886847404314594</v>
      </c>
      <c r="AM6777">
        <v>86.512770830787204</v>
      </c>
      <c r="AN6777">
        <v>0.99999996548832804</v>
      </c>
    </row>
    <row r="6778" spans="1:40" x14ac:dyDescent="0.25">
      <c r="A6778" t="str">
        <f>"20190312154429866"</f>
        <v>20190312154429866</v>
      </c>
      <c r="B6778" t="str">
        <f>"1552376669854550"</f>
        <v>1552376669854550</v>
      </c>
      <c r="C6778" t="s">
        <v>40</v>
      </c>
      <c r="D6778">
        <v>4.9986959999999998</v>
      </c>
      <c r="E6778">
        <v>0.51290479999999905</v>
      </c>
      <c r="F6778" t="s">
        <v>70</v>
      </c>
      <c r="G6778">
        <v>-209.91720000000001</v>
      </c>
      <c r="H6778" s="1">
        <v>-6.8394309999999999E-7</v>
      </c>
      <c r="I6778">
        <v>-62.901879999999998</v>
      </c>
      <c r="J6778">
        <v>-231.87729999999999</v>
      </c>
      <c r="K6778">
        <v>1.1076060000000001</v>
      </c>
      <c r="L6778">
        <v>-60.763489999999997</v>
      </c>
      <c r="M6778">
        <v>0.99993010000000004</v>
      </c>
      <c r="N6778">
        <v>0</v>
      </c>
      <c r="O6778">
        <v>-3.640721E-3</v>
      </c>
      <c r="P6778">
        <v>0.99788060000000001</v>
      </c>
      <c r="Q6778">
        <v>-8.9129109999999904E-3</v>
      </c>
      <c r="R6778">
        <v>-6.4457829999999994E-2</v>
      </c>
      <c r="S6778">
        <v>2.9864959999999998</v>
      </c>
      <c r="T6778">
        <v>-0.14941279999999901</v>
      </c>
      <c r="U6778">
        <v>-0.28863529999999998</v>
      </c>
      <c r="V6778">
        <v>6.0835760000000003E-2</v>
      </c>
      <c r="W6778">
        <v>1.9877580000000001E-3</v>
      </c>
      <c r="X6778">
        <v>0.99814579999999997</v>
      </c>
      <c r="Y6778">
        <v>9.2463809999999994E-2</v>
      </c>
      <c r="Z6778">
        <v>-2.124538E-3</v>
      </c>
      <c r="AA6778">
        <v>0.99571379999999998</v>
      </c>
      <c r="AB6778">
        <v>37</v>
      </c>
      <c r="AC6778">
        <v>21.960099999999901</v>
      </c>
      <c r="AD6778">
        <v>-1.10760668394309</v>
      </c>
      <c r="AE6778">
        <v>-2.1383899999999998</v>
      </c>
      <c r="AF6778">
        <v>2.0532459503644902</v>
      </c>
      <c r="AG6778">
        <v>-1.10760668394309</v>
      </c>
      <c r="AH6778">
        <v>21.9125202406019</v>
      </c>
      <c r="AI6778">
        <v>92.881053857418493</v>
      </c>
      <c r="AJ6778">
        <v>84.646903852654901</v>
      </c>
      <c r="AK6778">
        <v>22.0363598353673</v>
      </c>
      <c r="AL6778">
        <v>89.8861097797068</v>
      </c>
      <c r="AM6778">
        <v>86.512207135870298</v>
      </c>
      <c r="AN6778">
        <v>0.99999998946714197</v>
      </c>
    </row>
    <row r="6779" spans="1:40" x14ac:dyDescent="0.25">
      <c r="A6779" t="str">
        <f>"20190312154429876"</f>
        <v>20190312154429876</v>
      </c>
      <c r="B6779" t="str">
        <f>"1552376669864310"</f>
        <v>1552376669864310</v>
      </c>
      <c r="C6779" t="s">
        <v>40</v>
      </c>
      <c r="D6779">
        <v>5.0001340000000001</v>
      </c>
      <c r="E6779">
        <v>0.51291850000000005</v>
      </c>
      <c r="F6779" t="s">
        <v>70</v>
      </c>
      <c r="G6779">
        <v>-209.4691</v>
      </c>
      <c r="H6779" s="1">
        <v>-8.6887679999999997E-7</v>
      </c>
      <c r="I6779">
        <v>-62.953650000000003</v>
      </c>
      <c r="J6779">
        <v>-231.69749999999999</v>
      </c>
      <c r="K6779">
        <v>1.1075870000000001</v>
      </c>
      <c r="L6779">
        <v>-60.76511</v>
      </c>
      <c r="M6779">
        <v>0.99992610000000004</v>
      </c>
      <c r="N6779">
        <v>0</v>
      </c>
      <c r="O6779">
        <v>-4.7529929999999996E-3</v>
      </c>
      <c r="P6779">
        <v>0.99780679999999999</v>
      </c>
      <c r="Q6779">
        <v>-8.9221909999999995E-3</v>
      </c>
      <c r="R6779">
        <v>-6.5589610000000007E-2</v>
      </c>
      <c r="S6779">
        <v>2.986221</v>
      </c>
      <c r="T6779">
        <v>-0.1476045</v>
      </c>
      <c r="U6779">
        <v>-0.29187010000000002</v>
      </c>
      <c r="V6779">
        <v>6.0857439999999999E-2</v>
      </c>
      <c r="W6779">
        <v>1.931491E-3</v>
      </c>
      <c r="X6779">
        <v>0.99814460000000005</v>
      </c>
      <c r="Y6779">
        <v>9.2437539999999999E-2</v>
      </c>
      <c r="Z6779">
        <v>-2.0434810000000002E-3</v>
      </c>
      <c r="AA6779">
        <v>0.99571639999999995</v>
      </c>
      <c r="AB6779">
        <v>37</v>
      </c>
      <c r="AC6779">
        <v>22.228399999999901</v>
      </c>
      <c r="AD6779">
        <v>-1.1075878688767999</v>
      </c>
      <c r="AE6779">
        <v>-2.1885400000000002</v>
      </c>
      <c r="AF6779">
        <v>2.0777481461087</v>
      </c>
      <c r="AG6779">
        <v>-1.1075878688767999</v>
      </c>
      <c r="AH6779">
        <v>22.184002225683798</v>
      </c>
      <c r="AI6779">
        <v>92.845817467067505</v>
      </c>
      <c r="AJ6779">
        <v>84.649300780675404</v>
      </c>
      <c r="AK6779">
        <v>22.308602443790299</v>
      </c>
      <c r="AL6779">
        <v>89.8893336487874</v>
      </c>
      <c r="AM6779">
        <v>86.510963079057106</v>
      </c>
      <c r="AN6779">
        <v>1.0000000005849901</v>
      </c>
    </row>
    <row r="6780" spans="1:40" x14ac:dyDescent="0.25">
      <c r="A6780" t="str">
        <f>"20190312154429888"</f>
        <v>20190312154429888</v>
      </c>
      <c r="B6780" t="str">
        <f>"1552376669874071"</f>
        <v>1552376669874071</v>
      </c>
      <c r="C6780" t="s">
        <v>40</v>
      </c>
      <c r="D6780">
        <v>5.0134040000000004</v>
      </c>
      <c r="E6780">
        <v>0.51289099999999999</v>
      </c>
      <c r="F6780" t="s">
        <v>70</v>
      </c>
      <c r="G6780">
        <v>-209.1131</v>
      </c>
      <c r="H6780" s="1">
        <v>-1.016979E-6</v>
      </c>
      <c r="I6780">
        <v>-62.999279999999999</v>
      </c>
      <c r="J6780">
        <v>-231.5094</v>
      </c>
      <c r="K6780">
        <v>1.1075740000000001</v>
      </c>
      <c r="L6780">
        <v>-60.766849999999998</v>
      </c>
      <c r="M6780">
        <v>0.99992029999999998</v>
      </c>
      <c r="N6780">
        <v>0</v>
      </c>
      <c r="O6780">
        <v>-5.9168869999999896E-3</v>
      </c>
      <c r="P6780">
        <v>0.9977142</v>
      </c>
      <c r="Q6780">
        <v>-8.7073540000000005E-3</v>
      </c>
      <c r="R6780">
        <v>-6.7012580000000002E-2</v>
      </c>
      <c r="S6780">
        <v>2.9858699999999998</v>
      </c>
      <c r="T6780">
        <v>-0.1464338</v>
      </c>
      <c r="U6780">
        <v>-0.29537960000000002</v>
      </c>
      <c r="V6780">
        <v>6.1119939999999998E-2</v>
      </c>
      <c r="W6780">
        <v>2.09743E-3</v>
      </c>
      <c r="X6780">
        <v>0.99812820000000002</v>
      </c>
      <c r="Y6780">
        <v>9.2452080000000006E-2</v>
      </c>
      <c r="Z6780">
        <v>-1.9708680000000002E-3</v>
      </c>
      <c r="AA6780">
        <v>0.99571520000000002</v>
      </c>
      <c r="AB6780">
        <v>37</v>
      </c>
      <c r="AC6780">
        <v>22.3963</v>
      </c>
      <c r="AD6780">
        <v>-1.107575016979</v>
      </c>
      <c r="AE6780">
        <v>-2.2324299999999999</v>
      </c>
      <c r="AF6780">
        <v>2.0947935743067698</v>
      </c>
      <c r="AG6780">
        <v>-1.107575016979</v>
      </c>
      <c r="AH6780">
        <v>22.3549832385333</v>
      </c>
      <c r="AI6780">
        <v>92.824041944186405</v>
      </c>
      <c r="AJ6780">
        <v>84.646680331075501</v>
      </c>
      <c r="AK6780">
        <v>22.480217039261401</v>
      </c>
      <c r="AL6780">
        <v>89.879826022054402</v>
      </c>
      <c r="AM6780">
        <v>86.495893595874705</v>
      </c>
      <c r="AN6780">
        <v>0.99999997495672399</v>
      </c>
    </row>
    <row r="6781" spans="1:40" x14ac:dyDescent="0.25">
      <c r="A6781" t="str">
        <f>"20190312154429900"</f>
        <v>20190312154429900</v>
      </c>
      <c r="B6781" t="str">
        <f>"1552376669894565"</f>
        <v>1552376669894565</v>
      </c>
      <c r="C6781" t="s">
        <v>40</v>
      </c>
      <c r="D6781">
        <v>5.0461549999999997</v>
      </c>
      <c r="E6781">
        <v>0.51269529999999996</v>
      </c>
      <c r="F6781" t="s">
        <v>70</v>
      </c>
      <c r="G6781">
        <v>-208.887</v>
      </c>
      <c r="H6781" s="1">
        <v>-1.112962E-6</v>
      </c>
      <c r="I6781">
        <v>-63.035369999999901</v>
      </c>
      <c r="J6781">
        <v>-231.3141</v>
      </c>
      <c r="K6781">
        <v>1.107564</v>
      </c>
      <c r="L6781">
        <v>-60.7690699999999</v>
      </c>
      <c r="M6781">
        <v>0.99991269999999999</v>
      </c>
      <c r="N6781">
        <v>0</v>
      </c>
      <c r="O6781">
        <v>-7.1316330000000001E-3</v>
      </c>
      <c r="P6781">
        <v>0.99763849999999998</v>
      </c>
      <c r="Q6781">
        <v>-8.6900220000000004E-3</v>
      </c>
      <c r="R6781">
        <v>-6.8132100000000001E-2</v>
      </c>
      <c r="S6781">
        <v>2.9854889999999998</v>
      </c>
      <c r="T6781">
        <v>-0.14616680000000001</v>
      </c>
      <c r="U6781">
        <v>-0.29937740000000002</v>
      </c>
      <c r="V6781">
        <v>6.1027459999999999E-2</v>
      </c>
      <c r="W6781">
        <v>2.078356E-3</v>
      </c>
      <c r="X6781">
        <v>0.99813390000000002</v>
      </c>
      <c r="Y6781">
        <v>9.2576790000000006E-2</v>
      </c>
      <c r="Z6781">
        <v>-1.9111600000000001E-3</v>
      </c>
      <c r="AA6781">
        <v>0.99570369999999997</v>
      </c>
      <c r="AB6781">
        <v>37</v>
      </c>
      <c r="AC6781">
        <v>22.427099999999999</v>
      </c>
      <c r="AD6781">
        <v>-1.1075651129620001</v>
      </c>
      <c r="AE6781">
        <v>-2.2663000000000002</v>
      </c>
      <c r="AF6781">
        <v>2.10121777873078</v>
      </c>
      <c r="AG6781">
        <v>-1.1075651129620001</v>
      </c>
      <c r="AH6781">
        <v>22.388641520043599</v>
      </c>
      <c r="AI6781">
        <v>92.8197398374367</v>
      </c>
      <c r="AJ6781">
        <v>84.638384309838003</v>
      </c>
      <c r="AK6781">
        <v>22.514286258865202</v>
      </c>
      <c r="AL6781">
        <v>89.880918884332104</v>
      </c>
      <c r="AM6781">
        <v>86.501202375754005</v>
      </c>
      <c r="AN6781">
        <v>0.99999997638346105</v>
      </c>
    </row>
    <row r="6782" spans="1:40" x14ac:dyDescent="0.25">
      <c r="A6782" t="str">
        <f>"20190312154429913"</f>
        <v>20190312154429913</v>
      </c>
      <c r="B6782" t="str">
        <f>"1552376669904326"</f>
        <v>1552376669904326</v>
      </c>
      <c r="C6782" t="s">
        <v>40</v>
      </c>
      <c r="D6782">
        <v>4.9980250000000002</v>
      </c>
      <c r="E6782">
        <v>0.51260879999999998</v>
      </c>
      <c r="F6782" t="s">
        <v>70</v>
      </c>
      <c r="G6782">
        <v>-208.8048</v>
      </c>
      <c r="H6782" s="1">
        <v>-1.1453939999999999E-6</v>
      </c>
      <c r="I6782">
        <v>-63.039319999999996</v>
      </c>
      <c r="J6782">
        <v>-231.1147</v>
      </c>
      <c r="K6782">
        <v>1.107558</v>
      </c>
      <c r="L6782">
        <v>-60.771509999999999</v>
      </c>
      <c r="M6782">
        <v>0.9999036</v>
      </c>
      <c r="N6782">
        <v>0</v>
      </c>
      <c r="O6782">
        <v>-8.3730980000000007E-3</v>
      </c>
      <c r="P6782">
        <v>0.99754600000000004</v>
      </c>
      <c r="Q6782">
        <v>-8.5394379999999999E-3</v>
      </c>
      <c r="R6782">
        <v>-6.9495779999999993E-2</v>
      </c>
      <c r="S6782">
        <v>2.9852449999999999</v>
      </c>
      <c r="T6782">
        <v>-0.14688850000000001</v>
      </c>
      <c r="U6782">
        <v>-0.30108639999999998</v>
      </c>
      <c r="V6782">
        <v>6.1153180000000001E-2</v>
      </c>
      <c r="W6782">
        <v>2.1947049999999999E-3</v>
      </c>
      <c r="X6782">
        <v>0.99812599999999996</v>
      </c>
      <c r="Y6782">
        <v>9.1914209999999996E-2</v>
      </c>
      <c r="Z6782">
        <v>-1.8435509999999999E-3</v>
      </c>
      <c r="AA6782">
        <v>0.99576520000000002</v>
      </c>
      <c r="AB6782">
        <v>37</v>
      </c>
      <c r="AC6782">
        <v>22.309899999999999</v>
      </c>
      <c r="AD6782">
        <v>-1.1075591453939999</v>
      </c>
      <c r="AE6782">
        <v>-2.2678099999999901</v>
      </c>
      <c r="AF6782">
        <v>2.0758523225724002</v>
      </c>
      <c r="AG6782">
        <v>-1.1075591453939999</v>
      </c>
      <c r="AH6782">
        <v>22.273774055396501</v>
      </c>
      <c r="AI6782">
        <v>92.8344143327257</v>
      </c>
      <c r="AJ6782">
        <v>84.675576407321302</v>
      </c>
      <c r="AK6782">
        <v>22.397697667316798</v>
      </c>
      <c r="AL6782">
        <v>89.8742525677918</v>
      </c>
      <c r="AM6782">
        <v>86.493984936011501</v>
      </c>
      <c r="AN6782">
        <v>1.00000002001507</v>
      </c>
    </row>
    <row r="6783" spans="1:40" x14ac:dyDescent="0.25">
      <c r="A6783" t="str">
        <f>"20190312154429925"</f>
        <v>20190312154429925</v>
      </c>
      <c r="B6783" t="str">
        <f>"1552376669914086"</f>
        <v>1552376669914086</v>
      </c>
      <c r="C6783" t="s">
        <v>40</v>
      </c>
      <c r="D6783">
        <v>5.0001509999999998</v>
      </c>
      <c r="E6783">
        <v>0.51251950000000002</v>
      </c>
      <c r="F6783" t="s">
        <v>70</v>
      </c>
      <c r="G6783">
        <v>-208.6772</v>
      </c>
      <c r="H6783" s="1">
        <v>-1.1996239999999999E-6</v>
      </c>
      <c r="I6783">
        <v>-63.060009999999998</v>
      </c>
      <c r="J6783">
        <v>-230.89930000000001</v>
      </c>
      <c r="K6783">
        <v>1.10755</v>
      </c>
      <c r="L6783">
        <v>-60.774380000000001</v>
      </c>
      <c r="M6783">
        <v>0.99989159999999999</v>
      </c>
      <c r="N6783">
        <v>0</v>
      </c>
      <c r="O6783">
        <v>-9.7175860000000003E-3</v>
      </c>
      <c r="P6783">
        <v>0.99747209999999997</v>
      </c>
      <c r="Q6783">
        <v>-8.2765859999999903E-3</v>
      </c>
      <c r="R6783">
        <v>-7.0573780000000003E-2</v>
      </c>
      <c r="S6783">
        <v>2.9849239999999999</v>
      </c>
      <c r="T6783">
        <v>-0.14734169999999999</v>
      </c>
      <c r="U6783">
        <v>-0.30444339999999998</v>
      </c>
      <c r="V6783">
        <v>6.0891180000000003E-2</v>
      </c>
      <c r="W6783">
        <v>2.4288309999999998E-3</v>
      </c>
      <c r="X6783">
        <v>0.99814150000000001</v>
      </c>
      <c r="Y6783">
        <v>9.1695680000000002E-2</v>
      </c>
      <c r="Z6783">
        <v>-1.777807E-3</v>
      </c>
      <c r="AA6783">
        <v>0.99578549999999999</v>
      </c>
      <c r="AB6783">
        <v>37</v>
      </c>
      <c r="AC6783">
        <v>22.222100000000001</v>
      </c>
      <c r="AD6783">
        <v>-1.1075511996239999</v>
      </c>
      <c r="AE6783">
        <v>-2.2856299999999901</v>
      </c>
      <c r="AF6783">
        <v>2.06448911000059</v>
      </c>
      <c r="AG6783">
        <v>-1.1075511996239999</v>
      </c>
      <c r="AH6783">
        <v>22.1887222326977</v>
      </c>
      <c r="AI6783">
        <v>92.8452813745117</v>
      </c>
      <c r="AJ6783">
        <v>84.684374181494206</v>
      </c>
      <c r="AK6783">
        <v>22.312063536681499</v>
      </c>
      <c r="AL6783">
        <v>89.8608381039205</v>
      </c>
      <c r="AM6783">
        <v>86.509022687674204</v>
      </c>
      <c r="AN6783">
        <v>1.0000000445220301</v>
      </c>
    </row>
    <row r="6784" spans="1:40" x14ac:dyDescent="0.25">
      <c r="A6784" t="str">
        <f>"20190312154429938"</f>
        <v>20190312154429938</v>
      </c>
      <c r="B6784" t="str">
        <f>"1552376669924822"</f>
        <v>1552376669924822</v>
      </c>
      <c r="C6784" t="s">
        <v>40</v>
      </c>
      <c r="D6784">
        <v>5.0309150000000002</v>
      </c>
      <c r="E6784">
        <v>0.51240350000000001</v>
      </c>
      <c r="F6784" t="s">
        <v>70</v>
      </c>
      <c r="G6784">
        <v>-208.42240000000001</v>
      </c>
      <c r="H6784" s="1">
        <v>-1.3506240000000001E-6</v>
      </c>
      <c r="I6784">
        <v>-63.086150000000004</v>
      </c>
      <c r="J6784">
        <v>-230.69929999999999</v>
      </c>
      <c r="K6784">
        <v>1.1075440000000001</v>
      </c>
      <c r="L6784">
        <v>-60.7774</v>
      </c>
      <c r="M6784">
        <v>0.99987890000000001</v>
      </c>
      <c r="N6784">
        <v>0</v>
      </c>
      <c r="O6784">
        <v>-1.096807E-2</v>
      </c>
      <c r="P6784">
        <v>0.99737609999999999</v>
      </c>
      <c r="Q6784">
        <v>-8.2249100000000002E-3</v>
      </c>
      <c r="R6784">
        <v>-7.192896E-2</v>
      </c>
      <c r="S6784">
        <v>2.98468</v>
      </c>
      <c r="T6784">
        <v>-0.14707039999999999</v>
      </c>
      <c r="U6784">
        <v>-0.30697629999999998</v>
      </c>
      <c r="V6784">
        <v>6.0999070000000002E-2</v>
      </c>
      <c r="W6784">
        <v>2.4612560000000002E-3</v>
      </c>
      <c r="X6784">
        <v>0.99813479999999999</v>
      </c>
      <c r="Y6784">
        <v>9.1297210000000004E-2</v>
      </c>
      <c r="Z6784">
        <v>-1.703417E-3</v>
      </c>
      <c r="AA6784">
        <v>0.99582230000000005</v>
      </c>
      <c r="AB6784">
        <v>37</v>
      </c>
      <c r="AC6784">
        <v>22.276899999999898</v>
      </c>
      <c r="AD6784">
        <v>-1.1075453506240001</v>
      </c>
      <c r="AE6784">
        <v>-2.3087499999999999</v>
      </c>
      <c r="AF6784">
        <v>2.0592257128967502</v>
      </c>
      <c r="AG6784">
        <v>-1.1075453506240001</v>
      </c>
      <c r="AH6784">
        <v>22.246479417291901</v>
      </c>
      <c r="AI6784">
        <v>92.838016124781305</v>
      </c>
      <c r="AJ6784">
        <v>84.711536488667704</v>
      </c>
      <c r="AK6784">
        <v>22.369016824713899</v>
      </c>
      <c r="AL6784">
        <v>89.858980278163102</v>
      </c>
      <c r="AM6784">
        <v>86.502829122899996</v>
      </c>
      <c r="AN6784">
        <v>1.0000000116465</v>
      </c>
    </row>
    <row r="6785" spans="1:40" x14ac:dyDescent="0.25">
      <c r="A6785" t="str">
        <f>"20190312154429950"</f>
        <v>20190312154429950</v>
      </c>
      <c r="B6785" t="str">
        <f>"1552376669944342"</f>
        <v>1552376669944342</v>
      </c>
      <c r="C6785" t="s">
        <v>40</v>
      </c>
      <c r="D6785">
        <v>5.0473879999999998</v>
      </c>
      <c r="E6785">
        <v>0.51218529999999995</v>
      </c>
      <c r="F6785" t="s">
        <v>70</v>
      </c>
      <c r="G6785">
        <v>-208.34739999999999</v>
      </c>
      <c r="H6785" s="1">
        <v>-1.4002130000000001E-6</v>
      </c>
      <c r="I6785">
        <v>-63.099690000000002</v>
      </c>
      <c r="J6785">
        <v>-230.4949</v>
      </c>
      <c r="K6785">
        <v>1.1075429999999999</v>
      </c>
      <c r="L6785">
        <v>-60.780639999999998</v>
      </c>
      <c r="M6785">
        <v>0.99986419999999998</v>
      </c>
      <c r="N6785">
        <v>0</v>
      </c>
      <c r="O6785">
        <v>-1.224744E-2</v>
      </c>
      <c r="P6785">
        <v>0.99729909999999999</v>
      </c>
      <c r="Q6785">
        <v>-8.094614E-3</v>
      </c>
      <c r="R6785">
        <v>-7.3002010000000006E-2</v>
      </c>
      <c r="S6785">
        <v>2.9843139999999999</v>
      </c>
      <c r="T6785">
        <v>-0.14787349999999999</v>
      </c>
      <c r="U6785">
        <v>-0.31005860000000002</v>
      </c>
      <c r="V6785">
        <v>6.0796589999999998E-2</v>
      </c>
      <c r="W6785">
        <v>2.5785579999999999E-3</v>
      </c>
      <c r="X6785">
        <v>0.9981468</v>
      </c>
      <c r="Y6785">
        <v>9.1053899999999993E-2</v>
      </c>
      <c r="Z6785">
        <v>-1.6436529999999999E-3</v>
      </c>
      <c r="AA6785">
        <v>0.99584459999999997</v>
      </c>
      <c r="AB6785">
        <v>37</v>
      </c>
      <c r="AC6785">
        <v>22.147500000000001</v>
      </c>
      <c r="AD6785">
        <v>-1.1075444002129999</v>
      </c>
      <c r="AE6785">
        <v>-2.3190499999999901</v>
      </c>
      <c r="AF6785">
        <v>2.0425568173948698</v>
      </c>
      <c r="AG6785">
        <v>-1.1075444002129999</v>
      </c>
      <c r="AH6785">
        <v>22.119526997481199</v>
      </c>
      <c r="AI6785">
        <v>92.854333355094894</v>
      </c>
      <c r="AJ6785">
        <v>84.724166642603393</v>
      </c>
      <c r="AK6785">
        <v>22.241226754453699</v>
      </c>
      <c r="AL6785">
        <v>89.852259338902797</v>
      </c>
      <c r="AM6785">
        <v>86.514450747868096</v>
      </c>
      <c r="AN6785">
        <v>0.999999954333612</v>
      </c>
    </row>
    <row r="6786" spans="1:40" x14ac:dyDescent="0.25">
      <c r="A6786" t="str">
        <f>"20190312154429960"</f>
        <v>20190312154429960</v>
      </c>
      <c r="B6786" t="str">
        <f>"1552376669954102"</f>
        <v>1552376669954102</v>
      </c>
      <c r="C6786" t="s">
        <v>40</v>
      </c>
      <c r="D6786">
        <v>5.0491270000000004</v>
      </c>
      <c r="E6786">
        <v>0.51206779999999996</v>
      </c>
      <c r="F6786" t="s">
        <v>70</v>
      </c>
      <c r="G6786">
        <v>-208.33260000000001</v>
      </c>
      <c r="H6786" s="1">
        <v>-1.4088679999999999E-6</v>
      </c>
      <c r="I6786">
        <v>-63.094470000000001</v>
      </c>
      <c r="J6786">
        <v>-230.30260000000001</v>
      </c>
      <c r="K6786">
        <v>1.10754</v>
      </c>
      <c r="L6786">
        <v>-60.784059999999997</v>
      </c>
      <c r="M6786">
        <v>0.99984879999999998</v>
      </c>
      <c r="N6786">
        <v>0</v>
      </c>
      <c r="O6786">
        <v>-1.34526E-2</v>
      </c>
      <c r="P6786">
        <v>0.99722060000000001</v>
      </c>
      <c r="Q6786">
        <v>-8.1264670000000001E-3</v>
      </c>
      <c r="R6786">
        <v>-7.4063409999999996E-2</v>
      </c>
      <c r="S6786">
        <v>2.9841160000000002</v>
      </c>
      <c r="T6786">
        <v>-0.14912879999999901</v>
      </c>
      <c r="U6786">
        <v>-0.311554</v>
      </c>
      <c r="V6786">
        <v>6.0655590000000002E-2</v>
      </c>
      <c r="W6786">
        <v>2.5437480000000002E-3</v>
      </c>
      <c r="X6786">
        <v>0.99815549999999997</v>
      </c>
      <c r="Y6786">
        <v>9.0354749999999998E-2</v>
      </c>
      <c r="Z6786">
        <v>-1.580237E-3</v>
      </c>
      <c r="AA6786">
        <v>0.99590840000000003</v>
      </c>
      <c r="AB6786">
        <v>37</v>
      </c>
      <c r="AC6786">
        <v>21.97</v>
      </c>
      <c r="AD6786">
        <v>-1.107541408868</v>
      </c>
      <c r="AE6786">
        <v>-2.3104099999999899</v>
      </c>
      <c r="AF6786">
        <v>2.0095782142094998</v>
      </c>
      <c r="AG6786">
        <v>-1.107541408868</v>
      </c>
      <c r="AH6786">
        <v>21.943937945494</v>
      </c>
      <c r="AI6786">
        <v>92.877327029788503</v>
      </c>
      <c r="AJ6786">
        <v>84.767571538174394</v>
      </c>
      <c r="AK6786">
        <v>22.063577795250598</v>
      </c>
      <c r="AL6786">
        <v>89.854253816339906</v>
      </c>
      <c r="AM6786">
        <v>86.522544840398993</v>
      </c>
      <c r="AN6786">
        <v>0.99999998671619195</v>
      </c>
    </row>
    <row r="6787" spans="1:40" x14ac:dyDescent="0.25">
      <c r="A6787" t="str">
        <f>"20190312154429970"</f>
        <v>20190312154429970</v>
      </c>
      <c r="B6787" t="str">
        <f>"1552376669963862"</f>
        <v>1552376669963862</v>
      </c>
      <c r="C6787" t="s">
        <v>40</v>
      </c>
      <c r="D6787">
        <v>5.0549119999999998</v>
      </c>
      <c r="E6787">
        <v>0.51197870000000001</v>
      </c>
      <c r="F6787" t="s">
        <v>70</v>
      </c>
      <c r="G6787">
        <v>-208.255</v>
      </c>
      <c r="H6787" s="1">
        <v>-1.459308E-6</v>
      </c>
      <c r="I6787">
        <v>-63.102589999999999</v>
      </c>
      <c r="J6787">
        <v>-230.1455</v>
      </c>
      <c r="K6787">
        <v>1.1075360000000001</v>
      </c>
      <c r="L6787">
        <v>-60.786929999999998</v>
      </c>
      <c r="M6787">
        <v>0.99983500000000003</v>
      </c>
      <c r="N6787">
        <v>0</v>
      </c>
      <c r="O6787">
        <v>-1.44371E-2</v>
      </c>
      <c r="P6787">
        <v>0.9971489</v>
      </c>
      <c r="Q6787">
        <v>-8.0179299999999995E-3</v>
      </c>
      <c r="R6787">
        <v>-7.5031619999999993E-2</v>
      </c>
      <c r="S6787">
        <v>2.983841</v>
      </c>
      <c r="T6787">
        <v>-0.14989050000000001</v>
      </c>
      <c r="U6787">
        <v>-0.3137817</v>
      </c>
      <c r="V6787">
        <v>6.0642719999999997E-2</v>
      </c>
      <c r="W6787">
        <v>2.6519899999999999E-3</v>
      </c>
      <c r="X6787">
        <v>0.99815600000000004</v>
      </c>
      <c r="Y6787">
        <v>9.0119599999999994E-2</v>
      </c>
      <c r="Z6787">
        <v>-1.5332270000000001E-3</v>
      </c>
      <c r="AA6787">
        <v>0.99592979999999998</v>
      </c>
      <c r="AB6787">
        <v>37</v>
      </c>
      <c r="AC6787">
        <v>21.890499999999999</v>
      </c>
      <c r="AD6787">
        <v>-1.1075374593080001</v>
      </c>
      <c r="AE6787">
        <v>-2.3156599999999901</v>
      </c>
      <c r="AF6787">
        <v>1.9943155383737401</v>
      </c>
      <c r="AG6787">
        <v>-1.1075374593080001</v>
      </c>
      <c r="AH6787">
        <v>21.8662978765412</v>
      </c>
      <c r="AI6787">
        <v>92.887613348492806</v>
      </c>
      <c r="AJ6787">
        <v>84.788756583736202</v>
      </c>
      <c r="AK6787">
        <v>21.984970241417098</v>
      </c>
      <c r="AL6787">
        <v>89.848051985518296</v>
      </c>
      <c r="AM6787">
        <v>86.523282619609006</v>
      </c>
      <c r="AN6787">
        <v>0.99999998643797905</v>
      </c>
    </row>
    <row r="6788" spans="1:40" x14ac:dyDescent="0.25">
      <c r="A6788" t="str">
        <f>"20190312154429981"</f>
        <v>20190312154429981</v>
      </c>
      <c r="B6788" t="str">
        <f>"1552376669974598"</f>
        <v>1552376669974598</v>
      </c>
      <c r="C6788" t="s">
        <v>40</v>
      </c>
      <c r="D6788">
        <v>5.0530569999999999</v>
      </c>
      <c r="E6788">
        <v>0.51189079999999998</v>
      </c>
      <c r="F6788" t="s">
        <v>70</v>
      </c>
      <c r="G6788">
        <v>-208.1182</v>
      </c>
      <c r="H6788" s="1">
        <v>-1.5486369999999901E-6</v>
      </c>
      <c r="I6788">
        <v>-63.119729999999997</v>
      </c>
      <c r="J6788">
        <v>-229.97649999999999</v>
      </c>
      <c r="K6788">
        <v>1.107532</v>
      </c>
      <c r="L6788">
        <v>-60.79025</v>
      </c>
      <c r="M6788">
        <v>0.99981920000000002</v>
      </c>
      <c r="N6788">
        <v>0</v>
      </c>
      <c r="O6788">
        <v>-1.549733E-2</v>
      </c>
      <c r="P6788">
        <v>0.99708090000000005</v>
      </c>
      <c r="Q6788">
        <v>-8.2656450000000003E-3</v>
      </c>
      <c r="R6788">
        <v>-7.5907550000000004E-2</v>
      </c>
      <c r="S6788">
        <v>2.9836119999999999</v>
      </c>
      <c r="T6788">
        <v>-0.1500165</v>
      </c>
      <c r="U6788">
        <v>-0.31597900000000001</v>
      </c>
      <c r="V6788">
        <v>6.0459550000000001E-2</v>
      </c>
      <c r="W6788">
        <v>2.4097580000000001E-3</v>
      </c>
      <c r="X6788">
        <v>0.99816780000000005</v>
      </c>
      <c r="Y6788">
        <v>8.9798390000000006E-2</v>
      </c>
      <c r="Z6788">
        <v>-1.4734209999999999E-3</v>
      </c>
      <c r="AA6788">
        <v>0.99595889999999998</v>
      </c>
      <c r="AB6788">
        <v>37</v>
      </c>
      <c r="AC6788">
        <v>21.8582999999999</v>
      </c>
      <c r="AD6788">
        <v>-1.1075335486369999</v>
      </c>
      <c r="AE6788">
        <v>-2.3294800000000002</v>
      </c>
      <c r="AF6788">
        <v>1.98539445116404</v>
      </c>
      <c r="AG6788">
        <v>-1.1075335486369999</v>
      </c>
      <c r="AH6788">
        <v>21.836346159092699</v>
      </c>
      <c r="AI6788">
        <v>92.891631115246099</v>
      </c>
      <c r="AJ6788">
        <v>84.804863059652007</v>
      </c>
      <c r="AK6788">
        <v>21.954371666431101</v>
      </c>
      <c r="AL6788">
        <v>89.861930911683999</v>
      </c>
      <c r="AM6788">
        <v>86.533799202035894</v>
      </c>
      <c r="AN6788">
        <v>1.0000000605383199</v>
      </c>
    </row>
    <row r="6789" spans="1:40" x14ac:dyDescent="0.25">
      <c r="A6789" t="str">
        <f>"20190312154430000"</f>
        <v>20190312154430000</v>
      </c>
      <c r="B6789" t="str">
        <f>"1552376669994118"</f>
        <v>1552376669994118</v>
      </c>
      <c r="C6789" t="s">
        <v>40</v>
      </c>
      <c r="D6789">
        <v>5.1076699999999997</v>
      </c>
      <c r="E6789">
        <v>0.51171270000000002</v>
      </c>
      <c r="F6789" t="s">
        <v>70</v>
      </c>
      <c r="G6789">
        <v>-208.2038</v>
      </c>
      <c r="H6789" s="1">
        <v>-1.4928229999999999E-6</v>
      </c>
      <c r="I6789">
        <v>-63.109439999999999</v>
      </c>
      <c r="J6789">
        <v>-229.65799999999999</v>
      </c>
      <c r="K6789">
        <v>1.107531</v>
      </c>
      <c r="L6789">
        <v>-60.796939999999999</v>
      </c>
      <c r="M6789">
        <v>0.99978579999999995</v>
      </c>
      <c r="N6789">
        <v>0</v>
      </c>
      <c r="O6789">
        <v>-1.7494829999999999E-2</v>
      </c>
      <c r="P6789">
        <v>0.99695160000000005</v>
      </c>
      <c r="Q6789">
        <v>-8.4631919999999996E-3</v>
      </c>
      <c r="R6789">
        <v>-7.7559859999999994E-2</v>
      </c>
      <c r="S6789">
        <v>2.9833370000000001</v>
      </c>
      <c r="T6789">
        <v>-0.15175629999999901</v>
      </c>
      <c r="U6789">
        <v>-0.31777949999999999</v>
      </c>
      <c r="V6789">
        <v>6.0118919999999999E-2</v>
      </c>
      <c r="W6789">
        <v>2.231898E-3</v>
      </c>
      <c r="X6789">
        <v>0.99818870000000004</v>
      </c>
      <c r="Y6789">
        <v>8.8414640000000003E-2</v>
      </c>
      <c r="Z6789">
        <v>-1.3542949999999999E-3</v>
      </c>
      <c r="AA6789">
        <v>0.99608280000000005</v>
      </c>
      <c r="AB6789">
        <v>37</v>
      </c>
      <c r="AC6789">
        <v>21.454199999999901</v>
      </c>
      <c r="AD6789">
        <v>-1.1075324928229999</v>
      </c>
      <c r="AE6789">
        <v>-2.3125</v>
      </c>
      <c r="AF6789">
        <v>1.93169676008069</v>
      </c>
      <c r="AG6789">
        <v>-1.1075324928229999</v>
      </c>
      <c r="AH6789">
        <v>21.434908565176499</v>
      </c>
      <c r="AI6789">
        <v>92.945900738398706</v>
      </c>
      <c r="AJ6789">
        <v>84.850460870627103</v>
      </c>
      <c r="AK6789">
        <v>21.550252569124201</v>
      </c>
      <c r="AL6789">
        <v>89.872121554721005</v>
      </c>
      <c r="AM6789">
        <v>86.553352609385499</v>
      </c>
      <c r="AN6789">
        <v>0.99999997335916901</v>
      </c>
    </row>
    <row r="6790" spans="1:40" x14ac:dyDescent="0.25">
      <c r="A6790" t="str">
        <f>"20190312154430012"</f>
        <v>20190312154430012</v>
      </c>
      <c r="B6790" t="str">
        <f>"1552376670003878"</f>
        <v>1552376670003878</v>
      </c>
      <c r="C6790" t="s">
        <v>40</v>
      </c>
      <c r="D6790">
        <v>5.0937099999999997</v>
      </c>
      <c r="E6790">
        <v>0.51163029999999998</v>
      </c>
      <c r="F6790" t="s">
        <v>70</v>
      </c>
      <c r="G6790">
        <v>-208.15369999999999</v>
      </c>
      <c r="H6790" s="1">
        <v>-1.5252579999999999E-6</v>
      </c>
      <c r="I6790">
        <v>-63.11365</v>
      </c>
      <c r="J6790">
        <v>-229.4726</v>
      </c>
      <c r="K6790">
        <v>1.1075299999999999</v>
      </c>
      <c r="L6790">
        <v>-60.801119999999997</v>
      </c>
      <c r="M6790">
        <v>0.99976480000000001</v>
      </c>
      <c r="N6790">
        <v>0</v>
      </c>
      <c r="O6790">
        <v>-1.865766E-2</v>
      </c>
      <c r="P6790">
        <v>0.99685559999999995</v>
      </c>
      <c r="Q6790">
        <v>-8.4393569999999998E-3</v>
      </c>
      <c r="R6790">
        <v>-7.8793470000000004E-2</v>
      </c>
      <c r="S6790">
        <v>2.9828489999999999</v>
      </c>
      <c r="T6790">
        <v>-0.15362500000000001</v>
      </c>
      <c r="U6790">
        <v>-0.32135010000000003</v>
      </c>
      <c r="V6790">
        <v>6.0193129999999997E-2</v>
      </c>
      <c r="W6790">
        <v>2.270045E-3</v>
      </c>
      <c r="X6790">
        <v>0.99818410000000002</v>
      </c>
      <c r="Y6790">
        <v>8.8451299999999997E-2</v>
      </c>
      <c r="Z6790">
        <v>-1.312384E-3</v>
      </c>
      <c r="AA6790">
        <v>0.99607959999999995</v>
      </c>
      <c r="AB6790">
        <v>37</v>
      </c>
      <c r="AC6790">
        <v>21.318899999999999</v>
      </c>
      <c r="AD6790">
        <v>-1.10753152525799</v>
      </c>
      <c r="AE6790">
        <v>-2.3125300000000002</v>
      </c>
      <c r="AF6790">
        <v>1.90924941160753</v>
      </c>
      <c r="AG6790">
        <v>-1.10753152525799</v>
      </c>
      <c r="AH6790">
        <v>21.301516095530101</v>
      </c>
      <c r="AI6790">
        <v>92.964442038496202</v>
      </c>
      <c r="AJ6790">
        <v>84.878279850312396</v>
      </c>
      <c r="AK6790">
        <v>21.415565539188801</v>
      </c>
      <c r="AL6790">
        <v>89.869935881612193</v>
      </c>
      <c r="AM6790">
        <v>86.549092524117398</v>
      </c>
      <c r="AN6790">
        <v>0.99999993174815205</v>
      </c>
    </row>
    <row r="6791" spans="1:40" x14ac:dyDescent="0.25">
      <c r="A6791" t="str">
        <f>"20190312154430022"</f>
        <v>20190312154430022</v>
      </c>
      <c r="B6791" t="str">
        <f>"1552376670014614"</f>
        <v>1552376670014614</v>
      </c>
      <c r="C6791" t="s">
        <v>40</v>
      </c>
      <c r="D6791">
        <v>5.081855</v>
      </c>
      <c r="E6791">
        <v>0.51151229999999903</v>
      </c>
      <c r="F6791" t="s">
        <v>70</v>
      </c>
      <c r="G6791">
        <v>-208.04580000000001</v>
      </c>
      <c r="H6791" s="1">
        <v>-1.5962179999999999E-6</v>
      </c>
      <c r="I6791">
        <v>-63.131</v>
      </c>
      <c r="J6791">
        <v>-229.2954</v>
      </c>
      <c r="K6791">
        <v>1.1075299999999999</v>
      </c>
      <c r="L6791">
        <v>-60.80536</v>
      </c>
      <c r="M6791">
        <v>0.9997431</v>
      </c>
      <c r="N6791">
        <v>0</v>
      </c>
      <c r="O6791">
        <v>-1.9768540000000001E-2</v>
      </c>
      <c r="P6791">
        <v>0.99677039999999995</v>
      </c>
      <c r="Q6791">
        <v>-8.5569779999999998E-3</v>
      </c>
      <c r="R6791">
        <v>-7.9846970000000003E-2</v>
      </c>
      <c r="S6791">
        <v>2.982513</v>
      </c>
      <c r="T6791">
        <v>-0.15416369999999999</v>
      </c>
      <c r="U6791">
        <v>-0.3243103</v>
      </c>
      <c r="V6791">
        <v>6.0138520000000001E-2</v>
      </c>
      <c r="W6791">
        <v>2.1722930000000001E-3</v>
      </c>
      <c r="X6791">
        <v>0.99818770000000001</v>
      </c>
      <c r="Y6791">
        <v>8.8334599999999999E-2</v>
      </c>
      <c r="Z6791">
        <v>-1.2568739999999901E-3</v>
      </c>
      <c r="AA6791">
        <v>0.99609009999999998</v>
      </c>
      <c r="AB6791">
        <v>37</v>
      </c>
      <c r="AC6791">
        <v>21.249599999999901</v>
      </c>
      <c r="AD6791">
        <v>-1.1075315962179999</v>
      </c>
      <c r="AE6791">
        <v>-2.3256399999999999</v>
      </c>
      <c r="AF6791">
        <v>1.8999858503954301</v>
      </c>
      <c r="AG6791">
        <v>-1.1075315962179999</v>
      </c>
      <c r="AH6791">
        <v>21.234423602308802</v>
      </c>
      <c r="AI6791">
        <v>92.973832287374606</v>
      </c>
      <c r="AJ6791">
        <v>84.886979603350497</v>
      </c>
      <c r="AK6791">
        <v>21.348005016643</v>
      </c>
      <c r="AL6791">
        <v>89.875536684139306</v>
      </c>
      <c r="AM6791">
        <v>86.552228196173303</v>
      </c>
      <c r="AN6791">
        <v>1.0000000224379699</v>
      </c>
    </row>
    <row r="6792" spans="1:40" x14ac:dyDescent="0.25">
      <c r="A6792" t="str">
        <f>"20190312154430034"</f>
        <v>20190312154430034</v>
      </c>
      <c r="B6792" t="str">
        <f>"1552376670024374"</f>
        <v>1552376670024374</v>
      </c>
      <c r="C6792" t="s">
        <v>40</v>
      </c>
      <c r="D6792">
        <v>5.0585630000000004</v>
      </c>
      <c r="E6792">
        <v>0.51151229999999903</v>
      </c>
      <c r="F6792" t="s">
        <v>70</v>
      </c>
      <c r="G6792">
        <v>-208.03309999999999</v>
      </c>
      <c r="H6792" s="1">
        <v>-1.6046399999999999E-6</v>
      </c>
      <c r="I6792">
        <v>-63.133459999999999</v>
      </c>
      <c r="J6792">
        <v>-229.10429999999999</v>
      </c>
      <c r="K6792">
        <v>1.1075299999999999</v>
      </c>
      <c r="L6792">
        <v>-60.81015</v>
      </c>
      <c r="M6792">
        <v>0.99971860000000001</v>
      </c>
      <c r="N6792">
        <v>0</v>
      </c>
      <c r="O6792">
        <v>-2.0966249999999999E-2</v>
      </c>
      <c r="P6792">
        <v>0.99667410000000001</v>
      </c>
      <c r="Q6792">
        <v>-8.4848249999999997E-3</v>
      </c>
      <c r="R6792">
        <v>-8.1050399999999995E-2</v>
      </c>
      <c r="S6792">
        <v>2.982224</v>
      </c>
      <c r="T6792">
        <v>-0.15534139999999999</v>
      </c>
      <c r="U6792">
        <v>-0.3265381</v>
      </c>
      <c r="V6792">
        <v>6.0148420000000001E-2</v>
      </c>
      <c r="W6792">
        <v>2.2690919999999999E-3</v>
      </c>
      <c r="X6792">
        <v>0.99818689999999999</v>
      </c>
      <c r="Y6792">
        <v>8.7887820000000005E-2</v>
      </c>
      <c r="Z6792">
        <v>-1.1928220000000001E-3</v>
      </c>
      <c r="AA6792">
        <v>0.99612970000000001</v>
      </c>
      <c r="AB6792">
        <v>37</v>
      </c>
      <c r="AC6792">
        <v>21.071200000000001</v>
      </c>
      <c r="AD6792">
        <v>-1.1075316046399999</v>
      </c>
      <c r="AE6792">
        <v>-2.32330999999999</v>
      </c>
      <c r="AF6792">
        <v>1.87586777488231</v>
      </c>
      <c r="AG6792">
        <v>-1.1075316046399999</v>
      </c>
      <c r="AH6792">
        <v>21.057804117144901</v>
      </c>
      <c r="AI6792">
        <v>92.998834277378293</v>
      </c>
      <c r="AJ6792">
        <v>84.909424146016804</v>
      </c>
      <c r="AK6792">
        <v>21.1701823421567</v>
      </c>
      <c r="AL6792">
        <v>89.869990497963201</v>
      </c>
      <c r="AM6792">
        <v>86.551659236622299</v>
      </c>
      <c r="AN6792">
        <v>1.0000000342693001</v>
      </c>
    </row>
    <row r="6793" spans="1:40" x14ac:dyDescent="0.25">
      <c r="A6793" t="str">
        <f>"20190312154430044"</f>
        <v>20190312154430044</v>
      </c>
      <c r="B6793" t="str">
        <f>"1552376670034134"</f>
        <v>1552376670034134</v>
      </c>
      <c r="C6793" t="s">
        <v>40</v>
      </c>
      <c r="D6793">
        <v>5.1078510000000001</v>
      </c>
      <c r="E6793">
        <v>0.50757129999999995</v>
      </c>
      <c r="F6793" t="s">
        <v>70</v>
      </c>
      <c r="G6793">
        <v>-207.8117</v>
      </c>
      <c r="H6793" s="1">
        <v>-1.7502349999999999E-6</v>
      </c>
      <c r="I6793">
        <v>-63.168230000000001</v>
      </c>
      <c r="J6793">
        <v>-228.92310000000001</v>
      </c>
      <c r="K6793">
        <v>1.1075280000000001</v>
      </c>
      <c r="L6793">
        <v>-60.814819999999997</v>
      </c>
      <c r="M6793">
        <v>0.99969379999999997</v>
      </c>
      <c r="N6793">
        <v>0</v>
      </c>
      <c r="O6793">
        <v>-2.2100669999999999E-2</v>
      </c>
      <c r="P6793">
        <v>0.99658939999999996</v>
      </c>
      <c r="Q6793">
        <v>-8.5398269999999998E-3</v>
      </c>
      <c r="R6793">
        <v>-8.207776E-2</v>
      </c>
      <c r="S6793">
        <v>2.9818570000000002</v>
      </c>
      <c r="T6793">
        <v>-0.15510109999999999</v>
      </c>
      <c r="U6793">
        <v>-0.33023069999999999</v>
      </c>
      <c r="V6793">
        <v>6.0044769999999997E-2</v>
      </c>
      <c r="W6793">
        <v>2.241912E-3</v>
      </c>
      <c r="X6793">
        <v>0.99819310000000006</v>
      </c>
      <c r="Y6793">
        <v>8.7991130000000001E-2</v>
      </c>
      <c r="Z6793">
        <v>-1.134978E-3</v>
      </c>
      <c r="AA6793">
        <v>0.99612060000000002</v>
      </c>
      <c r="AB6793">
        <v>37</v>
      </c>
      <c r="AC6793">
        <v>21.1114</v>
      </c>
      <c r="AD6793">
        <v>-1.1075297502349899</v>
      </c>
      <c r="AE6793">
        <v>-2.3534099999999998</v>
      </c>
      <c r="AF6793">
        <v>1.88111650156058</v>
      </c>
      <c r="AG6793">
        <v>-1.1075297502349899</v>
      </c>
      <c r="AH6793">
        <v>21.100897426605499</v>
      </c>
      <c r="AI6793">
        <v>92.992698403385404</v>
      </c>
      <c r="AJ6793">
        <v>84.905625985126704</v>
      </c>
      <c r="AK6793">
        <v>21.213512053599899</v>
      </c>
      <c r="AL6793">
        <v>89.871547788115393</v>
      </c>
      <c r="AM6793">
        <v>86.557608573926103</v>
      </c>
      <c r="AN6793">
        <v>0.99999993273068699</v>
      </c>
    </row>
    <row r="6794" spans="1:40" x14ac:dyDescent="0.25">
      <c r="A6794" t="str">
        <f>"20190312154430056"</f>
        <v>20190312154430056</v>
      </c>
      <c r="B6794" t="str">
        <f>"1552376670043893"</f>
        <v>1552376670043893</v>
      </c>
      <c r="C6794" t="s">
        <v>40</v>
      </c>
      <c r="D6794">
        <v>5.101445</v>
      </c>
      <c r="E6794">
        <v>0.50758359999999902</v>
      </c>
      <c r="F6794" t="s">
        <v>78</v>
      </c>
      <c r="G6794">
        <v>-212.0163</v>
      </c>
      <c r="H6794" s="1">
        <v>-4.0186220000000001E-7</v>
      </c>
      <c r="I6794">
        <v>-62.517800000000001</v>
      </c>
      <c r="J6794">
        <v>-228.74010000000001</v>
      </c>
      <c r="K6794">
        <v>1.1075330000000001</v>
      </c>
      <c r="L6794">
        <v>-60.819850000000002</v>
      </c>
      <c r="M6794">
        <v>0.99966739999999998</v>
      </c>
      <c r="N6794">
        <v>0</v>
      </c>
      <c r="O6794">
        <v>-2.3245390000000001E-2</v>
      </c>
      <c r="P6794">
        <v>0.99649750000000004</v>
      </c>
      <c r="Q6794">
        <v>-8.7093299999999995E-3</v>
      </c>
      <c r="R6794">
        <v>-8.3168480000000003E-2</v>
      </c>
      <c r="S6794">
        <v>2.9838559999999998</v>
      </c>
      <c r="T6794">
        <v>-0.19546620000000001</v>
      </c>
      <c r="U6794">
        <v>-0.30056759999999999</v>
      </c>
      <c r="V6794">
        <v>5.9993589999999999E-2</v>
      </c>
      <c r="W6794">
        <v>2.108398E-3</v>
      </c>
      <c r="X6794">
        <v>0.99819650000000004</v>
      </c>
      <c r="Y6794">
        <v>7.6953320000000006E-2</v>
      </c>
      <c r="Z6794">
        <v>-9.9464379999999997E-4</v>
      </c>
      <c r="AA6794">
        <v>0.99703419999999998</v>
      </c>
      <c r="AB6794">
        <v>37</v>
      </c>
      <c r="AC6794">
        <v>16.723800000000001</v>
      </c>
      <c r="AD6794">
        <v>-1.1075334018621901</v>
      </c>
      <c r="AE6794">
        <v>-1.6979499999999901</v>
      </c>
      <c r="AF6794">
        <v>1.3030590557969499</v>
      </c>
      <c r="AG6794">
        <v>-1.1075334018621901</v>
      </c>
      <c r="AH6794">
        <v>16.686317140569098</v>
      </c>
      <c r="AI6794">
        <v>93.7858733076866</v>
      </c>
      <c r="AJ6794">
        <v>85.534750343522006</v>
      </c>
      <c r="AK6794">
        <v>16.773722689217902</v>
      </c>
      <c r="AL6794">
        <v>89.879197599263804</v>
      </c>
      <c r="AM6794">
        <v>86.560547384653205</v>
      </c>
      <c r="AN6794">
        <v>0.99999996439773098</v>
      </c>
    </row>
    <row r="6795" spans="1:40" x14ac:dyDescent="0.25">
      <c r="A6795" t="str">
        <f>"20190312154430067"</f>
        <v>20190312154430067</v>
      </c>
      <c r="B6795" t="str">
        <f>"1552376670054629"</f>
        <v>1552376670054629</v>
      </c>
      <c r="C6795" t="s">
        <v>40</v>
      </c>
      <c r="D6795">
        <v>5.0946550000000004</v>
      </c>
      <c r="E6795">
        <v>0.50759179999999904</v>
      </c>
      <c r="F6795" t="s">
        <v>41</v>
      </c>
      <c r="G6795">
        <v>-227.8134</v>
      </c>
      <c r="H6795">
        <v>1.04653</v>
      </c>
      <c r="I6795">
        <v>-60.914299999999997</v>
      </c>
      <c r="J6795">
        <v>-228.5574</v>
      </c>
      <c r="K6795">
        <v>1.107537</v>
      </c>
      <c r="L6795">
        <v>-60.824979999999996</v>
      </c>
      <c r="M6795">
        <v>0.99963970000000002</v>
      </c>
      <c r="N6795">
        <v>0</v>
      </c>
      <c r="O6795">
        <v>-2.4387510000000001E-2</v>
      </c>
      <c r="P6795">
        <v>0.99640629999999997</v>
      </c>
      <c r="Q6795">
        <v>-8.7126289999999995E-3</v>
      </c>
      <c r="R6795">
        <v>-8.4255170000000004E-2</v>
      </c>
      <c r="S6795">
        <v>2.983444</v>
      </c>
      <c r="T6795">
        <v>-0.19640369999999999</v>
      </c>
      <c r="U6795">
        <v>-0.303894</v>
      </c>
      <c r="V6795">
        <v>5.9941590000000003E-2</v>
      </c>
      <c r="W6795">
        <v>2.1432069999999998E-3</v>
      </c>
      <c r="X6795">
        <v>0.99819959999999996</v>
      </c>
      <c r="Y6795">
        <v>7.6929670000000006E-2</v>
      </c>
      <c r="Z6795">
        <v>-9.2385779999999999E-4</v>
      </c>
      <c r="AA6795">
        <v>0.99703609999999998</v>
      </c>
      <c r="AB6795">
        <v>37</v>
      </c>
      <c r="AC6795">
        <v>0.743999999999999</v>
      </c>
      <c r="AD6795">
        <v>-6.1006999999999999E-2</v>
      </c>
      <c r="AE6795">
        <v>-8.9319999999993599E-2</v>
      </c>
      <c r="AF6795">
        <v>7.0679501835601302E-2</v>
      </c>
      <c r="AG6795">
        <v>-6.1006999999999999E-2</v>
      </c>
      <c r="AH6795">
        <v>0.74104528994295804</v>
      </c>
      <c r="AI6795">
        <v>94.685129667324404</v>
      </c>
      <c r="AJ6795">
        <v>84.551717725796493</v>
      </c>
      <c r="AK6795">
        <v>0.74690398832471905</v>
      </c>
      <c r="AL6795">
        <v>89.877203192048896</v>
      </c>
      <c r="AM6795">
        <v>86.563532061304599</v>
      </c>
      <c r="AN6795">
        <v>1.00000001449406</v>
      </c>
    </row>
    <row r="6796" spans="1:40" x14ac:dyDescent="0.25">
      <c r="A6796" t="str">
        <f>"20190312154430079"</f>
        <v>20190312154430079</v>
      </c>
      <c r="B6796" t="str">
        <f>"1552376670074150"</f>
        <v>1552376670074150</v>
      </c>
      <c r="C6796" t="s">
        <v>40</v>
      </c>
      <c r="D6796">
        <v>5.1241779999999997</v>
      </c>
      <c r="E6796">
        <v>0.50733419999999996</v>
      </c>
      <c r="F6796" t="s">
        <v>78</v>
      </c>
      <c r="G6796">
        <v>-211.81569999999999</v>
      </c>
      <c r="H6796" s="1">
        <v>-3.2409619999999998E-7</v>
      </c>
      <c r="I6796">
        <v>-62.548900000000003</v>
      </c>
      <c r="J6796">
        <v>-228.36689999999999</v>
      </c>
      <c r="K6796">
        <v>1.107542</v>
      </c>
      <c r="L6796">
        <v>-60.8307199999999</v>
      </c>
      <c r="M6796">
        <v>0.99960939999999998</v>
      </c>
      <c r="N6796">
        <v>0</v>
      </c>
      <c r="O6796">
        <v>-2.557659E-2</v>
      </c>
      <c r="P6796">
        <v>0.99631809999999998</v>
      </c>
      <c r="Q6796">
        <v>-9.0758260000000004E-3</v>
      </c>
      <c r="R6796">
        <v>-8.5252320000000006E-2</v>
      </c>
      <c r="S6796">
        <v>2.983139</v>
      </c>
      <c r="T6796">
        <v>-0.197348</v>
      </c>
      <c r="U6796">
        <v>-0.30718990000000002</v>
      </c>
      <c r="V6796">
        <v>5.9751789999999999E-2</v>
      </c>
      <c r="W6796">
        <v>1.835171E-3</v>
      </c>
      <c r="X6796">
        <v>0.99821159999999998</v>
      </c>
      <c r="Y6796">
        <v>7.6845750000000004E-2</v>
      </c>
      <c r="Z6796">
        <v>-8.4726369999999895E-4</v>
      </c>
      <c r="AA6796">
        <v>0.99704269999999995</v>
      </c>
      <c r="AB6796">
        <v>37</v>
      </c>
      <c r="AC6796">
        <v>16.551199999999898</v>
      </c>
      <c r="AD6796">
        <v>-1.1075423240961999</v>
      </c>
      <c r="AE6796">
        <v>-1.71818000000001</v>
      </c>
      <c r="AF6796">
        <v>1.28855938183902</v>
      </c>
      <c r="AG6796">
        <v>-1.1075423240961999</v>
      </c>
      <c r="AH6796">
        <v>16.5165639645341</v>
      </c>
      <c r="AI6796">
        <v>93.824721671592599</v>
      </c>
      <c r="AJ6796">
        <v>85.539037560503701</v>
      </c>
      <c r="AK6796">
        <v>16.603732124878899</v>
      </c>
      <c r="AL6796">
        <v>89.894852390236295</v>
      </c>
      <c r="AM6796">
        <v>86.5744284772274</v>
      </c>
      <c r="AN6796">
        <v>1.0000000213176801</v>
      </c>
    </row>
    <row r="6797" spans="1:40" x14ac:dyDescent="0.25">
      <c r="A6797" t="str">
        <f>"20190312154430089"</f>
        <v>20190312154430089</v>
      </c>
      <c r="B6797" t="str">
        <f>"1552376670083911"</f>
        <v>1552376670083911</v>
      </c>
      <c r="C6797" t="s">
        <v>40</v>
      </c>
      <c r="D6797">
        <v>5.1096500000000002</v>
      </c>
      <c r="E6797">
        <v>0.50717330000000005</v>
      </c>
      <c r="F6797" t="s">
        <v>41</v>
      </c>
      <c r="G6797">
        <v>-227.4804</v>
      </c>
      <c r="H6797">
        <v>1.0491950000000001</v>
      </c>
      <c r="I6797">
        <v>-60.922620000000002</v>
      </c>
      <c r="J6797">
        <v>-228.17959999999999</v>
      </c>
      <c r="K6797">
        <v>1.107551</v>
      </c>
      <c r="L6797">
        <v>-60.83643</v>
      </c>
      <c r="M6797">
        <v>0.99957810000000002</v>
      </c>
      <c r="N6797">
        <v>0</v>
      </c>
      <c r="O6797">
        <v>-2.6745089999999999E-2</v>
      </c>
      <c r="P6797">
        <v>0.99623110000000004</v>
      </c>
      <c r="Q6797">
        <v>-9.1531900000000003E-3</v>
      </c>
      <c r="R6797">
        <v>-8.6255540000000006E-2</v>
      </c>
      <c r="S6797">
        <v>2.9829249999999998</v>
      </c>
      <c r="T6797">
        <v>-0.19611870000000001</v>
      </c>
      <c r="U6797">
        <v>-0.30828860000000002</v>
      </c>
      <c r="V6797">
        <v>5.9589740000000002E-2</v>
      </c>
      <c r="W6797">
        <v>1.81705E-3</v>
      </c>
      <c r="X6797">
        <v>0.99822129999999998</v>
      </c>
      <c r="Y6797">
        <v>7.6056349999999995E-2</v>
      </c>
      <c r="Z6797">
        <v>-7.3971589999999895E-4</v>
      </c>
      <c r="AA6797">
        <v>0.99710330000000003</v>
      </c>
      <c r="AB6797">
        <v>37</v>
      </c>
      <c r="AC6797">
        <v>0.69919999999999005</v>
      </c>
      <c r="AD6797">
        <v>-5.8355999999999797E-2</v>
      </c>
      <c r="AE6797">
        <v>-8.6189999999987693E-2</v>
      </c>
      <c r="AF6797">
        <v>6.6998090941993604E-2</v>
      </c>
      <c r="AG6797">
        <v>-5.8355999999999797E-2</v>
      </c>
      <c r="AH6797">
        <v>0.69647629494994301</v>
      </c>
      <c r="AI6797">
        <v>94.767576716180599</v>
      </c>
      <c r="AJ6797">
        <v>84.505293974488495</v>
      </c>
      <c r="AK6797">
        <v>0.70212064230662796</v>
      </c>
      <c r="AL6797">
        <v>89.895890646679703</v>
      </c>
      <c r="AM6797">
        <v>86.583729892439905</v>
      </c>
      <c r="AN6797">
        <v>1.0000000012788299</v>
      </c>
    </row>
    <row r="6798" spans="1:40" x14ac:dyDescent="0.25">
      <c r="A6798" t="str">
        <f>"20190312154430100"</f>
        <v>20190312154430100</v>
      </c>
      <c r="B6798" t="str">
        <f>"1552376670094647"</f>
        <v>1552376670094647</v>
      </c>
      <c r="C6798" t="s">
        <v>40</v>
      </c>
      <c r="D6798">
        <v>5.1335739999999896</v>
      </c>
      <c r="E6798">
        <v>0.50704099999999996</v>
      </c>
      <c r="F6798" t="s">
        <v>41</v>
      </c>
      <c r="G6798">
        <v>-227.15710000000001</v>
      </c>
      <c r="H6798">
        <v>1.0398639999999999</v>
      </c>
      <c r="I6798">
        <v>-60.94294</v>
      </c>
      <c r="J6798">
        <v>-227.99969999999999</v>
      </c>
      <c r="K6798">
        <v>1.107567</v>
      </c>
      <c r="L6798">
        <v>-60.842190000000002</v>
      </c>
      <c r="M6798">
        <v>0.99954679999999996</v>
      </c>
      <c r="N6798">
        <v>0</v>
      </c>
      <c r="O6798">
        <v>-2.7864710000000001E-2</v>
      </c>
      <c r="P6798">
        <v>0.996147</v>
      </c>
      <c r="Q6798">
        <v>-9.400828E-3</v>
      </c>
      <c r="R6798">
        <v>-8.7195120000000001E-2</v>
      </c>
      <c r="S6798">
        <v>2.982666</v>
      </c>
      <c r="T6798">
        <v>-0.19727529999999999</v>
      </c>
      <c r="U6798">
        <v>-0.30999759999999998</v>
      </c>
      <c r="V6798">
        <v>5.9412189999999997E-2</v>
      </c>
      <c r="W6798">
        <v>1.6449119999999999E-3</v>
      </c>
      <c r="X6798">
        <v>0.99823220000000001</v>
      </c>
      <c r="Y6798">
        <v>7.551592E-2</v>
      </c>
      <c r="Z6798">
        <v>-6.5260290000000005E-4</v>
      </c>
      <c r="AA6798">
        <v>0.99714440000000004</v>
      </c>
      <c r="AB6798">
        <v>37</v>
      </c>
      <c r="AC6798">
        <v>0.84259999999997603</v>
      </c>
      <c r="AD6798">
        <v>-6.7702999999999999E-2</v>
      </c>
      <c r="AE6798">
        <v>-0.10074999999999699</v>
      </c>
      <c r="AF6798">
        <v>7.6742072256380994E-2</v>
      </c>
      <c r="AG6798">
        <v>-6.7702999999999999E-2</v>
      </c>
      <c r="AH6798">
        <v>0.83973530056836598</v>
      </c>
      <c r="AI6798">
        <v>94.590409911151497</v>
      </c>
      <c r="AJ6798">
        <v>84.778334530611104</v>
      </c>
      <c r="AK6798">
        <v>0.84594823534531205</v>
      </c>
      <c r="AL6798">
        <v>89.905753444074406</v>
      </c>
      <c r="AM6798">
        <v>86.593921909293798</v>
      </c>
      <c r="AN6798">
        <v>1.00000001958646</v>
      </c>
    </row>
    <row r="6799" spans="1:40" x14ac:dyDescent="0.25">
      <c r="A6799" t="str">
        <f>"20190312154430113"</f>
        <v>20190312154430113</v>
      </c>
      <c r="B6799" t="str">
        <f>"1552376670104406"</f>
        <v>1552376670104406</v>
      </c>
      <c r="C6799" t="s">
        <v>40</v>
      </c>
      <c r="D6799">
        <v>5.1275469999999999</v>
      </c>
      <c r="E6799">
        <v>0.50695140000000005</v>
      </c>
      <c r="F6799" t="s">
        <v>41</v>
      </c>
      <c r="G6799">
        <v>-227.14840000000001</v>
      </c>
      <c r="H6799">
        <v>1.050994</v>
      </c>
      <c r="I6799">
        <v>-60.931429999999999</v>
      </c>
      <c r="J6799">
        <v>-227.80629999999999</v>
      </c>
      <c r="K6799">
        <v>1.1075900000000001</v>
      </c>
      <c r="L6799">
        <v>-60.848599999999998</v>
      </c>
      <c r="M6799">
        <v>0.99951140000000005</v>
      </c>
      <c r="N6799">
        <v>0</v>
      </c>
      <c r="O6799">
        <v>-2.9067530000000001E-2</v>
      </c>
      <c r="P6799">
        <v>0.99605880000000002</v>
      </c>
      <c r="Q6799">
        <v>-9.2987509999999992E-3</v>
      </c>
      <c r="R6799">
        <v>-8.8206499999999993E-2</v>
      </c>
      <c r="S6799">
        <v>2.9824519999999999</v>
      </c>
      <c r="T6799">
        <v>-0.1979929</v>
      </c>
      <c r="U6799">
        <v>-0.31176759999999998</v>
      </c>
      <c r="V6799">
        <v>5.9225819999999998E-2</v>
      </c>
      <c r="W6799">
        <v>1.838031E-3</v>
      </c>
      <c r="X6799">
        <v>0.99824290000000004</v>
      </c>
      <c r="Y6799">
        <v>7.4911870000000005E-2</v>
      </c>
      <c r="Z6799">
        <v>-5.5555649999999997E-4</v>
      </c>
      <c r="AA6799">
        <v>0.99719000000000002</v>
      </c>
      <c r="AB6799">
        <v>37</v>
      </c>
      <c r="AC6799">
        <v>0.65789999999998305</v>
      </c>
      <c r="AD6799">
        <v>-5.6596E-2</v>
      </c>
      <c r="AE6799">
        <v>-8.2830000000008397E-2</v>
      </c>
      <c r="AF6799">
        <v>6.3209730355386295E-2</v>
      </c>
      <c r="AG6799">
        <v>-5.6596E-2</v>
      </c>
      <c r="AH6799">
        <v>0.65525633403334804</v>
      </c>
      <c r="AI6799">
        <v>94.9138194415264</v>
      </c>
      <c r="AJ6799">
        <v>84.489974395565</v>
      </c>
      <c r="AK6799">
        <v>0.66072644908344802</v>
      </c>
      <c r="AL6799">
        <v>89.894688519867799</v>
      </c>
      <c r="AM6799">
        <v>86.6046177028839</v>
      </c>
      <c r="AN6799">
        <v>0.99999998175651905</v>
      </c>
    </row>
    <row r="6800" spans="1:40" x14ac:dyDescent="0.25">
      <c r="A6800" t="str">
        <f>"20190312154430124"</f>
        <v>20190312154430124</v>
      </c>
      <c r="B6800" t="str">
        <f>"1552376670114166"</f>
        <v>1552376670114166</v>
      </c>
      <c r="C6800" t="s">
        <v>40</v>
      </c>
      <c r="D6800">
        <v>5.145194</v>
      </c>
      <c r="E6800">
        <v>0.50691439999999999</v>
      </c>
      <c r="F6800" t="s">
        <v>41</v>
      </c>
      <c r="G6800">
        <v>-226.82570000000001</v>
      </c>
      <c r="H6800">
        <v>1.0423020000000001</v>
      </c>
      <c r="I6800">
        <v>-60.952030000000001</v>
      </c>
      <c r="J6800">
        <v>-227.60810000000001</v>
      </c>
      <c r="K6800">
        <v>1.1076109999999999</v>
      </c>
      <c r="L6800">
        <v>-60.855409999999999</v>
      </c>
      <c r="M6800">
        <v>0.99947359999999996</v>
      </c>
      <c r="N6800">
        <v>0</v>
      </c>
      <c r="O6800">
        <v>-3.02972E-2</v>
      </c>
      <c r="P6800">
        <v>0.99595230000000001</v>
      </c>
      <c r="Q6800">
        <v>-9.1743290000000002E-3</v>
      </c>
      <c r="R6800">
        <v>-8.9412899999999906E-2</v>
      </c>
      <c r="S6800">
        <v>2.982208</v>
      </c>
      <c r="T6800">
        <v>-0.1984129</v>
      </c>
      <c r="U6800">
        <v>-0.31405640000000001</v>
      </c>
      <c r="V6800">
        <v>5.920802E-2</v>
      </c>
      <c r="W6800">
        <v>2.0707270000000001E-3</v>
      </c>
      <c r="X6800">
        <v>0.99824349999999995</v>
      </c>
      <c r="Y6800">
        <v>7.4453699999999998E-2</v>
      </c>
      <c r="Z6800">
        <v>-4.6016250000000002E-4</v>
      </c>
      <c r="AA6800">
        <v>0.99722440000000001</v>
      </c>
      <c r="AB6800">
        <v>37</v>
      </c>
      <c r="AC6800">
        <v>0.78239999999999499</v>
      </c>
      <c r="AD6800">
        <v>-6.5309000000000006E-2</v>
      </c>
      <c r="AE6800">
        <v>-9.6620000000008602E-2</v>
      </c>
      <c r="AF6800">
        <v>7.2372818203531405E-2</v>
      </c>
      <c r="AG6800">
        <v>-6.5309000000000006E-2</v>
      </c>
      <c r="AH6800">
        <v>0.77961775869880501</v>
      </c>
      <c r="AI6800">
        <v>94.768112380891793</v>
      </c>
      <c r="AJ6800">
        <v>84.696366575027994</v>
      </c>
      <c r="AK6800">
        <v>0.78568883151936797</v>
      </c>
      <c r="AL6800">
        <v>89.881355995382194</v>
      </c>
      <c r="AM6800">
        <v>86.605637815736202</v>
      </c>
      <c r="AN6800">
        <v>0.99999998141743895</v>
      </c>
    </row>
    <row r="6801" spans="1:40" x14ac:dyDescent="0.25">
      <c r="A6801" t="str">
        <f>"20190312154430140"</f>
        <v>20190312154430140</v>
      </c>
      <c r="B6801" t="str">
        <f>"1552376670134662"</f>
        <v>1552376670134662</v>
      </c>
      <c r="C6801" t="s">
        <v>40</v>
      </c>
      <c r="D6801">
        <v>5.1432089999999997</v>
      </c>
      <c r="E6801">
        <v>0.50674839999999999</v>
      </c>
      <c r="F6801" t="s">
        <v>78</v>
      </c>
      <c r="G6801">
        <v>-211.0198</v>
      </c>
      <c r="H6801" s="1">
        <v>-1.8076209999999999E-9</v>
      </c>
      <c r="I6801">
        <v>-62.620959999999997</v>
      </c>
      <c r="J6801">
        <v>-227.36439999999999</v>
      </c>
      <c r="K6801">
        <v>1.1076429999999999</v>
      </c>
      <c r="L6801">
        <v>-60.864170000000001</v>
      </c>
      <c r="M6801">
        <v>0.99942489999999995</v>
      </c>
      <c r="N6801">
        <v>0</v>
      </c>
      <c r="O6801">
        <v>-3.1804930000000002E-2</v>
      </c>
      <c r="P6801">
        <v>0.99584600000000001</v>
      </c>
      <c r="Q6801">
        <v>-9.1408540000000003E-3</v>
      </c>
      <c r="R6801">
        <v>-9.0595540000000002E-2</v>
      </c>
      <c r="S6801">
        <v>2.9818880000000001</v>
      </c>
      <c r="T6801">
        <v>-0.1991019</v>
      </c>
      <c r="U6801">
        <v>-0.31738280000000002</v>
      </c>
      <c r="V6801">
        <v>5.8888320000000001E-2</v>
      </c>
      <c r="W6801">
        <v>2.2681369999999999E-3</v>
      </c>
      <c r="X6801">
        <v>0.99826199999999998</v>
      </c>
      <c r="Y6801">
        <v>7.4064039999999998E-2</v>
      </c>
      <c r="Z6801">
        <v>-3.486613E-4</v>
      </c>
      <c r="AA6801">
        <v>0.99725339999999996</v>
      </c>
      <c r="AB6801">
        <v>37</v>
      </c>
      <c r="AC6801">
        <v>16.3445999999999</v>
      </c>
      <c r="AD6801">
        <v>-1.10764300180762</v>
      </c>
      <c r="AE6801">
        <v>-1.7567900000000001</v>
      </c>
      <c r="AF6801">
        <v>1.2304400129050601</v>
      </c>
      <c r="AG6801">
        <v>-1.10764300180762</v>
      </c>
      <c r="AH6801">
        <v>16.318123093044299</v>
      </c>
      <c r="AI6801">
        <v>93.872212630183498</v>
      </c>
      <c r="AJ6801">
        <v>85.687870338320494</v>
      </c>
      <c r="AK6801">
        <v>16.4018900412287</v>
      </c>
      <c r="AL6801">
        <v>89.8700452110741</v>
      </c>
      <c r="AM6801">
        <v>86.623985947859296</v>
      </c>
      <c r="AN6801">
        <v>0.999999999660936</v>
      </c>
    </row>
    <row r="6802" spans="1:40" x14ac:dyDescent="0.25">
      <c r="A6802" t="str">
        <f>"20190312154430153"</f>
        <v>20190312154430153</v>
      </c>
      <c r="B6802" t="str">
        <f>"1552376670144423"</f>
        <v>1552376670144423</v>
      </c>
      <c r="C6802" t="s">
        <v>40</v>
      </c>
      <c r="D6802">
        <v>5.1532400000000003</v>
      </c>
      <c r="E6802">
        <v>0.50667289999999998</v>
      </c>
      <c r="F6802" t="s">
        <v>41</v>
      </c>
      <c r="G6802">
        <v>-226.49039999999999</v>
      </c>
      <c r="H6802">
        <v>1.0489360000000001</v>
      </c>
      <c r="I6802">
        <v>-60.957940000000001</v>
      </c>
      <c r="J6802">
        <v>-227.14760000000001</v>
      </c>
      <c r="K6802">
        <v>1.107672</v>
      </c>
      <c r="L6802">
        <v>-60.872190000000003</v>
      </c>
      <c r="M6802">
        <v>0.99937949999999998</v>
      </c>
      <c r="N6802">
        <v>0</v>
      </c>
      <c r="O6802">
        <v>-3.3143819999999997E-2</v>
      </c>
      <c r="P6802">
        <v>0.99572419999999995</v>
      </c>
      <c r="Q6802">
        <v>-8.9760689999999997E-3</v>
      </c>
      <c r="R6802">
        <v>-9.1938149999999996E-2</v>
      </c>
      <c r="S6802">
        <v>2.981598</v>
      </c>
      <c r="T6802">
        <v>-0.2001927</v>
      </c>
      <c r="U6802">
        <v>-0.31958009999999998</v>
      </c>
      <c r="V6802">
        <v>5.8898649999999997E-2</v>
      </c>
      <c r="W6802">
        <v>2.5914319999999999E-3</v>
      </c>
      <c r="X6802">
        <v>0.99826060000000005</v>
      </c>
      <c r="Y6802">
        <v>7.3468069999999996E-2</v>
      </c>
      <c r="Z6802">
        <v>-2.4122719999999999E-4</v>
      </c>
      <c r="AA6802">
        <v>0.99729749999999995</v>
      </c>
      <c r="AB6802">
        <v>37</v>
      </c>
      <c r="AC6802">
        <v>0.65720000000001699</v>
      </c>
      <c r="AD6802">
        <v>-5.8735999999999899E-2</v>
      </c>
      <c r="AE6802">
        <v>-8.5749999999997301E-2</v>
      </c>
      <c r="AF6802">
        <v>6.3421115808879394E-2</v>
      </c>
      <c r="AG6802">
        <v>-5.8735999999999899E-2</v>
      </c>
      <c r="AH6802">
        <v>0.65454050416422704</v>
      </c>
      <c r="AI6802">
        <v>95.103996728028903</v>
      </c>
      <c r="AJ6802">
        <v>84.465653298522497</v>
      </c>
      <c r="AK6802">
        <v>0.66022377056419601</v>
      </c>
      <c r="AL6802">
        <v>89.851521716726097</v>
      </c>
      <c r="AM6802">
        <v>86.623390383911698</v>
      </c>
      <c r="AN6802">
        <v>0.99999999600199596</v>
      </c>
    </row>
    <row r="6803" spans="1:40" x14ac:dyDescent="0.25">
      <c r="A6803" t="str">
        <f>"20190312154430163"</f>
        <v>20190312154430163</v>
      </c>
      <c r="B6803" t="str">
        <f>"1552376670154182"</f>
        <v>1552376670154182</v>
      </c>
      <c r="C6803" t="s">
        <v>40</v>
      </c>
      <c r="D6803">
        <v>5.1463029999999996</v>
      </c>
      <c r="E6803">
        <v>0.50667429999999902</v>
      </c>
      <c r="F6803" t="s">
        <v>41</v>
      </c>
      <c r="G6803">
        <v>-226.167</v>
      </c>
      <c r="H6803">
        <v>1.041795</v>
      </c>
      <c r="I6803">
        <v>-60.978749999999998</v>
      </c>
      <c r="J6803">
        <v>-226.94810000000001</v>
      </c>
      <c r="K6803">
        <v>1.107704</v>
      </c>
      <c r="L6803">
        <v>-60.879849999999998</v>
      </c>
      <c r="M6803">
        <v>0.99933609999999995</v>
      </c>
      <c r="N6803">
        <v>0</v>
      </c>
      <c r="O6803">
        <v>-3.4374710000000003E-2</v>
      </c>
      <c r="P6803">
        <v>0.99561860000000002</v>
      </c>
      <c r="Q6803">
        <v>-9.2666750000000003E-3</v>
      </c>
      <c r="R6803">
        <v>-9.3046889999999993E-2</v>
      </c>
      <c r="S6803">
        <v>2.9812470000000002</v>
      </c>
      <c r="T6803">
        <v>-0.20008980000000001</v>
      </c>
      <c r="U6803">
        <v>-0.323028599999999</v>
      </c>
      <c r="V6803">
        <v>5.8780100000000002E-2</v>
      </c>
      <c r="W6803">
        <v>2.4598250000000001E-3</v>
      </c>
      <c r="X6803">
        <v>0.99826789999999999</v>
      </c>
      <c r="Y6803">
        <v>7.3395440000000006E-2</v>
      </c>
      <c r="Z6803">
        <v>-1.5652020000000001E-4</v>
      </c>
      <c r="AA6803">
        <v>0.99730289999999999</v>
      </c>
      <c r="AB6803">
        <v>37</v>
      </c>
      <c r="AC6803">
        <v>0.78110000000000901</v>
      </c>
      <c r="AD6803">
        <v>-6.5908999999999995E-2</v>
      </c>
      <c r="AE6803">
        <v>-9.8900000000000404E-2</v>
      </c>
      <c r="AF6803">
        <v>7.1488537694324006E-2</v>
      </c>
      <c r="AG6803">
        <v>-6.5908999999999995E-2</v>
      </c>
      <c r="AH6803">
        <v>0.77858223293366602</v>
      </c>
      <c r="AI6803">
        <v>94.818526691069707</v>
      </c>
      <c r="AJ6803">
        <v>84.753876339836296</v>
      </c>
      <c r="AK6803">
        <v>0.784630423028986</v>
      </c>
      <c r="AL6803">
        <v>89.859062263580995</v>
      </c>
      <c r="AM6803">
        <v>86.630195662397199</v>
      </c>
      <c r="AN6803">
        <v>0.99999997553272502</v>
      </c>
    </row>
    <row r="6804" spans="1:40" x14ac:dyDescent="0.25">
      <c r="A6804" t="str">
        <f>"20190312154430179"</f>
        <v>20190312154430179</v>
      </c>
      <c r="B6804" t="str">
        <f>"1552376670174678"</f>
        <v>1552376670174678</v>
      </c>
      <c r="C6804" t="s">
        <v>40</v>
      </c>
      <c r="D6804">
        <v>5.1794479999999998</v>
      </c>
      <c r="E6804">
        <v>0.50653429999999999</v>
      </c>
      <c r="F6804" t="s">
        <v>78</v>
      </c>
      <c r="G6804">
        <v>-210.58340000000001</v>
      </c>
      <c r="H6804" s="1">
        <v>1.7196159999999999E-7</v>
      </c>
      <c r="I6804">
        <v>-62.671489999999999</v>
      </c>
      <c r="J6804">
        <v>-226.70939999999999</v>
      </c>
      <c r="K6804">
        <v>1.1077360000000001</v>
      </c>
      <c r="L6804">
        <v>-60.889429999999997</v>
      </c>
      <c r="M6804">
        <v>0.999282</v>
      </c>
      <c r="N6804">
        <v>0</v>
      </c>
      <c r="O6804">
        <v>-3.5847879999999999E-2</v>
      </c>
      <c r="P6804">
        <v>0.9954904</v>
      </c>
      <c r="Q6804">
        <v>-9.0120419999999996E-3</v>
      </c>
      <c r="R6804">
        <v>-9.4434950000000004E-2</v>
      </c>
      <c r="S6804">
        <v>2.98082</v>
      </c>
      <c r="T6804">
        <v>-0.201767</v>
      </c>
      <c r="U6804">
        <v>-0.32635500000000001</v>
      </c>
      <c r="V6804">
        <v>5.870247E-2</v>
      </c>
      <c r="W6804">
        <v>2.9061439999999998E-3</v>
      </c>
      <c r="X6804">
        <v>0.99827129999999997</v>
      </c>
      <c r="Y6804">
        <v>7.3042999999999997E-2</v>
      </c>
      <c r="Z6804" s="1">
        <v>-4.6796170000000002E-5</v>
      </c>
      <c r="AA6804">
        <v>0.99732880000000002</v>
      </c>
      <c r="AB6804">
        <v>37</v>
      </c>
      <c r="AC6804">
        <v>16.125999999999902</v>
      </c>
      <c r="AD6804">
        <v>-1.1077358280384</v>
      </c>
      <c r="AE6804">
        <v>-1.78206</v>
      </c>
      <c r="AF6804">
        <v>1.19720696819327</v>
      </c>
      <c r="AG6804">
        <v>-1.1077358280384</v>
      </c>
      <c r="AH6804">
        <v>16.1044468047468</v>
      </c>
      <c r="AI6804">
        <v>93.924067737232804</v>
      </c>
      <c r="AJ6804">
        <v>85.7484437445748</v>
      </c>
      <c r="AK6804">
        <v>16.1868338496548</v>
      </c>
      <c r="AL6804">
        <v>89.833489980931205</v>
      </c>
      <c r="AM6804">
        <v>86.634647312647004</v>
      </c>
      <c r="AN6804">
        <v>1.0000000070303601</v>
      </c>
    </row>
    <row r="6805" spans="1:40" x14ac:dyDescent="0.25">
      <c r="A6805" t="str">
        <f>"20190312154430190"</f>
        <v>20190312154430190</v>
      </c>
      <c r="B6805" t="str">
        <f>"1552376670184438"</f>
        <v>1552376670184438</v>
      </c>
      <c r="C6805" t="s">
        <v>40</v>
      </c>
      <c r="D6805">
        <v>5.1982699999999999</v>
      </c>
      <c r="E6805">
        <v>0.50645770000000001</v>
      </c>
      <c r="F6805" t="s">
        <v>41</v>
      </c>
      <c r="G6805">
        <v>-225.83260000000001</v>
      </c>
      <c r="H6805">
        <v>1.0484150000000001</v>
      </c>
      <c r="I6805">
        <v>-60.98639</v>
      </c>
      <c r="J6805">
        <v>-226.5256</v>
      </c>
      <c r="K6805">
        <v>1.1077589999999999</v>
      </c>
      <c r="L6805">
        <v>-60.896940000000001</v>
      </c>
      <c r="M6805">
        <v>0.99923879999999998</v>
      </c>
      <c r="N6805">
        <v>0</v>
      </c>
      <c r="O6805">
        <v>-3.6981680000000003E-2</v>
      </c>
      <c r="P6805">
        <v>0.99537249999999999</v>
      </c>
      <c r="Q6805">
        <v>-8.9013749999999996E-3</v>
      </c>
      <c r="R6805">
        <v>-9.567929E-2</v>
      </c>
      <c r="S6805">
        <v>2.9805299999999999</v>
      </c>
      <c r="T6805">
        <v>-0.201602</v>
      </c>
      <c r="U6805">
        <v>-0.32931519999999997</v>
      </c>
      <c r="V6805">
        <v>5.8819160000000002E-2</v>
      </c>
      <c r="W6805">
        <v>3.1622030000000001E-3</v>
      </c>
      <c r="X6805">
        <v>0.99826369999999998</v>
      </c>
      <c r="Y6805">
        <v>7.2903519999999999E-2</v>
      </c>
      <c r="Z6805" s="1">
        <v>3.419374E-5</v>
      </c>
      <c r="AA6805">
        <v>0.99733899999999998</v>
      </c>
      <c r="AB6805">
        <v>37</v>
      </c>
      <c r="AC6805">
        <v>0.69299999999998296</v>
      </c>
      <c r="AD6805">
        <v>-5.9344000000000001E-2</v>
      </c>
      <c r="AE6805">
        <v>-8.9449999999999294E-2</v>
      </c>
      <c r="AF6805">
        <v>6.3301929872429497E-2</v>
      </c>
      <c r="AG6805">
        <v>-5.9344000000000001E-2</v>
      </c>
      <c r="AH6805">
        <v>0.69085108859467004</v>
      </c>
      <c r="AI6805">
        <v>94.889264418774999</v>
      </c>
      <c r="AJ6805">
        <v>84.764669405053894</v>
      </c>
      <c r="AK6805">
        <v>0.69627873102229298</v>
      </c>
      <c r="AL6805">
        <v>89.818818821951197</v>
      </c>
      <c r="AM6805">
        <v>86.627947402688903</v>
      </c>
      <c r="AN6805">
        <v>1.0000000539242999</v>
      </c>
    </row>
    <row r="6806" spans="1:40" x14ac:dyDescent="0.25">
      <c r="A6806" t="str">
        <f>"20190312154430201"</f>
        <v>20190312154430201</v>
      </c>
      <c r="B6806" t="str">
        <f>"1552376670194198"</f>
        <v>1552376670194198</v>
      </c>
      <c r="C6806" t="s">
        <v>40</v>
      </c>
      <c r="D6806">
        <v>5.1676460000000004</v>
      </c>
      <c r="E6806">
        <v>0.50638479999999997</v>
      </c>
      <c r="F6806" t="s">
        <v>41</v>
      </c>
      <c r="G6806">
        <v>-225.5112</v>
      </c>
      <c r="H6806">
        <v>1.0389729999999999</v>
      </c>
      <c r="I6806">
        <v>-61.010359999999999</v>
      </c>
      <c r="J6806">
        <v>-226.3451</v>
      </c>
      <c r="K6806">
        <v>1.1077790000000001</v>
      </c>
      <c r="L6806">
        <v>-60.904629999999997</v>
      </c>
      <c r="M6806">
        <v>0.99919550000000001</v>
      </c>
      <c r="N6806">
        <v>0</v>
      </c>
      <c r="O6806">
        <v>-3.8093729999999999E-2</v>
      </c>
      <c r="P6806">
        <v>0.99525549999999996</v>
      </c>
      <c r="Q6806">
        <v>-9.0502610000000004E-3</v>
      </c>
      <c r="R6806">
        <v>-9.6875639999999999E-2</v>
      </c>
      <c r="S6806">
        <v>2.9801790000000001</v>
      </c>
      <c r="T6806">
        <v>-0.20193759999999999</v>
      </c>
      <c r="U6806">
        <v>-0.33245849999999999</v>
      </c>
      <c r="V6806">
        <v>5.8907939999999999E-2</v>
      </c>
      <c r="W6806">
        <v>3.1507599999999998E-3</v>
      </c>
      <c r="X6806">
        <v>0.99825850000000005</v>
      </c>
      <c r="Y6806">
        <v>7.2847819999999994E-2</v>
      </c>
      <c r="Z6806">
        <v>1.110467E-4</v>
      </c>
      <c r="AA6806">
        <v>0.99734310000000004</v>
      </c>
      <c r="AB6806">
        <v>37</v>
      </c>
      <c r="AC6806">
        <v>0.83389999999999898</v>
      </c>
      <c r="AD6806">
        <v>-6.8806000000000103E-2</v>
      </c>
      <c r="AE6806">
        <v>-0.105729999999994</v>
      </c>
      <c r="AF6806">
        <v>7.33926294689278E-2</v>
      </c>
      <c r="AG6806">
        <v>-6.8806000000000103E-2</v>
      </c>
      <c r="AH6806">
        <v>0.83174957433950503</v>
      </c>
      <c r="AI6806">
        <v>94.710771471311801</v>
      </c>
      <c r="AJ6806">
        <v>84.9573465257197</v>
      </c>
      <c r="AK6806">
        <v>0.83781149318346704</v>
      </c>
      <c r="AL6806">
        <v>89.819474460575606</v>
      </c>
      <c r="AM6806">
        <v>86.622851940757101</v>
      </c>
      <c r="AN6806">
        <v>1.00000005275293</v>
      </c>
    </row>
    <row r="6807" spans="1:40" x14ac:dyDescent="0.25">
      <c r="A6807" t="str">
        <f>"20190312154430212"</f>
        <v>20190312154430212</v>
      </c>
      <c r="B6807" t="str">
        <f>"1552376670203958"</f>
        <v>1552376670203958</v>
      </c>
      <c r="C6807" t="s">
        <v>40</v>
      </c>
      <c r="D6807">
        <v>5.1850829999999997</v>
      </c>
      <c r="E6807">
        <v>0.50631269999999995</v>
      </c>
      <c r="F6807" t="s">
        <v>41</v>
      </c>
      <c r="G6807">
        <v>-225.50229999999999</v>
      </c>
      <c r="H6807">
        <v>1.050284</v>
      </c>
      <c r="I6807">
        <v>-60.999769999999998</v>
      </c>
      <c r="J6807">
        <v>-226.1617</v>
      </c>
      <c r="K6807">
        <v>1.107796</v>
      </c>
      <c r="L6807">
        <v>-60.912570000000002</v>
      </c>
      <c r="M6807">
        <v>0.99914990000000004</v>
      </c>
      <c r="N6807">
        <v>0</v>
      </c>
      <c r="O6807">
        <v>-3.9223309999999997E-2</v>
      </c>
      <c r="P6807">
        <v>0.99512330000000004</v>
      </c>
      <c r="Q6807">
        <v>-9.1746439999999992E-3</v>
      </c>
      <c r="R6807">
        <v>-9.8211019999999996E-2</v>
      </c>
      <c r="S6807">
        <v>2.9797820000000002</v>
      </c>
      <c r="T6807">
        <v>-0.20310739999999999</v>
      </c>
      <c r="U6807">
        <v>-0.33551029999999998</v>
      </c>
      <c r="V6807">
        <v>5.9118950000000003E-2</v>
      </c>
      <c r="W6807">
        <v>3.16125E-3</v>
      </c>
      <c r="X6807">
        <v>0.99824599999999997</v>
      </c>
      <c r="Y6807">
        <v>7.2745539999999997E-2</v>
      </c>
      <c r="Z6807">
        <v>1.917032E-4</v>
      </c>
      <c r="AA6807">
        <v>0.99735050000000003</v>
      </c>
      <c r="AB6807">
        <v>37</v>
      </c>
      <c r="AC6807">
        <v>0.65940000000000498</v>
      </c>
      <c r="AD6807">
        <v>-5.7512000000000001E-2</v>
      </c>
      <c r="AE6807">
        <v>-8.7200000000002803E-2</v>
      </c>
      <c r="AF6807">
        <v>6.0812298875296003E-2</v>
      </c>
      <c r="AG6807">
        <v>-5.7512000000000001E-2</v>
      </c>
      <c r="AH6807">
        <v>0.65739809733198895</v>
      </c>
      <c r="AI6807">
        <v>94.978602537467793</v>
      </c>
      <c r="AJ6807">
        <v>84.714921831107802</v>
      </c>
      <c r="AK6807">
        <v>0.66270508087249302</v>
      </c>
      <c r="AL6807">
        <v>89.818873426223703</v>
      </c>
      <c r="AM6807">
        <v>86.610740703966499</v>
      </c>
      <c r="AN6807">
        <v>1.0000000601333301</v>
      </c>
    </row>
    <row r="6808" spans="1:40" x14ac:dyDescent="0.25">
      <c r="A6808" t="str">
        <f>"20190312154430223"</f>
        <v>20190312154430223</v>
      </c>
      <c r="B6808" t="str">
        <f>"1552376670214694"</f>
        <v>1552376670214694</v>
      </c>
      <c r="C6808" t="s">
        <v>40</v>
      </c>
      <c r="D6808">
        <v>5.2331729999999999</v>
      </c>
      <c r="E6808">
        <v>0.50631269999999995</v>
      </c>
      <c r="F6808" t="s">
        <v>41</v>
      </c>
      <c r="G6808">
        <v>-225.1823</v>
      </c>
      <c r="H6808">
        <v>1.0406010000000001</v>
      </c>
      <c r="I6808">
        <v>-61.0242</v>
      </c>
      <c r="J6808">
        <v>-225.97020000000001</v>
      </c>
      <c r="K6808">
        <v>1.1078110000000001</v>
      </c>
      <c r="L6808">
        <v>-60.921109999999999</v>
      </c>
      <c r="M6808">
        <v>0.99910129999999997</v>
      </c>
      <c r="N6808">
        <v>0</v>
      </c>
      <c r="O6808">
        <v>-4.0401289999999999E-2</v>
      </c>
      <c r="P6808">
        <v>0.99500730000000004</v>
      </c>
      <c r="Q6808">
        <v>-9.1280549999999995E-3</v>
      </c>
      <c r="R6808">
        <v>-9.9385420000000002E-2</v>
      </c>
      <c r="S6808">
        <v>2.9793850000000002</v>
      </c>
      <c r="T6808">
        <v>-0.20428070000000001</v>
      </c>
      <c r="U6808">
        <v>-0.33889770000000002</v>
      </c>
      <c r="V6808">
        <v>5.9120979999999997E-2</v>
      </c>
      <c r="W6808">
        <v>3.3438780000000002E-3</v>
      </c>
      <c r="X6808">
        <v>0.99824520000000005</v>
      </c>
      <c r="Y6808">
        <v>7.2705889999999995E-2</v>
      </c>
      <c r="Z6808">
        <v>2.7444699999999998E-4</v>
      </c>
      <c r="AA6808">
        <v>0.99735339999999995</v>
      </c>
      <c r="AB6808">
        <v>37</v>
      </c>
      <c r="AC6808">
        <v>0.78790000000000704</v>
      </c>
      <c r="AD6808">
        <v>-6.7209999999999895E-2</v>
      </c>
      <c r="AE6808">
        <v>-0.103090000000001</v>
      </c>
      <c r="AF6808">
        <v>7.0665478290327696E-2</v>
      </c>
      <c r="AG6808">
        <v>-6.7209999999999895E-2</v>
      </c>
      <c r="AH6808">
        <v>0.78580023692660905</v>
      </c>
      <c r="AI6808">
        <v>94.869093481523095</v>
      </c>
      <c r="AJ6808">
        <v>84.861325116699803</v>
      </c>
      <c r="AK6808">
        <v>0.79182877333165602</v>
      </c>
      <c r="AL6808">
        <v>89.808409541664204</v>
      </c>
      <c r="AM6808">
        <v>86.610621886475698</v>
      </c>
      <c r="AN6808">
        <v>0.99999997555963904</v>
      </c>
    </row>
    <row r="6809" spans="1:40" x14ac:dyDescent="0.25">
      <c r="A6809" t="str">
        <f>"20190312154430235"</f>
        <v>20190312154430235</v>
      </c>
      <c r="B6809" t="str">
        <f>"1552376670224454"</f>
        <v>1552376670224454</v>
      </c>
      <c r="C6809" t="s">
        <v>40</v>
      </c>
      <c r="D6809">
        <v>5.2293329999999996</v>
      </c>
      <c r="E6809">
        <v>0.50380369999999997</v>
      </c>
      <c r="F6809" t="s">
        <v>41</v>
      </c>
      <c r="G6809">
        <v>-225.1651</v>
      </c>
      <c r="H6809">
        <v>1.0526009999999999</v>
      </c>
      <c r="I6809">
        <v>-61.013860000000001</v>
      </c>
      <c r="J6809">
        <v>-225.79089999999999</v>
      </c>
      <c r="K6809">
        <v>1.1078250000000001</v>
      </c>
      <c r="L6809">
        <v>-60.929349999999999</v>
      </c>
      <c r="M6809">
        <v>0.99905460000000001</v>
      </c>
      <c r="N6809">
        <v>0</v>
      </c>
      <c r="O6809">
        <v>-4.1503320000000003E-2</v>
      </c>
      <c r="P6809">
        <v>0.9948787</v>
      </c>
      <c r="Q6809">
        <v>-9.3110529999999997E-3</v>
      </c>
      <c r="R6809">
        <v>-0.1006461</v>
      </c>
      <c r="S6809">
        <v>2.9789889999999999</v>
      </c>
      <c r="T6809">
        <v>-0.20413429999999999</v>
      </c>
      <c r="U6809">
        <v>-0.34237669999999998</v>
      </c>
      <c r="V6809">
        <v>5.9284490000000002E-2</v>
      </c>
      <c r="W6809">
        <v>3.2809359999999999E-3</v>
      </c>
      <c r="X6809">
        <v>0.99823580000000001</v>
      </c>
      <c r="Y6809">
        <v>7.2772829999999997E-2</v>
      </c>
      <c r="Z6809">
        <v>3.4702570000000001E-4</v>
      </c>
      <c r="AA6809">
        <v>0.99734849999999997</v>
      </c>
      <c r="AB6809">
        <v>37</v>
      </c>
      <c r="AC6809">
        <v>0.62579999999999802</v>
      </c>
      <c r="AD6809">
        <v>-5.5223999999999898E-2</v>
      </c>
      <c r="AE6809">
        <v>-8.4510000000001598E-2</v>
      </c>
      <c r="AF6809">
        <v>5.8018506242883697E-2</v>
      </c>
      <c r="AG6809">
        <v>-5.5223999999999898E-2</v>
      </c>
      <c r="AH6809">
        <v>0.62399624687058197</v>
      </c>
      <c r="AI6809">
        <v>95.035921624791598</v>
      </c>
      <c r="AJ6809">
        <v>84.687971971634795</v>
      </c>
      <c r="AK6809">
        <v>0.62911616840709705</v>
      </c>
      <c r="AL6809">
        <v>89.812015889088499</v>
      </c>
      <c r="AM6809">
        <v>86.601237949254497</v>
      </c>
      <c r="AN6809">
        <v>1.00000006384861</v>
      </c>
    </row>
    <row r="6810" spans="1:40" x14ac:dyDescent="0.25">
      <c r="A6810" t="str">
        <f>"20190312154430247"</f>
        <v>20190312154430247</v>
      </c>
      <c r="B6810" t="str">
        <f>"1552376670234214"</f>
        <v>1552376670234214</v>
      </c>
      <c r="C6810" t="s">
        <v>40</v>
      </c>
      <c r="D6810">
        <v>5.1895980000000002</v>
      </c>
      <c r="E6810">
        <v>0.50336859999999894</v>
      </c>
      <c r="F6810" t="s">
        <v>41</v>
      </c>
      <c r="G6810">
        <v>-224.8544</v>
      </c>
      <c r="H6810">
        <v>1.0402389999999999</v>
      </c>
      <c r="I6810">
        <v>-61.031750000000002</v>
      </c>
      <c r="J6810">
        <v>-225.60239999999999</v>
      </c>
      <c r="K6810">
        <v>1.107831</v>
      </c>
      <c r="L6810">
        <v>-60.938139999999997</v>
      </c>
      <c r="M6810">
        <v>0.99900409999999995</v>
      </c>
      <c r="N6810">
        <v>0</v>
      </c>
      <c r="O6810">
        <v>-4.2661159999999997E-2</v>
      </c>
      <c r="P6810">
        <v>0.99477269999999896</v>
      </c>
      <c r="Q6810">
        <v>-9.3886950000000007E-3</v>
      </c>
      <c r="R6810">
        <v>-0.10168290000000001</v>
      </c>
      <c r="S6810">
        <v>2.9804379999999999</v>
      </c>
      <c r="T6810">
        <v>-0.21514920000000001</v>
      </c>
      <c r="U6810">
        <v>-0.32598880000000002</v>
      </c>
      <c r="V6810">
        <v>5.9167829999999998E-2</v>
      </c>
      <c r="W6810">
        <v>3.3271889999999999E-3</v>
      </c>
      <c r="X6810">
        <v>0.99824250000000003</v>
      </c>
      <c r="Y6810">
        <v>6.6156439999999997E-2</v>
      </c>
      <c r="Z6810">
        <v>6.8660360000000003E-4</v>
      </c>
      <c r="AA6810">
        <v>0.9978091</v>
      </c>
      <c r="AB6810">
        <v>37</v>
      </c>
      <c r="AC6810">
        <v>0.74799999999999001</v>
      </c>
      <c r="AD6810">
        <v>-6.7592000000000096E-2</v>
      </c>
      <c r="AE6810">
        <v>-9.3609999999998195E-2</v>
      </c>
      <c r="AF6810">
        <v>6.1120103468885002E-2</v>
      </c>
      <c r="AG6810">
        <v>-6.7592000000000096E-2</v>
      </c>
      <c r="AH6810">
        <v>0.745320622744713</v>
      </c>
      <c r="AI6810">
        <v>95.164650223399207</v>
      </c>
      <c r="AJ6810">
        <v>85.311943035224402</v>
      </c>
      <c r="AK6810">
        <v>0.75087094510349295</v>
      </c>
      <c r="AL6810">
        <v>89.809365760082102</v>
      </c>
      <c r="AM6810">
        <v>86.607933113701307</v>
      </c>
      <c r="AN6810">
        <v>0.99999999554990004</v>
      </c>
    </row>
    <row r="6811" spans="1:40" x14ac:dyDescent="0.25">
      <c r="A6811" t="str">
        <f>"20190312154430258"</f>
        <v>20190312154430258</v>
      </c>
      <c r="B6811" t="str">
        <f>"1552376670253734"</f>
        <v>1552376670253734</v>
      </c>
      <c r="C6811" t="s">
        <v>40</v>
      </c>
      <c r="D6811">
        <v>5.243188</v>
      </c>
      <c r="E6811">
        <v>0.50307999999999997</v>
      </c>
      <c r="F6811" t="s">
        <v>41</v>
      </c>
      <c r="G6811">
        <v>-224.834</v>
      </c>
      <c r="H6811">
        <v>1.0517639999999999</v>
      </c>
      <c r="I6811">
        <v>-61.0220699999999</v>
      </c>
      <c r="J6811">
        <v>-225.40639999999999</v>
      </c>
      <c r="K6811">
        <v>1.107845</v>
      </c>
      <c r="L6811">
        <v>-60.947659999999999</v>
      </c>
      <c r="M6811">
        <v>0.99895040000000002</v>
      </c>
      <c r="N6811">
        <v>0</v>
      </c>
      <c r="O6811">
        <v>-4.3865660000000001E-2</v>
      </c>
      <c r="P6811">
        <v>0.99462229999999996</v>
      </c>
      <c r="Q6811">
        <v>-9.5749540000000001E-3</v>
      </c>
      <c r="R6811">
        <v>-0.10312449999999999</v>
      </c>
      <c r="S6811">
        <v>2.980423</v>
      </c>
      <c r="T6811">
        <v>-0.21752150000000001</v>
      </c>
      <c r="U6811">
        <v>-0.32559199999999999</v>
      </c>
      <c r="V6811">
        <v>5.9410659999999997E-2</v>
      </c>
      <c r="W6811">
        <v>3.258525E-3</v>
      </c>
      <c r="X6811">
        <v>0.99822829999999996</v>
      </c>
      <c r="Y6811">
        <v>6.4827839999999998E-2</v>
      </c>
      <c r="Z6811">
        <v>8.2982119999999997E-4</v>
      </c>
      <c r="AA6811">
        <v>0.99789609999999995</v>
      </c>
      <c r="AB6811">
        <v>37</v>
      </c>
      <c r="AC6811">
        <v>0.57239999999998703</v>
      </c>
      <c r="AD6811">
        <v>-5.6080999999999999E-2</v>
      </c>
      <c r="AE6811">
        <v>-7.4409999999993204E-2</v>
      </c>
      <c r="AF6811">
        <v>4.87671329763208E-2</v>
      </c>
      <c r="AG6811">
        <v>-5.6080999999999999E-2</v>
      </c>
      <c r="AH6811">
        <v>0.569735179558156</v>
      </c>
      <c r="AI6811">
        <v>95.601360141964804</v>
      </c>
      <c r="AJ6811">
        <v>85.107627415720302</v>
      </c>
      <c r="AK6811">
        <v>0.57456199547646303</v>
      </c>
      <c r="AL6811">
        <v>89.813299938117694</v>
      </c>
      <c r="AM6811">
        <v>86.593996141496106</v>
      </c>
      <c r="AN6811">
        <v>0.99999999171385001</v>
      </c>
    </row>
    <row r="6812" spans="1:40" x14ac:dyDescent="0.25">
      <c r="A6812" t="str">
        <f>"20190312154430270"</f>
        <v>20190312154430270</v>
      </c>
      <c r="B6812" t="str">
        <f>"1552376670264470"</f>
        <v>1552376670264470</v>
      </c>
      <c r="C6812" t="s">
        <v>40</v>
      </c>
      <c r="D6812">
        <v>5.197559</v>
      </c>
      <c r="E6812">
        <v>0.50286419999999998</v>
      </c>
      <c r="F6812" t="s">
        <v>41</v>
      </c>
      <c r="G6812">
        <v>-224.52600000000001</v>
      </c>
      <c r="H6812">
        <v>1.042249</v>
      </c>
      <c r="I6812">
        <v>-61.044429999999998</v>
      </c>
      <c r="J6812">
        <v>-225.22730000000001</v>
      </c>
      <c r="K6812">
        <v>1.1078619999999999</v>
      </c>
      <c r="L6812">
        <v>-60.956420000000001</v>
      </c>
      <c r="M6812">
        <v>0.99890009999999996</v>
      </c>
      <c r="N6812">
        <v>0</v>
      </c>
      <c r="O6812">
        <v>-4.4965489999999997E-2</v>
      </c>
      <c r="P6812">
        <v>0.99453020000000003</v>
      </c>
      <c r="Q6812">
        <v>-9.611171E-3</v>
      </c>
      <c r="R6812">
        <v>-0.1040068</v>
      </c>
      <c r="S6812">
        <v>2.980118</v>
      </c>
      <c r="T6812">
        <v>-0.22204699999999999</v>
      </c>
      <c r="U6812">
        <v>-0.3276367</v>
      </c>
      <c r="V6812">
        <v>5.9197520000000003E-2</v>
      </c>
      <c r="W6812">
        <v>3.3300500000000002E-3</v>
      </c>
      <c r="X6812">
        <v>0.99824069999999998</v>
      </c>
      <c r="Y6812">
        <v>6.4418470000000005E-2</v>
      </c>
      <c r="Z6812">
        <v>9.4370710000000004E-4</v>
      </c>
      <c r="AA6812">
        <v>0.99792250000000005</v>
      </c>
      <c r="AB6812">
        <v>37</v>
      </c>
      <c r="AC6812">
        <v>0.70130000000003101</v>
      </c>
      <c r="AD6812">
        <v>-6.5613000000000102E-2</v>
      </c>
      <c r="AE6812">
        <v>-8.8010000000011204E-2</v>
      </c>
      <c r="AF6812">
        <v>5.59021397262238E-2</v>
      </c>
      <c r="AG6812">
        <v>-6.5613000000000102E-2</v>
      </c>
      <c r="AH6812">
        <v>0.69852866940231595</v>
      </c>
      <c r="AI6812">
        <v>95.349062538264207</v>
      </c>
      <c r="AJ6812">
        <v>85.424461242727901</v>
      </c>
      <c r="AK6812">
        <v>0.70382697942885097</v>
      </c>
      <c r="AL6812">
        <v>89.809201830190105</v>
      </c>
      <c r="AM6812">
        <v>86.606228870641502</v>
      </c>
      <c r="AN6812">
        <v>0.99999996537182001</v>
      </c>
    </row>
    <row r="6813" spans="1:40" x14ac:dyDescent="0.25">
      <c r="A6813" t="str">
        <f>"20190312154430281"</f>
        <v>20190312154430281</v>
      </c>
      <c r="B6813" t="str">
        <f>"1552376670274229"</f>
        <v>1552376670274229</v>
      </c>
      <c r="C6813" t="s">
        <v>40</v>
      </c>
      <c r="D6813">
        <v>5.2314550000000004</v>
      </c>
      <c r="E6813">
        <v>0.50273999999999996</v>
      </c>
      <c r="F6813" t="s">
        <v>41</v>
      </c>
      <c r="G6813">
        <v>-224.20480000000001</v>
      </c>
      <c r="H6813">
        <v>1.031507</v>
      </c>
      <c r="I6813">
        <v>-61.069409999999998</v>
      </c>
      <c r="J6813">
        <v>-225.04480000000001</v>
      </c>
      <c r="K6813">
        <v>1.107872</v>
      </c>
      <c r="L6813">
        <v>-60.965699999999998</v>
      </c>
      <c r="M6813">
        <v>0.99884770000000001</v>
      </c>
      <c r="N6813">
        <v>0</v>
      </c>
      <c r="O6813">
        <v>-4.608632E-2</v>
      </c>
      <c r="P6813">
        <v>0.99446800000000002</v>
      </c>
      <c r="Q6813">
        <v>-9.5056559999999995E-3</v>
      </c>
      <c r="R6813">
        <v>-0.10461230000000001</v>
      </c>
      <c r="S6813">
        <v>2.9799959999999999</v>
      </c>
      <c r="T6813">
        <v>-0.222415</v>
      </c>
      <c r="U6813">
        <v>-0.32873540000000001</v>
      </c>
      <c r="V6813">
        <v>5.8685920000000003E-2</v>
      </c>
      <c r="W6813">
        <v>3.5384259999999999E-3</v>
      </c>
      <c r="X6813">
        <v>0.9982702</v>
      </c>
      <c r="Y6813">
        <v>6.3671489999999997E-2</v>
      </c>
      <c r="Z6813">
        <v>1.056162E-3</v>
      </c>
      <c r="AA6813">
        <v>0.99797029999999998</v>
      </c>
      <c r="AB6813">
        <v>37</v>
      </c>
      <c r="AC6813">
        <v>0.84000000000000297</v>
      </c>
      <c r="AD6813">
        <v>-7.6365000000000002E-2</v>
      </c>
      <c r="AE6813">
        <v>-0.103709999999999</v>
      </c>
      <c r="AF6813">
        <v>6.4359871778175107E-2</v>
      </c>
      <c r="AG6813">
        <v>-7.6365000000000002E-2</v>
      </c>
      <c r="AH6813">
        <v>0.83707301588933203</v>
      </c>
      <c r="AI6813">
        <v>95.197329695014403</v>
      </c>
      <c r="AJ6813">
        <v>85.603360515515703</v>
      </c>
      <c r="AK6813">
        <v>0.84300951373656796</v>
      </c>
      <c r="AL6813">
        <v>89.797262695937107</v>
      </c>
      <c r="AM6813">
        <v>86.635590228724098</v>
      </c>
      <c r="AN6813">
        <v>0.99999997493642101</v>
      </c>
    </row>
    <row r="6814" spans="1:40" x14ac:dyDescent="0.25">
      <c r="A6814" t="str">
        <f>"20190312154430291"</f>
        <v>20190312154430291</v>
      </c>
      <c r="B6814" t="str">
        <f>"1552376670283991"</f>
        <v>1552376670283991</v>
      </c>
      <c r="C6814" t="s">
        <v>40</v>
      </c>
      <c r="D6814">
        <v>5.2338559999999896</v>
      </c>
      <c r="E6814">
        <v>0.50263340000000001</v>
      </c>
      <c r="F6814" t="s">
        <v>41</v>
      </c>
      <c r="G6814">
        <v>-224.197</v>
      </c>
      <c r="H6814">
        <v>1.0445960000000001</v>
      </c>
      <c r="I6814">
        <v>-61.05968</v>
      </c>
      <c r="J6814">
        <v>-224.87139999999999</v>
      </c>
      <c r="K6814">
        <v>1.107885</v>
      </c>
      <c r="L6814">
        <v>-60.974609999999998</v>
      </c>
      <c r="M6814">
        <v>0.99879689999999999</v>
      </c>
      <c r="N6814">
        <v>0</v>
      </c>
      <c r="O6814">
        <v>-4.715068E-2</v>
      </c>
      <c r="P6814">
        <v>0.99438599999999999</v>
      </c>
      <c r="Q6814">
        <v>-9.2181929999999995E-3</v>
      </c>
      <c r="R6814">
        <v>-0.1054118</v>
      </c>
      <c r="S6814">
        <v>2.979889</v>
      </c>
      <c r="T6814">
        <v>-0.22227540000000001</v>
      </c>
      <c r="U6814">
        <v>-0.32962039999999998</v>
      </c>
      <c r="V6814">
        <v>5.8426949999999998E-2</v>
      </c>
      <c r="W6814">
        <v>3.9198929999999998E-3</v>
      </c>
      <c r="X6814">
        <v>0.99828399999999995</v>
      </c>
      <c r="Y6814">
        <v>6.2909759999999995E-2</v>
      </c>
      <c r="Z6814">
        <v>1.1626869999999999E-3</v>
      </c>
      <c r="AA6814">
        <v>0.99801859999999998</v>
      </c>
      <c r="AB6814">
        <v>37</v>
      </c>
      <c r="AC6814">
        <v>0.67439999999999101</v>
      </c>
      <c r="AD6814">
        <v>-6.3289000000000095E-2</v>
      </c>
      <c r="AE6814">
        <v>-8.5070000000008805E-2</v>
      </c>
      <c r="AF6814">
        <v>5.2717060837933302E-2</v>
      </c>
      <c r="AG6814">
        <v>-6.3289000000000095E-2</v>
      </c>
      <c r="AH6814">
        <v>0.67183715311923098</v>
      </c>
      <c r="AI6814">
        <v>95.365151648782998</v>
      </c>
      <c r="AJ6814">
        <v>85.513363907105301</v>
      </c>
      <c r="AK6814">
        <v>0.67686759882250502</v>
      </c>
      <c r="AL6814">
        <v>89.775406101886404</v>
      </c>
      <c r="AM6814">
        <v>86.650449059629096</v>
      </c>
      <c r="AN6814">
        <v>1.0000000093517101</v>
      </c>
    </row>
    <row r="6815" spans="1:40" x14ac:dyDescent="0.25">
      <c r="A6815" t="str">
        <f>"20190312154430301"</f>
        <v>20190312154430301</v>
      </c>
      <c r="B6815" t="str">
        <f>"1552376670293750"</f>
        <v>1552376670293750</v>
      </c>
      <c r="C6815" t="s">
        <v>40</v>
      </c>
      <c r="D6815">
        <v>5.2190539999999999</v>
      </c>
      <c r="E6815">
        <v>0.50259989999999999</v>
      </c>
      <c r="F6815" t="s">
        <v>41</v>
      </c>
      <c r="G6815">
        <v>-223.87729999999999</v>
      </c>
      <c r="H6815">
        <v>1.0337459999999901</v>
      </c>
      <c r="I6815">
        <v>-61.085279999999997</v>
      </c>
      <c r="J6815">
        <v>-224.69890000000001</v>
      </c>
      <c r="K6815">
        <v>1.107901</v>
      </c>
      <c r="L6815">
        <v>-60.983730000000001</v>
      </c>
      <c r="M6815">
        <v>0.99874529999999995</v>
      </c>
      <c r="N6815">
        <v>0</v>
      </c>
      <c r="O6815">
        <v>-4.8206480000000003E-2</v>
      </c>
      <c r="P6815">
        <v>0.99433280000000002</v>
      </c>
      <c r="Q6815">
        <v>-8.968195E-3</v>
      </c>
      <c r="R6815">
        <v>-0.1059341</v>
      </c>
      <c r="S6815">
        <v>2.9797669999999998</v>
      </c>
      <c r="T6815">
        <v>-0.22213579999999999</v>
      </c>
      <c r="U6815">
        <v>-0.3312988</v>
      </c>
      <c r="V6815">
        <v>5.7897570000000002E-2</v>
      </c>
      <c r="W6815">
        <v>4.2579690000000003E-3</v>
      </c>
      <c r="X6815">
        <v>0.99831340000000002</v>
      </c>
      <c r="Y6815">
        <v>6.241878E-2</v>
      </c>
      <c r="Z6815">
        <v>1.258377E-3</v>
      </c>
      <c r="AA6815">
        <v>0.99804930000000003</v>
      </c>
      <c r="AB6815">
        <v>37</v>
      </c>
      <c r="AC6815">
        <v>0.82160000000001698</v>
      </c>
      <c r="AD6815">
        <v>-7.4155000000000096E-2</v>
      </c>
      <c r="AE6815">
        <v>-0.101550000000003</v>
      </c>
      <c r="AF6815">
        <v>6.1329735635567401E-2</v>
      </c>
      <c r="AG6815">
        <v>-7.4155000000000096E-2</v>
      </c>
      <c r="AH6815">
        <v>0.81896926822680205</v>
      </c>
      <c r="AI6815">
        <v>95.159468820658503</v>
      </c>
      <c r="AJ6815">
        <v>85.717313871792101</v>
      </c>
      <c r="AK6815">
        <v>0.82460351854577496</v>
      </c>
      <c r="AL6815">
        <v>89.756035598039901</v>
      </c>
      <c r="AM6815">
        <v>86.680827182314204</v>
      </c>
      <c r="AN6815">
        <v>0.99999995176573298</v>
      </c>
    </row>
    <row r="6816" spans="1:40" x14ac:dyDescent="0.25">
      <c r="A6816" t="str">
        <f>"20190312154430314"</f>
        <v>20190312154430314</v>
      </c>
      <c r="B6816" t="str">
        <f>"1552376670304486"</f>
        <v>1552376670304486</v>
      </c>
      <c r="C6816" t="s">
        <v>40</v>
      </c>
      <c r="D6816">
        <v>5.2451179999999997</v>
      </c>
      <c r="E6816">
        <v>0.50245169999999995</v>
      </c>
      <c r="F6816" t="s">
        <v>41</v>
      </c>
      <c r="G6816">
        <v>-223.8691</v>
      </c>
      <c r="H6816">
        <v>1.0459639999999999</v>
      </c>
      <c r="I6816">
        <v>-61.076479999999997</v>
      </c>
      <c r="J6816">
        <v>-224.50739999999999</v>
      </c>
      <c r="K6816">
        <v>1.1079190000000001</v>
      </c>
      <c r="L6816">
        <v>-60.9940199999999</v>
      </c>
      <c r="M6816">
        <v>0.99868699999999999</v>
      </c>
      <c r="N6816">
        <v>0</v>
      </c>
      <c r="O6816">
        <v>-4.9375139999999998E-2</v>
      </c>
      <c r="P6816">
        <v>0.99424230000000002</v>
      </c>
      <c r="Q6816">
        <v>-8.8804299999999999E-3</v>
      </c>
      <c r="R6816">
        <v>-0.1067892</v>
      </c>
      <c r="S6816">
        <v>2.9796749999999999</v>
      </c>
      <c r="T6816">
        <v>-0.22229840000000001</v>
      </c>
      <c r="U6816">
        <v>-0.33251950000000002</v>
      </c>
      <c r="V6816">
        <v>5.7588699999999902E-2</v>
      </c>
      <c r="W6816">
        <v>4.4372580000000003E-3</v>
      </c>
      <c r="X6816">
        <v>0.99833050000000001</v>
      </c>
      <c r="Y6816">
        <v>6.1663280000000001E-2</v>
      </c>
      <c r="Z6816">
        <v>1.3739689999999901E-3</v>
      </c>
      <c r="AA6816">
        <v>0.99809599999999998</v>
      </c>
      <c r="AB6816">
        <v>37</v>
      </c>
      <c r="AC6816">
        <v>0.63829999999998599</v>
      </c>
      <c r="AD6816">
        <v>-6.1955000000000197E-2</v>
      </c>
      <c r="AE6816">
        <v>-8.2460000000011704E-2</v>
      </c>
      <c r="AF6816">
        <v>5.0373530651973301E-2</v>
      </c>
      <c r="AG6816">
        <v>-6.1955000000000197E-2</v>
      </c>
      <c r="AH6816">
        <v>0.63570245214404097</v>
      </c>
      <c r="AI6816">
        <v>95.549131314222393</v>
      </c>
      <c r="AJ6816">
        <v>85.469307275603398</v>
      </c>
      <c r="AK6816">
        <v>0.64069768399557403</v>
      </c>
      <c r="AL6816">
        <v>89.745763001414005</v>
      </c>
      <c r="AM6816">
        <v>86.698551344533399</v>
      </c>
      <c r="AN6816">
        <v>0.99999996742824804</v>
      </c>
    </row>
    <row r="6817" spans="1:40" x14ac:dyDescent="0.25">
      <c r="A6817" t="str">
        <f>"20190312154430325"</f>
        <v>20190312154430325</v>
      </c>
      <c r="B6817" t="str">
        <f>"1552376670314251"</f>
        <v>1552376670314251</v>
      </c>
      <c r="C6817" t="s">
        <v>40</v>
      </c>
      <c r="D6817">
        <v>5.2778859999999996</v>
      </c>
      <c r="E6817">
        <v>0.50258899999999995</v>
      </c>
      <c r="F6817" t="s">
        <v>41</v>
      </c>
      <c r="G6817">
        <v>-223.54990000000001</v>
      </c>
      <c r="H6817">
        <v>1.0363599999999999</v>
      </c>
      <c r="I6817">
        <v>-61.101509999999998</v>
      </c>
      <c r="J6817">
        <v>-224.29849999999999</v>
      </c>
      <c r="K6817">
        <v>1.107936</v>
      </c>
      <c r="L6817">
        <v>-61.005459999999999</v>
      </c>
      <c r="M6817">
        <v>0.99862220000000002</v>
      </c>
      <c r="N6817">
        <v>0</v>
      </c>
      <c r="O6817">
        <v>-5.0644469999999997E-2</v>
      </c>
      <c r="P6817">
        <v>0.99417109999999997</v>
      </c>
      <c r="Q6817">
        <v>-8.7093789999999997E-3</v>
      </c>
      <c r="R6817">
        <v>-0.1074621</v>
      </c>
      <c r="S6817">
        <v>2.9795379999999998</v>
      </c>
      <c r="T6817">
        <v>-0.22257940000000001</v>
      </c>
      <c r="U6817">
        <v>-0.33389279999999999</v>
      </c>
      <c r="V6817">
        <v>5.6996810000000002E-2</v>
      </c>
      <c r="W6817">
        <v>4.7047599999999997E-3</v>
      </c>
      <c r="X6817">
        <v>0.99836329999999995</v>
      </c>
      <c r="Y6817">
        <v>6.0859589999999998E-2</v>
      </c>
      <c r="Z6817">
        <v>1.4997910000000001E-3</v>
      </c>
      <c r="AA6817">
        <v>0.99814519999999995</v>
      </c>
      <c r="AB6817">
        <v>36</v>
      </c>
      <c r="AC6817">
        <v>0.74859999999998195</v>
      </c>
      <c r="AD6817">
        <v>-7.1576000000000001E-2</v>
      </c>
      <c r="AE6817">
        <v>-9.6049999999998206E-2</v>
      </c>
      <c r="AF6817">
        <v>5.7493602962700702E-2</v>
      </c>
      <c r="AG6817">
        <v>-7.1576000000000001E-2</v>
      </c>
      <c r="AH6817">
        <v>0.74579648071274596</v>
      </c>
      <c r="AI6817">
        <v>95.465913814073403</v>
      </c>
      <c r="AJ6817">
        <v>85.5917754087845</v>
      </c>
      <c r="AK6817">
        <v>0.75142599688934797</v>
      </c>
      <c r="AL6817">
        <v>89.730436120642295</v>
      </c>
      <c r="AM6817">
        <v>86.732516465112894</v>
      </c>
      <c r="AN6817">
        <v>1.0000000249518599</v>
      </c>
    </row>
    <row r="6818" spans="1:40" x14ac:dyDescent="0.25">
      <c r="A6818" t="str">
        <f>"20190312154430338"</f>
        <v>20190312154430338</v>
      </c>
      <c r="B6818" t="str">
        <f>"1552376670324010"</f>
        <v>1552376670324010</v>
      </c>
      <c r="C6818" t="s">
        <v>40</v>
      </c>
      <c r="D6818">
        <v>5.2571159999999999</v>
      </c>
      <c r="E6818">
        <v>0.50251780000000001</v>
      </c>
      <c r="F6818" t="s">
        <v>41</v>
      </c>
      <c r="G6818">
        <v>-223.53210000000001</v>
      </c>
      <c r="H6818">
        <v>1.050756</v>
      </c>
      <c r="I6818">
        <v>-61.09234</v>
      </c>
      <c r="J6818">
        <v>-224.1046</v>
      </c>
      <c r="K6818">
        <v>1.107953</v>
      </c>
      <c r="L6818">
        <v>-61.016419999999997</v>
      </c>
      <c r="M6818">
        <v>0.99856140000000004</v>
      </c>
      <c r="N6818">
        <v>0</v>
      </c>
      <c r="O6818">
        <v>-5.1806629999999999E-2</v>
      </c>
      <c r="P6818">
        <v>0.99406320000000004</v>
      </c>
      <c r="Q6818">
        <v>-8.6516909999999995E-3</v>
      </c>
      <c r="R6818">
        <v>-0.1084606</v>
      </c>
      <c r="S6818">
        <v>2.9792019999999999</v>
      </c>
      <c r="T6818">
        <v>-0.22209680000000001</v>
      </c>
      <c r="U6818">
        <v>-0.33694459999999998</v>
      </c>
      <c r="V6818">
        <v>5.6837890000000002E-2</v>
      </c>
      <c r="W6818">
        <v>4.8420879999999996E-3</v>
      </c>
      <c r="X6818">
        <v>0.99837169999999997</v>
      </c>
      <c r="Y6818">
        <v>6.0723659999999999E-2</v>
      </c>
      <c r="Z6818">
        <v>1.5876969999999999E-3</v>
      </c>
      <c r="AA6818">
        <v>0.99815330000000002</v>
      </c>
      <c r="AB6818">
        <v>36</v>
      </c>
      <c r="AC6818">
        <v>0.57249999999999002</v>
      </c>
      <c r="AD6818">
        <v>-5.7196999999999901E-2</v>
      </c>
      <c r="AE6818">
        <v>-7.5920000000003499E-2</v>
      </c>
      <c r="AF6818">
        <v>4.5707553466053999E-2</v>
      </c>
      <c r="AG6818">
        <v>-5.7196999999999901E-2</v>
      </c>
      <c r="AH6818">
        <v>0.57007275745586805</v>
      </c>
      <c r="AI6818">
        <v>95.711265637962498</v>
      </c>
      <c r="AJ6818">
        <v>85.415919134555693</v>
      </c>
      <c r="AK6818">
        <v>0.57475527491810796</v>
      </c>
      <c r="AL6818">
        <v>89.722567715410705</v>
      </c>
      <c r="AM6818">
        <v>86.741634646616106</v>
      </c>
      <c r="AN6818">
        <v>1.00000002145837</v>
      </c>
    </row>
    <row r="6819" spans="1:40" x14ac:dyDescent="0.25">
      <c r="A6819" t="str">
        <f>"20190312154430351"</f>
        <v>20190312154430351</v>
      </c>
      <c r="B6819" t="str">
        <f>"1552376670344506"</f>
        <v>1552376670344506</v>
      </c>
      <c r="C6819" t="s">
        <v>40</v>
      </c>
      <c r="D6819">
        <v>5.2741889999999998</v>
      </c>
      <c r="E6819">
        <v>0.50238490000000002</v>
      </c>
      <c r="F6819" t="s">
        <v>41</v>
      </c>
      <c r="G6819">
        <v>-223.22139999999999</v>
      </c>
      <c r="H6819">
        <v>1.0420020000000001</v>
      </c>
      <c r="I6819">
        <v>-61.117019999999997</v>
      </c>
      <c r="J6819">
        <v>-223.90620000000001</v>
      </c>
      <c r="K6819">
        <v>1.1079680000000001</v>
      </c>
      <c r="L6819">
        <v>-61.027740000000001</v>
      </c>
      <c r="M6819">
        <v>0.99849849999999996</v>
      </c>
      <c r="N6819">
        <v>0</v>
      </c>
      <c r="O6819">
        <v>-5.2986220000000001E-2</v>
      </c>
      <c r="P6819">
        <v>0.99395429999999996</v>
      </c>
      <c r="Q6819">
        <v>-8.8358429999999995E-3</v>
      </c>
      <c r="R6819">
        <v>-0.1094402</v>
      </c>
      <c r="S6819">
        <v>2.978958</v>
      </c>
      <c r="T6819">
        <v>-0.22244920000000001</v>
      </c>
      <c r="U6819">
        <v>-0.3392944</v>
      </c>
      <c r="V6819">
        <v>5.6641549999999999E-2</v>
      </c>
      <c r="W6819">
        <v>4.7367080000000001E-3</v>
      </c>
      <c r="X6819">
        <v>0.99838329999999997</v>
      </c>
      <c r="Y6819">
        <v>6.0335159999999999E-2</v>
      </c>
      <c r="Z6819">
        <v>1.6921589999999999E-3</v>
      </c>
      <c r="AA6819">
        <v>0.99817679999999998</v>
      </c>
      <c r="AB6819">
        <v>36</v>
      </c>
      <c r="AC6819">
        <v>0.68480000000002395</v>
      </c>
      <c r="AD6819">
        <v>-6.59659999999999E-2</v>
      </c>
      <c r="AE6819">
        <v>-8.9279999999995099E-2</v>
      </c>
      <c r="AF6819">
        <v>5.2388092456719097E-2</v>
      </c>
      <c r="AG6819">
        <v>-6.59659999999999E-2</v>
      </c>
      <c r="AH6819">
        <v>0.68234309469385801</v>
      </c>
      <c r="AI6819">
        <v>95.505845775585897</v>
      </c>
      <c r="AJ6819">
        <v>85.609628730039603</v>
      </c>
      <c r="AK6819">
        <v>0.68752318089184805</v>
      </c>
      <c r="AL6819">
        <v>89.728605596462799</v>
      </c>
      <c r="AM6819">
        <v>86.752903817542204</v>
      </c>
      <c r="AN6819">
        <v>0.99999995765398297</v>
      </c>
    </row>
    <row r="6820" spans="1:40" x14ac:dyDescent="0.25">
      <c r="A6820" t="str">
        <f>"20190312154430366"</f>
        <v>20190312154430366</v>
      </c>
      <c r="B6820" t="str">
        <f>"1552376670354267"</f>
        <v>1552376670354267</v>
      </c>
      <c r="C6820" t="s">
        <v>40</v>
      </c>
      <c r="D6820">
        <v>5.2607929999999996</v>
      </c>
      <c r="E6820">
        <v>0.50227909999999998</v>
      </c>
      <c r="F6820" t="s">
        <v>41</v>
      </c>
      <c r="G6820">
        <v>-222.90170000000001</v>
      </c>
      <c r="H6820">
        <v>1.031927</v>
      </c>
      <c r="I6820">
        <v>-61.142879999999998</v>
      </c>
      <c r="J6820">
        <v>-223.64109999999999</v>
      </c>
      <c r="K6820">
        <v>1.108007</v>
      </c>
      <c r="L6820">
        <v>-61.043210000000002</v>
      </c>
      <c r="M6820">
        <v>0.99841420000000003</v>
      </c>
      <c r="N6820">
        <v>0</v>
      </c>
      <c r="O6820">
        <v>-5.452709E-2</v>
      </c>
      <c r="P6820">
        <v>0.99380109999999999</v>
      </c>
      <c r="Q6820">
        <v>-9.2821290000000001E-3</v>
      </c>
      <c r="R6820">
        <v>-0.11078449999999999</v>
      </c>
      <c r="S6820">
        <v>2.9787140000000001</v>
      </c>
      <c r="T6820">
        <v>-0.22543479999999999</v>
      </c>
      <c r="U6820">
        <v>-0.3410339</v>
      </c>
      <c r="V6820">
        <v>5.6449100000000002E-2</v>
      </c>
      <c r="W6820">
        <v>4.38719E-3</v>
      </c>
      <c r="X6820">
        <v>0.9983959</v>
      </c>
      <c r="Y6820">
        <v>5.9385710000000001E-2</v>
      </c>
      <c r="Z6820">
        <v>1.866419E-3</v>
      </c>
      <c r="AA6820">
        <v>0.99823340000000005</v>
      </c>
      <c r="AB6820">
        <v>36</v>
      </c>
      <c r="AC6820">
        <v>0.73939999999998895</v>
      </c>
      <c r="AD6820">
        <v>-7.6079999999999898E-2</v>
      </c>
      <c r="AE6820">
        <v>-9.9670000000010306E-2</v>
      </c>
      <c r="AF6820">
        <v>5.8591164003137901E-2</v>
      </c>
      <c r="AG6820">
        <v>-7.6079999999999898E-2</v>
      </c>
      <c r="AH6820">
        <v>0.73608104262742302</v>
      </c>
      <c r="AI6820">
        <v>95.882558518995694</v>
      </c>
      <c r="AJ6820">
        <v>85.4489206380578</v>
      </c>
      <c r="AK6820">
        <v>0.74231825534248896</v>
      </c>
      <c r="AL6820">
        <v>89.748631737973895</v>
      </c>
      <c r="AM6820">
        <v>86.763953684869193</v>
      </c>
      <c r="AN6820">
        <v>1.00000006073185</v>
      </c>
    </row>
    <row r="6821" spans="1:40" x14ac:dyDescent="0.25">
      <c r="A6821" t="str">
        <f>"20190312154430381"</f>
        <v>20190312154430381</v>
      </c>
      <c r="B6821" t="str">
        <f>"1552376670373786"</f>
        <v>1552376670373786</v>
      </c>
      <c r="C6821" t="s">
        <v>40</v>
      </c>
      <c r="D6821">
        <v>5.2679410000000004</v>
      </c>
      <c r="E6821">
        <v>0.50219209999999903</v>
      </c>
      <c r="F6821" t="s">
        <v>41</v>
      </c>
      <c r="G6821">
        <v>-222.88480000000001</v>
      </c>
      <c r="H6821">
        <v>1.050322</v>
      </c>
      <c r="I6821">
        <v>-61.130719999999997</v>
      </c>
      <c r="J6821">
        <v>-223.40360000000001</v>
      </c>
      <c r="K6821">
        <v>1.108053</v>
      </c>
      <c r="L6821">
        <v>-61.057499999999997</v>
      </c>
      <c r="M6821">
        <v>0.99833939999999999</v>
      </c>
      <c r="N6821">
        <v>0</v>
      </c>
      <c r="O6821">
        <v>-5.586501E-2</v>
      </c>
      <c r="P6821">
        <v>0.99367669999999997</v>
      </c>
      <c r="Q6821">
        <v>-9.2315369999999997E-3</v>
      </c>
      <c r="R6821">
        <v>-0.1119</v>
      </c>
      <c r="S6821">
        <v>2.9782259999999998</v>
      </c>
      <c r="T6821">
        <v>-0.2270625</v>
      </c>
      <c r="U6821">
        <v>-0.34408569999999999</v>
      </c>
      <c r="V6821">
        <v>5.6232129999999998E-2</v>
      </c>
      <c r="W6821">
        <v>4.5168880000000002E-3</v>
      </c>
      <c r="X6821">
        <v>0.9984075</v>
      </c>
      <c r="Y6821">
        <v>5.9080430000000003E-2</v>
      </c>
      <c r="Z6821">
        <v>1.9928620000000002E-3</v>
      </c>
      <c r="AA6821">
        <v>0.99825129999999995</v>
      </c>
      <c r="AB6821">
        <v>36</v>
      </c>
      <c r="AC6821">
        <v>0.51879999999999804</v>
      </c>
      <c r="AD6821">
        <v>-5.77309999999999E-2</v>
      </c>
      <c r="AE6821">
        <v>-7.3219999999999105E-2</v>
      </c>
      <c r="AF6821">
        <v>4.3590768320867099E-2</v>
      </c>
      <c r="AG6821">
        <v>-5.77309999999999E-2</v>
      </c>
      <c r="AH6821">
        <v>0.51581796543648994</v>
      </c>
      <c r="AI6821">
        <v>96.363544575326003</v>
      </c>
      <c r="AJ6821">
        <v>85.169522942366896</v>
      </c>
      <c r="AK6821">
        <v>0.520865814688239</v>
      </c>
      <c r="AL6821">
        <v>89.741200499851701</v>
      </c>
      <c r="AM6821">
        <v>86.776402972865597</v>
      </c>
      <c r="AN6821">
        <v>0.99999999538889495</v>
      </c>
    </row>
    <row r="6822" spans="1:40" x14ac:dyDescent="0.25">
      <c r="A6822" t="str">
        <f>"20190312154430394"</f>
        <v>20190312154430394</v>
      </c>
      <c r="B6822" t="str">
        <f>"1552376670384522"</f>
        <v>1552376670384522</v>
      </c>
      <c r="C6822" t="s">
        <v>40</v>
      </c>
      <c r="D6822">
        <v>5.241479</v>
      </c>
      <c r="E6822">
        <v>0.50206569999999995</v>
      </c>
      <c r="F6822" t="s">
        <v>41</v>
      </c>
      <c r="G6822">
        <v>-222.56950000000001</v>
      </c>
      <c r="H6822">
        <v>1.04406</v>
      </c>
      <c r="I6822">
        <v>-61.154730000000001</v>
      </c>
      <c r="J6822">
        <v>-223.2028</v>
      </c>
      <c r="K6822">
        <v>1.108101</v>
      </c>
      <c r="L6822">
        <v>-61.06973</v>
      </c>
      <c r="M6822">
        <v>0.99827630000000001</v>
      </c>
      <c r="N6822">
        <v>0</v>
      </c>
      <c r="O6822">
        <v>-5.6965340000000003E-2</v>
      </c>
      <c r="P6822">
        <v>0.99355380000000004</v>
      </c>
      <c r="Q6822">
        <v>-9.0396680000000007E-3</v>
      </c>
      <c r="R6822">
        <v>-0.11300209999999999</v>
      </c>
      <c r="S6822">
        <v>2.9779049999999998</v>
      </c>
      <c r="T6822">
        <v>-0.2283965</v>
      </c>
      <c r="U6822">
        <v>-0.3466187</v>
      </c>
      <c r="V6822">
        <v>5.6239539999999998E-2</v>
      </c>
      <c r="W6822">
        <v>4.7710399999999998E-3</v>
      </c>
      <c r="X6822">
        <v>0.99840589999999996</v>
      </c>
      <c r="Y6822">
        <v>5.8833959999999998E-2</v>
      </c>
      <c r="Z6822">
        <v>2.0977959999999999E-3</v>
      </c>
      <c r="AA6822">
        <v>0.99826559999999998</v>
      </c>
      <c r="AB6822">
        <v>36</v>
      </c>
      <c r="AC6822">
        <v>0.63329999999999098</v>
      </c>
      <c r="AD6822">
        <v>-6.4041000000000001E-2</v>
      </c>
      <c r="AE6822">
        <v>-8.5000000000000797E-2</v>
      </c>
      <c r="AF6822">
        <v>4.8297062385776003E-2</v>
      </c>
      <c r="AG6822">
        <v>-6.4041000000000001E-2</v>
      </c>
      <c r="AH6822">
        <v>0.63077788402010804</v>
      </c>
      <c r="AI6822">
        <v>95.780401435839806</v>
      </c>
      <c r="AJ6822">
        <v>85.621550509831707</v>
      </c>
      <c r="AK6822">
        <v>0.63585736992267405</v>
      </c>
      <c r="AL6822">
        <v>89.726638505636203</v>
      </c>
      <c r="AM6822">
        <v>86.775973923007797</v>
      </c>
      <c r="AN6822">
        <v>0.99999999491845104</v>
      </c>
    </row>
    <row r="6823" spans="1:40" x14ac:dyDescent="0.25">
      <c r="A6823" t="str">
        <f>"20190312154430405"</f>
        <v>20190312154430405</v>
      </c>
      <c r="B6823" t="str">
        <f>"1552376670394283"</f>
        <v>1552376670394283</v>
      </c>
      <c r="C6823" t="s">
        <v>40</v>
      </c>
      <c r="D6823">
        <v>5.2628979999999999</v>
      </c>
      <c r="E6823">
        <v>0.50196649999999998</v>
      </c>
      <c r="F6823" t="s">
        <v>41</v>
      </c>
      <c r="G6823">
        <v>-222.251</v>
      </c>
      <c r="H6823">
        <v>1.035207</v>
      </c>
      <c r="I6823">
        <v>-61.181399999999996</v>
      </c>
      <c r="J6823">
        <v>-223.00720000000001</v>
      </c>
      <c r="K6823">
        <v>1.108152</v>
      </c>
      <c r="L6823">
        <v>-61.081819999999901</v>
      </c>
      <c r="M6823">
        <v>0.99821570000000004</v>
      </c>
      <c r="N6823">
        <v>0</v>
      </c>
      <c r="O6823">
        <v>-5.8008539999999997E-2</v>
      </c>
      <c r="P6823">
        <v>0.99342209999999997</v>
      </c>
      <c r="Q6823">
        <v>-8.7628769999999901E-3</v>
      </c>
      <c r="R6823">
        <v>-0.1141778</v>
      </c>
      <c r="S6823">
        <v>2.977722</v>
      </c>
      <c r="T6823">
        <v>-0.22798789999999999</v>
      </c>
      <c r="U6823">
        <v>-0.3488464</v>
      </c>
      <c r="V6823">
        <v>5.6378379999999999E-2</v>
      </c>
      <c r="W6823">
        <v>5.1048229999999997E-3</v>
      </c>
      <c r="X6823">
        <v>0.99839639999999996</v>
      </c>
      <c r="Y6823">
        <v>5.8538439999999997E-2</v>
      </c>
      <c r="Z6823">
        <v>2.1845879999999999E-3</v>
      </c>
      <c r="AA6823">
        <v>0.99828280000000003</v>
      </c>
      <c r="AB6823">
        <v>36</v>
      </c>
      <c r="AC6823">
        <v>0.75620000000003496</v>
      </c>
      <c r="AD6823">
        <v>-7.2944999999999996E-2</v>
      </c>
      <c r="AE6823">
        <v>-9.9580000000003097E-2</v>
      </c>
      <c r="AF6823">
        <v>5.5038423112541097E-2</v>
      </c>
      <c r="AG6823">
        <v>-7.2944999999999996E-2</v>
      </c>
      <c r="AH6823">
        <v>0.75380878577324295</v>
      </c>
      <c r="AI6823">
        <v>95.512637385819801</v>
      </c>
      <c r="AJ6823">
        <v>85.824029190961994</v>
      </c>
      <c r="AK6823">
        <v>0.75932725919240296</v>
      </c>
      <c r="AL6823">
        <v>89.707513909653599</v>
      </c>
      <c r="AM6823">
        <v>86.768000851334506</v>
      </c>
      <c r="AN6823">
        <v>0.99999997624112202</v>
      </c>
    </row>
    <row r="6824" spans="1:40" x14ac:dyDescent="0.25">
      <c r="A6824" t="str">
        <f>"20190312154430417"</f>
        <v>20190312154430417</v>
      </c>
      <c r="B6824" t="str">
        <f>"1552376670404043"</f>
        <v>1552376670404043</v>
      </c>
      <c r="C6824" t="s">
        <v>40</v>
      </c>
      <c r="D6824">
        <v>5.2798249999999998</v>
      </c>
      <c r="E6824">
        <v>0.50190849999999998</v>
      </c>
      <c r="F6824" t="s">
        <v>41</v>
      </c>
      <c r="G6824">
        <v>-222.24010000000001</v>
      </c>
      <c r="H6824">
        <v>1.049418</v>
      </c>
      <c r="I6824">
        <v>-61.17259</v>
      </c>
      <c r="J6824">
        <v>-222.82040000000001</v>
      </c>
      <c r="K6824">
        <v>1.1082099999999999</v>
      </c>
      <c r="L6824">
        <v>-61.093600000000002</v>
      </c>
      <c r="M6824">
        <v>0.99815949999999998</v>
      </c>
      <c r="N6824">
        <v>0</v>
      </c>
      <c r="O6824">
        <v>-5.89557E-2</v>
      </c>
      <c r="P6824">
        <v>0.9933265</v>
      </c>
      <c r="Q6824">
        <v>-8.2062899999999998E-3</v>
      </c>
      <c r="R6824">
        <v>-0.1150452</v>
      </c>
      <c r="S6824">
        <v>2.9774319999999999</v>
      </c>
      <c r="T6824">
        <v>-0.227881</v>
      </c>
      <c r="U6824">
        <v>-0.35165410000000002</v>
      </c>
      <c r="V6824">
        <v>5.6305029999999999E-2</v>
      </c>
      <c r="W6824">
        <v>5.7123030000000002E-3</v>
      </c>
      <c r="X6824">
        <v>0.99839730000000004</v>
      </c>
      <c r="Y6824">
        <v>5.853361E-2</v>
      </c>
      <c r="Z6824">
        <v>2.2557419999999998E-3</v>
      </c>
      <c r="AA6824">
        <v>0.99828289999999997</v>
      </c>
      <c r="AB6824">
        <v>36</v>
      </c>
      <c r="AC6824">
        <v>0.58029999999999404</v>
      </c>
      <c r="AD6824">
        <v>-5.8792000000000101E-2</v>
      </c>
      <c r="AE6824">
        <v>-7.8989999999997396E-2</v>
      </c>
      <c r="AF6824">
        <v>4.4191782971280402E-2</v>
      </c>
      <c r="AG6824">
        <v>-5.8792000000000101E-2</v>
      </c>
      <c r="AH6824">
        <v>0.57812170960936904</v>
      </c>
      <c r="AI6824">
        <v>95.789947379905797</v>
      </c>
      <c r="AJ6824">
        <v>85.628795400312796</v>
      </c>
      <c r="AK6824">
        <v>0.58278136901229105</v>
      </c>
      <c r="AL6824">
        <v>89.672707375910306</v>
      </c>
      <c r="AM6824">
        <v>86.772199787822601</v>
      </c>
      <c r="AN6824">
        <v>1.0000000277280701</v>
      </c>
    </row>
    <row r="6825" spans="1:40" x14ac:dyDescent="0.25">
      <c r="A6825" t="str">
        <f>"20190312154430430"</f>
        <v>20190312154430430</v>
      </c>
      <c r="B6825" t="str">
        <f>"1552376670424539"</f>
        <v>1552376670424539</v>
      </c>
      <c r="C6825" t="s">
        <v>40</v>
      </c>
      <c r="D6825">
        <v>5.2912419999999996</v>
      </c>
      <c r="E6825">
        <v>0.50176330000000002</v>
      </c>
      <c r="F6825" t="s">
        <v>41</v>
      </c>
      <c r="G6825">
        <v>-221.9247</v>
      </c>
      <c r="H6825">
        <v>1.0400430000000001</v>
      </c>
      <c r="I6825">
        <v>-61.200130000000001</v>
      </c>
      <c r="J6825">
        <v>-222.62100000000001</v>
      </c>
      <c r="K6825">
        <v>1.108277</v>
      </c>
      <c r="L6825">
        <v>-61.106229999999996</v>
      </c>
      <c r="M6825">
        <v>0.99809999999999999</v>
      </c>
      <c r="N6825">
        <v>0</v>
      </c>
      <c r="O6825">
        <v>-5.9943360000000001E-2</v>
      </c>
      <c r="P6825">
        <v>0.99317230000000001</v>
      </c>
      <c r="Q6825">
        <v>-7.8313949999999997E-3</v>
      </c>
      <c r="R6825">
        <v>-0.1163931</v>
      </c>
      <c r="S6825">
        <v>2.9773100000000001</v>
      </c>
      <c r="T6825">
        <v>-0.22654579999999999</v>
      </c>
      <c r="U6825">
        <v>-0.3537903</v>
      </c>
      <c r="V6825">
        <v>5.6673040000000001E-2</v>
      </c>
      <c r="W6825">
        <v>6.1385880000000004E-3</v>
      </c>
      <c r="X6825">
        <v>0.99837390000000004</v>
      </c>
      <c r="Y6825">
        <v>5.8260449999999998E-2</v>
      </c>
      <c r="Z6825">
        <v>2.3274400000000001E-3</v>
      </c>
      <c r="AA6825">
        <v>0.99829869999999998</v>
      </c>
      <c r="AB6825">
        <v>36</v>
      </c>
      <c r="AC6825">
        <v>0.69629999999997905</v>
      </c>
      <c r="AD6825">
        <v>-6.8233999999999906E-2</v>
      </c>
      <c r="AE6825">
        <v>-9.3899999999997805E-2</v>
      </c>
      <c r="AF6825">
        <v>5.15025627913221E-2</v>
      </c>
      <c r="AG6825">
        <v>-6.8233999999999906E-2</v>
      </c>
      <c r="AH6825">
        <v>0.69413019474027104</v>
      </c>
      <c r="AI6825">
        <v>95.598928096883</v>
      </c>
      <c r="AJ6825">
        <v>85.756585397328195</v>
      </c>
      <c r="AK6825">
        <v>0.69937480650952799</v>
      </c>
      <c r="AL6825">
        <v>89.648282599441501</v>
      </c>
      <c r="AM6825">
        <v>86.751071929162194</v>
      </c>
      <c r="AN6825">
        <v>0.999999979963342</v>
      </c>
    </row>
    <row r="6826" spans="1:40" x14ac:dyDescent="0.25">
      <c r="A6826" t="str">
        <f>"20190312154430442"</f>
        <v>20190312154430442</v>
      </c>
      <c r="B6826" t="str">
        <f>"1552376670434298"</f>
        <v>1552376670434298</v>
      </c>
      <c r="C6826" t="s">
        <v>40</v>
      </c>
      <c r="D6826">
        <v>5.2684749999999996</v>
      </c>
      <c r="E6826">
        <v>0.50173140000000005</v>
      </c>
      <c r="F6826" t="s">
        <v>41</v>
      </c>
      <c r="G6826">
        <v>-221.6063</v>
      </c>
      <c r="H6826">
        <v>1.0310269999999999</v>
      </c>
      <c r="I6826">
        <v>-61.228099999999998</v>
      </c>
      <c r="J6826">
        <v>-222.41120000000001</v>
      </c>
      <c r="K6826">
        <v>1.1083559999999999</v>
      </c>
      <c r="L6826">
        <v>-61.119750000000003</v>
      </c>
      <c r="M6826">
        <v>0.99804090000000001</v>
      </c>
      <c r="N6826">
        <v>0</v>
      </c>
      <c r="O6826">
        <v>-6.0910659999999998E-2</v>
      </c>
      <c r="P6826">
        <v>0.99306099999999997</v>
      </c>
      <c r="Q6826">
        <v>-7.5695449999999996E-3</v>
      </c>
      <c r="R6826">
        <v>-0.1173564</v>
      </c>
      <c r="S6826">
        <v>2.9770509999999999</v>
      </c>
      <c r="T6826">
        <v>-0.2265568</v>
      </c>
      <c r="U6826">
        <v>-0.35671999999999998</v>
      </c>
      <c r="V6826">
        <v>5.6673849999999998E-2</v>
      </c>
      <c r="W6826">
        <v>6.4518639999999999E-3</v>
      </c>
      <c r="X6826">
        <v>0.99837189999999998</v>
      </c>
      <c r="Y6826">
        <v>5.8274430000000002E-2</v>
      </c>
      <c r="Z6826">
        <v>2.4000800000000002E-3</v>
      </c>
      <c r="AA6826">
        <v>0.99829769999999896</v>
      </c>
      <c r="AB6826">
        <v>36</v>
      </c>
      <c r="AC6826">
        <v>0.80490000000000295</v>
      </c>
      <c r="AD6826">
        <v>-7.7328999999999704E-2</v>
      </c>
      <c r="AE6826">
        <v>-0.10834999999999401</v>
      </c>
      <c r="AF6826">
        <v>5.85856585707532E-2</v>
      </c>
      <c r="AG6826">
        <v>-7.7328999999999704E-2</v>
      </c>
      <c r="AH6826">
        <v>0.80272821893257296</v>
      </c>
      <c r="AI6826">
        <v>95.487972637997601</v>
      </c>
      <c r="AJ6826">
        <v>85.825772681243905</v>
      </c>
      <c r="AK6826">
        <v>0.80856950666088701</v>
      </c>
      <c r="AL6826">
        <v>89.630332858584197</v>
      </c>
      <c r="AM6826">
        <v>86.751019098699501</v>
      </c>
      <c r="AN6826">
        <v>1.00000000126625</v>
      </c>
    </row>
    <row r="6827" spans="1:40" x14ac:dyDescent="0.25">
      <c r="A6827" t="str">
        <f>"20190312154430453"</f>
        <v>20190312154430453</v>
      </c>
      <c r="B6827" t="str">
        <f>"1552376670444059"</f>
        <v>1552376670444059</v>
      </c>
      <c r="C6827" t="s">
        <v>40</v>
      </c>
      <c r="D6827">
        <v>5.3047559999999896</v>
      </c>
      <c r="E6827">
        <v>0.50173440000000002</v>
      </c>
      <c r="F6827" t="s">
        <v>41</v>
      </c>
      <c r="G6827">
        <v>-221.59610000000001</v>
      </c>
      <c r="H6827">
        <v>1.0463769999999999</v>
      </c>
      <c r="I6827">
        <v>-61.218440000000001</v>
      </c>
      <c r="J6827">
        <v>-222.2373</v>
      </c>
      <c r="K6827">
        <v>1.1084229999999999</v>
      </c>
      <c r="L6827">
        <v>-61.131070000000001</v>
      </c>
      <c r="M6827">
        <v>0.99799349999999998</v>
      </c>
      <c r="N6827">
        <v>0</v>
      </c>
      <c r="O6827">
        <v>-6.1676170000000002E-2</v>
      </c>
      <c r="P6827">
        <v>0.99297290000000005</v>
      </c>
      <c r="Q6827">
        <v>-7.1558500000000001E-3</v>
      </c>
      <c r="R6827">
        <v>-0.1181265</v>
      </c>
      <c r="S6827">
        <v>2.9767610000000002</v>
      </c>
      <c r="T6827">
        <v>-0.22620589999999999</v>
      </c>
      <c r="U6827">
        <v>-0.35940549999999999</v>
      </c>
      <c r="V6827">
        <v>5.6683020000000001E-2</v>
      </c>
      <c r="W6827">
        <v>6.906756E-3</v>
      </c>
      <c r="X6827">
        <v>0.99836829999999999</v>
      </c>
      <c r="Y6827">
        <v>5.8409700000000002E-2</v>
      </c>
      <c r="Z6827">
        <v>2.4490290000000001E-3</v>
      </c>
      <c r="AA6827">
        <v>0.99828969999999995</v>
      </c>
      <c r="AB6827">
        <v>36</v>
      </c>
      <c r="AC6827">
        <v>0.64119999999999699</v>
      </c>
      <c r="AD6827">
        <v>-6.2045999999999803E-2</v>
      </c>
      <c r="AE6827">
        <v>-8.7370000000006998E-2</v>
      </c>
      <c r="AF6827">
        <v>4.7218741471285998E-2</v>
      </c>
      <c r="AG6827">
        <v>-6.2045999999999803E-2</v>
      </c>
      <c r="AH6827">
        <v>0.63948949803420996</v>
      </c>
      <c r="AI6827">
        <v>95.526782831880993</v>
      </c>
      <c r="AJ6827">
        <v>85.777047341497095</v>
      </c>
      <c r="AK6827">
        <v>0.64422521974708302</v>
      </c>
      <c r="AL6827">
        <v>89.604268870996293</v>
      </c>
      <c r="AM6827">
        <v>86.750482838018101</v>
      </c>
      <c r="AN6827">
        <v>0.99999996523982604</v>
      </c>
    </row>
    <row r="6828" spans="1:40" x14ac:dyDescent="0.25">
      <c r="A6828" t="str">
        <f>"20190312154430464"</f>
        <v>20190312154430464</v>
      </c>
      <c r="B6828" t="str">
        <f>"1552376670453818"</f>
        <v>1552376670453818</v>
      </c>
      <c r="C6828" t="s">
        <v>40</v>
      </c>
      <c r="D6828">
        <v>5.2794019999999904</v>
      </c>
      <c r="E6828">
        <v>0.50171889999999997</v>
      </c>
      <c r="F6828" t="s">
        <v>41</v>
      </c>
      <c r="G6828">
        <v>-221.2809</v>
      </c>
      <c r="H6828">
        <v>1.0359929999999999</v>
      </c>
      <c r="I6828">
        <v>-61.247390000000003</v>
      </c>
      <c r="J6828">
        <v>-222.0455</v>
      </c>
      <c r="K6828">
        <v>1.1085020000000001</v>
      </c>
      <c r="L6828">
        <v>-61.143650000000001</v>
      </c>
      <c r="M6828">
        <v>0.99794269999999996</v>
      </c>
      <c r="N6828">
        <v>0</v>
      </c>
      <c r="O6828">
        <v>-6.2481899999999903E-2</v>
      </c>
      <c r="P6828">
        <v>0.99288520000000002</v>
      </c>
      <c r="Q6828">
        <v>-6.9743100000000001E-3</v>
      </c>
      <c r="R6828">
        <v>-0.11887109999999999</v>
      </c>
      <c r="S6828">
        <v>2.9765470000000001</v>
      </c>
      <c r="T6828">
        <v>-0.22542190000000001</v>
      </c>
      <c r="U6828">
        <v>-0.36184690000000003</v>
      </c>
      <c r="V6828">
        <v>5.6625099999999998E-2</v>
      </c>
      <c r="W6828">
        <v>7.1318190000000002E-3</v>
      </c>
      <c r="X6828">
        <v>0.99837010000000004</v>
      </c>
      <c r="Y6828">
        <v>5.8421340000000002E-2</v>
      </c>
      <c r="Z6828">
        <v>2.5006690000000001E-3</v>
      </c>
      <c r="AA6828">
        <v>0.99828890000000003</v>
      </c>
      <c r="AB6828">
        <v>36</v>
      </c>
      <c r="AC6828">
        <v>0.76460000000000095</v>
      </c>
      <c r="AD6828">
        <v>-7.2509000000000101E-2</v>
      </c>
      <c r="AE6828">
        <v>-0.103740000000001</v>
      </c>
      <c r="AF6828">
        <v>5.5270593205663902E-2</v>
      </c>
      <c r="AG6828">
        <v>-7.2509000000000101E-2</v>
      </c>
      <c r="AH6828">
        <v>0.76285179423137095</v>
      </c>
      <c r="AI6828">
        <v>95.415536188526005</v>
      </c>
      <c r="AJ6828">
        <v>85.856013004638996</v>
      </c>
      <c r="AK6828">
        <v>0.76828071270618803</v>
      </c>
      <c r="AL6828">
        <v>89.591373431810993</v>
      </c>
      <c r="AM6828">
        <v>86.753802004004896</v>
      </c>
      <c r="AN6828">
        <v>1.0000000606831301</v>
      </c>
    </row>
    <row r="6829" spans="1:40" x14ac:dyDescent="0.25">
      <c r="A6829" t="str">
        <f>"20190312154430475"</f>
        <v>20190312154430475</v>
      </c>
      <c r="B6829" t="str">
        <f>"1552376670464554"</f>
        <v>1552376670464554</v>
      </c>
      <c r="C6829" t="s">
        <v>40</v>
      </c>
      <c r="D6829">
        <v>5.2924879999999996</v>
      </c>
      <c r="E6829">
        <v>0.50163040000000003</v>
      </c>
      <c r="F6829" t="s">
        <v>41</v>
      </c>
      <c r="G6829">
        <v>-221.26990000000001</v>
      </c>
      <c r="H6829">
        <v>1.0497920000000001</v>
      </c>
      <c r="I6829">
        <v>-61.238610000000001</v>
      </c>
      <c r="J6829">
        <v>-221.8914</v>
      </c>
      <c r="K6829">
        <v>1.1085719999999999</v>
      </c>
      <c r="L6829">
        <v>-61.153869999999998</v>
      </c>
      <c r="M6829">
        <v>0.99790500000000004</v>
      </c>
      <c r="N6829">
        <v>0</v>
      </c>
      <c r="O6829">
        <v>-6.307546E-2</v>
      </c>
      <c r="P6829">
        <v>0.99285999999999996</v>
      </c>
      <c r="Q6829">
        <v>-6.658392E-3</v>
      </c>
      <c r="R6829">
        <v>-0.1190991</v>
      </c>
      <c r="S6829">
        <v>2.976334</v>
      </c>
      <c r="T6829">
        <v>-0.22528519999999999</v>
      </c>
      <c r="U6829">
        <v>-0.36419679999999999</v>
      </c>
      <c r="V6829">
        <v>5.6260659999999997E-2</v>
      </c>
      <c r="W6829">
        <v>7.4818069999999896E-3</v>
      </c>
      <c r="X6829">
        <v>0.9983881</v>
      </c>
      <c r="Y6829">
        <v>5.861384E-2</v>
      </c>
      <c r="Z6829">
        <v>2.5364910000000001E-3</v>
      </c>
      <c r="AA6829">
        <v>0.99827750000000004</v>
      </c>
      <c r="AB6829">
        <v>36</v>
      </c>
      <c r="AC6829">
        <v>0.62149999999999705</v>
      </c>
      <c r="AD6829">
        <v>-5.8779999999999798E-2</v>
      </c>
      <c r="AE6829">
        <v>-8.4739999999996402E-2</v>
      </c>
      <c r="AF6829">
        <v>4.4970849865848601E-2</v>
      </c>
      <c r="AG6829">
        <v>-5.8779999999999798E-2</v>
      </c>
      <c r="AH6829">
        <v>0.62016169956214595</v>
      </c>
      <c r="AI6829">
        <v>95.400322554170401</v>
      </c>
      <c r="AJ6829">
        <v>85.852472386958993</v>
      </c>
      <c r="AK6829">
        <v>0.62456224617043998</v>
      </c>
      <c r="AL6829">
        <v>89.571320044346706</v>
      </c>
      <c r="AM6829">
        <v>86.774708358604101</v>
      </c>
      <c r="AN6829">
        <v>1.00000001876061</v>
      </c>
    </row>
    <row r="6830" spans="1:40" x14ac:dyDescent="0.25">
      <c r="A6830" t="str">
        <f>"20190312154430485"</f>
        <v>20190312154430485</v>
      </c>
      <c r="B6830" t="str">
        <f>"1552376670474315"</f>
        <v>1552376670474315</v>
      </c>
      <c r="C6830" t="s">
        <v>40</v>
      </c>
      <c r="D6830">
        <v>5.2607699999999999</v>
      </c>
      <c r="E6830">
        <v>0.50158639999999999</v>
      </c>
      <c r="F6830" t="s">
        <v>41</v>
      </c>
      <c r="G6830">
        <v>-220.95750000000001</v>
      </c>
      <c r="H6830">
        <v>1.0378529999999999</v>
      </c>
      <c r="I6830">
        <v>-61.268380000000001</v>
      </c>
      <c r="J6830">
        <v>-221.71969999999999</v>
      </c>
      <c r="K6830">
        <v>1.1086499999999999</v>
      </c>
      <c r="L6830">
        <v>-61.165280000000003</v>
      </c>
      <c r="M6830">
        <v>0.99786419999999998</v>
      </c>
      <c r="N6830">
        <v>0</v>
      </c>
      <c r="O6830">
        <v>-6.3713889999999995E-2</v>
      </c>
      <c r="P6830">
        <v>0.99280000000000002</v>
      </c>
      <c r="Q6830">
        <v>-6.3660679999999999E-3</v>
      </c>
      <c r="R6830">
        <v>-0.1196156</v>
      </c>
      <c r="S6830">
        <v>2.9763790000000001</v>
      </c>
      <c r="T6830">
        <v>-0.2253</v>
      </c>
      <c r="U6830">
        <v>-0.36425780000000002</v>
      </c>
      <c r="V6830">
        <v>5.6141120000000003E-2</v>
      </c>
      <c r="W6830">
        <v>7.8103369999999997E-3</v>
      </c>
      <c r="X6830">
        <v>0.99839230000000001</v>
      </c>
      <c r="Y6830">
        <v>5.7996979999999997E-2</v>
      </c>
      <c r="Z6830">
        <v>2.6077600000000002E-3</v>
      </c>
      <c r="AA6830">
        <v>0.99831340000000002</v>
      </c>
      <c r="AB6830">
        <v>36</v>
      </c>
      <c r="AC6830">
        <v>0.76219999999997801</v>
      </c>
      <c r="AD6830">
        <v>-7.0796999999999694E-2</v>
      </c>
      <c r="AE6830">
        <v>-0.10310000000000399</v>
      </c>
      <c r="AF6830">
        <v>5.3866321975516801E-2</v>
      </c>
      <c r="AG6830">
        <v>-7.0796999999999694E-2</v>
      </c>
      <c r="AH6830">
        <v>0.76077487767051399</v>
      </c>
      <c r="AI6830">
        <v>95.3033788019127</v>
      </c>
      <c r="AJ6830">
        <v>85.949957162517407</v>
      </c>
      <c r="AK6830">
        <v>0.76595836071339796</v>
      </c>
      <c r="AL6830">
        <v>89.552496106076703</v>
      </c>
      <c r="AM6830">
        <v>86.781560395275804</v>
      </c>
      <c r="AN6830">
        <v>1.0000000057090901</v>
      </c>
    </row>
    <row r="6831" spans="1:40" x14ac:dyDescent="0.25">
      <c r="A6831" t="str">
        <f>"20190312154430495"</f>
        <v>20190312154430495</v>
      </c>
      <c r="B6831" t="str">
        <f>"1552376670484075"</f>
        <v>1552376670484075</v>
      </c>
      <c r="C6831" t="s">
        <v>40</v>
      </c>
      <c r="D6831">
        <v>5.2606830000000002</v>
      </c>
      <c r="E6831">
        <v>0.50148409999999999</v>
      </c>
      <c r="F6831" t="s">
        <v>41</v>
      </c>
      <c r="G6831">
        <v>-220.9452</v>
      </c>
      <c r="H6831">
        <v>1.0501419999999999</v>
      </c>
      <c r="I6831">
        <v>-61.260640000000002</v>
      </c>
      <c r="J6831">
        <v>-221.5599</v>
      </c>
      <c r="K6831">
        <v>1.108733</v>
      </c>
      <c r="L6831">
        <v>-61.176029999999997</v>
      </c>
      <c r="M6831">
        <v>0.9978302</v>
      </c>
      <c r="N6831">
        <v>0</v>
      </c>
      <c r="O6831">
        <v>-6.4238760000000006E-2</v>
      </c>
      <c r="P6831">
        <v>0.99280109999999999</v>
      </c>
      <c r="Q6831">
        <v>-6.2846610000000004E-3</v>
      </c>
      <c r="R6831">
        <v>-0.1196096</v>
      </c>
      <c r="S6831">
        <v>2.9762729999999999</v>
      </c>
      <c r="T6831">
        <v>-0.22475290000000001</v>
      </c>
      <c r="U6831">
        <v>-0.36563109999999999</v>
      </c>
      <c r="V6831">
        <v>5.5608699999999997E-2</v>
      </c>
      <c r="W6831">
        <v>7.9262069999999994E-3</v>
      </c>
      <c r="X6831">
        <v>0.99842120000000001</v>
      </c>
      <c r="Y6831">
        <v>5.7931530000000002E-2</v>
      </c>
      <c r="Z6831">
        <v>2.6432069999999998E-3</v>
      </c>
      <c r="AA6831">
        <v>0.99831709999999996</v>
      </c>
      <c r="AB6831">
        <v>36</v>
      </c>
      <c r="AC6831">
        <v>0.61469999999999902</v>
      </c>
      <c r="AD6831">
        <v>-5.8590999999999997E-2</v>
      </c>
      <c r="AE6831">
        <v>-8.4609999999997798E-2</v>
      </c>
      <c r="AF6831">
        <v>4.4546339839670601E-2</v>
      </c>
      <c r="AG6831">
        <v>-5.8590999999999997E-2</v>
      </c>
      <c r="AH6831">
        <v>0.61339669208732905</v>
      </c>
      <c r="AI6831">
        <v>95.4420325928197</v>
      </c>
      <c r="AJ6831">
        <v>85.846334910122906</v>
      </c>
      <c r="AK6831">
        <v>0.61779671700146499</v>
      </c>
      <c r="AL6831">
        <v>89.545857046223105</v>
      </c>
      <c r="AM6831">
        <v>86.812111623912699</v>
      </c>
      <c r="AN6831">
        <v>1.00000002244126</v>
      </c>
    </row>
    <row r="6832" spans="1:40" x14ac:dyDescent="0.25">
      <c r="A6832" t="str">
        <f>"20190312154430505"</f>
        <v>20190312154430505</v>
      </c>
      <c r="B6832" t="str">
        <f>"1552376670493834"</f>
        <v>1552376670493834</v>
      </c>
      <c r="C6832" t="s">
        <v>40</v>
      </c>
      <c r="D6832">
        <v>5.2305039999999998</v>
      </c>
      <c r="E6832">
        <v>0.5013976</v>
      </c>
      <c r="F6832" t="s">
        <v>41</v>
      </c>
      <c r="G6832">
        <v>-220.63499999999999</v>
      </c>
      <c r="H6832">
        <v>1.0388820000000001</v>
      </c>
      <c r="I6832">
        <v>-61.289459999999998</v>
      </c>
      <c r="J6832">
        <v>-221.39</v>
      </c>
      <c r="K6832">
        <v>1.108822</v>
      </c>
      <c r="L6832">
        <v>-61.18741</v>
      </c>
      <c r="M6832">
        <v>0.99779519999999999</v>
      </c>
      <c r="N6832">
        <v>0</v>
      </c>
      <c r="O6832">
        <v>-6.4773979999999995E-2</v>
      </c>
      <c r="P6832">
        <v>0.99281819999999998</v>
      </c>
      <c r="Q6832">
        <v>-5.7582429999999997E-3</v>
      </c>
      <c r="R6832">
        <v>-0.1194954</v>
      </c>
      <c r="S6832">
        <v>2.9763790000000001</v>
      </c>
      <c r="T6832">
        <v>-0.22478129999999999</v>
      </c>
      <c r="U6832">
        <v>-0.36492920000000001</v>
      </c>
      <c r="V6832">
        <v>5.4958260000000002E-2</v>
      </c>
      <c r="W6832">
        <v>8.4883779999999995E-3</v>
      </c>
      <c r="X6832">
        <v>0.99845249999999997</v>
      </c>
      <c r="Y6832">
        <v>5.716338E-2</v>
      </c>
      <c r="Z6832">
        <v>2.7124269999999999E-3</v>
      </c>
      <c r="AA6832">
        <v>0.99836119999999995</v>
      </c>
      <c r="AB6832">
        <v>36</v>
      </c>
      <c r="AC6832">
        <v>0.75499999999999501</v>
      </c>
      <c r="AD6832">
        <v>-6.9940000000000099E-2</v>
      </c>
      <c r="AE6832">
        <v>-0.102049999999998</v>
      </c>
      <c r="AF6832">
        <v>5.2483874663589301E-2</v>
      </c>
      <c r="AG6832">
        <v>-6.9940000000000099E-2</v>
      </c>
      <c r="AH6832">
        <v>0.753673492846198</v>
      </c>
      <c r="AI6832">
        <v>95.289059798675098</v>
      </c>
      <c r="AJ6832">
        <v>86.0165008059938</v>
      </c>
      <c r="AK6832">
        <v>0.75872913119155505</v>
      </c>
      <c r="AL6832">
        <v>89.513645890444806</v>
      </c>
      <c r="AM6832">
        <v>86.849422499814693</v>
      </c>
      <c r="AN6832">
        <v>0.99999992882977096</v>
      </c>
    </row>
    <row r="6833" spans="1:40" x14ac:dyDescent="0.25">
      <c r="A6833" t="str">
        <f>"20190312154430515"</f>
        <v>20190312154430515</v>
      </c>
      <c r="B6833" t="str">
        <f>"1552376670504570"</f>
        <v>1552376670504570</v>
      </c>
      <c r="C6833" t="s">
        <v>40</v>
      </c>
      <c r="D6833">
        <v>5.271109</v>
      </c>
      <c r="E6833">
        <v>0.50133839999999996</v>
      </c>
      <c r="F6833" t="s">
        <v>70</v>
      </c>
      <c r="G6833">
        <v>-206.6268</v>
      </c>
      <c r="H6833" s="1">
        <v>-2.4789309999999999E-6</v>
      </c>
      <c r="I6833">
        <v>-62.99268</v>
      </c>
      <c r="J6833">
        <v>-221.2346</v>
      </c>
      <c r="K6833">
        <v>1.1089100000000001</v>
      </c>
      <c r="L6833">
        <v>-61.197940000000003</v>
      </c>
      <c r="M6833">
        <v>0.9977684</v>
      </c>
      <c r="N6833">
        <v>0</v>
      </c>
      <c r="O6833">
        <v>-6.5183480000000002E-2</v>
      </c>
      <c r="P6833">
        <v>0.9928496</v>
      </c>
      <c r="Q6833">
        <v>-5.4379210000000001E-3</v>
      </c>
      <c r="R6833">
        <v>-0.1192478</v>
      </c>
      <c r="S6833">
        <v>2.9765779999999999</v>
      </c>
      <c r="T6833">
        <v>-0.2235637</v>
      </c>
      <c r="U6833">
        <v>-0.36398320000000001</v>
      </c>
      <c r="V6833">
        <v>5.4298869999999999E-2</v>
      </c>
      <c r="W6833">
        <v>8.8407480000000007E-3</v>
      </c>
      <c r="X6833">
        <v>0.99848559999999997</v>
      </c>
      <c r="Y6833">
        <v>5.6435859999999997E-2</v>
      </c>
      <c r="Z6833">
        <v>2.7553389999999999E-3</v>
      </c>
      <c r="AA6833">
        <v>0.99840240000000002</v>
      </c>
      <c r="AB6833">
        <v>36</v>
      </c>
      <c r="AC6833">
        <v>14.6077999999999</v>
      </c>
      <c r="AD6833">
        <v>-1.1089124789309901</v>
      </c>
      <c r="AE6833">
        <v>-1.79474</v>
      </c>
      <c r="AF6833">
        <v>0.83390135046231595</v>
      </c>
      <c r="AG6833">
        <v>-1.1089124789309901</v>
      </c>
      <c r="AH6833">
        <v>14.610781383383801</v>
      </c>
      <c r="AI6833">
        <v>94.333223909890293</v>
      </c>
      <c r="AJ6833">
        <v>86.733422532638201</v>
      </c>
      <c r="AK6833">
        <v>14.6765122212761</v>
      </c>
      <c r="AL6833">
        <v>89.493455858175494</v>
      </c>
      <c r="AM6833">
        <v>86.887251372951496</v>
      </c>
      <c r="AN6833">
        <v>1.00000000975791</v>
      </c>
    </row>
    <row r="6834" spans="1:40" x14ac:dyDescent="0.25">
      <c r="A6834" t="str">
        <f>"20190312154430525"</f>
        <v>20190312154430525</v>
      </c>
      <c r="B6834" t="str">
        <f>"1552376670514330"</f>
        <v>1552376670514330</v>
      </c>
      <c r="C6834" t="s">
        <v>40</v>
      </c>
      <c r="D6834">
        <v>5.2598449999999897</v>
      </c>
      <c r="E6834">
        <v>0.50126990000000005</v>
      </c>
      <c r="F6834" t="s">
        <v>41</v>
      </c>
      <c r="G6834">
        <v>-220.31299999999999</v>
      </c>
      <c r="H6834">
        <v>1.039812</v>
      </c>
      <c r="I6834">
        <v>-61.310580000000002</v>
      </c>
      <c r="J6834">
        <v>-221.07429999999999</v>
      </c>
      <c r="K6834">
        <v>1.1090040000000001</v>
      </c>
      <c r="L6834">
        <v>-61.208770000000001</v>
      </c>
      <c r="M6834">
        <v>0.99774189999999996</v>
      </c>
      <c r="N6834">
        <v>0</v>
      </c>
      <c r="O6834">
        <v>-6.5585279999999996E-2</v>
      </c>
      <c r="P6834">
        <v>0.9928823</v>
      </c>
      <c r="Q6834">
        <v>-4.9148250000000003E-3</v>
      </c>
      <c r="R6834">
        <v>-0.11899949999999999</v>
      </c>
      <c r="S6834">
        <v>2.9768219999999999</v>
      </c>
      <c r="T6834">
        <v>-0.22307569999999999</v>
      </c>
      <c r="U6834">
        <v>-0.3628845</v>
      </c>
      <c r="V6834">
        <v>5.3646289999999999E-2</v>
      </c>
      <c r="W6834">
        <v>9.3957639999999992E-3</v>
      </c>
      <c r="X6834">
        <v>0.99851579999999995</v>
      </c>
      <c r="Y6834">
        <v>5.5663980000000002E-2</v>
      </c>
      <c r="Z6834">
        <v>2.8078230000000001E-3</v>
      </c>
      <c r="AA6834">
        <v>0.99844560000000004</v>
      </c>
      <c r="AB6834">
        <v>36</v>
      </c>
      <c r="AC6834">
        <v>0.76130000000000497</v>
      </c>
      <c r="AD6834">
        <v>-6.9191999999999906E-2</v>
      </c>
      <c r="AE6834">
        <v>-0.10181000000000701</v>
      </c>
      <c r="AF6834">
        <v>5.1239622618092E-2</v>
      </c>
      <c r="AG6834">
        <v>-6.9191999999999906E-2</v>
      </c>
      <c r="AH6834">
        <v>0.76016952647150204</v>
      </c>
      <c r="AI6834">
        <v>95.189123229294196</v>
      </c>
      <c r="AJ6834">
        <v>86.143781347391297</v>
      </c>
      <c r="AK6834">
        <v>0.76502989534132104</v>
      </c>
      <c r="AL6834">
        <v>89.4616544584716</v>
      </c>
      <c r="AM6834">
        <v>86.924681901418893</v>
      </c>
      <c r="AN6834">
        <v>1.0000000038307699</v>
      </c>
    </row>
    <row r="6835" spans="1:40" x14ac:dyDescent="0.25">
      <c r="A6835" t="str">
        <f>"20190312154430537"</f>
        <v>20190312154430537</v>
      </c>
      <c r="B6835" t="str">
        <f>"1552376670524091"</f>
        <v>1552376670524091</v>
      </c>
      <c r="C6835" t="s">
        <v>40</v>
      </c>
      <c r="D6835">
        <v>5.2325929999999996</v>
      </c>
      <c r="E6835">
        <v>0.50126990000000005</v>
      </c>
      <c r="F6835" t="s">
        <v>70</v>
      </c>
      <c r="G6835">
        <v>-206.19229999999999</v>
      </c>
      <c r="H6835" s="1">
        <v>-2.7584569999999998E-6</v>
      </c>
      <c r="I6835">
        <v>-63.016689999999997</v>
      </c>
      <c r="J6835">
        <v>-220.89179999999999</v>
      </c>
      <c r="K6835">
        <v>1.109121</v>
      </c>
      <c r="L6835">
        <v>-61.221159999999998</v>
      </c>
      <c r="M6835">
        <v>0.99771799999999999</v>
      </c>
      <c r="N6835">
        <v>0</v>
      </c>
      <c r="O6835">
        <v>-6.5940940000000003E-2</v>
      </c>
      <c r="P6835">
        <v>0.99293370000000003</v>
      </c>
      <c r="Q6835">
        <v>-3.9036489999999999E-3</v>
      </c>
      <c r="R6835">
        <v>-0.1186059</v>
      </c>
      <c r="S6835">
        <v>2.9770509999999999</v>
      </c>
      <c r="T6835">
        <v>-0.22185050000000001</v>
      </c>
      <c r="U6835">
        <v>-0.36166379999999998</v>
      </c>
      <c r="V6835">
        <v>5.289431E-2</v>
      </c>
      <c r="W6835">
        <v>1.0441890000000001E-2</v>
      </c>
      <c r="X6835">
        <v>0.99854549999999997</v>
      </c>
      <c r="Y6835">
        <v>5.4898120000000002E-2</v>
      </c>
      <c r="Z6835">
        <v>2.8469889999999999E-3</v>
      </c>
      <c r="AA6835">
        <v>0.99848789999999998</v>
      </c>
      <c r="AB6835">
        <v>36</v>
      </c>
      <c r="AC6835">
        <v>14.6995</v>
      </c>
      <c r="AD6835">
        <v>-1.109123758457</v>
      </c>
      <c r="AE6835">
        <v>-1.7955300000000001</v>
      </c>
      <c r="AF6835">
        <v>0.81763382729404799</v>
      </c>
      <c r="AG6835">
        <v>-1.109123758457</v>
      </c>
      <c r="AH6835">
        <v>14.703432932134501</v>
      </c>
      <c r="AI6835">
        <v>94.307192374733901</v>
      </c>
      <c r="AJ6835">
        <v>86.817153588124299</v>
      </c>
      <c r="AK6835">
        <v>14.767857684068</v>
      </c>
      <c r="AL6835">
        <v>89.401712887381507</v>
      </c>
      <c r="AM6835">
        <v>86.967798782203104</v>
      </c>
      <c r="AN6835">
        <v>0.99999997833369803</v>
      </c>
    </row>
    <row r="6836" spans="1:40" x14ac:dyDescent="0.25">
      <c r="A6836" t="str">
        <f>"20190312154430550"</f>
        <v>20190312154430550</v>
      </c>
      <c r="B6836" t="str">
        <f>"1552376670544587"</f>
        <v>1552376670544587</v>
      </c>
      <c r="C6836" t="s">
        <v>40</v>
      </c>
      <c r="D6836">
        <v>5.292446</v>
      </c>
      <c r="E6836">
        <v>0.4815508</v>
      </c>
      <c r="F6836" t="s">
        <v>41</v>
      </c>
      <c r="G6836">
        <v>-219.9897</v>
      </c>
      <c r="H6836">
        <v>1.042813</v>
      </c>
      <c r="I6836">
        <v>-61.330440000000003</v>
      </c>
      <c r="J6836">
        <v>-220.6807</v>
      </c>
      <c r="K6836">
        <v>1.1092610000000001</v>
      </c>
      <c r="L6836">
        <v>-61.2354699999999</v>
      </c>
      <c r="M6836">
        <v>0.99769410000000003</v>
      </c>
      <c r="N6836">
        <v>0</v>
      </c>
      <c r="O6836">
        <v>-6.6298570000000001E-2</v>
      </c>
      <c r="P6836">
        <v>0.99298960000000003</v>
      </c>
      <c r="Q6836">
        <v>-3.3003569999999999E-3</v>
      </c>
      <c r="R6836">
        <v>-0.1181561</v>
      </c>
      <c r="S6836">
        <v>2.9774319999999999</v>
      </c>
      <c r="T6836">
        <v>-0.21882879999999999</v>
      </c>
      <c r="U6836">
        <v>-0.36041260000000003</v>
      </c>
      <c r="V6836">
        <v>5.2082080000000003E-2</v>
      </c>
      <c r="W6836">
        <v>1.1085579999999999E-2</v>
      </c>
      <c r="X6836">
        <v>0.99858130000000001</v>
      </c>
      <c r="Y6836">
        <v>5.4113550000000003E-2</v>
      </c>
      <c r="Z6836">
        <v>2.8627969999999998E-3</v>
      </c>
      <c r="AA6836">
        <v>0.99853069999999999</v>
      </c>
      <c r="AB6836">
        <v>36</v>
      </c>
      <c r="AC6836">
        <v>0.69100000000000195</v>
      </c>
      <c r="AD6836">
        <v>-6.6447999999999993E-2</v>
      </c>
      <c r="AE6836">
        <v>-9.4970000000010601E-2</v>
      </c>
      <c r="AF6836">
        <v>4.8503655014581502E-2</v>
      </c>
      <c r="AG6836">
        <v>-6.6447999999999993E-2</v>
      </c>
      <c r="AH6836">
        <v>0.68951852876015096</v>
      </c>
      <c r="AI6836">
        <v>95.491035728026205</v>
      </c>
      <c r="AJ6836">
        <v>85.976200358996394</v>
      </c>
      <c r="AK6836">
        <v>0.69440891609867506</v>
      </c>
      <c r="AL6836">
        <v>89.364830057306193</v>
      </c>
      <c r="AM6836">
        <v>87.014382347819605</v>
      </c>
      <c r="AN6836">
        <v>1.00000002292537</v>
      </c>
    </row>
    <row r="6837" spans="1:40" x14ac:dyDescent="0.25">
      <c r="A6837" t="str">
        <f>"20190312154430562"</f>
        <v>20190312154430562</v>
      </c>
      <c r="B6837" t="str">
        <f>"1552376670554346"</f>
        <v>1552376670554346</v>
      </c>
      <c r="C6837" t="s">
        <v>40</v>
      </c>
      <c r="D6837">
        <v>5.2535679999999996</v>
      </c>
      <c r="E6837">
        <v>0.47517779999999998</v>
      </c>
      <c r="F6837" t="s">
        <v>41</v>
      </c>
      <c r="G6837">
        <v>-219.6773</v>
      </c>
      <c r="H6837">
        <v>1.019482</v>
      </c>
      <c r="I6837">
        <v>-61.303080000000001</v>
      </c>
      <c r="J6837">
        <v>-220.4821</v>
      </c>
      <c r="K6837">
        <v>1.1094010000000001</v>
      </c>
      <c r="L6837">
        <v>-61.248959999999997</v>
      </c>
      <c r="M6837">
        <v>0.99767899999999998</v>
      </c>
      <c r="N6837">
        <v>0</v>
      </c>
      <c r="O6837">
        <v>-6.6521670000000005E-2</v>
      </c>
      <c r="P6837">
        <v>0.99306910000000004</v>
      </c>
      <c r="Q6837">
        <v>-2.8879539999999999E-3</v>
      </c>
      <c r="R6837">
        <v>-0.11749660000000001</v>
      </c>
      <c r="S6837">
        <v>2.9963069999999998</v>
      </c>
      <c r="T6837">
        <v>-0.26806079999999999</v>
      </c>
      <c r="U6837">
        <v>-0.2014465</v>
      </c>
      <c r="V6837">
        <v>5.1192290000000001E-2</v>
      </c>
      <c r="W6837">
        <v>1.153378E-2</v>
      </c>
      <c r="X6837">
        <v>0.99862220000000002</v>
      </c>
      <c r="Y6837">
        <v>8.1339330000000003E-4</v>
      </c>
      <c r="Z6837">
        <v>5.8905149999999998E-3</v>
      </c>
      <c r="AA6837">
        <v>0.99998229999999999</v>
      </c>
      <c r="AB6837">
        <v>36</v>
      </c>
      <c r="AC6837">
        <v>0.80479999999999996</v>
      </c>
      <c r="AD6837">
        <v>-8.9918999999999999E-2</v>
      </c>
      <c r="AE6837">
        <v>-5.4120000000004602E-2</v>
      </c>
      <c r="AF6837">
        <v>4.5217665899577298E-4</v>
      </c>
      <c r="AG6837">
        <v>-8.9918999999999999E-2</v>
      </c>
      <c r="AH6837">
        <v>0.79671668259010697</v>
      </c>
      <c r="AI6837">
        <v>96.4392640113509</v>
      </c>
      <c r="AJ6837">
        <v>89.967481776220794</v>
      </c>
      <c r="AK6837">
        <v>0.80177497051361901</v>
      </c>
      <c r="AL6837">
        <v>89.339148424035699</v>
      </c>
      <c r="AM6837">
        <v>87.065419818312293</v>
      </c>
      <c r="AN6837">
        <v>0.99999998848468596</v>
      </c>
    </row>
    <row r="6838" spans="1:40" x14ac:dyDescent="0.25">
      <c r="A6838" t="str">
        <f>"20190312154430574"</f>
        <v>20190312154430574</v>
      </c>
      <c r="B6838" t="str">
        <f>"1552376670564106"</f>
        <v>1552376670564106</v>
      </c>
      <c r="C6838" t="s">
        <v>40</v>
      </c>
      <c r="D6838">
        <v>5.1797190000000004</v>
      </c>
      <c r="E6838">
        <v>0.47099069999999998</v>
      </c>
      <c r="F6838" t="s">
        <v>70</v>
      </c>
      <c r="G6838">
        <v>-207.88069999999999</v>
      </c>
      <c r="H6838" s="1">
        <v>-1.526312E-6</v>
      </c>
      <c r="I6838">
        <v>-61.875140000000002</v>
      </c>
      <c r="J6838">
        <v>-220.28890000000001</v>
      </c>
      <c r="K6838">
        <v>1.1095349999999999</v>
      </c>
      <c r="L6838">
        <v>-61.2620199999999</v>
      </c>
      <c r="M6838">
        <v>0.99766889999999997</v>
      </c>
      <c r="N6838">
        <v>0</v>
      </c>
      <c r="O6838">
        <v>-6.6669199999999998E-2</v>
      </c>
      <c r="P6838">
        <v>0.9931664</v>
      </c>
      <c r="Q6838">
        <v>-2.126761E-3</v>
      </c>
      <c r="R6838">
        <v>-0.1166876</v>
      </c>
      <c r="S6838">
        <v>3.0025330000000001</v>
      </c>
      <c r="T6838">
        <v>-0.26433790000000001</v>
      </c>
      <c r="U6838">
        <v>-0.14920039999999901</v>
      </c>
      <c r="V6838">
        <v>5.0228639999999998E-2</v>
      </c>
      <c r="W6838">
        <v>1.2329089999999999E-2</v>
      </c>
      <c r="X6838">
        <v>0.99866160000000004</v>
      </c>
      <c r="Y6838">
        <v>-1.6752900000000001E-2</v>
      </c>
      <c r="Z6838">
        <v>6.5850319999999898E-3</v>
      </c>
      <c r="AA6838">
        <v>0.999838</v>
      </c>
      <c r="AB6838">
        <v>36</v>
      </c>
      <c r="AC6838">
        <v>12.408200000000001</v>
      </c>
      <c r="AD6838">
        <v>-1.1095365263119901</v>
      </c>
      <c r="AE6838">
        <v>-0.61312000000000899</v>
      </c>
      <c r="AF6838">
        <v>-0.213870943320526</v>
      </c>
      <c r="AG6838">
        <v>-1.1095365263119901</v>
      </c>
      <c r="AH6838">
        <v>12.323173629843099</v>
      </c>
      <c r="AI6838">
        <v>95.144073646041605</v>
      </c>
      <c r="AJ6838">
        <v>90.994278965910596</v>
      </c>
      <c r="AK6838">
        <v>12.3748705203278</v>
      </c>
      <c r="AL6838">
        <v>89.293577249829596</v>
      </c>
      <c r="AM6838">
        <v>87.120680275035696</v>
      </c>
      <c r="AN6838">
        <v>0.99999995702551703</v>
      </c>
    </row>
    <row r="6839" spans="1:40" x14ac:dyDescent="0.25">
      <c r="A6839" t="str">
        <f>"20190312154430586"</f>
        <v>20190312154430586</v>
      </c>
      <c r="B6839" t="str">
        <f>"1552376670573867"</f>
        <v>1552376670573867</v>
      </c>
      <c r="C6839" t="s">
        <v>40</v>
      </c>
      <c r="D6839">
        <v>5.2303850000000001</v>
      </c>
      <c r="E6839">
        <v>0.46866360000000001</v>
      </c>
      <c r="F6839" t="s">
        <v>41</v>
      </c>
      <c r="G6839">
        <v>-219.34829999999999</v>
      </c>
      <c r="H6839">
        <v>1.0249839999999999</v>
      </c>
      <c r="I6839">
        <v>-61.297569999999901</v>
      </c>
      <c r="J6839">
        <v>-220.09829999999999</v>
      </c>
      <c r="K6839">
        <v>1.1096710000000001</v>
      </c>
      <c r="L6839">
        <v>-61.2748699999999</v>
      </c>
      <c r="M6839">
        <v>0.99766279999999996</v>
      </c>
      <c r="N6839">
        <v>0</v>
      </c>
      <c r="O6839">
        <v>-6.6758639999999994E-2</v>
      </c>
      <c r="P6839">
        <v>0.99328050000000001</v>
      </c>
      <c r="Q6839">
        <v>-1.7451679999999901E-3</v>
      </c>
      <c r="R6839">
        <v>-0.1157212</v>
      </c>
      <c r="S6839">
        <v>3.0067439999999999</v>
      </c>
      <c r="T6839">
        <v>-0.27027440000000003</v>
      </c>
      <c r="U6839">
        <v>-0.11346440000000001</v>
      </c>
      <c r="V6839">
        <v>4.9163770000000002E-2</v>
      </c>
      <c r="W6839">
        <v>1.2742949999999999E-2</v>
      </c>
      <c r="X6839">
        <v>0.99870939999999997</v>
      </c>
      <c r="Y6839">
        <v>-2.8708750000000002E-2</v>
      </c>
      <c r="Z6839">
        <v>7.2693609999999898E-3</v>
      </c>
      <c r="AA6839">
        <v>0.99956140000000004</v>
      </c>
      <c r="AB6839">
        <v>36</v>
      </c>
      <c r="AC6839">
        <v>0.75</v>
      </c>
      <c r="AD6839">
        <v>-8.4686999999999693E-2</v>
      </c>
      <c r="AE6839">
        <v>-2.27000000000003E-2</v>
      </c>
      <c r="AF6839">
        <v>-2.7079990179312299E-2</v>
      </c>
      <c r="AG6839">
        <v>-8.4686999999999693E-2</v>
      </c>
      <c r="AH6839">
        <v>0.74041048097243201</v>
      </c>
      <c r="AI6839">
        <v>96.520724041374507</v>
      </c>
      <c r="AJ6839">
        <v>92.094619008424203</v>
      </c>
      <c r="AK6839">
        <v>0.74572977288756503</v>
      </c>
      <c r="AL6839">
        <v>89.2698629577757</v>
      </c>
      <c r="AM6839">
        <v>87.181758353294498</v>
      </c>
      <c r="AN6839">
        <v>0.99999996235183697</v>
      </c>
    </row>
    <row r="6840" spans="1:40" x14ac:dyDescent="0.25">
      <c r="A6840" t="str">
        <f>"20190312154430598"</f>
        <v>20190312154430598</v>
      </c>
      <c r="B6840" t="str">
        <f>"1552376670594363"</f>
        <v>1552376670594363</v>
      </c>
      <c r="C6840" t="s">
        <v>40</v>
      </c>
      <c r="D6840">
        <v>5.1633380000000004</v>
      </c>
      <c r="E6840">
        <v>0.46582590000000001</v>
      </c>
      <c r="F6840" t="s">
        <v>70</v>
      </c>
      <c r="G6840">
        <v>-207.53110000000001</v>
      </c>
      <c r="H6840" s="1">
        <v>-1.71864E-6</v>
      </c>
      <c r="I6840">
        <v>-61.660170000000001</v>
      </c>
      <c r="J6840">
        <v>-219.92400000000001</v>
      </c>
      <c r="K6840">
        <v>1.1097969999999999</v>
      </c>
      <c r="L6840">
        <v>-61.286560000000001</v>
      </c>
      <c r="M6840">
        <v>0.99766500000000002</v>
      </c>
      <c r="N6840">
        <v>0</v>
      </c>
      <c r="O6840">
        <v>-6.6722569999999995E-2</v>
      </c>
      <c r="P6840">
        <v>0.99342529999999996</v>
      </c>
      <c r="Q6840">
        <v>-1.4304470000000001E-3</v>
      </c>
      <c r="R6840">
        <v>-0.1144739</v>
      </c>
      <c r="S6840">
        <v>3.0090789999999998</v>
      </c>
      <c r="T6840">
        <v>-0.26569749999999998</v>
      </c>
      <c r="U6840">
        <v>-9.2254639999999999E-2</v>
      </c>
      <c r="V6840">
        <v>4.7942360000000003E-2</v>
      </c>
      <c r="W6840">
        <v>1.308577E-2</v>
      </c>
      <c r="X6840">
        <v>0.9987644</v>
      </c>
      <c r="Y6840">
        <v>-3.5724510000000001E-2</v>
      </c>
      <c r="Z6840">
        <v>7.4483209999999999E-3</v>
      </c>
      <c r="AA6840">
        <v>0.9993339</v>
      </c>
      <c r="AB6840">
        <v>36</v>
      </c>
      <c r="AC6840">
        <v>12.3928999999999</v>
      </c>
      <c r="AD6840">
        <v>-1.10979871864</v>
      </c>
      <c r="AE6840">
        <v>-0.373609999999999</v>
      </c>
      <c r="AF6840">
        <v>-0.45058665223614502</v>
      </c>
      <c r="AG6840">
        <v>-1.10979871864</v>
      </c>
      <c r="AH6840">
        <v>12.291725326208301</v>
      </c>
      <c r="AI6840">
        <v>95.155704315541698</v>
      </c>
      <c r="AJ6840">
        <v>92.099392724755205</v>
      </c>
      <c r="AK6840">
        <v>12.3499470857983</v>
      </c>
      <c r="AL6840">
        <v>89.250219220601096</v>
      </c>
      <c r="AM6840">
        <v>87.251816306531595</v>
      </c>
      <c r="AN6840">
        <v>1.00000001698311</v>
      </c>
    </row>
    <row r="6841" spans="1:40" x14ac:dyDescent="0.25">
      <c r="A6841" t="str">
        <f>"20190312154430608"</f>
        <v>20190312154430608</v>
      </c>
      <c r="B6841" t="str">
        <f>"1552376670604122"</f>
        <v>1552376670604122</v>
      </c>
      <c r="C6841" t="s">
        <v>40</v>
      </c>
      <c r="D6841">
        <v>5.1717459999999997</v>
      </c>
      <c r="E6841">
        <v>0.4649026</v>
      </c>
      <c r="F6841" t="s">
        <v>70</v>
      </c>
      <c r="G6841">
        <v>-207.19210000000001</v>
      </c>
      <c r="H6841" s="1">
        <v>-1.9210450000000001E-6</v>
      </c>
      <c r="I6841">
        <v>-61.566380000000002</v>
      </c>
      <c r="J6841">
        <v>-219.7535</v>
      </c>
      <c r="K6841">
        <v>1.109923</v>
      </c>
      <c r="L6841">
        <v>-61.298000000000002</v>
      </c>
      <c r="M6841">
        <v>0.99766860000000002</v>
      </c>
      <c r="N6841">
        <v>0</v>
      </c>
      <c r="O6841">
        <v>-6.6667859999999995E-2</v>
      </c>
      <c r="P6841">
        <v>0.99359240000000004</v>
      </c>
      <c r="Q6841">
        <v>-1.1562569999999999E-3</v>
      </c>
      <c r="R6841">
        <v>-0.1130192</v>
      </c>
      <c r="S6841">
        <v>3.0118559999999999</v>
      </c>
      <c r="T6841">
        <v>-0.2625325</v>
      </c>
      <c r="U6841">
        <v>-6.6192630000000002E-2</v>
      </c>
      <c r="V6841">
        <v>4.6530620000000002E-2</v>
      </c>
      <c r="W6841">
        <v>1.338663E-2</v>
      </c>
      <c r="X6841">
        <v>0.99882720000000003</v>
      </c>
      <c r="Y6841">
        <v>-4.4315489999999999E-2</v>
      </c>
      <c r="Z6841">
        <v>7.7233450000000004E-3</v>
      </c>
      <c r="AA6841">
        <v>0.99898770000000003</v>
      </c>
      <c r="AB6841">
        <v>36</v>
      </c>
      <c r="AC6841">
        <v>12.5613999999999</v>
      </c>
      <c r="AD6841">
        <v>-1.109924921045</v>
      </c>
      <c r="AE6841">
        <v>-0.26838000000000001</v>
      </c>
      <c r="AF6841">
        <v>-0.56533613204112698</v>
      </c>
      <c r="AG6841">
        <v>-1.109924921045</v>
      </c>
      <c r="AH6841">
        <v>12.454150742274599</v>
      </c>
      <c r="AI6841">
        <v>95.087584314241795</v>
      </c>
      <c r="AJ6841">
        <v>92.599065515190603</v>
      </c>
      <c r="AK6841">
        <v>12.516285750327301</v>
      </c>
      <c r="AL6841">
        <v>89.232979718473302</v>
      </c>
      <c r="AM6841">
        <v>87.332789822289996</v>
      </c>
      <c r="AN6841">
        <v>1.00000003796009</v>
      </c>
    </row>
    <row r="6842" spans="1:40" x14ac:dyDescent="0.25">
      <c r="A6842" t="str">
        <f>"20190312154430619"</f>
        <v>20190312154430619</v>
      </c>
      <c r="B6842" t="str">
        <f>"1552376670613883"</f>
        <v>1552376670613883</v>
      </c>
      <c r="C6842" t="s">
        <v>40</v>
      </c>
      <c r="D6842">
        <v>5.0751229999999996</v>
      </c>
      <c r="E6842">
        <v>0.46410020000000002</v>
      </c>
      <c r="F6842" t="s">
        <v>70</v>
      </c>
      <c r="G6842">
        <v>-206.95439999999999</v>
      </c>
      <c r="H6842" s="1">
        <v>-2.0670899999999998E-6</v>
      </c>
      <c r="I6842">
        <v>-61.530070000000002</v>
      </c>
      <c r="J6842">
        <v>-219.57060000000001</v>
      </c>
      <c r="K6842">
        <v>1.110077</v>
      </c>
      <c r="L6842">
        <v>-61.310090000000002</v>
      </c>
      <c r="M6842">
        <v>0.99768349999999995</v>
      </c>
      <c r="N6842">
        <v>0</v>
      </c>
      <c r="O6842">
        <v>-6.644216E-2</v>
      </c>
      <c r="P6842">
        <v>0.99379249999999997</v>
      </c>
      <c r="Q6842">
        <v>-9.0099220000000005E-4</v>
      </c>
      <c r="R6842">
        <v>-0.1112475</v>
      </c>
      <c r="S6842">
        <v>3.0128330000000001</v>
      </c>
      <c r="T6842">
        <v>-0.26126890000000003</v>
      </c>
      <c r="U6842">
        <v>-5.4626460000000002E-2</v>
      </c>
      <c r="V6842">
        <v>4.4970820000000002E-2</v>
      </c>
      <c r="W6842">
        <v>1.36708E-2</v>
      </c>
      <c r="X6842">
        <v>0.99889479999999997</v>
      </c>
      <c r="Y6842">
        <v>-4.7921419999999999E-2</v>
      </c>
      <c r="Z6842">
        <v>7.8208559999999993E-3</v>
      </c>
      <c r="AA6842">
        <v>0.9988205</v>
      </c>
      <c r="AB6842">
        <v>36</v>
      </c>
      <c r="AC6842">
        <v>12.616199999999999</v>
      </c>
      <c r="AD6842">
        <v>-1.11007906708999</v>
      </c>
      <c r="AE6842">
        <v>-0.21997999999999199</v>
      </c>
      <c r="AF6842">
        <v>-0.61409028068385596</v>
      </c>
      <c r="AG6842">
        <v>-1.11007906708999</v>
      </c>
      <c r="AH6842">
        <v>12.5061407011518</v>
      </c>
      <c r="AI6842">
        <v>95.066363225398106</v>
      </c>
      <c r="AJ6842">
        <v>92.811142527806496</v>
      </c>
      <c r="AK6842">
        <v>12.5703197113291</v>
      </c>
      <c r="AL6842">
        <v>89.216696491472902</v>
      </c>
      <c r="AM6842">
        <v>87.422251592949493</v>
      </c>
      <c r="AN6842">
        <v>1.00000004344557</v>
      </c>
    </row>
    <row r="6843" spans="1:40" x14ac:dyDescent="0.25">
      <c r="A6843" t="str">
        <f>"20190312154430630"</f>
        <v>20190312154430630</v>
      </c>
      <c r="B6843" t="str">
        <f>"1552376670624621"</f>
        <v>1552376670624621</v>
      </c>
      <c r="C6843" t="s">
        <v>40</v>
      </c>
      <c r="D6843">
        <v>5.1080730000000001</v>
      </c>
      <c r="E6843">
        <v>0.46351320000000001</v>
      </c>
      <c r="F6843" t="s">
        <v>70</v>
      </c>
      <c r="G6843">
        <v>-207.1463</v>
      </c>
      <c r="H6843" s="1">
        <v>-1.9391260000000001E-6</v>
      </c>
      <c r="I6843">
        <v>-61.487099999999998</v>
      </c>
      <c r="J6843">
        <v>-219.40049999999999</v>
      </c>
      <c r="K6843">
        <v>1.110223</v>
      </c>
      <c r="L6843">
        <v>-61.321260000000002</v>
      </c>
      <c r="M6843">
        <v>0.99769940000000001</v>
      </c>
      <c r="N6843">
        <v>0</v>
      </c>
      <c r="O6843">
        <v>-6.6200700000000001E-2</v>
      </c>
      <c r="P6843">
        <v>0.99403459999999999</v>
      </c>
      <c r="Q6843">
        <v>-1.073276E-3</v>
      </c>
      <c r="R6843">
        <v>-0.1090609</v>
      </c>
      <c r="S6843">
        <v>3.0137019999999999</v>
      </c>
      <c r="T6843">
        <v>-0.26926539999999999</v>
      </c>
      <c r="U6843">
        <v>-4.2938230000000001E-2</v>
      </c>
      <c r="V6843">
        <v>4.3010100000000002E-2</v>
      </c>
      <c r="W6843">
        <v>1.3524899999999999E-2</v>
      </c>
      <c r="X6843">
        <v>0.99898310000000001</v>
      </c>
      <c r="Y6843">
        <v>-5.151762E-2</v>
      </c>
      <c r="Z6843">
        <v>8.1962519999999994E-3</v>
      </c>
      <c r="AA6843">
        <v>0.99863849999999998</v>
      </c>
      <c r="AB6843">
        <v>36</v>
      </c>
      <c r="AC6843">
        <v>12.2541999999999</v>
      </c>
      <c r="AD6843">
        <v>-1.110224939126</v>
      </c>
      <c r="AE6843">
        <v>-0.16584000000000201</v>
      </c>
      <c r="AF6843">
        <v>-0.64058988015584195</v>
      </c>
      <c r="AG6843">
        <v>-1.110224939126</v>
      </c>
      <c r="AH6843">
        <v>12.138673099703199</v>
      </c>
      <c r="AI6843">
        <v>95.218614324247199</v>
      </c>
      <c r="AJ6843">
        <v>93.020847577842204</v>
      </c>
      <c r="AK6843">
        <v>12.206159897014</v>
      </c>
      <c r="AL6843">
        <v>89.225056694584794</v>
      </c>
      <c r="AM6843">
        <v>87.534716793117099</v>
      </c>
      <c r="AN6843">
        <v>1.00000001285381</v>
      </c>
    </row>
    <row r="6844" spans="1:40" x14ac:dyDescent="0.25">
      <c r="A6844" t="str">
        <f>"20190312154430640"</f>
        <v>20190312154430640</v>
      </c>
      <c r="B6844" t="str">
        <f>"1552376670634379"</f>
        <v>1552376670634379</v>
      </c>
      <c r="C6844" t="s">
        <v>40</v>
      </c>
      <c r="D6844">
        <v>5.1301220000000001</v>
      </c>
      <c r="E6844">
        <v>0.46308840000000001</v>
      </c>
      <c r="F6844" t="s">
        <v>70</v>
      </c>
      <c r="G6844">
        <v>-207.0941</v>
      </c>
      <c r="H6844" s="1">
        <v>-1.967271E-6</v>
      </c>
      <c r="I6844">
        <v>-61.450960000000002</v>
      </c>
      <c r="J6844">
        <v>-219.233</v>
      </c>
      <c r="K6844">
        <v>1.1103730000000001</v>
      </c>
      <c r="L6844">
        <v>-61.332120000000003</v>
      </c>
      <c r="M6844">
        <v>0.99772269999999996</v>
      </c>
      <c r="N6844">
        <v>0</v>
      </c>
      <c r="O6844">
        <v>-6.5845210000000001E-2</v>
      </c>
      <c r="P6844">
        <v>0.99428640000000001</v>
      </c>
      <c r="Q6844">
        <v>-1.2265749999999999E-3</v>
      </c>
      <c r="R6844">
        <v>-0.106739</v>
      </c>
      <c r="S6844">
        <v>3.0142060000000002</v>
      </c>
      <c r="T6844">
        <v>-0.27192680000000002</v>
      </c>
      <c r="U6844">
        <v>-3.17688E-2</v>
      </c>
      <c r="V6844">
        <v>4.1028000000000002E-2</v>
      </c>
      <c r="W6844">
        <v>1.339569E-2</v>
      </c>
      <c r="X6844">
        <v>0.99906819999999996</v>
      </c>
      <c r="Y6844">
        <v>-5.4842639999999998E-2</v>
      </c>
      <c r="Z6844">
        <v>8.3936569999999901E-3</v>
      </c>
      <c r="AA6844">
        <v>0.99845980000000001</v>
      </c>
      <c r="AB6844">
        <v>36</v>
      </c>
      <c r="AC6844">
        <v>12.1389</v>
      </c>
      <c r="AD6844">
        <v>-1.1103749672709999</v>
      </c>
      <c r="AE6844">
        <v>-0.118839999999998</v>
      </c>
      <c r="AF6844">
        <v>-0.67514331771929503</v>
      </c>
      <c r="AG6844">
        <v>-1.1103749672709999</v>
      </c>
      <c r="AH6844">
        <v>12.0198143304961</v>
      </c>
      <c r="AI6844">
        <v>95.269671254432794</v>
      </c>
      <c r="AJ6844">
        <v>93.214879801202997</v>
      </c>
      <c r="AK6844">
        <v>12.0898588745693</v>
      </c>
      <c r="AL6844">
        <v>89.232460546707102</v>
      </c>
      <c r="AM6844">
        <v>87.648397653843801</v>
      </c>
      <c r="AN6844">
        <v>1.0000000047729001</v>
      </c>
    </row>
    <row r="6845" spans="1:40" x14ac:dyDescent="0.25">
      <c r="A6845" t="str">
        <f>"20190312154430650"</f>
        <v>20190312154430650</v>
      </c>
      <c r="B6845" t="str">
        <f>"1552376670644139"</f>
        <v>1552376670644139</v>
      </c>
      <c r="C6845" t="s">
        <v>40</v>
      </c>
      <c r="D6845">
        <v>5.162445</v>
      </c>
      <c r="E6845">
        <v>0.46284720000000001</v>
      </c>
      <c r="F6845" t="s">
        <v>70</v>
      </c>
      <c r="G6845">
        <v>-206.90129999999999</v>
      </c>
      <c r="H6845" s="1">
        <v>-2.0855199999999999E-6</v>
      </c>
      <c r="I6845">
        <v>-61.420250000000003</v>
      </c>
      <c r="J6845">
        <v>-219.06989999999999</v>
      </c>
      <c r="K6845">
        <v>1.110525</v>
      </c>
      <c r="L6845">
        <v>-61.342619999999997</v>
      </c>
      <c r="M6845">
        <v>0.99774859999999999</v>
      </c>
      <c r="N6845">
        <v>0</v>
      </c>
      <c r="O6845">
        <v>-6.5451750000000003E-2</v>
      </c>
      <c r="P6845">
        <v>0.99455249999999995</v>
      </c>
      <c r="Q6845">
        <v>-1.511929E-3</v>
      </c>
      <c r="R6845">
        <v>-0.104227399999999</v>
      </c>
      <c r="S6845">
        <v>3.0145870000000001</v>
      </c>
      <c r="T6845">
        <v>-0.27144030000000002</v>
      </c>
      <c r="U6845">
        <v>-2.1545410000000001E-2</v>
      </c>
      <c r="V6845">
        <v>3.8893780000000003E-2</v>
      </c>
      <c r="W6845">
        <v>1.313345E-2</v>
      </c>
      <c r="X6845">
        <v>0.99915699999999996</v>
      </c>
      <c r="Y6845">
        <v>-5.7827139999999999E-2</v>
      </c>
      <c r="Z6845">
        <v>8.4767290000000006E-3</v>
      </c>
      <c r="AA6845">
        <v>0.99829060000000003</v>
      </c>
      <c r="AB6845">
        <v>36</v>
      </c>
      <c r="AC6845">
        <v>12.1685999999999</v>
      </c>
      <c r="AD6845">
        <v>-1.11052708552</v>
      </c>
      <c r="AE6845">
        <v>-7.7630000000006305E-2</v>
      </c>
      <c r="AF6845">
        <v>-0.71313854127715204</v>
      </c>
      <c r="AG6845">
        <v>-1.11052708552</v>
      </c>
      <c r="AH6845">
        <v>12.0472494660374</v>
      </c>
      <c r="AI6845">
        <v>95.257544678367907</v>
      </c>
      <c r="AJ6845">
        <v>93.387678131657395</v>
      </c>
      <c r="AK6845">
        <v>12.1193257520238</v>
      </c>
      <c r="AL6845">
        <v>89.247487081825994</v>
      </c>
      <c r="AM6845">
        <v>87.770795890209499</v>
      </c>
      <c r="AN6845">
        <v>0.99999996214029396</v>
      </c>
    </row>
    <row r="6846" spans="1:40" x14ac:dyDescent="0.25">
      <c r="A6846" t="str">
        <f>"20190312154430660"</f>
        <v>20190312154430660</v>
      </c>
      <c r="B6846" t="str">
        <f>"1552376670653898"</f>
        <v>1552376670653898</v>
      </c>
      <c r="C6846" t="s">
        <v>40</v>
      </c>
      <c r="D6846">
        <v>5.134436</v>
      </c>
      <c r="E6846">
        <v>0.46262330000000002</v>
      </c>
      <c r="F6846" t="s">
        <v>70</v>
      </c>
      <c r="G6846">
        <v>-206.71469999999999</v>
      </c>
      <c r="H6846" s="1">
        <v>-2.2002109999999998E-6</v>
      </c>
      <c r="I6846">
        <v>-61.392020000000002</v>
      </c>
      <c r="J6846">
        <v>-218.905</v>
      </c>
      <c r="K6846">
        <v>1.1106879999999999</v>
      </c>
      <c r="L6846">
        <v>-61.353029999999997</v>
      </c>
      <c r="M6846">
        <v>0.99778210000000001</v>
      </c>
      <c r="N6846">
        <v>0</v>
      </c>
      <c r="O6846">
        <v>-6.4936179999999996E-2</v>
      </c>
      <c r="P6846">
        <v>0.99483630000000001</v>
      </c>
      <c r="Q6846">
        <v>-1.478692E-3</v>
      </c>
      <c r="R6846">
        <v>-0.10148219999999999</v>
      </c>
      <c r="S6846">
        <v>3.0147710000000001</v>
      </c>
      <c r="T6846">
        <v>-0.27097640000000001</v>
      </c>
      <c r="U6846">
        <v>-1.205444E-2</v>
      </c>
      <c r="V6846">
        <v>3.6646989999999997E-2</v>
      </c>
      <c r="W6846">
        <v>1.3188760000000001E-2</v>
      </c>
      <c r="X6846">
        <v>0.99924120000000005</v>
      </c>
      <c r="Y6846">
        <v>-6.044745E-2</v>
      </c>
      <c r="Z6846">
        <v>8.5333619999999992E-3</v>
      </c>
      <c r="AA6846">
        <v>0.99813490000000005</v>
      </c>
      <c r="AB6846">
        <v>36</v>
      </c>
      <c r="AC6846">
        <v>12.190300000000001</v>
      </c>
      <c r="AD6846">
        <v>-1.110690200211</v>
      </c>
      <c r="AE6846">
        <v>-3.8989999999991198E-2</v>
      </c>
      <c r="AF6846">
        <v>-0.746571003601324</v>
      </c>
      <c r="AG6846">
        <v>-1.110690200211</v>
      </c>
      <c r="AH6846">
        <v>12.066925323831599</v>
      </c>
      <c r="AI6846">
        <v>95.248944661071903</v>
      </c>
      <c r="AJ6846">
        <v>93.540331359360707</v>
      </c>
      <c r="AK6846">
        <v>12.1409096757694</v>
      </c>
      <c r="AL6846">
        <v>89.2443177764208</v>
      </c>
      <c r="AM6846">
        <v>87.899629023777194</v>
      </c>
      <c r="AN6846">
        <v>0.99999996052191797</v>
      </c>
    </row>
    <row r="6847" spans="1:40" x14ac:dyDescent="0.25">
      <c r="A6847" t="str">
        <f>"20190312154430671"</f>
        <v>20190312154430671</v>
      </c>
      <c r="B6847" t="str">
        <f>"1552376670664635"</f>
        <v>1552376670664635</v>
      </c>
      <c r="C6847" t="s">
        <v>40</v>
      </c>
      <c r="D6847">
        <v>5.1736170000000001</v>
      </c>
      <c r="E6847">
        <v>0.46256009999999997</v>
      </c>
      <c r="F6847" t="s">
        <v>70</v>
      </c>
      <c r="G6847">
        <v>-206.49529999999999</v>
      </c>
      <c r="H6847" s="1">
        <v>-2.3354020000000002E-6</v>
      </c>
      <c r="I6847">
        <v>-61.361559999999997</v>
      </c>
      <c r="J6847">
        <v>-218.74690000000001</v>
      </c>
      <c r="K6847">
        <v>1.110854</v>
      </c>
      <c r="L6847">
        <v>-61.362949999999998</v>
      </c>
      <c r="M6847">
        <v>0.99781779999999998</v>
      </c>
      <c r="N6847">
        <v>0</v>
      </c>
      <c r="O6847">
        <v>-6.4382780000000001E-2</v>
      </c>
      <c r="P6847">
        <v>0.99510710000000002</v>
      </c>
      <c r="Q6847">
        <v>-1.4749369999999999E-3</v>
      </c>
      <c r="R6847">
        <v>-9.8792240000000003E-2</v>
      </c>
      <c r="S6847">
        <v>3.0149689999999998</v>
      </c>
      <c r="T6847">
        <v>-0.26984570000000002</v>
      </c>
      <c r="U6847">
        <v>-2.0751950000000002E-3</v>
      </c>
      <c r="V6847">
        <v>3.4494329999999997E-2</v>
      </c>
      <c r="W6847">
        <v>1.32126E-2</v>
      </c>
      <c r="X6847">
        <v>0.99931749999999997</v>
      </c>
      <c r="Y6847">
        <v>-6.3193089999999993E-2</v>
      </c>
      <c r="Z6847">
        <v>8.5707979999999993E-3</v>
      </c>
      <c r="AA6847">
        <v>0.99796450000000003</v>
      </c>
      <c r="AB6847">
        <v>36</v>
      </c>
      <c r="AC6847">
        <v>12.2516</v>
      </c>
      <c r="AD6847">
        <v>-1.110856335402</v>
      </c>
      <c r="AE6847">
        <v>1.39000000000066E-3</v>
      </c>
      <c r="AF6847">
        <v>-0.78381992727591299</v>
      </c>
      <c r="AG6847">
        <v>-1.110856335402</v>
      </c>
      <c r="AH6847">
        <v>12.126394005562</v>
      </c>
      <c r="AI6847">
        <v>95.223217177026797</v>
      </c>
      <c r="AJ6847">
        <v>93.698311785557294</v>
      </c>
      <c r="AK6847">
        <v>12.2023689115855</v>
      </c>
      <c r="AL6847">
        <v>89.242951717007898</v>
      </c>
      <c r="AM6847">
        <v>88.023055590577002</v>
      </c>
      <c r="AN6847">
        <v>0.999999948703578</v>
      </c>
    </row>
    <row r="6848" spans="1:40" x14ac:dyDescent="0.25">
      <c r="A6848" t="str">
        <f>"20190312154430681"</f>
        <v>20190312154430681</v>
      </c>
      <c r="B6848" t="str">
        <f>"1552376670674397"</f>
        <v>1552376670674397</v>
      </c>
      <c r="C6848" t="s">
        <v>40</v>
      </c>
      <c r="D6848">
        <v>5.1206019999999999</v>
      </c>
      <c r="E6848">
        <v>0.46252349999999998</v>
      </c>
      <c r="F6848" t="s">
        <v>70</v>
      </c>
      <c r="G6848">
        <v>-206.2603</v>
      </c>
      <c r="H6848" s="1">
        <v>-2.4812820000000002E-6</v>
      </c>
      <c r="I6848">
        <v>-61.336280000000002</v>
      </c>
      <c r="J6848">
        <v>-218.58080000000001</v>
      </c>
      <c r="K6848">
        <v>1.1110359999999999</v>
      </c>
      <c r="L6848">
        <v>-61.373080000000002</v>
      </c>
      <c r="M6848">
        <v>0.99786319999999995</v>
      </c>
      <c r="N6848">
        <v>0</v>
      </c>
      <c r="O6848">
        <v>-6.3675010000000004E-2</v>
      </c>
      <c r="P6848">
        <v>0.99537489999999995</v>
      </c>
      <c r="Q6848">
        <v>-1.4218200000000001E-3</v>
      </c>
      <c r="R6848">
        <v>-9.6057870000000004E-2</v>
      </c>
      <c r="S6848">
        <v>3.0149840000000001</v>
      </c>
      <c r="T6848">
        <v>-0.26822449999999998</v>
      </c>
      <c r="U6848">
        <v>6.4392090000000004E-3</v>
      </c>
      <c r="V6848">
        <v>3.2451269999999997E-2</v>
      </c>
      <c r="W6848">
        <v>1.3286030000000001E-2</v>
      </c>
      <c r="X6848">
        <v>0.99938499999999997</v>
      </c>
      <c r="Y6848">
        <v>-6.5303910000000007E-2</v>
      </c>
      <c r="Z6848">
        <v>8.5505400000000006E-3</v>
      </c>
      <c r="AA6848">
        <v>0.99782879999999996</v>
      </c>
      <c r="AB6848">
        <v>36</v>
      </c>
      <c r="AC6848">
        <v>12.320499999999999</v>
      </c>
      <c r="AD6848">
        <v>-1.111038481282</v>
      </c>
      <c r="AE6848">
        <v>3.67999999999995E-2</v>
      </c>
      <c r="AF6848">
        <v>-0.81469234604123997</v>
      </c>
      <c r="AG6848">
        <v>-1.111038481282</v>
      </c>
      <c r="AH6848">
        <v>12.193987420983699</v>
      </c>
      <c r="AI6848">
        <v>95.194534997579694</v>
      </c>
      <c r="AJ6848">
        <v>93.822307164480804</v>
      </c>
      <c r="AK6848">
        <v>12.271571185007099</v>
      </c>
      <c r="AL6848">
        <v>89.238744150477601</v>
      </c>
      <c r="AM6848">
        <v>88.140188469740707</v>
      </c>
      <c r="AN6848">
        <v>0.99999999087138602</v>
      </c>
    </row>
    <row r="6849" spans="1:40" x14ac:dyDescent="0.25">
      <c r="A6849" t="str">
        <f>"20190312154430692"</f>
        <v>20190312154430692</v>
      </c>
      <c r="B6849" t="str">
        <f>"1552376670684155"</f>
        <v>1552376670684155</v>
      </c>
      <c r="C6849" t="s">
        <v>40</v>
      </c>
      <c r="D6849">
        <v>5.085712</v>
      </c>
      <c r="E6849">
        <v>0.46259820000000001</v>
      </c>
      <c r="F6849" t="s">
        <v>70</v>
      </c>
      <c r="G6849">
        <v>-206.0128</v>
      </c>
      <c r="H6849" s="1">
        <v>-2.6350179999999998E-6</v>
      </c>
      <c r="I6849">
        <v>-61.310870000000001</v>
      </c>
      <c r="J6849">
        <v>-218.4066</v>
      </c>
      <c r="K6849">
        <v>1.1112409999999999</v>
      </c>
      <c r="L6849">
        <v>-61.383540000000004</v>
      </c>
      <c r="M6849">
        <v>0.99791609999999997</v>
      </c>
      <c r="N6849">
        <v>0</v>
      </c>
      <c r="O6849">
        <v>-6.2837850000000001E-2</v>
      </c>
      <c r="P6849">
        <v>0.99564730000000001</v>
      </c>
      <c r="Q6849">
        <v>-1.1507430000000001E-3</v>
      </c>
      <c r="R6849">
        <v>-9.3195200000000006E-2</v>
      </c>
      <c r="S6849">
        <v>3.015015</v>
      </c>
      <c r="T6849">
        <v>-0.2665342</v>
      </c>
      <c r="U6849">
        <v>1.49231E-2</v>
      </c>
      <c r="V6849">
        <v>3.0408540000000001E-2</v>
      </c>
      <c r="W6849">
        <v>1.357734E-2</v>
      </c>
      <c r="X6849">
        <v>0.99944529999999998</v>
      </c>
      <c r="Y6849">
        <v>-6.7276359999999993E-2</v>
      </c>
      <c r="Z6849">
        <v>8.5101169999999993E-3</v>
      </c>
      <c r="AA6849">
        <v>0.99769810000000003</v>
      </c>
      <c r="AB6849">
        <v>36</v>
      </c>
      <c r="AC6849">
        <v>12.393800000000001</v>
      </c>
      <c r="AD6849">
        <v>-1.1112436350179999</v>
      </c>
      <c r="AE6849">
        <v>7.2670000000009297E-2</v>
      </c>
      <c r="AF6849">
        <v>-0.84461999584335901</v>
      </c>
      <c r="AG6849">
        <v>-1.1112436350179999</v>
      </c>
      <c r="AH6849">
        <v>12.266128820643001</v>
      </c>
      <c r="AI6849">
        <v>95.164388207856504</v>
      </c>
      <c r="AJ6849">
        <v>93.939049935282299</v>
      </c>
      <c r="AK6849">
        <v>12.345289044747201</v>
      </c>
      <c r="AL6849">
        <v>89.222051791257201</v>
      </c>
      <c r="AM6849">
        <v>88.257289630322504</v>
      </c>
      <c r="AN6849">
        <v>0.99999996557924797</v>
      </c>
    </row>
    <row r="6850" spans="1:40" x14ac:dyDescent="0.25">
      <c r="A6850" t="str">
        <f>"20190312154430705"</f>
        <v>20190312154430705</v>
      </c>
      <c r="B6850" t="str">
        <f>"1552376670693915"</f>
        <v>1552376670693915</v>
      </c>
      <c r="C6850" t="s">
        <v>40</v>
      </c>
      <c r="D6850">
        <v>5.0692180000000002</v>
      </c>
      <c r="E6850">
        <v>0.46271990000000002</v>
      </c>
      <c r="F6850" t="s">
        <v>70</v>
      </c>
      <c r="G6850">
        <v>-205.73740000000001</v>
      </c>
      <c r="H6850" s="1">
        <v>-2.8067959999999999E-6</v>
      </c>
      <c r="I6850">
        <v>-61.287239999999997</v>
      </c>
      <c r="J6850">
        <v>-218.20590000000001</v>
      </c>
      <c r="K6850">
        <v>1.1114900000000001</v>
      </c>
      <c r="L6850">
        <v>-61.395290000000003</v>
      </c>
      <c r="M6850">
        <v>0.99798520000000002</v>
      </c>
      <c r="N6850">
        <v>0</v>
      </c>
      <c r="O6850">
        <v>-6.1727829999999997E-2</v>
      </c>
      <c r="P6850">
        <v>0.99591589999999997</v>
      </c>
      <c r="Q6850">
        <v>-7.0426050000000002E-4</v>
      </c>
      <c r="R6850">
        <v>-9.0286439999999996E-2</v>
      </c>
      <c r="S6850">
        <v>3.0149539999999999</v>
      </c>
      <c r="T6850">
        <v>-0.26444849999999998</v>
      </c>
      <c r="U6850">
        <v>2.29187E-2</v>
      </c>
      <c r="V6850">
        <v>2.859103E-2</v>
      </c>
      <c r="W6850">
        <v>1.404794E-2</v>
      </c>
      <c r="X6850">
        <v>0.99949250000000001</v>
      </c>
      <c r="Y6850">
        <v>-6.8818599999999994E-2</v>
      </c>
      <c r="Z6850">
        <v>8.4144440000000001E-3</v>
      </c>
      <c r="AA6850">
        <v>0.99759370000000003</v>
      </c>
      <c r="AB6850">
        <v>36</v>
      </c>
      <c r="AC6850">
        <v>12.468500000000001</v>
      </c>
      <c r="AD6850">
        <v>-1.1114928067959999</v>
      </c>
      <c r="AE6850">
        <v>0.10804999999999799</v>
      </c>
      <c r="AF6850">
        <v>-0.87066185043935096</v>
      </c>
      <c r="AG6850">
        <v>-1.1114928067959999</v>
      </c>
      <c r="AH6850">
        <v>12.339992853878</v>
      </c>
      <c r="AI6850">
        <v>95.134184500249305</v>
      </c>
      <c r="AJ6850">
        <v>94.035878901432099</v>
      </c>
      <c r="AK6850">
        <v>12.4205028864023</v>
      </c>
      <c r="AL6850">
        <v>89.195085871211106</v>
      </c>
      <c r="AM6850">
        <v>88.361469694765006</v>
      </c>
      <c r="AN6850">
        <v>1.0000000245854701</v>
      </c>
    </row>
    <row r="6851" spans="1:40" x14ac:dyDescent="0.25">
      <c r="A6851" t="str">
        <f>"20190312154430715"</f>
        <v>20190312154430715</v>
      </c>
      <c r="B6851" t="str">
        <f>"1552376670704651"</f>
        <v>1552376670704651</v>
      </c>
      <c r="C6851" t="s">
        <v>40</v>
      </c>
      <c r="D6851">
        <v>5.0615779999999999</v>
      </c>
      <c r="E6851">
        <v>0.46275349999999998</v>
      </c>
      <c r="F6851" t="s">
        <v>70</v>
      </c>
      <c r="G6851">
        <v>-205.44329999999999</v>
      </c>
      <c r="H6851" s="1">
        <v>-2.9906869999999999E-6</v>
      </c>
      <c r="I6851">
        <v>-61.265210000000003</v>
      </c>
      <c r="J6851">
        <v>-218.03389999999999</v>
      </c>
      <c r="K6851">
        <v>1.1117220000000001</v>
      </c>
      <c r="L6851">
        <v>-61.405000000000001</v>
      </c>
      <c r="M6851">
        <v>0.99805449999999996</v>
      </c>
      <c r="N6851">
        <v>0</v>
      </c>
      <c r="O6851">
        <v>-6.0595719999999999E-2</v>
      </c>
      <c r="P6851">
        <v>0.99615560000000003</v>
      </c>
      <c r="Q6851">
        <v>-3.0728709999999998E-4</v>
      </c>
      <c r="R6851">
        <v>-8.7603730000000005E-2</v>
      </c>
      <c r="S6851">
        <v>3.014923</v>
      </c>
      <c r="T6851">
        <v>-0.26257000000000003</v>
      </c>
      <c r="U6851">
        <v>3.07312E-2</v>
      </c>
      <c r="V6851">
        <v>2.7023559999999999E-2</v>
      </c>
      <c r="W6851">
        <v>1.4464650000000001E-2</v>
      </c>
      <c r="X6851">
        <v>0.99953009999999998</v>
      </c>
      <c r="Y6851">
        <v>-7.0277649999999997E-2</v>
      </c>
      <c r="Z6851">
        <v>8.3201159999999903E-3</v>
      </c>
      <c r="AA6851">
        <v>0.99749279999999996</v>
      </c>
      <c r="AB6851">
        <v>36</v>
      </c>
      <c r="AC6851">
        <v>12.590599999999901</v>
      </c>
      <c r="AD6851">
        <v>-1.1117249906869999</v>
      </c>
      <c r="AE6851">
        <v>0.13979000000000399</v>
      </c>
      <c r="AF6851">
        <v>-0.89557022100560402</v>
      </c>
      <c r="AG6851">
        <v>-1.1117249906869999</v>
      </c>
      <c r="AH6851">
        <v>12.461839573829501</v>
      </c>
      <c r="AI6851">
        <v>95.084836357871694</v>
      </c>
      <c r="AJ6851">
        <v>94.110495139509894</v>
      </c>
      <c r="AK6851">
        <v>12.543341821043301</v>
      </c>
      <c r="AL6851">
        <v>89.171207667044499</v>
      </c>
      <c r="AM6851">
        <v>88.451313428391899</v>
      </c>
      <c r="AN6851">
        <v>0.99999995985035195</v>
      </c>
    </row>
    <row r="6852" spans="1:40" x14ac:dyDescent="0.25">
      <c r="A6852" t="str">
        <f>"20190312154430726"</f>
        <v>20190312154430726</v>
      </c>
      <c r="B6852" t="str">
        <f>"1552376670713961"</f>
        <v>1552376670713961</v>
      </c>
      <c r="C6852" t="s">
        <v>40</v>
      </c>
      <c r="D6852">
        <v>5.0650149999999998</v>
      </c>
      <c r="E6852">
        <v>0.4628526</v>
      </c>
      <c r="F6852" t="s">
        <v>70</v>
      </c>
      <c r="G6852">
        <v>-205.17609999999999</v>
      </c>
      <c r="H6852" s="1">
        <v>-3.156991E-6</v>
      </c>
      <c r="I6852">
        <v>-61.2399699999999</v>
      </c>
      <c r="J6852">
        <v>-217.86959999999999</v>
      </c>
      <c r="K6852">
        <v>1.111944</v>
      </c>
      <c r="L6852">
        <v>-61.414090000000002</v>
      </c>
      <c r="M6852">
        <v>0.99812290000000004</v>
      </c>
      <c r="N6852">
        <v>0</v>
      </c>
      <c r="O6852">
        <v>-5.9457400000000001E-2</v>
      </c>
      <c r="P6852">
        <v>0.99638040000000005</v>
      </c>
      <c r="Q6852">
        <v>1.219111E-4</v>
      </c>
      <c r="R6852">
        <v>-8.5008840000000002E-2</v>
      </c>
      <c r="S6852">
        <v>3.0148929999999998</v>
      </c>
      <c r="T6852">
        <v>-0.26067780000000002</v>
      </c>
      <c r="U6852">
        <v>3.8696290000000001E-2</v>
      </c>
      <c r="V6852">
        <v>2.555052E-2</v>
      </c>
      <c r="W6852">
        <v>1.491235E-2</v>
      </c>
      <c r="X6852">
        <v>0.99956230000000001</v>
      </c>
      <c r="Y6852">
        <v>-7.1780700000000003E-2</v>
      </c>
      <c r="Z6852">
        <v>8.2271669999999901E-3</v>
      </c>
      <c r="AA6852">
        <v>0.99738649999999995</v>
      </c>
      <c r="AB6852">
        <v>36</v>
      </c>
      <c r="AC6852">
        <v>12.6935</v>
      </c>
      <c r="AD6852">
        <v>-1.111947156991</v>
      </c>
      <c r="AE6852">
        <v>0.17412000000000899</v>
      </c>
      <c r="AF6852">
        <v>-0.92154538330594205</v>
      </c>
      <c r="AG6852">
        <v>-1.111947156991</v>
      </c>
      <c r="AH6852">
        <v>12.564287938597399</v>
      </c>
      <c r="AI6852">
        <v>95.044055445818799</v>
      </c>
      <c r="AJ6852">
        <v>94.194927876306807</v>
      </c>
      <c r="AK6852">
        <v>12.647015607542199</v>
      </c>
      <c r="AL6852">
        <v>89.145553611512696</v>
      </c>
      <c r="AM6852">
        <v>88.535740854390994</v>
      </c>
      <c r="AN6852">
        <v>0.99999999941804096</v>
      </c>
    </row>
    <row r="6853" spans="1:40" x14ac:dyDescent="0.25">
      <c r="A6853" t="str">
        <f>"20190312154430741"</f>
        <v>20190312154430741</v>
      </c>
      <c r="B6853" t="str">
        <f>"1552376670734457"</f>
        <v>1552376670734457</v>
      </c>
      <c r="C6853" t="s">
        <v>40</v>
      </c>
      <c r="D6853">
        <v>5.0386559999999996</v>
      </c>
      <c r="E6853">
        <v>0.4628697</v>
      </c>
      <c r="F6853" t="s">
        <v>70</v>
      </c>
      <c r="G6853">
        <v>-204.9479</v>
      </c>
      <c r="H6853" s="1">
        <v>-3.296144E-6</v>
      </c>
      <c r="I6853">
        <v>-61.217889999999997</v>
      </c>
      <c r="J6853">
        <v>-217.6583</v>
      </c>
      <c r="K6853">
        <v>1.112247</v>
      </c>
      <c r="L6853">
        <v>-61.425109999999997</v>
      </c>
      <c r="M6853">
        <v>0.99822529999999998</v>
      </c>
      <c r="N6853">
        <v>0</v>
      </c>
      <c r="O6853">
        <v>-5.770832E-2</v>
      </c>
      <c r="P6853">
        <v>0.99663040000000003</v>
      </c>
      <c r="Q6853">
        <v>7.1445850000000002E-4</v>
      </c>
      <c r="R6853">
        <v>-8.2022919999999999E-2</v>
      </c>
      <c r="S6853">
        <v>3.0148160000000002</v>
      </c>
      <c r="T6853">
        <v>-0.25943359999999999</v>
      </c>
      <c r="U6853">
        <v>4.5776369999999997E-2</v>
      </c>
      <c r="V6853">
        <v>2.429309E-2</v>
      </c>
      <c r="W6853">
        <v>1.553122E-2</v>
      </c>
      <c r="X6853">
        <v>0.99958420000000003</v>
      </c>
      <c r="Y6853">
        <v>-7.2384019999999993E-2</v>
      </c>
      <c r="Z6853">
        <v>8.0640350000000006E-3</v>
      </c>
      <c r="AA6853">
        <v>0.99734429999999996</v>
      </c>
      <c r="AB6853">
        <v>36</v>
      </c>
      <c r="AC6853">
        <v>12.7103999999999</v>
      </c>
      <c r="AD6853">
        <v>-1.112250296144</v>
      </c>
      <c r="AE6853">
        <v>0.20721999999999199</v>
      </c>
      <c r="AF6853">
        <v>-0.93330477538282797</v>
      </c>
      <c r="AG6853">
        <v>-1.112250296144</v>
      </c>
      <c r="AH6853">
        <v>12.580940883151801</v>
      </c>
      <c r="AI6853">
        <v>95.038471374446203</v>
      </c>
      <c r="AJ6853">
        <v>94.242659833577406</v>
      </c>
      <c r="AK6853">
        <v>12.664447561199999</v>
      </c>
      <c r="AL6853">
        <v>89.110090839659094</v>
      </c>
      <c r="AM6853">
        <v>88.6078035373679</v>
      </c>
      <c r="AN6853">
        <v>0.999999972953038</v>
      </c>
    </row>
    <row r="6854" spans="1:40" x14ac:dyDescent="0.25">
      <c r="A6854" t="str">
        <f>"20190312154430753"</f>
        <v>20190312154430753</v>
      </c>
      <c r="B6854" t="str">
        <f>"1552376670744218"</f>
        <v>1552376670744218</v>
      </c>
      <c r="C6854" t="s">
        <v>40</v>
      </c>
      <c r="D6854">
        <v>5.0888619999999998</v>
      </c>
      <c r="E6854">
        <v>0.46282509999999999</v>
      </c>
      <c r="F6854" t="s">
        <v>70</v>
      </c>
      <c r="G6854">
        <v>-204.7259</v>
      </c>
      <c r="H6854" s="1">
        <v>-3.3694400000000001E-6</v>
      </c>
      <c r="I6854">
        <v>-61.19079</v>
      </c>
      <c r="J6854">
        <v>-217.45670000000001</v>
      </c>
      <c r="K6854">
        <v>1.1125389999999999</v>
      </c>
      <c r="L6854">
        <v>-61.435270000000003</v>
      </c>
      <c r="M6854">
        <v>0.99832849999999995</v>
      </c>
      <c r="N6854">
        <v>0</v>
      </c>
      <c r="O6854">
        <v>-5.5888630000000002E-2</v>
      </c>
      <c r="P6854">
        <v>0.99689970000000006</v>
      </c>
      <c r="Q6854">
        <v>9.6387600000000001E-4</v>
      </c>
      <c r="R6854">
        <v>-7.867855E-2</v>
      </c>
      <c r="S6854">
        <v>3.0148160000000002</v>
      </c>
      <c r="T6854">
        <v>-0.2592894</v>
      </c>
      <c r="U6854">
        <v>5.4626460000000002E-2</v>
      </c>
      <c r="V6854">
        <v>2.274868E-2</v>
      </c>
      <c r="W6854">
        <v>1.5803459999999998E-2</v>
      </c>
      <c r="X6854">
        <v>0.99961630000000001</v>
      </c>
      <c r="Y6854">
        <v>-7.3496099999999995E-2</v>
      </c>
      <c r="Z6854">
        <v>7.9511400000000006E-3</v>
      </c>
      <c r="AA6854">
        <v>0.99726380000000003</v>
      </c>
      <c r="AB6854">
        <v>36</v>
      </c>
      <c r="AC6854">
        <v>12.7308</v>
      </c>
      <c r="AD6854">
        <v>-1.1125423694399901</v>
      </c>
      <c r="AE6854">
        <v>0.24447999999999501</v>
      </c>
      <c r="AF6854">
        <v>-0.94844130223391998</v>
      </c>
      <c r="AG6854">
        <v>-1.1125423694399901</v>
      </c>
      <c r="AH6854">
        <v>12.601034041671101</v>
      </c>
      <c r="AI6854">
        <v>95.031389845313996</v>
      </c>
      <c r="AJ6854">
        <v>94.304362142009097</v>
      </c>
      <c r="AK6854">
        <v>12.6855567614093</v>
      </c>
      <c r="AL6854">
        <v>89.094490745458501</v>
      </c>
      <c r="AM6854">
        <v>88.696321365899905</v>
      </c>
      <c r="AN6854">
        <v>0.99999999950770202</v>
      </c>
    </row>
    <row r="6855" spans="1:40" x14ac:dyDescent="0.25">
      <c r="A6855" t="str">
        <f>"20190312154430765"</f>
        <v>20190312154430765</v>
      </c>
      <c r="B6855" t="str">
        <f>"1552376670753978"</f>
        <v>1552376670753978</v>
      </c>
      <c r="C6855" t="s">
        <v>40</v>
      </c>
      <c r="D6855">
        <v>5.062157</v>
      </c>
      <c r="E6855">
        <v>0.46280120000000002</v>
      </c>
      <c r="F6855" t="s">
        <v>70</v>
      </c>
      <c r="G6855">
        <v>-204.4991</v>
      </c>
      <c r="H6855" s="1">
        <v>-3.4550529999999999E-6</v>
      </c>
      <c r="I6855">
        <v>-61.155360000000002</v>
      </c>
      <c r="J6855">
        <v>-217.25370000000001</v>
      </c>
      <c r="K6855">
        <v>1.1128480000000001</v>
      </c>
      <c r="L6855">
        <v>-61.444949999999999</v>
      </c>
      <c r="M6855">
        <v>0.99844049999999995</v>
      </c>
      <c r="N6855">
        <v>0</v>
      </c>
      <c r="O6855">
        <v>-5.384866E-2</v>
      </c>
      <c r="P6855">
        <v>0.99717769999999994</v>
      </c>
      <c r="Q6855">
        <v>1.065535E-3</v>
      </c>
      <c r="R6855">
        <v>-7.5071949999999998E-2</v>
      </c>
      <c r="S6855">
        <v>3.0147400000000002</v>
      </c>
      <c r="T6855">
        <v>-0.25884580000000001</v>
      </c>
      <c r="U6855">
        <v>6.5124509999999997E-2</v>
      </c>
      <c r="V6855">
        <v>2.116258E-2</v>
      </c>
      <c r="W6855">
        <v>1.5927899999999998E-2</v>
      </c>
      <c r="X6855">
        <v>0.99964920000000002</v>
      </c>
      <c r="Y6855">
        <v>-7.4933990000000006E-2</v>
      </c>
      <c r="Z6855">
        <v>7.8245580000000006E-3</v>
      </c>
      <c r="AA6855">
        <v>0.99715779999999998</v>
      </c>
      <c r="AB6855">
        <v>36</v>
      </c>
      <c r="AC6855">
        <v>12.7546</v>
      </c>
      <c r="AD6855">
        <v>-1.112851455053</v>
      </c>
      <c r="AE6855">
        <v>0.28959000000000301</v>
      </c>
      <c r="AF6855">
        <v>-0.96869176387557099</v>
      </c>
      <c r="AG6855">
        <v>-1.112851455053</v>
      </c>
      <c r="AH6855">
        <v>12.624437734768</v>
      </c>
      <c r="AI6855">
        <v>95.022945249528405</v>
      </c>
      <c r="AJ6855">
        <v>94.387791949953595</v>
      </c>
      <c r="AK6855">
        <v>12.710359169333</v>
      </c>
      <c r="AL6855">
        <v>89.087359996176204</v>
      </c>
      <c r="AM6855">
        <v>88.787229132680807</v>
      </c>
      <c r="AN6855">
        <v>1.00000003792565</v>
      </c>
    </row>
    <row r="6856" spans="1:40" x14ac:dyDescent="0.25">
      <c r="A6856" t="str">
        <f>"20190312154430778"</f>
        <v>20190312154430778</v>
      </c>
      <c r="B6856" t="str">
        <f>"1552376670774473"</f>
        <v>1552376670774473</v>
      </c>
      <c r="C6856" t="s">
        <v>40</v>
      </c>
      <c r="D6856">
        <v>5.0502940000000001</v>
      </c>
      <c r="E6856">
        <v>0.46306910000000001</v>
      </c>
      <c r="F6856" t="s">
        <v>70</v>
      </c>
      <c r="G6856">
        <v>-204.32499999999999</v>
      </c>
      <c r="H6856" s="1">
        <v>-3.5416390000000001E-6</v>
      </c>
      <c r="I6856">
        <v>-61.118920000000003</v>
      </c>
      <c r="J6856">
        <v>-217.05670000000001</v>
      </c>
      <c r="K6856">
        <v>1.1131470000000001</v>
      </c>
      <c r="L6856">
        <v>-61.453580000000002</v>
      </c>
      <c r="M6856">
        <v>0.99855760000000005</v>
      </c>
      <c r="N6856">
        <v>0</v>
      </c>
      <c r="O6856">
        <v>-5.1625219999999999E-2</v>
      </c>
      <c r="P6856">
        <v>0.99746590000000002</v>
      </c>
      <c r="Q6856">
        <v>3.0735970000000002E-4</v>
      </c>
      <c r="R6856">
        <v>-7.1146849999999998E-2</v>
      </c>
      <c r="S6856">
        <v>3.0144959999999998</v>
      </c>
      <c r="T6856">
        <v>-0.2594764</v>
      </c>
      <c r="U6856">
        <v>7.6019290000000003E-2</v>
      </c>
      <c r="V6856">
        <v>1.944765E-2</v>
      </c>
      <c r="W6856">
        <v>1.5190800000000001E-2</v>
      </c>
      <c r="X6856">
        <v>0.99969549999999996</v>
      </c>
      <c r="Y6856">
        <v>-7.6317869999999996E-2</v>
      </c>
      <c r="Z6856">
        <v>7.7125219999999899E-3</v>
      </c>
      <c r="AA6856">
        <v>0.99705370000000004</v>
      </c>
      <c r="AB6856">
        <v>36</v>
      </c>
      <c r="AC6856">
        <v>12.7317</v>
      </c>
      <c r="AD6856">
        <v>-1.113150541639</v>
      </c>
      <c r="AE6856">
        <v>0.33466000000000601</v>
      </c>
      <c r="AF6856">
        <v>-0.98404487250502604</v>
      </c>
      <c r="AG6856">
        <v>-1.113150541639</v>
      </c>
      <c r="AH6856">
        <v>12.601180087662</v>
      </c>
      <c r="AI6856">
        <v>95.032989846215301</v>
      </c>
      <c r="AJ6856">
        <v>94.465250467968104</v>
      </c>
      <c r="AK6856">
        <v>12.688466733263899</v>
      </c>
      <c r="AL6856">
        <v>89.129597822604893</v>
      </c>
      <c r="AM6856">
        <v>88.885532908209399</v>
      </c>
      <c r="AN6856">
        <v>1.0000000321077001</v>
      </c>
    </row>
    <row r="6857" spans="1:40" x14ac:dyDescent="0.25">
      <c r="A6857" t="str">
        <f>"20190312154430793"</f>
        <v>20190312154430793</v>
      </c>
      <c r="B6857" t="str">
        <f>"1552376670784233"</f>
        <v>1552376670784233</v>
      </c>
      <c r="C6857" t="s">
        <v>40</v>
      </c>
      <c r="D6857">
        <v>5.0615410000000001</v>
      </c>
      <c r="E6857">
        <v>0.46274729999999997</v>
      </c>
      <c r="F6857" t="s">
        <v>70</v>
      </c>
      <c r="G6857">
        <v>-204.40799999999999</v>
      </c>
      <c r="H6857" s="1">
        <v>-3.4979489999999999E-6</v>
      </c>
      <c r="I6857">
        <v>-61.094830000000002</v>
      </c>
      <c r="J6857">
        <v>-216.8141</v>
      </c>
      <c r="K6857">
        <v>1.113516</v>
      </c>
      <c r="L6857">
        <v>-61.463560000000001</v>
      </c>
      <c r="M6857">
        <v>0.99870559999999997</v>
      </c>
      <c r="N6857">
        <v>0</v>
      </c>
      <c r="O6857">
        <v>-4.8671810000000003E-2</v>
      </c>
      <c r="P6857">
        <v>0.99794320000000003</v>
      </c>
      <c r="Q6857">
        <v>-1.4243000000000001E-3</v>
      </c>
      <c r="R6857">
        <v>-6.4088539999999999E-2</v>
      </c>
      <c r="S6857">
        <v>3.0138090000000002</v>
      </c>
      <c r="T6857">
        <v>-0.26523010000000002</v>
      </c>
      <c r="U6857">
        <v>8.5479739999999999E-2</v>
      </c>
      <c r="V6857">
        <v>1.5331030000000001E-2</v>
      </c>
      <c r="W6857">
        <v>1.346673E-2</v>
      </c>
      <c r="X6857">
        <v>0.99979180000000001</v>
      </c>
      <c r="Y6857">
        <v>-7.6491799999999999E-2</v>
      </c>
      <c r="Z6857">
        <v>7.6328400000000001E-3</v>
      </c>
      <c r="AA6857">
        <v>0.99704099999999996</v>
      </c>
      <c r="AB6857">
        <v>36</v>
      </c>
      <c r="AC6857">
        <v>12.4061</v>
      </c>
      <c r="AD6857">
        <v>-1.113519497949</v>
      </c>
      <c r="AE6857">
        <v>0.368729999999999</v>
      </c>
      <c r="AF6857">
        <v>-0.96442348012208301</v>
      </c>
      <c r="AG6857">
        <v>-1.113519497949</v>
      </c>
      <c r="AH6857">
        <v>12.2746461201301</v>
      </c>
      <c r="AI6857">
        <v>95.167675261358497</v>
      </c>
      <c r="AJ6857">
        <v>94.492521167172896</v>
      </c>
      <c r="AK6857">
        <v>12.3627252535899</v>
      </c>
      <c r="AL6857">
        <v>89.228389897819895</v>
      </c>
      <c r="AM6857">
        <v>89.121482617158804</v>
      </c>
      <c r="AN6857">
        <v>1.00000001832249</v>
      </c>
    </row>
    <row r="6858" spans="1:40" x14ac:dyDescent="0.25">
      <c r="A6858" t="str">
        <f>"20190312154430804"</f>
        <v>20190312154430804</v>
      </c>
      <c r="B6858" t="str">
        <f>"1552376670793994"</f>
        <v>1552376670793994</v>
      </c>
      <c r="C6858" t="s">
        <v>40</v>
      </c>
      <c r="D6858">
        <v>4.9675739999999999</v>
      </c>
      <c r="E6858">
        <v>0.46274729999999997</v>
      </c>
      <c r="F6858" t="s">
        <v>70</v>
      </c>
      <c r="G6858">
        <v>-204.41239999999999</v>
      </c>
      <c r="H6858" s="1">
        <v>-3.4911400000000002E-6</v>
      </c>
      <c r="I6858">
        <v>-61.016350000000003</v>
      </c>
      <c r="J6858">
        <v>-216.6353</v>
      </c>
      <c r="K6858">
        <v>1.1137859999999999</v>
      </c>
      <c r="L6858">
        <v>-61.47034</v>
      </c>
      <c r="M6858">
        <v>0.99881770000000003</v>
      </c>
      <c r="N6858">
        <v>0</v>
      </c>
      <c r="O6858">
        <v>-4.6307359999999999E-2</v>
      </c>
      <c r="P6858">
        <v>0.99823470000000003</v>
      </c>
      <c r="Q6858">
        <v>-2.9669119999999999E-3</v>
      </c>
      <c r="R6858">
        <v>-5.9319419999999998E-2</v>
      </c>
      <c r="S6858">
        <v>3.012772</v>
      </c>
      <c r="T6858">
        <v>-0.27051140000000001</v>
      </c>
      <c r="U6858">
        <v>0.10864260000000001</v>
      </c>
      <c r="V6858">
        <v>1.292456E-2</v>
      </c>
      <c r="W6858">
        <v>1.1930959999999999E-2</v>
      </c>
      <c r="X6858">
        <v>0.99984530000000005</v>
      </c>
      <c r="Y6858">
        <v>-8.1766259999999993E-2</v>
      </c>
      <c r="Z6858">
        <v>7.8106440000000003E-3</v>
      </c>
      <c r="AA6858">
        <v>0.99662099999999998</v>
      </c>
      <c r="AB6858">
        <v>35</v>
      </c>
      <c r="AC6858">
        <v>12.222899999999999</v>
      </c>
      <c r="AD6858">
        <v>-1.1137894911399999</v>
      </c>
      <c r="AE6858">
        <v>0.45398999999999701</v>
      </c>
      <c r="AF6858">
        <v>-1.0111902576609</v>
      </c>
      <c r="AG6858">
        <v>-1.1137894911399999</v>
      </c>
      <c r="AH6858">
        <v>12.0885215465503</v>
      </c>
      <c r="AI6858">
        <v>95.245930121732201</v>
      </c>
      <c r="AJ6858">
        <v>94.781591176753693</v>
      </c>
      <c r="AK6858">
        <v>12.181764484226999</v>
      </c>
      <c r="AL6858">
        <v>89.3163901328777</v>
      </c>
      <c r="AM6858">
        <v>89.259403931706004</v>
      </c>
      <c r="AN6858">
        <v>1.0000000079949001</v>
      </c>
    </row>
    <row r="6859" spans="1:40" x14ac:dyDescent="0.25">
      <c r="A6859" t="str">
        <f>"20190312154430815"</f>
        <v>20190312154430815</v>
      </c>
      <c r="B6859" t="str">
        <f>"1552376670804730"</f>
        <v>1552376670804730</v>
      </c>
      <c r="C6859" t="s">
        <v>40</v>
      </c>
      <c r="D6859">
        <v>3.9739230000000001</v>
      </c>
      <c r="E6859">
        <v>0.44852520000000001</v>
      </c>
      <c r="F6859" t="s">
        <v>70</v>
      </c>
      <c r="G6859">
        <v>-204.4547</v>
      </c>
      <c r="H6859" s="1">
        <v>-3.4671440000000002E-6</v>
      </c>
      <c r="I6859">
        <v>-60.973559999999999</v>
      </c>
      <c r="J6859">
        <v>-216.46369999999999</v>
      </c>
      <c r="K6859">
        <v>1.114047</v>
      </c>
      <c r="L6859">
        <v>-61.476170000000003</v>
      </c>
      <c r="M6859">
        <v>0.9989285</v>
      </c>
      <c r="N6859">
        <v>0</v>
      </c>
      <c r="O6859">
        <v>-4.3849270000000003E-2</v>
      </c>
      <c r="P6859">
        <v>0.9985098</v>
      </c>
      <c r="Q6859">
        <v>-3.9683299999999999E-3</v>
      </c>
      <c r="R6859">
        <v>-5.443154E-2</v>
      </c>
      <c r="S6859">
        <v>3.0117950000000002</v>
      </c>
      <c r="T6859">
        <v>-0.27539629999999998</v>
      </c>
      <c r="U6859">
        <v>0.12283330000000001</v>
      </c>
      <c r="V6859">
        <v>1.049137E-2</v>
      </c>
      <c r="W6859">
        <v>1.0932529999999999E-2</v>
      </c>
      <c r="X6859">
        <v>0.99988520000000003</v>
      </c>
      <c r="Y6859">
        <v>-8.3996009999999996E-2</v>
      </c>
      <c r="Z6859">
        <v>7.8306049999999992E-3</v>
      </c>
      <c r="AA6859">
        <v>0.99643530000000002</v>
      </c>
      <c r="AB6859">
        <v>35</v>
      </c>
      <c r="AC6859">
        <v>12.008999999999901</v>
      </c>
      <c r="AD6859">
        <v>-1.1140504671439999</v>
      </c>
      <c r="AE6859">
        <v>0.502609999999997</v>
      </c>
      <c r="AF6859">
        <v>-1.0200073148283899</v>
      </c>
      <c r="AG6859">
        <v>-1.1140504671439999</v>
      </c>
      <c r="AH6859">
        <v>11.873402630517999</v>
      </c>
      <c r="AI6859">
        <v>95.340664469084103</v>
      </c>
      <c r="AJ6859">
        <v>94.910048260851298</v>
      </c>
      <c r="AK6859">
        <v>11.9690940923714</v>
      </c>
      <c r="AL6859">
        <v>89.373599693961197</v>
      </c>
      <c r="AM6859">
        <v>89.398841822877799</v>
      </c>
      <c r="AN6859">
        <v>1.00000000111785</v>
      </c>
    </row>
    <row r="6860" spans="1:40" x14ac:dyDescent="0.25">
      <c r="A6860" t="str">
        <f>"20190312154430950"</f>
        <v>20190312154430950</v>
      </c>
      <c r="B6860" t="str">
        <f>"1552376670944663"</f>
        <v>1552376670944663</v>
      </c>
      <c r="C6860" t="s">
        <v>40</v>
      </c>
      <c r="D6860">
        <v>4.5895539999999997</v>
      </c>
      <c r="E6860">
        <v>0.34913490000000003</v>
      </c>
      <c r="F6860" t="s">
        <v>78</v>
      </c>
      <c r="G6860">
        <v>-210.94489999999999</v>
      </c>
      <c r="H6860" s="1">
        <v>4.7755620000000003E-7</v>
      </c>
      <c r="I6860">
        <v>-60.940069999999999</v>
      </c>
      <c r="J6860">
        <v>-214.36709999999999</v>
      </c>
      <c r="K6860">
        <v>1.1172789999999999</v>
      </c>
      <c r="L6860">
        <v>-61.497219999999999</v>
      </c>
      <c r="M6860">
        <v>0.99988429999999995</v>
      </c>
      <c r="N6860">
        <v>0</v>
      </c>
      <c r="O6860">
        <v>-2.0810220000000001E-3</v>
      </c>
      <c r="P6860">
        <v>0.99999780000000005</v>
      </c>
      <c r="Q6860">
        <v>-3.634105E-4</v>
      </c>
      <c r="R6860">
        <v>2.12867E-3</v>
      </c>
      <c r="S6860">
        <v>3.0001980000000001</v>
      </c>
      <c r="T6860">
        <v>-0.93240690000000004</v>
      </c>
      <c r="U6860">
        <v>0.46685789999999999</v>
      </c>
      <c r="V6860">
        <v>-4.4591910000000004E-3</v>
      </c>
      <c r="W6860">
        <v>1.463677E-2</v>
      </c>
      <c r="X6860">
        <v>0.99988290000000002</v>
      </c>
      <c r="Y6860">
        <v>-0.14885760000000001</v>
      </c>
      <c r="Z6860">
        <v>2.3100209999999999E-2</v>
      </c>
      <c r="AA6860">
        <v>0.98858880000000005</v>
      </c>
      <c r="AB6860">
        <v>35</v>
      </c>
      <c r="AC6860">
        <v>3.4222000000000001</v>
      </c>
      <c r="AD6860">
        <v>-1.1172785224438</v>
      </c>
      <c r="AE6860">
        <v>0.55715000000000003</v>
      </c>
      <c r="AF6860">
        <v>-0.51119089569519904</v>
      </c>
      <c r="AG6860">
        <v>-1.1172785224438</v>
      </c>
      <c r="AH6860">
        <v>3.09922019295928</v>
      </c>
      <c r="AI6860">
        <v>109.58032369782001</v>
      </c>
      <c r="AJ6860">
        <v>99.366137723190903</v>
      </c>
      <c r="AK6860">
        <v>3.33388560586629</v>
      </c>
      <c r="AL6860">
        <v>89.161344878553095</v>
      </c>
      <c r="AM6860">
        <v>90.255521052042198</v>
      </c>
      <c r="AN6860">
        <v>0.99999996656640799</v>
      </c>
    </row>
    <row r="6861" spans="1:40" x14ac:dyDescent="0.25">
      <c r="A6861" t="str">
        <f>"20190312154430962"</f>
        <v>20190312154430962</v>
      </c>
      <c r="B6861" t="str">
        <f>"1552376670954423"</f>
        <v>1552376670954423</v>
      </c>
      <c r="C6861" t="s">
        <v>40</v>
      </c>
      <c r="D6861">
        <v>4.6991849999999999</v>
      </c>
      <c r="E6861">
        <v>0.35024549999999999</v>
      </c>
      <c r="F6861" t="s">
        <v>70</v>
      </c>
      <c r="G6861">
        <v>-204.00839999999999</v>
      </c>
      <c r="H6861" s="1">
        <v>-4.3473179999999999E-6</v>
      </c>
      <c r="I6861">
        <v>-57.285209999999999</v>
      </c>
      <c r="J6861">
        <v>-214.17850000000001</v>
      </c>
      <c r="K6861">
        <v>1.1175740000000001</v>
      </c>
      <c r="L6861">
        <v>-61.493380000000002</v>
      </c>
      <c r="M6861">
        <v>0.99988189999999999</v>
      </c>
      <c r="N6861">
        <v>0</v>
      </c>
      <c r="O6861">
        <v>2.809635E-3</v>
      </c>
      <c r="P6861">
        <v>0.9999692</v>
      </c>
      <c r="Q6861">
        <v>3.5016330000000001E-4</v>
      </c>
      <c r="R6861">
        <v>7.8397050000000006E-3</v>
      </c>
      <c r="S6861">
        <v>2.9972840000000001</v>
      </c>
      <c r="T6861">
        <v>-0.32328639999999997</v>
      </c>
      <c r="U6861">
        <v>1.21875</v>
      </c>
      <c r="V6861">
        <v>-5.3030350000000002E-3</v>
      </c>
      <c r="W6861">
        <v>1.5365780000000001E-2</v>
      </c>
      <c r="X6861">
        <v>0.99986790000000003</v>
      </c>
      <c r="Y6861">
        <v>-0.37222650000000002</v>
      </c>
      <c r="Z6861">
        <v>1.8966139999999999E-2</v>
      </c>
      <c r="AA6861">
        <v>0.92794810000000005</v>
      </c>
      <c r="AB6861">
        <v>35</v>
      </c>
      <c r="AC6861">
        <v>10.1701</v>
      </c>
      <c r="AD6861">
        <v>-1.1175783473180001</v>
      </c>
      <c r="AE6861">
        <v>4.20817</v>
      </c>
      <c r="AF6861">
        <v>-4.1369230926033804</v>
      </c>
      <c r="AG6861">
        <v>-1.1175783473180001</v>
      </c>
      <c r="AH6861">
        <v>10.077978022555801</v>
      </c>
      <c r="AI6861">
        <v>95.857275615403694</v>
      </c>
      <c r="AJ6861">
        <v>112.317727324977</v>
      </c>
      <c r="AK6861">
        <v>10.9511987955487</v>
      </c>
      <c r="AL6861">
        <v>89.1195710294338</v>
      </c>
      <c r="AM6861">
        <v>90.303878817568602</v>
      </c>
      <c r="AN6861">
        <v>1.0000000234128099</v>
      </c>
    </row>
    <row r="6862" spans="1:40" x14ac:dyDescent="0.25">
      <c r="A6862" t="str">
        <f>"20190312154430973"</f>
        <v>20190312154430973</v>
      </c>
      <c r="B6862" t="str">
        <f>"1552376670964182"</f>
        <v>1552376670964182</v>
      </c>
      <c r="C6862" t="s">
        <v>40</v>
      </c>
      <c r="D6862">
        <v>4.5747119999999999</v>
      </c>
      <c r="E6862">
        <v>0.35014099999999998</v>
      </c>
      <c r="F6862" t="s">
        <v>70</v>
      </c>
      <c r="G6862">
        <v>-203.01519999999999</v>
      </c>
      <c r="H6862" s="1">
        <v>-4.9354579999999997E-6</v>
      </c>
      <c r="I6862">
        <v>-56.914990000000003</v>
      </c>
      <c r="J6862">
        <v>-213.9973</v>
      </c>
      <c r="K6862">
        <v>1.1178520000000001</v>
      </c>
      <c r="L6862">
        <v>-61.488889999999998</v>
      </c>
      <c r="M6862">
        <v>0.99985610000000003</v>
      </c>
      <c r="N6862">
        <v>0</v>
      </c>
      <c r="O6862">
        <v>7.6462269999999898E-3</v>
      </c>
      <c r="P6862">
        <v>0.99991300000000005</v>
      </c>
      <c r="Q6862">
        <v>7.2119479999999895E-4</v>
      </c>
      <c r="R6862">
        <v>1.317395E-2</v>
      </c>
      <c r="S6862">
        <v>2.9905849999999998</v>
      </c>
      <c r="T6862">
        <v>-0.29939480000000002</v>
      </c>
      <c r="U6862">
        <v>1.226532</v>
      </c>
      <c r="V6862">
        <v>-5.8179140000000004E-3</v>
      </c>
      <c r="W6862">
        <v>1.5756740000000002E-2</v>
      </c>
      <c r="X6862">
        <v>0.99985889999999999</v>
      </c>
      <c r="Y6862">
        <v>-0.37081750000000002</v>
      </c>
      <c r="Z6862">
        <v>1.7067140000000001E-2</v>
      </c>
      <c r="AA6862">
        <v>0.92854890000000001</v>
      </c>
      <c r="AB6862">
        <v>35</v>
      </c>
      <c r="AC6862">
        <v>10.982100000000001</v>
      </c>
      <c r="AD6862">
        <v>-1.1178569354579999</v>
      </c>
      <c r="AE6862">
        <v>4.5739000000000001</v>
      </c>
      <c r="AF6862">
        <v>-4.4504896939614103</v>
      </c>
      <c r="AG6862">
        <v>-1.1178569354579999</v>
      </c>
      <c r="AH6862">
        <v>10.9203355867088</v>
      </c>
      <c r="AI6862">
        <v>95.415156378799196</v>
      </c>
      <c r="AJ6862">
        <v>112.17293363208501</v>
      </c>
      <c r="AK6862">
        <v>11.8452603167067</v>
      </c>
      <c r="AL6862">
        <v>89.097167912286693</v>
      </c>
      <c r="AM6862">
        <v>90.333385196436694</v>
      </c>
      <c r="AN6862">
        <v>0.99999997144397401</v>
      </c>
    </row>
    <row r="6863" spans="1:40" x14ac:dyDescent="0.25">
      <c r="A6863" t="str">
        <f>"20190312154430986"</f>
        <v>20190312154430986</v>
      </c>
      <c r="B6863" t="str">
        <f>"1552376670974920"</f>
        <v>1552376670974920</v>
      </c>
      <c r="C6863" t="s">
        <v>40</v>
      </c>
      <c r="D6863">
        <v>4.5599049999999997</v>
      </c>
      <c r="E6863">
        <v>0.34963450000000001</v>
      </c>
      <c r="F6863" t="s">
        <v>70</v>
      </c>
      <c r="G6863">
        <v>-202.0788</v>
      </c>
      <c r="H6863" s="1">
        <v>-5.4990269999999999E-6</v>
      </c>
      <c r="I6863">
        <v>-56.52514</v>
      </c>
      <c r="J6863">
        <v>-213.80170000000001</v>
      </c>
      <c r="K6863">
        <v>1.11815</v>
      </c>
      <c r="L6863">
        <v>-61.4831199999999</v>
      </c>
      <c r="M6863">
        <v>0.99980009999999997</v>
      </c>
      <c r="N6863">
        <v>0</v>
      </c>
      <c r="O6863">
        <v>1.3012549999999999E-2</v>
      </c>
      <c r="P6863">
        <v>0.99981679999999995</v>
      </c>
      <c r="Q6863">
        <v>6.3867310000000001E-4</v>
      </c>
      <c r="R6863">
        <v>1.91332E-2</v>
      </c>
      <c r="S6863">
        <v>2.98407</v>
      </c>
      <c r="T6863">
        <v>-0.279883099999999</v>
      </c>
      <c r="U6863">
        <v>1.2427979999999901</v>
      </c>
      <c r="V6863">
        <v>-6.4210319999999897E-3</v>
      </c>
      <c r="W6863">
        <v>1.5695230000000001E-2</v>
      </c>
      <c r="X6863">
        <v>0.99985619999999997</v>
      </c>
      <c r="Y6863">
        <v>-0.37108239999999998</v>
      </c>
      <c r="Z6863">
        <v>1.5505629999999999E-2</v>
      </c>
      <c r="AA6863">
        <v>0.92847049999999998</v>
      </c>
      <c r="AB6863">
        <v>35</v>
      </c>
      <c r="AC6863">
        <v>11.722899999999999</v>
      </c>
      <c r="AD6863">
        <v>-1.118155499027</v>
      </c>
      <c r="AE6863">
        <v>4.9579799999999903</v>
      </c>
      <c r="AF6863">
        <v>-4.7681998682852296</v>
      </c>
      <c r="AG6863">
        <v>-1.118155499027</v>
      </c>
      <c r="AH6863">
        <v>11.6961672357662</v>
      </c>
      <c r="AI6863">
        <v>95.059000608635898</v>
      </c>
      <c r="AJ6863">
        <v>112.17934649420501</v>
      </c>
      <c r="AK6863">
        <v>12.680154956108799</v>
      </c>
      <c r="AL6863">
        <v>89.100692633097907</v>
      </c>
      <c r="AM6863">
        <v>90.367945886905005</v>
      </c>
      <c r="AN6863">
        <v>0.999999995287568</v>
      </c>
    </row>
    <row r="6864" spans="1:40" x14ac:dyDescent="0.25">
      <c r="A6864" t="str">
        <f>"20190312154430999"</f>
        <v>20190312154430999</v>
      </c>
      <c r="B6864" t="str">
        <f>"1552376670994439"</f>
        <v>1552376670994439</v>
      </c>
      <c r="C6864" t="s">
        <v>40</v>
      </c>
      <c r="D6864">
        <v>4.8327749999999998</v>
      </c>
      <c r="E6864">
        <v>0.35124139999999998</v>
      </c>
      <c r="F6864" t="s">
        <v>70</v>
      </c>
      <c r="G6864">
        <v>-201.54140000000001</v>
      </c>
      <c r="H6864" s="1">
        <v>-5.766692E-6</v>
      </c>
      <c r="I6864">
        <v>-56.274639999999998</v>
      </c>
      <c r="J6864">
        <v>-213.6146</v>
      </c>
      <c r="K6864">
        <v>1.118428</v>
      </c>
      <c r="L6864">
        <v>-61.47598</v>
      </c>
      <c r="M6864">
        <v>0.99971500000000002</v>
      </c>
      <c r="N6864">
        <v>0</v>
      </c>
      <c r="O6864">
        <v>1.839704E-2</v>
      </c>
      <c r="P6864">
        <v>0.99968469999999998</v>
      </c>
      <c r="Q6864">
        <v>4.2750779999999999E-4</v>
      </c>
      <c r="R6864">
        <v>2.5109650000000001E-2</v>
      </c>
      <c r="S6864">
        <v>2.9765169999999999</v>
      </c>
      <c r="T6864">
        <v>-0.27146140000000002</v>
      </c>
      <c r="U6864">
        <v>1.2644959999999901</v>
      </c>
      <c r="V6864">
        <v>-7.0203510000000002E-3</v>
      </c>
      <c r="W6864">
        <v>1.550547E-2</v>
      </c>
      <c r="X6864">
        <v>0.99985520000000006</v>
      </c>
      <c r="Y6864">
        <v>-0.37275920000000001</v>
      </c>
      <c r="Z6864">
        <v>1.465961E-2</v>
      </c>
      <c r="AA6864">
        <v>0.92781230000000003</v>
      </c>
      <c r="AB6864">
        <v>35</v>
      </c>
      <c r="AC6864">
        <v>12.0731999999999</v>
      </c>
      <c r="AD6864">
        <v>-1.1184337666919999</v>
      </c>
      <c r="AE6864">
        <v>5.2013400000000001</v>
      </c>
      <c r="AF6864">
        <v>-4.9425470490493</v>
      </c>
      <c r="AG6864">
        <v>-1.1184337666919999</v>
      </c>
      <c r="AH6864">
        <v>12.079422161173101</v>
      </c>
      <c r="AI6864">
        <v>94.897938529717393</v>
      </c>
      <c r="AJ6864">
        <v>112.252945621756</v>
      </c>
      <c r="AK6864">
        <v>13.099316973429699</v>
      </c>
      <c r="AL6864">
        <v>89.111566463662399</v>
      </c>
      <c r="AM6864">
        <v>90.402288124483206</v>
      </c>
      <c r="AN6864">
        <v>1.0000000629475601</v>
      </c>
    </row>
    <row r="6865" spans="1:40" x14ac:dyDescent="0.25">
      <c r="A6865" t="str">
        <f>"20190312154431009"</f>
        <v>20190312154431009</v>
      </c>
      <c r="B6865" t="str">
        <f>"1552376671004200"</f>
        <v>1552376671004200</v>
      </c>
      <c r="C6865" t="s">
        <v>40</v>
      </c>
      <c r="D6865">
        <v>4.840522</v>
      </c>
      <c r="E6865">
        <v>0.35275759999999901</v>
      </c>
      <c r="F6865" t="s">
        <v>70</v>
      </c>
      <c r="G6865">
        <v>-201.20480000000001</v>
      </c>
      <c r="H6865" s="1">
        <v>-5.9104579999999997E-6</v>
      </c>
      <c r="I6865">
        <v>-56.169690000000003</v>
      </c>
      <c r="J6865">
        <v>-213.44630000000001</v>
      </c>
      <c r="K6865">
        <v>1.1186739999999999</v>
      </c>
      <c r="L6865">
        <v>-61.469119999999997</v>
      </c>
      <c r="M6865">
        <v>0.99961219999999995</v>
      </c>
      <c r="N6865">
        <v>0</v>
      </c>
      <c r="O6865">
        <v>2.3304459999999999E-2</v>
      </c>
      <c r="P6865">
        <v>0.99953409999999998</v>
      </c>
      <c r="Q6865">
        <v>3.416305E-4</v>
      </c>
      <c r="R6865">
        <v>3.0515380000000002E-2</v>
      </c>
      <c r="S6865">
        <v>2.9691770000000002</v>
      </c>
      <c r="T6865">
        <v>-0.26759850000000002</v>
      </c>
      <c r="U6865">
        <v>1.2695920000000001</v>
      </c>
      <c r="V6865">
        <v>-7.5271619999999996E-3</v>
      </c>
      <c r="W6865">
        <v>1.5437289999999999E-2</v>
      </c>
      <c r="X6865">
        <v>0.99985250000000003</v>
      </c>
      <c r="Y6865">
        <v>-0.37043330000000002</v>
      </c>
      <c r="Z6865">
        <v>1.3957580000000001E-2</v>
      </c>
      <c r="AA6865">
        <v>0.92875419999999997</v>
      </c>
      <c r="AB6865">
        <v>35</v>
      </c>
      <c r="AC6865">
        <v>12.2415</v>
      </c>
      <c r="AD6865">
        <v>-1.1186799104580001</v>
      </c>
      <c r="AE6865">
        <v>5.2994299999999903</v>
      </c>
      <c r="AF6865">
        <v>-4.9776676485272704</v>
      </c>
      <c r="AG6865">
        <v>-1.1186799104580001</v>
      </c>
      <c r="AH6865">
        <v>12.275356400573999</v>
      </c>
      <c r="AI6865">
        <v>94.827343037301603</v>
      </c>
      <c r="AJ6865">
        <v>112.072596843903</v>
      </c>
      <c r="AK6865">
        <v>13.2933440007535</v>
      </c>
      <c r="AL6865">
        <v>89.115473297102298</v>
      </c>
      <c r="AM6865">
        <v>90.431330088296505</v>
      </c>
      <c r="AN6865">
        <v>0.99999999492328395</v>
      </c>
    </row>
    <row r="6866" spans="1:40" x14ac:dyDescent="0.25">
      <c r="A6866" t="str">
        <f>"20190312154431018"</f>
        <v>20190312154431018</v>
      </c>
      <c r="B6866" t="str">
        <f>"1552376671014934"</f>
        <v>1552376671014934</v>
      </c>
      <c r="C6866" t="s">
        <v>40</v>
      </c>
      <c r="D6866">
        <v>4.8529289999999996</v>
      </c>
      <c r="E6866">
        <v>0.35393659999999999</v>
      </c>
      <c r="F6866" t="s">
        <v>70</v>
      </c>
      <c r="G6866">
        <v>-201.00720000000001</v>
      </c>
      <c r="H6866" s="1">
        <v>-5.9929529999999998E-6</v>
      </c>
      <c r="I6866">
        <v>-56.120289999999997</v>
      </c>
      <c r="J6866">
        <v>-213.29179999999999</v>
      </c>
      <c r="K6866">
        <v>1.118897</v>
      </c>
      <c r="L6866">
        <v>-61.461460000000002</v>
      </c>
      <c r="M6866">
        <v>0.99949089999999996</v>
      </c>
      <c r="N6866">
        <v>0</v>
      </c>
      <c r="O6866">
        <v>2.8012120000000001E-2</v>
      </c>
      <c r="P6866">
        <v>0.99935799999999997</v>
      </c>
      <c r="Q6866">
        <v>3.0682700000000002E-4</v>
      </c>
      <c r="R6866">
        <v>3.5831809999999999E-2</v>
      </c>
      <c r="S6866">
        <v>2.9626009999999998</v>
      </c>
      <c r="T6866">
        <v>-0.26643499999999998</v>
      </c>
      <c r="U6866">
        <v>1.2739259999999999</v>
      </c>
      <c r="V6866">
        <v>-8.1450529999999993E-3</v>
      </c>
      <c r="W6866">
        <v>1.541822E-2</v>
      </c>
      <c r="X6866">
        <v>0.99984790000000001</v>
      </c>
      <c r="Y6866">
        <v>-0.367983</v>
      </c>
      <c r="Z6866">
        <v>1.341264E-2</v>
      </c>
      <c r="AA6866">
        <v>0.9297358</v>
      </c>
      <c r="AB6866">
        <v>35</v>
      </c>
      <c r="AC6866">
        <v>12.2845999999999</v>
      </c>
      <c r="AD6866">
        <v>-1.1189029929530001</v>
      </c>
      <c r="AE6866">
        <v>5.3411699999999902</v>
      </c>
      <c r="AF6866">
        <v>-4.9603077998088096</v>
      </c>
      <c r="AG6866">
        <v>-1.1189029929530001</v>
      </c>
      <c r="AH6866">
        <v>12.343294353941999</v>
      </c>
      <c r="AI6866">
        <v>94.807890315383801</v>
      </c>
      <c r="AJ6866">
        <v>111.893347351589</v>
      </c>
      <c r="AK6866">
        <v>13.349663399671901</v>
      </c>
      <c r="AL6866">
        <v>89.116566012038007</v>
      </c>
      <c r="AM6866">
        <v>90.466737828823696</v>
      </c>
      <c r="AN6866">
        <v>0.999999943265374</v>
      </c>
    </row>
    <row r="6867" spans="1:40" x14ac:dyDescent="0.25">
      <c r="A6867" t="str">
        <f>"20190312154431028"</f>
        <v>20190312154431028</v>
      </c>
      <c r="B6867" t="str">
        <f>"1552376671024694"</f>
        <v>1552376671024694</v>
      </c>
      <c r="C6867" t="s">
        <v>40</v>
      </c>
      <c r="D6867">
        <v>4.8284190000000002</v>
      </c>
      <c r="E6867">
        <v>0.3550413</v>
      </c>
      <c r="F6867" t="s">
        <v>70</v>
      </c>
      <c r="G6867">
        <v>-200.74950000000001</v>
      </c>
      <c r="H6867" s="1">
        <v>-6.1047259999999996E-6</v>
      </c>
      <c r="I6867">
        <v>-56.029290000000003</v>
      </c>
      <c r="J6867">
        <v>-213.15209999999999</v>
      </c>
      <c r="K6867">
        <v>1.119102</v>
      </c>
      <c r="L6867">
        <v>-61.454439999999998</v>
      </c>
      <c r="M6867">
        <v>0.99936170000000002</v>
      </c>
      <c r="N6867">
        <v>0</v>
      </c>
      <c r="O6867">
        <v>3.2284269999999997E-2</v>
      </c>
      <c r="P6867">
        <v>0.9991698</v>
      </c>
      <c r="Q6867">
        <v>6.7278460000000004E-4</v>
      </c>
      <c r="R6867">
        <v>4.0738070000000001E-2</v>
      </c>
      <c r="S6867">
        <v>2.9561000000000002</v>
      </c>
      <c r="T6867">
        <v>-0.26371359999999999</v>
      </c>
      <c r="U6867">
        <v>1.2803040000000001</v>
      </c>
      <c r="V6867">
        <v>-8.7962619999999991E-3</v>
      </c>
      <c r="W6867">
        <v>1.5793439999999999E-2</v>
      </c>
      <c r="X6867">
        <v>0.99983659999999996</v>
      </c>
      <c r="Y6867">
        <v>-0.36648180000000002</v>
      </c>
      <c r="Z6867">
        <v>1.287057E-2</v>
      </c>
      <c r="AA6867">
        <v>0.93033619999999995</v>
      </c>
      <c r="AB6867">
        <v>35</v>
      </c>
      <c r="AC6867">
        <v>12.4025999999999</v>
      </c>
      <c r="AD6867">
        <v>-1.1191081047260001</v>
      </c>
      <c r="AE6867">
        <v>5.4251500000000004</v>
      </c>
      <c r="AF6867">
        <v>-4.9877784314295397</v>
      </c>
      <c r="AG6867">
        <v>-1.1191081047260001</v>
      </c>
      <c r="AH6867">
        <v>12.4859699268313</v>
      </c>
      <c r="AI6867">
        <v>94.757981143935893</v>
      </c>
      <c r="AJ6867">
        <v>111.77525821543</v>
      </c>
      <c r="AK6867">
        <v>13.491841299275301</v>
      </c>
      <c r="AL6867">
        <v>89.095064936510695</v>
      </c>
      <c r="AM6867">
        <v>90.504058048953198</v>
      </c>
      <c r="AN6867">
        <v>1.00000001683588</v>
      </c>
    </row>
    <row r="6868" spans="1:40" x14ac:dyDescent="0.25">
      <c r="A6868" t="str">
        <f>"20190312154431039"</f>
        <v>20190312154431039</v>
      </c>
      <c r="B6868" t="str">
        <f>"1552376671034454"</f>
        <v>1552376671034454</v>
      </c>
      <c r="C6868" t="s">
        <v>40</v>
      </c>
      <c r="D6868">
        <v>4.8338710000000003</v>
      </c>
      <c r="E6868">
        <v>0.35589559999999998</v>
      </c>
      <c r="F6868" t="s">
        <v>70</v>
      </c>
      <c r="G6868">
        <v>-200.4633</v>
      </c>
      <c r="H6868" s="1">
        <v>-6.2296730000000001E-6</v>
      </c>
      <c r="I6868">
        <v>-55.922730000000001</v>
      </c>
      <c r="J6868">
        <v>-212.9888</v>
      </c>
      <c r="K6868">
        <v>1.1193310000000001</v>
      </c>
      <c r="L6868">
        <v>-61.44464</v>
      </c>
      <c r="M6868">
        <v>0.99917909999999999</v>
      </c>
      <c r="N6868">
        <v>0</v>
      </c>
      <c r="O6868">
        <v>3.7491799999999999E-2</v>
      </c>
      <c r="P6868">
        <v>0.99891790000000003</v>
      </c>
      <c r="Q6868">
        <v>1.0256989999999999E-3</v>
      </c>
      <c r="R6868">
        <v>4.6494779999999999E-2</v>
      </c>
      <c r="S6868">
        <v>2.9502410000000001</v>
      </c>
      <c r="T6868">
        <v>-0.26020100000000002</v>
      </c>
      <c r="U6868">
        <v>1.2861629999999999</v>
      </c>
      <c r="V6868">
        <v>-9.3645020000000002E-3</v>
      </c>
      <c r="W6868">
        <v>1.616486E-2</v>
      </c>
      <c r="X6868">
        <v>0.99982550000000003</v>
      </c>
      <c r="Y6868">
        <v>-0.36391370000000001</v>
      </c>
      <c r="Z6868">
        <v>1.217303E-2</v>
      </c>
      <c r="AA6868">
        <v>0.93135319999999999</v>
      </c>
      <c r="AB6868">
        <v>35</v>
      </c>
      <c r="AC6868">
        <v>12.5254999999999</v>
      </c>
      <c r="AD6868">
        <v>-1.11933722967299</v>
      </c>
      <c r="AE6868">
        <v>5.5219099999999903</v>
      </c>
      <c r="AF6868">
        <v>-5.0148362284752999</v>
      </c>
      <c r="AG6868">
        <v>-1.11933722967299</v>
      </c>
      <c r="AH6868">
        <v>12.639230076401301</v>
      </c>
      <c r="AI6868">
        <v>94.705854973354107</v>
      </c>
      <c r="AJ6868">
        <v>111.64157113528999</v>
      </c>
      <c r="AK6868">
        <v>13.6437397789744</v>
      </c>
      <c r="AL6868">
        <v>89.073781417883595</v>
      </c>
      <c r="AM6868">
        <v>90.536624394199606</v>
      </c>
      <c r="AN6868">
        <v>1.00000001352338</v>
      </c>
    </row>
    <row r="6869" spans="1:40" x14ac:dyDescent="0.25">
      <c r="A6869" t="str">
        <f>"20190312154431051"</f>
        <v>20190312154431051</v>
      </c>
      <c r="B6869" t="str">
        <f>"1552376671044214"</f>
        <v>1552376671044214</v>
      </c>
      <c r="C6869" t="s">
        <v>40</v>
      </c>
      <c r="D6869">
        <v>4.8428890000000004</v>
      </c>
      <c r="E6869">
        <v>0.35676799999999997</v>
      </c>
      <c r="F6869" t="s">
        <v>70</v>
      </c>
      <c r="G6869">
        <v>-200.0496</v>
      </c>
      <c r="H6869" s="1">
        <v>-6.4139149999999999E-6</v>
      </c>
      <c r="I6869">
        <v>-55.745530000000002</v>
      </c>
      <c r="J6869">
        <v>-212.8176</v>
      </c>
      <c r="K6869">
        <v>1.1195600000000001</v>
      </c>
      <c r="L6869">
        <v>-61.433929999999997</v>
      </c>
      <c r="M6869">
        <v>0.99895650000000002</v>
      </c>
      <c r="N6869">
        <v>0</v>
      </c>
      <c r="O6869">
        <v>4.3006639999999999E-2</v>
      </c>
      <c r="P6869">
        <v>0.99861100000000003</v>
      </c>
      <c r="Q6869">
        <v>2.0229750000000002E-3</v>
      </c>
      <c r="R6869">
        <v>5.2651200000000002E-2</v>
      </c>
      <c r="S6869">
        <v>2.9431759999999998</v>
      </c>
      <c r="T6869">
        <v>-0.2546059</v>
      </c>
      <c r="U6869">
        <v>1.2963260000000001</v>
      </c>
      <c r="V6869">
        <v>-1.0041319999999999E-2</v>
      </c>
      <c r="W6869">
        <v>1.7177520000000002E-2</v>
      </c>
      <c r="X6869">
        <v>0.99980210000000003</v>
      </c>
      <c r="Y6869">
        <v>-0.36235430000000002</v>
      </c>
      <c r="Z6869">
        <v>1.1413019999999999E-2</v>
      </c>
      <c r="AA6869">
        <v>0.93197050000000004</v>
      </c>
      <c r="AB6869">
        <v>35</v>
      </c>
      <c r="AC6869">
        <v>12.767999999999899</v>
      </c>
      <c r="AD6869">
        <v>-1.1195664139149999</v>
      </c>
      <c r="AE6869">
        <v>5.6883999999999997</v>
      </c>
      <c r="AF6869">
        <v>-5.1012358860643197</v>
      </c>
      <c r="AG6869">
        <v>-1.1195664139149999</v>
      </c>
      <c r="AH6869">
        <v>12.917978631684701</v>
      </c>
      <c r="AI6869">
        <v>94.6086313794859</v>
      </c>
      <c r="AJ6869">
        <v>111.54878001566</v>
      </c>
      <c r="AK6869">
        <v>13.9337794029151</v>
      </c>
      <c r="AL6869">
        <v>89.015752260424904</v>
      </c>
      <c r="AM6869">
        <v>90.575419789512694</v>
      </c>
      <c r="AN6869">
        <v>1.00000006723254</v>
      </c>
    </row>
    <row r="6870" spans="1:40" x14ac:dyDescent="0.25">
      <c r="A6870" t="str">
        <f>"20190312154431061"</f>
        <v>20190312154431061</v>
      </c>
      <c r="B6870" t="str">
        <f>"1552376671053974"</f>
        <v>1552376671053974</v>
      </c>
      <c r="C6870" t="s">
        <v>40</v>
      </c>
      <c r="D6870">
        <v>4.8239749999999999</v>
      </c>
      <c r="E6870">
        <v>0.35749059999999999</v>
      </c>
      <c r="F6870" t="s">
        <v>70</v>
      </c>
      <c r="G6870">
        <v>-199.59690000000001</v>
      </c>
      <c r="H6870" s="1">
        <v>-8.9441430000000006E-6</v>
      </c>
      <c r="I6870">
        <v>-55.546660000000003</v>
      </c>
      <c r="J6870">
        <v>-212.6395</v>
      </c>
      <c r="K6870">
        <v>1.119802</v>
      </c>
      <c r="L6870">
        <v>-61.421259999999997</v>
      </c>
      <c r="M6870">
        <v>0.99868319999999999</v>
      </c>
      <c r="N6870">
        <v>0</v>
      </c>
      <c r="O6870">
        <v>4.8931269999999999E-2</v>
      </c>
      <c r="P6870">
        <v>0.99824349999999995</v>
      </c>
      <c r="Q6870">
        <v>2.578674E-3</v>
      </c>
      <c r="R6870">
        <v>5.9189499999999999E-2</v>
      </c>
      <c r="S6870">
        <v>2.9357449999999998</v>
      </c>
      <c r="T6870">
        <v>-0.24860869999999999</v>
      </c>
      <c r="U6870">
        <v>1.307312</v>
      </c>
      <c r="V6870">
        <v>-1.068148E-2</v>
      </c>
      <c r="W6870">
        <v>1.775297E-2</v>
      </c>
      <c r="X6870">
        <v>0.99978540000000005</v>
      </c>
      <c r="Y6870">
        <v>-0.36067870000000002</v>
      </c>
      <c r="Z6870">
        <v>1.06195E-2</v>
      </c>
      <c r="AA6870">
        <v>0.93262970000000001</v>
      </c>
      <c r="AB6870">
        <v>35</v>
      </c>
      <c r="AC6870">
        <v>13.042599999999901</v>
      </c>
      <c r="AD6870">
        <v>-1.119810944143</v>
      </c>
      <c r="AE6870">
        <v>5.8746</v>
      </c>
      <c r="AF6870">
        <v>-5.1974430793475799</v>
      </c>
      <c r="AG6870">
        <v>-1.119810944143</v>
      </c>
      <c r="AH6870">
        <v>13.2333608571348</v>
      </c>
      <c r="AI6870">
        <v>94.503504927526905</v>
      </c>
      <c r="AJ6870">
        <v>111.44257037409101</v>
      </c>
      <c r="AK6870">
        <v>14.261459626869501</v>
      </c>
      <c r="AL6870">
        <v>88.982776362630801</v>
      </c>
      <c r="AM6870">
        <v>90.612111798426298</v>
      </c>
      <c r="AN6870">
        <v>1.0000000540059799</v>
      </c>
    </row>
    <row r="6871" spans="1:40" x14ac:dyDescent="0.25">
      <c r="A6871" t="str">
        <f>"20190312154431072"</f>
        <v>20190312154431072</v>
      </c>
      <c r="B6871" t="str">
        <f>"1552376671064711"</f>
        <v>1552376671064711</v>
      </c>
      <c r="C6871" t="s">
        <v>40</v>
      </c>
      <c r="D6871">
        <v>4.8518420000000004</v>
      </c>
      <c r="E6871">
        <v>0.35808299999999998</v>
      </c>
      <c r="F6871" t="s">
        <v>70</v>
      </c>
      <c r="G6871">
        <v>-199.28899999999999</v>
      </c>
      <c r="H6871" s="1">
        <v>-8.9616069999999999E-6</v>
      </c>
      <c r="I6871">
        <v>-55.398229999999998</v>
      </c>
      <c r="J6871">
        <v>-212.4811</v>
      </c>
      <c r="K6871">
        <v>1.120012</v>
      </c>
      <c r="L6871">
        <v>-61.4092699999999</v>
      </c>
      <c r="M6871">
        <v>0.99840549999999995</v>
      </c>
      <c r="N6871">
        <v>0</v>
      </c>
      <c r="O6871">
        <v>5.4294490000000001E-2</v>
      </c>
      <c r="P6871">
        <v>0.99789300000000003</v>
      </c>
      <c r="Q6871">
        <v>2.80503E-3</v>
      </c>
      <c r="R6871">
        <v>6.4822599999999994E-2</v>
      </c>
      <c r="S6871">
        <v>2.927597</v>
      </c>
      <c r="T6871">
        <v>-0.24555930000000001</v>
      </c>
      <c r="U6871">
        <v>1.32077</v>
      </c>
      <c r="V6871">
        <v>-1.097033E-2</v>
      </c>
      <c r="W6871">
        <v>1.8001840000000002E-2</v>
      </c>
      <c r="X6871">
        <v>0.99977780000000005</v>
      </c>
      <c r="Y6871">
        <v>-0.36024099999999998</v>
      </c>
      <c r="Z6871">
        <v>1.0063819999999999E-2</v>
      </c>
      <c r="AA6871">
        <v>0.932805</v>
      </c>
      <c r="AB6871">
        <v>35</v>
      </c>
      <c r="AC6871">
        <v>13.1920999999999</v>
      </c>
      <c r="AD6871">
        <v>-1.120020961607</v>
      </c>
      <c r="AE6871">
        <v>6.01103999999998</v>
      </c>
      <c r="AF6871">
        <v>-5.25446426939342</v>
      </c>
      <c r="AG6871">
        <v>-1.120020961607</v>
      </c>
      <c r="AH6871">
        <v>13.4189456051442</v>
      </c>
      <c r="AI6871">
        <v>94.444080452047402</v>
      </c>
      <c r="AJ6871">
        <v>111.38384936191299</v>
      </c>
      <c r="AK6871">
        <v>14.4544782979736</v>
      </c>
      <c r="AL6871">
        <v>88.968514860712006</v>
      </c>
      <c r="AM6871">
        <v>90.628668074438806</v>
      </c>
      <c r="AN6871">
        <v>1.00000003187826</v>
      </c>
    </row>
    <row r="6872" spans="1:40" x14ac:dyDescent="0.25">
      <c r="A6872" t="str">
        <f>"20190312154431084"</f>
        <v>20190312154431084</v>
      </c>
      <c r="B6872" t="str">
        <f>"1552376671074470"</f>
        <v>1552376671074470</v>
      </c>
      <c r="C6872" t="s">
        <v>40</v>
      </c>
      <c r="D6872">
        <v>4.827782</v>
      </c>
      <c r="E6872">
        <v>0.3587359</v>
      </c>
      <c r="F6872" t="s">
        <v>70</v>
      </c>
      <c r="G6872">
        <v>-199.0103</v>
      </c>
      <c r="H6872" s="1">
        <v>-8.9776929999999996E-6</v>
      </c>
      <c r="I6872">
        <v>-55.263100000000001</v>
      </c>
      <c r="J6872">
        <v>-212.3021</v>
      </c>
      <c r="K6872">
        <v>1.120241</v>
      </c>
      <c r="L6872">
        <v>-61.394530000000003</v>
      </c>
      <c r="M6872">
        <v>0.99804870000000001</v>
      </c>
      <c r="N6872">
        <v>0</v>
      </c>
      <c r="O6872">
        <v>6.048825E-2</v>
      </c>
      <c r="P6872">
        <v>0.9974324</v>
      </c>
      <c r="Q6872">
        <v>3.489364E-3</v>
      </c>
      <c r="R6872">
        <v>7.1531010000000006E-2</v>
      </c>
      <c r="S6872">
        <v>2.920471</v>
      </c>
      <c r="T6872">
        <v>-0.24282049999999999</v>
      </c>
      <c r="U6872">
        <v>1.332489</v>
      </c>
      <c r="V6872">
        <v>-1.151699E-2</v>
      </c>
      <c r="W6872">
        <v>1.8706960000000002E-2</v>
      </c>
      <c r="X6872">
        <v>0.9997587</v>
      </c>
      <c r="Y6872">
        <v>-0.35845060000000001</v>
      </c>
      <c r="Z6872">
        <v>9.4090979999999994E-3</v>
      </c>
      <c r="AA6872">
        <v>0.93350120000000003</v>
      </c>
      <c r="AB6872">
        <v>35</v>
      </c>
      <c r="AC6872">
        <v>13.291799999999901</v>
      </c>
      <c r="AD6872">
        <v>-1.1202499776929999</v>
      </c>
      <c r="AE6872">
        <v>6.1314299999999999</v>
      </c>
      <c r="AF6872">
        <v>-5.2851507220497096</v>
      </c>
      <c r="AG6872">
        <v>-1.1202499776929999</v>
      </c>
      <c r="AH6872">
        <v>13.558964668734999</v>
      </c>
      <c r="AI6872">
        <v>94.401909911586898</v>
      </c>
      <c r="AJ6872">
        <v>111.29534614937801</v>
      </c>
      <c r="AK6872">
        <v>14.5956603500941</v>
      </c>
      <c r="AL6872">
        <v>88.928107646699701</v>
      </c>
      <c r="AM6872">
        <v>90.660004991634906</v>
      </c>
      <c r="AN6872">
        <v>1.00000002481839</v>
      </c>
    </row>
    <row r="6873" spans="1:40" x14ac:dyDescent="0.25">
      <c r="A6873" t="str">
        <f>"20190312154431094"</f>
        <v>20190312154431094</v>
      </c>
      <c r="B6873" t="str">
        <f>"1552376671084231"</f>
        <v>1552376671084231</v>
      </c>
      <c r="C6873" t="s">
        <v>40</v>
      </c>
      <c r="D6873">
        <v>4.8449549999999997</v>
      </c>
      <c r="E6873">
        <v>0.35948360000000001</v>
      </c>
      <c r="F6873" t="s">
        <v>70</v>
      </c>
      <c r="G6873">
        <v>-198.65469999999999</v>
      </c>
      <c r="H6873" s="1">
        <v>-9.0013149999999906E-6</v>
      </c>
      <c r="I6873">
        <v>-55.081850000000003</v>
      </c>
      <c r="J6873">
        <v>-212.1378</v>
      </c>
      <c r="K6873">
        <v>1.1204499999999999</v>
      </c>
      <c r="L6873">
        <v>-61.379759999999997</v>
      </c>
      <c r="M6873">
        <v>0.99767819999999996</v>
      </c>
      <c r="N6873">
        <v>0</v>
      </c>
      <c r="O6873">
        <v>6.6310279999999999E-2</v>
      </c>
      <c r="P6873">
        <v>0.99695529999999999</v>
      </c>
      <c r="Q6873">
        <v>3.808316E-3</v>
      </c>
      <c r="R6873">
        <v>7.7883859999999999E-2</v>
      </c>
      <c r="S6873">
        <v>2.9119869999999999</v>
      </c>
      <c r="T6873">
        <v>-0.23903079999999999</v>
      </c>
      <c r="U6873">
        <v>1.346954</v>
      </c>
      <c r="V6873">
        <v>-1.207134E-2</v>
      </c>
      <c r="W6873">
        <v>1.9043549999999999E-2</v>
      </c>
      <c r="X6873">
        <v>0.99974580000000002</v>
      </c>
      <c r="Y6873">
        <v>-0.35790119999999997</v>
      </c>
      <c r="Z6873">
        <v>8.806454E-3</v>
      </c>
      <c r="AA6873">
        <v>0.93371789999999999</v>
      </c>
      <c r="AB6873">
        <v>35</v>
      </c>
      <c r="AC6873">
        <v>13.4831</v>
      </c>
      <c r="AD6873">
        <v>-1.120459001315</v>
      </c>
      <c r="AE6873">
        <v>6.2979099999999901</v>
      </c>
      <c r="AF6873">
        <v>-5.35948674969337</v>
      </c>
      <c r="AG6873">
        <v>-1.120459001315</v>
      </c>
      <c r="AH6873">
        <v>13.792892792258099</v>
      </c>
      <c r="AI6873">
        <v>94.330124153108201</v>
      </c>
      <c r="AJ6873">
        <v>111.23456949115</v>
      </c>
      <c r="AK6873">
        <v>14.8399264881095</v>
      </c>
      <c r="AL6873">
        <v>88.908819018337894</v>
      </c>
      <c r="AM6873">
        <v>90.691779076690196</v>
      </c>
      <c r="AN6873">
        <v>1.0000000193318099</v>
      </c>
    </row>
    <row r="6874" spans="1:40" x14ac:dyDescent="0.25">
      <c r="A6874" t="str">
        <f>"20190312154431105"</f>
        <v>20190312154431105</v>
      </c>
      <c r="B6874" t="str">
        <f>"1552376671093991"</f>
        <v>1552376671093991</v>
      </c>
      <c r="C6874" t="s">
        <v>40</v>
      </c>
      <c r="D6874">
        <v>4.8521979999999996</v>
      </c>
      <c r="E6874">
        <v>0.36010910000000002</v>
      </c>
      <c r="F6874" t="s">
        <v>70</v>
      </c>
      <c r="G6874">
        <v>-198.3571</v>
      </c>
      <c r="H6874" s="1">
        <v>-9.0218849999999998E-6</v>
      </c>
      <c r="I6874">
        <v>-54.927880000000002</v>
      </c>
      <c r="J6874">
        <v>-211.97239999999999</v>
      </c>
      <c r="K6874">
        <v>1.1206529999999999</v>
      </c>
      <c r="L6874">
        <v>-61.364229999999999</v>
      </c>
      <c r="M6874">
        <v>0.99726559999999997</v>
      </c>
      <c r="N6874">
        <v>0</v>
      </c>
      <c r="O6874">
        <v>7.2243559999999998E-2</v>
      </c>
      <c r="P6874">
        <v>0.99642180000000002</v>
      </c>
      <c r="Q6874">
        <v>4.052249E-3</v>
      </c>
      <c r="R6874">
        <v>8.4424529999999998E-2</v>
      </c>
      <c r="S6874">
        <v>2.9038390000000001</v>
      </c>
      <c r="T6874">
        <v>-0.2361009</v>
      </c>
      <c r="U6874">
        <v>1.3595280000000001</v>
      </c>
      <c r="V6874">
        <v>-1.2702440000000001E-2</v>
      </c>
      <c r="W6874">
        <v>1.9302420000000001E-2</v>
      </c>
      <c r="X6874">
        <v>0.99973299999999998</v>
      </c>
      <c r="Y6874">
        <v>-0.35670479999999999</v>
      </c>
      <c r="Z6874">
        <v>8.2137619999999995E-3</v>
      </c>
      <c r="AA6874">
        <v>0.93418100000000004</v>
      </c>
      <c r="AB6874">
        <v>35</v>
      </c>
      <c r="AC6874">
        <v>13.6152999999999</v>
      </c>
      <c r="AD6874">
        <v>-1.1206620218850001</v>
      </c>
      <c r="AE6874">
        <v>6.43635</v>
      </c>
      <c r="AF6874">
        <v>-5.4058569700377896</v>
      </c>
      <c r="AG6874">
        <v>-1.1206620218850001</v>
      </c>
      <c r="AH6874">
        <v>13.9674138211863</v>
      </c>
      <c r="AI6874">
        <v>94.279199550852496</v>
      </c>
      <c r="AJ6874">
        <v>111.158106537645</v>
      </c>
      <c r="AK6874">
        <v>15.018915466839401</v>
      </c>
      <c r="AL6874">
        <v>88.893984115528795</v>
      </c>
      <c r="AM6874">
        <v>90.7279514036384</v>
      </c>
      <c r="AN6874">
        <v>1.0000000033444001</v>
      </c>
    </row>
    <row r="6875" spans="1:40" x14ac:dyDescent="0.25">
      <c r="A6875" t="str">
        <f>"20190312154431118"</f>
        <v>20190312154431118</v>
      </c>
      <c r="B6875" t="str">
        <f>"1552376671114487"</f>
        <v>1552376671114487</v>
      </c>
      <c r="C6875" t="s">
        <v>40</v>
      </c>
      <c r="D6875">
        <v>4.8819749999999997</v>
      </c>
      <c r="E6875">
        <v>0.361294</v>
      </c>
      <c r="F6875" t="s">
        <v>70</v>
      </c>
      <c r="G6875">
        <v>-198.1481</v>
      </c>
      <c r="H6875" s="1">
        <v>-9.0409250000000002E-6</v>
      </c>
      <c r="I6875">
        <v>-54.806649999999998</v>
      </c>
      <c r="J6875">
        <v>-211.78620000000001</v>
      </c>
      <c r="K6875">
        <v>1.1208720000000001</v>
      </c>
      <c r="L6875">
        <v>-61.344909999999999</v>
      </c>
      <c r="M6875">
        <v>0.9967433</v>
      </c>
      <c r="N6875">
        <v>0</v>
      </c>
      <c r="O6875">
        <v>7.9116279999999997E-2</v>
      </c>
      <c r="P6875">
        <v>0.99574649999999998</v>
      </c>
      <c r="Q6875">
        <v>4.2442259999999898E-3</v>
      </c>
      <c r="R6875">
        <v>9.2038750000000003E-2</v>
      </c>
      <c r="S6875">
        <v>2.8953549999999999</v>
      </c>
      <c r="T6875">
        <v>-0.23471030000000001</v>
      </c>
      <c r="U6875">
        <v>1.373413</v>
      </c>
      <c r="V6875">
        <v>-1.346893E-2</v>
      </c>
      <c r="W6875">
        <v>1.9511239999999999E-2</v>
      </c>
      <c r="X6875">
        <v>0.99971889999999997</v>
      </c>
      <c r="Y6875">
        <v>-0.35501100000000002</v>
      </c>
      <c r="Z6875">
        <v>7.5917490000000001E-3</v>
      </c>
      <c r="AA6875">
        <v>0.93483130000000003</v>
      </c>
      <c r="AB6875">
        <v>35</v>
      </c>
      <c r="AC6875">
        <v>13.6381</v>
      </c>
      <c r="AD6875">
        <v>-1.1208810409249901</v>
      </c>
      <c r="AE6875">
        <v>6.5382600000000002</v>
      </c>
      <c r="AF6875">
        <v>-5.4089249239403898</v>
      </c>
      <c r="AG6875">
        <v>-1.1208810409249901</v>
      </c>
      <c r="AH6875">
        <v>14.035595785578399</v>
      </c>
      <c r="AI6875">
        <v>94.261688287623997</v>
      </c>
      <c r="AJ6875">
        <v>111.07526339432</v>
      </c>
      <c r="AK6875">
        <v>15.0834608825984</v>
      </c>
      <c r="AL6875">
        <v>88.8820173420103</v>
      </c>
      <c r="AM6875">
        <v>90.771883132734004</v>
      </c>
      <c r="AN6875">
        <v>0.99999998978944604</v>
      </c>
    </row>
    <row r="6876" spans="1:40" x14ac:dyDescent="0.25">
      <c r="A6876" t="str">
        <f>"20190312154431129"</f>
        <v>20190312154431129</v>
      </c>
      <c r="B6876" t="str">
        <f>"1552376671124247"</f>
        <v>1552376671124247</v>
      </c>
      <c r="C6876" t="s">
        <v>40</v>
      </c>
      <c r="D6876">
        <v>4.9808209999999997</v>
      </c>
      <c r="E6876">
        <v>0.36197669999999998</v>
      </c>
      <c r="F6876" t="s">
        <v>70</v>
      </c>
      <c r="G6876">
        <v>-197.9332</v>
      </c>
      <c r="H6876" s="1">
        <v>-9.0572679999999996E-6</v>
      </c>
      <c r="I6876">
        <v>-54.691229999999997</v>
      </c>
      <c r="J6876">
        <v>-211.6311</v>
      </c>
      <c r="K6876">
        <v>1.1210519999999999</v>
      </c>
      <c r="L6876">
        <v>-61.32846</v>
      </c>
      <c r="M6876">
        <v>0.99626859999999995</v>
      </c>
      <c r="N6876">
        <v>0</v>
      </c>
      <c r="O6876">
        <v>8.4878019999999998E-2</v>
      </c>
      <c r="P6876">
        <v>0.99509780000000003</v>
      </c>
      <c r="Q6876">
        <v>4.3673799999999997E-3</v>
      </c>
      <c r="R6876">
        <v>9.8800949999999998E-2</v>
      </c>
      <c r="S6876">
        <v>2.8856959999999998</v>
      </c>
      <c r="T6876">
        <v>-0.2334888</v>
      </c>
      <c r="U6876">
        <v>1.3860170000000001</v>
      </c>
      <c r="V6876">
        <v>-1.449285E-2</v>
      </c>
      <c r="W6876">
        <v>1.9635670000000001E-2</v>
      </c>
      <c r="X6876">
        <v>0.99970219999999999</v>
      </c>
      <c r="Y6876">
        <v>-0.35416409999999998</v>
      </c>
      <c r="Z6876">
        <v>7.0999519999999997E-3</v>
      </c>
      <c r="AA6876">
        <v>0.93515630000000005</v>
      </c>
      <c r="AB6876">
        <v>35</v>
      </c>
      <c r="AC6876">
        <v>13.697900000000001</v>
      </c>
      <c r="AD6876">
        <v>-1.121061057268</v>
      </c>
      <c r="AE6876">
        <v>6.63722999999999</v>
      </c>
      <c r="AF6876">
        <v>-5.4210732035038101</v>
      </c>
      <c r="AG6876">
        <v>-1.121061057268</v>
      </c>
      <c r="AH6876">
        <v>14.135204324016399</v>
      </c>
      <c r="AI6876">
        <v>94.235066143994501</v>
      </c>
      <c r="AJ6876">
        <v>110.982604512935</v>
      </c>
      <c r="AK6876">
        <v>15.180540631135701</v>
      </c>
      <c r="AL6876">
        <v>88.874886724648704</v>
      </c>
      <c r="AM6876">
        <v>90.830568315693398</v>
      </c>
      <c r="AN6876">
        <v>1.00000004546115</v>
      </c>
    </row>
    <row r="6877" spans="1:40" x14ac:dyDescent="0.25">
      <c r="A6877" t="str">
        <f>"20190312154431141"</f>
        <v>20190312154431141</v>
      </c>
      <c r="B6877" t="str">
        <f>"1552376671134006"</f>
        <v>1552376671134006</v>
      </c>
      <c r="C6877" t="s">
        <v>40</v>
      </c>
      <c r="D6877">
        <v>4.8956809999999997</v>
      </c>
      <c r="E6877">
        <v>0.36254130000000001</v>
      </c>
      <c r="F6877" t="s">
        <v>70</v>
      </c>
      <c r="G6877">
        <v>-197.7859</v>
      </c>
      <c r="H6877" s="1">
        <v>-9.0757289999999995E-6</v>
      </c>
      <c r="I6877">
        <v>-54.591450000000002</v>
      </c>
      <c r="J6877">
        <v>-211.4205</v>
      </c>
      <c r="K6877">
        <v>1.1212850000000001</v>
      </c>
      <c r="L6877">
        <v>-61.303559999999997</v>
      </c>
      <c r="M6877">
        <v>0.99554779999999998</v>
      </c>
      <c r="N6877">
        <v>0</v>
      </c>
      <c r="O6877">
        <v>9.2944059999999995E-2</v>
      </c>
      <c r="P6877">
        <v>0.99413260000000003</v>
      </c>
      <c r="Q6877">
        <v>4.0749970000000003E-3</v>
      </c>
      <c r="R6877">
        <v>0.1080935</v>
      </c>
      <c r="S6877">
        <v>2.8768009999999999</v>
      </c>
      <c r="T6877">
        <v>-0.23293829999999999</v>
      </c>
      <c r="U6877">
        <v>1.3998409999999999</v>
      </c>
      <c r="V6877">
        <v>-1.5740440000000001E-2</v>
      </c>
      <c r="W6877">
        <v>1.9351529999999999E-2</v>
      </c>
      <c r="X6877">
        <v>0.99968880000000004</v>
      </c>
      <c r="Y6877">
        <v>-0.35138909999999901</v>
      </c>
      <c r="Z6877">
        <v>6.3804500000000002E-3</v>
      </c>
      <c r="AA6877">
        <v>0.93620780000000003</v>
      </c>
      <c r="AB6877">
        <v>35</v>
      </c>
      <c r="AC6877">
        <v>13.634600000000001</v>
      </c>
      <c r="AD6877">
        <v>-1.121294075729</v>
      </c>
      <c r="AE6877">
        <v>6.7121099999999903</v>
      </c>
      <c r="AF6877">
        <v>-5.38631467634284</v>
      </c>
      <c r="AG6877">
        <v>-1.121294075729</v>
      </c>
      <c r="AH6877">
        <v>14.1226108464787</v>
      </c>
      <c r="AI6877">
        <v>94.242694660133296</v>
      </c>
      <c r="AJ6877">
        <v>110.87667720858499</v>
      </c>
      <c r="AK6877">
        <v>15.1564449432553</v>
      </c>
      <c r="AL6877">
        <v>88.891169757165201</v>
      </c>
      <c r="AM6877">
        <v>90.902066985517607</v>
      </c>
      <c r="AN6877">
        <v>0.999999970005086</v>
      </c>
    </row>
    <row r="6878" spans="1:40" x14ac:dyDescent="0.25">
      <c r="A6878" t="str">
        <f>"20190312154431155"</f>
        <v>20190312154431155</v>
      </c>
      <c r="B6878" t="str">
        <f>"1552376671144743"</f>
        <v>1552376671144743</v>
      </c>
      <c r="C6878" t="s">
        <v>40</v>
      </c>
      <c r="D6878">
        <v>4.9100799999999998</v>
      </c>
      <c r="E6878">
        <v>0.36254130000000001</v>
      </c>
      <c r="F6878" t="s">
        <v>70</v>
      </c>
      <c r="G6878">
        <v>-197.68729999999999</v>
      </c>
      <c r="H6878" s="1">
        <v>-9.1020369999999998E-6</v>
      </c>
      <c r="I6878">
        <v>-54.484900000000003</v>
      </c>
      <c r="J6878">
        <v>-211.23140000000001</v>
      </c>
      <c r="K6878">
        <v>1.1214710000000001</v>
      </c>
      <c r="L6878">
        <v>-61.279910000000001</v>
      </c>
      <c r="M6878">
        <v>0.99485230000000002</v>
      </c>
      <c r="N6878">
        <v>0</v>
      </c>
      <c r="O6878">
        <v>0.1001161</v>
      </c>
      <c r="P6878">
        <v>0.99318150000000005</v>
      </c>
      <c r="Q6878">
        <v>3.8692420000000002E-3</v>
      </c>
      <c r="R6878">
        <v>0.1165152</v>
      </c>
      <c r="S6878">
        <v>2.8640439999999998</v>
      </c>
      <c r="T6878">
        <v>-0.2338452</v>
      </c>
      <c r="U6878">
        <v>1.4220280000000001</v>
      </c>
      <c r="V6878">
        <v>-1.701279E-2</v>
      </c>
      <c r="W6878">
        <v>1.9085979999999999E-2</v>
      </c>
      <c r="X6878">
        <v>0.99967309999999998</v>
      </c>
      <c r="Y6878">
        <v>-0.35212860000000001</v>
      </c>
      <c r="Z6878">
        <v>5.9050489999999999E-3</v>
      </c>
      <c r="AA6878">
        <v>0.93593300000000001</v>
      </c>
      <c r="AB6878">
        <v>35</v>
      </c>
      <c r="AC6878">
        <v>13.5441</v>
      </c>
      <c r="AD6878">
        <v>-1.121480102037</v>
      </c>
      <c r="AE6878">
        <v>6.7950099999999898</v>
      </c>
      <c r="AF6878">
        <v>-5.3752696807925604</v>
      </c>
      <c r="AG6878">
        <v>-1.121480102037</v>
      </c>
      <c r="AH6878">
        <v>14.079288472838901</v>
      </c>
      <c r="AI6878">
        <v>94.255855539434904</v>
      </c>
      <c r="AJ6878">
        <v>110.89613650173099</v>
      </c>
      <c r="AK6878">
        <v>15.1121674706816</v>
      </c>
      <c r="AL6878">
        <v>88.906387504426803</v>
      </c>
      <c r="AM6878">
        <v>90.9749856990707</v>
      </c>
      <c r="AN6878">
        <v>1.0000000082598699</v>
      </c>
    </row>
    <row r="6879" spans="1:40" x14ac:dyDescent="0.25">
      <c r="A6879" t="str">
        <f>"20190312154431166"</f>
        <v>20190312154431166</v>
      </c>
      <c r="B6879" t="str">
        <f>"1552376671164262"</f>
        <v>1552376671164262</v>
      </c>
      <c r="C6879" t="s">
        <v>40</v>
      </c>
      <c r="D6879">
        <v>5.1362120000000004</v>
      </c>
      <c r="E6879">
        <v>0.37673869999999998</v>
      </c>
      <c r="F6879" t="s">
        <v>70</v>
      </c>
      <c r="G6879">
        <v>-197.64349999999999</v>
      </c>
      <c r="H6879" s="1">
        <v>-9.1304580000000002E-6</v>
      </c>
      <c r="I6879">
        <v>-54.389879999999998</v>
      </c>
      <c r="J6879">
        <v>-211.0487</v>
      </c>
      <c r="K6879">
        <v>1.121632</v>
      </c>
      <c r="L6879">
        <v>-61.256010000000003</v>
      </c>
      <c r="M6879">
        <v>0.99413779999999996</v>
      </c>
      <c r="N6879">
        <v>0</v>
      </c>
      <c r="O6879">
        <v>0.1069884</v>
      </c>
      <c r="P6879">
        <v>0.99220050000000004</v>
      </c>
      <c r="Q6879">
        <v>3.485405E-3</v>
      </c>
      <c r="R6879">
        <v>0.1246037</v>
      </c>
      <c r="S6879">
        <v>2.8518829999999999</v>
      </c>
      <c r="T6879">
        <v>-0.2353808</v>
      </c>
      <c r="U6879">
        <v>1.4461059999999999</v>
      </c>
      <c r="V6879">
        <v>-1.8246600000000002E-2</v>
      </c>
      <c r="W6879">
        <v>1.8593019999999998E-2</v>
      </c>
      <c r="X6879">
        <v>0.99966060000000001</v>
      </c>
      <c r="Y6879">
        <v>-0.3535623</v>
      </c>
      <c r="Z6879">
        <v>5.4868319999999996E-3</v>
      </c>
      <c r="AA6879">
        <v>0.93539490000000003</v>
      </c>
      <c r="AB6879">
        <v>35</v>
      </c>
      <c r="AC6879">
        <v>13.405200000000001</v>
      </c>
      <c r="AD6879">
        <v>-1.1216411304580001</v>
      </c>
      <c r="AE6879">
        <v>6.8661299999999903</v>
      </c>
      <c r="AF6879">
        <v>-5.3625939675491701</v>
      </c>
      <c r="AG6879">
        <v>-1.1216411304580001</v>
      </c>
      <c r="AH6879">
        <v>13.985361447385801</v>
      </c>
      <c r="AI6879">
        <v>94.282583766547702</v>
      </c>
      <c r="AJ6879">
        <v>110.97898955814</v>
      </c>
      <c r="AK6879">
        <v>15.020180681348499</v>
      </c>
      <c r="AL6879">
        <v>88.934637012343799</v>
      </c>
      <c r="AM6879">
        <v>91.045691998894597</v>
      </c>
      <c r="AN6879">
        <v>0.999999976998319</v>
      </c>
    </row>
    <row r="6880" spans="1:40" x14ac:dyDescent="0.25">
      <c r="A6880" t="str">
        <f>"20190312154431177"</f>
        <v>20190312154431177</v>
      </c>
      <c r="B6880" t="str">
        <f>"1552376671174023"</f>
        <v>1552376671174023</v>
      </c>
      <c r="C6880" t="s">
        <v>40</v>
      </c>
      <c r="D6880">
        <v>5.0777749999999999</v>
      </c>
      <c r="E6880">
        <v>0.3774633</v>
      </c>
      <c r="F6880" t="s">
        <v>70</v>
      </c>
      <c r="G6880">
        <v>-195.8605</v>
      </c>
      <c r="H6880" s="1">
        <v>-9.0579100000000008E-6</v>
      </c>
      <c r="I6880">
        <v>-54.040990000000001</v>
      </c>
      <c r="J6880">
        <v>-210.8852</v>
      </c>
      <c r="K6880">
        <v>1.1217220000000001</v>
      </c>
      <c r="L6880">
        <v>-61.232790000000001</v>
      </c>
      <c r="M6880">
        <v>0.9934326</v>
      </c>
      <c r="N6880">
        <v>0</v>
      </c>
      <c r="O6880">
        <v>0.113339</v>
      </c>
      <c r="P6880">
        <v>0.99126519999999996</v>
      </c>
      <c r="Q6880">
        <v>2.6139760000000001E-3</v>
      </c>
      <c r="R6880">
        <v>0.13185820000000001</v>
      </c>
      <c r="S6880">
        <v>2.8540800000000002</v>
      </c>
      <c r="T6880">
        <v>-0.21077199999999999</v>
      </c>
      <c r="U6880">
        <v>1.355804</v>
      </c>
      <c r="V6880">
        <v>-1.9152570000000001E-2</v>
      </c>
      <c r="W6880">
        <v>1.7756310000000001E-2</v>
      </c>
      <c r="X6880">
        <v>0.99965890000000002</v>
      </c>
      <c r="Y6880">
        <v>-0.32347219999999999</v>
      </c>
      <c r="Z6880">
        <v>3.4503540000000001E-3</v>
      </c>
      <c r="AA6880">
        <v>0.94623139999999994</v>
      </c>
      <c r="AB6880">
        <v>35</v>
      </c>
      <c r="AC6880">
        <v>15.0246999999999</v>
      </c>
      <c r="AD6880">
        <v>-1.1217310579099999</v>
      </c>
      <c r="AE6880">
        <v>7.1917999999999997</v>
      </c>
      <c r="AF6880">
        <v>-5.4177840658743603</v>
      </c>
      <c r="AG6880">
        <v>-1.1217310579099999</v>
      </c>
      <c r="AH6880">
        <v>15.672002672438699</v>
      </c>
      <c r="AI6880">
        <v>93.870011538405095</v>
      </c>
      <c r="AJ6880">
        <v>109.07017866466801</v>
      </c>
      <c r="AK6880">
        <v>16.619937801196699</v>
      </c>
      <c r="AL6880">
        <v>88.982584921740496</v>
      </c>
      <c r="AM6880">
        <v>91.097601579325797</v>
      </c>
      <c r="AN6880">
        <v>1.0000000119158099</v>
      </c>
    </row>
    <row r="6881" spans="1:40" x14ac:dyDescent="0.25">
      <c r="A6881" t="str">
        <f>"20190312154431190"</f>
        <v>20190312154431190</v>
      </c>
      <c r="B6881" t="str">
        <f>"1552376671184758"</f>
        <v>1552376671184758</v>
      </c>
      <c r="C6881" t="s">
        <v>40</v>
      </c>
      <c r="D6881">
        <v>4.9168690000000002</v>
      </c>
      <c r="E6881">
        <v>0.37774150000000001</v>
      </c>
      <c r="F6881" t="s">
        <v>70</v>
      </c>
      <c r="G6881">
        <v>-196.2003</v>
      </c>
      <c r="H6881" s="1">
        <v>-9.0504069999999998E-6</v>
      </c>
      <c r="I6881">
        <v>-54.15549</v>
      </c>
      <c r="J6881">
        <v>-210.70099999999999</v>
      </c>
      <c r="K6881">
        <v>1.121799</v>
      </c>
      <c r="L6881">
        <v>-61.205959999999997</v>
      </c>
      <c r="M6881">
        <v>0.9925775</v>
      </c>
      <c r="N6881">
        <v>0</v>
      </c>
      <c r="O6881">
        <v>0.1205862</v>
      </c>
      <c r="P6881">
        <v>0.99010710000000002</v>
      </c>
      <c r="Q6881">
        <v>1.912085E-3</v>
      </c>
      <c r="R6881">
        <v>0.14030090000000001</v>
      </c>
      <c r="S6881">
        <v>2.8446660000000001</v>
      </c>
      <c r="T6881">
        <v>-0.21729509999999999</v>
      </c>
      <c r="U6881">
        <v>1.3709720000000001</v>
      </c>
      <c r="V6881">
        <v>-2.0362580000000002E-2</v>
      </c>
      <c r="W6881">
        <v>1.7113150000000001E-2</v>
      </c>
      <c r="X6881">
        <v>0.99964620000000004</v>
      </c>
      <c r="Y6881">
        <v>-0.32187300000000002</v>
      </c>
      <c r="Z6881">
        <v>2.9918810000000001E-3</v>
      </c>
      <c r="AA6881">
        <v>0.94677809999999996</v>
      </c>
      <c r="AB6881">
        <v>35</v>
      </c>
      <c r="AC6881">
        <v>14.500699999999901</v>
      </c>
      <c r="AD6881">
        <v>-1.121808050407</v>
      </c>
      <c r="AE6881">
        <v>7.05046999999999</v>
      </c>
      <c r="AF6881">
        <v>-5.2249152767374296</v>
      </c>
      <c r="AG6881">
        <v>-1.121808050407</v>
      </c>
      <c r="AH6881">
        <v>15.171715103462001</v>
      </c>
      <c r="AI6881">
        <v>93.999105015058205</v>
      </c>
      <c r="AJ6881">
        <v>109.002953533384</v>
      </c>
      <c r="AK6881">
        <v>16.085370127282101</v>
      </c>
      <c r="AL6881">
        <v>89.019440875458102</v>
      </c>
      <c r="AM6881">
        <v>91.166941433852301</v>
      </c>
      <c r="AN6881">
        <v>1.0000000098708</v>
      </c>
    </row>
    <row r="6882" spans="1:40" x14ac:dyDescent="0.25">
      <c r="A6882" t="str">
        <f>"20190312154431201"</f>
        <v>20190312154431201</v>
      </c>
      <c r="B6882" t="str">
        <f>"1552376671194519"</f>
        <v>1552376671194519</v>
      </c>
      <c r="C6882" t="s">
        <v>40</v>
      </c>
      <c r="D6882">
        <v>4.9242780000000002</v>
      </c>
      <c r="E6882">
        <v>0.37836940000000002</v>
      </c>
      <c r="F6882" t="s">
        <v>70</v>
      </c>
      <c r="G6882">
        <v>-196.2724</v>
      </c>
      <c r="H6882" s="1">
        <v>-9.0737320000000001E-6</v>
      </c>
      <c r="I6882">
        <v>-54.112130000000001</v>
      </c>
      <c r="J6882">
        <v>-210.5343</v>
      </c>
      <c r="K6882">
        <v>1.121834</v>
      </c>
      <c r="L6882">
        <v>-61.179960000000001</v>
      </c>
      <c r="M6882">
        <v>0.99171480000000001</v>
      </c>
      <c r="N6882">
        <v>0</v>
      </c>
      <c r="O6882">
        <v>0.127470899999999</v>
      </c>
      <c r="P6882">
        <v>0.98903200000000002</v>
      </c>
      <c r="Q6882">
        <v>1.3124969999999999E-3</v>
      </c>
      <c r="R6882">
        <v>0.14769579999999999</v>
      </c>
      <c r="S6882">
        <v>2.8330229999999998</v>
      </c>
      <c r="T6882">
        <v>-0.2202635</v>
      </c>
      <c r="U6882">
        <v>1.3928529999999999</v>
      </c>
      <c r="V6882">
        <v>-2.088375E-2</v>
      </c>
      <c r="W6882">
        <v>1.6626849999999999E-2</v>
      </c>
      <c r="X6882">
        <v>0.99964359999999997</v>
      </c>
      <c r="Y6882">
        <v>-0.32273180000000001</v>
      </c>
      <c r="Z6882">
        <v>2.5759239999999998E-3</v>
      </c>
      <c r="AA6882">
        <v>0.94648690000000002</v>
      </c>
      <c r="AB6882">
        <v>34</v>
      </c>
      <c r="AC6882">
        <v>14.261899999999899</v>
      </c>
      <c r="AD6882">
        <v>-1.121843073732</v>
      </c>
      <c r="AE6882">
        <v>7.0678299999999803</v>
      </c>
      <c r="AF6882">
        <v>-5.1662877683335404</v>
      </c>
      <c r="AG6882">
        <v>-1.121843073732</v>
      </c>
      <c r="AH6882">
        <v>14.9722092911408</v>
      </c>
      <c r="AI6882">
        <v>94.051505470958006</v>
      </c>
      <c r="AJ6882">
        <v>109.03742852493799</v>
      </c>
      <c r="AK6882">
        <v>15.8781646371687</v>
      </c>
      <c r="AL6882">
        <v>89.047307726538307</v>
      </c>
      <c r="AM6882">
        <v>91.196803246632996</v>
      </c>
      <c r="AN6882">
        <v>0.99999995508797102</v>
      </c>
    </row>
    <row r="6883" spans="1:40" x14ac:dyDescent="0.25">
      <c r="A6883" t="str">
        <f>"20190312154431212"</f>
        <v>20190312154431212</v>
      </c>
      <c r="B6883" t="str">
        <f>"1552376671204278"</f>
        <v>1552376671204278</v>
      </c>
      <c r="C6883" t="s">
        <v>40</v>
      </c>
      <c r="D6883">
        <v>4.9222469999999996</v>
      </c>
      <c r="E6883">
        <v>0.37919580000000003</v>
      </c>
      <c r="F6883" t="s">
        <v>70</v>
      </c>
      <c r="G6883">
        <v>-196.36600000000001</v>
      </c>
      <c r="H6883" s="1">
        <v>-9.0851459999999996E-6</v>
      </c>
      <c r="I6883">
        <v>-54.109589999999997</v>
      </c>
      <c r="J6883">
        <v>-210.38409999999999</v>
      </c>
      <c r="K6883">
        <v>1.1218760000000001</v>
      </c>
      <c r="L6883">
        <v>-61.155909999999999</v>
      </c>
      <c r="M6883">
        <v>0.99088560000000003</v>
      </c>
      <c r="N6883">
        <v>0</v>
      </c>
      <c r="O6883">
        <v>0.1337506</v>
      </c>
      <c r="P6883">
        <v>0.98784989999999995</v>
      </c>
      <c r="Q6883">
        <v>9.1171640000000005E-4</v>
      </c>
      <c r="R6883">
        <v>0.15540870000000001</v>
      </c>
      <c r="S6883">
        <v>2.8231809999999999</v>
      </c>
      <c r="T6883">
        <v>-0.22353880000000001</v>
      </c>
      <c r="U6883">
        <v>1.408844</v>
      </c>
      <c r="V6883">
        <v>-2.2344360000000001E-2</v>
      </c>
      <c r="W6883">
        <v>1.6292149999999998E-2</v>
      </c>
      <c r="X6883">
        <v>0.9996176</v>
      </c>
      <c r="Y6883">
        <v>-0.32234550000000001</v>
      </c>
      <c r="Z6883">
        <v>2.1466850000000002E-3</v>
      </c>
      <c r="AA6883">
        <v>0.94661969999999995</v>
      </c>
      <c r="AB6883">
        <v>34</v>
      </c>
      <c r="AC6883">
        <v>14.0181</v>
      </c>
      <c r="AD6883">
        <v>-1.1218850851459901</v>
      </c>
      <c r="AE6883">
        <v>7.0463199999999899</v>
      </c>
      <c r="AF6883">
        <v>-5.0818389798177996</v>
      </c>
      <c r="AG6883">
        <v>-1.1218850851459901</v>
      </c>
      <c r="AH6883">
        <v>14.7592204760206</v>
      </c>
      <c r="AI6883">
        <v>94.110863531600401</v>
      </c>
      <c r="AJ6883">
        <v>108.999416317008</v>
      </c>
      <c r="AK6883">
        <v>15.6498658978553</v>
      </c>
      <c r="AL6883">
        <v>89.066487288721902</v>
      </c>
      <c r="AM6883">
        <v>91.2805140317667</v>
      </c>
      <c r="AN6883">
        <v>1.00000002540259</v>
      </c>
    </row>
    <row r="6884" spans="1:40" x14ac:dyDescent="0.25">
      <c r="A6884" t="str">
        <f>"20190312154431221"</f>
        <v>20190312154431221</v>
      </c>
      <c r="B6884" t="str">
        <f>"1552376671214039"</f>
        <v>1552376671214039</v>
      </c>
      <c r="C6884" t="s">
        <v>40</v>
      </c>
      <c r="D6884">
        <v>4.9880559999999896</v>
      </c>
      <c r="E6884">
        <v>0.38004139999999997</v>
      </c>
      <c r="F6884" t="s">
        <v>70</v>
      </c>
      <c r="G6884">
        <v>-196.64760000000001</v>
      </c>
      <c r="H6884" s="1">
        <v>-9.0842110000000003E-6</v>
      </c>
      <c r="I6884">
        <v>-54.202509999999997</v>
      </c>
      <c r="J6884">
        <v>-210.2226</v>
      </c>
      <c r="K6884">
        <v>1.1219520000000001</v>
      </c>
      <c r="L6884">
        <v>-61.128660000000004</v>
      </c>
      <c r="M6884">
        <v>0.98992279999999999</v>
      </c>
      <c r="N6884">
        <v>0</v>
      </c>
      <c r="O6884">
        <v>0.14068749999999999</v>
      </c>
      <c r="P6884">
        <v>0.9865642</v>
      </c>
      <c r="Q6884">
        <v>5.1111359999999998E-4</v>
      </c>
      <c r="R6884">
        <v>0.16337289999999999</v>
      </c>
      <c r="S6884">
        <v>2.8130799999999998</v>
      </c>
      <c r="T6884">
        <v>-0.2297497</v>
      </c>
      <c r="U6884">
        <v>1.4239809999999999</v>
      </c>
      <c r="V6884">
        <v>-2.3401689999999999E-2</v>
      </c>
      <c r="W6884">
        <v>1.5958409999999999E-2</v>
      </c>
      <c r="X6884">
        <v>0.99959869999999995</v>
      </c>
      <c r="Y6884">
        <v>-0.32113000000000003</v>
      </c>
      <c r="Z6884">
        <v>1.6437139999999999E-3</v>
      </c>
      <c r="AA6884">
        <v>0.94703369999999998</v>
      </c>
      <c r="AB6884">
        <v>34</v>
      </c>
      <c r="AC6884">
        <v>13.5749999999999</v>
      </c>
      <c r="AD6884">
        <v>-1.1219610842109999</v>
      </c>
      <c r="AE6884">
        <v>6.9261499999999998</v>
      </c>
      <c r="AF6884">
        <v>-4.9204949903569499</v>
      </c>
      <c r="AG6884">
        <v>-1.1219610842109999</v>
      </c>
      <c r="AH6884">
        <v>14.3367930680083</v>
      </c>
      <c r="AI6884">
        <v>94.233277692756403</v>
      </c>
      <c r="AJ6884">
        <v>108.942605261347</v>
      </c>
      <c r="AK6884">
        <v>15.1991349457626</v>
      </c>
      <c r="AL6884">
        <v>89.0856115861272</v>
      </c>
      <c r="AM6884">
        <v>91.341111380964193</v>
      </c>
      <c r="AN6884">
        <v>0.99999993549313404</v>
      </c>
    </row>
    <row r="6885" spans="1:40" x14ac:dyDescent="0.25">
      <c r="A6885" t="str">
        <f>"20190312154431235"</f>
        <v>20190312154431235</v>
      </c>
      <c r="B6885" t="str">
        <f>"1552376671224775"</f>
        <v>1552376671224775</v>
      </c>
      <c r="C6885" t="s">
        <v>40</v>
      </c>
      <c r="D6885">
        <v>4.9960089999999999</v>
      </c>
      <c r="E6885">
        <v>0.38093840000000001</v>
      </c>
      <c r="F6885" t="s">
        <v>70</v>
      </c>
      <c r="G6885">
        <v>-196.79810000000001</v>
      </c>
      <c r="H6885" s="1">
        <v>-9.0905159999999992E-6</v>
      </c>
      <c r="I6885">
        <v>-54.232759999999999</v>
      </c>
      <c r="J6885">
        <v>-210.03829999999999</v>
      </c>
      <c r="K6885">
        <v>1.122066</v>
      </c>
      <c r="L6885">
        <v>-61.096220000000002</v>
      </c>
      <c r="M6885">
        <v>0.98875290000000005</v>
      </c>
      <c r="N6885">
        <v>0</v>
      </c>
      <c r="O6885">
        <v>0.14867669999999999</v>
      </c>
      <c r="P6885">
        <v>0.98503209999999997</v>
      </c>
      <c r="Q6885">
        <v>1.6180799999999999E-4</v>
      </c>
      <c r="R6885">
        <v>0.1723722</v>
      </c>
      <c r="S6885">
        <v>2.802597</v>
      </c>
      <c r="T6885">
        <v>-0.23422850000000001</v>
      </c>
      <c r="U6885">
        <v>1.4396359999999999</v>
      </c>
      <c r="V6885">
        <v>-2.445232E-2</v>
      </c>
      <c r="W6885">
        <v>1.566853E-2</v>
      </c>
      <c r="X6885">
        <v>0.99957819999999997</v>
      </c>
      <c r="Y6885">
        <v>-0.3191116</v>
      </c>
      <c r="Z6885">
        <v>9.8898169999999991E-4</v>
      </c>
      <c r="AA6885">
        <v>0.94771669999999997</v>
      </c>
      <c r="AB6885">
        <v>34</v>
      </c>
      <c r="AC6885">
        <v>13.2401999999999</v>
      </c>
      <c r="AD6885">
        <v>-1.122075090516</v>
      </c>
      <c r="AE6885">
        <v>6.8634599999999901</v>
      </c>
      <c r="AF6885">
        <v>-4.7912671155546702</v>
      </c>
      <c r="AG6885">
        <v>-1.122075090516</v>
      </c>
      <c r="AH6885">
        <v>14.0341318105495</v>
      </c>
      <c r="AI6885">
        <v>94.327053298312805</v>
      </c>
      <c r="AJ6885">
        <v>108.849957790844</v>
      </c>
      <c r="AK6885">
        <v>14.8718576094995</v>
      </c>
      <c r="AL6885">
        <v>89.102222621307803</v>
      </c>
      <c r="AM6885">
        <v>91.401326449705294</v>
      </c>
      <c r="AN6885">
        <v>0.99999999835049103</v>
      </c>
    </row>
    <row r="6886" spans="1:40" x14ac:dyDescent="0.25">
      <c r="A6886" t="str">
        <f>"20190312154431252"</f>
        <v>20190312154431252</v>
      </c>
      <c r="B6886" t="str">
        <f>"1552376671244296"</f>
        <v>1552376671244296</v>
      </c>
      <c r="C6886" t="s">
        <v>40</v>
      </c>
      <c r="D6886">
        <v>4.9859720000000003</v>
      </c>
      <c r="E6886">
        <v>0.38180170000000002</v>
      </c>
      <c r="F6886" t="s">
        <v>70</v>
      </c>
      <c r="G6886">
        <v>-197.0172</v>
      </c>
      <c r="H6886" s="1">
        <v>-9.0939480000000008E-6</v>
      </c>
      <c r="I6886">
        <v>-54.293219999999998</v>
      </c>
      <c r="J6886">
        <v>-209.7852</v>
      </c>
      <c r="K6886">
        <v>1.1222559999999999</v>
      </c>
      <c r="L6886">
        <v>-61.049379999999999</v>
      </c>
      <c r="M6886">
        <v>0.98702120000000004</v>
      </c>
      <c r="N6886">
        <v>0</v>
      </c>
      <c r="O6886">
        <v>0.15975899999999901</v>
      </c>
      <c r="P6886">
        <v>0.98268219999999995</v>
      </c>
      <c r="Q6886">
        <v>-1.0511139999999999E-3</v>
      </c>
      <c r="R6886">
        <v>0.18529670000000001</v>
      </c>
      <c r="S6886">
        <v>2.7904819999999999</v>
      </c>
      <c r="T6886">
        <v>-0.24046619999999999</v>
      </c>
      <c r="U6886">
        <v>1.457916</v>
      </c>
      <c r="V6886">
        <v>-2.6344510000000002E-2</v>
      </c>
      <c r="W6886">
        <v>1.448468E-2</v>
      </c>
      <c r="X6886">
        <v>0.99954799999999999</v>
      </c>
      <c r="Y6886">
        <v>-0.31505620000000001</v>
      </c>
      <c r="Z6886" s="1">
        <v>-1.6236679999999999E-5</v>
      </c>
      <c r="AA6886">
        <v>0.94907300000000006</v>
      </c>
      <c r="AB6886">
        <v>34</v>
      </c>
      <c r="AC6886">
        <v>12.767999999999899</v>
      </c>
      <c r="AD6886">
        <v>-1.1222650939479999</v>
      </c>
      <c r="AE6886">
        <v>6.7561600000000004</v>
      </c>
      <c r="AF6886">
        <v>-4.6015125798820904</v>
      </c>
      <c r="AG6886">
        <v>-1.1222650939479999</v>
      </c>
      <c r="AH6886">
        <v>13.601370145364699</v>
      </c>
      <c r="AI6886">
        <v>94.469120654775693</v>
      </c>
      <c r="AJ6886">
        <v>108.69131724664101</v>
      </c>
      <c r="AK6886">
        <v>14.4024534991482</v>
      </c>
      <c r="AL6886">
        <v>89.170059963654396</v>
      </c>
      <c r="AM6886">
        <v>91.509762280601194</v>
      </c>
      <c r="AN6886">
        <v>1.0000000217329199</v>
      </c>
    </row>
    <row r="6887" spans="1:40" x14ac:dyDescent="0.25">
      <c r="A6887" t="str">
        <f>"20190312154431262"</f>
        <v>20190312154431262</v>
      </c>
      <c r="B6887" t="str">
        <f>"1552376671254054"</f>
        <v>1552376671254054</v>
      </c>
      <c r="C6887" t="s">
        <v>40</v>
      </c>
      <c r="D6887">
        <v>5.0287610000000003</v>
      </c>
      <c r="E6887">
        <v>0.39288889999999999</v>
      </c>
      <c r="F6887" t="s">
        <v>70</v>
      </c>
      <c r="G6887">
        <v>-197.2063</v>
      </c>
      <c r="H6887" s="1">
        <v>-9.1123129999999997E-6</v>
      </c>
      <c r="I6887">
        <v>-54.301490000000001</v>
      </c>
      <c r="J6887">
        <v>-209.62209999999999</v>
      </c>
      <c r="K6887">
        <v>1.122403</v>
      </c>
      <c r="L6887">
        <v>-61.017400000000002</v>
      </c>
      <c r="M6887">
        <v>0.98583120000000002</v>
      </c>
      <c r="N6887">
        <v>0</v>
      </c>
      <c r="O6887">
        <v>0.16694100000000001</v>
      </c>
      <c r="P6887">
        <v>0.98123329999999997</v>
      </c>
      <c r="Q6887">
        <v>-2.1705079999999998E-3</v>
      </c>
      <c r="R6887">
        <v>0.19281309999999999</v>
      </c>
      <c r="S6887">
        <v>2.7721710000000002</v>
      </c>
      <c r="T6887">
        <v>-0.2473284</v>
      </c>
      <c r="U6887">
        <v>1.4871219999999901</v>
      </c>
      <c r="V6887">
        <v>-2.669237E-2</v>
      </c>
      <c r="W6887">
        <v>1.338949E-2</v>
      </c>
      <c r="X6887">
        <v>0.99955400000000005</v>
      </c>
      <c r="Y6887">
        <v>-0.318496</v>
      </c>
      <c r="Z6887">
        <v>-4.5162909999999998E-4</v>
      </c>
      <c r="AA6887">
        <v>0.94792410000000005</v>
      </c>
      <c r="AB6887">
        <v>34</v>
      </c>
      <c r="AC6887">
        <v>12.4157999999999</v>
      </c>
      <c r="AD6887">
        <v>-1.122412112313</v>
      </c>
      <c r="AE6887">
        <v>6.71591</v>
      </c>
      <c r="AF6887">
        <v>-4.5200775293415303</v>
      </c>
      <c r="AG6887">
        <v>-1.122412112313</v>
      </c>
      <c r="AH6887">
        <v>13.278874721148901</v>
      </c>
      <c r="AI6887">
        <v>94.574911100873507</v>
      </c>
      <c r="AJ6887">
        <v>108.798375351329</v>
      </c>
      <c r="AK6887">
        <v>14.071937452998201</v>
      </c>
      <c r="AL6887">
        <v>89.232815793384006</v>
      </c>
      <c r="AM6887">
        <v>91.529679000127402</v>
      </c>
      <c r="AN6887">
        <v>0.99999997998733803</v>
      </c>
    </row>
    <row r="6888" spans="1:40" x14ac:dyDescent="0.25">
      <c r="A6888" t="str">
        <f>"20190312154431274"</f>
        <v>20190312154431274</v>
      </c>
      <c r="B6888" t="str">
        <f>"1552376671264791"</f>
        <v>1552376671264791</v>
      </c>
      <c r="C6888" t="s">
        <v>40</v>
      </c>
      <c r="D6888">
        <v>5.0700399999999997</v>
      </c>
      <c r="E6888">
        <v>0.39375080000000001</v>
      </c>
      <c r="F6888" t="s">
        <v>70</v>
      </c>
      <c r="G6888">
        <v>-197.72749999999999</v>
      </c>
      <c r="H6888" s="1">
        <v>-8.950751E-6</v>
      </c>
      <c r="I6888">
        <v>-54.928780000000003</v>
      </c>
      <c r="J6888">
        <v>-209.45599999999999</v>
      </c>
      <c r="K6888">
        <v>1.122549</v>
      </c>
      <c r="L6888">
        <v>-60.983550000000001</v>
      </c>
      <c r="M6888">
        <v>0.98455959999999998</v>
      </c>
      <c r="N6888">
        <v>0</v>
      </c>
      <c r="O6888">
        <v>0.1742802</v>
      </c>
      <c r="P6888">
        <v>0.97965760000000002</v>
      </c>
      <c r="Q6888">
        <v>-2.780121E-3</v>
      </c>
      <c r="R6888">
        <v>0.20065759999999999</v>
      </c>
      <c r="S6888">
        <v>2.7774510000000001</v>
      </c>
      <c r="T6888">
        <v>-0.26208870000000001</v>
      </c>
      <c r="U6888">
        <v>1.4217219999999999</v>
      </c>
      <c r="V6888">
        <v>-2.723165E-2</v>
      </c>
      <c r="W6888">
        <v>1.2789200000000001E-2</v>
      </c>
      <c r="X6888">
        <v>0.99954739999999997</v>
      </c>
      <c r="Y6888">
        <v>-0.29310700000000001</v>
      </c>
      <c r="Z6888">
        <v>-2.243316E-3</v>
      </c>
      <c r="AA6888">
        <v>0.95607699999999995</v>
      </c>
      <c r="AB6888">
        <v>34</v>
      </c>
      <c r="AC6888">
        <v>11.728499999999899</v>
      </c>
      <c r="AD6888">
        <v>-1.122557950751</v>
      </c>
      <c r="AE6888">
        <v>6.0547699999999898</v>
      </c>
      <c r="AF6888">
        <v>-3.8896291108524199</v>
      </c>
      <c r="AG6888">
        <v>-1.122557950751</v>
      </c>
      <c r="AH6888">
        <v>12.513814263374799</v>
      </c>
      <c r="AI6888">
        <v>94.896164521886405</v>
      </c>
      <c r="AJ6888">
        <v>107.266646018082</v>
      </c>
      <c r="AK6888">
        <v>13.1523723484027</v>
      </c>
      <c r="AL6888">
        <v>89.267212887593203</v>
      </c>
      <c r="AM6888">
        <v>91.560579078176204</v>
      </c>
      <c r="AN6888">
        <v>1.0000000656225501</v>
      </c>
    </row>
    <row r="6889" spans="1:40" x14ac:dyDescent="0.25">
      <c r="A6889" t="str">
        <f>"20190312154431284"</f>
        <v>20190312154431284</v>
      </c>
      <c r="B6889" t="str">
        <f>"1552376671274551"</f>
        <v>1552376671274551</v>
      </c>
      <c r="C6889" t="s">
        <v>40</v>
      </c>
      <c r="D6889">
        <v>5.2575649999999996</v>
      </c>
      <c r="E6889">
        <v>0.39439479999999999</v>
      </c>
      <c r="F6889" t="s">
        <v>70</v>
      </c>
      <c r="G6889">
        <v>-197.3946</v>
      </c>
      <c r="H6889" s="1">
        <v>-8.9865930000000005E-6</v>
      </c>
      <c r="I6889">
        <v>-54.72</v>
      </c>
      <c r="J6889">
        <v>-209.2938</v>
      </c>
      <c r="K6889">
        <v>1.1226929999999999</v>
      </c>
      <c r="L6889">
        <v>-60.949460000000002</v>
      </c>
      <c r="M6889">
        <v>0.98326029999999998</v>
      </c>
      <c r="N6889">
        <v>0</v>
      </c>
      <c r="O6889">
        <v>0.18146490000000001</v>
      </c>
      <c r="P6889">
        <v>0.97810350000000001</v>
      </c>
      <c r="Q6889">
        <v>-3.6551460000000002E-3</v>
      </c>
      <c r="R6889">
        <v>0.20808760000000001</v>
      </c>
      <c r="S6889">
        <v>2.7672270000000001</v>
      </c>
      <c r="T6889">
        <v>-0.25754759999999999</v>
      </c>
      <c r="U6889">
        <v>1.4370419999999999</v>
      </c>
      <c r="V6889">
        <v>-2.7498849999999998E-2</v>
      </c>
      <c r="W6889">
        <v>1.1923329999999999E-2</v>
      </c>
      <c r="X6889">
        <v>0.99955070000000001</v>
      </c>
      <c r="Y6889">
        <v>-0.29177700000000001</v>
      </c>
      <c r="Z6889">
        <v>-2.872239E-3</v>
      </c>
      <c r="AA6889">
        <v>0.9564821</v>
      </c>
      <c r="AB6889">
        <v>34</v>
      </c>
      <c r="AC6889">
        <v>11.8992</v>
      </c>
      <c r="AD6889">
        <v>-1.1227019865929999</v>
      </c>
      <c r="AE6889">
        <v>6.2294599999999898</v>
      </c>
      <c r="AF6889">
        <v>-3.9389067378464202</v>
      </c>
      <c r="AG6889">
        <v>-1.1227019865929999</v>
      </c>
      <c r="AH6889">
        <v>12.7431316304167</v>
      </c>
      <c r="AI6889">
        <v>94.811424679161803</v>
      </c>
      <c r="AJ6889">
        <v>107.176398560371</v>
      </c>
      <c r="AK6889">
        <v>13.3851727590748</v>
      </c>
      <c r="AL6889">
        <v>89.316827309737803</v>
      </c>
      <c r="AM6889">
        <v>91.575878770870204</v>
      </c>
      <c r="AN6889">
        <v>0.99999997721004996</v>
      </c>
    </row>
    <row r="6890" spans="1:40" x14ac:dyDescent="0.25">
      <c r="A6890" t="str">
        <f>"20190312154431296"</f>
        <v>20190312154431296</v>
      </c>
      <c r="B6890" t="str">
        <f>"1552376671284311"</f>
        <v>1552376671284311</v>
      </c>
      <c r="C6890" t="s">
        <v>40</v>
      </c>
      <c r="D6890">
        <v>4.9623599999999897</v>
      </c>
      <c r="E6890">
        <v>0.39439479999999999</v>
      </c>
      <c r="F6890" t="s">
        <v>70</v>
      </c>
      <c r="G6890">
        <v>-196.98650000000001</v>
      </c>
      <c r="H6890" s="1">
        <v>-9.0300399999999994E-6</v>
      </c>
      <c r="I6890">
        <v>-54.465449999999997</v>
      </c>
      <c r="J6890">
        <v>-209.13419999999999</v>
      </c>
      <c r="K6890">
        <v>1.122824</v>
      </c>
      <c r="L6890">
        <v>-60.914180000000002</v>
      </c>
      <c r="M6890">
        <v>0.98191810000000002</v>
      </c>
      <c r="N6890">
        <v>0</v>
      </c>
      <c r="O6890">
        <v>0.18859039999999999</v>
      </c>
      <c r="P6890">
        <v>0.97659609999999997</v>
      </c>
      <c r="Q6890">
        <v>-3.8955880000000002E-3</v>
      </c>
      <c r="R6890">
        <v>0.2150474</v>
      </c>
      <c r="S6890">
        <v>2.7571870000000001</v>
      </c>
      <c r="T6890">
        <v>-0.2515175</v>
      </c>
      <c r="U6890">
        <v>1.4526059999999901</v>
      </c>
      <c r="V6890">
        <v>-2.7366419999999999E-2</v>
      </c>
      <c r="W6890">
        <v>1.1697809999999999E-2</v>
      </c>
      <c r="X6890">
        <v>0.99955700000000003</v>
      </c>
      <c r="Y6890">
        <v>-0.2905433</v>
      </c>
      <c r="Z6890">
        <v>-3.4491970000000002E-3</v>
      </c>
      <c r="AA6890">
        <v>0.95685560000000003</v>
      </c>
      <c r="AB6890">
        <v>34</v>
      </c>
      <c r="AC6890">
        <v>12.147699999999899</v>
      </c>
      <c r="AD6890">
        <v>-1.12283303004</v>
      </c>
      <c r="AE6890">
        <v>6.4487300000000003</v>
      </c>
      <c r="AF6890">
        <v>-4.0149709353928804</v>
      </c>
      <c r="AG6890">
        <v>-1.12283303004</v>
      </c>
      <c r="AH6890">
        <v>13.0589517907424</v>
      </c>
      <c r="AI6890">
        <v>94.698309629397002</v>
      </c>
      <c r="AJ6890">
        <v>107.090030404046</v>
      </c>
      <c r="AK6890">
        <v>13.7082809826153</v>
      </c>
      <c r="AL6890">
        <v>89.329749556059397</v>
      </c>
      <c r="AM6890">
        <v>91.568283513936905</v>
      </c>
      <c r="AN6890">
        <v>0.99999997797570594</v>
      </c>
    </row>
    <row r="6891" spans="1:40" x14ac:dyDescent="0.25">
      <c r="A6891" t="str">
        <f>"20190312154431306"</f>
        <v>20190312154431306</v>
      </c>
      <c r="B6891" t="str">
        <f>"1552376671294071"</f>
        <v>1552376671294071</v>
      </c>
      <c r="C6891" t="s">
        <v>40</v>
      </c>
      <c r="D6891">
        <v>5.0218299999999996</v>
      </c>
      <c r="E6891">
        <v>0.38285350000000001</v>
      </c>
      <c r="F6891" t="s">
        <v>70</v>
      </c>
      <c r="G6891">
        <v>-196.92449999999999</v>
      </c>
      <c r="H6891" s="1">
        <v>-9.0563610000000002E-6</v>
      </c>
      <c r="I6891">
        <v>-54.370570000000001</v>
      </c>
      <c r="J6891">
        <v>-208.9716</v>
      </c>
      <c r="K6891">
        <v>1.1229549999999999</v>
      </c>
      <c r="L6891">
        <v>-60.877619999999901</v>
      </c>
      <c r="M6891">
        <v>0.98049240000000004</v>
      </c>
      <c r="N6891">
        <v>0</v>
      </c>
      <c r="O6891">
        <v>0.1958664</v>
      </c>
      <c r="P6891">
        <v>0.97496309999999997</v>
      </c>
      <c r="Q6891">
        <v>-3.7941400000000001E-3</v>
      </c>
      <c r="R6891">
        <v>0.222334</v>
      </c>
      <c r="S6891">
        <v>2.74675</v>
      </c>
      <c r="T6891">
        <v>-0.25259700000000002</v>
      </c>
      <c r="U6891">
        <v>1.4720759999999999</v>
      </c>
      <c r="V6891">
        <v>-2.7425959999999999E-2</v>
      </c>
      <c r="W6891">
        <v>1.180461E-2</v>
      </c>
      <c r="X6891">
        <v>0.99955419999999995</v>
      </c>
      <c r="Y6891">
        <v>-0.29025190000000001</v>
      </c>
      <c r="Z6891">
        <v>-4.0823739999999997E-3</v>
      </c>
      <c r="AA6891">
        <v>0.95694159999999995</v>
      </c>
      <c r="AB6891">
        <v>34</v>
      </c>
      <c r="AC6891">
        <v>12.0471</v>
      </c>
      <c r="AD6891">
        <v>-1.1229640563609999</v>
      </c>
      <c r="AE6891">
        <v>6.5070499999999996</v>
      </c>
      <c r="AF6891">
        <v>-3.9941690386944702</v>
      </c>
      <c r="AG6891">
        <v>-1.1229640563609999</v>
      </c>
      <c r="AH6891">
        <v>13.000925209489401</v>
      </c>
      <c r="AI6891">
        <v>94.720033701313994</v>
      </c>
      <c r="AJ6891">
        <v>107.078104734314</v>
      </c>
      <c r="AK6891">
        <v>13.6469223960673</v>
      </c>
      <c r="AL6891">
        <v>89.323630003269997</v>
      </c>
      <c r="AM6891">
        <v>91.571698255156505</v>
      </c>
      <c r="AN6891">
        <v>1.0000000654184</v>
      </c>
    </row>
    <row r="6892" spans="1:40" x14ac:dyDescent="0.25">
      <c r="A6892" t="str">
        <f>"20190312154431319"</f>
        <v>20190312154431319</v>
      </c>
      <c r="B6892" t="str">
        <f>"1552376671314566"</f>
        <v>1552376671314566</v>
      </c>
      <c r="C6892" t="s">
        <v>40</v>
      </c>
      <c r="D6892">
        <v>5.042389</v>
      </c>
      <c r="E6892">
        <v>0.38387690000000002</v>
      </c>
      <c r="F6892" t="s">
        <v>70</v>
      </c>
      <c r="G6892">
        <v>-198.63229999999999</v>
      </c>
      <c r="H6892" s="1">
        <v>-9.0803509999999996E-6</v>
      </c>
      <c r="I6892">
        <v>-54.849510000000002</v>
      </c>
      <c r="J6892">
        <v>-208.80289999999999</v>
      </c>
      <c r="K6892">
        <v>1.1230800000000001</v>
      </c>
      <c r="L6892">
        <v>-60.837400000000002</v>
      </c>
      <c r="M6892">
        <v>0.97893450000000004</v>
      </c>
      <c r="N6892">
        <v>0</v>
      </c>
      <c r="O6892">
        <v>0.20350850000000001</v>
      </c>
      <c r="P6892">
        <v>0.97314579999999995</v>
      </c>
      <c r="Q6892">
        <v>-3.728959E-3</v>
      </c>
      <c r="R6892">
        <v>0.23015969999999999</v>
      </c>
      <c r="S6892">
        <v>2.7149200000000002</v>
      </c>
      <c r="T6892">
        <v>-0.29487229999999998</v>
      </c>
      <c r="U6892">
        <v>1.582886</v>
      </c>
      <c r="V6892">
        <v>-2.7665209999999999E-2</v>
      </c>
      <c r="W6892">
        <v>1.1866120000000001E-2</v>
      </c>
      <c r="X6892">
        <v>0.99954679999999996</v>
      </c>
      <c r="Y6892">
        <v>-0.31680730000000001</v>
      </c>
      <c r="Z6892">
        <v>-4.1520669999999997E-3</v>
      </c>
      <c r="AA6892">
        <v>0.94848080000000001</v>
      </c>
      <c r="AB6892">
        <v>34</v>
      </c>
      <c r="AC6892">
        <v>10.1706</v>
      </c>
      <c r="AD6892">
        <v>-1.1230890803510001</v>
      </c>
      <c r="AE6892">
        <v>5.9878900000000002</v>
      </c>
      <c r="AF6892">
        <v>-3.7584307715229399</v>
      </c>
      <c r="AG6892">
        <v>-1.1230890803510001</v>
      </c>
      <c r="AH6892">
        <v>11.076160257785499</v>
      </c>
      <c r="AI6892">
        <v>95.484702550079604</v>
      </c>
      <c r="AJ6892">
        <v>108.743417838242</v>
      </c>
      <c r="AK6892">
        <v>11.750253486749999</v>
      </c>
      <c r="AL6892">
        <v>89.320105439938501</v>
      </c>
      <c r="AM6892">
        <v>91.585413708299498</v>
      </c>
      <c r="AN6892">
        <v>0.99999998701921899</v>
      </c>
    </row>
    <row r="6893" spans="1:40" x14ac:dyDescent="0.25">
      <c r="A6893" t="str">
        <f>"20190312154431331"</f>
        <v>20190312154431331</v>
      </c>
      <c r="B6893" t="str">
        <f>"1552376671324327"</f>
        <v>1552376671324327</v>
      </c>
      <c r="C6893" t="s">
        <v>40</v>
      </c>
      <c r="D6893">
        <v>5.0980990000000004</v>
      </c>
      <c r="E6893">
        <v>0.38472519999999999</v>
      </c>
      <c r="F6893" t="s">
        <v>70</v>
      </c>
      <c r="G6893">
        <v>-198.18369999999999</v>
      </c>
      <c r="H6893" s="1">
        <v>-9.1286040000000003E-6</v>
      </c>
      <c r="I6893">
        <v>-54.568289999999998</v>
      </c>
      <c r="J6893">
        <v>-208.62610000000001</v>
      </c>
      <c r="K6893">
        <v>1.1231979999999999</v>
      </c>
      <c r="L6893">
        <v>-60.794490000000003</v>
      </c>
      <c r="M6893">
        <v>0.97722940000000003</v>
      </c>
      <c r="N6893">
        <v>0</v>
      </c>
      <c r="O6893">
        <v>0.2115438</v>
      </c>
      <c r="P6893">
        <v>0.9712267</v>
      </c>
      <c r="Q6893">
        <v>-2.9482459999999999E-3</v>
      </c>
      <c r="R6893">
        <v>0.2381392</v>
      </c>
      <c r="S6893">
        <v>2.7041170000000001</v>
      </c>
      <c r="T6893">
        <v>-0.28599000000000002</v>
      </c>
      <c r="U6893">
        <v>1.5964050000000001</v>
      </c>
      <c r="V6893">
        <v>-2.7686869999999999E-2</v>
      </c>
      <c r="W6893">
        <v>1.264902E-2</v>
      </c>
      <c r="X6893">
        <v>0.9995366</v>
      </c>
      <c r="Y6893">
        <v>-0.31425619999999999</v>
      </c>
      <c r="Z6893">
        <v>-4.9087509999999899E-3</v>
      </c>
      <c r="AA6893">
        <v>0.94932550000000004</v>
      </c>
      <c r="AB6893">
        <v>34</v>
      </c>
      <c r="AC6893">
        <v>10.442399999999999</v>
      </c>
      <c r="AD6893">
        <v>-1.123207128604</v>
      </c>
      <c r="AE6893">
        <v>6.2261999999999897</v>
      </c>
      <c r="AF6893">
        <v>-3.8431255520561498</v>
      </c>
      <c r="AG6893">
        <v>-1.123207128604</v>
      </c>
      <c r="AH6893">
        <v>11.4257788412359</v>
      </c>
      <c r="AI6893">
        <v>95.323173665991106</v>
      </c>
      <c r="AJ6893">
        <v>108.590657925759</v>
      </c>
      <c r="AK6893">
        <v>12.107007491178299</v>
      </c>
      <c r="AL6893">
        <v>89.275245202648506</v>
      </c>
      <c r="AM6893">
        <v>91.586670529527694</v>
      </c>
      <c r="AN6893">
        <v>0.99999998760845799</v>
      </c>
    </row>
    <row r="6894" spans="1:40" x14ac:dyDescent="0.25">
      <c r="A6894" t="str">
        <f>"20190312154431341"</f>
        <v>20190312154431341</v>
      </c>
      <c r="B6894" t="str">
        <f>"1552376671334087"</f>
        <v>1552376671334087</v>
      </c>
      <c r="C6894" t="s">
        <v>40</v>
      </c>
      <c r="D6894">
        <v>5.0777539999999997</v>
      </c>
      <c r="E6894">
        <v>0.38540259999999998</v>
      </c>
      <c r="F6894" t="s">
        <v>70</v>
      </c>
      <c r="G6894">
        <v>-197.9537</v>
      </c>
      <c r="H6894" s="1">
        <v>-9.1600509999999999E-6</v>
      </c>
      <c r="I6894">
        <v>-54.404980000000002</v>
      </c>
      <c r="J6894">
        <v>-208.4615</v>
      </c>
      <c r="K6894">
        <v>1.1232979999999999</v>
      </c>
      <c r="L6894">
        <v>-60.752589999999998</v>
      </c>
      <c r="M6894">
        <v>0.97555970000000003</v>
      </c>
      <c r="N6894">
        <v>0</v>
      </c>
      <c r="O6894">
        <v>0.21911449999999999</v>
      </c>
      <c r="P6894">
        <v>0.96943550000000001</v>
      </c>
      <c r="Q6894">
        <v>-3.0161110000000001E-3</v>
      </c>
      <c r="R6894">
        <v>0.24532809999999999</v>
      </c>
      <c r="S6894">
        <v>2.6927340000000002</v>
      </c>
      <c r="T6894">
        <v>-0.28339389999999998</v>
      </c>
      <c r="U6894">
        <v>1.6121219999999901</v>
      </c>
      <c r="V6894">
        <v>-2.7343719999999998E-2</v>
      </c>
      <c r="W6894">
        <v>1.259562E-2</v>
      </c>
      <c r="X6894">
        <v>0.99954670000000001</v>
      </c>
      <c r="Y6894">
        <v>-0.3127818</v>
      </c>
      <c r="Z6894">
        <v>-5.6436200000000002E-3</v>
      </c>
      <c r="AA6894">
        <v>0.94980819999999999</v>
      </c>
      <c r="AB6894">
        <v>34</v>
      </c>
      <c r="AC6894">
        <v>10.5078</v>
      </c>
      <c r="AD6894">
        <v>-1.1233071600509901</v>
      </c>
      <c r="AE6894">
        <v>6.3476100000000004</v>
      </c>
      <c r="AF6894">
        <v>-3.8582861870981899</v>
      </c>
      <c r="AG6894">
        <v>-1.1233071600509901</v>
      </c>
      <c r="AH6894">
        <v>11.5467461954833</v>
      </c>
      <c r="AI6894">
        <v>95.271679782494004</v>
      </c>
      <c r="AJ6894">
        <v>108.47678729949401</v>
      </c>
      <c r="AK6894">
        <v>12.2260189342354</v>
      </c>
      <c r="AL6894">
        <v>89.278305026253193</v>
      </c>
      <c r="AM6894">
        <v>91.5669994363261</v>
      </c>
      <c r="AN6894">
        <v>0.99999996707375505</v>
      </c>
    </row>
    <row r="6895" spans="1:40" x14ac:dyDescent="0.25">
      <c r="A6895" t="str">
        <f>"20190312154431355"</f>
        <v>20190312154431355</v>
      </c>
      <c r="B6895" t="str">
        <f>"1552376671344822"</f>
        <v>1552376671344822</v>
      </c>
      <c r="C6895" t="s">
        <v>40</v>
      </c>
      <c r="D6895">
        <v>5.1072879999999996</v>
      </c>
      <c r="E6895">
        <v>0.38598529999999998</v>
      </c>
      <c r="F6895" t="s">
        <v>70</v>
      </c>
      <c r="G6895">
        <v>-197.85769999999999</v>
      </c>
      <c r="H6895" s="1">
        <v>-9.1786989999999996E-6</v>
      </c>
      <c r="I6895">
        <v>-54.321100000000001</v>
      </c>
      <c r="J6895">
        <v>-208.28550000000001</v>
      </c>
      <c r="K6895">
        <v>1.1233949999999999</v>
      </c>
      <c r="L6895">
        <v>-60.706449999999997</v>
      </c>
      <c r="M6895">
        <v>0.97369349999999999</v>
      </c>
      <c r="N6895">
        <v>0</v>
      </c>
      <c r="O6895">
        <v>0.22726209999999999</v>
      </c>
      <c r="P6895">
        <v>0.96743670000000004</v>
      </c>
      <c r="Q6895">
        <v>-2.9196349999999999E-3</v>
      </c>
      <c r="R6895">
        <v>0.25309619999999999</v>
      </c>
      <c r="S6895">
        <v>2.6820369999999998</v>
      </c>
      <c r="T6895">
        <v>-0.28412189999999998</v>
      </c>
      <c r="U6895">
        <v>1.6267400000000001</v>
      </c>
      <c r="V6895">
        <v>-2.701195E-2</v>
      </c>
      <c r="W6895">
        <v>1.270719E-2</v>
      </c>
      <c r="X6895">
        <v>0.99955430000000001</v>
      </c>
      <c r="Y6895">
        <v>-0.31034109999999998</v>
      </c>
      <c r="Z6895">
        <v>-6.5404490000000003E-3</v>
      </c>
      <c r="AA6895">
        <v>0.95060279999999997</v>
      </c>
      <c r="AB6895">
        <v>34</v>
      </c>
      <c r="AC6895">
        <v>10.4278</v>
      </c>
      <c r="AD6895">
        <v>-1.1234041786989999</v>
      </c>
      <c r="AE6895">
        <v>6.3853499999999901</v>
      </c>
      <c r="AF6895">
        <v>-3.8158454070382799</v>
      </c>
      <c r="AG6895">
        <v>-1.1234041786989999</v>
      </c>
      <c r="AH6895">
        <v>11.509064264481999</v>
      </c>
      <c r="AI6895">
        <v>95.293385210290893</v>
      </c>
      <c r="AJ6895">
        <v>108.34300790362499</v>
      </c>
      <c r="AK6895">
        <v>12.177079837264399</v>
      </c>
      <c r="AL6895">
        <v>89.271912017945994</v>
      </c>
      <c r="AM6895">
        <v>91.547984080193601</v>
      </c>
      <c r="AN6895">
        <v>0.99999995838449296</v>
      </c>
    </row>
    <row r="6896" spans="1:40" x14ac:dyDescent="0.25">
      <c r="A6896" t="str">
        <f>"20190312154431371"</f>
        <v>20190312154431371</v>
      </c>
      <c r="B6896" t="str">
        <f>"1552376671364344"</f>
        <v>1552376671364344</v>
      </c>
      <c r="C6896" t="s">
        <v>40</v>
      </c>
      <c r="D6896">
        <v>5.0941070000000002</v>
      </c>
      <c r="E6896">
        <v>0.38751259999999998</v>
      </c>
      <c r="F6896" t="s">
        <v>70</v>
      </c>
      <c r="G6896">
        <v>-197.7088</v>
      </c>
      <c r="H6896" s="1">
        <v>-9.2059939999999999E-6</v>
      </c>
      <c r="I6896">
        <v>-54.195610000000002</v>
      </c>
      <c r="J6896">
        <v>-208.0719</v>
      </c>
      <c r="K6896">
        <v>1.123507</v>
      </c>
      <c r="L6896">
        <v>-60.648650000000004</v>
      </c>
      <c r="M6896">
        <v>0.97131409999999996</v>
      </c>
      <c r="N6896">
        <v>0</v>
      </c>
      <c r="O6896">
        <v>0.2372253</v>
      </c>
      <c r="P6896">
        <v>0.9649432</v>
      </c>
      <c r="Q6896">
        <v>-3.316785E-3</v>
      </c>
      <c r="R6896">
        <v>0.262438</v>
      </c>
      <c r="S6896">
        <v>2.6701199999999998</v>
      </c>
      <c r="T6896">
        <v>-0.28360610000000003</v>
      </c>
      <c r="U6896">
        <v>1.6436770000000001</v>
      </c>
      <c r="V6896">
        <v>-2.6427249999999999E-2</v>
      </c>
      <c r="W6896">
        <v>1.233624E-2</v>
      </c>
      <c r="X6896">
        <v>0.99957459999999998</v>
      </c>
      <c r="Y6896">
        <v>-0.30691740000000001</v>
      </c>
      <c r="Z6896">
        <v>-7.6266390000000002E-3</v>
      </c>
      <c r="AA6896">
        <v>0.95170560000000004</v>
      </c>
      <c r="AB6896">
        <v>34</v>
      </c>
      <c r="AC6896">
        <v>10.363099999999999</v>
      </c>
      <c r="AD6896">
        <v>-1.123516205994</v>
      </c>
      <c r="AE6896">
        <v>6.4530399999999997</v>
      </c>
      <c r="AF6896">
        <v>-3.7780603952136498</v>
      </c>
      <c r="AG6896">
        <v>-1.123516205994</v>
      </c>
      <c r="AH6896">
        <v>11.500824511053001</v>
      </c>
      <c r="AI6896">
        <v>95.302461546897007</v>
      </c>
      <c r="AJ6896">
        <v>108.185529655051</v>
      </c>
      <c r="AK6896">
        <v>12.1575076989098</v>
      </c>
      <c r="AL6896">
        <v>89.293167571246201</v>
      </c>
      <c r="AM6896">
        <v>91.514461490327193</v>
      </c>
      <c r="AN6896">
        <v>0.99999998166252901</v>
      </c>
    </row>
    <row r="6897" spans="1:40" x14ac:dyDescent="0.25">
      <c r="A6897" t="str">
        <f>"20190312154431384"</f>
        <v>20190312154431384</v>
      </c>
      <c r="B6897" t="str">
        <f>"1552376671374103"</f>
        <v>1552376671374103</v>
      </c>
      <c r="C6897" t="s">
        <v>40</v>
      </c>
      <c r="D6897">
        <v>5.1209980000000002</v>
      </c>
      <c r="E6897">
        <v>0.38751259999999998</v>
      </c>
      <c r="F6897" t="s">
        <v>70</v>
      </c>
      <c r="G6897">
        <v>-197.58240000000001</v>
      </c>
      <c r="H6897" s="1">
        <v>-9.2235849999999999E-6</v>
      </c>
      <c r="I6897">
        <v>-54.104979999999998</v>
      </c>
      <c r="J6897">
        <v>-207.85149999999999</v>
      </c>
      <c r="K6897">
        <v>1.12361</v>
      </c>
      <c r="L6897">
        <v>-60.585970000000003</v>
      </c>
      <c r="M6897">
        <v>0.9687114</v>
      </c>
      <c r="N6897">
        <v>0</v>
      </c>
      <c r="O6897">
        <v>0.247638</v>
      </c>
      <c r="P6897">
        <v>0.96222339999999995</v>
      </c>
      <c r="Q6897">
        <v>-3.6693810000000002E-3</v>
      </c>
      <c r="R6897">
        <v>0.27223629999999999</v>
      </c>
      <c r="S6897">
        <v>2.657181</v>
      </c>
      <c r="T6897">
        <v>-0.28460600000000003</v>
      </c>
      <c r="U6897">
        <v>1.6576229999999901</v>
      </c>
      <c r="V6897">
        <v>-2.5853950000000001E-2</v>
      </c>
      <c r="W6897">
        <v>1.201345E-2</v>
      </c>
      <c r="X6897">
        <v>0.99959359999999997</v>
      </c>
      <c r="Y6897">
        <v>-0.30242360000000001</v>
      </c>
      <c r="Z6897">
        <v>-8.8559810000000006E-3</v>
      </c>
      <c r="AA6897">
        <v>0.95313250000000005</v>
      </c>
      <c r="AB6897">
        <v>34</v>
      </c>
      <c r="AC6897">
        <v>10.2690999999999</v>
      </c>
      <c r="AD6897">
        <v>-1.123619223585</v>
      </c>
      <c r="AE6897">
        <v>6.4809899999999896</v>
      </c>
      <c r="AF6897">
        <v>-3.70398743854589</v>
      </c>
      <c r="AG6897">
        <v>-1.123619223585</v>
      </c>
      <c r="AH6897">
        <v>11.4562273643481</v>
      </c>
      <c r="AI6897">
        <v>95.331564446312498</v>
      </c>
      <c r="AJ6897">
        <v>107.91687648911601</v>
      </c>
      <c r="AK6897">
        <v>12.0924434473829</v>
      </c>
      <c r="AL6897">
        <v>89.311663499338593</v>
      </c>
      <c r="AM6897">
        <v>91.481594150907497</v>
      </c>
      <c r="AN6897">
        <v>1.00000005743623</v>
      </c>
    </row>
    <row r="6898" spans="1:40" x14ac:dyDescent="0.25">
      <c r="A6898" t="str">
        <f>"20190312154431397"</f>
        <v>20190312154431397</v>
      </c>
      <c r="B6898" t="str">
        <f>"1552376671394600"</f>
        <v>1552376671394600</v>
      </c>
      <c r="C6898" t="s">
        <v>40</v>
      </c>
      <c r="D6898">
        <v>5.1067080000000002</v>
      </c>
      <c r="E6898">
        <v>0.39756180000000002</v>
      </c>
      <c r="F6898" t="s">
        <v>70</v>
      </c>
      <c r="G6898">
        <v>-197.4554</v>
      </c>
      <c r="H6898" s="1">
        <v>-9.2626949999999999E-6</v>
      </c>
      <c r="I6898">
        <v>-53.952869999999997</v>
      </c>
      <c r="J6898">
        <v>-207.6756</v>
      </c>
      <c r="K6898">
        <v>1.123685</v>
      </c>
      <c r="L6898">
        <v>-60.533940000000001</v>
      </c>
      <c r="M6898">
        <v>0.96652930000000004</v>
      </c>
      <c r="N6898">
        <v>0</v>
      </c>
      <c r="O6898">
        <v>0.25602190000000002</v>
      </c>
      <c r="P6898">
        <v>0.96033020000000002</v>
      </c>
      <c r="Q6898">
        <v>-4.1148529999999999E-3</v>
      </c>
      <c r="R6898">
        <v>0.27883530000000001</v>
      </c>
      <c r="S6898">
        <v>2.640091</v>
      </c>
      <c r="T6898">
        <v>-0.28534379999999998</v>
      </c>
      <c r="U6898">
        <v>1.6844790000000001</v>
      </c>
      <c r="V6898">
        <v>-2.4044679999999999E-2</v>
      </c>
      <c r="W6898">
        <v>1.163963E-2</v>
      </c>
      <c r="X6898">
        <v>0.99964310000000001</v>
      </c>
      <c r="Y6898">
        <v>-0.30387769999999997</v>
      </c>
      <c r="Z6898">
        <v>-9.6035119999999998E-3</v>
      </c>
      <c r="AA6898">
        <v>0.95266260000000003</v>
      </c>
      <c r="AB6898">
        <v>34</v>
      </c>
      <c r="AC6898">
        <v>10.2202</v>
      </c>
      <c r="AD6898">
        <v>-1.1236942626949999</v>
      </c>
      <c r="AE6898">
        <v>6.5810700000000004</v>
      </c>
      <c r="AF6898">
        <v>-3.7129860021653598</v>
      </c>
      <c r="AG6898">
        <v>-1.1236942626949999</v>
      </c>
      <c r="AH6898">
        <v>11.4666182126462</v>
      </c>
      <c r="AI6898">
        <v>95.326351718926503</v>
      </c>
      <c r="AJ6898">
        <v>107.942382955022</v>
      </c>
      <c r="AK6898">
        <v>12.105052130531201</v>
      </c>
      <c r="AL6898">
        <v>89.333083251232296</v>
      </c>
      <c r="AM6898">
        <v>91.377884857181698</v>
      </c>
      <c r="AN6898">
        <v>0.99999997750022396</v>
      </c>
    </row>
    <row r="6899" spans="1:40" x14ac:dyDescent="0.25">
      <c r="A6899" t="str">
        <f>"20190312154431409"</f>
        <v>20190312154431409</v>
      </c>
      <c r="B6899" t="str">
        <f>"1552376671404360"</f>
        <v>1552376671404360</v>
      </c>
      <c r="C6899" t="s">
        <v>40</v>
      </c>
      <c r="D6899">
        <v>5.1150089999999997</v>
      </c>
      <c r="E6899">
        <v>0.39780409999999999</v>
      </c>
      <c r="F6899" t="s">
        <v>70</v>
      </c>
      <c r="G6899">
        <v>-197.0831</v>
      </c>
      <c r="H6899" s="1">
        <v>-9.1905329999999998E-6</v>
      </c>
      <c r="I6899">
        <v>-54.039160000000003</v>
      </c>
      <c r="J6899">
        <v>-207.50540000000001</v>
      </c>
      <c r="K6899">
        <v>1.123761</v>
      </c>
      <c r="L6899">
        <v>-60.482700000000001</v>
      </c>
      <c r="M6899">
        <v>0.96433709999999995</v>
      </c>
      <c r="N6899">
        <v>0</v>
      </c>
      <c r="O6899">
        <v>0.2641577</v>
      </c>
      <c r="P6899">
        <v>0.9582212</v>
      </c>
      <c r="Q6899">
        <v>-4.2561409999999997E-3</v>
      </c>
      <c r="R6899">
        <v>0.28599649999999999</v>
      </c>
      <c r="S6899">
        <v>2.6508029999999998</v>
      </c>
      <c r="T6899">
        <v>-0.281207599999999</v>
      </c>
      <c r="U6899">
        <v>1.6253359999999999</v>
      </c>
      <c r="V6899">
        <v>-2.3081359999999999E-2</v>
      </c>
      <c r="W6899">
        <v>1.154094E-2</v>
      </c>
      <c r="X6899">
        <v>0.99966699999999997</v>
      </c>
      <c r="Y6899">
        <v>-0.27883730000000001</v>
      </c>
      <c r="Z6899">
        <v>-1.146175E-2</v>
      </c>
      <c r="AA6899">
        <v>0.96026999999999996</v>
      </c>
      <c r="AB6899">
        <v>34</v>
      </c>
      <c r="AC6899">
        <v>10.4223</v>
      </c>
      <c r="AD6899">
        <v>-1.123770190533</v>
      </c>
      <c r="AE6899">
        <v>6.4435399999999996</v>
      </c>
      <c r="AF6899">
        <v>-3.4322207803078202</v>
      </c>
      <c r="AG6899">
        <v>-1.123770190533</v>
      </c>
      <c r="AH6899">
        <v>11.656294385197</v>
      </c>
      <c r="AI6899">
        <v>95.283853464272099</v>
      </c>
      <c r="AJ6899">
        <v>106.407177684217</v>
      </c>
      <c r="AK6899">
        <v>12.2029585642287</v>
      </c>
      <c r="AL6899">
        <v>89.338738184203095</v>
      </c>
      <c r="AM6899">
        <v>91.322670033902398</v>
      </c>
      <c r="AN6899">
        <v>1.00000002668226</v>
      </c>
    </row>
    <row r="6900" spans="1:40" x14ac:dyDescent="0.25">
      <c r="A6900" t="str">
        <f>"20190312154431420"</f>
        <v>20190312154431420</v>
      </c>
      <c r="B6900" t="str">
        <f>"1552376671414118"</f>
        <v>1552376671414118</v>
      </c>
      <c r="C6900" t="s">
        <v>40</v>
      </c>
      <c r="D6900">
        <v>5.1020690000000002</v>
      </c>
      <c r="E6900">
        <v>0.39845330000000001</v>
      </c>
      <c r="F6900" t="s">
        <v>70</v>
      </c>
      <c r="G6900">
        <v>-197.03139999999999</v>
      </c>
      <c r="H6900" s="1">
        <v>-9.2121880000000002E-6</v>
      </c>
      <c r="I6900">
        <v>-53.960889999999999</v>
      </c>
      <c r="J6900">
        <v>-207.33009999999999</v>
      </c>
      <c r="K6900">
        <v>1.1238360000000001</v>
      </c>
      <c r="L6900">
        <v>-60.427370000000003</v>
      </c>
      <c r="M6900">
        <v>0.96197220000000006</v>
      </c>
      <c r="N6900">
        <v>0</v>
      </c>
      <c r="O6900">
        <v>0.27264290000000002</v>
      </c>
      <c r="P6900">
        <v>0.95599330000000005</v>
      </c>
      <c r="Q6900">
        <v>-4.4351759999999999E-3</v>
      </c>
      <c r="R6900">
        <v>0.2933557</v>
      </c>
      <c r="S6900">
        <v>2.6390690000000001</v>
      </c>
      <c r="T6900">
        <v>-0.28314780000000001</v>
      </c>
      <c r="U6900">
        <v>1.6432500000000001</v>
      </c>
      <c r="V6900">
        <v>-2.195832E-2</v>
      </c>
      <c r="W6900">
        <v>1.141315E-2</v>
      </c>
      <c r="X6900">
        <v>0.99969379999999997</v>
      </c>
      <c r="Y6900">
        <v>-0.27702650000000001</v>
      </c>
      <c r="Z6900">
        <v>-1.242831E-2</v>
      </c>
      <c r="AA6900">
        <v>0.96078189999999997</v>
      </c>
      <c r="AB6900">
        <v>34</v>
      </c>
      <c r="AC6900">
        <v>10.298699999999901</v>
      </c>
      <c r="AD6900">
        <v>-1.123845212188</v>
      </c>
      <c r="AE6900">
        <v>6.46647999999999</v>
      </c>
      <c r="AF6900">
        <v>-3.3842714788010202</v>
      </c>
      <c r="AG6900">
        <v>-1.123845212188</v>
      </c>
      <c r="AH6900">
        <v>11.5728662638322</v>
      </c>
      <c r="AI6900">
        <v>95.324969238288205</v>
      </c>
      <c r="AJ6900">
        <v>106.300586321341</v>
      </c>
      <c r="AK6900">
        <v>12.1098123463467</v>
      </c>
      <c r="AL6900">
        <v>89.346060516250901</v>
      </c>
      <c r="AM6900">
        <v>91.258302079781998</v>
      </c>
      <c r="AN6900">
        <v>1.00000006078429</v>
      </c>
    </row>
    <row r="6901" spans="1:40" x14ac:dyDescent="0.25">
      <c r="A6901" t="str">
        <f>"20190312154431432"</f>
        <v>20190312154431432</v>
      </c>
      <c r="B6901" t="str">
        <f>"1552376671424854"</f>
        <v>1552376671424854</v>
      </c>
      <c r="C6901" t="s">
        <v>40</v>
      </c>
      <c r="D6901">
        <v>5.1169570000000002</v>
      </c>
      <c r="E6901">
        <v>0.39891270000000001</v>
      </c>
      <c r="F6901" t="s">
        <v>70</v>
      </c>
      <c r="G6901">
        <v>-197.02340000000001</v>
      </c>
      <c r="H6901" s="1">
        <v>-9.2251040000000001E-6</v>
      </c>
      <c r="I6901">
        <v>-53.921550000000003</v>
      </c>
      <c r="J6901">
        <v>-207.17609999999999</v>
      </c>
      <c r="K6901">
        <v>1.1239030000000001</v>
      </c>
      <c r="L6901">
        <v>-60.377780000000001</v>
      </c>
      <c r="M6901">
        <v>0.95982040000000002</v>
      </c>
      <c r="N6901">
        <v>0</v>
      </c>
      <c r="O6901">
        <v>0.28012330000000002</v>
      </c>
      <c r="P6901">
        <v>0.95410349999999999</v>
      </c>
      <c r="Q6901">
        <v>-4.3203319999999996E-3</v>
      </c>
      <c r="R6901">
        <v>0.2994463</v>
      </c>
      <c r="S6901">
        <v>2.6277919999999999</v>
      </c>
      <c r="T6901">
        <v>-0.28653509999999999</v>
      </c>
      <c r="U6901">
        <v>1.658722</v>
      </c>
      <c r="V6901">
        <v>-2.0557740000000001E-2</v>
      </c>
      <c r="W6901">
        <v>1.1587190000000001E-2</v>
      </c>
      <c r="X6901">
        <v>0.99972150000000004</v>
      </c>
      <c r="Y6901">
        <v>-0.27548400000000001</v>
      </c>
      <c r="Z6901">
        <v>-1.3370099999999999E-2</v>
      </c>
      <c r="AA6901">
        <v>0.96121270000000003</v>
      </c>
      <c r="AB6901">
        <v>34</v>
      </c>
      <c r="AC6901">
        <v>10.1526999999999</v>
      </c>
      <c r="AD6901">
        <v>-1.1239122251039999</v>
      </c>
      <c r="AE6901">
        <v>6.4562299999999899</v>
      </c>
      <c r="AF6901">
        <v>-3.32426818860095</v>
      </c>
      <c r="AG6901">
        <v>-1.1239122251039999</v>
      </c>
      <c r="AH6901">
        <v>11.4549462536605</v>
      </c>
      <c r="AI6901">
        <v>95.382985147836706</v>
      </c>
      <c r="AJ6901">
        <v>106.182926036515</v>
      </c>
      <c r="AK6901">
        <v>11.9803894491679</v>
      </c>
      <c r="AL6901">
        <v>89.336088046675798</v>
      </c>
      <c r="AM6901">
        <v>91.1780338394164</v>
      </c>
      <c r="AN6901">
        <v>0.99999998060412598</v>
      </c>
    </row>
    <row r="6902" spans="1:40" x14ac:dyDescent="0.25">
      <c r="A6902" t="str">
        <f>"20190312154431445"</f>
        <v>20190312154431445</v>
      </c>
      <c r="B6902" t="str">
        <f>"1552376671434615"</f>
        <v>1552376671434615</v>
      </c>
      <c r="C6902" t="s">
        <v>40</v>
      </c>
      <c r="D6902">
        <v>5.1297329999999999</v>
      </c>
      <c r="E6902">
        <v>0.3995689</v>
      </c>
      <c r="F6902" t="s">
        <v>70</v>
      </c>
      <c r="G6902">
        <v>-196.77420000000001</v>
      </c>
      <c r="H6902" s="1">
        <v>-9.2625119999999993E-6</v>
      </c>
      <c r="I6902">
        <v>-53.73509</v>
      </c>
      <c r="J6902">
        <v>-206.98769999999999</v>
      </c>
      <c r="K6902">
        <v>1.123988</v>
      </c>
      <c r="L6902">
        <v>-60.315339999999999</v>
      </c>
      <c r="M6902">
        <v>0.95708539999999998</v>
      </c>
      <c r="N6902">
        <v>0</v>
      </c>
      <c r="O6902">
        <v>0.289329</v>
      </c>
      <c r="P6902">
        <v>0.95153030000000005</v>
      </c>
      <c r="Q6902">
        <v>-4.2975060000000004E-3</v>
      </c>
      <c r="R6902">
        <v>0.30752479999999999</v>
      </c>
      <c r="S6902">
        <v>2.6182560000000001</v>
      </c>
      <c r="T6902">
        <v>-0.28289969999999998</v>
      </c>
      <c r="U6902">
        <v>1.6720279999999901</v>
      </c>
      <c r="V6902">
        <v>-1.9436019999999998E-2</v>
      </c>
      <c r="W6902">
        <v>1.166348E-2</v>
      </c>
      <c r="X6902">
        <v>0.99974300000000005</v>
      </c>
      <c r="Y6902">
        <v>-0.27135569999999998</v>
      </c>
      <c r="Z6902">
        <v>-1.4266650000000001E-2</v>
      </c>
      <c r="AA6902">
        <v>0.96237340000000005</v>
      </c>
      <c r="AB6902">
        <v>34</v>
      </c>
      <c r="AC6902">
        <v>10.2134999999999</v>
      </c>
      <c r="AD6902">
        <v>-1.1239972625120001</v>
      </c>
      <c r="AE6902">
        <v>6.5802500000000004</v>
      </c>
      <c r="AF6902">
        <v>-3.31489071581343</v>
      </c>
      <c r="AG6902">
        <v>-1.1239972625120001</v>
      </c>
      <c r="AH6902">
        <v>11.581541507574901</v>
      </c>
      <c r="AI6902">
        <v>95.330498231316099</v>
      </c>
      <c r="AJ6902">
        <v>105.972280964917</v>
      </c>
      <c r="AK6902">
        <v>12.098924497475</v>
      </c>
      <c r="AL6902">
        <v>89.331716622912296</v>
      </c>
      <c r="AM6902">
        <v>91.113747885106704</v>
      </c>
      <c r="AN6902">
        <v>0.99999993084407302</v>
      </c>
    </row>
    <row r="6903" spans="1:40" x14ac:dyDescent="0.25">
      <c r="A6903" t="str">
        <f>"20190312154431456"</f>
        <v>20190312154431456</v>
      </c>
      <c r="B6903" t="str">
        <f>"1552376671444375"</f>
        <v>1552376671444375</v>
      </c>
      <c r="C6903" t="s">
        <v>40</v>
      </c>
      <c r="D6903">
        <v>5.1280729999999997</v>
      </c>
      <c r="E6903">
        <v>0.40015830000000002</v>
      </c>
      <c r="F6903" t="s">
        <v>70</v>
      </c>
      <c r="G6903">
        <v>-196.63050000000001</v>
      </c>
      <c r="H6903" s="1">
        <v>-9.2953610000000008E-6</v>
      </c>
      <c r="I6903">
        <v>-53.599460000000001</v>
      </c>
      <c r="J6903">
        <v>-206.84620000000001</v>
      </c>
      <c r="K6903">
        <v>1.12405</v>
      </c>
      <c r="L6903">
        <v>-60.266660000000002</v>
      </c>
      <c r="M6903">
        <v>0.95494829999999997</v>
      </c>
      <c r="N6903">
        <v>0</v>
      </c>
      <c r="O6903">
        <v>0.296305599999999</v>
      </c>
      <c r="P6903">
        <v>0.94947490000000001</v>
      </c>
      <c r="Q6903">
        <v>-4.5457839999999998E-3</v>
      </c>
      <c r="R6903">
        <v>0.31381019999999998</v>
      </c>
      <c r="S6903">
        <v>2.605515</v>
      </c>
      <c r="T6903">
        <v>-0.28275919999999999</v>
      </c>
      <c r="U6903">
        <v>1.689484</v>
      </c>
      <c r="V6903">
        <v>-1.874578E-2</v>
      </c>
      <c r="W6903">
        <v>1.145034E-2</v>
      </c>
      <c r="X6903">
        <v>0.9997587</v>
      </c>
      <c r="Y6903">
        <v>-0.27104400000000001</v>
      </c>
      <c r="Z6903">
        <v>-1.494034E-2</v>
      </c>
      <c r="AA6903">
        <v>0.96245099999999995</v>
      </c>
      <c r="AB6903">
        <v>34</v>
      </c>
      <c r="AC6903">
        <v>10.215699999999901</v>
      </c>
      <c r="AD6903">
        <v>-1.124059295361</v>
      </c>
      <c r="AE6903">
        <v>6.6671999999999896</v>
      </c>
      <c r="AF6903">
        <v>-3.3122017125955998</v>
      </c>
      <c r="AG6903">
        <v>-1.124059295361</v>
      </c>
      <c r="AH6903">
        <v>11.6338388771069</v>
      </c>
      <c r="AI6903">
        <v>95.309078830006001</v>
      </c>
      <c r="AJ6903">
        <v>105.89187090038899</v>
      </c>
      <c r="AK6903">
        <v>12.1482672222376</v>
      </c>
      <c r="AL6903">
        <v>89.343929498282904</v>
      </c>
      <c r="AM6903">
        <v>91.0741874358541</v>
      </c>
      <c r="AN6903">
        <v>0.99999998638980603</v>
      </c>
    </row>
    <row r="6904" spans="1:40" x14ac:dyDescent="0.25">
      <c r="A6904" t="str">
        <f>"20190312154431469"</f>
        <v>20190312154431469</v>
      </c>
      <c r="B6904" t="str">
        <f>"1552376671463895"</f>
        <v>1552376671463895</v>
      </c>
      <c r="C6904" t="s">
        <v>40</v>
      </c>
      <c r="D6904">
        <v>5.1648990000000001</v>
      </c>
      <c r="E6904">
        <v>0.40087509999999998</v>
      </c>
      <c r="F6904" t="s">
        <v>70</v>
      </c>
      <c r="G6904">
        <v>-196.51599999999999</v>
      </c>
      <c r="H6904" s="1">
        <v>-9.3231679999999999E-6</v>
      </c>
      <c r="I6904">
        <v>-53.491540000000001</v>
      </c>
      <c r="J6904">
        <v>-206.6549</v>
      </c>
      <c r="K6904">
        <v>1.124131</v>
      </c>
      <c r="L6904">
        <v>-60.199770000000001</v>
      </c>
      <c r="M6904">
        <v>0.95196259999999999</v>
      </c>
      <c r="N6904">
        <v>0</v>
      </c>
      <c r="O6904">
        <v>0.30576100000000001</v>
      </c>
      <c r="P6904">
        <v>0.94651010000000002</v>
      </c>
      <c r="Q6904">
        <v>-4.7750470000000001E-3</v>
      </c>
      <c r="R6904">
        <v>0.3226387</v>
      </c>
      <c r="S6904">
        <v>2.5956269999999999</v>
      </c>
      <c r="T6904">
        <v>-0.28243849999999998</v>
      </c>
      <c r="U6904">
        <v>1.7023619999999999</v>
      </c>
      <c r="V6904">
        <v>-1.813704E-2</v>
      </c>
      <c r="W6904">
        <v>1.1257710000000001E-2</v>
      </c>
      <c r="X6904">
        <v>0.99977210000000005</v>
      </c>
      <c r="Y6904">
        <v>-0.26656600000000003</v>
      </c>
      <c r="Z6904">
        <v>-1.6029870000000002E-2</v>
      </c>
      <c r="AA6904">
        <v>0.96368339999999997</v>
      </c>
      <c r="AB6904">
        <v>34</v>
      </c>
      <c r="AC6904">
        <v>10.1389</v>
      </c>
      <c r="AD6904">
        <v>-1.1241403231680001</v>
      </c>
      <c r="AE6904">
        <v>6.7082299999999897</v>
      </c>
      <c r="AF6904">
        <v>-3.2584991063728799</v>
      </c>
      <c r="AG6904">
        <v>-1.1241403231680001</v>
      </c>
      <c r="AH6904">
        <v>11.6053648027791</v>
      </c>
      <c r="AI6904">
        <v>95.327857543553904</v>
      </c>
      <c r="AJ6904">
        <v>105.683427025871</v>
      </c>
      <c r="AK6904">
        <v>12.1064445688232</v>
      </c>
      <c r="AL6904">
        <v>89.354967085420299</v>
      </c>
      <c r="AM6904">
        <v>91.039298725189497</v>
      </c>
      <c r="AN6904">
        <v>0.99999997009640695</v>
      </c>
    </row>
    <row r="6905" spans="1:40" x14ac:dyDescent="0.25">
      <c r="A6905" t="str">
        <f>"20190312154431480"</f>
        <v>20190312154431480</v>
      </c>
      <c r="B6905" t="str">
        <f>"1552376671474631"</f>
        <v>1552376671474631</v>
      </c>
      <c r="C6905" t="s">
        <v>40</v>
      </c>
      <c r="D6905">
        <v>5.1341070000000002</v>
      </c>
      <c r="E6905">
        <v>0.4083813</v>
      </c>
      <c r="F6905" t="s">
        <v>70</v>
      </c>
      <c r="G6905">
        <v>-196.3331</v>
      </c>
      <c r="H6905" s="1">
        <v>-9.3683600000000005E-6</v>
      </c>
      <c r="I6905">
        <v>-53.316969999999998</v>
      </c>
      <c r="J6905">
        <v>-206.49770000000001</v>
      </c>
      <c r="K6905">
        <v>1.1241920000000001</v>
      </c>
      <c r="L6905">
        <v>-60.14246</v>
      </c>
      <c r="M6905">
        <v>0.94940570000000002</v>
      </c>
      <c r="N6905">
        <v>0</v>
      </c>
      <c r="O6905">
        <v>0.31360939999999998</v>
      </c>
      <c r="P6905">
        <v>0.94398219999999999</v>
      </c>
      <c r="Q6905">
        <v>-5.4080760000000004E-3</v>
      </c>
      <c r="R6905">
        <v>0.32995219999999997</v>
      </c>
      <c r="S6905">
        <v>2.581375</v>
      </c>
      <c r="T6905">
        <v>-0.28113539999999998</v>
      </c>
      <c r="U6905">
        <v>1.7213130000000001</v>
      </c>
      <c r="V6905">
        <v>-1.7600359999999999E-2</v>
      </c>
      <c r="W6905">
        <v>1.065646E-2</v>
      </c>
      <c r="X6905">
        <v>0.99978829999999996</v>
      </c>
      <c r="Y6905">
        <v>-0.26598889999999997</v>
      </c>
      <c r="Z6905">
        <v>-1.673061E-2</v>
      </c>
      <c r="AA6905">
        <v>0.96383090000000005</v>
      </c>
      <c r="AB6905">
        <v>34</v>
      </c>
      <c r="AC6905">
        <v>10.1646</v>
      </c>
      <c r="AD6905">
        <v>-1.1242013683600001</v>
      </c>
      <c r="AE6905">
        <v>6.8254900000000003</v>
      </c>
      <c r="AF6905">
        <v>-3.26537302660175</v>
      </c>
      <c r="AG6905">
        <v>-1.1242013683600001</v>
      </c>
      <c r="AH6905">
        <v>11.693917140792299</v>
      </c>
      <c r="AI6905">
        <v>95.290127993073199</v>
      </c>
      <c r="AJ6905">
        <v>105.601693994597</v>
      </c>
      <c r="AK6905">
        <v>12.1932025249807</v>
      </c>
      <c r="AL6905">
        <v>89.389418253956904</v>
      </c>
      <c r="AM6905">
        <v>91.008535700541401</v>
      </c>
      <c r="AN6905">
        <v>0.99999998881437502</v>
      </c>
    </row>
    <row r="6906" spans="1:40" x14ac:dyDescent="0.25">
      <c r="A6906" t="str">
        <f>"20190312154431493"</f>
        <v>20190312154431493</v>
      </c>
      <c r="B6906" t="str">
        <f>"1552376671484391"</f>
        <v>1552376671484391</v>
      </c>
      <c r="C6906" t="s">
        <v>40</v>
      </c>
      <c r="D6906">
        <v>5.1873440000000004</v>
      </c>
      <c r="E6906">
        <v>0.4083813</v>
      </c>
      <c r="F6906" t="s">
        <v>70</v>
      </c>
      <c r="G6906">
        <v>-195.03739999999999</v>
      </c>
      <c r="H6906" s="1">
        <v>-9.4697110000000002E-6</v>
      </c>
      <c r="I6906">
        <v>-52.68224</v>
      </c>
      <c r="J6906">
        <v>-206.33609999999999</v>
      </c>
      <c r="K6906">
        <v>1.1242570000000001</v>
      </c>
      <c r="L6906">
        <v>-60.082520000000002</v>
      </c>
      <c r="M6906">
        <v>0.94669429999999999</v>
      </c>
      <c r="N6906">
        <v>0</v>
      </c>
      <c r="O6906">
        <v>0.32170100000000001</v>
      </c>
      <c r="P6906">
        <v>0.94125899999999996</v>
      </c>
      <c r="Q6906">
        <v>-5.9254569999999899E-3</v>
      </c>
      <c r="R6906">
        <v>0.33763379999999998</v>
      </c>
      <c r="S6906">
        <v>2.5877690000000002</v>
      </c>
      <c r="T6906">
        <v>-0.25384820000000002</v>
      </c>
      <c r="U6906">
        <v>1.6845399999999999</v>
      </c>
      <c r="V6906">
        <v>-1.7199510000000001E-2</v>
      </c>
      <c r="W6906">
        <v>1.01663E-2</v>
      </c>
      <c r="X6906">
        <v>0.99980040000000003</v>
      </c>
      <c r="Y6906">
        <v>-0.247109</v>
      </c>
      <c r="Z6906">
        <v>-1.6651300000000001E-2</v>
      </c>
      <c r="AA6906">
        <v>0.96884459999999994</v>
      </c>
      <c r="AB6906">
        <v>34</v>
      </c>
      <c r="AC6906">
        <v>11.298699999999901</v>
      </c>
      <c r="AD6906">
        <v>-1.1242664697110001</v>
      </c>
      <c r="AE6906">
        <v>7.4002799999999898</v>
      </c>
      <c r="AF6906">
        <v>-3.34826977947428</v>
      </c>
      <c r="AG6906">
        <v>-1.1242664697110001</v>
      </c>
      <c r="AH6906">
        <v>12.988915956224099</v>
      </c>
      <c r="AI6906">
        <v>94.791095504362801</v>
      </c>
      <c r="AJ6906">
        <v>104.454955658066</v>
      </c>
      <c r="AK6906">
        <v>13.460565490680899</v>
      </c>
      <c r="AL6906">
        <v>89.417503887438301</v>
      </c>
      <c r="AM6906">
        <v>90.985558854802093</v>
      </c>
      <c r="AN6906">
        <v>1.00000000832004</v>
      </c>
    </row>
    <row r="6907" spans="1:40" x14ac:dyDescent="0.25">
      <c r="A6907" t="str">
        <f>"20190312154431502"</f>
        <v>20190312154431502</v>
      </c>
      <c r="B6907" t="str">
        <f>"1552376671494150"</f>
        <v>1552376671494150</v>
      </c>
      <c r="C6907" t="s">
        <v>40</v>
      </c>
      <c r="D6907">
        <v>5.305523</v>
      </c>
      <c r="E6907">
        <v>0.40142810000000001</v>
      </c>
      <c r="F6907" t="s">
        <v>70</v>
      </c>
      <c r="G6907">
        <v>-194.93799999999999</v>
      </c>
      <c r="H6907" s="1">
        <v>-9.5160690000000005E-6</v>
      </c>
      <c r="I6907">
        <v>-52.5274199999999</v>
      </c>
      <c r="J6907">
        <v>-206.1987</v>
      </c>
      <c r="K6907">
        <v>1.1243099999999999</v>
      </c>
      <c r="L6907">
        <v>-60.030119999999997</v>
      </c>
      <c r="M6907">
        <v>0.94431290000000001</v>
      </c>
      <c r="N6907">
        <v>0</v>
      </c>
      <c r="O6907">
        <v>0.32862479999999999</v>
      </c>
      <c r="P6907">
        <v>0.93883870000000003</v>
      </c>
      <c r="Q6907">
        <v>-6.463491E-3</v>
      </c>
      <c r="R6907">
        <v>0.34429710000000002</v>
      </c>
      <c r="S6907">
        <v>2.5736849999999998</v>
      </c>
      <c r="T6907">
        <v>-0.25385809999999998</v>
      </c>
      <c r="U6907">
        <v>1.7059329999999999</v>
      </c>
      <c r="V6907">
        <v>-1.6949789999999999E-2</v>
      </c>
      <c r="W6907">
        <v>9.648953E-3</v>
      </c>
      <c r="X6907">
        <v>0.99980979999999997</v>
      </c>
      <c r="Y6907">
        <v>-0.2480676</v>
      </c>
      <c r="Z6907">
        <v>-1.720578E-2</v>
      </c>
      <c r="AA6907">
        <v>0.9685899</v>
      </c>
      <c r="AB6907">
        <v>34</v>
      </c>
      <c r="AC6907">
        <v>11.2607</v>
      </c>
      <c r="AD6907">
        <v>-1.124319516069</v>
      </c>
      <c r="AE6907">
        <v>7.5026999999999999</v>
      </c>
      <c r="AF6907">
        <v>-3.3616142878952502</v>
      </c>
      <c r="AG6907">
        <v>-1.124319516069</v>
      </c>
      <c r="AH6907">
        <v>13.0111942447133</v>
      </c>
      <c r="AI6907">
        <v>94.782481751379606</v>
      </c>
      <c r="AJ6907">
        <v>104.486339819055</v>
      </c>
      <c r="AK6907">
        <v>13.485389155247001</v>
      </c>
      <c r="AL6907">
        <v>89.4471471468662</v>
      </c>
      <c r="AM6907">
        <v>90.971243139290195</v>
      </c>
      <c r="AN6907">
        <v>1.0000000169255301</v>
      </c>
    </row>
    <row r="6908" spans="1:40" x14ac:dyDescent="0.25">
      <c r="A6908" t="str">
        <f>"20190312154431515"</f>
        <v>20190312154431515</v>
      </c>
      <c r="B6908" t="str">
        <f>"1552376671503911"</f>
        <v>1552376671503911</v>
      </c>
      <c r="C6908" t="s">
        <v>40</v>
      </c>
      <c r="D6908">
        <v>5.1271659999999999</v>
      </c>
      <c r="E6908">
        <v>0.40142810000000001</v>
      </c>
      <c r="F6908" t="s">
        <v>70</v>
      </c>
      <c r="G6908">
        <v>-195.80869999999999</v>
      </c>
      <c r="H6908" s="1">
        <v>-9.5163409999999995E-6</v>
      </c>
      <c r="I6908">
        <v>-52.765909999999998</v>
      </c>
      <c r="J6908">
        <v>-206.01990000000001</v>
      </c>
      <c r="K6908">
        <v>1.124382</v>
      </c>
      <c r="L6908">
        <v>-59.960140000000003</v>
      </c>
      <c r="M6908">
        <v>0.94110919999999998</v>
      </c>
      <c r="N6908">
        <v>0</v>
      </c>
      <c r="O6908">
        <v>0.33768930000000003</v>
      </c>
      <c r="P6908">
        <v>0.93550829999999996</v>
      </c>
      <c r="Q6908">
        <v>-6.8406329999999996E-3</v>
      </c>
      <c r="R6908">
        <v>0.35323870000000002</v>
      </c>
      <c r="S6908">
        <v>2.5418240000000001</v>
      </c>
      <c r="T6908">
        <v>-0.27505550000000001</v>
      </c>
      <c r="U6908">
        <v>1.7771300000000001</v>
      </c>
      <c r="V6908">
        <v>-1.6865459999999999E-2</v>
      </c>
      <c r="W6908">
        <v>9.2903880000000001E-3</v>
      </c>
      <c r="X6908">
        <v>0.9998146</v>
      </c>
      <c r="Y6908">
        <v>-0.26277299999999998</v>
      </c>
      <c r="Z6908">
        <v>-1.8747969999999999E-2</v>
      </c>
      <c r="AA6908">
        <v>0.96467550000000002</v>
      </c>
      <c r="AB6908">
        <v>34</v>
      </c>
      <c r="AC6908">
        <v>10.2112</v>
      </c>
      <c r="AD6908">
        <v>-1.1243915163410001</v>
      </c>
      <c r="AE6908">
        <v>7.1942300000000001</v>
      </c>
      <c r="AF6908">
        <v>-3.2960994082613899</v>
      </c>
      <c r="AG6908">
        <v>-1.1243915163410001</v>
      </c>
      <c r="AH6908">
        <v>11.944168891678901</v>
      </c>
      <c r="AI6908">
        <v>95.185126065016902</v>
      </c>
      <c r="AJ6908">
        <v>105.427315515435</v>
      </c>
      <c r="AK6908">
        <v>12.4415311800482</v>
      </c>
      <c r="AL6908">
        <v>89.467692317196494</v>
      </c>
      <c r="AM6908">
        <v>90.966407209911196</v>
      </c>
      <c r="AN6908">
        <v>0.999999994711681</v>
      </c>
    </row>
    <row r="6909" spans="1:40" x14ac:dyDescent="0.25">
      <c r="A6909" t="str">
        <f>"20190312154431525"</f>
        <v>20190312154431525</v>
      </c>
      <c r="B6909" t="str">
        <f>"1552376671514647"</f>
        <v>1552376671514647</v>
      </c>
      <c r="C6909" t="s">
        <v>40</v>
      </c>
      <c r="D6909">
        <v>5.0480280000000004</v>
      </c>
      <c r="E6909">
        <v>0.3650002</v>
      </c>
      <c r="F6909" t="s">
        <v>70</v>
      </c>
      <c r="G6909">
        <v>-195.67570000000001</v>
      </c>
      <c r="H6909" s="1">
        <v>-9.5716289999999993E-6</v>
      </c>
      <c r="I6909">
        <v>-52.577309999999997</v>
      </c>
      <c r="J6909">
        <v>-205.88210000000001</v>
      </c>
      <c r="K6909">
        <v>1.1244339999999999</v>
      </c>
      <c r="L6909">
        <v>-59.905239999999999</v>
      </c>
      <c r="M6909">
        <v>0.93856689999999998</v>
      </c>
      <c r="N6909">
        <v>0</v>
      </c>
      <c r="O6909">
        <v>0.34469129999999998</v>
      </c>
      <c r="P6909">
        <v>0.93299679999999996</v>
      </c>
      <c r="Q6909">
        <v>-7.4592059999999899E-3</v>
      </c>
      <c r="R6909">
        <v>0.35980709999999999</v>
      </c>
      <c r="S6909">
        <v>2.5244599999999999</v>
      </c>
      <c r="T6909">
        <v>-0.27440429999999999</v>
      </c>
      <c r="U6909">
        <v>1.801758</v>
      </c>
      <c r="V6909">
        <v>-1.642741E-2</v>
      </c>
      <c r="W6909">
        <v>8.6986559999999904E-3</v>
      </c>
      <c r="X6909">
        <v>0.99982720000000003</v>
      </c>
      <c r="Y6909">
        <v>-0.26497199999999999</v>
      </c>
      <c r="Z6909">
        <v>-1.9255520000000002E-2</v>
      </c>
      <c r="AA6909">
        <v>0.96406380000000003</v>
      </c>
      <c r="AB6909">
        <v>34</v>
      </c>
      <c r="AC6909">
        <v>10.2064</v>
      </c>
      <c r="AD6909">
        <v>-1.124443571629</v>
      </c>
      <c r="AE6909">
        <v>7.3279300000000003</v>
      </c>
      <c r="AF6909">
        <v>-3.33346812263843</v>
      </c>
      <c r="AG6909">
        <v>-1.124443571629</v>
      </c>
      <c r="AH6909">
        <v>12.0107643602729</v>
      </c>
      <c r="AI6909">
        <v>95.154684932105695</v>
      </c>
      <c r="AJ6909">
        <v>105.511465043531</v>
      </c>
      <c r="AK6909">
        <v>12.5153842764985</v>
      </c>
      <c r="AL6909">
        <v>89.501597427326601</v>
      </c>
      <c r="AM6909">
        <v>90.941299236359598</v>
      </c>
      <c r="AN6909">
        <v>0.99999997813767605</v>
      </c>
    </row>
    <row r="6910" spans="1:40" x14ac:dyDescent="0.25">
      <c r="A6910" t="str">
        <f>"20190312154431535"</f>
        <v>20190312154431535</v>
      </c>
      <c r="B6910" t="str">
        <f>"1552376671524407"</f>
        <v>1552376671524407</v>
      </c>
      <c r="C6910" t="s">
        <v>40</v>
      </c>
      <c r="D6910">
        <v>5.0727549999999999</v>
      </c>
      <c r="E6910">
        <v>0.36352659999999998</v>
      </c>
      <c r="F6910" t="s">
        <v>70</v>
      </c>
      <c r="G6910">
        <v>-197.0985</v>
      </c>
      <c r="H6910" s="1">
        <v>-9.8259690000000007E-6</v>
      </c>
      <c r="I6910">
        <v>-52.268689999999999</v>
      </c>
      <c r="J6910">
        <v>-205.74969999999999</v>
      </c>
      <c r="K6910">
        <v>1.1244829999999999</v>
      </c>
      <c r="L6910">
        <v>-59.850679999999997</v>
      </c>
      <c r="M6910">
        <v>0.93604379999999998</v>
      </c>
      <c r="N6910">
        <v>0</v>
      </c>
      <c r="O6910">
        <v>0.35148489999999999</v>
      </c>
      <c r="P6910">
        <v>0.93039780000000005</v>
      </c>
      <c r="Q6910">
        <v>-7.8821689999999996E-3</v>
      </c>
      <c r="R6910">
        <v>0.36646679999999998</v>
      </c>
      <c r="S6910">
        <v>2.4062190000000001</v>
      </c>
      <c r="T6910">
        <v>-0.30803360000000002</v>
      </c>
      <c r="U6910">
        <v>2.09198</v>
      </c>
      <c r="V6910">
        <v>-1.631496E-2</v>
      </c>
      <c r="W6910">
        <v>8.2919309999999902E-3</v>
      </c>
      <c r="X6910">
        <v>0.99983250000000001</v>
      </c>
      <c r="Y6910">
        <v>-0.3489005</v>
      </c>
      <c r="Z6910">
        <v>-1.7626610000000001E-2</v>
      </c>
      <c r="AA6910">
        <v>0.93699399999999999</v>
      </c>
      <c r="AB6910">
        <v>34</v>
      </c>
      <c r="AC6910">
        <v>8.6511999999999798</v>
      </c>
      <c r="AD6910">
        <v>-1.1244928259689999</v>
      </c>
      <c r="AE6910">
        <v>7.5819900000000002</v>
      </c>
      <c r="AF6910">
        <v>-4.0184785507900198</v>
      </c>
      <c r="AG6910">
        <v>-1.1244928259689999</v>
      </c>
      <c r="AH6910">
        <v>10.662480379529001</v>
      </c>
      <c r="AI6910">
        <v>95.636074205542698</v>
      </c>
      <c r="AJ6910">
        <v>110.650436662337</v>
      </c>
      <c r="AK6910">
        <v>11.449940690792101</v>
      </c>
      <c r="AL6910">
        <v>89.524901896258996</v>
      </c>
      <c r="AM6910">
        <v>90.934851984973903</v>
      </c>
      <c r="AN6910">
        <v>0.99999998104787902</v>
      </c>
    </row>
    <row r="6911" spans="1:40" x14ac:dyDescent="0.25">
      <c r="A6911" t="str">
        <f>"20190312154431545"</f>
        <v>20190312154431545</v>
      </c>
      <c r="B6911" t="str">
        <f>"1552376671534167"</f>
        <v>1552376671534167</v>
      </c>
      <c r="C6911" t="s">
        <v>40</v>
      </c>
      <c r="D6911">
        <v>5.10189</v>
      </c>
      <c r="E6911">
        <v>0.36357220000000001</v>
      </c>
      <c r="F6911" t="s">
        <v>70</v>
      </c>
      <c r="G6911">
        <v>-197.39279999999999</v>
      </c>
      <c r="H6911" s="1">
        <v>-9.7992419999999992E-6</v>
      </c>
      <c r="I6911">
        <v>-52.42306</v>
      </c>
      <c r="J6911">
        <v>-205.60589999999999</v>
      </c>
      <c r="K6911">
        <v>1.1245369999999999</v>
      </c>
      <c r="L6911">
        <v>-59.790860000000002</v>
      </c>
      <c r="M6911">
        <v>0.93323900000000004</v>
      </c>
      <c r="N6911">
        <v>0</v>
      </c>
      <c r="O6911">
        <v>0.35886499999999999</v>
      </c>
      <c r="P6911">
        <v>0.92735369999999995</v>
      </c>
      <c r="Q6911">
        <v>-8.5679599999999995E-3</v>
      </c>
      <c r="R6911">
        <v>0.37408780000000003</v>
      </c>
      <c r="S6911">
        <v>2.386307</v>
      </c>
      <c r="T6911">
        <v>-0.3210964</v>
      </c>
      <c r="U6911">
        <v>2.1209410000000002</v>
      </c>
      <c r="V6911">
        <v>-1.6602530000000001E-2</v>
      </c>
      <c r="W6911">
        <v>7.608643E-3</v>
      </c>
      <c r="X6911">
        <v>0.99983319999999998</v>
      </c>
      <c r="Y6911">
        <v>-0.3517634</v>
      </c>
      <c r="Z6911">
        <v>-1.8989160000000001E-2</v>
      </c>
      <c r="AA6911">
        <v>0.93589630000000001</v>
      </c>
      <c r="AB6911">
        <v>33</v>
      </c>
      <c r="AC6911">
        <v>8.2130999999999901</v>
      </c>
      <c r="AD6911">
        <v>-1.124546799242</v>
      </c>
      <c r="AE6911">
        <v>7.3677999999999901</v>
      </c>
      <c r="AF6911">
        <v>-3.88868116847559</v>
      </c>
      <c r="AG6911">
        <v>-1.124546799242</v>
      </c>
      <c r="AH6911">
        <v>10.204278846900801</v>
      </c>
      <c r="AI6911">
        <v>95.879553419262294</v>
      </c>
      <c r="AJ6911">
        <v>110.861012695935</v>
      </c>
      <c r="AK6911">
        <v>10.9778756378021</v>
      </c>
      <c r="AL6911">
        <v>89.564052653933103</v>
      </c>
      <c r="AM6911">
        <v>90.951326162171199</v>
      </c>
      <c r="AN6911">
        <v>0.99999998163647097</v>
      </c>
    </row>
    <row r="6912" spans="1:40" x14ac:dyDescent="0.25">
      <c r="A6912" t="str">
        <f>"20190312154431557"</f>
        <v>20190312154431557</v>
      </c>
      <c r="B6912" t="str">
        <f>"1552376671554663"</f>
        <v>1552376671554663</v>
      </c>
      <c r="C6912" t="s">
        <v>40</v>
      </c>
      <c r="D6912">
        <v>5.2237939999999998</v>
      </c>
      <c r="E6912">
        <v>0.36478840000000001</v>
      </c>
      <c r="F6912" t="s">
        <v>70</v>
      </c>
      <c r="G6912">
        <v>-197.50129999999999</v>
      </c>
      <c r="H6912" s="1">
        <v>-9.7945150000000002E-6</v>
      </c>
      <c r="I6912">
        <v>-52.465890000000002</v>
      </c>
      <c r="J6912">
        <v>-205.46260000000001</v>
      </c>
      <c r="K6912">
        <v>1.12459</v>
      </c>
      <c r="L6912">
        <v>-59.729129999999998</v>
      </c>
      <c r="M6912">
        <v>0.93034910000000004</v>
      </c>
      <c r="N6912">
        <v>0</v>
      </c>
      <c r="O6912">
        <v>0.36629099999999998</v>
      </c>
      <c r="P6912">
        <v>0.924203</v>
      </c>
      <c r="Q6912">
        <v>-9.1113359999999994E-3</v>
      </c>
      <c r="R6912">
        <v>0.3817931</v>
      </c>
      <c r="S6912">
        <v>2.3684539999999998</v>
      </c>
      <c r="T6912">
        <v>-0.32863379999999998</v>
      </c>
      <c r="U6912">
        <v>2.140625</v>
      </c>
      <c r="V6912">
        <v>-1.6939659999999999E-2</v>
      </c>
      <c r="W6912">
        <v>7.0664940000000004E-3</v>
      </c>
      <c r="X6912">
        <v>0.99983160000000004</v>
      </c>
      <c r="Y6912">
        <v>-0.35212369999999998</v>
      </c>
      <c r="Z6912">
        <v>-2.0230160000000001E-2</v>
      </c>
      <c r="AA6912">
        <v>0.93573479999999998</v>
      </c>
      <c r="AB6912">
        <v>33</v>
      </c>
      <c r="AC6912">
        <v>7.96130000000002</v>
      </c>
      <c r="AD6912">
        <v>-1.1245997945149999</v>
      </c>
      <c r="AE6912">
        <v>7.2632399999999997</v>
      </c>
      <c r="AF6912">
        <v>-3.8003513296520102</v>
      </c>
      <c r="AG6912">
        <v>-1.1245997945149999</v>
      </c>
      <c r="AH6912">
        <v>9.9601987842455006</v>
      </c>
      <c r="AI6912">
        <v>96.021934217897496</v>
      </c>
      <c r="AJ6912">
        <v>110.884541904103</v>
      </c>
      <c r="AK6912">
        <v>10.719746020699199</v>
      </c>
      <c r="AL6912">
        <v>89.595116371569304</v>
      </c>
      <c r="AM6912">
        <v>90.970641629361396</v>
      </c>
      <c r="AN6912">
        <v>1.00000005788846</v>
      </c>
    </row>
    <row r="6913" spans="1:40" x14ac:dyDescent="0.25">
      <c r="A6913" t="str">
        <f>"20190312154431569"</f>
        <v>20190312154431569</v>
      </c>
      <c r="B6913" t="str">
        <f>"1552376671564423"</f>
        <v>1552376671564423</v>
      </c>
      <c r="C6913" t="s">
        <v>40</v>
      </c>
      <c r="D6913">
        <v>5.1497169999999999</v>
      </c>
      <c r="E6913">
        <v>0.36536590000000002</v>
      </c>
      <c r="F6913" t="s">
        <v>70</v>
      </c>
      <c r="G6913">
        <v>-197.36199999999999</v>
      </c>
      <c r="H6913" s="1">
        <v>-9.8319820000000008E-6</v>
      </c>
      <c r="I6913">
        <v>-52.324550000000002</v>
      </c>
      <c r="J6913">
        <v>-205.3031</v>
      </c>
      <c r="K6913">
        <v>1.124652</v>
      </c>
      <c r="L6913">
        <v>-59.659730000000003</v>
      </c>
      <c r="M6913">
        <v>0.92704989999999998</v>
      </c>
      <c r="N6913">
        <v>0</v>
      </c>
      <c r="O6913">
        <v>0.37456159999999999</v>
      </c>
      <c r="P6913">
        <v>0.92064270000000004</v>
      </c>
      <c r="Q6913">
        <v>-9.7080689999999997E-3</v>
      </c>
      <c r="R6913">
        <v>0.39028580000000002</v>
      </c>
      <c r="S6913">
        <v>2.3539430000000001</v>
      </c>
      <c r="T6913">
        <v>-0.32679380000000002</v>
      </c>
      <c r="U6913">
        <v>2.151672</v>
      </c>
      <c r="V6913">
        <v>-1.7222930000000001E-2</v>
      </c>
      <c r="W6913">
        <v>6.4728449999999996E-3</v>
      </c>
      <c r="X6913">
        <v>0.99983069999999996</v>
      </c>
      <c r="Y6913">
        <v>-0.34909709999999899</v>
      </c>
      <c r="Z6913">
        <v>-2.1202349999999998E-2</v>
      </c>
      <c r="AA6913">
        <v>0.93684670000000003</v>
      </c>
      <c r="AB6913">
        <v>33</v>
      </c>
      <c r="AC6913">
        <v>7.9410999999999996</v>
      </c>
      <c r="AD6913">
        <v>-1.1246618319820001</v>
      </c>
      <c r="AE6913">
        <v>7.3351800000000003</v>
      </c>
      <c r="AF6913">
        <v>-3.7852182657494802</v>
      </c>
      <c r="AG6913">
        <v>-1.1246618319820001</v>
      </c>
      <c r="AH6913">
        <v>10.002440399987201</v>
      </c>
      <c r="AI6913">
        <v>96.003196033692504</v>
      </c>
      <c r="AJ6913">
        <v>110.728119771191</v>
      </c>
      <c r="AK6913">
        <v>10.7536763718728</v>
      </c>
      <c r="AL6913">
        <v>89.629130702049395</v>
      </c>
      <c r="AM6913">
        <v>90.986870689995698</v>
      </c>
      <c r="AN6913">
        <v>0.99999997785133399</v>
      </c>
    </row>
    <row r="6914" spans="1:40" x14ac:dyDescent="0.25">
      <c r="A6914" t="str">
        <f>"20190312154431581"</f>
        <v>20190312154431581</v>
      </c>
      <c r="B6914" t="str">
        <f>"1552376671574183"</f>
        <v>1552376671574183</v>
      </c>
      <c r="C6914" t="s">
        <v>40</v>
      </c>
      <c r="D6914">
        <v>5.0958360000000003</v>
      </c>
      <c r="E6914">
        <v>0.36598829999999999</v>
      </c>
      <c r="F6914" t="s">
        <v>70</v>
      </c>
      <c r="G6914">
        <v>-197.3272</v>
      </c>
      <c r="H6914" s="1">
        <v>-9.8547079999999992E-6</v>
      </c>
      <c r="I6914">
        <v>-52.252490000000002</v>
      </c>
      <c r="J6914">
        <v>-205.14250000000001</v>
      </c>
      <c r="K6914">
        <v>1.1247119999999999</v>
      </c>
      <c r="L6914">
        <v>-59.587040000000002</v>
      </c>
      <c r="M6914">
        <v>0.92360410000000004</v>
      </c>
      <c r="N6914">
        <v>0</v>
      </c>
      <c r="O6914">
        <v>0.38297880000000001</v>
      </c>
      <c r="P6914">
        <v>0.91694600000000004</v>
      </c>
      <c r="Q6914">
        <v>-9.9382140000000008E-3</v>
      </c>
      <c r="R6914">
        <v>0.39888760000000001</v>
      </c>
      <c r="S6914">
        <v>2.3356170000000001</v>
      </c>
      <c r="T6914">
        <v>-0.32934049999999998</v>
      </c>
      <c r="U6914">
        <v>2.169098</v>
      </c>
      <c r="V6914">
        <v>-1.7482299999999999E-2</v>
      </c>
      <c r="W6914">
        <v>6.2492119999999996E-3</v>
      </c>
      <c r="X6914">
        <v>0.99982760000000004</v>
      </c>
      <c r="Y6914">
        <v>-0.34803060000000002</v>
      </c>
      <c r="Z6914">
        <v>-2.2364330000000002E-2</v>
      </c>
      <c r="AA6914">
        <v>0.93721639999999995</v>
      </c>
      <c r="AB6914">
        <v>33</v>
      </c>
      <c r="AC6914">
        <v>7.8152999999999997</v>
      </c>
      <c r="AD6914">
        <v>-1.124721854708</v>
      </c>
      <c r="AE6914">
        <v>7.3345500000000001</v>
      </c>
      <c r="AF6914">
        <v>-3.7404707303718698</v>
      </c>
      <c r="AG6914">
        <v>-1.124721854708</v>
      </c>
      <c r="AH6914">
        <v>9.9194053898793193</v>
      </c>
      <c r="AI6914">
        <v>96.056066433491097</v>
      </c>
      <c r="AJ6914">
        <v>110.66076632004</v>
      </c>
      <c r="AK6914">
        <v>10.6607093490064</v>
      </c>
      <c r="AL6914">
        <v>89.641944181044593</v>
      </c>
      <c r="AM6914">
        <v>91.001732642158402</v>
      </c>
      <c r="AN6914">
        <v>0.99999995659283403</v>
      </c>
    </row>
    <row r="6915" spans="1:40" x14ac:dyDescent="0.25">
      <c r="A6915" t="str">
        <f>"20190312154431592"</f>
        <v>20190312154431592</v>
      </c>
      <c r="B6915" t="str">
        <f>"1552376671583943"</f>
        <v>1552376671583943</v>
      </c>
      <c r="C6915" t="s">
        <v>40</v>
      </c>
      <c r="D6915">
        <v>5.0735910000000004</v>
      </c>
      <c r="E6915">
        <v>0.36663430000000002</v>
      </c>
      <c r="F6915" t="s">
        <v>70</v>
      </c>
      <c r="G6915">
        <v>-197.34649999999999</v>
      </c>
      <c r="H6915" s="1">
        <v>-9.8650729999999993E-6</v>
      </c>
      <c r="I6915">
        <v>-52.229289999999999</v>
      </c>
      <c r="J6915">
        <v>-204.9941</v>
      </c>
      <c r="K6915">
        <v>1.124765</v>
      </c>
      <c r="L6915">
        <v>-59.518979999999999</v>
      </c>
      <c r="M6915">
        <v>0.92033529999999997</v>
      </c>
      <c r="N6915">
        <v>0</v>
      </c>
      <c r="O6915">
        <v>0.39076820000000001</v>
      </c>
      <c r="P6915">
        <v>0.91348609999999997</v>
      </c>
      <c r="Q6915">
        <v>-1.0296929999999999E-2</v>
      </c>
      <c r="R6915">
        <v>0.40673999999999999</v>
      </c>
      <c r="S6915">
        <v>2.3168790000000001</v>
      </c>
      <c r="T6915">
        <v>-0.33425559999999999</v>
      </c>
      <c r="U6915">
        <v>2.1866460000000001</v>
      </c>
      <c r="V6915">
        <v>-1.7603440000000001E-2</v>
      </c>
      <c r="W6915">
        <v>5.9006509999999998E-3</v>
      </c>
      <c r="X6915">
        <v>0.99982760000000004</v>
      </c>
      <c r="Y6915">
        <v>-0.3476842</v>
      </c>
      <c r="Z6915">
        <v>-2.3602120000000001E-2</v>
      </c>
      <c r="AA6915">
        <v>0.9373146</v>
      </c>
      <c r="AB6915">
        <v>33</v>
      </c>
      <c r="AC6915">
        <v>7.6476000000000104</v>
      </c>
      <c r="AD6915">
        <v>-1.1247748650730001</v>
      </c>
      <c r="AE6915">
        <v>7.2896900000000002</v>
      </c>
      <c r="AF6915">
        <v>-3.67934670525739</v>
      </c>
      <c r="AG6915">
        <v>-1.1247748650730001</v>
      </c>
      <c r="AH6915">
        <v>9.7775206996185595</v>
      </c>
      <c r="AI6915">
        <v>96.145135859498197</v>
      </c>
      <c r="AJ6915">
        <v>110.621655853771</v>
      </c>
      <c r="AK6915">
        <v>10.507265186815101</v>
      </c>
      <c r="AL6915">
        <v>89.661915627329293</v>
      </c>
      <c r="AM6915">
        <v>91.008672513184493</v>
      </c>
      <c r="AN6915">
        <v>0.99999996425190796</v>
      </c>
    </row>
    <row r="6916" spans="1:40" x14ac:dyDescent="0.25">
      <c r="A6916" t="str">
        <f>"20190312154431602"</f>
        <v>20190312154431602</v>
      </c>
      <c r="B6916" t="str">
        <f>"1552376671594680"</f>
        <v>1552376671594680</v>
      </c>
      <c r="C6916" t="s">
        <v>40</v>
      </c>
      <c r="D6916">
        <v>5.1163749999999997</v>
      </c>
      <c r="E6916">
        <v>0.3674656</v>
      </c>
      <c r="F6916" t="s">
        <v>70</v>
      </c>
      <c r="G6916">
        <v>-197.30940000000001</v>
      </c>
      <c r="H6916" s="1">
        <v>-9.8859350000000004E-6</v>
      </c>
      <c r="I6916">
        <v>-52.161709999999999</v>
      </c>
      <c r="J6916">
        <v>-204.851</v>
      </c>
      <c r="K6916">
        <v>1.1248149999999999</v>
      </c>
      <c r="L6916">
        <v>-59.451599999999999</v>
      </c>
      <c r="M6916">
        <v>0.91709039999999997</v>
      </c>
      <c r="N6916">
        <v>0</v>
      </c>
      <c r="O6916">
        <v>0.39832329999999999</v>
      </c>
      <c r="P6916">
        <v>0.91024989999999995</v>
      </c>
      <c r="Q6916">
        <v>-1.100015E-2</v>
      </c>
      <c r="R6916">
        <v>0.41391319999999998</v>
      </c>
      <c r="S6916">
        <v>2.2998959999999999</v>
      </c>
      <c r="T6916">
        <v>-0.33662560000000002</v>
      </c>
      <c r="U6916">
        <v>2.2019039999999999</v>
      </c>
      <c r="V6916">
        <v>-1.7225440000000002E-2</v>
      </c>
      <c r="W6916">
        <v>5.2249829999999999E-3</v>
      </c>
      <c r="X6916">
        <v>0.999838</v>
      </c>
      <c r="Y6916">
        <v>-0.3467133</v>
      </c>
      <c r="Z6916">
        <v>-2.469056E-2</v>
      </c>
      <c r="AA6916">
        <v>0.93764610000000004</v>
      </c>
      <c r="AB6916">
        <v>33</v>
      </c>
      <c r="AC6916">
        <v>7.5415999999999803</v>
      </c>
      <c r="AD6916">
        <v>-1.1248248859350001</v>
      </c>
      <c r="AE6916">
        <v>7.2898899999999998</v>
      </c>
      <c r="AF6916">
        <v>-3.6401530850262098</v>
      </c>
      <c r="AG6916">
        <v>-1.1248248859350001</v>
      </c>
      <c r="AH6916">
        <v>9.7097910179220293</v>
      </c>
      <c r="AI6916">
        <v>96.190795896974706</v>
      </c>
      <c r="AJ6916">
        <v>110.55077576356599</v>
      </c>
      <c r="AK6916">
        <v>10.4305314878084</v>
      </c>
      <c r="AL6916">
        <v>89.7006291702601</v>
      </c>
      <c r="AM6916">
        <v>90.987007279132001</v>
      </c>
      <c r="AN6916">
        <v>1.0000000212372699</v>
      </c>
    </row>
    <row r="6917" spans="1:40" x14ac:dyDescent="0.25">
      <c r="A6917" t="str">
        <f>"20190312154431613"</f>
        <v>20190312154431613</v>
      </c>
      <c r="B6917" t="str">
        <f>"1552376671604439"</f>
        <v>1552376671604439</v>
      </c>
      <c r="C6917" t="s">
        <v>40</v>
      </c>
      <c r="D6917">
        <v>5.1506809999999996</v>
      </c>
      <c r="E6917">
        <v>0.3674656</v>
      </c>
      <c r="F6917" t="s">
        <v>70</v>
      </c>
      <c r="G6917">
        <v>-197.27719999999999</v>
      </c>
      <c r="H6917" s="1">
        <v>-9.9006400000000008E-6</v>
      </c>
      <c r="I6917">
        <v>-52.112430000000003</v>
      </c>
      <c r="J6917">
        <v>-204.72120000000001</v>
      </c>
      <c r="K6917">
        <v>1.124854</v>
      </c>
      <c r="L6917">
        <v>-59.389279999999999</v>
      </c>
      <c r="M6917">
        <v>0.91406889999999996</v>
      </c>
      <c r="N6917">
        <v>0</v>
      </c>
      <c r="O6917">
        <v>0.40520830000000002</v>
      </c>
      <c r="P6917">
        <v>0.90716889999999994</v>
      </c>
      <c r="Q6917">
        <v>-1.195122E-2</v>
      </c>
      <c r="R6917">
        <v>0.420597</v>
      </c>
      <c r="S6917">
        <v>2.284897</v>
      </c>
      <c r="T6917">
        <v>-0.33934199999999998</v>
      </c>
      <c r="U6917">
        <v>2.2141109999999999</v>
      </c>
      <c r="V6917">
        <v>-1.7031950000000001E-2</v>
      </c>
      <c r="W6917">
        <v>4.2932539999999998E-3</v>
      </c>
      <c r="X6917">
        <v>0.99984569999999995</v>
      </c>
      <c r="Y6917">
        <v>-0.34535680000000002</v>
      </c>
      <c r="Z6917">
        <v>-2.576815E-2</v>
      </c>
      <c r="AA6917">
        <v>0.9381176</v>
      </c>
      <c r="AB6917">
        <v>33</v>
      </c>
      <c r="AC6917">
        <v>7.4440000000000097</v>
      </c>
      <c r="AD6917">
        <v>-1.1248639006399901</v>
      </c>
      <c r="AE6917">
        <v>7.2768499999999996</v>
      </c>
      <c r="AF6917">
        <v>-3.5937267859375601</v>
      </c>
      <c r="AG6917">
        <v>-1.1248639006399901</v>
      </c>
      <c r="AH6917">
        <v>9.6417744754692905</v>
      </c>
      <c r="AI6917">
        <v>96.238744481549503</v>
      </c>
      <c r="AJ6917">
        <v>110.44166341283299</v>
      </c>
      <c r="AK6917">
        <v>10.3510388871233</v>
      </c>
      <c r="AL6917">
        <v>89.754013902756796</v>
      </c>
      <c r="AM6917">
        <v>90.975915061449101</v>
      </c>
      <c r="AN6917">
        <v>0.99999997157959997</v>
      </c>
    </row>
    <row r="6918" spans="1:40" x14ac:dyDescent="0.25">
      <c r="A6918" t="str">
        <f>"20190312154431623"</f>
        <v>20190312154431623</v>
      </c>
      <c r="B6918" t="str">
        <f>"1552376671614199"</f>
        <v>1552376671614199</v>
      </c>
      <c r="C6918" t="s">
        <v>40</v>
      </c>
      <c r="D6918">
        <v>5.0439369999999997</v>
      </c>
      <c r="E6918">
        <v>0.37924170000000001</v>
      </c>
      <c r="F6918" t="s">
        <v>70</v>
      </c>
      <c r="G6918">
        <v>-197.23929999999999</v>
      </c>
      <c r="H6918" s="1">
        <v>-9.9269130000000003E-6</v>
      </c>
      <c r="I6918">
        <v>-52.02975</v>
      </c>
      <c r="J6918">
        <v>-204.57929999999999</v>
      </c>
      <c r="K6918">
        <v>1.1248990000000001</v>
      </c>
      <c r="L6918">
        <v>-59.31973</v>
      </c>
      <c r="M6918">
        <v>0.91068039999999995</v>
      </c>
      <c r="N6918">
        <v>0</v>
      </c>
      <c r="O6918">
        <v>0.41276649999999998</v>
      </c>
      <c r="P6918">
        <v>0.90363479999999996</v>
      </c>
      <c r="Q6918">
        <v>-1.2659129999999999E-2</v>
      </c>
      <c r="R6918">
        <v>0.42811650000000001</v>
      </c>
      <c r="S6918">
        <v>2.2681119999999999</v>
      </c>
      <c r="T6918">
        <v>-0.34099849999999998</v>
      </c>
      <c r="U6918">
        <v>2.2310180000000002</v>
      </c>
      <c r="V6918">
        <v>-1.703199E-2</v>
      </c>
      <c r="W6918">
        <v>3.5989849999999999E-3</v>
      </c>
      <c r="X6918">
        <v>0.99984850000000003</v>
      </c>
      <c r="Y6918">
        <v>-0.3446475</v>
      </c>
      <c r="Z6918">
        <v>-2.6804120000000001E-2</v>
      </c>
      <c r="AA6918">
        <v>0.9383494</v>
      </c>
      <c r="AB6918">
        <v>33</v>
      </c>
      <c r="AC6918">
        <v>7.34</v>
      </c>
      <c r="AD6918">
        <v>-1.1249089269129999</v>
      </c>
      <c r="AE6918">
        <v>7.2899799999999999</v>
      </c>
      <c r="AF6918">
        <v>-3.56746775786505</v>
      </c>
      <c r="AG6918">
        <v>-1.1249089269129999</v>
      </c>
      <c r="AH6918">
        <v>9.5815412342015307</v>
      </c>
      <c r="AI6918">
        <v>96.278710602770303</v>
      </c>
      <c r="AJ6918">
        <v>110.42166404404701</v>
      </c>
      <c r="AK6918">
        <v>10.285824163379401</v>
      </c>
      <c r="AL6918">
        <v>89.793792910443798</v>
      </c>
      <c r="AM6918">
        <v>90.975914620514899</v>
      </c>
      <c r="AN6918">
        <v>1.0000000321643101</v>
      </c>
    </row>
    <row r="6919" spans="1:40" x14ac:dyDescent="0.25">
      <c r="A6919" t="str">
        <f>"20190312154431633"</f>
        <v>20190312154431633</v>
      </c>
      <c r="B6919" t="str">
        <f>"1552376671623959"</f>
        <v>1552376671623959</v>
      </c>
      <c r="C6919" t="s">
        <v>40</v>
      </c>
      <c r="D6919">
        <v>4.9973869999999998</v>
      </c>
      <c r="E6919">
        <v>0.38073499999999999</v>
      </c>
      <c r="F6919" t="s">
        <v>70</v>
      </c>
      <c r="G6919">
        <v>-197.2509</v>
      </c>
      <c r="H6919" s="1">
        <v>-9.7979990000000006E-6</v>
      </c>
      <c r="I6919">
        <v>-52.387500000000003</v>
      </c>
      <c r="J6919">
        <v>-204.4538</v>
      </c>
      <c r="K6919">
        <v>1.124935</v>
      </c>
      <c r="L6919">
        <v>-59.256959999999999</v>
      </c>
      <c r="M6919">
        <v>0.90760759999999996</v>
      </c>
      <c r="N6919">
        <v>0</v>
      </c>
      <c r="O6919">
        <v>0.41947960000000001</v>
      </c>
      <c r="P6919">
        <v>0.90044469999999999</v>
      </c>
      <c r="Q6919">
        <v>-1.3731200000000001E-2</v>
      </c>
      <c r="R6919">
        <v>0.43475399999999997</v>
      </c>
      <c r="S6919">
        <v>2.2891080000000001</v>
      </c>
      <c r="T6919">
        <v>-0.35138019999999998</v>
      </c>
      <c r="U6919">
        <v>2.165375</v>
      </c>
      <c r="V6919">
        <v>-1.697483E-2</v>
      </c>
      <c r="W6919">
        <v>2.5408879999999998E-3</v>
      </c>
      <c r="X6919">
        <v>0.99985270000000004</v>
      </c>
      <c r="Y6919">
        <v>-0.31945849999999998</v>
      </c>
      <c r="Z6919">
        <v>-3.0071250000000001E-2</v>
      </c>
      <c r="AA6919">
        <v>0.94712300000000005</v>
      </c>
      <c r="AB6919">
        <v>33</v>
      </c>
      <c r="AC6919">
        <v>7.2028999999999996</v>
      </c>
      <c r="AD6919">
        <v>-1.1249447979989999</v>
      </c>
      <c r="AE6919">
        <v>6.8694599999999904</v>
      </c>
      <c r="AF6919">
        <v>-3.1732292854459199</v>
      </c>
      <c r="AG6919">
        <v>-1.1249447979989999</v>
      </c>
      <c r="AH6919">
        <v>9.3015345839308097</v>
      </c>
      <c r="AI6919">
        <v>96.529897754721304</v>
      </c>
      <c r="AJ6919">
        <v>108.83713440931</v>
      </c>
      <c r="AK6919">
        <v>9.8920892895594896</v>
      </c>
      <c r="AL6919">
        <v>89.854417686384593</v>
      </c>
      <c r="AM6919">
        <v>90.972635959631106</v>
      </c>
      <c r="AN6919">
        <v>1.0000000113313201</v>
      </c>
    </row>
    <row r="6920" spans="1:40" x14ac:dyDescent="0.25">
      <c r="A6920" t="str">
        <f>"20190312154431642"</f>
        <v>20190312154431642</v>
      </c>
      <c r="B6920" t="str">
        <f>"1552376671634695"</f>
        <v>1552376671634695</v>
      </c>
      <c r="C6920" t="s">
        <v>40</v>
      </c>
      <c r="D6920">
        <v>5.0828709999999999</v>
      </c>
      <c r="E6920">
        <v>0.38139070000000003</v>
      </c>
      <c r="F6920" t="s">
        <v>70</v>
      </c>
      <c r="G6920">
        <v>-197.47810000000001</v>
      </c>
      <c r="H6920" s="1">
        <v>-9.7417429999999995E-6</v>
      </c>
      <c r="I6920">
        <v>-52.604649999999999</v>
      </c>
      <c r="J6920">
        <v>-204.33090000000001</v>
      </c>
      <c r="K6920">
        <v>1.12497</v>
      </c>
      <c r="L6920">
        <v>-59.194400000000002</v>
      </c>
      <c r="M6920">
        <v>0.90452969999999999</v>
      </c>
      <c r="N6920">
        <v>0</v>
      </c>
      <c r="O6920">
        <v>0.4260755</v>
      </c>
      <c r="P6920">
        <v>0.89717599999999997</v>
      </c>
      <c r="Q6920">
        <v>-1.3988759999999999E-2</v>
      </c>
      <c r="R6920">
        <v>0.44145180000000001</v>
      </c>
      <c r="S6920">
        <v>2.2774510000000001</v>
      </c>
      <c r="T6920">
        <v>-0.36727680000000001</v>
      </c>
      <c r="U6920">
        <v>2.171875</v>
      </c>
      <c r="V6920">
        <v>-1.7139809999999998E-2</v>
      </c>
      <c r="W6920">
        <v>2.2886410000000001E-3</v>
      </c>
      <c r="X6920">
        <v>0.99985049999999998</v>
      </c>
      <c r="Y6920">
        <v>-0.31648589999999999</v>
      </c>
      <c r="Z6920">
        <v>-3.2454520000000001E-2</v>
      </c>
      <c r="AA6920">
        <v>0.94804189999999999</v>
      </c>
      <c r="AB6920">
        <v>33</v>
      </c>
      <c r="AC6920">
        <v>6.8528000000000002</v>
      </c>
      <c r="AD6920">
        <v>-1.1249797417430001</v>
      </c>
      <c r="AE6920">
        <v>6.5897500000000004</v>
      </c>
      <c r="AF6920">
        <v>-2.9992533429112598</v>
      </c>
      <c r="AG6920">
        <v>-1.1249797417430001</v>
      </c>
      <c r="AH6920">
        <v>8.8831964929814191</v>
      </c>
      <c r="AI6920">
        <v>96.842031604046298</v>
      </c>
      <c r="AJ6920">
        <v>108.65633939982401</v>
      </c>
      <c r="AK6920">
        <v>9.4431075376283804</v>
      </c>
      <c r="AL6920">
        <v>89.868870417590003</v>
      </c>
      <c r="AM6920">
        <v>90.982089419700699</v>
      </c>
      <c r="AN6920">
        <v>1.0000000166573499</v>
      </c>
    </row>
    <row r="6921" spans="1:40" x14ac:dyDescent="0.25">
      <c r="A6921" t="str">
        <f>"20190312154431654"</f>
        <v>20190312154431654</v>
      </c>
      <c r="B6921" t="str">
        <f>"1552376671644455"</f>
        <v>1552376671644455</v>
      </c>
      <c r="C6921" t="s">
        <v>40</v>
      </c>
      <c r="D6921">
        <v>5.0878809999999897</v>
      </c>
      <c r="E6921">
        <v>0.3820424</v>
      </c>
      <c r="F6921" t="s">
        <v>70</v>
      </c>
      <c r="G6921">
        <v>-197.37569999999999</v>
      </c>
      <c r="H6921" s="1">
        <v>-9.7751060000000004E-6</v>
      </c>
      <c r="I6921">
        <v>-52.484729999999999</v>
      </c>
      <c r="J6921">
        <v>-204.18610000000001</v>
      </c>
      <c r="K6921">
        <v>1.1250100000000001</v>
      </c>
      <c r="L6921">
        <v>-59.119079999999997</v>
      </c>
      <c r="M6921">
        <v>0.90081009999999995</v>
      </c>
      <c r="N6921">
        <v>0</v>
      </c>
      <c r="O6921">
        <v>0.43388349999999998</v>
      </c>
      <c r="P6921">
        <v>0.89331939999999999</v>
      </c>
      <c r="Q6921">
        <v>-1.4568619999999999E-2</v>
      </c>
      <c r="R6921">
        <v>0.44918639999999999</v>
      </c>
      <c r="S6921">
        <v>2.2636259999999999</v>
      </c>
      <c r="T6921">
        <v>-0.36612899999999998</v>
      </c>
      <c r="U6921">
        <v>2.1836850000000001</v>
      </c>
      <c r="V6921">
        <v>-1.711265E-2</v>
      </c>
      <c r="W6921">
        <v>1.723591E-3</v>
      </c>
      <c r="X6921">
        <v>0.99985210000000002</v>
      </c>
      <c r="Y6921">
        <v>-0.31378590000000001</v>
      </c>
      <c r="Z6921">
        <v>-3.3499269999999998E-2</v>
      </c>
      <c r="AA6921">
        <v>0.94890269999999999</v>
      </c>
      <c r="AB6921">
        <v>33</v>
      </c>
      <c r="AC6921">
        <v>6.8104000000000102</v>
      </c>
      <c r="AD6921">
        <v>-1.125019775106</v>
      </c>
      <c r="AE6921">
        <v>6.6343499999999898</v>
      </c>
      <c r="AF6921">
        <v>-2.9800767155485799</v>
      </c>
      <c r="AG6921">
        <v>-1.125019775106</v>
      </c>
      <c r="AH6921">
        <v>8.8902272057930993</v>
      </c>
      <c r="AI6921">
        <v>96.841875893376098</v>
      </c>
      <c r="AJ6921">
        <v>108.531572144525</v>
      </c>
      <c r="AK6921">
        <v>9.4436574744935609</v>
      </c>
      <c r="AL6921">
        <v>89.901245462946505</v>
      </c>
      <c r="AM6921">
        <v>90.980531921372901</v>
      </c>
      <c r="AN6921">
        <v>1.00000001771518</v>
      </c>
    </row>
    <row r="6922" spans="1:40" x14ac:dyDescent="0.25">
      <c r="A6922" t="str">
        <f>"20190312154431664"</f>
        <v>20190312154431664</v>
      </c>
      <c r="B6922" t="str">
        <f>"1552376671654216"</f>
        <v>1552376671654216</v>
      </c>
      <c r="C6922" t="s">
        <v>40</v>
      </c>
      <c r="D6922">
        <v>5.0987600000000004</v>
      </c>
      <c r="E6922">
        <v>0.38294080000000003</v>
      </c>
      <c r="F6922" t="s">
        <v>70</v>
      </c>
      <c r="G6922">
        <v>-197.30439999999999</v>
      </c>
      <c r="H6922" s="1">
        <v>-9.8035720000000005E-6</v>
      </c>
      <c r="I6922">
        <v>-52.386870000000002</v>
      </c>
      <c r="J6922">
        <v>-204.041</v>
      </c>
      <c r="K6922">
        <v>1.125048</v>
      </c>
      <c r="L6922">
        <v>-59.042270000000002</v>
      </c>
      <c r="M6922">
        <v>0.89698799999999901</v>
      </c>
      <c r="N6922">
        <v>0</v>
      </c>
      <c r="O6922">
        <v>0.44173030000000002</v>
      </c>
      <c r="P6922">
        <v>0.88921640000000002</v>
      </c>
      <c r="Q6922">
        <v>-1.4557769999999999E-2</v>
      </c>
      <c r="R6922">
        <v>0.45725510000000003</v>
      </c>
      <c r="S6922">
        <v>2.2469939999999999</v>
      </c>
      <c r="T6922">
        <v>-0.36733840000000001</v>
      </c>
      <c r="U6922">
        <v>2.1981809999999999</v>
      </c>
      <c r="V6922">
        <v>-1.743685E-2</v>
      </c>
      <c r="W6922">
        <v>1.736465E-3</v>
      </c>
      <c r="X6922">
        <v>0.99984649999999997</v>
      </c>
      <c r="Y6922">
        <v>-0.31218810000000002</v>
      </c>
      <c r="Z6922">
        <v>-3.4702549999999999E-2</v>
      </c>
      <c r="AA6922">
        <v>0.94938630000000002</v>
      </c>
      <c r="AB6922">
        <v>33</v>
      </c>
      <c r="AC6922">
        <v>6.7366000000000099</v>
      </c>
      <c r="AD6922">
        <v>-1.125057803572</v>
      </c>
      <c r="AE6922">
        <v>6.6553999999999904</v>
      </c>
      <c r="AF6922">
        <v>-2.9528050706686502</v>
      </c>
      <c r="AG6922">
        <v>-1.125057803572</v>
      </c>
      <c r="AH6922">
        <v>8.8587903819169505</v>
      </c>
      <c r="AI6922">
        <v>96.870017332148393</v>
      </c>
      <c r="AJ6922">
        <v>108.434220876692</v>
      </c>
      <c r="AK6922">
        <v>9.4054760579935106</v>
      </c>
      <c r="AL6922">
        <v>89.900507838337305</v>
      </c>
      <c r="AM6922">
        <v>90.999110011342097</v>
      </c>
      <c r="AN6922">
        <v>1.00000004130543</v>
      </c>
    </row>
    <row r="6923" spans="1:40" x14ac:dyDescent="0.25">
      <c r="A6923" t="str">
        <f>"20190312154431675"</f>
        <v>20190312154431675</v>
      </c>
      <c r="B6923" t="str">
        <f>"1552376671663975"</f>
        <v>1552376671663975</v>
      </c>
      <c r="C6923" t="s">
        <v>40</v>
      </c>
      <c r="D6923">
        <v>5.082274</v>
      </c>
      <c r="E6923">
        <v>0.3833319</v>
      </c>
      <c r="F6923" t="s">
        <v>70</v>
      </c>
      <c r="G6923">
        <v>-197.21510000000001</v>
      </c>
      <c r="H6923" s="1">
        <v>-9.8360390000000004E-6</v>
      </c>
      <c r="I6923">
        <v>-52.273040000000002</v>
      </c>
      <c r="J6923">
        <v>-203.90700000000001</v>
      </c>
      <c r="K6923">
        <v>1.125081</v>
      </c>
      <c r="L6923">
        <v>-58.969329999999999</v>
      </c>
      <c r="M6923">
        <v>0.89335959999999903</v>
      </c>
      <c r="N6923">
        <v>0</v>
      </c>
      <c r="O6923">
        <v>0.4490227</v>
      </c>
      <c r="P6923">
        <v>0.88526740000000004</v>
      </c>
      <c r="Q6923">
        <v>-1.483684E-2</v>
      </c>
      <c r="R6923">
        <v>0.46484579999999998</v>
      </c>
      <c r="S6923">
        <v>2.2303470000000001</v>
      </c>
      <c r="T6923">
        <v>-0.36761440000000001</v>
      </c>
      <c r="U6923">
        <v>2.2118530000000001</v>
      </c>
      <c r="V6923">
        <v>-1.7837809999999999E-2</v>
      </c>
      <c r="W6923">
        <v>1.455132E-3</v>
      </c>
      <c r="X6923">
        <v>0.99983979999999995</v>
      </c>
      <c r="Y6923">
        <v>-0.3109691</v>
      </c>
      <c r="Z6923">
        <v>-3.5738599999999898E-2</v>
      </c>
      <c r="AA6923">
        <v>0.94974789999999998</v>
      </c>
      <c r="AB6923">
        <v>33</v>
      </c>
      <c r="AC6923">
        <v>6.6919000000000004</v>
      </c>
      <c r="AD6923">
        <v>-1.125090836039</v>
      </c>
      <c r="AE6923">
        <v>6.6962900000000003</v>
      </c>
      <c r="AF6923">
        <v>-2.93633451302196</v>
      </c>
      <c r="AG6923">
        <v>-1.125090836039</v>
      </c>
      <c r="AH6923">
        <v>8.8611934778166201</v>
      </c>
      <c r="AI6923">
        <v>96.872341255582896</v>
      </c>
      <c r="AJ6923">
        <v>108.33365245694699</v>
      </c>
      <c r="AK6923">
        <v>9.4025868575090907</v>
      </c>
      <c r="AL6923">
        <v>89.916627045447498</v>
      </c>
      <c r="AM6923">
        <v>91.022086553810496</v>
      </c>
      <c r="AN6923">
        <v>0.99999996526938595</v>
      </c>
    </row>
    <row r="6924" spans="1:40" x14ac:dyDescent="0.25">
      <c r="A6924" t="str">
        <f>"20190312154431686"</f>
        <v>20190312154431686</v>
      </c>
      <c r="B6924" t="str">
        <f>"1552376671674711"</f>
        <v>1552376671674711</v>
      </c>
      <c r="C6924" t="s">
        <v>40</v>
      </c>
      <c r="D6924">
        <v>5.1223199999999904</v>
      </c>
      <c r="E6924">
        <v>0.38406770000000001</v>
      </c>
      <c r="F6924" t="s">
        <v>70</v>
      </c>
      <c r="G6924">
        <v>-197.11150000000001</v>
      </c>
      <c r="H6924" s="1">
        <v>-9.8785099999999994E-6</v>
      </c>
      <c r="I6924">
        <v>-52.127749999999999</v>
      </c>
      <c r="J6924">
        <v>-203.7636</v>
      </c>
      <c r="K6924">
        <v>1.125116</v>
      </c>
      <c r="L6924">
        <v>-58.890630000000002</v>
      </c>
      <c r="M6924">
        <v>0.8893993</v>
      </c>
      <c r="N6924">
        <v>0</v>
      </c>
      <c r="O6924">
        <v>0.4568161</v>
      </c>
      <c r="P6924">
        <v>0.88105290000000003</v>
      </c>
      <c r="Q6924">
        <v>-1.497916E-2</v>
      </c>
      <c r="R6924">
        <v>0.47278049999999999</v>
      </c>
      <c r="S6924">
        <v>2.2128299999999999</v>
      </c>
      <c r="T6924">
        <v>-0.36636669999999999</v>
      </c>
      <c r="U6924">
        <v>2.2278440000000002</v>
      </c>
      <c r="V6924">
        <v>-1.8075730000000002E-2</v>
      </c>
      <c r="W6924">
        <v>1.3168489999999999E-3</v>
      </c>
      <c r="X6924">
        <v>0.99983569999999999</v>
      </c>
      <c r="Y6924">
        <v>-0.30986770000000002</v>
      </c>
      <c r="Z6924">
        <v>-3.6669960000000001E-2</v>
      </c>
      <c r="AA6924">
        <v>0.95007229999999998</v>
      </c>
      <c r="AB6924">
        <v>33</v>
      </c>
      <c r="AC6924">
        <v>6.6520999999999901</v>
      </c>
      <c r="AD6924">
        <v>-1.12512587851</v>
      </c>
      <c r="AE6924">
        <v>6.76288</v>
      </c>
      <c r="AF6924">
        <v>-2.93525074220197</v>
      </c>
      <c r="AG6924">
        <v>-1.12512587851</v>
      </c>
      <c r="AH6924">
        <v>8.8821116476759308</v>
      </c>
      <c r="AI6924">
        <v>96.858350173332397</v>
      </c>
      <c r="AJ6924">
        <v>108.28705063779201</v>
      </c>
      <c r="AK6924">
        <v>9.4219696711393901</v>
      </c>
      <c r="AL6924">
        <v>89.924550084204995</v>
      </c>
      <c r="AM6924">
        <v>91.035720399770298</v>
      </c>
      <c r="AN6924">
        <v>0.99999994655040403</v>
      </c>
    </row>
    <row r="6925" spans="1:40" x14ac:dyDescent="0.25">
      <c r="A6925" t="str">
        <f>"20190312154431698"</f>
        <v>20190312154431698</v>
      </c>
      <c r="B6925" t="str">
        <f>"1552376671694232"</f>
        <v>1552376671694232</v>
      </c>
      <c r="C6925" t="s">
        <v>40</v>
      </c>
      <c r="D6925">
        <v>5.1304970000000001</v>
      </c>
      <c r="E6925">
        <v>0.38571490000000003</v>
      </c>
      <c r="F6925" t="s">
        <v>70</v>
      </c>
      <c r="G6925">
        <v>-197.00479999999999</v>
      </c>
      <c r="H6925" s="1">
        <v>-9.9189280000000008E-6</v>
      </c>
      <c r="I6925">
        <v>-51.987290000000002</v>
      </c>
      <c r="J6925">
        <v>-203.62389999999999</v>
      </c>
      <c r="K6925">
        <v>1.1251439999999999</v>
      </c>
      <c r="L6925">
        <v>-58.811160000000001</v>
      </c>
      <c r="M6925">
        <v>0.8854185</v>
      </c>
      <c r="N6925">
        <v>0</v>
      </c>
      <c r="O6925">
        <v>0.46448430000000002</v>
      </c>
      <c r="P6925">
        <v>0.87684859999999898</v>
      </c>
      <c r="Q6925">
        <v>-1.530366E-2</v>
      </c>
      <c r="R6925">
        <v>0.48052319999999998</v>
      </c>
      <c r="S6925">
        <v>2.1954799999999999</v>
      </c>
      <c r="T6925">
        <v>-0.36547790000000002</v>
      </c>
      <c r="U6925">
        <v>2.242432</v>
      </c>
      <c r="V6925">
        <v>-1.8234009999999998E-2</v>
      </c>
      <c r="W6925">
        <v>9.9832200000000005E-4</v>
      </c>
      <c r="X6925">
        <v>0.99983319999999998</v>
      </c>
      <c r="Y6925">
        <v>-0.30853509999999901</v>
      </c>
      <c r="Z6925">
        <v>-3.7638020000000001E-2</v>
      </c>
      <c r="AA6925">
        <v>0.95046799999999998</v>
      </c>
      <c r="AB6925">
        <v>33</v>
      </c>
      <c r="AC6925">
        <v>6.6191000000000004</v>
      </c>
      <c r="AD6925">
        <v>-1.125153918928</v>
      </c>
      <c r="AE6925">
        <v>6.8238699999999897</v>
      </c>
      <c r="AF6925">
        <v>-2.9269414166591798</v>
      </c>
      <c r="AG6925">
        <v>-1.125153918928</v>
      </c>
      <c r="AH6925">
        <v>8.90679408605261</v>
      </c>
      <c r="AI6925">
        <v>96.843417624641006</v>
      </c>
      <c r="AJ6925">
        <v>108.19150369449601</v>
      </c>
      <c r="AK6925">
        <v>9.44266584652744</v>
      </c>
      <c r="AL6925">
        <v>89.942800350546307</v>
      </c>
      <c r="AM6925">
        <v>91.044790288252997</v>
      </c>
      <c r="AN6925">
        <v>0.999999951794866</v>
      </c>
    </row>
    <row r="6926" spans="1:40" x14ac:dyDescent="0.25">
      <c r="A6926" t="str">
        <f>"20190312154431709"</f>
        <v>20190312154431709</v>
      </c>
      <c r="B6926" t="str">
        <f>"1552376671703991"</f>
        <v>1552376671703991</v>
      </c>
      <c r="C6926" t="s">
        <v>40</v>
      </c>
      <c r="D6926">
        <v>5.1521679999999996</v>
      </c>
      <c r="E6926">
        <v>0.38658130000000002</v>
      </c>
      <c r="F6926" t="s">
        <v>70</v>
      </c>
      <c r="G6926">
        <v>-196.95189999999999</v>
      </c>
      <c r="H6926" s="1">
        <v>-9.9345570000000004E-6</v>
      </c>
      <c r="I6926">
        <v>-51.929760000000002</v>
      </c>
      <c r="J6926">
        <v>-203.4837</v>
      </c>
      <c r="K6926">
        <v>1.1251709999999999</v>
      </c>
      <c r="L6926">
        <v>-58.730870000000003</v>
      </c>
      <c r="M6926">
        <v>0.8813472</v>
      </c>
      <c r="N6926">
        <v>0</v>
      </c>
      <c r="O6926">
        <v>0.47216340000000001</v>
      </c>
      <c r="P6926">
        <v>0.87257249999999997</v>
      </c>
      <c r="Q6926">
        <v>-1.543514E-2</v>
      </c>
      <c r="R6926">
        <v>0.48824089999999998</v>
      </c>
      <c r="S6926">
        <v>2.1817630000000001</v>
      </c>
      <c r="T6926">
        <v>-0.36792950000000002</v>
      </c>
      <c r="U6926">
        <v>2.2502439999999999</v>
      </c>
      <c r="V6926">
        <v>-1.8360830000000002E-2</v>
      </c>
      <c r="W6926">
        <v>8.7386759999999995E-4</v>
      </c>
      <c r="X6926">
        <v>0.99983100000000003</v>
      </c>
      <c r="Y6926">
        <v>-0.30496590000000001</v>
      </c>
      <c r="Z6926">
        <v>-3.9105880000000003E-2</v>
      </c>
      <c r="AA6926">
        <v>0.95155999999999996</v>
      </c>
      <c r="AB6926">
        <v>33</v>
      </c>
      <c r="AC6926">
        <v>6.5317999999999996</v>
      </c>
      <c r="AD6926">
        <v>-1.1251809345570001</v>
      </c>
      <c r="AE6926">
        <v>6.8011100000000004</v>
      </c>
      <c r="AF6926">
        <v>-2.8696251178655801</v>
      </c>
      <c r="AG6926">
        <v>-1.1251809345570001</v>
      </c>
      <c r="AH6926">
        <v>8.8434023081498303</v>
      </c>
      <c r="AI6926">
        <v>96.900481577209504</v>
      </c>
      <c r="AJ6926">
        <v>107.977901325511</v>
      </c>
      <c r="AK6926">
        <v>9.3651772453256505</v>
      </c>
      <c r="AL6926">
        <v>89.949931066098301</v>
      </c>
      <c r="AM6926">
        <v>91.052057632495107</v>
      </c>
      <c r="AN6926">
        <v>0.99999995614193404</v>
      </c>
    </row>
    <row r="6927" spans="1:40" x14ac:dyDescent="0.25">
      <c r="A6927" t="str">
        <f>"20190312154431720"</f>
        <v>20190312154431720</v>
      </c>
      <c r="B6927" t="str">
        <f>"1552376671714727"</f>
        <v>1552376671714727</v>
      </c>
      <c r="C6927" t="s">
        <v>40</v>
      </c>
      <c r="D6927">
        <v>5.1409459999999996</v>
      </c>
      <c r="E6927">
        <v>0.38734809999999997</v>
      </c>
      <c r="F6927" t="s">
        <v>70</v>
      </c>
      <c r="G6927">
        <v>-196.86259999999999</v>
      </c>
      <c r="H6927" s="1">
        <v>-9.9691820000000001E-6</v>
      </c>
      <c r="I6927">
        <v>-51.81</v>
      </c>
      <c r="J6927">
        <v>-203.34270000000001</v>
      </c>
      <c r="K6927">
        <v>1.1251949999999999</v>
      </c>
      <c r="L6927">
        <v>-58.647489999999998</v>
      </c>
      <c r="M6927">
        <v>0.87713379999999996</v>
      </c>
      <c r="N6927">
        <v>0</v>
      </c>
      <c r="O6927">
        <v>0.47994490000000001</v>
      </c>
      <c r="P6927">
        <v>0.8680097</v>
      </c>
      <c r="Q6927">
        <v>-1.546646E-2</v>
      </c>
      <c r="R6927">
        <v>0.49630629999999998</v>
      </c>
      <c r="S6927">
        <v>2.165222</v>
      </c>
      <c r="T6927">
        <v>-0.36795899999999998</v>
      </c>
      <c r="U6927">
        <v>2.2632750000000001</v>
      </c>
      <c r="V6927">
        <v>-1.8777519999999999E-2</v>
      </c>
      <c r="W6927">
        <v>8.3858160000000001E-4</v>
      </c>
      <c r="X6927">
        <v>0.99982329999999997</v>
      </c>
      <c r="Y6927">
        <v>-0.30295290000000002</v>
      </c>
      <c r="Z6927">
        <v>-4.0232080000000003E-2</v>
      </c>
      <c r="AA6927">
        <v>0.95215590000000005</v>
      </c>
      <c r="AB6927">
        <v>33</v>
      </c>
      <c r="AC6927">
        <v>6.4801000000000197</v>
      </c>
      <c r="AD6927">
        <v>-1.1252049691820001</v>
      </c>
      <c r="AE6927">
        <v>6.8374899999999998</v>
      </c>
      <c r="AF6927">
        <v>-2.8471009405686201</v>
      </c>
      <c r="AG6927">
        <v>-1.1252049691820001</v>
      </c>
      <c r="AH6927">
        <v>8.8407005320488494</v>
      </c>
      <c r="AI6927">
        <v>96.907617011084398</v>
      </c>
      <c r="AJ6927">
        <v>107.850880155299</v>
      </c>
      <c r="AK6927">
        <v>9.3557498836719297</v>
      </c>
      <c r="AL6927">
        <v>89.951952806222494</v>
      </c>
      <c r="AM6927">
        <v>91.075936296533001</v>
      </c>
      <c r="AN6927">
        <v>0.99999996484966902</v>
      </c>
    </row>
    <row r="6928" spans="1:40" x14ac:dyDescent="0.25">
      <c r="A6928" t="str">
        <f>"20190312154431732"</f>
        <v>20190312154431732</v>
      </c>
      <c r="B6928" t="str">
        <f>"1552376671724487"</f>
        <v>1552376671724487</v>
      </c>
      <c r="C6928" t="s">
        <v>40</v>
      </c>
      <c r="D6928">
        <v>5.1991480000000001</v>
      </c>
      <c r="E6928">
        <v>0.38734809999999997</v>
      </c>
      <c r="F6928" t="s">
        <v>70</v>
      </c>
      <c r="G6928">
        <v>-196.75649999999999</v>
      </c>
      <c r="H6928" s="1">
        <v>-1.0012760000000001E-5</v>
      </c>
      <c r="I6928">
        <v>-51.660969999999999</v>
      </c>
      <c r="J6928">
        <v>-203.20099999999999</v>
      </c>
      <c r="K6928">
        <v>1.125216</v>
      </c>
      <c r="L6928">
        <v>-58.562649999999998</v>
      </c>
      <c r="M6928">
        <v>0.87281219999999904</v>
      </c>
      <c r="N6928">
        <v>0</v>
      </c>
      <c r="O6928">
        <v>0.48775950000000001</v>
      </c>
      <c r="P6928">
        <v>0.86337180000000002</v>
      </c>
      <c r="Q6928">
        <v>-1.5446369999999999E-2</v>
      </c>
      <c r="R6928">
        <v>0.50433190000000006</v>
      </c>
      <c r="S6928">
        <v>2.147278</v>
      </c>
      <c r="T6928">
        <v>-0.36684820000000001</v>
      </c>
      <c r="U6928">
        <v>2.2778019999999999</v>
      </c>
      <c r="V6928">
        <v>-1.9116959999999999E-2</v>
      </c>
      <c r="W6928">
        <v>8.5670149999999895E-4</v>
      </c>
      <c r="X6928">
        <v>0.99981690000000001</v>
      </c>
      <c r="Y6928">
        <v>-0.30148350000000002</v>
      </c>
      <c r="Z6928">
        <v>-4.1204230000000001E-2</v>
      </c>
      <c r="AA6928">
        <v>0.9525806</v>
      </c>
      <c r="AB6928">
        <v>33</v>
      </c>
      <c r="AC6928">
        <v>6.4444999999999997</v>
      </c>
      <c r="AD6928">
        <v>-1.12522601276</v>
      </c>
      <c r="AE6928">
        <v>6.90167999999999</v>
      </c>
      <c r="AF6928">
        <v>-2.8405853811780002</v>
      </c>
      <c r="AG6928">
        <v>-1.12522601276</v>
      </c>
      <c r="AH6928">
        <v>8.8665950767329296</v>
      </c>
      <c r="AI6928">
        <v>96.891093652292497</v>
      </c>
      <c r="AJ6928">
        <v>107.763866510634</v>
      </c>
      <c r="AK6928">
        <v>9.3782496843653398</v>
      </c>
      <c r="AL6928">
        <v>89.950914614371996</v>
      </c>
      <c r="AM6928">
        <v>91.095388239755493</v>
      </c>
      <c r="AN6928">
        <v>1.00000001281135</v>
      </c>
    </row>
    <row r="6929" spans="1:40" x14ac:dyDescent="0.25">
      <c r="A6929" t="str">
        <f>"20190312154431743"</f>
        <v>20190312154431743</v>
      </c>
      <c r="B6929" t="str">
        <f>"1552376671734248"</f>
        <v>1552376671734248</v>
      </c>
      <c r="C6929" t="s">
        <v>40</v>
      </c>
      <c r="D6929">
        <v>5.1008899999999997</v>
      </c>
      <c r="E6929">
        <v>0.40034570000000003</v>
      </c>
      <c r="F6929" t="s">
        <v>70</v>
      </c>
      <c r="G6929">
        <v>-196.6934</v>
      </c>
      <c r="H6929" s="1">
        <v>-1.005365E-5</v>
      </c>
      <c r="I6929">
        <v>-51.531199999999998</v>
      </c>
      <c r="J6929">
        <v>-203.06700000000001</v>
      </c>
      <c r="K6929">
        <v>1.125243</v>
      </c>
      <c r="L6929">
        <v>-58.480589999999999</v>
      </c>
      <c r="M6929">
        <v>0.86862150000000005</v>
      </c>
      <c r="N6929">
        <v>0</v>
      </c>
      <c r="O6929">
        <v>0.4951836</v>
      </c>
      <c r="P6929">
        <v>0.85865409999999998</v>
      </c>
      <c r="Q6929">
        <v>-1.554821E-2</v>
      </c>
      <c r="R6929">
        <v>0.51231959999999999</v>
      </c>
      <c r="S6929">
        <v>2.1261749999999999</v>
      </c>
      <c r="T6929">
        <v>-0.36763699999999999</v>
      </c>
      <c r="U6929">
        <v>2.2973330000000001</v>
      </c>
      <c r="V6929">
        <v>-1.9864509999999998E-2</v>
      </c>
      <c r="W6929">
        <v>7.3606170000000001E-4</v>
      </c>
      <c r="X6929">
        <v>0.99980239999999998</v>
      </c>
      <c r="Y6929">
        <v>-0.30214299999999999</v>
      </c>
      <c r="Z6929">
        <v>-4.2200580000000001E-2</v>
      </c>
      <c r="AA6929">
        <v>0.95232799999999995</v>
      </c>
      <c r="AB6929">
        <v>33</v>
      </c>
      <c r="AC6929">
        <v>6.3735999999999997</v>
      </c>
      <c r="AD6929">
        <v>-1.1252530536500001</v>
      </c>
      <c r="AE6929">
        <v>6.9493900000000002</v>
      </c>
      <c r="AF6929">
        <v>-2.8402590469134701</v>
      </c>
      <c r="AG6929">
        <v>-1.1252530536500001</v>
      </c>
      <c r="AH6929">
        <v>8.8527070196939093</v>
      </c>
      <c r="AI6929">
        <v>96.901038979895304</v>
      </c>
      <c r="AJ6929">
        <v>107.788063756516</v>
      </c>
      <c r="AK6929">
        <v>9.3650246910972097</v>
      </c>
      <c r="AL6929">
        <v>89.957826766890193</v>
      </c>
      <c r="AM6929">
        <v>91.138227770652094</v>
      </c>
      <c r="AN6929">
        <v>0.99999998979506299</v>
      </c>
    </row>
    <row r="6930" spans="1:40" x14ac:dyDescent="0.25">
      <c r="A6930" t="str">
        <f>"20190312154431755"</f>
        <v>20190312154431755</v>
      </c>
      <c r="B6930" t="str">
        <f>"1552376671744007"</f>
        <v>1552376671744007</v>
      </c>
      <c r="C6930" t="s">
        <v>40</v>
      </c>
      <c r="D6930">
        <v>5.1360219999999996</v>
      </c>
      <c r="E6930">
        <v>0.40094380000000002</v>
      </c>
      <c r="F6930" t="s">
        <v>70</v>
      </c>
      <c r="G6930">
        <v>-195.81190000000001</v>
      </c>
      <c r="H6930" s="1">
        <v>-1.015984E-5</v>
      </c>
      <c r="I6930">
        <v>-50.996940000000002</v>
      </c>
      <c r="J6930">
        <v>-202.9228</v>
      </c>
      <c r="K6930">
        <v>1.1252610000000001</v>
      </c>
      <c r="L6930">
        <v>-58.390349999999998</v>
      </c>
      <c r="M6930">
        <v>0.86400370000000004</v>
      </c>
      <c r="N6930">
        <v>0</v>
      </c>
      <c r="O6930">
        <v>0.50319689999999995</v>
      </c>
      <c r="P6930">
        <v>0.85346630000000001</v>
      </c>
      <c r="Q6930">
        <v>-1.542988E-2</v>
      </c>
      <c r="R6930">
        <v>0.52091960000000004</v>
      </c>
      <c r="S6930">
        <v>2.159027</v>
      </c>
      <c r="T6930">
        <v>-0.33486280000000002</v>
      </c>
      <c r="U6930">
        <v>2.2270509999999999</v>
      </c>
      <c r="V6930">
        <v>-2.0663520000000001E-2</v>
      </c>
      <c r="W6930">
        <v>8.3381320000000005E-4</v>
      </c>
      <c r="X6930">
        <v>0.99978610000000001</v>
      </c>
      <c r="Y6930">
        <v>-0.27112849999999999</v>
      </c>
      <c r="Z6930">
        <v>-4.1291080000000001E-2</v>
      </c>
      <c r="AA6930">
        <v>0.96165710000000004</v>
      </c>
      <c r="AB6930">
        <v>33</v>
      </c>
      <c r="AC6930">
        <v>7.1108999999999796</v>
      </c>
      <c r="AD6930">
        <v>-1.12527115984</v>
      </c>
      <c r="AE6930">
        <v>7.3934099999999896</v>
      </c>
      <c r="AF6930">
        <v>-2.7767454762083998</v>
      </c>
      <c r="AG6930">
        <v>-1.12527115984</v>
      </c>
      <c r="AH6930">
        <v>9.7483133382976597</v>
      </c>
      <c r="AI6930">
        <v>96.334837380575195</v>
      </c>
      <c r="AJ6930">
        <v>105.899268120733</v>
      </c>
      <c r="AK6930">
        <v>10.198341216317599</v>
      </c>
      <c r="AL6930">
        <v>89.952226015340102</v>
      </c>
      <c r="AM6930">
        <v>91.184017212667001</v>
      </c>
      <c r="AN6930">
        <v>0.99999996102822497</v>
      </c>
    </row>
    <row r="6931" spans="1:40" x14ac:dyDescent="0.25">
      <c r="A6931" t="str">
        <f>"20190312154431766"</f>
        <v>20190312154431766</v>
      </c>
      <c r="B6931" t="str">
        <f>"1552376671754744"</f>
        <v>1552376671754744</v>
      </c>
      <c r="C6931" t="s">
        <v>40</v>
      </c>
      <c r="D6931">
        <v>5.1142799999999999</v>
      </c>
      <c r="E6931">
        <v>0.40127750000000001</v>
      </c>
      <c r="F6931" t="s">
        <v>70</v>
      </c>
      <c r="G6931">
        <v>-195.81620000000001</v>
      </c>
      <c r="H6931" s="1">
        <v>-1.0183120000000001E-5</v>
      </c>
      <c r="I6931">
        <v>-50.934100000000001</v>
      </c>
      <c r="J6931">
        <v>-202.7833</v>
      </c>
      <c r="K6931">
        <v>1.125275</v>
      </c>
      <c r="L6931">
        <v>-58.301850000000002</v>
      </c>
      <c r="M6931">
        <v>0.85944229999999999</v>
      </c>
      <c r="N6931">
        <v>0</v>
      </c>
      <c r="O6931">
        <v>0.51094849999999903</v>
      </c>
      <c r="P6931">
        <v>0.84847090000000003</v>
      </c>
      <c r="Q6931">
        <v>-1.520754E-2</v>
      </c>
      <c r="R6931">
        <v>0.52902360000000004</v>
      </c>
      <c r="S6931">
        <v>2.1390989999999999</v>
      </c>
      <c r="T6931">
        <v>-0.33870980000000001</v>
      </c>
      <c r="U6931">
        <v>2.244354</v>
      </c>
      <c r="V6931">
        <v>-2.1196980000000001E-2</v>
      </c>
      <c r="W6931">
        <v>1.0445750000000001E-3</v>
      </c>
      <c r="X6931">
        <v>0.99977479999999996</v>
      </c>
      <c r="Y6931">
        <v>-0.27070359999999899</v>
      </c>
      <c r="Z6931">
        <v>-4.2712E-2</v>
      </c>
      <c r="AA6931">
        <v>0.96171470000000003</v>
      </c>
      <c r="AB6931">
        <v>33</v>
      </c>
      <c r="AC6931">
        <v>6.9670999999999799</v>
      </c>
      <c r="AD6931">
        <v>-1.1252851831199999</v>
      </c>
      <c r="AE6931">
        <v>7.36775</v>
      </c>
      <c r="AF6931">
        <v>-2.7389991540223799</v>
      </c>
      <c r="AG6931">
        <v>-1.1252851831199999</v>
      </c>
      <c r="AH6931">
        <v>9.6351231361441201</v>
      </c>
      <c r="AI6931">
        <v>96.409676435360296</v>
      </c>
      <c r="AJ6931">
        <v>105.868985560757</v>
      </c>
      <c r="AK6931">
        <v>10.0798800071104</v>
      </c>
      <c r="AL6931">
        <v>89.940150251841402</v>
      </c>
      <c r="AM6931">
        <v>91.214589088914295</v>
      </c>
      <c r="AN6931">
        <v>1.0000000269065401</v>
      </c>
    </row>
    <row r="6932" spans="1:40" x14ac:dyDescent="0.25">
      <c r="A6932" t="str">
        <f>"20190312154431778"</f>
        <v>20190312154431778</v>
      </c>
      <c r="B6932" t="str">
        <f>"1552376671764502"</f>
        <v>1552376671764502</v>
      </c>
      <c r="C6932" t="s">
        <v>40</v>
      </c>
      <c r="D6932">
        <v>5.1094670000000004</v>
      </c>
      <c r="E6932">
        <v>0.40213559999999998</v>
      </c>
      <c r="F6932" t="s">
        <v>70</v>
      </c>
      <c r="G6932">
        <v>-195.76840000000001</v>
      </c>
      <c r="H6932" s="1">
        <v>-1.0222309999999999E-5</v>
      </c>
      <c r="I6932">
        <v>-50.81317</v>
      </c>
      <c r="J6932">
        <v>-202.65010000000001</v>
      </c>
      <c r="K6932">
        <v>1.125289</v>
      </c>
      <c r="L6932">
        <v>-58.214779999999998</v>
      </c>
      <c r="M6932">
        <v>0.85497029999999996</v>
      </c>
      <c r="N6932">
        <v>0</v>
      </c>
      <c r="O6932">
        <v>0.51839650000000004</v>
      </c>
      <c r="P6932">
        <v>0.84345740000000002</v>
      </c>
      <c r="Q6932">
        <v>-1.5478499999999999E-2</v>
      </c>
      <c r="R6932">
        <v>0.53697320000000004</v>
      </c>
      <c r="S6932">
        <v>2.1191249999999999</v>
      </c>
      <c r="T6932">
        <v>-0.3399392</v>
      </c>
      <c r="U6932">
        <v>2.2622680000000002</v>
      </c>
      <c r="V6932">
        <v>-2.189777E-2</v>
      </c>
      <c r="W6932">
        <v>7.5418139999999995E-4</v>
      </c>
      <c r="X6932">
        <v>0.99975990000000003</v>
      </c>
      <c r="Y6932">
        <v>-0.27070100000000002</v>
      </c>
      <c r="Z6932">
        <v>-4.3755589999999997E-2</v>
      </c>
      <c r="AA6932">
        <v>0.96166859999999998</v>
      </c>
      <c r="AB6932">
        <v>33</v>
      </c>
      <c r="AC6932">
        <v>6.8816999999999897</v>
      </c>
      <c r="AD6932">
        <v>-1.12529922231</v>
      </c>
      <c r="AE6932">
        <v>7.4016099999999998</v>
      </c>
      <c r="AF6932">
        <v>-2.7272974934657999</v>
      </c>
      <c r="AG6932">
        <v>-1.12529922231</v>
      </c>
      <c r="AH6932">
        <v>9.6029790833150592</v>
      </c>
      <c r="AI6932">
        <v>96.431479337095794</v>
      </c>
      <c r="AJ6932">
        <v>105.854830405488</v>
      </c>
      <c r="AK6932">
        <v>10.0459771666166</v>
      </c>
      <c r="AL6932">
        <v>89.956788583373395</v>
      </c>
      <c r="AM6932">
        <v>91.254750488721996</v>
      </c>
      <c r="AN6932">
        <v>0.99999996938428304</v>
      </c>
    </row>
    <row r="6933" spans="1:40" x14ac:dyDescent="0.25">
      <c r="A6933" t="str">
        <f>"20190312154431788"</f>
        <v>20190312154431788</v>
      </c>
      <c r="B6933" t="str">
        <f>"1552376671784023"</f>
        <v>1552376671784023</v>
      </c>
      <c r="C6933" t="s">
        <v>40</v>
      </c>
      <c r="D6933">
        <v>5.1016539999999999</v>
      </c>
      <c r="E6933">
        <v>0.40394849999999999</v>
      </c>
      <c r="F6933" t="s">
        <v>70</v>
      </c>
      <c r="G6933">
        <v>-195.75729999999999</v>
      </c>
      <c r="H6933" s="1">
        <v>-1.0244970000000001E-5</v>
      </c>
      <c r="I6933">
        <v>-50.747799999999998</v>
      </c>
      <c r="J6933">
        <v>-202.51519999999999</v>
      </c>
      <c r="K6933">
        <v>1.1253010000000001</v>
      </c>
      <c r="L6933">
        <v>-58.125979999999998</v>
      </c>
      <c r="M6933">
        <v>0.85036250000000002</v>
      </c>
      <c r="N6933">
        <v>0</v>
      </c>
      <c r="O6933">
        <v>0.52592059999999996</v>
      </c>
      <c r="P6933">
        <v>0.83843179999999995</v>
      </c>
      <c r="Q6933">
        <v>-1.5699540000000001E-2</v>
      </c>
      <c r="R6933">
        <v>0.5447805</v>
      </c>
      <c r="S6933">
        <v>2.1013030000000001</v>
      </c>
      <c r="T6933">
        <v>-0.3430513</v>
      </c>
      <c r="U6933">
        <v>2.2763369999999998</v>
      </c>
      <c r="V6933">
        <v>-2.2350660000000001E-2</v>
      </c>
      <c r="W6933">
        <v>5.2291559999999998E-4</v>
      </c>
      <c r="X6933">
        <v>0.99975009999999997</v>
      </c>
      <c r="Y6933">
        <v>-0.26929029999999998</v>
      </c>
      <c r="Z6933">
        <v>-4.5147909999999999E-2</v>
      </c>
      <c r="AA6933">
        <v>0.96200019999999997</v>
      </c>
      <c r="AB6933">
        <v>33</v>
      </c>
      <c r="AC6933">
        <v>6.7579000000000002</v>
      </c>
      <c r="AD6933">
        <v>-1.12531124497</v>
      </c>
      <c r="AE6933">
        <v>7.3781800000000004</v>
      </c>
      <c r="AF6933">
        <v>-2.6864222373079398</v>
      </c>
      <c r="AG6933">
        <v>-1.12531124497</v>
      </c>
      <c r="AH6933">
        <v>9.5081278642457203</v>
      </c>
      <c r="AI6933">
        <v>96.497637455180694</v>
      </c>
      <c r="AJ6933">
        <v>105.777084889023</v>
      </c>
      <c r="AK6933">
        <v>9.9442287442518396</v>
      </c>
      <c r="AL6933">
        <v>89.970039143029695</v>
      </c>
      <c r="AM6933">
        <v>91.280705251065996</v>
      </c>
      <c r="AN6933">
        <v>1.0000000439465799</v>
      </c>
    </row>
    <row r="6934" spans="1:40" x14ac:dyDescent="0.25">
      <c r="A6934" t="str">
        <f>"20190312154431800"</f>
        <v>20190312154431800</v>
      </c>
      <c r="B6934" t="str">
        <f>"1552376671794760"</f>
        <v>1552376671794760</v>
      </c>
      <c r="C6934" t="s">
        <v>40</v>
      </c>
      <c r="D6934">
        <v>5.0390730000000001</v>
      </c>
      <c r="E6934">
        <v>0.40394849999999999</v>
      </c>
      <c r="F6934" t="s">
        <v>70</v>
      </c>
      <c r="G6934">
        <v>-195.69069999999999</v>
      </c>
      <c r="H6934" s="1">
        <v>-1.0269459999999999E-5</v>
      </c>
      <c r="I6934">
        <v>-50.662120000000002</v>
      </c>
      <c r="J6934">
        <v>-202.3725</v>
      </c>
      <c r="K6934">
        <v>1.12531</v>
      </c>
      <c r="L6934">
        <v>-58.0289</v>
      </c>
      <c r="M6934">
        <v>0.84534949999999998</v>
      </c>
      <c r="N6934">
        <v>0</v>
      </c>
      <c r="O6934">
        <v>0.53394090000000005</v>
      </c>
      <c r="P6934">
        <v>0.83290489999999995</v>
      </c>
      <c r="Q6934">
        <v>-1.5711630000000001E-2</v>
      </c>
      <c r="R6934">
        <v>0.55319319999999905</v>
      </c>
      <c r="S6934">
        <v>2.0879210000000001</v>
      </c>
      <c r="T6934">
        <v>-0.34428039999999999</v>
      </c>
      <c r="U6934">
        <v>2.2835079999999999</v>
      </c>
      <c r="V6934">
        <v>-2.295751E-2</v>
      </c>
      <c r="W6934">
        <v>4.9478209999999996E-4</v>
      </c>
      <c r="X6934">
        <v>0.99973630000000002</v>
      </c>
      <c r="Y6934">
        <v>-0.26481320000000003</v>
      </c>
      <c r="Z6934">
        <v>-4.6548649999999997E-2</v>
      </c>
      <c r="AA6934">
        <v>0.96317549999999996</v>
      </c>
      <c r="AB6934">
        <v>33</v>
      </c>
      <c r="AC6934">
        <v>6.6818000000000097</v>
      </c>
      <c r="AD6934">
        <v>-1.12532026946</v>
      </c>
      <c r="AE6934">
        <v>7.3667799999999897</v>
      </c>
      <c r="AF6934">
        <v>-2.6265789114340401</v>
      </c>
      <c r="AG6934">
        <v>-1.12532026946</v>
      </c>
      <c r="AH6934">
        <v>9.4621408625582308</v>
      </c>
      <c r="AI6934">
        <v>96.537324440707906</v>
      </c>
      <c r="AJ6934">
        <v>105.51402804675401</v>
      </c>
      <c r="AK6934">
        <v>9.8841981055491601</v>
      </c>
      <c r="AL6934">
        <v>89.971651072190497</v>
      </c>
      <c r="AM6934">
        <v>91.315484188400603</v>
      </c>
      <c r="AN6934">
        <v>0.999999980806208</v>
      </c>
    </row>
    <row r="6935" spans="1:40" x14ac:dyDescent="0.25">
      <c r="A6935" t="str">
        <f>"20190312154431812"</f>
        <v>20190312154431812</v>
      </c>
      <c r="B6935" t="str">
        <f>"1552376671804518"</f>
        <v>1552376671804518</v>
      </c>
      <c r="C6935" t="s">
        <v>40</v>
      </c>
      <c r="D6935">
        <v>5.0209859999999997</v>
      </c>
      <c r="E6935">
        <v>0.40283859999999999</v>
      </c>
      <c r="F6935" t="s">
        <v>70</v>
      </c>
      <c r="G6935">
        <v>-195.6225</v>
      </c>
      <c r="H6935" s="1">
        <v>-1.0323559999999999E-5</v>
      </c>
      <c r="I6935">
        <v>-50.494619999999998</v>
      </c>
      <c r="J6935">
        <v>-202.23699999999999</v>
      </c>
      <c r="K6935">
        <v>1.1253200000000001</v>
      </c>
      <c r="L6935">
        <v>-57.935580000000002</v>
      </c>
      <c r="M6935">
        <v>0.84049719999999895</v>
      </c>
      <c r="N6935">
        <v>0</v>
      </c>
      <c r="O6935">
        <v>0.54154679999999999</v>
      </c>
      <c r="P6935">
        <v>0.82773479999999999</v>
      </c>
      <c r="Q6935">
        <v>-1.558295E-2</v>
      </c>
      <c r="R6935">
        <v>0.56090329999999999</v>
      </c>
      <c r="S6935">
        <v>2.0647129999999998</v>
      </c>
      <c r="T6935">
        <v>-0.344219</v>
      </c>
      <c r="U6935">
        <v>2.3046259999999998</v>
      </c>
      <c r="V6935">
        <v>-2.3223520000000001E-2</v>
      </c>
      <c r="W6935">
        <v>6.1971339999999995E-4</v>
      </c>
      <c r="X6935">
        <v>0.99973009999999995</v>
      </c>
      <c r="Y6935">
        <v>-0.26590849999999999</v>
      </c>
      <c r="Z6935">
        <v>-4.7399299999999998E-2</v>
      </c>
      <c r="AA6935">
        <v>0.96283229999999997</v>
      </c>
      <c r="AB6935">
        <v>33</v>
      </c>
      <c r="AC6935">
        <v>6.6144999999999898</v>
      </c>
      <c r="AD6935">
        <v>-1.1253303235600001</v>
      </c>
      <c r="AE6935">
        <v>7.4409599999999996</v>
      </c>
      <c r="AF6935">
        <v>-2.6387215231716299</v>
      </c>
      <c r="AG6935">
        <v>-1.1253303235600001</v>
      </c>
      <c r="AH6935">
        <v>9.46951066461925</v>
      </c>
      <c r="AI6935">
        <v>96.530556231679199</v>
      </c>
      <c r="AJ6935">
        <v>105.570733286256</v>
      </c>
      <c r="AK6935">
        <v>9.8944859311290401</v>
      </c>
      <c r="AL6935">
        <v>89.964493035200206</v>
      </c>
      <c r="AM6935">
        <v>91.3307295802271</v>
      </c>
      <c r="AN6935">
        <v>0.999999994385949</v>
      </c>
    </row>
    <row r="6936" spans="1:40" x14ac:dyDescent="0.25">
      <c r="A6936" t="str">
        <f>"20190312154431822"</f>
        <v>20190312154431822</v>
      </c>
      <c r="B6936" t="str">
        <f>"1552376671814279"</f>
        <v>1552376671814279</v>
      </c>
      <c r="C6936" t="s">
        <v>40</v>
      </c>
      <c r="D6936">
        <v>5.1068759999999997</v>
      </c>
      <c r="E6936">
        <v>0.40387709999999999</v>
      </c>
      <c r="F6936" t="s">
        <v>70</v>
      </c>
      <c r="G6936">
        <v>-193.16040000000001</v>
      </c>
      <c r="H6936" s="1">
        <v>-3.2453079999999999E-6</v>
      </c>
      <c r="I6936">
        <v>-47.579120000000003</v>
      </c>
      <c r="J6936">
        <v>-202.119</v>
      </c>
      <c r="K6936">
        <v>1.125327</v>
      </c>
      <c r="L6936">
        <v>-57.852629999999998</v>
      </c>
      <c r="M6936">
        <v>0.83618060000000005</v>
      </c>
      <c r="N6936">
        <v>0</v>
      </c>
      <c r="O6936">
        <v>0.54818809999999996</v>
      </c>
      <c r="P6936">
        <v>0.82292940000000003</v>
      </c>
      <c r="Q6936">
        <v>-1.5602049999999999E-2</v>
      </c>
      <c r="R6936">
        <v>0.56792949999999998</v>
      </c>
      <c r="S6936">
        <v>2.0412750000000002</v>
      </c>
      <c r="T6936">
        <v>-0.25307819999999998</v>
      </c>
      <c r="U6936">
        <v>2.3291019999999998</v>
      </c>
      <c r="V6936">
        <v>-2.381368E-2</v>
      </c>
      <c r="W6936">
        <v>5.8252019999999996E-4</v>
      </c>
      <c r="X6936">
        <v>0.99971620000000005</v>
      </c>
      <c r="Y6936">
        <v>-0.26823209999999997</v>
      </c>
      <c r="Z6936">
        <v>-3.5387910000000002E-2</v>
      </c>
      <c r="AA6936">
        <v>0.96270409999999995</v>
      </c>
      <c r="AB6936">
        <v>33</v>
      </c>
      <c r="AC6936">
        <v>8.9586000000000094</v>
      </c>
      <c r="AD6936">
        <v>-1.1253302453080001</v>
      </c>
      <c r="AE6936">
        <v>10.27351</v>
      </c>
      <c r="AF6936">
        <v>-3.6551364940013098</v>
      </c>
      <c r="AG6936">
        <v>-1.1253302453080001</v>
      </c>
      <c r="AH6936">
        <v>13.0358897976928</v>
      </c>
      <c r="AI6936">
        <v>94.751500546096906</v>
      </c>
      <c r="AJ6936">
        <v>105.66297886404401</v>
      </c>
      <c r="AK6936">
        <v>13.585316108518599</v>
      </c>
      <c r="AL6936">
        <v>89.966624047689805</v>
      </c>
      <c r="AM6936">
        <v>91.3645526425166</v>
      </c>
      <c r="AN6936">
        <v>0.99999995561368205</v>
      </c>
    </row>
    <row r="6937" spans="1:40" x14ac:dyDescent="0.25">
      <c r="A6937" t="str">
        <f>"20190312154431832"</f>
        <v>20190312154431832</v>
      </c>
      <c r="B6937" t="str">
        <f>"1552376671824039"</f>
        <v>1552376671824039</v>
      </c>
      <c r="C6937" t="s">
        <v>40</v>
      </c>
      <c r="D6937">
        <v>5.3132900000000003</v>
      </c>
      <c r="E6937">
        <v>0.40459240000000002</v>
      </c>
      <c r="F6937" t="s">
        <v>70</v>
      </c>
      <c r="G6937">
        <v>-193.25069999999999</v>
      </c>
      <c r="H6937" s="1">
        <v>-3.2462969999999999E-6</v>
      </c>
      <c r="I6937">
        <v>-47.61139</v>
      </c>
      <c r="J6937">
        <v>-201.99760000000001</v>
      </c>
      <c r="K6937">
        <v>1.1253299999999999</v>
      </c>
      <c r="L6937">
        <v>-57.7658699999999</v>
      </c>
      <c r="M6937">
        <v>0.83165230000000001</v>
      </c>
      <c r="N6937">
        <v>0</v>
      </c>
      <c r="O6937">
        <v>0.55503380000000002</v>
      </c>
      <c r="P6937">
        <v>0.81805030000000001</v>
      </c>
      <c r="Q6937">
        <v>-1.5099720000000001E-2</v>
      </c>
      <c r="R6937">
        <v>0.57494860000000003</v>
      </c>
      <c r="S6937">
        <v>2.0259860000000001</v>
      </c>
      <c r="T6937">
        <v>-0.25708370000000003</v>
      </c>
      <c r="U6937">
        <v>2.3396300000000001</v>
      </c>
      <c r="V6937">
        <v>-2.4172619999999999E-2</v>
      </c>
      <c r="W6937">
        <v>1.076046E-3</v>
      </c>
      <c r="X6937">
        <v>0.99970720000000002</v>
      </c>
      <c r="Y6937">
        <v>-0.26610209999999901</v>
      </c>
      <c r="Z6937">
        <v>-3.666556E-2</v>
      </c>
      <c r="AA6937">
        <v>0.96324730000000003</v>
      </c>
      <c r="AB6937">
        <v>33</v>
      </c>
      <c r="AC6937">
        <v>8.7469000000000001</v>
      </c>
      <c r="AD6937">
        <v>-1.125333246297</v>
      </c>
      <c r="AE6937">
        <v>10.1544799999999</v>
      </c>
      <c r="AF6937">
        <v>-3.56555765073885</v>
      </c>
      <c r="AG6937">
        <v>-1.125333246297</v>
      </c>
      <c r="AH6937">
        <v>12.821946327203801</v>
      </c>
      <c r="AI6937">
        <v>94.833298433130395</v>
      </c>
      <c r="AJ6937">
        <v>105.540313215682</v>
      </c>
      <c r="AK6937">
        <v>13.3559681002037</v>
      </c>
      <c r="AL6937">
        <v>89.938347092481493</v>
      </c>
      <c r="AM6937">
        <v>91.385124850041805</v>
      </c>
      <c r="AN6937">
        <v>0.99999997958224895</v>
      </c>
    </row>
    <row r="6938" spans="1:40" x14ac:dyDescent="0.25">
      <c r="A6938" t="str">
        <f>"20190312154431845"</f>
        <v>20190312154431845</v>
      </c>
      <c r="B6938" t="str">
        <f>"1552376671834775"</f>
        <v>1552376671834775</v>
      </c>
      <c r="C6938" t="s">
        <v>40</v>
      </c>
      <c r="D6938">
        <v>5.0653220000000001</v>
      </c>
      <c r="E6938">
        <v>0.4054507</v>
      </c>
      <c r="F6938" t="s">
        <v>70</v>
      </c>
      <c r="G6938">
        <v>-192.97409999999999</v>
      </c>
      <c r="H6938" s="1">
        <v>-3.4265480000000002E-6</v>
      </c>
      <c r="I6938">
        <v>-47.202970000000001</v>
      </c>
      <c r="J6938">
        <v>-201.8553</v>
      </c>
      <c r="K6938">
        <v>1.1253340000000001</v>
      </c>
      <c r="L6938">
        <v>-57.66245</v>
      </c>
      <c r="M6938">
        <v>0.8262391</v>
      </c>
      <c r="N6938">
        <v>0</v>
      </c>
      <c r="O6938">
        <v>0.56306020000000001</v>
      </c>
      <c r="P6938">
        <v>0.81209830000000005</v>
      </c>
      <c r="Q6938">
        <v>-1.495549E-2</v>
      </c>
      <c r="R6938">
        <v>0.58332899999999999</v>
      </c>
      <c r="S6938">
        <v>2.0094150000000002</v>
      </c>
      <c r="T6938">
        <v>-0.25059870000000001</v>
      </c>
      <c r="U6938">
        <v>2.3522340000000002</v>
      </c>
      <c r="V6938">
        <v>-2.4775640000000002E-2</v>
      </c>
      <c r="W6938">
        <v>1.2024080000000001E-3</v>
      </c>
      <c r="X6938">
        <v>0.99969229999999998</v>
      </c>
      <c r="Y6938">
        <v>-0.2632275</v>
      </c>
      <c r="Z6938">
        <v>-3.656802E-2</v>
      </c>
      <c r="AA6938">
        <v>0.96404049999999997</v>
      </c>
      <c r="AB6938">
        <v>33</v>
      </c>
      <c r="AC6938">
        <v>8.8811999999999998</v>
      </c>
      <c r="AD6938">
        <v>-1.1253374265480001</v>
      </c>
      <c r="AE6938">
        <v>10.459479999999999</v>
      </c>
      <c r="AF6938">
        <v>-3.6175805861080401</v>
      </c>
      <c r="AG6938">
        <v>-1.1253374265480001</v>
      </c>
      <c r="AH6938">
        <v>13.1408562869357</v>
      </c>
      <c r="AI6938">
        <v>94.719922037050907</v>
      </c>
      <c r="AJ6938">
        <v>105.391836508135</v>
      </c>
      <c r="AK6938">
        <v>13.6760878022362</v>
      </c>
      <c r="AL6938">
        <v>89.931107078809603</v>
      </c>
      <c r="AM6938">
        <v>91.419685919219006</v>
      </c>
      <c r="AN6938">
        <v>0.99999998640084897</v>
      </c>
    </row>
    <row r="6939" spans="1:40" x14ac:dyDescent="0.25">
      <c r="A6939" t="str">
        <f>"20190312154431856"</f>
        <v>20190312154431856</v>
      </c>
      <c r="B6939" t="str">
        <f>"1552376671844535"</f>
        <v>1552376671844535</v>
      </c>
      <c r="C6939" t="s">
        <v>40</v>
      </c>
      <c r="D6939">
        <v>5.119205</v>
      </c>
      <c r="E6939">
        <v>0.4059355</v>
      </c>
      <c r="F6939" t="s">
        <v>70</v>
      </c>
      <c r="G6939">
        <v>-192.86859999999999</v>
      </c>
      <c r="H6939" s="1">
        <v>-3.5420129999999999E-6</v>
      </c>
      <c r="I6939">
        <v>-46.968249999999998</v>
      </c>
      <c r="J6939">
        <v>-201.7354</v>
      </c>
      <c r="K6939">
        <v>1.125337</v>
      </c>
      <c r="L6939">
        <v>-57.573030000000003</v>
      </c>
      <c r="M6939">
        <v>0.82156559999999901</v>
      </c>
      <c r="N6939">
        <v>0</v>
      </c>
      <c r="O6939">
        <v>0.56985769999999902</v>
      </c>
      <c r="P6939">
        <v>0.8070811</v>
      </c>
      <c r="Q6939">
        <v>-1.4588200000000001E-2</v>
      </c>
      <c r="R6939">
        <v>0.59026040000000002</v>
      </c>
      <c r="S6939">
        <v>1.989212</v>
      </c>
      <c r="T6939">
        <v>-0.24909329999999999</v>
      </c>
      <c r="U6939">
        <v>2.3671570000000002</v>
      </c>
      <c r="V6939">
        <v>-2.5096440000000001E-2</v>
      </c>
      <c r="W6939">
        <v>1.5609899999999999E-3</v>
      </c>
      <c r="X6939">
        <v>0.99968380000000001</v>
      </c>
      <c r="Y6939">
        <v>-0.26308789999999999</v>
      </c>
      <c r="Z6939">
        <v>-3.6970089999999997E-2</v>
      </c>
      <c r="AA6939">
        <v>0.96406329999999996</v>
      </c>
      <c r="AB6939">
        <v>33</v>
      </c>
      <c r="AC6939">
        <v>8.8668000000000102</v>
      </c>
      <c r="AD6939">
        <v>-1.125340542013</v>
      </c>
      <c r="AE6939">
        <v>10.60478</v>
      </c>
      <c r="AF6939">
        <v>-3.6361444066513</v>
      </c>
      <c r="AG6939">
        <v>-1.125340542013</v>
      </c>
      <c r="AH6939">
        <v>13.2420591526212</v>
      </c>
      <c r="AI6939">
        <v>94.684860823704497</v>
      </c>
      <c r="AJ6939">
        <v>105.354439022791</v>
      </c>
      <c r="AK6939">
        <v>13.778246190391499</v>
      </c>
      <c r="AL6939">
        <v>89.910561823383404</v>
      </c>
      <c r="AM6939">
        <v>91.438072852251395</v>
      </c>
      <c r="AN6939">
        <v>0.99999998398644596</v>
      </c>
    </row>
    <row r="6940" spans="1:40" x14ac:dyDescent="0.25">
      <c r="A6940" t="str">
        <f>"20190312154431866"</f>
        <v>20190312154431866</v>
      </c>
      <c r="B6940" t="str">
        <f>"1552376671854296"</f>
        <v>1552376671854296</v>
      </c>
      <c r="C6940" t="s">
        <v>40</v>
      </c>
      <c r="D6940">
        <v>5.1232899999999999</v>
      </c>
      <c r="E6940">
        <v>0.4059355</v>
      </c>
      <c r="F6940" t="s">
        <v>70</v>
      </c>
      <c r="G6940">
        <v>-193.1114</v>
      </c>
      <c r="H6940" s="1">
        <v>-3.4868409999999999E-6</v>
      </c>
      <c r="I6940">
        <v>-47.15269</v>
      </c>
      <c r="J6940">
        <v>-201.61019999999999</v>
      </c>
      <c r="K6940">
        <v>1.12534</v>
      </c>
      <c r="L6940">
        <v>-57.478940000000001</v>
      </c>
      <c r="M6940">
        <v>0.81661169999999905</v>
      </c>
      <c r="N6940">
        <v>0</v>
      </c>
      <c r="O6940">
        <v>0.57693419999999995</v>
      </c>
      <c r="P6940">
        <v>0.80177410000000005</v>
      </c>
      <c r="Q6940">
        <v>-1.429921E-2</v>
      </c>
      <c r="R6940">
        <v>0.59745630000000005</v>
      </c>
      <c r="S6940">
        <v>1.970825</v>
      </c>
      <c r="T6940">
        <v>-0.25717279999999998</v>
      </c>
      <c r="U6940">
        <v>2.381348</v>
      </c>
      <c r="V6940">
        <v>-2.5410080000000002E-2</v>
      </c>
      <c r="W6940">
        <v>1.8423230000000001E-3</v>
      </c>
      <c r="X6940">
        <v>0.99967539999999999</v>
      </c>
      <c r="Y6940">
        <v>-0.26205509999999999</v>
      </c>
      <c r="Z6940">
        <v>-3.8853400000000003E-2</v>
      </c>
      <c r="AA6940">
        <v>0.96427050000000003</v>
      </c>
      <c r="AB6940">
        <v>33</v>
      </c>
      <c r="AC6940">
        <v>8.4987999999999797</v>
      </c>
      <c r="AD6940">
        <v>-1.1253434868409999</v>
      </c>
      <c r="AE6940">
        <v>10.32625</v>
      </c>
      <c r="AF6940">
        <v>-3.5049875140647999</v>
      </c>
      <c r="AG6940">
        <v>-1.1253434868409999</v>
      </c>
      <c r="AH6940">
        <v>12.808979467205001</v>
      </c>
      <c r="AI6940">
        <v>94.843704582760395</v>
      </c>
      <c r="AJ6940">
        <v>105.30352592301401</v>
      </c>
      <c r="AK6940">
        <v>13.3274637657884</v>
      </c>
      <c r="AL6940">
        <v>89.894442606392602</v>
      </c>
      <c r="AM6940">
        <v>91.456049550121094</v>
      </c>
      <c r="AN6940">
        <v>0.99999998584240102</v>
      </c>
    </row>
    <row r="6941" spans="1:40" x14ac:dyDescent="0.25">
      <c r="A6941" t="str">
        <f>"20190312154431877"</f>
        <v>20190312154431877</v>
      </c>
      <c r="B6941" t="str">
        <f>"1552376671874791"</f>
        <v>1552376671874791</v>
      </c>
      <c r="C6941" t="s">
        <v>40</v>
      </c>
      <c r="D6941">
        <v>5.0494019999999997</v>
      </c>
      <c r="E6941">
        <v>0.38571749999999999</v>
      </c>
      <c r="F6941" t="s">
        <v>70</v>
      </c>
      <c r="G6941">
        <v>-193.03540000000001</v>
      </c>
      <c r="H6941" s="1">
        <v>-3.6035290000000001E-6</v>
      </c>
      <c r="I6941">
        <v>-46.92698</v>
      </c>
      <c r="J6941">
        <v>-201.49440000000001</v>
      </c>
      <c r="K6941">
        <v>1.125343</v>
      </c>
      <c r="L6941">
        <v>-57.389279999999999</v>
      </c>
      <c r="M6941">
        <v>0.81191349999999995</v>
      </c>
      <c r="N6941">
        <v>0</v>
      </c>
      <c r="O6941">
        <v>0.58352709999999997</v>
      </c>
      <c r="P6941">
        <v>0.79663390000000001</v>
      </c>
      <c r="Q6941">
        <v>-1.398571E-2</v>
      </c>
      <c r="R6941">
        <v>0.60430039999999996</v>
      </c>
      <c r="S6941">
        <v>1.9494929999999999</v>
      </c>
      <c r="T6941">
        <v>-0.25584659999999998</v>
      </c>
      <c r="U6941">
        <v>2.398987</v>
      </c>
      <c r="V6941">
        <v>-2.5884839999999999E-2</v>
      </c>
      <c r="W6941">
        <v>2.1408220000000001E-3</v>
      </c>
      <c r="X6941">
        <v>0.99966259999999996</v>
      </c>
      <c r="Y6941">
        <v>-0.26288159999999999</v>
      </c>
      <c r="Z6941">
        <v>-3.9219009999999999E-2</v>
      </c>
      <c r="AA6941">
        <v>0.96403070000000002</v>
      </c>
      <c r="AB6941">
        <v>33</v>
      </c>
      <c r="AC6941">
        <v>8.4589999999999996</v>
      </c>
      <c r="AD6941">
        <v>-1.1253466035290001</v>
      </c>
      <c r="AE6941">
        <v>10.462300000000001</v>
      </c>
      <c r="AF6941">
        <v>-3.5342216048597002</v>
      </c>
      <c r="AG6941">
        <v>-1.1253466035290001</v>
      </c>
      <c r="AH6941">
        <v>12.8847663575627</v>
      </c>
      <c r="AI6941">
        <v>94.814556744609504</v>
      </c>
      <c r="AJ6941">
        <v>105.338668683085</v>
      </c>
      <c r="AK6941">
        <v>13.407995055910201</v>
      </c>
      <c r="AL6941">
        <v>89.877339836226795</v>
      </c>
      <c r="AM6941">
        <v>91.483261211121203</v>
      </c>
      <c r="AN6941">
        <v>0.999999960949709</v>
      </c>
    </row>
    <row r="6942" spans="1:40" x14ac:dyDescent="0.25">
      <c r="A6942" t="str">
        <f>"20190312154431888"</f>
        <v>20190312154431888</v>
      </c>
      <c r="B6942" t="str">
        <f>"1552376671884552"</f>
        <v>1552376671884552</v>
      </c>
      <c r="C6942" t="s">
        <v>40</v>
      </c>
      <c r="D6942">
        <v>5.0655219999999996</v>
      </c>
      <c r="E6942">
        <v>0.38395679999999999</v>
      </c>
      <c r="F6942" t="s">
        <v>70</v>
      </c>
      <c r="G6942">
        <v>-195.59289999999999</v>
      </c>
      <c r="H6942" s="1">
        <v>-2.845496E-6</v>
      </c>
      <c r="I6942">
        <v>-49.168419999999998</v>
      </c>
      <c r="J6942">
        <v>-201.36410000000001</v>
      </c>
      <c r="K6942">
        <v>1.1253439999999999</v>
      </c>
      <c r="L6942">
        <v>-57.287840000000003</v>
      </c>
      <c r="M6942">
        <v>0.80655180000000004</v>
      </c>
      <c r="N6942">
        <v>0</v>
      </c>
      <c r="O6942">
        <v>0.59091590000000005</v>
      </c>
      <c r="P6942">
        <v>0.79093119999999995</v>
      </c>
      <c r="Q6942">
        <v>-1.3638549999999999E-2</v>
      </c>
      <c r="R6942">
        <v>0.61175299999999999</v>
      </c>
      <c r="S6942">
        <v>1.828033</v>
      </c>
      <c r="T6942">
        <v>-0.34858479999999997</v>
      </c>
      <c r="U6942">
        <v>2.546478</v>
      </c>
      <c r="V6942">
        <v>-2.615224E-2</v>
      </c>
      <c r="W6942">
        <v>2.4803300000000002E-3</v>
      </c>
      <c r="X6942">
        <v>0.99965490000000001</v>
      </c>
      <c r="Y6942">
        <v>-0.31174289999999999</v>
      </c>
      <c r="Z6942">
        <v>-5.1163809999999997E-2</v>
      </c>
      <c r="AA6942">
        <v>0.94878799999999996</v>
      </c>
      <c r="AB6942">
        <v>33</v>
      </c>
      <c r="AC6942">
        <v>5.7712000000000199</v>
      </c>
      <c r="AD6942">
        <v>-1.1253468454960001</v>
      </c>
      <c r="AE6942">
        <v>8.1194199999999892</v>
      </c>
      <c r="AF6942">
        <v>-3.0993440704720698</v>
      </c>
      <c r="AG6942">
        <v>-1.1253468454960001</v>
      </c>
      <c r="AH6942">
        <v>9.3349161632086304</v>
      </c>
      <c r="AI6942">
        <v>96.526898997359893</v>
      </c>
      <c r="AJ6942">
        <v>108.36700619528099</v>
      </c>
      <c r="AK6942">
        <v>9.9001514616682496</v>
      </c>
      <c r="AL6942">
        <v>89.8578874142529</v>
      </c>
      <c r="AM6942">
        <v>91.498588436071998</v>
      </c>
      <c r="AN6942">
        <v>1.0000000053939599</v>
      </c>
    </row>
    <row r="6943" spans="1:40" x14ac:dyDescent="0.25">
      <c r="A6943" t="str">
        <f>"20190312154431901"</f>
        <v>20190312154431901</v>
      </c>
      <c r="B6943" t="str">
        <f>"1552376671894311"</f>
        <v>1552376671894311</v>
      </c>
      <c r="C6943" t="s">
        <v>40</v>
      </c>
      <c r="D6943">
        <v>5.0592899999999998</v>
      </c>
      <c r="E6943">
        <v>0.38291989999999998</v>
      </c>
      <c r="F6943" t="s">
        <v>70</v>
      </c>
      <c r="G6943">
        <v>-195.4991</v>
      </c>
      <c r="H6943" s="1">
        <v>-2.996008E-6</v>
      </c>
      <c r="I6943">
        <v>-48.878920000000001</v>
      </c>
      <c r="J6943">
        <v>-201.22800000000001</v>
      </c>
      <c r="K6943">
        <v>1.125343</v>
      </c>
      <c r="L6943">
        <v>-57.178620000000002</v>
      </c>
      <c r="M6943">
        <v>0.80080530000000005</v>
      </c>
      <c r="N6943">
        <v>0</v>
      </c>
      <c r="O6943">
        <v>0.5986804</v>
      </c>
      <c r="P6943">
        <v>0.78459519999999905</v>
      </c>
      <c r="Q6943">
        <v>-1.334138E-2</v>
      </c>
      <c r="R6943">
        <v>0.61986490000000005</v>
      </c>
      <c r="S6943">
        <v>1.7957000000000001</v>
      </c>
      <c r="T6943">
        <v>-0.34455479999999999</v>
      </c>
      <c r="U6943">
        <v>2.5746150000000001</v>
      </c>
      <c r="V6943">
        <v>-2.6795719999999999E-2</v>
      </c>
      <c r="W6943">
        <v>2.7559400000000001E-3</v>
      </c>
      <c r="X6943">
        <v>0.99963709999999995</v>
      </c>
      <c r="Y6943">
        <v>-0.31544929999999999</v>
      </c>
      <c r="Z6943">
        <v>-5.1281100000000003E-2</v>
      </c>
      <c r="AA6943">
        <v>0.94755579999999995</v>
      </c>
      <c r="AB6943">
        <v>32</v>
      </c>
      <c r="AC6943">
        <v>5.7288999999999799</v>
      </c>
      <c r="AD6943">
        <v>-1.1253459960079999</v>
      </c>
      <c r="AE6943">
        <v>8.2996999999999908</v>
      </c>
      <c r="AF6943">
        <v>-3.1775682743315601</v>
      </c>
      <c r="AG6943">
        <v>-1.1253459960079999</v>
      </c>
      <c r="AH6943">
        <v>9.4404502649123696</v>
      </c>
      <c r="AI6943">
        <v>96.445752008521694</v>
      </c>
      <c r="AJ6943">
        <v>108.602757175127</v>
      </c>
      <c r="AK6943">
        <v>10.0242428618351</v>
      </c>
      <c r="AL6943">
        <v>89.8420960645892</v>
      </c>
      <c r="AM6943">
        <v>91.535471329659501</v>
      </c>
      <c r="AN6943">
        <v>0.99999996875600505</v>
      </c>
    </row>
    <row r="6944" spans="1:40" x14ac:dyDescent="0.25">
      <c r="A6944" t="str">
        <f>"20190312154431912"</f>
        <v>20190312154431912</v>
      </c>
      <c r="B6944" t="str">
        <f>"1552376671904071"</f>
        <v>1552376671904071</v>
      </c>
      <c r="C6944" t="s">
        <v>40</v>
      </c>
      <c r="D6944">
        <v>5.0830129999999896</v>
      </c>
      <c r="E6944">
        <v>0.38301790000000002</v>
      </c>
      <c r="F6944" t="s">
        <v>70</v>
      </c>
      <c r="G6944">
        <v>-195.40979999999999</v>
      </c>
      <c r="H6944" s="1">
        <v>-3.1388919999999999E-6</v>
      </c>
      <c r="I6944">
        <v>-48.603969999999997</v>
      </c>
      <c r="J6944">
        <v>-201.10669999999999</v>
      </c>
      <c r="K6944">
        <v>1.1253470000000001</v>
      </c>
      <c r="L6944">
        <v>-57.080109999999998</v>
      </c>
      <c r="M6944">
        <v>0.79559080000000004</v>
      </c>
      <c r="N6944">
        <v>0</v>
      </c>
      <c r="O6944">
        <v>0.60559280000000004</v>
      </c>
      <c r="P6944">
        <v>0.77931839999999997</v>
      </c>
      <c r="Q6944">
        <v>-1.334697E-2</v>
      </c>
      <c r="R6944">
        <v>0.62648609999999905</v>
      </c>
      <c r="S6944">
        <v>1.76396199999999</v>
      </c>
      <c r="T6944">
        <v>-0.34118349999999997</v>
      </c>
      <c r="U6944">
        <v>2.5996700000000001</v>
      </c>
      <c r="V6944">
        <v>-2.6603620000000001E-2</v>
      </c>
      <c r="W6944">
        <v>2.759755E-3</v>
      </c>
      <c r="X6944">
        <v>0.99964229999999998</v>
      </c>
      <c r="Y6944">
        <v>-0.31939380000000001</v>
      </c>
      <c r="Z6944">
        <v>-5.1394809999999999E-2</v>
      </c>
      <c r="AA6944">
        <v>0.94622740000000005</v>
      </c>
      <c r="AB6944">
        <v>32</v>
      </c>
      <c r="AC6944">
        <v>5.6968999999999896</v>
      </c>
      <c r="AD6944">
        <v>-1.125350138892</v>
      </c>
      <c r="AE6944">
        <v>8.4761399999999902</v>
      </c>
      <c r="AF6944">
        <v>-3.2545030039040799</v>
      </c>
      <c r="AG6944">
        <v>-1.125350138892</v>
      </c>
      <c r="AH6944">
        <v>9.5509370321661091</v>
      </c>
      <c r="AI6944">
        <v>96.363841579193206</v>
      </c>
      <c r="AJ6944">
        <v>108.81665745072399</v>
      </c>
      <c r="AK6944">
        <v>10.1527632164808</v>
      </c>
      <c r="AL6944">
        <v>89.8418774929454</v>
      </c>
      <c r="AM6944">
        <v>91.524460737593799</v>
      </c>
      <c r="AN6944">
        <v>1.0000000483970199</v>
      </c>
    </row>
    <row r="6945" spans="1:40" x14ac:dyDescent="0.25">
      <c r="A6945" t="str">
        <f>"20190312154431922"</f>
        <v>20190312154431922</v>
      </c>
      <c r="B6945" t="str">
        <f>"1552376671914807"</f>
        <v>1552376671914807</v>
      </c>
      <c r="C6945" t="s">
        <v>40</v>
      </c>
      <c r="D6945">
        <v>5.060117</v>
      </c>
      <c r="E6945">
        <v>0.3832178</v>
      </c>
      <c r="F6945" t="s">
        <v>70</v>
      </c>
      <c r="G6945">
        <v>-195.35820000000001</v>
      </c>
      <c r="H6945" s="1">
        <v>-3.2157169999999998E-6</v>
      </c>
      <c r="I6945">
        <v>-48.45478</v>
      </c>
      <c r="J6945">
        <v>-200.98939999999999</v>
      </c>
      <c r="K6945">
        <v>1.1253439999999999</v>
      </c>
      <c r="L6945">
        <v>-56.982790000000001</v>
      </c>
      <c r="M6945">
        <v>0.79044230000000004</v>
      </c>
      <c r="N6945">
        <v>0</v>
      </c>
      <c r="O6945">
        <v>0.61229739999999999</v>
      </c>
      <c r="P6945">
        <v>0.77388109999999999</v>
      </c>
      <c r="Q6945">
        <v>-1.3223210000000001E-2</v>
      </c>
      <c r="R6945">
        <v>0.63319300000000001</v>
      </c>
      <c r="S6945">
        <v>1.7422329999999999</v>
      </c>
      <c r="T6945">
        <v>-0.34106330000000001</v>
      </c>
      <c r="U6945">
        <v>2.6141049999999999</v>
      </c>
      <c r="V6945">
        <v>-2.6788079999999999E-2</v>
      </c>
      <c r="W6945">
        <v>2.8784869999999999E-3</v>
      </c>
      <c r="X6945">
        <v>0.999637</v>
      </c>
      <c r="Y6945">
        <v>-0.31926379999999999</v>
      </c>
      <c r="Z6945">
        <v>-5.2200150000000001E-2</v>
      </c>
      <c r="AA6945">
        <v>0.94622709999999999</v>
      </c>
      <c r="AB6945">
        <v>32</v>
      </c>
      <c r="AC6945">
        <v>5.6311999999999696</v>
      </c>
      <c r="AD6945">
        <v>-1.1253472157169999</v>
      </c>
      <c r="AE6945">
        <v>8.5280100000000001</v>
      </c>
      <c r="AF6945">
        <v>-3.2539555877935502</v>
      </c>
      <c r="AG6945">
        <v>-1.1253472157169999</v>
      </c>
      <c r="AH6945">
        <v>9.5583295553825103</v>
      </c>
      <c r="AI6945">
        <v>96.359561185195801</v>
      </c>
      <c r="AJ6945">
        <v>108.800186863279</v>
      </c>
      <c r="AK6945">
        <v>10.159542175342001</v>
      </c>
      <c r="AL6945">
        <v>89.835074617303704</v>
      </c>
      <c r="AM6945">
        <v>91.535033898804997</v>
      </c>
      <c r="AN6945">
        <v>1.00000000934324</v>
      </c>
    </row>
    <row r="6946" spans="1:40" x14ac:dyDescent="0.25">
      <c r="A6946" t="str">
        <f>"20190312154431933"</f>
        <v>20190312154431933</v>
      </c>
      <c r="B6946" t="str">
        <f>"1552376671924851"</f>
        <v>1552376671924851</v>
      </c>
      <c r="C6946" t="s">
        <v>40</v>
      </c>
      <c r="D6946">
        <v>5.0699719999999999</v>
      </c>
      <c r="E6946">
        <v>0.3835269</v>
      </c>
      <c r="F6946" t="s">
        <v>70</v>
      </c>
      <c r="G6946">
        <v>-195.3783</v>
      </c>
      <c r="H6946" s="1">
        <v>-3.2457839999999999E-6</v>
      </c>
      <c r="I6946">
        <v>-48.411520000000003</v>
      </c>
      <c r="J6946">
        <v>-200.8725</v>
      </c>
      <c r="K6946">
        <v>1.1253439999999999</v>
      </c>
      <c r="L6946">
        <v>-56.884189999999997</v>
      </c>
      <c r="M6946">
        <v>0.78521350000000001</v>
      </c>
      <c r="N6946">
        <v>0</v>
      </c>
      <c r="O6946">
        <v>0.6189886</v>
      </c>
      <c r="P6946">
        <v>0.76839199999999996</v>
      </c>
      <c r="Q6946">
        <v>-1.3386520000000001E-2</v>
      </c>
      <c r="R6946">
        <v>0.63983950000000001</v>
      </c>
      <c r="S6946">
        <v>1.720413</v>
      </c>
      <c r="T6946">
        <v>-0.34503660000000003</v>
      </c>
      <c r="U6946">
        <v>2.6279910000000002</v>
      </c>
      <c r="V6946">
        <v>-2.690965E-2</v>
      </c>
      <c r="W6946">
        <v>2.7115949999999998E-3</v>
      </c>
      <c r="X6946">
        <v>0.99963420000000003</v>
      </c>
      <c r="Y6946">
        <v>-0.31905489999999997</v>
      </c>
      <c r="Z6946">
        <v>-5.3644560000000001E-2</v>
      </c>
      <c r="AA6946">
        <v>0.94621679999999997</v>
      </c>
      <c r="AB6946">
        <v>32</v>
      </c>
      <c r="AC6946">
        <v>5.4942000000000002</v>
      </c>
      <c r="AD6946">
        <v>-1.1253472457839999</v>
      </c>
      <c r="AE6946">
        <v>8.4726699999999902</v>
      </c>
      <c r="AF6946">
        <v>-3.2125865391286701</v>
      </c>
      <c r="AG6946">
        <v>-1.1253472457839999</v>
      </c>
      <c r="AH6946">
        <v>9.4427357816382198</v>
      </c>
      <c r="AI6946">
        <v>96.437178698008495</v>
      </c>
      <c r="AJ6946">
        <v>108.78921702346599</v>
      </c>
      <c r="AK6946">
        <v>10.0375483927508</v>
      </c>
      <c r="AL6946">
        <v>89.844636861588796</v>
      </c>
      <c r="AM6946">
        <v>91.542001170201402</v>
      </c>
      <c r="AN6946">
        <v>1.0000000079100999</v>
      </c>
    </row>
    <row r="6947" spans="1:40" x14ac:dyDescent="0.25">
      <c r="A6947" t="str">
        <f>"20190312154431945"</f>
        <v>20190312154431945</v>
      </c>
      <c r="B6947" t="str">
        <f>"1552376671934612"</f>
        <v>1552376671934612</v>
      </c>
      <c r="C6947" t="s">
        <v>40</v>
      </c>
      <c r="D6947">
        <v>5.072279</v>
      </c>
      <c r="E6947">
        <v>0.38409019999999999</v>
      </c>
      <c r="F6947" t="s">
        <v>70</v>
      </c>
      <c r="G6947">
        <v>-195.36490000000001</v>
      </c>
      <c r="H6947" s="1">
        <v>-3.2957539999999999E-6</v>
      </c>
      <c r="I6947">
        <v>-48.322090000000003</v>
      </c>
      <c r="J6947">
        <v>-200.7473</v>
      </c>
      <c r="K6947">
        <v>1.12534</v>
      </c>
      <c r="L6947">
        <v>-56.776980000000002</v>
      </c>
      <c r="M6947">
        <v>0.77951269999999995</v>
      </c>
      <c r="N6947">
        <v>0</v>
      </c>
      <c r="O6947">
        <v>0.62615259999999995</v>
      </c>
      <c r="P6947">
        <v>0.76244869999999898</v>
      </c>
      <c r="Q6947">
        <v>-1.325408E-2</v>
      </c>
      <c r="R6947">
        <v>0.64691290000000001</v>
      </c>
      <c r="S6947">
        <v>1.698914</v>
      </c>
      <c r="T6947">
        <v>-0.34713490000000002</v>
      </c>
      <c r="U6947">
        <v>2.6411440000000002</v>
      </c>
      <c r="V6947">
        <v>-2.6997340000000002E-2</v>
      </c>
      <c r="W6947">
        <v>2.8422479999999999E-3</v>
      </c>
      <c r="X6947">
        <v>0.99963150000000001</v>
      </c>
      <c r="Y6947">
        <v>-0.31801119999999999</v>
      </c>
      <c r="Z6947">
        <v>-5.4917680000000003E-2</v>
      </c>
      <c r="AA6947">
        <v>0.94649510000000003</v>
      </c>
      <c r="AB6947">
        <v>32</v>
      </c>
      <c r="AC6947">
        <v>5.3823999999999899</v>
      </c>
      <c r="AD6947">
        <v>-1.1253432957539999</v>
      </c>
      <c r="AE6947">
        <v>8.45488999999999</v>
      </c>
      <c r="AF6947">
        <v>-3.1808623273621999</v>
      </c>
      <c r="AG6947">
        <v>-1.1253432957539999</v>
      </c>
      <c r="AH6947">
        <v>9.3729299942227904</v>
      </c>
      <c r="AI6947">
        <v>96.486357417474196</v>
      </c>
      <c r="AJ6947">
        <v>108.745512469915</v>
      </c>
      <c r="AK6947">
        <v>9.9617317448088194</v>
      </c>
      <c r="AL6947">
        <v>89.8371509717539</v>
      </c>
      <c r="AM6947">
        <v>91.547027800687999</v>
      </c>
      <c r="AN6947">
        <v>1.0000000352664999</v>
      </c>
    </row>
    <row r="6948" spans="1:40" x14ac:dyDescent="0.25">
      <c r="A6948" t="str">
        <f>"20190312154431957"</f>
        <v>20190312154431957</v>
      </c>
      <c r="B6948" t="str">
        <f>"1552376671944371"</f>
        <v>1552376671944371</v>
      </c>
      <c r="C6948" t="s">
        <v>40</v>
      </c>
      <c r="D6948">
        <v>5.1261530000000004</v>
      </c>
      <c r="E6948">
        <v>0.38470539999999998</v>
      </c>
      <c r="F6948" t="s">
        <v>70</v>
      </c>
      <c r="G6948">
        <v>-195.3021</v>
      </c>
      <c r="H6948" s="1">
        <v>-3.3764719999999998E-6</v>
      </c>
      <c r="I6948">
        <v>-48.162109999999998</v>
      </c>
      <c r="J6948">
        <v>-200.6267</v>
      </c>
      <c r="K6948">
        <v>1.1253340000000001</v>
      </c>
      <c r="L6948">
        <v>-56.671140000000001</v>
      </c>
      <c r="M6948">
        <v>0.77389339999999995</v>
      </c>
      <c r="N6948">
        <v>0</v>
      </c>
      <c r="O6948">
        <v>0.6330846</v>
      </c>
      <c r="P6948">
        <v>0.75668740000000001</v>
      </c>
      <c r="Q6948">
        <v>-1.34255E-2</v>
      </c>
      <c r="R6948">
        <v>0.65363899999999997</v>
      </c>
      <c r="S6948">
        <v>1.677216</v>
      </c>
      <c r="T6948">
        <v>-0.34662589999999999</v>
      </c>
      <c r="U6948">
        <v>2.6535340000000001</v>
      </c>
      <c r="V6948">
        <v>-2.6922990000000001E-2</v>
      </c>
      <c r="W6948">
        <v>2.6748789999999998E-3</v>
      </c>
      <c r="X6948">
        <v>0.99963389999999996</v>
      </c>
      <c r="Y6948">
        <v>-0.31709929999999997</v>
      </c>
      <c r="Z6948">
        <v>-5.5762409999999998E-2</v>
      </c>
      <c r="AA6948">
        <v>0.94675160000000003</v>
      </c>
      <c r="AB6948">
        <v>32</v>
      </c>
      <c r="AC6948">
        <v>5.3246000000000002</v>
      </c>
      <c r="AD6948">
        <v>-1.1253373764720001</v>
      </c>
      <c r="AE6948">
        <v>8.5090299999999992</v>
      </c>
      <c r="AF6948">
        <v>-3.1747277048136602</v>
      </c>
      <c r="AG6948">
        <v>-1.1253373764720001</v>
      </c>
      <c r="AH6948">
        <v>9.3909667120114406</v>
      </c>
      <c r="AI6948">
        <v>96.476517443587895</v>
      </c>
      <c r="AJ6948">
        <v>108.67843428576199</v>
      </c>
      <c r="AK6948">
        <v>9.9767497711781505</v>
      </c>
      <c r="AL6948">
        <v>89.846740534956197</v>
      </c>
      <c r="AM6948">
        <v>91.542765684416494</v>
      </c>
      <c r="AN6948">
        <v>0.99999996819870596</v>
      </c>
    </row>
    <row r="6949" spans="1:40" x14ac:dyDescent="0.25">
      <c r="A6949" t="str">
        <f>"20190312154431969"</f>
        <v>20190312154431969</v>
      </c>
      <c r="B6949" t="str">
        <f>"1552376671964866"</f>
        <v>1552376671964866</v>
      </c>
      <c r="C6949" t="s">
        <v>40</v>
      </c>
      <c r="D6949">
        <v>5.081785</v>
      </c>
      <c r="E6949">
        <v>0.38631149999999997</v>
      </c>
      <c r="F6949" t="s">
        <v>70</v>
      </c>
      <c r="G6949">
        <v>-195.2638</v>
      </c>
      <c r="H6949" s="1">
        <v>-3.4361419999999999E-6</v>
      </c>
      <c r="I6949">
        <v>-48.046930000000003</v>
      </c>
      <c r="J6949">
        <v>-200.4965</v>
      </c>
      <c r="K6949">
        <v>1.125324</v>
      </c>
      <c r="L6949">
        <v>-56.555759999999999</v>
      </c>
      <c r="M6949">
        <v>0.76773049999999998</v>
      </c>
      <c r="N6949">
        <v>0</v>
      </c>
      <c r="O6949">
        <v>0.64054419999999901</v>
      </c>
      <c r="P6949">
        <v>0.75028289999999997</v>
      </c>
      <c r="Q6949">
        <v>-1.3238420000000001E-2</v>
      </c>
      <c r="R6949">
        <v>0.66098419999999902</v>
      </c>
      <c r="S6949">
        <v>1.65685999999999</v>
      </c>
      <c r="T6949">
        <v>-0.34767409999999999</v>
      </c>
      <c r="U6949">
        <v>2.6644589999999999</v>
      </c>
      <c r="V6949">
        <v>-2.6998290000000001E-2</v>
      </c>
      <c r="W6949">
        <v>2.8603679999999999E-3</v>
      </c>
      <c r="X6949">
        <v>0.99963139999999995</v>
      </c>
      <c r="Y6949">
        <v>-0.31491639999999999</v>
      </c>
      <c r="Z6949">
        <v>-5.6988999999999998E-2</v>
      </c>
      <c r="AA6949">
        <v>0.94740690000000005</v>
      </c>
      <c r="AB6949">
        <v>32</v>
      </c>
      <c r="AC6949">
        <v>5.2326999999999897</v>
      </c>
      <c r="AD6949">
        <v>-1.125327436142</v>
      </c>
      <c r="AE6949">
        <v>8.5088299999999997</v>
      </c>
      <c r="AF6949">
        <v>-3.1413112212898602</v>
      </c>
      <c r="AG6949">
        <v>-1.125327436142</v>
      </c>
      <c r="AH6949">
        <v>9.3503042648288996</v>
      </c>
      <c r="AI6949">
        <v>96.508491424338501</v>
      </c>
      <c r="AJ6949">
        <v>108.570195542604</v>
      </c>
      <c r="AK6949">
        <v>9.9278591787158703</v>
      </c>
      <c r="AL6949">
        <v>89.836112764333393</v>
      </c>
      <c r="AM6949">
        <v>91.547082366745101</v>
      </c>
      <c r="AN6949">
        <v>1.0000000126169799</v>
      </c>
    </row>
    <row r="6950" spans="1:40" x14ac:dyDescent="0.25">
      <c r="A6950" t="str">
        <f>"20190312154431980"</f>
        <v>20190312154431980</v>
      </c>
      <c r="B6950" t="str">
        <f>"1552376671974627"</f>
        <v>1552376671974627</v>
      </c>
      <c r="C6950" t="s">
        <v>40</v>
      </c>
      <c r="D6950">
        <v>5.1475790000000003</v>
      </c>
      <c r="E6950">
        <v>0.38631149999999997</v>
      </c>
      <c r="F6950" t="s">
        <v>70</v>
      </c>
      <c r="G6950">
        <v>-195.19309999999999</v>
      </c>
      <c r="H6950" s="1">
        <v>-3.4911220000000001E-6</v>
      </c>
      <c r="I6950">
        <v>-47.914479999999998</v>
      </c>
      <c r="J6950">
        <v>-200.3708</v>
      </c>
      <c r="K6950">
        <v>1.1253089999999999</v>
      </c>
      <c r="L6950">
        <v>-56.440890000000003</v>
      </c>
      <c r="M6950">
        <v>0.76161749999999995</v>
      </c>
      <c r="N6950">
        <v>0</v>
      </c>
      <c r="O6950">
        <v>0.64780079999999995</v>
      </c>
      <c r="P6950">
        <v>0.74391409999999902</v>
      </c>
      <c r="Q6950">
        <v>-1.339943E-2</v>
      </c>
      <c r="R6950">
        <v>0.66814110000000004</v>
      </c>
      <c r="S6950">
        <v>1.63926699999999</v>
      </c>
      <c r="T6950">
        <v>-0.3478348</v>
      </c>
      <c r="U6950">
        <v>2.6709900000000002</v>
      </c>
      <c r="V6950">
        <v>-2.7084110000000002E-2</v>
      </c>
      <c r="W6950">
        <v>2.6963360000000001E-3</v>
      </c>
      <c r="X6950">
        <v>0.99962949999999995</v>
      </c>
      <c r="Y6950">
        <v>-0.31150840000000002</v>
      </c>
      <c r="Z6950">
        <v>-5.8145870000000002E-2</v>
      </c>
      <c r="AA6950">
        <v>0.94846269999999999</v>
      </c>
      <c r="AB6950">
        <v>32</v>
      </c>
      <c r="AC6950">
        <v>5.1777000000000104</v>
      </c>
      <c r="AD6950">
        <v>-1.125312491122</v>
      </c>
      <c r="AE6950">
        <v>8.5264100000000003</v>
      </c>
      <c r="AF6950">
        <v>-3.1007451389122802</v>
      </c>
      <c r="AG6950">
        <v>-1.125312491122</v>
      </c>
      <c r="AH6950">
        <v>9.3492516196834501</v>
      </c>
      <c r="AI6950">
        <v>96.517473849176795</v>
      </c>
      <c r="AJ6950">
        <v>108.34846543040101</v>
      </c>
      <c r="AK6950">
        <v>9.9141038156414805</v>
      </c>
      <c r="AL6950">
        <v>89.845511136496398</v>
      </c>
      <c r="AM6950">
        <v>91.5520006552279</v>
      </c>
      <c r="AN6950">
        <v>0.99999997825628295</v>
      </c>
    </row>
    <row r="6951" spans="1:40" x14ac:dyDescent="0.25">
      <c r="A6951" t="str">
        <f>"20190312154431996"</f>
        <v>20190312154431996</v>
      </c>
      <c r="B6951" t="str">
        <f>"1552376671984389"</f>
        <v>1552376671984389</v>
      </c>
      <c r="C6951" t="s">
        <v>40</v>
      </c>
      <c r="D6951">
        <v>5.1520169999999998</v>
      </c>
      <c r="E6951">
        <v>0.40091019999999999</v>
      </c>
      <c r="F6951" t="s">
        <v>70</v>
      </c>
      <c r="G6951">
        <v>-195.15719999999999</v>
      </c>
      <c r="H6951" s="1">
        <v>-3.5622380000000002E-6</v>
      </c>
      <c r="I6951">
        <v>-47.760449999999999</v>
      </c>
      <c r="J6951">
        <v>-200.2183</v>
      </c>
      <c r="K6951">
        <v>1.125297</v>
      </c>
      <c r="L6951">
        <v>-56.299349999999997</v>
      </c>
      <c r="M6951">
        <v>0.75405480000000003</v>
      </c>
      <c r="N6951">
        <v>0</v>
      </c>
      <c r="O6951">
        <v>0.65658859999999997</v>
      </c>
      <c r="P6951">
        <v>0.73594619999999999</v>
      </c>
      <c r="Q6951">
        <v>-1.3215289999999999E-2</v>
      </c>
      <c r="R6951">
        <v>0.67691109999999999</v>
      </c>
      <c r="S6951">
        <v>1.613556</v>
      </c>
      <c r="T6951">
        <v>-0.34827520000000001</v>
      </c>
      <c r="U6951">
        <v>2.6865230000000002</v>
      </c>
      <c r="V6951">
        <v>-2.7345299999999999E-2</v>
      </c>
      <c r="W6951">
        <v>2.871335E-3</v>
      </c>
      <c r="X6951">
        <v>0.99962189999999995</v>
      </c>
      <c r="Y6951">
        <v>-0.30962129999999999</v>
      </c>
      <c r="Z6951">
        <v>-5.9408710000000003E-2</v>
      </c>
      <c r="AA6951">
        <v>0.94900229999999997</v>
      </c>
      <c r="AB6951">
        <v>32</v>
      </c>
      <c r="AC6951">
        <v>5.0610999999999997</v>
      </c>
      <c r="AD6951">
        <v>-1.1253005622379999</v>
      </c>
      <c r="AE6951">
        <v>8.5388999999999893</v>
      </c>
      <c r="AF6951">
        <v>-3.0766522385994</v>
      </c>
      <c r="AG6951">
        <v>-1.1253005622379999</v>
      </c>
      <c r="AH6951">
        <v>9.3046846140849304</v>
      </c>
      <c r="AI6951">
        <v>96.550290568018994</v>
      </c>
      <c r="AJ6951">
        <v>108.296791761436</v>
      </c>
      <c r="AK6951">
        <v>9.8645449018310405</v>
      </c>
      <c r="AL6951">
        <v>89.835484393001593</v>
      </c>
      <c r="AM6951">
        <v>91.566972106022106</v>
      </c>
      <c r="AN6951">
        <v>0.99999997647818994</v>
      </c>
    </row>
    <row r="6952" spans="1:40" x14ac:dyDescent="0.25">
      <c r="A6952" t="str">
        <f>"20190312154432009"</f>
        <v>20190312154432009</v>
      </c>
      <c r="B6952" t="str">
        <f>"1552376672004882"</f>
        <v>1552376672004882</v>
      </c>
      <c r="C6952" t="s">
        <v>40</v>
      </c>
      <c r="D6952">
        <v>5.050446</v>
      </c>
      <c r="E6952">
        <v>0.40164329999999998</v>
      </c>
      <c r="F6952" t="s">
        <v>70</v>
      </c>
      <c r="G6952">
        <v>-194.3262</v>
      </c>
      <c r="H6952" s="1">
        <v>-3.7906880000000001E-6</v>
      </c>
      <c r="I6952">
        <v>-47.012520000000002</v>
      </c>
      <c r="J6952">
        <v>-200.07929999999999</v>
      </c>
      <c r="K6952">
        <v>1.1252869999999999</v>
      </c>
      <c r="L6952">
        <v>-56.167879999999997</v>
      </c>
      <c r="M6952">
        <v>0.74700429999999995</v>
      </c>
      <c r="N6952">
        <v>0</v>
      </c>
      <c r="O6952">
        <v>0.66459889999999999</v>
      </c>
      <c r="P6952">
        <v>0.72869839999999997</v>
      </c>
      <c r="Q6952">
        <v>-1.312226E-2</v>
      </c>
      <c r="R6952">
        <v>0.68470909999999996</v>
      </c>
      <c r="S6952">
        <v>1.661697</v>
      </c>
      <c r="T6952">
        <v>-0.31735839999999998</v>
      </c>
      <c r="U6952">
        <v>2.6190799999999999</v>
      </c>
      <c r="V6952">
        <v>-2.7322889999999999E-2</v>
      </c>
      <c r="W6952">
        <v>2.9657479999999998E-3</v>
      </c>
      <c r="X6952">
        <v>0.99962229999999996</v>
      </c>
      <c r="Y6952">
        <v>-0.27595979999999998</v>
      </c>
      <c r="Z6952">
        <v>-5.7032300000000001E-2</v>
      </c>
      <c r="AA6952">
        <v>0.95947559999999998</v>
      </c>
      <c r="AB6952">
        <v>32</v>
      </c>
      <c r="AC6952">
        <v>5.7530999999999803</v>
      </c>
      <c r="AD6952">
        <v>-1.1252907906880001</v>
      </c>
      <c r="AE6952">
        <v>9.1553599999999999</v>
      </c>
      <c r="AF6952">
        <v>-2.9837161563854901</v>
      </c>
      <c r="AG6952">
        <v>-1.1252907906880001</v>
      </c>
      <c r="AH6952">
        <v>10.272497862334101</v>
      </c>
      <c r="AI6952">
        <v>96.005223712097504</v>
      </c>
      <c r="AJ6952">
        <v>106.19629480159</v>
      </c>
      <c r="AK6952">
        <v>10.7560705556045</v>
      </c>
      <c r="AL6952">
        <v>89.830074914080598</v>
      </c>
      <c r="AM6952">
        <v>91.565687955453896</v>
      </c>
      <c r="AN6952">
        <v>1.00000003931822</v>
      </c>
    </row>
    <row r="6953" spans="1:40" x14ac:dyDescent="0.25">
      <c r="A6953" t="str">
        <f>"20190312154432023"</f>
        <v>20190312154432023</v>
      </c>
      <c r="B6953" t="str">
        <f>"1552376672014643"</f>
        <v>1552376672014643</v>
      </c>
      <c r="C6953" t="s">
        <v>40</v>
      </c>
      <c r="D6953">
        <v>5.0879370000000002</v>
      </c>
      <c r="E6953">
        <v>0.40215000000000001</v>
      </c>
      <c r="F6953" t="s">
        <v>70</v>
      </c>
      <c r="G6953">
        <v>-194.4555</v>
      </c>
      <c r="H6953" s="1">
        <v>-3.75601E-6</v>
      </c>
      <c r="I6953">
        <v>-47.127160000000003</v>
      </c>
      <c r="J6953">
        <v>-199.93299999999999</v>
      </c>
      <c r="K6953">
        <v>1.1252759999999999</v>
      </c>
      <c r="L6953">
        <v>-56.025419999999997</v>
      </c>
      <c r="M6953">
        <v>0.73937430000000004</v>
      </c>
      <c r="N6953">
        <v>0</v>
      </c>
      <c r="O6953">
        <v>0.67307720000000004</v>
      </c>
      <c r="P6953">
        <v>0.72062150000000003</v>
      </c>
      <c r="Q6953">
        <v>-1.2969120000000001E-2</v>
      </c>
      <c r="R6953">
        <v>0.69320740000000003</v>
      </c>
      <c r="S6953">
        <v>1.6375120000000001</v>
      </c>
      <c r="T6953">
        <v>-0.32765470000000002</v>
      </c>
      <c r="U6953">
        <v>2.6324160000000001</v>
      </c>
      <c r="V6953">
        <v>-2.7645099999999902E-2</v>
      </c>
      <c r="W6953">
        <v>3.106892E-3</v>
      </c>
      <c r="X6953">
        <v>0.99961299999999997</v>
      </c>
      <c r="Y6953">
        <v>-0.27363910000000002</v>
      </c>
      <c r="Z6953">
        <v>-5.999666E-2</v>
      </c>
      <c r="AA6953">
        <v>0.95995940000000002</v>
      </c>
      <c r="AB6953">
        <v>32</v>
      </c>
      <c r="AC6953">
        <v>5.4774999999999903</v>
      </c>
      <c r="AD6953">
        <v>-1.1252797560100001</v>
      </c>
      <c r="AE6953">
        <v>8.8982600000000005</v>
      </c>
      <c r="AF6953">
        <v>-2.8596229335936201</v>
      </c>
      <c r="AG6953">
        <v>-1.1252797560100001</v>
      </c>
      <c r="AH6953">
        <v>9.9254959612912206</v>
      </c>
      <c r="AI6953">
        <v>96.217360120436595</v>
      </c>
      <c r="AJ6953">
        <v>106.07215777742501</v>
      </c>
      <c r="AK6953">
        <v>10.390340125771999</v>
      </c>
      <c r="AL6953">
        <v>89.821987919426405</v>
      </c>
      <c r="AM6953">
        <v>91.584156984226894</v>
      </c>
      <c r="AN6953">
        <v>1.0000000270504501</v>
      </c>
    </row>
    <row r="6954" spans="1:40" x14ac:dyDescent="0.25">
      <c r="A6954" t="str">
        <f>"20190312154432036"</f>
        <v>20190312154432036</v>
      </c>
      <c r="B6954" t="str">
        <f>"1552376672024404"</f>
        <v>1552376672024404</v>
      </c>
      <c r="C6954" t="s">
        <v>40</v>
      </c>
      <c r="D6954">
        <v>5.1360340000000004</v>
      </c>
      <c r="E6954">
        <v>0.40125270000000002</v>
      </c>
      <c r="F6954" t="s">
        <v>70</v>
      </c>
      <c r="G6954">
        <v>-194.49270000000001</v>
      </c>
      <c r="H6954" s="1">
        <v>-3.7906779999999998E-6</v>
      </c>
      <c r="I6954">
        <v>-47.071429999999999</v>
      </c>
      <c r="J6954">
        <v>-199.8176</v>
      </c>
      <c r="K6954">
        <v>1.125264</v>
      </c>
      <c r="L6954">
        <v>-55.9107699999999</v>
      </c>
      <c r="M6954">
        <v>0.73322489999999996</v>
      </c>
      <c r="N6954">
        <v>0</v>
      </c>
      <c r="O6954">
        <v>0.67977089999999996</v>
      </c>
      <c r="P6954">
        <v>0.71425150000000004</v>
      </c>
      <c r="Q6954">
        <v>-1.303811E-2</v>
      </c>
      <c r="R6954">
        <v>0.69976780000000005</v>
      </c>
      <c r="S6954">
        <v>1.6092379999999999</v>
      </c>
      <c r="T6954">
        <v>-0.33285749999999997</v>
      </c>
      <c r="U6954">
        <v>2.64859</v>
      </c>
      <c r="V6954">
        <v>-2.7696579999999998E-2</v>
      </c>
      <c r="W6954">
        <v>3.0353659999999998E-3</v>
      </c>
      <c r="X6954">
        <v>0.99961180000000005</v>
      </c>
      <c r="Y6954">
        <v>-0.27503749999999999</v>
      </c>
      <c r="Z6954">
        <v>-6.170921E-2</v>
      </c>
      <c r="AA6954">
        <v>0.9594511</v>
      </c>
      <c r="AB6954">
        <v>32</v>
      </c>
      <c r="AC6954">
        <v>5.32489999999998</v>
      </c>
      <c r="AD6954">
        <v>-1.125267790678</v>
      </c>
      <c r="AE6954">
        <v>8.8393399999999893</v>
      </c>
      <c r="AF6954">
        <v>-2.8283004933037801</v>
      </c>
      <c r="AG6954">
        <v>-1.125267790678</v>
      </c>
      <c r="AH6954">
        <v>9.7980210401530705</v>
      </c>
      <c r="AI6954">
        <v>96.296620156234496</v>
      </c>
      <c r="AJ6954">
        <v>106.101333491464</v>
      </c>
      <c r="AK6954">
        <v>10.2599574845338</v>
      </c>
      <c r="AL6954">
        <v>89.826086077489194</v>
      </c>
      <c r="AM6954">
        <v>91.587107357860503</v>
      </c>
      <c r="AN6954">
        <v>1.0000000323448399</v>
      </c>
    </row>
    <row r="6955" spans="1:40" x14ac:dyDescent="0.25">
      <c r="A6955" t="str">
        <f>"20190312154432046"</f>
        <v>20190312154432046</v>
      </c>
      <c r="B6955" t="str">
        <f>"1552376672034163"</f>
        <v>1552376672034163</v>
      </c>
      <c r="C6955" t="s">
        <v>40</v>
      </c>
      <c r="D6955">
        <v>5.0837719999999997</v>
      </c>
      <c r="E6955">
        <v>0.40125270000000002</v>
      </c>
      <c r="F6955" t="s">
        <v>70</v>
      </c>
      <c r="G6955">
        <v>-194.5367</v>
      </c>
      <c r="H6955" s="1">
        <v>-3.8387789999999996E-6</v>
      </c>
      <c r="I6955">
        <v>-46.991419999999998</v>
      </c>
      <c r="J6955">
        <v>-199.7054</v>
      </c>
      <c r="K6955">
        <v>1.1252549999999999</v>
      </c>
      <c r="L6955">
        <v>-55.798070000000003</v>
      </c>
      <c r="M6955">
        <v>0.72715090000000004</v>
      </c>
      <c r="N6955">
        <v>0</v>
      </c>
      <c r="O6955">
        <v>0.68626450000000006</v>
      </c>
      <c r="P6955">
        <v>0.70789380000000002</v>
      </c>
      <c r="Q6955">
        <v>-1.293483E-2</v>
      </c>
      <c r="R6955">
        <v>0.70620050000000001</v>
      </c>
      <c r="S6955">
        <v>1.579834</v>
      </c>
      <c r="T6955">
        <v>-0.33663850000000001</v>
      </c>
      <c r="U6955">
        <v>2.6683349999999999</v>
      </c>
      <c r="V6955">
        <v>-2.7852439999999999E-2</v>
      </c>
      <c r="W6955">
        <v>3.1331169999999999E-3</v>
      </c>
      <c r="X6955">
        <v>0.99960709999999997</v>
      </c>
      <c r="Y6955">
        <v>-0.27747699999999997</v>
      </c>
      <c r="Z6955">
        <v>-6.3058450000000002E-2</v>
      </c>
      <c r="AA6955">
        <v>0.95866059999999997</v>
      </c>
      <c r="AB6955">
        <v>32</v>
      </c>
      <c r="AC6955">
        <v>5.1687000000000003</v>
      </c>
      <c r="AD6955">
        <v>-1.1252588387789999</v>
      </c>
      <c r="AE6955">
        <v>8.8066499999999905</v>
      </c>
      <c r="AF6955">
        <v>-2.8228081196979198</v>
      </c>
      <c r="AG6955">
        <v>-1.1252588387789999</v>
      </c>
      <c r="AH6955">
        <v>9.6859318220628605</v>
      </c>
      <c r="AI6955">
        <v>96.364156192934203</v>
      </c>
      <c r="AJ6955">
        <v>106.247908798857</v>
      </c>
      <c r="AK6955">
        <v>10.1514397203811</v>
      </c>
      <c r="AL6955">
        <v>89.820485319125595</v>
      </c>
      <c r="AM6955">
        <v>91.596041554870993</v>
      </c>
      <c r="AN6955">
        <v>0.99999996460324903</v>
      </c>
    </row>
    <row r="6956" spans="1:40" x14ac:dyDescent="0.25">
      <c r="A6956" t="str">
        <f>"20190312154432057"</f>
        <v>20190312154432057</v>
      </c>
      <c r="B6956" t="str">
        <f>"1552376672054660"</f>
        <v>1552376672054660</v>
      </c>
      <c r="C6956" t="s">
        <v>40</v>
      </c>
      <c r="D6956">
        <v>5.0361279999999997</v>
      </c>
      <c r="E6956">
        <v>0.36934099999999997</v>
      </c>
      <c r="F6956" t="s">
        <v>70</v>
      </c>
      <c r="G6956">
        <v>-194.50319999999999</v>
      </c>
      <c r="H6956" s="1">
        <v>-3.9154849999999998E-6</v>
      </c>
      <c r="I6956">
        <v>-46.827109999999998</v>
      </c>
      <c r="J6956">
        <v>-199.601</v>
      </c>
      <c r="K6956">
        <v>1.1252450000000001</v>
      </c>
      <c r="L6956">
        <v>-55.690119999999901</v>
      </c>
      <c r="M6956">
        <v>0.72135719999999903</v>
      </c>
      <c r="N6956">
        <v>0</v>
      </c>
      <c r="O6956">
        <v>0.69235179999999996</v>
      </c>
      <c r="P6956">
        <v>0.70181729999999998</v>
      </c>
      <c r="Q6956">
        <v>-1.324008E-2</v>
      </c>
      <c r="R6956">
        <v>0.71223400000000003</v>
      </c>
      <c r="S6956">
        <v>1.5556179999999999</v>
      </c>
      <c r="T6956">
        <v>-0.33648660000000002</v>
      </c>
      <c r="U6956">
        <v>2.6825869999999998</v>
      </c>
      <c r="V6956">
        <v>-2.799927E-2</v>
      </c>
      <c r="W6956">
        <v>2.8212670000000001E-3</v>
      </c>
      <c r="X6956">
        <v>0.99960400000000005</v>
      </c>
      <c r="Y6956">
        <v>-0.2781054</v>
      </c>
      <c r="Z6956">
        <v>-6.3747799999999993E-2</v>
      </c>
      <c r="AA6956">
        <v>0.95843290000000003</v>
      </c>
      <c r="AB6956">
        <v>32</v>
      </c>
      <c r="AC6956">
        <v>5.0978000000000003</v>
      </c>
      <c r="AD6956">
        <v>-1.1252489154850001</v>
      </c>
      <c r="AE6956">
        <v>8.8630099999999903</v>
      </c>
      <c r="AF6956">
        <v>-2.8300668943792799</v>
      </c>
      <c r="AG6956">
        <v>-1.1252489154850001</v>
      </c>
      <c r="AH6956">
        <v>9.6976356955725294</v>
      </c>
      <c r="AI6956">
        <v>96.355810432103198</v>
      </c>
      <c r="AJ6956">
        <v>106.268860904552</v>
      </c>
      <c r="AK6956">
        <v>10.1646250217361</v>
      </c>
      <c r="AL6956">
        <v>89.838353099681498</v>
      </c>
      <c r="AM6956">
        <v>91.604456010674198</v>
      </c>
      <c r="AN6956">
        <v>1.000000037742</v>
      </c>
    </row>
    <row r="6957" spans="1:40" x14ac:dyDescent="0.25">
      <c r="A6957" t="str">
        <f>"20190312154432069"</f>
        <v>20190312154432069</v>
      </c>
      <c r="B6957" t="str">
        <f>"1552376672064419"</f>
        <v>1552376672064419</v>
      </c>
      <c r="C6957" t="s">
        <v>40</v>
      </c>
      <c r="D6957">
        <v>5.013655</v>
      </c>
      <c r="E6957">
        <v>0.365568</v>
      </c>
      <c r="F6957" t="s">
        <v>70</v>
      </c>
      <c r="G6957">
        <v>-194.92920000000001</v>
      </c>
      <c r="H6957" s="1">
        <v>-4.5310229999999999E-6</v>
      </c>
      <c r="I6957">
        <v>-45.754629999999999</v>
      </c>
      <c r="J6957">
        <v>-199.4924</v>
      </c>
      <c r="K6957">
        <v>1.1252329999999999</v>
      </c>
      <c r="L6957">
        <v>-55.577300000000001</v>
      </c>
      <c r="M6957">
        <v>0.71526239999999996</v>
      </c>
      <c r="N6957">
        <v>0</v>
      </c>
      <c r="O6957">
        <v>0.69864659999999901</v>
      </c>
      <c r="P6957">
        <v>0.69543900000000003</v>
      </c>
      <c r="Q6957">
        <v>-1.2906590000000001E-2</v>
      </c>
      <c r="R6957">
        <v>0.71846929999999998</v>
      </c>
      <c r="S6957">
        <v>1.351532</v>
      </c>
      <c r="T6957">
        <v>-0.32553019999999999</v>
      </c>
      <c r="U6957">
        <v>2.874298</v>
      </c>
      <c r="V6957">
        <v>-2.8169409999999999E-2</v>
      </c>
      <c r="W6957">
        <v>3.148376E-3</v>
      </c>
      <c r="X6957">
        <v>0.99959819999999999</v>
      </c>
      <c r="Y6957">
        <v>-0.35090589999999999</v>
      </c>
      <c r="Z6957">
        <v>-5.8095210000000001E-2</v>
      </c>
      <c r="AA6957">
        <v>0.93460690000000002</v>
      </c>
      <c r="AB6957">
        <v>32</v>
      </c>
      <c r="AC6957">
        <v>4.5631999999999904</v>
      </c>
      <c r="AD6957">
        <v>-1.1252375310229901</v>
      </c>
      <c r="AE6957">
        <v>9.8226700000000005</v>
      </c>
      <c r="AF6957">
        <v>-3.7972978702568199</v>
      </c>
      <c r="AG6957">
        <v>-1.1252375310229901</v>
      </c>
      <c r="AH6957">
        <v>10.019793747519699</v>
      </c>
      <c r="AI6957">
        <v>95.994835604783205</v>
      </c>
      <c r="AJ6957">
        <v>110.755688360848</v>
      </c>
      <c r="AK6957">
        <v>10.7741309329113</v>
      </c>
      <c r="AL6957">
        <v>89.819611043909703</v>
      </c>
      <c r="AM6957">
        <v>91.614209845754502</v>
      </c>
      <c r="AN6957">
        <v>0.99999999468721201</v>
      </c>
    </row>
    <row r="6958" spans="1:40" x14ac:dyDescent="0.25">
      <c r="A6958" t="str">
        <f>"20190312154432080"</f>
        <v>20190312154432080</v>
      </c>
      <c r="B6958" t="str">
        <f>"1552376672074179"</f>
        <v>1552376672074179</v>
      </c>
      <c r="C6958" t="s">
        <v>40</v>
      </c>
      <c r="D6958">
        <v>5.0946949999999998</v>
      </c>
      <c r="E6958">
        <v>0.36375160000000001</v>
      </c>
      <c r="F6958" t="s">
        <v>70</v>
      </c>
      <c r="G6958">
        <v>-194.95240000000001</v>
      </c>
      <c r="H6958" s="1">
        <v>-4.6842129999999997E-6</v>
      </c>
      <c r="I6958">
        <v>-45.45843</v>
      </c>
      <c r="J6958">
        <v>-199.3862</v>
      </c>
      <c r="K6958">
        <v>1.12522099999999</v>
      </c>
      <c r="L6958">
        <v>-55.463619999999999</v>
      </c>
      <c r="M6958">
        <v>0.70914540000000004</v>
      </c>
      <c r="N6958">
        <v>0</v>
      </c>
      <c r="O6958">
        <v>0.7048548</v>
      </c>
      <c r="P6958">
        <v>0.6891465</v>
      </c>
      <c r="Q6958">
        <v>-1.289795E-2</v>
      </c>
      <c r="R6958">
        <v>0.72450719999999902</v>
      </c>
      <c r="S6958">
        <v>1.3043670000000001</v>
      </c>
      <c r="T6958">
        <v>-0.32328580000000001</v>
      </c>
      <c r="U6958">
        <v>2.9071959999999999</v>
      </c>
      <c r="V6958">
        <v>-2.8174169999999998E-2</v>
      </c>
      <c r="W6958">
        <v>3.1560049999999999E-3</v>
      </c>
      <c r="X6958">
        <v>0.99959799999999999</v>
      </c>
      <c r="Y6958">
        <v>-0.3593343</v>
      </c>
      <c r="Z6958">
        <v>-5.7918539999999998E-2</v>
      </c>
      <c r="AA6958">
        <v>0.93140990000000001</v>
      </c>
      <c r="AB6958">
        <v>32</v>
      </c>
      <c r="AC6958">
        <v>4.43379999999999</v>
      </c>
      <c r="AD6958">
        <v>-1.12522568421299</v>
      </c>
      <c r="AE6958">
        <v>10.005190000000001</v>
      </c>
      <c r="AF6958">
        <v>-3.9289925481194299</v>
      </c>
      <c r="AG6958">
        <v>-1.12522568421299</v>
      </c>
      <c r="AH6958">
        <v>10.0912218984025</v>
      </c>
      <c r="AI6958">
        <v>95.932169594873699</v>
      </c>
      <c r="AJ6958">
        <v>111.27332919468201</v>
      </c>
      <c r="AK6958">
        <v>10.887418182764399</v>
      </c>
      <c r="AL6958">
        <v>89.819173924680101</v>
      </c>
      <c r="AM6958">
        <v>91.614482789606896</v>
      </c>
      <c r="AN6958">
        <v>0.99999995291337296</v>
      </c>
    </row>
    <row r="6959" spans="1:40" x14ac:dyDescent="0.25">
      <c r="A6959" t="str">
        <f>"20190312154432090"</f>
        <v>20190312154432090</v>
      </c>
      <c r="B6959" t="str">
        <f>"1552376672083939"</f>
        <v>1552376672083939</v>
      </c>
      <c r="C6959" t="s">
        <v>40</v>
      </c>
      <c r="D6959">
        <v>5.0227149999999998</v>
      </c>
      <c r="E6959">
        <v>0.36310940000000003</v>
      </c>
      <c r="F6959" t="s">
        <v>70</v>
      </c>
      <c r="G6959">
        <v>-194.9967</v>
      </c>
      <c r="H6959" s="1">
        <v>-4.7553040000000001E-6</v>
      </c>
      <c r="I6959">
        <v>-45.328749999999999</v>
      </c>
      <c r="J6959">
        <v>-199.2801</v>
      </c>
      <c r="K6959">
        <v>1.125208</v>
      </c>
      <c r="L6959">
        <v>-55.348970000000001</v>
      </c>
      <c r="M6959">
        <v>0.70294469999999898</v>
      </c>
      <c r="N6959">
        <v>0</v>
      </c>
      <c r="O6959">
        <v>0.71103879999999997</v>
      </c>
      <c r="P6959">
        <v>0.68262429999999996</v>
      </c>
      <c r="Q6959">
        <v>-1.280272E-2</v>
      </c>
      <c r="R6959">
        <v>0.73065729999999995</v>
      </c>
      <c r="S6959">
        <v>1.2683719999999901</v>
      </c>
      <c r="T6959">
        <v>-0.32513690000000001</v>
      </c>
      <c r="U6959">
        <v>2.9284970000000001</v>
      </c>
      <c r="V6959">
        <v>-2.8383889999999998E-2</v>
      </c>
      <c r="W6959">
        <v>3.2427889999999998E-3</v>
      </c>
      <c r="X6959">
        <v>0.99959180000000003</v>
      </c>
      <c r="Y6959">
        <v>-0.36330040000000002</v>
      </c>
      <c r="Z6959">
        <v>-5.87436E-2</v>
      </c>
      <c r="AA6959">
        <v>0.92981829999999999</v>
      </c>
      <c r="AB6959">
        <v>32</v>
      </c>
      <c r="AC6959">
        <v>4.2834000000000003</v>
      </c>
      <c r="AD6959">
        <v>-1.1252127553039999</v>
      </c>
      <c r="AE6959">
        <v>10.020219999999901</v>
      </c>
      <c r="AF6959">
        <v>-3.95639991006164</v>
      </c>
      <c r="AG6959">
        <v>-1.1252127553039999</v>
      </c>
      <c r="AH6959">
        <v>10.030301345636699</v>
      </c>
      <c r="AI6959">
        <v>95.957621347094801</v>
      </c>
      <c r="AJ6959">
        <v>111.5264959881</v>
      </c>
      <c r="AK6959">
        <v>10.840947794234401</v>
      </c>
      <c r="AL6959">
        <v>89.8142015440813</v>
      </c>
      <c r="AM6959">
        <v>91.626504162609294</v>
      </c>
      <c r="AN6959">
        <v>0.99999996375963396</v>
      </c>
    </row>
    <row r="6960" spans="1:40" x14ac:dyDescent="0.25">
      <c r="A6960" t="str">
        <f>"20190312154432102"</f>
        <v>20190312154432102</v>
      </c>
      <c r="B6960" t="str">
        <f>"1552376672094676"</f>
        <v>1552376672094676</v>
      </c>
      <c r="C6960" t="s">
        <v>40</v>
      </c>
      <c r="D6960">
        <v>5.043113</v>
      </c>
      <c r="E6960">
        <v>0.36296659999999997</v>
      </c>
      <c r="F6960" t="s">
        <v>70</v>
      </c>
      <c r="G6960">
        <v>-194.98480000000001</v>
      </c>
      <c r="H6960" s="1">
        <v>-4.8408399999999997E-6</v>
      </c>
      <c r="I6960">
        <v>-45.140599999999999</v>
      </c>
      <c r="J6960">
        <v>-199.1712</v>
      </c>
      <c r="K6960">
        <v>1.125194</v>
      </c>
      <c r="L6960">
        <v>-55.228580000000001</v>
      </c>
      <c r="M6960">
        <v>0.69644189999999995</v>
      </c>
      <c r="N6960">
        <v>0</v>
      </c>
      <c r="O6960">
        <v>0.71740939999999997</v>
      </c>
      <c r="P6960">
        <v>0.67562279999999997</v>
      </c>
      <c r="Q6960">
        <v>-1.22118E-2</v>
      </c>
      <c r="R6960">
        <v>0.73714630000000003</v>
      </c>
      <c r="S6960">
        <v>1.2383729999999999</v>
      </c>
      <c r="T6960">
        <v>-0.32441379999999997</v>
      </c>
      <c r="U6960">
        <v>2.9432070000000001</v>
      </c>
      <c r="V6960">
        <v>-2.8847600000000001E-2</v>
      </c>
      <c r="W6960">
        <v>3.8154669999999999E-3</v>
      </c>
      <c r="X6960">
        <v>0.99957660000000004</v>
      </c>
      <c r="Y6960">
        <v>-0.3645446</v>
      </c>
      <c r="Z6960">
        <v>-5.9300360000000003E-2</v>
      </c>
      <c r="AA6960">
        <v>0.92929580000000001</v>
      </c>
      <c r="AB6960">
        <v>32</v>
      </c>
      <c r="AC6960">
        <v>4.1863999999999901</v>
      </c>
      <c r="AD6960">
        <v>-1.12519884084</v>
      </c>
      <c r="AE6960">
        <v>10.08798</v>
      </c>
      <c r="AF6960">
        <v>-3.98067022556575</v>
      </c>
      <c r="AG6960">
        <v>-1.12519884084</v>
      </c>
      <c r="AH6960">
        <v>10.0476441547746</v>
      </c>
      <c r="AI6960">
        <v>95.943838047495603</v>
      </c>
      <c r="AJ6960">
        <v>111.61245358456</v>
      </c>
      <c r="AK6960">
        <v>10.8658621810286</v>
      </c>
      <c r="AL6960">
        <v>89.781389326846593</v>
      </c>
      <c r="AM6960">
        <v>91.653086996195796</v>
      </c>
      <c r="AN6960">
        <v>1.0000000605408701</v>
      </c>
    </row>
    <row r="6961" spans="1:40" x14ac:dyDescent="0.25">
      <c r="A6961" t="str">
        <f>"20190312154432114"</f>
        <v>20190312154432114</v>
      </c>
      <c r="B6961" t="str">
        <f>"1552376672104436"</f>
        <v>1552376672104436</v>
      </c>
      <c r="C6961" t="s">
        <v>40</v>
      </c>
      <c r="D6961">
        <v>5.0135579999999997</v>
      </c>
      <c r="E6961">
        <v>0.3631336</v>
      </c>
      <c r="F6961" t="s">
        <v>70</v>
      </c>
      <c r="G6961">
        <v>-194.95359999999999</v>
      </c>
      <c r="H6961" s="1">
        <v>-4.9360949999999997E-6</v>
      </c>
      <c r="I6961">
        <v>-44.924169999999997</v>
      </c>
      <c r="J6961">
        <v>-199.0685</v>
      </c>
      <c r="K6961">
        <v>1.1251850000000001</v>
      </c>
      <c r="L6961">
        <v>-55.113219999999998</v>
      </c>
      <c r="M6961">
        <v>0.69019799999999998</v>
      </c>
      <c r="N6961">
        <v>0</v>
      </c>
      <c r="O6961">
        <v>0.72341849999999996</v>
      </c>
      <c r="P6961">
        <v>0.66897510000000004</v>
      </c>
      <c r="Q6961">
        <v>-1.1896489999999999E-2</v>
      </c>
      <c r="R6961">
        <v>0.74318960000000001</v>
      </c>
      <c r="S6961">
        <v>1.209732</v>
      </c>
      <c r="T6961">
        <v>-0.32274259999999999</v>
      </c>
      <c r="U6961">
        <v>2.9556269999999998</v>
      </c>
      <c r="V6961">
        <v>-2.9176440000000001E-2</v>
      </c>
      <c r="W6961">
        <v>4.1177790000000002E-3</v>
      </c>
      <c r="X6961">
        <v>0.99956579999999995</v>
      </c>
      <c r="Y6961">
        <v>-0.36556139999999998</v>
      </c>
      <c r="Z6961">
        <v>-5.9671109999999999E-2</v>
      </c>
      <c r="AA6961">
        <v>0.92887249999999999</v>
      </c>
      <c r="AB6961">
        <v>32</v>
      </c>
      <c r="AC6961">
        <v>4.1148999999999996</v>
      </c>
      <c r="AD6961">
        <v>-1.125189936095</v>
      </c>
      <c r="AE6961">
        <v>10.1890499999999</v>
      </c>
      <c r="AF6961">
        <v>-4.0141716922878201</v>
      </c>
      <c r="AG6961">
        <v>-1.125189936095</v>
      </c>
      <c r="AH6961">
        <v>10.1065689939528</v>
      </c>
      <c r="AI6961">
        <v>95.907362180929496</v>
      </c>
      <c r="AJ6961">
        <v>111.662204655189</v>
      </c>
      <c r="AK6961">
        <v>10.932628393802799</v>
      </c>
      <c r="AL6961">
        <v>89.7640679766765</v>
      </c>
      <c r="AM6961">
        <v>91.671938309874804</v>
      </c>
      <c r="AN6961">
        <v>1.0000000046423001</v>
      </c>
    </row>
    <row r="6962" spans="1:40" x14ac:dyDescent="0.25">
      <c r="A6962" t="str">
        <f>"20190312154432124"</f>
        <v>20190312154432124</v>
      </c>
      <c r="B6962" t="str">
        <f>"1552376672114196"</f>
        <v>1552376672114196</v>
      </c>
      <c r="C6962" t="s">
        <v>40</v>
      </c>
      <c r="D6962">
        <v>5.185778</v>
      </c>
      <c r="E6962">
        <v>0.36324220000000002</v>
      </c>
      <c r="F6962" t="s">
        <v>70</v>
      </c>
      <c r="G6962">
        <v>-194.9598</v>
      </c>
      <c r="H6962" s="1">
        <v>-4.9831840000000004E-6</v>
      </c>
      <c r="I6962">
        <v>-44.82546</v>
      </c>
      <c r="J6962">
        <v>-198.96209999999999</v>
      </c>
      <c r="K6962">
        <v>1.1251709999999999</v>
      </c>
      <c r="L6962">
        <v>-54.991790000000002</v>
      </c>
      <c r="M6962">
        <v>0.68361179999999999</v>
      </c>
      <c r="N6962">
        <v>0</v>
      </c>
      <c r="O6962">
        <v>0.72964549999999995</v>
      </c>
      <c r="P6962">
        <v>0.66201129999999997</v>
      </c>
      <c r="Q6962">
        <v>-1.1505919999999999E-2</v>
      </c>
      <c r="R6962">
        <v>0.74940560000000001</v>
      </c>
      <c r="S6962">
        <v>1.1843109999999999</v>
      </c>
      <c r="T6962">
        <v>-0.32433010000000001</v>
      </c>
      <c r="U6962">
        <v>2.9653930000000002</v>
      </c>
      <c r="V6962">
        <v>-2.9459989999999998E-2</v>
      </c>
      <c r="W6962">
        <v>4.4968609999999996E-3</v>
      </c>
      <c r="X6962">
        <v>0.99955579999999999</v>
      </c>
      <c r="Y6962">
        <v>-0.36506719999999998</v>
      </c>
      <c r="Z6962">
        <v>-6.0744800000000002E-2</v>
      </c>
      <c r="AA6962">
        <v>0.92899730000000003</v>
      </c>
      <c r="AB6962">
        <v>32</v>
      </c>
      <c r="AC6962">
        <v>4.0022999999999902</v>
      </c>
      <c r="AD6962">
        <v>-1.125175983184</v>
      </c>
      <c r="AE6962">
        <v>10.16633</v>
      </c>
      <c r="AF6962">
        <v>-3.9878584145760798</v>
      </c>
      <c r="AG6962">
        <v>-1.125175983184</v>
      </c>
      <c r="AH6962">
        <v>10.048747827315299</v>
      </c>
      <c r="AI6962">
        <v>95.941711913969698</v>
      </c>
      <c r="AJ6962">
        <v>111.645716254988</v>
      </c>
      <c r="AK6962">
        <v>10.869515565323599</v>
      </c>
      <c r="AL6962">
        <v>89.7423479636915</v>
      </c>
      <c r="AM6962">
        <v>91.688194493975104</v>
      </c>
      <c r="AN6962">
        <v>0.99999995504164496</v>
      </c>
    </row>
    <row r="6963" spans="1:40" x14ac:dyDescent="0.25">
      <c r="A6963" t="str">
        <f>"20190312154432136"</f>
        <v>20190312154432136</v>
      </c>
      <c r="B6963" t="str">
        <f>"1552376672124931"</f>
        <v>1552376672124931</v>
      </c>
      <c r="C6963" t="s">
        <v>40</v>
      </c>
      <c r="D6963">
        <v>5.0693960000000002</v>
      </c>
      <c r="E6963">
        <v>0.36367319999999997</v>
      </c>
      <c r="F6963" t="s">
        <v>70</v>
      </c>
      <c r="G6963">
        <v>-194.9152</v>
      </c>
      <c r="H6963" s="1">
        <v>-5.0862709999999997E-6</v>
      </c>
      <c r="I6963">
        <v>-44.587090000000003</v>
      </c>
      <c r="J6963">
        <v>-198.86259999999999</v>
      </c>
      <c r="K6963">
        <v>1.125157</v>
      </c>
      <c r="L6963">
        <v>-54.875369999999997</v>
      </c>
      <c r="M6963">
        <v>0.67730590000000002</v>
      </c>
      <c r="N6963">
        <v>0</v>
      </c>
      <c r="O6963">
        <v>0.73550289999999996</v>
      </c>
      <c r="P6963">
        <v>0.65527040000000003</v>
      </c>
      <c r="Q6963">
        <v>-1.1412520000000001E-2</v>
      </c>
      <c r="R6963">
        <v>0.75530819999999999</v>
      </c>
      <c r="S6963">
        <v>1.15744</v>
      </c>
      <c r="T6963">
        <v>-0.32180310000000001</v>
      </c>
      <c r="U6963">
        <v>2.9757690000000001</v>
      </c>
      <c r="V6963">
        <v>-2.981601E-2</v>
      </c>
      <c r="W6963">
        <v>4.5760159999999996E-3</v>
      </c>
      <c r="X6963">
        <v>0.99954489999999996</v>
      </c>
      <c r="Y6963">
        <v>-0.3654348</v>
      </c>
      <c r="Z6963">
        <v>-6.0971450000000003E-2</v>
      </c>
      <c r="AA6963">
        <v>0.92883800000000005</v>
      </c>
      <c r="AB6963">
        <v>32</v>
      </c>
      <c r="AC6963">
        <v>3.94739999999998</v>
      </c>
      <c r="AD6963">
        <v>-1.1251620862709999</v>
      </c>
      <c r="AE6963">
        <v>10.288279999999901</v>
      </c>
      <c r="AF6963">
        <v>-4.0236337604203003</v>
      </c>
      <c r="AG6963">
        <v>-1.1251620862709999</v>
      </c>
      <c r="AH6963">
        <v>10.1364745783624</v>
      </c>
      <c r="AI6963">
        <v>95.890389801880204</v>
      </c>
      <c r="AJ6963">
        <v>111.650408382359</v>
      </c>
      <c r="AK6963">
        <v>10.9637464051374</v>
      </c>
      <c r="AL6963">
        <v>89.737812673509595</v>
      </c>
      <c r="AM6963">
        <v>91.708602696843599</v>
      </c>
      <c r="AN6963">
        <v>0.99999997074538005</v>
      </c>
    </row>
    <row r="6964" spans="1:40" x14ac:dyDescent="0.25">
      <c r="A6964" t="str">
        <f>"20190312154432148"</f>
        <v>20190312154432148</v>
      </c>
      <c r="B6964" t="str">
        <f>"1552376672144451"</f>
        <v>1552376672144451</v>
      </c>
      <c r="C6964" t="s">
        <v>40</v>
      </c>
      <c r="D6964">
        <v>5.0632849999999996</v>
      </c>
      <c r="E6964">
        <v>0.36474000000000001</v>
      </c>
      <c r="F6964" t="s">
        <v>70</v>
      </c>
      <c r="G6964">
        <v>-194.9213</v>
      </c>
      <c r="H6964" s="1">
        <v>-5.1279940000000001E-6</v>
      </c>
      <c r="I6964">
        <v>-44.499870000000001</v>
      </c>
      <c r="J6964">
        <v>-198.7576</v>
      </c>
      <c r="K6964">
        <v>1.12514</v>
      </c>
      <c r="L6964">
        <v>-54.751739999999998</v>
      </c>
      <c r="M6964">
        <v>0.67057500000000003</v>
      </c>
      <c r="N6964">
        <v>0</v>
      </c>
      <c r="O6964">
        <v>0.74164490000000005</v>
      </c>
      <c r="P6964">
        <v>0.6480359</v>
      </c>
      <c r="Q6964">
        <v>-1.1205919999999999E-2</v>
      </c>
      <c r="R6964">
        <v>0.76152730000000002</v>
      </c>
      <c r="S6964">
        <v>1.133408</v>
      </c>
      <c r="T6964">
        <v>-0.32356859999999998</v>
      </c>
      <c r="U6964">
        <v>2.9837340000000001</v>
      </c>
      <c r="V6964">
        <v>-3.025019E-2</v>
      </c>
      <c r="W6964">
        <v>4.7648409999999997E-3</v>
      </c>
      <c r="X6964">
        <v>0.99953099999999995</v>
      </c>
      <c r="Y6964">
        <v>-0.36433490000000002</v>
      </c>
      <c r="Z6964">
        <v>-6.2114570000000001E-2</v>
      </c>
      <c r="AA6964">
        <v>0.92919419999999997</v>
      </c>
      <c r="AB6964">
        <v>32</v>
      </c>
      <c r="AC6964">
        <v>3.8362999999999898</v>
      </c>
      <c r="AD6964">
        <v>-1.1251451279939999</v>
      </c>
      <c r="AE6964">
        <v>10.25187</v>
      </c>
      <c r="AF6964">
        <v>-3.9879289189871399</v>
      </c>
      <c r="AG6964">
        <v>-1.1251451279939999</v>
      </c>
      <c r="AH6964">
        <v>10.070855215638501</v>
      </c>
      <c r="AI6964">
        <v>95.930343235973297</v>
      </c>
      <c r="AJ6964">
        <v>111.60292762942601</v>
      </c>
      <c r="AK6964">
        <v>10.8899794947601</v>
      </c>
      <c r="AL6964">
        <v>89.726993687281094</v>
      </c>
      <c r="AM6964">
        <v>91.733492347500501</v>
      </c>
      <c r="AN6964">
        <v>0.99999999883289503</v>
      </c>
    </row>
    <row r="6965" spans="1:40" x14ac:dyDescent="0.25">
      <c r="A6965" t="str">
        <f>"20190312154432159"</f>
        <v>20190312154432159</v>
      </c>
      <c r="B6965" t="str">
        <f>"1552376672154212"</f>
        <v>1552376672154212</v>
      </c>
      <c r="C6965" t="s">
        <v>40</v>
      </c>
      <c r="D6965">
        <v>5.0525729999999998</v>
      </c>
      <c r="E6965">
        <v>0.36537969999999997</v>
      </c>
      <c r="F6965" t="s">
        <v>70</v>
      </c>
      <c r="G6965">
        <v>-194.89279999999999</v>
      </c>
      <c r="H6965" s="1">
        <v>-5.1889030000000003E-6</v>
      </c>
      <c r="I6965">
        <v>-44.358220000000003</v>
      </c>
      <c r="J6965">
        <v>-198.654</v>
      </c>
      <c r="K6965">
        <v>1.1251260000000001</v>
      </c>
      <c r="L6965">
        <v>-54.625579999999999</v>
      </c>
      <c r="M6965">
        <v>0.66373389999999999</v>
      </c>
      <c r="N6965">
        <v>0</v>
      </c>
      <c r="O6965">
        <v>0.74777349999999998</v>
      </c>
      <c r="P6965">
        <v>0.64106819999999998</v>
      </c>
      <c r="Q6965">
        <v>-1.109249E-2</v>
      </c>
      <c r="R6965">
        <v>0.76740379999999997</v>
      </c>
      <c r="S6965">
        <v>1.1114200000000001</v>
      </c>
      <c r="T6965">
        <v>-0.32356109999999999</v>
      </c>
      <c r="U6965">
        <v>2.9888919999999999</v>
      </c>
      <c r="V6965">
        <v>-3.018297E-2</v>
      </c>
      <c r="W6965">
        <v>4.8792799999999997E-3</v>
      </c>
      <c r="X6965">
        <v>0.99953250000000005</v>
      </c>
      <c r="Y6965">
        <v>-0.36232160000000002</v>
      </c>
      <c r="Z6965">
        <v>-6.2992629999999994E-2</v>
      </c>
      <c r="AA6965">
        <v>0.92992200000000003</v>
      </c>
      <c r="AB6965">
        <v>32</v>
      </c>
      <c r="AC6965">
        <v>3.7612000000000299</v>
      </c>
      <c r="AD6965">
        <v>-1.125131188903</v>
      </c>
      <c r="AE6965">
        <v>10.26736</v>
      </c>
      <c r="AF6965">
        <v>-3.9609169187306699</v>
      </c>
      <c r="AG6965">
        <v>-1.125131188903</v>
      </c>
      <c r="AH6965">
        <v>10.0689747679132</v>
      </c>
      <c r="AI6965">
        <v>95.9366185052357</v>
      </c>
      <c r="AJ6965">
        <v>111.473603152702</v>
      </c>
      <c r="AK6965">
        <v>10.8783746904674</v>
      </c>
      <c r="AL6965">
        <v>89.720436744908994</v>
      </c>
      <c r="AM6965">
        <v>91.729640042183902</v>
      </c>
      <c r="AN6965">
        <v>1.0000000188037901</v>
      </c>
    </row>
    <row r="6966" spans="1:40" x14ac:dyDescent="0.25">
      <c r="A6966" t="str">
        <f>"20190312154432172"</f>
        <v>20190312154432172</v>
      </c>
      <c r="B6966" t="str">
        <f>"1552376672163971"</f>
        <v>1552376672163971</v>
      </c>
      <c r="C6966" t="s">
        <v>40</v>
      </c>
      <c r="D6966">
        <v>5.0701599999999996</v>
      </c>
      <c r="E6966">
        <v>0.36621340000000002</v>
      </c>
      <c r="F6966" t="s">
        <v>70</v>
      </c>
      <c r="G6966">
        <v>-194.86760000000001</v>
      </c>
      <c r="H6966" s="1">
        <v>-5.2576819999999996E-6</v>
      </c>
      <c r="I6966">
        <v>-44.200949999999999</v>
      </c>
      <c r="J6966">
        <v>-198.5455</v>
      </c>
      <c r="K6966">
        <v>1.1251100000000001</v>
      </c>
      <c r="L6966">
        <v>-54.492190000000001</v>
      </c>
      <c r="M6966">
        <v>0.65646870000000002</v>
      </c>
      <c r="N6966">
        <v>0</v>
      </c>
      <c r="O6966">
        <v>0.75415969999999999</v>
      </c>
      <c r="P6966">
        <v>0.63322630000000002</v>
      </c>
      <c r="Q6966">
        <v>-1.067328E-2</v>
      </c>
      <c r="R6966">
        <v>0.77389319999999995</v>
      </c>
      <c r="S6966">
        <v>1.088058</v>
      </c>
      <c r="T6966">
        <v>-0.32332240000000001</v>
      </c>
      <c r="U6966">
        <v>2.9956670000000001</v>
      </c>
      <c r="V6966">
        <v>-3.0703359999999999E-2</v>
      </c>
      <c r="W6966">
        <v>5.2779109999999997E-3</v>
      </c>
      <c r="X6966">
        <v>0.99951460000000003</v>
      </c>
      <c r="Y6966">
        <v>-0.36039919999999998</v>
      </c>
      <c r="Z6966">
        <v>-6.3831869999999999E-2</v>
      </c>
      <c r="AA6966">
        <v>0.93061159999999998</v>
      </c>
      <c r="AB6966">
        <v>32</v>
      </c>
      <c r="AC6966">
        <v>3.67789999999999</v>
      </c>
      <c r="AD6966">
        <v>-1.125115257682</v>
      </c>
      <c r="AE6966">
        <v>10.29124</v>
      </c>
      <c r="AF6966">
        <v>-3.9409649900818899</v>
      </c>
      <c r="AG6966">
        <v>-1.125115257682</v>
      </c>
      <c r="AH6966">
        <v>10.0704163074495</v>
      </c>
      <c r="AI6966">
        <v>95.9397755880548</v>
      </c>
      <c r="AJ6966">
        <v>111.372434535529</v>
      </c>
      <c r="AK6966">
        <v>10.8724594274462</v>
      </c>
      <c r="AL6966">
        <v>89.697596569294404</v>
      </c>
      <c r="AM6966">
        <v>91.759473980949096</v>
      </c>
      <c r="AN6966">
        <v>0.99999999413648599</v>
      </c>
    </row>
    <row r="6967" spans="1:40" x14ac:dyDescent="0.25">
      <c r="A6967" t="str">
        <f>"20190312154432185"</f>
        <v>20190312154432185</v>
      </c>
      <c r="B6967" t="str">
        <f>"1552376672174707"</f>
        <v>1552376672174707</v>
      </c>
      <c r="C6967" t="s">
        <v>40</v>
      </c>
      <c r="D6967">
        <v>5.0374249999999998</v>
      </c>
      <c r="E6967">
        <v>0.3670699</v>
      </c>
      <c r="F6967" t="s">
        <v>70</v>
      </c>
      <c r="G6967">
        <v>-194.81639999999999</v>
      </c>
      <c r="H6967" s="1">
        <v>-5.3619159999999999E-6</v>
      </c>
      <c r="I6967">
        <v>-43.957619999999999</v>
      </c>
      <c r="J6967">
        <v>-198.4273</v>
      </c>
      <c r="K6967">
        <v>1.125092</v>
      </c>
      <c r="L6967">
        <v>-54.343510000000002</v>
      </c>
      <c r="M6967">
        <v>0.64836380000000005</v>
      </c>
      <c r="N6967">
        <v>0</v>
      </c>
      <c r="O6967">
        <v>0.76113900000000001</v>
      </c>
      <c r="P6967">
        <v>0.62502170000000001</v>
      </c>
      <c r="Q6967">
        <v>-1.0537799999999899E-2</v>
      </c>
      <c r="R6967">
        <v>0.78053619999999901</v>
      </c>
      <c r="S6967">
        <v>1.0628200000000001</v>
      </c>
      <c r="T6967">
        <v>-0.32066739999999999</v>
      </c>
      <c r="U6967">
        <v>3.0024410000000001</v>
      </c>
      <c r="V6967">
        <v>-3.0567980000000002E-2</v>
      </c>
      <c r="W6967">
        <v>5.4166689999999998E-3</v>
      </c>
      <c r="X6967">
        <v>0.99951800000000002</v>
      </c>
      <c r="Y6967">
        <v>-0.35803439999999997</v>
      </c>
      <c r="Z6967">
        <v>-6.4289079999999998E-2</v>
      </c>
      <c r="AA6967">
        <v>0.93149249999999995</v>
      </c>
      <c r="AB6967">
        <v>32</v>
      </c>
      <c r="AC6967">
        <v>3.6109000000000102</v>
      </c>
      <c r="AD6967">
        <v>-1.1250973619159901</v>
      </c>
      <c r="AE6967">
        <v>10.3858899999999</v>
      </c>
      <c r="AF6967">
        <v>-3.9447198152678502</v>
      </c>
      <c r="AG6967">
        <v>-1.1250973619159901</v>
      </c>
      <c r="AH6967">
        <v>10.1415984225138</v>
      </c>
      <c r="AI6967">
        <v>95.903001939025103</v>
      </c>
      <c r="AJ6967">
        <v>111.254258958286</v>
      </c>
      <c r="AK6967">
        <v>10.9397750003504</v>
      </c>
      <c r="AL6967">
        <v>89.689646205591998</v>
      </c>
      <c r="AM6967">
        <v>91.751714840165704</v>
      </c>
      <c r="AN6967">
        <v>0.99999998701416704</v>
      </c>
    </row>
    <row r="6968" spans="1:40" x14ac:dyDescent="0.25">
      <c r="A6968" t="str">
        <f>"20190312154432204"</f>
        <v>20190312154432204</v>
      </c>
      <c r="B6968" t="str">
        <f>"1552376672194227"</f>
        <v>1552376672194227</v>
      </c>
      <c r="C6968" t="s">
        <v>40</v>
      </c>
      <c r="D6968">
        <v>5.0424049999999996</v>
      </c>
      <c r="E6968">
        <v>0.36801529999999999</v>
      </c>
      <c r="F6968" t="s">
        <v>70</v>
      </c>
      <c r="G6968">
        <v>-194.7722</v>
      </c>
      <c r="H6968" s="1">
        <v>-5.460176E-6</v>
      </c>
      <c r="I6968">
        <v>-43.729770000000002</v>
      </c>
      <c r="J6968">
        <v>-198.2679</v>
      </c>
      <c r="K6968">
        <v>1.125067</v>
      </c>
      <c r="L6968">
        <v>-54.137300000000003</v>
      </c>
      <c r="M6968">
        <v>0.63711600000000002</v>
      </c>
      <c r="N6968">
        <v>0</v>
      </c>
      <c r="O6968">
        <v>0.77057869999999995</v>
      </c>
      <c r="P6968">
        <v>0.61338590000000004</v>
      </c>
      <c r="Q6968">
        <v>-1.031545E-2</v>
      </c>
      <c r="R6968">
        <v>0.78971599999999997</v>
      </c>
      <c r="S6968">
        <v>1.0363309999999999</v>
      </c>
      <c r="T6968">
        <v>-0.3190017</v>
      </c>
      <c r="U6968">
        <v>3.0093380000000001</v>
      </c>
      <c r="V6968">
        <v>-3.0710930000000001E-2</v>
      </c>
      <c r="W6968">
        <v>5.6312430000000002E-3</v>
      </c>
      <c r="X6968">
        <v>0.99951239999999997</v>
      </c>
      <c r="Y6968">
        <v>-0.35231960000000001</v>
      </c>
      <c r="Z6968">
        <v>-6.535096E-2</v>
      </c>
      <c r="AA6968">
        <v>0.93359530000000002</v>
      </c>
      <c r="AB6968">
        <v>32</v>
      </c>
      <c r="AC6968">
        <v>3.4956999999999998</v>
      </c>
      <c r="AD6968">
        <v>-1.125072460176</v>
      </c>
      <c r="AE6968">
        <v>10.40753</v>
      </c>
      <c r="AF6968">
        <v>-3.8967454153205798</v>
      </c>
      <c r="AG6968">
        <v>-1.125072460176</v>
      </c>
      <c r="AH6968">
        <v>10.141978324496799</v>
      </c>
      <c r="AI6968">
        <v>95.912012995069404</v>
      </c>
      <c r="AJ6968">
        <v>111.017746797402</v>
      </c>
      <c r="AK6968">
        <v>10.9229179804222</v>
      </c>
      <c r="AL6968">
        <v>89.677351822888397</v>
      </c>
      <c r="AM6968">
        <v>91.759911382698107</v>
      </c>
      <c r="AN6968">
        <v>0.99999995493647298</v>
      </c>
    </row>
    <row r="6969" spans="1:40" x14ac:dyDescent="0.25">
      <c r="A6969" t="str">
        <f>"20190312154432218"</f>
        <v>20190312154432218</v>
      </c>
      <c r="B6969" t="str">
        <f>"1552376672214724"</f>
        <v>1552376672214724</v>
      </c>
      <c r="C6969" t="s">
        <v>40</v>
      </c>
      <c r="D6969">
        <v>5.0544399999999996</v>
      </c>
      <c r="E6969">
        <v>0.38545020000000002</v>
      </c>
      <c r="F6969" t="s">
        <v>70</v>
      </c>
      <c r="G6969">
        <v>-194.72749999999999</v>
      </c>
      <c r="H6969" s="1">
        <v>-5.5964000000000003E-6</v>
      </c>
      <c r="I6969">
        <v>-43.420250000000003</v>
      </c>
      <c r="J6969">
        <v>-198.1533</v>
      </c>
      <c r="K6969">
        <v>1.125051</v>
      </c>
      <c r="L6969">
        <v>-53.98471</v>
      </c>
      <c r="M6969">
        <v>0.62878639999999997</v>
      </c>
      <c r="N6969">
        <v>0</v>
      </c>
      <c r="O6969">
        <v>0.77739060000000004</v>
      </c>
      <c r="P6969">
        <v>0.60499559999999997</v>
      </c>
      <c r="Q6969">
        <v>-1.015127E-2</v>
      </c>
      <c r="R6969">
        <v>0.79616409999999904</v>
      </c>
      <c r="S6969">
        <v>0.99760439999999995</v>
      </c>
      <c r="T6969">
        <v>-0.31702150000000001</v>
      </c>
      <c r="U6969">
        <v>3.0198360000000002</v>
      </c>
      <c r="V6969">
        <v>-3.0536939999999999E-2</v>
      </c>
      <c r="W6969">
        <v>5.8000400000000002E-3</v>
      </c>
      <c r="X6969">
        <v>0.99951679999999998</v>
      </c>
      <c r="Y6969">
        <v>-0.35400209999999999</v>
      </c>
      <c r="Z6969">
        <v>-6.5764859999999994E-2</v>
      </c>
      <c r="AA6969">
        <v>0.93292949999999997</v>
      </c>
      <c r="AB6969">
        <v>32</v>
      </c>
      <c r="AC6969">
        <v>3.4258000000000002</v>
      </c>
      <c r="AD6969">
        <v>-1.1250565964000001</v>
      </c>
      <c r="AE6969">
        <v>10.564459999999899</v>
      </c>
      <c r="AF6969">
        <v>-3.9397545776098801</v>
      </c>
      <c r="AG6969">
        <v>-1.1250565964000001</v>
      </c>
      <c r="AH6969">
        <v>10.2630010644937</v>
      </c>
      <c r="AI6969">
        <v>95.843361485657297</v>
      </c>
      <c r="AJ6969">
        <v>111.000766731824</v>
      </c>
      <c r="AK6969">
        <v>11.050638412630301</v>
      </c>
      <c r="AL6969">
        <v>89.667680320196396</v>
      </c>
      <c r="AM6969">
        <v>91.749939282132004</v>
      </c>
      <c r="AN6969">
        <v>0.99999998932540202</v>
      </c>
    </row>
    <row r="6970" spans="1:40" x14ac:dyDescent="0.25">
      <c r="A6970" t="str">
        <f>"20190312154432237"</f>
        <v>20190312154432237</v>
      </c>
      <c r="B6970" t="str">
        <f>"1552376672234243"</f>
        <v>1552376672234243</v>
      </c>
      <c r="C6970" t="s">
        <v>40</v>
      </c>
      <c r="D6970">
        <v>5.2952139999999996</v>
      </c>
      <c r="E6970">
        <v>0.38680910000000002</v>
      </c>
      <c r="F6970" t="s">
        <v>70</v>
      </c>
      <c r="G6970">
        <v>-194.07509999999999</v>
      </c>
      <c r="H6970" s="1">
        <v>-5.7539180000000002E-6</v>
      </c>
      <c r="I6970">
        <v>-42.832769999999996</v>
      </c>
      <c r="J6970">
        <v>-197.999</v>
      </c>
      <c r="K6970">
        <v>1.1250209999999901</v>
      </c>
      <c r="L6970">
        <v>-53.774259999999998</v>
      </c>
      <c r="M6970">
        <v>0.61727209999999999</v>
      </c>
      <c r="N6970">
        <v>0</v>
      </c>
      <c r="O6970">
        <v>0.7865645</v>
      </c>
      <c r="P6970">
        <v>0.5935549</v>
      </c>
      <c r="Q6970">
        <v>-1.02314E-2</v>
      </c>
      <c r="R6970">
        <v>0.80472840000000001</v>
      </c>
      <c r="S6970">
        <v>1.0772250000000001</v>
      </c>
      <c r="T6970">
        <v>-0.2971762</v>
      </c>
      <c r="U6970">
        <v>2.9457089999999999</v>
      </c>
      <c r="V6970">
        <v>-3.0101329999999999E-2</v>
      </c>
      <c r="W6970">
        <v>5.7328070000000004E-3</v>
      </c>
      <c r="X6970">
        <v>0.99953040000000004</v>
      </c>
      <c r="Y6970">
        <v>-0.31046469999999998</v>
      </c>
      <c r="Z6970">
        <v>-6.4982700000000004E-2</v>
      </c>
      <c r="AA6970">
        <v>0.94836120000000002</v>
      </c>
      <c r="AB6970">
        <v>32</v>
      </c>
      <c r="AC6970">
        <v>3.9239000000000299</v>
      </c>
      <c r="AD6970">
        <v>-1.1250267539180001</v>
      </c>
      <c r="AE6970">
        <v>10.9414899999999</v>
      </c>
      <c r="AF6970">
        <v>-3.6339690754445901</v>
      </c>
      <c r="AG6970">
        <v>-1.1250267539180001</v>
      </c>
      <c r="AH6970">
        <v>10.9275442410348</v>
      </c>
      <c r="AI6970">
        <v>95.579689285049696</v>
      </c>
      <c r="AJ6970">
        <v>108.394613030275</v>
      </c>
      <c r="AK6970">
        <v>11.5707665942275</v>
      </c>
      <c r="AL6970">
        <v>89.671532550939403</v>
      </c>
      <c r="AM6970">
        <v>91.724968100825194</v>
      </c>
      <c r="AN6970">
        <v>0.999999987834014</v>
      </c>
    </row>
    <row r="6971" spans="1:40" x14ac:dyDescent="0.25">
      <c r="A6971" t="str">
        <f>"20190312154432249"</f>
        <v>20190312154432249</v>
      </c>
      <c r="B6971" t="str">
        <f>"1552376672244003"</f>
        <v>1552376672244003</v>
      </c>
      <c r="C6971" t="s">
        <v>40</v>
      </c>
      <c r="D6971">
        <v>5.1118399999999999</v>
      </c>
      <c r="E6971">
        <v>0.38794840000000003</v>
      </c>
      <c r="F6971" t="s">
        <v>70</v>
      </c>
      <c r="G6971">
        <v>-194.01759999999999</v>
      </c>
      <c r="H6971" s="1">
        <v>-5.898654E-6</v>
      </c>
      <c r="I6971">
        <v>-42.500109999999999</v>
      </c>
      <c r="J6971">
        <v>-197.89830000000001</v>
      </c>
      <c r="K6971">
        <v>1.1249960000000001</v>
      </c>
      <c r="L6971">
        <v>-53.633940000000003</v>
      </c>
      <c r="M6971">
        <v>0.60957380000000005</v>
      </c>
      <c r="N6971">
        <v>0</v>
      </c>
      <c r="O6971">
        <v>0.79254559999999996</v>
      </c>
      <c r="P6971">
        <v>0.58577840000000003</v>
      </c>
      <c r="Q6971">
        <v>-1.025704E-2</v>
      </c>
      <c r="R6971">
        <v>0.81040639999999997</v>
      </c>
      <c r="S6971">
        <v>1.043396</v>
      </c>
      <c r="T6971">
        <v>-0.2948363</v>
      </c>
      <c r="U6971">
        <v>2.9546199999999998</v>
      </c>
      <c r="V6971">
        <v>-2.9979800000000001E-2</v>
      </c>
      <c r="W6971">
        <v>5.7094429999999998E-3</v>
      </c>
      <c r="X6971">
        <v>0.99953420000000004</v>
      </c>
      <c r="Y6971">
        <v>-0.3117357</v>
      </c>
      <c r="Z6971">
        <v>-6.5172250000000001E-2</v>
      </c>
      <c r="AA6971">
        <v>0.94793110000000003</v>
      </c>
      <c r="AB6971">
        <v>32</v>
      </c>
      <c r="AC6971">
        <v>3.8807000000000098</v>
      </c>
      <c r="AD6971">
        <v>-1.12500189865399</v>
      </c>
      <c r="AE6971">
        <v>11.13383</v>
      </c>
      <c r="AF6971">
        <v>-3.67831328129876</v>
      </c>
      <c r="AG6971">
        <v>-1.12500189865399</v>
      </c>
      <c r="AH6971">
        <v>11.090306898053001</v>
      </c>
      <c r="AI6971">
        <v>95.499627889635605</v>
      </c>
      <c r="AJ6971">
        <v>108.34909329057101</v>
      </c>
      <c r="AK6971">
        <v>11.7384208887037</v>
      </c>
      <c r="AL6971">
        <v>89.672871235946502</v>
      </c>
      <c r="AM6971">
        <v>91.718001432738305</v>
      </c>
      <c r="AN6971">
        <v>1.00000000155852</v>
      </c>
    </row>
    <row r="6972" spans="1:40" x14ac:dyDescent="0.25">
      <c r="A6972" t="str">
        <f>"20190312154432262"</f>
        <v>20190312154432262</v>
      </c>
      <c r="B6972" t="str">
        <f>"1552376672254739"</f>
        <v>1552376672254739</v>
      </c>
      <c r="C6972" t="s">
        <v>40</v>
      </c>
      <c r="D6972">
        <v>5.1106170000000004</v>
      </c>
      <c r="E6972">
        <v>0.38896059999999999</v>
      </c>
      <c r="F6972" t="s">
        <v>70</v>
      </c>
      <c r="G6972">
        <v>-193.98830000000001</v>
      </c>
      <c r="H6972" s="1">
        <v>-5.9687070000000001E-6</v>
      </c>
      <c r="I6972">
        <v>-42.314869999999999</v>
      </c>
      <c r="J6972">
        <v>-197.7998</v>
      </c>
      <c r="K6972">
        <v>1.124976</v>
      </c>
      <c r="L6972">
        <v>-53.492609999999999</v>
      </c>
      <c r="M6972">
        <v>0.60183160000000002</v>
      </c>
      <c r="N6972">
        <v>0</v>
      </c>
      <c r="O6972">
        <v>0.79844079999999995</v>
      </c>
      <c r="P6972">
        <v>0.57800039999999997</v>
      </c>
      <c r="Q6972">
        <v>-1.022322E-2</v>
      </c>
      <c r="R6972">
        <v>0.81597249999999999</v>
      </c>
      <c r="S6972">
        <v>1.022232</v>
      </c>
      <c r="T6972">
        <v>-0.29411759999999998</v>
      </c>
      <c r="U6972">
        <v>2.9592290000000001</v>
      </c>
      <c r="V6972">
        <v>-2.9812970000000001E-2</v>
      </c>
      <c r="W6972">
        <v>5.7466349999999999E-3</v>
      </c>
      <c r="X6972">
        <v>0.99953899999999996</v>
      </c>
      <c r="Y6972">
        <v>-0.30900499999999997</v>
      </c>
      <c r="Z6972">
        <v>-6.5818039999999994E-2</v>
      </c>
      <c r="AA6972">
        <v>0.94878019999999996</v>
      </c>
      <c r="AB6972">
        <v>32</v>
      </c>
      <c r="AC6972">
        <v>3.8114999999999899</v>
      </c>
      <c r="AD6972">
        <v>-1.124981968707</v>
      </c>
      <c r="AE6972">
        <v>11.17774</v>
      </c>
      <c r="AF6972">
        <v>-3.6512635956302502</v>
      </c>
      <c r="AG6972">
        <v>-1.124981968707</v>
      </c>
      <c r="AH6972">
        <v>11.119377216692801</v>
      </c>
      <c r="AI6972">
        <v>95.490597381761404</v>
      </c>
      <c r="AJ6972">
        <v>108.17859931482801</v>
      </c>
      <c r="AK6972">
        <v>11.757459758034299</v>
      </c>
      <c r="AL6972">
        <v>89.670740263997203</v>
      </c>
      <c r="AM6972">
        <v>91.708438671672397</v>
      </c>
      <c r="AN6972">
        <v>1.00000002475752</v>
      </c>
    </row>
    <row r="6973" spans="1:40" x14ac:dyDescent="0.25">
      <c r="A6973" t="str">
        <f>"20190312154432283"</f>
        <v>20190312154432283</v>
      </c>
      <c r="B6973" t="str">
        <f>"1552376672274259"</f>
        <v>1552376672274259</v>
      </c>
      <c r="C6973" t="s">
        <v>40</v>
      </c>
      <c r="D6973">
        <v>5.3013859999999999</v>
      </c>
      <c r="E6973">
        <v>0.39073479999999999</v>
      </c>
      <c r="F6973" t="s">
        <v>70</v>
      </c>
      <c r="G6973">
        <v>-193.9796</v>
      </c>
      <c r="H6973" s="1">
        <v>-6.0153249999999999E-6</v>
      </c>
      <c r="I6973">
        <v>-42.172710000000002</v>
      </c>
      <c r="J6973">
        <v>-197.6437</v>
      </c>
      <c r="K6973">
        <v>1.1249450000000001</v>
      </c>
      <c r="L6973">
        <v>-53.263240000000003</v>
      </c>
      <c r="M6973">
        <v>0.58923829999999999</v>
      </c>
      <c r="N6973">
        <v>0</v>
      </c>
      <c r="O6973">
        <v>0.80777929999999998</v>
      </c>
      <c r="P6973">
        <v>0.56555569999999999</v>
      </c>
      <c r="Q6973">
        <v>-1.0295520000000001E-2</v>
      </c>
      <c r="R6973">
        <v>0.82464579999999998</v>
      </c>
      <c r="S6973">
        <v>1.0003660000000001</v>
      </c>
      <c r="T6973">
        <v>-0.29459419999999997</v>
      </c>
      <c r="U6973">
        <v>2.9642940000000002</v>
      </c>
      <c r="V6973">
        <v>-2.9299660000000002E-2</v>
      </c>
      <c r="W6973">
        <v>5.68894E-3</v>
      </c>
      <c r="X6973">
        <v>0.99955450000000001</v>
      </c>
      <c r="Y6973">
        <v>-0.300880599999999</v>
      </c>
      <c r="Z6973">
        <v>-6.7274180000000003E-2</v>
      </c>
      <c r="AA6973">
        <v>0.95128599999999996</v>
      </c>
      <c r="AB6973">
        <v>32</v>
      </c>
      <c r="AC6973">
        <v>3.6640999999999901</v>
      </c>
      <c r="AD6973">
        <v>-1.124951015325</v>
      </c>
      <c r="AE6973">
        <v>11.090529999999999</v>
      </c>
      <c r="AF6973">
        <v>-3.5428367212485599</v>
      </c>
      <c r="AG6973">
        <v>-1.124951015325</v>
      </c>
      <c r="AH6973">
        <v>11.0171479944618</v>
      </c>
      <c r="AI6973">
        <v>95.552086276740198</v>
      </c>
      <c r="AJ6973">
        <v>107.826480233738</v>
      </c>
      <c r="AK6973">
        <v>11.6273280143024</v>
      </c>
      <c r="AL6973">
        <v>89.674045995193296</v>
      </c>
      <c r="AM6973">
        <v>91.679014294806606</v>
      </c>
      <c r="AN6973">
        <v>1.0000000162923399</v>
      </c>
    </row>
    <row r="6974" spans="1:40" x14ac:dyDescent="0.25">
      <c r="A6974" t="str">
        <f>"20190312154432294"</f>
        <v>20190312154432294</v>
      </c>
      <c r="B6974" t="str">
        <f>"1552376672284019"</f>
        <v>1552376672284019</v>
      </c>
      <c r="C6974" t="s">
        <v>40</v>
      </c>
      <c r="D6974">
        <v>5.1182639999999999</v>
      </c>
      <c r="E6974">
        <v>0.39073479999999999</v>
      </c>
      <c r="F6974" t="s">
        <v>70</v>
      </c>
      <c r="G6974">
        <v>-193.9588</v>
      </c>
      <c r="H6974" s="1">
        <v>-6.0913009999999998E-6</v>
      </c>
      <c r="I6974">
        <v>-41.938740000000003</v>
      </c>
      <c r="J6974">
        <v>-197.5506</v>
      </c>
      <c r="K6974">
        <v>1.1249229999999999</v>
      </c>
      <c r="L6974">
        <v>-53.122410000000002</v>
      </c>
      <c r="M6974">
        <v>0.58149869999999904</v>
      </c>
      <c r="N6974">
        <v>0</v>
      </c>
      <c r="O6974">
        <v>0.8133686</v>
      </c>
      <c r="P6974">
        <v>0.55781239999999999</v>
      </c>
      <c r="Q6974">
        <v>-1.0126349999999999E-2</v>
      </c>
      <c r="R6974">
        <v>0.82990529999999996</v>
      </c>
      <c r="S6974">
        <v>0.96679689999999996</v>
      </c>
      <c r="T6974">
        <v>-0.29515160000000001</v>
      </c>
      <c r="U6974">
        <v>2.9711910000000001</v>
      </c>
      <c r="V6974">
        <v>-2.9118040000000001E-2</v>
      </c>
      <c r="W6974">
        <v>5.8620269999999997E-3</v>
      </c>
      <c r="X6974">
        <v>0.99955879999999997</v>
      </c>
      <c r="Y6974">
        <v>-0.30214259999999998</v>
      </c>
      <c r="Z6974">
        <v>-6.8086190000000005E-2</v>
      </c>
      <c r="AA6974">
        <v>0.95082809999999995</v>
      </c>
      <c r="AB6974">
        <v>31</v>
      </c>
      <c r="AC6974">
        <v>3.5918000000000001</v>
      </c>
      <c r="AD6974">
        <v>-1.1249290913009999</v>
      </c>
      <c r="AE6974">
        <v>11.1836699999999</v>
      </c>
      <c r="AF6974">
        <v>-3.5497955638188401</v>
      </c>
      <c r="AG6974">
        <v>-1.1249290913009999</v>
      </c>
      <c r="AH6974">
        <v>11.085031382750399</v>
      </c>
      <c r="AI6974">
        <v>95.520330491292</v>
      </c>
      <c r="AJ6974">
        <v>107.756793372125</v>
      </c>
      <c r="AK6974">
        <v>11.693777608708199</v>
      </c>
      <c r="AL6974">
        <v>89.664128672946703</v>
      </c>
      <c r="AM6974">
        <v>91.668605305544403</v>
      </c>
      <c r="AN6974">
        <v>1.00000000913571</v>
      </c>
    </row>
    <row r="6975" spans="1:40" x14ac:dyDescent="0.25">
      <c r="A6975" t="str">
        <f>"20190312154432306"</f>
        <v>20190312154432306</v>
      </c>
      <c r="B6975" t="str">
        <f>"1552376672304515"</f>
        <v>1552376672304515</v>
      </c>
      <c r="C6975" t="s">
        <v>40</v>
      </c>
      <c r="D6975">
        <v>5.083647</v>
      </c>
      <c r="E6975">
        <v>0.40111259999999999</v>
      </c>
      <c r="F6975" t="s">
        <v>70</v>
      </c>
      <c r="G6975">
        <v>-193.96209999999999</v>
      </c>
      <c r="H6975" s="1">
        <v>-6.161177E-6</v>
      </c>
      <c r="I6975">
        <v>-41.731079999999999</v>
      </c>
      <c r="J6975">
        <v>-197.45769999999999</v>
      </c>
      <c r="K6975">
        <v>1.1249009999999999</v>
      </c>
      <c r="L6975">
        <v>-52.979950000000002</v>
      </c>
      <c r="M6975">
        <v>0.57365029999999995</v>
      </c>
      <c r="N6975">
        <v>0</v>
      </c>
      <c r="O6975">
        <v>0.81892299999999996</v>
      </c>
      <c r="P6975">
        <v>0.54995530000000004</v>
      </c>
      <c r="Q6975">
        <v>-9.9702520000000006E-3</v>
      </c>
      <c r="R6975">
        <v>0.83513459999999995</v>
      </c>
      <c r="S6975">
        <v>0.93884279999999998</v>
      </c>
      <c r="T6975">
        <v>-0.29430959999999901</v>
      </c>
      <c r="U6975">
        <v>2.9802550000000001</v>
      </c>
      <c r="V6975">
        <v>-2.8945950000000002E-2</v>
      </c>
      <c r="W6975">
        <v>6.0227199999999996E-3</v>
      </c>
      <c r="X6975">
        <v>0.99956290000000003</v>
      </c>
      <c r="Y6975">
        <v>-0.30192269999999999</v>
      </c>
      <c r="Z6975">
        <v>-6.8531270000000005E-2</v>
      </c>
      <c r="AA6975">
        <v>0.95086599999999999</v>
      </c>
      <c r="AB6975">
        <v>31</v>
      </c>
      <c r="AC6975">
        <v>3.4955999999999898</v>
      </c>
      <c r="AD6975">
        <v>-1.1249071611769901</v>
      </c>
      <c r="AE6975">
        <v>11.24887</v>
      </c>
      <c r="AF6975">
        <v>-3.5583607400124402</v>
      </c>
      <c r="AG6975">
        <v>-1.1249071611769901</v>
      </c>
      <c r="AH6975">
        <v>11.1174518963265</v>
      </c>
      <c r="AI6975">
        <v>95.504484191686501</v>
      </c>
      <c r="AJ6975">
        <v>107.748299945385</v>
      </c>
      <c r="AK6975">
        <v>11.727108933767999</v>
      </c>
      <c r="AL6975">
        <v>89.654921499424105</v>
      </c>
      <c r="AM6975">
        <v>91.658742437250496</v>
      </c>
      <c r="AN6975">
        <v>1.0000000661170001</v>
      </c>
    </row>
    <row r="6976" spans="1:40" x14ac:dyDescent="0.25">
      <c r="A6976" t="str">
        <f>"20190312154432320"</f>
        <v>20190312154432320</v>
      </c>
      <c r="B6976" t="str">
        <f>"1552376672314276"</f>
        <v>1552376672314276</v>
      </c>
      <c r="C6976" t="s">
        <v>40</v>
      </c>
      <c r="D6976">
        <v>5.099793</v>
      </c>
      <c r="E6976">
        <v>0.40301540000000002</v>
      </c>
      <c r="F6976" t="s">
        <v>70</v>
      </c>
      <c r="G6976">
        <v>-193.7286</v>
      </c>
      <c r="H6976" s="1">
        <v>-6.1197159999999996E-6</v>
      </c>
      <c r="I6976">
        <v>-41.776499999999999</v>
      </c>
      <c r="J6976">
        <v>-197.36170000000001</v>
      </c>
      <c r="K6976">
        <v>1.1248830000000001</v>
      </c>
      <c r="L6976">
        <v>-52.827579999999998</v>
      </c>
      <c r="M6976">
        <v>0.56527499999999997</v>
      </c>
      <c r="N6976">
        <v>0</v>
      </c>
      <c r="O6976">
        <v>0.82472659999999998</v>
      </c>
      <c r="P6976">
        <v>0.54174679999999997</v>
      </c>
      <c r="Q6976">
        <v>-9.9756129999999995E-3</v>
      </c>
      <c r="R6976">
        <v>0.84048259999999897</v>
      </c>
      <c r="S6976">
        <v>0.97975159999999994</v>
      </c>
      <c r="T6976">
        <v>-0.2955469</v>
      </c>
      <c r="U6976">
        <v>2.9434809999999998</v>
      </c>
      <c r="V6976">
        <v>-2.8552250000000001E-2</v>
      </c>
      <c r="W6976">
        <v>6.0279640000000002E-3</v>
      </c>
      <c r="X6976">
        <v>0.99957410000000002</v>
      </c>
      <c r="Y6976">
        <v>-0.27681939999999999</v>
      </c>
      <c r="Z6976">
        <v>-7.0701410000000006E-2</v>
      </c>
      <c r="AA6976">
        <v>0.95831750000000004</v>
      </c>
      <c r="AB6976">
        <v>31</v>
      </c>
      <c r="AC6976">
        <v>3.63310000000001</v>
      </c>
      <c r="AD6976">
        <v>-1.124889119716</v>
      </c>
      <c r="AE6976">
        <v>11.051080000000001</v>
      </c>
      <c r="AF6976">
        <v>-3.2209391429024898</v>
      </c>
      <c r="AG6976">
        <v>-1.124889119716</v>
      </c>
      <c r="AH6976">
        <v>11.0659677992225</v>
      </c>
      <c r="AI6976">
        <v>95.574561385598997</v>
      </c>
      <c r="AJ6976">
        <v>106.22854015319599</v>
      </c>
      <c r="AK6976">
        <v>11.579959750679899</v>
      </c>
      <c r="AL6976">
        <v>89.654621003230801</v>
      </c>
      <c r="AM6976">
        <v>91.636175554733398</v>
      </c>
      <c r="AN6976">
        <v>0.99999997436042798</v>
      </c>
    </row>
    <row r="6977" spans="1:40" x14ac:dyDescent="0.25">
      <c r="A6977" t="str">
        <f>"20190312154432337"</f>
        <v>20190312154432337</v>
      </c>
      <c r="B6977" t="str">
        <f>"1552376672324035"</f>
        <v>1552376672324035</v>
      </c>
      <c r="C6977" t="s">
        <v>40</v>
      </c>
      <c r="D6977">
        <v>5.1345219999999996</v>
      </c>
      <c r="E6977">
        <v>0.40419349999999998</v>
      </c>
      <c r="F6977" t="s">
        <v>70</v>
      </c>
      <c r="G6977">
        <v>-193.696</v>
      </c>
      <c r="H6977" s="1">
        <v>-6.1673399999999996E-6</v>
      </c>
      <c r="I6977">
        <v>-41.623269999999998</v>
      </c>
      <c r="J6977">
        <v>-197.23740000000001</v>
      </c>
      <c r="K6977">
        <v>1.1248549999999999</v>
      </c>
      <c r="L6977">
        <v>-52.626249999999999</v>
      </c>
      <c r="M6977">
        <v>0.5541838</v>
      </c>
      <c r="N6977">
        <v>0</v>
      </c>
      <c r="O6977">
        <v>0.83221999999999996</v>
      </c>
      <c r="P6977">
        <v>0.53106500000000001</v>
      </c>
      <c r="Q6977">
        <v>-9.3986039999999996E-3</v>
      </c>
      <c r="R6977">
        <v>0.847279</v>
      </c>
      <c r="S6977">
        <v>0.96345519999999996</v>
      </c>
      <c r="T6977">
        <v>-0.29565429999999998</v>
      </c>
      <c r="U6977">
        <v>2.9448240000000001</v>
      </c>
      <c r="V6977">
        <v>-2.7847199999999999E-2</v>
      </c>
      <c r="W6977">
        <v>6.6263819999999897E-3</v>
      </c>
      <c r="X6977">
        <v>0.99959019999999998</v>
      </c>
      <c r="Y6977">
        <v>-0.26888400000000001</v>
      </c>
      <c r="Z6977">
        <v>-7.1894479999999997E-2</v>
      </c>
      <c r="AA6977">
        <v>0.96048560000000005</v>
      </c>
      <c r="AB6977">
        <v>31</v>
      </c>
      <c r="AC6977">
        <v>3.5413999999999999</v>
      </c>
      <c r="AD6977">
        <v>-1.12486116734</v>
      </c>
      <c r="AE6977">
        <v>11.002980000000001</v>
      </c>
      <c r="AF6977">
        <v>-3.1213461698477598</v>
      </c>
      <c r="AG6977">
        <v>-1.12486116734</v>
      </c>
      <c r="AH6977">
        <v>11.0167670424874</v>
      </c>
      <c r="AI6977">
        <v>95.610597861846699</v>
      </c>
      <c r="AJ6977">
        <v>105.818851366933</v>
      </c>
      <c r="AK6977">
        <v>11.5055321748387</v>
      </c>
      <c r="AL6977">
        <v>89.620333488724597</v>
      </c>
      <c r="AM6977">
        <v>91.595768405072405</v>
      </c>
      <c r="AN6977">
        <v>0.99999997171114396</v>
      </c>
    </row>
    <row r="6978" spans="1:40" x14ac:dyDescent="0.25">
      <c r="A6978" t="str">
        <f>"20190312154432352"</f>
        <v>20190312154432352</v>
      </c>
      <c r="B6978" t="str">
        <f>"1552376672344532"</f>
        <v>1552376672344532</v>
      </c>
      <c r="C6978" t="s">
        <v>40</v>
      </c>
      <c r="D6978">
        <v>5.1300939999999997</v>
      </c>
      <c r="E6978">
        <v>0.40622469999999999</v>
      </c>
      <c r="F6978" t="s">
        <v>70</v>
      </c>
      <c r="G6978">
        <v>-193.70599999999999</v>
      </c>
      <c r="H6978" s="1">
        <v>-6.2224940000000004E-6</v>
      </c>
      <c r="I6978">
        <v>-41.461860000000001</v>
      </c>
      <c r="J6978">
        <v>-197.13759999999999</v>
      </c>
      <c r="K6978">
        <v>1.1248260000000001</v>
      </c>
      <c r="L6978">
        <v>-52.460329999999999</v>
      </c>
      <c r="M6978">
        <v>0.54503100000000004</v>
      </c>
      <c r="N6978">
        <v>0</v>
      </c>
      <c r="O6978">
        <v>0.83824290000000001</v>
      </c>
      <c r="P6978">
        <v>0.52203999999999995</v>
      </c>
      <c r="Q6978">
        <v>-9.0275029999999992E-3</v>
      </c>
      <c r="R6978">
        <v>0.85287329999999995</v>
      </c>
      <c r="S6978">
        <v>0.93380739999999995</v>
      </c>
      <c r="T6978">
        <v>-0.29744199999999998</v>
      </c>
      <c r="U6978">
        <v>2.9521480000000002</v>
      </c>
      <c r="V6978">
        <v>-2.7520619999999999E-2</v>
      </c>
      <c r="W6978">
        <v>7.0059369999999899E-3</v>
      </c>
      <c r="X6978">
        <v>0.9995967</v>
      </c>
      <c r="Y6978">
        <v>-0.26779940000000002</v>
      </c>
      <c r="Z6978">
        <v>-7.3099170000000005E-2</v>
      </c>
      <c r="AA6978">
        <v>0.96069769999999999</v>
      </c>
      <c r="AB6978">
        <v>31</v>
      </c>
      <c r="AC6978">
        <v>3.4316</v>
      </c>
      <c r="AD6978">
        <v>-1.1248322224939999</v>
      </c>
      <c r="AE6978">
        <v>10.998469999999999</v>
      </c>
      <c r="AF6978">
        <v>-3.0890018800099899</v>
      </c>
      <c r="AG6978">
        <v>-1.1248322224939999</v>
      </c>
      <c r="AH6978">
        <v>10.986606318444601</v>
      </c>
      <c r="AI6978">
        <v>95.628923904078903</v>
      </c>
      <c r="AJ6978">
        <v>105.703896053832</v>
      </c>
      <c r="AK6978">
        <v>11.467898610467101</v>
      </c>
      <c r="AL6978">
        <v>89.598586100630499</v>
      </c>
      <c r="AM6978">
        <v>91.577053175747196</v>
      </c>
      <c r="AN6978">
        <v>1.00000001516466</v>
      </c>
    </row>
    <row r="6979" spans="1:40" x14ac:dyDescent="0.25">
      <c r="A6979" t="str">
        <f>"20190312154432374"</f>
        <v>20190312154432374</v>
      </c>
      <c r="B6979" t="str">
        <f>"1552376672364051"</f>
        <v>1552376672364051</v>
      </c>
      <c r="C6979" t="s">
        <v>40</v>
      </c>
      <c r="D6979">
        <v>5.1638789999999997</v>
      </c>
      <c r="E6979">
        <v>0.40378789999999998</v>
      </c>
      <c r="F6979" t="s">
        <v>70</v>
      </c>
      <c r="G6979">
        <v>-193.6576</v>
      </c>
      <c r="H6979" s="1">
        <v>-6.2898320000000004E-6</v>
      </c>
      <c r="I6979">
        <v>-41.244439999999997</v>
      </c>
      <c r="J6979">
        <v>-196.98589999999999</v>
      </c>
      <c r="K6979">
        <v>1.1247799999999999</v>
      </c>
      <c r="L6979">
        <v>-52.199100000000001</v>
      </c>
      <c r="M6979">
        <v>0.53062609999999999</v>
      </c>
      <c r="N6979">
        <v>0</v>
      </c>
      <c r="O6979">
        <v>0.84743519999999894</v>
      </c>
      <c r="P6979">
        <v>0.50772539999999999</v>
      </c>
      <c r="Q6979">
        <v>-8.4939899999999999E-3</v>
      </c>
      <c r="R6979">
        <v>0.8614771</v>
      </c>
      <c r="S6979">
        <v>0.91638180000000002</v>
      </c>
      <c r="T6979">
        <v>-0.29620020000000002</v>
      </c>
      <c r="U6979">
        <v>2.9534609999999999</v>
      </c>
      <c r="V6979">
        <v>-2.715064E-2</v>
      </c>
      <c r="W6979">
        <v>7.5457019999999996E-3</v>
      </c>
      <c r="X6979">
        <v>0.99960289999999996</v>
      </c>
      <c r="Y6979">
        <v>-0.2566213</v>
      </c>
      <c r="Z6979">
        <v>-7.4249519999999999E-2</v>
      </c>
      <c r="AA6979">
        <v>0.96365579999999995</v>
      </c>
      <c r="AB6979">
        <v>31</v>
      </c>
      <c r="AC6979">
        <v>3.3282999999999801</v>
      </c>
      <c r="AD6979">
        <v>-1.12478628983199</v>
      </c>
      <c r="AE6979">
        <v>10.954659999999899</v>
      </c>
      <c r="AF6979">
        <v>-2.9641347487806802</v>
      </c>
      <c r="AG6979">
        <v>-1.12478628983199</v>
      </c>
      <c r="AH6979">
        <v>10.945407227468801</v>
      </c>
      <c r="AI6979">
        <v>95.664663293322505</v>
      </c>
      <c r="AJ6979">
        <v>105.152866481232</v>
      </c>
      <c r="AK6979">
        <v>11.395313878162799</v>
      </c>
      <c r="AL6979">
        <v>89.567659030488102</v>
      </c>
      <c r="AM6979">
        <v>91.555852532799506</v>
      </c>
      <c r="AN6979">
        <v>1.0000000262797399</v>
      </c>
    </row>
    <row r="6980" spans="1:40" x14ac:dyDescent="0.25">
      <c r="A6980" t="str">
        <f>"20190312154432397"</f>
        <v>20190312154432397</v>
      </c>
      <c r="B6980" t="str">
        <f>"1552376672384547"</f>
        <v>1552376672384547</v>
      </c>
      <c r="C6980" t="s">
        <v>40</v>
      </c>
      <c r="D6980">
        <v>5.1217269999999999</v>
      </c>
      <c r="E6980">
        <v>0.40553309999999998</v>
      </c>
      <c r="F6980" t="s">
        <v>43</v>
      </c>
      <c r="G6980">
        <v>-191.56549999999999</v>
      </c>
      <c r="H6980" s="1">
        <v>-3.4560980000000002E-6</v>
      </c>
      <c r="I6980">
        <v>-33.325580000000002</v>
      </c>
      <c r="J6980">
        <v>-196.83959999999999</v>
      </c>
      <c r="K6980">
        <v>1.1247309999999999</v>
      </c>
      <c r="L6980">
        <v>-51.937100000000001</v>
      </c>
      <c r="M6980">
        <v>0.51617029999999997</v>
      </c>
      <c r="N6980">
        <v>0</v>
      </c>
      <c r="O6980">
        <v>0.856317199999999</v>
      </c>
      <c r="P6980">
        <v>0.49356339999999999</v>
      </c>
      <c r="Q6980">
        <v>-7.6819000000000002E-3</v>
      </c>
      <c r="R6980">
        <v>0.86967589999999995</v>
      </c>
      <c r="S6980">
        <v>0.8549194</v>
      </c>
      <c r="T6980">
        <v>-0.17740359999999999</v>
      </c>
      <c r="U6980">
        <v>2.9767760000000001</v>
      </c>
      <c r="V6980">
        <v>-2.6574670000000002E-2</v>
      </c>
      <c r="W6980">
        <v>8.3706040000000002E-3</v>
      </c>
      <c r="X6980">
        <v>0.99961180000000005</v>
      </c>
      <c r="Y6980">
        <v>-0.26008799999999999</v>
      </c>
      <c r="Z6980">
        <v>-4.5078649999999998E-2</v>
      </c>
      <c r="AA6980">
        <v>0.9645321</v>
      </c>
      <c r="AB6980">
        <v>31</v>
      </c>
      <c r="AC6980">
        <v>5.2740999999999998</v>
      </c>
      <c r="AD6980">
        <v>-1.1247344560979999</v>
      </c>
      <c r="AE6980">
        <v>18.611519999999999</v>
      </c>
      <c r="AF6980">
        <v>-5.0739942102312696</v>
      </c>
      <c r="AG6980">
        <v>-1.1247344560979999</v>
      </c>
      <c r="AH6980">
        <v>18.599519000776901</v>
      </c>
      <c r="AI6980">
        <v>93.338809668718</v>
      </c>
      <c r="AJ6980">
        <v>105.259127359356</v>
      </c>
      <c r="AK6980">
        <v>19.3119794920784</v>
      </c>
      <c r="AL6980">
        <v>89.520394125340204</v>
      </c>
      <c r="AM6980">
        <v>91.522849045991507</v>
      </c>
      <c r="AN6980">
        <v>1.0000000153980799</v>
      </c>
    </row>
    <row r="6981" spans="1:40" x14ac:dyDescent="0.25">
      <c r="A6981" t="str">
        <f>"20190312154432419"</f>
        <v>20190312154432419</v>
      </c>
      <c r="B6981" t="str">
        <f>"1552376672414803"</f>
        <v>1552376672414803</v>
      </c>
      <c r="C6981" t="s">
        <v>40</v>
      </c>
      <c r="D6981">
        <v>5.1714219999999997</v>
      </c>
      <c r="E6981">
        <v>0.41313729999999999</v>
      </c>
      <c r="F6981" t="s">
        <v>43</v>
      </c>
      <c r="G6981">
        <v>-191.52860000000001</v>
      </c>
      <c r="H6981" s="1">
        <v>-3.7678350000000001E-6</v>
      </c>
      <c r="I6981">
        <v>-32.57602</v>
      </c>
      <c r="J6981">
        <v>-196.6917</v>
      </c>
      <c r="K6981">
        <v>1.124676</v>
      </c>
      <c r="L6981">
        <v>-51.660890000000002</v>
      </c>
      <c r="M6981">
        <v>0.50092970000000003</v>
      </c>
      <c r="N6981">
        <v>0</v>
      </c>
      <c r="O6981">
        <v>0.86532119999999901</v>
      </c>
      <c r="P6981">
        <v>0.47835309999999998</v>
      </c>
      <c r="Q6981">
        <v>-7.1915759999999999E-3</v>
      </c>
      <c r="R6981">
        <v>0.87813819999999998</v>
      </c>
      <c r="S6981">
        <v>0.81843569999999999</v>
      </c>
      <c r="T6981">
        <v>-0.17332210000000001</v>
      </c>
      <c r="U6981">
        <v>2.9835509999999998</v>
      </c>
      <c r="V6981">
        <v>-2.629333E-2</v>
      </c>
      <c r="W6981">
        <v>8.8617290000000005E-3</v>
      </c>
      <c r="X6981">
        <v>0.99961500000000003</v>
      </c>
      <c r="Y6981">
        <v>-0.25449749999999999</v>
      </c>
      <c r="Z6981">
        <v>-4.4790450000000002E-2</v>
      </c>
      <c r="AA6981">
        <v>0.96603570000000005</v>
      </c>
      <c r="AB6981">
        <v>31</v>
      </c>
      <c r="AC6981">
        <v>5.1630999999999796</v>
      </c>
      <c r="AD6981">
        <v>-1.124679767835</v>
      </c>
      <c r="AE6981">
        <v>19.084869999999999</v>
      </c>
      <c r="AF6981">
        <v>-5.0767453050425999</v>
      </c>
      <c r="AG6981">
        <v>-1.124679767835</v>
      </c>
      <c r="AH6981">
        <v>19.0420308594977</v>
      </c>
      <c r="AI6981">
        <v>93.266303794666001</v>
      </c>
      <c r="AJ6981">
        <v>104.92824394184601</v>
      </c>
      <c r="AK6981">
        <v>19.739229638628501</v>
      </c>
      <c r="AL6981">
        <v>89.492253687875603</v>
      </c>
      <c r="AM6981">
        <v>91.5067296391654</v>
      </c>
      <c r="AN6981">
        <v>1.0000000088341701</v>
      </c>
    </row>
    <row r="6982" spans="1:40" x14ac:dyDescent="0.25">
      <c r="A6982" t="str">
        <f>"20190312154432439"</f>
        <v>20190312154432439</v>
      </c>
      <c r="B6982" t="str">
        <f>"1552376672434323"</f>
        <v>1552376672434323</v>
      </c>
      <c r="C6982" t="s">
        <v>40</v>
      </c>
      <c r="D6982">
        <v>5.1663629999999996</v>
      </c>
      <c r="E6982">
        <v>0.41636970000000001</v>
      </c>
      <c r="F6982" t="s">
        <v>43</v>
      </c>
      <c r="G6982">
        <v>-193.5104</v>
      </c>
      <c r="H6982" s="1">
        <v>-1.083321E-6</v>
      </c>
      <c r="I6982">
        <v>-40.062869999999997</v>
      </c>
      <c r="J6982">
        <v>-196.56559999999999</v>
      </c>
      <c r="K6982">
        <v>1.1246229999999999</v>
      </c>
      <c r="L6982">
        <v>-51.41574</v>
      </c>
      <c r="M6982">
        <v>0.4874095</v>
      </c>
      <c r="N6982">
        <v>0</v>
      </c>
      <c r="O6982">
        <v>0.87300840000000002</v>
      </c>
      <c r="P6982">
        <v>0.4647134</v>
      </c>
      <c r="Q6982">
        <v>-6.2752019999999997E-3</v>
      </c>
      <c r="R6982">
        <v>0.88543890000000003</v>
      </c>
      <c r="S6982">
        <v>0.81469729999999996</v>
      </c>
      <c r="T6982">
        <v>-0.28802040000000001</v>
      </c>
      <c r="U6982">
        <v>2.970154</v>
      </c>
      <c r="V6982">
        <v>-2.6240200000000002E-2</v>
      </c>
      <c r="W6982">
        <v>9.7705420000000001E-3</v>
      </c>
      <c r="X6982">
        <v>0.99960789999999999</v>
      </c>
      <c r="Y6982">
        <v>-0.2399876</v>
      </c>
      <c r="Z6982">
        <v>-7.5803220000000004E-2</v>
      </c>
      <c r="AA6982">
        <v>0.96781189999999995</v>
      </c>
      <c r="AB6982">
        <v>31</v>
      </c>
      <c r="AC6982">
        <v>3.0551999999999802</v>
      </c>
      <c r="AD6982">
        <v>-1.1246240833209999</v>
      </c>
      <c r="AE6982">
        <v>11.3528699999999</v>
      </c>
      <c r="AF6982">
        <v>-2.8407012869693999</v>
      </c>
      <c r="AG6982">
        <v>-1.1246240833209999</v>
      </c>
      <c r="AH6982">
        <v>11.2985424967251</v>
      </c>
      <c r="AI6982">
        <v>95.513836282729699</v>
      </c>
      <c r="AJ6982">
        <v>104.112895624933</v>
      </c>
      <c r="AK6982">
        <v>11.704333628228399</v>
      </c>
      <c r="AL6982">
        <v>89.440180262841196</v>
      </c>
      <c r="AM6982">
        <v>91.503697118668299</v>
      </c>
      <c r="AN6982">
        <v>0.99999998266471102</v>
      </c>
    </row>
    <row r="6983" spans="1:40" x14ac:dyDescent="0.25">
      <c r="A6983" t="str">
        <f>"20190312154432461"</f>
        <v>20190312154432461</v>
      </c>
      <c r="B6983" t="str">
        <f>"1552376672453843"</f>
        <v>1552376672453843</v>
      </c>
      <c r="C6983" t="s">
        <v>40</v>
      </c>
      <c r="D6983">
        <v>5.1683700000000004</v>
      </c>
      <c r="E6983">
        <v>0.4179715</v>
      </c>
      <c r="F6983" t="s">
        <v>43</v>
      </c>
      <c r="G6983">
        <v>-193.17570000000001</v>
      </c>
      <c r="H6983" s="1">
        <v>-1.573484E-6</v>
      </c>
      <c r="I6983">
        <v>-38.712719999999997</v>
      </c>
      <c r="J6983">
        <v>-196.43180000000001</v>
      </c>
      <c r="K6983">
        <v>1.124563</v>
      </c>
      <c r="L6983">
        <v>-51.144930000000002</v>
      </c>
      <c r="M6983">
        <v>0.47249289999999999</v>
      </c>
      <c r="N6983">
        <v>0</v>
      </c>
      <c r="O6983">
        <v>0.88117129999999999</v>
      </c>
      <c r="P6983">
        <v>0.44950059999999897</v>
      </c>
      <c r="Q6983">
        <v>-5.9443509999999996E-3</v>
      </c>
      <c r="R6983">
        <v>0.89326030000000001</v>
      </c>
      <c r="S6983">
        <v>0.79263309999999998</v>
      </c>
      <c r="T6983">
        <v>-0.26296730000000001</v>
      </c>
      <c r="U6983">
        <v>2.9703059999999999</v>
      </c>
      <c r="V6983">
        <v>-2.6348799999999999E-2</v>
      </c>
      <c r="W6983">
        <v>1.0085240000000001E-2</v>
      </c>
      <c r="X6983">
        <v>0.99960199999999999</v>
      </c>
      <c r="Y6983">
        <v>-0.23005980000000001</v>
      </c>
      <c r="Z6983">
        <v>-7.0438410000000007E-2</v>
      </c>
      <c r="AA6983">
        <v>0.97062400000000004</v>
      </c>
      <c r="AB6983">
        <v>31</v>
      </c>
      <c r="AC6983">
        <v>3.2561</v>
      </c>
      <c r="AD6983">
        <v>-1.124564573484</v>
      </c>
      <c r="AE6983">
        <v>12.4322099999999</v>
      </c>
      <c r="AF6983">
        <v>-2.9825439551701902</v>
      </c>
      <c r="AG6983">
        <v>-1.124564573484</v>
      </c>
      <c r="AH6983">
        <v>12.4002390979513</v>
      </c>
      <c r="AI6983">
        <v>95.038983268397402</v>
      </c>
      <c r="AJ6983">
        <v>103.524069034275</v>
      </c>
      <c r="AK6983">
        <v>12.803364542604299</v>
      </c>
      <c r="AL6983">
        <v>89.422148554080394</v>
      </c>
      <c r="AM6983">
        <v>91.509926484777694</v>
      </c>
      <c r="AN6983">
        <v>1.00000006486564</v>
      </c>
    </row>
    <row r="6984" spans="1:40" x14ac:dyDescent="0.25">
      <c r="A6984" t="str">
        <f>"20190312154432475"</f>
        <v>20190312154432475</v>
      </c>
      <c r="B6984" t="str">
        <f>"1552376672464579"</f>
        <v>1552376672464579</v>
      </c>
      <c r="C6984" t="s">
        <v>40</v>
      </c>
      <c r="D6984">
        <v>5.4126779999999997</v>
      </c>
      <c r="E6984">
        <v>0.4179715</v>
      </c>
      <c r="F6984" t="s">
        <v>43</v>
      </c>
      <c r="G6984">
        <v>-193.0401</v>
      </c>
      <c r="H6984" s="1">
        <v>-1.9498099999999998E-6</v>
      </c>
      <c r="I6984">
        <v>-37.751399999999997</v>
      </c>
      <c r="J6984">
        <v>-196.35310000000001</v>
      </c>
      <c r="K6984">
        <v>1.1245229999999999</v>
      </c>
      <c r="L6984">
        <v>-50.97983</v>
      </c>
      <c r="M6984">
        <v>0.46341359999999898</v>
      </c>
      <c r="N6984">
        <v>0</v>
      </c>
      <c r="O6984">
        <v>0.88598009999999905</v>
      </c>
      <c r="P6984">
        <v>0.44055490000000003</v>
      </c>
      <c r="Q6984">
        <v>-5.3302810000000001E-3</v>
      </c>
      <c r="R6984">
        <v>0.8977098</v>
      </c>
      <c r="S6984">
        <v>0.75396730000000001</v>
      </c>
      <c r="T6984">
        <v>-0.24999379999999999</v>
      </c>
      <c r="U6984">
        <v>2.977417</v>
      </c>
      <c r="V6984">
        <v>-2.608504E-2</v>
      </c>
      <c r="W6984">
        <v>1.0700319999999999E-2</v>
      </c>
      <c r="X6984">
        <v>0.9996024</v>
      </c>
      <c r="Y6984">
        <v>-0.23238490000000001</v>
      </c>
      <c r="Z6984">
        <v>-6.7476069999999999E-2</v>
      </c>
      <c r="AA6984">
        <v>0.97028049999999999</v>
      </c>
      <c r="AB6984">
        <v>31</v>
      </c>
      <c r="AC6984">
        <v>3.3130000000000099</v>
      </c>
      <c r="AD6984">
        <v>-1.1245249498099901</v>
      </c>
      <c r="AE6984">
        <v>13.228429999999999</v>
      </c>
      <c r="AF6984">
        <v>-3.17385915648947</v>
      </c>
      <c r="AG6984">
        <v>-1.1245249498099901</v>
      </c>
      <c r="AH6984">
        <v>13.167778825350799</v>
      </c>
      <c r="AI6984">
        <v>94.745934157380503</v>
      </c>
      <c r="AJ6984">
        <v>103.551641774766</v>
      </c>
      <c r="AK6984">
        <v>13.591480327813301</v>
      </c>
      <c r="AL6984">
        <v>89.386905089123601</v>
      </c>
      <c r="AM6984">
        <v>91.494817927440394</v>
      </c>
      <c r="AN6984">
        <v>0.99999994212283005</v>
      </c>
    </row>
    <row r="6985" spans="1:40" x14ac:dyDescent="0.25">
      <c r="A6985" t="str">
        <f>"20190312154432495"</f>
        <v>20190312154432495</v>
      </c>
      <c r="B6985" t="str">
        <f>"1552376672484103"</f>
        <v>1552376672484103</v>
      </c>
      <c r="C6985" t="s">
        <v>40</v>
      </c>
      <c r="D6985">
        <v>5.2128119999999996</v>
      </c>
      <c r="E6985">
        <v>0.41521140000000001</v>
      </c>
      <c r="F6985" t="s">
        <v>43</v>
      </c>
      <c r="G6985">
        <v>-193.07230000000001</v>
      </c>
      <c r="H6985" s="1">
        <v>-2.0844299999999999E-6</v>
      </c>
      <c r="I6985">
        <v>-37.45758</v>
      </c>
      <c r="J6985">
        <v>-196.23670000000001</v>
      </c>
      <c r="K6985">
        <v>1.1244700000000001</v>
      </c>
      <c r="L6985">
        <v>-50.72748</v>
      </c>
      <c r="M6985">
        <v>0.44956639999999998</v>
      </c>
      <c r="N6985">
        <v>0</v>
      </c>
      <c r="O6985">
        <v>0.89308650000000001</v>
      </c>
      <c r="P6985">
        <v>0.42717329999999998</v>
      </c>
      <c r="Q6985">
        <v>-2.9704190000000002E-3</v>
      </c>
      <c r="R6985">
        <v>0.90416490000000005</v>
      </c>
      <c r="S6985">
        <v>0.72419739999999999</v>
      </c>
      <c r="T6985">
        <v>-0.24823200000000001</v>
      </c>
      <c r="U6985">
        <v>2.9849549999999998</v>
      </c>
      <c r="V6985">
        <v>-2.5456579999999999E-2</v>
      </c>
      <c r="W6985">
        <v>1.3069559999999999E-2</v>
      </c>
      <c r="X6985">
        <v>0.99959050000000005</v>
      </c>
      <c r="Y6985">
        <v>-0.2269428</v>
      </c>
      <c r="Z6985">
        <v>-6.7805610000000002E-2</v>
      </c>
      <c r="AA6985">
        <v>0.97154479999999999</v>
      </c>
      <c r="AB6985">
        <v>31</v>
      </c>
      <c r="AC6985">
        <v>3.1644000000000001</v>
      </c>
      <c r="AD6985">
        <v>-1.12447208442999</v>
      </c>
      <c r="AE6985">
        <v>13.2699</v>
      </c>
      <c r="AF6985">
        <v>-3.1188777067182998</v>
      </c>
      <c r="AG6985">
        <v>-1.12447208442999</v>
      </c>
      <c r="AH6985">
        <v>13.186088940228</v>
      </c>
      <c r="AI6985">
        <v>94.743954907009396</v>
      </c>
      <c r="AJ6985">
        <v>103.307482727875</v>
      </c>
      <c r="AK6985">
        <v>13.596498709510801</v>
      </c>
      <c r="AL6985">
        <v>89.251148058831603</v>
      </c>
      <c r="AM6985">
        <v>91.458836786945</v>
      </c>
      <c r="AN6985">
        <v>1.00000000927707</v>
      </c>
    </row>
    <row r="6986" spans="1:40" x14ac:dyDescent="0.25">
      <c r="A6986" t="str">
        <f>"20190312154432510"</f>
        <v>20190312154432510</v>
      </c>
      <c r="B6986" t="str">
        <f>"1552376672504595"</f>
        <v>1552376672504595</v>
      </c>
      <c r="C6986" t="s">
        <v>40</v>
      </c>
      <c r="D6986">
        <v>5.2335339999999997</v>
      </c>
      <c r="E6986">
        <v>0.41388750000000002</v>
      </c>
      <c r="F6986" t="s">
        <v>43</v>
      </c>
      <c r="G6986">
        <v>-193.2073</v>
      </c>
      <c r="H6986" s="1">
        <v>-2.3469119999999998E-6</v>
      </c>
      <c r="I6986">
        <v>-36.929430000000004</v>
      </c>
      <c r="J6986">
        <v>-196.15950000000001</v>
      </c>
      <c r="K6986">
        <v>1.1244270000000001</v>
      </c>
      <c r="L6986">
        <v>-50.554900000000004</v>
      </c>
      <c r="M6986">
        <v>0.44010929999999998</v>
      </c>
      <c r="N6986">
        <v>0</v>
      </c>
      <c r="O6986">
        <v>0.8977849</v>
      </c>
      <c r="P6986">
        <v>0.41833029999999999</v>
      </c>
      <c r="Q6986">
        <v>-1.2660760000000001E-3</v>
      </c>
      <c r="R6986">
        <v>0.90829409999999999</v>
      </c>
      <c r="S6986">
        <v>0.65985109999999902</v>
      </c>
      <c r="T6986">
        <v>-0.2449279</v>
      </c>
      <c r="U6986">
        <v>3.0054319999999999</v>
      </c>
      <c r="V6986">
        <v>-2.4712890000000001E-2</v>
      </c>
      <c r="W6986">
        <v>1.4790299999999999E-2</v>
      </c>
      <c r="X6986">
        <v>0.99958519999999895</v>
      </c>
      <c r="Y6986">
        <v>-0.23789479999999999</v>
      </c>
      <c r="Z6986">
        <v>-6.7048969999999999E-2</v>
      </c>
      <c r="AA6986">
        <v>0.96897390000000005</v>
      </c>
      <c r="AB6986">
        <v>31</v>
      </c>
      <c r="AC6986">
        <v>2.9521999999999999</v>
      </c>
      <c r="AD6986">
        <v>-1.1244293469119999</v>
      </c>
      <c r="AE6986">
        <v>13.62547</v>
      </c>
      <c r="AF6986">
        <v>-3.3251049081375301</v>
      </c>
      <c r="AG6986">
        <v>-1.1244293469119999</v>
      </c>
      <c r="AH6986">
        <v>13.4465003996694</v>
      </c>
      <c r="AI6986">
        <v>94.640940688711297</v>
      </c>
      <c r="AJ6986">
        <v>103.8896906574</v>
      </c>
      <c r="AK6986">
        <v>13.897087356875399</v>
      </c>
      <c r="AL6986">
        <v>89.152547355241197</v>
      </c>
      <c r="AM6986">
        <v>91.416243369021004</v>
      </c>
      <c r="AN6986">
        <v>1.00000002598264</v>
      </c>
    </row>
    <row r="6987" spans="1:40" x14ac:dyDescent="0.25">
      <c r="A6987" t="str">
        <f>"20190312154432529"</f>
        <v>20190312154432529</v>
      </c>
      <c r="B6987" t="str">
        <f>"1552376672524636"</f>
        <v>1552376672524636</v>
      </c>
      <c r="C6987" t="s">
        <v>40</v>
      </c>
      <c r="D6987">
        <v>5.1722039999999998</v>
      </c>
      <c r="E6987">
        <v>0.4125067</v>
      </c>
      <c r="F6987" t="s">
        <v>43</v>
      </c>
      <c r="G6987">
        <v>-193.3322</v>
      </c>
      <c r="H6987" s="1">
        <v>-2.429586E-6</v>
      </c>
      <c r="I6987">
        <v>-36.81418</v>
      </c>
      <c r="J6987">
        <v>-196.05600000000001</v>
      </c>
      <c r="K6987">
        <v>1.1243700000000001</v>
      </c>
      <c r="L6987">
        <v>-50.314480000000003</v>
      </c>
      <c r="M6987">
        <v>0.42698209999999998</v>
      </c>
      <c r="N6987">
        <v>0</v>
      </c>
      <c r="O6987">
        <v>0.90410230000000003</v>
      </c>
      <c r="P6987">
        <v>0.40629710000000002</v>
      </c>
      <c r="Q6987">
        <v>2.3773560000000002E-3</v>
      </c>
      <c r="R6987">
        <v>0.91373800000000005</v>
      </c>
      <c r="S6987">
        <v>0.62071229999999999</v>
      </c>
      <c r="T6987">
        <v>-0.2468592</v>
      </c>
      <c r="U6987">
        <v>3.0166629999999999</v>
      </c>
      <c r="V6987">
        <v>-2.347409E-2</v>
      </c>
      <c r="W6987">
        <v>1.8461430000000001E-2</v>
      </c>
      <c r="X6987">
        <v>0.99955400000000005</v>
      </c>
      <c r="Y6987">
        <v>-0.2365399</v>
      </c>
      <c r="Z6987">
        <v>-6.8167050000000007E-2</v>
      </c>
      <c r="AA6987">
        <v>0.96922759999999997</v>
      </c>
      <c r="AB6987">
        <v>31</v>
      </c>
      <c r="AC6987">
        <v>2.7237999999999798</v>
      </c>
      <c r="AD6987">
        <v>-1.124372429586</v>
      </c>
      <c r="AE6987">
        <v>13.5002999999999</v>
      </c>
      <c r="AF6987">
        <v>-3.2803996088780201</v>
      </c>
      <c r="AG6987">
        <v>-1.124372429586</v>
      </c>
      <c r="AH6987">
        <v>13.2820477967178</v>
      </c>
      <c r="AI6987">
        <v>94.6982416450915</v>
      </c>
      <c r="AJ6987">
        <v>103.87327101461101</v>
      </c>
      <c r="AK6987">
        <v>13.727273167990599</v>
      </c>
      <c r="AL6987">
        <v>88.942177912558606</v>
      </c>
      <c r="AM6987">
        <v>91.345319118294896</v>
      </c>
      <c r="AN6987">
        <v>1.0000000281074799</v>
      </c>
    </row>
    <row r="6988" spans="1:40" x14ac:dyDescent="0.25">
      <c r="A6988" t="str">
        <f>"20190312154432551"</f>
        <v>20190312154432551</v>
      </c>
      <c r="B6988" t="str">
        <f>"1552376672544157"</f>
        <v>1552376672544157</v>
      </c>
      <c r="C6988" t="s">
        <v>40</v>
      </c>
      <c r="D6988">
        <v>5.2250079999999999</v>
      </c>
      <c r="E6988">
        <v>0.41166150000000001</v>
      </c>
      <c r="F6988" t="s">
        <v>43</v>
      </c>
      <c r="G6988">
        <v>-193.2816</v>
      </c>
      <c r="H6988" s="1">
        <v>-2.9348299999999998E-6</v>
      </c>
      <c r="I6988">
        <v>-35.605049999999999</v>
      </c>
      <c r="J6988">
        <v>-195.94059999999999</v>
      </c>
      <c r="K6988">
        <v>1.1242840000000001</v>
      </c>
      <c r="L6988">
        <v>-50.033810000000003</v>
      </c>
      <c r="M6988">
        <v>0.41172130000000001</v>
      </c>
      <c r="N6988">
        <v>0</v>
      </c>
      <c r="O6988">
        <v>0.91115380000000001</v>
      </c>
      <c r="P6988">
        <v>0.39278099999999999</v>
      </c>
      <c r="Q6988">
        <v>5.822486E-3</v>
      </c>
      <c r="R6988">
        <v>0.91961360000000003</v>
      </c>
      <c r="S6988">
        <v>0.57145690000000005</v>
      </c>
      <c r="T6988">
        <v>-0.23158860000000001</v>
      </c>
      <c r="U6988">
        <v>3.0297239999999999</v>
      </c>
      <c r="V6988">
        <v>-2.151264E-2</v>
      </c>
      <c r="W6988">
        <v>2.1953549999999999E-2</v>
      </c>
      <c r="X6988">
        <v>0.99952750000000001</v>
      </c>
      <c r="Y6988">
        <v>-0.23614669999999999</v>
      </c>
      <c r="Z6988">
        <v>-6.4575949999999993E-2</v>
      </c>
      <c r="AA6988">
        <v>0.96956929999999997</v>
      </c>
      <c r="AB6988">
        <v>31</v>
      </c>
      <c r="AC6988">
        <v>2.65899999999999</v>
      </c>
      <c r="AD6988">
        <v>-1.12428693483</v>
      </c>
      <c r="AE6988">
        <v>14.428759999999899</v>
      </c>
      <c r="AF6988">
        <v>-3.49783053188892</v>
      </c>
      <c r="AG6988">
        <v>-1.12428693483</v>
      </c>
      <c r="AH6988">
        <v>14.160460081722899</v>
      </c>
      <c r="AI6988">
        <v>94.407614619857796</v>
      </c>
      <c r="AJ6988">
        <v>103.875104152723</v>
      </c>
      <c r="AK6988">
        <v>14.6293359134211</v>
      </c>
      <c r="AL6988">
        <v>88.742053163996005</v>
      </c>
      <c r="AM6988">
        <v>91.232975788363802</v>
      </c>
      <c r="AN6988">
        <v>0.99999998764681097</v>
      </c>
    </row>
    <row r="6989" spans="1:40" x14ac:dyDescent="0.25">
      <c r="A6989" t="str">
        <f>"20190312154432565"</f>
        <v>20190312154432565</v>
      </c>
      <c r="B6989" t="str">
        <f>"1552376672553917"</f>
        <v>1552376672553917</v>
      </c>
      <c r="C6989" t="s">
        <v>40</v>
      </c>
      <c r="D6989">
        <v>5.2271929999999998</v>
      </c>
      <c r="E6989">
        <v>0.41162320000000002</v>
      </c>
      <c r="F6989" t="s">
        <v>43</v>
      </c>
      <c r="G6989">
        <v>-193.1978</v>
      </c>
      <c r="H6989" s="1">
        <v>-3.5852789999999998E-6</v>
      </c>
      <c r="I6989">
        <v>-34.03687</v>
      </c>
      <c r="J6989">
        <v>-195.8689</v>
      </c>
      <c r="K6989">
        <v>1.1242299999999901</v>
      </c>
      <c r="L6989">
        <v>-49.85275</v>
      </c>
      <c r="M6989">
        <v>0.40190239999999999</v>
      </c>
      <c r="N6989">
        <v>0</v>
      </c>
      <c r="O6989">
        <v>0.9155276</v>
      </c>
      <c r="P6989">
        <v>0.38371470000000002</v>
      </c>
      <c r="Q6989">
        <v>7.3823509999999997E-3</v>
      </c>
      <c r="R6989">
        <v>0.92342219999999997</v>
      </c>
      <c r="S6989">
        <v>0.52139279999999999</v>
      </c>
      <c r="T6989">
        <v>-0.2137182</v>
      </c>
      <c r="U6989">
        <v>3.0408940000000002</v>
      </c>
      <c r="V6989">
        <v>-2.064589E-2</v>
      </c>
      <c r="W6989">
        <v>2.3528609999999998E-2</v>
      </c>
      <c r="X6989">
        <v>0.99950989999999995</v>
      </c>
      <c r="Y6989">
        <v>-0.2417531</v>
      </c>
      <c r="Z6989">
        <v>-5.9876980000000003E-2</v>
      </c>
      <c r="AA6989">
        <v>0.96848860000000003</v>
      </c>
      <c r="AB6989">
        <v>31</v>
      </c>
      <c r="AC6989">
        <v>2.6710999999999898</v>
      </c>
      <c r="AD6989">
        <v>-1.12423358527899</v>
      </c>
      <c r="AE6989">
        <v>15.8158799999999</v>
      </c>
      <c r="AF6989">
        <v>-3.8924073125331802</v>
      </c>
      <c r="AG6989">
        <v>-1.12423358527899</v>
      </c>
      <c r="AH6989">
        <v>15.4795576257715</v>
      </c>
      <c r="AI6989">
        <v>94.028937246318804</v>
      </c>
      <c r="AJ6989">
        <v>104.114661196104</v>
      </c>
      <c r="AK6989">
        <v>16.000982473914199</v>
      </c>
      <c r="AL6989">
        <v>88.651785460229206</v>
      </c>
      <c r="AM6989">
        <v>91.183334116884694</v>
      </c>
      <c r="AN6989">
        <v>0.99999994423021499</v>
      </c>
    </row>
    <row r="6990" spans="1:40" x14ac:dyDescent="0.25">
      <c r="A6990" t="str">
        <f>"20190312154432588"</f>
        <v>20190312154432588</v>
      </c>
      <c r="B6990" t="str">
        <f>"1552376672584172"</f>
        <v>1552376672584172</v>
      </c>
      <c r="C6990" t="s">
        <v>40</v>
      </c>
      <c r="D6990">
        <v>5.2729809999999997</v>
      </c>
      <c r="E6990">
        <v>0.4123983</v>
      </c>
      <c r="F6990" t="s">
        <v>43</v>
      </c>
      <c r="G6990">
        <v>-193.2123</v>
      </c>
      <c r="H6990" s="1">
        <v>-3.8438569999999996E-6</v>
      </c>
      <c r="I6990">
        <v>-33.392249999999997</v>
      </c>
      <c r="J6990">
        <v>-195.76779999999999</v>
      </c>
      <c r="K6990">
        <v>1.12415</v>
      </c>
      <c r="L6990">
        <v>-49.587679999999999</v>
      </c>
      <c r="M6990">
        <v>0.38758130000000002</v>
      </c>
      <c r="N6990">
        <v>0</v>
      </c>
      <c r="O6990">
        <v>0.92168209999999995</v>
      </c>
      <c r="P6990">
        <v>0.37155830000000001</v>
      </c>
      <c r="Q6990">
        <v>1.1203589999999999E-2</v>
      </c>
      <c r="R6990">
        <v>0.928342</v>
      </c>
      <c r="S6990">
        <v>0.49162289999999997</v>
      </c>
      <c r="T6990">
        <v>-0.20805029999999999</v>
      </c>
      <c r="U6990">
        <v>3.046173</v>
      </c>
      <c r="V6990">
        <v>-1.8294850000000001E-2</v>
      </c>
      <c r="W6990">
        <v>2.7407850000000001E-2</v>
      </c>
      <c r="X6990">
        <v>0.99945689999999998</v>
      </c>
      <c r="Y6990">
        <v>-0.2361</v>
      </c>
      <c r="Z6990">
        <v>-5.8898579999999999E-2</v>
      </c>
      <c r="AA6990">
        <v>0.96994219999999998</v>
      </c>
      <c r="AB6990">
        <v>31</v>
      </c>
      <c r="AC6990">
        <v>2.5554999999999901</v>
      </c>
      <c r="AD6990">
        <v>-1.124153843857</v>
      </c>
      <c r="AE6990">
        <v>16.195429999999899</v>
      </c>
      <c r="AF6990">
        <v>-3.9038899345817799</v>
      </c>
      <c r="AG6990">
        <v>-1.124153843857</v>
      </c>
      <c r="AH6990">
        <v>15.8452656594113</v>
      </c>
      <c r="AI6990">
        <v>93.940640568692302</v>
      </c>
      <c r="AJ6990">
        <v>103.84064061507701</v>
      </c>
      <c r="AK6990">
        <v>16.357766421590298</v>
      </c>
      <c r="AL6990">
        <v>88.429449186781</v>
      </c>
      <c r="AM6990">
        <v>91.048670174305599</v>
      </c>
      <c r="AN6990">
        <v>0.99999999336787704</v>
      </c>
    </row>
    <row r="6991" spans="1:40" x14ac:dyDescent="0.25">
      <c r="A6991" t="str">
        <f>"20190312154432611"</f>
        <v>20190312154432611</v>
      </c>
      <c r="B6991" t="str">
        <f>"1552376672604668"</f>
        <v>1552376672604668</v>
      </c>
      <c r="C6991" t="s">
        <v>40</v>
      </c>
      <c r="D6991">
        <v>5.2620529999999999</v>
      </c>
      <c r="E6991">
        <v>0.4131512</v>
      </c>
      <c r="F6991" t="s">
        <v>43</v>
      </c>
      <c r="G6991">
        <v>-193.1464</v>
      </c>
      <c r="H6991" s="1">
        <v>-4.2641639999999996E-6</v>
      </c>
      <c r="I6991">
        <v>-32.122810000000001</v>
      </c>
      <c r="J6991">
        <v>-195.6651</v>
      </c>
      <c r="K6991">
        <v>1.124053</v>
      </c>
      <c r="L6991">
        <v>-49.30386</v>
      </c>
      <c r="M6991">
        <v>0.37234430000000002</v>
      </c>
      <c r="N6991">
        <v>0</v>
      </c>
      <c r="O6991">
        <v>0.92794290000000001</v>
      </c>
      <c r="P6991">
        <v>0.3580354</v>
      </c>
      <c r="Q6991">
        <v>1.486208E-2</v>
      </c>
      <c r="R6991">
        <v>0.93358980000000003</v>
      </c>
      <c r="S6991">
        <v>0.457901</v>
      </c>
      <c r="T6991">
        <v>-0.1963606</v>
      </c>
      <c r="U6991">
        <v>3.050659</v>
      </c>
      <c r="V6991">
        <v>-1.644106E-2</v>
      </c>
      <c r="W6991">
        <v>3.1102709999999999E-2</v>
      </c>
      <c r="X6991">
        <v>0.99938090000000002</v>
      </c>
      <c r="Y6991">
        <v>-0.2307536</v>
      </c>
      <c r="Z6991">
        <v>-5.6194939999999999E-2</v>
      </c>
      <c r="AA6991">
        <v>0.97138820000000003</v>
      </c>
      <c r="AB6991">
        <v>31</v>
      </c>
      <c r="AC6991">
        <v>2.5186999999999902</v>
      </c>
      <c r="AD6991">
        <v>-1.1240572641640001</v>
      </c>
      <c r="AE6991">
        <v>17.181049999999999</v>
      </c>
      <c r="AF6991">
        <v>-4.0436840597627697</v>
      </c>
      <c r="AG6991">
        <v>-1.1240572641640001</v>
      </c>
      <c r="AH6991">
        <v>16.812784825446801</v>
      </c>
      <c r="AI6991">
        <v>93.719200220152302</v>
      </c>
      <c r="AJ6991">
        <v>103.523492142442</v>
      </c>
      <c r="AK6991">
        <v>17.328722373420199</v>
      </c>
      <c r="AL6991">
        <v>88.217658424673502</v>
      </c>
      <c r="AM6991">
        <v>90.942501883085598</v>
      </c>
      <c r="AN6991">
        <v>0.99999993515403596</v>
      </c>
    </row>
    <row r="6992" spans="1:40" x14ac:dyDescent="0.25">
      <c r="A6992" t="str">
        <f>"20190312154432632"</f>
        <v>20190312154432632</v>
      </c>
      <c r="B6992" t="str">
        <f>"1552376672624189"</f>
        <v>1552376672624189</v>
      </c>
      <c r="C6992" t="s">
        <v>40</v>
      </c>
      <c r="D6992">
        <v>5.2264179999999998</v>
      </c>
      <c r="E6992">
        <v>0.41377910000000001</v>
      </c>
      <c r="F6992" t="s">
        <v>43</v>
      </c>
      <c r="G6992">
        <v>-193.1061</v>
      </c>
      <c r="H6992" s="1">
        <v>-4.7519430000000003E-6</v>
      </c>
      <c r="I6992">
        <v>-30.668469999999999</v>
      </c>
      <c r="J6992">
        <v>-195.56569999999999</v>
      </c>
      <c r="K6992">
        <v>1.123942</v>
      </c>
      <c r="L6992">
        <v>-49.014429999999997</v>
      </c>
      <c r="M6992">
        <v>0.35691279999999997</v>
      </c>
      <c r="N6992">
        <v>0</v>
      </c>
      <c r="O6992">
        <v>0.93398760000000003</v>
      </c>
      <c r="P6992">
        <v>0.34412789999999999</v>
      </c>
      <c r="Q6992">
        <v>1.886001E-2</v>
      </c>
      <c r="R6992">
        <v>0.93873329999999999</v>
      </c>
      <c r="S6992">
        <v>0.41955569999999998</v>
      </c>
      <c r="T6992">
        <v>-0.1842982</v>
      </c>
      <c r="U6992">
        <v>3.0554199999999998</v>
      </c>
      <c r="V6992">
        <v>-1.481881E-2</v>
      </c>
      <c r="W6992">
        <v>3.5124530000000001E-2</v>
      </c>
      <c r="X6992">
        <v>0.99927310000000003</v>
      </c>
      <c r="Y6992">
        <v>-0.2267662</v>
      </c>
      <c r="Z6992">
        <v>-5.3279600000000003E-2</v>
      </c>
      <c r="AA6992">
        <v>0.97249079999999999</v>
      </c>
      <c r="AB6992">
        <v>31</v>
      </c>
      <c r="AC6992">
        <v>2.4595999999999898</v>
      </c>
      <c r="AD6992">
        <v>-1.123946751943</v>
      </c>
      <c r="AE6992">
        <v>18.345959999999899</v>
      </c>
      <c r="AF6992">
        <v>-4.2356512837670701</v>
      </c>
      <c r="AG6992">
        <v>-1.123946751943</v>
      </c>
      <c r="AH6992">
        <v>17.949109465554901</v>
      </c>
      <c r="AI6992">
        <v>93.487554696277599</v>
      </c>
      <c r="AJ6992">
        <v>103.277812619039</v>
      </c>
      <c r="AK6992">
        <v>18.476323462890399</v>
      </c>
      <c r="AL6992">
        <v>87.987098690357797</v>
      </c>
      <c r="AM6992">
        <v>90.849610620091497</v>
      </c>
      <c r="AN6992">
        <v>1.00000002906057</v>
      </c>
    </row>
    <row r="6993" spans="1:40" x14ac:dyDescent="0.25">
      <c r="A6993" t="str">
        <f>"20190312154432653"</f>
        <v>20190312154432653</v>
      </c>
      <c r="B6993" t="str">
        <f>"1552376672644685"</f>
        <v>1552376672644685</v>
      </c>
      <c r="C6993" t="s">
        <v>40</v>
      </c>
      <c r="D6993">
        <v>5.2389769999999896</v>
      </c>
      <c r="E6993">
        <v>0.43008220000000003</v>
      </c>
      <c r="F6993" t="s">
        <v>43</v>
      </c>
      <c r="G6993">
        <v>-193.10579999999999</v>
      </c>
      <c r="H6993" s="1">
        <v>-1.365963E-6</v>
      </c>
      <c r="I6993">
        <v>-29.15307</v>
      </c>
      <c r="J6993">
        <v>-195.48089999999999</v>
      </c>
      <c r="K6993">
        <v>1.123837</v>
      </c>
      <c r="L6993">
        <v>-48.754489999999997</v>
      </c>
      <c r="M6993">
        <v>0.34313059999999901</v>
      </c>
      <c r="N6993">
        <v>0</v>
      </c>
      <c r="O6993">
        <v>0.93913899999999995</v>
      </c>
      <c r="P6993">
        <v>0.33209229999999901</v>
      </c>
      <c r="Q6993">
        <v>2.1949900000000001E-2</v>
      </c>
      <c r="R6993">
        <v>0.94299149999999998</v>
      </c>
      <c r="S6993">
        <v>0.37904359999999998</v>
      </c>
      <c r="T6993">
        <v>-0.17318249999999999</v>
      </c>
      <c r="U6993">
        <v>3.060333</v>
      </c>
      <c r="V6993">
        <v>-1.2964710000000001E-2</v>
      </c>
      <c r="W6993">
        <v>3.8246189999999999E-2</v>
      </c>
      <c r="X6993">
        <v>0.99918430000000003</v>
      </c>
      <c r="Y6993">
        <v>-0.2252827</v>
      </c>
      <c r="Z6993">
        <v>-5.0474310000000001E-2</v>
      </c>
      <c r="AA6993">
        <v>0.97298510000000005</v>
      </c>
      <c r="AB6993">
        <v>31</v>
      </c>
      <c r="AC6993">
        <v>2.3751000000000002</v>
      </c>
      <c r="AD6993">
        <v>-1.123838365963</v>
      </c>
      <c r="AE6993">
        <v>19.601420000000001</v>
      </c>
      <c r="AF6993">
        <v>-4.4814075901119503</v>
      </c>
      <c r="AG6993">
        <v>-1.123838365963</v>
      </c>
      <c r="AH6993">
        <v>19.164027477730698</v>
      </c>
      <c r="AI6993">
        <v>93.268189880312804</v>
      </c>
      <c r="AJ6993">
        <v>103.161809281221</v>
      </c>
      <c r="AK6993">
        <v>19.713091483294502</v>
      </c>
      <c r="AL6993">
        <v>87.808120270883293</v>
      </c>
      <c r="AM6993">
        <v>90.743387864499098</v>
      </c>
      <c r="AN6993">
        <v>1.00000006006069</v>
      </c>
    </row>
    <row r="6994" spans="1:40" x14ac:dyDescent="0.25">
      <c r="A6994" t="str">
        <f>"20190312154432674"</f>
        <v>20190312154432674</v>
      </c>
      <c r="B6994" t="str">
        <f>"1552376672664204"</f>
        <v>1552376672664204</v>
      </c>
      <c r="C6994" t="s">
        <v>40</v>
      </c>
      <c r="D6994">
        <v>5.2266250000000003</v>
      </c>
      <c r="E6994">
        <v>0.43215559999999997</v>
      </c>
      <c r="F6994" t="s">
        <v>43</v>
      </c>
      <c r="G6994">
        <v>-193.13069999999999</v>
      </c>
      <c r="H6994" s="1">
        <v>-3.8485160000000001E-6</v>
      </c>
      <c r="I6994">
        <v>-33.33605</v>
      </c>
      <c r="J6994">
        <v>-195.39250000000001</v>
      </c>
      <c r="K6994">
        <v>1.1237170000000001</v>
      </c>
      <c r="L6994">
        <v>-48.468989999999998</v>
      </c>
      <c r="M6994">
        <v>0.32810460000000002</v>
      </c>
      <c r="N6994">
        <v>0</v>
      </c>
      <c r="O6994">
        <v>0.94449419999999995</v>
      </c>
      <c r="P6994">
        <v>0.31840810000000003</v>
      </c>
      <c r="Q6994">
        <v>2.4506380000000001E-2</v>
      </c>
      <c r="R6994">
        <v>0.9476369</v>
      </c>
      <c r="S6994">
        <v>0.4609528</v>
      </c>
      <c r="T6994">
        <v>-0.22042999999999999</v>
      </c>
      <c r="U6994">
        <v>3.0241699999999998</v>
      </c>
      <c r="V6994">
        <v>-1.1536080000000001E-2</v>
      </c>
      <c r="W6994">
        <v>4.0815280000000002E-2</v>
      </c>
      <c r="X6994">
        <v>0.99910010000000005</v>
      </c>
      <c r="Y6994">
        <v>-0.1824025</v>
      </c>
      <c r="Z6994">
        <v>-6.5728809999999999E-2</v>
      </c>
      <c r="AA6994">
        <v>0.98102449999999997</v>
      </c>
      <c r="AB6994">
        <v>31</v>
      </c>
      <c r="AC6994">
        <v>2.26180000000002</v>
      </c>
      <c r="AD6994">
        <v>-1.123720848516</v>
      </c>
      <c r="AE6994">
        <v>15.13294</v>
      </c>
      <c r="AF6994">
        <v>-2.81414540007491</v>
      </c>
      <c r="AG6994">
        <v>-1.123720848516</v>
      </c>
      <c r="AH6994">
        <v>14.956503168585099</v>
      </c>
      <c r="AI6994">
        <v>94.222882831354795</v>
      </c>
      <c r="AJ6994">
        <v>100.655921966261</v>
      </c>
      <c r="AK6994">
        <v>15.2603784327273</v>
      </c>
      <c r="AL6994">
        <v>87.660806911928802</v>
      </c>
      <c r="AM6994">
        <v>90.661534639831203</v>
      </c>
      <c r="AN6994">
        <v>0.99999998902162701</v>
      </c>
    </row>
    <row r="6995" spans="1:40" x14ac:dyDescent="0.25">
      <c r="A6995" t="str">
        <f>"20190312154432697"</f>
        <v>20190312154432697</v>
      </c>
      <c r="B6995" t="str">
        <f>"1552376672684700"</f>
        <v>1552376672684700</v>
      </c>
      <c r="C6995" t="s">
        <v>40</v>
      </c>
      <c r="D6995">
        <v>5.2699590000000001</v>
      </c>
      <c r="E6995">
        <v>0.4347878</v>
      </c>
      <c r="F6995" t="s">
        <v>43</v>
      </c>
      <c r="G6995">
        <v>-193.15729999999999</v>
      </c>
      <c r="H6995" s="1">
        <v>-4.0234390000000003E-6</v>
      </c>
      <c r="I6995">
        <v>-32.835909999999998</v>
      </c>
      <c r="J6995">
        <v>-195.3115</v>
      </c>
      <c r="K6995">
        <v>1.123586</v>
      </c>
      <c r="L6995">
        <v>-48.19247</v>
      </c>
      <c r="M6995">
        <v>0.31367450000000002</v>
      </c>
      <c r="N6995">
        <v>0</v>
      </c>
      <c r="O6995">
        <v>0.94938480000000003</v>
      </c>
      <c r="P6995">
        <v>0.30542560000000002</v>
      </c>
      <c r="Q6995">
        <v>2.623122E-2</v>
      </c>
      <c r="R6995">
        <v>0.9518546</v>
      </c>
      <c r="S6995">
        <v>0.43264770000000002</v>
      </c>
      <c r="T6995">
        <v>-0.21751180000000001</v>
      </c>
      <c r="U6995">
        <v>3.0260009999999999</v>
      </c>
      <c r="V6995">
        <v>-9.9936869999999994E-3</v>
      </c>
      <c r="W6995">
        <v>4.255565E-2</v>
      </c>
      <c r="X6995">
        <v>0.99904409999999999</v>
      </c>
      <c r="Y6995">
        <v>-0.17648059999999999</v>
      </c>
      <c r="Z6995">
        <v>-6.5420309999999995E-2</v>
      </c>
      <c r="AA6995">
        <v>0.98212770000000005</v>
      </c>
      <c r="AB6995">
        <v>31</v>
      </c>
      <c r="AC6995">
        <v>2.1541999999999999</v>
      </c>
      <c r="AD6995">
        <v>-1.1235900234389999</v>
      </c>
      <c r="AE6995">
        <v>15.35656</v>
      </c>
      <c r="AF6995">
        <v>-2.75770213516715</v>
      </c>
      <c r="AG6995">
        <v>-1.1235900234389999</v>
      </c>
      <c r="AH6995">
        <v>15.1774315400534</v>
      </c>
      <c r="AI6995">
        <v>94.165938499236205</v>
      </c>
      <c r="AJ6995">
        <v>100.29815583995899</v>
      </c>
      <c r="AK6995">
        <v>15.4667968164092</v>
      </c>
      <c r="AL6995">
        <v>87.561004283507401</v>
      </c>
      <c r="AM6995">
        <v>90.573124839114001</v>
      </c>
      <c r="AN6995">
        <v>0.99999998543579305</v>
      </c>
    </row>
    <row r="6996" spans="1:40" x14ac:dyDescent="0.25">
      <c r="A6996" t="str">
        <f>"20190312154432718"</f>
        <v>20190312154432718</v>
      </c>
      <c r="B6996" t="str">
        <f>"1552376672713980"</f>
        <v>1552376672713980</v>
      </c>
      <c r="C6996" t="s">
        <v>40</v>
      </c>
      <c r="D6996">
        <v>5.294467</v>
      </c>
      <c r="E6996">
        <v>0.44576250000000001</v>
      </c>
      <c r="F6996" t="s">
        <v>43</v>
      </c>
      <c r="G6996">
        <v>-193.20140000000001</v>
      </c>
      <c r="H6996" s="1">
        <v>-4.0936559999999999E-6</v>
      </c>
      <c r="I6996">
        <v>-32.652520000000003</v>
      </c>
      <c r="J6996">
        <v>-195.23339999999999</v>
      </c>
      <c r="K6996">
        <v>1.1234329999999999</v>
      </c>
      <c r="L6996">
        <v>-47.909970000000001</v>
      </c>
      <c r="M6996">
        <v>0.2990932</v>
      </c>
      <c r="N6996">
        <v>0</v>
      </c>
      <c r="O6996">
        <v>0.95407960000000003</v>
      </c>
      <c r="P6996">
        <v>0.29465010000000003</v>
      </c>
      <c r="Q6996">
        <v>2.8858700000000001E-2</v>
      </c>
      <c r="R6996">
        <v>0.95516939999999995</v>
      </c>
      <c r="S6996">
        <v>0.4108887</v>
      </c>
      <c r="T6996">
        <v>-0.21878549999999999</v>
      </c>
      <c r="U6996">
        <v>3.0259399999999999</v>
      </c>
      <c r="V6996">
        <v>-6.0194030000000004E-3</v>
      </c>
      <c r="W6996">
        <v>4.5270530000000003E-2</v>
      </c>
      <c r="X6996">
        <v>0.99895659999999997</v>
      </c>
      <c r="Y6996">
        <v>-0.1683267</v>
      </c>
      <c r="Z6996">
        <v>-6.6384020000000002E-2</v>
      </c>
      <c r="AA6996">
        <v>0.98349339999999996</v>
      </c>
      <c r="AB6996">
        <v>30</v>
      </c>
      <c r="AC6996">
        <v>2.03199999999998</v>
      </c>
      <c r="AD6996">
        <v>-1.1234370936560001</v>
      </c>
      <c r="AE6996">
        <v>15.25745</v>
      </c>
      <c r="AF6996">
        <v>-2.6111611160082</v>
      </c>
      <c r="AG6996">
        <v>-1.1234370936560001</v>
      </c>
      <c r="AH6996">
        <v>15.086300027009001</v>
      </c>
      <c r="AI6996">
        <v>94.196637313166406</v>
      </c>
      <c r="AJ6996">
        <v>99.819561436930599</v>
      </c>
      <c r="AK6996">
        <v>15.3517660802296</v>
      </c>
      <c r="AL6996">
        <v>87.405302834155705</v>
      </c>
      <c r="AM6996">
        <v>90.345242438986801</v>
      </c>
      <c r="AN6996">
        <v>0.99999997139125796</v>
      </c>
    </row>
    <row r="6997" spans="1:40" x14ac:dyDescent="0.25">
      <c r="A6997" t="str">
        <f>"20190312154432743"</f>
        <v>20190312154432743</v>
      </c>
      <c r="B6997" t="str">
        <f>"1552376672734476"</f>
        <v>1552376672734476</v>
      </c>
      <c r="C6997" t="s">
        <v>40</v>
      </c>
      <c r="D6997">
        <v>5.2518339999999997</v>
      </c>
      <c r="E6997">
        <v>0.4480769</v>
      </c>
      <c r="F6997" t="s">
        <v>43</v>
      </c>
      <c r="G6997">
        <v>-192.9314</v>
      </c>
      <c r="H6997" s="1">
        <v>-3.9864319999999997E-6</v>
      </c>
      <c r="I6997">
        <v>-32.82687</v>
      </c>
      <c r="J6997">
        <v>-195.15440000000001</v>
      </c>
      <c r="K6997">
        <v>1.1232249999999999</v>
      </c>
      <c r="L6997">
        <v>-47.606659999999998</v>
      </c>
      <c r="M6997">
        <v>0.28365010000000002</v>
      </c>
      <c r="N6997">
        <v>0</v>
      </c>
      <c r="O6997">
        <v>0.9587852</v>
      </c>
      <c r="P6997">
        <v>0.28134130000000002</v>
      </c>
      <c r="Q6997">
        <v>2.8298239999999999E-2</v>
      </c>
      <c r="R6997">
        <v>0.9591904</v>
      </c>
      <c r="S6997">
        <v>0.45878600000000003</v>
      </c>
      <c r="T6997">
        <v>-0.2238995</v>
      </c>
      <c r="U6997">
        <v>3.0060419999999999</v>
      </c>
      <c r="V6997">
        <v>-3.7416229999999999E-3</v>
      </c>
      <c r="W6997">
        <v>4.4732250000000001E-2</v>
      </c>
      <c r="X6997">
        <v>0.99899199999999999</v>
      </c>
      <c r="Y6997">
        <v>-0.13613699999999901</v>
      </c>
      <c r="Z6997">
        <v>-6.8996139999999997E-2</v>
      </c>
      <c r="AA6997">
        <v>0.98828450000000001</v>
      </c>
      <c r="AB6997">
        <v>30</v>
      </c>
      <c r="AC6997">
        <v>2.2230000000000101</v>
      </c>
      <c r="AD6997">
        <v>-1.123228986432</v>
      </c>
      <c r="AE6997">
        <v>14.779789999999901</v>
      </c>
      <c r="AF6997">
        <v>-2.0496154005781499</v>
      </c>
      <c r="AG6997">
        <v>-1.123228986432</v>
      </c>
      <c r="AH6997">
        <v>14.720085882427</v>
      </c>
      <c r="AI6997">
        <v>94.322013137229803</v>
      </c>
      <c r="AJ6997">
        <v>97.926862493216007</v>
      </c>
      <c r="AK6997">
        <v>14.9044790258591</v>
      </c>
      <c r="AL6997">
        <v>87.436175344305198</v>
      </c>
      <c r="AM6997">
        <v>90.214594515271102</v>
      </c>
      <c r="AN6997">
        <v>0.999999994998368</v>
      </c>
    </row>
    <row r="6998" spans="1:40" x14ac:dyDescent="0.25">
      <c r="A6998" t="str">
        <f>"20190312154432764"</f>
        <v>20190312154432764</v>
      </c>
      <c r="B6998" t="str">
        <f>"1552376672753996"</f>
        <v>1552376672753996</v>
      </c>
      <c r="C6998" t="s">
        <v>40</v>
      </c>
      <c r="D6998">
        <v>5.2733860000000004</v>
      </c>
      <c r="E6998">
        <v>0.45031739999999998</v>
      </c>
      <c r="F6998" t="s">
        <v>43</v>
      </c>
      <c r="G6998">
        <v>-192.8399</v>
      </c>
      <c r="H6998" s="1">
        <v>-4.3895720000000004E-6</v>
      </c>
      <c r="I6998">
        <v>-31.594529999999999</v>
      </c>
      <c r="J6998">
        <v>-195.0847</v>
      </c>
      <c r="K6998">
        <v>1.1229960000000001</v>
      </c>
      <c r="L6998">
        <v>-47.321289999999998</v>
      </c>
      <c r="M6998">
        <v>0.269376</v>
      </c>
      <c r="N6998">
        <v>0</v>
      </c>
      <c r="O6998">
        <v>0.96289400000000003</v>
      </c>
      <c r="P6998">
        <v>0.26873059999999999</v>
      </c>
      <c r="Q6998">
        <v>2.7378880000000001E-2</v>
      </c>
      <c r="R6998">
        <v>0.96282619999999997</v>
      </c>
      <c r="S6998">
        <v>0.43457030000000002</v>
      </c>
      <c r="T6998">
        <v>-0.21089350000000001</v>
      </c>
      <c r="U6998">
        <v>3.0063780000000002</v>
      </c>
      <c r="V6998">
        <v>-1.9615539999999999E-3</v>
      </c>
      <c r="W6998">
        <v>4.381239E-2</v>
      </c>
      <c r="X6998">
        <v>0.99903790000000003</v>
      </c>
      <c r="Y6998">
        <v>-0.12918470000000001</v>
      </c>
      <c r="Z6998">
        <v>-6.5493590000000004E-2</v>
      </c>
      <c r="AA6998">
        <v>0.98945530000000004</v>
      </c>
      <c r="AB6998">
        <v>30</v>
      </c>
      <c r="AC6998">
        <v>2.2447999999999899</v>
      </c>
      <c r="AD6998">
        <v>-1.123000389572</v>
      </c>
      <c r="AE6998">
        <v>15.726760000000001</v>
      </c>
      <c r="AF6998">
        <v>-2.0648707428037398</v>
      </c>
      <c r="AG6998">
        <v>-1.123000389572</v>
      </c>
      <c r="AH6998">
        <v>15.6717241285293</v>
      </c>
      <c r="AI6998">
        <v>94.063678539036403</v>
      </c>
      <c r="AJ6998">
        <v>97.505926376962293</v>
      </c>
      <c r="AK6998">
        <v>15.8470110184916</v>
      </c>
      <c r="AL6998">
        <v>87.488931306017506</v>
      </c>
      <c r="AM6998">
        <v>90.112496854287201</v>
      </c>
      <c r="AN6998">
        <v>1.000000049424</v>
      </c>
    </row>
    <row r="6999" spans="1:40" x14ac:dyDescent="0.25">
      <c r="A6999" t="str">
        <f>"20190312154432788"</f>
        <v>20190312154432788</v>
      </c>
      <c r="B6999" t="str">
        <f>"1552376672774492"</f>
        <v>1552376672774492</v>
      </c>
      <c r="C6999" t="s">
        <v>40</v>
      </c>
      <c r="D6999">
        <v>5.2803529999999999</v>
      </c>
      <c r="E6999">
        <v>0.45244259999999997</v>
      </c>
      <c r="F6999" t="s">
        <v>43</v>
      </c>
      <c r="G6999">
        <v>-192.85650000000001</v>
      </c>
      <c r="H6999" s="1">
        <v>-4.5739999999999997E-6</v>
      </c>
      <c r="I6999">
        <v>-31.061219999999999</v>
      </c>
      <c r="J6999">
        <v>-195.0164</v>
      </c>
      <c r="K6999">
        <v>1.1227129999999901</v>
      </c>
      <c r="L6999">
        <v>-47.023989999999998</v>
      </c>
      <c r="M6999">
        <v>0.25482670000000002</v>
      </c>
      <c r="N6999">
        <v>0</v>
      </c>
      <c r="O6999">
        <v>0.96684740000000002</v>
      </c>
      <c r="P6999">
        <v>0.25545950000000001</v>
      </c>
      <c r="Q6999">
        <v>2.6772629999999999E-2</v>
      </c>
      <c r="R6999">
        <v>0.966449</v>
      </c>
      <c r="S6999">
        <v>0.41203309999999999</v>
      </c>
      <c r="T6999">
        <v>-0.2076607</v>
      </c>
      <c r="U6999">
        <v>3.0067439999999999</v>
      </c>
      <c r="V6999">
        <v>-5.9483949999999996E-4</v>
      </c>
      <c r="W6999">
        <v>4.3181169999999998E-2</v>
      </c>
      <c r="X6999">
        <v>0.99906709999999999</v>
      </c>
      <c r="Y6999">
        <v>-0.1215113</v>
      </c>
      <c r="Z6999">
        <v>-6.4954390000000001E-2</v>
      </c>
      <c r="AA6999">
        <v>0.99046250000000002</v>
      </c>
      <c r="AB6999">
        <v>30</v>
      </c>
      <c r="AC6999">
        <v>2.1598999999999902</v>
      </c>
      <c r="AD6999">
        <v>-1.1227175739999999</v>
      </c>
      <c r="AE6999">
        <v>15.962770000000001</v>
      </c>
      <c r="AF6999">
        <v>-1.9701423652780099</v>
      </c>
      <c r="AG6999">
        <v>-1.1227175739999999</v>
      </c>
      <c r="AH6999">
        <v>15.9088338763297</v>
      </c>
      <c r="AI6999">
        <v>94.006279764115902</v>
      </c>
      <c r="AJ6999">
        <v>97.059539402256505</v>
      </c>
      <c r="AK6999">
        <v>16.069628215832701</v>
      </c>
      <c r="AL6999">
        <v>87.525131732255005</v>
      </c>
      <c r="AM6999">
        <v>90.034113613400294</v>
      </c>
      <c r="AN6999">
        <v>1.0000000187895</v>
      </c>
    </row>
    <row r="7000" spans="1:40" x14ac:dyDescent="0.25">
      <c r="A7000" t="str">
        <f>"20190312154432811"</f>
        <v>20190312154432811</v>
      </c>
      <c r="B7000" t="str">
        <f>"1552376672804748"</f>
        <v>1552376672804748</v>
      </c>
      <c r="C7000" t="s">
        <v>40</v>
      </c>
      <c r="D7000">
        <v>5.2815450000000004</v>
      </c>
      <c r="E7000">
        <v>0.45482939999999999</v>
      </c>
      <c r="F7000" t="s">
        <v>43</v>
      </c>
      <c r="G7000">
        <v>-192.89580000000001</v>
      </c>
      <c r="H7000" s="1">
        <v>-4.7616749999999996E-6</v>
      </c>
      <c r="I7000">
        <v>-30.530249999999999</v>
      </c>
      <c r="J7000">
        <v>-194.95189999999999</v>
      </c>
      <c r="K7000">
        <v>1.1223700000000001</v>
      </c>
      <c r="L7000">
        <v>-46.721829999999997</v>
      </c>
      <c r="M7000">
        <v>0.24050740000000001</v>
      </c>
      <c r="N7000">
        <v>0</v>
      </c>
      <c r="O7000">
        <v>0.97050979999999998</v>
      </c>
      <c r="P7000">
        <v>0.24182629999999999</v>
      </c>
      <c r="Q7000">
        <v>2.5914989999999999E-2</v>
      </c>
      <c r="R7000">
        <v>0.96997339999999999</v>
      </c>
      <c r="S7000">
        <v>0.38668819999999998</v>
      </c>
      <c r="T7000">
        <v>-0.2047254</v>
      </c>
      <c r="U7000">
        <v>3.0075989999999999</v>
      </c>
      <c r="V7000">
        <v>1.651046E-4</v>
      </c>
      <c r="W7000">
        <v>4.2264570000000001E-2</v>
      </c>
      <c r="X7000">
        <v>0.99910650000000001</v>
      </c>
      <c r="Y7000">
        <v>-0.1150703</v>
      </c>
      <c r="Z7000">
        <v>-6.4450510000000003E-2</v>
      </c>
      <c r="AA7000">
        <v>0.99126429999999999</v>
      </c>
      <c r="AB7000">
        <v>30</v>
      </c>
      <c r="AC7000">
        <v>2.0560999999999798</v>
      </c>
      <c r="AD7000">
        <v>-1.1223747616749999</v>
      </c>
      <c r="AE7000">
        <v>16.191579999999998</v>
      </c>
      <c r="AF7000">
        <v>-1.89004543393522</v>
      </c>
      <c r="AG7000">
        <v>-1.1223747616749999</v>
      </c>
      <c r="AH7000">
        <v>16.1344614742553</v>
      </c>
      <c r="AI7000">
        <v>93.952363364786706</v>
      </c>
      <c r="AJ7000">
        <v>96.681370739042194</v>
      </c>
      <c r="AK7000">
        <v>16.283514482820099</v>
      </c>
      <c r="AL7000">
        <v>87.577697138028</v>
      </c>
      <c r="AM7000">
        <v>89.990531743440599</v>
      </c>
      <c r="AN7000">
        <v>1.00000005973953</v>
      </c>
    </row>
    <row r="7001" spans="1:40" x14ac:dyDescent="0.25">
      <c r="A7001" t="str">
        <f>"20190312154432833"</f>
        <v>20190312154432833</v>
      </c>
      <c r="B7001" t="str">
        <f>"1552376672824268"</f>
        <v>1552376672824268</v>
      </c>
      <c r="C7001" t="s">
        <v>40</v>
      </c>
      <c r="D7001">
        <v>5.2490569999999996</v>
      </c>
      <c r="E7001">
        <v>0.4662076</v>
      </c>
      <c r="F7001" t="s">
        <v>43</v>
      </c>
      <c r="G7001">
        <v>-192.99449999999999</v>
      </c>
      <c r="H7001" s="1">
        <v>-4.7953310000000003E-6</v>
      </c>
      <c r="I7001">
        <v>-30.482780000000002</v>
      </c>
      <c r="J7001">
        <v>-194.89590000000001</v>
      </c>
      <c r="K7001">
        <v>1.121996</v>
      </c>
      <c r="L7001">
        <v>-46.442349999999998</v>
      </c>
      <c r="M7001">
        <v>0.22770969999999999</v>
      </c>
      <c r="N7001">
        <v>0</v>
      </c>
      <c r="O7001">
        <v>0.97359340000000005</v>
      </c>
      <c r="P7001">
        <v>0.2305412</v>
      </c>
      <c r="Q7001">
        <v>2.683462E-2</v>
      </c>
      <c r="R7001">
        <v>0.97269249999999996</v>
      </c>
      <c r="S7001">
        <v>0.36257929999999999</v>
      </c>
      <c r="T7001">
        <v>-0.207902</v>
      </c>
      <c r="U7001">
        <v>3.0080260000000001</v>
      </c>
      <c r="V7001">
        <v>1.732436E-3</v>
      </c>
      <c r="W7001">
        <v>4.3143529999999999E-2</v>
      </c>
      <c r="X7001">
        <v>0.99906740000000005</v>
      </c>
      <c r="Y7001">
        <v>-0.10984149999999999</v>
      </c>
      <c r="Z7001">
        <v>-6.580337E-2</v>
      </c>
      <c r="AA7001">
        <v>0.99176850000000005</v>
      </c>
      <c r="AB7001">
        <v>30</v>
      </c>
      <c r="AC7001">
        <v>1.90140000000002</v>
      </c>
      <c r="AD7001">
        <v>-1.1220007953309901</v>
      </c>
      <c r="AE7001">
        <v>15.959569999999999</v>
      </c>
      <c r="AF7001">
        <v>-1.7745460763519001</v>
      </c>
      <c r="AG7001">
        <v>-1.1220007953309901</v>
      </c>
      <c r="AH7001">
        <v>15.8957446226388</v>
      </c>
      <c r="AI7001">
        <v>94.012680113459894</v>
      </c>
      <c r="AJ7001">
        <v>96.369928273370903</v>
      </c>
      <c r="AK7001">
        <v>16.0337954542887</v>
      </c>
      <c r="AL7001">
        <v>87.527290354168102</v>
      </c>
      <c r="AM7001">
        <v>89.900646171033301</v>
      </c>
      <c r="AN7001">
        <v>1.00000001762905</v>
      </c>
    </row>
    <row r="7002" spans="1:40" x14ac:dyDescent="0.25">
      <c r="A7002" t="str">
        <f>"20190312154432854"</f>
        <v>20190312154432854</v>
      </c>
      <c r="B7002" t="str">
        <f>"1552376672844764"</f>
        <v>1552376672844764</v>
      </c>
      <c r="C7002" t="s">
        <v>40</v>
      </c>
      <c r="D7002">
        <v>5.2554270000000001</v>
      </c>
      <c r="E7002">
        <v>0.46843240000000003</v>
      </c>
      <c r="F7002" t="s">
        <v>43</v>
      </c>
      <c r="G7002">
        <v>-193.26009999999999</v>
      </c>
      <c r="H7002" s="1">
        <v>-3.3741820000000002E-6</v>
      </c>
      <c r="I7002">
        <v>-34.567599999999999</v>
      </c>
      <c r="J7002">
        <v>-194.84110000000001</v>
      </c>
      <c r="K7002">
        <v>1.1215809999999999</v>
      </c>
      <c r="L7002">
        <v>-46.150790000000001</v>
      </c>
      <c r="M7002">
        <v>0.21479860000000001</v>
      </c>
      <c r="N7002">
        <v>0</v>
      </c>
      <c r="O7002">
        <v>0.97652470000000002</v>
      </c>
      <c r="P7002">
        <v>0.21894430000000001</v>
      </c>
      <c r="Q7002">
        <v>2.6564290000000001E-2</v>
      </c>
      <c r="R7002">
        <v>0.97537569999999996</v>
      </c>
      <c r="S7002">
        <v>0.4124603</v>
      </c>
      <c r="T7002">
        <v>-0.28291630000000001</v>
      </c>
      <c r="U7002">
        <v>2.9942630000000001</v>
      </c>
      <c r="V7002">
        <v>3.1179210000000001E-3</v>
      </c>
      <c r="W7002">
        <v>4.2815289999999999E-2</v>
      </c>
      <c r="X7002">
        <v>0.99907820000000003</v>
      </c>
      <c r="Y7002">
        <v>-8.0109899999999998E-2</v>
      </c>
      <c r="Z7002">
        <v>-9.0223239999999996E-2</v>
      </c>
      <c r="AA7002">
        <v>0.99269439999999998</v>
      </c>
      <c r="AB7002">
        <v>30</v>
      </c>
      <c r="AC7002">
        <v>1.58100000000001</v>
      </c>
      <c r="AD7002">
        <v>-1.121584374182</v>
      </c>
      <c r="AE7002">
        <v>11.58319</v>
      </c>
      <c r="AF7002">
        <v>-0.93567844341666795</v>
      </c>
      <c r="AG7002">
        <v>-1.121584374182</v>
      </c>
      <c r="AH7002">
        <v>11.5461148743608</v>
      </c>
      <c r="AI7002">
        <v>95.530261873432096</v>
      </c>
      <c r="AJ7002">
        <v>94.633032799621802</v>
      </c>
      <c r="AK7002">
        <v>11.6381362060177</v>
      </c>
      <c r="AL7002">
        <v>87.546114619187094</v>
      </c>
      <c r="AM7002">
        <v>89.821192040623998</v>
      </c>
      <c r="AN7002">
        <v>1.0000000601021899</v>
      </c>
    </row>
    <row r="7003" spans="1:40" x14ac:dyDescent="0.25">
      <c r="A7003" t="str">
        <f>"20190312154432877"</f>
        <v>20190312154432877</v>
      </c>
      <c r="B7003" t="str">
        <f>"1552376672874045"</f>
        <v>1552376672874045</v>
      </c>
      <c r="C7003" t="s">
        <v>40</v>
      </c>
      <c r="D7003">
        <v>5.4610450000000004</v>
      </c>
      <c r="E7003">
        <v>0.4781937</v>
      </c>
      <c r="F7003" t="s">
        <v>43</v>
      </c>
      <c r="G7003">
        <v>-193.25399999999999</v>
      </c>
      <c r="H7003" s="1">
        <v>-3.5704320000000002E-6</v>
      </c>
      <c r="I7003">
        <v>-34.106349999999999</v>
      </c>
      <c r="J7003">
        <v>-194.7886</v>
      </c>
      <c r="K7003">
        <v>1.121122</v>
      </c>
      <c r="L7003">
        <v>-45.851959999999998</v>
      </c>
      <c r="M7003">
        <v>0.2021154</v>
      </c>
      <c r="N7003">
        <v>0</v>
      </c>
      <c r="O7003">
        <v>0.97923000000000004</v>
      </c>
      <c r="P7003">
        <v>0.20696680000000001</v>
      </c>
      <c r="Q7003">
        <v>2.2067739999999999E-2</v>
      </c>
      <c r="R7003">
        <v>0.97809900000000005</v>
      </c>
      <c r="S7003">
        <v>0.3946075</v>
      </c>
      <c r="T7003">
        <v>-0.27887279999999998</v>
      </c>
      <c r="U7003">
        <v>2.9947509999999999</v>
      </c>
      <c r="V7003">
        <v>3.9693580000000001E-3</v>
      </c>
      <c r="W7003">
        <v>3.8240950000000003E-2</v>
      </c>
      <c r="X7003">
        <v>0.9992607</v>
      </c>
      <c r="Y7003">
        <v>-7.3001339999999998E-2</v>
      </c>
      <c r="Z7003">
        <v>-8.9360969999999998E-2</v>
      </c>
      <c r="AA7003">
        <v>0.99332039999999999</v>
      </c>
      <c r="AB7003">
        <v>30</v>
      </c>
      <c r="AC7003">
        <v>1.53459999999998</v>
      </c>
      <c r="AD7003">
        <v>-1.121125570432</v>
      </c>
      <c r="AE7003">
        <v>11.745609999999999</v>
      </c>
      <c r="AF7003">
        <v>-0.86361849338794705</v>
      </c>
      <c r="AG7003">
        <v>-1.121125570432</v>
      </c>
      <c r="AH7003">
        <v>11.7084605582364</v>
      </c>
      <c r="AI7003">
        <v>95.454864309602698</v>
      </c>
      <c r="AJ7003">
        <v>94.218509354801597</v>
      </c>
      <c r="AK7003">
        <v>11.7936766146344</v>
      </c>
      <c r="AL7003">
        <v>87.808420668472607</v>
      </c>
      <c r="AM7003">
        <v>89.772405474781806</v>
      </c>
      <c r="AN7003">
        <v>1.0000000363121599</v>
      </c>
    </row>
    <row r="7004" spans="1:40" x14ac:dyDescent="0.25">
      <c r="A7004" t="str">
        <f>"20190312154432900"</f>
        <v>20190312154432900</v>
      </c>
      <c r="B7004" t="str">
        <f>"1552376672894541"</f>
        <v>1552376672894541</v>
      </c>
      <c r="C7004" t="s">
        <v>40</v>
      </c>
      <c r="D7004">
        <v>5.3895559999999998</v>
      </c>
      <c r="E7004">
        <v>0.47717660000000001</v>
      </c>
      <c r="F7004" t="s">
        <v>43</v>
      </c>
      <c r="G7004">
        <v>-193.24369999999999</v>
      </c>
      <c r="H7004" s="1">
        <v>-3.087482E-6</v>
      </c>
      <c r="I7004">
        <v>-35.225740000000002</v>
      </c>
      <c r="J7004">
        <v>-194.74109999999999</v>
      </c>
      <c r="K7004">
        <v>1.1206199999999999</v>
      </c>
      <c r="L7004">
        <v>-45.563389999999998</v>
      </c>
      <c r="M7004">
        <v>0.190496</v>
      </c>
      <c r="N7004">
        <v>0</v>
      </c>
      <c r="O7004">
        <v>0.98155820000000005</v>
      </c>
      <c r="P7004">
        <v>0.19509000000000001</v>
      </c>
      <c r="Q7004">
        <v>1.350462E-2</v>
      </c>
      <c r="R7004">
        <v>0.98069240000000002</v>
      </c>
      <c r="S7004">
        <v>0.43359379999999997</v>
      </c>
      <c r="T7004">
        <v>-0.3146718</v>
      </c>
      <c r="U7004">
        <v>2.982513</v>
      </c>
      <c r="V7004">
        <v>3.9279600000000003E-3</v>
      </c>
      <c r="W7004">
        <v>2.9572770000000002E-2</v>
      </c>
      <c r="X7004">
        <v>0.99955490000000002</v>
      </c>
      <c r="Y7004">
        <v>-4.8063120000000001E-2</v>
      </c>
      <c r="Z7004">
        <v>-0.1014745</v>
      </c>
      <c r="AA7004">
        <v>0.99367640000000002</v>
      </c>
      <c r="AB7004">
        <v>30</v>
      </c>
      <c r="AC7004">
        <v>1.4973999999999901</v>
      </c>
      <c r="AD7004">
        <v>-1.120623087482</v>
      </c>
      <c r="AE7004">
        <v>10.33765</v>
      </c>
      <c r="AF7004">
        <v>-0.493875095425233</v>
      </c>
      <c r="AG7004">
        <v>-1.120623087482</v>
      </c>
      <c r="AH7004">
        <v>10.3148637591226</v>
      </c>
      <c r="AI7004">
        <v>96.193346111451305</v>
      </c>
      <c r="AJ7004">
        <v>92.741225229954793</v>
      </c>
      <c r="AK7004">
        <v>10.3873058626065</v>
      </c>
      <c r="AL7004">
        <v>88.305358000837103</v>
      </c>
      <c r="AM7004">
        <v>89.774845412067805</v>
      </c>
      <c r="AN7004">
        <v>0.99999998785462196</v>
      </c>
    </row>
    <row r="7005" spans="1:40" x14ac:dyDescent="0.25">
      <c r="A7005" t="str">
        <f>"20190312154432922"</f>
        <v>20190312154432922</v>
      </c>
      <c r="B7005" t="str">
        <f>"1552376672914061"</f>
        <v>1552376672914061</v>
      </c>
      <c r="C7005" t="s">
        <v>40</v>
      </c>
      <c r="D7005">
        <v>4.583475</v>
      </c>
      <c r="E7005">
        <v>0.48034139999999997</v>
      </c>
      <c r="F7005" t="s">
        <v>41</v>
      </c>
      <c r="G7005">
        <v>-194.6326</v>
      </c>
      <c r="H7005">
        <v>1.0240499999999999</v>
      </c>
      <c r="I7005">
        <v>-44.732990000000001</v>
      </c>
      <c r="J7005">
        <v>-194.69589999999999</v>
      </c>
      <c r="K7005">
        <v>1.1200509999999999</v>
      </c>
      <c r="L7005">
        <v>-45.271479999999997</v>
      </c>
      <c r="M7005">
        <v>0.17948989999999901</v>
      </c>
      <c r="N7005">
        <v>0</v>
      </c>
      <c r="O7005">
        <v>0.98363210000000001</v>
      </c>
      <c r="P7005">
        <v>0.183169</v>
      </c>
      <c r="Q7005">
        <v>1.1164479999999999E-2</v>
      </c>
      <c r="R7005">
        <v>0.98301799999999995</v>
      </c>
      <c r="S7005">
        <v>0.38963320000000001</v>
      </c>
      <c r="T7005">
        <v>-0.34742060000000002</v>
      </c>
      <c r="U7005">
        <v>2.9863279999999999</v>
      </c>
      <c r="V7005">
        <v>3.0821500000000001E-3</v>
      </c>
      <c r="W7005">
        <v>2.7095169999999998E-2</v>
      </c>
      <c r="X7005">
        <v>0.99962810000000002</v>
      </c>
      <c r="Y7005">
        <v>-5.1559590000000002E-2</v>
      </c>
      <c r="Z7005">
        <v>-0.11221730000000001</v>
      </c>
      <c r="AA7005">
        <v>0.99234520000000004</v>
      </c>
      <c r="AB7005">
        <v>30</v>
      </c>
      <c r="AC7005">
        <v>6.3299999999998094E-2</v>
      </c>
      <c r="AD7005">
        <v>-9.6001000000000197E-2</v>
      </c>
      <c r="AE7005">
        <v>0.53848999999999503</v>
      </c>
      <c r="AF7005">
        <v>-3.3348454961804899E-2</v>
      </c>
      <c r="AG7005">
        <v>-9.6001000000000197E-2</v>
      </c>
      <c r="AH7005">
        <v>0.52465777768817301</v>
      </c>
      <c r="AI7005">
        <v>100.348745724555</v>
      </c>
      <c r="AJ7005">
        <v>93.636958808559697</v>
      </c>
      <c r="AK7005">
        <v>0.53441004400930903</v>
      </c>
      <c r="AL7005">
        <v>88.4473710869309</v>
      </c>
      <c r="AM7005">
        <v>89.823340673177299</v>
      </c>
      <c r="AN7005">
        <v>0.99999999309777998</v>
      </c>
    </row>
    <row r="7006" spans="1:40" x14ac:dyDescent="0.25">
      <c r="A7006" t="str">
        <f>"20190312154432966"</f>
        <v>20190312154432966</v>
      </c>
      <c r="B7006" t="str">
        <f>"1552376672964813"</f>
        <v>1552376672964813</v>
      </c>
      <c r="C7006" t="s">
        <v>40</v>
      </c>
      <c r="D7006">
        <v>4.0013969999999999</v>
      </c>
      <c r="E7006">
        <v>0.4805471</v>
      </c>
      <c r="F7006" t="s">
        <v>41</v>
      </c>
      <c r="G7006">
        <v>-194.61170000000001</v>
      </c>
      <c r="H7006">
        <v>0.86366679999999996</v>
      </c>
      <c r="I7006">
        <v>-44.551430000000003</v>
      </c>
      <c r="J7006">
        <v>-194.6131</v>
      </c>
      <c r="K7006">
        <v>1.1186659999999999</v>
      </c>
      <c r="L7006">
        <v>-44.68967</v>
      </c>
      <c r="M7006">
        <v>0.16021459999999901</v>
      </c>
      <c r="N7006">
        <v>0</v>
      </c>
      <c r="O7006">
        <v>0.98695889999999997</v>
      </c>
      <c r="P7006">
        <v>0.15997549999999999</v>
      </c>
      <c r="Q7006">
        <v>1.484246E-2</v>
      </c>
      <c r="R7006">
        <v>0.98700940000000004</v>
      </c>
      <c r="S7006">
        <v>0.3499756</v>
      </c>
      <c r="T7006">
        <v>-1.068152</v>
      </c>
      <c r="U7006">
        <v>2.9987490000000001</v>
      </c>
      <c r="V7006">
        <v>-8.6726689999999998E-4</v>
      </c>
      <c r="W7006">
        <v>3.043212E-2</v>
      </c>
      <c r="X7006">
        <v>0.99953650000000005</v>
      </c>
      <c r="Y7006">
        <v>-5.1231209999999999E-2</v>
      </c>
      <c r="Z7006">
        <v>-0.32806780000000002</v>
      </c>
      <c r="AA7006">
        <v>0.94326390000000004</v>
      </c>
      <c r="AB7006">
        <v>30</v>
      </c>
      <c r="AC7006">
        <v>1.39999999998963E-3</v>
      </c>
      <c r="AD7006">
        <v>-0.25499919999999998</v>
      </c>
      <c r="AE7006">
        <v>0.138240000000003</v>
      </c>
      <c r="AF7006">
        <v>-4.71778590955476E-3</v>
      </c>
      <c r="AG7006">
        <v>-0.25499919999999998</v>
      </c>
      <c r="AH7006">
        <v>3.10473677549821E-2</v>
      </c>
      <c r="AI7006">
        <v>172.97923765313101</v>
      </c>
      <c r="AJ7006">
        <v>98.640252069625006</v>
      </c>
      <c r="AK7006">
        <v>0.25692564790040201</v>
      </c>
      <c r="AL7006">
        <v>88.256098787061106</v>
      </c>
      <c r="AM7006">
        <v>90.049713762940598</v>
      </c>
      <c r="AN7006">
        <v>1.0000000404559</v>
      </c>
    </row>
    <row r="7007" spans="1:40" x14ac:dyDescent="0.25">
      <c r="A7007" t="str">
        <f>"20190312154432990"</f>
        <v>20190312154432990</v>
      </c>
      <c r="B7007" t="str">
        <f>"1552376672984333"</f>
        <v>1552376672984333</v>
      </c>
      <c r="C7007" t="s">
        <v>40</v>
      </c>
      <c r="D7007">
        <v>4.6980879999999896</v>
      </c>
      <c r="E7007">
        <v>0.48254599999999997</v>
      </c>
      <c r="F7007" t="s">
        <v>41</v>
      </c>
      <c r="G7007">
        <v>-194.5496</v>
      </c>
      <c r="H7007">
        <v>0.85863419999999901</v>
      </c>
      <c r="I7007">
        <v>-44.027200000000001</v>
      </c>
      <c r="J7007">
        <v>-194.57320000000001</v>
      </c>
      <c r="K7007">
        <v>1.117823</v>
      </c>
      <c r="L7007">
        <v>-44.388950000000001</v>
      </c>
      <c r="M7007">
        <v>0.15182799999999999</v>
      </c>
      <c r="N7007">
        <v>0</v>
      </c>
      <c r="O7007">
        <v>0.98828579999999999</v>
      </c>
      <c r="P7007">
        <v>0.14904139999999999</v>
      </c>
      <c r="Q7007">
        <v>1.5400219999999999E-2</v>
      </c>
      <c r="R7007">
        <v>0.98871100000000001</v>
      </c>
      <c r="S7007">
        <v>0.2884369</v>
      </c>
      <c r="T7007">
        <v>-1.181708</v>
      </c>
      <c r="U7007">
        <v>3.0104980000000001</v>
      </c>
      <c r="V7007">
        <v>-3.3866149999999999E-3</v>
      </c>
      <c r="W7007">
        <v>3.0814359999999999E-2</v>
      </c>
      <c r="X7007">
        <v>0.99951939999999995</v>
      </c>
      <c r="Y7007">
        <v>-6.3285880000000003E-2</v>
      </c>
      <c r="Z7007">
        <v>-0.35820590000000002</v>
      </c>
      <c r="AA7007">
        <v>0.93149519999999997</v>
      </c>
      <c r="AB7007">
        <v>30</v>
      </c>
      <c r="AC7007">
        <v>2.3600000000016001E-2</v>
      </c>
      <c r="AD7007">
        <v>-0.2591888</v>
      </c>
      <c r="AE7007">
        <v>0.36175000000000002</v>
      </c>
      <c r="AF7007">
        <v>-2.0913517921313299E-2</v>
      </c>
      <c r="AG7007">
        <v>-0.2591888</v>
      </c>
      <c r="AH7007">
        <v>0.238978540074366</v>
      </c>
      <c r="AI7007">
        <v>137.21423345229701</v>
      </c>
      <c r="AJ7007">
        <v>95.001333565725801</v>
      </c>
      <c r="AK7007">
        <v>0.35316703115290998</v>
      </c>
      <c r="AL7007">
        <v>88.234187723305297</v>
      </c>
      <c r="AM7007">
        <v>90.194131303310996</v>
      </c>
      <c r="AN7007">
        <v>1.00000001245986</v>
      </c>
    </row>
    <row r="7008" spans="1:40" x14ac:dyDescent="0.25">
      <c r="A7008" t="str">
        <f>"20190312154433023"</f>
        <v>20190312154433023</v>
      </c>
      <c r="B7008" t="str">
        <f>"1552376673014589"</f>
        <v>1552376673014589</v>
      </c>
      <c r="C7008" t="s">
        <v>40</v>
      </c>
      <c r="D7008">
        <v>5.2898489999999896</v>
      </c>
      <c r="E7008">
        <v>0.48442540000000001</v>
      </c>
      <c r="F7008" t="s">
        <v>41</v>
      </c>
      <c r="G7008">
        <v>-194.495</v>
      </c>
      <c r="H7008">
        <v>0.78714229999999996</v>
      </c>
      <c r="I7008">
        <v>-43.529249999999998</v>
      </c>
      <c r="J7008">
        <v>-194.51689999999999</v>
      </c>
      <c r="K7008">
        <v>1.1166</v>
      </c>
      <c r="L7008">
        <v>-43.942410000000002</v>
      </c>
      <c r="M7008">
        <v>0.14137040000000001</v>
      </c>
      <c r="N7008">
        <v>0</v>
      </c>
      <c r="O7008">
        <v>0.98983860000000001</v>
      </c>
      <c r="P7008">
        <v>0.13653560000000001</v>
      </c>
      <c r="Q7008">
        <v>1.7256400000000002E-2</v>
      </c>
      <c r="R7008">
        <v>0.99048480000000005</v>
      </c>
      <c r="S7008">
        <v>0.27349849999999998</v>
      </c>
      <c r="T7008">
        <v>-1.158396</v>
      </c>
      <c r="U7008">
        <v>3.0110779999999999</v>
      </c>
      <c r="V7008">
        <v>-5.3766400000000002E-3</v>
      </c>
      <c r="W7008">
        <v>3.2469119999999997E-2</v>
      </c>
      <c r="X7008">
        <v>0.99945830000000002</v>
      </c>
      <c r="Y7008">
        <v>-5.7135329999999998E-2</v>
      </c>
      <c r="Z7008">
        <v>-0.35292709999999999</v>
      </c>
      <c r="AA7008">
        <v>0.93390470000000003</v>
      </c>
      <c r="AB7008">
        <v>30</v>
      </c>
      <c r="AC7008">
        <v>2.1899999999987999E-2</v>
      </c>
      <c r="AD7008">
        <v>-0.32945770000000002</v>
      </c>
      <c r="AE7008">
        <v>0.41315999999999697</v>
      </c>
      <c r="AF7008">
        <v>-2.2480795981418999E-2</v>
      </c>
      <c r="AG7008">
        <v>-0.32945770000000002</v>
      </c>
      <c r="AH7008">
        <v>0.25219441739797999</v>
      </c>
      <c r="AI7008">
        <v>142.457047634156</v>
      </c>
      <c r="AJ7008">
        <v>95.093924198900396</v>
      </c>
      <c r="AK7008">
        <v>0.415511475706694</v>
      </c>
      <c r="AL7008">
        <v>88.1393294706982</v>
      </c>
      <c r="AM7008">
        <v>90.308222772589104</v>
      </c>
      <c r="AN7008">
        <v>1.00000002272507</v>
      </c>
    </row>
    <row r="7009" spans="1:40" x14ac:dyDescent="0.25">
      <c r="A7009" t="str">
        <f>"20190312154433044"</f>
        <v>20190312154433044</v>
      </c>
      <c r="B7009" t="str">
        <f>"1552376673034109"</f>
        <v>1552376673034109</v>
      </c>
      <c r="C7009" t="s">
        <v>40</v>
      </c>
      <c r="D7009">
        <v>5.5729499999999996</v>
      </c>
      <c r="E7009">
        <v>0.48279300000000003</v>
      </c>
      <c r="F7009" t="s">
        <v>41</v>
      </c>
      <c r="G7009">
        <v>-194.45670000000001</v>
      </c>
      <c r="H7009">
        <v>0.87101600000000001</v>
      </c>
      <c r="I7009">
        <v>-43.23254</v>
      </c>
      <c r="J7009">
        <v>-194.483</v>
      </c>
      <c r="K7009">
        <v>1.115947</v>
      </c>
      <c r="L7009">
        <v>-43.663179999999997</v>
      </c>
      <c r="M7009">
        <v>0.1357979</v>
      </c>
      <c r="N7009">
        <v>0</v>
      </c>
      <c r="O7009">
        <v>0.99061999999999995</v>
      </c>
      <c r="P7009">
        <v>0.1297903</v>
      </c>
      <c r="Q7009">
        <v>1.61E-2</v>
      </c>
      <c r="R7009">
        <v>0.99141069999999998</v>
      </c>
      <c r="S7009">
        <v>0.25532529999999998</v>
      </c>
      <c r="T7009">
        <v>-1.0419480000000001</v>
      </c>
      <c r="U7009">
        <v>3.011749</v>
      </c>
      <c r="V7009">
        <v>-6.488756E-3</v>
      </c>
      <c r="W7009">
        <v>3.120471E-2</v>
      </c>
      <c r="X7009">
        <v>0.99949189999999999</v>
      </c>
      <c r="Y7009">
        <v>-5.616931E-2</v>
      </c>
      <c r="Z7009">
        <v>-0.32177250000000002</v>
      </c>
      <c r="AA7009">
        <v>0.94514940000000003</v>
      </c>
      <c r="AB7009">
        <v>30</v>
      </c>
      <c r="AC7009">
        <v>2.6299999999992E-2</v>
      </c>
      <c r="AD7009">
        <v>-0.24493099999999901</v>
      </c>
      <c r="AE7009">
        <v>0.43063999999999603</v>
      </c>
      <c r="AF7009">
        <v>-2.4526038297525098E-2</v>
      </c>
      <c r="AG7009">
        <v>-0.24493099999999901</v>
      </c>
      <c r="AH7009">
        <v>0.32536201365880202</v>
      </c>
      <c r="AI7009">
        <v>126.89429689310499</v>
      </c>
      <c r="AJ7009">
        <v>94.310847050491205</v>
      </c>
      <c r="AK7009">
        <v>0.40798671699907402</v>
      </c>
      <c r="AL7009">
        <v>88.211811439694799</v>
      </c>
      <c r="AM7009">
        <v>90.371962104081604</v>
      </c>
      <c r="AN7009">
        <v>0.99999994802310899</v>
      </c>
    </row>
    <row r="7010" spans="1:40" x14ac:dyDescent="0.25">
      <c r="A7010" t="str">
        <f>"20190312154433066"</f>
        <v>20190312154433066</v>
      </c>
      <c r="B7010" t="str">
        <f>"1552376673054605"</f>
        <v>1552376673054605</v>
      </c>
      <c r="C7010" t="s">
        <v>40</v>
      </c>
      <c r="D7010">
        <v>5.8651499999999999</v>
      </c>
      <c r="E7010">
        <v>0.4989169</v>
      </c>
      <c r="F7010" t="s">
        <v>41</v>
      </c>
      <c r="G7010">
        <v>-194.43029999999999</v>
      </c>
      <c r="H7010">
        <v>0.88220949999999998</v>
      </c>
      <c r="I7010">
        <v>-42.963889999999999</v>
      </c>
      <c r="J7010">
        <v>-194.4494</v>
      </c>
      <c r="K7010">
        <v>1.1153249999999999</v>
      </c>
      <c r="L7010">
        <v>-43.378970000000002</v>
      </c>
      <c r="M7010">
        <v>0.13097710000000001</v>
      </c>
      <c r="N7010">
        <v>0</v>
      </c>
      <c r="O7010">
        <v>0.9912704</v>
      </c>
      <c r="P7010">
        <v>0.1248568</v>
      </c>
      <c r="Q7010">
        <v>1.625182E-2</v>
      </c>
      <c r="R7010">
        <v>0.99204159999999997</v>
      </c>
      <c r="S7010">
        <v>0.22660830000000001</v>
      </c>
      <c r="T7010">
        <v>-1.0070889999999999</v>
      </c>
      <c r="U7010">
        <v>3.0126949999999999</v>
      </c>
      <c r="V7010">
        <v>-6.5492709999999997E-3</v>
      </c>
      <c r="W7010">
        <v>3.1266189999999999E-2</v>
      </c>
      <c r="X7010">
        <v>0.99948970000000004</v>
      </c>
      <c r="Y7010">
        <v>-6.0045649999999999E-2</v>
      </c>
      <c r="Z7010">
        <v>-0.31237330000000002</v>
      </c>
      <c r="AA7010">
        <v>0.94805989999999996</v>
      </c>
      <c r="AB7010">
        <v>30</v>
      </c>
      <c r="AC7010">
        <v>1.91000000000087E-2</v>
      </c>
      <c r="AD7010">
        <v>-0.233115499999999</v>
      </c>
      <c r="AE7010">
        <v>0.415080000000003</v>
      </c>
      <c r="AF7010">
        <v>-2.6953307031840099E-2</v>
      </c>
      <c r="AG7010">
        <v>-0.233115499999999</v>
      </c>
      <c r="AH7010">
        <v>0.31489383458364101</v>
      </c>
      <c r="AI7010">
        <v>126.41254589431</v>
      </c>
      <c r="AJ7010">
        <v>94.892302111472901</v>
      </c>
      <c r="AK7010">
        <v>0.39271802117930898</v>
      </c>
      <c r="AL7010">
        <v>88.208287383196307</v>
      </c>
      <c r="AM7010">
        <v>90.375431799563103</v>
      </c>
      <c r="AN7010">
        <v>1.00000006399691</v>
      </c>
    </row>
    <row r="7011" spans="1:40" x14ac:dyDescent="0.25">
      <c r="A7011" t="str">
        <f>"20190312154433088"</f>
        <v>20190312154433088</v>
      </c>
      <c r="B7011" t="str">
        <f>"1552376673084861"</f>
        <v>1552376673084861</v>
      </c>
      <c r="C7011" t="s">
        <v>40</v>
      </c>
      <c r="D7011">
        <v>5.375</v>
      </c>
      <c r="E7011">
        <v>0.49881799999999998</v>
      </c>
      <c r="F7011" t="s">
        <v>41</v>
      </c>
      <c r="G7011">
        <v>-194.3621</v>
      </c>
      <c r="H7011">
        <v>1.013719</v>
      </c>
      <c r="I7011">
        <v>-42.646070000000002</v>
      </c>
      <c r="J7011">
        <v>-194.41550000000001</v>
      </c>
      <c r="K7011">
        <v>1.1146940000000001</v>
      </c>
      <c r="L7011">
        <v>-43.085909999999998</v>
      </c>
      <c r="M7011">
        <v>0.1268889</v>
      </c>
      <c r="N7011">
        <v>0</v>
      </c>
      <c r="O7011">
        <v>0.99180360000000001</v>
      </c>
      <c r="P7011">
        <v>0.122087</v>
      </c>
      <c r="Q7011">
        <v>2.0242840000000002E-2</v>
      </c>
      <c r="R7011">
        <v>0.992313</v>
      </c>
      <c r="S7011">
        <v>0.355224599999999</v>
      </c>
      <c r="T7011">
        <v>-0.41401779999999999</v>
      </c>
      <c r="U7011">
        <v>2.986145</v>
      </c>
      <c r="V7011">
        <v>-5.1983979999999999E-3</v>
      </c>
      <c r="W7011">
        <v>3.518172E-2</v>
      </c>
      <c r="X7011">
        <v>0.99936740000000002</v>
      </c>
      <c r="Y7011">
        <v>-9.9386079999999998E-3</v>
      </c>
      <c r="Z7011">
        <v>-0.1352101</v>
      </c>
      <c r="AA7011">
        <v>0.99076710000000001</v>
      </c>
      <c r="AB7011">
        <v>30</v>
      </c>
      <c r="AC7011">
        <v>5.3400000000010502E-2</v>
      </c>
      <c r="AD7011">
        <v>-0.100975</v>
      </c>
      <c r="AE7011">
        <v>0.43983999999999601</v>
      </c>
      <c r="AF7011">
        <v>-2.70816562967154E-3</v>
      </c>
      <c r="AG7011">
        <v>-0.100975</v>
      </c>
      <c r="AH7011">
        <v>0.42118514100038401</v>
      </c>
      <c r="AI7011">
        <v>103.481387927545</v>
      </c>
      <c r="AJ7011">
        <v>90.368399327018906</v>
      </c>
      <c r="AK7011">
        <v>0.43312839642026502</v>
      </c>
      <c r="AL7011">
        <v>87.983819836472705</v>
      </c>
      <c r="AM7011">
        <v>90.298032114456902</v>
      </c>
      <c r="AN7011">
        <v>0.99999998847334204</v>
      </c>
    </row>
    <row r="7012" spans="1:40" x14ac:dyDescent="0.25">
      <c r="A7012" t="str">
        <f>"20190312154433112"</f>
        <v>20190312154433112</v>
      </c>
      <c r="B7012" t="str">
        <f>"1552376673104381"</f>
        <v>1552376673104381</v>
      </c>
      <c r="C7012" t="s">
        <v>40</v>
      </c>
      <c r="D7012">
        <v>5.2783089999999904</v>
      </c>
      <c r="E7012">
        <v>0.49953950000000003</v>
      </c>
      <c r="F7012" t="s">
        <v>41</v>
      </c>
      <c r="G7012">
        <v>-194.30170000000001</v>
      </c>
      <c r="H7012">
        <v>1.02538</v>
      </c>
      <c r="I7012">
        <v>-42.11365</v>
      </c>
      <c r="J7012">
        <v>-194.37950000000001</v>
      </c>
      <c r="K7012">
        <v>1.114004</v>
      </c>
      <c r="L7012">
        <v>-42.770389999999999</v>
      </c>
      <c r="M7012">
        <v>0.1234055</v>
      </c>
      <c r="N7012">
        <v>0</v>
      </c>
      <c r="O7012">
        <v>0.99224449999999997</v>
      </c>
      <c r="P7012">
        <v>0.1202891</v>
      </c>
      <c r="Q7012">
        <v>2.5142339999999999E-2</v>
      </c>
      <c r="R7012">
        <v>0.99242050000000004</v>
      </c>
      <c r="S7012">
        <v>0.34910580000000002</v>
      </c>
      <c r="T7012">
        <v>-0.27430270000000001</v>
      </c>
      <c r="U7012">
        <v>2.9859010000000001</v>
      </c>
      <c r="V7012">
        <v>-3.4650789999999998E-3</v>
      </c>
      <c r="W7012">
        <v>4.0005319999999997E-2</v>
      </c>
      <c r="X7012">
        <v>0.99919340000000001</v>
      </c>
      <c r="Y7012">
        <v>-7.8212469999999999E-3</v>
      </c>
      <c r="Z7012">
        <v>-9.0131169999999997E-2</v>
      </c>
      <c r="AA7012">
        <v>0.99589919999999998</v>
      </c>
      <c r="AB7012">
        <v>30</v>
      </c>
      <c r="AC7012">
        <v>7.7799999999996303E-2</v>
      </c>
      <c r="AD7012">
        <v>-8.8623999999999994E-2</v>
      </c>
      <c r="AE7012">
        <v>0.65673999999999899</v>
      </c>
      <c r="AF7012">
        <v>-3.7812289675898999E-3</v>
      </c>
      <c r="AG7012">
        <v>-8.8623999999999994E-2</v>
      </c>
      <c r="AH7012">
        <v>0.64965435200688904</v>
      </c>
      <c r="AI7012">
        <v>97.768046575337195</v>
      </c>
      <c r="AJ7012">
        <v>90.333478894045896</v>
      </c>
      <c r="AK7012">
        <v>0.65568230733335797</v>
      </c>
      <c r="AL7012">
        <v>87.707252032128295</v>
      </c>
      <c r="AM7012">
        <v>90.1986938729939</v>
      </c>
      <c r="AN7012">
        <v>0.99999994150216698</v>
      </c>
    </row>
    <row r="7013" spans="1:40" x14ac:dyDescent="0.25">
      <c r="A7013" t="str">
        <f>"20190312154433133"</f>
        <v>20190312154433133</v>
      </c>
      <c r="B7013" t="str">
        <f>"1552376673124878"</f>
        <v>1552376673124878</v>
      </c>
      <c r="C7013" t="s">
        <v>40</v>
      </c>
      <c r="D7013">
        <v>5.3243609999999997</v>
      </c>
      <c r="E7013">
        <v>0.5017855</v>
      </c>
      <c r="F7013" t="s">
        <v>41</v>
      </c>
      <c r="G7013">
        <v>-194.27090000000001</v>
      </c>
      <c r="H7013">
        <v>1.0350200000000001</v>
      </c>
      <c r="I7013">
        <v>-41.84431</v>
      </c>
      <c r="J7013">
        <v>-194.34800000000001</v>
      </c>
      <c r="K7013">
        <v>1.1134459999999999</v>
      </c>
      <c r="L7013">
        <v>-42.49194</v>
      </c>
      <c r="M7013">
        <v>0.1208559</v>
      </c>
      <c r="N7013">
        <v>0</v>
      </c>
      <c r="O7013">
        <v>0.99255939999999998</v>
      </c>
      <c r="P7013">
        <v>0.1197681</v>
      </c>
      <c r="Q7013">
        <v>2.9643289999999999E-2</v>
      </c>
      <c r="R7013">
        <v>0.9923592</v>
      </c>
      <c r="S7013">
        <v>0.34985349999999998</v>
      </c>
      <c r="T7013">
        <v>-0.25476739999999998</v>
      </c>
      <c r="U7013">
        <v>2.9869690000000002</v>
      </c>
      <c r="V7013">
        <v>-1.382239E-3</v>
      </c>
      <c r="W7013">
        <v>4.4447380000000002E-2</v>
      </c>
      <c r="X7013">
        <v>0.99901070000000003</v>
      </c>
      <c r="Y7013">
        <v>-4.9819529999999999E-3</v>
      </c>
      <c r="Z7013">
        <v>-8.3769380000000004E-2</v>
      </c>
      <c r="AA7013">
        <v>0.99647269999999999</v>
      </c>
      <c r="AB7013">
        <v>30</v>
      </c>
      <c r="AC7013">
        <v>7.7099999999972996E-2</v>
      </c>
      <c r="AD7013">
        <v>-7.8425999999999801E-2</v>
      </c>
      <c r="AE7013">
        <v>0.64762999999999904</v>
      </c>
      <c r="AF7013">
        <v>-1.7189136423145701E-3</v>
      </c>
      <c r="AG7013">
        <v>-7.8425999999999801E-2</v>
      </c>
      <c r="AH7013">
        <v>0.64290477588192896</v>
      </c>
      <c r="AI7013">
        <v>96.954950686988695</v>
      </c>
      <c r="AJ7013">
        <v>90.153189501884</v>
      </c>
      <c r="AK7013">
        <v>0.647672867265491</v>
      </c>
      <c r="AL7013">
        <v>87.452513276250698</v>
      </c>
      <c r="AM7013">
        <v>90.079274837037602</v>
      </c>
      <c r="AN7013">
        <v>0.99999992944400096</v>
      </c>
    </row>
    <row r="7014" spans="1:40" x14ac:dyDescent="0.25">
      <c r="A7014" t="str">
        <f>"20190312154433156"</f>
        <v>20190312154433156</v>
      </c>
      <c r="B7014" t="str">
        <f>"1552376673144400"</f>
        <v>1552376673144400</v>
      </c>
      <c r="C7014" t="s">
        <v>40</v>
      </c>
      <c r="D7014">
        <v>5.3086089999999997</v>
      </c>
      <c r="E7014">
        <v>0.50318929999999995</v>
      </c>
      <c r="F7014" t="s">
        <v>41</v>
      </c>
      <c r="G7014">
        <v>-194.23589999999999</v>
      </c>
      <c r="H7014">
        <v>1.041059</v>
      </c>
      <c r="I7014">
        <v>-41.577539999999999</v>
      </c>
      <c r="J7014">
        <v>-194.31479999999999</v>
      </c>
      <c r="K7014">
        <v>1.1129230000000001</v>
      </c>
      <c r="L7014">
        <v>-42.196080000000002</v>
      </c>
      <c r="M7014">
        <v>0.1186878</v>
      </c>
      <c r="N7014">
        <v>0</v>
      </c>
      <c r="O7014">
        <v>0.99282210000000004</v>
      </c>
      <c r="P7014">
        <v>0.1196348</v>
      </c>
      <c r="Q7014">
        <v>3.2206409999999998E-2</v>
      </c>
      <c r="R7014">
        <v>0.99229540000000005</v>
      </c>
      <c r="S7014">
        <v>0.3660583</v>
      </c>
      <c r="T7014">
        <v>-0.23637030000000001</v>
      </c>
      <c r="U7014">
        <v>2.9859619999999998</v>
      </c>
      <c r="V7014">
        <v>7.2100840000000001E-4</v>
      </c>
      <c r="W7014">
        <v>4.694483E-2</v>
      </c>
      <c r="X7014">
        <v>0.99889720000000004</v>
      </c>
      <c r="Y7014">
        <v>2.6318380000000001E-3</v>
      </c>
      <c r="Z7014">
        <v>-7.7791020000000002E-2</v>
      </c>
      <c r="AA7014">
        <v>0.99696620000000002</v>
      </c>
      <c r="AB7014">
        <v>30</v>
      </c>
      <c r="AC7014">
        <v>7.8900000000004397E-2</v>
      </c>
      <c r="AD7014">
        <v>-7.18639999999999E-2</v>
      </c>
      <c r="AE7014">
        <v>0.61854000000000198</v>
      </c>
      <c r="AF7014">
        <v>4.8565403652927304E-3</v>
      </c>
      <c r="AG7014">
        <v>-7.18639999999999E-2</v>
      </c>
      <c r="AH7014">
        <v>0.61535899313339504</v>
      </c>
      <c r="AI7014">
        <v>96.660844035940897</v>
      </c>
      <c r="AJ7014">
        <v>89.547819253505295</v>
      </c>
      <c r="AK7014">
        <v>0.61956009467239403</v>
      </c>
      <c r="AL7014">
        <v>87.309270377439603</v>
      </c>
      <c r="AM7014">
        <v>89.958643661090207</v>
      </c>
      <c r="AN7014">
        <v>0.99999997654233996</v>
      </c>
    </row>
    <row r="7015" spans="1:40" x14ac:dyDescent="0.25">
      <c r="A7015" t="str">
        <f>"20190312154433178"</f>
        <v>20190312154433178</v>
      </c>
      <c r="B7015" t="str">
        <f>"1552376673174653"</f>
        <v>1552376673174653</v>
      </c>
      <c r="C7015" t="s">
        <v>40</v>
      </c>
      <c r="D7015">
        <v>5.2909879999999996</v>
      </c>
      <c r="E7015">
        <v>0.50459430000000005</v>
      </c>
      <c r="F7015" t="s">
        <v>41</v>
      </c>
      <c r="G7015">
        <v>-194.2021</v>
      </c>
      <c r="H7015">
        <v>1.044999</v>
      </c>
      <c r="I7015">
        <v>-41.303460000000001</v>
      </c>
      <c r="J7015">
        <v>-194.28219999999999</v>
      </c>
      <c r="K7015">
        <v>1.11243</v>
      </c>
      <c r="L7015">
        <v>-41.905090000000001</v>
      </c>
      <c r="M7015">
        <v>0.11709459999999999</v>
      </c>
      <c r="N7015">
        <v>0</v>
      </c>
      <c r="O7015">
        <v>0.99301269999999997</v>
      </c>
      <c r="P7015">
        <v>0.1203443</v>
      </c>
      <c r="Q7015">
        <v>3.2280400000000001E-2</v>
      </c>
      <c r="R7015">
        <v>0.99220719999999996</v>
      </c>
      <c r="S7015">
        <v>0.37640380000000001</v>
      </c>
      <c r="T7015">
        <v>-0.22714110000000001</v>
      </c>
      <c r="U7015">
        <v>2.9852910000000001</v>
      </c>
      <c r="V7015">
        <v>3.096307E-3</v>
      </c>
      <c r="W7015">
        <v>4.6936249999999999E-2</v>
      </c>
      <c r="X7015">
        <v>0.99889309999999998</v>
      </c>
      <c r="Y7015">
        <v>7.6949280000000002E-3</v>
      </c>
      <c r="Z7015">
        <v>-7.479239E-2</v>
      </c>
      <c r="AA7015">
        <v>0.99716939999999998</v>
      </c>
      <c r="AB7015">
        <v>30</v>
      </c>
      <c r="AC7015">
        <v>8.0099999999987403E-2</v>
      </c>
      <c r="AD7015">
        <v>-6.7431000000000005E-2</v>
      </c>
      <c r="AE7015">
        <v>0.60163</v>
      </c>
      <c r="AF7015">
        <v>8.98279219276071E-3</v>
      </c>
      <c r="AG7015">
        <v>-6.7431000000000005E-2</v>
      </c>
      <c r="AH7015">
        <v>0.59947121695172201</v>
      </c>
      <c r="AI7015">
        <v>96.417174576968705</v>
      </c>
      <c r="AJ7015">
        <v>89.141514137098298</v>
      </c>
      <c r="AK7015">
        <v>0.60331863079980896</v>
      </c>
      <c r="AL7015">
        <v>87.309762613069694</v>
      </c>
      <c r="AM7015">
        <v>89.822398658086897</v>
      </c>
      <c r="AN7015">
        <v>1.00000001195435</v>
      </c>
    </row>
    <row r="7016" spans="1:40" x14ac:dyDescent="0.25">
      <c r="A7016" t="str">
        <f>"20190312154433201"</f>
        <v>20190312154433201</v>
      </c>
      <c r="B7016" t="str">
        <f>"1552376673194172"</f>
        <v>1552376673194172</v>
      </c>
      <c r="C7016" t="s">
        <v>40</v>
      </c>
      <c r="D7016">
        <v>5.2939619999999996</v>
      </c>
      <c r="E7016">
        <v>0.50510540000000004</v>
      </c>
      <c r="F7016" t="s">
        <v>41</v>
      </c>
      <c r="G7016">
        <v>-194.17009999999999</v>
      </c>
      <c r="H7016">
        <v>1.0457050000000001</v>
      </c>
      <c r="I7016">
        <v>-41.045310000000001</v>
      </c>
      <c r="J7016">
        <v>-194.2475</v>
      </c>
      <c r="K7016">
        <v>1.111928</v>
      </c>
      <c r="L7016">
        <v>-41.596220000000002</v>
      </c>
      <c r="M7016">
        <v>0.11594019999999999</v>
      </c>
      <c r="N7016">
        <v>0</v>
      </c>
      <c r="O7016">
        <v>0.99315010000000004</v>
      </c>
      <c r="P7016">
        <v>0.1213727</v>
      </c>
      <c r="Q7016">
        <v>3.0396920000000001E-2</v>
      </c>
      <c r="R7016">
        <v>0.99214150000000001</v>
      </c>
      <c r="S7016">
        <v>0.38912960000000002</v>
      </c>
      <c r="T7016">
        <v>-0.23156679999999999</v>
      </c>
      <c r="U7016">
        <v>2.9838870000000002</v>
      </c>
      <c r="V7016">
        <v>5.3503999999999999E-3</v>
      </c>
      <c r="W7016">
        <v>4.4924699999999998E-2</v>
      </c>
      <c r="X7016">
        <v>0.99897610000000003</v>
      </c>
      <c r="Y7016">
        <v>1.3085080000000001E-2</v>
      </c>
      <c r="Z7016">
        <v>-7.626956E-2</v>
      </c>
      <c r="AA7016">
        <v>0.99700129999999998</v>
      </c>
      <c r="AB7016">
        <v>30</v>
      </c>
      <c r="AC7016">
        <v>7.7400000000011404E-2</v>
      </c>
      <c r="AD7016">
        <v>-6.6223000000000101E-2</v>
      </c>
      <c r="AE7016">
        <v>0.55091000000000101</v>
      </c>
      <c r="AF7016">
        <v>1.2816956675452299E-2</v>
      </c>
      <c r="AG7016">
        <v>-6.6223000000000101E-2</v>
      </c>
      <c r="AH7016">
        <v>0.54839794619024995</v>
      </c>
      <c r="AI7016">
        <v>96.883676277889293</v>
      </c>
      <c r="AJ7016">
        <v>88.661147689507203</v>
      </c>
      <c r="AK7016">
        <v>0.55253060321859504</v>
      </c>
      <c r="AL7016">
        <v>87.425137821921595</v>
      </c>
      <c r="AM7016">
        <v>89.693133391752795</v>
      </c>
      <c r="AN7016">
        <v>1.0000000519107199</v>
      </c>
    </row>
    <row r="7017" spans="1:40" x14ac:dyDescent="0.25">
      <c r="A7017" t="str">
        <f>"20190312154433225"</f>
        <v>20190312154433225</v>
      </c>
      <c r="B7017" t="str">
        <f>"1552376673214669"</f>
        <v>1552376673214669</v>
      </c>
      <c r="C7017" t="s">
        <v>40</v>
      </c>
      <c r="D7017">
        <v>5.3786370000000003</v>
      </c>
      <c r="E7017">
        <v>0.50578829999999997</v>
      </c>
      <c r="F7017" t="s">
        <v>41</v>
      </c>
      <c r="G7017">
        <v>-194.13910000000001</v>
      </c>
      <c r="H7017">
        <v>1.0461210000000001</v>
      </c>
      <c r="I7017">
        <v>-40.78022</v>
      </c>
      <c r="J7017">
        <v>-194.2132</v>
      </c>
      <c r="K7017">
        <v>1.1114459999999999</v>
      </c>
      <c r="L7017">
        <v>-41.292050000000003</v>
      </c>
      <c r="M7017">
        <v>0.1152642</v>
      </c>
      <c r="N7017">
        <v>0</v>
      </c>
      <c r="O7017">
        <v>0.99323119999999998</v>
      </c>
      <c r="P7017">
        <v>0.12343610000000001</v>
      </c>
      <c r="Q7017">
        <v>2.5404779999999998E-2</v>
      </c>
      <c r="R7017">
        <v>0.99202729999999995</v>
      </c>
      <c r="S7017">
        <v>0.3958893</v>
      </c>
      <c r="T7017">
        <v>-0.2405118</v>
      </c>
      <c r="U7017">
        <v>2.9826969999999999</v>
      </c>
      <c r="V7017">
        <v>8.1557660000000001E-3</v>
      </c>
      <c r="W7017">
        <v>3.9770899999999998E-2</v>
      </c>
      <c r="X7017">
        <v>0.99917549999999999</v>
      </c>
      <c r="Y7017">
        <v>1.600739E-2</v>
      </c>
      <c r="Z7017">
        <v>-7.9224619999999996E-2</v>
      </c>
      <c r="AA7017">
        <v>0.99672819999999995</v>
      </c>
      <c r="AB7017">
        <v>30</v>
      </c>
      <c r="AC7017">
        <v>7.4099999999987107E-2</v>
      </c>
      <c r="AD7017">
        <v>-6.5324999999999994E-2</v>
      </c>
      <c r="AE7017">
        <v>0.511830000000003</v>
      </c>
      <c r="AF7017">
        <v>1.4374907682315601E-2</v>
      </c>
      <c r="AG7017">
        <v>-6.5324999999999994E-2</v>
      </c>
      <c r="AH7017">
        <v>0.50884123982086304</v>
      </c>
      <c r="AI7017">
        <v>97.312726576292903</v>
      </c>
      <c r="AJ7017">
        <v>88.381808555066797</v>
      </c>
      <c r="AK7017">
        <v>0.51321866776093406</v>
      </c>
      <c r="AL7017">
        <v>87.720694050443598</v>
      </c>
      <c r="AM7017">
        <v>89.532333816282801</v>
      </c>
      <c r="AN7017">
        <v>0.99999996040305195</v>
      </c>
    </row>
    <row r="7018" spans="1:40" x14ac:dyDescent="0.25">
      <c r="A7018" t="str">
        <f>"20190312154433246"</f>
        <v>20190312154433246</v>
      </c>
      <c r="B7018" t="str">
        <f>"1552376673234189"</f>
        <v>1552376673234189</v>
      </c>
      <c r="C7018" t="s">
        <v>40</v>
      </c>
      <c r="D7018">
        <v>5.3399320000000001</v>
      </c>
      <c r="E7018">
        <v>0.50662419999999997</v>
      </c>
      <c r="F7018" t="s">
        <v>41</v>
      </c>
      <c r="G7018">
        <v>-194.10839999999999</v>
      </c>
      <c r="H7018">
        <v>1.0450549999999901</v>
      </c>
      <c r="I7018">
        <v>-40.524259999999998</v>
      </c>
      <c r="J7018">
        <v>-194.1807</v>
      </c>
      <c r="K7018">
        <v>1.111032</v>
      </c>
      <c r="L7018">
        <v>-41.006680000000003</v>
      </c>
      <c r="M7018">
        <v>0.11497540000000001</v>
      </c>
      <c r="N7018">
        <v>0</v>
      </c>
      <c r="O7018">
        <v>0.99326729999999996</v>
      </c>
      <c r="P7018">
        <v>0.12628229999999999</v>
      </c>
      <c r="Q7018">
        <v>2.0372319999999999E-2</v>
      </c>
      <c r="R7018">
        <v>0.99178509999999998</v>
      </c>
      <c r="S7018">
        <v>0.40658569999999999</v>
      </c>
      <c r="T7018">
        <v>-0.2576965</v>
      </c>
      <c r="U7018">
        <v>2.9801329999999999</v>
      </c>
      <c r="V7018">
        <v>1.1346419999999999E-2</v>
      </c>
      <c r="W7018">
        <v>3.4554109999999999E-2</v>
      </c>
      <c r="X7018">
        <v>0.99933839999999996</v>
      </c>
      <c r="Y7018">
        <v>1.9860340000000001E-2</v>
      </c>
      <c r="Z7018">
        <v>-8.4898509999999996E-2</v>
      </c>
      <c r="AA7018">
        <v>0.99619170000000001</v>
      </c>
      <c r="AB7018">
        <v>30</v>
      </c>
      <c r="AC7018">
        <v>7.2300000000012604E-2</v>
      </c>
      <c r="AD7018">
        <v>-6.5977000000000105E-2</v>
      </c>
      <c r="AE7018">
        <v>0.48241999999999702</v>
      </c>
      <c r="AF7018">
        <v>1.6054742826968602E-2</v>
      </c>
      <c r="AG7018">
        <v>-6.5977000000000105E-2</v>
      </c>
      <c r="AH7018">
        <v>0.47877536925765901</v>
      </c>
      <c r="AI7018">
        <v>97.841798857854201</v>
      </c>
      <c r="AJ7018">
        <v>88.079424063883593</v>
      </c>
      <c r="AK7018">
        <v>0.48356651404336098</v>
      </c>
      <c r="AL7018">
        <v>88.019801109464495</v>
      </c>
      <c r="AM7018">
        <v>89.349495580797694</v>
      </c>
      <c r="AN7018">
        <v>0.99999998273963397</v>
      </c>
    </row>
    <row r="7019" spans="1:40" x14ac:dyDescent="0.25">
      <c r="A7019" t="str">
        <f>"20190312154433268"</f>
        <v>20190312154433268</v>
      </c>
      <c r="B7019" t="str">
        <f>"1552376673264445"</f>
        <v>1552376673264445</v>
      </c>
      <c r="C7019" t="s">
        <v>40</v>
      </c>
      <c r="D7019">
        <v>5.3515220000000001</v>
      </c>
      <c r="E7019">
        <v>0.50753090000000001</v>
      </c>
      <c r="F7019" t="s">
        <v>41</v>
      </c>
      <c r="G7019">
        <v>-194.07560000000001</v>
      </c>
      <c r="H7019">
        <v>1.0424719999999901</v>
      </c>
      <c r="I7019">
        <v>-40.264150000000001</v>
      </c>
      <c r="J7019">
        <v>-194.1489</v>
      </c>
      <c r="K7019">
        <v>1.110695</v>
      </c>
      <c r="L7019">
        <v>-40.729489999999998</v>
      </c>
      <c r="M7019">
        <v>0.1149671</v>
      </c>
      <c r="N7019">
        <v>0</v>
      </c>
      <c r="O7019">
        <v>0.99327109999999996</v>
      </c>
      <c r="P7019">
        <v>0.1295598</v>
      </c>
      <c r="Q7019">
        <v>1.7641589999999999E-2</v>
      </c>
      <c r="R7019">
        <v>0.99141469999999998</v>
      </c>
      <c r="S7019">
        <v>0.42070010000000002</v>
      </c>
      <c r="T7019">
        <v>-0.27478209999999997</v>
      </c>
      <c r="U7019">
        <v>2.9769290000000002</v>
      </c>
      <c r="V7019">
        <v>1.4681700000000001E-2</v>
      </c>
      <c r="W7019">
        <v>3.1615539999999998E-2</v>
      </c>
      <c r="X7019">
        <v>0.99939230000000001</v>
      </c>
      <c r="Y7019">
        <v>2.457608E-2</v>
      </c>
      <c r="Z7019">
        <v>-9.054413E-2</v>
      </c>
      <c r="AA7019">
        <v>0.9955891</v>
      </c>
      <c r="AB7019">
        <v>30</v>
      </c>
      <c r="AC7019">
        <v>7.3299999999988999E-2</v>
      </c>
      <c r="AD7019">
        <v>-6.8223000000000103E-2</v>
      </c>
      <c r="AE7019">
        <v>0.46534000000000397</v>
      </c>
      <c r="AF7019">
        <v>1.8913184173947498E-2</v>
      </c>
      <c r="AG7019">
        <v>-6.8223000000000103E-2</v>
      </c>
      <c r="AH7019">
        <v>0.461012603708429</v>
      </c>
      <c r="AI7019">
        <v>98.410854175828007</v>
      </c>
      <c r="AJ7019">
        <v>87.650740387163097</v>
      </c>
      <c r="AK7019">
        <v>0.46641688117243602</v>
      </c>
      <c r="AL7019">
        <v>88.188261145132103</v>
      </c>
      <c r="AM7019">
        <v>89.158349589489703</v>
      </c>
      <c r="AN7019">
        <v>1.0000000319918301</v>
      </c>
    </row>
    <row r="7020" spans="1:40" x14ac:dyDescent="0.25">
      <c r="A7020" t="str">
        <f>"20190312154433290"</f>
        <v>20190312154433290</v>
      </c>
      <c r="B7020" t="str">
        <f>"1552376673284942"</f>
        <v>1552376673284942</v>
      </c>
      <c r="C7020" t="s">
        <v>40</v>
      </c>
      <c r="D7020">
        <v>5.3496129999999997</v>
      </c>
      <c r="E7020">
        <v>0.50806340000000005</v>
      </c>
      <c r="F7020" t="s">
        <v>41</v>
      </c>
      <c r="G7020">
        <v>-194.0421</v>
      </c>
      <c r="H7020">
        <v>1.041207</v>
      </c>
      <c r="I7020">
        <v>-40.002859999999998</v>
      </c>
      <c r="J7020">
        <v>-194.11510000000001</v>
      </c>
      <c r="K7020">
        <v>1.1104080000000001</v>
      </c>
      <c r="L7020">
        <v>-40.43723</v>
      </c>
      <c r="M7020">
        <v>0.1152146</v>
      </c>
      <c r="N7020">
        <v>0</v>
      </c>
      <c r="O7020">
        <v>0.99324570000000001</v>
      </c>
      <c r="P7020">
        <v>0.13443669999999999</v>
      </c>
      <c r="Q7020">
        <v>1.775533E-2</v>
      </c>
      <c r="R7020">
        <v>0.99076310000000001</v>
      </c>
      <c r="S7020">
        <v>0.43695070000000003</v>
      </c>
      <c r="T7020">
        <v>-0.28434880000000001</v>
      </c>
      <c r="U7020">
        <v>2.973938</v>
      </c>
      <c r="V7020">
        <v>1.937241E-2</v>
      </c>
      <c r="W7020">
        <v>3.1483039999999997E-2</v>
      </c>
      <c r="X7020">
        <v>0.99931650000000005</v>
      </c>
      <c r="Y7020">
        <v>2.9752250000000001E-2</v>
      </c>
      <c r="Z7020">
        <v>-9.3714850000000002E-2</v>
      </c>
      <c r="AA7020">
        <v>0.99515439999999999</v>
      </c>
      <c r="AB7020">
        <v>30</v>
      </c>
      <c r="AC7020">
        <v>7.3000000000007503E-2</v>
      </c>
      <c r="AD7020">
        <v>-6.9200999999999999E-2</v>
      </c>
      <c r="AE7020">
        <v>0.43437000000000098</v>
      </c>
      <c r="AF7020">
        <v>2.1922169821915E-2</v>
      </c>
      <c r="AG7020">
        <v>-6.9200999999999999E-2</v>
      </c>
      <c r="AH7020">
        <v>0.42929180129317501</v>
      </c>
      <c r="AI7020">
        <v>99.145479107178701</v>
      </c>
      <c r="AJ7020">
        <v>87.076679078053999</v>
      </c>
      <c r="AK7020">
        <v>0.43538581808350202</v>
      </c>
      <c r="AL7020">
        <v>88.195856504169996</v>
      </c>
      <c r="AM7020">
        <v>88.889422599073797</v>
      </c>
      <c r="AN7020">
        <v>0.99999996962454896</v>
      </c>
    </row>
    <row r="7021" spans="1:40" x14ac:dyDescent="0.25">
      <c r="A7021" t="str">
        <f>"20190312154433313"</f>
        <v>20190312154433313</v>
      </c>
      <c r="B7021" t="str">
        <f>"1552376673304460"</f>
        <v>1552376673304460</v>
      </c>
      <c r="C7021" t="s">
        <v>40</v>
      </c>
      <c r="D7021">
        <v>5.4586059999999996</v>
      </c>
      <c r="E7021">
        <v>0.50841950000000002</v>
      </c>
      <c r="F7021" t="s">
        <v>41</v>
      </c>
      <c r="G7021">
        <v>-193.97</v>
      </c>
      <c r="H7021">
        <v>1.0194319999999999</v>
      </c>
      <c r="I7021">
        <v>-39.48948</v>
      </c>
      <c r="J7021">
        <v>-194.07990000000001</v>
      </c>
      <c r="K7021">
        <v>1.1101890000000001</v>
      </c>
      <c r="L7021">
        <v>-40.136409999999998</v>
      </c>
      <c r="M7021">
        <v>0.1156766</v>
      </c>
      <c r="N7021">
        <v>0</v>
      </c>
      <c r="O7021">
        <v>0.99319570000000001</v>
      </c>
      <c r="P7021">
        <v>0.1387659</v>
      </c>
      <c r="Q7021">
        <v>2.2154730000000001E-2</v>
      </c>
      <c r="R7021">
        <v>0.9900774</v>
      </c>
      <c r="S7021">
        <v>0.45454410000000001</v>
      </c>
      <c r="T7021">
        <v>-0.28519809999999901</v>
      </c>
      <c r="U7021">
        <v>2.9714049999999999</v>
      </c>
      <c r="V7021">
        <v>2.3304289999999998E-2</v>
      </c>
      <c r="W7021">
        <v>3.560489E-2</v>
      </c>
      <c r="X7021">
        <v>0.99909420000000004</v>
      </c>
      <c r="Y7021">
        <v>3.5167570000000002E-2</v>
      </c>
      <c r="Z7021">
        <v>-9.4014319999999998E-2</v>
      </c>
      <c r="AA7021">
        <v>0.99494950000000004</v>
      </c>
      <c r="AB7021">
        <v>30</v>
      </c>
      <c r="AC7021">
        <v>0.10990000000001</v>
      </c>
      <c r="AD7021">
        <v>-9.0756999999999893E-2</v>
      </c>
      <c r="AE7021">
        <v>0.64692999999999701</v>
      </c>
      <c r="AF7021">
        <v>3.3676461208697099E-2</v>
      </c>
      <c r="AG7021">
        <v>-9.0756999999999893E-2</v>
      </c>
      <c r="AH7021">
        <v>0.64300044723286998</v>
      </c>
      <c r="AI7021">
        <v>98.023151270525801</v>
      </c>
      <c r="AJ7021">
        <v>87.001934041625205</v>
      </c>
      <c r="AK7021">
        <v>0.65024650112877302</v>
      </c>
      <c r="AL7021">
        <v>87.959558823001004</v>
      </c>
      <c r="AM7021">
        <v>88.6637942807901</v>
      </c>
      <c r="AN7021">
        <v>1.00000000929897</v>
      </c>
    </row>
    <row r="7022" spans="1:40" x14ac:dyDescent="0.25">
      <c r="A7022" t="str">
        <f>"20190312154433335"</f>
        <v>20190312154433335</v>
      </c>
      <c r="B7022" t="str">
        <f>"1552376673324957"</f>
        <v>1552376673324957</v>
      </c>
      <c r="C7022" t="s">
        <v>40</v>
      </c>
      <c r="D7022">
        <v>5.372395</v>
      </c>
      <c r="E7022">
        <v>0.50884370000000001</v>
      </c>
      <c r="F7022" t="s">
        <v>41</v>
      </c>
      <c r="G7022">
        <v>-193.93539999999999</v>
      </c>
      <c r="H7022">
        <v>1.026092</v>
      </c>
      <c r="I7022">
        <v>-39.223039999999997</v>
      </c>
      <c r="J7022">
        <v>-194.0438</v>
      </c>
      <c r="K7022">
        <v>1.1100179999999999</v>
      </c>
      <c r="L7022">
        <v>-39.830289999999998</v>
      </c>
      <c r="M7022">
        <v>0.1162807</v>
      </c>
      <c r="N7022">
        <v>0</v>
      </c>
      <c r="O7022">
        <v>0.99312880000000003</v>
      </c>
      <c r="P7022">
        <v>0.14312939999999999</v>
      </c>
      <c r="Q7022">
        <v>2.6941349999999999E-2</v>
      </c>
      <c r="R7022">
        <v>0.98933720000000003</v>
      </c>
      <c r="S7022">
        <v>0.46952820000000001</v>
      </c>
      <c r="T7022">
        <v>-0.27342470000000002</v>
      </c>
      <c r="U7022">
        <v>2.9703979999999999</v>
      </c>
      <c r="V7022">
        <v>2.7133190000000001E-2</v>
      </c>
      <c r="W7022">
        <v>4.0101089999999999E-2</v>
      </c>
      <c r="X7022">
        <v>0.99882720000000003</v>
      </c>
      <c r="Y7022">
        <v>3.9566810000000001E-2</v>
      </c>
      <c r="Z7022">
        <v>-9.0144520000000006E-2</v>
      </c>
      <c r="AA7022">
        <v>0.99514239999999998</v>
      </c>
      <c r="AB7022">
        <v>30</v>
      </c>
      <c r="AC7022">
        <v>0.108400000000017</v>
      </c>
      <c r="AD7022">
        <v>-8.3925999999999903E-2</v>
      </c>
      <c r="AE7022">
        <v>0.60724999999999996</v>
      </c>
      <c r="AF7022">
        <v>3.6373610234695902E-2</v>
      </c>
      <c r="AG7022">
        <v>-8.3925999999999903E-2</v>
      </c>
      <c r="AH7022">
        <v>0.60454499868673695</v>
      </c>
      <c r="AI7022">
        <v>97.889487995282195</v>
      </c>
      <c r="AJ7022">
        <v>86.556840259325696</v>
      </c>
      <c r="AK7022">
        <v>0.61142560335224105</v>
      </c>
      <c r="AL7022">
        <v>87.701760638041193</v>
      </c>
      <c r="AM7022">
        <v>88.4439400166019</v>
      </c>
      <c r="AN7022">
        <v>1.0000000414393</v>
      </c>
    </row>
    <row r="7023" spans="1:40" x14ac:dyDescent="0.25">
      <c r="A7023" t="str">
        <f>"20190312154433358"</f>
        <v>20190312154433358</v>
      </c>
      <c r="B7023" t="str">
        <f>"1552376673344478"</f>
        <v>1552376673344478</v>
      </c>
      <c r="C7023" t="s">
        <v>40</v>
      </c>
      <c r="D7023">
        <v>5.3983489999999996</v>
      </c>
      <c r="E7023">
        <v>0.50917029999999996</v>
      </c>
      <c r="F7023" t="s">
        <v>41</v>
      </c>
      <c r="G7023">
        <v>-193.9008</v>
      </c>
      <c r="H7023">
        <v>1.0336669999999999</v>
      </c>
      <c r="I7023">
        <v>-38.955889999999997</v>
      </c>
      <c r="J7023">
        <v>-194.01</v>
      </c>
      <c r="K7023">
        <v>1.109885</v>
      </c>
      <c r="L7023">
        <v>-39.546109999999999</v>
      </c>
      <c r="M7023">
        <v>0.11692809999999999</v>
      </c>
      <c r="N7023">
        <v>0</v>
      </c>
      <c r="O7023">
        <v>0.99305639999999995</v>
      </c>
      <c r="P7023">
        <v>0.14681920000000001</v>
      </c>
      <c r="Q7023">
        <v>2.9408400000000001E-2</v>
      </c>
      <c r="R7023">
        <v>0.98872610000000005</v>
      </c>
      <c r="S7023">
        <v>0.48547360000000001</v>
      </c>
      <c r="T7023">
        <v>-0.25925870000000001</v>
      </c>
      <c r="U7023">
        <v>2.969147</v>
      </c>
      <c r="V7023">
        <v>3.0231439999999998E-2</v>
      </c>
      <c r="W7023">
        <v>4.2283149999999999E-2</v>
      </c>
      <c r="X7023">
        <v>0.99864819999999999</v>
      </c>
      <c r="Y7023">
        <v>4.4256299999999998E-2</v>
      </c>
      <c r="Z7023">
        <v>-8.5490949999999996E-2</v>
      </c>
      <c r="AA7023">
        <v>0.99535549999999995</v>
      </c>
      <c r="AB7023">
        <v>30</v>
      </c>
      <c r="AC7023">
        <v>0.109199999999987</v>
      </c>
      <c r="AD7023">
        <v>-7.6217999999999897E-2</v>
      </c>
      <c r="AE7023">
        <v>0.59021999999999497</v>
      </c>
      <c r="AF7023">
        <v>3.8806040309253997E-2</v>
      </c>
      <c r="AG7023">
        <v>-7.6217999999999897E-2</v>
      </c>
      <c r="AH7023">
        <v>0.589436248313295</v>
      </c>
      <c r="AI7023">
        <v>97.352098908528006</v>
      </c>
      <c r="AJ7023">
        <v>86.233319051705195</v>
      </c>
      <c r="AK7023">
        <v>0.59560908582234995</v>
      </c>
      <c r="AL7023">
        <v>87.5766315240719</v>
      </c>
      <c r="AM7023">
        <v>88.266050954694506</v>
      </c>
      <c r="AN7023">
        <v>1.00000001605081</v>
      </c>
    </row>
    <row r="7024" spans="1:40" x14ac:dyDescent="0.25">
      <c r="A7024" t="str">
        <f>"20190312154433381"</f>
        <v>20190312154433381</v>
      </c>
      <c r="B7024" t="str">
        <f>"1552376673374734"</f>
        <v>1552376673374734</v>
      </c>
      <c r="C7024" t="s">
        <v>40</v>
      </c>
      <c r="D7024">
        <v>5.3648959999999999</v>
      </c>
      <c r="E7024">
        <v>0.50962189999999996</v>
      </c>
      <c r="F7024" t="s">
        <v>41</v>
      </c>
      <c r="G7024">
        <v>-193.86609999999999</v>
      </c>
      <c r="H7024">
        <v>1.037142</v>
      </c>
      <c r="I7024">
        <v>-38.690460000000002</v>
      </c>
      <c r="J7024">
        <v>-193.97309999999999</v>
      </c>
      <c r="K7024">
        <v>1.109758</v>
      </c>
      <c r="L7024">
        <v>-39.238619999999997</v>
      </c>
      <c r="M7024">
        <v>0.1177107</v>
      </c>
      <c r="N7024">
        <v>0</v>
      </c>
      <c r="O7024">
        <v>0.99296799999999996</v>
      </c>
      <c r="P7024">
        <v>0.149568799999999</v>
      </c>
      <c r="Q7024">
        <v>3.288783E-2</v>
      </c>
      <c r="R7024">
        <v>0.98820419999999998</v>
      </c>
      <c r="S7024">
        <v>0.49891659999999999</v>
      </c>
      <c r="T7024">
        <v>-0.25227450000000001</v>
      </c>
      <c r="U7024">
        <v>2.9676209999999998</v>
      </c>
      <c r="V7024">
        <v>3.2250620000000001E-2</v>
      </c>
      <c r="W7024">
        <v>4.5432010000000002E-2</v>
      </c>
      <c r="X7024">
        <v>0.99844670000000002</v>
      </c>
      <c r="Y7024">
        <v>4.7971130000000001E-2</v>
      </c>
      <c r="Z7024">
        <v>-8.3197080000000007E-2</v>
      </c>
      <c r="AA7024">
        <v>0.99537779999999998</v>
      </c>
      <c r="AB7024">
        <v>30</v>
      </c>
      <c r="AC7024">
        <v>0.106999999999999</v>
      </c>
      <c r="AD7024">
        <v>-7.2616E-2</v>
      </c>
      <c r="AE7024">
        <v>0.54816000000000997</v>
      </c>
      <c r="AF7024">
        <v>4.10329375621067E-2</v>
      </c>
      <c r="AG7024">
        <v>-7.2616E-2</v>
      </c>
      <c r="AH7024">
        <v>0.54768607344685105</v>
      </c>
      <c r="AI7024">
        <v>97.531753678465194</v>
      </c>
      <c r="AJ7024">
        <v>85.715373831130506</v>
      </c>
      <c r="AK7024">
        <v>0.55400074049463599</v>
      </c>
      <c r="AL7024">
        <v>87.396041234198606</v>
      </c>
      <c r="AM7024">
        <v>88.149944130667393</v>
      </c>
      <c r="AN7024">
        <v>0.99999999138195705</v>
      </c>
    </row>
    <row r="7025" spans="1:40" x14ac:dyDescent="0.25">
      <c r="A7025" t="str">
        <f>"20190312154433403"</f>
        <v>20190312154433403</v>
      </c>
      <c r="B7025" t="str">
        <f>"1552376673394254"</f>
        <v>1552376673394254</v>
      </c>
      <c r="C7025" t="s">
        <v>40</v>
      </c>
      <c r="D7025">
        <v>5.3736420000000003</v>
      </c>
      <c r="E7025">
        <v>0.50975709999999996</v>
      </c>
      <c r="F7025" t="s">
        <v>41</v>
      </c>
      <c r="G7025">
        <v>-193.83260000000001</v>
      </c>
      <c r="H7025">
        <v>1.0429919999999999</v>
      </c>
      <c r="I7025">
        <v>-38.423319999999997</v>
      </c>
      <c r="J7025">
        <v>-193.93799999999999</v>
      </c>
      <c r="K7025">
        <v>1.1096429999999999</v>
      </c>
      <c r="L7025">
        <v>-38.94876</v>
      </c>
      <c r="M7025">
        <v>0.1185216</v>
      </c>
      <c r="N7025">
        <v>0</v>
      </c>
      <c r="O7025">
        <v>0.99287550000000002</v>
      </c>
      <c r="P7025">
        <v>0.1522751</v>
      </c>
      <c r="Q7025">
        <v>3.4998500000000002E-2</v>
      </c>
      <c r="R7025">
        <v>0.98771830000000005</v>
      </c>
      <c r="S7025">
        <v>0.5109863</v>
      </c>
      <c r="T7025">
        <v>-0.2429134</v>
      </c>
      <c r="U7025">
        <v>2.9665530000000002</v>
      </c>
      <c r="V7025">
        <v>3.4192019999999997E-2</v>
      </c>
      <c r="W7025">
        <v>4.7215380000000001E-2</v>
      </c>
      <c r="X7025">
        <v>0.99829939999999995</v>
      </c>
      <c r="Y7025">
        <v>5.1193089999999997E-2</v>
      </c>
      <c r="Z7025">
        <v>-8.0113630000000005E-2</v>
      </c>
      <c r="AA7025">
        <v>0.99547030000000003</v>
      </c>
      <c r="AB7025">
        <v>30</v>
      </c>
      <c r="AC7025">
        <v>0.105399999999974</v>
      </c>
      <c r="AD7025">
        <v>-6.6651000000000002E-2</v>
      </c>
      <c r="AE7025">
        <v>0.52543999999999602</v>
      </c>
      <c r="AF7025">
        <v>4.1730792730206599E-2</v>
      </c>
      <c r="AG7025">
        <v>-6.6651000000000002E-2</v>
      </c>
      <c r="AH7025">
        <v>0.52609139447410003</v>
      </c>
      <c r="AI7025">
        <v>97.1980168769242</v>
      </c>
      <c r="AJ7025">
        <v>85.464661794592899</v>
      </c>
      <c r="AK7025">
        <v>0.53193605837787905</v>
      </c>
      <c r="AL7025">
        <v>87.293751965256405</v>
      </c>
      <c r="AM7025">
        <v>88.038371120735306</v>
      </c>
      <c r="AN7025">
        <v>1.0000000391902899</v>
      </c>
    </row>
    <row r="7026" spans="1:40" x14ac:dyDescent="0.25">
      <c r="A7026" t="str">
        <f>"20190312154433427"</f>
        <v>20190312154433427</v>
      </c>
      <c r="B7026" t="str">
        <f>"1552376673414749"</f>
        <v>1552376673414749</v>
      </c>
      <c r="C7026" t="s">
        <v>40</v>
      </c>
      <c r="D7026">
        <v>5.3608019999999996</v>
      </c>
      <c r="E7026">
        <v>0.50979730000000001</v>
      </c>
      <c r="F7026" t="s">
        <v>41</v>
      </c>
      <c r="G7026">
        <v>-193.7988</v>
      </c>
      <c r="H7026">
        <v>1.0460849999999999</v>
      </c>
      <c r="I7026">
        <v>-38.156089999999999</v>
      </c>
      <c r="J7026">
        <v>-193.89869999999999</v>
      </c>
      <c r="K7026">
        <v>1.1095079999999999</v>
      </c>
      <c r="L7026">
        <v>-38.627929999999999</v>
      </c>
      <c r="M7026">
        <v>0.1195007</v>
      </c>
      <c r="N7026">
        <v>0</v>
      </c>
      <c r="O7026">
        <v>0.99276260000000005</v>
      </c>
      <c r="P7026">
        <v>0.1550608</v>
      </c>
      <c r="Q7026">
        <v>3.3893369999999999E-2</v>
      </c>
      <c r="R7026">
        <v>0.98732330000000001</v>
      </c>
      <c r="S7026">
        <v>0.52014159999999998</v>
      </c>
      <c r="T7026">
        <v>-0.23770769999999999</v>
      </c>
      <c r="U7026">
        <v>2.9655459999999998</v>
      </c>
      <c r="V7026">
        <v>3.602847E-2</v>
      </c>
      <c r="W7026">
        <v>4.5732109999999999E-2</v>
      </c>
      <c r="X7026">
        <v>0.99830379999999996</v>
      </c>
      <c r="Y7026">
        <v>5.3272050000000001E-2</v>
      </c>
      <c r="Z7026">
        <v>-7.8395129999999993E-2</v>
      </c>
      <c r="AA7026">
        <v>0.99549799999999999</v>
      </c>
      <c r="AB7026">
        <v>30</v>
      </c>
      <c r="AC7026">
        <v>9.9899999999990996E-2</v>
      </c>
      <c r="AD7026">
        <v>-6.3422999999999993E-2</v>
      </c>
      <c r="AE7026">
        <v>0.47183999999999998</v>
      </c>
      <c r="AF7026">
        <v>4.2067359220239103E-2</v>
      </c>
      <c r="AG7026">
        <v>-6.3422999999999993E-2</v>
      </c>
      <c r="AH7026">
        <v>0.47223124252456</v>
      </c>
      <c r="AI7026">
        <v>97.619517811863204</v>
      </c>
      <c r="AJ7026">
        <v>84.909407911227802</v>
      </c>
      <c r="AK7026">
        <v>0.478324665950915</v>
      </c>
      <c r="AL7026">
        <v>87.3788288417839</v>
      </c>
      <c r="AM7026">
        <v>87.933110386233096</v>
      </c>
      <c r="AN7026">
        <v>0.99999997681501596</v>
      </c>
    </row>
    <row r="7027" spans="1:40" x14ac:dyDescent="0.25">
      <c r="A7027" t="str">
        <f>"20190312154433450"</f>
        <v>20190312154433450</v>
      </c>
      <c r="B7027" t="str">
        <f>"1552376673445005"</f>
        <v>1552376673445005</v>
      </c>
      <c r="C7027" t="s">
        <v>40</v>
      </c>
      <c r="D7027">
        <v>5.3723729999999996</v>
      </c>
      <c r="E7027">
        <v>0.5097064</v>
      </c>
      <c r="F7027" t="s">
        <v>41</v>
      </c>
      <c r="G7027">
        <v>-193.76669999999999</v>
      </c>
      <c r="H7027">
        <v>1.0488959999999901</v>
      </c>
      <c r="I7027">
        <v>-37.888100000000001</v>
      </c>
      <c r="J7027">
        <v>-193.85990000000001</v>
      </c>
      <c r="K7027">
        <v>1.109362</v>
      </c>
      <c r="L7027">
        <v>-38.31418</v>
      </c>
      <c r="M7027">
        <v>0.12055680000000001</v>
      </c>
      <c r="N7027">
        <v>0</v>
      </c>
      <c r="O7027">
        <v>0.99263950000000001</v>
      </c>
      <c r="P7027">
        <v>0.157688299999999</v>
      </c>
      <c r="Q7027">
        <v>3.1827920000000003E-2</v>
      </c>
      <c r="R7027">
        <v>0.98697590000000002</v>
      </c>
      <c r="S7027">
        <v>0.52885439999999995</v>
      </c>
      <c r="T7027">
        <v>-0.24279519999999999</v>
      </c>
      <c r="U7027">
        <v>2.9638059999999999</v>
      </c>
      <c r="V7027">
        <v>3.7621710000000003E-2</v>
      </c>
      <c r="W7027">
        <v>4.3275019999999997E-2</v>
      </c>
      <c r="X7027">
        <v>0.99835459999999998</v>
      </c>
      <c r="Y7027">
        <v>5.5123650000000003E-2</v>
      </c>
      <c r="Z7027">
        <v>-8.0068539999999994E-2</v>
      </c>
      <c r="AA7027">
        <v>0.99526400000000004</v>
      </c>
      <c r="AB7027">
        <v>30</v>
      </c>
      <c r="AC7027">
        <v>9.3200000000024305E-2</v>
      </c>
      <c r="AD7027">
        <v>-6.0466000000000297E-2</v>
      </c>
      <c r="AE7027">
        <v>0.42607999999999802</v>
      </c>
      <c r="AF7027">
        <v>4.03739266638838E-2</v>
      </c>
      <c r="AG7027">
        <v>-6.0466000000000297E-2</v>
      </c>
      <c r="AH7027">
        <v>0.42602066902346097</v>
      </c>
      <c r="AI7027">
        <v>98.042592294985198</v>
      </c>
      <c r="AJ7027">
        <v>84.586254895201293</v>
      </c>
      <c r="AK7027">
        <v>0.43218028824260102</v>
      </c>
      <c r="AL7027">
        <v>87.519749480101297</v>
      </c>
      <c r="AM7027">
        <v>87.841903343873796</v>
      </c>
      <c r="AN7027">
        <v>1.0000000138802401</v>
      </c>
    </row>
    <row r="7028" spans="1:40" x14ac:dyDescent="0.25">
      <c r="A7028" t="str">
        <f>"20190312154433470"</f>
        <v>20190312154433470</v>
      </c>
      <c r="B7028" t="str">
        <f>"1552376673464525"</f>
        <v>1552376673464525</v>
      </c>
      <c r="C7028" t="s">
        <v>40</v>
      </c>
      <c r="D7028">
        <v>5.3936120000000001</v>
      </c>
      <c r="E7028">
        <v>0.50974629999999999</v>
      </c>
      <c r="F7028" t="s">
        <v>41</v>
      </c>
      <c r="G7028">
        <v>-193.68879999999999</v>
      </c>
      <c r="H7028">
        <v>1.0289330000000001</v>
      </c>
      <c r="I7028">
        <v>-37.369399999999999</v>
      </c>
      <c r="J7028">
        <v>-193.8272</v>
      </c>
      <c r="K7028">
        <v>1.10924</v>
      </c>
      <c r="L7028">
        <v>-38.052</v>
      </c>
      <c r="M7028">
        <v>0.1215123</v>
      </c>
      <c r="N7028">
        <v>0</v>
      </c>
      <c r="O7028">
        <v>0.99252680000000004</v>
      </c>
      <c r="P7028">
        <v>0.15909129999999999</v>
      </c>
      <c r="Q7028">
        <v>3.101953E-2</v>
      </c>
      <c r="R7028">
        <v>0.98677649999999995</v>
      </c>
      <c r="S7028">
        <v>0.53642270000000003</v>
      </c>
      <c r="T7028">
        <v>-0.25213799999999997</v>
      </c>
      <c r="U7028">
        <v>2.9620060000000001</v>
      </c>
      <c r="V7028">
        <v>3.8082629999999999E-2</v>
      </c>
      <c r="W7028">
        <v>4.2126410000000003E-2</v>
      </c>
      <c r="X7028">
        <v>0.99838629999999995</v>
      </c>
      <c r="Y7028">
        <v>5.6685729999999997E-2</v>
      </c>
      <c r="Z7028">
        <v>-8.3141060000000003E-2</v>
      </c>
      <c r="AA7028">
        <v>0.99492420000000004</v>
      </c>
      <c r="AB7028">
        <v>30</v>
      </c>
      <c r="AC7028">
        <v>0.13840000000001801</v>
      </c>
      <c r="AD7028">
        <v>-8.0306999999999906E-2</v>
      </c>
      <c r="AE7028">
        <v>0.68259999999999998</v>
      </c>
      <c r="AF7028">
        <v>5.3710755914787502E-2</v>
      </c>
      <c r="AG7028">
        <v>-8.0306999999999906E-2</v>
      </c>
      <c r="AH7028">
        <v>0.68524943047724396</v>
      </c>
      <c r="AI7028">
        <v>96.663966975917603</v>
      </c>
      <c r="AJ7028">
        <v>85.518244182871101</v>
      </c>
      <c r="AK7028">
        <v>0.69202661908291196</v>
      </c>
      <c r="AL7028">
        <v>87.585620185782503</v>
      </c>
      <c r="AM7028">
        <v>87.815558313716707</v>
      </c>
      <c r="AN7028">
        <v>1.0000000625774399</v>
      </c>
    </row>
    <row r="7029" spans="1:40" x14ac:dyDescent="0.25">
      <c r="A7029" t="str">
        <f>"20190312154433491"</f>
        <v>20190312154433491</v>
      </c>
      <c r="B7029" t="str">
        <f>"1552376673485021"</f>
        <v>1552376673485021</v>
      </c>
      <c r="C7029" t="s">
        <v>40</v>
      </c>
      <c r="D7029">
        <v>5.3908310000000004</v>
      </c>
      <c r="E7029">
        <v>0.50963400000000003</v>
      </c>
      <c r="F7029" t="s">
        <v>41</v>
      </c>
      <c r="G7029">
        <v>-193.65360000000001</v>
      </c>
      <c r="H7029">
        <v>1.0271319999999999</v>
      </c>
      <c r="I7029">
        <v>-37.103389999999997</v>
      </c>
      <c r="J7029">
        <v>-193.79</v>
      </c>
      <c r="K7029">
        <v>1.109116</v>
      </c>
      <c r="L7029">
        <v>-37.757689999999997</v>
      </c>
      <c r="M7029">
        <v>0.12265520000000001</v>
      </c>
      <c r="N7029">
        <v>0</v>
      </c>
      <c r="O7029">
        <v>0.99239029999999995</v>
      </c>
      <c r="P7029">
        <v>0.15945519999999999</v>
      </c>
      <c r="Q7029">
        <v>2.9933939999999999E-2</v>
      </c>
      <c r="R7029">
        <v>0.9867513</v>
      </c>
      <c r="S7029">
        <v>0.54139709999999996</v>
      </c>
      <c r="T7029">
        <v>-0.25624139999999901</v>
      </c>
      <c r="U7029">
        <v>2.9609679999999998</v>
      </c>
      <c r="V7029">
        <v>3.7301309999999997E-2</v>
      </c>
      <c r="W7029">
        <v>4.0667109999999999E-2</v>
      </c>
      <c r="X7029">
        <v>0.99847629999999998</v>
      </c>
      <c r="Y7029">
        <v>5.7195019999999999E-2</v>
      </c>
      <c r="Z7029">
        <v>-8.448174E-2</v>
      </c>
      <c r="AA7029">
        <v>0.9947821</v>
      </c>
      <c r="AB7029">
        <v>30</v>
      </c>
      <c r="AC7029">
        <v>0.13639999999998001</v>
      </c>
      <c r="AD7029">
        <v>-8.1984000000000001E-2</v>
      </c>
      <c r="AE7029">
        <v>0.65429999999999899</v>
      </c>
      <c r="AF7029">
        <v>5.4295030751950399E-2</v>
      </c>
      <c r="AG7029">
        <v>-8.1984000000000001E-2</v>
      </c>
      <c r="AH7029">
        <v>0.65621655579419103</v>
      </c>
      <c r="AI7029">
        <v>97.097310218552195</v>
      </c>
      <c r="AJ7029">
        <v>85.2701493708323</v>
      </c>
      <c r="AK7029">
        <v>0.66354313704441703</v>
      </c>
      <c r="AL7029">
        <v>87.669303651384396</v>
      </c>
      <c r="AM7029">
        <v>87.860525873965798</v>
      </c>
      <c r="AN7029">
        <v>1.0000000616125699</v>
      </c>
    </row>
    <row r="7030" spans="1:40" x14ac:dyDescent="0.25">
      <c r="A7030" t="str">
        <f>"20190312154433514"</f>
        <v>20190312154433514</v>
      </c>
      <c r="B7030" t="str">
        <f>"1552376673504541"</f>
        <v>1552376673504541</v>
      </c>
      <c r="C7030" t="s">
        <v>40</v>
      </c>
      <c r="D7030">
        <v>5.3195410000000001</v>
      </c>
      <c r="E7030">
        <v>0.50956590000000002</v>
      </c>
      <c r="F7030" t="s">
        <v>41</v>
      </c>
      <c r="G7030">
        <v>-193.62110000000001</v>
      </c>
      <c r="H7030">
        <v>1.0278080000000001</v>
      </c>
      <c r="I7030">
        <v>-36.835059999999999</v>
      </c>
      <c r="J7030">
        <v>-193.7525</v>
      </c>
      <c r="K7030">
        <v>1.1089880000000001</v>
      </c>
      <c r="L7030">
        <v>-37.464419999999997</v>
      </c>
      <c r="M7030">
        <v>0.123872</v>
      </c>
      <c r="N7030">
        <v>0</v>
      </c>
      <c r="O7030">
        <v>0.99224310000000004</v>
      </c>
      <c r="P7030">
        <v>0.15894849999999999</v>
      </c>
      <c r="Q7030">
        <v>2.8414809999999999E-2</v>
      </c>
      <c r="R7030">
        <v>0.98687789999999997</v>
      </c>
      <c r="S7030">
        <v>0.54215999999999998</v>
      </c>
      <c r="T7030">
        <v>-0.2609283</v>
      </c>
      <c r="U7030">
        <v>2.9605709999999998</v>
      </c>
      <c r="V7030">
        <v>3.5560699999999897E-2</v>
      </c>
      <c r="W7030">
        <v>3.877651E-2</v>
      </c>
      <c r="X7030">
        <v>0.99861500000000003</v>
      </c>
      <c r="Y7030">
        <v>5.6219159999999997E-2</v>
      </c>
      <c r="Z7030">
        <v>-8.6007589999999995E-2</v>
      </c>
      <c r="AA7030">
        <v>0.99470700000000001</v>
      </c>
      <c r="AB7030">
        <v>30</v>
      </c>
      <c r="AC7030">
        <v>0.131399999999985</v>
      </c>
      <c r="AD7030">
        <v>-8.1179999999999794E-2</v>
      </c>
      <c r="AE7030">
        <v>0.62936000000000503</v>
      </c>
      <c r="AF7030">
        <v>5.1600856215384398E-2</v>
      </c>
      <c r="AG7030">
        <v>-8.1179999999999794E-2</v>
      </c>
      <c r="AH7030">
        <v>0.63073415093427998</v>
      </c>
      <c r="AI7030">
        <v>97.309900441657405</v>
      </c>
      <c r="AJ7030">
        <v>85.323003111498707</v>
      </c>
      <c r="AK7030">
        <v>0.63802696644965395</v>
      </c>
      <c r="AL7030">
        <v>87.777712593926907</v>
      </c>
      <c r="AM7030">
        <v>87.960557915492501</v>
      </c>
      <c r="AN7030">
        <v>1.0000000496686301</v>
      </c>
    </row>
    <row r="7031" spans="1:40" x14ac:dyDescent="0.25">
      <c r="A7031" t="str">
        <f>"20190312154433536"</f>
        <v>20190312154433536</v>
      </c>
      <c r="B7031" t="str">
        <f>"1552376673524062"</f>
        <v>1552376673524062</v>
      </c>
      <c r="C7031" t="s">
        <v>40</v>
      </c>
      <c r="D7031">
        <v>5.3165769999999997</v>
      </c>
      <c r="E7031">
        <v>0.50949339999999999</v>
      </c>
      <c r="F7031" t="s">
        <v>41</v>
      </c>
      <c r="G7031">
        <v>-193.58860000000001</v>
      </c>
      <c r="H7031">
        <v>1.027874</v>
      </c>
      <c r="I7031">
        <v>-36.56617</v>
      </c>
      <c r="J7031">
        <v>-193.71369999999999</v>
      </c>
      <c r="K7031">
        <v>1.108859</v>
      </c>
      <c r="L7031">
        <v>-37.163849999999996</v>
      </c>
      <c r="M7031">
        <v>0.12520439999999999</v>
      </c>
      <c r="N7031">
        <v>0</v>
      </c>
      <c r="O7031">
        <v>0.99207990000000001</v>
      </c>
      <c r="P7031">
        <v>0.1582635</v>
      </c>
      <c r="Q7031">
        <v>2.6784229999999999E-2</v>
      </c>
      <c r="R7031">
        <v>0.98703350000000001</v>
      </c>
      <c r="S7031">
        <v>0.54025269999999903</v>
      </c>
      <c r="T7031">
        <v>-0.26734160000000001</v>
      </c>
      <c r="U7031">
        <v>2.9605709999999998</v>
      </c>
      <c r="V7031">
        <v>3.3521950000000002E-2</v>
      </c>
      <c r="W7031">
        <v>3.6754259999999997E-2</v>
      </c>
      <c r="X7031">
        <v>0.99876200000000004</v>
      </c>
      <c r="Y7031">
        <v>5.4225530000000001E-2</v>
      </c>
      <c r="Z7031">
        <v>-8.8092820000000002E-2</v>
      </c>
      <c r="AA7031">
        <v>0.99463520000000005</v>
      </c>
      <c r="AB7031">
        <v>30</v>
      </c>
      <c r="AC7031">
        <v>0.12509999999997401</v>
      </c>
      <c r="AD7031">
        <v>-8.0985000000000001E-2</v>
      </c>
      <c r="AE7031">
        <v>0.59767999999999599</v>
      </c>
      <c r="AF7031">
        <v>4.8427713881807097E-2</v>
      </c>
      <c r="AG7031">
        <v>-8.0985000000000001E-2</v>
      </c>
      <c r="AH7031">
        <v>0.59811967861488102</v>
      </c>
      <c r="AI7031">
        <v>97.686066555564807</v>
      </c>
      <c r="AJ7031">
        <v>85.371053350842402</v>
      </c>
      <c r="AK7031">
        <v>0.60551710433577899</v>
      </c>
      <c r="AL7031">
        <v>87.893661744047904</v>
      </c>
      <c r="AM7031">
        <v>88.077674633777505</v>
      </c>
      <c r="AN7031">
        <v>1.00000006470197</v>
      </c>
    </row>
    <row r="7032" spans="1:40" x14ac:dyDescent="0.25">
      <c r="A7032" t="str">
        <f>"20190312154433558"</f>
        <v>20190312154433558</v>
      </c>
      <c r="B7032" t="str">
        <f>"1552376673554317"</f>
        <v>1552376673554317</v>
      </c>
      <c r="C7032" t="s">
        <v>40</v>
      </c>
      <c r="D7032">
        <v>5.3830229999999997</v>
      </c>
      <c r="E7032">
        <v>0.50941629999999904</v>
      </c>
      <c r="F7032" t="s">
        <v>41</v>
      </c>
      <c r="G7032">
        <v>-193.55609999999999</v>
      </c>
      <c r="H7032">
        <v>1.02867</v>
      </c>
      <c r="I7032">
        <v>-36.295990000000003</v>
      </c>
      <c r="J7032">
        <v>-193.6748</v>
      </c>
      <c r="K7032">
        <v>1.1087320000000001</v>
      </c>
      <c r="L7032">
        <v>-36.866849999999999</v>
      </c>
      <c r="M7032">
        <v>0.12660450000000001</v>
      </c>
      <c r="N7032">
        <v>0</v>
      </c>
      <c r="O7032">
        <v>0.99190630000000002</v>
      </c>
      <c r="P7032">
        <v>0.15757850000000001</v>
      </c>
      <c r="Q7032">
        <v>2.5901879999999999E-2</v>
      </c>
      <c r="R7032">
        <v>0.98716669999999995</v>
      </c>
      <c r="S7032">
        <v>0.53733830000000005</v>
      </c>
      <c r="T7032">
        <v>-0.27353739999999999</v>
      </c>
      <c r="U7032">
        <v>2.9606629999999998</v>
      </c>
      <c r="V7032">
        <v>3.1418700000000001E-2</v>
      </c>
      <c r="W7032">
        <v>3.5460970000000001E-2</v>
      </c>
      <c r="X7032">
        <v>0.99887700000000001</v>
      </c>
      <c r="Y7032">
        <v>5.1830950000000001E-2</v>
      </c>
      <c r="Z7032">
        <v>-9.0104509999999999E-2</v>
      </c>
      <c r="AA7032">
        <v>0.99458270000000004</v>
      </c>
      <c r="AB7032">
        <v>30</v>
      </c>
      <c r="AC7032">
        <v>0.118700000000018</v>
      </c>
      <c r="AD7032">
        <v>-8.0061999999999994E-2</v>
      </c>
      <c r="AE7032">
        <v>0.57085999999999604</v>
      </c>
      <c r="AF7032">
        <v>4.46265477552866E-2</v>
      </c>
      <c r="AG7032">
        <v>-8.0061999999999994E-2</v>
      </c>
      <c r="AH7032">
        <v>0.57053756511060805</v>
      </c>
      <c r="AI7032">
        <v>97.963990706259807</v>
      </c>
      <c r="AJ7032">
        <v>85.527520790804303</v>
      </c>
      <c r="AK7032">
        <v>0.57785341204400298</v>
      </c>
      <c r="AL7032">
        <v>87.967809897395895</v>
      </c>
      <c r="AM7032">
        <v>88.198411221593204</v>
      </c>
      <c r="AN7032">
        <v>0.99999993811601295</v>
      </c>
    </row>
    <row r="7033" spans="1:40" x14ac:dyDescent="0.25">
      <c r="A7033" t="str">
        <f>"20190312154433581"</f>
        <v>20190312154433581</v>
      </c>
      <c r="B7033" t="str">
        <f>"1552376673574814"</f>
        <v>1552376673574814</v>
      </c>
      <c r="C7033" t="s">
        <v>40</v>
      </c>
      <c r="D7033">
        <v>5.3352009999999996</v>
      </c>
      <c r="E7033">
        <v>0.50934670000000004</v>
      </c>
      <c r="F7033" t="s">
        <v>41</v>
      </c>
      <c r="G7033">
        <v>-193.52260000000001</v>
      </c>
      <c r="H7033">
        <v>1.0295879999999999</v>
      </c>
      <c r="I7033">
        <v>-36.02487</v>
      </c>
      <c r="J7033">
        <v>-193.6335</v>
      </c>
      <c r="K7033">
        <v>1.10859</v>
      </c>
      <c r="L7033">
        <v>-36.555050000000001</v>
      </c>
      <c r="M7033">
        <v>0.12815199999999999</v>
      </c>
      <c r="N7033">
        <v>0</v>
      </c>
      <c r="O7033">
        <v>0.99171200000000004</v>
      </c>
      <c r="P7033">
        <v>0.15813659999999999</v>
      </c>
      <c r="Q7033">
        <v>2.5710879999999998E-2</v>
      </c>
      <c r="R7033">
        <v>0.98708240000000003</v>
      </c>
      <c r="S7033">
        <v>0.53451539999999997</v>
      </c>
      <c r="T7033">
        <v>-0.27819480000000002</v>
      </c>
      <c r="U7033">
        <v>2.9609679999999998</v>
      </c>
      <c r="V7033">
        <v>3.0428719999999999E-2</v>
      </c>
      <c r="W7033">
        <v>3.4798570000000001E-2</v>
      </c>
      <c r="X7033">
        <v>0.99893100000000001</v>
      </c>
      <c r="Y7033">
        <v>4.931249E-2</v>
      </c>
      <c r="Z7033">
        <v>-9.1602580000000003E-2</v>
      </c>
      <c r="AA7033">
        <v>0.99457390000000001</v>
      </c>
      <c r="AB7033">
        <v>30</v>
      </c>
      <c r="AC7033">
        <v>0.110899999999986</v>
      </c>
      <c r="AD7033">
        <v>-7.9002000000000003E-2</v>
      </c>
      <c r="AE7033">
        <v>0.53018000000000098</v>
      </c>
      <c r="AF7033">
        <v>4.11633340200536E-2</v>
      </c>
      <c r="AG7033">
        <v>-7.9002000000000003E-2</v>
      </c>
      <c r="AH7033">
        <v>0.52877207028853901</v>
      </c>
      <c r="AI7033">
        <v>98.472248471734503</v>
      </c>
      <c r="AJ7033">
        <v>85.5486712988709</v>
      </c>
      <c r="AK7033">
        <v>0.53622349667734104</v>
      </c>
      <c r="AL7033">
        <v>88.005786178956797</v>
      </c>
      <c r="AM7033">
        <v>88.255236555068194</v>
      </c>
      <c r="AN7033">
        <v>0.99999999511794102</v>
      </c>
    </row>
    <row r="7034" spans="1:40" x14ac:dyDescent="0.25">
      <c r="A7034" t="str">
        <f>"20190312154433604"</f>
        <v>20190312154433604</v>
      </c>
      <c r="B7034" t="str">
        <f>"1552376673594333"</f>
        <v>1552376673594333</v>
      </c>
      <c r="C7034" t="s">
        <v>40</v>
      </c>
      <c r="D7034">
        <v>5.3083729999999996</v>
      </c>
      <c r="E7034">
        <v>0.50927869999999997</v>
      </c>
      <c r="F7034" t="s">
        <v>41</v>
      </c>
      <c r="G7034">
        <v>-193.48830000000001</v>
      </c>
      <c r="H7034">
        <v>1.032619</v>
      </c>
      <c r="I7034">
        <v>-35.751640000000002</v>
      </c>
      <c r="J7034">
        <v>-193.59219999999999</v>
      </c>
      <c r="K7034">
        <v>1.1084609999999999</v>
      </c>
      <c r="L7034">
        <v>-36.247219999999999</v>
      </c>
      <c r="M7034">
        <v>0.12974040000000001</v>
      </c>
      <c r="N7034">
        <v>0</v>
      </c>
      <c r="O7034">
        <v>0.99151</v>
      </c>
      <c r="P7034">
        <v>0.1589515</v>
      </c>
      <c r="Q7034">
        <v>2.6080699999999998E-2</v>
      </c>
      <c r="R7034">
        <v>0.98694179999999998</v>
      </c>
      <c r="S7034">
        <v>0.53532409999999997</v>
      </c>
      <c r="T7034">
        <v>-0.28000770000000003</v>
      </c>
      <c r="U7034">
        <v>2.960785</v>
      </c>
      <c r="V7034">
        <v>2.9659649999999999E-2</v>
      </c>
      <c r="W7034">
        <v>3.4670859999999998E-2</v>
      </c>
      <c r="X7034">
        <v>0.99895860000000003</v>
      </c>
      <c r="Y7034">
        <v>4.7977369999999998E-2</v>
      </c>
      <c r="Z7034">
        <v>-9.2172119999999996E-2</v>
      </c>
      <c r="AA7034">
        <v>0.99458659999999999</v>
      </c>
      <c r="AB7034">
        <v>30</v>
      </c>
      <c r="AC7034">
        <v>0.10389999999998099</v>
      </c>
      <c r="AD7034">
        <v>-7.5842000000000104E-2</v>
      </c>
      <c r="AE7034">
        <v>0.49557999999999602</v>
      </c>
      <c r="AF7034">
        <v>3.78729513783847E-2</v>
      </c>
      <c r="AG7034">
        <v>-7.5842000000000104E-2</v>
      </c>
      <c r="AH7034">
        <v>0.49379371145572398</v>
      </c>
      <c r="AI7034">
        <v>98.706672176841806</v>
      </c>
      <c r="AJ7034">
        <v>85.614119429132501</v>
      </c>
      <c r="AK7034">
        <v>0.501017563447957</v>
      </c>
      <c r="AL7034">
        <v>88.013107898420898</v>
      </c>
      <c r="AM7034">
        <v>88.299355267111494</v>
      </c>
      <c r="AN7034">
        <v>1.0000000239426099</v>
      </c>
    </row>
    <row r="7035" spans="1:40" x14ac:dyDescent="0.25">
      <c r="A7035" t="str">
        <f>"20190312154433626"</f>
        <v>20190312154433626</v>
      </c>
      <c r="B7035" t="str">
        <f>"1552376673614829"</f>
        <v>1552376673614829</v>
      </c>
      <c r="C7035" t="s">
        <v>40</v>
      </c>
      <c r="D7035">
        <v>5.3477769999999998</v>
      </c>
      <c r="E7035">
        <v>0.50924409999999998</v>
      </c>
      <c r="F7035" t="s">
        <v>41</v>
      </c>
      <c r="G7035">
        <v>-193.45249999999999</v>
      </c>
      <c r="H7035">
        <v>1.0355650000000001</v>
      </c>
      <c r="I7035">
        <v>-35.477429999999998</v>
      </c>
      <c r="J7035">
        <v>-193.55099999999999</v>
      </c>
      <c r="K7035">
        <v>1.1083559999999999</v>
      </c>
      <c r="L7035">
        <v>-35.943939999999998</v>
      </c>
      <c r="M7035">
        <v>0.13134680000000001</v>
      </c>
      <c r="N7035">
        <v>0</v>
      </c>
      <c r="O7035">
        <v>0.99130269999999998</v>
      </c>
      <c r="P7035">
        <v>0.1604177</v>
      </c>
      <c r="Q7035">
        <v>2.808834E-2</v>
      </c>
      <c r="R7035">
        <v>0.98664949999999996</v>
      </c>
      <c r="S7035">
        <v>0.53688049999999998</v>
      </c>
      <c r="T7035">
        <v>-0.28027750000000001</v>
      </c>
      <c r="U7035">
        <v>2.9606319999999999</v>
      </c>
      <c r="V7035">
        <v>2.954159E-2</v>
      </c>
      <c r="W7035">
        <v>3.6174810000000002E-2</v>
      </c>
      <c r="X7035">
        <v>0.99890880000000004</v>
      </c>
      <c r="Y7035">
        <v>4.6873579999999998E-2</v>
      </c>
      <c r="Z7035">
        <v>-9.2233620000000002E-2</v>
      </c>
      <c r="AA7035">
        <v>0.99463349999999995</v>
      </c>
      <c r="AB7035">
        <v>31</v>
      </c>
      <c r="AC7035">
        <v>9.8500000000001295E-2</v>
      </c>
      <c r="AD7035">
        <v>-7.27909999999998E-2</v>
      </c>
      <c r="AE7035">
        <v>0.46651000000000598</v>
      </c>
      <c r="AF7035">
        <v>3.5541561668231497E-2</v>
      </c>
      <c r="AG7035">
        <v>-7.27909999999998E-2</v>
      </c>
      <c r="AH7035">
        <v>0.46457815690431498</v>
      </c>
      <c r="AI7035">
        <v>98.879284530038902</v>
      </c>
      <c r="AJ7035">
        <v>85.625229954601195</v>
      </c>
      <c r="AK7035">
        <v>0.47158731552007099</v>
      </c>
      <c r="AL7035">
        <v>87.9268838593879</v>
      </c>
      <c r="AM7035">
        <v>88.306036320191595</v>
      </c>
      <c r="AN7035">
        <v>1.00000005656785</v>
      </c>
    </row>
    <row r="7036" spans="1:40" x14ac:dyDescent="0.25">
      <c r="A7036" t="str">
        <f>"20190312154433649"</f>
        <v>20190312154433649</v>
      </c>
      <c r="B7036" t="str">
        <f>"1552376673644112"</f>
        <v>1552376673644112</v>
      </c>
      <c r="C7036" t="s">
        <v>40</v>
      </c>
      <c r="D7036">
        <v>5.2991669999999997</v>
      </c>
      <c r="E7036">
        <v>0.50919490000000001</v>
      </c>
      <c r="F7036" t="s">
        <v>41</v>
      </c>
      <c r="G7036">
        <v>-193.41550000000001</v>
      </c>
      <c r="H7036">
        <v>1.039377</v>
      </c>
      <c r="I7036">
        <v>-35.201709999999999</v>
      </c>
      <c r="J7036">
        <v>-193.50710000000001</v>
      </c>
      <c r="K7036">
        <v>1.108258</v>
      </c>
      <c r="L7036">
        <v>-35.62509</v>
      </c>
      <c r="M7036">
        <v>0.1330636</v>
      </c>
      <c r="N7036">
        <v>0</v>
      </c>
      <c r="O7036">
        <v>0.99107789999999996</v>
      </c>
      <c r="P7036">
        <v>0.16251460000000001</v>
      </c>
      <c r="Q7036">
        <v>3.1140790000000002E-2</v>
      </c>
      <c r="R7036">
        <v>0.98621460000000005</v>
      </c>
      <c r="S7036">
        <v>0.54060359999999996</v>
      </c>
      <c r="T7036">
        <v>-0.27511439999999998</v>
      </c>
      <c r="U7036">
        <v>2.9605410000000001</v>
      </c>
      <c r="V7036">
        <v>2.9958909999999998E-2</v>
      </c>
      <c r="W7036">
        <v>3.8699320000000002E-2</v>
      </c>
      <c r="X7036">
        <v>0.99880170000000001</v>
      </c>
      <c r="Y7036">
        <v>4.6388600000000002E-2</v>
      </c>
      <c r="Z7036">
        <v>-9.0511369999999994E-2</v>
      </c>
      <c r="AA7036">
        <v>0.99481450000000005</v>
      </c>
      <c r="AB7036">
        <v>31</v>
      </c>
      <c r="AC7036">
        <v>9.1599999999999598E-2</v>
      </c>
      <c r="AD7036">
        <v>-6.8880999999999901E-2</v>
      </c>
      <c r="AE7036">
        <v>0.42338000000000098</v>
      </c>
      <c r="AF7036">
        <v>3.3597745103968901E-2</v>
      </c>
      <c r="AG7036">
        <v>-6.8880999999999901E-2</v>
      </c>
      <c r="AH7036">
        <v>0.42115476654926798</v>
      </c>
      <c r="AI7036">
        <v>99.259733842265106</v>
      </c>
      <c r="AJ7036">
        <v>85.438871829044103</v>
      </c>
      <c r="AK7036">
        <v>0.42807094975510701</v>
      </c>
      <c r="AL7036">
        <v>87.782138477463604</v>
      </c>
      <c r="AM7036">
        <v>88.281936644203</v>
      </c>
      <c r="AN7036">
        <v>1.0000000047898701</v>
      </c>
    </row>
    <row r="7037" spans="1:40" x14ac:dyDescent="0.25">
      <c r="A7037" t="str">
        <f>"20190312154433669"</f>
        <v>20190312154433669</v>
      </c>
      <c r="B7037" t="str">
        <f>"1552376673664605"</f>
        <v>1552376673664605</v>
      </c>
      <c r="C7037" t="s">
        <v>40</v>
      </c>
      <c r="D7037">
        <v>5.3078770000000004</v>
      </c>
      <c r="E7037">
        <v>0.50916209999999995</v>
      </c>
      <c r="F7037" t="s">
        <v>41</v>
      </c>
      <c r="G7037">
        <v>-193.32929999999999</v>
      </c>
      <c r="H7037">
        <v>1.021004</v>
      </c>
      <c r="I7037">
        <v>-34.660719999999998</v>
      </c>
      <c r="J7037">
        <v>-193.46860000000001</v>
      </c>
      <c r="K7037">
        <v>1.1081799999999999</v>
      </c>
      <c r="L7037">
        <v>-35.34854</v>
      </c>
      <c r="M7037">
        <v>0.13456379999999901</v>
      </c>
      <c r="N7037">
        <v>0</v>
      </c>
      <c r="O7037">
        <v>0.9908787</v>
      </c>
      <c r="P7037">
        <v>0.1649205</v>
      </c>
      <c r="Q7037">
        <v>3.1717040000000002E-2</v>
      </c>
      <c r="R7037">
        <v>0.98579669999999997</v>
      </c>
      <c r="S7037">
        <v>0.54566959999999998</v>
      </c>
      <c r="T7037">
        <v>-0.26782070000000002</v>
      </c>
      <c r="U7037">
        <v>2.96048</v>
      </c>
      <c r="V7037">
        <v>3.0889750000000001E-2</v>
      </c>
      <c r="W7037">
        <v>3.882178E-2</v>
      </c>
      <c r="X7037">
        <v>0.99876860000000001</v>
      </c>
      <c r="Y7037">
        <v>4.6566860000000002E-2</v>
      </c>
      <c r="Z7037">
        <v>-8.8092139999999999E-2</v>
      </c>
      <c r="AA7037">
        <v>0.99502330000000005</v>
      </c>
      <c r="AB7037">
        <v>31</v>
      </c>
      <c r="AC7037">
        <v>0.13930000000001899</v>
      </c>
      <c r="AD7037">
        <v>-8.7175999999999906E-2</v>
      </c>
      <c r="AE7037">
        <v>0.68782000000000199</v>
      </c>
      <c r="AF7037">
        <v>4.4783863644150698E-2</v>
      </c>
      <c r="AG7037">
        <v>-8.7175999999999906E-2</v>
      </c>
      <c r="AH7037">
        <v>0.68966705151391205</v>
      </c>
      <c r="AI7037">
        <v>97.189171055624499</v>
      </c>
      <c r="AJ7037">
        <v>86.284686996712693</v>
      </c>
      <c r="AK7037">
        <v>0.69659593119884899</v>
      </c>
      <c r="AL7037">
        <v>87.775116775314402</v>
      </c>
      <c r="AM7037">
        <v>88.228530289507901</v>
      </c>
      <c r="AN7037">
        <v>1.0000000118016901</v>
      </c>
    </row>
    <row r="7038" spans="1:40" x14ac:dyDescent="0.25">
      <c r="A7038" t="str">
        <f>"20190312154433692"</f>
        <v>20190312154433692</v>
      </c>
      <c r="B7038" t="str">
        <f>"1552376673684126"</f>
        <v>1552376673684126</v>
      </c>
      <c r="C7038" t="s">
        <v>40</v>
      </c>
      <c r="D7038">
        <v>5.2439299999999998</v>
      </c>
      <c r="E7038">
        <v>0.50916989999999995</v>
      </c>
      <c r="F7038" t="s">
        <v>41</v>
      </c>
      <c r="G7038">
        <v>-193.2884</v>
      </c>
      <c r="H7038">
        <v>1.0211079999999999</v>
      </c>
      <c r="I7038">
        <v>-34.38326</v>
      </c>
      <c r="J7038">
        <v>-193.42339999999999</v>
      </c>
      <c r="K7038">
        <v>1.1080890000000001</v>
      </c>
      <c r="L7038">
        <v>-35.027619999999999</v>
      </c>
      <c r="M7038">
        <v>0.13630619999999999</v>
      </c>
      <c r="N7038">
        <v>0</v>
      </c>
      <c r="O7038">
        <v>0.99064399999999997</v>
      </c>
      <c r="P7038">
        <v>0.16731840000000001</v>
      </c>
      <c r="Q7038">
        <v>3.1362979999999999E-2</v>
      </c>
      <c r="R7038">
        <v>0.98540399999999995</v>
      </c>
      <c r="S7038">
        <v>0.55224609999999996</v>
      </c>
      <c r="T7038">
        <v>-0.2668954</v>
      </c>
      <c r="U7038">
        <v>2.9594119999999999</v>
      </c>
      <c r="V7038">
        <v>3.156163E-2</v>
      </c>
      <c r="W7038">
        <v>3.7966010000000001E-2</v>
      </c>
      <c r="X7038">
        <v>0.99878049999999996</v>
      </c>
      <c r="Y7038">
        <v>4.7017389999999999E-2</v>
      </c>
      <c r="Z7038">
        <v>-8.7771210000000002E-2</v>
      </c>
      <c r="AA7038">
        <v>0.99503050000000004</v>
      </c>
      <c r="AB7038">
        <v>31</v>
      </c>
      <c r="AC7038">
        <v>0.13499999999998999</v>
      </c>
      <c r="AD7038">
        <v>-8.6980999999999906E-2</v>
      </c>
      <c r="AE7038">
        <v>0.64435999999999805</v>
      </c>
      <c r="AF7038">
        <v>4.5120112773244597E-2</v>
      </c>
      <c r="AG7038">
        <v>-8.6980999999999906E-2</v>
      </c>
      <c r="AH7038">
        <v>0.64548025824042399</v>
      </c>
      <c r="AI7038">
        <v>97.656141094758695</v>
      </c>
      <c r="AJ7038">
        <v>86.001436632155205</v>
      </c>
      <c r="AK7038">
        <v>0.65287539601044497</v>
      </c>
      <c r="AL7038">
        <v>87.824184983874005</v>
      </c>
      <c r="AM7038">
        <v>88.190046128383997</v>
      </c>
      <c r="AN7038">
        <v>1.00000002079191</v>
      </c>
    </row>
    <row r="7039" spans="1:40" x14ac:dyDescent="0.25">
      <c r="A7039" t="str">
        <f>"20190312154433715"</f>
        <v>20190312154433715</v>
      </c>
      <c r="B7039" t="str">
        <f>"1552376673704621"</f>
        <v>1552376673704621</v>
      </c>
      <c r="C7039" t="s">
        <v>40</v>
      </c>
      <c r="D7039">
        <v>5.2155189999999996</v>
      </c>
      <c r="E7039">
        <v>0.48107119999999998</v>
      </c>
      <c r="F7039" t="s">
        <v>41</v>
      </c>
      <c r="G7039">
        <v>-193.2484</v>
      </c>
      <c r="H7039">
        <v>1.0242450000000001</v>
      </c>
      <c r="I7039">
        <v>-34.102760000000004</v>
      </c>
      <c r="J7039">
        <v>-193.37739999999999</v>
      </c>
      <c r="K7039">
        <v>1.108006</v>
      </c>
      <c r="L7039">
        <v>-34.705539999999999</v>
      </c>
      <c r="M7039">
        <v>0.13805329999999999</v>
      </c>
      <c r="N7039">
        <v>0</v>
      </c>
      <c r="O7039">
        <v>0.99040510000000004</v>
      </c>
      <c r="P7039">
        <v>0.169539299999999</v>
      </c>
      <c r="Q7039">
        <v>2.9556039999999999E-2</v>
      </c>
      <c r="R7039">
        <v>0.98508010000000001</v>
      </c>
      <c r="S7039">
        <v>0.55976870000000001</v>
      </c>
      <c r="T7039">
        <v>-0.26815430000000001</v>
      </c>
      <c r="U7039">
        <v>2.957916</v>
      </c>
      <c r="V7039">
        <v>3.2038770000000001E-2</v>
      </c>
      <c r="W7039">
        <v>3.5681610000000002E-2</v>
      </c>
      <c r="X7039">
        <v>0.99884949999999995</v>
      </c>
      <c r="Y7039">
        <v>4.7784189999999997E-2</v>
      </c>
      <c r="Z7039">
        <v>-8.8171299999999994E-2</v>
      </c>
      <c r="AA7039">
        <v>0.99495849999999997</v>
      </c>
      <c r="AB7039">
        <v>31</v>
      </c>
      <c r="AC7039">
        <v>0.12899999999999001</v>
      </c>
      <c r="AD7039">
        <v>-8.3760999999999905E-2</v>
      </c>
      <c r="AE7039">
        <v>0.60278000000000198</v>
      </c>
      <c r="AF7039">
        <v>4.3739763257884597E-2</v>
      </c>
      <c r="AG7039">
        <v>-8.3760999999999905E-2</v>
      </c>
      <c r="AH7039">
        <v>0.60367128295983097</v>
      </c>
      <c r="AI7039">
        <v>97.879110475687995</v>
      </c>
      <c r="AJ7039">
        <v>85.8558042118933</v>
      </c>
      <c r="AK7039">
        <v>0.61102216807676002</v>
      </c>
      <c r="AL7039">
        <v>87.955160260244099</v>
      </c>
      <c r="AM7039">
        <v>88.162829192739807</v>
      </c>
      <c r="AN7039">
        <v>0.99999999186277699</v>
      </c>
    </row>
    <row r="7040" spans="1:40" x14ac:dyDescent="0.25">
      <c r="A7040" t="str">
        <f>"20190312154433737"</f>
        <v>20190312154433737</v>
      </c>
      <c r="B7040" t="str">
        <f>"1552376673734878"</f>
        <v>1552376673734878</v>
      </c>
      <c r="C7040" t="s">
        <v>40</v>
      </c>
      <c r="D7040">
        <v>5.2549409999999996</v>
      </c>
      <c r="E7040">
        <v>0.47389419999999999</v>
      </c>
      <c r="F7040" t="s">
        <v>43</v>
      </c>
      <c r="G7040">
        <v>-191.62020000000001</v>
      </c>
      <c r="H7040" s="1">
        <v>-7.7707119999999902E-7</v>
      </c>
      <c r="I7040">
        <v>-19.604379999999999</v>
      </c>
      <c r="J7040">
        <v>-193.3329</v>
      </c>
      <c r="K7040">
        <v>1.107931</v>
      </c>
      <c r="L7040">
        <v>-34.397489999999998</v>
      </c>
      <c r="M7040">
        <v>0.13972490000000001</v>
      </c>
      <c r="N7040">
        <v>0</v>
      </c>
      <c r="O7040">
        <v>0.99017330000000003</v>
      </c>
      <c r="P7040">
        <v>0.1720351</v>
      </c>
      <c r="Q7040">
        <v>2.942792E-2</v>
      </c>
      <c r="R7040">
        <v>0.9846511</v>
      </c>
      <c r="S7040">
        <v>0.34817500000000001</v>
      </c>
      <c r="T7040">
        <v>-0.21953690000000001</v>
      </c>
      <c r="U7040">
        <v>2.9920960000000001</v>
      </c>
      <c r="V7040">
        <v>3.2883969999999998E-2</v>
      </c>
      <c r="W7040">
        <v>3.5115479999999998E-2</v>
      </c>
      <c r="X7040">
        <v>0.99884209999999995</v>
      </c>
      <c r="Y7040">
        <v>-2.4641320000000001E-2</v>
      </c>
      <c r="Z7040">
        <v>-7.1851209999999999E-2</v>
      </c>
      <c r="AA7040">
        <v>0.99711090000000002</v>
      </c>
      <c r="AB7040">
        <v>31</v>
      </c>
      <c r="AC7040">
        <v>1.7126999999999799</v>
      </c>
      <c r="AD7040">
        <v>-1.1079317770712001</v>
      </c>
      <c r="AE7040">
        <v>14.79311</v>
      </c>
      <c r="AF7040">
        <v>-0.36905949818565098</v>
      </c>
      <c r="AG7040">
        <v>-1.1079317770712001</v>
      </c>
      <c r="AH7040">
        <v>14.805352004342399</v>
      </c>
      <c r="AI7040">
        <v>94.278325299828097</v>
      </c>
      <c r="AJ7040">
        <v>91.427941292681794</v>
      </c>
      <c r="AK7040">
        <v>14.8513354856838</v>
      </c>
      <c r="AL7040">
        <v>87.987617471823398</v>
      </c>
      <c r="AM7040">
        <v>88.114384215848304</v>
      </c>
      <c r="AN7040">
        <v>0.99999999657549998</v>
      </c>
    </row>
    <row r="7041" spans="1:40" x14ac:dyDescent="0.25">
      <c r="A7041" t="str">
        <f>"20190312154433758"</f>
        <v>20190312154433758</v>
      </c>
      <c r="B7041" t="str">
        <f>"1552376673754397"</f>
        <v>1552376673754397</v>
      </c>
      <c r="C7041" t="s">
        <v>40</v>
      </c>
      <c r="D7041">
        <v>5.2133890000000003</v>
      </c>
      <c r="E7041">
        <v>0.47204069999999998</v>
      </c>
      <c r="F7041" t="s">
        <v>43</v>
      </c>
      <c r="G7041">
        <v>-191.75069999999999</v>
      </c>
      <c r="H7041" s="1">
        <v>-1.250455E-6</v>
      </c>
      <c r="I7041">
        <v>-18.581859999999999</v>
      </c>
      <c r="J7041">
        <v>-193.2894</v>
      </c>
      <c r="K7041">
        <v>1.1078570000000001</v>
      </c>
      <c r="L7041">
        <v>-34.099059999999902</v>
      </c>
      <c r="M7041">
        <v>0.14135439999999999</v>
      </c>
      <c r="N7041">
        <v>0</v>
      </c>
      <c r="O7041">
        <v>0.9899443</v>
      </c>
      <c r="P7041">
        <v>0.17408770000000001</v>
      </c>
      <c r="Q7041">
        <v>3.032644E-2</v>
      </c>
      <c r="R7041">
        <v>0.98426309999999995</v>
      </c>
      <c r="S7041">
        <v>0.30018620000000001</v>
      </c>
      <c r="T7041">
        <v>-0.21019959999999999</v>
      </c>
      <c r="U7041">
        <v>3.0005799999999998</v>
      </c>
      <c r="V7041">
        <v>3.3330859999999997E-2</v>
      </c>
      <c r="W7041">
        <v>3.5612989999999997E-2</v>
      </c>
      <c r="X7041">
        <v>0.99880970000000002</v>
      </c>
      <c r="Y7041">
        <v>-4.2345059999999997E-2</v>
      </c>
      <c r="Z7041">
        <v>-6.8631299999999895E-2</v>
      </c>
      <c r="AA7041">
        <v>0.99674300000000005</v>
      </c>
      <c r="AB7041">
        <v>32</v>
      </c>
      <c r="AC7041">
        <v>1.5387</v>
      </c>
      <c r="AD7041">
        <v>-1.1078582504550001</v>
      </c>
      <c r="AE7041">
        <v>15.5171999999999</v>
      </c>
      <c r="AF7041">
        <v>-0.66684098924889401</v>
      </c>
      <c r="AG7041">
        <v>-1.1078582504550001</v>
      </c>
      <c r="AH7041">
        <v>15.500650900523</v>
      </c>
      <c r="AI7041">
        <v>94.084311765680297</v>
      </c>
      <c r="AJ7041">
        <v>92.463356551774197</v>
      </c>
      <c r="AK7041">
        <v>15.554491478281401</v>
      </c>
      <c r="AL7041">
        <v>87.959094462792507</v>
      </c>
      <c r="AM7041">
        <v>88.0887158040331</v>
      </c>
      <c r="AN7041">
        <v>1.0000000240495801</v>
      </c>
    </row>
    <row r="7042" spans="1:40" x14ac:dyDescent="0.25">
      <c r="A7042" t="str">
        <f>"20190312154433782"</f>
        <v>20190312154433782</v>
      </c>
      <c r="B7042" t="str">
        <f>"1552376673774894"</f>
        <v>1552376673774894</v>
      </c>
      <c r="C7042" t="s">
        <v>40</v>
      </c>
      <c r="D7042">
        <v>5.2161419999999996</v>
      </c>
      <c r="E7042">
        <v>0.47116419999999998</v>
      </c>
      <c r="F7042" t="s">
        <v>43</v>
      </c>
      <c r="G7042">
        <v>-191.68100000000001</v>
      </c>
      <c r="H7042" s="1">
        <v>-1.653373E-6</v>
      </c>
      <c r="I7042">
        <v>-17.599450000000001</v>
      </c>
      <c r="J7042">
        <v>-193.23869999999999</v>
      </c>
      <c r="K7042">
        <v>1.1077629999999901</v>
      </c>
      <c r="L7042">
        <v>-33.75656</v>
      </c>
      <c r="M7042">
        <v>0.14324970000000001</v>
      </c>
      <c r="N7042">
        <v>0</v>
      </c>
      <c r="O7042">
        <v>0.98967400000000005</v>
      </c>
      <c r="P7042">
        <v>0.1756433</v>
      </c>
      <c r="Q7042">
        <v>2.9627959999999998E-2</v>
      </c>
      <c r="R7042">
        <v>0.98400799999999999</v>
      </c>
      <c r="S7042">
        <v>0.29266360000000002</v>
      </c>
      <c r="T7042">
        <v>-0.20159540000000001</v>
      </c>
      <c r="U7042">
        <v>3.0024109999999999</v>
      </c>
      <c r="V7042">
        <v>3.2993639999999998E-2</v>
      </c>
      <c r="W7042">
        <v>3.4484529999999999E-2</v>
      </c>
      <c r="X7042">
        <v>0.99886050000000004</v>
      </c>
      <c r="Y7042">
        <v>-4.6772059999999997E-2</v>
      </c>
      <c r="Z7042">
        <v>-6.5769110000000006E-2</v>
      </c>
      <c r="AA7042">
        <v>0.99673809999999996</v>
      </c>
      <c r="AB7042">
        <v>32</v>
      </c>
      <c r="AC7042">
        <v>1.5577000000000101</v>
      </c>
      <c r="AD7042">
        <v>-1.1077646533729999</v>
      </c>
      <c r="AE7042">
        <v>16.157109999999999</v>
      </c>
      <c r="AF7042">
        <v>-0.76931254578049701</v>
      </c>
      <c r="AG7042">
        <v>-1.1077646533729999</v>
      </c>
      <c r="AH7042">
        <v>16.1384493138175</v>
      </c>
      <c r="AI7042">
        <v>93.922259296121695</v>
      </c>
      <c r="AJ7042">
        <v>92.7291977632552</v>
      </c>
      <c r="AK7042">
        <v>16.1947068690672</v>
      </c>
      <c r="AL7042">
        <v>88.023790222170504</v>
      </c>
      <c r="AM7042">
        <v>88.108134962633002</v>
      </c>
      <c r="AN7042">
        <v>1.0000000307750001</v>
      </c>
    </row>
    <row r="7043" spans="1:40" x14ac:dyDescent="0.25">
      <c r="A7043" t="str">
        <f>"20190312154433816"</f>
        <v>20190312154433816</v>
      </c>
      <c r="B7043" t="str">
        <f>"1552376673804173"</f>
        <v>1552376673804173</v>
      </c>
      <c r="C7043" t="s">
        <v>40</v>
      </c>
      <c r="D7043">
        <v>5.1808920000000001</v>
      </c>
      <c r="E7043">
        <v>0.47018320000000002</v>
      </c>
      <c r="F7043" t="s">
        <v>43</v>
      </c>
      <c r="G7043">
        <v>-191.6412</v>
      </c>
      <c r="H7043" s="1">
        <v>-1.7629399999999999E-6</v>
      </c>
      <c r="I7043">
        <v>-17.319329999999901</v>
      </c>
      <c r="J7043">
        <v>-193.16640000000001</v>
      </c>
      <c r="K7043">
        <v>1.1076140000000001</v>
      </c>
      <c r="L7043">
        <v>-33.275019999999998</v>
      </c>
      <c r="M7043">
        <v>0.14599889999999999</v>
      </c>
      <c r="N7043">
        <v>0</v>
      </c>
      <c r="O7043">
        <v>0.98927489999999996</v>
      </c>
      <c r="P7043">
        <v>0.17630000000000001</v>
      </c>
      <c r="Q7043">
        <v>2.7500119999999999E-2</v>
      </c>
      <c r="R7043">
        <v>0.98395220000000005</v>
      </c>
      <c r="S7043">
        <v>0.29183959999999998</v>
      </c>
      <c r="T7043">
        <v>-0.20236599999999999</v>
      </c>
      <c r="U7043">
        <v>3.0027469999999998</v>
      </c>
      <c r="V7043">
        <v>3.0872440000000001E-2</v>
      </c>
      <c r="W7043">
        <v>3.1811409999999998E-2</v>
      </c>
      <c r="X7043">
        <v>0.99901700000000004</v>
      </c>
      <c r="Y7043">
        <v>-4.9829859999999997E-2</v>
      </c>
      <c r="Z7043">
        <v>-6.5967730000000002E-2</v>
      </c>
      <c r="AA7043">
        <v>0.99657680000000004</v>
      </c>
      <c r="AB7043">
        <v>32</v>
      </c>
      <c r="AC7043">
        <v>1.5252000000000101</v>
      </c>
      <c r="AD7043">
        <v>-1.1076157629400001</v>
      </c>
      <c r="AE7043">
        <v>15.955689999999899</v>
      </c>
      <c r="AF7043">
        <v>-0.81677878139965598</v>
      </c>
      <c r="AG7043">
        <v>-1.1076157629400001</v>
      </c>
      <c r="AH7043">
        <v>15.931321015030599</v>
      </c>
      <c r="AI7043">
        <v>93.971856036349806</v>
      </c>
      <c r="AJ7043">
        <v>92.934912860875698</v>
      </c>
      <c r="AK7043">
        <v>15.990651316941801</v>
      </c>
      <c r="AL7043">
        <v>88.177032951193695</v>
      </c>
      <c r="AM7043">
        <v>88.229962293150194</v>
      </c>
      <c r="AN7043">
        <v>1.0000000198233701</v>
      </c>
    </row>
    <row r="7044" spans="1:40" x14ac:dyDescent="0.25">
      <c r="A7044" t="str">
        <f>"20190312154433839"</f>
        <v>20190312154433839</v>
      </c>
      <c r="B7044" t="str">
        <f>"1552376673834429"</f>
        <v>1552376673834429</v>
      </c>
      <c r="C7044" t="s">
        <v>40</v>
      </c>
      <c r="D7044">
        <v>5.22492</v>
      </c>
      <c r="E7044">
        <v>0.46930060000000001</v>
      </c>
      <c r="F7044" t="s">
        <v>43</v>
      </c>
      <c r="G7044">
        <v>-191.62129999999999</v>
      </c>
      <c r="H7044" s="1">
        <v>-1.858298E-6</v>
      </c>
      <c r="I7044">
        <v>-17.08473</v>
      </c>
      <c r="J7044">
        <v>-193.1165</v>
      </c>
      <c r="K7044">
        <v>1.107513</v>
      </c>
      <c r="L7044">
        <v>-32.949190000000002</v>
      </c>
      <c r="M7044">
        <v>0.14792939999999999</v>
      </c>
      <c r="N7044">
        <v>0</v>
      </c>
      <c r="O7044">
        <v>0.98898949999999997</v>
      </c>
      <c r="P7044">
        <v>0.1761868</v>
      </c>
      <c r="Q7044">
        <v>2.8660560000000002E-2</v>
      </c>
      <c r="R7044">
        <v>0.98393940000000002</v>
      </c>
      <c r="S7044">
        <v>0.28660580000000002</v>
      </c>
      <c r="T7044">
        <v>-0.20546229999999999</v>
      </c>
      <c r="U7044">
        <v>3.0032960000000002</v>
      </c>
      <c r="V7044">
        <v>2.8820390000000001E-2</v>
      </c>
      <c r="W7044">
        <v>3.2638779999999999E-2</v>
      </c>
      <c r="X7044">
        <v>0.99905160000000004</v>
      </c>
      <c r="Y7044">
        <v>-5.3523059999999997E-2</v>
      </c>
      <c r="Z7044">
        <v>-6.6930169999999997E-2</v>
      </c>
      <c r="AA7044">
        <v>0.99632100000000001</v>
      </c>
      <c r="AB7044">
        <v>32</v>
      </c>
      <c r="AC7044">
        <v>1.4952000000000101</v>
      </c>
      <c r="AD7044">
        <v>-1.1075148582979999</v>
      </c>
      <c r="AE7044">
        <v>15.864459999999999</v>
      </c>
      <c r="AF7044">
        <v>-0.863916878799872</v>
      </c>
      <c r="AG7044">
        <v>-1.1075148582979999</v>
      </c>
      <c r="AH7044">
        <v>15.834609101339399</v>
      </c>
      <c r="AI7044">
        <v>93.994982094528098</v>
      </c>
      <c r="AJ7044">
        <v>93.122891416516495</v>
      </c>
      <c r="AK7044">
        <v>15.8967854274707</v>
      </c>
      <c r="AL7044">
        <v>88.129603475505903</v>
      </c>
      <c r="AM7044">
        <v>88.347603991001193</v>
      </c>
      <c r="AN7044">
        <v>1.0000000021511</v>
      </c>
    </row>
    <row r="7045" spans="1:40" x14ac:dyDescent="0.25">
      <c r="A7045" t="str">
        <f>"20190312154433860"</f>
        <v>20190312154433860</v>
      </c>
      <c r="B7045" t="str">
        <f>"1552376673854925"</f>
        <v>1552376673854925</v>
      </c>
      <c r="C7045" t="s">
        <v>40</v>
      </c>
      <c r="D7045">
        <v>5.2198979999999997</v>
      </c>
      <c r="E7045">
        <v>0.46886139999999998</v>
      </c>
      <c r="F7045" t="s">
        <v>43</v>
      </c>
      <c r="G7045">
        <v>-191.57929999999999</v>
      </c>
      <c r="H7045" s="1">
        <v>-2.1248949999999998E-6</v>
      </c>
      <c r="I7045">
        <v>-16.43723</v>
      </c>
      <c r="J7045">
        <v>-193.0686</v>
      </c>
      <c r="K7045">
        <v>1.1074189999999999</v>
      </c>
      <c r="L7045">
        <v>-32.639470000000003</v>
      </c>
      <c r="M7045">
        <v>0.1498234</v>
      </c>
      <c r="N7045">
        <v>0</v>
      </c>
      <c r="O7045">
        <v>0.98870550000000001</v>
      </c>
      <c r="P7045">
        <v>0.17625170000000001</v>
      </c>
      <c r="Q7045">
        <v>2.9296490000000001E-2</v>
      </c>
      <c r="R7045">
        <v>0.98390909999999998</v>
      </c>
      <c r="S7045">
        <v>0.27973940000000003</v>
      </c>
      <c r="T7045">
        <v>-0.20153979999999999</v>
      </c>
      <c r="U7045">
        <v>3.0047609999999998</v>
      </c>
      <c r="V7045">
        <v>2.6981959999999999E-2</v>
      </c>
      <c r="W7045">
        <v>3.2984300000000001E-2</v>
      </c>
      <c r="X7045">
        <v>0.99909159999999997</v>
      </c>
      <c r="Y7045">
        <v>-5.7729429999999998E-2</v>
      </c>
      <c r="Z7045">
        <v>-6.5597009999999997E-2</v>
      </c>
      <c r="AA7045">
        <v>0.99617489999999997</v>
      </c>
      <c r="AB7045">
        <v>33</v>
      </c>
      <c r="AC7045">
        <v>1.4893000000000101</v>
      </c>
      <c r="AD7045">
        <v>-1.1074211248950001</v>
      </c>
      <c r="AE7045">
        <v>16.20224</v>
      </c>
      <c r="AF7045">
        <v>-0.95059874128674005</v>
      </c>
      <c r="AG7045">
        <v>-1.1074211248950001</v>
      </c>
      <c r="AH7045">
        <v>16.167595172136799</v>
      </c>
      <c r="AI7045">
        <v>93.911696274697206</v>
      </c>
      <c r="AJ7045">
        <v>93.364919914296607</v>
      </c>
      <c r="AK7045">
        <v>16.233334628624601</v>
      </c>
      <c r="AL7045">
        <v>88.109795982985005</v>
      </c>
      <c r="AM7045">
        <v>88.453017973282797</v>
      </c>
      <c r="AN7045">
        <v>1.0000000077012401</v>
      </c>
    </row>
    <row r="7046" spans="1:40" x14ac:dyDescent="0.25">
      <c r="A7046" t="str">
        <f>"20190312154433882"</f>
        <v>20190312154433882</v>
      </c>
      <c r="B7046" t="str">
        <f>"1552376673874446"</f>
        <v>1552376673874446</v>
      </c>
      <c r="C7046" t="s">
        <v>40</v>
      </c>
      <c r="D7046">
        <v>5.1973320000000003</v>
      </c>
      <c r="E7046">
        <v>0.46843030000000002</v>
      </c>
      <c r="F7046" t="s">
        <v>43</v>
      </c>
      <c r="G7046">
        <v>-191.52420000000001</v>
      </c>
      <c r="H7046" s="1">
        <v>-2.3567269999999999E-6</v>
      </c>
      <c r="I7046">
        <v>-15.86265</v>
      </c>
      <c r="J7046">
        <v>-193.01910000000001</v>
      </c>
      <c r="K7046">
        <v>1.1073109999999999</v>
      </c>
      <c r="L7046">
        <v>-32.324739999999998</v>
      </c>
      <c r="M7046">
        <v>0.15182100000000001</v>
      </c>
      <c r="N7046">
        <v>0</v>
      </c>
      <c r="O7046">
        <v>0.98840170000000005</v>
      </c>
      <c r="P7046">
        <v>0.17675729999999901</v>
      </c>
      <c r="Q7046">
        <v>2.8291299999999998E-2</v>
      </c>
      <c r="R7046">
        <v>0.98384780000000005</v>
      </c>
      <c r="S7046">
        <v>0.27665709999999999</v>
      </c>
      <c r="T7046">
        <v>-0.1983857</v>
      </c>
      <c r="U7046">
        <v>3.0054319999999999</v>
      </c>
      <c r="V7046">
        <v>2.5472539999999998E-2</v>
      </c>
      <c r="W7046">
        <v>3.1709899999999999E-2</v>
      </c>
      <c r="X7046">
        <v>0.99917239999999996</v>
      </c>
      <c r="Y7046">
        <v>-6.0773510000000003E-2</v>
      </c>
      <c r="Z7046">
        <v>-6.4527710000000002E-2</v>
      </c>
      <c r="AA7046">
        <v>0.99606360000000005</v>
      </c>
      <c r="AB7046">
        <v>33</v>
      </c>
      <c r="AC7046">
        <v>1.4948999999999999</v>
      </c>
      <c r="AD7046">
        <v>-1.1073133567269999</v>
      </c>
      <c r="AE7046">
        <v>16.46209</v>
      </c>
      <c r="AF7046">
        <v>-1.0171710757441801</v>
      </c>
      <c r="AG7046">
        <v>-1.1073133567269999</v>
      </c>
      <c r="AH7046">
        <v>16.424512753091101</v>
      </c>
      <c r="AI7046">
        <v>93.849596795267502</v>
      </c>
      <c r="AJ7046">
        <v>93.543805184334403</v>
      </c>
      <c r="AK7046">
        <v>16.493192506115001</v>
      </c>
      <c r="AL7046">
        <v>88.182851811678603</v>
      </c>
      <c r="AM7046">
        <v>88.539638428144201</v>
      </c>
      <c r="AN7046">
        <v>0.99999992648690805</v>
      </c>
    </row>
    <row r="7047" spans="1:40" x14ac:dyDescent="0.25">
      <c r="A7047" t="str">
        <f>"20190312154433903"</f>
        <v>20190312154433903</v>
      </c>
      <c r="B7047" t="str">
        <f>"1552376673894942"</f>
        <v>1552376673894942</v>
      </c>
      <c r="C7047" t="s">
        <v>40</v>
      </c>
      <c r="D7047">
        <v>5.21523</v>
      </c>
      <c r="E7047">
        <v>0.46811900000000001</v>
      </c>
      <c r="F7047" t="s">
        <v>43</v>
      </c>
      <c r="G7047">
        <v>-191.5009</v>
      </c>
      <c r="H7047" s="1">
        <v>-2.4110209999999998E-6</v>
      </c>
      <c r="I7047">
        <v>-15.721640000000001</v>
      </c>
      <c r="J7047">
        <v>-192.9665</v>
      </c>
      <c r="K7047">
        <v>1.1071799999999901</v>
      </c>
      <c r="L7047">
        <v>-31.994050000000001</v>
      </c>
      <c r="M7047">
        <v>0.15400939999999999</v>
      </c>
      <c r="N7047">
        <v>0</v>
      </c>
      <c r="O7047">
        <v>0.98806400000000005</v>
      </c>
      <c r="P7047">
        <v>0.17754449999999999</v>
      </c>
      <c r="Q7047">
        <v>2.6330309999999999E-2</v>
      </c>
      <c r="R7047">
        <v>0.98376050000000004</v>
      </c>
      <c r="S7047">
        <v>0.27484130000000001</v>
      </c>
      <c r="T7047">
        <v>-0.200456</v>
      </c>
      <c r="U7047">
        <v>3.005646</v>
      </c>
      <c r="V7047">
        <v>2.4047990000000002E-2</v>
      </c>
      <c r="W7047">
        <v>2.949651E-2</v>
      </c>
      <c r="X7047">
        <v>0.99927560000000004</v>
      </c>
      <c r="Y7047">
        <v>-6.3590469999999996E-2</v>
      </c>
      <c r="Z7047">
        <v>-6.5155939999999996E-2</v>
      </c>
      <c r="AA7047">
        <v>0.99584689999999998</v>
      </c>
      <c r="AB7047">
        <v>33</v>
      </c>
      <c r="AC7047">
        <v>1.46559999999999</v>
      </c>
      <c r="AD7047">
        <v>-1.10718241102099</v>
      </c>
      <c r="AE7047">
        <v>16.272410000000001</v>
      </c>
      <c r="AF7047">
        <v>-1.0531667208581801</v>
      </c>
      <c r="AG7047">
        <v>-1.10718241102099</v>
      </c>
      <c r="AH7047">
        <v>16.229455631886498</v>
      </c>
      <c r="AI7047">
        <v>93.894536646946804</v>
      </c>
      <c r="AJ7047">
        <v>93.712849196962196</v>
      </c>
      <c r="AK7047">
        <v>16.301234405423799</v>
      </c>
      <c r="AL7047">
        <v>88.309729367645403</v>
      </c>
      <c r="AM7047">
        <v>88.621418921837005</v>
      </c>
      <c r="AN7047">
        <v>1.00000003734028</v>
      </c>
    </row>
    <row r="7048" spans="1:40" x14ac:dyDescent="0.25">
      <c r="A7048" t="str">
        <f>"20190312154433927"</f>
        <v>20190312154433927</v>
      </c>
      <c r="B7048" t="str">
        <f>"1552376673914461"</f>
        <v>1552376673914461</v>
      </c>
      <c r="C7048" t="s">
        <v>40</v>
      </c>
      <c r="D7048">
        <v>5.262645</v>
      </c>
      <c r="E7048">
        <v>0.46773599999999999</v>
      </c>
      <c r="F7048" t="s">
        <v>43</v>
      </c>
      <c r="G7048">
        <v>-191.4862</v>
      </c>
      <c r="H7048" s="1">
        <v>-2.3711449999999998E-6</v>
      </c>
      <c r="I7048">
        <v>-15.805479999999999</v>
      </c>
      <c r="J7048">
        <v>-192.9128</v>
      </c>
      <c r="K7048">
        <v>1.107048</v>
      </c>
      <c r="L7048">
        <v>-31.66217</v>
      </c>
      <c r="M7048">
        <v>0.15630239999999901</v>
      </c>
      <c r="N7048">
        <v>0</v>
      </c>
      <c r="O7048">
        <v>0.98770449999999999</v>
      </c>
      <c r="P7048">
        <v>0.17764530000000001</v>
      </c>
      <c r="Q7048">
        <v>2.2983440000000001E-2</v>
      </c>
      <c r="R7048">
        <v>0.98382619999999998</v>
      </c>
      <c r="S7048">
        <v>0.27481080000000002</v>
      </c>
      <c r="T7048">
        <v>-0.20555010000000001</v>
      </c>
      <c r="U7048">
        <v>3.0054319999999999</v>
      </c>
      <c r="V7048">
        <v>2.1808109999999999E-2</v>
      </c>
      <c r="W7048">
        <v>2.5931619999999999E-2</v>
      </c>
      <c r="X7048">
        <v>0.99942580000000003</v>
      </c>
      <c r="Y7048">
        <v>-6.5920099999999995E-2</v>
      </c>
      <c r="Z7048">
        <v>-6.6767160000000006E-2</v>
      </c>
      <c r="AA7048">
        <v>0.99558860000000005</v>
      </c>
      <c r="AB7048">
        <v>33</v>
      </c>
      <c r="AC7048">
        <v>1.4266000000000001</v>
      </c>
      <c r="AD7048">
        <v>-1.1070503711449999</v>
      </c>
      <c r="AE7048">
        <v>15.856689999999899</v>
      </c>
      <c r="AF7048">
        <v>-1.0642387418756101</v>
      </c>
      <c r="AG7048">
        <v>-1.1070503711449999</v>
      </c>
      <c r="AH7048">
        <v>15.8083441099376</v>
      </c>
      <c r="AI7048">
        <v>93.996837198116495</v>
      </c>
      <c r="AJ7048">
        <v>93.851416650059306</v>
      </c>
      <c r="AK7048">
        <v>15.882755054528801</v>
      </c>
      <c r="AL7048">
        <v>88.514061029385601</v>
      </c>
      <c r="AM7048">
        <v>88.749967827179702</v>
      </c>
      <c r="AN7048">
        <v>0.999999986141618</v>
      </c>
    </row>
    <row r="7049" spans="1:40" x14ac:dyDescent="0.25">
      <c r="A7049" t="str">
        <f>"20190312154433949"</f>
        <v>20190312154433949</v>
      </c>
      <c r="B7049" t="str">
        <f>"1552376673944718"</f>
        <v>1552376673944718</v>
      </c>
      <c r="C7049" t="s">
        <v>40</v>
      </c>
      <c r="D7049">
        <v>5.2781919999999998</v>
      </c>
      <c r="E7049">
        <v>0.46734130000000002</v>
      </c>
      <c r="F7049" t="s">
        <v>43</v>
      </c>
      <c r="G7049">
        <v>-191.51779999999999</v>
      </c>
      <c r="H7049" s="1">
        <v>-2.1825619999999999E-6</v>
      </c>
      <c r="I7049">
        <v>-16.264669999999999</v>
      </c>
      <c r="J7049">
        <v>-192.85830000000001</v>
      </c>
      <c r="K7049">
        <v>1.106908</v>
      </c>
      <c r="L7049">
        <v>-31.3306</v>
      </c>
      <c r="M7049">
        <v>0.158695</v>
      </c>
      <c r="N7049">
        <v>0</v>
      </c>
      <c r="O7049">
        <v>0.98732350000000002</v>
      </c>
      <c r="P7049">
        <v>0.17764189999999999</v>
      </c>
      <c r="Q7049">
        <v>1.9843699999999999E-2</v>
      </c>
      <c r="R7049">
        <v>0.98389510000000002</v>
      </c>
      <c r="S7049">
        <v>0.27226260000000002</v>
      </c>
      <c r="T7049">
        <v>-0.21606919999999999</v>
      </c>
      <c r="U7049">
        <v>3.0052189999999999</v>
      </c>
      <c r="V7049">
        <v>1.9362270000000001E-2</v>
      </c>
      <c r="W7049">
        <v>2.2607140000000001E-2</v>
      </c>
      <c r="X7049">
        <v>0.99955689999999997</v>
      </c>
      <c r="Y7049">
        <v>-6.9189150000000005E-2</v>
      </c>
      <c r="Z7049">
        <v>-7.0125989999999999E-2</v>
      </c>
      <c r="AA7049">
        <v>0.99513580000000001</v>
      </c>
      <c r="AB7049">
        <v>33</v>
      </c>
      <c r="AC7049">
        <v>1.34050000000002</v>
      </c>
      <c r="AD7049">
        <v>-1.106910182562</v>
      </c>
      <c r="AE7049">
        <v>15.0659299999999</v>
      </c>
      <c r="AF7049">
        <v>-1.06169895118788</v>
      </c>
      <c r="AG7049">
        <v>-1.106910182562</v>
      </c>
      <c r="AH7049">
        <v>15.0073658003086</v>
      </c>
      <c r="AI7049">
        <v>94.207892763795002</v>
      </c>
      <c r="AJ7049">
        <v>94.046658801740705</v>
      </c>
      <c r="AK7049">
        <v>15.085538872691499</v>
      </c>
      <c r="AL7049">
        <v>88.704595916889105</v>
      </c>
      <c r="AM7049">
        <v>88.890270651981496</v>
      </c>
      <c r="AN7049">
        <v>0.99999998830807102</v>
      </c>
    </row>
    <row r="7050" spans="1:40" x14ac:dyDescent="0.25">
      <c r="A7050" t="str">
        <f>"20190312154433971"</f>
        <v>20190312154433971</v>
      </c>
      <c r="B7050" t="str">
        <f>"1552376673964238"</f>
        <v>1552376673964238</v>
      </c>
      <c r="C7050" t="s">
        <v>40</v>
      </c>
      <c r="D7050">
        <v>5.2554990000000004</v>
      </c>
      <c r="E7050">
        <v>0.4671014</v>
      </c>
      <c r="F7050" t="s">
        <v>43</v>
      </c>
      <c r="G7050">
        <v>-191.5292</v>
      </c>
      <c r="H7050" s="1">
        <v>-2.092168E-6</v>
      </c>
      <c r="I7050">
        <v>-16.48244</v>
      </c>
      <c r="J7050">
        <v>-192.803</v>
      </c>
      <c r="K7050">
        <v>1.106778</v>
      </c>
      <c r="L7050">
        <v>-31.00009</v>
      </c>
      <c r="M7050">
        <v>0.16117970000000001</v>
      </c>
      <c r="N7050">
        <v>0</v>
      </c>
      <c r="O7050">
        <v>0.98692139999999995</v>
      </c>
      <c r="P7050">
        <v>0.1781344</v>
      </c>
      <c r="Q7050">
        <v>1.845952E-2</v>
      </c>
      <c r="R7050">
        <v>0.98383299999999996</v>
      </c>
      <c r="S7050">
        <v>0.2689819</v>
      </c>
      <c r="T7050">
        <v>-0.22402369999999999</v>
      </c>
      <c r="U7050">
        <v>3.0050659999999998</v>
      </c>
      <c r="V7050">
        <v>1.733995E-2</v>
      </c>
      <c r="W7050">
        <v>2.106684E-2</v>
      </c>
      <c r="X7050">
        <v>0.99962770000000001</v>
      </c>
      <c r="Y7050">
        <v>-7.278917E-2</v>
      </c>
      <c r="Z7050">
        <v>-7.2646890000000006E-2</v>
      </c>
      <c r="AA7050">
        <v>0.99469799999999997</v>
      </c>
      <c r="AB7050">
        <v>34</v>
      </c>
      <c r="AC7050">
        <v>1.2737999999999901</v>
      </c>
      <c r="AD7050">
        <v>-1.106780092168</v>
      </c>
      <c r="AE7050">
        <v>14.51765</v>
      </c>
      <c r="AF7050">
        <v>-1.0766044353958799</v>
      </c>
      <c r="AG7050">
        <v>-1.106780092168</v>
      </c>
      <c r="AH7050">
        <v>14.4498013882578</v>
      </c>
      <c r="AI7050">
        <v>94.367948499718395</v>
      </c>
      <c r="AJ7050">
        <v>94.261036204390606</v>
      </c>
      <c r="AK7050">
        <v>14.532061087224699</v>
      </c>
      <c r="AL7050">
        <v>88.792869693943601</v>
      </c>
      <c r="AM7050">
        <v>89.006223695069806</v>
      </c>
      <c r="AN7050">
        <v>1.00000001211043</v>
      </c>
    </row>
    <row r="7051" spans="1:40" x14ac:dyDescent="0.25">
      <c r="A7051" t="str">
        <f>"20190312154433995"</f>
        <v>20190312154433995</v>
      </c>
      <c r="B7051" t="str">
        <f>"1552376673984734"</f>
        <v>1552376673984734</v>
      </c>
      <c r="C7051" t="s">
        <v>40</v>
      </c>
      <c r="D7051">
        <v>5.2868789999999999</v>
      </c>
      <c r="E7051">
        <v>0.46691149999999998</v>
      </c>
      <c r="F7051" t="s">
        <v>43</v>
      </c>
      <c r="G7051">
        <v>-191.49369999999999</v>
      </c>
      <c r="H7051" s="1">
        <v>-2.1371810000000002E-6</v>
      </c>
      <c r="I7051">
        <v>-16.355499999999999</v>
      </c>
      <c r="J7051">
        <v>-192.74209999999999</v>
      </c>
      <c r="K7051">
        <v>1.106652</v>
      </c>
      <c r="L7051">
        <v>-30.642029999999998</v>
      </c>
      <c r="M7051">
        <v>0.16395860000000001</v>
      </c>
      <c r="N7051">
        <v>0</v>
      </c>
      <c r="O7051">
        <v>0.98646389999999995</v>
      </c>
      <c r="P7051">
        <v>0.1798121</v>
      </c>
      <c r="Q7051">
        <v>1.9548960000000001E-2</v>
      </c>
      <c r="R7051">
        <v>0.98350669999999996</v>
      </c>
      <c r="S7051">
        <v>0.2686462</v>
      </c>
      <c r="T7051">
        <v>-0.22709950000000001</v>
      </c>
      <c r="U7051">
        <v>3.0049130000000002</v>
      </c>
      <c r="V7051">
        <v>1.624337E-2</v>
      </c>
      <c r="W7051">
        <v>2.2008380000000001E-2</v>
      </c>
      <c r="X7051">
        <v>0.99962580000000001</v>
      </c>
      <c r="Y7051">
        <v>-7.5709780000000004E-2</v>
      </c>
      <c r="Z7051">
        <v>-7.3583250000000003E-2</v>
      </c>
      <c r="AA7051">
        <v>0.99441120000000005</v>
      </c>
      <c r="AB7051">
        <v>34</v>
      </c>
      <c r="AC7051">
        <v>1.2484</v>
      </c>
      <c r="AD7051">
        <v>-1.1066541371809999</v>
      </c>
      <c r="AE7051">
        <v>14.286530000000001</v>
      </c>
      <c r="AF7051">
        <v>-1.1043255331458099</v>
      </c>
      <c r="AG7051">
        <v>-1.1066541371809999</v>
      </c>
      <c r="AH7051">
        <v>14.213241929507101</v>
      </c>
      <c r="AI7051">
        <v>94.438787829662004</v>
      </c>
      <c r="AJ7051">
        <v>94.442781519928303</v>
      </c>
      <c r="AK7051">
        <v>14.2989672497421</v>
      </c>
      <c r="AL7051">
        <v>88.738910864916207</v>
      </c>
      <c r="AM7051">
        <v>89.069056995468898</v>
      </c>
      <c r="AN7051">
        <v>0.99999997794241002</v>
      </c>
    </row>
    <row r="7052" spans="1:40" x14ac:dyDescent="0.25">
      <c r="A7052" t="str">
        <f>"20190312154434016"</f>
        <v>20190312154434016</v>
      </c>
      <c r="B7052" t="str">
        <f>"1552376674004254"</f>
        <v>1552376674004254</v>
      </c>
      <c r="C7052" t="s">
        <v>40</v>
      </c>
      <c r="D7052">
        <v>5.3096050000000004</v>
      </c>
      <c r="E7052">
        <v>0.4678715</v>
      </c>
      <c r="F7052" t="s">
        <v>43</v>
      </c>
      <c r="G7052">
        <v>-191.3887</v>
      </c>
      <c r="H7052" s="1">
        <v>-2.3848999999999998E-6</v>
      </c>
      <c r="I7052">
        <v>-15.71294</v>
      </c>
      <c r="J7052">
        <v>-192.6859</v>
      </c>
      <c r="K7052">
        <v>1.1065419999999999</v>
      </c>
      <c r="L7052">
        <v>-30.317409999999999</v>
      </c>
      <c r="M7052">
        <v>0.1665459</v>
      </c>
      <c r="N7052">
        <v>0</v>
      </c>
      <c r="O7052">
        <v>0.98603070000000004</v>
      </c>
      <c r="P7052">
        <v>0.18224870000000001</v>
      </c>
      <c r="Q7052">
        <v>2.1358430000000001E-2</v>
      </c>
      <c r="R7052">
        <v>0.98302049999999996</v>
      </c>
      <c r="S7052">
        <v>0.27239989999999997</v>
      </c>
      <c r="T7052">
        <v>-0.22274859999999999</v>
      </c>
      <c r="U7052">
        <v>3.0049440000000001</v>
      </c>
      <c r="V7052">
        <v>1.6118690000000001E-2</v>
      </c>
      <c r="W7052">
        <v>2.3701659999999999E-2</v>
      </c>
      <c r="X7052">
        <v>0.99958910000000001</v>
      </c>
      <c r="Y7052">
        <v>-7.7084559999999996E-2</v>
      </c>
      <c r="Z7052">
        <v>-7.2124850000000004E-2</v>
      </c>
      <c r="AA7052">
        <v>0.99441239999999997</v>
      </c>
      <c r="AB7052">
        <v>34</v>
      </c>
      <c r="AC7052">
        <v>1.2971999999999999</v>
      </c>
      <c r="AD7052">
        <v>-1.1065443848999901</v>
      </c>
      <c r="AE7052">
        <v>14.604469999999999</v>
      </c>
      <c r="AF7052">
        <v>-1.1467075965260201</v>
      </c>
      <c r="AG7052">
        <v>-1.1065443848999901</v>
      </c>
      <c r="AH7052">
        <v>14.5337612894684</v>
      </c>
      <c r="AI7052">
        <v>94.340442148271805</v>
      </c>
      <c r="AJ7052">
        <v>94.511267078030997</v>
      </c>
      <c r="AK7052">
        <v>14.620861671151101</v>
      </c>
      <c r="AL7052">
        <v>88.641867700768998</v>
      </c>
      <c r="AM7052">
        <v>89.076167523934501</v>
      </c>
      <c r="AN7052">
        <v>0.99999997484643999</v>
      </c>
    </row>
    <row r="7053" spans="1:40" x14ac:dyDescent="0.25">
      <c r="A7053" t="str">
        <f>"20190312154434040"</f>
        <v>20190312154434040</v>
      </c>
      <c r="B7053" t="str">
        <f>"1552376674034543"</f>
        <v>1552376674034543</v>
      </c>
      <c r="C7053" t="s">
        <v>40</v>
      </c>
      <c r="D7053">
        <v>5.2893509999999999</v>
      </c>
      <c r="E7053">
        <v>0.49143550000000003</v>
      </c>
      <c r="F7053" t="s">
        <v>43</v>
      </c>
      <c r="G7053">
        <v>-191.22190000000001</v>
      </c>
      <c r="H7053" s="1">
        <v>-2.6306260000000001E-6</v>
      </c>
      <c r="I7053">
        <v>-15.03669</v>
      </c>
      <c r="J7053">
        <v>-192.62430000000001</v>
      </c>
      <c r="K7053">
        <v>1.10643799999999</v>
      </c>
      <c r="L7053">
        <v>-29.967099999999999</v>
      </c>
      <c r="M7053">
        <v>0.16940350000000001</v>
      </c>
      <c r="N7053">
        <v>0</v>
      </c>
      <c r="O7053">
        <v>0.98554399999999998</v>
      </c>
      <c r="P7053">
        <v>0.1844305</v>
      </c>
      <c r="Q7053">
        <v>2.207493E-2</v>
      </c>
      <c r="R7053">
        <v>0.98259759999999996</v>
      </c>
      <c r="S7053">
        <v>0.28771970000000002</v>
      </c>
      <c r="T7053">
        <v>-0.21747530000000001</v>
      </c>
      <c r="U7053">
        <v>3.0032040000000002</v>
      </c>
      <c r="V7053">
        <v>1.5451670000000001E-2</v>
      </c>
      <c r="W7053">
        <v>2.4321369999999998E-2</v>
      </c>
      <c r="X7053">
        <v>0.99958480000000005</v>
      </c>
      <c r="Y7053">
        <v>-7.4882149999999995E-2</v>
      </c>
      <c r="Z7053">
        <v>-7.0404030000000006E-2</v>
      </c>
      <c r="AA7053">
        <v>0.99470389999999997</v>
      </c>
      <c r="AB7053">
        <v>34</v>
      </c>
      <c r="AC7053">
        <v>1.4024000000000001</v>
      </c>
      <c r="AD7053">
        <v>-1.10644063062599</v>
      </c>
      <c r="AE7053">
        <v>14.930409999999901</v>
      </c>
      <c r="AF7053">
        <v>-1.1409290181590801</v>
      </c>
      <c r="AG7053">
        <v>-1.10644063062599</v>
      </c>
      <c r="AH7053">
        <v>14.8712331874002</v>
      </c>
      <c r="AI7053">
        <v>94.242624549283704</v>
      </c>
      <c r="AJ7053">
        <v>94.387168841447902</v>
      </c>
      <c r="AK7053">
        <v>14.955918775107399</v>
      </c>
      <c r="AL7053">
        <v>88.606350765359394</v>
      </c>
      <c r="AM7053">
        <v>89.114387322191803</v>
      </c>
      <c r="AN7053">
        <v>1.0000000277677501</v>
      </c>
    </row>
    <row r="7054" spans="1:40" x14ac:dyDescent="0.25">
      <c r="A7054" t="str">
        <f>"20190312154434063"</f>
        <v>20190312154434063</v>
      </c>
      <c r="B7054" t="str">
        <f>"1552376674055039"</f>
        <v>1552376674055039</v>
      </c>
      <c r="C7054" t="s">
        <v>40</v>
      </c>
      <c r="D7054">
        <v>5.2537250000000002</v>
      </c>
      <c r="E7054">
        <v>0.4912899</v>
      </c>
      <c r="F7054" t="s">
        <v>41</v>
      </c>
      <c r="G7054">
        <v>-192.48679999999999</v>
      </c>
      <c r="H7054">
        <v>1.0413600000000001</v>
      </c>
      <c r="I7054">
        <v>-29.115539999999999</v>
      </c>
      <c r="J7054">
        <v>-192.56129999999999</v>
      </c>
      <c r="K7054">
        <v>1.10633</v>
      </c>
      <c r="L7054">
        <v>-29.615480000000002</v>
      </c>
      <c r="M7054">
        <v>0.17232929999999999</v>
      </c>
      <c r="N7054">
        <v>0</v>
      </c>
      <c r="O7054">
        <v>0.98503680000000005</v>
      </c>
      <c r="P7054">
        <v>0.1871197</v>
      </c>
      <c r="Q7054">
        <v>2.0994260000000001E-2</v>
      </c>
      <c r="R7054">
        <v>0.98211280000000001</v>
      </c>
      <c r="S7054">
        <v>0.47877500000000001</v>
      </c>
      <c r="T7054">
        <v>-0.2267594</v>
      </c>
      <c r="U7054">
        <v>2.968353</v>
      </c>
      <c r="V7054">
        <v>1.5213819999999999E-2</v>
      </c>
      <c r="W7054">
        <v>2.316727E-2</v>
      </c>
      <c r="X7054">
        <v>0.99961580000000005</v>
      </c>
      <c r="Y7054">
        <v>-1.3721199999999999E-2</v>
      </c>
      <c r="Z7054">
        <v>-7.3993020000000007E-2</v>
      </c>
      <c r="AA7054">
        <v>0.99716439999999995</v>
      </c>
      <c r="AB7054">
        <v>34</v>
      </c>
      <c r="AC7054">
        <v>7.4500000000000399E-2</v>
      </c>
      <c r="AD7054">
        <v>-6.4969999999999903E-2</v>
      </c>
      <c r="AE7054">
        <v>0.499939999999995</v>
      </c>
      <c r="AF7054">
        <v>-1.25615644930988E-2</v>
      </c>
      <c r="AG7054">
        <v>-6.4969999999999903E-2</v>
      </c>
      <c r="AH7054">
        <v>0.49708647245856102</v>
      </c>
      <c r="AI7054">
        <v>97.444089712050499</v>
      </c>
      <c r="AJ7054">
        <v>91.4475780866684</v>
      </c>
      <c r="AK7054">
        <v>0.50147168903519401</v>
      </c>
      <c r="AL7054">
        <v>88.672494391514704</v>
      </c>
      <c r="AM7054">
        <v>89.128044614526502</v>
      </c>
      <c r="AN7054">
        <v>0.99999996516394196</v>
      </c>
    </row>
    <row r="7055" spans="1:40" x14ac:dyDescent="0.25">
      <c r="A7055" t="str">
        <f>"20190312154434083"</f>
        <v>20190312154434083</v>
      </c>
      <c r="B7055" t="str">
        <f>"1552376674074558"</f>
        <v>1552376674074558</v>
      </c>
      <c r="C7055" t="s">
        <v>40</v>
      </c>
      <c r="D7055">
        <v>5.2526999999999999</v>
      </c>
      <c r="E7055">
        <v>0.49082799999999999</v>
      </c>
      <c r="F7055" t="s">
        <v>43</v>
      </c>
      <c r="G7055">
        <v>-190.18100000000001</v>
      </c>
      <c r="H7055" s="1">
        <v>-2.3355260000000002E-6</v>
      </c>
      <c r="I7055">
        <v>-15.078950000000001</v>
      </c>
      <c r="J7055">
        <v>-192.50489999999999</v>
      </c>
      <c r="K7055">
        <v>1.1062449999999999</v>
      </c>
      <c r="L7055">
        <v>-29.305330000000001</v>
      </c>
      <c r="M7055">
        <v>0.1749494</v>
      </c>
      <c r="N7055">
        <v>0</v>
      </c>
      <c r="O7055">
        <v>0.98457490000000003</v>
      </c>
      <c r="P7055">
        <v>0.19013060000000001</v>
      </c>
      <c r="Q7055">
        <v>1.934493E-2</v>
      </c>
      <c r="R7055">
        <v>0.9815682</v>
      </c>
      <c r="S7055">
        <v>0.4858246</v>
      </c>
      <c r="T7055">
        <v>-0.22580120000000001</v>
      </c>
      <c r="U7055">
        <v>2.966888</v>
      </c>
      <c r="V7055">
        <v>1.560741E-2</v>
      </c>
      <c r="W7055">
        <v>2.1471580000000001E-2</v>
      </c>
      <c r="X7055">
        <v>0.99964759999999997</v>
      </c>
      <c r="Y7055">
        <v>-1.3991750000000001E-2</v>
      </c>
      <c r="Z7055">
        <v>-7.3652129999999996E-2</v>
      </c>
      <c r="AA7055">
        <v>0.99718580000000001</v>
      </c>
      <c r="AB7055">
        <v>34</v>
      </c>
      <c r="AC7055">
        <v>2.3239000000000001</v>
      </c>
      <c r="AD7055">
        <v>-1.1062473355259901</v>
      </c>
      <c r="AE7055">
        <v>14.226379999999899</v>
      </c>
      <c r="AF7055">
        <v>-0.19966759070908099</v>
      </c>
      <c r="AG7055">
        <v>-1.1062473355259901</v>
      </c>
      <c r="AH7055">
        <v>14.3291458057155</v>
      </c>
      <c r="AI7055">
        <v>94.414199561290204</v>
      </c>
      <c r="AJ7055">
        <v>90.798328809363696</v>
      </c>
      <c r="AK7055">
        <v>14.373171878037001</v>
      </c>
      <c r="AL7055">
        <v>88.769674503926197</v>
      </c>
      <c r="AM7055">
        <v>89.105518712816107</v>
      </c>
      <c r="AN7055">
        <v>0.99999997209018099</v>
      </c>
    </row>
    <row r="7056" spans="1:40" x14ac:dyDescent="0.25">
      <c r="A7056" t="str">
        <f>"20190312154434105"</f>
        <v>20190312154434105</v>
      </c>
      <c r="B7056" t="str">
        <f>"1552376674094079"</f>
        <v>1552376674094079</v>
      </c>
      <c r="C7056" t="s">
        <v>40</v>
      </c>
      <c r="D7056">
        <v>5.2908429999999997</v>
      </c>
      <c r="E7056">
        <v>0.49046479999999998</v>
      </c>
      <c r="F7056" t="s">
        <v>43</v>
      </c>
      <c r="G7056">
        <v>-190.1422</v>
      </c>
      <c r="H7056" s="1">
        <v>-2.3401989999999998E-6</v>
      </c>
      <c r="I7056">
        <v>-15.044</v>
      </c>
      <c r="J7056">
        <v>-192.4409</v>
      </c>
      <c r="K7056">
        <v>1.1061559999999999</v>
      </c>
      <c r="L7056">
        <v>-28.959109999999999</v>
      </c>
      <c r="M7056">
        <v>0.17790449999999999</v>
      </c>
      <c r="N7056">
        <v>0</v>
      </c>
      <c r="O7056">
        <v>0.98404530000000001</v>
      </c>
      <c r="P7056">
        <v>0.194497</v>
      </c>
      <c r="Q7056">
        <v>1.8651890000000001E-2</v>
      </c>
      <c r="R7056">
        <v>0.98072579999999998</v>
      </c>
      <c r="S7056">
        <v>0.49133300000000002</v>
      </c>
      <c r="T7056">
        <v>-0.23004839999999999</v>
      </c>
      <c r="U7056">
        <v>2.9656980000000002</v>
      </c>
      <c r="V7056">
        <v>1.705183E-2</v>
      </c>
      <c r="W7056">
        <v>2.074171E-2</v>
      </c>
      <c r="X7056">
        <v>0.99963950000000001</v>
      </c>
      <c r="Y7056">
        <v>-1.5143459999999999E-2</v>
      </c>
      <c r="Z7056">
        <v>-7.4986819999999996E-2</v>
      </c>
      <c r="AA7056">
        <v>0.99706950000000005</v>
      </c>
      <c r="AB7056">
        <v>35</v>
      </c>
      <c r="AC7056">
        <v>2.29869999999999</v>
      </c>
      <c r="AD7056">
        <v>-1.1061583401989901</v>
      </c>
      <c r="AE7056">
        <v>13.91511</v>
      </c>
      <c r="AF7056">
        <v>-0.21223077210871599</v>
      </c>
      <c r="AG7056">
        <v>-1.1061583401989901</v>
      </c>
      <c r="AH7056">
        <v>14.015865645656399</v>
      </c>
      <c r="AI7056">
        <v>94.512021503345196</v>
      </c>
      <c r="AJ7056">
        <v>90.867516755245404</v>
      </c>
      <c r="AK7056">
        <v>14.061049675302099</v>
      </c>
      <c r="AL7056">
        <v>88.811502395168901</v>
      </c>
      <c r="AM7056">
        <v>89.022744551439402</v>
      </c>
      <c r="AN7056">
        <v>1.0000000567001599</v>
      </c>
    </row>
    <row r="7057" spans="1:40" x14ac:dyDescent="0.25">
      <c r="A7057" t="str">
        <f>"20190312154434127"</f>
        <v>20190312154434127</v>
      </c>
      <c r="B7057" t="str">
        <f>"1552376674114575"</f>
        <v>1552376674114575</v>
      </c>
      <c r="C7057" t="s">
        <v>40</v>
      </c>
      <c r="D7057">
        <v>5.2961019999999897</v>
      </c>
      <c r="E7057">
        <v>0.49033719999999997</v>
      </c>
      <c r="F7057" t="s">
        <v>43</v>
      </c>
      <c r="G7057">
        <v>-190.0694</v>
      </c>
      <c r="H7057" s="1">
        <v>-2.3620570000000001E-6</v>
      </c>
      <c r="I7057">
        <v>-14.947889999999999</v>
      </c>
      <c r="J7057">
        <v>-192.3775</v>
      </c>
      <c r="K7057">
        <v>1.1060829999999999</v>
      </c>
      <c r="L7057">
        <v>-28.622219999999999</v>
      </c>
      <c r="M7057">
        <v>0.1808023</v>
      </c>
      <c r="N7057">
        <v>0</v>
      </c>
      <c r="O7057">
        <v>0.98351699999999997</v>
      </c>
      <c r="P7057">
        <v>0.1986782</v>
      </c>
      <c r="Q7057">
        <v>1.779493E-2</v>
      </c>
      <c r="R7057">
        <v>0.97990319999999997</v>
      </c>
      <c r="S7057">
        <v>0.50166319999999998</v>
      </c>
      <c r="T7057">
        <v>-0.2339965</v>
      </c>
      <c r="U7057">
        <v>2.9639280000000001</v>
      </c>
      <c r="V7057">
        <v>1.8365659999999999E-2</v>
      </c>
      <c r="W7057">
        <v>1.986976E-2</v>
      </c>
      <c r="X7057">
        <v>0.99963389999999996</v>
      </c>
      <c r="Y7057">
        <v>-1.462864E-2</v>
      </c>
      <c r="Z7057">
        <v>-7.6228229999999994E-2</v>
      </c>
      <c r="AA7057">
        <v>0.99698310000000001</v>
      </c>
      <c r="AB7057">
        <v>35</v>
      </c>
      <c r="AC7057">
        <v>2.3080999999999898</v>
      </c>
      <c r="AD7057">
        <v>-1.1060853620569999</v>
      </c>
      <c r="AE7057">
        <v>13.674329999999999</v>
      </c>
      <c r="AF7057">
        <v>-0.20101643464149199</v>
      </c>
      <c r="AG7057">
        <v>-1.1060853620569999</v>
      </c>
      <c r="AH7057">
        <v>13.778625532168199</v>
      </c>
      <c r="AI7057">
        <v>94.589116403887203</v>
      </c>
      <c r="AJ7057">
        <v>90.835829109231895</v>
      </c>
      <c r="AK7057">
        <v>13.824411524215799</v>
      </c>
      <c r="AL7057">
        <v>88.861471709243901</v>
      </c>
      <c r="AM7057">
        <v>88.947458231063194</v>
      </c>
      <c r="AN7057">
        <v>1.00000001942945</v>
      </c>
    </row>
    <row r="7058" spans="1:40" x14ac:dyDescent="0.25">
      <c r="A7058" t="str">
        <f>"20190312154434149"</f>
        <v>20190312154434149</v>
      </c>
      <c r="B7058" t="str">
        <f>"1552376674144831"</f>
        <v>1552376674144831</v>
      </c>
      <c r="C7058" t="s">
        <v>40</v>
      </c>
      <c r="D7058">
        <v>5.2883239999999896</v>
      </c>
      <c r="E7058">
        <v>0.48982009999999998</v>
      </c>
      <c r="F7058" t="s">
        <v>43</v>
      </c>
      <c r="G7058">
        <v>-189.9727</v>
      </c>
      <c r="H7058" s="1">
        <v>-2.4242719999999999E-6</v>
      </c>
      <c r="I7058">
        <v>-14.742889999999999</v>
      </c>
      <c r="J7058">
        <v>-192.31100000000001</v>
      </c>
      <c r="K7058">
        <v>1.1060030000000001</v>
      </c>
      <c r="L7058">
        <v>-28.274290000000001</v>
      </c>
      <c r="M7058">
        <v>0.18381159999999999</v>
      </c>
      <c r="N7058">
        <v>0</v>
      </c>
      <c r="O7058">
        <v>0.98295900000000003</v>
      </c>
      <c r="P7058">
        <v>0.20342279999999999</v>
      </c>
      <c r="Q7058">
        <v>1.5353739999999999E-2</v>
      </c>
      <c r="R7058">
        <v>0.97897060000000002</v>
      </c>
      <c r="S7058">
        <v>0.51318359999999996</v>
      </c>
      <c r="T7058">
        <v>-0.23603150000000001</v>
      </c>
      <c r="U7058">
        <v>2.9617610000000001</v>
      </c>
      <c r="V7058">
        <v>2.0127490000000001E-2</v>
      </c>
      <c r="W7058">
        <v>1.7426870000000001E-2</v>
      </c>
      <c r="X7058">
        <v>0.99964549999999996</v>
      </c>
      <c r="Y7058">
        <v>-1.381014E-2</v>
      </c>
      <c r="Z7058">
        <v>-7.6852660000000003E-2</v>
      </c>
      <c r="AA7058">
        <v>0.99694680000000002</v>
      </c>
      <c r="AB7058">
        <v>35</v>
      </c>
      <c r="AC7058">
        <v>2.3382999999999701</v>
      </c>
      <c r="AD7058">
        <v>-1.1060054242720001</v>
      </c>
      <c r="AE7058">
        <v>13.5314</v>
      </c>
      <c r="AF7058">
        <v>-0.187559004327465</v>
      </c>
      <c r="AG7058">
        <v>-1.1060054242720001</v>
      </c>
      <c r="AH7058">
        <v>13.642153795927101</v>
      </c>
      <c r="AI7058">
        <v>94.634546865844399</v>
      </c>
      <c r="AJ7058">
        <v>90.787680779788801</v>
      </c>
      <c r="AK7058">
        <v>13.688198806649201</v>
      </c>
      <c r="AL7058">
        <v>89.001463321333503</v>
      </c>
      <c r="AM7058">
        <v>88.846526666352304</v>
      </c>
      <c r="AN7058">
        <v>0.99999996866097296</v>
      </c>
    </row>
    <row r="7059" spans="1:40" x14ac:dyDescent="0.25">
      <c r="A7059" t="str">
        <f>"20190312154434172"</f>
        <v>20190312154434172</v>
      </c>
      <c r="B7059" t="str">
        <f>"1552376674164351"</f>
        <v>1552376674164351</v>
      </c>
      <c r="C7059" t="s">
        <v>40</v>
      </c>
      <c r="D7059">
        <v>5.2479789999999999</v>
      </c>
      <c r="E7059">
        <v>0.48950769999999999</v>
      </c>
      <c r="F7059" t="s">
        <v>41</v>
      </c>
      <c r="G7059">
        <v>-192.13409999999999</v>
      </c>
      <c r="H7059">
        <v>1.023541</v>
      </c>
      <c r="I7059">
        <v>-27.27516</v>
      </c>
      <c r="J7059">
        <v>-192.24299999999999</v>
      </c>
      <c r="K7059">
        <v>1.105928</v>
      </c>
      <c r="L7059">
        <v>-27.924440000000001</v>
      </c>
      <c r="M7059">
        <v>0.1868485</v>
      </c>
      <c r="N7059">
        <v>0</v>
      </c>
      <c r="O7059">
        <v>0.98238619999999999</v>
      </c>
      <c r="P7059">
        <v>0.20710970000000001</v>
      </c>
      <c r="Q7059">
        <v>1.1763559999999999E-2</v>
      </c>
      <c r="R7059">
        <v>0.97824699999999998</v>
      </c>
      <c r="S7059">
        <v>0.52365109999999904</v>
      </c>
      <c r="T7059">
        <v>-0.24414540000000001</v>
      </c>
      <c r="U7059">
        <v>2.959473</v>
      </c>
      <c r="V7059">
        <v>2.0772909999999999E-2</v>
      </c>
      <c r="W7059">
        <v>1.385627E-2</v>
      </c>
      <c r="X7059">
        <v>0.99968820000000003</v>
      </c>
      <c r="Y7059">
        <v>-1.338579E-2</v>
      </c>
      <c r="Z7059">
        <v>-7.9444879999999996E-2</v>
      </c>
      <c r="AA7059">
        <v>0.99674940000000001</v>
      </c>
      <c r="AB7059">
        <v>35</v>
      </c>
      <c r="AC7059">
        <v>0.10890000000000501</v>
      </c>
      <c r="AD7059">
        <v>-8.2386999999999905E-2</v>
      </c>
      <c r="AE7059">
        <v>0.64928000000000397</v>
      </c>
      <c r="AF7059">
        <v>-1.4114138685589301E-2</v>
      </c>
      <c r="AG7059">
        <v>-8.2386999999999905E-2</v>
      </c>
      <c r="AH7059">
        <v>0.64804447765223805</v>
      </c>
      <c r="AI7059">
        <v>97.243543809831394</v>
      </c>
      <c r="AJ7059">
        <v>91.247680948552997</v>
      </c>
      <c r="AK7059">
        <v>0.653412941175332</v>
      </c>
      <c r="AL7059">
        <v>89.206068805395404</v>
      </c>
      <c r="AM7059">
        <v>88.809600020437799</v>
      </c>
      <c r="AN7059">
        <v>1.00000000361371</v>
      </c>
    </row>
    <row r="7060" spans="1:40" x14ac:dyDescent="0.25">
      <c r="A7060" t="str">
        <f>"20190312154434194"</f>
        <v>20190312154434194</v>
      </c>
      <c r="B7060" t="str">
        <f>"1552376674184847"</f>
        <v>1552376674184847</v>
      </c>
      <c r="C7060" t="s">
        <v>40</v>
      </c>
      <c r="D7060">
        <v>5.3107170000000004</v>
      </c>
      <c r="E7060">
        <v>0.4891221</v>
      </c>
      <c r="F7060" t="s">
        <v>41</v>
      </c>
      <c r="G7060">
        <v>-192.06960000000001</v>
      </c>
      <c r="H7060">
        <v>1.0236909999999999</v>
      </c>
      <c r="I7060">
        <v>-26.962260000000001</v>
      </c>
      <c r="J7060">
        <v>-192.1737</v>
      </c>
      <c r="K7060">
        <v>1.1058650000000001</v>
      </c>
      <c r="L7060">
        <v>-27.57422</v>
      </c>
      <c r="M7060">
        <v>0.18989500000000001</v>
      </c>
      <c r="N7060">
        <v>0</v>
      </c>
      <c r="O7060">
        <v>0.9818017</v>
      </c>
      <c r="P7060">
        <v>0.20978250000000001</v>
      </c>
      <c r="Q7060">
        <v>6.5531259999999899E-3</v>
      </c>
      <c r="R7060">
        <v>0.97772610000000004</v>
      </c>
      <c r="S7060">
        <v>0.53263850000000001</v>
      </c>
      <c r="T7060">
        <v>-0.25271460000000001</v>
      </c>
      <c r="U7060">
        <v>2.9569700000000001</v>
      </c>
      <c r="V7060">
        <v>2.036025E-2</v>
      </c>
      <c r="W7060">
        <v>8.6824439999999992E-3</v>
      </c>
      <c r="X7060">
        <v>0.99975499999999995</v>
      </c>
      <c r="Y7060">
        <v>-1.3447590000000001E-2</v>
      </c>
      <c r="Z7060">
        <v>-8.2187410000000002E-2</v>
      </c>
      <c r="AA7060">
        <v>0.99652620000000003</v>
      </c>
      <c r="AB7060">
        <v>35</v>
      </c>
      <c r="AC7060">
        <v>0.10409999999998799</v>
      </c>
      <c r="AD7060">
        <v>-8.21739999999999E-2</v>
      </c>
      <c r="AE7060">
        <v>0.61196000000000295</v>
      </c>
      <c r="AF7060">
        <v>-1.3761468057180501E-2</v>
      </c>
      <c r="AG7060">
        <v>-8.21739999999999E-2</v>
      </c>
      <c r="AH7060">
        <v>0.609905091680506</v>
      </c>
      <c r="AI7060">
        <v>97.671462188857603</v>
      </c>
      <c r="AJ7060">
        <v>91.292562214278703</v>
      </c>
      <c r="AK7060">
        <v>0.61556978900600301</v>
      </c>
      <c r="AL7060">
        <v>89.502526348658705</v>
      </c>
      <c r="AM7060">
        <v>88.833319001895305</v>
      </c>
      <c r="AN7060">
        <v>0.99999999231943704</v>
      </c>
    </row>
    <row r="7061" spans="1:40" x14ac:dyDescent="0.25">
      <c r="A7061" t="str">
        <f>"20190312154434216"</f>
        <v>20190312154434216</v>
      </c>
      <c r="B7061" t="str">
        <f>"1552376674204367"</f>
        <v>1552376674204367</v>
      </c>
      <c r="C7061" t="s">
        <v>40</v>
      </c>
      <c r="D7061">
        <v>5.2420540000000004</v>
      </c>
      <c r="E7061">
        <v>0.48866419999999999</v>
      </c>
      <c r="F7061" t="s">
        <v>41</v>
      </c>
      <c r="G7061">
        <v>-192.0051</v>
      </c>
      <c r="H7061">
        <v>1.0219100000000001</v>
      </c>
      <c r="I7061">
        <v>-26.648849999999999</v>
      </c>
      <c r="J7061">
        <v>-192.10380000000001</v>
      </c>
      <c r="K7061">
        <v>1.1058059999999901</v>
      </c>
      <c r="L7061">
        <v>-27.226040000000001</v>
      </c>
      <c r="M7061">
        <v>0.19292680000000001</v>
      </c>
      <c r="N7061">
        <v>0</v>
      </c>
      <c r="O7061">
        <v>0.98121040000000004</v>
      </c>
      <c r="P7061">
        <v>0.21161630000000001</v>
      </c>
      <c r="Q7061">
        <v>2.3602250000000001E-3</v>
      </c>
      <c r="R7061">
        <v>0.97735000000000005</v>
      </c>
      <c r="S7061">
        <v>0.53787229999999997</v>
      </c>
      <c r="T7061">
        <v>-0.2679455</v>
      </c>
      <c r="U7061">
        <v>2.954742</v>
      </c>
      <c r="V7061">
        <v>1.9115469999999999E-2</v>
      </c>
      <c r="W7061">
        <v>4.5392999999999996E-3</v>
      </c>
      <c r="X7061">
        <v>0.999807</v>
      </c>
      <c r="Y7061">
        <v>-1.4772209999999999E-2</v>
      </c>
      <c r="Z7061">
        <v>-8.7074150000000003E-2</v>
      </c>
      <c r="AA7061">
        <v>0.99609230000000004</v>
      </c>
      <c r="AB7061">
        <v>36</v>
      </c>
      <c r="AC7061">
        <v>9.8700000000008004E-2</v>
      </c>
      <c r="AD7061">
        <v>-8.3895999999999707E-2</v>
      </c>
      <c r="AE7061">
        <v>0.57719000000000098</v>
      </c>
      <c r="AF7061">
        <v>-1.4218135236910401E-2</v>
      </c>
      <c r="AG7061">
        <v>-8.3895999999999707E-2</v>
      </c>
      <c r="AH7061">
        <v>0.57361365879585302</v>
      </c>
      <c r="AI7061">
        <v>98.318489625936706</v>
      </c>
      <c r="AJ7061">
        <v>91.419897093436703</v>
      </c>
      <c r="AK7061">
        <v>0.579890786047494</v>
      </c>
      <c r="AL7061">
        <v>89.739916380551094</v>
      </c>
      <c r="AM7061">
        <v>88.9046862724378</v>
      </c>
      <c r="AN7061">
        <v>1.0000000218434</v>
      </c>
    </row>
    <row r="7062" spans="1:40" x14ac:dyDescent="0.25">
      <c r="A7062" t="str">
        <f>"20190312154434240"</f>
        <v>20190312154434240</v>
      </c>
      <c r="B7062" t="str">
        <f>"1552376674234157"</f>
        <v>1552376674234157</v>
      </c>
      <c r="C7062" t="s">
        <v>40</v>
      </c>
      <c r="D7062">
        <v>5.3083519999999904</v>
      </c>
      <c r="E7062">
        <v>0.48809950000000002</v>
      </c>
      <c r="F7062" t="s">
        <v>41</v>
      </c>
      <c r="G7062">
        <v>-191.94069999999999</v>
      </c>
      <c r="H7062">
        <v>1.021509</v>
      </c>
      <c r="I7062">
        <v>-26.333269999999999</v>
      </c>
      <c r="J7062">
        <v>-192.02520000000001</v>
      </c>
      <c r="K7062">
        <v>1.105761</v>
      </c>
      <c r="L7062">
        <v>-26.84085</v>
      </c>
      <c r="M7062">
        <v>0.19628139999999999</v>
      </c>
      <c r="N7062">
        <v>0</v>
      </c>
      <c r="O7062">
        <v>0.98054470000000005</v>
      </c>
      <c r="P7062">
        <v>0.21329429999999999</v>
      </c>
      <c r="Q7062">
        <v>1.2094740000000001E-3</v>
      </c>
      <c r="R7062">
        <v>0.97698719999999994</v>
      </c>
      <c r="S7062">
        <v>0.53965759999999996</v>
      </c>
      <c r="T7062">
        <v>-0.2788178</v>
      </c>
      <c r="U7062">
        <v>2.9533390000000002</v>
      </c>
      <c r="V7062">
        <v>1.7405250000000001E-2</v>
      </c>
      <c r="W7062">
        <v>3.453074E-3</v>
      </c>
      <c r="X7062">
        <v>0.99984260000000003</v>
      </c>
      <c r="Y7062">
        <v>-1.7582440000000001E-2</v>
      </c>
      <c r="Z7062">
        <v>-9.0520790000000004E-2</v>
      </c>
      <c r="AA7062">
        <v>0.99573929999999999</v>
      </c>
      <c r="AB7062">
        <v>36</v>
      </c>
      <c r="AC7062">
        <v>8.4500000000019698E-2</v>
      </c>
      <c r="AD7062">
        <v>-8.4251999999999994E-2</v>
      </c>
      <c r="AE7062">
        <v>0.50757999999999703</v>
      </c>
      <c r="AF7062">
        <v>-1.6334620457381401E-2</v>
      </c>
      <c r="AG7062">
        <v>-8.4251999999999994E-2</v>
      </c>
      <c r="AH7062">
        <v>0.50086449665599897</v>
      </c>
      <c r="AI7062">
        <v>99.543532809772302</v>
      </c>
      <c r="AJ7062">
        <v>91.867916814014194</v>
      </c>
      <c r="AK7062">
        <v>0.50816381545713596</v>
      </c>
      <c r="AL7062">
        <v>89.802153049297701</v>
      </c>
      <c r="AM7062">
        <v>89.002696374381799</v>
      </c>
      <c r="AN7062">
        <v>1.0000000456111799</v>
      </c>
    </row>
    <row r="7063" spans="1:40" x14ac:dyDescent="0.25">
      <c r="A7063" t="str">
        <f>"20190312154434262"</f>
        <v>20190312154434262</v>
      </c>
      <c r="B7063" t="str">
        <f>"1552376674254652"</f>
        <v>1552376674254652</v>
      </c>
      <c r="C7063" t="s">
        <v>40</v>
      </c>
      <c r="D7063">
        <v>5.3023610000000003</v>
      </c>
      <c r="E7063">
        <v>0.48784549999999999</v>
      </c>
      <c r="F7063" t="s">
        <v>41</v>
      </c>
      <c r="G7063">
        <v>-191.87379999999999</v>
      </c>
      <c r="H7063">
        <v>1.02783</v>
      </c>
      <c r="I7063">
        <v>-26.013539999999999</v>
      </c>
      <c r="J7063">
        <v>-191.9564</v>
      </c>
      <c r="K7063">
        <v>1.105721</v>
      </c>
      <c r="L7063">
        <v>-26.509060000000002</v>
      </c>
      <c r="M7063">
        <v>0.1991713</v>
      </c>
      <c r="N7063">
        <v>0</v>
      </c>
      <c r="O7063">
        <v>0.97996170000000005</v>
      </c>
      <c r="P7063">
        <v>0.2139732</v>
      </c>
      <c r="Q7063">
        <v>1.9154459999999999E-3</v>
      </c>
      <c r="R7063">
        <v>0.97683759999999997</v>
      </c>
      <c r="S7063">
        <v>0.5401764</v>
      </c>
      <c r="T7063">
        <v>-0.27811809999999998</v>
      </c>
      <c r="U7063">
        <v>2.9530639999999999</v>
      </c>
      <c r="V7063">
        <v>1.5158339999999999E-2</v>
      </c>
      <c r="W7063">
        <v>4.2241140000000002E-3</v>
      </c>
      <c r="X7063">
        <v>0.99987619999999999</v>
      </c>
      <c r="Y7063">
        <v>-2.0339840000000001E-2</v>
      </c>
      <c r="Z7063">
        <v>-9.0219530000000006E-2</v>
      </c>
      <c r="AA7063">
        <v>0.99571419999999999</v>
      </c>
      <c r="AB7063">
        <v>36</v>
      </c>
      <c r="AC7063">
        <v>8.2600000000013496E-2</v>
      </c>
      <c r="AD7063">
        <v>-7.7890999999999905E-2</v>
      </c>
      <c r="AE7063">
        <v>0.49551999999999902</v>
      </c>
      <c r="AF7063">
        <v>-1.7331905050914E-2</v>
      </c>
      <c r="AG7063">
        <v>-7.7890999999999905E-2</v>
      </c>
      <c r="AH7063">
        <v>0.49025745361779799</v>
      </c>
      <c r="AI7063">
        <v>99.022027282052804</v>
      </c>
      <c r="AJ7063">
        <v>92.024714987851297</v>
      </c>
      <c r="AK7063">
        <v>0.49670894258257697</v>
      </c>
      <c r="AL7063">
        <v>89.757975379950295</v>
      </c>
      <c r="AM7063">
        <v>89.131450095020298</v>
      </c>
      <c r="AN7063">
        <v>1.0000000168685399</v>
      </c>
    </row>
    <row r="7064" spans="1:40" x14ac:dyDescent="0.25">
      <c r="A7064" t="str">
        <f>"20190312154434284"</f>
        <v>20190312154434284</v>
      </c>
      <c r="B7064" t="str">
        <f>"1552376674274172"</f>
        <v>1552376674274172</v>
      </c>
      <c r="C7064" t="s">
        <v>40</v>
      </c>
      <c r="D7064">
        <v>5.3165339999999999</v>
      </c>
      <c r="E7064">
        <v>0.48235040000000001</v>
      </c>
      <c r="F7064" t="s">
        <v>41</v>
      </c>
      <c r="G7064">
        <v>-191.80709999999999</v>
      </c>
      <c r="H7064">
        <v>1.0299670000000001</v>
      </c>
      <c r="I7064">
        <v>-25.693159999999999</v>
      </c>
      <c r="J7064">
        <v>-191.8794</v>
      </c>
      <c r="K7064">
        <v>1.105693</v>
      </c>
      <c r="L7064">
        <v>-26.142880000000002</v>
      </c>
      <c r="M7064">
        <v>0.2023596</v>
      </c>
      <c r="N7064">
        <v>0</v>
      </c>
      <c r="O7064">
        <v>0.97930819999999996</v>
      </c>
      <c r="P7064">
        <v>0.2161507</v>
      </c>
      <c r="Q7064">
        <v>1.4050620000000001E-3</v>
      </c>
      <c r="R7064">
        <v>0.97635899999999998</v>
      </c>
      <c r="S7064">
        <v>0.54046629999999996</v>
      </c>
      <c r="T7064">
        <v>-0.27424480000000001</v>
      </c>
      <c r="U7064">
        <v>2.9532780000000001</v>
      </c>
      <c r="V7064">
        <v>1.413054E-2</v>
      </c>
      <c r="W7064">
        <v>3.7773199999999998E-3</v>
      </c>
      <c r="X7064">
        <v>0.99989300000000003</v>
      </c>
      <c r="Y7064">
        <v>-2.3490090000000002E-2</v>
      </c>
      <c r="Z7064">
        <v>-8.8874380000000003E-2</v>
      </c>
      <c r="AA7064">
        <v>0.99576580000000003</v>
      </c>
      <c r="AB7064">
        <v>36</v>
      </c>
      <c r="AC7064">
        <v>7.2300000000012604E-2</v>
      </c>
      <c r="AD7064">
        <v>-7.5725999999999904E-2</v>
      </c>
      <c r="AE7064">
        <v>0.44971999999999901</v>
      </c>
      <c r="AF7064">
        <v>-1.9657911018197E-2</v>
      </c>
      <c r="AG7064">
        <v>-7.5725999999999904E-2</v>
      </c>
      <c r="AH7064">
        <v>0.44280766359802498</v>
      </c>
      <c r="AI7064">
        <v>99.695095552353493</v>
      </c>
      <c r="AJ7064">
        <v>92.541907885231197</v>
      </c>
      <c r="AK7064">
        <v>0.44966597323206597</v>
      </c>
      <c r="AL7064">
        <v>89.783574986242996</v>
      </c>
      <c r="AM7064">
        <v>89.190346954171005</v>
      </c>
      <c r="AN7064">
        <v>0.99999997587803602</v>
      </c>
    </row>
    <row r="7065" spans="1:40" x14ac:dyDescent="0.25">
      <c r="A7065" t="str">
        <f>"20190312154434306"</f>
        <v>20190312154434306</v>
      </c>
      <c r="B7065" t="str">
        <f>"1552376674294668"</f>
        <v>1552376674294668</v>
      </c>
      <c r="C7065" t="s">
        <v>40</v>
      </c>
      <c r="D7065">
        <v>5.3056330000000003</v>
      </c>
      <c r="E7065">
        <v>0.4820121</v>
      </c>
      <c r="F7065" t="s">
        <v>43</v>
      </c>
      <c r="G7065">
        <v>-189.595</v>
      </c>
      <c r="H7065" s="1">
        <v>-3.3392679999999999E-6</v>
      </c>
      <c r="I7065">
        <v>-12.75075</v>
      </c>
      <c r="J7065">
        <v>-191.8058</v>
      </c>
      <c r="K7065">
        <v>1.105661</v>
      </c>
      <c r="L7065">
        <v>-25.7988</v>
      </c>
      <c r="M7065">
        <v>0.2053546</v>
      </c>
      <c r="N7065">
        <v>0</v>
      </c>
      <c r="O7065">
        <v>0.97868440000000001</v>
      </c>
      <c r="P7065">
        <v>0.21872639999999999</v>
      </c>
      <c r="Q7065">
        <v>2.2758779999999998E-3</v>
      </c>
      <c r="R7065">
        <v>0.97578359999999997</v>
      </c>
      <c r="S7065">
        <v>0.5050964</v>
      </c>
      <c r="T7065">
        <v>-0.24448439999999999</v>
      </c>
      <c r="U7065">
        <v>2.961182</v>
      </c>
      <c r="V7065">
        <v>1.3717490000000001E-2</v>
      </c>
      <c r="W7065">
        <v>4.7042830000000001E-3</v>
      </c>
      <c r="X7065">
        <v>0.99989490000000003</v>
      </c>
      <c r="Y7065">
        <v>-3.8408770000000002E-2</v>
      </c>
      <c r="Z7065">
        <v>-7.9075519999999996E-2</v>
      </c>
      <c r="AA7065">
        <v>0.99612840000000002</v>
      </c>
      <c r="AB7065">
        <v>36</v>
      </c>
      <c r="AC7065">
        <v>2.2107999999999999</v>
      </c>
      <c r="AD7065">
        <v>-1.1056643392679999</v>
      </c>
      <c r="AE7065">
        <v>13.04805</v>
      </c>
      <c r="AF7065">
        <v>-0.51222783666141602</v>
      </c>
      <c r="AG7065">
        <v>-1.1056643392679999</v>
      </c>
      <c r="AH7065">
        <v>13.1322977466289</v>
      </c>
      <c r="AI7065">
        <v>94.808986890668507</v>
      </c>
      <c r="AJ7065">
        <v>92.233700733635402</v>
      </c>
      <c r="AK7065">
        <v>13.1887116540583</v>
      </c>
      <c r="AL7065">
        <v>89.730463459245499</v>
      </c>
      <c r="AM7065">
        <v>89.214012412537997</v>
      </c>
      <c r="AN7065">
        <v>1.00000005542822</v>
      </c>
    </row>
    <row r="7066" spans="1:40" x14ac:dyDescent="0.25">
      <c r="A7066" t="str">
        <f>"20190312154434327"</f>
        <v>20190312154434327</v>
      </c>
      <c r="B7066" t="str">
        <f>"1552376674323948"</f>
        <v>1552376674323948</v>
      </c>
      <c r="C7066" t="s">
        <v>40</v>
      </c>
      <c r="D7066">
        <v>5.2867119999999996</v>
      </c>
      <c r="E7066">
        <v>0.48114859999999998</v>
      </c>
      <c r="F7066" t="s">
        <v>43</v>
      </c>
      <c r="G7066">
        <v>-189.39080000000001</v>
      </c>
      <c r="H7066" s="1">
        <v>-3.7847930000000002E-6</v>
      </c>
      <c r="I7066">
        <v>-11.79668</v>
      </c>
      <c r="J7066">
        <v>-191.72970000000001</v>
      </c>
      <c r="K7066">
        <v>1.1056299999999999</v>
      </c>
      <c r="L7066">
        <v>-25.44821</v>
      </c>
      <c r="M7066">
        <v>0.20840310000000001</v>
      </c>
      <c r="N7066">
        <v>0</v>
      </c>
      <c r="O7066">
        <v>0.97803960000000001</v>
      </c>
      <c r="P7066">
        <v>0.22184309999999999</v>
      </c>
      <c r="Q7066">
        <v>3.2797429999999999E-3</v>
      </c>
      <c r="R7066">
        <v>0.97507690000000002</v>
      </c>
      <c r="S7066">
        <v>0.51062010000000002</v>
      </c>
      <c r="T7066">
        <v>-0.2337765</v>
      </c>
      <c r="U7066">
        <v>2.9605410000000001</v>
      </c>
      <c r="V7066">
        <v>1.380552E-2</v>
      </c>
      <c r="W7066">
        <v>5.76094E-3</v>
      </c>
      <c r="X7066">
        <v>0.99988809999999995</v>
      </c>
      <c r="Y7066">
        <v>-3.9634259999999998E-2</v>
      </c>
      <c r="Z7066">
        <v>-7.5561160000000002E-2</v>
      </c>
      <c r="AA7066">
        <v>0.99635309999999999</v>
      </c>
      <c r="AB7066">
        <v>36</v>
      </c>
      <c r="AC7066">
        <v>2.33889999999999</v>
      </c>
      <c r="AD7066">
        <v>-1.10563378479299</v>
      </c>
      <c r="AE7066">
        <v>13.651529999999999</v>
      </c>
      <c r="AF7066">
        <v>-0.55395624713695502</v>
      </c>
      <c r="AG7066">
        <v>-1.10563378479299</v>
      </c>
      <c r="AH7066">
        <v>13.751588157915</v>
      </c>
      <c r="AI7066">
        <v>94.593009211558794</v>
      </c>
      <c r="AJ7066">
        <v>92.306802911396701</v>
      </c>
      <c r="AK7066">
        <v>13.807080446449399</v>
      </c>
      <c r="AL7066">
        <v>89.669920625051802</v>
      </c>
      <c r="AM7066">
        <v>89.208963711288803</v>
      </c>
      <c r="AN7066">
        <v>0.999999996666882</v>
      </c>
    </row>
    <row r="7067" spans="1:40" x14ac:dyDescent="0.25">
      <c r="A7067" t="str">
        <f>"20190312154434351"</f>
        <v>20190312154434351</v>
      </c>
      <c r="B7067" t="str">
        <f>"1552376674344445"</f>
        <v>1552376674344445</v>
      </c>
      <c r="C7067" t="s">
        <v>40</v>
      </c>
      <c r="D7067">
        <v>5.3071910000000004</v>
      </c>
      <c r="E7067">
        <v>0.48132999999999998</v>
      </c>
      <c r="F7067" t="s">
        <v>43</v>
      </c>
      <c r="G7067">
        <v>-189.18719999999999</v>
      </c>
      <c r="H7067" s="1">
        <v>-4.252134E-6</v>
      </c>
      <c r="I7067">
        <v>-10.79147</v>
      </c>
      <c r="J7067">
        <v>-191.64760000000001</v>
      </c>
      <c r="K7067">
        <v>1.1056049999999999</v>
      </c>
      <c r="L7067">
        <v>-25.075839999999999</v>
      </c>
      <c r="M7067">
        <v>0.21163190000000001</v>
      </c>
      <c r="N7067">
        <v>0</v>
      </c>
      <c r="O7067">
        <v>0.97734589999999999</v>
      </c>
      <c r="P7067">
        <v>0.22558829999999999</v>
      </c>
      <c r="Q7067">
        <v>3.8803000000000002E-3</v>
      </c>
      <c r="R7067">
        <v>0.97421500000000005</v>
      </c>
      <c r="S7067">
        <v>0.51358029999999999</v>
      </c>
      <c r="T7067">
        <v>-0.22333130000000001</v>
      </c>
      <c r="U7067">
        <v>2.9605709999999998</v>
      </c>
      <c r="V7067">
        <v>1.4351320000000001E-2</v>
      </c>
      <c r="W7067">
        <v>6.4122869999999896E-3</v>
      </c>
      <c r="X7067">
        <v>0.9998764</v>
      </c>
      <c r="Y7067">
        <v>-4.1924309999999999E-2</v>
      </c>
      <c r="Z7067">
        <v>-7.2116899999999998E-2</v>
      </c>
      <c r="AA7067">
        <v>0.99651469999999998</v>
      </c>
      <c r="AB7067">
        <v>37</v>
      </c>
      <c r="AC7067">
        <v>2.4604000000000199</v>
      </c>
      <c r="AD7067">
        <v>-1.105609252134</v>
      </c>
      <c r="AE7067">
        <v>14.284369999999999</v>
      </c>
      <c r="AF7067">
        <v>-0.61479171182743297</v>
      </c>
      <c r="AG7067">
        <v>-1.105609252134</v>
      </c>
      <c r="AH7067">
        <v>14.397751679759301</v>
      </c>
      <c r="AI7067">
        <v>94.387166539103106</v>
      </c>
      <c r="AJ7067">
        <v>92.445075144968001</v>
      </c>
      <c r="AK7067">
        <v>14.453220890145801</v>
      </c>
      <c r="AL7067">
        <v>89.632600480450407</v>
      </c>
      <c r="AM7067">
        <v>89.177684754059499</v>
      </c>
      <c r="AN7067">
        <v>0.999999946543634</v>
      </c>
    </row>
    <row r="7068" spans="1:40" x14ac:dyDescent="0.25">
      <c r="A7068" t="str">
        <f>"20190312154434373"</f>
        <v>20190312154434373</v>
      </c>
      <c r="B7068" t="str">
        <f>"1552376674364940"</f>
        <v>1552376674364940</v>
      </c>
      <c r="C7068" t="s">
        <v>40</v>
      </c>
      <c r="D7068">
        <v>5.3278109999999996</v>
      </c>
      <c r="E7068">
        <v>0.48113509999999998</v>
      </c>
      <c r="F7068" t="s">
        <v>43</v>
      </c>
      <c r="G7068">
        <v>-189.0446</v>
      </c>
      <c r="H7068" s="1">
        <v>-4.4256950000000003E-6</v>
      </c>
      <c r="I7068">
        <v>-10.445869999999999</v>
      </c>
      <c r="J7068">
        <v>-191.5658</v>
      </c>
      <c r="K7068">
        <v>1.1055779999999999</v>
      </c>
      <c r="L7068">
        <v>-24.709990000000001</v>
      </c>
      <c r="M7068">
        <v>0.2147889</v>
      </c>
      <c r="N7068">
        <v>0</v>
      </c>
      <c r="O7068">
        <v>0.97665679999999999</v>
      </c>
      <c r="P7068">
        <v>0.2284371</v>
      </c>
      <c r="Q7068">
        <v>3.5891679999999998E-3</v>
      </c>
      <c r="R7068">
        <v>0.97355199999999997</v>
      </c>
      <c r="S7068">
        <v>0.52638240000000003</v>
      </c>
      <c r="T7068">
        <v>-0.2235712</v>
      </c>
      <c r="U7068">
        <v>2.958405</v>
      </c>
      <c r="V7068">
        <v>1.404355E-2</v>
      </c>
      <c r="W7068">
        <v>6.175781E-3</v>
      </c>
      <c r="X7068">
        <v>0.9998823</v>
      </c>
      <c r="Y7068">
        <v>-4.084757E-2</v>
      </c>
      <c r="Z7068">
        <v>-7.2144680000000003E-2</v>
      </c>
      <c r="AA7068">
        <v>0.99655740000000004</v>
      </c>
      <c r="AB7068">
        <v>37</v>
      </c>
      <c r="AC7068">
        <v>2.5211999999999901</v>
      </c>
      <c r="AD7068">
        <v>-1.105582425695</v>
      </c>
      <c r="AE7068">
        <v>14.264119999999901</v>
      </c>
      <c r="AF7068">
        <v>-0.59794636445396798</v>
      </c>
      <c r="AG7068">
        <v>-1.105582425695</v>
      </c>
      <c r="AH7068">
        <v>14.388905480529701</v>
      </c>
      <c r="AI7068">
        <v>94.389957553188594</v>
      </c>
      <c r="AJ7068">
        <v>92.379618265573797</v>
      </c>
      <c r="AK7068">
        <v>14.443699432014901</v>
      </c>
      <c r="AL7068">
        <v>89.646151559817298</v>
      </c>
      <c r="AM7068">
        <v>89.195322048344593</v>
      </c>
      <c r="AN7068">
        <v>0.99999998771042597</v>
      </c>
    </row>
    <row r="7069" spans="1:40" x14ac:dyDescent="0.25">
      <c r="A7069" t="str">
        <f>"20190312154434397"</f>
        <v>20190312154434397</v>
      </c>
      <c r="B7069" t="str">
        <f>"1552376674384460"</f>
        <v>1552376674384460</v>
      </c>
      <c r="C7069" t="s">
        <v>40</v>
      </c>
      <c r="D7069">
        <v>5.3089719999999998</v>
      </c>
      <c r="E7069">
        <v>0.48081819999999997</v>
      </c>
      <c r="F7069" t="s">
        <v>43</v>
      </c>
      <c r="G7069">
        <v>-188.9341</v>
      </c>
      <c r="H7069" s="1">
        <v>-3.5989160000000001E-7</v>
      </c>
      <c r="I7069">
        <v>-10.12773</v>
      </c>
      <c r="J7069">
        <v>-191.47880000000001</v>
      </c>
      <c r="K7069">
        <v>1.105556</v>
      </c>
      <c r="L7069">
        <v>-24.327120000000001</v>
      </c>
      <c r="M7069">
        <v>0.21807319999999999</v>
      </c>
      <c r="N7069">
        <v>0</v>
      </c>
      <c r="O7069">
        <v>0.97592849999999998</v>
      </c>
      <c r="P7069">
        <v>0.2305905</v>
      </c>
      <c r="Q7069">
        <v>2.6888960000000001E-3</v>
      </c>
      <c r="R7069">
        <v>0.9730472</v>
      </c>
      <c r="S7069">
        <v>0.53366089999999999</v>
      </c>
      <c r="T7069">
        <v>-0.22419910000000001</v>
      </c>
      <c r="U7069">
        <v>2.9571230000000002</v>
      </c>
      <c r="V7069">
        <v>1.2885229999999999E-2</v>
      </c>
      <c r="W7069">
        <v>5.3375150000000001E-3</v>
      </c>
      <c r="X7069">
        <v>0.99990270000000003</v>
      </c>
      <c r="Y7069">
        <v>-4.1760070000000003E-2</v>
      </c>
      <c r="Z7069">
        <v>-7.2279199999999905E-2</v>
      </c>
      <c r="AA7069">
        <v>0.9965098</v>
      </c>
      <c r="AB7069">
        <v>37</v>
      </c>
      <c r="AC7069">
        <v>2.5447000000000002</v>
      </c>
      <c r="AD7069">
        <v>-1.1055563598916001</v>
      </c>
      <c r="AE7069">
        <v>14.199389999999999</v>
      </c>
      <c r="AF7069">
        <v>-0.609483729924989</v>
      </c>
      <c r="AG7069">
        <v>-1.1055563598916001</v>
      </c>
      <c r="AH7069">
        <v>14.3284180374516</v>
      </c>
      <c r="AI7069">
        <v>94.408132615448395</v>
      </c>
      <c r="AJ7069">
        <v>92.435705501935999</v>
      </c>
      <c r="AK7069">
        <v>14.383924663940199</v>
      </c>
      <c r="AL7069">
        <v>89.694181454262093</v>
      </c>
      <c r="AM7069">
        <v>89.261699728284199</v>
      </c>
      <c r="AN7069">
        <v>0.99999996384290801</v>
      </c>
    </row>
    <row r="7070" spans="1:40" x14ac:dyDescent="0.25">
      <c r="A7070" t="str">
        <f>"20190312154434418"</f>
        <v>20190312154434418</v>
      </c>
      <c r="B7070" t="str">
        <f>"1552376674414717"</f>
        <v>1552376674414717</v>
      </c>
      <c r="C7070" t="s">
        <v>40</v>
      </c>
      <c r="D7070">
        <v>5.3063409999999998</v>
      </c>
      <c r="E7070">
        <v>0.48033510000000001</v>
      </c>
      <c r="F7070" t="s">
        <v>43</v>
      </c>
      <c r="G7070">
        <v>-188.8493</v>
      </c>
      <c r="H7070" s="1">
        <v>-4.7031570000000001E-7</v>
      </c>
      <c r="I7070">
        <v>-9.8695900000000005</v>
      </c>
      <c r="J7070">
        <v>-191.3972</v>
      </c>
      <c r="K7070">
        <v>1.105537</v>
      </c>
      <c r="L7070">
        <v>-23.972930000000002</v>
      </c>
      <c r="M7070">
        <v>0.2210848</v>
      </c>
      <c r="N7070">
        <v>0</v>
      </c>
      <c r="O7070">
        <v>0.97525059999999997</v>
      </c>
      <c r="P7070">
        <v>0.2323894</v>
      </c>
      <c r="Q7070">
        <v>2.7505759999999998E-3</v>
      </c>
      <c r="R7070">
        <v>0.97261889999999995</v>
      </c>
      <c r="S7070">
        <v>0.53768919999999998</v>
      </c>
      <c r="T7070">
        <v>-0.22606589999999999</v>
      </c>
      <c r="U7070">
        <v>2.956299</v>
      </c>
      <c r="V7070">
        <v>1.1648499999999999E-2</v>
      </c>
      <c r="W7070">
        <v>5.4562459999999997E-3</v>
      </c>
      <c r="X7070">
        <v>0.99991730000000001</v>
      </c>
      <c r="Y7070">
        <v>-4.3488470000000001E-2</v>
      </c>
      <c r="Z7070">
        <v>-7.2810169999999994E-2</v>
      </c>
      <c r="AA7070">
        <v>0.99639719999999998</v>
      </c>
      <c r="AB7070">
        <v>37</v>
      </c>
      <c r="AC7070">
        <v>2.5478999999999901</v>
      </c>
      <c r="AD7070">
        <v>-1.1055374703156999</v>
      </c>
      <c r="AE7070">
        <v>14.103339999999999</v>
      </c>
      <c r="AF7070">
        <v>-0.62945000686846697</v>
      </c>
      <c r="AG7070">
        <v>-1.1055374703156999</v>
      </c>
      <c r="AH7070">
        <v>14.232954951143499</v>
      </c>
      <c r="AI7070">
        <v>94.437182512717101</v>
      </c>
      <c r="AJ7070">
        <v>92.532246058078002</v>
      </c>
      <c r="AK7070">
        <v>14.289696534590901</v>
      </c>
      <c r="AL7070">
        <v>89.687378591208301</v>
      </c>
      <c r="AM7070">
        <v>89.332565104415906</v>
      </c>
      <c r="AN7070">
        <v>1.0000000325059699</v>
      </c>
    </row>
    <row r="7071" spans="1:40" x14ac:dyDescent="0.25">
      <c r="A7071" t="str">
        <f>"20190312154434441"</f>
        <v>20190312154434441</v>
      </c>
      <c r="B7071" t="str">
        <f>"1552376674434236"</f>
        <v>1552376674434236</v>
      </c>
      <c r="C7071" t="s">
        <v>40</v>
      </c>
      <c r="D7071">
        <v>5.2691369999999997</v>
      </c>
      <c r="E7071">
        <v>0.47993459999999899</v>
      </c>
      <c r="F7071" t="s">
        <v>43</v>
      </c>
      <c r="G7071">
        <v>-188.7525</v>
      </c>
      <c r="H7071" s="1">
        <v>-6.3355029999999998E-7</v>
      </c>
      <c r="I7071">
        <v>-9.4655959999999997</v>
      </c>
      <c r="J7071">
        <v>-191.315</v>
      </c>
      <c r="K7071">
        <v>1.105523</v>
      </c>
      <c r="L7071">
        <v>-23.62079</v>
      </c>
      <c r="M7071">
        <v>0.22403799999999999</v>
      </c>
      <c r="N7071">
        <v>0</v>
      </c>
      <c r="O7071">
        <v>0.97457629999999995</v>
      </c>
      <c r="P7071">
        <v>0.2341559</v>
      </c>
      <c r="Q7071">
        <v>2.9795659999999999E-3</v>
      </c>
      <c r="R7071">
        <v>0.97219449999999996</v>
      </c>
      <c r="S7071">
        <v>0.53894039999999999</v>
      </c>
      <c r="T7071">
        <v>-0.2252884</v>
      </c>
      <c r="U7071">
        <v>2.9563290000000002</v>
      </c>
      <c r="V7071">
        <v>1.0438319999999999E-2</v>
      </c>
      <c r="W7071">
        <v>5.7394840000000004E-3</v>
      </c>
      <c r="X7071">
        <v>0.99992910000000002</v>
      </c>
      <c r="Y7071">
        <v>-4.6104239999999998E-2</v>
      </c>
      <c r="Z7071">
        <v>-7.2477979999999997E-2</v>
      </c>
      <c r="AA7071">
        <v>0.99630390000000002</v>
      </c>
      <c r="AB7071">
        <v>37</v>
      </c>
      <c r="AC7071">
        <v>2.5625</v>
      </c>
      <c r="AD7071">
        <v>-1.1055236335503</v>
      </c>
      <c r="AE7071">
        <v>14.1551939999999</v>
      </c>
      <c r="AF7071">
        <v>-0.66999523066178701</v>
      </c>
      <c r="AG7071">
        <v>-1.1055236335503</v>
      </c>
      <c r="AH7071">
        <v>14.285102397143101</v>
      </c>
      <c r="AI7071">
        <v>94.420457971536507</v>
      </c>
      <c r="AJ7071">
        <v>92.685300174381894</v>
      </c>
      <c r="AK7071">
        <v>14.3434733105448</v>
      </c>
      <c r="AL7071">
        <v>89.671150002024007</v>
      </c>
      <c r="AM7071">
        <v>89.401907637373895</v>
      </c>
      <c r="AN7071">
        <v>1.0000000526138999</v>
      </c>
    </row>
    <row r="7072" spans="1:40" x14ac:dyDescent="0.25">
      <c r="A7072" t="str">
        <f>"20190312154434463"</f>
        <v>20190312154434463</v>
      </c>
      <c r="B7072" t="str">
        <f>"1552376674454732"</f>
        <v>1552376674454732</v>
      </c>
      <c r="C7072" t="s">
        <v>40</v>
      </c>
      <c r="D7072">
        <v>5.252542</v>
      </c>
      <c r="E7072">
        <v>0.47966769999999997</v>
      </c>
      <c r="F7072" t="s">
        <v>43</v>
      </c>
      <c r="G7072">
        <v>-188.6567</v>
      </c>
      <c r="H7072" s="1">
        <v>-7.8455410000000002E-7</v>
      </c>
      <c r="I7072">
        <v>-9.0967380000000002</v>
      </c>
      <c r="J7072">
        <v>-191.22550000000001</v>
      </c>
      <c r="K7072">
        <v>1.105526</v>
      </c>
      <c r="L7072">
        <v>-23.242609999999999</v>
      </c>
      <c r="M7072">
        <v>0.22714609999999999</v>
      </c>
      <c r="N7072">
        <v>0</v>
      </c>
      <c r="O7072">
        <v>0.97385639999999996</v>
      </c>
      <c r="P7072">
        <v>0.2369908</v>
      </c>
      <c r="Q7072">
        <v>2.1258459999999998E-3</v>
      </c>
      <c r="R7072">
        <v>0.97150959999999997</v>
      </c>
      <c r="S7072">
        <v>0.54104609999999997</v>
      </c>
      <c r="T7072">
        <v>-0.22501470000000001</v>
      </c>
      <c r="U7072">
        <v>2.9561769999999998</v>
      </c>
      <c r="V7072">
        <v>1.015811E-2</v>
      </c>
      <c r="W7072">
        <v>4.9350699999999997E-3</v>
      </c>
      <c r="X7072">
        <v>0.99993620000000005</v>
      </c>
      <c r="Y7072">
        <v>-4.8593310000000001E-2</v>
      </c>
      <c r="Z7072">
        <v>-7.2304820000000006E-2</v>
      </c>
      <c r="AA7072">
        <v>0.99619809999999998</v>
      </c>
      <c r="AB7072">
        <v>37</v>
      </c>
      <c r="AC7072">
        <v>2.5688</v>
      </c>
      <c r="AD7072">
        <v>-1.1055267845540999</v>
      </c>
      <c r="AE7072">
        <v>14.145872000000001</v>
      </c>
      <c r="AF7072">
        <v>-0.70735788729466698</v>
      </c>
      <c r="AG7072">
        <v>-1.1055267845540999</v>
      </c>
      <c r="AH7072">
        <v>14.275195401897999</v>
      </c>
      <c r="AI7072">
        <v>94.422964445401902</v>
      </c>
      <c r="AJ7072">
        <v>92.836773751422101</v>
      </c>
      <c r="AK7072">
        <v>14.335401927203</v>
      </c>
      <c r="AL7072">
        <v>89.717240162016694</v>
      </c>
      <c r="AM7072">
        <v>89.417966055615196</v>
      </c>
      <c r="AN7072">
        <v>0.99999997309255795</v>
      </c>
    </row>
    <row r="7073" spans="1:40" x14ac:dyDescent="0.25">
      <c r="A7073" t="str">
        <f>"20190312154434484"</f>
        <v>20190312154434484</v>
      </c>
      <c r="B7073" t="str">
        <f>"1552376674474252"</f>
        <v>1552376674474252</v>
      </c>
      <c r="C7073" t="s">
        <v>40</v>
      </c>
      <c r="D7073">
        <v>5.2300069999999996</v>
      </c>
      <c r="E7073">
        <v>0.4696438</v>
      </c>
      <c r="F7073" t="s">
        <v>43</v>
      </c>
      <c r="G7073">
        <v>-188.5538</v>
      </c>
      <c r="H7073" s="1">
        <v>-9.2062989999999996E-7</v>
      </c>
      <c r="I7073">
        <v>-8.8191729999999993</v>
      </c>
      <c r="J7073">
        <v>-191.1388</v>
      </c>
      <c r="K7073">
        <v>1.1055549999999901</v>
      </c>
      <c r="L7073">
        <v>-22.880890000000001</v>
      </c>
      <c r="M7073">
        <v>0.2300365</v>
      </c>
      <c r="N7073">
        <v>0</v>
      </c>
      <c r="O7073">
        <v>0.97317759999999998</v>
      </c>
      <c r="P7073">
        <v>0.23977509999999999</v>
      </c>
      <c r="Q7073">
        <v>2.1776439999999998E-3</v>
      </c>
      <c r="R7073">
        <v>0.97082599999999997</v>
      </c>
      <c r="S7073">
        <v>0.54734799999999995</v>
      </c>
      <c r="T7073">
        <v>-0.2264912</v>
      </c>
      <c r="U7073">
        <v>2.9549560000000001</v>
      </c>
      <c r="V7073">
        <v>1.005643E-2</v>
      </c>
      <c r="W7073">
        <v>5.0304360000000001E-3</v>
      </c>
      <c r="X7073">
        <v>0.99993679999999996</v>
      </c>
      <c r="Y7073">
        <v>-4.9437010000000003E-2</v>
      </c>
      <c r="Z7073">
        <v>-7.2714600000000004E-2</v>
      </c>
      <c r="AA7073">
        <v>0.99612679999999998</v>
      </c>
      <c r="AB7073">
        <v>38</v>
      </c>
      <c r="AC7073">
        <v>2.585</v>
      </c>
      <c r="AD7073">
        <v>-1.1055559206298999</v>
      </c>
      <c r="AE7073">
        <v>14.061717</v>
      </c>
      <c r="AF7073">
        <v>-0.71477330078898704</v>
      </c>
      <c r="AG7073">
        <v>-1.1055559206298999</v>
      </c>
      <c r="AH7073">
        <v>14.1943810190155</v>
      </c>
      <c r="AI7073">
        <v>94.447984559867393</v>
      </c>
      <c r="AJ7073">
        <v>92.882755523831406</v>
      </c>
      <c r="AK7073">
        <v>14.2553010237647</v>
      </c>
      <c r="AL7073">
        <v>89.711776038400203</v>
      </c>
      <c r="AM7073">
        <v>89.423792012704197</v>
      </c>
      <c r="AN7073">
        <v>1.00000002053246</v>
      </c>
    </row>
    <row r="7074" spans="1:40" x14ac:dyDescent="0.25">
      <c r="A7074" t="str">
        <f>"20190312154434506"</f>
        <v>20190312154434506</v>
      </c>
      <c r="B7074" t="str">
        <f>"1552376674494748"</f>
        <v>1552376674494748</v>
      </c>
      <c r="C7074" t="s">
        <v>40</v>
      </c>
      <c r="D7074">
        <v>5.266858</v>
      </c>
      <c r="E7074">
        <v>0.46845940000000003</v>
      </c>
      <c r="F7074" t="s">
        <v>43</v>
      </c>
      <c r="G7074">
        <v>-188.91200000000001</v>
      </c>
      <c r="H7074" s="1">
        <v>-7.6999600000000003E-7</v>
      </c>
      <c r="I7074">
        <v>-9.0221900000000002</v>
      </c>
      <c r="J7074">
        <v>-191.05189999999999</v>
      </c>
      <c r="K7074">
        <v>1.105607</v>
      </c>
      <c r="L7074">
        <v>-22.52271</v>
      </c>
      <c r="M7074">
        <v>0.23280039999999999</v>
      </c>
      <c r="N7074">
        <v>0</v>
      </c>
      <c r="O7074">
        <v>0.97252000000000005</v>
      </c>
      <c r="P7074">
        <v>0.24294360000000001</v>
      </c>
      <c r="Q7074">
        <v>3.2227810000000001E-3</v>
      </c>
      <c r="R7074">
        <v>0.97003510000000004</v>
      </c>
      <c r="S7074">
        <v>0.47764590000000001</v>
      </c>
      <c r="T7074">
        <v>-0.23714389999999999</v>
      </c>
      <c r="U7074">
        <v>2.9727169999999998</v>
      </c>
      <c r="V7074">
        <v>1.0488320000000001E-2</v>
      </c>
      <c r="W7074">
        <v>6.1137930000000002E-3</v>
      </c>
      <c r="X7074">
        <v>0.99992630000000005</v>
      </c>
      <c r="Y7074">
        <v>-7.6037069999999998E-2</v>
      </c>
      <c r="Z7074">
        <v>-7.5672020000000007E-2</v>
      </c>
      <c r="AA7074">
        <v>0.99422940000000004</v>
      </c>
      <c r="AB7074">
        <v>38</v>
      </c>
      <c r="AC7074">
        <v>2.1398999999999799</v>
      </c>
      <c r="AD7074">
        <v>-1.1056077699959901</v>
      </c>
      <c r="AE7074">
        <v>13.50052</v>
      </c>
      <c r="AF7074">
        <v>-1.0549339873175501</v>
      </c>
      <c r="AG7074">
        <v>-1.1056077699959901</v>
      </c>
      <c r="AH7074">
        <v>13.5391791812223</v>
      </c>
      <c r="AI7074">
        <v>94.654363260875201</v>
      </c>
      <c r="AJ7074">
        <v>94.455321061571496</v>
      </c>
      <c r="AK7074">
        <v>13.6251468674623</v>
      </c>
      <c r="AL7074">
        <v>89.649703280031403</v>
      </c>
      <c r="AM7074">
        <v>89.399041276263105</v>
      </c>
      <c r="AN7074">
        <v>0.99999999437647902</v>
      </c>
    </row>
    <row r="7075" spans="1:40" x14ac:dyDescent="0.25">
      <c r="A7075" t="str">
        <f>"20190312154434530"</f>
        <v>20190312154434530</v>
      </c>
      <c r="B7075" t="str">
        <f>"1552376674524029"</f>
        <v>1552376674524029</v>
      </c>
      <c r="C7075" t="s">
        <v>40</v>
      </c>
      <c r="D7075">
        <v>5.276745</v>
      </c>
      <c r="E7075">
        <v>0.46732069999999998</v>
      </c>
      <c r="F7075" t="s">
        <v>43</v>
      </c>
      <c r="G7075">
        <v>-188.8845</v>
      </c>
      <c r="H7075" s="1">
        <v>-7.695535E-7</v>
      </c>
      <c r="I7075">
        <v>-9.0346220000000006</v>
      </c>
      <c r="J7075">
        <v>-190.95699999999999</v>
      </c>
      <c r="K7075">
        <v>1.105674</v>
      </c>
      <c r="L7075">
        <v>-22.13571</v>
      </c>
      <c r="M7075">
        <v>0.2356521</v>
      </c>
      <c r="N7075">
        <v>0</v>
      </c>
      <c r="O7075">
        <v>0.97183280000000005</v>
      </c>
      <c r="P7075">
        <v>0.2465405</v>
      </c>
      <c r="Q7075">
        <v>4.6326279999999997E-3</v>
      </c>
      <c r="R7075">
        <v>0.96912140000000002</v>
      </c>
      <c r="S7075">
        <v>0.47787479999999899</v>
      </c>
      <c r="T7075">
        <v>-0.24376139999999999</v>
      </c>
      <c r="U7075">
        <v>2.9738159999999998</v>
      </c>
      <c r="V7075">
        <v>1.1275469999999999E-2</v>
      </c>
      <c r="W7075">
        <v>7.5638210000000001E-3</v>
      </c>
      <c r="X7075">
        <v>0.99990789999999996</v>
      </c>
      <c r="Y7075">
        <v>-7.8969609999999996E-2</v>
      </c>
      <c r="Z7075">
        <v>-7.7649590000000004E-2</v>
      </c>
      <c r="AA7075">
        <v>0.99384830000000002</v>
      </c>
      <c r="AB7075">
        <v>38</v>
      </c>
      <c r="AC7075">
        <v>2.07249999999999</v>
      </c>
      <c r="AD7075">
        <v>-1.1056747695534901</v>
      </c>
      <c r="AE7075">
        <v>13.101088000000001</v>
      </c>
      <c r="AF7075">
        <v>-1.06577452036361</v>
      </c>
      <c r="AG7075">
        <v>-1.1056747695534901</v>
      </c>
      <c r="AH7075">
        <v>13.129284255295101</v>
      </c>
      <c r="AI7075">
        <v>94.798062885831698</v>
      </c>
      <c r="AJ7075">
        <v>94.640830516147503</v>
      </c>
      <c r="AK7075">
        <v>13.2187933292197</v>
      </c>
      <c r="AL7075">
        <v>89.566620881094707</v>
      </c>
      <c r="AM7075">
        <v>89.353931035204894</v>
      </c>
      <c r="AN7075">
        <v>1.0000000780471201</v>
      </c>
    </row>
    <row r="7076" spans="1:40" x14ac:dyDescent="0.25">
      <c r="A7076" t="str">
        <f>"20190312154434551"</f>
        <v>20190312154434551</v>
      </c>
      <c r="B7076" t="str">
        <f>"1552376674544525"</f>
        <v>1552376674544525</v>
      </c>
      <c r="C7076" t="s">
        <v>40</v>
      </c>
      <c r="D7076">
        <v>5.2366609999999998</v>
      </c>
      <c r="E7076">
        <v>0.46686109999999997</v>
      </c>
      <c r="F7076" t="s">
        <v>43</v>
      </c>
      <c r="G7076">
        <v>-188.8082</v>
      </c>
      <c r="H7076" s="1">
        <v>-8.7391980000000005E-7</v>
      </c>
      <c r="I7076">
        <v>-8.8228670000000005</v>
      </c>
      <c r="J7076">
        <v>-190.86930000000001</v>
      </c>
      <c r="K7076">
        <v>1.1057619999999999</v>
      </c>
      <c r="L7076">
        <v>-21.782350000000001</v>
      </c>
      <c r="M7076">
        <v>0.23812320000000001</v>
      </c>
      <c r="N7076">
        <v>0</v>
      </c>
      <c r="O7076">
        <v>0.97123009999999999</v>
      </c>
      <c r="P7076">
        <v>0.2495058</v>
      </c>
      <c r="Q7076">
        <v>5.2545530000000003E-3</v>
      </c>
      <c r="R7076">
        <v>0.96835910000000003</v>
      </c>
      <c r="S7076">
        <v>0.48011779999999998</v>
      </c>
      <c r="T7076">
        <v>-0.24705350000000001</v>
      </c>
      <c r="U7076">
        <v>2.97464</v>
      </c>
      <c r="V7076">
        <v>1.179681E-2</v>
      </c>
      <c r="W7076">
        <v>8.2289870000000001E-3</v>
      </c>
      <c r="X7076">
        <v>0.99989649999999997</v>
      </c>
      <c r="Y7076">
        <v>-8.0830050000000001E-2</v>
      </c>
      <c r="Z7076">
        <v>-7.8585799999999997E-2</v>
      </c>
      <c r="AA7076">
        <v>0.99362499999999998</v>
      </c>
      <c r="AB7076">
        <v>38</v>
      </c>
      <c r="AC7076">
        <v>2.0611000000000099</v>
      </c>
      <c r="AD7076">
        <v>-1.1057628739198</v>
      </c>
      <c r="AE7076">
        <v>12.959483000000001</v>
      </c>
      <c r="AF7076">
        <v>-1.07651234477451</v>
      </c>
      <c r="AG7076">
        <v>-1.1057628739198</v>
      </c>
      <c r="AH7076">
        <v>12.985292941538599</v>
      </c>
      <c r="AI7076">
        <v>94.850720358489795</v>
      </c>
      <c r="AJ7076">
        <v>94.739122168821794</v>
      </c>
      <c r="AK7076">
        <v>13.0766747737858</v>
      </c>
      <c r="AL7076">
        <v>89.528508428318403</v>
      </c>
      <c r="AM7076">
        <v>89.324053972898099</v>
      </c>
      <c r="AN7076">
        <v>0.99999994583273399</v>
      </c>
    </row>
    <row r="7077" spans="1:40" x14ac:dyDescent="0.25">
      <c r="A7077" t="str">
        <f>"20190312154434573"</f>
        <v>20190312154434573</v>
      </c>
      <c r="B7077" t="str">
        <f>"1552376674564048"</f>
        <v>1552376674564048</v>
      </c>
      <c r="C7077" t="s">
        <v>40</v>
      </c>
      <c r="D7077">
        <v>5.2514810000000001</v>
      </c>
      <c r="E7077">
        <v>0.46195819999999999</v>
      </c>
      <c r="F7077" t="s">
        <v>43</v>
      </c>
      <c r="G7077">
        <v>-188.69540000000001</v>
      </c>
      <c r="H7077" s="1">
        <v>-1.043561E-6</v>
      </c>
      <c r="I7077">
        <v>-8.4740920000000006</v>
      </c>
      <c r="J7077">
        <v>-190.7758</v>
      </c>
      <c r="K7077">
        <v>1.1058509999999999</v>
      </c>
      <c r="L7077">
        <v>-21.409300000000002</v>
      </c>
      <c r="M7077">
        <v>0.2406075</v>
      </c>
      <c r="N7077">
        <v>0</v>
      </c>
      <c r="O7077">
        <v>0.97061750000000002</v>
      </c>
      <c r="P7077">
        <v>0.252002</v>
      </c>
      <c r="Q7077">
        <v>5.6415240000000002E-3</v>
      </c>
      <c r="R7077">
        <v>0.96771030000000002</v>
      </c>
      <c r="S7077">
        <v>0.48583979999999999</v>
      </c>
      <c r="T7077">
        <v>-0.24712029999999999</v>
      </c>
      <c r="U7077">
        <v>2.9741819999999999</v>
      </c>
      <c r="V7077">
        <v>1.181842E-2</v>
      </c>
      <c r="W7077">
        <v>8.6695699999999997E-3</v>
      </c>
      <c r="X7077">
        <v>0.99989260000000002</v>
      </c>
      <c r="Y7077">
        <v>-8.149344E-2</v>
      </c>
      <c r="Z7077">
        <v>-7.8530139999999998E-2</v>
      </c>
      <c r="AA7077">
        <v>0.99357530000000005</v>
      </c>
      <c r="AB7077">
        <v>38</v>
      </c>
      <c r="AC7077">
        <v>2.0803999999999898</v>
      </c>
      <c r="AD7077">
        <v>-1.105852043561</v>
      </c>
      <c r="AE7077">
        <v>12.935207999999999</v>
      </c>
      <c r="AF7077">
        <v>-1.08530840212687</v>
      </c>
      <c r="AG7077">
        <v>-1.105852043561</v>
      </c>
      <c r="AH7077">
        <v>12.9634042671877</v>
      </c>
      <c r="AI7077">
        <v>94.858934066103799</v>
      </c>
      <c r="AJ7077">
        <v>94.785696097612004</v>
      </c>
      <c r="AK7077">
        <v>13.055675136296699</v>
      </c>
      <c r="AL7077">
        <v>89.503264018037896</v>
      </c>
      <c r="AM7077">
        <v>89.322813214537803</v>
      </c>
      <c r="AN7077">
        <v>1.00000002401502</v>
      </c>
    </row>
    <row r="7078" spans="1:40" x14ac:dyDescent="0.25">
      <c r="A7078" t="str">
        <f>"20190312154434596"</f>
        <v>20190312154434596</v>
      </c>
      <c r="B7078" t="str">
        <f>"1552376674584541"</f>
        <v>1552376674584541</v>
      </c>
      <c r="C7078" t="s">
        <v>40</v>
      </c>
      <c r="D7078">
        <v>5.2335719999999997</v>
      </c>
      <c r="E7078">
        <v>0.4617713</v>
      </c>
      <c r="F7078" t="s">
        <v>43</v>
      </c>
      <c r="G7078">
        <v>-188.7466</v>
      </c>
      <c r="H7078" s="1">
        <v>-1.1836049999999999E-6</v>
      </c>
      <c r="I7078">
        <v>-8.1264749999999992</v>
      </c>
      <c r="J7078">
        <v>-190.67959999999999</v>
      </c>
      <c r="K7078">
        <v>1.105947</v>
      </c>
      <c r="L7078">
        <v>-21.029019999999999</v>
      </c>
      <c r="M7078">
        <v>0.24299750000000001</v>
      </c>
      <c r="N7078">
        <v>0</v>
      </c>
      <c r="O7078">
        <v>0.97002180000000005</v>
      </c>
      <c r="P7078">
        <v>0.25354840000000001</v>
      </c>
      <c r="Q7078">
        <v>5.6813530000000001E-3</v>
      </c>
      <c r="R7078">
        <v>0.967306</v>
      </c>
      <c r="S7078">
        <v>0.45570369999999999</v>
      </c>
      <c r="T7078">
        <v>-0.24833749999999999</v>
      </c>
      <c r="U7078">
        <v>2.9828800000000002</v>
      </c>
      <c r="V7078">
        <v>1.0952460000000001E-2</v>
      </c>
      <c r="W7078">
        <v>8.7720860000000001E-3</v>
      </c>
      <c r="X7078">
        <v>0.9999015</v>
      </c>
      <c r="Y7078">
        <v>-9.4197580000000003E-2</v>
      </c>
      <c r="Z7078">
        <v>-7.8629199999999996E-2</v>
      </c>
      <c r="AA7078">
        <v>0.99244359999999998</v>
      </c>
      <c r="AB7078">
        <v>38</v>
      </c>
      <c r="AC7078">
        <v>1.9329999999999901</v>
      </c>
      <c r="AD7078">
        <v>-1.105948183605</v>
      </c>
      <c r="AE7078">
        <v>12.902545</v>
      </c>
      <c r="AF7078">
        <v>-1.2512489867502901</v>
      </c>
      <c r="AG7078">
        <v>-1.105948183605</v>
      </c>
      <c r="AH7078">
        <v>12.8928820226563</v>
      </c>
      <c r="AI7078">
        <v>94.879999763349105</v>
      </c>
      <c r="AJ7078">
        <v>95.543172708616396</v>
      </c>
      <c r="AK7078">
        <v>13.0005827662377</v>
      </c>
      <c r="AL7078">
        <v>89.497390027386501</v>
      </c>
      <c r="AM7078">
        <v>89.372433546620897</v>
      </c>
      <c r="AN7078">
        <v>0.99999995778754502</v>
      </c>
    </row>
    <row r="7079" spans="1:40" x14ac:dyDescent="0.25">
      <c r="A7079" t="str">
        <f>"20190312154434618"</f>
        <v>20190312154434618</v>
      </c>
      <c r="B7079" t="str">
        <f>"1552376674614797"</f>
        <v>1552376674614797</v>
      </c>
      <c r="C7079" t="s">
        <v>40</v>
      </c>
      <c r="D7079">
        <v>5.2658360000000002</v>
      </c>
      <c r="E7079">
        <v>0.46156520000000001</v>
      </c>
      <c r="F7079" t="s">
        <v>43</v>
      </c>
      <c r="G7079">
        <v>-188.6808</v>
      </c>
      <c r="H7079" s="1">
        <v>-1.233059E-6</v>
      </c>
      <c r="I7079">
        <v>-8.0383910000000007</v>
      </c>
      <c r="J7079">
        <v>-190.58340000000001</v>
      </c>
      <c r="K7079">
        <v>1.1060570000000001</v>
      </c>
      <c r="L7079">
        <v>-20.651890000000002</v>
      </c>
      <c r="M7079">
        <v>0.2452087</v>
      </c>
      <c r="N7079">
        <v>0</v>
      </c>
      <c r="O7079">
        <v>0.96946500000000002</v>
      </c>
      <c r="P7079">
        <v>0.25507210000000002</v>
      </c>
      <c r="Q7079">
        <v>5.5469339999999999E-3</v>
      </c>
      <c r="R7079">
        <v>0.96690609999999999</v>
      </c>
      <c r="S7079">
        <v>0.45892329999999998</v>
      </c>
      <c r="T7079">
        <v>-0.25392209999999998</v>
      </c>
      <c r="U7079">
        <v>2.982605</v>
      </c>
      <c r="V7079">
        <v>1.024475E-2</v>
      </c>
      <c r="W7079">
        <v>8.6977040000000005E-3</v>
      </c>
      <c r="X7079">
        <v>0.99990970000000001</v>
      </c>
      <c r="Y7079">
        <v>-9.5428550000000001E-2</v>
      </c>
      <c r="Z7079">
        <v>-8.0311629999999995E-2</v>
      </c>
      <c r="AA7079">
        <v>0.9921913</v>
      </c>
      <c r="AB7079">
        <v>39</v>
      </c>
      <c r="AC7079">
        <v>1.9026000000000001</v>
      </c>
      <c r="AD7079">
        <v>-1.1060582330589901</v>
      </c>
      <c r="AE7079">
        <v>12.6134989999999</v>
      </c>
      <c r="AF7079">
        <v>-1.23912600882525</v>
      </c>
      <c r="AG7079">
        <v>-1.1060582330589901</v>
      </c>
      <c r="AH7079">
        <v>12.6002142603073</v>
      </c>
      <c r="AI7079">
        <v>94.992655196186305</v>
      </c>
      <c r="AJ7079">
        <v>95.616502741051406</v>
      </c>
      <c r="AK7079">
        <v>12.7092170288463</v>
      </c>
      <c r="AL7079">
        <v>89.501651989135894</v>
      </c>
      <c r="AM7079">
        <v>89.4129865934474</v>
      </c>
      <c r="AN7079">
        <v>1.0000000065557599</v>
      </c>
    </row>
    <row r="7080" spans="1:40" x14ac:dyDescent="0.25">
      <c r="A7080" t="str">
        <f>"20190312154434641"</f>
        <v>20190312154434641</v>
      </c>
      <c r="B7080" t="str">
        <f>"1552376674634317"</f>
        <v>1552376674634317</v>
      </c>
      <c r="C7080" t="s">
        <v>40</v>
      </c>
      <c r="D7080">
        <v>5.2680660000000001</v>
      </c>
      <c r="E7080">
        <v>0.46094000000000002</v>
      </c>
      <c r="F7080" t="s">
        <v>43</v>
      </c>
      <c r="G7080">
        <v>-188.58779999999999</v>
      </c>
      <c r="H7080" s="1">
        <v>-1.3643039999999999E-6</v>
      </c>
      <c r="I7080">
        <v>-7.7709299999999999</v>
      </c>
      <c r="J7080">
        <v>-190.48519999999999</v>
      </c>
      <c r="K7080">
        <v>1.1061859999999999</v>
      </c>
      <c r="L7080">
        <v>-20.27026</v>
      </c>
      <c r="M7080">
        <v>0.2472598</v>
      </c>
      <c r="N7080">
        <v>0</v>
      </c>
      <c r="O7080">
        <v>0.96894369999999996</v>
      </c>
      <c r="P7080">
        <v>0.25628800000000002</v>
      </c>
      <c r="Q7080">
        <v>4.8927040000000003E-3</v>
      </c>
      <c r="R7080">
        <v>0.96658809999999995</v>
      </c>
      <c r="S7080">
        <v>0.46203610000000001</v>
      </c>
      <c r="T7080">
        <v>-0.25608059999999999</v>
      </c>
      <c r="U7080">
        <v>2.9822690000000001</v>
      </c>
      <c r="V7080">
        <v>9.3789270000000004E-3</v>
      </c>
      <c r="W7080">
        <v>8.1040629999999999E-3</v>
      </c>
      <c r="X7080">
        <v>0.99992320000000001</v>
      </c>
      <c r="Y7080">
        <v>-9.6514939999999994E-2</v>
      </c>
      <c r="Z7080">
        <v>-8.0922099999999997E-2</v>
      </c>
      <c r="AA7080">
        <v>0.99203649999999999</v>
      </c>
      <c r="AB7080">
        <v>39</v>
      </c>
      <c r="AC7080">
        <v>1.8974</v>
      </c>
      <c r="AD7080">
        <v>-1.1061873643039899</v>
      </c>
      <c r="AE7080">
        <v>12.49933</v>
      </c>
      <c r="AF7080">
        <v>-1.24260166168974</v>
      </c>
      <c r="AG7080">
        <v>-1.1061873643039899</v>
      </c>
      <c r="AH7080">
        <v>12.4847842279561</v>
      </c>
      <c r="AI7080">
        <v>95.038580956248296</v>
      </c>
      <c r="AJ7080">
        <v>95.683889005634597</v>
      </c>
      <c r="AK7080">
        <v>12.5951398004628</v>
      </c>
      <c r="AL7080">
        <v>89.535666321194796</v>
      </c>
      <c r="AM7080">
        <v>89.462601552466097</v>
      </c>
      <c r="AN7080">
        <v>1.0000000230035</v>
      </c>
    </row>
    <row r="7081" spans="1:40" x14ac:dyDescent="0.25">
      <c r="A7081" t="str">
        <f>"20190312154434664"</f>
        <v>20190312154434664</v>
      </c>
      <c r="B7081" t="str">
        <f>"1552376674654813"</f>
        <v>1552376674654813</v>
      </c>
      <c r="C7081" t="s">
        <v>40</v>
      </c>
      <c r="D7081">
        <v>5.24777</v>
      </c>
      <c r="E7081">
        <v>0.46045989999999998</v>
      </c>
      <c r="F7081" t="s">
        <v>43</v>
      </c>
      <c r="G7081">
        <v>-188.51480000000001</v>
      </c>
      <c r="H7081" s="1">
        <v>-1.4896150000000001E-6</v>
      </c>
      <c r="I7081">
        <v>-7.5089839999999999</v>
      </c>
      <c r="J7081">
        <v>-190.38040000000001</v>
      </c>
      <c r="K7081">
        <v>1.10636</v>
      </c>
      <c r="L7081">
        <v>-19.865839999999999</v>
      </c>
      <c r="M7081">
        <v>0.24919849999999999</v>
      </c>
      <c r="N7081">
        <v>0</v>
      </c>
      <c r="O7081">
        <v>0.96844669999999999</v>
      </c>
      <c r="P7081">
        <v>0.25730789999999998</v>
      </c>
      <c r="Q7081">
        <v>4.1713399999999999E-3</v>
      </c>
      <c r="R7081">
        <v>0.96632050000000003</v>
      </c>
      <c r="S7081">
        <v>0.46057130000000002</v>
      </c>
      <c r="T7081">
        <v>-0.25856800000000002</v>
      </c>
      <c r="U7081">
        <v>2.98291</v>
      </c>
      <c r="V7081">
        <v>8.4249040000000004E-3</v>
      </c>
      <c r="W7081">
        <v>7.4446149999999999E-3</v>
      </c>
      <c r="X7081">
        <v>0.99993679999999996</v>
      </c>
      <c r="Y7081">
        <v>-9.9023849999999997E-2</v>
      </c>
      <c r="Z7081">
        <v>-8.1614350000000002E-2</v>
      </c>
      <c r="AA7081">
        <v>0.99173250000000002</v>
      </c>
      <c r="AB7081">
        <v>39</v>
      </c>
      <c r="AC7081">
        <v>1.8655999999999999</v>
      </c>
      <c r="AD7081">
        <v>-1.106361489615</v>
      </c>
      <c r="AE7081">
        <v>12.356856000000001</v>
      </c>
      <c r="AF7081">
        <v>-1.2626862910712799</v>
      </c>
      <c r="AG7081">
        <v>-1.106361489615</v>
      </c>
      <c r="AH7081">
        <v>12.3352498359345</v>
      </c>
      <c r="AI7081">
        <v>95.098702701379395</v>
      </c>
      <c r="AJ7081">
        <v>95.844671243502205</v>
      </c>
      <c r="AK7081">
        <v>12.448967866063599</v>
      </c>
      <c r="AL7081">
        <v>89.573451041413904</v>
      </c>
      <c r="AM7081">
        <v>89.517269471177897</v>
      </c>
      <c r="AN7081">
        <v>1.0000000026470699</v>
      </c>
    </row>
    <row r="7082" spans="1:40" x14ac:dyDescent="0.25">
      <c r="A7082" t="str">
        <f>"20190312154434687"</f>
        <v>20190312154434687</v>
      </c>
      <c r="B7082" t="str">
        <f>"1552376674674332"</f>
        <v>1552376674674332</v>
      </c>
      <c r="C7082" t="s">
        <v>40</v>
      </c>
      <c r="D7082">
        <v>5.3081459999999998</v>
      </c>
      <c r="E7082">
        <v>0.4600996</v>
      </c>
      <c r="F7082" t="s">
        <v>43</v>
      </c>
      <c r="G7082">
        <v>-188.44370000000001</v>
      </c>
      <c r="H7082" s="1">
        <v>-1.594218E-6</v>
      </c>
      <c r="I7082">
        <v>-7.2945549999999999</v>
      </c>
      <c r="J7082">
        <v>-190.28059999999999</v>
      </c>
      <c r="K7082">
        <v>1.10656</v>
      </c>
      <c r="L7082">
        <v>-19.482790000000001</v>
      </c>
      <c r="M7082">
        <v>0.25076910000000002</v>
      </c>
      <c r="N7082">
        <v>0</v>
      </c>
      <c r="O7082">
        <v>0.96804109999999999</v>
      </c>
      <c r="P7082">
        <v>0.25771690000000003</v>
      </c>
      <c r="Q7082">
        <v>3.3118980000000002E-3</v>
      </c>
      <c r="R7082">
        <v>0.96621480000000004</v>
      </c>
      <c r="S7082">
        <v>0.45961000000000002</v>
      </c>
      <c r="T7082">
        <v>-0.2625518</v>
      </c>
      <c r="U7082">
        <v>2.9833069999999999</v>
      </c>
      <c r="V7082">
        <v>7.2174350000000003E-3</v>
      </c>
      <c r="W7082">
        <v>6.6440249999999996E-3</v>
      </c>
      <c r="X7082">
        <v>0.9999519</v>
      </c>
      <c r="Y7082">
        <v>-0.1009853</v>
      </c>
      <c r="Z7082">
        <v>-8.2792649999999995E-2</v>
      </c>
      <c r="AA7082">
        <v>0.99143700000000001</v>
      </c>
      <c r="AB7082">
        <v>39</v>
      </c>
      <c r="AC7082">
        <v>1.83689999999998</v>
      </c>
      <c r="AD7082">
        <v>-1.106561594218</v>
      </c>
      <c r="AE7082">
        <v>12.188235000000001</v>
      </c>
      <c r="AF7082">
        <v>-1.2680254152956201</v>
      </c>
      <c r="AG7082">
        <v>-1.106561594218</v>
      </c>
      <c r="AH7082">
        <v>12.161402880436199</v>
      </c>
      <c r="AI7082">
        <v>95.171126120864997</v>
      </c>
      <c r="AJ7082">
        <v>95.952514642108298</v>
      </c>
      <c r="AK7082">
        <v>12.277299663847799</v>
      </c>
      <c r="AL7082">
        <v>89.619322614769203</v>
      </c>
      <c r="AM7082">
        <v>89.586458725143899</v>
      </c>
      <c r="AN7082">
        <v>1.0000000183748901</v>
      </c>
    </row>
    <row r="7083" spans="1:40" x14ac:dyDescent="0.25">
      <c r="A7083" t="str">
        <f>"20190312154434707"</f>
        <v>20190312154434707</v>
      </c>
      <c r="B7083" t="str">
        <f>"1552376674694829"</f>
        <v>1552376674694829</v>
      </c>
      <c r="C7083" t="s">
        <v>40</v>
      </c>
      <c r="D7083">
        <v>5.2971329999999996</v>
      </c>
      <c r="E7083">
        <v>0.45996710000000002</v>
      </c>
      <c r="F7083" t="s">
        <v>43</v>
      </c>
      <c r="G7083">
        <v>-188.38820000000001</v>
      </c>
      <c r="H7083" s="1">
        <v>-1.6663620000000001E-6</v>
      </c>
      <c r="I7083">
        <v>-7.1493619999999902</v>
      </c>
      <c r="J7083">
        <v>-190.1909</v>
      </c>
      <c r="K7083">
        <v>1.1067769999999999</v>
      </c>
      <c r="L7083">
        <v>-19.139800000000001</v>
      </c>
      <c r="M7083">
        <v>0.25190000000000001</v>
      </c>
      <c r="N7083">
        <v>0</v>
      </c>
      <c r="O7083">
        <v>0.96774729999999998</v>
      </c>
      <c r="P7083">
        <v>0.25755820000000001</v>
      </c>
      <c r="Q7083">
        <v>3.334998E-3</v>
      </c>
      <c r="R7083">
        <v>0.96625700000000003</v>
      </c>
      <c r="S7083">
        <v>0.45782469999999997</v>
      </c>
      <c r="T7083">
        <v>-0.26769959999999998</v>
      </c>
      <c r="U7083">
        <v>2.9837039999999999</v>
      </c>
      <c r="V7083">
        <v>5.8816619999999898E-3</v>
      </c>
      <c r="W7083">
        <v>6.7193640000000002E-3</v>
      </c>
      <c r="X7083">
        <v>0.99996010000000002</v>
      </c>
      <c r="Y7083">
        <v>-0.10276739999999999</v>
      </c>
      <c r="Z7083">
        <v>-8.4349450000000006E-2</v>
      </c>
      <c r="AA7083">
        <v>0.99112259999999996</v>
      </c>
      <c r="AB7083">
        <v>39</v>
      </c>
      <c r="AC7083">
        <v>1.80269999999998</v>
      </c>
      <c r="AD7083">
        <v>-1.1067786663620001</v>
      </c>
      <c r="AE7083">
        <v>11.990437999999999</v>
      </c>
      <c r="AF7083">
        <v>-1.2652983029154701</v>
      </c>
      <c r="AG7083">
        <v>-1.1067786663620001</v>
      </c>
      <c r="AH7083">
        <v>11.958248825309299</v>
      </c>
      <c r="AI7083">
        <v>95.258675241920201</v>
      </c>
      <c r="AJ7083">
        <v>96.0399735953158</v>
      </c>
      <c r="AK7083">
        <v>12.0758293205761</v>
      </c>
      <c r="AL7083">
        <v>89.615005894167695</v>
      </c>
      <c r="AM7083">
        <v>89.662996030637601</v>
      </c>
      <c r="AN7083">
        <v>0.99999997269622798</v>
      </c>
    </row>
    <row r="7084" spans="1:40" x14ac:dyDescent="0.25">
      <c r="A7084" t="str">
        <f>"20190312154434731"</f>
        <v>20190312154434731</v>
      </c>
      <c r="B7084" t="str">
        <f>"1552376674724109"</f>
        <v>1552376674724109</v>
      </c>
      <c r="C7084" t="s">
        <v>40</v>
      </c>
      <c r="D7084">
        <v>5.2802550000000004</v>
      </c>
      <c r="E7084">
        <v>0.4573315</v>
      </c>
      <c r="F7084" t="s">
        <v>43</v>
      </c>
      <c r="G7084">
        <v>-188.3115</v>
      </c>
      <c r="H7084" s="1">
        <v>-1.8120209999999999E-6</v>
      </c>
      <c r="I7084">
        <v>-6.8415220000000003</v>
      </c>
      <c r="J7084">
        <v>-190.08789999999999</v>
      </c>
      <c r="K7084">
        <v>1.107065</v>
      </c>
      <c r="L7084">
        <v>-18.747440000000001</v>
      </c>
      <c r="M7084">
        <v>0.25284600000000002</v>
      </c>
      <c r="N7084">
        <v>0</v>
      </c>
      <c r="O7084">
        <v>0.96750040000000004</v>
      </c>
      <c r="P7084">
        <v>0.25766129999999998</v>
      </c>
      <c r="Q7084">
        <v>3.6711180000000001E-3</v>
      </c>
      <c r="R7084">
        <v>0.96622830000000004</v>
      </c>
      <c r="S7084">
        <v>0.45602419999999999</v>
      </c>
      <c r="T7084">
        <v>-0.26855559999999901</v>
      </c>
      <c r="U7084">
        <v>2.9841310000000001</v>
      </c>
      <c r="V7084">
        <v>5.0077230000000004E-3</v>
      </c>
      <c r="W7084">
        <v>7.1136990000000002E-3</v>
      </c>
      <c r="X7084">
        <v>0.99996220000000002</v>
      </c>
      <c r="Y7084">
        <v>-0.10434839999999999</v>
      </c>
      <c r="Z7084">
        <v>-8.4568959999999999E-2</v>
      </c>
      <c r="AA7084">
        <v>0.99093869999999895</v>
      </c>
      <c r="AB7084">
        <v>39</v>
      </c>
      <c r="AC7084">
        <v>1.77639999999999</v>
      </c>
      <c r="AD7084">
        <v>-1.1070668120210001</v>
      </c>
      <c r="AE7084">
        <v>11.905918</v>
      </c>
      <c r="AF7084">
        <v>-1.2808702966554899</v>
      </c>
      <c r="AG7084">
        <v>-1.1070668120210001</v>
      </c>
      <c r="AH7084">
        <v>11.867830826503599</v>
      </c>
      <c r="AI7084">
        <v>95.298704847552997</v>
      </c>
      <c r="AJ7084">
        <v>96.159970150215699</v>
      </c>
      <c r="AK7084">
        <v>11.987978735785299</v>
      </c>
      <c r="AL7084">
        <v>89.592411649878699</v>
      </c>
      <c r="AM7084">
        <v>89.713070159730293</v>
      </c>
      <c r="AN7084">
        <v>1.00000004171597</v>
      </c>
    </row>
    <row r="7085" spans="1:40" x14ac:dyDescent="0.25">
      <c r="A7085" t="str">
        <f>"20190312154434752"</f>
        <v>20190312154434752</v>
      </c>
      <c r="B7085" t="str">
        <f>"1552376674744604"</f>
        <v>1552376674744604</v>
      </c>
      <c r="C7085" t="s">
        <v>40</v>
      </c>
      <c r="D7085">
        <v>5.4616480000000003</v>
      </c>
      <c r="E7085">
        <v>0.4572367</v>
      </c>
      <c r="F7085" t="s">
        <v>43</v>
      </c>
      <c r="G7085">
        <v>-188.43450000000001</v>
      </c>
      <c r="H7085" s="1">
        <v>-1.5593029999999999E-6</v>
      </c>
      <c r="I7085">
        <v>-7.3797449999999998</v>
      </c>
      <c r="J7085">
        <v>-189.98609999999999</v>
      </c>
      <c r="K7085">
        <v>1.1073949999999999</v>
      </c>
      <c r="L7085">
        <v>-18.359680000000001</v>
      </c>
      <c r="M7085">
        <v>0.25339109999999998</v>
      </c>
      <c r="N7085">
        <v>0</v>
      </c>
      <c r="O7085">
        <v>0.96735749999999998</v>
      </c>
      <c r="P7085">
        <v>0.25754899999999997</v>
      </c>
      <c r="Q7085">
        <v>4.8356279999999998E-3</v>
      </c>
      <c r="R7085">
        <v>0.96625320000000003</v>
      </c>
      <c r="S7085">
        <v>0.43489070000000002</v>
      </c>
      <c r="T7085">
        <v>-0.29118660000000002</v>
      </c>
      <c r="U7085">
        <v>2.9899900000000001</v>
      </c>
      <c r="V7085">
        <v>4.3273679999999998E-3</v>
      </c>
      <c r="W7085">
        <v>8.3377039999999996E-3</v>
      </c>
      <c r="X7085">
        <v>0.99995590000000001</v>
      </c>
      <c r="Y7085">
        <v>-0.112137</v>
      </c>
      <c r="Z7085">
        <v>-9.1441389999999997E-2</v>
      </c>
      <c r="AA7085">
        <v>0.98947649999999998</v>
      </c>
      <c r="AB7085">
        <v>40</v>
      </c>
      <c r="AC7085">
        <v>1.5515999999999699</v>
      </c>
      <c r="AD7085">
        <v>-1.107396559303</v>
      </c>
      <c r="AE7085">
        <v>10.9799349999999</v>
      </c>
      <c r="AF7085">
        <v>-1.2686220744566901</v>
      </c>
      <c r="AG7085">
        <v>-1.107396559303</v>
      </c>
      <c r="AH7085">
        <v>10.905988585396701</v>
      </c>
      <c r="AI7085">
        <v>95.759383623929693</v>
      </c>
      <c r="AJ7085">
        <v>96.635022736683595</v>
      </c>
      <c r="AK7085">
        <v>11.0352306787016</v>
      </c>
      <c r="AL7085">
        <v>89.522279225720993</v>
      </c>
      <c r="AM7085">
        <v>89.752050690405</v>
      </c>
      <c r="AN7085">
        <v>1.0000000226832999</v>
      </c>
    </row>
    <row r="7086" spans="1:40" x14ac:dyDescent="0.25">
      <c r="A7086" t="str">
        <f>"20190312154434774"</f>
        <v>20190312154434774</v>
      </c>
      <c r="B7086" t="str">
        <f>"1552376674764125"</f>
        <v>1552376674764125</v>
      </c>
      <c r="C7086" t="s">
        <v>40</v>
      </c>
      <c r="D7086">
        <v>5.3793540000000002</v>
      </c>
      <c r="E7086">
        <v>0.45671420000000001</v>
      </c>
      <c r="F7086" t="s">
        <v>43</v>
      </c>
      <c r="G7086">
        <v>-188.33099999999999</v>
      </c>
      <c r="H7086" s="1">
        <v>-1.7659290000000001E-6</v>
      </c>
      <c r="I7086">
        <v>-6.9409020000000003</v>
      </c>
      <c r="J7086">
        <v>-189.8853</v>
      </c>
      <c r="K7086">
        <v>1.107726</v>
      </c>
      <c r="L7086">
        <v>-17.975069999999999</v>
      </c>
      <c r="M7086">
        <v>0.25358449999999999</v>
      </c>
      <c r="N7086">
        <v>0</v>
      </c>
      <c r="O7086">
        <v>0.96730660000000002</v>
      </c>
      <c r="P7086">
        <v>0.25688620000000001</v>
      </c>
      <c r="Q7086">
        <v>5.8489619999999897E-3</v>
      </c>
      <c r="R7086">
        <v>0.9664239</v>
      </c>
      <c r="S7086">
        <v>0.4335022</v>
      </c>
      <c r="T7086">
        <v>-0.29003830000000003</v>
      </c>
      <c r="U7086">
        <v>2.9906920000000001</v>
      </c>
      <c r="V7086">
        <v>3.4387549999999999E-3</v>
      </c>
      <c r="W7086">
        <v>9.4114980000000008E-3</v>
      </c>
      <c r="X7086">
        <v>0.9999498</v>
      </c>
      <c r="Y7086">
        <v>-0.1128135</v>
      </c>
      <c r="Z7086">
        <v>-9.10551E-2</v>
      </c>
      <c r="AA7086">
        <v>0.98943530000000002</v>
      </c>
      <c r="AB7086">
        <v>40</v>
      </c>
      <c r="AC7086">
        <v>1.55430000000001</v>
      </c>
      <c r="AD7086">
        <v>-1.1077277659289999</v>
      </c>
      <c r="AE7086">
        <v>11.034167999999999</v>
      </c>
      <c r="AF7086">
        <v>-1.28194915443908</v>
      </c>
      <c r="AG7086">
        <v>-1.1077277659289999</v>
      </c>
      <c r="AH7086">
        <v>10.959338548769701</v>
      </c>
      <c r="AI7086">
        <v>95.732811060066396</v>
      </c>
      <c r="AJ7086">
        <v>96.671752970282895</v>
      </c>
      <c r="AK7086">
        <v>11.0895246004743</v>
      </c>
      <c r="AL7086">
        <v>89.460752925791297</v>
      </c>
      <c r="AM7086">
        <v>89.802964737236493</v>
      </c>
      <c r="AN7086">
        <v>1.0000000019252899</v>
      </c>
    </row>
    <row r="7087" spans="1:40" x14ac:dyDescent="0.25">
      <c r="A7087" t="str">
        <f>"20190312154434789"</f>
        <v>20190312154434789</v>
      </c>
      <c r="B7087" t="str">
        <f>"1552376674784621"</f>
        <v>1552376674784621</v>
      </c>
      <c r="C7087" t="s">
        <v>40</v>
      </c>
      <c r="D7087">
        <v>5.3607490000000002</v>
      </c>
      <c r="E7087">
        <v>0.45638899999999999</v>
      </c>
      <c r="F7087" t="s">
        <v>43</v>
      </c>
      <c r="G7087">
        <v>-188.24340000000001</v>
      </c>
      <c r="H7087" s="1">
        <v>-1.9851319999999999E-6</v>
      </c>
      <c r="I7087">
        <v>-6.4661339999999896</v>
      </c>
      <c r="J7087">
        <v>-189.8201</v>
      </c>
      <c r="K7087">
        <v>1.107958</v>
      </c>
      <c r="L7087">
        <v>-17.726559999999999</v>
      </c>
      <c r="M7087">
        <v>0.2535327</v>
      </c>
      <c r="N7087">
        <v>0</v>
      </c>
      <c r="O7087">
        <v>0.96732010000000002</v>
      </c>
      <c r="P7087">
        <v>0.2562141</v>
      </c>
      <c r="Q7087">
        <v>5.5572819999999898E-3</v>
      </c>
      <c r="R7087">
        <v>0.96660409999999997</v>
      </c>
      <c r="S7087">
        <v>0.42689510000000003</v>
      </c>
      <c r="T7087">
        <v>-0.2880257</v>
      </c>
      <c r="U7087">
        <v>2.9924930000000001</v>
      </c>
      <c r="V7087">
        <v>2.790968E-3</v>
      </c>
      <c r="W7087">
        <v>9.1592630000000008E-3</v>
      </c>
      <c r="X7087">
        <v>0.99995420000000002</v>
      </c>
      <c r="Y7087">
        <v>-0.1149757</v>
      </c>
      <c r="Z7087">
        <v>-9.0379100000000004E-2</v>
      </c>
      <c r="AA7087">
        <v>0.98924829999999997</v>
      </c>
      <c r="AB7087">
        <v>40</v>
      </c>
      <c r="AC7087">
        <v>1.57669999999998</v>
      </c>
      <c r="AD7087">
        <v>-1.1079599851319999</v>
      </c>
      <c r="AE7087">
        <v>11.260426000000001</v>
      </c>
      <c r="AF7087">
        <v>-1.31721397627079</v>
      </c>
      <c r="AG7087">
        <v>-1.1079599851319999</v>
      </c>
      <c r="AH7087">
        <v>11.1860405927016</v>
      </c>
      <c r="AI7087">
        <v>95.618042394655802</v>
      </c>
      <c r="AJ7087">
        <v>96.715945797410299</v>
      </c>
      <c r="AK7087">
        <v>11.31769111301</v>
      </c>
      <c r="AL7087">
        <v>89.475205570753502</v>
      </c>
      <c r="AM7087">
        <v>89.840082403862297</v>
      </c>
      <c r="AN7087">
        <v>1.00000004184935</v>
      </c>
    </row>
    <row r="7088" spans="1:40" x14ac:dyDescent="0.25">
      <c r="A7088" t="str">
        <f>"20190312154434809"</f>
        <v>20190312154434809</v>
      </c>
      <c r="B7088" t="str">
        <f>"1552376674794381"</f>
        <v>1552376674794381</v>
      </c>
      <c r="C7088" t="s">
        <v>40</v>
      </c>
      <c r="D7088">
        <v>5.3310750000000002</v>
      </c>
      <c r="E7088">
        <v>0.4563854</v>
      </c>
      <c r="F7088" t="s">
        <v>43</v>
      </c>
      <c r="G7088">
        <v>-188.18600000000001</v>
      </c>
      <c r="H7088" s="1">
        <v>-2.1358739999999999E-6</v>
      </c>
      <c r="I7088">
        <v>-6.1385149999999999</v>
      </c>
      <c r="J7088">
        <v>-189.73</v>
      </c>
      <c r="K7088">
        <v>1.108298</v>
      </c>
      <c r="L7088">
        <v>-17.381529999999898</v>
      </c>
      <c r="M7088">
        <v>0.25310690000000002</v>
      </c>
      <c r="N7088">
        <v>0</v>
      </c>
      <c r="O7088">
        <v>0.96743140000000005</v>
      </c>
      <c r="P7088">
        <v>0.25499050000000001</v>
      </c>
      <c r="Q7088">
        <v>5.0695719999999996E-3</v>
      </c>
      <c r="R7088">
        <v>0.96693030000000002</v>
      </c>
      <c r="S7088">
        <v>0.42213440000000002</v>
      </c>
      <c r="T7088">
        <v>-0.28620659999999998</v>
      </c>
      <c r="U7088">
        <v>2.9934080000000001</v>
      </c>
      <c r="V7088">
        <v>1.9567830000000001E-3</v>
      </c>
      <c r="W7088">
        <v>8.7258370000000002E-3</v>
      </c>
      <c r="X7088">
        <v>0.99995999999999996</v>
      </c>
      <c r="Y7088">
        <v>-0.1161155</v>
      </c>
      <c r="Z7088">
        <v>-8.9805250000000003E-2</v>
      </c>
      <c r="AA7088">
        <v>0.98916749999999998</v>
      </c>
      <c r="AB7088">
        <v>40</v>
      </c>
      <c r="AC7088">
        <v>1.54400000000001</v>
      </c>
      <c r="AD7088">
        <v>-1.1083001358739999</v>
      </c>
      <c r="AE7088">
        <v>11.2430149999999</v>
      </c>
      <c r="AF7088">
        <v>-1.33920694190373</v>
      </c>
      <c r="AG7088">
        <v>-1.1083001358739999</v>
      </c>
      <c r="AH7088">
        <v>11.1612675178869</v>
      </c>
      <c r="AI7088">
        <v>95.630685661775004</v>
      </c>
      <c r="AJ7088">
        <v>96.842038817190996</v>
      </c>
      <c r="AK7088">
        <v>11.295826531523</v>
      </c>
      <c r="AL7088">
        <v>89.500040015240799</v>
      </c>
      <c r="AM7088">
        <v>89.887880250994797</v>
      </c>
      <c r="AN7088">
        <v>0.99999998541552904</v>
      </c>
    </row>
    <row r="7089" spans="1:40" x14ac:dyDescent="0.25">
      <c r="A7089" t="str">
        <f>"20190312154434831"</f>
        <v>20190312154434831</v>
      </c>
      <c r="B7089" t="str">
        <f>"1552376674824637"</f>
        <v>1552376674824637</v>
      </c>
      <c r="C7089" t="s">
        <v>40</v>
      </c>
      <c r="D7089">
        <v>5.395219</v>
      </c>
      <c r="E7089">
        <v>0.45612200000000003</v>
      </c>
      <c r="F7089" t="s">
        <v>43</v>
      </c>
      <c r="G7089">
        <v>-188.1234</v>
      </c>
      <c r="H7089" s="1">
        <v>-2.2583960000000002E-6</v>
      </c>
      <c r="I7089">
        <v>-5.8787789999999998</v>
      </c>
      <c r="J7089">
        <v>-189.63040000000001</v>
      </c>
      <c r="K7089">
        <v>1.1087340000000001</v>
      </c>
      <c r="L7089">
        <v>-16.997959999999999</v>
      </c>
      <c r="M7089">
        <v>0.252141</v>
      </c>
      <c r="N7089">
        <v>0</v>
      </c>
      <c r="O7089">
        <v>0.96768339999999997</v>
      </c>
      <c r="P7089">
        <v>0.25322109999999998</v>
      </c>
      <c r="Q7089">
        <v>3.7220040000000001E-3</v>
      </c>
      <c r="R7089">
        <v>0.96740130000000002</v>
      </c>
      <c r="S7089">
        <v>0.41815190000000002</v>
      </c>
      <c r="T7089">
        <v>-0.28845859999999901</v>
      </c>
      <c r="U7089">
        <v>2.9938349999999998</v>
      </c>
      <c r="V7089">
        <v>1.1149580000000001E-3</v>
      </c>
      <c r="W7089">
        <v>7.4408E-3</v>
      </c>
      <c r="X7089">
        <v>0.99997170000000002</v>
      </c>
      <c r="Y7089">
        <v>-0.11644309999999999</v>
      </c>
      <c r="Z7089">
        <v>-9.0534790000000004E-2</v>
      </c>
      <c r="AA7089">
        <v>0.98906240000000001</v>
      </c>
      <c r="AB7089">
        <v>40</v>
      </c>
      <c r="AC7089">
        <v>1.5069999999999999</v>
      </c>
      <c r="AD7089">
        <v>-1.1087362583959901</v>
      </c>
      <c r="AE7089">
        <v>11.119180999999999</v>
      </c>
      <c r="AF7089">
        <v>-1.3323038272248799</v>
      </c>
      <c r="AG7089">
        <v>-1.1087362583959901</v>
      </c>
      <c r="AH7089">
        <v>11.032187139480699</v>
      </c>
      <c r="AI7089">
        <v>95.697839905524305</v>
      </c>
      <c r="AJ7089">
        <v>96.885987499670804</v>
      </c>
      <c r="AK7089">
        <v>11.167519091510099</v>
      </c>
      <c r="AL7089">
        <v>89.573669631749596</v>
      </c>
      <c r="AM7089">
        <v>89.936115830816505</v>
      </c>
      <c r="AN7089">
        <v>1.0000000047184301</v>
      </c>
    </row>
    <row r="7090" spans="1:40" x14ac:dyDescent="0.25">
      <c r="A7090" t="str">
        <f>"20190312154434853"</f>
        <v>20190312154434853</v>
      </c>
      <c r="B7090" t="str">
        <f>"1552376674844157"</f>
        <v>1552376674844157</v>
      </c>
      <c r="C7090" t="s">
        <v>40</v>
      </c>
      <c r="D7090">
        <v>5.4698129999999896</v>
      </c>
      <c r="E7090">
        <v>0.45611459999999998</v>
      </c>
      <c r="F7090" t="s">
        <v>43</v>
      </c>
      <c r="G7090">
        <v>-188.07579999999999</v>
      </c>
      <c r="H7090" s="1">
        <v>-2.3691100000000002E-6</v>
      </c>
      <c r="I7090">
        <v>-5.6403879999999997</v>
      </c>
      <c r="J7090">
        <v>-189.52709999999999</v>
      </c>
      <c r="K7090">
        <v>1.109232</v>
      </c>
      <c r="L7090">
        <v>-16.597200000000001</v>
      </c>
      <c r="M7090">
        <v>0.25060070000000001</v>
      </c>
      <c r="N7090">
        <v>0</v>
      </c>
      <c r="O7090">
        <v>0.96808309999999997</v>
      </c>
      <c r="P7090">
        <v>0.25163239999999998</v>
      </c>
      <c r="Q7090">
        <v>3.6938240000000001E-3</v>
      </c>
      <c r="R7090">
        <v>0.96781589999999995</v>
      </c>
      <c r="S7090">
        <v>0.4099274</v>
      </c>
      <c r="T7090">
        <v>-0.2923654</v>
      </c>
      <c r="U7090">
        <v>2.994904</v>
      </c>
      <c r="V7090">
        <v>1.0553579999999999E-3</v>
      </c>
      <c r="W7090">
        <v>7.4808540000000003E-3</v>
      </c>
      <c r="X7090">
        <v>0.99997139999999995</v>
      </c>
      <c r="Y7090">
        <v>-0.1175915</v>
      </c>
      <c r="Z7090">
        <v>-9.1785039999999998E-2</v>
      </c>
      <c r="AA7090">
        <v>0.98881129999999995</v>
      </c>
      <c r="AB7090">
        <v>40</v>
      </c>
      <c r="AC7090">
        <v>1.4513</v>
      </c>
      <c r="AD7090">
        <v>-1.10923436911</v>
      </c>
      <c r="AE7090">
        <v>10.956811999999999</v>
      </c>
      <c r="AF7090">
        <v>-1.3274451040884601</v>
      </c>
      <c r="AG7090">
        <v>-1.10923436911</v>
      </c>
      <c r="AH7090">
        <v>10.861481211092499</v>
      </c>
      <c r="AI7090">
        <v>95.788371204620105</v>
      </c>
      <c r="AJ7090">
        <v>96.967896730711402</v>
      </c>
      <c r="AK7090">
        <v>10.9983764933238</v>
      </c>
      <c r="AL7090">
        <v>89.571374614515406</v>
      </c>
      <c r="AM7090">
        <v>89.939530733753998</v>
      </c>
      <c r="AN7090">
        <v>0.99999993888751604</v>
      </c>
    </row>
    <row r="7091" spans="1:40" x14ac:dyDescent="0.25">
      <c r="A7091" t="str">
        <f>"20190312154434877"</f>
        <v>20190312154434877</v>
      </c>
      <c r="B7091" t="str">
        <f>"1552376674864653"</f>
        <v>1552376674864653</v>
      </c>
      <c r="C7091" t="s">
        <v>40</v>
      </c>
      <c r="D7091">
        <v>5.4301250000000003</v>
      </c>
      <c r="E7091">
        <v>0.4555516</v>
      </c>
      <c r="F7091" t="s">
        <v>43</v>
      </c>
      <c r="G7091">
        <v>-187.9958</v>
      </c>
      <c r="H7091" s="1">
        <v>-2.5475569999999998E-6</v>
      </c>
      <c r="I7091">
        <v>-5.257511</v>
      </c>
      <c r="J7091">
        <v>-189.42570000000001</v>
      </c>
      <c r="K7091">
        <v>1.109753</v>
      </c>
      <c r="L7091">
        <v>-16.199619999999999</v>
      </c>
      <c r="M7091">
        <v>0.24853890000000001</v>
      </c>
      <c r="N7091">
        <v>0</v>
      </c>
      <c r="O7091">
        <v>0.96861419999999998</v>
      </c>
      <c r="P7091">
        <v>0.24985099999999999</v>
      </c>
      <c r="Q7091">
        <v>3.750223E-3</v>
      </c>
      <c r="R7091">
        <v>0.96827700000000005</v>
      </c>
      <c r="S7091">
        <v>0.40454099999999998</v>
      </c>
      <c r="T7091">
        <v>-0.2930355</v>
      </c>
      <c r="U7091">
        <v>2.9956969999999998</v>
      </c>
      <c r="V7091">
        <v>1.3345620000000001E-3</v>
      </c>
      <c r="W7091">
        <v>7.6086419999999997E-3</v>
      </c>
      <c r="X7091">
        <v>0.99997009999999997</v>
      </c>
      <c r="Y7091">
        <v>-0.11726109999999999</v>
      </c>
      <c r="Z7091">
        <v>-9.2058490000000007E-2</v>
      </c>
      <c r="AA7091">
        <v>0.98882510000000001</v>
      </c>
      <c r="AB7091">
        <v>40</v>
      </c>
      <c r="AC7091">
        <v>1.4298999999999999</v>
      </c>
      <c r="AD7091">
        <v>-1.109755547557</v>
      </c>
      <c r="AE7091">
        <v>10.942109</v>
      </c>
      <c r="AF7091">
        <v>-1.3211667267165601</v>
      </c>
      <c r="AG7091">
        <v>-1.109755547557</v>
      </c>
      <c r="AH7091">
        <v>10.844474877675999</v>
      </c>
      <c r="AI7091">
        <v>95.800360363823103</v>
      </c>
      <c r="AJ7091">
        <v>96.946032316905402</v>
      </c>
      <c r="AK7091">
        <v>10.980877663814599</v>
      </c>
      <c r="AL7091">
        <v>89.564052691636405</v>
      </c>
      <c r="AM7091">
        <v>89.9235329889365</v>
      </c>
      <c r="AN7091">
        <v>0.99999993669141096</v>
      </c>
    </row>
    <row r="7092" spans="1:40" x14ac:dyDescent="0.25">
      <c r="A7092" t="str">
        <f>"20190312154434897"</f>
        <v>20190312154434897</v>
      </c>
      <c r="B7092" t="str">
        <f>"1552376674884174"</f>
        <v>1552376674884174</v>
      </c>
      <c r="C7092" t="s">
        <v>40</v>
      </c>
      <c r="D7092">
        <v>5.4099329999999997</v>
      </c>
      <c r="E7092">
        <v>0.45550829999999998</v>
      </c>
      <c r="F7092" t="s">
        <v>43</v>
      </c>
      <c r="G7092">
        <v>-187.95079999999999</v>
      </c>
      <c r="H7092" s="1">
        <v>-2.6634479999999998E-6</v>
      </c>
      <c r="I7092">
        <v>-5.0059469999999999</v>
      </c>
      <c r="J7092">
        <v>-189.33179999999999</v>
      </c>
      <c r="K7092">
        <v>1.110252</v>
      </c>
      <c r="L7092">
        <v>-15.826840000000001</v>
      </c>
      <c r="M7092">
        <v>0.24610799999999999</v>
      </c>
      <c r="N7092">
        <v>0</v>
      </c>
      <c r="O7092">
        <v>0.9692345</v>
      </c>
      <c r="P7092">
        <v>0.24716779999999999</v>
      </c>
      <c r="Q7092">
        <v>3.1748150000000001E-3</v>
      </c>
      <c r="R7092">
        <v>0.96896749999999998</v>
      </c>
      <c r="S7092">
        <v>0.39495849999999999</v>
      </c>
      <c r="T7092">
        <v>-0.29717909999999997</v>
      </c>
      <c r="U7092">
        <v>2.997528</v>
      </c>
      <c r="V7092">
        <v>1.0653609999999999E-3</v>
      </c>
      <c r="W7092">
        <v>7.1017780000000004E-3</v>
      </c>
      <c r="X7092">
        <v>0.99997420000000004</v>
      </c>
      <c r="Y7092">
        <v>-0.1179716</v>
      </c>
      <c r="Z7092">
        <v>-9.3397179999999996E-2</v>
      </c>
      <c r="AA7092">
        <v>0.98861500000000002</v>
      </c>
      <c r="AB7092">
        <v>41</v>
      </c>
      <c r="AC7092">
        <v>1.381</v>
      </c>
      <c r="AD7092">
        <v>-1.1102546634479999</v>
      </c>
      <c r="AE7092">
        <v>10.8208929999999</v>
      </c>
      <c r="AF7092">
        <v>-1.3110252222669101</v>
      </c>
      <c r="AG7092">
        <v>-1.1102546634479999</v>
      </c>
      <c r="AH7092">
        <v>10.716928301683501</v>
      </c>
      <c r="AI7092">
        <v>95.871181706410198</v>
      </c>
      <c r="AJ7092">
        <v>96.974464154588702</v>
      </c>
      <c r="AK7092">
        <v>10.853755330508999</v>
      </c>
      <c r="AL7092">
        <v>89.5930946671984</v>
      </c>
      <c r="AM7092">
        <v>89.938957759247103</v>
      </c>
      <c r="AN7092">
        <v>0.99999998545522994</v>
      </c>
    </row>
    <row r="7093" spans="1:40" x14ac:dyDescent="0.25">
      <c r="A7093" t="str">
        <f>"20190312154434919"</f>
        <v>20190312154434919</v>
      </c>
      <c r="B7093" t="str">
        <f>"1552376674914429"</f>
        <v>1552376674914429</v>
      </c>
      <c r="C7093" t="s">
        <v>40</v>
      </c>
      <c r="D7093">
        <v>5.4423769999999996</v>
      </c>
      <c r="E7093">
        <v>0.45539190000000002</v>
      </c>
      <c r="F7093" t="s">
        <v>43</v>
      </c>
      <c r="G7093">
        <v>-187.90629999999999</v>
      </c>
      <c r="H7093" s="1">
        <v>-2.7777570000000002E-6</v>
      </c>
      <c r="I7093">
        <v>-4.7579149999999997</v>
      </c>
      <c r="J7093">
        <v>-189.23679999999999</v>
      </c>
      <c r="K7093">
        <v>1.1107860000000001</v>
      </c>
      <c r="L7093">
        <v>-15.444089999999999</v>
      </c>
      <c r="M7093">
        <v>0.24310229999999999</v>
      </c>
      <c r="N7093">
        <v>0</v>
      </c>
      <c r="O7093">
        <v>0.96999250000000004</v>
      </c>
      <c r="P7093">
        <v>0.24352570000000001</v>
      </c>
      <c r="Q7093">
        <v>1.5416550000000001E-3</v>
      </c>
      <c r="R7093">
        <v>0.96989320000000001</v>
      </c>
      <c r="S7093">
        <v>0.38618469999999999</v>
      </c>
      <c r="T7093">
        <v>-0.30076740000000002</v>
      </c>
      <c r="U7093">
        <v>2.9985659999999998</v>
      </c>
      <c r="V7093">
        <v>4.0613649999999998E-4</v>
      </c>
      <c r="W7093">
        <v>5.5382599999999997E-3</v>
      </c>
      <c r="X7093">
        <v>0.9999846</v>
      </c>
      <c r="Y7093">
        <v>-0.1177966</v>
      </c>
      <c r="Z7093">
        <v>-9.4611940000000005E-2</v>
      </c>
      <c r="AA7093">
        <v>0.98852039999999997</v>
      </c>
      <c r="AB7093">
        <v>41</v>
      </c>
      <c r="AC7093">
        <v>1.3305</v>
      </c>
      <c r="AD7093">
        <v>-1.110788777757</v>
      </c>
      <c r="AE7093">
        <v>10.686175</v>
      </c>
      <c r="AF7093">
        <v>-1.2935062602721901</v>
      </c>
      <c r="AG7093">
        <v>-1.110788777757</v>
      </c>
      <c r="AH7093">
        <v>10.5765087489347</v>
      </c>
      <c r="AI7093">
        <v>95.951439564573803</v>
      </c>
      <c r="AJ7093">
        <v>96.972643393493598</v>
      </c>
      <c r="AK7093">
        <v>10.7130550017465</v>
      </c>
      <c r="AL7093">
        <v>89.682679459931094</v>
      </c>
      <c r="AM7093">
        <v>89.976729735561193</v>
      </c>
      <c r="AN7093">
        <v>1.00000001875392</v>
      </c>
    </row>
    <row r="7094" spans="1:40" x14ac:dyDescent="0.25">
      <c r="A7094" t="str">
        <f>"20190312154434941"</f>
        <v>20190312154434941</v>
      </c>
      <c r="B7094" t="str">
        <f>"1552376674934925"</f>
        <v>1552376674934925</v>
      </c>
      <c r="C7094" t="s">
        <v>40</v>
      </c>
      <c r="D7094">
        <v>5.4146010000000002</v>
      </c>
      <c r="E7094">
        <v>0.45527570000000001</v>
      </c>
      <c r="F7094" t="s">
        <v>43</v>
      </c>
      <c r="G7094">
        <v>-187.87469999999999</v>
      </c>
      <c r="H7094" s="1">
        <v>-2.8825809999999998E-6</v>
      </c>
      <c r="I7094">
        <v>-4.5266190000000002</v>
      </c>
      <c r="J7094">
        <v>-189.1396</v>
      </c>
      <c r="K7094">
        <v>1.111348</v>
      </c>
      <c r="L7094">
        <v>-15.04556</v>
      </c>
      <c r="M7094">
        <v>0.23944080000000001</v>
      </c>
      <c r="N7094">
        <v>0</v>
      </c>
      <c r="O7094">
        <v>0.97090240000000005</v>
      </c>
      <c r="P7094">
        <v>0.2378565</v>
      </c>
      <c r="Q7094">
        <v>-5.5787670000000003E-4</v>
      </c>
      <c r="R7094">
        <v>0.9713001</v>
      </c>
      <c r="S7094">
        <v>0.37425229999999998</v>
      </c>
      <c r="T7094">
        <v>-0.305195099999999</v>
      </c>
      <c r="U7094">
        <v>2.9996339999999999</v>
      </c>
      <c r="V7094">
        <v>-1.6563459999999999E-3</v>
      </c>
      <c r="W7094">
        <v>3.502664E-3</v>
      </c>
      <c r="X7094">
        <v>0.99999249999999995</v>
      </c>
      <c r="Y7094">
        <v>-0.11798210000000001</v>
      </c>
      <c r="Z7094">
        <v>-9.6115519999999996E-2</v>
      </c>
      <c r="AA7094">
        <v>0.98835320000000004</v>
      </c>
      <c r="AB7094">
        <v>41</v>
      </c>
      <c r="AC7094">
        <v>1.2649000000000099</v>
      </c>
      <c r="AD7094">
        <v>-1.1113508825809999</v>
      </c>
      <c r="AE7094">
        <v>10.518941</v>
      </c>
      <c r="AF7094">
        <v>-1.27653383539355</v>
      </c>
      <c r="AG7094">
        <v>-1.1113508825809999</v>
      </c>
      <c r="AH7094">
        <v>10.4013716470107</v>
      </c>
      <c r="AI7094">
        <v>96.053641067359393</v>
      </c>
      <c r="AJ7094">
        <v>96.996776453774004</v>
      </c>
      <c r="AK7094">
        <v>10.538176861125301</v>
      </c>
      <c r="AL7094">
        <v>89.799311726607101</v>
      </c>
      <c r="AM7094">
        <v>90.0949022601921</v>
      </c>
      <c r="AN7094">
        <v>1.0000000060967</v>
      </c>
    </row>
    <row r="7095" spans="1:40" x14ac:dyDescent="0.25">
      <c r="A7095" t="str">
        <f>"20190312154434965"</f>
        <v>20190312154434965</v>
      </c>
      <c r="B7095" t="str">
        <f>"1552376674954445"</f>
        <v>1552376674954445</v>
      </c>
      <c r="C7095" t="s">
        <v>40</v>
      </c>
      <c r="D7095">
        <v>5.390021</v>
      </c>
      <c r="E7095">
        <v>0.45515339999999999</v>
      </c>
      <c r="F7095" t="s">
        <v>43</v>
      </c>
      <c r="G7095">
        <v>-187.8768</v>
      </c>
      <c r="H7095" s="1">
        <v>-2.9384449999999999E-6</v>
      </c>
      <c r="I7095">
        <v>-4.395556</v>
      </c>
      <c r="J7095">
        <v>-189.04</v>
      </c>
      <c r="K7095">
        <v>1.111931</v>
      </c>
      <c r="L7095">
        <v>-14.62909</v>
      </c>
      <c r="M7095">
        <v>0.2350737</v>
      </c>
      <c r="N7095">
        <v>0</v>
      </c>
      <c r="O7095">
        <v>0.97196870000000002</v>
      </c>
      <c r="P7095">
        <v>0.2304581</v>
      </c>
      <c r="Q7095">
        <v>-1.881553E-3</v>
      </c>
      <c r="R7095">
        <v>0.97308050000000001</v>
      </c>
      <c r="S7095">
        <v>0.35589599999999999</v>
      </c>
      <c r="T7095">
        <v>-0.31319330000000001</v>
      </c>
      <c r="U7095">
        <v>3.001312</v>
      </c>
      <c r="V7095">
        <v>-4.7653060000000004E-3</v>
      </c>
      <c r="W7095">
        <v>2.232852E-3</v>
      </c>
      <c r="X7095">
        <v>0.99998620000000005</v>
      </c>
      <c r="Y7095">
        <v>-0.119572499999999</v>
      </c>
      <c r="Z7095">
        <v>-9.8742949999999996E-2</v>
      </c>
      <c r="AA7095">
        <v>0.98790290000000003</v>
      </c>
      <c r="AB7095">
        <v>41</v>
      </c>
      <c r="AC7095">
        <v>1.16319999999998</v>
      </c>
      <c r="AD7095">
        <v>-1.111933938445</v>
      </c>
      <c r="AE7095">
        <v>10.233534000000001</v>
      </c>
      <c r="AF7095">
        <v>-1.26036150876521</v>
      </c>
      <c r="AG7095">
        <v>-1.111933938445</v>
      </c>
      <c r="AH7095">
        <v>10.1024510594362</v>
      </c>
      <c r="AI7095">
        <v>96.233085523017195</v>
      </c>
      <c r="AJ7095">
        <v>97.1113632308723</v>
      </c>
      <c r="AK7095">
        <v>10.2413097611851</v>
      </c>
      <c r="AL7095">
        <v>89.872066903828298</v>
      </c>
      <c r="AM7095">
        <v>90.273033623041002</v>
      </c>
      <c r="AN7095">
        <v>1.00000004697988</v>
      </c>
    </row>
    <row r="7096" spans="1:40" x14ac:dyDescent="0.25">
      <c r="A7096" t="str">
        <f>"20190312154434988"</f>
        <v>20190312154434988</v>
      </c>
      <c r="B7096" t="str">
        <f>"1552376674973965"</f>
        <v>1552376674973965</v>
      </c>
      <c r="C7096" t="s">
        <v>40</v>
      </c>
      <c r="D7096">
        <v>5.3893079999999998</v>
      </c>
      <c r="E7096">
        <v>0.45503719999999998</v>
      </c>
      <c r="F7096" t="s">
        <v>43</v>
      </c>
      <c r="G7096">
        <v>-187.8784</v>
      </c>
      <c r="H7096" s="1">
        <v>-3.0550669999999999E-6</v>
      </c>
      <c r="I7096">
        <v>-4.1230359999999999</v>
      </c>
      <c r="J7096">
        <v>-188.94450000000001</v>
      </c>
      <c r="K7096">
        <v>1.1124889999999901</v>
      </c>
      <c r="L7096">
        <v>-14.220280000000001</v>
      </c>
      <c r="M7096">
        <v>0.23027729999999999</v>
      </c>
      <c r="N7096">
        <v>0</v>
      </c>
      <c r="O7096">
        <v>0.97311590000000003</v>
      </c>
      <c r="P7096">
        <v>0.2234659</v>
      </c>
      <c r="Q7096">
        <v>-1.1506890000000001E-3</v>
      </c>
      <c r="R7096">
        <v>0.97471110000000005</v>
      </c>
      <c r="S7096">
        <v>0.3321228</v>
      </c>
      <c r="T7096">
        <v>-0.31790649999999998</v>
      </c>
      <c r="U7096">
        <v>3.0037229999999999</v>
      </c>
      <c r="V7096">
        <v>-7.0245009999999998E-3</v>
      </c>
      <c r="W7096">
        <v>3.0148620000000001E-3</v>
      </c>
      <c r="X7096">
        <v>0.99997080000000005</v>
      </c>
      <c r="Y7096">
        <v>-0.12250270000000001</v>
      </c>
      <c r="Z7096">
        <v>-0.1003372</v>
      </c>
      <c r="AA7096">
        <v>0.98738320000000002</v>
      </c>
      <c r="AB7096">
        <v>41</v>
      </c>
      <c r="AC7096">
        <v>1.0661</v>
      </c>
      <c r="AD7096">
        <v>-1.1124920550670001</v>
      </c>
      <c r="AE7096">
        <v>10.097244</v>
      </c>
      <c r="AF7096">
        <v>-1.27246238332349</v>
      </c>
      <c r="AG7096">
        <v>-1.1124920550670001</v>
      </c>
      <c r="AH7096">
        <v>9.9519013109160106</v>
      </c>
      <c r="AI7096">
        <v>96.327346986374707</v>
      </c>
      <c r="AJ7096">
        <v>97.286373636289099</v>
      </c>
      <c r="AK7096">
        <v>10.094411265238399</v>
      </c>
      <c r="AL7096">
        <v>89.827260872827097</v>
      </c>
      <c r="AM7096">
        <v>90.402479392848207</v>
      </c>
      <c r="AN7096">
        <v>1.0000000169298999</v>
      </c>
    </row>
    <row r="7097" spans="1:40" x14ac:dyDescent="0.25">
      <c r="A7097" t="str">
        <f>"20190312154435010"</f>
        <v>20190312154435010</v>
      </c>
      <c r="B7097" t="str">
        <f>"1552376675004221"</f>
        <v>1552376675004221</v>
      </c>
      <c r="C7097" t="s">
        <v>40</v>
      </c>
      <c r="D7097">
        <v>5.4497669999999996</v>
      </c>
      <c r="E7097">
        <v>0.45508399999999999</v>
      </c>
      <c r="F7097" t="s">
        <v>43</v>
      </c>
      <c r="G7097">
        <v>-187.85730000000001</v>
      </c>
      <c r="H7097" s="1">
        <v>-3.2531930000000001E-6</v>
      </c>
      <c r="I7097">
        <v>-3.669937</v>
      </c>
      <c r="J7097">
        <v>-188.8552</v>
      </c>
      <c r="K7097">
        <v>1.1130119999999999</v>
      </c>
      <c r="L7097">
        <v>-13.82727</v>
      </c>
      <c r="M7097">
        <v>0.22518750000000001</v>
      </c>
      <c r="N7097">
        <v>0</v>
      </c>
      <c r="O7097">
        <v>0.97430589999999995</v>
      </c>
      <c r="P7097">
        <v>0.2171255</v>
      </c>
      <c r="Q7097">
        <v>2.2483799999999999E-4</v>
      </c>
      <c r="R7097">
        <v>0.97614369999999995</v>
      </c>
      <c r="S7097">
        <v>0.30982969999999999</v>
      </c>
      <c r="T7097">
        <v>-0.3170174</v>
      </c>
      <c r="U7097">
        <v>3.0064389999999999</v>
      </c>
      <c r="V7097">
        <v>-8.3161650000000004E-3</v>
      </c>
      <c r="W7097">
        <v>4.4425030000000004E-3</v>
      </c>
      <c r="X7097">
        <v>0.9999555</v>
      </c>
      <c r="Y7097">
        <v>-0.12464840000000001</v>
      </c>
      <c r="Z7097">
        <v>-0.1001794</v>
      </c>
      <c r="AA7097">
        <v>0.98713059999999997</v>
      </c>
      <c r="AB7097">
        <v>41</v>
      </c>
      <c r="AC7097">
        <v>0.99789999999998702</v>
      </c>
      <c r="AD7097">
        <v>-1.113015253193</v>
      </c>
      <c r="AE7097">
        <v>10.157333</v>
      </c>
      <c r="AF7097">
        <v>-1.2996013611967601</v>
      </c>
      <c r="AG7097">
        <v>-1.113015253193</v>
      </c>
      <c r="AH7097">
        <v>10.0022075124031</v>
      </c>
      <c r="AI7097">
        <v>96.297076980451095</v>
      </c>
      <c r="AJ7097">
        <v>97.403049945000404</v>
      </c>
      <c r="AK7097">
        <v>10.147508155849801</v>
      </c>
      <c r="AL7097">
        <v>89.745462477185995</v>
      </c>
      <c r="AM7097">
        <v>90.476491375322098</v>
      </c>
      <c r="AN7097">
        <v>0.99999994820672899</v>
      </c>
    </row>
    <row r="7098" spans="1:40" x14ac:dyDescent="0.25">
      <c r="A7098" t="str">
        <f>"20190312154435032"</f>
        <v>20190312154435032</v>
      </c>
      <c r="B7098" t="str">
        <f>"1552376675024717"</f>
        <v>1552376675024717</v>
      </c>
      <c r="C7098" t="s">
        <v>40</v>
      </c>
      <c r="D7098">
        <v>5.4090199999999999</v>
      </c>
      <c r="E7098">
        <v>0.45521329999999999</v>
      </c>
      <c r="F7098" t="s">
        <v>43</v>
      </c>
      <c r="G7098">
        <v>-187.82740000000001</v>
      </c>
      <c r="H7098" s="1">
        <v>-3.477772E-6</v>
      </c>
      <c r="I7098">
        <v>-3.1587860000000001</v>
      </c>
      <c r="J7098">
        <v>-188.76679999999999</v>
      </c>
      <c r="K7098">
        <v>1.113502</v>
      </c>
      <c r="L7098">
        <v>-13.42807</v>
      </c>
      <c r="M7098">
        <v>0.21965290000000001</v>
      </c>
      <c r="N7098">
        <v>0</v>
      </c>
      <c r="O7098">
        <v>0.97556830000000005</v>
      </c>
      <c r="P7098">
        <v>0.21059639999999999</v>
      </c>
      <c r="Q7098">
        <v>1.531735E-3</v>
      </c>
      <c r="R7098">
        <v>0.97757190000000005</v>
      </c>
      <c r="S7098">
        <v>0.2898712</v>
      </c>
      <c r="T7098">
        <v>-0.31391180000000002</v>
      </c>
      <c r="U7098">
        <v>3.0089109999999999</v>
      </c>
      <c r="V7098">
        <v>-9.3445869999999997E-3</v>
      </c>
      <c r="W7098">
        <v>5.7990860000000002E-3</v>
      </c>
      <c r="X7098">
        <v>0.99993949999999998</v>
      </c>
      <c r="Y7098">
        <v>-0.12557269999999901</v>
      </c>
      <c r="Z7098">
        <v>-9.9347699999999997E-2</v>
      </c>
      <c r="AA7098">
        <v>0.98709749999999996</v>
      </c>
      <c r="AB7098">
        <v>41</v>
      </c>
      <c r="AC7098">
        <v>0.93939999999997703</v>
      </c>
      <c r="AD7098">
        <v>-1.1135054777719999</v>
      </c>
      <c r="AE7098">
        <v>10.269284000000001</v>
      </c>
      <c r="AF7098">
        <v>-1.32380681939261</v>
      </c>
      <c r="AG7098">
        <v>-1.1135054777719999</v>
      </c>
      <c r="AH7098">
        <v>10.1069836488315</v>
      </c>
      <c r="AI7098">
        <v>96.234205294766895</v>
      </c>
      <c r="AJ7098">
        <v>97.462089019633893</v>
      </c>
      <c r="AK7098">
        <v>10.253949357288899</v>
      </c>
      <c r="AL7098">
        <v>89.667734977255193</v>
      </c>
      <c r="AM7098">
        <v>90.535422204267405</v>
      </c>
      <c r="AN7098">
        <v>0.99999997718244205</v>
      </c>
    </row>
    <row r="7099" spans="1:40" x14ac:dyDescent="0.25">
      <c r="A7099" t="str">
        <f>"20190312154435056"</f>
        <v>20190312154435056</v>
      </c>
      <c r="B7099" t="str">
        <f>"1552376675044237"</f>
        <v>1552376675044237</v>
      </c>
      <c r="C7099" t="s">
        <v>40</v>
      </c>
      <c r="D7099">
        <v>5.4056240000000004</v>
      </c>
      <c r="E7099">
        <v>0.4554182</v>
      </c>
      <c r="F7099" t="s">
        <v>43</v>
      </c>
      <c r="G7099">
        <v>-187.79660000000001</v>
      </c>
      <c r="H7099" s="1">
        <v>-3.7137370000000001E-6</v>
      </c>
      <c r="I7099">
        <v>-2.6214580000000001</v>
      </c>
      <c r="J7099">
        <v>-188.6711</v>
      </c>
      <c r="K7099">
        <v>1.114009</v>
      </c>
      <c r="L7099">
        <v>-12.982570000000001</v>
      </c>
      <c r="M7099">
        <v>0.2130814</v>
      </c>
      <c r="N7099">
        <v>0</v>
      </c>
      <c r="O7099">
        <v>0.97702429999999996</v>
      </c>
      <c r="P7099">
        <v>0.2029656</v>
      </c>
      <c r="Q7099">
        <v>8.0303239999999999E-4</v>
      </c>
      <c r="R7099">
        <v>0.97918550000000004</v>
      </c>
      <c r="S7099">
        <v>0.27030939999999998</v>
      </c>
      <c r="T7099">
        <v>-0.31025920000000001</v>
      </c>
      <c r="U7099">
        <v>3.0110779999999999</v>
      </c>
      <c r="V7099">
        <v>-1.0411719999999999E-2</v>
      </c>
      <c r="W7099">
        <v>5.1196039999999998E-3</v>
      </c>
      <c r="X7099">
        <v>0.99993270000000001</v>
      </c>
      <c r="Y7099">
        <v>-0.12531099999999901</v>
      </c>
      <c r="Z7099">
        <v>-9.8385780000000006E-2</v>
      </c>
      <c r="AA7099">
        <v>0.98722710000000002</v>
      </c>
      <c r="AB7099">
        <v>42</v>
      </c>
      <c r="AC7099">
        <v>0.87449999999998296</v>
      </c>
      <c r="AD7099">
        <v>-1.1140127137369999</v>
      </c>
      <c r="AE7099">
        <v>10.361112</v>
      </c>
      <c r="AF7099">
        <v>-1.33800761561671</v>
      </c>
      <c r="AG7099">
        <v>-1.1140127137369999</v>
      </c>
      <c r="AH7099">
        <v>10.192505558313</v>
      </c>
      <c r="AI7099">
        <v>96.184864536864296</v>
      </c>
      <c r="AJ7099">
        <v>97.478663551585001</v>
      </c>
      <c r="AK7099">
        <v>10.3401382129088</v>
      </c>
      <c r="AL7099">
        <v>89.706667019374606</v>
      </c>
      <c r="AM7099">
        <v>90.596566204846098</v>
      </c>
      <c r="AN7099">
        <v>1.0000000093938799</v>
      </c>
    </row>
    <row r="7100" spans="1:40" x14ac:dyDescent="0.25">
      <c r="A7100" t="str">
        <f>"20190312154435078"</f>
        <v>20190312154435078</v>
      </c>
      <c r="B7100" t="str">
        <f>"1552376675064734"</f>
        <v>1552376675064734</v>
      </c>
      <c r="C7100" t="s">
        <v>40</v>
      </c>
      <c r="D7100">
        <v>5.407826</v>
      </c>
      <c r="E7100">
        <v>0.45559040000000001</v>
      </c>
      <c r="F7100" t="s">
        <v>43</v>
      </c>
      <c r="G7100">
        <v>-187.7885</v>
      </c>
      <c r="H7100" s="1">
        <v>-3.8745620000000004E-6</v>
      </c>
      <c r="I7100">
        <v>-2.2499180000000001</v>
      </c>
      <c r="J7100">
        <v>-188.58940000000001</v>
      </c>
      <c r="K7100">
        <v>1.114428</v>
      </c>
      <c r="L7100">
        <v>-12.589359999999999</v>
      </c>
      <c r="M7100">
        <v>0.20696510000000001</v>
      </c>
      <c r="N7100">
        <v>0</v>
      </c>
      <c r="O7100">
        <v>0.97833789999999998</v>
      </c>
      <c r="P7100">
        <v>0.19616690000000001</v>
      </c>
      <c r="Q7100" s="1">
        <v>-7.2802419999999906E-5</v>
      </c>
      <c r="R7100">
        <v>0.98057050000000001</v>
      </c>
      <c r="S7100">
        <v>0.24774170000000001</v>
      </c>
      <c r="T7100">
        <v>-0.31270419999999999</v>
      </c>
      <c r="U7100">
        <v>3.0126650000000001</v>
      </c>
      <c r="V7100">
        <v>-1.108787E-2</v>
      </c>
      <c r="W7100">
        <v>4.2875320000000001E-3</v>
      </c>
      <c r="X7100">
        <v>0.99992930000000002</v>
      </c>
      <c r="Y7100">
        <v>-0.12649859999999999</v>
      </c>
      <c r="Z7100">
        <v>-9.932589E-2</v>
      </c>
      <c r="AA7100">
        <v>0.98698149999999996</v>
      </c>
      <c r="AB7100">
        <v>42</v>
      </c>
      <c r="AC7100">
        <v>0.80090000000001205</v>
      </c>
      <c r="AD7100">
        <v>-1.1144318745620001</v>
      </c>
      <c r="AE7100">
        <v>10.339442</v>
      </c>
      <c r="AF7100">
        <v>-1.34088186896136</v>
      </c>
      <c r="AG7100">
        <v>-1.1144318745620001</v>
      </c>
      <c r="AH7100">
        <v>10.1639556673172</v>
      </c>
      <c r="AI7100">
        <v>96.203898817985305</v>
      </c>
      <c r="AJ7100">
        <v>97.515357871181706</v>
      </c>
      <c r="AK7100">
        <v>10.3124156916184</v>
      </c>
      <c r="AL7100">
        <v>89.754341750468996</v>
      </c>
      <c r="AM7100">
        <v>90.6353070349452</v>
      </c>
      <c r="AN7100">
        <v>0.99999996439513805</v>
      </c>
    </row>
    <row r="7101" spans="1:40" x14ac:dyDescent="0.25">
      <c r="A7101" t="str">
        <f>"20190312154435099"</f>
        <v>20190312154435099</v>
      </c>
      <c r="B7101" t="str">
        <f>"1552376675094013"</f>
        <v>1552376675094013</v>
      </c>
      <c r="C7101" t="s">
        <v>40</v>
      </c>
      <c r="D7101">
        <v>5.3762470000000002</v>
      </c>
      <c r="E7101">
        <v>0.45584540000000001</v>
      </c>
      <c r="F7101" t="s">
        <v>43</v>
      </c>
      <c r="G7101">
        <v>-187.78620000000001</v>
      </c>
      <c r="H7101" s="1">
        <v>-4.0084600000000004E-6</v>
      </c>
      <c r="I7101">
        <v>-1.9387650000000001</v>
      </c>
      <c r="J7101">
        <v>-188.5112</v>
      </c>
      <c r="K7101">
        <v>1.1148209999999901</v>
      </c>
      <c r="L7101">
        <v>-12.200469999999999</v>
      </c>
      <c r="M7101">
        <v>0.20063639999999999</v>
      </c>
      <c r="N7101">
        <v>0</v>
      </c>
      <c r="O7101">
        <v>0.9796551</v>
      </c>
      <c r="P7101">
        <v>0.18902089999999999</v>
      </c>
      <c r="Q7101">
        <v>-1.1117849999999999E-3</v>
      </c>
      <c r="R7101">
        <v>0.98197250000000003</v>
      </c>
      <c r="S7101">
        <v>0.22729489999999999</v>
      </c>
      <c r="T7101">
        <v>-0.31536639999999999</v>
      </c>
      <c r="U7101">
        <v>3.0139469999999999</v>
      </c>
      <c r="V7101">
        <v>-1.1895609999999999E-2</v>
      </c>
      <c r="W7101">
        <v>3.2895189999999999E-3</v>
      </c>
      <c r="X7101">
        <v>0.99992380000000003</v>
      </c>
      <c r="Y7101">
        <v>-0.1267818</v>
      </c>
      <c r="Z7101">
        <v>-0.1003482</v>
      </c>
      <c r="AA7101">
        <v>0.98684170000000004</v>
      </c>
      <c r="AB7101">
        <v>42</v>
      </c>
      <c r="AC7101">
        <v>0.72499999999999398</v>
      </c>
      <c r="AD7101">
        <v>-1.11482500845999</v>
      </c>
      <c r="AE7101">
        <v>10.261704999999999</v>
      </c>
      <c r="AF7101">
        <v>-1.3329813237463</v>
      </c>
      <c r="AG7101">
        <v>-1.11482500845999</v>
      </c>
      <c r="AH7101">
        <v>10.0801198962931</v>
      </c>
      <c r="AI7101">
        <v>96.257025450084498</v>
      </c>
      <c r="AJ7101">
        <v>97.533008689207506</v>
      </c>
      <c r="AK7101">
        <v>10.2288069261565</v>
      </c>
      <c r="AL7101">
        <v>89.811524098374704</v>
      </c>
      <c r="AM7101">
        <v>90.681588034011497</v>
      </c>
      <c r="AN7101">
        <v>0.99999996613948094</v>
      </c>
    </row>
    <row r="7102" spans="1:40" x14ac:dyDescent="0.25">
      <c r="A7102" t="str">
        <f>"20190312154435121"</f>
        <v>20190312154435121</v>
      </c>
      <c r="B7102" t="str">
        <f>"1552376675114509"</f>
        <v>1552376675114509</v>
      </c>
      <c r="C7102" t="s">
        <v>40</v>
      </c>
      <c r="D7102">
        <v>5.4057829999999996</v>
      </c>
      <c r="E7102">
        <v>0.45520699999999997</v>
      </c>
      <c r="F7102" t="s">
        <v>43</v>
      </c>
      <c r="G7102">
        <v>-187.78970000000001</v>
      </c>
      <c r="H7102" s="1">
        <v>-4.1111579999999998E-6</v>
      </c>
      <c r="I7102">
        <v>-1.697946</v>
      </c>
      <c r="J7102">
        <v>-188.43279999999999</v>
      </c>
      <c r="K7102">
        <v>1.115219</v>
      </c>
      <c r="L7102">
        <v>-11.79636</v>
      </c>
      <c r="M7102">
        <v>0.19378239999999999</v>
      </c>
      <c r="N7102">
        <v>0</v>
      </c>
      <c r="O7102">
        <v>0.9810335</v>
      </c>
      <c r="P7102">
        <v>0.18168239999999999</v>
      </c>
      <c r="Q7102">
        <v>-3.267491E-3</v>
      </c>
      <c r="R7102">
        <v>0.9833518</v>
      </c>
      <c r="S7102">
        <v>0.2071228</v>
      </c>
      <c r="T7102">
        <v>-0.32001940000000001</v>
      </c>
      <c r="U7102">
        <v>3.0148320000000002</v>
      </c>
      <c r="V7102">
        <v>-1.2341E-2</v>
      </c>
      <c r="W7102">
        <v>1.185719E-3</v>
      </c>
      <c r="X7102">
        <v>0.99992320000000001</v>
      </c>
      <c r="Y7102">
        <v>-0.12644849999999999</v>
      </c>
      <c r="Z7102">
        <v>-0.10202550000000001</v>
      </c>
      <c r="AA7102">
        <v>0.98671249999999999</v>
      </c>
      <c r="AB7102">
        <v>42</v>
      </c>
      <c r="AC7102">
        <v>0.64309999999997502</v>
      </c>
      <c r="AD7102">
        <v>-1.115223111158</v>
      </c>
      <c r="AE7102">
        <v>10.098414</v>
      </c>
      <c r="AF7102">
        <v>-1.31009326237065</v>
      </c>
      <c r="AG7102">
        <v>-1.115223111158</v>
      </c>
      <c r="AH7102">
        <v>9.9112235299773808</v>
      </c>
      <c r="AI7102">
        <v>96.365082978234696</v>
      </c>
      <c r="AJ7102">
        <v>97.529864294910993</v>
      </c>
      <c r="AK7102">
        <v>10.0594442592494</v>
      </c>
      <c r="AL7102">
        <v>89.932063293500605</v>
      </c>
      <c r="AM7102">
        <v>90.707105621921997</v>
      </c>
      <c r="AN7102">
        <v>1.00000005605439</v>
      </c>
    </row>
    <row r="7103" spans="1:40" x14ac:dyDescent="0.25">
      <c r="A7103" t="str">
        <f>"20190312154435143"</f>
        <v>20190312154435143</v>
      </c>
      <c r="B7103" t="str">
        <f>"1552376675134029"</f>
        <v>1552376675134029</v>
      </c>
      <c r="C7103" t="s">
        <v>40</v>
      </c>
      <c r="D7103">
        <v>5.3980379999999997</v>
      </c>
      <c r="E7103">
        <v>0.42634040000000001</v>
      </c>
      <c r="F7103" t="s">
        <v>43</v>
      </c>
      <c r="G7103">
        <v>-187.816</v>
      </c>
      <c r="H7103" s="1">
        <v>-4.2259280000000004E-6</v>
      </c>
      <c r="I7103">
        <v>-1.419537</v>
      </c>
      <c r="J7103">
        <v>-188.3563</v>
      </c>
      <c r="K7103">
        <v>1.11561</v>
      </c>
      <c r="L7103">
        <v>-11.386290000000001</v>
      </c>
      <c r="M7103">
        <v>0.18655930000000001</v>
      </c>
      <c r="N7103">
        <v>0</v>
      </c>
      <c r="O7103">
        <v>0.98243230000000004</v>
      </c>
      <c r="P7103">
        <v>0.17419770000000001</v>
      </c>
      <c r="Q7103">
        <v>-5.2288780000000002E-3</v>
      </c>
      <c r="R7103">
        <v>0.98469680000000004</v>
      </c>
      <c r="S7103">
        <v>0.17932129999999999</v>
      </c>
      <c r="T7103">
        <v>-0.32420169999999998</v>
      </c>
      <c r="U7103">
        <v>3.0166019999999998</v>
      </c>
      <c r="V7103">
        <v>-1.255652E-2</v>
      </c>
      <c r="W7103">
        <v>-7.1748769999999996E-4</v>
      </c>
      <c r="X7103">
        <v>0.9999209</v>
      </c>
      <c r="Y7103">
        <v>-0.12825449999999999</v>
      </c>
      <c r="Z7103">
        <v>-0.10352359999999999</v>
      </c>
      <c r="AA7103">
        <v>0.98632330000000001</v>
      </c>
      <c r="AB7103">
        <v>42</v>
      </c>
      <c r="AC7103">
        <v>0.54030000000002998</v>
      </c>
      <c r="AD7103">
        <v>-1.115614225928</v>
      </c>
      <c r="AE7103">
        <v>9.9667530000000006</v>
      </c>
      <c r="AF7103">
        <v>-1.31220457430461</v>
      </c>
      <c r="AG7103">
        <v>-1.115614225928</v>
      </c>
      <c r="AH7103">
        <v>9.7705116249841595</v>
      </c>
      <c r="AI7103">
        <v>96.456450594754699</v>
      </c>
      <c r="AJ7103">
        <v>97.649198159885998</v>
      </c>
      <c r="AK7103">
        <v>9.9211578638720095</v>
      </c>
      <c r="AL7103">
        <v>90.041109020851806</v>
      </c>
      <c r="AM7103">
        <v>90.719454697608896</v>
      </c>
      <c r="AN7103">
        <v>0.99999999361995995</v>
      </c>
    </row>
    <row r="7104" spans="1:40" x14ac:dyDescent="0.25">
      <c r="A7104" t="str">
        <f>"20190312154435166"</f>
        <v>20190312154435166</v>
      </c>
      <c r="B7104" t="str">
        <f>"1552376675154525"</f>
        <v>1552376675154525</v>
      </c>
      <c r="C7104" t="s">
        <v>40</v>
      </c>
      <c r="D7104">
        <v>5.3273449999999896</v>
      </c>
      <c r="E7104">
        <v>0.42793829999999999</v>
      </c>
      <c r="F7104" t="s">
        <v>43</v>
      </c>
      <c r="G7104">
        <v>-188.67410000000001</v>
      </c>
      <c r="H7104" s="1">
        <v>-1.81912E-6</v>
      </c>
      <c r="I7104">
        <v>3.3249610000000001</v>
      </c>
      <c r="J7104">
        <v>-188.28149999999999</v>
      </c>
      <c r="K7104">
        <v>1.1159939999999999</v>
      </c>
      <c r="L7104">
        <v>-10.96777</v>
      </c>
      <c r="M7104">
        <v>0.1789277</v>
      </c>
      <c r="N7104">
        <v>0</v>
      </c>
      <c r="O7104">
        <v>0.98385049999999996</v>
      </c>
      <c r="P7104">
        <v>0.16704069999999999</v>
      </c>
      <c r="Q7104">
        <v>-5.6844309999999898E-3</v>
      </c>
      <c r="R7104">
        <v>0.98593359999999997</v>
      </c>
      <c r="S7104">
        <v>-6.6040039999999994E-2</v>
      </c>
      <c r="T7104">
        <v>-0.23182939999999999</v>
      </c>
      <c r="U7104">
        <v>3.0570680000000001</v>
      </c>
      <c r="V7104">
        <v>-1.2050160000000001E-2</v>
      </c>
      <c r="W7104">
        <v>-1.0988720000000001E-3</v>
      </c>
      <c r="X7104">
        <v>0.9999268</v>
      </c>
      <c r="Y7104">
        <v>-0.2000731</v>
      </c>
      <c r="Z7104">
        <v>-7.3013750000000002E-2</v>
      </c>
      <c r="AA7104">
        <v>0.9770567</v>
      </c>
      <c r="AB7104">
        <v>42</v>
      </c>
      <c r="AC7104">
        <v>-0.39260000000001499</v>
      </c>
      <c r="AD7104">
        <v>-1.1159958191199999</v>
      </c>
      <c r="AE7104">
        <v>14.292731</v>
      </c>
      <c r="AF7104">
        <v>-2.9258346668755602</v>
      </c>
      <c r="AG7104">
        <v>-1.1159958191199999</v>
      </c>
      <c r="AH7104">
        <v>13.907101460473299</v>
      </c>
      <c r="AI7104">
        <v>94.490075211617494</v>
      </c>
      <c r="AJ7104">
        <v>101.88086175076801</v>
      </c>
      <c r="AK7104">
        <v>14.255294672439501</v>
      </c>
      <c r="AL7104">
        <v>90.062960739890599</v>
      </c>
      <c r="AM7104">
        <v>90.690440430764994</v>
      </c>
      <c r="AN7104">
        <v>1.0000000096169599</v>
      </c>
    </row>
    <row r="7105" spans="1:40" x14ac:dyDescent="0.25">
      <c r="A7105" t="str">
        <f>"20190312154435188"</f>
        <v>20190312154435188</v>
      </c>
      <c r="B7105" t="str">
        <f>"1552376675184782"</f>
        <v>1552376675184782</v>
      </c>
      <c r="C7105" t="s">
        <v>40</v>
      </c>
      <c r="D7105">
        <v>5.3179299999999996</v>
      </c>
      <c r="E7105">
        <v>0.43007319999999999</v>
      </c>
      <c r="F7105" t="s">
        <v>43</v>
      </c>
      <c r="G7105">
        <v>-188.6558</v>
      </c>
      <c r="H7105" s="1">
        <v>-2.2030369999999999E-6</v>
      </c>
      <c r="I7105">
        <v>4.2123179999999998</v>
      </c>
      <c r="J7105">
        <v>-188.21119999999999</v>
      </c>
      <c r="K7105">
        <v>1.1163620000000001</v>
      </c>
      <c r="L7105">
        <v>-10.555999999999999</v>
      </c>
      <c r="M7105">
        <v>0.17117199999999999</v>
      </c>
      <c r="N7105">
        <v>0</v>
      </c>
      <c r="O7105">
        <v>0.98522909999999997</v>
      </c>
      <c r="P7105">
        <v>0.16085869999999999</v>
      </c>
      <c r="Q7105">
        <v>-5.1136580000000001E-3</v>
      </c>
      <c r="R7105">
        <v>0.98696419999999996</v>
      </c>
      <c r="S7105">
        <v>-7.5317380000000003E-2</v>
      </c>
      <c r="T7105">
        <v>-0.2245404</v>
      </c>
      <c r="U7105">
        <v>3.0542600000000002</v>
      </c>
      <c r="V7105">
        <v>-1.045191E-2</v>
      </c>
      <c r="W7105">
        <v>-4.3269439999999999E-4</v>
      </c>
      <c r="X7105">
        <v>0.99994530000000004</v>
      </c>
      <c r="Y7105">
        <v>-0.19534290000000001</v>
      </c>
      <c r="Z7105">
        <v>-7.0979159999999999E-2</v>
      </c>
      <c r="AA7105">
        <v>0.97816309999999995</v>
      </c>
      <c r="AB7105">
        <v>42</v>
      </c>
      <c r="AC7105">
        <v>-0.44460000000000799</v>
      </c>
      <c r="AD7105">
        <v>-1.116364203037</v>
      </c>
      <c r="AE7105">
        <v>14.768318000000001</v>
      </c>
      <c r="AF7105">
        <v>-2.94915405735575</v>
      </c>
      <c r="AG7105">
        <v>-1.116364203037</v>
      </c>
      <c r="AH7105">
        <v>14.392081897033201</v>
      </c>
      <c r="AI7105">
        <v>94.345495121310805</v>
      </c>
      <c r="AJ7105">
        <v>101.580454693764</v>
      </c>
      <c r="AK7105">
        <v>14.733492458298899</v>
      </c>
      <c r="AL7105">
        <v>90.0247915633079</v>
      </c>
      <c r="AM7105">
        <v>90.598861280986</v>
      </c>
      <c r="AN7105">
        <v>1.0000000163195899</v>
      </c>
    </row>
    <row r="7106" spans="1:40" x14ac:dyDescent="0.25">
      <c r="A7106" t="str">
        <f>"20190312154435211"</f>
        <v>20190312154435211</v>
      </c>
      <c r="B7106" t="str">
        <f>"1552376675204301"</f>
        <v>1552376675204301</v>
      </c>
      <c r="C7106" t="s">
        <v>40</v>
      </c>
      <c r="D7106">
        <v>5.2917120000000004</v>
      </c>
      <c r="E7106">
        <v>0.43140830000000002</v>
      </c>
      <c r="F7106" t="s">
        <v>43</v>
      </c>
      <c r="G7106">
        <v>-188.58949999999999</v>
      </c>
      <c r="H7106" s="1">
        <v>-2.2466400000000001E-6</v>
      </c>
      <c r="I7106">
        <v>4.2865440000000001</v>
      </c>
      <c r="J7106">
        <v>-188.14400000000001</v>
      </c>
      <c r="K7106">
        <v>1.116708</v>
      </c>
      <c r="L7106">
        <v>-10.14038</v>
      </c>
      <c r="M7106">
        <v>0.16310050000000001</v>
      </c>
      <c r="N7106">
        <v>0</v>
      </c>
      <c r="O7106">
        <v>0.98659699999999995</v>
      </c>
      <c r="P7106">
        <v>0.1547405</v>
      </c>
      <c r="Q7106">
        <v>-4.9791999999999996E-3</v>
      </c>
      <c r="R7106">
        <v>0.9879426</v>
      </c>
      <c r="S7106">
        <v>-7.7758789999999994E-2</v>
      </c>
      <c r="T7106">
        <v>-0.2294862</v>
      </c>
      <c r="U7106">
        <v>3.0511170000000001</v>
      </c>
      <c r="V7106">
        <v>-8.4654900000000009E-3</v>
      </c>
      <c r="W7106">
        <v>-1.918418E-4</v>
      </c>
      <c r="X7106">
        <v>0.99996419999999997</v>
      </c>
      <c r="Y7106">
        <v>-0.1881128</v>
      </c>
      <c r="Z7106">
        <v>-7.2814379999999998E-2</v>
      </c>
      <c r="AA7106">
        <v>0.9794446</v>
      </c>
      <c r="AB7106">
        <v>43</v>
      </c>
      <c r="AC7106">
        <v>-0.44549999999998102</v>
      </c>
      <c r="AD7106">
        <v>-1.1167102466399901</v>
      </c>
      <c r="AE7106">
        <v>14.426924</v>
      </c>
      <c r="AF7106">
        <v>-2.7759854182869401</v>
      </c>
      <c r="AG7106">
        <v>-1.1167102466399901</v>
      </c>
      <c r="AH7106">
        <v>14.0768122761237</v>
      </c>
      <c r="AI7106">
        <v>94.450405881539794</v>
      </c>
      <c r="AJ7106">
        <v>101.155740898259</v>
      </c>
      <c r="AK7106">
        <v>14.391309206417599</v>
      </c>
      <c r="AL7106">
        <v>90.0109917249777</v>
      </c>
      <c r="AM7106">
        <v>90.485042626060306</v>
      </c>
      <c r="AN7106">
        <v>1.0000000513029199</v>
      </c>
    </row>
    <row r="7107" spans="1:40" x14ac:dyDescent="0.25">
      <c r="A7107" t="str">
        <f>"20190312154435233"</f>
        <v>20190312154435233</v>
      </c>
      <c r="B7107" t="str">
        <f>"1552376675224799"</f>
        <v>1552376675224799</v>
      </c>
      <c r="C7107" t="s">
        <v>40</v>
      </c>
      <c r="D7107">
        <v>5.3293019999999904</v>
      </c>
      <c r="E7107">
        <v>0.43249929999999998</v>
      </c>
      <c r="F7107" t="s">
        <v>43</v>
      </c>
      <c r="G7107">
        <v>-188.5761</v>
      </c>
      <c r="H7107" s="1">
        <v>-2.6069259999999998E-6</v>
      </c>
      <c r="I7107">
        <v>5.1208169999999997</v>
      </c>
      <c r="J7107">
        <v>-188.07919999999999</v>
      </c>
      <c r="K7107">
        <v>1.1170359999999999</v>
      </c>
      <c r="L7107">
        <v>-9.7172850000000004</v>
      </c>
      <c r="M7107">
        <v>0.1546892</v>
      </c>
      <c r="N7107">
        <v>0</v>
      </c>
      <c r="O7107">
        <v>0.98795040000000001</v>
      </c>
      <c r="P7107">
        <v>0.1489531</v>
      </c>
      <c r="Q7107">
        <v>-5.6687969999999997E-3</v>
      </c>
      <c r="R7107">
        <v>0.98882800000000004</v>
      </c>
      <c r="S7107">
        <v>-8.6318969999999995E-2</v>
      </c>
      <c r="T7107">
        <v>-0.22310579999999999</v>
      </c>
      <c r="U7107">
        <v>3.0490110000000001</v>
      </c>
      <c r="V7107">
        <v>-5.7885940000000002E-3</v>
      </c>
      <c r="W7107">
        <v>-7.5929929999999995E-4</v>
      </c>
      <c r="X7107">
        <v>0.99998299999999996</v>
      </c>
      <c r="Y7107">
        <v>-0.1825119</v>
      </c>
      <c r="Z7107">
        <v>-7.103334E-2</v>
      </c>
      <c r="AA7107">
        <v>0.98063429999999996</v>
      </c>
      <c r="AB7107">
        <v>43</v>
      </c>
      <c r="AC7107">
        <v>-0.49690000000001</v>
      </c>
      <c r="AD7107">
        <v>-1.1170386069259901</v>
      </c>
      <c r="AE7107">
        <v>14.838101999999999</v>
      </c>
      <c r="AF7107">
        <v>-2.7705577520643798</v>
      </c>
      <c r="AG7107">
        <v>-1.1170386069259901</v>
      </c>
      <c r="AH7107">
        <v>14.500540401842599</v>
      </c>
      <c r="AI7107">
        <v>94.327069965409294</v>
      </c>
      <c r="AJ7107">
        <v>100.81689524825499</v>
      </c>
      <c r="AK7107">
        <v>14.805047701792599</v>
      </c>
      <c r="AL7107">
        <v>90.043504647616302</v>
      </c>
      <c r="AM7107">
        <v>90.331663939326603</v>
      </c>
      <c r="AN7107">
        <v>1.00000004232246</v>
      </c>
    </row>
    <row r="7108" spans="1:40" x14ac:dyDescent="0.25">
      <c r="A7108" t="str">
        <f>"20190312154435257"</f>
        <v>20190312154435257</v>
      </c>
      <c r="B7108" t="str">
        <f>"1552376675244317"</f>
        <v>1552376675244317</v>
      </c>
      <c r="C7108" t="s">
        <v>40</v>
      </c>
      <c r="D7108">
        <v>5.3218399999999999</v>
      </c>
      <c r="E7108">
        <v>0.43351099999999998</v>
      </c>
      <c r="F7108" t="s">
        <v>43</v>
      </c>
      <c r="G7108">
        <v>-188.56280000000001</v>
      </c>
      <c r="H7108" s="1">
        <v>-2.8452450000000001E-6</v>
      </c>
      <c r="I7108">
        <v>5.6708629999999998</v>
      </c>
      <c r="J7108">
        <v>-188.0153</v>
      </c>
      <c r="K7108">
        <v>1.117346</v>
      </c>
      <c r="L7108">
        <v>-9.2746279999999999</v>
      </c>
      <c r="M7108">
        <v>0.14570179999999999</v>
      </c>
      <c r="N7108">
        <v>0</v>
      </c>
      <c r="O7108">
        <v>0.98931539999999996</v>
      </c>
      <c r="P7108">
        <v>0.1419426</v>
      </c>
      <c r="Q7108">
        <v>-5.0486189999999998E-3</v>
      </c>
      <c r="R7108">
        <v>0.98986200000000002</v>
      </c>
      <c r="S7108">
        <v>-9.5764160000000001E-2</v>
      </c>
      <c r="T7108">
        <v>-0.22118850000000001</v>
      </c>
      <c r="U7108">
        <v>3.0470579999999998</v>
      </c>
      <c r="V7108">
        <v>-3.7992550000000001E-3</v>
      </c>
      <c r="W7108" s="1">
        <v>-2.7670770000000001E-5</v>
      </c>
      <c r="X7108">
        <v>0.99999280000000002</v>
      </c>
      <c r="Y7108">
        <v>-0.17662710000000001</v>
      </c>
      <c r="Z7108">
        <v>-7.0654819999999993E-2</v>
      </c>
      <c r="AA7108">
        <v>0.98173860000000002</v>
      </c>
      <c r="AB7108">
        <v>43</v>
      </c>
      <c r="AC7108">
        <v>-0.54750000000001298</v>
      </c>
      <c r="AD7108">
        <v>-1.117348845245</v>
      </c>
      <c r="AE7108">
        <v>14.945491000000001</v>
      </c>
      <c r="AF7108">
        <v>-2.7041763179153202</v>
      </c>
      <c r="AG7108">
        <v>-1.117348845245</v>
      </c>
      <c r="AH7108">
        <v>14.6245923926981</v>
      </c>
      <c r="AI7108">
        <v>94.296475306637802</v>
      </c>
      <c r="AJ7108">
        <v>100.476015926055</v>
      </c>
      <c r="AK7108">
        <v>14.9144138554925</v>
      </c>
      <c r="AL7108">
        <v>90.001585418309205</v>
      </c>
      <c r="AM7108">
        <v>90.217681796735107</v>
      </c>
      <c r="AN7108">
        <v>1.0000000175780299</v>
      </c>
    </row>
    <row r="7109" spans="1:40" x14ac:dyDescent="0.25">
      <c r="A7109" t="str">
        <f>"20190312154435279"</f>
        <v>20190312154435279</v>
      </c>
      <c r="B7109" t="str">
        <f>"1552376675264814"</f>
        <v>1552376675264814</v>
      </c>
      <c r="C7109" t="s">
        <v>40</v>
      </c>
      <c r="D7109">
        <v>5.2921269999999998</v>
      </c>
      <c r="E7109">
        <v>0.43434889999999998</v>
      </c>
      <c r="F7109" t="s">
        <v>43</v>
      </c>
      <c r="G7109">
        <v>-188.58170000000001</v>
      </c>
      <c r="H7109" s="1">
        <v>-3.1685919999999998E-6</v>
      </c>
      <c r="I7109">
        <v>6.4323959999999998</v>
      </c>
      <c r="J7109">
        <v>-187.9579</v>
      </c>
      <c r="K7109">
        <v>1.1176219999999999</v>
      </c>
      <c r="L7109">
        <v>-8.8511959999999998</v>
      </c>
      <c r="M7109">
        <v>0.13694529999999999</v>
      </c>
      <c r="N7109">
        <v>0</v>
      </c>
      <c r="O7109">
        <v>0.99056509999999998</v>
      </c>
      <c r="P7109">
        <v>0.1357284</v>
      </c>
      <c r="Q7109">
        <v>-4.2044459999999997E-3</v>
      </c>
      <c r="R7109">
        <v>0.99073710000000004</v>
      </c>
      <c r="S7109">
        <v>-0.1098175</v>
      </c>
      <c r="T7109">
        <v>-0.2166389</v>
      </c>
      <c r="U7109">
        <v>3.0453800000000002</v>
      </c>
      <c r="V7109">
        <v>-1.250091E-3</v>
      </c>
      <c r="W7109">
        <v>9.3728690000000005E-4</v>
      </c>
      <c r="X7109">
        <v>0.99999879999999997</v>
      </c>
      <c r="Y7109">
        <v>-0.17246529999999999</v>
      </c>
      <c r="Z7109">
        <v>-6.9400530000000002E-2</v>
      </c>
      <c r="AA7109">
        <v>0.98256770000000004</v>
      </c>
      <c r="AB7109">
        <v>43</v>
      </c>
      <c r="AC7109">
        <v>-0.62380000000001701</v>
      </c>
      <c r="AD7109">
        <v>-1.11762516859199</v>
      </c>
      <c r="AE7109">
        <v>15.283592000000001</v>
      </c>
      <c r="AF7109">
        <v>-2.6965712597293998</v>
      </c>
      <c r="AG7109">
        <v>-1.11762516859199</v>
      </c>
      <c r="AH7109">
        <v>14.9742280444424</v>
      </c>
      <c r="AI7109">
        <v>94.201118822578593</v>
      </c>
      <c r="AJ7109">
        <v>100.208458959094</v>
      </c>
      <c r="AK7109">
        <v>15.256083642378</v>
      </c>
      <c r="AL7109">
        <v>89.946297409681307</v>
      </c>
      <c r="AM7109">
        <v>90.0716249869471</v>
      </c>
      <c r="AN7109">
        <v>1.0000000206178401</v>
      </c>
    </row>
    <row r="7110" spans="1:40" x14ac:dyDescent="0.25">
      <c r="A7110" t="str">
        <f>"20190312154435300"</f>
        <v>20190312154435300</v>
      </c>
      <c r="B7110" t="str">
        <f>"1552376675294093"</f>
        <v>1552376675294093</v>
      </c>
      <c r="C7110" t="s">
        <v>40</v>
      </c>
      <c r="D7110">
        <v>5.2893140000000001</v>
      </c>
      <c r="E7110">
        <v>0.43549189999999999</v>
      </c>
      <c r="F7110" t="s">
        <v>43</v>
      </c>
      <c r="G7110">
        <v>-188.60720000000001</v>
      </c>
      <c r="H7110" s="1">
        <v>-3.515629E-6</v>
      </c>
      <c r="I7110">
        <v>7.2519169999999997</v>
      </c>
      <c r="J7110">
        <v>-187.90549999999999</v>
      </c>
      <c r="K7110">
        <v>1.1178699999999999</v>
      </c>
      <c r="L7110">
        <v>-8.4378360000000008</v>
      </c>
      <c r="M7110">
        <v>0.1282683</v>
      </c>
      <c r="N7110">
        <v>0</v>
      </c>
      <c r="O7110">
        <v>0.99172570000000004</v>
      </c>
      <c r="P7110">
        <v>0.12901260000000001</v>
      </c>
      <c r="Q7110">
        <v>-4.3549189999999996E-3</v>
      </c>
      <c r="R7110">
        <v>0.9916334</v>
      </c>
      <c r="S7110">
        <v>-0.1227417</v>
      </c>
      <c r="T7110">
        <v>-0.21126510000000001</v>
      </c>
      <c r="U7110">
        <v>3.0439759999999998</v>
      </c>
      <c r="V7110">
        <v>7.2991339999999895E-4</v>
      </c>
      <c r="W7110">
        <v>8.9437160000000002E-4</v>
      </c>
      <c r="X7110">
        <v>0.99999930000000004</v>
      </c>
      <c r="Y7110">
        <v>-0.16802729999999999</v>
      </c>
      <c r="Z7110">
        <v>-6.7859929999999999E-2</v>
      </c>
      <c r="AA7110">
        <v>0.98344390000000004</v>
      </c>
      <c r="AB7110">
        <v>43</v>
      </c>
      <c r="AC7110">
        <v>-0.70170000000001598</v>
      </c>
      <c r="AD7110">
        <v>-1.1178735156290001</v>
      </c>
      <c r="AE7110">
        <v>15.689753</v>
      </c>
      <c r="AF7110">
        <v>-2.6947765749523498</v>
      </c>
      <c r="AG7110">
        <v>-1.1178735156290001</v>
      </c>
      <c r="AH7110">
        <v>15.392156910137</v>
      </c>
      <c r="AI7110">
        <v>94.091859844102004</v>
      </c>
      <c r="AJ7110">
        <v>99.930395818416898</v>
      </c>
      <c r="AK7110">
        <v>15.666204273279901</v>
      </c>
      <c r="AL7110">
        <v>89.948756273446904</v>
      </c>
      <c r="AM7110">
        <v>89.958179020922302</v>
      </c>
      <c r="AN7110">
        <v>0.99999996633730903</v>
      </c>
    </row>
    <row r="7111" spans="1:40" x14ac:dyDescent="0.25">
      <c r="A7111" t="str">
        <f>"20190312154435322"</f>
        <v>20190312154435322</v>
      </c>
      <c r="B7111" t="str">
        <f>"1552376675314591"</f>
        <v>1552376675314591</v>
      </c>
      <c r="C7111" t="s">
        <v>40</v>
      </c>
      <c r="D7111">
        <v>5.281415</v>
      </c>
      <c r="E7111">
        <v>0.43589280000000002</v>
      </c>
      <c r="F7111" t="s">
        <v>43</v>
      </c>
      <c r="G7111">
        <v>-188.62889999999999</v>
      </c>
      <c r="H7111" s="1">
        <v>-3.8024089999999998E-6</v>
      </c>
      <c r="I7111">
        <v>7.9293769999999997</v>
      </c>
      <c r="J7111">
        <v>-187.8562</v>
      </c>
      <c r="K7111">
        <v>1.1180890000000001</v>
      </c>
      <c r="L7111">
        <v>-8.0191960000000009</v>
      </c>
      <c r="M7111">
        <v>0.1193791</v>
      </c>
      <c r="N7111">
        <v>0</v>
      </c>
      <c r="O7111">
        <v>0.99283460000000001</v>
      </c>
      <c r="P7111">
        <v>0.1216691</v>
      </c>
      <c r="Q7111">
        <v>-4.9550050000000002E-3</v>
      </c>
      <c r="R7111">
        <v>0.99255839999999995</v>
      </c>
      <c r="S7111">
        <v>-0.13444519999999999</v>
      </c>
      <c r="T7111">
        <v>-0.20776059999999999</v>
      </c>
      <c r="U7111">
        <v>3.0419010000000002</v>
      </c>
      <c r="V7111">
        <v>2.2980919999999998E-3</v>
      </c>
      <c r="W7111">
        <v>3.908316E-4</v>
      </c>
      <c r="X7111">
        <v>0.99999729999999998</v>
      </c>
      <c r="Y7111">
        <v>-0.1630017</v>
      </c>
      <c r="Z7111">
        <v>-6.6921430000000004E-2</v>
      </c>
      <c r="AA7111">
        <v>0.98435360000000005</v>
      </c>
      <c r="AB7111">
        <v>43</v>
      </c>
      <c r="AC7111">
        <v>-0.77269999999998595</v>
      </c>
      <c r="AD7111">
        <v>-1.118092802409</v>
      </c>
      <c r="AE7111">
        <v>15.948573</v>
      </c>
      <c r="AF7111">
        <v>-2.6580935095373901</v>
      </c>
      <c r="AG7111">
        <v>-1.118092802409</v>
      </c>
      <c r="AH7111">
        <v>15.665458561170601</v>
      </c>
      <c r="AI7111">
        <v>94.025117377417899</v>
      </c>
      <c r="AJ7111">
        <v>99.6301482816082</v>
      </c>
      <c r="AK7111">
        <v>15.9286592201603</v>
      </c>
      <c r="AL7111">
        <v>89.977606998629994</v>
      </c>
      <c r="AM7111">
        <v>89.868328903750495</v>
      </c>
      <c r="AN7111">
        <v>1.00000001699173</v>
      </c>
    </row>
    <row r="7112" spans="1:40" x14ac:dyDescent="0.25">
      <c r="A7112" t="str">
        <f>"20190312154435344"</f>
        <v>20190312154435344</v>
      </c>
      <c r="B7112" t="str">
        <f>"1552376675334109"</f>
        <v>1552376675334109</v>
      </c>
      <c r="C7112" t="s">
        <v>40</v>
      </c>
      <c r="D7112">
        <v>5.278823</v>
      </c>
      <c r="E7112">
        <v>0.44463979999999997</v>
      </c>
      <c r="F7112" t="s">
        <v>43</v>
      </c>
      <c r="G7112">
        <v>-188.68020000000001</v>
      </c>
      <c r="H7112" s="1">
        <v>-3.9464750000000002E-6</v>
      </c>
      <c r="I7112">
        <v>8.2863869999999995</v>
      </c>
      <c r="J7112">
        <v>-187.8092</v>
      </c>
      <c r="K7112">
        <v>1.1182909999999999</v>
      </c>
      <c r="L7112">
        <v>-7.5885309999999997</v>
      </c>
      <c r="M7112">
        <v>0.11015560000000001</v>
      </c>
      <c r="N7112">
        <v>0</v>
      </c>
      <c r="O7112">
        <v>0.99389989999999995</v>
      </c>
      <c r="P7112">
        <v>0.1131844</v>
      </c>
      <c r="Q7112">
        <v>-5.6670389999999996E-3</v>
      </c>
      <c r="R7112">
        <v>0.99355789999999999</v>
      </c>
      <c r="S7112">
        <v>-0.15364069999999999</v>
      </c>
      <c r="T7112">
        <v>-0.20847579999999999</v>
      </c>
      <c r="U7112">
        <v>3.0402830000000001</v>
      </c>
      <c r="V7112">
        <v>3.0547719999999999E-3</v>
      </c>
      <c r="W7112">
        <v>-2.4456670000000001E-4</v>
      </c>
      <c r="X7112">
        <v>0.99999530000000003</v>
      </c>
      <c r="Y7112">
        <v>-0.16006339999999999</v>
      </c>
      <c r="Z7112">
        <v>-6.7301970000000003E-2</v>
      </c>
      <c r="AA7112">
        <v>0.98480970000000001</v>
      </c>
      <c r="AB7112">
        <v>43</v>
      </c>
      <c r="AC7112">
        <v>-0.87100000000000899</v>
      </c>
      <c r="AD7112">
        <v>-1.1182949464749901</v>
      </c>
      <c r="AE7112">
        <v>15.874917999999999</v>
      </c>
      <c r="AF7112">
        <v>-2.6015642941491</v>
      </c>
      <c r="AG7112">
        <v>-1.1182949464749901</v>
      </c>
      <c r="AH7112">
        <v>15.605152949828801</v>
      </c>
      <c r="AI7112">
        <v>94.043304084544801</v>
      </c>
      <c r="AJ7112">
        <v>99.464842380357695</v>
      </c>
      <c r="AK7112">
        <v>15.8599974448754</v>
      </c>
      <c r="AL7112">
        <v>90.014012639918903</v>
      </c>
      <c r="AM7112">
        <v>89.824974178830601</v>
      </c>
      <c r="AN7112">
        <v>0.99999999573346599</v>
      </c>
    </row>
    <row r="7113" spans="1:40" x14ac:dyDescent="0.25">
      <c r="A7113" t="str">
        <f>"20190312154435369"</f>
        <v>20190312154435369</v>
      </c>
      <c r="B7113" t="str">
        <f>"1552376675354605"</f>
        <v>1552376675354605</v>
      </c>
      <c r="C7113" t="s">
        <v>40</v>
      </c>
      <c r="D7113">
        <v>5.2963019999999998</v>
      </c>
      <c r="E7113">
        <v>0.4454958</v>
      </c>
      <c r="F7113" t="s">
        <v>43</v>
      </c>
      <c r="G7113">
        <v>-188.42959999999999</v>
      </c>
      <c r="H7113" s="1">
        <v>-4.5398360000000003E-6</v>
      </c>
      <c r="I7113">
        <v>9.5659089999999996</v>
      </c>
      <c r="J7113">
        <v>-187.76419999999999</v>
      </c>
      <c r="K7113">
        <v>1.1184829999999999</v>
      </c>
      <c r="L7113">
        <v>-7.1362300000000003</v>
      </c>
      <c r="M7113">
        <v>0.10041509999999999</v>
      </c>
      <c r="N7113">
        <v>0</v>
      </c>
      <c r="O7113">
        <v>0.99493089999999995</v>
      </c>
      <c r="P7113">
        <v>0.10422380000000001</v>
      </c>
      <c r="Q7113">
        <v>-5.110758E-3</v>
      </c>
      <c r="R7113">
        <v>0.9945408</v>
      </c>
      <c r="S7113">
        <v>-0.1096039</v>
      </c>
      <c r="T7113">
        <v>-0.1975789</v>
      </c>
      <c r="U7113">
        <v>3.0308229999999998</v>
      </c>
      <c r="V7113">
        <v>3.8203E-3</v>
      </c>
      <c r="W7113">
        <v>3.8749379999999999E-4</v>
      </c>
      <c r="X7113">
        <v>0.99999260000000001</v>
      </c>
      <c r="Y7113">
        <v>-0.13623179999999999</v>
      </c>
      <c r="Z7113">
        <v>-6.4234379999999994E-2</v>
      </c>
      <c r="AA7113">
        <v>0.98859240000000004</v>
      </c>
      <c r="AB7113">
        <v>43</v>
      </c>
      <c r="AC7113">
        <v>-0.66540000000000499</v>
      </c>
      <c r="AD7113">
        <v>-1.1184875398359999</v>
      </c>
      <c r="AE7113">
        <v>16.702138999999999</v>
      </c>
      <c r="AF7113">
        <v>-2.3287812937013901</v>
      </c>
      <c r="AG7113">
        <v>-1.1184875398359999</v>
      </c>
      <c r="AH7113">
        <v>16.477125280745501</v>
      </c>
      <c r="AI7113">
        <v>93.845251797699902</v>
      </c>
      <c r="AJ7113">
        <v>98.044571058046998</v>
      </c>
      <c r="AK7113">
        <v>16.678426011109199</v>
      </c>
      <c r="AL7113">
        <v>89.977798239505205</v>
      </c>
      <c r="AM7113">
        <v>89.781112378627299</v>
      </c>
      <c r="AN7113">
        <v>0.99999997244914696</v>
      </c>
    </row>
    <row r="7114" spans="1:40" x14ac:dyDescent="0.25">
      <c r="A7114" t="str">
        <f>"20190312154435390"</f>
        <v>20190312154435390</v>
      </c>
      <c r="B7114" t="str">
        <f>"1552376675384861"</f>
        <v>1552376675384861</v>
      </c>
      <c r="C7114" t="s">
        <v>40</v>
      </c>
      <c r="D7114">
        <v>5.248316</v>
      </c>
      <c r="E7114">
        <v>0.44736330000000002</v>
      </c>
      <c r="F7114" t="s">
        <v>43</v>
      </c>
      <c r="G7114">
        <v>-188.50829999999999</v>
      </c>
      <c r="H7114" s="1">
        <v>-5.5234359999999996E-7</v>
      </c>
      <c r="I7114">
        <v>10.10482</v>
      </c>
      <c r="J7114">
        <v>-187.72540000000001</v>
      </c>
      <c r="K7114">
        <v>1.118635</v>
      </c>
      <c r="L7114">
        <v>-6.7026059999999896</v>
      </c>
      <c r="M7114">
        <v>9.1065199999999999E-2</v>
      </c>
      <c r="N7114">
        <v>0</v>
      </c>
      <c r="O7114">
        <v>0.99582999999999999</v>
      </c>
      <c r="P7114">
        <v>9.4977300000000001E-2</v>
      </c>
      <c r="Q7114">
        <v>-2.816912E-3</v>
      </c>
      <c r="R7114">
        <v>0.99547549999999996</v>
      </c>
      <c r="S7114">
        <v>-0.1307373</v>
      </c>
      <c r="T7114">
        <v>-0.19651060000000001</v>
      </c>
      <c r="U7114">
        <v>3.0291440000000001</v>
      </c>
      <c r="V7114">
        <v>3.8616229999999998E-3</v>
      </c>
      <c r="W7114">
        <v>2.7335290000000002E-3</v>
      </c>
      <c r="X7114">
        <v>0.99998880000000001</v>
      </c>
      <c r="Y7114">
        <v>-0.1338327</v>
      </c>
      <c r="Z7114">
        <v>-6.4012749999999993E-2</v>
      </c>
      <c r="AA7114">
        <v>0.98893430000000004</v>
      </c>
      <c r="AB7114">
        <v>44</v>
      </c>
      <c r="AC7114">
        <v>-0.78289999999998305</v>
      </c>
      <c r="AD7114">
        <v>-1.1186355523436</v>
      </c>
      <c r="AE7114">
        <v>16.807426</v>
      </c>
      <c r="AF7114">
        <v>-2.30007467757095</v>
      </c>
      <c r="AG7114">
        <v>-1.1186355523436</v>
      </c>
      <c r="AH7114">
        <v>16.592949184877298</v>
      </c>
      <c r="AI7114">
        <v>93.820414601481204</v>
      </c>
      <c r="AJ7114">
        <v>97.891912205959002</v>
      </c>
      <c r="AK7114">
        <v>16.788914547203099</v>
      </c>
      <c r="AL7114">
        <v>89.8433801288556</v>
      </c>
      <c r="AM7114">
        <v>89.778743921769106</v>
      </c>
      <c r="AN7114">
        <v>0.99999999221921398</v>
      </c>
    </row>
    <row r="7115" spans="1:40" x14ac:dyDescent="0.25">
      <c r="A7115" t="str">
        <f>"20190312154435413"</f>
        <v>20190312154435413</v>
      </c>
      <c r="B7115" t="str">
        <f>"1552376675404381"</f>
        <v>1552376675404381</v>
      </c>
      <c r="C7115" t="s">
        <v>40</v>
      </c>
      <c r="D7115">
        <v>5.2837529999999999</v>
      </c>
      <c r="E7115">
        <v>0.45282749999999999</v>
      </c>
      <c r="F7115" t="s">
        <v>43</v>
      </c>
      <c r="G7115">
        <v>-188.5462</v>
      </c>
      <c r="H7115" s="1">
        <v>-6.7025559999999899E-7</v>
      </c>
      <c r="I7115">
        <v>10.48096</v>
      </c>
      <c r="J7115">
        <v>-187.691</v>
      </c>
      <c r="K7115">
        <v>1.1187670000000001</v>
      </c>
      <c r="L7115">
        <v>-6.275055</v>
      </c>
      <c r="M7115">
        <v>8.1857929999999995E-2</v>
      </c>
      <c r="N7115">
        <v>0</v>
      </c>
      <c r="O7115">
        <v>0.99662879999999998</v>
      </c>
      <c r="P7115">
        <v>8.4612850000000003E-2</v>
      </c>
      <c r="Q7115">
        <v>-1.281251E-3</v>
      </c>
      <c r="R7115">
        <v>0.99641310000000005</v>
      </c>
      <c r="S7115">
        <v>-0.14459229999999901</v>
      </c>
      <c r="T7115">
        <v>-0.1970478</v>
      </c>
      <c r="U7115">
        <v>3.0268860000000002</v>
      </c>
      <c r="V7115">
        <v>2.6566599999999999E-3</v>
      </c>
      <c r="W7115">
        <v>4.2870549999999997E-3</v>
      </c>
      <c r="X7115">
        <v>0.99998730000000002</v>
      </c>
      <c r="Y7115">
        <v>-0.1292208</v>
      </c>
      <c r="Z7115">
        <v>-6.43257E-2</v>
      </c>
      <c r="AA7115">
        <v>0.98952720000000005</v>
      </c>
      <c r="AB7115">
        <v>44</v>
      </c>
      <c r="AC7115">
        <v>-0.85520000000002405</v>
      </c>
      <c r="AD7115">
        <v>-1.1187676702556</v>
      </c>
      <c r="AE7115">
        <v>16.756014999999898</v>
      </c>
      <c r="AF7115">
        <v>-2.2141185059594402</v>
      </c>
      <c r="AG7115">
        <v>-1.1187676702556</v>
      </c>
      <c r="AH7115">
        <v>16.556158981384002</v>
      </c>
      <c r="AI7115">
        <v>93.831823450166794</v>
      </c>
      <c r="AJ7115">
        <v>97.617187984355397</v>
      </c>
      <c r="AK7115">
        <v>16.740978528010299</v>
      </c>
      <c r="AL7115">
        <v>89.754369094078797</v>
      </c>
      <c r="AM7115">
        <v>89.847783019354793</v>
      </c>
      <c r="AN7115">
        <v>1.0000000184221001</v>
      </c>
    </row>
    <row r="7116" spans="1:40" x14ac:dyDescent="0.25">
      <c r="A7116" t="str">
        <f>"20190312154435438"</f>
        <v>20190312154435438</v>
      </c>
      <c r="B7116" t="str">
        <f>"1552376675424877"</f>
        <v>1552376675424877</v>
      </c>
      <c r="C7116" t="s">
        <v>40</v>
      </c>
      <c r="D7116">
        <v>5.2765950000000004</v>
      </c>
      <c r="E7116">
        <v>0.4532175</v>
      </c>
      <c r="F7116" t="s">
        <v>43</v>
      </c>
      <c r="G7116">
        <v>-188.3947</v>
      </c>
      <c r="H7116" s="1">
        <v>-4.277169E-7</v>
      </c>
      <c r="I7116">
        <v>9.6498279999999994</v>
      </c>
      <c r="J7116">
        <v>-187.65610000000001</v>
      </c>
      <c r="K7116">
        <v>1.118873</v>
      </c>
      <c r="L7116">
        <v>-5.7826230000000001</v>
      </c>
      <c r="M7116">
        <v>7.132674E-2</v>
      </c>
      <c r="N7116">
        <v>0</v>
      </c>
      <c r="O7116">
        <v>0.99743760000000004</v>
      </c>
      <c r="P7116">
        <v>7.2117070000000005E-2</v>
      </c>
      <c r="Q7116" s="1">
        <v>-8.0000609999999998E-6</v>
      </c>
      <c r="R7116">
        <v>0.99739619999999996</v>
      </c>
      <c r="S7116">
        <v>-0.13354489999999999</v>
      </c>
      <c r="T7116">
        <v>-0.21229339999999999</v>
      </c>
      <c r="U7116">
        <v>3.0218509999999998</v>
      </c>
      <c r="V7116">
        <v>6.5054199999999896E-4</v>
      </c>
      <c r="W7116">
        <v>5.559718E-3</v>
      </c>
      <c r="X7116">
        <v>0.99998430000000005</v>
      </c>
      <c r="Y7116">
        <v>-0.1151881</v>
      </c>
      <c r="Z7116">
        <v>-6.9545250000000003E-2</v>
      </c>
      <c r="AA7116">
        <v>0.99090619999999996</v>
      </c>
      <c r="AB7116">
        <v>44</v>
      </c>
      <c r="AC7116">
        <v>-0.73859999999999004</v>
      </c>
      <c r="AD7116">
        <v>-1.1188734277168999</v>
      </c>
      <c r="AE7116">
        <v>15.432451</v>
      </c>
      <c r="AF7116">
        <v>-1.8278957897922601</v>
      </c>
      <c r="AG7116">
        <v>-1.1188734277168999</v>
      </c>
      <c r="AH7116">
        <v>15.260428390043099</v>
      </c>
      <c r="AI7116">
        <v>94.163687209455404</v>
      </c>
      <c r="AJ7116">
        <v>96.830353162433397</v>
      </c>
      <c r="AK7116">
        <v>15.410183497065301</v>
      </c>
      <c r="AL7116">
        <v>89.681449971688806</v>
      </c>
      <c r="AM7116">
        <v>89.962726109062103</v>
      </c>
      <c r="AN7116">
        <v>0.99999996695781102</v>
      </c>
    </row>
    <row r="7117" spans="1:40" x14ac:dyDescent="0.25">
      <c r="A7117" t="str">
        <f>"20190312154435458"</f>
        <v>20190312154435458</v>
      </c>
      <c r="B7117" t="str">
        <f>"1552376675444397"</f>
        <v>1552376675444397</v>
      </c>
      <c r="C7117" t="s">
        <v>40</v>
      </c>
      <c r="D7117">
        <v>5.2616459999999998</v>
      </c>
      <c r="E7117">
        <v>0.4540846</v>
      </c>
      <c r="F7117" t="s">
        <v>43</v>
      </c>
      <c r="G7117">
        <v>-188.55009999999999</v>
      </c>
      <c r="H7117" s="1">
        <v>-6.0912049999999995E-7</v>
      </c>
      <c r="I7117">
        <v>10.30433</v>
      </c>
      <c r="J7117">
        <v>-187.63249999999999</v>
      </c>
      <c r="K7117">
        <v>1.118906</v>
      </c>
      <c r="L7117">
        <v>-5.4011839999999998</v>
      </c>
      <c r="M7117">
        <v>6.3270960000000001E-2</v>
      </c>
      <c r="N7117">
        <v>0</v>
      </c>
      <c r="O7117">
        <v>0.9979808</v>
      </c>
      <c r="P7117">
        <v>6.1372360000000001E-2</v>
      </c>
      <c r="Q7117">
        <v>4.202799E-4</v>
      </c>
      <c r="R7117">
        <v>0.99811479999999997</v>
      </c>
      <c r="S7117">
        <v>-0.1678162</v>
      </c>
      <c r="T7117">
        <v>-0.21004310000000001</v>
      </c>
      <c r="U7117">
        <v>3.0199579999999999</v>
      </c>
      <c r="V7117">
        <v>-2.0554319999999998E-3</v>
      </c>
      <c r="W7117">
        <v>5.9531030000000004E-3</v>
      </c>
      <c r="X7117">
        <v>0.99998019999999999</v>
      </c>
      <c r="Y7117">
        <v>-0.1184142</v>
      </c>
      <c r="Z7117">
        <v>-6.8878430000000004E-2</v>
      </c>
      <c r="AA7117">
        <v>0.99057249999999997</v>
      </c>
      <c r="AB7117">
        <v>44</v>
      </c>
      <c r="AC7117">
        <v>-0.91759999999999298</v>
      </c>
      <c r="AD7117">
        <v>-1.1189066091205</v>
      </c>
      <c r="AE7117">
        <v>15.705514000000001</v>
      </c>
      <c r="AF7117">
        <v>-1.8998697454444899</v>
      </c>
      <c r="AG7117">
        <v>-1.1189066091205</v>
      </c>
      <c r="AH7117">
        <v>15.5373942984151</v>
      </c>
      <c r="AI7117">
        <v>94.088627407504802</v>
      </c>
      <c r="AJ7117">
        <v>96.971362806261794</v>
      </c>
      <c r="AK7117">
        <v>15.6930582944821</v>
      </c>
      <c r="AL7117">
        <v>89.658910319424194</v>
      </c>
      <c r="AM7117">
        <v>90.117769744662695</v>
      </c>
      <c r="AN7117">
        <v>1.0000000323140299</v>
      </c>
    </row>
    <row r="7118" spans="1:40" x14ac:dyDescent="0.25">
      <c r="A7118" t="str">
        <f>"20190312154435480"</f>
        <v>20190312154435480</v>
      </c>
      <c r="B7118" t="str">
        <f>"1552376675474655"</f>
        <v>1552376675474655</v>
      </c>
      <c r="C7118" t="s">
        <v>40</v>
      </c>
      <c r="D7118">
        <v>5.3142069999999997</v>
      </c>
      <c r="E7118">
        <v>0.45619510000000002</v>
      </c>
      <c r="F7118" t="s">
        <v>43</v>
      </c>
      <c r="G7118">
        <v>-188.63509999999999</v>
      </c>
      <c r="H7118" s="1">
        <v>-5.7641899999999999E-7</v>
      </c>
      <c r="I7118">
        <v>10.27469</v>
      </c>
      <c r="J7118">
        <v>-187.60939999999999</v>
      </c>
      <c r="K7118">
        <v>1.118906</v>
      </c>
      <c r="L7118">
        <v>-4.9705199999999996</v>
      </c>
      <c r="M7118">
        <v>5.4348489999999999E-2</v>
      </c>
      <c r="N7118">
        <v>0</v>
      </c>
      <c r="O7118">
        <v>0.99850620000000001</v>
      </c>
      <c r="P7118">
        <v>5.0739060000000002E-2</v>
      </c>
      <c r="Q7118">
        <v>3.5767619999999998E-4</v>
      </c>
      <c r="R7118">
        <v>0.99871189999999999</v>
      </c>
      <c r="S7118">
        <v>-0.1929932</v>
      </c>
      <c r="T7118">
        <v>-0.2153919</v>
      </c>
      <c r="U7118">
        <v>3.017639</v>
      </c>
      <c r="V7118">
        <v>-3.766765E-3</v>
      </c>
      <c r="W7118">
        <v>5.8830080000000003E-3</v>
      </c>
      <c r="X7118">
        <v>0.99997559999999996</v>
      </c>
      <c r="Y7118">
        <v>-0.1178083</v>
      </c>
      <c r="Z7118">
        <v>-7.0718760000000006E-2</v>
      </c>
      <c r="AA7118">
        <v>0.99051509999999998</v>
      </c>
      <c r="AB7118">
        <v>44</v>
      </c>
      <c r="AC7118">
        <v>-1.0257000000000001</v>
      </c>
      <c r="AD7118">
        <v>-1.118906576419</v>
      </c>
      <c r="AE7118">
        <v>15.24521</v>
      </c>
      <c r="AF7118">
        <v>-1.84286903084715</v>
      </c>
      <c r="AG7118">
        <v>-1.118906576419</v>
      </c>
      <c r="AH7118">
        <v>15.0860337956222</v>
      </c>
      <c r="AI7118">
        <v>94.210582339232204</v>
      </c>
      <c r="AJ7118">
        <v>96.964591223453098</v>
      </c>
      <c r="AK7118">
        <v>15.239308838469899</v>
      </c>
      <c r="AL7118">
        <v>89.662926526213298</v>
      </c>
      <c r="AM7118">
        <v>90.215823982260801</v>
      </c>
      <c r="AN7118">
        <v>0.99999999944852602</v>
      </c>
    </row>
    <row r="7119" spans="1:40" x14ac:dyDescent="0.25">
      <c r="A7119" t="str">
        <f>"20190312154435502"</f>
        <v>20190312154435502</v>
      </c>
      <c r="B7119" t="str">
        <f>"1552376675495150"</f>
        <v>1552376675495150</v>
      </c>
      <c r="C7119" t="s">
        <v>40</v>
      </c>
      <c r="D7119">
        <v>5.3349699999999904</v>
      </c>
      <c r="E7119">
        <v>0.45682620000000002</v>
      </c>
      <c r="F7119" t="s">
        <v>43</v>
      </c>
      <c r="G7119">
        <v>-188.66829999999999</v>
      </c>
      <c r="H7119" s="1">
        <v>-6.0402069999999998E-7</v>
      </c>
      <c r="I7119">
        <v>10.3818</v>
      </c>
      <c r="J7119">
        <v>-187.589</v>
      </c>
      <c r="K7119">
        <v>1.118854</v>
      </c>
      <c r="L7119">
        <v>-4.5189510000000004</v>
      </c>
      <c r="M7119">
        <v>4.5260149999999999E-2</v>
      </c>
      <c r="N7119">
        <v>0</v>
      </c>
      <c r="O7119">
        <v>0.99895919999999905</v>
      </c>
      <c r="P7119">
        <v>3.9911839999999997E-2</v>
      </c>
      <c r="Q7119">
        <v>-2.3974089999999999E-4</v>
      </c>
      <c r="R7119">
        <v>0.99920319999999996</v>
      </c>
      <c r="S7119">
        <v>-0.20793149999999999</v>
      </c>
      <c r="T7119">
        <v>-0.21970210000000001</v>
      </c>
      <c r="U7119">
        <v>3.0144959999999998</v>
      </c>
      <c r="V7119">
        <v>-5.4895480000000003E-3</v>
      </c>
      <c r="W7119">
        <v>5.284586E-3</v>
      </c>
      <c r="X7119">
        <v>0.99997100000000005</v>
      </c>
      <c r="Y7119">
        <v>-0.11371630000000001</v>
      </c>
      <c r="Z7119">
        <v>-7.2256100000000004E-2</v>
      </c>
      <c r="AA7119">
        <v>0.99088229999999999</v>
      </c>
      <c r="AB7119">
        <v>44</v>
      </c>
      <c r="AC7119">
        <v>-1.07929999999996</v>
      </c>
      <c r="AD7119">
        <v>-1.1188546040206999</v>
      </c>
      <c r="AE7119">
        <v>14.900751</v>
      </c>
      <c r="AF7119">
        <v>-1.7428399816395099</v>
      </c>
      <c r="AG7119">
        <v>-1.1188546040206999</v>
      </c>
      <c r="AH7119">
        <v>14.753881296516401</v>
      </c>
      <c r="AI7119">
        <v>94.306870275910697</v>
      </c>
      <c r="AJ7119">
        <v>96.736990072592306</v>
      </c>
      <c r="AK7119">
        <v>14.898534831930199</v>
      </c>
      <c r="AL7119">
        <v>89.697214125917299</v>
      </c>
      <c r="AM7119">
        <v>90.3145338937438</v>
      </c>
      <c r="AN7119">
        <v>1.0000000314137101</v>
      </c>
    </row>
    <row r="7120" spans="1:40" x14ac:dyDescent="0.25">
      <c r="A7120" t="str">
        <f>"20190312154435524"</f>
        <v>20190312154435524</v>
      </c>
      <c r="B7120" t="str">
        <f>"1552376675514670"</f>
        <v>1552376675514670</v>
      </c>
      <c r="C7120" t="s">
        <v>40</v>
      </c>
      <c r="D7120">
        <v>5.3351189999999997</v>
      </c>
      <c r="E7120">
        <v>0.46698620000000002</v>
      </c>
      <c r="F7120" t="s">
        <v>43</v>
      </c>
      <c r="G7120">
        <v>-188.77789999999999</v>
      </c>
      <c r="H7120" s="1">
        <v>-6.7642529999999997E-7</v>
      </c>
      <c r="I7120">
        <v>10.68024</v>
      </c>
      <c r="J7120">
        <v>-187.5735</v>
      </c>
      <c r="K7120">
        <v>1.118752</v>
      </c>
      <c r="L7120">
        <v>-4.0985719999999999</v>
      </c>
      <c r="M7120">
        <v>3.711105E-2</v>
      </c>
      <c r="N7120">
        <v>0</v>
      </c>
      <c r="O7120">
        <v>0.99929480000000004</v>
      </c>
      <c r="P7120">
        <v>3.0334170000000001E-2</v>
      </c>
      <c r="Q7120">
        <v>-8.5876889999999997E-4</v>
      </c>
      <c r="R7120">
        <v>0.99953939999999997</v>
      </c>
      <c r="S7120">
        <v>-0.2355804</v>
      </c>
      <c r="T7120">
        <v>-0.22170319999999999</v>
      </c>
      <c r="U7120">
        <v>3.011749</v>
      </c>
      <c r="V7120">
        <v>-6.9014360000000004E-3</v>
      </c>
      <c r="W7120">
        <v>4.684733E-3</v>
      </c>
      <c r="X7120">
        <v>0.9999652</v>
      </c>
      <c r="Y7120">
        <v>-0.11471870000000001</v>
      </c>
      <c r="Z7120">
        <v>-7.2984930000000003E-2</v>
      </c>
      <c r="AA7120">
        <v>0.99071330000000002</v>
      </c>
      <c r="AB7120">
        <v>44</v>
      </c>
      <c r="AC7120">
        <v>-1.2043999999999899</v>
      </c>
      <c r="AD7120">
        <v>-1.1187526764253</v>
      </c>
      <c r="AE7120">
        <v>14.778812</v>
      </c>
      <c r="AF7120">
        <v>-1.7421192389242299</v>
      </c>
      <c r="AG7120">
        <v>-1.1187526764253</v>
      </c>
      <c r="AH7120">
        <v>14.640590245508299</v>
      </c>
      <c r="AI7120">
        <v>94.339239638798404</v>
      </c>
      <c r="AJ7120">
        <v>96.7858559828734</v>
      </c>
      <c r="AK7120">
        <v>14.7862594908419</v>
      </c>
      <c r="AL7120">
        <v>89.731583586152396</v>
      </c>
      <c r="AM7120">
        <v>90.395430638130506</v>
      </c>
      <c r="AN7120">
        <v>0.99999998887659103</v>
      </c>
    </row>
    <row r="7121" spans="1:40" x14ac:dyDescent="0.25">
      <c r="A7121" t="str">
        <f>"20190312154435546"</f>
        <v>20190312154435546</v>
      </c>
      <c r="B7121" t="str">
        <f>"1552376675535169"</f>
        <v>1552376675535169</v>
      </c>
      <c r="C7121" t="s">
        <v>40</v>
      </c>
      <c r="D7121">
        <v>5.3639279999999996</v>
      </c>
      <c r="E7121">
        <v>0.46853830000000002</v>
      </c>
      <c r="F7121" t="s">
        <v>43</v>
      </c>
      <c r="G7121">
        <v>-188.48670000000001</v>
      </c>
      <c r="H7121" s="1">
        <v>-8.2704879999999997E-7</v>
      </c>
      <c r="I7121">
        <v>10.89518</v>
      </c>
      <c r="J7121">
        <v>-187.56049999999999</v>
      </c>
      <c r="K7121">
        <v>1.1185969999999901</v>
      </c>
      <c r="L7121">
        <v>-3.6497190000000002</v>
      </c>
      <c r="M7121">
        <v>2.8787440000000001E-2</v>
      </c>
      <c r="N7121">
        <v>0</v>
      </c>
      <c r="O7121">
        <v>0.99956880000000004</v>
      </c>
      <c r="P7121">
        <v>2.0945689999999999E-2</v>
      </c>
      <c r="Q7121">
        <v>-3.7640349999999999E-4</v>
      </c>
      <c r="R7121">
        <v>0.99978049999999996</v>
      </c>
      <c r="S7121">
        <v>-0.1831207</v>
      </c>
      <c r="T7121">
        <v>-0.22434709999999999</v>
      </c>
      <c r="U7121">
        <v>3.0067439999999999</v>
      </c>
      <c r="V7121">
        <v>-7.9761640000000009E-3</v>
      </c>
      <c r="W7121">
        <v>5.2264140000000004E-3</v>
      </c>
      <c r="X7121">
        <v>0.99995449999999997</v>
      </c>
      <c r="Y7121">
        <v>-8.9332640000000005E-2</v>
      </c>
      <c r="Z7121">
        <v>-7.4144420000000003E-2</v>
      </c>
      <c r="AA7121">
        <v>0.99323830000000002</v>
      </c>
      <c r="AB7121">
        <v>44</v>
      </c>
      <c r="AC7121">
        <v>-0.92620000000002201</v>
      </c>
      <c r="AD7121">
        <v>-1.11859782704879</v>
      </c>
      <c r="AE7121">
        <v>14.544898999999999</v>
      </c>
      <c r="AF7121">
        <v>-1.33665964965475</v>
      </c>
      <c r="AG7121">
        <v>-1.11859782704879</v>
      </c>
      <c r="AH7121">
        <v>14.427220531159399</v>
      </c>
      <c r="AI7121">
        <v>94.414660663507803</v>
      </c>
      <c r="AJ7121">
        <v>95.293254494504595</v>
      </c>
      <c r="AK7121">
        <v>14.532123463981399</v>
      </c>
      <c r="AL7121">
        <v>89.700547163039303</v>
      </c>
      <c r="AM7121">
        <v>90.457011636086705</v>
      </c>
      <c r="AN7121">
        <v>0.99999996833285099</v>
      </c>
    </row>
    <row r="7122" spans="1:40" x14ac:dyDescent="0.25">
      <c r="A7122" t="str">
        <f>"20190312154435569"</f>
        <v>20190312154435569</v>
      </c>
      <c r="B7122" t="str">
        <f>"1552376675564445"</f>
        <v>1552376675564445</v>
      </c>
      <c r="C7122" t="s">
        <v>40</v>
      </c>
      <c r="D7122">
        <v>5.3203379999999996</v>
      </c>
      <c r="E7122">
        <v>0.47005069999999999</v>
      </c>
      <c r="F7122" t="s">
        <v>43</v>
      </c>
      <c r="G7122">
        <v>-188.5548</v>
      </c>
      <c r="H7122" s="1">
        <v>-1.0096240000000001E-6</v>
      </c>
      <c r="I7122">
        <v>11.38865</v>
      </c>
      <c r="J7122">
        <v>-187.5513</v>
      </c>
      <c r="K7122">
        <v>1.118401</v>
      </c>
      <c r="L7122">
        <v>-3.219452</v>
      </c>
      <c r="M7122">
        <v>2.1237599999999999E-2</v>
      </c>
      <c r="N7122">
        <v>0</v>
      </c>
      <c r="O7122">
        <v>0.99975700000000001</v>
      </c>
      <c r="P7122">
        <v>1.2388339999999999E-2</v>
      </c>
      <c r="Q7122">
        <v>2.339055E-4</v>
      </c>
      <c r="R7122">
        <v>0.99992320000000001</v>
      </c>
      <c r="S7122">
        <v>-0.1986694</v>
      </c>
      <c r="T7122">
        <v>-0.22350059999999999</v>
      </c>
      <c r="U7122">
        <v>3.0047299999999999</v>
      </c>
      <c r="V7122">
        <v>-8.9965089999999998E-3</v>
      </c>
      <c r="W7122">
        <v>5.9316450000000001E-3</v>
      </c>
      <c r="X7122">
        <v>0.99994190000000005</v>
      </c>
      <c r="Y7122">
        <v>-8.6970950000000005E-2</v>
      </c>
      <c r="Z7122">
        <v>-7.3932040000000004E-2</v>
      </c>
      <c r="AA7122">
        <v>0.99346369999999895</v>
      </c>
      <c r="AB7122">
        <v>45</v>
      </c>
      <c r="AC7122">
        <v>-1.0035000000000001</v>
      </c>
      <c r="AD7122">
        <v>-1.1184020096239999</v>
      </c>
      <c r="AE7122">
        <v>14.608101999999899</v>
      </c>
      <c r="AF7122">
        <v>-1.30590151964404</v>
      </c>
      <c r="AG7122">
        <v>-1.1184020096239999</v>
      </c>
      <c r="AH7122">
        <v>14.498908721552001</v>
      </c>
      <c r="AI7122">
        <v>94.393175120708307</v>
      </c>
      <c r="AJ7122">
        <v>95.146683472452906</v>
      </c>
      <c r="AK7122">
        <v>14.600498482929799</v>
      </c>
      <c r="AL7122">
        <v>89.660139770195201</v>
      </c>
      <c r="AM7122">
        <v>90.515478037705606</v>
      </c>
      <c r="AN7122">
        <v>0.99999996248110101</v>
      </c>
    </row>
    <row r="7123" spans="1:40" x14ac:dyDescent="0.25">
      <c r="A7123" t="str">
        <f>"20190312154435590"</f>
        <v>20190312154435590</v>
      </c>
      <c r="B7123" t="str">
        <f>"1552376675584941"</f>
        <v>1552376675584941</v>
      </c>
      <c r="C7123" t="s">
        <v>40</v>
      </c>
      <c r="D7123">
        <v>5.3333589999999997</v>
      </c>
      <c r="E7123">
        <v>0.47057169999999998</v>
      </c>
      <c r="F7123" t="s">
        <v>43</v>
      </c>
      <c r="G7123">
        <v>-188.6069</v>
      </c>
      <c r="H7123" s="1">
        <v>-1.151749E-6</v>
      </c>
      <c r="I7123">
        <v>11.7415</v>
      </c>
      <c r="J7123">
        <v>-187.5453</v>
      </c>
      <c r="K7123">
        <v>1.1181730000000001</v>
      </c>
      <c r="L7123">
        <v>-2.7785950000000001</v>
      </c>
      <c r="M7123">
        <v>1.3967129999999999E-2</v>
      </c>
      <c r="N7123">
        <v>0</v>
      </c>
      <c r="O7123">
        <v>0.999884</v>
      </c>
      <c r="P7123">
        <v>5.0688130000000001E-3</v>
      </c>
      <c r="Q7123" s="1">
        <v>-3.4532880000000001E-5</v>
      </c>
      <c r="R7123">
        <v>0.99998710000000002</v>
      </c>
      <c r="S7123">
        <v>-0.21186830000000001</v>
      </c>
      <c r="T7123">
        <v>-0.22448100000000001</v>
      </c>
      <c r="U7123">
        <v>3.0028990000000002</v>
      </c>
      <c r="V7123">
        <v>-9.0384750000000007E-3</v>
      </c>
      <c r="W7123">
        <v>5.8319879999999998E-3</v>
      </c>
      <c r="X7123">
        <v>0.99994209999999994</v>
      </c>
      <c r="Y7123">
        <v>-8.4110820000000003E-2</v>
      </c>
      <c r="Z7123">
        <v>-7.4311870000000002E-2</v>
      </c>
      <c r="AA7123">
        <v>0.99368160000000005</v>
      </c>
      <c r="AB7123">
        <v>45</v>
      </c>
      <c r="AC7123">
        <v>-1.0615999999999901</v>
      </c>
      <c r="AD7123">
        <v>-1.11817415174899</v>
      </c>
      <c r="AE7123">
        <v>14.520095</v>
      </c>
      <c r="AF7123">
        <v>-1.2568900789061901</v>
      </c>
      <c r="AG7123">
        <v>-1.11817415174899</v>
      </c>
      <c r="AH7123">
        <v>14.418797008746299</v>
      </c>
      <c r="AI7123">
        <v>94.417712470835497</v>
      </c>
      <c r="AJ7123">
        <v>94.981894089919194</v>
      </c>
      <c r="AK7123">
        <v>14.516604054789299</v>
      </c>
      <c r="AL7123">
        <v>89.665849792093994</v>
      </c>
      <c r="AM7123">
        <v>90.517882352981204</v>
      </c>
      <c r="AN7123">
        <v>0.99999995473338199</v>
      </c>
    </row>
    <row r="7124" spans="1:40" x14ac:dyDescent="0.25">
      <c r="A7124" t="str">
        <f>"20190312154435613"</f>
        <v>20190312154435613</v>
      </c>
      <c r="B7124" t="str">
        <f>"1552376675604461"</f>
        <v>1552376675604461</v>
      </c>
      <c r="C7124" t="s">
        <v>40</v>
      </c>
      <c r="D7124">
        <v>5.3423319999999999</v>
      </c>
      <c r="E7124">
        <v>0.4810469</v>
      </c>
      <c r="F7124" t="s">
        <v>43</v>
      </c>
      <c r="G7124">
        <v>-188.67679999999999</v>
      </c>
      <c r="H7124" s="1">
        <v>-1.2526680000000001E-6</v>
      </c>
      <c r="I7124">
        <v>12.005649999999999</v>
      </c>
      <c r="J7124">
        <v>-187.54220000000001</v>
      </c>
      <c r="K7124">
        <v>1.117929</v>
      </c>
      <c r="L7124">
        <v>-2.3228759999999999</v>
      </c>
      <c r="M7124">
        <v>6.8552099999999996E-3</v>
      </c>
      <c r="N7124">
        <v>0</v>
      </c>
      <c r="O7124">
        <v>0.99995670000000003</v>
      </c>
      <c r="P7124">
        <v>-1.4022150000000001E-3</v>
      </c>
      <c r="Q7124">
        <v>-6.7384339999999995E-4</v>
      </c>
      <c r="R7124">
        <v>0.99999879999999997</v>
      </c>
      <c r="S7124">
        <v>-0.22969059999999999</v>
      </c>
      <c r="T7124">
        <v>-0.22698840000000001</v>
      </c>
      <c r="U7124">
        <v>3.0011899999999998</v>
      </c>
      <c r="V7124">
        <v>-8.3833550000000003E-3</v>
      </c>
      <c r="W7124">
        <v>5.4219139999999999E-3</v>
      </c>
      <c r="X7124">
        <v>0.99995020000000001</v>
      </c>
      <c r="Y7124">
        <v>-8.2927600000000004E-2</v>
      </c>
      <c r="Z7124">
        <v>-7.5175560000000002E-2</v>
      </c>
      <c r="AA7124">
        <v>0.99371609999999999</v>
      </c>
      <c r="AB7124">
        <v>45</v>
      </c>
      <c r="AC7124">
        <v>-1.1345999999999701</v>
      </c>
      <c r="AD7124">
        <v>-1.1179302526679999</v>
      </c>
      <c r="AE7124">
        <v>14.328526</v>
      </c>
      <c r="AF7124">
        <v>-1.2253874888865399</v>
      </c>
      <c r="AG7124">
        <v>-1.1179302526679999</v>
      </c>
      <c r="AH7124">
        <v>14.2343023481752</v>
      </c>
      <c r="AI7124">
        <v>94.474183535574895</v>
      </c>
      <c r="AJ7124">
        <v>94.920287401320195</v>
      </c>
      <c r="AK7124">
        <v>14.3306212666101</v>
      </c>
      <c r="AL7124">
        <v>89.689345701314394</v>
      </c>
      <c r="AM7124">
        <v>90.480343527467696</v>
      </c>
      <c r="AN7124">
        <v>1.0000000401362501</v>
      </c>
    </row>
    <row r="7125" spans="1:40" x14ac:dyDescent="0.25">
      <c r="A7125" t="str">
        <f>"20190312154435770"</f>
        <v>20190312154435770</v>
      </c>
      <c r="B7125" t="str">
        <f>"1552376675764161"</f>
        <v>1552376675764161</v>
      </c>
      <c r="C7125" t="s">
        <v>40</v>
      </c>
      <c r="D7125">
        <v>4.1404779999999999</v>
      </c>
      <c r="E7125">
        <v>0.50473020000000002</v>
      </c>
      <c r="F7125" t="s">
        <v>43</v>
      </c>
      <c r="G7125">
        <v>-188.3828</v>
      </c>
      <c r="H7125" s="1">
        <v>-1.7094479999999999E-6</v>
      </c>
      <c r="I7125">
        <v>12.94885</v>
      </c>
      <c r="J7125">
        <v>-187.5934</v>
      </c>
      <c r="K7125">
        <v>1.1155999999999999</v>
      </c>
      <c r="L7125">
        <v>0.79849239999999999</v>
      </c>
      <c r="M7125">
        <v>-2.942968E-2</v>
      </c>
      <c r="N7125">
        <v>0</v>
      </c>
      <c r="O7125">
        <v>0.99952419999999997</v>
      </c>
      <c r="P7125">
        <v>-2.82004E-2</v>
      </c>
      <c r="Q7125">
        <v>2.3218039999999998E-3</v>
      </c>
      <c r="R7125">
        <v>0.99959960000000003</v>
      </c>
      <c r="S7125">
        <v>-0.1651001</v>
      </c>
      <c r="T7125">
        <v>-0.2195812</v>
      </c>
      <c r="U7125">
        <v>2.9996339999999999</v>
      </c>
      <c r="V7125">
        <v>1.049641E-3</v>
      </c>
      <c r="W7125">
        <v>1.157622E-2</v>
      </c>
      <c r="X7125">
        <v>0.9999325</v>
      </c>
      <c r="Y7125">
        <v>-2.5400389999999998E-2</v>
      </c>
      <c r="Z7125">
        <v>-7.2893390000000002E-2</v>
      </c>
      <c r="AA7125">
        <v>0.99701629999999997</v>
      </c>
      <c r="AB7125">
        <v>45</v>
      </c>
      <c r="AC7125">
        <v>-0.78939999999999999</v>
      </c>
      <c r="AD7125">
        <v>-1.115601709448</v>
      </c>
      <c r="AE7125">
        <v>12.1503576</v>
      </c>
      <c r="AF7125">
        <v>-0.427869776773246</v>
      </c>
      <c r="AG7125">
        <v>-1.115601709448</v>
      </c>
      <c r="AH7125">
        <v>12.0670266347643</v>
      </c>
      <c r="AI7125">
        <v>95.2787060560117</v>
      </c>
      <c r="AJ7125">
        <v>92.030729438769896</v>
      </c>
      <c r="AK7125">
        <v>12.1260369257276</v>
      </c>
      <c r="AL7125">
        <v>89.336716674611097</v>
      </c>
      <c r="AM7125">
        <v>89.939855963062897</v>
      </c>
      <c r="AN7125">
        <v>1.00000005758598</v>
      </c>
    </row>
    <row r="7126" spans="1:40" x14ac:dyDescent="0.25">
      <c r="A7126" t="str">
        <f>"20190312154435791"</f>
        <v>20190312154435791</v>
      </c>
      <c r="B7126" t="str">
        <f>"1552376675784657"</f>
        <v>1552376675784657</v>
      </c>
      <c r="C7126" t="s">
        <v>40</v>
      </c>
      <c r="D7126">
        <v>5.0979010000000002</v>
      </c>
      <c r="E7126">
        <v>0.50358219999999998</v>
      </c>
      <c r="F7126" t="s">
        <v>41</v>
      </c>
      <c r="G7126">
        <v>-187.6233</v>
      </c>
      <c r="H7126">
        <v>0.73897860000000004</v>
      </c>
      <c r="I7126">
        <v>1.7715479999999999</v>
      </c>
      <c r="J7126">
        <v>-187.60810000000001</v>
      </c>
      <c r="K7126">
        <v>1.115181</v>
      </c>
      <c r="L7126">
        <v>1.231903</v>
      </c>
      <c r="M7126">
        <v>-3.2583580000000001E-2</v>
      </c>
      <c r="N7126">
        <v>0</v>
      </c>
      <c r="O7126">
        <v>0.99942059999999999</v>
      </c>
      <c r="P7126">
        <v>-2.9916169999999999E-2</v>
      </c>
      <c r="Q7126">
        <v>1.929931E-3</v>
      </c>
      <c r="R7126">
        <v>0.99955050000000001</v>
      </c>
      <c r="S7126">
        <v>-9.1918949999999999E-2</v>
      </c>
      <c r="T7126">
        <v>-1.161656</v>
      </c>
      <c r="U7126">
        <v>3.001312</v>
      </c>
      <c r="V7126">
        <v>2.5009049999999999E-3</v>
      </c>
      <c r="W7126">
        <v>1.179841E-2</v>
      </c>
      <c r="X7126">
        <v>0.99992729999999996</v>
      </c>
      <c r="Y7126">
        <v>4.0350330000000004E-3</v>
      </c>
      <c r="Z7126">
        <v>-0.36060569999999997</v>
      </c>
      <c r="AA7126">
        <v>0.93270960000000003</v>
      </c>
      <c r="AB7126">
        <v>45</v>
      </c>
      <c r="AC7126">
        <v>-1.51999999999929E-2</v>
      </c>
      <c r="AD7126">
        <v>-0.37620239999999999</v>
      </c>
      <c r="AE7126">
        <v>0.53964499999999904</v>
      </c>
      <c r="AF7126">
        <v>1.6104482960974801E-3</v>
      </c>
      <c r="AG7126">
        <v>-0.37620239999999999</v>
      </c>
      <c r="AH7126">
        <v>0.36339001978448998</v>
      </c>
      <c r="AI7126">
        <v>135.992186953361</v>
      </c>
      <c r="AJ7126">
        <v>89.746081946690495</v>
      </c>
      <c r="AK7126">
        <v>0.523051762054623</v>
      </c>
      <c r="AL7126">
        <v>89.323985238649499</v>
      </c>
      <c r="AM7126">
        <v>89.856698579305501</v>
      </c>
      <c r="AN7126">
        <v>1.0000000311448101</v>
      </c>
    </row>
    <row r="7127" spans="1:40" x14ac:dyDescent="0.25">
      <c r="A7127" t="str">
        <f>"20190312154435813"</f>
        <v>20190312154435813</v>
      </c>
      <c r="B7127" t="str">
        <f>"1552376675804180"</f>
        <v>1552376675804180</v>
      </c>
      <c r="C7127" t="s">
        <v>40</v>
      </c>
      <c r="D7127">
        <v>5.3200419999999999</v>
      </c>
      <c r="E7127">
        <v>0.50417909999999999</v>
      </c>
      <c r="F7127" t="s">
        <v>41</v>
      </c>
      <c r="G7127">
        <v>-187.6405</v>
      </c>
      <c r="H7127">
        <v>0.76984889999999995</v>
      </c>
      <c r="I7127">
        <v>2.1745670000000001</v>
      </c>
      <c r="J7127">
        <v>-187.62479999999999</v>
      </c>
      <c r="K7127">
        <v>1.1147499999999999</v>
      </c>
      <c r="L7127">
        <v>1.68630999999999</v>
      </c>
      <c r="M7127">
        <v>-3.5462529999999999E-2</v>
      </c>
      <c r="N7127">
        <v>0</v>
      </c>
      <c r="O7127">
        <v>0.99931619999999999</v>
      </c>
      <c r="P7127">
        <v>-3.0827460000000001E-2</v>
      </c>
      <c r="Q7127">
        <v>1.8899399999999999E-3</v>
      </c>
      <c r="R7127">
        <v>0.99952289999999999</v>
      </c>
      <c r="S7127">
        <v>-0.10345459999999999</v>
      </c>
      <c r="T7127">
        <v>-1.0991740000000001</v>
      </c>
      <c r="U7127">
        <v>3.0003660000000001</v>
      </c>
      <c r="V7127">
        <v>4.4779930000000004E-3</v>
      </c>
      <c r="W7127">
        <v>1.241253E-2</v>
      </c>
      <c r="X7127">
        <v>0.99991289999999999</v>
      </c>
      <c r="Y7127">
        <v>3.1042259999999999E-3</v>
      </c>
      <c r="Z7127">
        <v>-0.34358739999999999</v>
      </c>
      <c r="AA7127">
        <v>0.93911560000000005</v>
      </c>
      <c r="AB7127">
        <v>45</v>
      </c>
      <c r="AC7127">
        <v>-1.5700000000009501E-2</v>
      </c>
      <c r="AD7127">
        <v>-0.34490109999999902</v>
      </c>
      <c r="AE7127">
        <v>0.488257</v>
      </c>
      <c r="AF7127">
        <v>1.0848717514318699E-3</v>
      </c>
      <c r="AG7127">
        <v>-0.34490109999999902</v>
      </c>
      <c r="AH7127">
        <v>0.32600253206681201</v>
      </c>
      <c r="AI7127">
        <v>136.61336981230201</v>
      </c>
      <c r="AJ7127">
        <v>89.809331716462495</v>
      </c>
      <c r="AK7127">
        <v>0.47458992471595901</v>
      </c>
      <c r="AL7127">
        <v>89.288796129916705</v>
      </c>
      <c r="AM7127">
        <v>89.743409266586696</v>
      </c>
      <c r="AN7127">
        <v>0.99999996545435799</v>
      </c>
    </row>
    <row r="7128" spans="1:40" x14ac:dyDescent="0.25">
      <c r="A7128" t="str">
        <f>"20190312154435836"</f>
        <v>20190312154435836</v>
      </c>
      <c r="B7128" t="str">
        <f>"1552376675824673"</f>
        <v>1552376675824673</v>
      </c>
      <c r="C7128" t="s">
        <v>40</v>
      </c>
      <c r="D7128">
        <v>5.3965480000000001</v>
      </c>
      <c r="E7128">
        <v>0.50374449999999904</v>
      </c>
      <c r="F7128" t="s">
        <v>41</v>
      </c>
      <c r="G7128">
        <v>-187.6542</v>
      </c>
      <c r="H7128">
        <v>0.81341109999999905</v>
      </c>
      <c r="I7128">
        <v>2.5917599999999998</v>
      </c>
      <c r="J7128">
        <v>-187.64269999999999</v>
      </c>
      <c r="K7128">
        <v>1.1143179999999999</v>
      </c>
      <c r="L7128">
        <v>2.1398929999999998</v>
      </c>
      <c r="M7128">
        <v>-3.7920379999999997E-2</v>
      </c>
      <c r="N7128">
        <v>0</v>
      </c>
      <c r="O7128">
        <v>0.99921950000000004</v>
      </c>
      <c r="P7128">
        <v>-3.1770069999999997E-2</v>
      </c>
      <c r="Q7128">
        <v>3.6580789999999998E-3</v>
      </c>
      <c r="R7128">
        <v>0.9994885</v>
      </c>
      <c r="S7128">
        <v>-9.7412109999999996E-2</v>
      </c>
      <c r="T7128">
        <v>-0.99852920000000001</v>
      </c>
      <c r="U7128">
        <v>3.000305</v>
      </c>
      <c r="V7128">
        <v>5.9826410000000003E-3</v>
      </c>
      <c r="W7128">
        <v>1.479745E-2</v>
      </c>
      <c r="X7128">
        <v>0.9998726</v>
      </c>
      <c r="Y7128">
        <v>7.1330100000000004E-3</v>
      </c>
      <c r="Z7128">
        <v>-0.31537150000000003</v>
      </c>
      <c r="AA7128">
        <v>0.94894149999999999</v>
      </c>
      <c r="AB7128">
        <v>45</v>
      </c>
      <c r="AC7128">
        <v>-1.15000000000122E-2</v>
      </c>
      <c r="AD7128">
        <v>-0.30090689999999998</v>
      </c>
      <c r="AE7128">
        <v>0.45186700000000002</v>
      </c>
      <c r="AF7128">
        <v>3.9110594176352603E-3</v>
      </c>
      <c r="AG7128">
        <v>-0.30090689999999998</v>
      </c>
      <c r="AH7128">
        <v>0.31318610630984201</v>
      </c>
      <c r="AI7128">
        <v>133.852252819521</v>
      </c>
      <c r="AJ7128">
        <v>89.284529083914705</v>
      </c>
      <c r="AK7128">
        <v>0.43433373808501002</v>
      </c>
      <c r="AL7128">
        <v>89.152137612007607</v>
      </c>
      <c r="AM7128">
        <v>89.657180335681304</v>
      </c>
      <c r="AN7128">
        <v>0.99999998637529797</v>
      </c>
    </row>
    <row r="7129" spans="1:40" x14ac:dyDescent="0.25">
      <c r="A7129" t="str">
        <f>"20190312154435858"</f>
        <v>20190312154435858</v>
      </c>
      <c r="B7129" t="str">
        <f>"1552376675854929"</f>
        <v>1552376675854929</v>
      </c>
      <c r="C7129" t="s">
        <v>40</v>
      </c>
      <c r="D7129">
        <v>5.3092670000000002</v>
      </c>
      <c r="E7129">
        <v>0.50476449999999995</v>
      </c>
      <c r="F7129" t="s">
        <v>41</v>
      </c>
      <c r="G7129">
        <v>-187.67140000000001</v>
      </c>
      <c r="H7129">
        <v>0.84539279999999895</v>
      </c>
      <c r="I7129">
        <v>3.003962</v>
      </c>
      <c r="J7129">
        <v>-187.66079999999999</v>
      </c>
      <c r="K7129">
        <v>1.113872</v>
      </c>
      <c r="L7129">
        <v>2.5776669999999999</v>
      </c>
      <c r="M7129">
        <v>-3.9891549999999998E-2</v>
      </c>
      <c r="N7129">
        <v>0</v>
      </c>
      <c r="O7129">
        <v>0.99913660000000004</v>
      </c>
      <c r="P7129">
        <v>-3.2779120000000002E-2</v>
      </c>
      <c r="Q7129">
        <v>4.5694000000000004E-3</v>
      </c>
      <c r="R7129">
        <v>0.99945220000000001</v>
      </c>
      <c r="S7129">
        <v>-0.1004028</v>
      </c>
      <c r="T7129">
        <v>-0.93425659999999999</v>
      </c>
      <c r="U7129">
        <v>3.00177</v>
      </c>
      <c r="V7129">
        <v>6.948999E-3</v>
      </c>
      <c r="W7129">
        <v>1.6250669999999998E-2</v>
      </c>
      <c r="X7129">
        <v>0.99984379999999995</v>
      </c>
      <c r="Y7129">
        <v>7.9764150000000006E-3</v>
      </c>
      <c r="Z7129">
        <v>-0.29674929999999999</v>
      </c>
      <c r="AA7129">
        <v>0.9549221</v>
      </c>
      <c r="AB7129">
        <v>45</v>
      </c>
      <c r="AC7129">
        <v>-1.06000000000108E-2</v>
      </c>
      <c r="AD7129">
        <v>-0.26847919999999997</v>
      </c>
      <c r="AE7129">
        <v>0.42629499999999998</v>
      </c>
      <c r="AF7129">
        <v>4.5940688963523003E-3</v>
      </c>
      <c r="AG7129">
        <v>-0.26847919999999997</v>
      </c>
      <c r="AH7129">
        <v>0.30534149439084701</v>
      </c>
      <c r="AI7129">
        <v>131.32114896778401</v>
      </c>
      <c r="AJ7129">
        <v>89.138011360658297</v>
      </c>
      <c r="AK7129">
        <v>0.40661482326459802</v>
      </c>
      <c r="AL7129">
        <v>89.068864207344404</v>
      </c>
      <c r="AM7129">
        <v>89.601795896468303</v>
      </c>
      <c r="AN7129">
        <v>0.99999999863049505</v>
      </c>
    </row>
    <row r="7130" spans="1:40" x14ac:dyDescent="0.25">
      <c r="A7130" t="str">
        <f>"20190312154435894"</f>
        <v>20190312154435894</v>
      </c>
      <c r="B7130" t="str">
        <f>"1552376675884209"</f>
        <v>1552376675884209</v>
      </c>
      <c r="C7130" t="s">
        <v>40</v>
      </c>
      <c r="D7130">
        <v>5.2583339999999996</v>
      </c>
      <c r="E7130">
        <v>0.50460569999999905</v>
      </c>
      <c r="F7130" t="s">
        <v>41</v>
      </c>
      <c r="G7130">
        <v>-187.68190000000001</v>
      </c>
      <c r="H7130">
        <v>1.0402880000000001</v>
      </c>
      <c r="I7130">
        <v>3.492378</v>
      </c>
      <c r="J7130">
        <v>-187.69130000000001</v>
      </c>
      <c r="K7130">
        <v>1.113084</v>
      </c>
      <c r="L7130">
        <v>3.2846679999999999</v>
      </c>
      <c r="M7130">
        <v>-4.2244860000000002E-2</v>
      </c>
      <c r="N7130">
        <v>0</v>
      </c>
      <c r="O7130">
        <v>0.99903070000000005</v>
      </c>
      <c r="P7130">
        <v>-3.4616649999999999E-2</v>
      </c>
      <c r="Q7130">
        <v>1.7006569999999999E-3</v>
      </c>
      <c r="R7130">
        <v>0.99939920000000004</v>
      </c>
      <c r="S7130">
        <v>-6.9381709999999999E-2</v>
      </c>
      <c r="T7130">
        <v>-0.2413728</v>
      </c>
      <c r="U7130">
        <v>3.0004580000000001</v>
      </c>
      <c r="V7130">
        <v>7.5180739999999996E-3</v>
      </c>
      <c r="W7130">
        <v>1.4132810000000001E-2</v>
      </c>
      <c r="X7130">
        <v>0.99987190000000004</v>
      </c>
      <c r="Y7130">
        <v>1.9214180000000001E-2</v>
      </c>
      <c r="Z7130">
        <v>-8.0061080000000007E-2</v>
      </c>
      <c r="AA7130">
        <v>0.99660470000000001</v>
      </c>
      <c r="AB7130">
        <v>45</v>
      </c>
      <c r="AC7130">
        <v>9.3999999999994002E-3</v>
      </c>
      <c r="AD7130">
        <v>-7.2796E-2</v>
      </c>
      <c r="AE7130">
        <v>0.20771000000000001</v>
      </c>
      <c r="AF7130">
        <v>1.6183251842927002E-2</v>
      </c>
      <c r="AG7130">
        <v>-7.2796E-2</v>
      </c>
      <c r="AH7130">
        <v>0.18451052744663901</v>
      </c>
      <c r="AI7130">
        <v>111.456161500779</v>
      </c>
      <c r="AJ7130">
        <v>84.9874662418529</v>
      </c>
      <c r="AK7130">
        <v>0.19901077858962499</v>
      </c>
      <c r="AL7130">
        <v>89.190222705854197</v>
      </c>
      <c r="AM7130">
        <v>89.569199021541806</v>
      </c>
      <c r="AN7130">
        <v>1.0000000370823801</v>
      </c>
    </row>
    <row r="7131" spans="1:40" x14ac:dyDescent="0.25">
      <c r="A7131" t="str">
        <f>"20190312154435916"</f>
        <v>20190312154435916</v>
      </c>
      <c r="B7131" t="str">
        <f>"1552376675904705"</f>
        <v>1552376675904705</v>
      </c>
      <c r="C7131" t="s">
        <v>40</v>
      </c>
      <c r="D7131">
        <v>5.3208719999999996</v>
      </c>
      <c r="E7131">
        <v>0.50510749999999904</v>
      </c>
      <c r="F7131" t="s">
        <v>41</v>
      </c>
      <c r="G7131">
        <v>-187.71639999999999</v>
      </c>
      <c r="H7131">
        <v>1.0408309999999901</v>
      </c>
      <c r="I7131">
        <v>4.2900839999999896</v>
      </c>
      <c r="J7131">
        <v>-187.7106</v>
      </c>
      <c r="K7131">
        <v>1.1125830000000001</v>
      </c>
      <c r="L7131">
        <v>3.7180179999999998</v>
      </c>
      <c r="M7131">
        <v>-4.3214170000000003E-2</v>
      </c>
      <c r="N7131">
        <v>0</v>
      </c>
      <c r="O7131">
        <v>0.99898419999999999</v>
      </c>
      <c r="P7131">
        <v>-3.5378060000000003E-2</v>
      </c>
      <c r="Q7131">
        <v>-1.027893E-3</v>
      </c>
      <c r="R7131">
        <v>0.99937350000000003</v>
      </c>
      <c r="S7131">
        <v>-7.4951169999999998E-2</v>
      </c>
      <c r="T7131">
        <v>-0.2155589</v>
      </c>
      <c r="U7131">
        <v>2.9995729999999998</v>
      </c>
      <c r="V7131">
        <v>7.7615949999999996E-3</v>
      </c>
      <c r="W7131">
        <v>1.1796030000000001E-2</v>
      </c>
      <c r="X7131">
        <v>0.99990029999999996</v>
      </c>
      <c r="Y7131">
        <v>1.8312149999999999E-2</v>
      </c>
      <c r="Z7131">
        <v>-7.1560929999999995E-2</v>
      </c>
      <c r="AA7131">
        <v>0.99726809999999999</v>
      </c>
      <c r="AB7131">
        <v>45</v>
      </c>
      <c r="AC7131">
        <v>-5.7999999999935803E-3</v>
      </c>
      <c r="AD7131">
        <v>-7.1752000000000205E-2</v>
      </c>
      <c r="AE7131">
        <v>0.57206599999999896</v>
      </c>
      <c r="AF7131">
        <v>1.86356523344124E-2</v>
      </c>
      <c r="AG7131">
        <v>-7.1752000000000205E-2</v>
      </c>
      <c r="AH7131">
        <v>0.56292727465634895</v>
      </c>
      <c r="AI7131">
        <v>97.259947764988695</v>
      </c>
      <c r="AJ7131">
        <v>88.103921283771001</v>
      </c>
      <c r="AK7131">
        <v>0.56778759549144298</v>
      </c>
      <c r="AL7131">
        <v>89.324121590573498</v>
      </c>
      <c r="AM7131">
        <v>89.555257954944906</v>
      </c>
      <c r="AN7131">
        <v>0.99999999931039696</v>
      </c>
    </row>
    <row r="7132" spans="1:40" x14ac:dyDescent="0.25">
      <c r="A7132" t="str">
        <f>"20190312154435937"</f>
        <v>20190312154435937</v>
      </c>
      <c r="B7132" t="str">
        <f>"1552376675924225"</f>
        <v>1552376675924225</v>
      </c>
      <c r="C7132" t="s">
        <v>40</v>
      </c>
      <c r="D7132">
        <v>5.3445369999999999</v>
      </c>
      <c r="E7132">
        <v>0.50494899999999998</v>
      </c>
      <c r="F7132" t="s">
        <v>41</v>
      </c>
      <c r="G7132">
        <v>-187.73410000000001</v>
      </c>
      <c r="H7132">
        <v>1.0425199999999999</v>
      </c>
      <c r="I7132">
        <v>4.6897650000000004</v>
      </c>
      <c r="J7132">
        <v>-187.73050000000001</v>
      </c>
      <c r="K7132">
        <v>1.1121049999999999</v>
      </c>
      <c r="L7132">
        <v>4.161346</v>
      </c>
      <c r="M7132">
        <v>-4.390873E-2</v>
      </c>
      <c r="N7132">
        <v>0</v>
      </c>
      <c r="O7132">
        <v>0.99894919999999998</v>
      </c>
      <c r="P7132">
        <v>-3.6734660000000002E-2</v>
      </c>
      <c r="Q7132">
        <v>-1.076858E-3</v>
      </c>
      <c r="R7132">
        <v>0.99932449999999995</v>
      </c>
      <c r="S7132">
        <v>-7.2906490000000004E-2</v>
      </c>
      <c r="T7132">
        <v>-0.21621799999999999</v>
      </c>
      <c r="U7132">
        <v>2.9990839999999999</v>
      </c>
      <c r="V7132">
        <v>7.1126509999999898E-3</v>
      </c>
      <c r="W7132">
        <v>1.2095939999999999E-2</v>
      </c>
      <c r="X7132">
        <v>0.9999015</v>
      </c>
      <c r="Y7132">
        <v>1.9683340000000001E-2</v>
      </c>
      <c r="Z7132">
        <v>-7.1786630000000004E-2</v>
      </c>
      <c r="AA7132">
        <v>0.99722580000000005</v>
      </c>
      <c r="AB7132">
        <v>45</v>
      </c>
      <c r="AC7132">
        <v>-3.6000000000058199E-3</v>
      </c>
      <c r="AD7132">
        <v>-6.9584999999999703E-2</v>
      </c>
      <c r="AE7132">
        <v>0.52841899999999997</v>
      </c>
      <c r="AF7132">
        <v>1.9273475464056999E-2</v>
      </c>
      <c r="AG7132">
        <v>-6.9584999999999703E-2</v>
      </c>
      <c r="AH7132">
        <v>0.51906663906666695</v>
      </c>
      <c r="AI7132">
        <v>97.630234607208195</v>
      </c>
      <c r="AJ7132">
        <v>87.873525983175597</v>
      </c>
      <c r="AK7132">
        <v>0.52406460944565703</v>
      </c>
      <c r="AL7132">
        <v>89.306936756756699</v>
      </c>
      <c r="AM7132">
        <v>89.592441845418904</v>
      </c>
      <c r="AN7132">
        <v>0.99999995563548905</v>
      </c>
    </row>
    <row r="7133" spans="1:40" x14ac:dyDescent="0.25">
      <c r="A7133" t="str">
        <f>"20190312154435959"</f>
        <v>20190312154435959</v>
      </c>
      <c r="B7133" t="str">
        <f>"1552376675954481"</f>
        <v>1552376675954481</v>
      </c>
      <c r="C7133" t="s">
        <v>40</v>
      </c>
      <c r="D7133">
        <v>5.2573749999999997</v>
      </c>
      <c r="E7133">
        <v>0.50433760000000005</v>
      </c>
      <c r="F7133" t="s">
        <v>41</v>
      </c>
      <c r="G7133">
        <v>-187.75470000000001</v>
      </c>
      <c r="H7133">
        <v>1.044727</v>
      </c>
      <c r="I7133">
        <v>5.089715</v>
      </c>
      <c r="J7133">
        <v>-187.74959999999999</v>
      </c>
      <c r="K7133">
        <v>1.1116820000000001</v>
      </c>
      <c r="L7133">
        <v>4.5847170000000004</v>
      </c>
      <c r="M7133">
        <v>-4.4306360000000003E-2</v>
      </c>
      <c r="N7133">
        <v>0</v>
      </c>
      <c r="O7133">
        <v>0.99892769999999997</v>
      </c>
      <c r="P7133">
        <v>-3.7698469999999998E-2</v>
      </c>
      <c r="Q7133">
        <v>-1.5921199999999999E-4</v>
      </c>
      <c r="R7133">
        <v>0.99928919999999999</v>
      </c>
      <c r="S7133">
        <v>-7.7850340000000004E-2</v>
      </c>
      <c r="T7133">
        <v>-0.2176642</v>
      </c>
      <c r="U7133">
        <v>2.9989319999999999</v>
      </c>
      <c r="V7133">
        <v>6.5542119999999898E-3</v>
      </c>
      <c r="W7133">
        <v>1.330748E-2</v>
      </c>
      <c r="X7133">
        <v>0.99988999999999995</v>
      </c>
      <c r="Y7133">
        <v>1.8438220000000002E-2</v>
      </c>
      <c r="Z7133">
        <v>-7.226544E-2</v>
      </c>
      <c r="AA7133">
        <v>0.99721499999999996</v>
      </c>
      <c r="AB7133">
        <v>45</v>
      </c>
      <c r="AC7133">
        <v>-5.1000000000271904E-3</v>
      </c>
      <c r="AD7133">
        <v>-6.6955000000000098E-2</v>
      </c>
      <c r="AE7133">
        <v>0.50499799999999995</v>
      </c>
      <c r="AF7133">
        <v>1.69831397194634E-2</v>
      </c>
      <c r="AG7133">
        <v>-6.6955000000000098E-2</v>
      </c>
      <c r="AH7133">
        <v>0.49600966567034499</v>
      </c>
      <c r="AI7133">
        <v>97.683283923584796</v>
      </c>
      <c r="AJ7133">
        <v>88.038985309603902</v>
      </c>
      <c r="AK7133">
        <v>0.50079635331952899</v>
      </c>
      <c r="AL7133">
        <v>89.237515076722403</v>
      </c>
      <c r="AM7133">
        <v>89.6244353805846</v>
      </c>
      <c r="AN7133">
        <v>1.00000002940944</v>
      </c>
    </row>
    <row r="7134" spans="1:40" x14ac:dyDescent="0.25">
      <c r="A7134" t="str">
        <f>"20190312154435982"</f>
        <v>20190312154435982</v>
      </c>
      <c r="B7134" t="str">
        <f>"1552376675974977"</f>
        <v>1552376675974977</v>
      </c>
      <c r="C7134" t="s">
        <v>40</v>
      </c>
      <c r="D7134">
        <v>5.2812210000000004</v>
      </c>
      <c r="E7134">
        <v>0.50393129999999997</v>
      </c>
      <c r="F7134" t="s">
        <v>41</v>
      </c>
      <c r="G7134">
        <v>-187.77539999999999</v>
      </c>
      <c r="H7134">
        <v>1.0468409999999999</v>
      </c>
      <c r="I7134">
        <v>5.4898509999999998</v>
      </c>
      <c r="J7134">
        <v>-187.7697</v>
      </c>
      <c r="K7134">
        <v>1.111264</v>
      </c>
      <c r="L7134">
        <v>5.0309749999999998</v>
      </c>
      <c r="M7134">
        <v>-4.4459640000000002E-2</v>
      </c>
      <c r="N7134">
        <v>0</v>
      </c>
      <c r="O7134">
        <v>0.99891700000000005</v>
      </c>
      <c r="P7134">
        <v>-3.8234839999999999E-2</v>
      </c>
      <c r="Q7134">
        <v>2.235006E-4</v>
      </c>
      <c r="R7134">
        <v>0.99926879999999996</v>
      </c>
      <c r="S7134">
        <v>-8.5479739999999999E-2</v>
      </c>
      <c r="T7134">
        <v>-0.21482010000000001</v>
      </c>
      <c r="U7134">
        <v>2.9988709999999998</v>
      </c>
      <c r="V7134">
        <v>6.1830710000000001E-3</v>
      </c>
      <c r="W7134">
        <v>1.3963069999999999E-2</v>
      </c>
      <c r="X7134">
        <v>0.99988339999999998</v>
      </c>
      <c r="Y7134">
        <v>1.6054189999999999E-2</v>
      </c>
      <c r="Z7134">
        <v>-7.1325760000000002E-2</v>
      </c>
      <c r="AA7134">
        <v>0.99732390000000004</v>
      </c>
      <c r="AB7134">
        <v>44</v>
      </c>
      <c r="AC7134">
        <v>-5.6999999999902597E-3</v>
      </c>
      <c r="AD7134">
        <v>-6.4423000000000105E-2</v>
      </c>
      <c r="AE7134">
        <v>0.45887600000000001</v>
      </c>
      <c r="AF7134">
        <v>1.44247478941824E-2</v>
      </c>
      <c r="AG7134">
        <v>-6.4423000000000105E-2</v>
      </c>
      <c r="AH7134">
        <v>0.44981111053262102</v>
      </c>
      <c r="AI7134">
        <v>98.146475569785096</v>
      </c>
      <c r="AJ7134">
        <v>88.163242263854499</v>
      </c>
      <c r="AK7134">
        <v>0.45462999399445703</v>
      </c>
      <c r="AL7134">
        <v>89.199949025733403</v>
      </c>
      <c r="AM7134">
        <v>89.645699331307597</v>
      </c>
      <c r="AN7134">
        <v>1.0000000056431799</v>
      </c>
    </row>
    <row r="7135" spans="1:40" x14ac:dyDescent="0.25">
      <c r="A7135" t="str">
        <f>"20190312154436004"</f>
        <v>20190312154436004</v>
      </c>
      <c r="B7135" t="str">
        <f>"1552376675994498"</f>
        <v>1552376675994498</v>
      </c>
      <c r="C7135" t="s">
        <v>40</v>
      </c>
      <c r="D7135">
        <v>5.2695730000000003</v>
      </c>
      <c r="E7135">
        <v>0.50394640000000002</v>
      </c>
      <c r="F7135" t="s">
        <v>43</v>
      </c>
      <c r="G7135">
        <v>-188.2312</v>
      </c>
      <c r="H7135" s="1">
        <v>-6.8048449999999998E-7</v>
      </c>
      <c r="I7135">
        <v>20.264710000000001</v>
      </c>
      <c r="J7135">
        <v>-187.7895</v>
      </c>
      <c r="K7135">
        <v>1.110889</v>
      </c>
      <c r="L7135">
        <v>5.4719239999999996</v>
      </c>
      <c r="M7135">
        <v>-4.4373040000000002E-2</v>
      </c>
      <c r="N7135">
        <v>0</v>
      </c>
      <c r="O7135">
        <v>0.99891750000000001</v>
      </c>
      <c r="P7135">
        <v>-3.7873770000000001E-2</v>
      </c>
      <c r="Q7135">
        <v>-5.288739E-4</v>
      </c>
      <c r="R7135">
        <v>0.99928240000000002</v>
      </c>
      <c r="S7135">
        <v>-9.0835570000000004E-2</v>
      </c>
      <c r="T7135">
        <v>-0.2187538</v>
      </c>
      <c r="U7135">
        <v>2.9987789999999999</v>
      </c>
      <c r="V7135">
        <v>6.472719E-3</v>
      </c>
      <c r="W7135">
        <v>1.344766E-2</v>
      </c>
      <c r="X7135">
        <v>0.99988860000000002</v>
      </c>
      <c r="Y7135">
        <v>1.418991E-2</v>
      </c>
      <c r="Z7135">
        <v>-7.2626750000000004E-2</v>
      </c>
      <c r="AA7135">
        <v>0.99725819999999998</v>
      </c>
      <c r="AB7135">
        <v>44</v>
      </c>
      <c r="AC7135">
        <v>-0.44169999999999698</v>
      </c>
      <c r="AD7135">
        <v>-1.1108896804844901</v>
      </c>
      <c r="AE7135">
        <v>14.7927859999999</v>
      </c>
      <c r="AF7135">
        <v>0.21399424407470599</v>
      </c>
      <c r="AG7135">
        <v>-1.1108896804844901</v>
      </c>
      <c r="AH7135">
        <v>14.7149031865517</v>
      </c>
      <c r="AI7135">
        <v>94.316854109820397</v>
      </c>
      <c r="AJ7135">
        <v>89.166824095038805</v>
      </c>
      <c r="AK7135">
        <v>14.7583279950099</v>
      </c>
      <c r="AL7135">
        <v>89.229482593134307</v>
      </c>
      <c r="AM7135">
        <v>89.629104381765401</v>
      </c>
      <c r="AN7135">
        <v>0.99999997403034302</v>
      </c>
    </row>
    <row r="7136" spans="1:40" x14ac:dyDescent="0.25">
      <c r="A7136" t="str">
        <f>"20190312154436026"</f>
        <v>20190312154436026</v>
      </c>
      <c r="B7136" t="str">
        <f>"1552376676015011"</f>
        <v>1552376676015011</v>
      </c>
      <c r="C7136" t="s">
        <v>40</v>
      </c>
      <c r="D7136">
        <v>5.2789349999999997</v>
      </c>
      <c r="E7136">
        <v>0.50388820000000001</v>
      </c>
      <c r="F7136" t="s">
        <v>43</v>
      </c>
      <c r="G7136">
        <v>-188.25399999999999</v>
      </c>
      <c r="H7136" s="1">
        <v>-9.2712929999999997E-7</v>
      </c>
      <c r="I7136">
        <v>21.007339999999999</v>
      </c>
      <c r="J7136">
        <v>-187.809</v>
      </c>
      <c r="K7136">
        <v>1.110562</v>
      </c>
      <c r="L7136">
        <v>5.9109499999999997</v>
      </c>
      <c r="M7136">
        <v>-4.4096059999999999E-2</v>
      </c>
      <c r="N7136">
        <v>0</v>
      </c>
      <c r="O7136">
        <v>0.9989268</v>
      </c>
      <c r="P7136">
        <v>-3.7297419999999998E-2</v>
      </c>
      <c r="Q7136">
        <v>-9.0465299999999995E-4</v>
      </c>
      <c r="R7136">
        <v>0.99930379999999996</v>
      </c>
      <c r="S7136">
        <v>-8.966064E-2</v>
      </c>
      <c r="T7136">
        <v>-0.2144247</v>
      </c>
      <c r="U7136">
        <v>2.9986570000000001</v>
      </c>
      <c r="V7136">
        <v>6.784048E-3</v>
      </c>
      <c r="W7136">
        <v>1.327506E-2</v>
      </c>
      <c r="X7136">
        <v>0.99988889999999997</v>
      </c>
      <c r="Y7136">
        <v>1.429889E-2</v>
      </c>
      <c r="Z7136">
        <v>-7.1201420000000001E-2</v>
      </c>
      <c r="AA7136">
        <v>0.99735949999999995</v>
      </c>
      <c r="AB7136">
        <v>44</v>
      </c>
      <c r="AC7136">
        <v>-0.44499999999999301</v>
      </c>
      <c r="AD7136">
        <v>-1.1105629271293</v>
      </c>
      <c r="AE7136">
        <v>15.09639</v>
      </c>
      <c r="AF7136">
        <v>0.22000153407829101</v>
      </c>
      <c r="AG7136">
        <v>-1.1105629271293</v>
      </c>
      <c r="AH7136">
        <v>15.0201124673828</v>
      </c>
      <c r="AI7136">
        <v>94.228211109170203</v>
      </c>
      <c r="AJ7136">
        <v>89.160841298478203</v>
      </c>
      <c r="AK7136">
        <v>15.0627198481197</v>
      </c>
      <c r="AL7136">
        <v>89.239372771475104</v>
      </c>
      <c r="AM7136">
        <v>89.611265457383993</v>
      </c>
      <c r="AN7136">
        <v>1.0000000314342301</v>
      </c>
    </row>
    <row r="7137" spans="1:40" x14ac:dyDescent="0.25">
      <c r="A7137" t="str">
        <f>"20190312154436050"</f>
        <v>20190312154436050</v>
      </c>
      <c r="B7137" t="str">
        <f>"1552376676044274"</f>
        <v>1552376676044274</v>
      </c>
      <c r="C7137" t="s">
        <v>40</v>
      </c>
      <c r="D7137">
        <v>5.2934479999999997</v>
      </c>
      <c r="E7137">
        <v>0.50419209999999903</v>
      </c>
      <c r="F7137" t="s">
        <v>43</v>
      </c>
      <c r="G7137">
        <v>-188.26339999999999</v>
      </c>
      <c r="H7137" s="1">
        <v>-1.010733E-6</v>
      </c>
      <c r="I7137">
        <v>21.260359999999999</v>
      </c>
      <c r="J7137">
        <v>-187.82919999999999</v>
      </c>
      <c r="K7137">
        <v>1.110271</v>
      </c>
      <c r="L7137">
        <v>6.3731080000000002</v>
      </c>
      <c r="M7137">
        <v>-4.3648409999999999E-2</v>
      </c>
      <c r="N7137">
        <v>0</v>
      </c>
      <c r="O7137">
        <v>0.99894380000000005</v>
      </c>
      <c r="P7137">
        <v>-3.5457919999999997E-2</v>
      </c>
      <c r="Q7137">
        <v>-1.8183199999999999E-4</v>
      </c>
      <c r="R7137">
        <v>0.99937120000000002</v>
      </c>
      <c r="S7137">
        <v>-8.8775629999999994E-2</v>
      </c>
      <c r="T7137">
        <v>-0.2169527</v>
      </c>
      <c r="U7137">
        <v>2.9985659999999998</v>
      </c>
      <c r="V7137">
        <v>8.1858429999999999E-3</v>
      </c>
      <c r="W7137">
        <v>1.4181920000000001E-2</v>
      </c>
      <c r="X7137">
        <v>0.99986589999999997</v>
      </c>
      <c r="Y7137">
        <v>1.4145899999999999E-2</v>
      </c>
      <c r="Z7137">
        <v>-7.2041190000000005E-2</v>
      </c>
      <c r="AA7137">
        <v>0.99730129999999995</v>
      </c>
      <c r="AB7137">
        <v>44</v>
      </c>
      <c r="AC7137">
        <v>-0.43420000000000403</v>
      </c>
      <c r="AD7137">
        <v>-1.110272010733</v>
      </c>
      <c r="AE7137">
        <v>14.887252</v>
      </c>
      <c r="AF7137">
        <v>0.21489154259085</v>
      </c>
      <c r="AG7137">
        <v>-1.110272010733</v>
      </c>
      <c r="AH7137">
        <v>14.809713556581</v>
      </c>
      <c r="AI7137">
        <v>94.286947482744793</v>
      </c>
      <c r="AJ7137">
        <v>89.168686524449797</v>
      </c>
      <c r="AK7137">
        <v>14.8528279442291</v>
      </c>
      <c r="AL7137">
        <v>89.187408578910507</v>
      </c>
      <c r="AM7137">
        <v>89.530933320796805</v>
      </c>
      <c r="AN7137">
        <v>0.99999997643165806</v>
      </c>
    </row>
    <row r="7138" spans="1:40" x14ac:dyDescent="0.25">
      <c r="A7138" t="str">
        <f>"20190312154436073"</f>
        <v>20190312154436073</v>
      </c>
      <c r="B7138" t="str">
        <f>"1552376676064770"</f>
        <v>1552376676064770</v>
      </c>
      <c r="C7138" t="s">
        <v>40</v>
      </c>
      <c r="D7138">
        <v>5.2779099999999897</v>
      </c>
      <c r="E7138">
        <v>0.50440010000000002</v>
      </c>
      <c r="F7138" t="s">
        <v>41</v>
      </c>
      <c r="G7138">
        <v>-187.8586</v>
      </c>
      <c r="H7138">
        <v>1.031628</v>
      </c>
      <c r="I7138">
        <v>7.4580710000000003</v>
      </c>
      <c r="J7138">
        <v>-187.84870000000001</v>
      </c>
      <c r="K7138">
        <v>1.1100410000000001</v>
      </c>
      <c r="L7138">
        <v>6.8260800000000001</v>
      </c>
      <c r="M7138">
        <v>-4.3108790000000001E-2</v>
      </c>
      <c r="N7138">
        <v>0</v>
      </c>
      <c r="O7138">
        <v>0.99896499999999999</v>
      </c>
      <c r="P7138">
        <v>-3.228756E-2</v>
      </c>
      <c r="Q7138">
        <v>1.5142179999999999E-3</v>
      </c>
      <c r="R7138">
        <v>0.99947739999999996</v>
      </c>
      <c r="S7138">
        <v>-8.1237790000000004E-2</v>
      </c>
      <c r="T7138">
        <v>-0.21737799999999999</v>
      </c>
      <c r="U7138">
        <v>2.9989620000000001</v>
      </c>
      <c r="V7138">
        <v>1.082572E-2</v>
      </c>
      <c r="W7138">
        <v>1.6029930000000001E-2</v>
      </c>
      <c r="X7138">
        <v>0.9998129</v>
      </c>
      <c r="Y7138">
        <v>1.6114690000000001E-2</v>
      </c>
      <c r="Z7138">
        <v>-7.2176219999999999E-2</v>
      </c>
      <c r="AA7138">
        <v>0.99726170000000003</v>
      </c>
      <c r="AB7138">
        <v>44</v>
      </c>
      <c r="AC7138">
        <v>-9.8999999999875802E-3</v>
      </c>
      <c r="AD7138">
        <v>-7.8412999999999997E-2</v>
      </c>
      <c r="AE7138">
        <v>0.63199099999999997</v>
      </c>
      <c r="AF7138">
        <v>1.7093368689455601E-2</v>
      </c>
      <c r="AG7138">
        <v>-7.8412999999999997E-2</v>
      </c>
      <c r="AH7138">
        <v>0.62225350544660096</v>
      </c>
      <c r="AI7138">
        <v>97.179564643312702</v>
      </c>
      <c r="AJ7138">
        <v>88.426474679329004</v>
      </c>
      <c r="AK7138">
        <v>0.62740752853527004</v>
      </c>
      <c r="AL7138">
        <v>89.081513322078905</v>
      </c>
      <c r="AM7138">
        <v>89.379640102860506</v>
      </c>
      <c r="AN7138">
        <v>0.99999999493786595</v>
      </c>
    </row>
    <row r="7139" spans="1:40" x14ac:dyDescent="0.25">
      <c r="A7139" t="str">
        <f>"20190312154436095"</f>
        <v>20190312154436095</v>
      </c>
      <c r="B7139" t="str">
        <f>"1552376676084289"</f>
        <v>1552376676084289</v>
      </c>
      <c r="C7139" t="s">
        <v>40</v>
      </c>
      <c r="D7139">
        <v>5.2816460000000003</v>
      </c>
      <c r="E7139">
        <v>0.50459889999999996</v>
      </c>
      <c r="F7139" t="s">
        <v>41</v>
      </c>
      <c r="G7139">
        <v>-187.87270000000001</v>
      </c>
      <c r="H7139">
        <v>1.0367109999999999</v>
      </c>
      <c r="I7139">
        <v>7.8554940000000002</v>
      </c>
      <c r="J7139">
        <v>-187.86670000000001</v>
      </c>
      <c r="K7139">
        <v>1.1098589999999999</v>
      </c>
      <c r="L7139">
        <v>7.2500609999999996</v>
      </c>
      <c r="M7139">
        <v>-4.2551220000000001E-2</v>
      </c>
      <c r="N7139">
        <v>0</v>
      </c>
      <c r="O7139">
        <v>0.99898699999999996</v>
      </c>
      <c r="P7139">
        <v>-2.8904969999999999E-2</v>
      </c>
      <c r="Q7139">
        <v>2.9177040000000001E-3</v>
      </c>
      <c r="R7139">
        <v>0.99957790000000002</v>
      </c>
      <c r="S7139">
        <v>-7.0190429999999998E-2</v>
      </c>
      <c r="T7139">
        <v>-0.21367050000000001</v>
      </c>
      <c r="U7139">
        <v>2.9996339999999999</v>
      </c>
      <c r="V7139">
        <v>1.3659289999999999E-2</v>
      </c>
      <c r="W7139">
        <v>1.7554159999999999E-2</v>
      </c>
      <c r="X7139">
        <v>0.99975259999999999</v>
      </c>
      <c r="Y7139">
        <v>1.9231040000000001E-2</v>
      </c>
      <c r="Z7139">
        <v>-7.0939530000000001E-2</v>
      </c>
      <c r="AA7139">
        <v>0.99729520000000005</v>
      </c>
      <c r="AB7139">
        <v>44</v>
      </c>
      <c r="AC7139">
        <v>-6.0000000000002196E-3</v>
      </c>
      <c r="AD7139">
        <v>-7.3147999999999699E-2</v>
      </c>
      <c r="AE7139">
        <v>0.605433</v>
      </c>
      <c r="AF7139">
        <v>1.9485699132039999E-2</v>
      </c>
      <c r="AG7139">
        <v>-7.3147999999999699E-2</v>
      </c>
      <c r="AH7139">
        <v>0.59643438761654299</v>
      </c>
      <c r="AI7139">
        <v>96.988270345786802</v>
      </c>
      <c r="AJ7139">
        <v>88.128794407263499</v>
      </c>
      <c r="AK7139">
        <v>0.60121901259539801</v>
      </c>
      <c r="AL7139">
        <v>88.9941690499667</v>
      </c>
      <c r="AM7139">
        <v>89.217235367258795</v>
      </c>
      <c r="AN7139">
        <v>0.99999999297168396</v>
      </c>
    </row>
    <row r="7140" spans="1:40" x14ac:dyDescent="0.25">
      <c r="A7140" t="str">
        <f>"20190312154436118"</f>
        <v>20190312154436118</v>
      </c>
      <c r="B7140" t="str">
        <f>"1552376676104785"</f>
        <v>1552376676104785</v>
      </c>
      <c r="C7140" t="s">
        <v>40</v>
      </c>
      <c r="D7140">
        <v>5.3218930000000002</v>
      </c>
      <c r="E7140">
        <v>0.50472039999999996</v>
      </c>
      <c r="F7140" t="s">
        <v>41</v>
      </c>
      <c r="G7140">
        <v>-187.8862</v>
      </c>
      <c r="H7140">
        <v>1.0394129999999999</v>
      </c>
      <c r="I7140">
        <v>8.2520860000000003</v>
      </c>
      <c r="J7140">
        <v>-187.8861</v>
      </c>
      <c r="K7140">
        <v>1.109688</v>
      </c>
      <c r="L7140">
        <v>7.7156679999999902</v>
      </c>
      <c r="M7140">
        <v>-4.1899869999999999E-2</v>
      </c>
      <c r="N7140">
        <v>0</v>
      </c>
      <c r="O7140">
        <v>0.99901280000000003</v>
      </c>
      <c r="P7140">
        <v>-2.5748070000000001E-2</v>
      </c>
      <c r="Q7140">
        <v>1.8183190000000001E-3</v>
      </c>
      <c r="R7140">
        <v>0.99966679999999997</v>
      </c>
      <c r="S7140">
        <v>-5.8273320000000003E-2</v>
      </c>
      <c r="T7140">
        <v>-0.21093129999999999</v>
      </c>
      <c r="U7140">
        <v>3.0001829999999998</v>
      </c>
      <c r="V7140">
        <v>1.6172450000000001E-2</v>
      </c>
      <c r="W7140">
        <v>1.6566299999999999E-2</v>
      </c>
      <c r="X7140">
        <v>0.99973199999999995</v>
      </c>
      <c r="Y7140">
        <v>2.2541700000000001E-2</v>
      </c>
      <c r="Z7140">
        <v>-7.0025260000000006E-2</v>
      </c>
      <c r="AA7140">
        <v>0.99729049999999997</v>
      </c>
      <c r="AB7140">
        <v>44</v>
      </c>
      <c r="AC7140">
        <v>-1.0000000000331901E-4</v>
      </c>
      <c r="AD7140">
        <v>-7.0275000000000004E-2</v>
      </c>
      <c r="AE7140">
        <v>0.53641800000000095</v>
      </c>
      <c r="AF7140">
        <v>2.2000779667142902E-2</v>
      </c>
      <c r="AG7140">
        <v>-7.0275000000000004E-2</v>
      </c>
      <c r="AH7140">
        <v>0.52690765967186104</v>
      </c>
      <c r="AI7140">
        <v>97.590312576797103</v>
      </c>
      <c r="AJ7140">
        <v>87.609030733418507</v>
      </c>
      <c r="AK7140">
        <v>0.53202846892984901</v>
      </c>
      <c r="AL7140">
        <v>89.050777536227102</v>
      </c>
      <c r="AM7140">
        <v>89.073219308664207</v>
      </c>
      <c r="AN7140">
        <v>1.00000003112934</v>
      </c>
    </row>
    <row r="7141" spans="1:40" x14ac:dyDescent="0.25">
      <c r="A7141" t="str">
        <f>"20190312154436137"</f>
        <v>20190312154436137</v>
      </c>
      <c r="B7141" t="str">
        <f>"1552376676124305"</f>
        <v>1552376676124305</v>
      </c>
      <c r="C7141" t="s">
        <v>40</v>
      </c>
      <c r="D7141">
        <v>5.3031329999999999</v>
      </c>
      <c r="E7141">
        <v>0.50482929999999904</v>
      </c>
      <c r="F7141" t="s">
        <v>41</v>
      </c>
      <c r="G7141">
        <v>-187.90090000000001</v>
      </c>
      <c r="H7141">
        <v>1.042748</v>
      </c>
      <c r="I7141">
        <v>8.6489009999999897</v>
      </c>
      <c r="J7141">
        <v>-187.90219999999999</v>
      </c>
      <c r="K7141">
        <v>1.109575</v>
      </c>
      <c r="L7141">
        <v>8.1087039999999995</v>
      </c>
      <c r="M7141">
        <v>-4.1328289999999997E-2</v>
      </c>
      <c r="N7141">
        <v>0</v>
      </c>
      <c r="O7141">
        <v>0.99903540000000002</v>
      </c>
      <c r="P7141">
        <v>-2.339689E-2</v>
      </c>
      <c r="Q7141" s="1">
        <v>-3.6466430000000002E-5</v>
      </c>
      <c r="R7141">
        <v>0.99972620000000001</v>
      </c>
      <c r="S7141">
        <v>-4.7927860000000003E-2</v>
      </c>
      <c r="T7141">
        <v>-0.21518329999999999</v>
      </c>
      <c r="U7141">
        <v>3.0001530000000001</v>
      </c>
      <c r="V7141">
        <v>1.7955680000000002E-2</v>
      </c>
      <c r="W7141">
        <v>1.4791729999999999E-2</v>
      </c>
      <c r="X7141">
        <v>0.99972930000000004</v>
      </c>
      <c r="Y7141">
        <v>2.5408940000000001E-2</v>
      </c>
      <c r="Z7141">
        <v>-7.1432659999999995E-2</v>
      </c>
      <c r="AA7141">
        <v>0.99712179999999995</v>
      </c>
      <c r="AB7141">
        <v>44</v>
      </c>
      <c r="AC7141">
        <v>1.2999999999863099E-3</v>
      </c>
      <c r="AD7141">
        <v>-6.68269999999999E-2</v>
      </c>
      <c r="AE7141">
        <v>0.54019699999999904</v>
      </c>
      <c r="AF7141">
        <v>2.3270638842511199E-2</v>
      </c>
      <c r="AG7141">
        <v>-6.68269999999999E-2</v>
      </c>
      <c r="AH7141">
        <v>0.53154698524380894</v>
      </c>
      <c r="AI7141">
        <v>97.158942014584198</v>
      </c>
      <c r="AJ7141">
        <v>87.493244065010202</v>
      </c>
      <c r="AK7141">
        <v>0.53623648522169798</v>
      </c>
      <c r="AL7141">
        <v>89.152465338316802</v>
      </c>
      <c r="AM7141">
        <v>88.971047380985894</v>
      </c>
      <c r="AN7141">
        <v>0.99999993749956995</v>
      </c>
    </row>
    <row r="7142" spans="1:40" x14ac:dyDescent="0.25">
      <c r="A7142" t="str">
        <f>"20190312154436162"</f>
        <v>20190312154436162</v>
      </c>
      <c r="B7142" t="str">
        <f>"1552376676154562"</f>
        <v>1552376676154562</v>
      </c>
      <c r="C7142" t="s">
        <v>40</v>
      </c>
      <c r="D7142">
        <v>5.3361029999999996</v>
      </c>
      <c r="E7142">
        <v>0.50478679999999998</v>
      </c>
      <c r="F7142" t="s">
        <v>41</v>
      </c>
      <c r="G7142">
        <v>-187.91460000000001</v>
      </c>
      <c r="H7142">
        <v>1.0405549999999999</v>
      </c>
      <c r="I7142">
        <v>9.0402979999999999</v>
      </c>
      <c r="J7142">
        <v>-187.92060000000001</v>
      </c>
      <c r="K7142">
        <v>1.109478</v>
      </c>
      <c r="L7142">
        <v>8.5639039999999902</v>
      </c>
      <c r="M7142">
        <v>-4.0648650000000001E-2</v>
      </c>
      <c r="N7142">
        <v>0</v>
      </c>
      <c r="O7142">
        <v>0.99906189999999995</v>
      </c>
      <c r="P7142">
        <v>-2.1152440000000002E-2</v>
      </c>
      <c r="Q7142">
        <v>-1.5971819999999999E-3</v>
      </c>
      <c r="R7142">
        <v>0.99977499999999997</v>
      </c>
      <c r="S7142">
        <v>-3.9718629999999998E-2</v>
      </c>
      <c r="T7142">
        <v>-0.22226109999999999</v>
      </c>
      <c r="U7142">
        <v>2.9998779999999998</v>
      </c>
      <c r="V7142">
        <v>1.952272E-2</v>
      </c>
      <c r="W7142">
        <v>1.3310819999999999E-2</v>
      </c>
      <c r="X7142">
        <v>0.99972079999999997</v>
      </c>
      <c r="Y7142">
        <v>2.7457740000000001E-2</v>
      </c>
      <c r="Z7142">
        <v>-7.3778880000000005E-2</v>
      </c>
      <c r="AA7142">
        <v>0.99689660000000002</v>
      </c>
      <c r="AB7142">
        <v>44</v>
      </c>
      <c r="AC7142">
        <v>6.0000000000002196E-3</v>
      </c>
      <c r="AD7142">
        <v>-6.8922999999999998E-2</v>
      </c>
      <c r="AE7142">
        <v>0.47639399999999998</v>
      </c>
      <c r="AF7142">
        <v>2.48420784550301E-2</v>
      </c>
      <c r="AG7142">
        <v>-6.8922999999999998E-2</v>
      </c>
      <c r="AH7142">
        <v>0.466003746653738</v>
      </c>
      <c r="AI7142">
        <v>98.401423274260907</v>
      </c>
      <c r="AJ7142">
        <v>86.948521862930804</v>
      </c>
      <c r="AK7142">
        <v>0.471727676404816</v>
      </c>
      <c r="AL7142">
        <v>89.237323666573502</v>
      </c>
      <c r="AM7142">
        <v>88.881260343386202</v>
      </c>
      <c r="AN7142">
        <v>0.99999999623895497</v>
      </c>
    </row>
    <row r="7143" spans="1:40" x14ac:dyDescent="0.25">
      <c r="A7143" t="str">
        <f>"20190312154436182"</f>
        <v>20190312154436182</v>
      </c>
      <c r="B7143" t="str">
        <f>"1552376676175057"</f>
        <v>1552376676175057</v>
      </c>
      <c r="C7143" t="s">
        <v>40</v>
      </c>
      <c r="D7143">
        <v>5.3194730000000003</v>
      </c>
      <c r="E7143">
        <v>0.50478849999999997</v>
      </c>
      <c r="F7143" t="s">
        <v>41</v>
      </c>
      <c r="G7143">
        <v>-187.93010000000001</v>
      </c>
      <c r="H7143">
        <v>1.0426949999999999</v>
      </c>
      <c r="I7143">
        <v>9.4352490000000007</v>
      </c>
      <c r="J7143">
        <v>-187.9375</v>
      </c>
      <c r="K7143">
        <v>1.109407</v>
      </c>
      <c r="L7143">
        <v>8.9916990000000006</v>
      </c>
      <c r="M7143">
        <v>-3.999817E-2</v>
      </c>
      <c r="N7143">
        <v>0</v>
      </c>
      <c r="O7143">
        <v>0.99908719999999995</v>
      </c>
      <c r="P7143">
        <v>-1.9566699999999999E-2</v>
      </c>
      <c r="Q7143">
        <v>-1.5383040000000001E-3</v>
      </c>
      <c r="R7143">
        <v>0.99980740000000001</v>
      </c>
      <c r="S7143">
        <v>-3.3081050000000001E-2</v>
      </c>
      <c r="T7143">
        <v>-0.22989200000000001</v>
      </c>
      <c r="U7143">
        <v>2.999603</v>
      </c>
      <c r="V7143">
        <v>2.0460510000000001E-2</v>
      </c>
      <c r="W7143">
        <v>1.343336E-2</v>
      </c>
      <c r="X7143">
        <v>0.99970040000000004</v>
      </c>
      <c r="Y7143">
        <v>2.901341E-2</v>
      </c>
      <c r="Z7143">
        <v>-7.630671E-2</v>
      </c>
      <c r="AA7143">
        <v>0.99666220000000005</v>
      </c>
      <c r="AB7143">
        <v>44</v>
      </c>
      <c r="AC7143">
        <v>7.3999999999898496E-3</v>
      </c>
      <c r="AD7143">
        <v>-6.6711999999999799E-2</v>
      </c>
      <c r="AE7143">
        <v>0.44355</v>
      </c>
      <c r="AF7143">
        <v>2.4581346658263899E-2</v>
      </c>
      <c r="AG7143">
        <v>-6.6711999999999799E-2</v>
      </c>
      <c r="AH7143">
        <v>0.43310418031036502</v>
      </c>
      <c r="AI7143">
        <v>98.742724393652793</v>
      </c>
      <c r="AJ7143">
        <v>86.751594389032803</v>
      </c>
      <c r="AK7143">
        <v>0.438900859591146</v>
      </c>
      <c r="AL7143">
        <v>89.230302008105696</v>
      </c>
      <c r="AM7143">
        <v>88.827511497434401</v>
      </c>
      <c r="AN7143">
        <v>0.99999998869525397</v>
      </c>
    </row>
    <row r="7144" spans="1:40" x14ac:dyDescent="0.25">
      <c r="A7144" t="str">
        <f>"20190312154436206"</f>
        <v>20190312154436206</v>
      </c>
      <c r="B7144" t="str">
        <f>"1552376676194577"</f>
        <v>1552376676194577</v>
      </c>
      <c r="C7144" t="s">
        <v>40</v>
      </c>
      <c r="D7144">
        <v>5.3156780000000001</v>
      </c>
      <c r="E7144">
        <v>0.50472229999999996</v>
      </c>
      <c r="F7144" t="s">
        <v>41</v>
      </c>
      <c r="G7144">
        <v>-187.94550000000001</v>
      </c>
      <c r="H7144">
        <v>1.0447360000000001</v>
      </c>
      <c r="I7144">
        <v>9.8296779999999995</v>
      </c>
      <c r="J7144">
        <v>-187.95529999999999</v>
      </c>
      <c r="K7144">
        <v>1.1093500000000001</v>
      </c>
      <c r="L7144">
        <v>9.4472959999999997</v>
      </c>
      <c r="M7144">
        <v>-3.9297100000000001E-2</v>
      </c>
      <c r="N7144">
        <v>0</v>
      </c>
      <c r="O7144">
        <v>0.99911399999999995</v>
      </c>
      <c r="P7144">
        <v>-1.785407E-2</v>
      </c>
      <c r="Q7144">
        <v>-1.1933600000000001E-3</v>
      </c>
      <c r="R7144">
        <v>0.9998399</v>
      </c>
      <c r="S7144">
        <v>-2.8335570000000001E-2</v>
      </c>
      <c r="T7144">
        <v>-0.2315092</v>
      </c>
      <c r="U7144">
        <v>2.9996640000000001</v>
      </c>
      <c r="V7144">
        <v>2.1474549999999999E-2</v>
      </c>
      <c r="W7144">
        <v>1.383625E-2</v>
      </c>
      <c r="X7144">
        <v>0.9996737</v>
      </c>
      <c r="Y7144">
        <v>2.9889200000000001E-2</v>
      </c>
      <c r="Z7144">
        <v>-7.6841590000000001E-2</v>
      </c>
      <c r="AA7144">
        <v>0.99659520000000001</v>
      </c>
      <c r="AB7144">
        <v>44</v>
      </c>
      <c r="AC7144">
        <v>9.7999999999842605E-3</v>
      </c>
      <c r="AD7144">
        <v>-6.4613999999999894E-2</v>
      </c>
      <c r="AE7144">
        <v>0.382381999999998</v>
      </c>
      <c r="AF7144">
        <v>2.4132037329383901E-2</v>
      </c>
      <c r="AG7144">
        <v>-6.4613999999999894E-2</v>
      </c>
      <c r="AH7144">
        <v>0.37111185173094402</v>
      </c>
      <c r="AI7144">
        <v>99.856310602524701</v>
      </c>
      <c r="AJ7144">
        <v>86.279504456249498</v>
      </c>
      <c r="AK7144">
        <v>0.37746699288392999</v>
      </c>
      <c r="AL7144">
        <v>89.207216015463203</v>
      </c>
      <c r="AM7144">
        <v>88.769386575739503</v>
      </c>
      <c r="AN7144">
        <v>1.0000000522917201</v>
      </c>
    </row>
    <row r="7145" spans="1:40" x14ac:dyDescent="0.25">
      <c r="A7145" t="str">
        <f>"20190312154436240"</f>
        <v>20190312154436240</v>
      </c>
      <c r="B7145" t="str">
        <f>"1552376676234594"</f>
        <v>1552376676234594</v>
      </c>
      <c r="C7145" t="s">
        <v>40</v>
      </c>
      <c r="D7145">
        <v>5.3352190000000004</v>
      </c>
      <c r="E7145">
        <v>0.5046524</v>
      </c>
      <c r="F7145" t="s">
        <v>43</v>
      </c>
      <c r="G7145">
        <v>-188.06909999999999</v>
      </c>
      <c r="H7145" s="1">
        <v>-2.1198640000000001E-6</v>
      </c>
      <c r="I7145">
        <v>23.775839999999999</v>
      </c>
      <c r="J7145">
        <v>-187.97069999999999</v>
      </c>
      <c r="K7145">
        <v>1.109307</v>
      </c>
      <c r="L7145">
        <v>9.8515010000000007</v>
      </c>
      <c r="M7145">
        <v>-3.8670129999999997E-2</v>
      </c>
      <c r="N7145">
        <v>0</v>
      </c>
      <c r="O7145">
        <v>0.99913779999999996</v>
      </c>
      <c r="P7145">
        <v>-1.6921430000000001E-2</v>
      </c>
      <c r="Q7145">
        <v>-1.1834479999999999E-3</v>
      </c>
      <c r="R7145">
        <v>0.99985610000000003</v>
      </c>
      <c r="S7145">
        <v>-2.3834230000000001E-2</v>
      </c>
      <c r="T7145">
        <v>-0.23225100000000001</v>
      </c>
      <c r="U7145">
        <v>2.9997859999999998</v>
      </c>
      <c r="V7145">
        <v>2.1781600000000002E-2</v>
      </c>
      <c r="W7145">
        <v>1.3890599999999999E-2</v>
      </c>
      <c r="X7145">
        <v>0.99966630000000001</v>
      </c>
      <c r="Y7145">
        <v>3.0757840000000002E-2</v>
      </c>
      <c r="Z7145">
        <v>-7.7085550000000003E-2</v>
      </c>
      <c r="AA7145">
        <v>0.99655000000000005</v>
      </c>
      <c r="AB7145">
        <v>44</v>
      </c>
      <c r="AC7145">
        <v>-9.8399999999998003E-2</v>
      </c>
      <c r="AD7145">
        <v>-1.1093091198639999</v>
      </c>
      <c r="AE7145">
        <v>13.924339</v>
      </c>
      <c r="AF7145">
        <v>0.437415030923271</v>
      </c>
      <c r="AG7145">
        <v>-1.1093091198639999</v>
      </c>
      <c r="AH7145">
        <v>13.829955403705799</v>
      </c>
      <c r="AI7145">
        <v>94.583628985760697</v>
      </c>
      <c r="AJ7145">
        <v>88.1884480006849</v>
      </c>
      <c r="AK7145">
        <v>13.8812666965656</v>
      </c>
      <c r="AL7145">
        <v>89.204101688185204</v>
      </c>
      <c r="AM7145">
        <v>88.751787161143199</v>
      </c>
      <c r="AN7145">
        <v>1.0000000491112999</v>
      </c>
    </row>
    <row r="7146" spans="1:40" x14ac:dyDescent="0.25">
      <c r="A7146" t="str">
        <f>"20190312154436256"</f>
        <v>20190312154436256</v>
      </c>
      <c r="B7146" t="str">
        <f>"1552376676244353"</f>
        <v>1552376676244353</v>
      </c>
      <c r="C7146" t="s">
        <v>40</v>
      </c>
      <c r="D7146">
        <v>5.3290100000000002</v>
      </c>
      <c r="E7146">
        <v>0.50457359999999996</v>
      </c>
      <c r="F7146" t="s">
        <v>43</v>
      </c>
      <c r="G7146">
        <v>-188.0744</v>
      </c>
      <c r="H7146" s="1">
        <v>-2.220342E-6</v>
      </c>
      <c r="I7146">
        <v>24.012229999999999</v>
      </c>
      <c r="J7146">
        <v>-187.99189999999999</v>
      </c>
      <c r="K7146">
        <v>1.1092610000000001</v>
      </c>
      <c r="L7146">
        <v>10.41888</v>
      </c>
      <c r="M7146">
        <v>-3.7783980000000002E-2</v>
      </c>
      <c r="N7146">
        <v>0</v>
      </c>
      <c r="O7146">
        <v>0.99917080000000003</v>
      </c>
      <c r="P7146">
        <v>-1.6362419999999999E-2</v>
      </c>
      <c r="Q7146">
        <v>-1.5542399999999999E-3</v>
      </c>
      <c r="R7146">
        <v>0.99986489999999995</v>
      </c>
      <c r="S7146">
        <v>-2.1957399999999998E-2</v>
      </c>
      <c r="T7146">
        <v>-0.23499439999999999</v>
      </c>
      <c r="U7146">
        <v>2.9997859999999998</v>
      </c>
      <c r="V7146">
        <v>2.1455229999999999E-2</v>
      </c>
      <c r="W7146">
        <v>1.3572580000000001E-2</v>
      </c>
      <c r="X7146">
        <v>0.9996777</v>
      </c>
      <c r="Y7146">
        <v>3.0495370000000001E-2</v>
      </c>
      <c r="Z7146">
        <v>-7.7995010000000004E-2</v>
      </c>
      <c r="AA7146">
        <v>0.99648729999999996</v>
      </c>
      <c r="AB7146">
        <v>44</v>
      </c>
      <c r="AC7146">
        <v>-8.2500000000010204E-2</v>
      </c>
      <c r="AD7146">
        <v>-1.1092632203419901</v>
      </c>
      <c r="AE7146">
        <v>13.593349999999999</v>
      </c>
      <c r="AF7146">
        <v>0.42837638500794301</v>
      </c>
      <c r="AG7146">
        <v>-1.1092632203419901</v>
      </c>
      <c r="AH7146">
        <v>13.496884767447099</v>
      </c>
      <c r="AI7146">
        <v>94.696032191049596</v>
      </c>
      <c r="AJ7146">
        <v>88.182104780676596</v>
      </c>
      <c r="AK7146">
        <v>13.549164905815401</v>
      </c>
      <c r="AL7146">
        <v>89.222324588850199</v>
      </c>
      <c r="AM7146">
        <v>88.770498299334506</v>
      </c>
      <c r="AN7146">
        <v>1.0000000228497401</v>
      </c>
    </row>
    <row r="7147" spans="1:40" x14ac:dyDescent="0.25">
      <c r="A7147" t="str">
        <f>"20190312154436274"</f>
        <v>20190312154436274</v>
      </c>
      <c r="B7147" t="str">
        <f>"1552376676264849"</f>
        <v>1552376676264849</v>
      </c>
      <c r="C7147" t="s">
        <v>40</v>
      </c>
      <c r="D7147">
        <v>5.2876130000000003</v>
      </c>
      <c r="E7147">
        <v>0.5044109</v>
      </c>
      <c r="F7147" t="s">
        <v>41</v>
      </c>
      <c r="G7147">
        <v>-187.99870000000001</v>
      </c>
      <c r="H7147">
        <v>1.0329120000000001</v>
      </c>
      <c r="I7147">
        <v>11.386760000000001</v>
      </c>
      <c r="J7147">
        <v>-188.005</v>
      </c>
      <c r="K7147">
        <v>1.109246</v>
      </c>
      <c r="L7147">
        <v>10.775270000000001</v>
      </c>
      <c r="M7147">
        <v>-3.7224599999999997E-2</v>
      </c>
      <c r="N7147">
        <v>0</v>
      </c>
      <c r="O7147">
        <v>0.99919139999999995</v>
      </c>
      <c r="P7147">
        <v>-1.6313370000000001E-2</v>
      </c>
      <c r="Q7147">
        <v>-2.1691649999999998E-3</v>
      </c>
      <c r="R7147">
        <v>0.99986459999999999</v>
      </c>
      <c r="S7147">
        <v>-2.105713E-2</v>
      </c>
      <c r="T7147">
        <v>-0.236623</v>
      </c>
      <c r="U7147">
        <v>2.999695</v>
      </c>
      <c r="V7147">
        <v>2.0944440000000002E-2</v>
      </c>
      <c r="W7147">
        <v>1.298755E-2</v>
      </c>
      <c r="X7147">
        <v>0.99969629999999998</v>
      </c>
      <c r="Y7147">
        <v>3.0234939999999998E-2</v>
      </c>
      <c r="Z7147">
        <v>-7.8537510000000005E-2</v>
      </c>
      <c r="AA7147">
        <v>0.99645260000000002</v>
      </c>
      <c r="AB7147">
        <v>44</v>
      </c>
      <c r="AC7147">
        <v>6.2999999999817603E-3</v>
      </c>
      <c r="AD7147">
        <v>-7.6333999999999902E-2</v>
      </c>
      <c r="AE7147">
        <v>0.61149000000000098</v>
      </c>
      <c r="AF7147">
        <v>2.86148668083301E-2</v>
      </c>
      <c r="AG7147">
        <v>-7.6333999999999902E-2</v>
      </c>
      <c r="AH7147">
        <v>0.60145986204816404</v>
      </c>
      <c r="AI7147">
        <v>97.224912579384295</v>
      </c>
      <c r="AJ7147">
        <v>87.276167707362106</v>
      </c>
      <c r="AK7147">
        <v>0.60695935268636803</v>
      </c>
      <c r="AL7147">
        <v>89.255847291845896</v>
      </c>
      <c r="AM7147">
        <v>88.799783010162599</v>
      </c>
      <c r="AN7147">
        <v>1.0000000191278</v>
      </c>
    </row>
    <row r="7148" spans="1:40" x14ac:dyDescent="0.25">
      <c r="A7148" t="str">
        <f>"20190312154436297"</f>
        <v>20190312154436297</v>
      </c>
      <c r="B7148" t="str">
        <f>"1552376676284369"</f>
        <v>1552376676284369</v>
      </c>
      <c r="C7148" t="s">
        <v>40</v>
      </c>
      <c r="D7148">
        <v>5.2813629999999998</v>
      </c>
      <c r="E7148">
        <v>0.50424539999999995</v>
      </c>
      <c r="F7148" t="s">
        <v>41</v>
      </c>
      <c r="G7148">
        <v>-188.01230000000001</v>
      </c>
      <c r="H7148">
        <v>1.0292870000000001</v>
      </c>
      <c r="I7148">
        <v>11.775359999999999</v>
      </c>
      <c r="J7148">
        <v>-188.02070000000001</v>
      </c>
      <c r="K7148">
        <v>1.109235</v>
      </c>
      <c r="L7148">
        <v>11.211460000000001</v>
      </c>
      <c r="M7148">
        <v>-3.6536770000000003E-2</v>
      </c>
      <c r="N7148">
        <v>0</v>
      </c>
      <c r="O7148">
        <v>0.99921629999999995</v>
      </c>
      <c r="P7148">
        <v>-1.6505140000000001E-2</v>
      </c>
      <c r="Q7148">
        <v>-1.795495E-3</v>
      </c>
      <c r="R7148">
        <v>0.99986220000000003</v>
      </c>
      <c r="S7148">
        <v>-2.2186279999999999E-2</v>
      </c>
      <c r="T7148">
        <v>-0.23981069999999999</v>
      </c>
      <c r="U7148">
        <v>2.9995120000000002</v>
      </c>
      <c r="V7148">
        <v>2.0066069999999998E-2</v>
      </c>
      <c r="W7148">
        <v>1.339283E-2</v>
      </c>
      <c r="X7148">
        <v>0.99970899999999996</v>
      </c>
      <c r="Y7148">
        <v>2.917198E-2</v>
      </c>
      <c r="Z7148">
        <v>-7.9597840000000003E-2</v>
      </c>
      <c r="AA7148">
        <v>0.99640010000000001</v>
      </c>
      <c r="AB7148">
        <v>44</v>
      </c>
      <c r="AC7148">
        <v>8.3999999999946305E-3</v>
      </c>
      <c r="AD7148">
        <v>-7.9947999999999894E-2</v>
      </c>
      <c r="AE7148">
        <v>0.56389999999999996</v>
      </c>
      <c r="AF7148">
        <v>2.84285566296534E-2</v>
      </c>
      <c r="AG7148">
        <v>-7.9947999999999894E-2</v>
      </c>
      <c r="AH7148">
        <v>0.55212090697331695</v>
      </c>
      <c r="AI7148">
        <v>98.228503559536406</v>
      </c>
      <c r="AJ7148">
        <v>87.052458755636806</v>
      </c>
      <c r="AK7148">
        <v>0.55860304461494303</v>
      </c>
      <c r="AL7148">
        <v>89.232624461946102</v>
      </c>
      <c r="AM7148">
        <v>88.850118622605805</v>
      </c>
      <c r="AN7148">
        <v>1.0000000498708199</v>
      </c>
    </row>
    <row r="7149" spans="1:40" x14ac:dyDescent="0.25">
      <c r="A7149" t="str">
        <f>"20190312154436319"</f>
        <v>20190312154436319</v>
      </c>
      <c r="B7149" t="str">
        <f>"1552376676304866"</f>
        <v>1552376676304866</v>
      </c>
      <c r="C7149" t="s">
        <v>40</v>
      </c>
      <c r="D7149">
        <v>5.3037299999999998</v>
      </c>
      <c r="E7149">
        <v>0.50412380000000001</v>
      </c>
      <c r="F7149" t="s">
        <v>41</v>
      </c>
      <c r="G7149">
        <v>-188.02850000000001</v>
      </c>
      <c r="H7149">
        <v>1.0328349999999999</v>
      </c>
      <c r="I7149">
        <v>12.167020000000001</v>
      </c>
      <c r="J7149">
        <v>-188.03630000000001</v>
      </c>
      <c r="K7149">
        <v>1.1092229999999901</v>
      </c>
      <c r="L7149">
        <v>11.652950000000001</v>
      </c>
      <c r="M7149">
        <v>-3.5837149999999998E-2</v>
      </c>
      <c r="N7149">
        <v>0</v>
      </c>
      <c r="O7149">
        <v>0.99924120000000005</v>
      </c>
      <c r="P7149">
        <v>-1.608132E-2</v>
      </c>
      <c r="Q7149">
        <v>-1.344242E-3</v>
      </c>
      <c r="R7149">
        <v>0.99986980000000003</v>
      </c>
      <c r="S7149">
        <v>-2.4307249999999999E-2</v>
      </c>
      <c r="T7149">
        <v>-0.23982829999999999</v>
      </c>
      <c r="U7149">
        <v>2.9995729999999998</v>
      </c>
      <c r="V7149">
        <v>1.979146E-2</v>
      </c>
      <c r="W7149">
        <v>1.38701E-2</v>
      </c>
      <c r="X7149">
        <v>0.99970789999999998</v>
      </c>
      <c r="Y7149">
        <v>2.7767759999999999E-2</v>
      </c>
      <c r="Z7149">
        <v>-7.9606449999999995E-2</v>
      </c>
      <c r="AA7149">
        <v>0.99643950000000003</v>
      </c>
      <c r="AB7149">
        <v>44</v>
      </c>
      <c r="AC7149">
        <v>7.80000000000313E-3</v>
      </c>
      <c r="AD7149">
        <v>-7.63879999999999E-2</v>
      </c>
      <c r="AE7149">
        <v>0.51406999999999803</v>
      </c>
      <c r="AF7149">
        <v>2.5653625821261E-2</v>
      </c>
      <c r="AG7149">
        <v>-7.63879999999999E-2</v>
      </c>
      <c r="AH7149">
        <v>0.50237019278082795</v>
      </c>
      <c r="AI7149">
        <v>98.634812787483696</v>
      </c>
      <c r="AJ7149">
        <v>87.076719737068203</v>
      </c>
      <c r="AK7149">
        <v>0.50879175077473904</v>
      </c>
      <c r="AL7149">
        <v>89.205276312580196</v>
      </c>
      <c r="AM7149">
        <v>88.865849697022597</v>
      </c>
      <c r="AN7149">
        <v>0.99999998344267504</v>
      </c>
    </row>
    <row r="7150" spans="1:40" x14ac:dyDescent="0.25">
      <c r="A7150" t="str">
        <f>"20190312154436339"</f>
        <v>20190312154436339</v>
      </c>
      <c r="B7150" t="str">
        <f>"1552376676335122"</f>
        <v>1552376676335122</v>
      </c>
      <c r="C7150" t="s">
        <v>40</v>
      </c>
      <c r="D7150">
        <v>5.2496530000000003</v>
      </c>
      <c r="E7150">
        <v>0.50392769999999998</v>
      </c>
      <c r="F7150" t="s">
        <v>41</v>
      </c>
      <c r="G7150">
        <v>-188.04339999999999</v>
      </c>
      <c r="H7150">
        <v>1.036875</v>
      </c>
      <c r="I7150">
        <v>12.558630000000001</v>
      </c>
      <c r="J7150">
        <v>-188.04990000000001</v>
      </c>
      <c r="K7150">
        <v>1.1092219999999999</v>
      </c>
      <c r="L7150">
        <v>12.04828</v>
      </c>
      <c r="M7150">
        <v>-3.5208360000000001E-2</v>
      </c>
      <c r="N7150">
        <v>0</v>
      </c>
      <c r="O7150">
        <v>0.99926329999999997</v>
      </c>
      <c r="P7150">
        <v>-1.585928E-2</v>
      </c>
      <c r="Q7150">
        <v>-9.6184090000000003E-4</v>
      </c>
      <c r="R7150">
        <v>0.99987380000000003</v>
      </c>
      <c r="S7150">
        <v>-2.3834230000000001E-2</v>
      </c>
      <c r="T7150">
        <v>-0.23961930000000001</v>
      </c>
      <c r="U7150">
        <v>2.999695</v>
      </c>
      <c r="V7150">
        <v>1.9385630000000001E-2</v>
      </c>
      <c r="W7150">
        <v>1.427251E-2</v>
      </c>
      <c r="X7150">
        <v>0.99971019999999999</v>
      </c>
      <c r="Y7150">
        <v>2.7296150000000002E-2</v>
      </c>
      <c r="Z7150">
        <v>-7.9537510000000006E-2</v>
      </c>
      <c r="AA7150">
        <v>0.99645810000000001</v>
      </c>
      <c r="AB7150">
        <v>44</v>
      </c>
      <c r="AC7150">
        <v>6.5000000000168196E-3</v>
      </c>
      <c r="AD7150">
        <v>-7.2346999999999898E-2</v>
      </c>
      <c r="AE7150">
        <v>0.51034999999999997</v>
      </c>
      <c r="AF7150">
        <v>2.39847375268652E-2</v>
      </c>
      <c r="AG7150">
        <v>-7.2346999999999898E-2</v>
      </c>
      <c r="AH7150">
        <v>0.499763125070389</v>
      </c>
      <c r="AI7150">
        <v>98.227723861208801</v>
      </c>
      <c r="AJ7150">
        <v>87.252357050667101</v>
      </c>
      <c r="AK7150">
        <v>0.50554182539464898</v>
      </c>
      <c r="AL7150">
        <v>89.182217644401007</v>
      </c>
      <c r="AM7150">
        <v>88.889102465489898</v>
      </c>
      <c r="AN7150">
        <v>0.99999999558811803</v>
      </c>
    </row>
    <row r="7151" spans="1:40" x14ac:dyDescent="0.25">
      <c r="A7151" t="str">
        <f>"20190312154436361"</f>
        <v>20190312154436361</v>
      </c>
      <c r="B7151" t="str">
        <f>"1552376676354642"</f>
        <v>1552376676354642</v>
      </c>
      <c r="C7151" t="s">
        <v>40</v>
      </c>
      <c r="D7151">
        <v>5.2630660000000002</v>
      </c>
      <c r="E7151">
        <v>0.50382399999999905</v>
      </c>
      <c r="F7151" t="s">
        <v>41</v>
      </c>
      <c r="G7151">
        <v>-188.0573</v>
      </c>
      <c r="H7151">
        <v>1.0373680000000001</v>
      </c>
      <c r="I7151">
        <v>12.948270000000001</v>
      </c>
      <c r="J7151">
        <v>-188.06469999999999</v>
      </c>
      <c r="K7151">
        <v>1.109229</v>
      </c>
      <c r="L7151">
        <v>12.483180000000001</v>
      </c>
      <c r="M7151">
        <v>-3.451427E-2</v>
      </c>
      <c r="N7151">
        <v>0</v>
      </c>
      <c r="O7151">
        <v>0.99928720000000004</v>
      </c>
      <c r="P7151">
        <v>-1.592381E-2</v>
      </c>
      <c r="Q7151">
        <v>-1.984376E-4</v>
      </c>
      <c r="R7151">
        <v>0.99987320000000002</v>
      </c>
      <c r="S7151">
        <v>-2.4658200000000002E-2</v>
      </c>
      <c r="T7151">
        <v>-0.23948630000000001</v>
      </c>
      <c r="U7151">
        <v>2.9997560000000001</v>
      </c>
      <c r="V7151">
        <v>1.8628599999999999E-2</v>
      </c>
      <c r="W7151">
        <v>1.505539E-2</v>
      </c>
      <c r="X7151">
        <v>0.99971310000000002</v>
      </c>
      <c r="Y7151">
        <v>2.6328259999999999E-2</v>
      </c>
      <c r="Z7151">
        <v>-7.9495899999999994E-2</v>
      </c>
      <c r="AA7151">
        <v>0.99648740000000002</v>
      </c>
      <c r="AB7151">
        <v>44</v>
      </c>
      <c r="AC7151">
        <v>7.3999999999898496E-3</v>
      </c>
      <c r="AD7151">
        <v>-7.1860999999999897E-2</v>
      </c>
      <c r="AE7151">
        <v>0.46508999999999801</v>
      </c>
      <c r="AF7151">
        <v>2.29030755378926E-2</v>
      </c>
      <c r="AG7151">
        <v>-7.1860999999999897E-2</v>
      </c>
      <c r="AH7151">
        <v>0.45372815327828298</v>
      </c>
      <c r="AI7151">
        <v>98.988437832523303</v>
      </c>
      <c r="AJ7151">
        <v>87.110303320194106</v>
      </c>
      <c r="AK7151">
        <v>0.45995411865469299</v>
      </c>
      <c r="AL7151">
        <v>89.137357091368102</v>
      </c>
      <c r="AM7151">
        <v>88.932477079060206</v>
      </c>
      <c r="AN7151">
        <v>0.99999998590881001</v>
      </c>
    </row>
    <row r="7152" spans="1:40" x14ac:dyDescent="0.25">
      <c r="A7152" t="str">
        <f>"20190312154436384"</f>
        <v>20190312154436384</v>
      </c>
      <c r="B7152" t="str">
        <f>"1552376676375137"</f>
        <v>1552376676375137</v>
      </c>
      <c r="C7152" t="s">
        <v>40</v>
      </c>
      <c r="D7152">
        <v>5.2515020000000003</v>
      </c>
      <c r="E7152">
        <v>0.5037372</v>
      </c>
      <c r="F7152" t="s">
        <v>41</v>
      </c>
      <c r="G7152">
        <v>-188.0718</v>
      </c>
      <c r="H7152">
        <v>1.0412399999999999</v>
      </c>
      <c r="I7152">
        <v>13.34057</v>
      </c>
      <c r="J7152">
        <v>-188.0797</v>
      </c>
      <c r="K7152">
        <v>1.1092280000000001</v>
      </c>
      <c r="L7152">
        <v>12.936310000000001</v>
      </c>
      <c r="M7152">
        <v>-3.3789029999999998E-2</v>
      </c>
      <c r="N7152">
        <v>0</v>
      </c>
      <c r="O7152">
        <v>0.99931170000000002</v>
      </c>
      <c r="P7152">
        <v>-1.5741189999999999E-2</v>
      </c>
      <c r="Q7152">
        <v>1.643653E-4</v>
      </c>
      <c r="R7152">
        <v>0.99987610000000005</v>
      </c>
      <c r="S7152">
        <v>-2.5665279999999999E-2</v>
      </c>
      <c r="T7152">
        <v>-0.23786570000000001</v>
      </c>
      <c r="U7152">
        <v>2.9999389999999999</v>
      </c>
      <c r="V7152">
        <v>1.8086680000000001E-2</v>
      </c>
      <c r="W7152">
        <v>1.543491E-2</v>
      </c>
      <c r="X7152">
        <v>0.99971730000000003</v>
      </c>
      <c r="Y7152">
        <v>2.5268390000000002E-2</v>
      </c>
      <c r="Z7152">
        <v>-7.8960420000000003E-2</v>
      </c>
      <c r="AA7152">
        <v>0.99655749999999999</v>
      </c>
      <c r="AB7152">
        <v>44</v>
      </c>
      <c r="AC7152">
        <v>7.9000000000064505E-3</v>
      </c>
      <c r="AD7152">
        <v>-6.7988000000000104E-2</v>
      </c>
      <c r="AE7152">
        <v>0.40426000000000001</v>
      </c>
      <c r="AF7152">
        <v>2.09639224041119E-2</v>
      </c>
      <c r="AG7152">
        <v>-6.7988000000000104E-2</v>
      </c>
      <c r="AH7152">
        <v>0.39266032359353997</v>
      </c>
      <c r="AI7152">
        <v>99.809506263645005</v>
      </c>
      <c r="AJ7152">
        <v>86.943910829278494</v>
      </c>
      <c r="AK7152">
        <v>0.39905386091497602</v>
      </c>
      <c r="AL7152">
        <v>89.1156097014144</v>
      </c>
      <c r="AM7152">
        <v>88.963529602002396</v>
      </c>
      <c r="AN7152">
        <v>1.0000000221797001</v>
      </c>
    </row>
    <row r="7153" spans="1:40" x14ac:dyDescent="0.25">
      <c r="A7153" t="str">
        <f>"20190312154436407"</f>
        <v>20190312154436407</v>
      </c>
      <c r="B7153" t="str">
        <f>"1552376676394658"</f>
        <v>1552376676394658</v>
      </c>
      <c r="C7153" t="s">
        <v>40</v>
      </c>
      <c r="D7153">
        <v>5.2401200000000001</v>
      </c>
      <c r="E7153">
        <v>0.50365300000000002</v>
      </c>
      <c r="F7153" t="s">
        <v>43</v>
      </c>
      <c r="G7153">
        <v>-188.19919999999999</v>
      </c>
      <c r="H7153" s="1">
        <v>-3.4587329999999999E-6</v>
      </c>
      <c r="I7153">
        <v>26.950559999999999</v>
      </c>
      <c r="J7153">
        <v>-188.09389999999999</v>
      </c>
      <c r="K7153">
        <v>1.1092299999999999</v>
      </c>
      <c r="L7153">
        <v>13.37219</v>
      </c>
      <c r="M7153">
        <v>-3.309024E-2</v>
      </c>
      <c r="N7153">
        <v>0</v>
      </c>
      <c r="O7153">
        <v>0.99933490000000003</v>
      </c>
      <c r="P7153">
        <v>-1.559699E-2</v>
      </c>
      <c r="Q7153">
        <v>1.002926E-4</v>
      </c>
      <c r="R7153">
        <v>0.9998783</v>
      </c>
      <c r="S7153">
        <v>-2.5573729999999999E-2</v>
      </c>
      <c r="T7153">
        <v>-0.23745079999999999</v>
      </c>
      <c r="U7153">
        <v>3</v>
      </c>
      <c r="V7153">
        <v>1.75319E-2</v>
      </c>
      <c r="W7153">
        <v>1.538437E-2</v>
      </c>
      <c r="X7153">
        <v>0.99972799999999995</v>
      </c>
      <c r="Y7153">
        <v>2.4599849999999999E-2</v>
      </c>
      <c r="Z7153">
        <v>-7.8825419999999993E-2</v>
      </c>
      <c r="AA7153">
        <v>0.9965849</v>
      </c>
      <c r="AB7153">
        <v>43</v>
      </c>
      <c r="AC7153">
        <v>-0.10529999999999901</v>
      </c>
      <c r="AD7153">
        <v>-1.1092334587329999</v>
      </c>
      <c r="AE7153">
        <v>13.57837</v>
      </c>
      <c r="AF7153">
        <v>0.34184083656395298</v>
      </c>
      <c r="AG7153">
        <v>-1.1092334587329999</v>
      </c>
      <c r="AH7153">
        <v>13.4844347772534</v>
      </c>
      <c r="AI7153">
        <v>94.701075619152704</v>
      </c>
      <c r="AJ7153">
        <v>88.547818769625906</v>
      </c>
      <c r="AK7153">
        <v>13.534298477775501</v>
      </c>
      <c r="AL7153">
        <v>89.118505807405498</v>
      </c>
      <c r="AM7153">
        <v>88.995325806074803</v>
      </c>
      <c r="AN7153">
        <v>1.00000006017095</v>
      </c>
    </row>
    <row r="7154" spans="1:40" x14ac:dyDescent="0.25">
      <c r="A7154" t="str">
        <f>"20190312154436430"</f>
        <v>20190312154436430</v>
      </c>
      <c r="B7154" t="str">
        <f>"1552376676424914"</f>
        <v>1552376676424914</v>
      </c>
      <c r="C7154" t="s">
        <v>40</v>
      </c>
      <c r="D7154">
        <v>5.2683419999999996</v>
      </c>
      <c r="E7154">
        <v>0.50348820000000005</v>
      </c>
      <c r="F7154" t="s">
        <v>43</v>
      </c>
      <c r="G7154">
        <v>-188.21459999999999</v>
      </c>
      <c r="H7154" s="1">
        <v>-3.6287390000000001E-6</v>
      </c>
      <c r="I7154">
        <v>27.35322</v>
      </c>
      <c r="J7154">
        <v>-188.10810000000001</v>
      </c>
      <c r="K7154">
        <v>1.1092340000000001</v>
      </c>
      <c r="L7154">
        <v>13.81793</v>
      </c>
      <c r="M7154">
        <v>-3.2373600000000002E-2</v>
      </c>
      <c r="N7154">
        <v>0</v>
      </c>
      <c r="O7154">
        <v>0.99935819999999997</v>
      </c>
      <c r="P7154">
        <v>-1.501395E-2</v>
      </c>
      <c r="Q7154">
        <v>5.5993799999999995E-4</v>
      </c>
      <c r="R7154">
        <v>0.99988710000000003</v>
      </c>
      <c r="S7154">
        <v>-2.5894170000000001E-2</v>
      </c>
      <c r="T7154">
        <v>-0.23801539999999999</v>
      </c>
      <c r="U7154">
        <v>3</v>
      </c>
      <c r="V7154">
        <v>1.7399069999999999E-2</v>
      </c>
      <c r="W7154">
        <v>1.585495E-2</v>
      </c>
      <c r="X7154">
        <v>0.99972289999999997</v>
      </c>
      <c r="Y7154">
        <v>2.377665E-2</v>
      </c>
      <c r="Z7154">
        <v>-7.9015199999999994E-2</v>
      </c>
      <c r="AA7154">
        <v>0.99658979999999997</v>
      </c>
      <c r="AB7154">
        <v>43</v>
      </c>
      <c r="AC7154">
        <v>-0.106499999999982</v>
      </c>
      <c r="AD7154">
        <v>-1.109237628739</v>
      </c>
      <c r="AE7154">
        <v>13.53529</v>
      </c>
      <c r="AF7154">
        <v>0.329580086968495</v>
      </c>
      <c r="AG7154">
        <v>-1.109237628739</v>
      </c>
      <c r="AH7154">
        <v>13.441374452437501</v>
      </c>
      <c r="AI7154">
        <v>94.716182866932698</v>
      </c>
      <c r="AJ7154">
        <v>88.595399225926798</v>
      </c>
      <c r="AK7154">
        <v>13.491092554770299</v>
      </c>
      <c r="AL7154">
        <v>89.091540209214401</v>
      </c>
      <c r="AM7154">
        <v>89.002931066946502</v>
      </c>
      <c r="AN7154">
        <v>0.99999999193038802</v>
      </c>
    </row>
    <row r="7155" spans="1:40" x14ac:dyDescent="0.25">
      <c r="A7155" t="str">
        <f>"20190312154436451"</f>
        <v>20190312154436451</v>
      </c>
      <c r="B7155" t="str">
        <f>"1552376676444434"</f>
        <v>1552376676444434</v>
      </c>
      <c r="C7155" t="s">
        <v>40</v>
      </c>
      <c r="D7155">
        <v>5.268662</v>
      </c>
      <c r="E7155">
        <v>0.50336979999999998</v>
      </c>
      <c r="F7155" t="s">
        <v>41</v>
      </c>
      <c r="G7155">
        <v>-188.11709999999999</v>
      </c>
      <c r="H7155">
        <v>1.025156</v>
      </c>
      <c r="I7155">
        <v>14.88106</v>
      </c>
      <c r="J7155">
        <v>-188.12049999999999</v>
      </c>
      <c r="K7155">
        <v>1.1092360000000001</v>
      </c>
      <c r="L7155">
        <v>14.22031</v>
      </c>
      <c r="M7155">
        <v>-3.1723399999999999E-2</v>
      </c>
      <c r="N7155">
        <v>0</v>
      </c>
      <c r="O7155">
        <v>0.99937900000000002</v>
      </c>
      <c r="P7155">
        <v>-1.4766909999999999E-2</v>
      </c>
      <c r="Q7155">
        <v>5.7778840000000001E-4</v>
      </c>
      <c r="R7155">
        <v>0.99989079999999997</v>
      </c>
      <c r="S7155">
        <v>-2.5695800000000001E-2</v>
      </c>
      <c r="T7155">
        <v>-0.23726079999999999</v>
      </c>
      <c r="U7155">
        <v>3.000092</v>
      </c>
      <c r="V7155">
        <v>1.699583E-2</v>
      </c>
      <c r="W7155">
        <v>1.5880700000000001E-2</v>
      </c>
      <c r="X7155">
        <v>0.99972950000000005</v>
      </c>
      <c r="Y7155">
        <v>2.31922E-2</v>
      </c>
      <c r="Z7155">
        <v>-7.8766870000000003E-2</v>
      </c>
      <c r="AA7155">
        <v>0.99662329999999999</v>
      </c>
      <c r="AB7155">
        <v>43</v>
      </c>
      <c r="AC7155">
        <v>3.3999999999991802E-3</v>
      </c>
      <c r="AD7155">
        <v>-8.4080000000000099E-2</v>
      </c>
      <c r="AE7155">
        <v>0.66074999999999795</v>
      </c>
      <c r="AF7155">
        <v>2.3973807717245402E-2</v>
      </c>
      <c r="AG7155">
        <v>-8.4080000000000099E-2</v>
      </c>
      <c r="AH7155">
        <v>0.64978813798600599</v>
      </c>
      <c r="AI7155">
        <v>97.367921346601193</v>
      </c>
      <c r="AJ7155">
        <v>87.887041683456104</v>
      </c>
      <c r="AK7155">
        <v>0.65564381650693904</v>
      </c>
      <c r="AL7155">
        <v>89.090064722707695</v>
      </c>
      <c r="AM7155">
        <v>89.026041012609696</v>
      </c>
      <c r="AN7155">
        <v>1.0000000640200599</v>
      </c>
    </row>
    <row r="7156" spans="1:40" x14ac:dyDescent="0.25">
      <c r="A7156" t="str">
        <f>"20190312154436473"</f>
        <v>20190312154436473</v>
      </c>
      <c r="B7156" t="str">
        <f>"1552376676464930"</f>
        <v>1552376676464930</v>
      </c>
      <c r="C7156" t="s">
        <v>40</v>
      </c>
      <c r="D7156">
        <v>5.3056640000000002</v>
      </c>
      <c r="E7156">
        <v>0.4930872</v>
      </c>
      <c r="F7156" t="s">
        <v>41</v>
      </c>
      <c r="G7156">
        <v>-188.1294</v>
      </c>
      <c r="H7156">
        <v>1.026214</v>
      </c>
      <c r="I7156">
        <v>15.268129999999999</v>
      </c>
      <c r="J7156">
        <v>-188.1335</v>
      </c>
      <c r="K7156">
        <v>1.10924</v>
      </c>
      <c r="L7156">
        <v>14.64536</v>
      </c>
      <c r="M7156">
        <v>-3.1031889999999999E-2</v>
      </c>
      <c r="N7156">
        <v>0</v>
      </c>
      <c r="O7156">
        <v>0.99940059999999997</v>
      </c>
      <c r="P7156">
        <v>-1.417788E-2</v>
      </c>
      <c r="Q7156" s="1">
        <v>-3.1294080000000001E-5</v>
      </c>
      <c r="R7156">
        <v>0.99989950000000005</v>
      </c>
      <c r="S7156">
        <v>-2.5634770000000001E-2</v>
      </c>
      <c r="T7156">
        <v>-0.2376993</v>
      </c>
      <c r="U7156">
        <v>3.000092</v>
      </c>
      <c r="V7156">
        <v>1.6892020000000001E-2</v>
      </c>
      <c r="W7156">
        <v>1.527805E-2</v>
      </c>
      <c r="X7156">
        <v>0.99974059999999998</v>
      </c>
      <c r="Y7156">
        <v>2.252082E-2</v>
      </c>
      <c r="Z7156">
        <v>-7.8914709999999999E-2</v>
      </c>
      <c r="AA7156">
        <v>0.99662700000000004</v>
      </c>
      <c r="AB7156">
        <v>43</v>
      </c>
      <c r="AC7156">
        <v>4.0999999999939904E-3</v>
      </c>
      <c r="AD7156">
        <v>-8.3026000000000003E-2</v>
      </c>
      <c r="AE7156">
        <v>0.62276999999999905</v>
      </c>
      <c r="AF7156">
        <v>2.3016956674554799E-2</v>
      </c>
      <c r="AG7156">
        <v>-8.3026000000000003E-2</v>
      </c>
      <c r="AH7156">
        <v>0.61147517383842598</v>
      </c>
      <c r="AI7156">
        <v>97.726918896050194</v>
      </c>
      <c r="AJ7156">
        <v>87.844307987642097</v>
      </c>
      <c r="AK7156">
        <v>0.61751517000903899</v>
      </c>
      <c r="AL7156">
        <v>89.124598169254895</v>
      </c>
      <c r="AM7156">
        <v>89.031999533968104</v>
      </c>
      <c r="AN7156">
        <v>1.00000001321992</v>
      </c>
    </row>
    <row r="7157" spans="1:40" x14ac:dyDescent="0.25">
      <c r="A7157" t="str">
        <f>"20190312154436497"</f>
        <v>20190312154436497</v>
      </c>
      <c r="B7157" t="str">
        <f>"1552376676494210"</f>
        <v>1552376676494210</v>
      </c>
      <c r="C7157" t="s">
        <v>40</v>
      </c>
      <c r="D7157">
        <v>5.308338</v>
      </c>
      <c r="E7157">
        <v>0.49241960000000001</v>
      </c>
      <c r="F7157" t="s">
        <v>41</v>
      </c>
      <c r="G7157">
        <v>-188.16900000000001</v>
      </c>
      <c r="H7157">
        <v>1.0323639999999901</v>
      </c>
      <c r="I7157">
        <v>15.659179999999999</v>
      </c>
      <c r="J7157">
        <v>-188.14709999999999</v>
      </c>
      <c r="K7157">
        <v>1.109235</v>
      </c>
      <c r="L7157">
        <v>15.107089999999999</v>
      </c>
      <c r="M7157">
        <v>-3.0268090000000001E-2</v>
      </c>
      <c r="N7157">
        <v>0</v>
      </c>
      <c r="O7157">
        <v>0.99942390000000003</v>
      </c>
      <c r="P7157">
        <v>-1.323307E-2</v>
      </c>
      <c r="Q7157" s="1">
        <v>1.051357E-5</v>
      </c>
      <c r="R7157">
        <v>0.99991240000000003</v>
      </c>
      <c r="S7157">
        <v>-0.10533140000000001</v>
      </c>
      <c r="T7157">
        <v>-0.22738559999999999</v>
      </c>
      <c r="U7157">
        <v>2.9988100000000002</v>
      </c>
      <c r="V7157">
        <v>1.7073069999999999E-2</v>
      </c>
      <c r="W7157">
        <v>1.5324300000000001E-2</v>
      </c>
      <c r="X7157">
        <v>0.99973679999999998</v>
      </c>
      <c r="Y7157">
        <v>-4.7333449999999999E-3</v>
      </c>
      <c r="Z7157">
        <v>-7.5532820000000001E-2</v>
      </c>
      <c r="AA7157">
        <v>0.99713209999999997</v>
      </c>
      <c r="AB7157">
        <v>43</v>
      </c>
      <c r="AC7157">
        <v>-2.1900000000016399E-2</v>
      </c>
      <c r="AD7157">
        <v>-7.6871000000000106E-2</v>
      </c>
      <c r="AE7157">
        <v>0.55208999999999897</v>
      </c>
      <c r="AF7157">
        <v>-5.0789736424940403E-3</v>
      </c>
      <c r="AG7157">
        <v>-7.6871000000000106E-2</v>
      </c>
      <c r="AH7157">
        <v>0.54200864603961996</v>
      </c>
      <c r="AI7157">
        <v>98.071854243899196</v>
      </c>
      <c r="AJ7157">
        <v>90.536883016454098</v>
      </c>
      <c r="AK7157">
        <v>0.54745622564362495</v>
      </c>
      <c r="AL7157">
        <v>89.121947914613898</v>
      </c>
      <c r="AM7157">
        <v>89.0216227167071</v>
      </c>
      <c r="AN7157">
        <v>0.99999999658197702</v>
      </c>
    </row>
    <row r="7158" spans="1:40" x14ac:dyDescent="0.25">
      <c r="A7158" t="str">
        <f>"20190312154436519"</f>
        <v>20190312154436519</v>
      </c>
      <c r="B7158" t="str">
        <f>"1552376676514705"</f>
        <v>1552376676514705</v>
      </c>
      <c r="C7158" t="s">
        <v>40</v>
      </c>
      <c r="D7158">
        <v>5.3091819999999998</v>
      </c>
      <c r="E7158">
        <v>0.49208279999999899</v>
      </c>
      <c r="F7158" t="s">
        <v>43</v>
      </c>
      <c r="G7158">
        <v>-188.68989999999999</v>
      </c>
      <c r="H7158" s="1">
        <v>-5.5061779999999995E-7</v>
      </c>
      <c r="I7158">
        <v>30.24175</v>
      </c>
      <c r="J7158">
        <v>-188.15940000000001</v>
      </c>
      <c r="K7158">
        <v>1.109229</v>
      </c>
      <c r="L7158">
        <v>15.53369</v>
      </c>
      <c r="M7158">
        <v>-2.9545060000000001E-2</v>
      </c>
      <c r="N7158">
        <v>0</v>
      </c>
      <c r="O7158">
        <v>0.99944549999999999</v>
      </c>
      <c r="P7158">
        <v>-1.2344269999999999E-2</v>
      </c>
      <c r="Q7158">
        <v>1.0917359999999999E-4</v>
      </c>
      <c r="R7158">
        <v>0.99992380000000003</v>
      </c>
      <c r="S7158">
        <v>-0.107543899999999</v>
      </c>
      <c r="T7158">
        <v>-0.21978819999999999</v>
      </c>
      <c r="U7158">
        <v>2.99884</v>
      </c>
      <c r="V7158">
        <v>1.723916E-2</v>
      </c>
      <c r="W7158">
        <v>1.5425370000000001E-2</v>
      </c>
      <c r="X7158">
        <v>0.99973239999999997</v>
      </c>
      <c r="Y7158">
        <v>-6.1978689999999999E-3</v>
      </c>
      <c r="Z7158">
        <v>-7.3023190000000002E-2</v>
      </c>
      <c r="AA7158">
        <v>0.99731099999999995</v>
      </c>
      <c r="AB7158">
        <v>43</v>
      </c>
      <c r="AC7158">
        <v>-0.53049999999998898</v>
      </c>
      <c r="AD7158">
        <v>-1.1092295506178</v>
      </c>
      <c r="AE7158">
        <v>14.70806</v>
      </c>
      <c r="AF7158">
        <v>-9.5126260521279996E-2</v>
      </c>
      <c r="AG7158">
        <v>-1.1092295506178</v>
      </c>
      <c r="AH7158">
        <v>14.6341873335149</v>
      </c>
      <c r="AI7158">
        <v>94.334476698739394</v>
      </c>
      <c r="AJ7158">
        <v>90.372433149930401</v>
      </c>
      <c r="AK7158">
        <v>14.676473626651999</v>
      </c>
      <c r="AL7158">
        <v>89.116156349626195</v>
      </c>
      <c r="AM7158">
        <v>89.012102410668504</v>
      </c>
      <c r="AN7158">
        <v>1.00000000114345</v>
      </c>
    </row>
    <row r="7159" spans="1:40" x14ac:dyDescent="0.25">
      <c r="A7159" t="str">
        <f>"20190312154436540"</f>
        <v>20190312154436540</v>
      </c>
      <c r="B7159" t="str">
        <f>"1552376676534225"</f>
        <v>1552376676534225</v>
      </c>
      <c r="C7159" t="s">
        <v>40</v>
      </c>
      <c r="D7159">
        <v>5.3051180000000002</v>
      </c>
      <c r="E7159">
        <v>0.4921295</v>
      </c>
      <c r="F7159" t="s">
        <v>43</v>
      </c>
      <c r="G7159">
        <v>-188.7047</v>
      </c>
      <c r="H7159" s="1">
        <v>-7.1592609999999896E-7</v>
      </c>
      <c r="I7159">
        <v>30.739100000000001</v>
      </c>
      <c r="J7159">
        <v>-188.1705</v>
      </c>
      <c r="K7159">
        <v>1.1092200000000001</v>
      </c>
      <c r="L7159">
        <v>15.92667</v>
      </c>
      <c r="M7159">
        <v>-2.8858740000000001E-2</v>
      </c>
      <c r="N7159">
        <v>0</v>
      </c>
      <c r="O7159">
        <v>0.99946550000000001</v>
      </c>
      <c r="P7159">
        <v>-1.11713E-2</v>
      </c>
      <c r="Q7159">
        <v>-3.08327E-4</v>
      </c>
      <c r="R7159">
        <v>0.99993750000000003</v>
      </c>
      <c r="S7159">
        <v>-0.107543899999999</v>
      </c>
      <c r="T7159">
        <v>-0.21877099999999999</v>
      </c>
      <c r="U7159">
        <v>2.9989319999999999</v>
      </c>
      <c r="V7159">
        <v>1.772516E-2</v>
      </c>
      <c r="W7159">
        <v>1.500866E-2</v>
      </c>
      <c r="X7159">
        <v>0.99973020000000001</v>
      </c>
      <c r="Y7159">
        <v>-6.8843430000000002E-3</v>
      </c>
      <c r="Z7159">
        <v>-7.2686829999999994E-2</v>
      </c>
      <c r="AA7159">
        <v>0.99733110000000003</v>
      </c>
      <c r="AB7159">
        <v>43</v>
      </c>
      <c r="AC7159">
        <v>-0.53419999999999801</v>
      </c>
      <c r="AD7159">
        <v>-1.1092207159261001</v>
      </c>
      <c r="AE7159">
        <v>14.812430000000001</v>
      </c>
      <c r="AF7159">
        <v>-0.105866068831362</v>
      </c>
      <c r="AG7159">
        <v>-1.1092207159261001</v>
      </c>
      <c r="AH7159">
        <v>14.7391323263298</v>
      </c>
      <c r="AI7159">
        <v>94.303676731580495</v>
      </c>
      <c r="AJ7159">
        <v>90.411528609428501</v>
      </c>
      <c r="AK7159">
        <v>14.7811907488615</v>
      </c>
      <c r="AL7159">
        <v>89.140034800854707</v>
      </c>
      <c r="AM7159">
        <v>88.984255488702601</v>
      </c>
      <c r="AN7159">
        <v>0.99999995698202904</v>
      </c>
    </row>
    <row r="7160" spans="1:40" x14ac:dyDescent="0.25">
      <c r="A7160" t="str">
        <f>"20190312154436562"</f>
        <v>20190312154436562</v>
      </c>
      <c r="B7160" t="str">
        <f>"1552376676554722"</f>
        <v>1552376676554722</v>
      </c>
      <c r="C7160" t="s">
        <v>40</v>
      </c>
      <c r="D7160">
        <v>5.3106589999999896</v>
      </c>
      <c r="E7160">
        <v>0.4919695</v>
      </c>
      <c r="F7160" t="s">
        <v>43</v>
      </c>
      <c r="G7160">
        <v>-188.6953</v>
      </c>
      <c r="H7160" s="1">
        <v>-8.6153859999999997E-7</v>
      </c>
      <c r="I7160">
        <v>31.10155</v>
      </c>
      <c r="J7160">
        <v>-188.1825</v>
      </c>
      <c r="K7160">
        <v>1.1092</v>
      </c>
      <c r="L7160">
        <v>16.365749999999998</v>
      </c>
      <c r="M7160">
        <v>-2.8062110000000001E-2</v>
      </c>
      <c r="N7160">
        <v>0</v>
      </c>
      <c r="O7160">
        <v>0.99948820000000005</v>
      </c>
      <c r="P7160">
        <v>-1.0076659999999999E-2</v>
      </c>
      <c r="Q7160">
        <v>-6.9887479999999999E-4</v>
      </c>
      <c r="R7160">
        <v>0.99994899999999998</v>
      </c>
      <c r="S7160">
        <v>-0.103714</v>
      </c>
      <c r="T7160">
        <v>-0.21921160000000001</v>
      </c>
      <c r="U7160">
        <v>2.9989620000000001</v>
      </c>
      <c r="V7160">
        <v>1.802279E-2</v>
      </c>
      <c r="W7160">
        <v>1.461818E-2</v>
      </c>
      <c r="X7160">
        <v>0.99973069999999997</v>
      </c>
      <c r="Y7160">
        <v>-6.4085269999999998E-3</v>
      </c>
      <c r="Z7160">
        <v>-7.2835919999999998E-2</v>
      </c>
      <c r="AA7160">
        <v>0.99732330000000002</v>
      </c>
      <c r="AB7160">
        <v>43</v>
      </c>
      <c r="AC7160">
        <v>-0.51279999999999804</v>
      </c>
      <c r="AD7160">
        <v>-1.1092008615386</v>
      </c>
      <c r="AE7160">
        <v>14.735799999999999</v>
      </c>
      <c r="AF7160">
        <v>-9.8474311766292594E-2</v>
      </c>
      <c r="AG7160">
        <v>-1.1092008615386</v>
      </c>
      <c r="AH7160">
        <v>14.661416927079401</v>
      </c>
      <c r="AI7160">
        <v>94.326339546977493</v>
      </c>
      <c r="AJ7160">
        <v>90.384824852984195</v>
      </c>
      <c r="AK7160">
        <v>14.703644787975801</v>
      </c>
      <c r="AL7160">
        <v>89.162410142681594</v>
      </c>
      <c r="AM7160">
        <v>88.967203910998293</v>
      </c>
      <c r="AN7160">
        <v>0.99999999233419301</v>
      </c>
    </row>
    <row r="7161" spans="1:40" x14ac:dyDescent="0.25">
      <c r="A7161" t="str">
        <f>"20190312154436584"</f>
        <v>20190312154436584</v>
      </c>
      <c r="B7161" t="str">
        <f>"1552376676574241"</f>
        <v>1552376676574241</v>
      </c>
      <c r="C7161" t="s">
        <v>40</v>
      </c>
      <c r="D7161">
        <v>5.3205339999999897</v>
      </c>
      <c r="E7161">
        <v>0.4916759</v>
      </c>
      <c r="F7161" t="s">
        <v>43</v>
      </c>
      <c r="G7161">
        <v>-188.69110000000001</v>
      </c>
      <c r="H7161" s="1">
        <v>-9.8580540000000005E-7</v>
      </c>
      <c r="I7161">
        <v>31.389500000000002</v>
      </c>
      <c r="J7161">
        <v>-188.19390000000001</v>
      </c>
      <c r="K7161">
        <v>1.109181</v>
      </c>
      <c r="L7161">
        <v>16.798279999999998</v>
      </c>
      <c r="M7161">
        <v>-2.7235550000000001E-2</v>
      </c>
      <c r="N7161">
        <v>0</v>
      </c>
      <c r="O7161">
        <v>0.99951109999999999</v>
      </c>
      <c r="P7161">
        <v>-7.9197550000000005E-3</v>
      </c>
      <c r="Q7161">
        <v>-7.4342979999999896E-4</v>
      </c>
      <c r="R7161">
        <v>0.99996830000000003</v>
      </c>
      <c r="S7161">
        <v>-0.101532</v>
      </c>
      <c r="T7161">
        <v>-0.2214129</v>
      </c>
      <c r="U7161">
        <v>2.9989620000000001</v>
      </c>
      <c r="V7161">
        <v>1.935359E-2</v>
      </c>
      <c r="W7161">
        <v>1.4569550000000001E-2</v>
      </c>
      <c r="X7161">
        <v>0.9997066</v>
      </c>
      <c r="Y7161">
        <v>-6.5088709999999899E-3</v>
      </c>
      <c r="Z7161">
        <v>-7.3566790000000007E-2</v>
      </c>
      <c r="AA7161">
        <v>0.99726899999999996</v>
      </c>
      <c r="AB7161">
        <v>43</v>
      </c>
      <c r="AC7161">
        <v>-0.49719999999999198</v>
      </c>
      <c r="AD7161">
        <v>-1.1091819858054</v>
      </c>
      <c r="AE7161">
        <v>14.59122</v>
      </c>
      <c r="AF7161">
        <v>-9.8997353852724193E-2</v>
      </c>
      <c r="AG7161">
        <v>-1.1091819858054</v>
      </c>
      <c r="AH7161">
        <v>14.5155668007593</v>
      </c>
      <c r="AI7161">
        <v>94.369565273460694</v>
      </c>
      <c r="AJ7161">
        <v>90.390755848218205</v>
      </c>
      <c r="AK7161">
        <v>14.558219832830201</v>
      </c>
      <c r="AL7161">
        <v>89.165196789428407</v>
      </c>
      <c r="AM7161">
        <v>88.890934072541697</v>
      </c>
      <c r="AN7161">
        <v>1.0000000596583201</v>
      </c>
    </row>
    <row r="7162" spans="1:40" x14ac:dyDescent="0.25">
      <c r="A7162" t="str">
        <f>"20190312154436607"</f>
        <v>20190312154436607</v>
      </c>
      <c r="B7162" t="str">
        <f>"1552376676594737"</f>
        <v>1552376676594737</v>
      </c>
      <c r="C7162" t="s">
        <v>40</v>
      </c>
      <c r="D7162">
        <v>5.3057299999999996</v>
      </c>
      <c r="E7162">
        <v>0.49157119999999999</v>
      </c>
      <c r="F7162" t="s">
        <v>43</v>
      </c>
      <c r="G7162">
        <v>-188.68340000000001</v>
      </c>
      <c r="H7162" s="1">
        <v>-1.1425399999999999E-6</v>
      </c>
      <c r="I7162">
        <v>31.751660000000001</v>
      </c>
      <c r="J7162">
        <v>-188.2046</v>
      </c>
      <c r="K7162">
        <v>1.1091519999999999</v>
      </c>
      <c r="L7162">
        <v>17.21799</v>
      </c>
      <c r="M7162">
        <v>-2.6375900000000001E-2</v>
      </c>
      <c r="N7162">
        <v>0</v>
      </c>
      <c r="O7162">
        <v>0.99953409999999998</v>
      </c>
      <c r="P7162">
        <v>-5.3255119999999897E-3</v>
      </c>
      <c r="Q7162">
        <v>1.004477E-4</v>
      </c>
      <c r="R7162">
        <v>0.99998580000000004</v>
      </c>
      <c r="S7162">
        <v>-9.817505E-2</v>
      </c>
      <c r="T7162">
        <v>-0.22246460000000001</v>
      </c>
      <c r="U7162">
        <v>2.9991460000000001</v>
      </c>
      <c r="V7162">
        <v>2.1090939999999999E-2</v>
      </c>
      <c r="W7162">
        <v>1.5407260000000001E-2</v>
      </c>
      <c r="X7162">
        <v>0.99965879999999996</v>
      </c>
      <c r="Y7162">
        <v>-6.2510129999999997E-3</v>
      </c>
      <c r="Z7162">
        <v>-7.3913809999999996E-2</v>
      </c>
      <c r="AA7162">
        <v>0.99724500000000005</v>
      </c>
      <c r="AB7162">
        <v>43</v>
      </c>
      <c r="AC7162">
        <v>-0.478800000000006</v>
      </c>
      <c r="AD7162">
        <v>-1.1091531425399901</v>
      </c>
      <c r="AE7162">
        <v>14.5336699999999</v>
      </c>
      <c r="AF7162">
        <v>-9.4698594895871194E-2</v>
      </c>
      <c r="AG7162">
        <v>-1.1091531425399901</v>
      </c>
      <c r="AH7162">
        <v>14.4571335403293</v>
      </c>
      <c r="AI7162">
        <v>94.3870517385364</v>
      </c>
      <c r="AJ7162">
        <v>90.375299308065706</v>
      </c>
      <c r="AK7162">
        <v>14.4999275419016</v>
      </c>
      <c r="AL7162">
        <v>89.117194066647698</v>
      </c>
      <c r="AM7162">
        <v>88.791345013274395</v>
      </c>
      <c r="AN7162">
        <v>0.99999996391411405</v>
      </c>
    </row>
    <row r="7163" spans="1:40" x14ac:dyDescent="0.25">
      <c r="A7163" t="str">
        <f>"20190312154436630"</f>
        <v>20190312154436630</v>
      </c>
      <c r="B7163" t="str">
        <f>"1552376676624993"</f>
        <v>1552376676624993</v>
      </c>
      <c r="C7163" t="s">
        <v>40</v>
      </c>
      <c r="D7163">
        <v>5.2789479999999998</v>
      </c>
      <c r="E7163">
        <v>0.49151479999999997</v>
      </c>
      <c r="F7163" t="s">
        <v>43</v>
      </c>
      <c r="G7163">
        <v>-188.6661</v>
      </c>
      <c r="H7163" s="1">
        <v>-1.4232279999999999E-6</v>
      </c>
      <c r="I7163">
        <v>32.398820000000001</v>
      </c>
      <c r="J7163">
        <v>-188.21539999999999</v>
      </c>
      <c r="K7163">
        <v>1.1091009999999999</v>
      </c>
      <c r="L7163">
        <v>17.656310000000001</v>
      </c>
      <c r="M7163">
        <v>-2.5383800000000002E-2</v>
      </c>
      <c r="N7163">
        <v>0</v>
      </c>
      <c r="O7163">
        <v>0.9995598</v>
      </c>
      <c r="P7163">
        <v>-2.6799850000000002E-3</v>
      </c>
      <c r="Q7163">
        <v>8.8600020000000003E-4</v>
      </c>
      <c r="R7163">
        <v>0.999996</v>
      </c>
      <c r="S7163">
        <v>-9.1186519999999993E-2</v>
      </c>
      <c r="T7163">
        <v>-0.21915709999999999</v>
      </c>
      <c r="U7163">
        <v>2.9995729999999998</v>
      </c>
      <c r="V7163">
        <v>2.2747900000000001E-2</v>
      </c>
      <c r="W7163">
        <v>1.6184879999999999E-2</v>
      </c>
      <c r="X7163">
        <v>0.9996102</v>
      </c>
      <c r="Y7163">
        <v>-4.920242E-3</v>
      </c>
      <c r="Z7163">
        <v>-7.2816220000000001E-2</v>
      </c>
      <c r="AA7163">
        <v>0.99733320000000003</v>
      </c>
      <c r="AB7163">
        <v>43</v>
      </c>
      <c r="AC7163">
        <v>-0.45070000000001098</v>
      </c>
      <c r="AD7163">
        <v>-1.109102423228</v>
      </c>
      <c r="AE7163">
        <v>14.742509999999999</v>
      </c>
      <c r="AF7163">
        <v>-7.5860719273850505E-2</v>
      </c>
      <c r="AG7163">
        <v>-1.109102423228</v>
      </c>
      <c r="AH7163">
        <v>14.6662698433476</v>
      </c>
      <c r="AI7163">
        <v>94.324570614158205</v>
      </c>
      <c r="AJ7163">
        <v>90.296357583057201</v>
      </c>
      <c r="AK7163">
        <v>14.7083423318818</v>
      </c>
      <c r="AL7163">
        <v>89.072634179506196</v>
      </c>
      <c r="AM7163">
        <v>88.696358098098102</v>
      </c>
      <c r="AN7163">
        <v>0.99999998461953199</v>
      </c>
    </row>
    <row r="7164" spans="1:40" x14ac:dyDescent="0.25">
      <c r="A7164" t="str">
        <f>"20190312154436651"</f>
        <v>20190312154436651</v>
      </c>
      <c r="B7164" t="str">
        <f>"1552376676644515"</f>
        <v>1552376676644515</v>
      </c>
      <c r="C7164" t="s">
        <v>40</v>
      </c>
      <c r="D7164">
        <v>5.2954160000000003</v>
      </c>
      <c r="E7164">
        <v>0.49148419999999998</v>
      </c>
      <c r="F7164" t="s">
        <v>41</v>
      </c>
      <c r="G7164">
        <v>-188.24539999999999</v>
      </c>
      <c r="H7164">
        <v>1.031239</v>
      </c>
      <c r="I7164">
        <v>18.733000000000001</v>
      </c>
      <c r="J7164">
        <v>-188.22499999999999</v>
      </c>
      <c r="K7164">
        <v>1.1090310000000001</v>
      </c>
      <c r="L7164">
        <v>18.069759999999999</v>
      </c>
      <c r="M7164">
        <v>-2.433517E-2</v>
      </c>
      <c r="N7164">
        <v>0</v>
      </c>
      <c r="O7164">
        <v>0.99958590000000003</v>
      </c>
      <c r="P7164">
        <v>-1.302198E-4</v>
      </c>
      <c r="Q7164">
        <v>2.447673E-3</v>
      </c>
      <c r="R7164">
        <v>0.99999700000000002</v>
      </c>
      <c r="S7164">
        <v>-8.3877560000000004E-2</v>
      </c>
      <c r="T7164">
        <v>-0.21692610000000001</v>
      </c>
      <c r="U7164">
        <v>2.9999690000000001</v>
      </c>
      <c r="V7164">
        <v>2.425565E-2</v>
      </c>
      <c r="W7164">
        <v>1.7736760000000001E-2</v>
      </c>
      <c r="X7164">
        <v>0.9995484</v>
      </c>
      <c r="Y7164">
        <v>-3.5390339999999999E-3</v>
      </c>
      <c r="Z7164">
        <v>-7.2074929999999995E-2</v>
      </c>
      <c r="AA7164">
        <v>0.99739299999999997</v>
      </c>
      <c r="AB7164">
        <v>43</v>
      </c>
      <c r="AC7164">
        <v>-2.0399999999994999E-2</v>
      </c>
      <c r="AD7164">
        <v>-7.7791999999999806E-2</v>
      </c>
      <c r="AE7164">
        <v>0.66323999999999805</v>
      </c>
      <c r="AF7164">
        <v>-4.1943478765632102E-3</v>
      </c>
      <c r="AG7164">
        <v>-7.7791999999999806E-2</v>
      </c>
      <c r="AH7164">
        <v>0.65454388792126805</v>
      </c>
      <c r="AI7164">
        <v>96.777625242400205</v>
      </c>
      <c r="AJ7164">
        <v>90.3671490120812</v>
      </c>
      <c r="AK7164">
        <v>0.65916378012842802</v>
      </c>
      <c r="AL7164">
        <v>88.983705184563306</v>
      </c>
      <c r="AM7164">
        <v>88.609898552026294</v>
      </c>
      <c r="AN7164">
        <v>0.99999996657738899</v>
      </c>
    </row>
    <row r="7165" spans="1:40" x14ac:dyDescent="0.25">
      <c r="A7165" t="str">
        <f>"20190312154436674"</f>
        <v>20190312154436674</v>
      </c>
      <c r="B7165" t="str">
        <f>"1552376676665010"</f>
        <v>1552376676665010</v>
      </c>
      <c r="C7165" t="s">
        <v>40</v>
      </c>
      <c r="D7165">
        <v>5.3105019999999996</v>
      </c>
      <c r="E7165">
        <v>0.49139519999999998</v>
      </c>
      <c r="F7165" t="s">
        <v>41</v>
      </c>
      <c r="G7165">
        <v>-188.25149999999999</v>
      </c>
      <c r="H7165">
        <v>1.0348630000000001</v>
      </c>
      <c r="I7165">
        <v>19.118490000000001</v>
      </c>
      <c r="J7165">
        <v>-188.2347</v>
      </c>
      <c r="K7165">
        <v>1.108927</v>
      </c>
      <c r="L7165">
        <v>18.512730000000001</v>
      </c>
      <c r="M7165">
        <v>-2.3092540000000002E-2</v>
      </c>
      <c r="N7165">
        <v>0</v>
      </c>
      <c r="O7165">
        <v>0.99961529999999998</v>
      </c>
      <c r="P7165">
        <v>1.7884509999999999E-3</v>
      </c>
      <c r="Q7165">
        <v>3.5984860000000001E-3</v>
      </c>
      <c r="R7165">
        <v>0.99999199999999999</v>
      </c>
      <c r="S7165">
        <v>-7.6217649999999998E-2</v>
      </c>
      <c r="T7165">
        <v>-0.21218300000000001</v>
      </c>
      <c r="U7165">
        <v>3.0005190000000002</v>
      </c>
      <c r="V7165">
        <v>2.4938869999999998E-2</v>
      </c>
      <c r="W7165">
        <v>1.8879070000000001E-2</v>
      </c>
      <c r="X7165">
        <v>0.99951069999999997</v>
      </c>
      <c r="Y7165">
        <v>-2.2355109999999999E-3</v>
      </c>
      <c r="Z7165">
        <v>-7.0499720000000002E-2</v>
      </c>
      <c r="AA7165">
        <v>0.99750930000000004</v>
      </c>
      <c r="AB7165">
        <v>43</v>
      </c>
      <c r="AC7165">
        <v>-1.6799999999989199E-2</v>
      </c>
      <c r="AD7165">
        <v>-7.4064000000000102E-2</v>
      </c>
      <c r="AE7165">
        <v>0.60575999999999997</v>
      </c>
      <c r="AF7165">
        <v>-2.7640430222106698E-3</v>
      </c>
      <c r="AG7165">
        <v>-7.4064000000000102E-2</v>
      </c>
      <c r="AH7165">
        <v>0.59706769969234896</v>
      </c>
      <c r="AI7165">
        <v>97.071129036446905</v>
      </c>
      <c r="AJ7165">
        <v>90.265241057811593</v>
      </c>
      <c r="AK7165">
        <v>0.60165019242558304</v>
      </c>
      <c r="AL7165">
        <v>88.9182447048467</v>
      </c>
      <c r="AM7165">
        <v>88.570705060364006</v>
      </c>
      <c r="AN7165">
        <v>1.0000000029677101</v>
      </c>
    </row>
    <row r="7166" spans="1:40" x14ac:dyDescent="0.25">
      <c r="A7166" t="str">
        <f>"20190312154436698"</f>
        <v>20190312154436698</v>
      </c>
      <c r="B7166" t="str">
        <f>"1552376676694291"</f>
        <v>1552376676694291</v>
      </c>
      <c r="C7166" t="s">
        <v>40</v>
      </c>
      <c r="D7166">
        <v>5.2746389999999996</v>
      </c>
      <c r="E7166">
        <v>0.49100310000000003</v>
      </c>
      <c r="F7166" t="s">
        <v>43</v>
      </c>
      <c r="G7166">
        <v>-188.60890000000001</v>
      </c>
      <c r="H7166" s="1">
        <v>-2.3090389999999998E-6</v>
      </c>
      <c r="I7166">
        <v>34.439990000000002</v>
      </c>
      <c r="J7166">
        <v>-188.24369999999999</v>
      </c>
      <c r="K7166">
        <v>1.1087990000000001</v>
      </c>
      <c r="L7166">
        <v>18.953949999999999</v>
      </c>
      <c r="M7166">
        <v>-2.1703549999999999E-2</v>
      </c>
      <c r="N7166">
        <v>0</v>
      </c>
      <c r="O7166">
        <v>0.99964649999999999</v>
      </c>
      <c r="P7166">
        <v>3.326664E-3</v>
      </c>
      <c r="Q7166">
        <v>3.2455000000000001E-3</v>
      </c>
      <c r="R7166">
        <v>0.99998920000000002</v>
      </c>
      <c r="S7166">
        <v>-7.049561E-2</v>
      </c>
      <c r="T7166">
        <v>-0.2089355</v>
      </c>
      <c r="U7166">
        <v>3.0008849999999998</v>
      </c>
      <c r="V7166">
        <v>2.5092150000000001E-2</v>
      </c>
      <c r="W7166">
        <v>1.851817E-2</v>
      </c>
      <c r="X7166">
        <v>0.9995136</v>
      </c>
      <c r="Y7166">
        <v>-1.7227999999999901E-3</v>
      </c>
      <c r="Z7166">
        <v>-6.9422399999999995E-2</v>
      </c>
      <c r="AA7166">
        <v>0.99758590000000003</v>
      </c>
      <c r="AB7166">
        <v>43</v>
      </c>
      <c r="AC7166">
        <v>-0.36520000000001501</v>
      </c>
      <c r="AD7166">
        <v>-1.1088013090390001</v>
      </c>
      <c r="AE7166">
        <v>15.486039999999999</v>
      </c>
      <c r="AF7166">
        <v>-2.88245857805218E-2</v>
      </c>
      <c r="AG7166">
        <v>-1.1088013090390001</v>
      </c>
      <c r="AH7166">
        <v>15.411355035018699</v>
      </c>
      <c r="AI7166">
        <v>94.115163532136606</v>
      </c>
      <c r="AJ7166">
        <v>90.107162879701207</v>
      </c>
      <c r="AK7166">
        <v>15.451217920121</v>
      </c>
      <c r="AL7166">
        <v>88.938926351281793</v>
      </c>
      <c r="AM7166">
        <v>88.561928135091804</v>
      </c>
      <c r="AN7166">
        <v>0.99999998759836495</v>
      </c>
    </row>
    <row r="7167" spans="1:40" x14ac:dyDescent="0.25">
      <c r="A7167" t="str">
        <f>"20190312154436720"</f>
        <v>20190312154436720</v>
      </c>
      <c r="B7167" t="str">
        <f>"1552376676714786"</f>
        <v>1552376676714786</v>
      </c>
      <c r="C7167" t="s">
        <v>40</v>
      </c>
      <c r="D7167">
        <v>5.2303220000000001</v>
      </c>
      <c r="E7167">
        <v>0.49077189999999998</v>
      </c>
      <c r="F7167" t="s">
        <v>43</v>
      </c>
      <c r="G7167">
        <v>-188.60400000000001</v>
      </c>
      <c r="H7167" s="1">
        <v>-2.4519359999999999E-6</v>
      </c>
      <c r="I7167">
        <v>34.771070000000002</v>
      </c>
      <c r="J7167">
        <v>-188.2518</v>
      </c>
      <c r="K7167">
        <v>1.108646</v>
      </c>
      <c r="L7167">
        <v>19.384699999999999</v>
      </c>
      <c r="M7167">
        <v>-2.0165990000000002E-2</v>
      </c>
      <c r="N7167">
        <v>0</v>
      </c>
      <c r="O7167">
        <v>0.99967870000000003</v>
      </c>
      <c r="P7167">
        <v>4.7792080000000001E-3</v>
      </c>
      <c r="Q7167">
        <v>1.3864700000000001E-3</v>
      </c>
      <c r="R7167">
        <v>0.99998759999999998</v>
      </c>
      <c r="S7167">
        <v>-6.8359379999999997E-2</v>
      </c>
      <c r="T7167">
        <v>-0.21037030000000001</v>
      </c>
      <c r="U7167">
        <v>3.0009459999999999</v>
      </c>
      <c r="V7167">
        <v>2.50066E-2</v>
      </c>
      <c r="W7167">
        <v>1.6651160000000002E-2</v>
      </c>
      <c r="X7167">
        <v>0.99954860000000001</v>
      </c>
      <c r="Y7167">
        <v>-2.54988E-3</v>
      </c>
      <c r="Z7167">
        <v>-6.9899290000000003E-2</v>
      </c>
      <c r="AA7167">
        <v>0.99755079999999996</v>
      </c>
      <c r="AB7167">
        <v>43</v>
      </c>
      <c r="AC7167">
        <v>-0.35220000000001001</v>
      </c>
      <c r="AD7167">
        <v>-1.108648451936</v>
      </c>
      <c r="AE7167">
        <v>15.386369999999999</v>
      </c>
      <c r="AF7167">
        <v>-4.1594548738236002E-2</v>
      </c>
      <c r="AG7167">
        <v>-1.108648451936</v>
      </c>
      <c r="AH7167">
        <v>15.3108946769859</v>
      </c>
      <c r="AI7167">
        <v>94.141493904750305</v>
      </c>
      <c r="AJ7167">
        <v>90.155652970051406</v>
      </c>
      <c r="AK7167">
        <v>15.351036685065299</v>
      </c>
      <c r="AL7167">
        <v>89.045914713661901</v>
      </c>
      <c r="AM7167">
        <v>88.566879258851003</v>
      </c>
      <c r="AN7167">
        <v>0.99999999746743196</v>
      </c>
    </row>
    <row r="7168" spans="1:40" x14ac:dyDescent="0.25">
      <c r="A7168" t="str">
        <f>"20190312154436740"</f>
        <v>20190312154436740</v>
      </c>
      <c r="B7168" t="str">
        <f>"1552376676734306"</f>
        <v>1552376676734306</v>
      </c>
      <c r="C7168" t="s">
        <v>40</v>
      </c>
      <c r="D7168">
        <v>5.2569790000000003</v>
      </c>
      <c r="E7168">
        <v>0.49049739999999997</v>
      </c>
      <c r="F7168" t="s">
        <v>43</v>
      </c>
      <c r="G7168">
        <v>-188.58779999999999</v>
      </c>
      <c r="H7168" s="1">
        <v>-2.4634150000000002E-6</v>
      </c>
      <c r="I7168">
        <v>34.791119999999999</v>
      </c>
      <c r="J7168">
        <v>-188.25829999999999</v>
      </c>
      <c r="K7168">
        <v>1.1084799999999999</v>
      </c>
      <c r="L7168">
        <v>19.770320000000002</v>
      </c>
      <c r="M7168">
        <v>-1.8608469999999998E-2</v>
      </c>
      <c r="N7168">
        <v>0</v>
      </c>
      <c r="O7168">
        <v>0.99970879999999995</v>
      </c>
      <c r="P7168">
        <v>6.2300749999999998E-3</v>
      </c>
      <c r="Q7168">
        <v>-2.880739E-4</v>
      </c>
      <c r="R7168">
        <v>0.9999806</v>
      </c>
      <c r="S7168">
        <v>-6.5444950000000002E-2</v>
      </c>
      <c r="T7168">
        <v>-0.2159268</v>
      </c>
      <c r="U7168">
        <v>3.0006409999999999</v>
      </c>
      <c r="V7168">
        <v>2.4899129999999998E-2</v>
      </c>
      <c r="W7168">
        <v>1.496814E-2</v>
      </c>
      <c r="X7168">
        <v>0.99957790000000002</v>
      </c>
      <c r="Y7168">
        <v>-3.1389159999999998E-3</v>
      </c>
      <c r="Z7168">
        <v>-7.1747359999999996E-2</v>
      </c>
      <c r="AA7168">
        <v>0.99741789999999997</v>
      </c>
      <c r="AB7168">
        <v>43</v>
      </c>
      <c r="AC7168">
        <v>-0.32949999999999502</v>
      </c>
      <c r="AD7168">
        <v>-1.1084824634149999</v>
      </c>
      <c r="AE7168">
        <v>15.0207999999999</v>
      </c>
      <c r="AF7168">
        <v>-4.9625704678957397E-2</v>
      </c>
      <c r="AG7168">
        <v>-1.1084824634149999</v>
      </c>
      <c r="AH7168">
        <v>14.9429914642692</v>
      </c>
      <c r="AI7168">
        <v>94.242450737712403</v>
      </c>
      <c r="AJ7168">
        <v>90.190278699362494</v>
      </c>
      <c r="AK7168">
        <v>14.9841312722321</v>
      </c>
      <c r="AL7168">
        <v>89.142356719396901</v>
      </c>
      <c r="AM7168">
        <v>88.573077590675496</v>
      </c>
      <c r="AN7168">
        <v>0.99999999502911296</v>
      </c>
    </row>
    <row r="7169" spans="1:40" x14ac:dyDescent="0.25">
      <c r="A7169" t="str">
        <f>"20190312154436762"</f>
        <v>20190312154436762</v>
      </c>
      <c r="B7169" t="str">
        <f>"1552376676754802"</f>
        <v>1552376676754802</v>
      </c>
      <c r="C7169" t="s">
        <v>40</v>
      </c>
      <c r="D7169">
        <v>5.2150660000000002</v>
      </c>
      <c r="E7169">
        <v>0.49028559999999999</v>
      </c>
      <c r="F7169" t="s">
        <v>43</v>
      </c>
      <c r="G7169">
        <v>-188.57499999999999</v>
      </c>
      <c r="H7169" s="1">
        <v>-2.481196E-6</v>
      </c>
      <c r="I7169">
        <v>34.827269999999999</v>
      </c>
      <c r="J7169">
        <v>-188.2645</v>
      </c>
      <c r="K7169">
        <v>1.1082780000000001</v>
      </c>
      <c r="L7169">
        <v>20.19089</v>
      </c>
      <c r="M7169">
        <v>-1.6705029999999999E-2</v>
      </c>
      <c r="N7169">
        <v>0</v>
      </c>
      <c r="O7169">
        <v>0.99974240000000003</v>
      </c>
      <c r="P7169">
        <v>7.2771060000000002E-3</v>
      </c>
      <c r="Q7169">
        <v>-2.5474080000000001E-3</v>
      </c>
      <c r="R7169">
        <v>0.99997029999999998</v>
      </c>
      <c r="S7169">
        <v>-6.3110349999999996E-2</v>
      </c>
      <c r="T7169">
        <v>-0.22088720000000001</v>
      </c>
      <c r="U7169">
        <v>3.000397</v>
      </c>
      <c r="V7169">
        <v>2.4039319999999999E-2</v>
      </c>
      <c r="W7169">
        <v>1.2702430000000001E-2</v>
      </c>
      <c r="X7169">
        <v>0.99963029999999997</v>
      </c>
      <c r="Y7169">
        <v>-4.2663850000000001E-3</v>
      </c>
      <c r="Z7169">
        <v>-7.3396890000000006E-2</v>
      </c>
      <c r="AA7169">
        <v>0.99729369999999995</v>
      </c>
      <c r="AB7169">
        <v>43</v>
      </c>
      <c r="AC7169">
        <v>-0.31049999999999001</v>
      </c>
      <c r="AD7169">
        <v>-1.1082804811960001</v>
      </c>
      <c r="AE7169">
        <v>14.636380000000001</v>
      </c>
      <c r="AF7169">
        <v>-6.5550952630298295E-2</v>
      </c>
      <c r="AG7169">
        <v>-1.1082804811960001</v>
      </c>
      <c r="AH7169">
        <v>14.5561024854787</v>
      </c>
      <c r="AI7169">
        <v>94.353972816439097</v>
      </c>
      <c r="AJ7169">
        <v>90.258020135793998</v>
      </c>
      <c r="AK7169">
        <v>14.598380119730701</v>
      </c>
      <c r="AL7169">
        <v>89.272184789914604</v>
      </c>
      <c r="AM7169">
        <v>88.622404547521597</v>
      </c>
      <c r="AN7169">
        <v>0.99999998865602802</v>
      </c>
    </row>
    <row r="7170" spans="1:40" x14ac:dyDescent="0.25">
      <c r="A7170" t="str">
        <f>"20190312154436786"</f>
        <v>20190312154436786</v>
      </c>
      <c r="B7170" t="str">
        <f>"1552376676774322"</f>
        <v>1552376676774322</v>
      </c>
      <c r="C7170" t="s">
        <v>40</v>
      </c>
      <c r="D7170">
        <v>5.195989</v>
      </c>
      <c r="E7170">
        <v>0.4900369</v>
      </c>
      <c r="F7170" t="s">
        <v>43</v>
      </c>
      <c r="G7170">
        <v>-188.5642</v>
      </c>
      <c r="H7170" s="1">
        <v>-2.470725E-6</v>
      </c>
      <c r="I7170">
        <v>34.798389999999998</v>
      </c>
      <c r="J7170">
        <v>-188.27010000000001</v>
      </c>
      <c r="K7170">
        <v>1.1080620000000001</v>
      </c>
      <c r="L7170">
        <v>20.63599</v>
      </c>
      <c r="M7170">
        <v>-1.4461480000000001E-2</v>
      </c>
      <c r="N7170">
        <v>0</v>
      </c>
      <c r="O7170">
        <v>0.99977740000000004</v>
      </c>
      <c r="P7170">
        <v>8.4508959999999994E-3</v>
      </c>
      <c r="Q7170">
        <v>-3.1874619999999998E-3</v>
      </c>
      <c r="R7170">
        <v>0.99995919999999905</v>
      </c>
      <c r="S7170">
        <v>-6.1538700000000002E-2</v>
      </c>
      <c r="T7170">
        <v>-0.2276096</v>
      </c>
      <c r="U7170">
        <v>2.9999690000000001</v>
      </c>
      <c r="V7170">
        <v>2.297285E-2</v>
      </c>
      <c r="W7170">
        <v>1.205732E-2</v>
      </c>
      <c r="X7170">
        <v>0.99966339999999998</v>
      </c>
      <c r="Y7170">
        <v>-5.9877519999999998E-3</v>
      </c>
      <c r="Z7170">
        <v>-7.5632779999999997E-2</v>
      </c>
      <c r="AA7170">
        <v>0.99711780000000005</v>
      </c>
      <c r="AB7170">
        <v>43</v>
      </c>
      <c r="AC7170">
        <v>-0.29409999999998598</v>
      </c>
      <c r="AD7170">
        <v>-1.108064470725</v>
      </c>
      <c r="AE7170">
        <v>14.1624</v>
      </c>
      <c r="AF7170">
        <v>-8.8693101246451495E-2</v>
      </c>
      <c r="AG7170">
        <v>-1.108064470725</v>
      </c>
      <c r="AH7170">
        <v>14.079024971272499</v>
      </c>
      <c r="AI7170">
        <v>94.499996717993398</v>
      </c>
      <c r="AJ7170">
        <v>90.3609392810299</v>
      </c>
      <c r="AK7170">
        <v>14.1228402766301</v>
      </c>
      <c r="AL7170">
        <v>89.309149727123099</v>
      </c>
      <c r="AM7170">
        <v>88.683541164787698</v>
      </c>
      <c r="AN7170">
        <v>1.00000002205113</v>
      </c>
    </row>
    <row r="7171" spans="1:40" x14ac:dyDescent="0.25">
      <c r="A7171" t="str">
        <f>"20190312154436808"</f>
        <v>20190312154436808</v>
      </c>
      <c r="B7171" t="str">
        <f>"1552376676804577"</f>
        <v>1552376676804577</v>
      </c>
      <c r="C7171" t="s">
        <v>40</v>
      </c>
      <c r="D7171">
        <v>5.1804009999999998</v>
      </c>
      <c r="E7171">
        <v>0.48978329999999998</v>
      </c>
      <c r="F7171" t="s">
        <v>43</v>
      </c>
      <c r="G7171">
        <v>-188.55889999999999</v>
      </c>
      <c r="H7171" s="1">
        <v>-2.6229349999999998E-6</v>
      </c>
      <c r="I7171">
        <v>35.151020000000003</v>
      </c>
      <c r="J7171">
        <v>-188.27420000000001</v>
      </c>
      <c r="K7171">
        <v>1.1078589999999999</v>
      </c>
      <c r="L7171">
        <v>21.05997</v>
      </c>
      <c r="M7171">
        <v>-1.211046E-2</v>
      </c>
      <c r="N7171">
        <v>0</v>
      </c>
      <c r="O7171">
        <v>0.99980860000000005</v>
      </c>
      <c r="P7171">
        <v>9.4772599999999995E-3</v>
      </c>
      <c r="Q7171">
        <v>-2.972588E-3</v>
      </c>
      <c r="R7171">
        <v>0.99995060000000002</v>
      </c>
      <c r="S7171">
        <v>-5.9692380000000003E-2</v>
      </c>
      <c r="T7171">
        <v>-0.2290103</v>
      </c>
      <c r="U7171">
        <v>2.999908</v>
      </c>
      <c r="V7171">
        <v>2.1655359999999998E-2</v>
      </c>
      <c r="W7171">
        <v>1.227045E-2</v>
      </c>
      <c r="X7171">
        <v>0.99969019999999997</v>
      </c>
      <c r="Y7171">
        <v>-7.7254810000000002E-3</v>
      </c>
      <c r="Z7171">
        <v>-7.6100669999999995E-2</v>
      </c>
      <c r="AA7171">
        <v>0.99707020000000002</v>
      </c>
      <c r="AB7171">
        <v>43</v>
      </c>
      <c r="AC7171">
        <v>-0.28469999999998602</v>
      </c>
      <c r="AD7171">
        <v>-1.107861622935</v>
      </c>
      <c r="AE7171">
        <v>14.091049999999999</v>
      </c>
      <c r="AF7171">
        <v>-0.11330974769848701</v>
      </c>
      <c r="AG7171">
        <v>-1.107861622935</v>
      </c>
      <c r="AH7171">
        <v>14.0069181224123</v>
      </c>
      <c r="AI7171">
        <v>94.522184004331507</v>
      </c>
      <c r="AJ7171">
        <v>90.463487303329899</v>
      </c>
      <c r="AK7171">
        <v>14.051119235223201</v>
      </c>
      <c r="AL7171">
        <v>89.296937363983801</v>
      </c>
      <c r="AM7171">
        <v>88.759048840592399</v>
      </c>
      <c r="AN7171">
        <v>1.00000000726798</v>
      </c>
    </row>
    <row r="7172" spans="1:40" x14ac:dyDescent="0.25">
      <c r="A7172" t="str">
        <f>"20190312154436829"</f>
        <v>20190312154436829</v>
      </c>
      <c r="B7172" t="str">
        <f>"1552376676824098"</f>
        <v>1552376676824098</v>
      </c>
      <c r="C7172" t="s">
        <v>40</v>
      </c>
      <c r="D7172">
        <v>5.1198499999999996</v>
      </c>
      <c r="E7172">
        <v>0.4897031</v>
      </c>
      <c r="F7172" t="s">
        <v>41</v>
      </c>
      <c r="G7172">
        <v>-188.29560000000001</v>
      </c>
      <c r="H7172">
        <v>1.024578</v>
      </c>
      <c r="I7172">
        <v>22.159800000000001</v>
      </c>
      <c r="J7172">
        <v>-188.27709999999999</v>
      </c>
      <c r="K7172">
        <v>1.1076760000000001</v>
      </c>
      <c r="L7172">
        <v>21.47345</v>
      </c>
      <c r="M7172">
        <v>-9.6278140000000002E-3</v>
      </c>
      <c r="N7172">
        <v>0</v>
      </c>
      <c r="O7172">
        <v>0.99983560000000005</v>
      </c>
      <c r="P7172">
        <v>1.051144E-2</v>
      </c>
      <c r="Q7172">
        <v>-2.0882750000000001E-3</v>
      </c>
      <c r="R7172">
        <v>0.99994260000000001</v>
      </c>
      <c r="S7172">
        <v>-5.859375E-2</v>
      </c>
      <c r="T7172">
        <v>-0.22711029999999999</v>
      </c>
      <c r="U7172">
        <v>3.0000309999999999</v>
      </c>
      <c r="V7172">
        <v>2.0217769999999999E-2</v>
      </c>
      <c r="W7172">
        <v>1.3156340000000001E-2</v>
      </c>
      <c r="X7172">
        <v>0.99970899999999996</v>
      </c>
      <c r="Y7172">
        <v>-9.8436110000000004E-3</v>
      </c>
      <c r="Z7172">
        <v>-7.5472440000000002E-2</v>
      </c>
      <c r="AA7172">
        <v>0.99709930000000002</v>
      </c>
      <c r="AB7172">
        <v>42</v>
      </c>
      <c r="AC7172">
        <v>-1.8500000000017201E-2</v>
      </c>
      <c r="AD7172">
        <v>-8.3098000000000102E-2</v>
      </c>
      <c r="AE7172">
        <v>0.68635000000000002</v>
      </c>
      <c r="AF7172">
        <v>-1.1718658685508299E-2</v>
      </c>
      <c r="AG7172">
        <v>-8.3098000000000102E-2</v>
      </c>
      <c r="AH7172">
        <v>0.67658577681556598</v>
      </c>
      <c r="AI7172">
        <v>97.000938615600802</v>
      </c>
      <c r="AJ7172">
        <v>90.992280030235094</v>
      </c>
      <c r="AK7172">
        <v>0.68177042907015994</v>
      </c>
      <c r="AL7172">
        <v>89.246175471042804</v>
      </c>
      <c r="AM7172">
        <v>88.841427850701507</v>
      </c>
      <c r="AN7172">
        <v>0.99999996609348296</v>
      </c>
    </row>
    <row r="7173" spans="1:40" x14ac:dyDescent="0.25">
      <c r="A7173" t="str">
        <f>"20190312154436853"</f>
        <v>20190312154436853</v>
      </c>
      <c r="B7173" t="str">
        <f>"1552376676844594"</f>
        <v>1552376676844594</v>
      </c>
      <c r="C7173" t="s">
        <v>40</v>
      </c>
      <c r="D7173">
        <v>5.1176069999999996</v>
      </c>
      <c r="E7173">
        <v>0.48958420000000002</v>
      </c>
      <c r="F7173" t="s">
        <v>41</v>
      </c>
      <c r="G7173">
        <v>-188.297</v>
      </c>
      <c r="H7173">
        <v>1.0280659999999999</v>
      </c>
      <c r="I7173">
        <v>22.542529999999999</v>
      </c>
      <c r="J7173">
        <v>-188.27889999999999</v>
      </c>
      <c r="K7173">
        <v>1.107507</v>
      </c>
      <c r="L7173">
        <v>21.91122</v>
      </c>
      <c r="M7173">
        <v>-6.8477540000000002E-3</v>
      </c>
      <c r="N7173">
        <v>0</v>
      </c>
      <c r="O7173">
        <v>0.99985840000000004</v>
      </c>
      <c r="P7173">
        <v>1.233744E-2</v>
      </c>
      <c r="Q7173">
        <v>-1.094703E-3</v>
      </c>
      <c r="R7173">
        <v>0.99992329999999996</v>
      </c>
      <c r="S7173">
        <v>-5.6259160000000002E-2</v>
      </c>
      <c r="T7173">
        <v>-0.22334789999999999</v>
      </c>
      <c r="U7173">
        <v>3.000305</v>
      </c>
      <c r="V7173">
        <v>1.9275520000000001E-2</v>
      </c>
      <c r="W7173">
        <v>1.414902E-2</v>
      </c>
      <c r="X7173">
        <v>0.99971410000000005</v>
      </c>
      <c r="Y7173">
        <v>-1.1848340000000001E-2</v>
      </c>
      <c r="Z7173">
        <v>-7.4224639999999995E-2</v>
      </c>
      <c r="AA7173">
        <v>0.99717120000000004</v>
      </c>
      <c r="AB7173">
        <v>42</v>
      </c>
      <c r="AC7173">
        <v>-1.8100000000003998E-2</v>
      </c>
      <c r="AD7173">
        <v>-7.9441000000000095E-2</v>
      </c>
      <c r="AE7173">
        <v>0.63130999999999904</v>
      </c>
      <c r="AF7173">
        <v>-1.3561446893851499E-2</v>
      </c>
      <c r="AG7173">
        <v>-7.9441000000000095E-2</v>
      </c>
      <c r="AH7173">
        <v>0.62158476019775599</v>
      </c>
      <c r="AI7173">
        <v>97.281431205293799</v>
      </c>
      <c r="AJ7173">
        <v>91.249854353968104</v>
      </c>
      <c r="AK7173">
        <v>0.62678736381085098</v>
      </c>
      <c r="AL7173">
        <v>89.189293827353595</v>
      </c>
      <c r="AM7173">
        <v>88.895415082059799</v>
      </c>
      <c r="AN7173">
        <v>1.0000000110885201</v>
      </c>
    </row>
    <row r="7174" spans="1:40" x14ac:dyDescent="0.25">
      <c r="A7174" t="str">
        <f>"20190312154436875"</f>
        <v>20190312154436875</v>
      </c>
      <c r="B7174" t="str">
        <f>"1552376676864114"</f>
        <v>1552376676864114</v>
      </c>
      <c r="C7174" t="s">
        <v>40</v>
      </c>
      <c r="D7174">
        <v>5.1132369999999998</v>
      </c>
      <c r="E7174">
        <v>0.4894889</v>
      </c>
      <c r="F7174" t="s">
        <v>41</v>
      </c>
      <c r="G7174">
        <v>-188.29660000000001</v>
      </c>
      <c r="H7174">
        <v>1.0327679999999999</v>
      </c>
      <c r="I7174">
        <v>22.9346</v>
      </c>
      <c r="J7174">
        <v>-188.27950000000001</v>
      </c>
      <c r="K7174">
        <v>1.1073649999999999</v>
      </c>
      <c r="L7174">
        <v>22.3414</v>
      </c>
      <c r="M7174">
        <v>-4.0041010000000004E-3</v>
      </c>
      <c r="N7174">
        <v>0</v>
      </c>
      <c r="O7174">
        <v>0.99987389999999998</v>
      </c>
      <c r="P7174">
        <v>1.5137090000000001E-2</v>
      </c>
      <c r="Q7174">
        <v>-5.0475239999999897E-4</v>
      </c>
      <c r="R7174">
        <v>0.99988529999999998</v>
      </c>
      <c r="S7174">
        <v>-5.1986690000000002E-2</v>
      </c>
      <c r="T7174">
        <v>-0.219113</v>
      </c>
      <c r="U7174">
        <v>3.0006409999999999</v>
      </c>
      <c r="V7174">
        <v>1.9240299999999998E-2</v>
      </c>
      <c r="W7174">
        <v>1.473261E-2</v>
      </c>
      <c r="X7174">
        <v>0.99970630000000005</v>
      </c>
      <c r="Y7174">
        <v>-1.32725E-2</v>
      </c>
      <c r="Z7174">
        <v>-7.2818649999999999E-2</v>
      </c>
      <c r="AA7174">
        <v>0.9972569</v>
      </c>
      <c r="AB7174">
        <v>42</v>
      </c>
      <c r="AC7174">
        <v>-1.7099999999999199E-2</v>
      </c>
      <c r="AD7174">
        <v>-7.4596999999999802E-2</v>
      </c>
      <c r="AE7174">
        <v>0.59319999999999895</v>
      </c>
      <c r="AF7174">
        <v>-1.4495311814392399E-2</v>
      </c>
      <c r="AG7174">
        <v>-7.4596999999999802E-2</v>
      </c>
      <c r="AH7174">
        <v>0.58403548065204403</v>
      </c>
      <c r="AI7174">
        <v>97.276579745747597</v>
      </c>
      <c r="AJ7174">
        <v>91.421745336218095</v>
      </c>
      <c r="AK7174">
        <v>0.58895863108885704</v>
      </c>
      <c r="AL7174">
        <v>89.155853055350605</v>
      </c>
      <c r="AM7174">
        <v>88.897424267328006</v>
      </c>
      <c r="AN7174">
        <v>0.99999996260059498</v>
      </c>
    </row>
    <row r="7175" spans="1:40" x14ac:dyDescent="0.25">
      <c r="A7175" t="str">
        <f>"20190312154436899"</f>
        <v>20190312154436899</v>
      </c>
      <c r="B7175" t="str">
        <f>"1552376676894370"</f>
        <v>1552376676894370</v>
      </c>
      <c r="C7175" t="s">
        <v>40</v>
      </c>
      <c r="D7175">
        <v>5.1031969999999998</v>
      </c>
      <c r="E7175">
        <v>0.48936210000000002</v>
      </c>
      <c r="F7175" t="s">
        <v>43</v>
      </c>
      <c r="G7175">
        <v>-188.50790000000001</v>
      </c>
      <c r="H7175" s="1">
        <v>-3.7437139999999998E-6</v>
      </c>
      <c r="I7175">
        <v>37.7425</v>
      </c>
      <c r="J7175">
        <v>-188.27869999999999</v>
      </c>
      <c r="K7175">
        <v>1.107253</v>
      </c>
      <c r="L7175">
        <v>22.773800000000001</v>
      </c>
      <c r="M7175">
        <v>-1.0657030000000001E-3</v>
      </c>
      <c r="N7175">
        <v>0</v>
      </c>
      <c r="O7175">
        <v>0.99988129999999997</v>
      </c>
      <c r="P7175">
        <v>1.9288900000000001E-2</v>
      </c>
      <c r="Q7175">
        <v>1.4897099999999999E-4</v>
      </c>
      <c r="R7175">
        <v>0.99981390000000003</v>
      </c>
      <c r="S7175">
        <v>-4.4509890000000003E-2</v>
      </c>
      <c r="T7175">
        <v>-0.21577160000000001</v>
      </c>
      <c r="U7175">
        <v>3.0009160000000001</v>
      </c>
      <c r="V7175">
        <v>2.046247E-2</v>
      </c>
      <c r="W7175">
        <v>1.537007E-2</v>
      </c>
      <c r="X7175">
        <v>0.99967249999999996</v>
      </c>
      <c r="Y7175">
        <v>-1.372657E-2</v>
      </c>
      <c r="Z7175">
        <v>-7.1709419999999996E-2</v>
      </c>
      <c r="AA7175">
        <v>0.99733110000000003</v>
      </c>
      <c r="AB7175">
        <v>42</v>
      </c>
      <c r="AC7175">
        <v>-0.22920000000002</v>
      </c>
      <c r="AD7175">
        <v>-1.107256743714</v>
      </c>
      <c r="AE7175">
        <v>14.968699999999901</v>
      </c>
      <c r="AF7175">
        <v>-0.212085583340485</v>
      </c>
      <c r="AG7175">
        <v>-1.107256743714</v>
      </c>
      <c r="AH7175">
        <v>14.887493813575</v>
      </c>
      <c r="AI7175">
        <v>94.253109816653307</v>
      </c>
      <c r="AJ7175">
        <v>90.816174101276502</v>
      </c>
      <c r="AK7175">
        <v>14.9301195521133</v>
      </c>
      <c r="AL7175">
        <v>89.119325206870101</v>
      </c>
      <c r="AM7175">
        <v>88.827366493948801</v>
      </c>
      <c r="AN7175">
        <v>1.00000002949327</v>
      </c>
    </row>
    <row r="7176" spans="1:40" x14ac:dyDescent="0.25">
      <c r="A7176" t="str">
        <f>"20190312154436921"</f>
        <v>20190312154436921</v>
      </c>
      <c r="B7176" t="str">
        <f>"1552376676914866"</f>
        <v>1552376676914866</v>
      </c>
      <c r="C7176" t="s">
        <v>40</v>
      </c>
      <c r="D7176">
        <v>5.0772959999999996</v>
      </c>
      <c r="E7176">
        <v>0.4892628</v>
      </c>
      <c r="F7176" t="s">
        <v>43</v>
      </c>
      <c r="G7176">
        <v>-188.4512</v>
      </c>
      <c r="H7176" s="1">
        <v>-4.0523180000000002E-6</v>
      </c>
      <c r="I7176">
        <v>38.438429999999997</v>
      </c>
      <c r="J7176">
        <v>-188.27680000000001</v>
      </c>
      <c r="K7176">
        <v>1.1071599999999999</v>
      </c>
      <c r="L7176">
        <v>23.201049999999999</v>
      </c>
      <c r="M7176">
        <v>1.8833330000000001E-3</v>
      </c>
      <c r="N7176">
        <v>0</v>
      </c>
      <c r="O7176">
        <v>0.9998802</v>
      </c>
      <c r="P7176">
        <v>2.3512559999999998E-2</v>
      </c>
      <c r="Q7176">
        <v>6.7649179999999896E-4</v>
      </c>
      <c r="R7176">
        <v>0.99972329999999998</v>
      </c>
      <c r="S7176">
        <v>-3.3050540000000003E-2</v>
      </c>
      <c r="T7176">
        <v>-0.21214189999999999</v>
      </c>
      <c r="U7176">
        <v>3.0012210000000001</v>
      </c>
      <c r="V7176">
        <v>2.1744639999999999E-2</v>
      </c>
      <c r="W7176">
        <v>1.588117E-2</v>
      </c>
      <c r="X7176">
        <v>0.99963740000000001</v>
      </c>
      <c r="Y7176">
        <v>-1.2867709999999999E-2</v>
      </c>
      <c r="Z7176">
        <v>-7.0504029999999995E-2</v>
      </c>
      <c r="AA7176">
        <v>0.99742850000000005</v>
      </c>
      <c r="AB7176">
        <v>42</v>
      </c>
      <c r="AC7176">
        <v>-0.17439999999999101</v>
      </c>
      <c r="AD7176">
        <v>-1.107164052318</v>
      </c>
      <c r="AE7176">
        <v>15.2373799999999</v>
      </c>
      <c r="AF7176">
        <v>-0.202033615927491</v>
      </c>
      <c r="AG7176">
        <v>-1.107164052318</v>
      </c>
      <c r="AH7176">
        <v>15.157011571462</v>
      </c>
      <c r="AI7176">
        <v>94.177456484248594</v>
      </c>
      <c r="AJ7176">
        <v>90.763672177160998</v>
      </c>
      <c r="AK7176">
        <v>15.198737763319199</v>
      </c>
      <c r="AL7176">
        <v>89.090037719481003</v>
      </c>
      <c r="AM7176">
        <v>88.753868502667402</v>
      </c>
      <c r="AN7176">
        <v>0.99999998620402897</v>
      </c>
    </row>
    <row r="7177" spans="1:40" x14ac:dyDescent="0.25">
      <c r="A7177" t="str">
        <f>"20190312154436943"</f>
        <v>20190312154436943</v>
      </c>
      <c r="B7177" t="str">
        <f>"1552376676934386"</f>
        <v>1552376676934386</v>
      </c>
      <c r="C7177" t="s">
        <v>40</v>
      </c>
      <c r="D7177">
        <v>5.0680550000000002</v>
      </c>
      <c r="E7177">
        <v>0.4891817</v>
      </c>
      <c r="F7177" t="s">
        <v>43</v>
      </c>
      <c r="G7177">
        <v>-188.387</v>
      </c>
      <c r="H7177" s="1">
        <v>-4.3381470000000003E-6</v>
      </c>
      <c r="I7177">
        <v>39.078159999999997</v>
      </c>
      <c r="J7177">
        <v>-188.27369999999999</v>
      </c>
      <c r="K7177">
        <v>1.1070979999999999</v>
      </c>
      <c r="L7177">
        <v>23.608699999999999</v>
      </c>
      <c r="M7177">
        <v>4.7081429999999997E-3</v>
      </c>
      <c r="N7177">
        <v>0</v>
      </c>
      <c r="O7177">
        <v>0.99987090000000001</v>
      </c>
      <c r="P7177">
        <v>2.7057299999999999E-2</v>
      </c>
      <c r="Q7177">
        <v>1.513115E-3</v>
      </c>
      <c r="R7177">
        <v>0.99963270000000004</v>
      </c>
      <c r="S7177">
        <v>-2.0843509999999999E-2</v>
      </c>
      <c r="T7177">
        <v>-0.2093023</v>
      </c>
      <c r="U7177">
        <v>3.001465</v>
      </c>
      <c r="V7177">
        <v>2.2473839999999998E-2</v>
      </c>
      <c r="W7177">
        <v>1.670599E-2</v>
      </c>
      <c r="X7177">
        <v>0.99960789999999999</v>
      </c>
      <c r="Y7177">
        <v>-1.1635960000000001E-2</v>
      </c>
      <c r="Z7177">
        <v>-6.9560109999999994E-2</v>
      </c>
      <c r="AA7177">
        <v>0.99750989999999995</v>
      </c>
      <c r="AB7177">
        <v>42</v>
      </c>
      <c r="AC7177">
        <v>-0.113300000000009</v>
      </c>
      <c r="AD7177">
        <v>-1.107102338147</v>
      </c>
      <c r="AE7177">
        <v>15.4694599999999</v>
      </c>
      <c r="AF7177">
        <v>-0.185191302487661</v>
      </c>
      <c r="AG7177">
        <v>-1.107102338147</v>
      </c>
      <c r="AH7177">
        <v>15.3899345972067</v>
      </c>
      <c r="AI7177">
        <v>94.114289284811306</v>
      </c>
      <c r="AJ7177">
        <v>90.689422548971606</v>
      </c>
      <c r="AK7177">
        <v>15.430815218644399</v>
      </c>
      <c r="AL7177">
        <v>89.042772807609396</v>
      </c>
      <c r="AM7177">
        <v>88.712055706917397</v>
      </c>
      <c r="AN7177">
        <v>1.0000000586643101</v>
      </c>
    </row>
    <row r="7178" spans="1:40" x14ac:dyDescent="0.25">
      <c r="A7178" t="str">
        <f>"20190312154436976"</f>
        <v>20190312154436976</v>
      </c>
      <c r="B7178" t="str">
        <f>"1552376676964642"</f>
        <v>1552376676964642</v>
      </c>
      <c r="C7178" t="s">
        <v>40</v>
      </c>
      <c r="D7178">
        <v>5.0516240000000003</v>
      </c>
      <c r="E7178">
        <v>0.48906929999999998</v>
      </c>
      <c r="F7178" t="s">
        <v>43</v>
      </c>
      <c r="G7178">
        <v>-188.33019999999999</v>
      </c>
      <c r="H7178" s="1">
        <v>-4.7350520000000001E-7</v>
      </c>
      <c r="I7178">
        <v>39.733910000000002</v>
      </c>
      <c r="J7178">
        <v>-188.26689999999999</v>
      </c>
      <c r="K7178">
        <v>1.1070519999999999</v>
      </c>
      <c r="L7178">
        <v>24.23096</v>
      </c>
      <c r="M7178">
        <v>8.9772569999999902E-3</v>
      </c>
      <c r="N7178">
        <v>0</v>
      </c>
      <c r="O7178">
        <v>0.9998418</v>
      </c>
      <c r="P7178">
        <v>3.0902829999999999E-2</v>
      </c>
      <c r="Q7178">
        <v>1.9564119999999998E-3</v>
      </c>
      <c r="R7178">
        <v>0.99952050000000003</v>
      </c>
      <c r="S7178">
        <v>-1.051331E-2</v>
      </c>
      <c r="T7178">
        <v>-0.20608650000000001</v>
      </c>
      <c r="U7178">
        <v>3.001709</v>
      </c>
      <c r="V7178">
        <v>2.2056909999999999E-2</v>
      </c>
      <c r="W7178">
        <v>1.7143660000000002E-2</v>
      </c>
      <c r="X7178">
        <v>0.99960970000000005</v>
      </c>
      <c r="Y7178">
        <v>-1.247231E-2</v>
      </c>
      <c r="Z7178">
        <v>-6.8488149999999998E-2</v>
      </c>
      <c r="AA7178">
        <v>0.99757399999999996</v>
      </c>
      <c r="AB7178">
        <v>42</v>
      </c>
      <c r="AC7178">
        <v>-6.3299999999998094E-2</v>
      </c>
      <c r="AD7178">
        <v>-1.1070524735052001</v>
      </c>
      <c r="AE7178">
        <v>15.502949999999901</v>
      </c>
      <c r="AF7178">
        <v>-0.20146054154357601</v>
      </c>
      <c r="AG7178">
        <v>-1.1070524735052001</v>
      </c>
      <c r="AH7178">
        <v>15.423111565551199</v>
      </c>
      <c r="AI7178">
        <v>94.105232152660705</v>
      </c>
      <c r="AJ7178">
        <v>90.748369244308293</v>
      </c>
      <c r="AK7178">
        <v>15.464104302944101</v>
      </c>
      <c r="AL7178">
        <v>89.017692497715004</v>
      </c>
      <c r="AM7178">
        <v>88.735943831039904</v>
      </c>
      <c r="AN7178">
        <v>0.99999998234551601</v>
      </c>
    </row>
    <row r="7179" spans="1:40" x14ac:dyDescent="0.25">
      <c r="A7179" t="str">
        <f>"20190312154436998"</f>
        <v>20190312154436998</v>
      </c>
      <c r="B7179" t="str">
        <f>"1552376676994898"</f>
        <v>1552376676994898</v>
      </c>
      <c r="C7179" t="s">
        <v>40</v>
      </c>
      <c r="D7179">
        <v>5.0600649999999998</v>
      </c>
      <c r="E7179">
        <v>0.48454629999999999</v>
      </c>
      <c r="F7179" t="s">
        <v>43</v>
      </c>
      <c r="G7179">
        <v>-188.26410000000001</v>
      </c>
      <c r="H7179" s="1">
        <v>-7.5776309999999899E-7</v>
      </c>
      <c r="I7179">
        <v>40.517560000000003</v>
      </c>
      <c r="J7179">
        <v>-188.26070000000001</v>
      </c>
      <c r="K7179">
        <v>1.107038</v>
      </c>
      <c r="L7179">
        <v>24.65494</v>
      </c>
      <c r="M7179">
        <v>1.1829889999999999E-2</v>
      </c>
      <c r="N7179">
        <v>0</v>
      </c>
      <c r="O7179">
        <v>0.99981220000000004</v>
      </c>
      <c r="P7179">
        <v>3.2454879999999998E-2</v>
      </c>
      <c r="Q7179">
        <v>1.92604E-3</v>
      </c>
      <c r="R7179">
        <v>0.99947140000000001</v>
      </c>
      <c r="S7179">
        <v>5.0354000000000002E-4</v>
      </c>
      <c r="T7179">
        <v>-0.20404410000000001</v>
      </c>
      <c r="U7179">
        <v>3.0018310000000001</v>
      </c>
      <c r="V7179">
        <v>2.0757069999999999E-2</v>
      </c>
      <c r="W7179">
        <v>1.7118399999999999E-2</v>
      </c>
      <c r="X7179">
        <v>0.99963800000000003</v>
      </c>
      <c r="Y7179">
        <v>-1.1663939999999999E-2</v>
      </c>
      <c r="Z7179">
        <v>-6.7807309999999996E-2</v>
      </c>
      <c r="AA7179">
        <v>0.99763020000000002</v>
      </c>
      <c r="AB7179">
        <v>42</v>
      </c>
      <c r="AC7179">
        <v>-3.3999999999991802E-3</v>
      </c>
      <c r="AD7179">
        <v>-1.1070387577631</v>
      </c>
      <c r="AE7179">
        <v>15.8626199999999</v>
      </c>
      <c r="AF7179">
        <v>-0.19014879839888299</v>
      </c>
      <c r="AG7179">
        <v>-1.1070387577631</v>
      </c>
      <c r="AH7179">
        <v>15.7845902717212</v>
      </c>
      <c r="AI7179">
        <v>94.011531276531102</v>
      </c>
      <c r="AJ7179">
        <v>90.690179249517996</v>
      </c>
      <c r="AK7179">
        <v>15.824505724440201</v>
      </c>
      <c r="AL7179">
        <v>89.019140031921395</v>
      </c>
      <c r="AM7179">
        <v>88.810447760141699</v>
      </c>
      <c r="AN7179">
        <v>1.0000000133087701</v>
      </c>
    </row>
    <row r="7180" spans="1:40" x14ac:dyDescent="0.25">
      <c r="A7180" t="str">
        <f>"20190312154437020"</f>
        <v>20190312154437020</v>
      </c>
      <c r="B7180" t="str">
        <f>"1552376677014418"</f>
        <v>1552376677014418</v>
      </c>
      <c r="C7180" t="s">
        <v>40</v>
      </c>
      <c r="D7180">
        <v>5.0652400000000002</v>
      </c>
      <c r="E7180">
        <v>0.48477999999999999</v>
      </c>
      <c r="F7180" t="s">
        <v>43</v>
      </c>
      <c r="G7180">
        <v>-188.446</v>
      </c>
      <c r="H7180" s="1">
        <v>-1.7606900000000001E-6</v>
      </c>
      <c r="I7180">
        <v>43.094439999999999</v>
      </c>
      <c r="J7180">
        <v>-188.25360000000001</v>
      </c>
      <c r="K7180">
        <v>1.1070439999999999</v>
      </c>
      <c r="L7180">
        <v>25.069120000000002</v>
      </c>
      <c r="M7180">
        <v>1.455734E-2</v>
      </c>
      <c r="N7180">
        <v>0</v>
      </c>
      <c r="O7180">
        <v>0.9997762</v>
      </c>
      <c r="P7180">
        <v>3.3735580000000001E-2</v>
      </c>
      <c r="Q7180">
        <v>1.663367E-3</v>
      </c>
      <c r="R7180">
        <v>0.99942940000000002</v>
      </c>
      <c r="S7180">
        <v>-3.0181880000000001E-2</v>
      </c>
      <c r="T7180">
        <v>-0.1802849</v>
      </c>
      <c r="U7180">
        <v>3.0029300000000001</v>
      </c>
      <c r="V7180">
        <v>1.9308329999999999E-2</v>
      </c>
      <c r="W7180">
        <v>1.6862370000000002E-2</v>
      </c>
      <c r="X7180">
        <v>0.99967139999999999</v>
      </c>
      <c r="Y7180">
        <v>-2.45895E-2</v>
      </c>
      <c r="Z7180">
        <v>-5.9908320000000001E-2</v>
      </c>
      <c r="AA7180">
        <v>0.99790100000000004</v>
      </c>
      <c r="AB7180">
        <v>42</v>
      </c>
      <c r="AC7180">
        <v>-0.19239999999999199</v>
      </c>
      <c r="AD7180">
        <v>-1.1070457606899999</v>
      </c>
      <c r="AE7180">
        <v>18.025320000000001</v>
      </c>
      <c r="AF7180">
        <v>-0.45310235852495201</v>
      </c>
      <c r="AG7180">
        <v>-1.1070457606899999</v>
      </c>
      <c r="AH7180">
        <v>17.952898752547</v>
      </c>
      <c r="AI7180">
        <v>93.527492876072102</v>
      </c>
      <c r="AJ7180">
        <v>91.445746625232701</v>
      </c>
      <c r="AK7180">
        <v>17.992704790630199</v>
      </c>
      <c r="AL7180">
        <v>89.033811603687298</v>
      </c>
      <c r="AM7180">
        <v>88.893488120092897</v>
      </c>
      <c r="AN7180">
        <v>1.0000000295536799</v>
      </c>
    </row>
    <row r="7181" spans="1:40" x14ac:dyDescent="0.25">
      <c r="A7181" t="str">
        <f>"20190312154437041"</f>
        <v>20190312154437041</v>
      </c>
      <c r="B7181" t="str">
        <f>"1552376677034914"</f>
        <v>1552376677034914</v>
      </c>
      <c r="C7181" t="s">
        <v>40</v>
      </c>
      <c r="D7181">
        <v>5.0716999999999999</v>
      </c>
      <c r="E7181">
        <v>0.4844386</v>
      </c>
      <c r="F7181" t="s">
        <v>43</v>
      </c>
      <c r="G7181">
        <v>-188.40629999999999</v>
      </c>
      <c r="H7181" s="1">
        <v>-1.9286929999999999E-6</v>
      </c>
      <c r="I7181">
        <v>43.469610000000003</v>
      </c>
      <c r="J7181">
        <v>-188.2457</v>
      </c>
      <c r="K7181">
        <v>1.1070759999999999</v>
      </c>
      <c r="L7181">
        <v>25.471219999999999</v>
      </c>
      <c r="M7181">
        <v>1.712375E-2</v>
      </c>
      <c r="N7181">
        <v>0</v>
      </c>
      <c r="O7181">
        <v>0.9997357</v>
      </c>
      <c r="P7181">
        <v>3.580382E-2</v>
      </c>
      <c r="Q7181">
        <v>1.230901E-3</v>
      </c>
      <c r="R7181">
        <v>0.99935810000000003</v>
      </c>
      <c r="S7181">
        <v>-2.4917600000000002E-2</v>
      </c>
      <c r="T7181">
        <v>-0.1806625</v>
      </c>
      <c r="U7181">
        <v>3.0028380000000001</v>
      </c>
      <c r="V7181">
        <v>1.880627E-2</v>
      </c>
      <c r="W7181">
        <v>1.6430420000000001E-2</v>
      </c>
      <c r="X7181">
        <v>0.99968809999999997</v>
      </c>
      <c r="Y7181">
        <v>-2.5406720000000001E-2</v>
      </c>
      <c r="Z7181">
        <v>-6.0031399999999999E-2</v>
      </c>
      <c r="AA7181">
        <v>0.99787309999999996</v>
      </c>
      <c r="AB7181">
        <v>42</v>
      </c>
      <c r="AC7181">
        <v>-0.160599999999988</v>
      </c>
      <c r="AD7181">
        <v>-1.1070779286929999</v>
      </c>
      <c r="AE7181">
        <v>17.998389999999901</v>
      </c>
      <c r="AF7181">
        <v>-0.46704573708867297</v>
      </c>
      <c r="AG7181">
        <v>-1.1070779286929999</v>
      </c>
      <c r="AH7181">
        <v>17.925186204775802</v>
      </c>
      <c r="AI7181">
        <v>93.532961235349404</v>
      </c>
      <c r="AJ7181">
        <v>91.492519865794705</v>
      </c>
      <c r="AK7181">
        <v>17.965412707105202</v>
      </c>
      <c r="AL7181">
        <v>89.058563884870594</v>
      </c>
      <c r="AM7181">
        <v>88.922271040150406</v>
      </c>
      <c r="AN7181">
        <v>0.99999996588714901</v>
      </c>
    </row>
    <row r="7182" spans="1:40" x14ac:dyDescent="0.25">
      <c r="A7182" t="str">
        <f>"20190312154437065"</f>
        <v>20190312154437065</v>
      </c>
      <c r="B7182" t="str">
        <f>"1552376677054435"</f>
        <v>1552376677054435</v>
      </c>
      <c r="C7182" t="s">
        <v>40</v>
      </c>
      <c r="D7182">
        <v>5.078417</v>
      </c>
      <c r="E7182">
        <v>0.48409350000000001</v>
      </c>
      <c r="F7182" t="s">
        <v>43</v>
      </c>
      <c r="G7182">
        <v>-188.37639999999999</v>
      </c>
      <c r="H7182" s="1">
        <v>-1.983802E-6</v>
      </c>
      <c r="I7182">
        <v>43.585709999999999</v>
      </c>
      <c r="J7182">
        <v>-188.23589999999999</v>
      </c>
      <c r="K7182">
        <v>1.107148</v>
      </c>
      <c r="L7182">
        <v>25.910609999999998</v>
      </c>
      <c r="M7182">
        <v>1.9815220000000001E-2</v>
      </c>
      <c r="N7182">
        <v>0</v>
      </c>
      <c r="O7182">
        <v>0.99968610000000002</v>
      </c>
      <c r="P7182">
        <v>3.8566339999999998E-2</v>
      </c>
      <c r="Q7182">
        <v>1.085171E-3</v>
      </c>
      <c r="R7182">
        <v>0.99925549999999996</v>
      </c>
      <c r="S7182">
        <v>-2.1667479999999999E-2</v>
      </c>
      <c r="T7182">
        <v>-0.18352589999999999</v>
      </c>
      <c r="U7182">
        <v>3.0029300000000001</v>
      </c>
      <c r="V7182">
        <v>1.8874800000000001E-2</v>
      </c>
      <c r="W7182">
        <v>1.628023E-2</v>
      </c>
      <c r="X7182">
        <v>0.9996893</v>
      </c>
      <c r="Y7182">
        <v>-2.7017449999999998E-2</v>
      </c>
      <c r="Z7182">
        <v>-6.0971930000000001E-2</v>
      </c>
      <c r="AA7182">
        <v>0.99777380000000004</v>
      </c>
      <c r="AB7182">
        <v>42</v>
      </c>
      <c r="AC7182">
        <v>-0.14050000000000201</v>
      </c>
      <c r="AD7182">
        <v>-1.107149983802</v>
      </c>
      <c r="AE7182">
        <v>17.675099999999901</v>
      </c>
      <c r="AF7182">
        <v>-0.48883169447657498</v>
      </c>
      <c r="AG7182">
        <v>-1.107149983802</v>
      </c>
      <c r="AH7182">
        <v>17.5997935844537</v>
      </c>
      <c r="AI7182">
        <v>93.598177702346106</v>
      </c>
      <c r="AJ7182">
        <v>91.590972871229795</v>
      </c>
      <c r="AK7182">
        <v>17.641356856192601</v>
      </c>
      <c r="AL7182">
        <v>89.067170321523307</v>
      </c>
      <c r="AM7182">
        <v>88.918346027987496</v>
      </c>
      <c r="AN7182">
        <v>1.00000000024919</v>
      </c>
    </row>
    <row r="7183" spans="1:40" x14ac:dyDescent="0.25">
      <c r="A7183" t="str">
        <f>"20190312154437086"</f>
        <v>20190312154437086</v>
      </c>
      <c r="B7183" t="str">
        <f>"1552376677074933"</f>
        <v>1552376677074933</v>
      </c>
      <c r="C7183" t="s">
        <v>40</v>
      </c>
      <c r="D7183">
        <v>5.0911229999999996</v>
      </c>
      <c r="E7183">
        <v>0.48392800000000002</v>
      </c>
      <c r="F7183" t="s">
        <v>43</v>
      </c>
      <c r="G7183">
        <v>-188.33250000000001</v>
      </c>
      <c r="H7183" s="1">
        <v>-2.1079499999999999E-6</v>
      </c>
      <c r="I7183">
        <v>43.85698</v>
      </c>
      <c r="J7183">
        <v>-188.2261</v>
      </c>
      <c r="K7183">
        <v>1.107235</v>
      </c>
      <c r="L7183">
        <v>26.308720000000001</v>
      </c>
      <c r="M7183">
        <v>2.212575E-2</v>
      </c>
      <c r="N7183">
        <v>0</v>
      </c>
      <c r="O7183">
        <v>0.99963769999999996</v>
      </c>
      <c r="P7183">
        <v>4.1346670000000002E-2</v>
      </c>
      <c r="Q7183">
        <v>1.850431E-3</v>
      </c>
      <c r="R7183">
        <v>0.99914309999999995</v>
      </c>
      <c r="S7183">
        <v>-1.6174319999999999E-2</v>
      </c>
      <c r="T7183">
        <v>-0.1852647</v>
      </c>
      <c r="U7183">
        <v>3.0030519999999998</v>
      </c>
      <c r="V7183">
        <v>1.9347980000000001E-2</v>
      </c>
      <c r="W7183">
        <v>1.7039729999999999E-2</v>
      </c>
      <c r="X7183">
        <v>0.99966759999999999</v>
      </c>
      <c r="Y7183">
        <v>-2.750238E-2</v>
      </c>
      <c r="Z7183">
        <v>-6.154039E-2</v>
      </c>
      <c r="AA7183">
        <v>0.99772559999999999</v>
      </c>
      <c r="AB7183">
        <v>42</v>
      </c>
      <c r="AC7183">
        <v>-0.106400000000007</v>
      </c>
      <c r="AD7183">
        <v>-1.1072371079500001</v>
      </c>
      <c r="AE7183">
        <v>17.548259999999999</v>
      </c>
      <c r="AF7183">
        <v>-0.49272640800387002</v>
      </c>
      <c r="AG7183">
        <v>-1.1072371079500001</v>
      </c>
      <c r="AH7183">
        <v>17.472051605024902</v>
      </c>
      <c r="AI7183">
        <v>93.624656281792298</v>
      </c>
      <c r="AJ7183">
        <v>91.6153605705139</v>
      </c>
      <c r="AK7183">
        <v>17.514032677113999</v>
      </c>
      <c r="AL7183">
        <v>89.023648138909905</v>
      </c>
      <c r="AM7183">
        <v>88.891212231162598</v>
      </c>
      <c r="AN7183">
        <v>1.0000000036091501</v>
      </c>
    </row>
    <row r="7184" spans="1:40" x14ac:dyDescent="0.25">
      <c r="A7184" t="str">
        <f>"20190312154437112"</f>
        <v>20190312154437112</v>
      </c>
      <c r="B7184" t="str">
        <f>"1552376677104210"</f>
        <v>1552376677104210</v>
      </c>
      <c r="C7184" t="s">
        <v>40</v>
      </c>
      <c r="D7184">
        <v>5.0864719999999997</v>
      </c>
      <c r="E7184">
        <v>0.47956589999999999</v>
      </c>
      <c r="F7184" t="s">
        <v>43</v>
      </c>
      <c r="G7184">
        <v>-188.28190000000001</v>
      </c>
      <c r="H7184" s="1">
        <v>-2.406899E-6</v>
      </c>
      <c r="I7184">
        <v>44.532910000000001</v>
      </c>
      <c r="J7184">
        <v>-188.214</v>
      </c>
      <c r="K7184">
        <v>1.1073660000000001</v>
      </c>
      <c r="L7184">
        <v>26.760960000000001</v>
      </c>
      <c r="M7184">
        <v>2.4573089999999999E-2</v>
      </c>
      <c r="N7184">
        <v>0</v>
      </c>
      <c r="O7184">
        <v>0.99958060000000004</v>
      </c>
      <c r="P7184">
        <v>4.4750369999999998E-2</v>
      </c>
      <c r="Q7184">
        <v>2.1026500000000002E-3</v>
      </c>
      <c r="R7184">
        <v>0.998996</v>
      </c>
      <c r="S7184">
        <v>-9.2010500000000005E-3</v>
      </c>
      <c r="T7184">
        <v>-0.18246960000000001</v>
      </c>
      <c r="U7184">
        <v>3.0032960000000002</v>
      </c>
      <c r="V7184">
        <v>2.030274E-2</v>
      </c>
      <c r="W7184">
        <v>1.728288E-2</v>
      </c>
      <c r="X7184">
        <v>0.99964450000000005</v>
      </c>
      <c r="Y7184">
        <v>-2.763293E-2</v>
      </c>
      <c r="Z7184">
        <v>-6.0605449999999998E-2</v>
      </c>
      <c r="AA7184">
        <v>0.99777930000000004</v>
      </c>
      <c r="AB7184">
        <v>42</v>
      </c>
      <c r="AC7184">
        <v>-6.7899999999980296E-2</v>
      </c>
      <c r="AD7184">
        <v>-1.107368406899</v>
      </c>
      <c r="AE7184">
        <v>17.77195</v>
      </c>
      <c r="AF7184">
        <v>-0.50269081447179897</v>
      </c>
      <c r="AG7184">
        <v>-1.107368406899</v>
      </c>
      <c r="AH7184">
        <v>17.696208599525701</v>
      </c>
      <c r="AI7184">
        <v>93.579265537087295</v>
      </c>
      <c r="AJ7184">
        <v>91.627146203315903</v>
      </c>
      <c r="AK7184">
        <v>17.737946939865399</v>
      </c>
      <c r="AL7184">
        <v>89.0097146272918</v>
      </c>
      <c r="AM7184">
        <v>88.836484962569699</v>
      </c>
      <c r="AN7184">
        <v>1.0000000127864199</v>
      </c>
    </row>
    <row r="7185" spans="1:40" x14ac:dyDescent="0.25">
      <c r="A7185" t="str">
        <f>"20190312154437133"</f>
        <v>20190312154437133</v>
      </c>
      <c r="B7185" t="str">
        <f>"1552376677124706"</f>
        <v>1552376677124706</v>
      </c>
      <c r="C7185" t="s">
        <v>40</v>
      </c>
      <c r="D7185">
        <v>5.0994039999999998</v>
      </c>
      <c r="E7185">
        <v>0.4800449</v>
      </c>
      <c r="F7185" t="s">
        <v>43</v>
      </c>
      <c r="G7185">
        <v>-188.41120000000001</v>
      </c>
      <c r="H7185" s="1">
        <v>-2.293227E-6</v>
      </c>
      <c r="I7185">
        <v>44.321399999999997</v>
      </c>
      <c r="J7185">
        <v>-188.2022</v>
      </c>
      <c r="K7185">
        <v>1.107497</v>
      </c>
      <c r="L7185">
        <v>27.170100000000001</v>
      </c>
      <c r="M7185">
        <v>2.6616999999999998E-2</v>
      </c>
      <c r="N7185">
        <v>0</v>
      </c>
      <c r="O7185">
        <v>0.99952839999999998</v>
      </c>
      <c r="P7185">
        <v>4.6779979999999999E-2</v>
      </c>
      <c r="Q7185">
        <v>2.126167E-3</v>
      </c>
      <c r="R7185">
        <v>0.99890299999999999</v>
      </c>
      <c r="S7185">
        <v>-3.3752440000000002E-2</v>
      </c>
      <c r="T7185">
        <v>-0.18949089999999999</v>
      </c>
      <c r="U7185">
        <v>3.0049130000000002</v>
      </c>
      <c r="V7185">
        <v>2.0283989999999998E-2</v>
      </c>
      <c r="W7185">
        <v>1.7305770000000002E-2</v>
      </c>
      <c r="X7185">
        <v>0.99964450000000005</v>
      </c>
      <c r="Y7185">
        <v>-3.7823919999999997E-2</v>
      </c>
      <c r="Z7185">
        <v>-6.2877420000000003E-2</v>
      </c>
      <c r="AA7185">
        <v>0.99730430000000003</v>
      </c>
      <c r="AB7185">
        <v>42</v>
      </c>
      <c r="AC7185">
        <v>-0.20900000000000299</v>
      </c>
      <c r="AD7185">
        <v>-1.107499293227</v>
      </c>
      <c r="AE7185">
        <v>17.1512999999999</v>
      </c>
      <c r="AF7185">
        <v>-0.66273271582555504</v>
      </c>
      <c r="AG7185">
        <v>-1.107499293227</v>
      </c>
      <c r="AH7185">
        <v>17.068500351030401</v>
      </c>
      <c r="AI7185">
        <v>93.709677394635605</v>
      </c>
      <c r="AJ7185">
        <v>92.223553442692307</v>
      </c>
      <c r="AK7185">
        <v>17.117227391439599</v>
      </c>
      <c r="AL7185">
        <v>89.008402945979697</v>
      </c>
      <c r="AM7185">
        <v>88.837559197776599</v>
      </c>
      <c r="AN7185">
        <v>1.00000002815293</v>
      </c>
    </row>
    <row r="7186" spans="1:40" x14ac:dyDescent="0.25">
      <c r="A7186" t="str">
        <f>"20190312154437154"</f>
        <v>20190312154437154</v>
      </c>
      <c r="B7186" t="str">
        <f>"1552376677144226"</f>
        <v>1552376677144226</v>
      </c>
      <c r="C7186" t="s">
        <v>40</v>
      </c>
      <c r="D7186">
        <v>5.0829820000000003</v>
      </c>
      <c r="E7186">
        <v>0.47964570000000001</v>
      </c>
      <c r="F7186" t="s">
        <v>43</v>
      </c>
      <c r="G7186">
        <v>-188.3398</v>
      </c>
      <c r="H7186" s="1">
        <v>-2.3928709999999998E-6</v>
      </c>
      <c r="I7186">
        <v>44.524160000000002</v>
      </c>
      <c r="J7186">
        <v>-188.19</v>
      </c>
      <c r="K7186">
        <v>1.10764</v>
      </c>
      <c r="L7186">
        <v>27.570309999999999</v>
      </c>
      <c r="M7186">
        <v>2.847417E-2</v>
      </c>
      <c r="N7186">
        <v>0</v>
      </c>
      <c r="O7186">
        <v>0.99947730000000001</v>
      </c>
      <c r="P7186">
        <v>4.8557309999999999E-2</v>
      </c>
      <c r="Q7186">
        <v>1.6598299999999999E-3</v>
      </c>
      <c r="R7186">
        <v>0.99881900000000001</v>
      </c>
      <c r="S7186">
        <v>-2.3834230000000001E-2</v>
      </c>
      <c r="T7186">
        <v>-0.1917614</v>
      </c>
      <c r="U7186">
        <v>3.0048219999999999</v>
      </c>
      <c r="V7186">
        <v>2.0196479999999999E-2</v>
      </c>
      <c r="W7186">
        <v>1.6839960000000001E-2</v>
      </c>
      <c r="X7186">
        <v>0.99965420000000005</v>
      </c>
      <c r="Y7186">
        <v>-3.6389039999999997E-2</v>
      </c>
      <c r="Z7186">
        <v>-6.3627509999999998E-2</v>
      </c>
      <c r="AA7186">
        <v>0.99731000000000003</v>
      </c>
      <c r="AB7186">
        <v>42</v>
      </c>
      <c r="AC7186">
        <v>-0.14979999999999899</v>
      </c>
      <c r="AD7186">
        <v>-1.107642392871</v>
      </c>
      <c r="AE7186">
        <v>16.9538499999999</v>
      </c>
      <c r="AF7186">
        <v>-0.62985438441849995</v>
      </c>
      <c r="AG7186">
        <v>-1.107642392871</v>
      </c>
      <c r="AH7186">
        <v>16.870703306911398</v>
      </c>
      <c r="AI7186">
        <v>93.753743273557504</v>
      </c>
      <c r="AJ7186">
        <v>92.138099656132198</v>
      </c>
      <c r="AK7186">
        <v>16.918753449527198</v>
      </c>
      <c r="AL7186">
        <v>89.035095756679894</v>
      </c>
      <c r="AM7186">
        <v>88.842584107003105</v>
      </c>
      <c r="AN7186">
        <v>1.0000000008174099</v>
      </c>
    </row>
    <row r="7187" spans="1:40" x14ac:dyDescent="0.25">
      <c r="A7187" t="str">
        <f>"20190312154437176"</f>
        <v>20190312154437176</v>
      </c>
      <c r="B7187" t="str">
        <f>"1552376677164722"</f>
        <v>1552376677164722</v>
      </c>
      <c r="C7187" t="s">
        <v>40</v>
      </c>
      <c r="D7187">
        <v>5.092937</v>
      </c>
      <c r="E7187">
        <v>0.47964269999999998</v>
      </c>
      <c r="F7187" t="s">
        <v>43</v>
      </c>
      <c r="G7187">
        <v>-188.31270000000001</v>
      </c>
      <c r="H7187" s="1">
        <v>-2.3908730000000002E-6</v>
      </c>
      <c r="I7187">
        <v>44.508279999999999</v>
      </c>
      <c r="J7187">
        <v>-188.17679999999999</v>
      </c>
      <c r="K7187">
        <v>1.107791</v>
      </c>
      <c r="L7187">
        <v>27.980219999999999</v>
      </c>
      <c r="M7187">
        <v>3.0213739999999999E-2</v>
      </c>
      <c r="N7187">
        <v>0</v>
      </c>
      <c r="O7187">
        <v>0.99942640000000005</v>
      </c>
      <c r="P7187">
        <v>4.9368599999999999E-2</v>
      </c>
      <c r="Q7187">
        <v>1.408098E-3</v>
      </c>
      <c r="R7187">
        <v>0.99877969999999905</v>
      </c>
      <c r="S7187">
        <v>-2.1774290000000002E-2</v>
      </c>
      <c r="T7187">
        <v>-0.1965054</v>
      </c>
      <c r="U7187">
        <v>3.0049440000000001</v>
      </c>
      <c r="V7187">
        <v>1.926075E-2</v>
      </c>
      <c r="W7187">
        <v>1.659395E-2</v>
      </c>
      <c r="X7187">
        <v>0.99967680000000003</v>
      </c>
      <c r="Y7187">
        <v>-3.7443700000000003E-2</v>
      </c>
      <c r="Z7187">
        <v>-6.5186259999999996E-2</v>
      </c>
      <c r="AA7187">
        <v>0.99717029999999995</v>
      </c>
      <c r="AB7187">
        <v>42</v>
      </c>
      <c r="AC7187">
        <v>-0.13590000000002</v>
      </c>
      <c r="AD7187">
        <v>-1.107793390873</v>
      </c>
      <c r="AE7187">
        <v>16.5280599999999</v>
      </c>
      <c r="AF7187">
        <v>-0.63242998061137001</v>
      </c>
      <c r="AG7187">
        <v>-1.107793390873</v>
      </c>
      <c r="AH7187">
        <v>16.442545289842801</v>
      </c>
      <c r="AI7187">
        <v>93.851558366068701</v>
      </c>
      <c r="AJ7187">
        <v>92.202683034583899</v>
      </c>
      <c r="AK7187">
        <v>16.4919516578775</v>
      </c>
      <c r="AL7187">
        <v>89.049193079652198</v>
      </c>
      <c r="AM7187">
        <v>88.896220095825299</v>
      </c>
      <c r="AN7187">
        <v>1.0000000200626999</v>
      </c>
    </row>
    <row r="7188" spans="1:40" x14ac:dyDescent="0.25">
      <c r="A7188" t="str">
        <f>"20190312154437198"</f>
        <v>20190312154437198</v>
      </c>
      <c r="B7188" t="str">
        <f>"1552376677194978"</f>
        <v>1552376677194978</v>
      </c>
      <c r="C7188" t="s">
        <v>40</v>
      </c>
      <c r="D7188">
        <v>5.1548829999999999</v>
      </c>
      <c r="E7188">
        <v>0.50390079999999904</v>
      </c>
      <c r="F7188" t="s">
        <v>43</v>
      </c>
      <c r="G7188">
        <v>-188.2851</v>
      </c>
      <c r="H7188" s="1">
        <v>-2.5701319999999998E-6</v>
      </c>
      <c r="I7188">
        <v>44.914709999999999</v>
      </c>
      <c r="J7188">
        <v>-188.16290000000001</v>
      </c>
      <c r="K7188">
        <v>1.1079650000000001</v>
      </c>
      <c r="L7188">
        <v>28.395389999999999</v>
      </c>
      <c r="M7188">
        <v>3.1786019999999998E-2</v>
      </c>
      <c r="N7188">
        <v>0</v>
      </c>
      <c r="O7188">
        <v>0.99937770000000004</v>
      </c>
      <c r="P7188">
        <v>5.0595950000000001E-2</v>
      </c>
      <c r="Q7188">
        <v>1.4887310000000001E-3</v>
      </c>
      <c r="R7188">
        <v>0.99871810000000005</v>
      </c>
      <c r="S7188">
        <v>-1.921082E-2</v>
      </c>
      <c r="T7188">
        <v>-0.19656860000000001</v>
      </c>
      <c r="U7188">
        <v>3.004883</v>
      </c>
      <c r="V7188">
        <v>1.8910079999999999E-2</v>
      </c>
      <c r="W7188">
        <v>1.667691E-2</v>
      </c>
      <c r="X7188">
        <v>0.99968210000000002</v>
      </c>
      <c r="Y7188">
        <v>-3.8165289999999998E-2</v>
      </c>
      <c r="Z7188">
        <v>-6.5202979999999994E-2</v>
      </c>
      <c r="AA7188">
        <v>0.99714190000000003</v>
      </c>
      <c r="AB7188">
        <v>42</v>
      </c>
      <c r="AC7188">
        <v>-0.122199999999992</v>
      </c>
      <c r="AD7188">
        <v>-1.10796757013199</v>
      </c>
      <c r="AE7188">
        <v>16.519319999999901</v>
      </c>
      <c r="AF7188">
        <v>-0.64438446410814199</v>
      </c>
      <c r="AG7188">
        <v>-1.10796757013199</v>
      </c>
      <c r="AH7188">
        <v>16.433165179898399</v>
      </c>
      <c r="AI7188">
        <v>93.8542426536915</v>
      </c>
      <c r="AJ7188">
        <v>92.245556716069999</v>
      </c>
      <c r="AK7188">
        <v>16.483074388713799</v>
      </c>
      <c r="AL7188">
        <v>89.044439150367197</v>
      </c>
      <c r="AM7188">
        <v>88.916316923462006</v>
      </c>
      <c r="AN7188">
        <v>1.0000000057565801</v>
      </c>
    </row>
    <row r="7189" spans="1:40" x14ac:dyDescent="0.25">
      <c r="A7189" t="str">
        <f>"20190312154437221"</f>
        <v>20190312154437221</v>
      </c>
      <c r="B7189" t="str">
        <f>"1552376677214498"</f>
        <v>1552376677214498</v>
      </c>
      <c r="C7189" t="s">
        <v>40</v>
      </c>
      <c r="D7189">
        <v>5.1415930000000003</v>
      </c>
      <c r="E7189">
        <v>0.51393009999999995</v>
      </c>
      <c r="F7189" t="s">
        <v>43</v>
      </c>
      <c r="G7189">
        <v>-186.92060000000001</v>
      </c>
      <c r="H7189" s="1">
        <v>-4.6693710000000004E-6</v>
      </c>
      <c r="I7189">
        <v>49.24389</v>
      </c>
      <c r="J7189">
        <v>-188.1482</v>
      </c>
      <c r="K7189">
        <v>1.1081570000000001</v>
      </c>
      <c r="L7189">
        <v>28.817229999999999</v>
      </c>
      <c r="M7189">
        <v>3.3171079999999999E-2</v>
      </c>
      <c r="N7189">
        <v>0</v>
      </c>
      <c r="O7189">
        <v>0.99933280000000002</v>
      </c>
      <c r="P7189">
        <v>5.2229650000000002E-2</v>
      </c>
      <c r="Q7189">
        <v>1.60500799999999E-3</v>
      </c>
      <c r="R7189">
        <v>0.99863380000000002</v>
      </c>
      <c r="S7189">
        <v>0.17846679999999901</v>
      </c>
      <c r="T7189">
        <v>-0.1591687</v>
      </c>
      <c r="U7189">
        <v>2.9950559999999999</v>
      </c>
      <c r="V7189">
        <v>1.9152679999999998E-2</v>
      </c>
      <c r="W7189">
        <v>1.6793720000000002E-2</v>
      </c>
      <c r="X7189">
        <v>0.99967550000000005</v>
      </c>
      <c r="Y7189">
        <v>2.6249129999999999E-2</v>
      </c>
      <c r="Z7189">
        <v>-5.2969210000000003E-2</v>
      </c>
      <c r="AA7189">
        <v>0.99825109999999995</v>
      </c>
      <c r="AB7189">
        <v>42</v>
      </c>
      <c r="AC7189">
        <v>1.22759999999999</v>
      </c>
      <c r="AD7189">
        <v>-1.1081616693709999</v>
      </c>
      <c r="AE7189">
        <v>20.426659999999998</v>
      </c>
      <c r="AF7189">
        <v>0.54766468487317599</v>
      </c>
      <c r="AG7189">
        <v>-1.1081616693709999</v>
      </c>
      <c r="AH7189">
        <v>20.396328614921</v>
      </c>
      <c r="AI7189">
        <v>93.108785614783201</v>
      </c>
      <c r="AJ7189">
        <v>88.461912549809895</v>
      </c>
      <c r="AK7189">
        <v>20.433750998295999</v>
      </c>
      <c r="AL7189">
        <v>89.037745467946905</v>
      </c>
      <c r="AM7189">
        <v>88.902410340047794</v>
      </c>
      <c r="AN7189">
        <v>0.99999997974143495</v>
      </c>
    </row>
    <row r="7190" spans="1:40" x14ac:dyDescent="0.25">
      <c r="A7190" t="str">
        <f>"20190312154437243"</f>
        <v>20190312154437243</v>
      </c>
      <c r="B7190" t="str">
        <f>"1552376677234995"</f>
        <v>1552376677234995</v>
      </c>
      <c r="C7190" t="s">
        <v>40</v>
      </c>
      <c r="D7190">
        <v>5.1185729999999996</v>
      </c>
      <c r="E7190">
        <v>0.51799830000000002</v>
      </c>
      <c r="F7190" t="s">
        <v>43</v>
      </c>
      <c r="G7190">
        <v>-186.41249999999999</v>
      </c>
      <c r="H7190" s="1">
        <v>-4.4611889999999996E-6</v>
      </c>
      <c r="I7190">
        <v>48.548540000000003</v>
      </c>
      <c r="J7190">
        <v>-188.1335</v>
      </c>
      <c r="K7190">
        <v>1.1083730000000001</v>
      </c>
      <c r="L7190">
        <v>29.22842</v>
      </c>
      <c r="M7190">
        <v>3.4301440000000002E-2</v>
      </c>
      <c r="N7190">
        <v>0</v>
      </c>
      <c r="O7190">
        <v>0.99929480000000004</v>
      </c>
      <c r="P7190">
        <v>5.4102299999999999E-2</v>
      </c>
      <c r="Q7190">
        <v>1.2871409999999999E-3</v>
      </c>
      <c r="R7190">
        <v>0.99853460000000005</v>
      </c>
      <c r="S7190">
        <v>0.2630768</v>
      </c>
      <c r="T7190">
        <v>-0.16796159999999999</v>
      </c>
      <c r="U7190">
        <v>2.990631</v>
      </c>
      <c r="V7190">
        <v>1.98867E-2</v>
      </c>
      <c r="W7190">
        <v>1.6474760000000001E-2</v>
      </c>
      <c r="X7190">
        <v>0.99966650000000001</v>
      </c>
      <c r="Y7190">
        <v>5.3266580000000001E-2</v>
      </c>
      <c r="Z7190">
        <v>-5.587748E-2</v>
      </c>
      <c r="AA7190">
        <v>0.99701569999999995</v>
      </c>
      <c r="AB7190">
        <v>41</v>
      </c>
      <c r="AC7190">
        <v>1.7210000000000001</v>
      </c>
      <c r="AD7190">
        <v>-1.108377461189</v>
      </c>
      <c r="AE7190">
        <v>19.320119999999999</v>
      </c>
      <c r="AF7190">
        <v>1.05376090423925</v>
      </c>
      <c r="AG7190">
        <v>-1.108377461189</v>
      </c>
      <c r="AH7190">
        <v>19.304751919422699</v>
      </c>
      <c r="AI7190">
        <v>93.2811412756555</v>
      </c>
      <c r="AJ7190">
        <v>86.875577864381498</v>
      </c>
      <c r="AK7190">
        <v>19.365235844425701</v>
      </c>
      <c r="AL7190">
        <v>89.056023082829199</v>
      </c>
      <c r="AM7190">
        <v>88.860346218362096</v>
      </c>
      <c r="AN7190">
        <v>1.0000000048880899</v>
      </c>
    </row>
    <row r="7191" spans="1:40" x14ac:dyDescent="0.25">
      <c r="A7191" t="str">
        <f>"20190312154437266"</f>
        <v>20190312154437266</v>
      </c>
      <c r="B7191" t="str">
        <f>"1552376677254144"</f>
        <v>1552376677254144</v>
      </c>
      <c r="C7191" t="s">
        <v>40</v>
      </c>
      <c r="D7191">
        <v>5.1106800000000003</v>
      </c>
      <c r="E7191">
        <v>0.5200456</v>
      </c>
      <c r="F7191" t="s">
        <v>43</v>
      </c>
      <c r="G7191">
        <v>-186.1474</v>
      </c>
      <c r="H7191" s="1">
        <v>-4.6750850000000001E-6</v>
      </c>
      <c r="I7191">
        <v>48.937539999999998</v>
      </c>
      <c r="J7191">
        <v>-188.1182</v>
      </c>
      <c r="K7191">
        <v>1.108606</v>
      </c>
      <c r="L7191">
        <v>29.650790000000001</v>
      </c>
      <c r="M7191">
        <v>3.5226460000000001E-2</v>
      </c>
      <c r="N7191">
        <v>0</v>
      </c>
      <c r="O7191">
        <v>0.99926269999999995</v>
      </c>
      <c r="P7191">
        <v>5.6362420000000003E-2</v>
      </c>
      <c r="Q7191">
        <v>9.5213660000000001E-4</v>
      </c>
      <c r="R7191">
        <v>0.99840989999999996</v>
      </c>
      <c r="S7191">
        <v>0.30113220000000002</v>
      </c>
      <c r="T7191">
        <v>-0.16805320000000001</v>
      </c>
      <c r="U7191">
        <v>2.9883120000000001</v>
      </c>
      <c r="V7191">
        <v>2.1213510000000001E-2</v>
      </c>
      <c r="W7191">
        <v>1.6137680000000001E-2</v>
      </c>
      <c r="X7191">
        <v>0.99964470000000005</v>
      </c>
      <c r="Y7191">
        <v>6.4990160000000005E-2</v>
      </c>
      <c r="Z7191">
        <v>-5.5895510000000002E-2</v>
      </c>
      <c r="AA7191">
        <v>0.99631919999999996</v>
      </c>
      <c r="AB7191">
        <v>41</v>
      </c>
      <c r="AC7191">
        <v>1.9707999999999899</v>
      </c>
      <c r="AD7191">
        <v>-1.108610675085</v>
      </c>
      <c r="AE7191">
        <v>19.286750000000001</v>
      </c>
      <c r="AF7191">
        <v>1.28588873244483</v>
      </c>
      <c r="AG7191">
        <v>-1.108610675085</v>
      </c>
      <c r="AH7191">
        <v>19.281162747629701</v>
      </c>
      <c r="AI7191">
        <v>93.283439437975701</v>
      </c>
      <c r="AJ7191">
        <v>86.184511378667395</v>
      </c>
      <c r="AK7191">
        <v>19.355768245195598</v>
      </c>
      <c r="AL7191">
        <v>89.075338891141499</v>
      </c>
      <c r="AM7191">
        <v>88.784305874521493</v>
      </c>
      <c r="AN7191">
        <v>0.99999998198019602</v>
      </c>
    </row>
    <row r="7192" spans="1:40" x14ac:dyDescent="0.25">
      <c r="A7192" t="str">
        <f>"20190312154437287"</f>
        <v>20190312154437287</v>
      </c>
      <c r="B7192" t="str">
        <f>"1552376677284399"</f>
        <v>1552376677284399</v>
      </c>
      <c r="C7192" t="s">
        <v>40</v>
      </c>
      <c r="D7192">
        <v>5.132104</v>
      </c>
      <c r="E7192">
        <v>0.52172859999999999</v>
      </c>
      <c r="F7192" t="s">
        <v>43</v>
      </c>
      <c r="G7192">
        <v>-185.99520000000001</v>
      </c>
      <c r="H7192" s="1">
        <v>-4.8208679999999998E-6</v>
      </c>
      <c r="I7192">
        <v>49.214419999999997</v>
      </c>
      <c r="J7192">
        <v>-188.10380000000001</v>
      </c>
      <c r="K7192">
        <v>1.1088469999999999</v>
      </c>
      <c r="L7192">
        <v>30.042570000000001</v>
      </c>
      <c r="M7192">
        <v>3.5852790000000002E-2</v>
      </c>
      <c r="N7192">
        <v>0</v>
      </c>
      <c r="O7192">
        <v>0.99924049999999998</v>
      </c>
      <c r="P7192">
        <v>5.8255849999999998E-2</v>
      </c>
      <c r="Q7192">
        <v>1.157679E-3</v>
      </c>
      <c r="R7192">
        <v>0.99830099999999999</v>
      </c>
      <c r="S7192">
        <v>0.32409670000000002</v>
      </c>
      <c r="T7192">
        <v>-0.16924330000000001</v>
      </c>
      <c r="U7192">
        <v>2.9866329999999999</v>
      </c>
      <c r="V7192">
        <v>2.247437E-2</v>
      </c>
      <c r="W7192">
        <v>1.634412E-2</v>
      </c>
      <c r="X7192">
        <v>0.9996138</v>
      </c>
      <c r="Y7192">
        <v>7.1994290000000002E-2</v>
      </c>
      <c r="Z7192">
        <v>-5.6283659999999999E-2</v>
      </c>
      <c r="AA7192">
        <v>0.99581580000000003</v>
      </c>
      <c r="AB7192">
        <v>41</v>
      </c>
      <c r="AC7192">
        <v>2.1085999999999898</v>
      </c>
      <c r="AD7192">
        <v>-1.1088518208679901</v>
      </c>
      <c r="AE7192">
        <v>19.171849999999999</v>
      </c>
      <c r="AF7192">
        <v>1.41512236805945</v>
      </c>
      <c r="AG7192">
        <v>-1.1088518208679901</v>
      </c>
      <c r="AH7192">
        <v>19.171762792389501</v>
      </c>
      <c r="AI7192">
        <v>93.301210885317403</v>
      </c>
      <c r="AJ7192">
        <v>85.778491095726807</v>
      </c>
      <c r="AK7192">
        <v>19.255872149681402</v>
      </c>
      <c r="AL7192">
        <v>89.063509195913497</v>
      </c>
      <c r="AM7192">
        <v>88.712032943016595</v>
      </c>
      <c r="AN7192">
        <v>0.99999998835795501</v>
      </c>
    </row>
    <row r="7193" spans="1:40" x14ac:dyDescent="0.25">
      <c r="A7193" t="str">
        <f>"20190312154437312"</f>
        <v>20190312154437312</v>
      </c>
      <c r="B7193" t="str">
        <f>"1552376677304895"</f>
        <v>1552376677304895</v>
      </c>
      <c r="C7193" t="s">
        <v>40</v>
      </c>
      <c r="D7193">
        <v>5.1657789999999997</v>
      </c>
      <c r="E7193">
        <v>0.52229360000000002</v>
      </c>
      <c r="F7193" t="s">
        <v>43</v>
      </c>
      <c r="G7193">
        <v>-185.84780000000001</v>
      </c>
      <c r="H7193" s="1">
        <v>-1.116255E-6</v>
      </c>
      <c r="I7193">
        <v>49.681730000000002</v>
      </c>
      <c r="J7193">
        <v>-188.0874</v>
      </c>
      <c r="K7193">
        <v>1.1091150000000001</v>
      </c>
      <c r="L7193">
        <v>30.485990000000001</v>
      </c>
      <c r="M7193">
        <v>3.6302460000000002E-2</v>
      </c>
      <c r="N7193">
        <v>0</v>
      </c>
      <c r="O7193">
        <v>0.99922440000000001</v>
      </c>
      <c r="P7193">
        <v>5.99581E-2</v>
      </c>
      <c r="Q7193">
        <v>1.4466699999999999E-3</v>
      </c>
      <c r="R7193">
        <v>0.99819979999999997</v>
      </c>
      <c r="S7193">
        <v>0.34292600000000001</v>
      </c>
      <c r="T7193">
        <v>-0.168552799999999</v>
      </c>
      <c r="U7193">
        <v>2.9852910000000001</v>
      </c>
      <c r="V7193">
        <v>2.3719569999999999E-2</v>
      </c>
      <c r="W7193">
        <v>1.663591E-2</v>
      </c>
      <c r="X7193">
        <v>0.99958020000000003</v>
      </c>
      <c r="Y7193">
        <v>7.77973E-2</v>
      </c>
      <c r="Z7193">
        <v>-5.6046609999999997E-2</v>
      </c>
      <c r="AA7193">
        <v>0.99539259999999996</v>
      </c>
      <c r="AB7193">
        <v>41</v>
      </c>
      <c r="AC7193">
        <v>2.23959999999999</v>
      </c>
      <c r="AD7193">
        <v>-1.1091161162549901</v>
      </c>
      <c r="AE7193">
        <v>19.195740000000001</v>
      </c>
      <c r="AF7193">
        <v>1.5361303162184199</v>
      </c>
      <c r="AG7193">
        <v>-1.1091161162549901</v>
      </c>
      <c r="AH7193">
        <v>19.201155446468999</v>
      </c>
      <c r="AI7193">
        <v>93.295396268756903</v>
      </c>
      <c r="AJ7193">
        <v>85.425966424446301</v>
      </c>
      <c r="AK7193">
        <v>19.294408656064299</v>
      </c>
      <c r="AL7193">
        <v>89.046788572847802</v>
      </c>
      <c r="AM7193">
        <v>88.640653093096802</v>
      </c>
      <c r="AN7193">
        <v>0.99999997386727602</v>
      </c>
    </row>
    <row r="7194" spans="1:40" x14ac:dyDescent="0.25">
      <c r="A7194" t="str">
        <f>"20190312154437334"</f>
        <v>20190312154437334</v>
      </c>
      <c r="B7194" t="str">
        <f>"1552376677324415"</f>
        <v>1552376677324415</v>
      </c>
      <c r="C7194" t="s">
        <v>40</v>
      </c>
      <c r="D7194">
        <v>5.172301</v>
      </c>
      <c r="E7194">
        <v>0.52291169999999998</v>
      </c>
      <c r="F7194" t="s">
        <v>41</v>
      </c>
      <c r="G7194">
        <v>-187.96520000000001</v>
      </c>
      <c r="H7194">
        <v>1.0503690000000001</v>
      </c>
      <c r="I7194">
        <v>31.520219999999998</v>
      </c>
      <c r="J7194">
        <v>-188.07249999999999</v>
      </c>
      <c r="K7194">
        <v>1.1093420000000001</v>
      </c>
      <c r="L7194">
        <v>30.8887</v>
      </c>
      <c r="M7194">
        <v>3.6510010000000002E-2</v>
      </c>
      <c r="N7194">
        <v>0</v>
      </c>
      <c r="O7194">
        <v>0.99921700000000002</v>
      </c>
      <c r="P7194">
        <v>6.0994069999999997E-2</v>
      </c>
      <c r="Q7194">
        <v>1.15131E-3</v>
      </c>
      <c r="R7194">
        <v>0.99813750000000001</v>
      </c>
      <c r="S7194">
        <v>0.35224909999999998</v>
      </c>
      <c r="T7194">
        <v>-0.1695313</v>
      </c>
      <c r="U7194">
        <v>2.9844970000000002</v>
      </c>
      <c r="V7194">
        <v>2.4539709999999999E-2</v>
      </c>
      <c r="W7194">
        <v>1.6346030000000001E-2</v>
      </c>
      <c r="X7194">
        <v>0.99956520000000004</v>
      </c>
      <c r="Y7194">
        <v>8.0685610000000005E-2</v>
      </c>
      <c r="Z7194">
        <v>-5.6368550000000003E-2</v>
      </c>
      <c r="AA7194">
        <v>0.99514440000000004</v>
      </c>
      <c r="AB7194">
        <v>41</v>
      </c>
      <c r="AC7194">
        <v>0.10729999999997999</v>
      </c>
      <c r="AD7194">
        <v>-5.8972999999999901E-2</v>
      </c>
      <c r="AE7194">
        <v>0.63152000000000097</v>
      </c>
      <c r="AF7194">
        <v>8.3461573876649903E-2</v>
      </c>
      <c r="AG7194">
        <v>-5.8972999999999901E-2</v>
      </c>
      <c r="AH7194">
        <v>0.62967990110437599</v>
      </c>
      <c r="AI7194">
        <v>95.304335449466095</v>
      </c>
      <c r="AJ7194">
        <v>82.449682167965506</v>
      </c>
      <c r="AK7194">
        <v>0.63791882469306704</v>
      </c>
      <c r="AL7194">
        <v>89.063399747475501</v>
      </c>
      <c r="AM7194">
        <v>88.593649082838496</v>
      </c>
      <c r="AN7194">
        <v>0.99999998955734204</v>
      </c>
    </row>
    <row r="7195" spans="1:40" x14ac:dyDescent="0.25">
      <c r="A7195" t="str">
        <f>"20190312154437356"</f>
        <v>20190312154437356</v>
      </c>
      <c r="B7195" t="str">
        <f>"1552376677344915"</f>
        <v>1552376677344915</v>
      </c>
      <c r="C7195" t="s">
        <v>40</v>
      </c>
      <c r="D7195">
        <v>5.133413</v>
      </c>
      <c r="E7195">
        <v>0.52342219999999995</v>
      </c>
      <c r="F7195" t="s">
        <v>43</v>
      </c>
      <c r="G7195">
        <v>-185.7097</v>
      </c>
      <c r="H7195" s="1">
        <v>-1.4167459999999999E-6</v>
      </c>
      <c r="I7195">
        <v>50.456800000000001</v>
      </c>
      <c r="J7195">
        <v>-188.0575</v>
      </c>
      <c r="K7195">
        <v>1.1095459999999999</v>
      </c>
      <c r="L7195">
        <v>31.295500000000001</v>
      </c>
      <c r="M7195">
        <v>3.6551130000000001E-2</v>
      </c>
      <c r="N7195">
        <v>0</v>
      </c>
      <c r="O7195">
        <v>0.99921550000000003</v>
      </c>
      <c r="P7195">
        <v>6.2163820000000002E-2</v>
      </c>
      <c r="Q7195">
        <v>9.4219729999999997E-4</v>
      </c>
      <c r="R7195">
        <v>0.99806550000000005</v>
      </c>
      <c r="S7195">
        <v>0.36027530000000002</v>
      </c>
      <c r="T7195">
        <v>-0.16915379999999899</v>
      </c>
      <c r="U7195">
        <v>2.983765</v>
      </c>
      <c r="V7195">
        <v>2.5661659999999999E-2</v>
      </c>
      <c r="W7195">
        <v>1.6140539999999998E-2</v>
      </c>
      <c r="X7195">
        <v>0.9995404</v>
      </c>
      <c r="Y7195">
        <v>8.3312839999999999E-2</v>
      </c>
      <c r="Z7195">
        <v>-5.6241960000000001E-2</v>
      </c>
      <c r="AA7195">
        <v>0.99493509999999996</v>
      </c>
      <c r="AB7195">
        <v>41</v>
      </c>
      <c r="AC7195">
        <v>2.3477999999999999</v>
      </c>
      <c r="AD7195">
        <v>-1.109547416746</v>
      </c>
      <c r="AE7195">
        <v>19.161300000000001</v>
      </c>
      <c r="AF7195">
        <v>1.6403633462076499</v>
      </c>
      <c r="AG7195">
        <v>-1.109547416746</v>
      </c>
      <c r="AH7195">
        <v>19.1709871112045</v>
      </c>
      <c r="AI7195">
        <v>93.300344732957996</v>
      </c>
      <c r="AJ7195">
        <v>85.109405138397094</v>
      </c>
      <c r="AK7195">
        <v>19.273002729091299</v>
      </c>
      <c r="AL7195">
        <v>89.0751750432172</v>
      </c>
      <c r="AM7195">
        <v>88.529342183640694</v>
      </c>
      <c r="AN7195">
        <v>1.0000000245288001</v>
      </c>
    </row>
    <row r="7196" spans="1:40" x14ac:dyDescent="0.25">
      <c r="A7196" t="str">
        <f>"20190312154437378"</f>
        <v>20190312154437378</v>
      </c>
      <c r="B7196" t="str">
        <f>"1552376677374793"</f>
        <v>1552376677374793</v>
      </c>
      <c r="C7196" t="s">
        <v>40</v>
      </c>
      <c r="D7196">
        <v>5.1760219999999997</v>
      </c>
      <c r="E7196">
        <v>0.523787</v>
      </c>
      <c r="F7196" t="s">
        <v>43</v>
      </c>
      <c r="G7196">
        <v>-185.59950000000001</v>
      </c>
      <c r="H7196" s="1">
        <v>-1.704281E-6</v>
      </c>
      <c r="I7196">
        <v>51.215560000000004</v>
      </c>
      <c r="J7196">
        <v>-188.04259999999999</v>
      </c>
      <c r="K7196">
        <v>1.1097379999999999</v>
      </c>
      <c r="L7196">
        <v>31.704799999999999</v>
      </c>
      <c r="M7196">
        <v>3.6434809999999998E-2</v>
      </c>
      <c r="N7196">
        <v>0</v>
      </c>
      <c r="O7196">
        <v>0.99921990000000005</v>
      </c>
      <c r="P7196">
        <v>6.2580819999999995E-2</v>
      </c>
      <c r="Q7196">
        <v>8.5112929999999897E-4</v>
      </c>
      <c r="R7196">
        <v>0.99803949999999997</v>
      </c>
      <c r="S7196">
        <v>0.36808780000000002</v>
      </c>
      <c r="T7196">
        <v>-0.16615659999999999</v>
      </c>
      <c r="U7196">
        <v>2.983063</v>
      </c>
      <c r="V7196">
        <v>2.6188099999999999E-2</v>
      </c>
      <c r="W7196">
        <v>1.6054720000000001E-2</v>
      </c>
      <c r="X7196">
        <v>0.99952810000000003</v>
      </c>
      <c r="Y7196">
        <v>8.6030640000000005E-2</v>
      </c>
      <c r="Z7196">
        <v>-5.5246629999999998E-2</v>
      </c>
      <c r="AA7196">
        <v>0.99475959999999997</v>
      </c>
      <c r="AB7196">
        <v>41</v>
      </c>
      <c r="AC7196">
        <v>2.4430999999999798</v>
      </c>
      <c r="AD7196">
        <v>-1.109739704281</v>
      </c>
      <c r="AE7196">
        <v>19.510760000000001</v>
      </c>
      <c r="AF7196">
        <v>1.7250295698032501</v>
      </c>
      <c r="AG7196">
        <v>-1.109739704281</v>
      </c>
      <c r="AH7196">
        <v>19.524636747319398</v>
      </c>
      <c r="AI7196">
        <v>93.240476868207693</v>
      </c>
      <c r="AJ7196">
        <v>84.950946327655302</v>
      </c>
      <c r="AK7196">
        <v>19.632083163605699</v>
      </c>
      <c r="AL7196">
        <v>89.080092778470402</v>
      </c>
      <c r="AM7196">
        <v>88.499167351416403</v>
      </c>
      <c r="AN7196">
        <v>0.99999999665274897</v>
      </c>
    </row>
    <row r="7197" spans="1:40" x14ac:dyDescent="0.25">
      <c r="A7197" t="str">
        <f>"20190312154437401"</f>
        <v>20190312154437401</v>
      </c>
      <c r="B7197" t="str">
        <f>"1552376677394312"</f>
        <v>1552376677394312</v>
      </c>
      <c r="C7197" t="s">
        <v>40</v>
      </c>
      <c r="D7197">
        <v>5.1962739999999998</v>
      </c>
      <c r="E7197">
        <v>0.52395559999999997</v>
      </c>
      <c r="F7197" t="s">
        <v>43</v>
      </c>
      <c r="G7197">
        <v>-185.56630000000001</v>
      </c>
      <c r="H7197" s="1">
        <v>-1.826822E-6</v>
      </c>
      <c r="I7197">
        <v>51.549700000000001</v>
      </c>
      <c r="J7197">
        <v>-188.02760000000001</v>
      </c>
      <c r="K7197">
        <v>1.109917</v>
      </c>
      <c r="L7197">
        <v>32.118259999999999</v>
      </c>
      <c r="M7197">
        <v>3.6175840000000001E-2</v>
      </c>
      <c r="N7197">
        <v>0</v>
      </c>
      <c r="O7197">
        <v>0.99922940000000005</v>
      </c>
      <c r="P7197">
        <v>6.2656290000000003E-2</v>
      </c>
      <c r="Q7197">
        <v>6.7459020000000005E-4</v>
      </c>
      <c r="R7197">
        <v>0.99803500000000001</v>
      </c>
      <c r="S7197">
        <v>0.37217709999999998</v>
      </c>
      <c r="T7197">
        <v>-0.16679440000000001</v>
      </c>
      <c r="U7197">
        <v>2.9826969999999999</v>
      </c>
      <c r="V7197">
        <v>2.6515609999999998E-2</v>
      </c>
      <c r="W7197">
        <v>1.58826E-2</v>
      </c>
      <c r="X7197">
        <v>0.99952220000000003</v>
      </c>
      <c r="Y7197">
        <v>8.7645299999999995E-2</v>
      </c>
      <c r="Z7197">
        <v>-5.5456999999999999E-2</v>
      </c>
      <c r="AA7197">
        <v>0.99460689999999996</v>
      </c>
      <c r="AB7197">
        <v>41</v>
      </c>
      <c r="AC7197">
        <v>2.4612999999999898</v>
      </c>
      <c r="AD7197">
        <v>-1.1099188268219999</v>
      </c>
      <c r="AE7197">
        <v>19.431439999999998</v>
      </c>
      <c r="AF7197">
        <v>1.7510355390302801</v>
      </c>
      <c r="AG7197">
        <v>-1.1099188268219999</v>
      </c>
      <c r="AH7197">
        <v>19.445326176473898</v>
      </c>
      <c r="AI7197">
        <v>93.2537014925432</v>
      </c>
      <c r="AJ7197">
        <v>84.8544406921242</v>
      </c>
      <c r="AK7197">
        <v>19.555530045758001</v>
      </c>
      <c r="AL7197">
        <v>89.089955771830205</v>
      </c>
      <c r="AM7197">
        <v>88.480397625954197</v>
      </c>
      <c r="AN7197">
        <v>0.99999998142463498</v>
      </c>
    </row>
    <row r="7198" spans="1:40" x14ac:dyDescent="0.25">
      <c r="A7198" t="str">
        <f>"20190312154437422"</f>
        <v>20190312154437422</v>
      </c>
      <c r="B7198" t="str">
        <f>"1552376677414810"</f>
        <v>1552376677414810</v>
      </c>
      <c r="C7198" t="s">
        <v>40</v>
      </c>
      <c r="D7198">
        <v>5.1600190000000001</v>
      </c>
      <c r="E7198">
        <v>0.52411289999999999</v>
      </c>
      <c r="F7198" t="s">
        <v>43</v>
      </c>
      <c r="G7198">
        <v>-185.5634</v>
      </c>
      <c r="H7198" s="1">
        <v>-1.9054030000000001E-6</v>
      </c>
      <c r="I7198">
        <v>51.778359999999999</v>
      </c>
      <c r="J7198">
        <v>-188.01320000000001</v>
      </c>
      <c r="K7198">
        <v>1.110085</v>
      </c>
      <c r="L7198">
        <v>32.522129999999997</v>
      </c>
      <c r="M7198">
        <v>3.5813749999999998E-2</v>
      </c>
      <c r="N7198">
        <v>0</v>
      </c>
      <c r="O7198">
        <v>0.99924250000000003</v>
      </c>
      <c r="P7198">
        <v>6.1497660000000003E-2</v>
      </c>
      <c r="Q7198">
        <v>9.7483879999999995E-4</v>
      </c>
      <c r="R7198">
        <v>0.99810679999999996</v>
      </c>
      <c r="S7198">
        <v>0.37382510000000002</v>
      </c>
      <c r="T7198">
        <v>-0.16838069999999999</v>
      </c>
      <c r="U7198">
        <v>2.9825439999999999</v>
      </c>
      <c r="V7198">
        <v>2.5711129999999999E-2</v>
      </c>
      <c r="W7198">
        <v>1.6187739999999999E-2</v>
      </c>
      <c r="X7198">
        <v>0.99953840000000005</v>
      </c>
      <c r="Y7198">
        <v>8.8549929999999999E-2</v>
      </c>
      <c r="Z7198">
        <v>-5.5982549999999999E-2</v>
      </c>
      <c r="AA7198">
        <v>0.99449730000000003</v>
      </c>
      <c r="AB7198">
        <v>41</v>
      </c>
      <c r="AC7198">
        <v>2.44980000000001</v>
      </c>
      <c r="AD7198">
        <v>-1.110086905403</v>
      </c>
      <c r="AE7198">
        <v>19.256229999999999</v>
      </c>
      <c r="AF7198">
        <v>1.7527780391357199</v>
      </c>
      <c r="AG7198">
        <v>-1.110086905403</v>
      </c>
      <c r="AH7198">
        <v>19.268604900885201</v>
      </c>
      <c r="AI7198">
        <v>93.283704299206093</v>
      </c>
      <c r="AJ7198">
        <v>84.802366305282106</v>
      </c>
      <c r="AK7198">
        <v>19.379980872499299</v>
      </c>
      <c r="AL7198">
        <v>89.072470361195897</v>
      </c>
      <c r="AM7198">
        <v>88.526505382555797</v>
      </c>
      <c r="AN7198">
        <v>1.00000005910337</v>
      </c>
    </row>
    <row r="7199" spans="1:40" x14ac:dyDescent="0.25">
      <c r="A7199" t="str">
        <f>"20190312154437446"</f>
        <v>20190312154437446</v>
      </c>
      <c r="B7199" t="str">
        <f>"1552376677434328"</f>
        <v>1552376677434328</v>
      </c>
      <c r="C7199" t="s">
        <v>40</v>
      </c>
      <c r="D7199">
        <v>5.2084659999999996</v>
      </c>
      <c r="E7199">
        <v>0.52412579999999998</v>
      </c>
      <c r="F7199" t="s">
        <v>43</v>
      </c>
      <c r="G7199">
        <v>-185.54220000000001</v>
      </c>
      <c r="H7199" s="1">
        <v>-2.1069370000000001E-6</v>
      </c>
      <c r="I7199">
        <v>52.353929999999998</v>
      </c>
      <c r="J7199">
        <v>-187.99870000000001</v>
      </c>
      <c r="K7199">
        <v>1.1102369999999999</v>
      </c>
      <c r="L7199">
        <v>32.935789999999997</v>
      </c>
      <c r="M7199">
        <v>3.5363730000000003E-2</v>
      </c>
      <c r="N7199">
        <v>0</v>
      </c>
      <c r="O7199">
        <v>0.9992586</v>
      </c>
      <c r="P7199">
        <v>5.9943700000000003E-2</v>
      </c>
      <c r="Q7199">
        <v>4.4864949999999997E-4</v>
      </c>
      <c r="R7199">
        <v>0.99820169999999997</v>
      </c>
      <c r="S7199">
        <v>0.37167359999999999</v>
      </c>
      <c r="T7199">
        <v>-0.16697039999999999</v>
      </c>
      <c r="U7199">
        <v>2.9829409999999998</v>
      </c>
      <c r="V7199">
        <v>2.459921E-2</v>
      </c>
      <c r="W7199">
        <v>1.5665189999999999E-2</v>
      </c>
      <c r="X7199">
        <v>0.99957470000000004</v>
      </c>
      <c r="Y7199">
        <v>8.8279179999999999E-2</v>
      </c>
      <c r="Z7199">
        <v>-5.5512260000000001E-2</v>
      </c>
      <c r="AA7199">
        <v>0.99454770000000003</v>
      </c>
      <c r="AB7199">
        <v>41</v>
      </c>
      <c r="AC7199">
        <v>2.4565000000000001</v>
      </c>
      <c r="AD7199">
        <v>-1.1102391069369999</v>
      </c>
      <c r="AE7199">
        <v>19.418139999999902</v>
      </c>
      <c r="AF7199">
        <v>1.7625147657824201</v>
      </c>
      <c r="AG7199">
        <v>-1.1102391069369999</v>
      </c>
      <c r="AH7199">
        <v>19.430354615923001</v>
      </c>
      <c r="AI7199">
        <v>93.256948403680497</v>
      </c>
      <c r="AJ7199">
        <v>84.816922011489297</v>
      </c>
      <c r="AK7199">
        <v>19.541693111772499</v>
      </c>
      <c r="AL7199">
        <v>89.102414059150803</v>
      </c>
      <c r="AM7199">
        <v>88.590253953417204</v>
      </c>
      <c r="AN7199">
        <v>1.00000005009522</v>
      </c>
    </row>
    <row r="7200" spans="1:40" x14ac:dyDescent="0.25">
      <c r="A7200" t="str">
        <f>"20190312154437466"</f>
        <v>20190312154437466</v>
      </c>
      <c r="B7200" t="str">
        <f>"1552376677454824"</f>
        <v>1552376677454824</v>
      </c>
      <c r="C7200" t="s">
        <v>40</v>
      </c>
      <c r="D7200">
        <v>5.1967879999999997</v>
      </c>
      <c r="E7200">
        <v>0.52413109999999996</v>
      </c>
      <c r="F7200" t="s">
        <v>43</v>
      </c>
      <c r="G7200">
        <v>-185.5692</v>
      </c>
      <c r="H7200" s="1">
        <v>-2.2065559999999998E-6</v>
      </c>
      <c r="I7200">
        <v>52.667839999999998</v>
      </c>
      <c r="J7200">
        <v>-187.9853</v>
      </c>
      <c r="K7200">
        <v>1.110357</v>
      </c>
      <c r="L7200">
        <v>33.32159</v>
      </c>
      <c r="M7200">
        <v>3.4892109999999997E-2</v>
      </c>
      <c r="N7200">
        <v>0</v>
      </c>
      <c r="O7200">
        <v>0.99927529999999998</v>
      </c>
      <c r="P7200">
        <v>5.8051930000000002E-2</v>
      </c>
      <c r="Q7200">
        <v>-1.027046E-4</v>
      </c>
      <c r="R7200">
        <v>0.99831349999999996</v>
      </c>
      <c r="S7200">
        <v>0.36732480000000001</v>
      </c>
      <c r="T7200">
        <v>-0.16786499999999999</v>
      </c>
      <c r="U7200">
        <v>2.9834290000000001</v>
      </c>
      <c r="V7200">
        <v>2.3172310000000002E-2</v>
      </c>
      <c r="W7200">
        <v>1.511499E-2</v>
      </c>
      <c r="X7200">
        <v>0.99961719999999998</v>
      </c>
      <c r="Y7200">
        <v>8.7299470000000004E-2</v>
      </c>
      <c r="Z7200">
        <v>-5.5808509999999999E-2</v>
      </c>
      <c r="AA7200">
        <v>0.99461759999999999</v>
      </c>
      <c r="AB7200">
        <v>41</v>
      </c>
      <c r="AC7200">
        <v>2.4161000000000001</v>
      </c>
      <c r="AD7200">
        <v>-1.110359206556</v>
      </c>
      <c r="AE7200">
        <v>19.346250000000001</v>
      </c>
      <c r="AF7200">
        <v>1.73389499199863</v>
      </c>
      <c r="AG7200">
        <v>-1.110359206556</v>
      </c>
      <c r="AH7200">
        <v>19.355998715680101</v>
      </c>
      <c r="AI7200">
        <v>93.270115480916104</v>
      </c>
      <c r="AJ7200">
        <v>84.881152352450798</v>
      </c>
      <c r="AK7200">
        <v>19.4651990920276</v>
      </c>
      <c r="AL7200">
        <v>89.133941871474704</v>
      </c>
      <c r="AM7200">
        <v>88.672053837461803</v>
      </c>
      <c r="AN7200">
        <v>0.99999998270463797</v>
      </c>
    </row>
    <row r="7201" spans="1:40" x14ac:dyDescent="0.25">
      <c r="A7201" t="str">
        <f>"20190312154437489"</f>
        <v>20190312154437489</v>
      </c>
      <c r="B7201" t="str">
        <f>"1552376677484103"</f>
        <v>1552376677484103</v>
      </c>
      <c r="C7201" t="s">
        <v>40</v>
      </c>
      <c r="D7201">
        <v>5.2001720000000002</v>
      </c>
      <c r="E7201">
        <v>0.52422309999999905</v>
      </c>
      <c r="F7201" t="s">
        <v>43</v>
      </c>
      <c r="G7201">
        <v>-185.6241</v>
      </c>
      <c r="H7201" s="1">
        <v>-2.2355929999999998E-6</v>
      </c>
      <c r="I7201">
        <v>52.796080000000003</v>
      </c>
      <c r="J7201">
        <v>-187.9709</v>
      </c>
      <c r="K7201">
        <v>1.1104689999999999</v>
      </c>
      <c r="L7201">
        <v>33.75018</v>
      </c>
      <c r="M7201">
        <v>3.4325870000000001E-2</v>
      </c>
      <c r="N7201">
        <v>0</v>
      </c>
      <c r="O7201">
        <v>0.99929509999999999</v>
      </c>
      <c r="P7201">
        <v>5.5851459999999999E-2</v>
      </c>
      <c r="Q7201">
        <v>2.4338699999999999E-4</v>
      </c>
      <c r="R7201">
        <v>0.99843910000000002</v>
      </c>
      <c r="S7201">
        <v>0.36180109999999999</v>
      </c>
      <c r="T7201">
        <v>-0.1701366</v>
      </c>
      <c r="U7201">
        <v>2.9840089999999999</v>
      </c>
      <c r="V7201">
        <v>2.153134E-2</v>
      </c>
      <c r="W7201">
        <v>1.54597E-2</v>
      </c>
      <c r="X7201">
        <v>0.9996486</v>
      </c>
      <c r="Y7201">
        <v>8.6021269999999997E-2</v>
      </c>
      <c r="Z7201">
        <v>-5.656154E-2</v>
      </c>
      <c r="AA7201">
        <v>0.99468639999999997</v>
      </c>
      <c r="AB7201">
        <v>41</v>
      </c>
      <c r="AC7201">
        <v>2.3468</v>
      </c>
      <c r="AD7201">
        <v>-1.110471235593</v>
      </c>
      <c r="AE7201">
        <v>19.0459</v>
      </c>
      <c r="AF7201">
        <v>1.6859285191696201</v>
      </c>
      <c r="AG7201">
        <v>-1.110471235593</v>
      </c>
      <c r="AH7201">
        <v>19.051442526168799</v>
      </c>
      <c r="AI7201">
        <v>93.322927754182999</v>
      </c>
      <c r="AJ7201">
        <v>84.942870370060902</v>
      </c>
      <c r="AK7201">
        <v>19.158104385996602</v>
      </c>
      <c r="AL7201">
        <v>89.114189116447207</v>
      </c>
      <c r="AM7201">
        <v>88.766102220256698</v>
      </c>
      <c r="AN7201">
        <v>0.99999996220412202</v>
      </c>
    </row>
    <row r="7202" spans="1:40" x14ac:dyDescent="0.25">
      <c r="A7202" t="str">
        <f>"20190312154437512"</f>
        <v>20190312154437512</v>
      </c>
      <c r="B7202" t="str">
        <f>"1552376677504599"</f>
        <v>1552376677504599</v>
      </c>
      <c r="C7202" t="s">
        <v>40</v>
      </c>
      <c r="D7202">
        <v>5.1816180000000003</v>
      </c>
      <c r="E7202">
        <v>0.52442390000000005</v>
      </c>
      <c r="F7202" t="s">
        <v>41</v>
      </c>
      <c r="G7202">
        <v>-187.8441</v>
      </c>
      <c r="H7202">
        <v>1.050278</v>
      </c>
      <c r="I7202">
        <v>34.81324</v>
      </c>
      <c r="J7202">
        <v>-187.9573</v>
      </c>
      <c r="K7202">
        <v>1.1105499999999999</v>
      </c>
      <c r="L7202">
        <v>34.158479999999997</v>
      </c>
      <c r="M7202">
        <v>3.3759270000000001E-2</v>
      </c>
      <c r="N7202">
        <v>0</v>
      </c>
      <c r="O7202">
        <v>0.99931440000000005</v>
      </c>
      <c r="P7202">
        <v>5.4679539999999999E-2</v>
      </c>
      <c r="Q7202">
        <v>9.6121200000000003E-4</v>
      </c>
      <c r="R7202">
        <v>0.99850349999999999</v>
      </c>
      <c r="S7202">
        <v>0.35583500000000001</v>
      </c>
      <c r="T7202">
        <v>-0.16901099999999999</v>
      </c>
      <c r="U7202">
        <v>2.9848330000000001</v>
      </c>
      <c r="V7202">
        <v>2.0921370000000002E-2</v>
      </c>
      <c r="W7202">
        <v>1.6174870000000001E-2</v>
      </c>
      <c r="X7202">
        <v>0.99965029999999999</v>
      </c>
      <c r="Y7202">
        <v>8.4595890000000007E-2</v>
      </c>
      <c r="Z7202">
        <v>-5.6184909999999998E-2</v>
      </c>
      <c r="AA7202">
        <v>0.99482999999999999</v>
      </c>
      <c r="AB7202">
        <v>41</v>
      </c>
      <c r="AC7202">
        <v>0.113200000000006</v>
      </c>
      <c r="AD7202">
        <v>-6.0271999999999798E-2</v>
      </c>
      <c r="AE7202">
        <v>0.65476000000000301</v>
      </c>
      <c r="AF7202">
        <v>9.0285846089803196E-2</v>
      </c>
      <c r="AG7202">
        <v>-6.0271999999999798E-2</v>
      </c>
      <c r="AH7202">
        <v>0.65283736728842701</v>
      </c>
      <c r="AI7202">
        <v>95.225319517930402</v>
      </c>
      <c r="AJ7202">
        <v>82.126076748500196</v>
      </c>
      <c r="AK7202">
        <v>0.66180123610963204</v>
      </c>
      <c r="AL7202">
        <v>89.0732078239093</v>
      </c>
      <c r="AM7202">
        <v>88.801049493502205</v>
      </c>
      <c r="AN7202">
        <v>1.0000000262161399</v>
      </c>
    </row>
    <row r="7203" spans="1:40" x14ac:dyDescent="0.25">
      <c r="A7203" t="str">
        <f>"20190312154437535"</f>
        <v>20190312154437535</v>
      </c>
      <c r="B7203" t="str">
        <f>"1552376677524120"</f>
        <v>1552376677524120</v>
      </c>
      <c r="C7203" t="s">
        <v>40</v>
      </c>
      <c r="D7203">
        <v>5.2002199999999998</v>
      </c>
      <c r="E7203">
        <v>0.52456190000000003</v>
      </c>
      <c r="F7203" t="s">
        <v>43</v>
      </c>
      <c r="G7203">
        <v>-185.59520000000001</v>
      </c>
      <c r="H7203" s="1">
        <v>-2.6947709999999999E-6</v>
      </c>
      <c r="I7203">
        <v>54.093040000000002</v>
      </c>
      <c r="J7203">
        <v>-187.9435</v>
      </c>
      <c r="K7203">
        <v>1.110614</v>
      </c>
      <c r="L7203">
        <v>34.580629999999999</v>
      </c>
      <c r="M7203">
        <v>3.3159559999999998E-2</v>
      </c>
      <c r="N7203">
        <v>0</v>
      </c>
      <c r="O7203">
        <v>0.99933459999999996</v>
      </c>
      <c r="P7203">
        <v>5.3000650000000003E-2</v>
      </c>
      <c r="Q7203">
        <v>2.7592570000000002E-3</v>
      </c>
      <c r="R7203">
        <v>0.99859059999999999</v>
      </c>
      <c r="S7203">
        <v>0.35372920000000002</v>
      </c>
      <c r="T7203">
        <v>-0.16631029999999999</v>
      </c>
      <c r="U7203">
        <v>2.9852910000000001</v>
      </c>
      <c r="V7203">
        <v>1.983642E-2</v>
      </c>
      <c r="W7203">
        <v>1.7968939999999999E-2</v>
      </c>
      <c r="X7203">
        <v>0.99964180000000002</v>
      </c>
      <c r="Y7203">
        <v>8.4489880000000003E-2</v>
      </c>
      <c r="Z7203">
        <v>-5.5285689999999998E-2</v>
      </c>
      <c r="AA7203">
        <v>0.99488940000000003</v>
      </c>
      <c r="AB7203">
        <v>41</v>
      </c>
      <c r="AC7203">
        <v>2.3482999999999898</v>
      </c>
      <c r="AD7203">
        <v>-1.1106166947709999</v>
      </c>
      <c r="AE7203">
        <v>19.512409999999999</v>
      </c>
      <c r="AF7203">
        <v>1.6944993776195301</v>
      </c>
      <c r="AG7203">
        <v>-1.1106166947709999</v>
      </c>
      <c r="AH7203">
        <v>19.517227181635299</v>
      </c>
      <c r="AI7203">
        <v>93.244691562758007</v>
      </c>
      <c r="AJ7203">
        <v>85.037982822709196</v>
      </c>
      <c r="AK7203">
        <v>19.622103721136</v>
      </c>
      <c r="AL7203">
        <v>88.970400212667599</v>
      </c>
      <c r="AM7203">
        <v>88.863198793122805</v>
      </c>
      <c r="AN7203">
        <v>1.00000004733518</v>
      </c>
    </row>
    <row r="7204" spans="1:40" x14ac:dyDescent="0.25">
      <c r="A7204" t="str">
        <f>"20190312154437556"</f>
        <v>20190312154437556</v>
      </c>
      <c r="B7204" t="str">
        <f>"1552376677554883"</f>
        <v>1552376677554883</v>
      </c>
      <c r="C7204" t="s">
        <v>40</v>
      </c>
      <c r="D7204">
        <v>5.130236</v>
      </c>
      <c r="E7204">
        <v>0.52459860000000003</v>
      </c>
      <c r="F7204" t="s">
        <v>43</v>
      </c>
      <c r="G7204">
        <v>-185.54179999999999</v>
      </c>
      <c r="H7204" s="1">
        <v>-3.128384E-6</v>
      </c>
      <c r="I7204">
        <v>55.08173</v>
      </c>
      <c r="J7204">
        <v>-187.93100000000001</v>
      </c>
      <c r="K7204">
        <v>1.110657</v>
      </c>
      <c r="L7204">
        <v>34.971620000000001</v>
      </c>
      <c r="M7204">
        <v>3.2604059999999997E-2</v>
      </c>
      <c r="N7204">
        <v>0</v>
      </c>
      <c r="O7204">
        <v>0.99935289999999999</v>
      </c>
      <c r="P7204">
        <v>5.1940090000000001E-2</v>
      </c>
      <c r="Q7204">
        <v>3.6782529999999998E-3</v>
      </c>
      <c r="R7204">
        <v>0.99864350000000002</v>
      </c>
      <c r="S7204">
        <v>0.349823</v>
      </c>
      <c r="T7204">
        <v>-0.16176840000000001</v>
      </c>
      <c r="U7204">
        <v>2.9861149999999999</v>
      </c>
      <c r="V7204">
        <v>1.9327750000000001E-2</v>
      </c>
      <c r="W7204">
        <v>1.8883839999999999E-2</v>
      </c>
      <c r="X7204">
        <v>0.99963489999999999</v>
      </c>
      <c r="Y7204">
        <v>8.3737619999999999E-2</v>
      </c>
      <c r="Z7204">
        <v>-5.3772880000000002E-2</v>
      </c>
      <c r="AA7204">
        <v>0.99503589999999997</v>
      </c>
      <c r="AB7204">
        <v>41</v>
      </c>
      <c r="AC7204">
        <v>2.3891999999999798</v>
      </c>
      <c r="AD7204">
        <v>-1.1106601283840001</v>
      </c>
      <c r="AE7204">
        <v>20.110109999999999</v>
      </c>
      <c r="AF7204">
        <v>1.72698817973414</v>
      </c>
      <c r="AG7204">
        <v>-1.1106601283840001</v>
      </c>
      <c r="AH7204">
        <v>20.1168155347018</v>
      </c>
      <c r="AI7204">
        <v>93.148564751043494</v>
      </c>
      <c r="AJ7204">
        <v>85.0933028111548</v>
      </c>
      <c r="AK7204">
        <v>20.221333322779302</v>
      </c>
      <c r="AL7204">
        <v>88.917971403240401</v>
      </c>
      <c r="AM7204">
        <v>88.892335052815298</v>
      </c>
      <c r="AN7204">
        <v>1.0000000473156001</v>
      </c>
    </row>
    <row r="7205" spans="1:40" x14ac:dyDescent="0.25">
      <c r="A7205" t="str">
        <f>"20190312154437579"</f>
        <v>20190312154437579</v>
      </c>
      <c r="B7205" t="str">
        <f>"1552376677574402"</f>
        <v>1552376677574402</v>
      </c>
      <c r="C7205" t="s">
        <v>40</v>
      </c>
      <c r="D7205">
        <v>5.0252970000000001</v>
      </c>
      <c r="E7205">
        <v>0.52468000000000004</v>
      </c>
      <c r="F7205" t="s">
        <v>43</v>
      </c>
      <c r="G7205">
        <v>-185.53530000000001</v>
      </c>
      <c r="H7205" s="1">
        <v>-3.3499319999999999E-6</v>
      </c>
      <c r="I7205">
        <v>55.59545</v>
      </c>
      <c r="J7205">
        <v>-187.9188</v>
      </c>
      <c r="K7205">
        <v>1.110698</v>
      </c>
      <c r="L7205">
        <v>35.359650000000002</v>
      </c>
      <c r="M7205">
        <v>3.2061630000000001E-2</v>
      </c>
      <c r="N7205">
        <v>0</v>
      </c>
      <c r="O7205">
        <v>0.9993706</v>
      </c>
      <c r="P7205">
        <v>5.1459159999999997E-2</v>
      </c>
      <c r="Q7205">
        <v>3.9693539999999996E-3</v>
      </c>
      <c r="R7205">
        <v>0.99866719999999998</v>
      </c>
      <c r="S7205">
        <v>0.346939099999999</v>
      </c>
      <c r="T7205">
        <v>-0.16083989999999901</v>
      </c>
      <c r="U7205">
        <v>2.9866329999999999</v>
      </c>
      <c r="V7205">
        <v>1.9387390000000001E-2</v>
      </c>
      <c r="W7205">
        <v>1.9170840000000001E-2</v>
      </c>
      <c r="X7205">
        <v>0.99962819999999997</v>
      </c>
      <c r="Y7205">
        <v>8.3312540000000004E-2</v>
      </c>
      <c r="Z7205">
        <v>-5.346128E-2</v>
      </c>
      <c r="AA7205">
        <v>0.99508839999999998</v>
      </c>
      <c r="AB7205">
        <v>41</v>
      </c>
      <c r="AC7205">
        <v>2.38349999999999</v>
      </c>
      <c r="AD7205">
        <v>-1.110701349932</v>
      </c>
      <c r="AE7205">
        <v>20.235800000000001</v>
      </c>
      <c r="AF7205">
        <v>1.7282713502582401</v>
      </c>
      <c r="AG7205">
        <v>-1.110701349932</v>
      </c>
      <c r="AH7205">
        <v>20.241674608045301</v>
      </c>
      <c r="AI7205">
        <v>93.129421453211606</v>
      </c>
      <c r="AJ7205">
        <v>85.119817098482002</v>
      </c>
      <c r="AK7205">
        <v>20.3456621982881</v>
      </c>
      <c r="AL7205">
        <v>88.901524447458598</v>
      </c>
      <c r="AM7205">
        <v>88.888910520699298</v>
      </c>
      <c r="AN7205">
        <v>0.99999996511627798</v>
      </c>
    </row>
    <row r="7206" spans="1:40" x14ac:dyDescent="0.25">
      <c r="A7206" t="str">
        <f>"20190312154437600"</f>
        <v>20190312154437600</v>
      </c>
      <c r="B7206" t="str">
        <f>"1552376677594899"</f>
        <v>1552376677594899</v>
      </c>
      <c r="C7206" t="s">
        <v>40</v>
      </c>
      <c r="D7206">
        <v>2.8183370000000001</v>
      </c>
      <c r="E7206">
        <v>0.5399853</v>
      </c>
      <c r="F7206" t="s">
        <v>43</v>
      </c>
      <c r="G7206">
        <v>-185.4939</v>
      </c>
      <c r="H7206" s="1">
        <v>-3.6443189999999999E-6</v>
      </c>
      <c r="I7206">
        <v>56.264580000000002</v>
      </c>
      <c r="J7206">
        <v>-187.90629999999999</v>
      </c>
      <c r="K7206">
        <v>1.1107290000000001</v>
      </c>
      <c r="L7206">
        <v>35.7637</v>
      </c>
      <c r="M7206">
        <v>3.1511259999999999E-2</v>
      </c>
      <c r="N7206">
        <v>0</v>
      </c>
      <c r="O7206">
        <v>0.99938819999999995</v>
      </c>
      <c r="P7206">
        <v>5.1618579999999997E-2</v>
      </c>
      <c r="Q7206">
        <v>5.3151379999999996E-3</v>
      </c>
      <c r="R7206">
        <v>0.99865280000000001</v>
      </c>
      <c r="S7206">
        <v>0.3464508</v>
      </c>
      <c r="T7206">
        <v>-0.1586912</v>
      </c>
      <c r="U7206">
        <v>2.9867859999999999</v>
      </c>
      <c r="V7206">
        <v>2.0095269999999998E-2</v>
      </c>
      <c r="W7206">
        <v>2.05124E-2</v>
      </c>
      <c r="X7206">
        <v>0.99958769999999997</v>
      </c>
      <c r="Y7206">
        <v>8.3699380000000004E-2</v>
      </c>
      <c r="Z7206">
        <v>-5.2747420000000003E-2</v>
      </c>
      <c r="AA7206">
        <v>0.99509400000000003</v>
      </c>
      <c r="AB7206">
        <v>41</v>
      </c>
      <c r="AC7206">
        <v>2.4123999999999901</v>
      </c>
      <c r="AD7206">
        <v>-1.110732644319</v>
      </c>
      <c r="AE7206">
        <v>20.500879999999999</v>
      </c>
      <c r="AF7206">
        <v>1.7600228797506701</v>
      </c>
      <c r="AG7206">
        <v>-1.110732644319</v>
      </c>
      <c r="AH7206">
        <v>20.507347341664499</v>
      </c>
      <c r="AI7206">
        <v>93.088929832259794</v>
      </c>
      <c r="AJ7206">
        <v>85.094666450000403</v>
      </c>
      <c r="AK7206">
        <v>20.612683050395798</v>
      </c>
      <c r="AL7206">
        <v>88.824643706182002</v>
      </c>
      <c r="AM7206">
        <v>88.848306070282604</v>
      </c>
      <c r="AN7206">
        <v>1.0000000742107</v>
      </c>
    </row>
    <row r="7207" spans="1:40" x14ac:dyDescent="0.25">
      <c r="A7207" t="str">
        <f>"20190312154437847"</f>
        <v>20190312154437847</v>
      </c>
      <c r="B7207" t="str">
        <f>"1552376677845263"</f>
        <v>1552376677845263</v>
      </c>
      <c r="C7207" t="s">
        <v>40</v>
      </c>
      <c r="D7207">
        <v>5.0028569999999997</v>
      </c>
      <c r="E7207">
        <v>0.618629599999999</v>
      </c>
      <c r="F7207" t="s">
        <v>80</v>
      </c>
      <c r="G7207">
        <v>-168.8586</v>
      </c>
      <c r="H7207">
        <v>1.1225240000000001</v>
      </c>
      <c r="I7207">
        <v>91.893420000000006</v>
      </c>
      <c r="J7207">
        <v>-187.7826</v>
      </c>
      <c r="K7207">
        <v>1.110876</v>
      </c>
      <c r="L7207">
        <v>40.19943</v>
      </c>
      <c r="M7207">
        <v>2.6093760000000001E-2</v>
      </c>
      <c r="N7207">
        <v>0</v>
      </c>
      <c r="O7207">
        <v>0.99954509999999996</v>
      </c>
      <c r="P7207">
        <v>4.3546460000000002E-2</v>
      </c>
      <c r="Q7207">
        <v>2.8471280000000002E-2</v>
      </c>
      <c r="R7207">
        <v>0.99864560000000002</v>
      </c>
      <c r="S7207">
        <v>1.0742799999999999</v>
      </c>
      <c r="T7207">
        <v>6.6196919999999995E-4</v>
      </c>
      <c r="U7207">
        <v>2.9566650000000001</v>
      </c>
      <c r="V7207">
        <v>1.7416569999999999E-2</v>
      </c>
      <c r="W7207">
        <v>4.360468E-2</v>
      </c>
      <c r="X7207">
        <v>0.99889700000000003</v>
      </c>
      <c r="Y7207">
        <v>0.31685429999999998</v>
      </c>
      <c r="Z7207">
        <v>2.112521E-4</v>
      </c>
      <c r="AA7207">
        <v>0.94847420000000005</v>
      </c>
      <c r="AB7207">
        <v>40</v>
      </c>
      <c r="AC7207">
        <v>18.923999999999999</v>
      </c>
      <c r="AD7207">
        <v>1.1648000000000099E-2</v>
      </c>
      <c r="AE7207">
        <v>51.6939899999999</v>
      </c>
      <c r="AF7207">
        <v>17.568509268239001</v>
      </c>
      <c r="AG7207">
        <v>1.1648000000000099E-2</v>
      </c>
      <c r="AH7207">
        <v>52.1702366187858</v>
      </c>
      <c r="AI7207">
        <v>89.987876584081505</v>
      </c>
      <c r="AJ7207">
        <v>71.388868004541393</v>
      </c>
      <c r="AK7207">
        <v>55.048944062935597</v>
      </c>
      <c r="AL7207">
        <v>87.500843374507298</v>
      </c>
      <c r="AM7207">
        <v>89.001103366489701</v>
      </c>
      <c r="AN7207">
        <v>0.99999996081873299</v>
      </c>
    </row>
    <row r="7208" spans="1:40" x14ac:dyDescent="0.25">
      <c r="A7208" t="str">
        <f>"20190312154437868"</f>
        <v>20190312154437868</v>
      </c>
      <c r="B7208" t="str">
        <f>"1552376677864782"</f>
        <v>1552376677864782</v>
      </c>
      <c r="C7208" t="s">
        <v>40</v>
      </c>
      <c r="D7208">
        <v>5.2720560000000001</v>
      </c>
      <c r="E7208">
        <v>0.61301269999999997</v>
      </c>
      <c r="F7208" t="s">
        <v>80</v>
      </c>
      <c r="G7208">
        <v>-168.98349999999999</v>
      </c>
      <c r="H7208">
        <v>0.86770440000000004</v>
      </c>
      <c r="I7208">
        <v>91.964979999999997</v>
      </c>
      <c r="J7208">
        <v>-187.7732</v>
      </c>
      <c r="K7208">
        <v>1.1108849999999999</v>
      </c>
      <c r="L7208">
        <v>40.576779999999999</v>
      </c>
      <c r="M7208">
        <v>2.5643719999999998E-2</v>
      </c>
      <c r="N7208">
        <v>0</v>
      </c>
      <c r="O7208">
        <v>0.99955680000000002</v>
      </c>
      <c r="P7208">
        <v>4.3455399999999998E-2</v>
      </c>
      <c r="Q7208">
        <v>2.9734239999999999E-2</v>
      </c>
      <c r="R7208">
        <v>0.99861279999999997</v>
      </c>
      <c r="S7208">
        <v>1.0740809999999901</v>
      </c>
      <c r="T7208">
        <v>-1.3893010000000001E-2</v>
      </c>
      <c r="U7208">
        <v>2.957611</v>
      </c>
      <c r="V7208">
        <v>1.7775030000000001E-2</v>
      </c>
      <c r="W7208">
        <v>4.4862289999999999E-2</v>
      </c>
      <c r="X7208">
        <v>0.99883500000000003</v>
      </c>
      <c r="Y7208">
        <v>0.31712439999999997</v>
      </c>
      <c r="Z7208">
        <v>-4.432175E-3</v>
      </c>
      <c r="AA7208">
        <v>0.94837360000000004</v>
      </c>
      <c r="AB7208">
        <v>40</v>
      </c>
      <c r="AC7208">
        <v>18.7897</v>
      </c>
      <c r="AD7208">
        <v>-0.2431806</v>
      </c>
      <c r="AE7208">
        <v>51.388199999999998</v>
      </c>
      <c r="AF7208">
        <v>17.465239258700599</v>
      </c>
      <c r="AG7208">
        <v>-0.2431806</v>
      </c>
      <c r="AH7208">
        <v>51.8521655561483</v>
      </c>
      <c r="AI7208">
        <v>90.254651295775204</v>
      </c>
      <c r="AJ7208">
        <v>71.385055608722197</v>
      </c>
      <c r="AK7208">
        <v>54.715087425956703</v>
      </c>
      <c r="AL7208">
        <v>87.428717041699898</v>
      </c>
      <c r="AM7208">
        <v>88.980485554548494</v>
      </c>
      <c r="AN7208">
        <v>0.99999996699027205</v>
      </c>
    </row>
    <row r="7209" spans="1:40" x14ac:dyDescent="0.25">
      <c r="A7209" t="str">
        <f>"20190312154437890"</f>
        <v>20190312154437890</v>
      </c>
      <c r="B7209" t="str">
        <f>"1552376677885277"</f>
        <v>1552376677885277</v>
      </c>
      <c r="C7209" t="s">
        <v>40</v>
      </c>
      <c r="D7209">
        <v>5.3253680000000001</v>
      </c>
      <c r="E7209">
        <v>0.60895369999999904</v>
      </c>
      <c r="F7209" t="s">
        <v>43</v>
      </c>
      <c r="G7209">
        <v>-177.5059</v>
      </c>
      <c r="H7209">
        <v>7.9985619999999993E-2</v>
      </c>
      <c r="I7209">
        <v>70.185490000000001</v>
      </c>
      <c r="J7209">
        <v>-187.7637</v>
      </c>
      <c r="K7209">
        <v>1.1108830000000001</v>
      </c>
      <c r="L7209">
        <v>40.963039999999999</v>
      </c>
      <c r="M7209">
        <v>2.5182719999999999E-2</v>
      </c>
      <c r="N7209">
        <v>0</v>
      </c>
      <c r="O7209">
        <v>0.99956860000000003</v>
      </c>
      <c r="P7209">
        <v>4.374654E-2</v>
      </c>
      <c r="Q7209">
        <v>3.0408310000000001E-2</v>
      </c>
      <c r="R7209">
        <v>0.99857980000000002</v>
      </c>
      <c r="S7209">
        <v>1.027298</v>
      </c>
      <c r="T7209">
        <v>-0.1031475</v>
      </c>
      <c r="U7209">
        <v>2.9625240000000002</v>
      </c>
      <c r="V7209">
        <v>1.8527189999999999E-2</v>
      </c>
      <c r="W7209">
        <v>4.553252E-2</v>
      </c>
      <c r="X7209">
        <v>0.99879099999999998</v>
      </c>
      <c r="Y7209">
        <v>0.30354809999999999</v>
      </c>
      <c r="Z7209">
        <v>-3.2996329999999997E-2</v>
      </c>
      <c r="AA7209">
        <v>0.9522446</v>
      </c>
      <c r="AB7209">
        <v>40</v>
      </c>
      <c r="AC7209">
        <v>10.2578</v>
      </c>
      <c r="AD7209">
        <v>-1.0308973800000001</v>
      </c>
      <c r="AE7209">
        <v>29.222449999999998</v>
      </c>
      <c r="AF7209">
        <v>9.5080265621983102</v>
      </c>
      <c r="AG7209">
        <v>-1.0308973800000001</v>
      </c>
      <c r="AH7209">
        <v>29.438911396910601</v>
      </c>
      <c r="AI7209">
        <v>91.908576660439707</v>
      </c>
      <c r="AJ7209">
        <v>72.100850780657595</v>
      </c>
      <c r="AK7209">
        <v>30.953429902850999</v>
      </c>
      <c r="AL7209">
        <v>87.390276399231993</v>
      </c>
      <c r="AM7209">
        <v>88.9373071392816</v>
      </c>
      <c r="AN7209">
        <v>0.99999996441392203</v>
      </c>
    </row>
    <row r="7210" spans="1:40" x14ac:dyDescent="0.25">
      <c r="A7210" t="str">
        <f>"20190312154437913"</f>
        <v>20190312154437913</v>
      </c>
      <c r="B7210" t="str">
        <f>"1552376677904797"</f>
        <v>1552376677904797</v>
      </c>
      <c r="C7210" t="s">
        <v>40</v>
      </c>
      <c r="D7210">
        <v>5.2166139999999999</v>
      </c>
      <c r="E7210">
        <v>0.60805569999999998</v>
      </c>
      <c r="F7210" t="s">
        <v>43</v>
      </c>
      <c r="G7210">
        <v>-180.8699</v>
      </c>
      <c r="H7210" s="1">
        <v>-3.0651140000000001E-6</v>
      </c>
      <c r="I7210">
        <v>61.516489999999997</v>
      </c>
      <c r="J7210">
        <v>-187.75399999999999</v>
      </c>
      <c r="K7210">
        <v>1.1108819999999999</v>
      </c>
      <c r="L7210">
        <v>41.368589999999998</v>
      </c>
      <c r="M7210">
        <v>2.4698600000000001E-2</v>
      </c>
      <c r="N7210">
        <v>0</v>
      </c>
      <c r="O7210">
        <v>0.99958069999999999</v>
      </c>
      <c r="P7210">
        <v>4.3716980000000003E-2</v>
      </c>
      <c r="Q7210">
        <v>3.0851590000000002E-2</v>
      </c>
      <c r="R7210">
        <v>0.99856750000000005</v>
      </c>
      <c r="S7210">
        <v>0.99467470000000002</v>
      </c>
      <c r="T7210">
        <v>-0.16028539999999999</v>
      </c>
      <c r="U7210">
        <v>2.965576</v>
      </c>
      <c r="V7210">
        <v>1.8981600000000001E-2</v>
      </c>
      <c r="W7210">
        <v>4.5971230000000002E-2</v>
      </c>
      <c r="X7210">
        <v>0.99876240000000005</v>
      </c>
      <c r="Y7210">
        <v>0.29406139999999997</v>
      </c>
      <c r="Z7210">
        <v>-5.135054E-2</v>
      </c>
      <c r="AA7210">
        <v>0.95440610000000003</v>
      </c>
      <c r="AB7210">
        <v>40</v>
      </c>
      <c r="AC7210">
        <v>6.8841000000000099</v>
      </c>
      <c r="AD7210">
        <v>-1.1108850651140001</v>
      </c>
      <c r="AE7210">
        <v>20.1479</v>
      </c>
      <c r="AF7210">
        <v>6.3669853081888199</v>
      </c>
      <c r="AG7210">
        <v>-1.1108850651140001</v>
      </c>
      <c r="AH7210">
        <v>20.256656087066698</v>
      </c>
      <c r="AI7210">
        <v>92.994815213995906</v>
      </c>
      <c r="AJ7210">
        <v>72.551247285120596</v>
      </c>
      <c r="AK7210">
        <v>21.262753428760899</v>
      </c>
      <c r="AL7210">
        <v>87.365113893721798</v>
      </c>
      <c r="AM7210">
        <v>88.911217867399301</v>
      </c>
      <c r="AN7210">
        <v>0.999999993390016</v>
      </c>
    </row>
    <row r="7211" spans="1:40" x14ac:dyDescent="0.25">
      <c r="A7211" t="str">
        <f>"20190312154437937"</f>
        <v>20190312154437937</v>
      </c>
      <c r="B7211" t="str">
        <f>"1552376677924318"</f>
        <v>1552376677924318</v>
      </c>
      <c r="C7211" t="s">
        <v>40</v>
      </c>
      <c r="D7211">
        <v>5.2320250000000001</v>
      </c>
      <c r="E7211">
        <v>0.60750660000000001</v>
      </c>
      <c r="F7211" t="s">
        <v>43</v>
      </c>
      <c r="G7211">
        <v>-181.69030000000001</v>
      </c>
      <c r="H7211" s="1">
        <v>-5.7458349999999899E-6</v>
      </c>
      <c r="I7211">
        <v>59.590519999999998</v>
      </c>
      <c r="J7211">
        <v>-187.74379999999999</v>
      </c>
      <c r="K7211">
        <v>1.110884</v>
      </c>
      <c r="L7211">
        <v>41.799529999999997</v>
      </c>
      <c r="M7211">
        <v>2.4184009999999999E-2</v>
      </c>
      <c r="N7211">
        <v>0</v>
      </c>
      <c r="O7211">
        <v>0.99959339999999997</v>
      </c>
      <c r="P7211">
        <v>4.3500459999999998E-2</v>
      </c>
      <c r="Q7211">
        <v>3.2406799999999999E-2</v>
      </c>
      <c r="R7211">
        <v>0.99852759999999996</v>
      </c>
      <c r="S7211">
        <v>0.98721309999999995</v>
      </c>
      <c r="T7211">
        <v>-0.18086150000000001</v>
      </c>
      <c r="U7211">
        <v>2.966675</v>
      </c>
      <c r="V7211">
        <v>1.9278839999999998E-2</v>
      </c>
      <c r="W7211">
        <v>4.7520680000000003E-2</v>
      </c>
      <c r="X7211">
        <v>0.99868420000000002</v>
      </c>
      <c r="Y7211">
        <v>0.29217300000000002</v>
      </c>
      <c r="Z7211">
        <v>-5.7941079999999999E-2</v>
      </c>
      <c r="AA7211">
        <v>0.95460869999999998</v>
      </c>
      <c r="AB7211">
        <v>40</v>
      </c>
      <c r="AC7211">
        <v>6.0534999999999801</v>
      </c>
      <c r="AD7211">
        <v>-1.110889745835</v>
      </c>
      <c r="AE7211">
        <v>17.790990000000001</v>
      </c>
      <c r="AF7211">
        <v>5.6018477535976903</v>
      </c>
      <c r="AG7211">
        <v>-1.110889745835</v>
      </c>
      <c r="AH7211">
        <v>17.8697569640795</v>
      </c>
      <c r="AI7211">
        <v>93.394779455261798</v>
      </c>
      <c r="AJ7211">
        <v>72.5947292284242</v>
      </c>
      <c r="AK7211">
        <v>18.760143609182599</v>
      </c>
      <c r="AL7211">
        <v>87.276239827661996</v>
      </c>
      <c r="AM7211">
        <v>88.894085852202096</v>
      </c>
      <c r="AN7211">
        <v>1.0000000100145201</v>
      </c>
    </row>
    <row r="7212" spans="1:40" x14ac:dyDescent="0.25">
      <c r="A7212" t="str">
        <f>"20190312154437959"</f>
        <v>20190312154437959</v>
      </c>
      <c r="B7212" t="str">
        <f>"1552376677954573"</f>
        <v>1552376677954573</v>
      </c>
      <c r="C7212" t="s">
        <v>40</v>
      </c>
      <c r="D7212">
        <v>5.26389</v>
      </c>
      <c r="E7212">
        <v>0.60664240000000003</v>
      </c>
      <c r="F7212" t="s">
        <v>43</v>
      </c>
      <c r="G7212">
        <v>-182.04669999999999</v>
      </c>
      <c r="H7212" s="1">
        <v>-5.4345680000000004E-6</v>
      </c>
      <c r="I7212">
        <v>59.012309999999999</v>
      </c>
      <c r="J7212">
        <v>-187.7347</v>
      </c>
      <c r="K7212">
        <v>1.110886</v>
      </c>
      <c r="L7212">
        <v>42.194580000000002</v>
      </c>
      <c r="M7212">
        <v>2.3712110000000002E-2</v>
      </c>
      <c r="N7212">
        <v>0</v>
      </c>
      <c r="O7212">
        <v>0.99960479999999996</v>
      </c>
      <c r="P7212">
        <v>4.328949E-2</v>
      </c>
      <c r="Q7212">
        <v>3.344958E-2</v>
      </c>
      <c r="R7212">
        <v>0.99850240000000001</v>
      </c>
      <c r="S7212">
        <v>0.98229979999999995</v>
      </c>
      <c r="T7212">
        <v>-0.19154009999999999</v>
      </c>
      <c r="U7212">
        <v>2.9678339999999999</v>
      </c>
      <c r="V7212">
        <v>1.9539170000000002E-2</v>
      </c>
      <c r="W7212">
        <v>4.8558039999999997E-2</v>
      </c>
      <c r="X7212">
        <v>0.99862919999999999</v>
      </c>
      <c r="Y7212">
        <v>0.29102489999999998</v>
      </c>
      <c r="Z7212">
        <v>-6.1353940000000003E-2</v>
      </c>
      <c r="AA7212">
        <v>0.95474619999999999</v>
      </c>
      <c r="AB7212">
        <v>40</v>
      </c>
      <c r="AC7212">
        <v>5.6880000000000104</v>
      </c>
      <c r="AD7212">
        <v>-1.1108914345679901</v>
      </c>
      <c r="AE7212">
        <v>16.817729999999901</v>
      </c>
      <c r="AF7212">
        <v>5.26694900318547</v>
      </c>
      <c r="AG7212">
        <v>-1.1108914345679901</v>
      </c>
      <c r="AH7212">
        <v>16.881791826841798</v>
      </c>
      <c r="AI7212">
        <v>93.594473432737303</v>
      </c>
      <c r="AJ7212">
        <v>72.672604156432598</v>
      </c>
      <c r="AK7212">
        <v>17.7191909201965</v>
      </c>
      <c r="AL7212">
        <v>87.216734664421296</v>
      </c>
      <c r="AM7212">
        <v>88.879094313670194</v>
      </c>
      <c r="AN7212">
        <v>0.99999997075278402</v>
      </c>
    </row>
    <row r="7213" spans="1:40" x14ac:dyDescent="0.25">
      <c r="A7213" t="str">
        <f>"20190312154437981"</f>
        <v>20190312154437981</v>
      </c>
      <c r="B7213" t="str">
        <f>"1552376677975070"</f>
        <v>1552376677975070</v>
      </c>
      <c r="C7213" t="s">
        <v>40</v>
      </c>
      <c r="D7213">
        <v>5.2546660000000003</v>
      </c>
      <c r="E7213">
        <v>0.60641709999999904</v>
      </c>
      <c r="F7213" t="s">
        <v>43</v>
      </c>
      <c r="G7213">
        <v>-182.59649999999999</v>
      </c>
      <c r="H7213" s="1">
        <v>-4.8407680000000003E-6</v>
      </c>
      <c r="I7213">
        <v>57.855499999999999</v>
      </c>
      <c r="J7213">
        <v>-187.72579999999999</v>
      </c>
      <c r="K7213">
        <v>1.110895</v>
      </c>
      <c r="L7213">
        <v>42.587040000000002</v>
      </c>
      <c r="M7213">
        <v>2.324323E-2</v>
      </c>
      <c r="N7213">
        <v>0</v>
      </c>
      <c r="O7213">
        <v>0.99961580000000005</v>
      </c>
      <c r="P7213">
        <v>4.2712920000000001E-2</v>
      </c>
      <c r="Q7213">
        <v>3.4065499999999999E-2</v>
      </c>
      <c r="R7213">
        <v>0.99850649999999996</v>
      </c>
      <c r="S7213">
        <v>0.97419739999999999</v>
      </c>
      <c r="T7213">
        <v>-0.21062620000000001</v>
      </c>
      <c r="U7213">
        <v>2.9693299999999998</v>
      </c>
      <c r="V7213">
        <v>1.9430780000000002E-2</v>
      </c>
      <c r="W7213">
        <v>4.9169570000000003E-2</v>
      </c>
      <c r="X7213">
        <v>0.99860139999999997</v>
      </c>
      <c r="Y7213">
        <v>0.28885660000000002</v>
      </c>
      <c r="Z7213">
        <v>-6.7459459999999999E-2</v>
      </c>
      <c r="AA7213">
        <v>0.95499270000000003</v>
      </c>
      <c r="AB7213">
        <v>40</v>
      </c>
      <c r="AC7213">
        <v>5.1292999999999997</v>
      </c>
      <c r="AD7213">
        <v>-1.110899840768</v>
      </c>
      <c r="AE7213">
        <v>15.2684599999999</v>
      </c>
      <c r="AF7213">
        <v>4.75038823194902</v>
      </c>
      <c r="AG7213">
        <v>-1.110899840768</v>
      </c>
      <c r="AH7213">
        <v>15.3107382007605</v>
      </c>
      <c r="AI7213">
        <v>93.964149183116703</v>
      </c>
      <c r="AJ7213">
        <v>72.762705683112401</v>
      </c>
      <c r="AK7213">
        <v>16.0691938522965</v>
      </c>
      <c r="AL7213">
        <v>87.181654693149795</v>
      </c>
      <c r="AM7213">
        <v>88.885279737377402</v>
      </c>
      <c r="AN7213">
        <v>0.99999997895367598</v>
      </c>
    </row>
    <row r="7214" spans="1:40" x14ac:dyDescent="0.25">
      <c r="A7214" t="str">
        <f>"20190312154438015"</f>
        <v>20190312154438015</v>
      </c>
      <c r="B7214" t="str">
        <f>"1552376678004349"</f>
        <v>1552376678004349</v>
      </c>
      <c r="C7214" t="s">
        <v>40</v>
      </c>
      <c r="D7214">
        <v>5.3274160000000004</v>
      </c>
      <c r="E7214">
        <v>0.60634589999999999</v>
      </c>
      <c r="F7214" t="s">
        <v>43</v>
      </c>
      <c r="G7214">
        <v>-182.86269999999999</v>
      </c>
      <c r="H7214" s="1">
        <v>-4.627411E-6</v>
      </c>
      <c r="I7214">
        <v>57.468229999999998</v>
      </c>
      <c r="J7214">
        <v>-187.71299999999999</v>
      </c>
      <c r="K7214">
        <v>1.110892</v>
      </c>
      <c r="L7214">
        <v>43.167569999999998</v>
      </c>
      <c r="M7214">
        <v>2.2549199999999998E-2</v>
      </c>
      <c r="N7214">
        <v>0</v>
      </c>
      <c r="O7214">
        <v>0.99963190000000002</v>
      </c>
      <c r="P7214">
        <v>4.1107869999999998E-2</v>
      </c>
      <c r="Q7214">
        <v>3.3541250000000002E-2</v>
      </c>
      <c r="R7214">
        <v>0.99859160000000002</v>
      </c>
      <c r="S7214">
        <v>0.97074890000000003</v>
      </c>
      <c r="T7214">
        <v>-0.22175310000000001</v>
      </c>
      <c r="U7214">
        <v>2.97052</v>
      </c>
      <c r="V7214">
        <v>1.851881E-2</v>
      </c>
      <c r="W7214">
        <v>4.8638059999999997E-2</v>
      </c>
      <c r="X7214">
        <v>0.9986448</v>
      </c>
      <c r="Y7214">
        <v>0.28833019999999998</v>
      </c>
      <c r="Z7214">
        <v>-7.0997899999999906E-2</v>
      </c>
      <c r="AA7214">
        <v>0.9548953</v>
      </c>
      <c r="AB7214">
        <v>40</v>
      </c>
      <c r="AC7214">
        <v>4.8502999999999998</v>
      </c>
      <c r="AD7214">
        <v>-1.1108966274109999</v>
      </c>
      <c r="AE7214">
        <v>14.300660000000001</v>
      </c>
      <c r="AF7214">
        <v>4.5021960219567703</v>
      </c>
      <c r="AG7214">
        <v>-1.1108966274109999</v>
      </c>
      <c r="AH7214">
        <v>14.3288599505145</v>
      </c>
      <c r="AI7214">
        <v>94.230095113480701</v>
      </c>
      <c r="AJ7214">
        <v>72.557032972040304</v>
      </c>
      <c r="AK7214">
        <v>15.060547394380301</v>
      </c>
      <c r="AL7214">
        <v>87.212144574931102</v>
      </c>
      <c r="AM7214">
        <v>88.937632223281398</v>
      </c>
      <c r="AN7214">
        <v>1.0000000218856999</v>
      </c>
    </row>
    <row r="7215" spans="1:40" x14ac:dyDescent="0.25">
      <c r="A7215" t="str">
        <f>"20190312154438036"</f>
        <v>20190312154438036</v>
      </c>
      <c r="B7215" t="str">
        <f>"1552376678024846"</f>
        <v>1552376678024846</v>
      </c>
      <c r="C7215" t="s">
        <v>40</v>
      </c>
      <c r="D7215">
        <v>5.2948829999999996</v>
      </c>
      <c r="E7215">
        <v>0.60637929999999995</v>
      </c>
      <c r="F7215" t="s">
        <v>43</v>
      </c>
      <c r="G7215">
        <v>-183.12970000000001</v>
      </c>
      <c r="H7215" s="1">
        <v>-4.4983870000000003E-6</v>
      </c>
      <c r="I7215">
        <v>57.277850000000001</v>
      </c>
      <c r="J7215">
        <v>-187.7047</v>
      </c>
      <c r="K7215">
        <v>1.110889</v>
      </c>
      <c r="L7215">
        <v>43.555819999999997</v>
      </c>
      <c r="M7215">
        <v>2.2084820000000002E-2</v>
      </c>
      <c r="N7215">
        <v>0</v>
      </c>
      <c r="O7215">
        <v>0.99964229999999998</v>
      </c>
      <c r="P7215">
        <v>3.926909E-2</v>
      </c>
      <c r="Q7215">
        <v>3.3280030000000002E-2</v>
      </c>
      <c r="R7215">
        <v>0.99867430000000001</v>
      </c>
      <c r="S7215">
        <v>0.96548460000000003</v>
      </c>
      <c r="T7215">
        <v>-0.234012</v>
      </c>
      <c r="U7215">
        <v>2.9723510000000002</v>
      </c>
      <c r="V7215">
        <v>1.7143309999999998E-2</v>
      </c>
      <c r="W7215">
        <v>4.8370860000000002E-2</v>
      </c>
      <c r="X7215">
        <v>0.99868230000000002</v>
      </c>
      <c r="Y7215">
        <v>0.28698410000000002</v>
      </c>
      <c r="Z7215">
        <v>-7.4893360000000006E-2</v>
      </c>
      <c r="AA7215">
        <v>0.95500320000000005</v>
      </c>
      <c r="AB7215">
        <v>40</v>
      </c>
      <c r="AC7215">
        <v>4.5749999999999797</v>
      </c>
      <c r="AD7215">
        <v>-1.110893498387</v>
      </c>
      <c r="AE7215">
        <v>13.722029999999901</v>
      </c>
      <c r="AF7215">
        <v>4.2457578211301596</v>
      </c>
      <c r="AG7215">
        <v>-1.110893498387</v>
      </c>
      <c r="AH7215">
        <v>13.738696112934999</v>
      </c>
      <c r="AI7215">
        <v>94.417544141231701</v>
      </c>
      <c r="AJ7215">
        <v>72.826944800603897</v>
      </c>
      <c r="AK7215">
        <v>14.4226320317764</v>
      </c>
      <c r="AL7215">
        <v>87.227471944855495</v>
      </c>
      <c r="AM7215">
        <v>89.016561274389503</v>
      </c>
      <c r="AN7215">
        <v>0.99999998475409202</v>
      </c>
    </row>
    <row r="7216" spans="1:40" x14ac:dyDescent="0.25">
      <c r="A7216" t="str">
        <f>"20190312154438058"</f>
        <v>20190312154438058</v>
      </c>
      <c r="B7216" t="str">
        <f>"1552376678055102"</f>
        <v>1552376678055102</v>
      </c>
      <c r="C7216" t="s">
        <v>40</v>
      </c>
      <c r="D7216">
        <v>5.3581009999999996</v>
      </c>
      <c r="E7216">
        <v>0.60637459999999999</v>
      </c>
      <c r="F7216" t="s">
        <v>43</v>
      </c>
      <c r="G7216">
        <v>-183.34569999999999</v>
      </c>
      <c r="H7216" s="1">
        <v>-4.3663970000000004E-6</v>
      </c>
      <c r="I7216">
        <v>57.059510000000003</v>
      </c>
      <c r="J7216">
        <v>-187.69649999999999</v>
      </c>
      <c r="K7216">
        <v>1.110886</v>
      </c>
      <c r="L7216">
        <v>43.944580000000002</v>
      </c>
      <c r="M7216">
        <v>2.1619449999999998E-2</v>
      </c>
      <c r="N7216">
        <v>0</v>
      </c>
      <c r="O7216">
        <v>0.9996526</v>
      </c>
      <c r="P7216">
        <v>3.7857549999999997E-2</v>
      </c>
      <c r="Q7216">
        <v>3.254725E-2</v>
      </c>
      <c r="R7216">
        <v>0.998753</v>
      </c>
      <c r="S7216">
        <v>0.9601288</v>
      </c>
      <c r="T7216">
        <v>-0.2446913</v>
      </c>
      <c r="U7216">
        <v>2.974396</v>
      </c>
      <c r="V7216">
        <v>1.6196640000000002E-2</v>
      </c>
      <c r="W7216">
        <v>4.7633090000000003E-2</v>
      </c>
      <c r="X7216">
        <v>0.9987336</v>
      </c>
      <c r="Y7216">
        <v>0.28560039999999998</v>
      </c>
      <c r="Z7216">
        <v>-7.8277669999999994E-2</v>
      </c>
      <c r="AA7216">
        <v>0.95514659999999996</v>
      </c>
      <c r="AB7216">
        <v>40</v>
      </c>
      <c r="AC7216">
        <v>4.3507999999999898</v>
      </c>
      <c r="AD7216">
        <v>-1.110890366397</v>
      </c>
      <c r="AE7216">
        <v>13.1149299999999</v>
      </c>
      <c r="AF7216">
        <v>4.04009996820482</v>
      </c>
      <c r="AG7216">
        <v>-1.110890366397</v>
      </c>
      <c r="AH7216">
        <v>13.121128446459601</v>
      </c>
      <c r="AI7216">
        <v>94.626032293223602</v>
      </c>
      <c r="AJ7216">
        <v>72.885984071783298</v>
      </c>
      <c r="AK7216">
        <v>13.773906376469</v>
      </c>
      <c r="AL7216">
        <v>87.269791943111301</v>
      </c>
      <c r="AM7216">
        <v>89.070905621363806</v>
      </c>
      <c r="AN7216">
        <v>1.00000002308959</v>
      </c>
    </row>
    <row r="7217" spans="1:40" x14ac:dyDescent="0.25">
      <c r="A7217" t="str">
        <f>"20190312154438080"</f>
        <v>20190312154438080</v>
      </c>
      <c r="B7217" t="str">
        <f>"1552376678074621"</f>
        <v>1552376678074621</v>
      </c>
      <c r="C7217" t="s">
        <v>40</v>
      </c>
      <c r="D7217">
        <v>5.3243580000000001</v>
      </c>
      <c r="E7217">
        <v>0.56563189999999997</v>
      </c>
      <c r="F7217" t="s">
        <v>43</v>
      </c>
      <c r="G7217">
        <v>-183.3845</v>
      </c>
      <c r="H7217" s="1">
        <v>-4.4912819999999996E-6</v>
      </c>
      <c r="I7217">
        <v>57.36665</v>
      </c>
      <c r="J7217">
        <v>-187.68870000000001</v>
      </c>
      <c r="K7217">
        <v>1.110886</v>
      </c>
      <c r="L7217">
        <v>44.327240000000003</v>
      </c>
      <c r="M7217">
        <v>2.116125E-2</v>
      </c>
      <c r="N7217">
        <v>0</v>
      </c>
      <c r="O7217">
        <v>0.99966239999999995</v>
      </c>
      <c r="P7217">
        <v>3.6429309999999999E-2</v>
      </c>
      <c r="Q7217">
        <v>3.3542849999999999E-2</v>
      </c>
      <c r="R7217">
        <v>0.99877320000000003</v>
      </c>
      <c r="S7217">
        <v>0.95593260000000002</v>
      </c>
      <c r="T7217">
        <v>-0.24627199999999999</v>
      </c>
      <c r="U7217">
        <v>2.9755250000000002</v>
      </c>
      <c r="V7217">
        <v>1.5225290000000001E-2</v>
      </c>
      <c r="W7217">
        <v>4.8622810000000002E-2</v>
      </c>
      <c r="X7217">
        <v>0.99870119999999896</v>
      </c>
      <c r="Y7217">
        <v>0.28470079999999998</v>
      </c>
      <c r="Z7217">
        <v>-7.8780260000000005E-2</v>
      </c>
      <c r="AA7217">
        <v>0.95537380000000005</v>
      </c>
      <c r="AB7217">
        <v>40</v>
      </c>
      <c r="AC7217">
        <v>4.3041999999999998</v>
      </c>
      <c r="AD7217">
        <v>-1.1108904912819999</v>
      </c>
      <c r="AE7217">
        <v>13.039409999999901</v>
      </c>
      <c r="AF7217">
        <v>4.0010872179358596</v>
      </c>
      <c r="AG7217">
        <v>-1.1108904912819999</v>
      </c>
      <c r="AH7217">
        <v>13.0422205900467</v>
      </c>
      <c r="AI7217">
        <v>94.6553670024567</v>
      </c>
      <c r="AJ7217">
        <v>72.9450548182284</v>
      </c>
      <c r="AK7217">
        <v>13.687304136629299</v>
      </c>
      <c r="AL7217">
        <v>87.213019412713905</v>
      </c>
      <c r="AM7217">
        <v>89.126588325996806</v>
      </c>
      <c r="AN7217">
        <v>1.00000003699465</v>
      </c>
    </row>
    <row r="7218" spans="1:40" x14ac:dyDescent="0.25">
      <c r="A7218" t="str">
        <f>"20190312154438102"</f>
        <v>20190312154438102</v>
      </c>
      <c r="B7218" t="str">
        <f>"1552376678095118"</f>
        <v>1552376678095118</v>
      </c>
      <c r="C7218" t="s">
        <v>40</v>
      </c>
      <c r="D7218">
        <v>5.1844530000000004</v>
      </c>
      <c r="E7218">
        <v>0.53590300000000002</v>
      </c>
      <c r="F7218" t="s">
        <v>43</v>
      </c>
      <c r="G7218">
        <v>-183.47819999999999</v>
      </c>
      <c r="H7218" s="1">
        <v>-3.3308809999999998E-6</v>
      </c>
      <c r="I7218">
        <v>64.336819999999904</v>
      </c>
      <c r="J7218">
        <v>-187.68049999999999</v>
      </c>
      <c r="K7218">
        <v>1.110889</v>
      </c>
      <c r="L7218">
        <v>44.73563</v>
      </c>
      <c r="M7218">
        <v>2.067217E-2</v>
      </c>
      <c r="N7218">
        <v>0</v>
      </c>
      <c r="O7218">
        <v>0.99967269999999997</v>
      </c>
      <c r="P7218">
        <v>3.53681E-2</v>
      </c>
      <c r="Q7218">
        <v>3.3903620000000002E-2</v>
      </c>
      <c r="R7218">
        <v>0.99879910000000005</v>
      </c>
      <c r="S7218">
        <v>0.62838749999999999</v>
      </c>
      <c r="T7218">
        <v>-0.16579459999999999</v>
      </c>
      <c r="U7218">
        <v>2.9863279999999999</v>
      </c>
      <c r="V7218">
        <v>1.4652399999999999E-2</v>
      </c>
      <c r="W7218">
        <v>4.8978580000000001E-2</v>
      </c>
      <c r="X7218">
        <v>0.99869229999999998</v>
      </c>
      <c r="Y7218">
        <v>0.18533269999999999</v>
      </c>
      <c r="Z7218">
        <v>-5.4341500000000001E-2</v>
      </c>
      <c r="AA7218">
        <v>0.98117209999999999</v>
      </c>
      <c r="AB7218">
        <v>40</v>
      </c>
      <c r="AC7218">
        <v>4.2023000000000001</v>
      </c>
      <c r="AD7218">
        <v>-1.1108923308809999</v>
      </c>
      <c r="AE7218">
        <v>19.6011899999999</v>
      </c>
      <c r="AF7218">
        <v>3.7845347881001299</v>
      </c>
      <c r="AG7218">
        <v>-1.1108923308809999</v>
      </c>
      <c r="AH7218">
        <v>19.6236191966827</v>
      </c>
      <c r="AI7218">
        <v>93.181551171636301</v>
      </c>
      <c r="AJ7218">
        <v>79.084174833669707</v>
      </c>
      <c r="AK7218">
        <v>20.016073933455701</v>
      </c>
      <c r="AL7218">
        <v>87.192610739456796</v>
      </c>
      <c r="AM7218">
        <v>89.159440349759393</v>
      </c>
      <c r="AN7218">
        <v>0.99999995210193204</v>
      </c>
    </row>
    <row r="7219" spans="1:40" x14ac:dyDescent="0.25">
      <c r="A7219" t="str">
        <f>"20190312154438126"</f>
        <v>20190312154438126</v>
      </c>
      <c r="B7219" t="str">
        <f>"1552376678114638"</f>
        <v>1552376678114638</v>
      </c>
      <c r="C7219" t="s">
        <v>40</v>
      </c>
      <c r="D7219">
        <v>5.2293200000000004</v>
      </c>
      <c r="E7219">
        <v>0.51789300000000005</v>
      </c>
      <c r="F7219" t="s">
        <v>43</v>
      </c>
      <c r="G7219">
        <v>-184.24809999999999</v>
      </c>
      <c r="H7219" s="1">
        <v>-2.0479779999999999E-6</v>
      </c>
      <c r="I7219">
        <v>71.168859999999995</v>
      </c>
      <c r="J7219">
        <v>-187.67240000000001</v>
      </c>
      <c r="K7219">
        <v>1.1108990000000001</v>
      </c>
      <c r="L7219">
        <v>45.149410000000003</v>
      </c>
      <c r="M7219">
        <v>2.0176489999999998E-2</v>
      </c>
      <c r="N7219">
        <v>0</v>
      </c>
      <c r="O7219">
        <v>0.99968290000000004</v>
      </c>
      <c r="P7219">
        <v>3.4407939999999998E-2</v>
      </c>
      <c r="Q7219">
        <v>3.4759320000000003E-2</v>
      </c>
      <c r="R7219">
        <v>0.9988032</v>
      </c>
      <c r="S7219">
        <v>0.38879390000000003</v>
      </c>
      <c r="T7219">
        <v>-0.12583139999999901</v>
      </c>
      <c r="U7219">
        <v>2.99411</v>
      </c>
      <c r="V7219">
        <v>1.418698E-2</v>
      </c>
      <c r="W7219">
        <v>4.9828699999999997E-2</v>
      </c>
      <c r="X7219">
        <v>0.99865700000000002</v>
      </c>
      <c r="Y7219">
        <v>0.108623</v>
      </c>
      <c r="Z7219">
        <v>-4.1677579999999999E-2</v>
      </c>
      <c r="AA7219">
        <v>0.99320889999999995</v>
      </c>
      <c r="AB7219">
        <v>39</v>
      </c>
      <c r="AC7219">
        <v>3.4243000000000099</v>
      </c>
      <c r="AD7219">
        <v>-1.1109010479779999</v>
      </c>
      <c r="AE7219">
        <v>26.019449999999999</v>
      </c>
      <c r="AF7219">
        <v>2.8933775572971201</v>
      </c>
      <c r="AG7219">
        <v>-1.1109010479779999</v>
      </c>
      <c r="AH7219">
        <v>26.036597145433301</v>
      </c>
      <c r="AI7219">
        <v>92.428222469978394</v>
      </c>
      <c r="AJ7219">
        <v>83.658890240022899</v>
      </c>
      <c r="AK7219">
        <v>26.220414293848499</v>
      </c>
      <c r="AL7219">
        <v>87.143842995773895</v>
      </c>
      <c r="AM7219">
        <v>89.186107539032307</v>
      </c>
      <c r="AN7219">
        <v>0.99999998669710499</v>
      </c>
    </row>
    <row r="7220" spans="1:40" x14ac:dyDescent="0.25">
      <c r="A7220" t="str">
        <f>"20190312154438149"</f>
        <v>20190312154438149</v>
      </c>
      <c r="B7220" t="str">
        <f>"1552376678144894"</f>
        <v>1552376678144894</v>
      </c>
      <c r="C7220" t="s">
        <v>40</v>
      </c>
      <c r="D7220">
        <v>5.1750910000000001</v>
      </c>
      <c r="E7220">
        <v>0.50573889999999999</v>
      </c>
      <c r="F7220" t="s">
        <v>43</v>
      </c>
      <c r="G7220">
        <v>-185.49789999999999</v>
      </c>
      <c r="H7220" s="1">
        <v>-2.0187799999999999E-6</v>
      </c>
      <c r="I7220">
        <v>72.060299999999998</v>
      </c>
      <c r="J7220">
        <v>-187.66489999999999</v>
      </c>
      <c r="K7220">
        <v>1.110911</v>
      </c>
      <c r="L7220">
        <v>45.546840000000003</v>
      </c>
      <c r="M7220">
        <v>1.9700249999999999E-2</v>
      </c>
      <c r="N7220">
        <v>0</v>
      </c>
      <c r="O7220">
        <v>0.99969240000000004</v>
      </c>
      <c r="P7220">
        <v>3.309807E-2</v>
      </c>
      <c r="Q7220">
        <v>3.8047049999999999E-2</v>
      </c>
      <c r="R7220">
        <v>0.9987277</v>
      </c>
      <c r="S7220">
        <v>0.24237059999999999</v>
      </c>
      <c r="T7220">
        <v>-0.1238233</v>
      </c>
      <c r="U7220">
        <v>2.9995419999999999</v>
      </c>
      <c r="V7220">
        <v>1.3351129999999999E-2</v>
      </c>
      <c r="W7220">
        <v>5.3108320000000001E-2</v>
      </c>
      <c r="X7220">
        <v>0.99849949999999998</v>
      </c>
      <c r="Y7220">
        <v>6.0817789999999997E-2</v>
      </c>
      <c r="Z7220">
        <v>-4.1128530000000003E-2</v>
      </c>
      <c r="AA7220">
        <v>0.9973012</v>
      </c>
      <c r="AB7220">
        <v>39</v>
      </c>
      <c r="AC7220">
        <v>2.1669999999999998</v>
      </c>
      <c r="AD7220">
        <v>-1.11091301877999</v>
      </c>
      <c r="AE7220">
        <v>26.513459999999899</v>
      </c>
      <c r="AF7220">
        <v>1.6413358527355599</v>
      </c>
      <c r="AG7220">
        <v>-1.11091301877999</v>
      </c>
      <c r="AH7220">
        <v>26.504785476134298</v>
      </c>
      <c r="AI7220">
        <v>92.395488617500504</v>
      </c>
      <c r="AJ7220">
        <v>86.456425509058704</v>
      </c>
      <c r="AK7220">
        <v>26.578784100343501</v>
      </c>
      <c r="AL7220">
        <v>86.955685179927798</v>
      </c>
      <c r="AM7220">
        <v>89.233932699361603</v>
      </c>
      <c r="AN7220">
        <v>0.99999999891287406</v>
      </c>
    </row>
    <row r="7221" spans="1:40" x14ac:dyDescent="0.25">
      <c r="A7221" t="str">
        <f>"20190312154438172"</f>
        <v>20190312154438172</v>
      </c>
      <c r="B7221" t="str">
        <f>"1552376678164414"</f>
        <v>1552376678164414</v>
      </c>
      <c r="C7221" t="s">
        <v>40</v>
      </c>
      <c r="D7221">
        <v>5.1770079999999998</v>
      </c>
      <c r="E7221">
        <v>0.501438099999999</v>
      </c>
      <c r="F7221" t="s">
        <v>43</v>
      </c>
      <c r="G7221">
        <v>-186.4091</v>
      </c>
      <c r="H7221" s="1">
        <v>-1.8390019999999999E-6</v>
      </c>
      <c r="I7221">
        <v>72.244410000000002</v>
      </c>
      <c r="J7221">
        <v>-187.6575</v>
      </c>
      <c r="K7221">
        <v>1.1109150000000001</v>
      </c>
      <c r="L7221">
        <v>45.942349999999998</v>
      </c>
      <c r="M7221">
        <v>1.9226159999999999E-2</v>
      </c>
      <c r="N7221">
        <v>0</v>
      </c>
      <c r="O7221">
        <v>0.99970170000000003</v>
      </c>
      <c r="P7221">
        <v>3.16286E-2</v>
      </c>
      <c r="Q7221">
        <v>3.8767509999999998E-2</v>
      </c>
      <c r="R7221">
        <v>0.99874759999999996</v>
      </c>
      <c r="S7221">
        <v>0.14129639999999999</v>
      </c>
      <c r="T7221">
        <v>-0.1249956</v>
      </c>
      <c r="U7221">
        <v>3.0039060000000002</v>
      </c>
      <c r="V7221">
        <v>1.235469E-2</v>
      </c>
      <c r="W7221">
        <v>5.3823030000000001E-2</v>
      </c>
      <c r="X7221">
        <v>0.99847410000000003</v>
      </c>
      <c r="Y7221">
        <v>2.7729259999999999E-2</v>
      </c>
      <c r="Z7221">
        <v>-4.1532609999999998E-2</v>
      </c>
      <c r="AA7221">
        <v>0.99875230000000004</v>
      </c>
      <c r="AB7221">
        <v>39</v>
      </c>
      <c r="AC7221">
        <v>1.2484</v>
      </c>
      <c r="AD7221">
        <v>-1.1109168390019999</v>
      </c>
      <c r="AE7221">
        <v>26.302060000000001</v>
      </c>
      <c r="AF7221">
        <v>0.74110508312405698</v>
      </c>
      <c r="AG7221">
        <v>-1.1109168390019999</v>
      </c>
      <c r="AH7221">
        <v>26.274434876643699</v>
      </c>
      <c r="AI7221">
        <v>92.420135677672206</v>
      </c>
      <c r="AJ7221">
        <v>88.384325368461404</v>
      </c>
      <c r="AK7221">
        <v>26.3083504054207</v>
      </c>
      <c r="AL7221">
        <v>86.914676792504693</v>
      </c>
      <c r="AM7221">
        <v>89.291082792008496</v>
      </c>
      <c r="AN7221">
        <v>1.0000000426470901</v>
      </c>
    </row>
    <row r="7222" spans="1:40" x14ac:dyDescent="0.25">
      <c r="A7222" t="str">
        <f>"20190312154438192"</f>
        <v>20190312154438192</v>
      </c>
      <c r="B7222" t="str">
        <f>"1552376678184910"</f>
        <v>1552376678184910</v>
      </c>
      <c r="C7222" t="s">
        <v>40</v>
      </c>
      <c r="D7222">
        <v>5.1423949999999996</v>
      </c>
      <c r="E7222">
        <v>0.49854419999999999</v>
      </c>
      <c r="F7222" t="s">
        <v>43</v>
      </c>
      <c r="G7222">
        <v>-186.76949999999999</v>
      </c>
      <c r="H7222" s="1">
        <v>-1.6602420000000001E-6</v>
      </c>
      <c r="I7222">
        <v>72.000929999999997</v>
      </c>
      <c r="J7222">
        <v>-187.65090000000001</v>
      </c>
      <c r="K7222">
        <v>1.11091299999999</v>
      </c>
      <c r="L7222">
        <v>46.305050000000001</v>
      </c>
      <c r="M7222">
        <v>1.8791209999999999E-2</v>
      </c>
      <c r="N7222">
        <v>0</v>
      </c>
      <c r="O7222">
        <v>0.99971010000000005</v>
      </c>
      <c r="P7222">
        <v>3.1628330000000003E-2</v>
      </c>
      <c r="Q7222">
        <v>3.7428040000000003E-2</v>
      </c>
      <c r="R7222">
        <v>0.99879870000000004</v>
      </c>
      <c r="S7222">
        <v>0.10241699999999999</v>
      </c>
      <c r="T7222">
        <v>-0.12812879999999999</v>
      </c>
      <c r="U7222">
        <v>3.005493</v>
      </c>
      <c r="V7222">
        <v>1.27899E-2</v>
      </c>
      <c r="W7222">
        <v>5.2480720000000002E-2</v>
      </c>
      <c r="X7222">
        <v>0.99853999999999998</v>
      </c>
      <c r="Y7222">
        <v>1.5237509999999999E-2</v>
      </c>
      <c r="Z7222">
        <v>-4.2566769999999997E-2</v>
      </c>
      <c r="AA7222">
        <v>0.99897740000000002</v>
      </c>
      <c r="AB7222">
        <v>39</v>
      </c>
      <c r="AC7222">
        <v>0.88140000000001295</v>
      </c>
      <c r="AD7222">
        <v>-1.1109146602419999</v>
      </c>
      <c r="AE7222">
        <v>25.695879999999999</v>
      </c>
      <c r="AF7222">
        <v>0.397590673284128</v>
      </c>
      <c r="AG7222">
        <v>-1.1109146602419999</v>
      </c>
      <c r="AH7222">
        <v>25.660001338715201</v>
      </c>
      <c r="AI7222">
        <v>92.478697197488998</v>
      </c>
      <c r="AJ7222">
        <v>89.112297599942707</v>
      </c>
      <c r="AK7222">
        <v>25.6871150273574</v>
      </c>
      <c r="AL7222">
        <v>86.991694141727194</v>
      </c>
      <c r="AM7222">
        <v>89.266161376119001</v>
      </c>
      <c r="AN7222">
        <v>0.99999996955686299</v>
      </c>
    </row>
    <row r="7223" spans="1:40" x14ac:dyDescent="0.25">
      <c r="A7223" t="str">
        <f>"20190312154438215"</f>
        <v>20190312154438215</v>
      </c>
      <c r="B7223" t="str">
        <f>"1552376678204430"</f>
        <v>1552376678204430</v>
      </c>
      <c r="C7223" t="s">
        <v>40</v>
      </c>
      <c r="D7223">
        <v>5.1375789999999997</v>
      </c>
      <c r="E7223">
        <v>0.4962896</v>
      </c>
      <c r="F7223" t="s">
        <v>43</v>
      </c>
      <c r="G7223">
        <v>-187.0035</v>
      </c>
      <c r="H7223" s="1">
        <v>-1.21385E-6</v>
      </c>
      <c r="I7223">
        <v>70.872129999999999</v>
      </c>
      <c r="J7223">
        <v>-187.64400000000001</v>
      </c>
      <c r="K7223">
        <v>1.110905</v>
      </c>
      <c r="L7223">
        <v>46.697200000000002</v>
      </c>
      <c r="M7223">
        <v>1.832083E-2</v>
      </c>
      <c r="N7223">
        <v>0</v>
      </c>
      <c r="O7223">
        <v>0.99971889999999997</v>
      </c>
      <c r="P7223">
        <v>3.1015250000000001E-2</v>
      </c>
      <c r="Q7223">
        <v>3.5020000000000003E-2</v>
      </c>
      <c r="R7223">
        <v>0.99890520000000005</v>
      </c>
      <c r="S7223">
        <v>7.9223630000000003E-2</v>
      </c>
      <c r="T7223">
        <v>-0.135939</v>
      </c>
      <c r="U7223">
        <v>3.006195</v>
      </c>
      <c r="V7223">
        <v>1.2648090000000001E-2</v>
      </c>
      <c r="W7223">
        <v>5.0070150000000001E-2</v>
      </c>
      <c r="X7223">
        <v>0.99866560000000004</v>
      </c>
      <c r="Y7223">
        <v>7.9964690000000008E-3</v>
      </c>
      <c r="Z7223">
        <v>-4.5153550000000001E-2</v>
      </c>
      <c r="AA7223">
        <v>0.99894799999999995</v>
      </c>
      <c r="AB7223">
        <v>39</v>
      </c>
      <c r="AC7223">
        <v>0.64050000000000296</v>
      </c>
      <c r="AD7223">
        <v>-1.1109062138500001</v>
      </c>
      <c r="AE7223">
        <v>24.17493</v>
      </c>
      <c r="AF7223">
        <v>0.197021779076581</v>
      </c>
      <c r="AG7223">
        <v>-1.1109062138500001</v>
      </c>
      <c r="AH7223">
        <v>24.1316851591214</v>
      </c>
      <c r="AI7223">
        <v>92.635672313609206</v>
      </c>
      <c r="AJ7223">
        <v>89.532222241214399</v>
      </c>
      <c r="AK7223">
        <v>24.158045426241799</v>
      </c>
      <c r="AL7223">
        <v>87.129991641525905</v>
      </c>
      <c r="AM7223">
        <v>89.274388310949504</v>
      </c>
      <c r="AN7223">
        <v>0.99999998736251505</v>
      </c>
    </row>
    <row r="7224" spans="1:40" x14ac:dyDescent="0.25">
      <c r="A7224" t="str">
        <f>"20190312154438237"</f>
        <v>20190312154438237</v>
      </c>
      <c r="B7224" t="str">
        <f>"1552376678224926"</f>
        <v>1552376678224926</v>
      </c>
      <c r="C7224" t="s">
        <v>40</v>
      </c>
      <c r="D7224">
        <v>5.1016830000000004</v>
      </c>
      <c r="E7224">
        <v>0.49482609999999999</v>
      </c>
      <c r="F7224" t="s">
        <v>43</v>
      </c>
      <c r="G7224">
        <v>-187.19649999999999</v>
      </c>
      <c r="H7224" s="1">
        <v>-4.7009470000000004E-6</v>
      </c>
      <c r="I7224">
        <v>69.431609999999907</v>
      </c>
      <c r="J7224">
        <v>-187.63730000000001</v>
      </c>
      <c r="K7224">
        <v>1.1108979999999999</v>
      </c>
      <c r="L7224">
        <v>47.089080000000003</v>
      </c>
      <c r="M7224">
        <v>1.7850689999999999E-2</v>
      </c>
      <c r="N7224">
        <v>0</v>
      </c>
      <c r="O7224">
        <v>0.99972749999999999</v>
      </c>
      <c r="P7224">
        <v>3.061705E-2</v>
      </c>
      <c r="Q7224">
        <v>3.4371730000000003E-2</v>
      </c>
      <c r="R7224">
        <v>0.9989401</v>
      </c>
      <c r="S7224">
        <v>5.9173580000000003E-2</v>
      </c>
      <c r="T7224">
        <v>-0.146916299999999</v>
      </c>
      <c r="U7224">
        <v>3.0065919999999999</v>
      </c>
      <c r="V7224">
        <v>1.2720179999999999E-2</v>
      </c>
      <c r="W7224">
        <v>4.9417219999999998E-2</v>
      </c>
      <c r="X7224">
        <v>0.99869719999999995</v>
      </c>
      <c r="Y7224">
        <v>1.8016449999999999E-3</v>
      </c>
      <c r="Z7224">
        <v>-4.879008E-2</v>
      </c>
      <c r="AA7224">
        <v>0.99880740000000001</v>
      </c>
      <c r="AB7224">
        <v>39</v>
      </c>
      <c r="AC7224">
        <v>0.44080000000002401</v>
      </c>
      <c r="AD7224">
        <v>-1.1109027009469901</v>
      </c>
      <c r="AE7224">
        <v>22.34253</v>
      </c>
      <c r="AF7224">
        <v>4.1751861193202101E-2</v>
      </c>
      <c r="AG7224">
        <v>-1.1109027009469901</v>
      </c>
      <c r="AH7224">
        <v>22.291749996936201</v>
      </c>
      <c r="AI7224">
        <v>92.852952848725096</v>
      </c>
      <c r="AJ7224">
        <v>89.8926866380517</v>
      </c>
      <c r="AK7224">
        <v>22.319452635644701</v>
      </c>
      <c r="AL7224">
        <v>87.167448128340695</v>
      </c>
      <c r="AM7224">
        <v>89.270276093852402</v>
      </c>
      <c r="AN7224">
        <v>0.99999998094980003</v>
      </c>
    </row>
    <row r="7225" spans="1:40" x14ac:dyDescent="0.25">
      <c r="A7225" t="str">
        <f>"20190312154438260"</f>
        <v>20190312154438260</v>
      </c>
      <c r="B7225" t="str">
        <f>"1552376678255181"</f>
        <v>1552376678255181</v>
      </c>
      <c r="C7225" t="s">
        <v>40</v>
      </c>
      <c r="D7225">
        <v>5.1006989999999996</v>
      </c>
      <c r="E7225">
        <v>0.49319960000000002</v>
      </c>
      <c r="F7225" t="s">
        <v>43</v>
      </c>
      <c r="G7225">
        <v>-187.29580000000001</v>
      </c>
      <c r="H7225" s="1">
        <v>-4.516465E-6</v>
      </c>
      <c r="I7225">
        <v>69.042630000000003</v>
      </c>
      <c r="J7225">
        <v>-187.63069999999999</v>
      </c>
      <c r="K7225">
        <v>1.1108789999999999</v>
      </c>
      <c r="L7225">
        <v>47.480960000000003</v>
      </c>
      <c r="M7225">
        <v>1.7380039999999999E-2</v>
      </c>
      <c r="N7225">
        <v>0</v>
      </c>
      <c r="O7225">
        <v>0.99973579999999995</v>
      </c>
      <c r="P7225">
        <v>3.0192589999999998E-2</v>
      </c>
      <c r="Q7225">
        <v>3.2053489999999997E-2</v>
      </c>
      <c r="R7225">
        <v>0.99902999999999997</v>
      </c>
      <c r="S7225">
        <v>4.6768190000000001E-2</v>
      </c>
      <c r="T7225">
        <v>-0.15216089999999999</v>
      </c>
      <c r="U7225">
        <v>3.0069889999999999</v>
      </c>
      <c r="V7225">
        <v>1.2767560000000001E-2</v>
      </c>
      <c r="W7225">
        <v>4.7096289999999999E-2</v>
      </c>
      <c r="X7225">
        <v>0.99880869999999999</v>
      </c>
      <c r="Y7225">
        <v>-1.850831E-3</v>
      </c>
      <c r="Z7225">
        <v>-5.0523220000000001E-2</v>
      </c>
      <c r="AA7225">
        <v>0.99872119999999998</v>
      </c>
      <c r="AB7225">
        <v>39</v>
      </c>
      <c r="AC7225">
        <v>0.33489999999997599</v>
      </c>
      <c r="AD7225">
        <v>-1.1108835164649999</v>
      </c>
      <c r="AE7225">
        <v>21.561669999999999</v>
      </c>
      <c r="AF7225">
        <v>-3.9829985268760797E-2</v>
      </c>
      <c r="AG7225">
        <v>-1.1108835164649999</v>
      </c>
      <c r="AH7225">
        <v>21.507158124555101</v>
      </c>
      <c r="AI7225">
        <v>92.956797687818593</v>
      </c>
      <c r="AJ7225">
        <v>90.106108274826795</v>
      </c>
      <c r="AK7225">
        <v>21.5358654158475</v>
      </c>
      <c r="AL7225">
        <v>87.300582664483301</v>
      </c>
      <c r="AM7225">
        <v>89.267640076811503</v>
      </c>
      <c r="AN7225">
        <v>0.99999994515790203</v>
      </c>
    </row>
    <row r="7226" spans="1:40" x14ac:dyDescent="0.25">
      <c r="A7226" t="str">
        <f>"20190312154438282"</f>
        <v>20190312154438282</v>
      </c>
      <c r="B7226" t="str">
        <f>"1552376678274701"</f>
        <v>1552376678274701</v>
      </c>
      <c r="C7226" t="s">
        <v>40</v>
      </c>
      <c r="D7226">
        <v>5.1014429999999997</v>
      </c>
      <c r="E7226">
        <v>0.49226180000000003</v>
      </c>
      <c r="F7226" t="s">
        <v>43</v>
      </c>
      <c r="G7226">
        <v>-187.4067</v>
      </c>
      <c r="H7226" s="1">
        <v>-4.0716869999999998E-6</v>
      </c>
      <c r="I7226">
        <v>68.051689999999994</v>
      </c>
      <c r="J7226">
        <v>-187.62440000000001</v>
      </c>
      <c r="K7226">
        <v>1.1108439999999999</v>
      </c>
      <c r="L7226">
        <v>47.87238</v>
      </c>
      <c r="M7226">
        <v>1.6909730000000001E-2</v>
      </c>
      <c r="N7226">
        <v>0</v>
      </c>
      <c r="O7226">
        <v>0.99974390000000002</v>
      </c>
      <c r="P7226">
        <v>2.9378640000000001E-2</v>
      </c>
      <c r="Q7226">
        <v>2.7376850000000001E-2</v>
      </c>
      <c r="R7226">
        <v>0.99919340000000001</v>
      </c>
      <c r="S7226">
        <v>3.2745360000000001E-2</v>
      </c>
      <c r="T7226">
        <v>-0.16239489999999901</v>
      </c>
      <c r="U7226">
        <v>3.0071409999999998</v>
      </c>
      <c r="V7226">
        <v>1.242672E-2</v>
      </c>
      <c r="W7226">
        <v>4.2417499999999997E-2</v>
      </c>
      <c r="X7226">
        <v>0.99902270000000004</v>
      </c>
      <c r="Y7226">
        <v>-6.039478E-3</v>
      </c>
      <c r="Z7226">
        <v>-5.3910880000000001E-2</v>
      </c>
      <c r="AA7226">
        <v>0.99852750000000001</v>
      </c>
      <c r="AB7226">
        <v>39</v>
      </c>
      <c r="AC7226">
        <v>0.217700000000007</v>
      </c>
      <c r="AD7226">
        <v>-1.1108480716869999</v>
      </c>
      <c r="AE7226">
        <v>20.179310000000001</v>
      </c>
      <c r="AF7226">
        <v>-0.12322304704838</v>
      </c>
      <c r="AG7226">
        <v>-1.1108480716869999</v>
      </c>
      <c r="AH7226">
        <v>20.119144276652399</v>
      </c>
      <c r="AI7226">
        <v>93.160231707374805</v>
      </c>
      <c r="AJ7226">
        <v>90.350913148211404</v>
      </c>
      <c r="AK7226">
        <v>20.150164609313901</v>
      </c>
      <c r="AL7226">
        <v>87.568926912494803</v>
      </c>
      <c r="AM7226">
        <v>89.287341627855696</v>
      </c>
      <c r="AN7226">
        <v>1.0000000113957399</v>
      </c>
    </row>
    <row r="7227" spans="1:40" x14ac:dyDescent="0.25">
      <c r="A7227" t="str">
        <f>"20190312154438303"</f>
        <v>20190312154438303</v>
      </c>
      <c r="B7227" t="str">
        <f>"1552376678295198"</f>
        <v>1552376678295198</v>
      </c>
      <c r="C7227" t="s">
        <v>40</v>
      </c>
      <c r="D7227">
        <v>5.1324809999999896</v>
      </c>
      <c r="E7227">
        <v>0.49152509999999999</v>
      </c>
      <c r="F7227" t="s">
        <v>43</v>
      </c>
      <c r="G7227">
        <v>-187.48050000000001</v>
      </c>
      <c r="H7227" s="1">
        <v>-3.3566880000000001E-6</v>
      </c>
      <c r="I7227">
        <v>66.415499999999994</v>
      </c>
      <c r="J7227">
        <v>-187.6183</v>
      </c>
      <c r="K7227">
        <v>1.1108340000000001</v>
      </c>
      <c r="L7227">
        <v>48.259059999999998</v>
      </c>
      <c r="M7227">
        <v>1.6445089999999999E-2</v>
      </c>
      <c r="N7227">
        <v>0</v>
      </c>
      <c r="O7227">
        <v>0.99975179999999997</v>
      </c>
      <c r="P7227">
        <v>2.8529809999999999E-2</v>
      </c>
      <c r="Q7227">
        <v>2.5221739999999999E-2</v>
      </c>
      <c r="R7227">
        <v>0.99927469999999996</v>
      </c>
      <c r="S7227">
        <v>2.3330690000000001E-2</v>
      </c>
      <c r="T7227">
        <v>-0.180117</v>
      </c>
      <c r="U7227">
        <v>3.006653</v>
      </c>
      <c r="V7227">
        <v>1.204384E-2</v>
      </c>
      <c r="W7227">
        <v>4.025832E-2</v>
      </c>
      <c r="X7227">
        <v>0.99911669999999997</v>
      </c>
      <c r="Y7227">
        <v>-8.7019309999999996E-3</v>
      </c>
      <c r="Z7227">
        <v>-5.9784799999999999E-2</v>
      </c>
      <c r="AA7227">
        <v>0.99817339999999999</v>
      </c>
      <c r="AB7227">
        <v>39</v>
      </c>
      <c r="AC7227">
        <v>0.13779999999999801</v>
      </c>
      <c r="AD7227">
        <v>-1.1108373566879901</v>
      </c>
      <c r="AE7227">
        <v>18.15644</v>
      </c>
      <c r="AF7227">
        <v>-0.16023689974451699</v>
      </c>
      <c r="AG7227">
        <v>-1.1108373566879901</v>
      </c>
      <c r="AH7227">
        <v>18.088545942667199</v>
      </c>
      <c r="AI7227">
        <v>93.514045578103094</v>
      </c>
      <c r="AJ7227">
        <v>90.507539852486701</v>
      </c>
      <c r="AK7227">
        <v>18.1233310905317</v>
      </c>
      <c r="AL7227">
        <v>87.692744608203</v>
      </c>
      <c r="AM7227">
        <v>89.309362179988398</v>
      </c>
      <c r="AN7227">
        <v>0.99999998331502804</v>
      </c>
    </row>
    <row r="7228" spans="1:40" x14ac:dyDescent="0.25">
      <c r="A7228" t="str">
        <f>"20190312154438327"</f>
        <v>20190312154438327</v>
      </c>
      <c r="B7228" t="str">
        <f>"1552376678314718"</f>
        <v>1552376678314718</v>
      </c>
      <c r="C7228" t="s">
        <v>40</v>
      </c>
      <c r="D7228">
        <v>5.0182640000000003</v>
      </c>
      <c r="E7228">
        <v>0.49098829999999999</v>
      </c>
      <c r="F7228" t="s">
        <v>43</v>
      </c>
      <c r="G7228">
        <v>-187.53020000000001</v>
      </c>
      <c r="H7228" s="1">
        <v>-3.0038170000000002E-6</v>
      </c>
      <c r="I7228">
        <v>65.613509999999906</v>
      </c>
      <c r="J7228">
        <v>-187.6122</v>
      </c>
      <c r="K7228">
        <v>1.110841</v>
      </c>
      <c r="L7228">
        <v>48.653289999999998</v>
      </c>
      <c r="M7228">
        <v>1.5971220000000001E-2</v>
      </c>
      <c r="N7228">
        <v>0</v>
      </c>
      <c r="O7228">
        <v>0.99975950000000002</v>
      </c>
      <c r="P7228">
        <v>2.8086010000000002E-2</v>
      </c>
      <c r="Q7228">
        <v>2.6508859999999999E-2</v>
      </c>
      <c r="R7228">
        <v>0.99925390000000003</v>
      </c>
      <c r="S7228">
        <v>1.525879E-2</v>
      </c>
      <c r="T7228">
        <v>-0.19244829999999999</v>
      </c>
      <c r="U7228">
        <v>3.0065919999999999</v>
      </c>
      <c r="V7228">
        <v>1.207283E-2</v>
      </c>
      <c r="W7228">
        <v>4.1540889999999997E-2</v>
      </c>
      <c r="X7228">
        <v>0.99906379999999995</v>
      </c>
      <c r="Y7228">
        <v>-1.090878E-2</v>
      </c>
      <c r="Z7228">
        <v>-6.3863539999999996E-2</v>
      </c>
      <c r="AA7228">
        <v>0.99789899999999998</v>
      </c>
      <c r="AB7228">
        <v>39</v>
      </c>
      <c r="AC7228">
        <v>8.1999999999993606E-2</v>
      </c>
      <c r="AD7228">
        <v>-1.110844003817</v>
      </c>
      <c r="AE7228">
        <v>16.9602199999999</v>
      </c>
      <c r="AF7228">
        <v>-0.18810951686980801</v>
      </c>
      <c r="AG7228">
        <v>-1.110844003817</v>
      </c>
      <c r="AH7228">
        <v>16.8869251929985</v>
      </c>
      <c r="AI7228">
        <v>93.763336133267998</v>
      </c>
      <c r="AJ7228">
        <v>90.638211842632003</v>
      </c>
      <c r="AK7228">
        <v>16.924467556324501</v>
      </c>
      <c r="AL7228">
        <v>87.619197105150107</v>
      </c>
      <c r="AM7228">
        <v>89.307663295576603</v>
      </c>
      <c r="AN7228">
        <v>0.99999993761831796</v>
      </c>
    </row>
    <row r="7229" spans="1:40" x14ac:dyDescent="0.25">
      <c r="A7229" t="str">
        <f>"20190312154438350"</f>
        <v>20190312154438350</v>
      </c>
      <c r="B7229" t="str">
        <f>"1552376678344974"</f>
        <v>1552376678344974</v>
      </c>
      <c r="C7229" t="s">
        <v>40</v>
      </c>
      <c r="D7229">
        <v>5.0689599999999997</v>
      </c>
      <c r="E7229">
        <v>0.49028650000000001</v>
      </c>
      <c r="F7229" t="s">
        <v>43</v>
      </c>
      <c r="G7229">
        <v>-187.554</v>
      </c>
      <c r="H7229" s="1">
        <v>-3.1824030000000001E-6</v>
      </c>
      <c r="I7229">
        <v>66.039640000000006</v>
      </c>
      <c r="J7229">
        <v>-187.6062</v>
      </c>
      <c r="K7229">
        <v>1.110846</v>
      </c>
      <c r="L7229">
        <v>49.055999999999997</v>
      </c>
      <c r="M7229">
        <v>1.5486979999999999E-2</v>
      </c>
      <c r="N7229">
        <v>0</v>
      </c>
      <c r="O7229">
        <v>0.99976719999999997</v>
      </c>
      <c r="P7229">
        <v>2.7885279999999998E-2</v>
      </c>
      <c r="Q7229">
        <v>2.6931960000000001E-2</v>
      </c>
      <c r="R7229">
        <v>0.99924829999999998</v>
      </c>
      <c r="S7229">
        <v>1.00708E-2</v>
      </c>
      <c r="T7229">
        <v>-0.19212570000000001</v>
      </c>
      <c r="U7229">
        <v>3.00705</v>
      </c>
      <c r="V7229">
        <v>1.2355990000000001E-2</v>
      </c>
      <c r="W7229">
        <v>4.1959669999999998E-2</v>
      </c>
      <c r="X7229">
        <v>0.99904289999999996</v>
      </c>
      <c r="Y7229">
        <v>-1.2146809999999999E-2</v>
      </c>
      <c r="Z7229">
        <v>-6.3747760000000001E-2</v>
      </c>
      <c r="AA7229">
        <v>0.99789209999999995</v>
      </c>
      <c r="AB7229">
        <v>39</v>
      </c>
      <c r="AC7229">
        <v>5.2199999999999101E-2</v>
      </c>
      <c r="AD7229">
        <v>-1.110849182403</v>
      </c>
      <c r="AE7229">
        <v>16.983640000000001</v>
      </c>
      <c r="AF7229">
        <v>-0.20996301256701999</v>
      </c>
      <c r="AG7229">
        <v>-1.110849182403</v>
      </c>
      <c r="AH7229">
        <v>16.910069292236098</v>
      </c>
      <c r="AI7229">
        <v>93.7581612960022</v>
      </c>
      <c r="AJ7229">
        <v>90.7113735673706</v>
      </c>
      <c r="AK7229">
        <v>16.947817376904801</v>
      </c>
      <c r="AL7229">
        <v>87.595181988092904</v>
      </c>
      <c r="AM7229">
        <v>89.2914118247934</v>
      </c>
      <c r="AN7229">
        <v>1.0000000002178899</v>
      </c>
    </row>
    <row r="7230" spans="1:40" x14ac:dyDescent="0.25">
      <c r="A7230" t="str">
        <f>"20190312154438373"</f>
        <v>20190312154438373</v>
      </c>
      <c r="B7230" t="str">
        <f>"1552376678364494"</f>
        <v>1552376678364494</v>
      </c>
      <c r="C7230" t="s">
        <v>40</v>
      </c>
      <c r="D7230">
        <v>5.0009220000000001</v>
      </c>
      <c r="E7230">
        <v>0.48989349999999998</v>
      </c>
      <c r="F7230" t="s">
        <v>43</v>
      </c>
      <c r="G7230">
        <v>-187.583</v>
      </c>
      <c r="H7230" s="1">
        <v>-3.277532E-6</v>
      </c>
      <c r="I7230">
        <v>66.273390000000006</v>
      </c>
      <c r="J7230">
        <v>-187.60050000000001</v>
      </c>
      <c r="K7230">
        <v>1.1108469999999999</v>
      </c>
      <c r="L7230">
        <v>49.455930000000002</v>
      </c>
      <c r="M7230">
        <v>1.500569E-2</v>
      </c>
      <c r="N7230">
        <v>0</v>
      </c>
      <c r="O7230">
        <v>0.99977459999999996</v>
      </c>
      <c r="P7230">
        <v>2.7751080000000001E-2</v>
      </c>
      <c r="Q7230">
        <v>2.670904E-2</v>
      </c>
      <c r="R7230">
        <v>0.99925799999999998</v>
      </c>
      <c r="S7230">
        <v>4.0588380000000004E-3</v>
      </c>
      <c r="T7230">
        <v>-0.1940335</v>
      </c>
      <c r="U7230">
        <v>3.0073850000000002</v>
      </c>
      <c r="V7230">
        <v>1.2703219999999999E-2</v>
      </c>
      <c r="W7230">
        <v>4.1732419999999999E-2</v>
      </c>
      <c r="X7230">
        <v>0.99904809999999999</v>
      </c>
      <c r="Y7230">
        <v>-1.36607E-2</v>
      </c>
      <c r="Z7230">
        <v>-6.4371239999999996E-2</v>
      </c>
      <c r="AA7230">
        <v>0.99783250000000001</v>
      </c>
      <c r="AB7230">
        <v>39</v>
      </c>
      <c r="AC7230">
        <v>1.7500000000012499E-2</v>
      </c>
      <c r="AD7230">
        <v>-1.1108502775319999</v>
      </c>
      <c r="AE7230">
        <v>16.817460000000001</v>
      </c>
      <c r="AF7230">
        <v>-0.23386765487668401</v>
      </c>
      <c r="AG7230">
        <v>-1.1108502775319999</v>
      </c>
      <c r="AH7230">
        <v>16.742779181925702</v>
      </c>
      <c r="AI7230">
        <v>93.795529048340498</v>
      </c>
      <c r="AJ7230">
        <v>90.800270855083596</v>
      </c>
      <c r="AK7230">
        <v>16.781219775505399</v>
      </c>
      <c r="AL7230">
        <v>87.608213955599297</v>
      </c>
      <c r="AM7230">
        <v>89.271504875099794</v>
      </c>
      <c r="AN7230">
        <v>1.0000000363955099</v>
      </c>
    </row>
    <row r="7231" spans="1:40" x14ac:dyDescent="0.25">
      <c r="A7231" t="str">
        <f>"20190312154438395"</f>
        <v>20190312154438395</v>
      </c>
      <c r="B7231" t="str">
        <f>"1552376678384990"</f>
        <v>1552376678384990</v>
      </c>
      <c r="C7231" t="s">
        <v>40</v>
      </c>
      <c r="D7231">
        <v>4.992928</v>
      </c>
      <c r="E7231">
        <v>0.47285579999999999</v>
      </c>
      <c r="F7231" t="s">
        <v>43</v>
      </c>
      <c r="G7231">
        <v>-187.5977</v>
      </c>
      <c r="H7231" s="1">
        <v>-3.4251929999999999E-6</v>
      </c>
      <c r="I7231">
        <v>66.623679999999993</v>
      </c>
      <c r="J7231">
        <v>-187.59530000000001</v>
      </c>
      <c r="K7231">
        <v>1.110849</v>
      </c>
      <c r="L7231">
        <v>49.837589999999999</v>
      </c>
      <c r="M7231">
        <v>1.4546409999999999E-2</v>
      </c>
      <c r="N7231">
        <v>0</v>
      </c>
      <c r="O7231">
        <v>0.99978149999999999</v>
      </c>
      <c r="P7231">
        <v>2.7116069999999999E-2</v>
      </c>
      <c r="Q7231">
        <v>2.744224E-2</v>
      </c>
      <c r="R7231">
        <v>0.99925549999999996</v>
      </c>
      <c r="S7231">
        <v>4.8828130000000002E-4</v>
      </c>
      <c r="T7231">
        <v>-0.19459679999999999</v>
      </c>
      <c r="U7231">
        <v>3.0074160000000001</v>
      </c>
      <c r="V7231">
        <v>1.252675E-2</v>
      </c>
      <c r="W7231">
        <v>4.2460379999999999E-2</v>
      </c>
      <c r="X7231">
        <v>0.99901960000000001</v>
      </c>
      <c r="Y7231">
        <v>-1.4386049999999999E-2</v>
      </c>
      <c r="Z7231">
        <v>-6.4557039999999996E-2</v>
      </c>
      <c r="AA7231">
        <v>0.99781030000000004</v>
      </c>
      <c r="AB7231">
        <v>39</v>
      </c>
      <c r="AC7231">
        <v>-2.3999999999944001E-3</v>
      </c>
      <c r="AD7231">
        <v>-1.1108524251930001</v>
      </c>
      <c r="AE7231">
        <v>16.786089999999898</v>
      </c>
      <c r="AF7231">
        <v>-0.245529342526533</v>
      </c>
      <c r="AG7231">
        <v>-1.1108524251930001</v>
      </c>
      <c r="AH7231">
        <v>16.711094237923898</v>
      </c>
      <c r="AI7231">
        <v>93.802672420362498</v>
      </c>
      <c r="AJ7231">
        <v>90.841763125833396</v>
      </c>
      <c r="AK7231">
        <v>16.7497745775092</v>
      </c>
      <c r="AL7231">
        <v>87.566467783092705</v>
      </c>
      <c r="AM7231">
        <v>89.2816033900516</v>
      </c>
      <c r="AN7231">
        <v>0.99999998225973297</v>
      </c>
    </row>
    <row r="7232" spans="1:40" x14ac:dyDescent="0.25">
      <c r="A7232" t="str">
        <f>"20190312154438417"</f>
        <v>20190312154438417</v>
      </c>
      <c r="B7232" t="str">
        <f>"1552376678404510"</f>
        <v>1552376678404510</v>
      </c>
      <c r="C7232" t="s">
        <v>40</v>
      </c>
      <c r="D7232">
        <v>4.9894189999999998</v>
      </c>
      <c r="E7232">
        <v>0.4732693</v>
      </c>
      <c r="F7232" t="s">
        <v>43</v>
      </c>
      <c r="G7232">
        <v>-188.56700000000001</v>
      </c>
      <c r="H7232" s="1">
        <v>-9.0371830000000002E-7</v>
      </c>
      <c r="I7232">
        <v>71.146819999999906</v>
      </c>
      <c r="J7232">
        <v>-187.59020000000001</v>
      </c>
      <c r="K7232">
        <v>1.11086</v>
      </c>
      <c r="L7232">
        <v>50.214170000000003</v>
      </c>
      <c r="M7232">
        <v>1.4093049999999999E-2</v>
      </c>
      <c r="N7232">
        <v>0</v>
      </c>
      <c r="O7232">
        <v>0.99978800000000001</v>
      </c>
      <c r="P7232">
        <v>2.675168E-2</v>
      </c>
      <c r="Q7232">
        <v>2.8795560000000001E-2</v>
      </c>
      <c r="R7232">
        <v>0.99922730000000004</v>
      </c>
      <c r="S7232">
        <v>-0.1372681</v>
      </c>
      <c r="T7232">
        <v>-0.15692449999999999</v>
      </c>
      <c r="U7232">
        <v>3.0102540000000002</v>
      </c>
      <c r="V7232">
        <v>1.26146E-2</v>
      </c>
      <c r="W7232">
        <v>4.3809050000000002E-2</v>
      </c>
      <c r="X7232">
        <v>0.99896030000000002</v>
      </c>
      <c r="Y7232">
        <v>-5.9566710000000002E-2</v>
      </c>
      <c r="Z7232">
        <v>-5.1978389999999999E-2</v>
      </c>
      <c r="AA7232">
        <v>0.99687009999999998</v>
      </c>
      <c r="AB7232">
        <v>39</v>
      </c>
      <c r="AC7232">
        <v>-0.976799999999997</v>
      </c>
      <c r="AD7232">
        <v>-1.1108609037182999</v>
      </c>
      <c r="AE7232">
        <v>20.932649999999899</v>
      </c>
      <c r="AF7232">
        <v>-1.26817735508887</v>
      </c>
      <c r="AG7232">
        <v>-1.1108609037182999</v>
      </c>
      <c r="AH7232">
        <v>20.858188821658398</v>
      </c>
      <c r="AI7232">
        <v>93.042957509896794</v>
      </c>
      <c r="AJ7232">
        <v>93.479298934602994</v>
      </c>
      <c r="AK7232">
        <v>20.926211474400301</v>
      </c>
      <c r="AL7232">
        <v>87.489122786378999</v>
      </c>
      <c r="AM7232">
        <v>89.276522874081394</v>
      </c>
      <c r="AN7232">
        <v>1.0000000209855699</v>
      </c>
    </row>
    <row r="7233" spans="1:40" x14ac:dyDescent="0.25">
      <c r="A7233" t="str">
        <f>"20190312154438439"</f>
        <v>20190312154438439</v>
      </c>
      <c r="B7233" t="str">
        <f>"1552376678434766"</f>
        <v>1552376678434766</v>
      </c>
      <c r="C7233" t="s">
        <v>40</v>
      </c>
      <c r="D7233">
        <v>4.9640820000000003</v>
      </c>
      <c r="E7233">
        <v>0.47343790000000002</v>
      </c>
      <c r="F7233" t="s">
        <v>43</v>
      </c>
      <c r="G7233">
        <v>-188.566</v>
      </c>
      <c r="H7233" s="1">
        <v>-1.2296780000000001E-6</v>
      </c>
      <c r="I7233">
        <v>71.90625</v>
      </c>
      <c r="J7233">
        <v>-187.58510000000001</v>
      </c>
      <c r="K7233">
        <v>1.110867</v>
      </c>
      <c r="L7233">
        <v>50.603209999999997</v>
      </c>
      <c r="M7233">
        <v>1.3624610000000001E-2</v>
      </c>
      <c r="N7233">
        <v>0</v>
      </c>
      <c r="O7233">
        <v>0.99979459999999998</v>
      </c>
      <c r="P7233">
        <v>2.627051E-2</v>
      </c>
      <c r="Q7233">
        <v>3.0858300000000002E-2</v>
      </c>
      <c r="R7233">
        <v>0.99917849999999997</v>
      </c>
      <c r="S7233">
        <v>-0.13542179999999901</v>
      </c>
      <c r="T7233">
        <v>-0.15416279999999999</v>
      </c>
      <c r="U7233">
        <v>3.0103759999999999</v>
      </c>
      <c r="V7233">
        <v>1.2600159999999999E-2</v>
      </c>
      <c r="W7233">
        <v>4.586548E-2</v>
      </c>
      <c r="X7233">
        <v>0.99886819999999998</v>
      </c>
      <c r="Y7233">
        <v>-5.8489100000000002E-2</v>
      </c>
      <c r="Z7233">
        <v>-5.1066790000000001E-2</v>
      </c>
      <c r="AA7233">
        <v>0.99698100000000001</v>
      </c>
      <c r="AB7233">
        <v>39</v>
      </c>
      <c r="AC7233">
        <v>-0.98089999999996202</v>
      </c>
      <c r="AD7233">
        <v>-1.1108682296779999</v>
      </c>
      <c r="AE7233">
        <v>21.303039999999999</v>
      </c>
      <c r="AF7233">
        <v>-1.26764752093439</v>
      </c>
      <c r="AG7233">
        <v>-1.1108682296779999</v>
      </c>
      <c r="AH7233">
        <v>21.230089509345301</v>
      </c>
      <c r="AI7233">
        <v>92.989964687532805</v>
      </c>
      <c r="AJ7233">
        <v>93.417070880245205</v>
      </c>
      <c r="AK7233">
        <v>21.296893178016699</v>
      </c>
      <c r="AL7233">
        <v>87.371179452447507</v>
      </c>
      <c r="AM7233">
        <v>89.277284330012193</v>
      </c>
      <c r="AN7233">
        <v>1.0000000436294401</v>
      </c>
    </row>
    <row r="7234" spans="1:40" x14ac:dyDescent="0.25">
      <c r="A7234" t="str">
        <f>"20190312154438461"</f>
        <v>20190312154438461</v>
      </c>
      <c r="B7234" t="str">
        <f>"1552376678455262"</f>
        <v>1552376678455262</v>
      </c>
      <c r="C7234" t="s">
        <v>40</v>
      </c>
      <c r="D7234">
        <v>4.9658470000000001</v>
      </c>
      <c r="E7234">
        <v>0.47348180000000001</v>
      </c>
      <c r="F7234" t="s">
        <v>43</v>
      </c>
      <c r="G7234">
        <v>-188.6968</v>
      </c>
      <c r="H7234" s="1">
        <v>-2.6551639999999999E-6</v>
      </c>
      <c r="I7234">
        <v>75.283169999999998</v>
      </c>
      <c r="J7234">
        <v>-187.5805</v>
      </c>
      <c r="K7234">
        <v>1.1108819999999999</v>
      </c>
      <c r="L7234">
        <v>50.972320000000003</v>
      </c>
      <c r="M7234">
        <v>1.3180000000000001E-2</v>
      </c>
      <c r="N7234">
        <v>0</v>
      </c>
      <c r="O7234">
        <v>0.99980060000000004</v>
      </c>
      <c r="P7234">
        <v>2.580789E-2</v>
      </c>
      <c r="Q7234">
        <v>3.2901859999999998E-2</v>
      </c>
      <c r="R7234">
        <v>0.99912529999999999</v>
      </c>
      <c r="S7234">
        <v>-0.1355896</v>
      </c>
      <c r="T7234">
        <v>-0.13549320000000001</v>
      </c>
      <c r="U7234">
        <v>3.0102229999999999</v>
      </c>
      <c r="V7234">
        <v>1.258051E-2</v>
      </c>
      <c r="W7234">
        <v>4.7903620000000001E-2</v>
      </c>
      <c r="X7234">
        <v>0.99877269999999896</v>
      </c>
      <c r="Y7234">
        <v>-5.811624E-2</v>
      </c>
      <c r="Z7234">
        <v>-4.4898899999999999E-2</v>
      </c>
      <c r="AA7234">
        <v>0.99729970000000001</v>
      </c>
      <c r="AB7234">
        <v>39</v>
      </c>
      <c r="AC7234">
        <v>-1.1162999999999901</v>
      </c>
      <c r="AD7234">
        <v>-1.1108846551639999</v>
      </c>
      <c r="AE7234">
        <v>24.310849999999899</v>
      </c>
      <c r="AF7234">
        <v>-1.4336688286694701</v>
      </c>
      <c r="AG7234">
        <v>-1.1108846551639999</v>
      </c>
      <c r="AH7234">
        <v>24.243508622655401</v>
      </c>
      <c r="AI7234">
        <v>92.618999687941795</v>
      </c>
      <c r="AJ7234">
        <v>93.384312922162493</v>
      </c>
      <c r="AK7234">
        <v>24.3112562687358</v>
      </c>
      <c r="AL7234">
        <v>87.254273845086104</v>
      </c>
      <c r="AM7234">
        <v>89.278342299622807</v>
      </c>
      <c r="AN7234">
        <v>0.99999996615312603</v>
      </c>
    </row>
    <row r="7235" spans="1:40" x14ac:dyDescent="0.25">
      <c r="A7235" t="str">
        <f>"20190312154438483"</f>
        <v>20190312154438483</v>
      </c>
      <c r="B7235" t="str">
        <f>"1552376678474782"</f>
        <v>1552376678474782</v>
      </c>
      <c r="C7235" t="s">
        <v>40</v>
      </c>
      <c r="D7235">
        <v>4.9481840000000004</v>
      </c>
      <c r="E7235">
        <v>0.47373579999999998</v>
      </c>
      <c r="F7235" t="s">
        <v>43</v>
      </c>
      <c r="G7235">
        <v>-188.82169999999999</v>
      </c>
      <c r="H7235" s="1">
        <v>-3.9299079999999996E-6</v>
      </c>
      <c r="I7235">
        <v>78.306290000000004</v>
      </c>
      <c r="J7235">
        <v>-187.57579999999999</v>
      </c>
      <c r="K7235">
        <v>1.110895</v>
      </c>
      <c r="L7235">
        <v>51.36459</v>
      </c>
      <c r="M7235">
        <v>1.2707339999999999E-2</v>
      </c>
      <c r="N7235">
        <v>0</v>
      </c>
      <c r="O7235">
        <v>0.9998068</v>
      </c>
      <c r="P7235">
        <v>2.572588E-2</v>
      </c>
      <c r="Q7235">
        <v>3.5051590000000001E-2</v>
      </c>
      <c r="R7235">
        <v>0.99905429999999995</v>
      </c>
      <c r="S7235">
        <v>-0.13668820000000001</v>
      </c>
      <c r="T7235">
        <v>-0.1223379</v>
      </c>
      <c r="U7235">
        <v>3.0101930000000001</v>
      </c>
      <c r="V7235">
        <v>1.296953E-2</v>
      </c>
      <c r="W7235">
        <v>5.0048240000000001E-2</v>
      </c>
      <c r="X7235">
        <v>0.99866259999999996</v>
      </c>
      <c r="Y7235">
        <v>-5.8016419999999999E-2</v>
      </c>
      <c r="Z7235">
        <v>-4.0547729999999997E-2</v>
      </c>
      <c r="AA7235">
        <v>0.99749180000000004</v>
      </c>
      <c r="AB7235">
        <v>39</v>
      </c>
      <c r="AC7235">
        <v>-1.2459</v>
      </c>
      <c r="AD7235">
        <v>-1.1108989299080001</v>
      </c>
      <c r="AE7235">
        <v>26.941700000000001</v>
      </c>
      <c r="AF7235">
        <v>-1.5855053078090899</v>
      </c>
      <c r="AG7235">
        <v>-1.1108989299080001</v>
      </c>
      <c r="AH7235">
        <v>26.878089827255302</v>
      </c>
      <c r="AI7235">
        <v>92.362643707157005</v>
      </c>
      <c r="AJ7235">
        <v>93.375895192531701</v>
      </c>
      <c r="AK7235">
        <v>26.947720428183999</v>
      </c>
      <c r="AL7235">
        <v>87.131248638209598</v>
      </c>
      <c r="AM7235">
        <v>89.2559473454141</v>
      </c>
      <c r="AN7235">
        <v>1.0000000118371299</v>
      </c>
    </row>
    <row r="7236" spans="1:40" x14ac:dyDescent="0.25">
      <c r="A7236" t="str">
        <f>"20190312154438505"</f>
        <v>20190312154438505</v>
      </c>
      <c r="B7236" t="str">
        <f>"1552376678494303"</f>
        <v>1552376678494303</v>
      </c>
      <c r="C7236" t="s">
        <v>40</v>
      </c>
      <c r="D7236">
        <v>5.1969799999999999</v>
      </c>
      <c r="E7236">
        <v>0.4738444</v>
      </c>
      <c r="F7236" t="s">
        <v>43</v>
      </c>
      <c r="G7236">
        <v>-188.9178</v>
      </c>
      <c r="H7236" s="1">
        <v>-9.0106209999999999E-7</v>
      </c>
      <c r="I7236">
        <v>81.285679999999999</v>
      </c>
      <c r="J7236">
        <v>-187.57140000000001</v>
      </c>
      <c r="K7236">
        <v>1.110892</v>
      </c>
      <c r="L7236">
        <v>51.74295</v>
      </c>
      <c r="M7236">
        <v>1.225121E-2</v>
      </c>
      <c r="N7236">
        <v>0</v>
      </c>
      <c r="O7236">
        <v>0.99981249999999999</v>
      </c>
      <c r="P7236">
        <v>2.558212E-2</v>
      </c>
      <c r="Q7236">
        <v>3.496933E-2</v>
      </c>
      <c r="R7236">
        <v>0.99906090000000003</v>
      </c>
      <c r="S7236">
        <v>-0.13500980000000001</v>
      </c>
      <c r="T7236">
        <v>-0.11176220000000001</v>
      </c>
      <c r="U7236">
        <v>3.0102229999999999</v>
      </c>
      <c r="V7236">
        <v>1.328182E-2</v>
      </c>
      <c r="W7236">
        <v>4.9962039999999999E-2</v>
      </c>
      <c r="X7236">
        <v>0.99866279999999996</v>
      </c>
      <c r="Y7236">
        <v>-5.7011520000000003E-2</v>
      </c>
      <c r="Z7236">
        <v>-3.704901E-2</v>
      </c>
      <c r="AA7236">
        <v>0.99768579999999996</v>
      </c>
      <c r="AB7236">
        <v>39</v>
      </c>
      <c r="AC7236">
        <v>-1.3463999999999801</v>
      </c>
      <c r="AD7236">
        <v>-1.1108929010621</v>
      </c>
      <c r="AE7236">
        <v>29.542729999999999</v>
      </c>
      <c r="AF7236">
        <v>-1.7058667609232201</v>
      </c>
      <c r="AG7236">
        <v>-1.1108929010621</v>
      </c>
      <c r="AH7236">
        <v>29.482414344391</v>
      </c>
      <c r="AI7236">
        <v>92.154275774898494</v>
      </c>
      <c r="AJ7236">
        <v>93.311469403813803</v>
      </c>
      <c r="AK7236">
        <v>29.552611052460399</v>
      </c>
      <c r="AL7236">
        <v>87.136193687324806</v>
      </c>
      <c r="AM7236">
        <v>89.238033731660494</v>
      </c>
      <c r="AN7236">
        <v>1.00000000014365</v>
      </c>
    </row>
    <row r="7237" spans="1:40" x14ac:dyDescent="0.25">
      <c r="A7237" t="str">
        <f>"20190312154438527"</f>
        <v>20190312154438527</v>
      </c>
      <c r="B7237" t="str">
        <f>"1552376678514798"</f>
        <v>1552376678514798</v>
      </c>
      <c r="C7237" t="s">
        <v>40</v>
      </c>
      <c r="D7237">
        <v>4.9642039999999996</v>
      </c>
      <c r="E7237">
        <v>0.47386669999999997</v>
      </c>
      <c r="F7237" t="s">
        <v>43</v>
      </c>
      <c r="G7237">
        <v>-188.9256</v>
      </c>
      <c r="H7237" s="1">
        <v>-1.211109E-6</v>
      </c>
      <c r="I7237">
        <v>82.011669999999995</v>
      </c>
      <c r="J7237">
        <v>-187.56729999999999</v>
      </c>
      <c r="K7237">
        <v>1.1108910000000001</v>
      </c>
      <c r="L7237">
        <v>52.117519999999999</v>
      </c>
      <c r="M7237">
        <v>1.1799489999999999E-2</v>
      </c>
      <c r="N7237">
        <v>0</v>
      </c>
      <c r="O7237">
        <v>0.99981810000000004</v>
      </c>
      <c r="P7237">
        <v>2.5712949999999998E-2</v>
      </c>
      <c r="Q7237">
        <v>3.4953430000000001E-2</v>
      </c>
      <c r="R7237">
        <v>0.99905809999999995</v>
      </c>
      <c r="S7237">
        <v>-0.13467409999999999</v>
      </c>
      <c r="T7237">
        <v>-0.1104749</v>
      </c>
      <c r="U7237">
        <v>3.010132</v>
      </c>
      <c r="V7237">
        <v>1.3864319999999999E-2</v>
      </c>
      <c r="W7237">
        <v>4.9942519999999997E-2</v>
      </c>
      <c r="X7237">
        <v>0.99865590000000004</v>
      </c>
      <c r="Y7237">
        <v>-5.6451469999999997E-2</v>
      </c>
      <c r="Z7237">
        <v>-3.662497E-2</v>
      </c>
      <c r="AA7237">
        <v>0.99773339999999999</v>
      </c>
      <c r="AB7237">
        <v>39</v>
      </c>
      <c r="AC7237">
        <v>-1.3583000000000101</v>
      </c>
      <c r="AD7237">
        <v>-1.110892211109</v>
      </c>
      <c r="AE7237">
        <v>29.89415</v>
      </c>
      <c r="AF7237">
        <v>-1.70862612032133</v>
      </c>
      <c r="AG7237">
        <v>-1.110892211109</v>
      </c>
      <c r="AH7237">
        <v>29.834924325863799</v>
      </c>
      <c r="AI7237">
        <v>92.128916637211105</v>
      </c>
      <c r="AJ7237">
        <v>93.277710635185898</v>
      </c>
      <c r="AK7237">
        <v>29.904451077619999</v>
      </c>
      <c r="AL7237">
        <v>87.137313614928999</v>
      </c>
      <c r="AM7237">
        <v>89.204614929882595</v>
      </c>
      <c r="AN7237">
        <v>1.00000004063891</v>
      </c>
    </row>
    <row r="7238" spans="1:40" x14ac:dyDescent="0.25">
      <c r="A7238" t="str">
        <f>"20190312154438551"</f>
        <v>20190312154438551</v>
      </c>
      <c r="B7238" t="str">
        <f>"1552376678545055"</f>
        <v>1552376678545055</v>
      </c>
      <c r="C7238" t="s">
        <v>40</v>
      </c>
      <c r="D7238">
        <v>4.9762620000000002</v>
      </c>
      <c r="E7238">
        <v>0.47389920000000002</v>
      </c>
      <c r="F7238" t="s">
        <v>43</v>
      </c>
      <c r="G7238">
        <v>-188.8955</v>
      </c>
      <c r="H7238" s="1">
        <v>-1.17029E-6</v>
      </c>
      <c r="I7238">
        <v>81.904049999999998</v>
      </c>
      <c r="J7238">
        <v>-187.56290000000001</v>
      </c>
      <c r="K7238">
        <v>1.110887</v>
      </c>
      <c r="L7238">
        <v>52.529510000000002</v>
      </c>
      <c r="M7238">
        <v>1.1302339999999999E-2</v>
      </c>
      <c r="N7238">
        <v>0</v>
      </c>
      <c r="O7238">
        <v>0.99982389999999999</v>
      </c>
      <c r="P7238">
        <v>2.5193779999999999E-2</v>
      </c>
      <c r="Q7238">
        <v>3.4576129999999997E-2</v>
      </c>
      <c r="R7238">
        <v>0.99908450000000004</v>
      </c>
      <c r="S7238">
        <v>-0.13423160000000001</v>
      </c>
      <c r="T7238">
        <v>-0.1122667</v>
      </c>
      <c r="U7238">
        <v>3.0102229999999999</v>
      </c>
      <c r="V7238">
        <v>1.384234E-2</v>
      </c>
      <c r="W7238">
        <v>4.9560569999999998E-2</v>
      </c>
      <c r="X7238">
        <v>0.99867519999999999</v>
      </c>
      <c r="Y7238">
        <v>-5.5806300000000003E-2</v>
      </c>
      <c r="Z7238">
        <v>-3.7218139999999997E-2</v>
      </c>
      <c r="AA7238">
        <v>0.99774770000000002</v>
      </c>
      <c r="AB7238">
        <v>39</v>
      </c>
      <c r="AC7238">
        <v>-1.33259999999998</v>
      </c>
      <c r="AD7238">
        <v>-1.11088817029</v>
      </c>
      <c r="AE7238">
        <v>29.37454</v>
      </c>
      <c r="AF7238">
        <v>-1.66218078452036</v>
      </c>
      <c r="AG7238">
        <v>-1.11088817029</v>
      </c>
      <c r="AH7238">
        <v>29.3157586798939</v>
      </c>
      <c r="AI7238">
        <v>92.166645158134997</v>
      </c>
      <c r="AJ7238">
        <v>93.245151738269897</v>
      </c>
      <c r="AK7238">
        <v>29.3838497216599</v>
      </c>
      <c r="AL7238">
        <v>87.159224778100594</v>
      </c>
      <c r="AM7238">
        <v>89.205891088445796</v>
      </c>
      <c r="AN7238">
        <v>1.00000000778522</v>
      </c>
    </row>
    <row r="7239" spans="1:40" x14ac:dyDescent="0.25">
      <c r="A7239" t="str">
        <f>"20190312154438574"</f>
        <v>20190312154438574</v>
      </c>
      <c r="B7239" t="str">
        <f>"1552376678564574"</f>
        <v>1552376678564574</v>
      </c>
      <c r="C7239" t="s">
        <v>40</v>
      </c>
      <c r="D7239">
        <v>4.974297</v>
      </c>
      <c r="E7239">
        <v>0.47398010000000002</v>
      </c>
      <c r="F7239" t="s">
        <v>43</v>
      </c>
      <c r="G7239">
        <v>-188.8655</v>
      </c>
      <c r="H7239" s="1">
        <v>-9.8568630000000001E-7</v>
      </c>
      <c r="I7239">
        <v>81.461330000000004</v>
      </c>
      <c r="J7239">
        <v>-187.559</v>
      </c>
      <c r="K7239">
        <v>1.1108800000000001</v>
      </c>
      <c r="L7239">
        <v>52.913420000000002</v>
      </c>
      <c r="M7239">
        <v>1.083898E-2</v>
      </c>
      <c r="N7239">
        <v>0</v>
      </c>
      <c r="O7239">
        <v>0.99982910000000003</v>
      </c>
      <c r="P7239">
        <v>2.4567149999999999E-2</v>
      </c>
      <c r="Q7239">
        <v>3.28168E-2</v>
      </c>
      <c r="R7239">
        <v>0.99915940000000003</v>
      </c>
      <c r="S7239">
        <v>-0.1355286</v>
      </c>
      <c r="T7239">
        <v>-0.1155804</v>
      </c>
      <c r="U7239">
        <v>3.0101619999999998</v>
      </c>
      <c r="V7239">
        <v>1.368019E-2</v>
      </c>
      <c r="W7239">
        <v>4.7797880000000001E-2</v>
      </c>
      <c r="X7239">
        <v>0.99876330000000002</v>
      </c>
      <c r="Y7239">
        <v>-5.5771660000000001E-2</v>
      </c>
      <c r="Z7239">
        <v>-3.831586E-2</v>
      </c>
      <c r="AA7239">
        <v>0.99770809999999999</v>
      </c>
      <c r="AB7239">
        <v>38</v>
      </c>
      <c r="AC7239">
        <v>-1.30649999999997</v>
      </c>
      <c r="AD7239">
        <v>-1.11088098568629</v>
      </c>
      <c r="AE7239">
        <v>28.547910000000002</v>
      </c>
      <c r="AF7239">
        <v>-1.61345016853997</v>
      </c>
      <c r="AG7239">
        <v>-1.11088098568629</v>
      </c>
      <c r="AH7239">
        <v>28.489021674030599</v>
      </c>
      <c r="AI7239">
        <v>92.229451340212293</v>
      </c>
      <c r="AJ7239">
        <v>93.241432451954694</v>
      </c>
      <c r="AK7239">
        <v>28.556288868725701</v>
      </c>
      <c r="AL7239">
        <v>87.260339224354894</v>
      </c>
      <c r="AM7239">
        <v>89.215261375953901</v>
      </c>
      <c r="AN7239">
        <v>0.99999995717890899</v>
      </c>
    </row>
    <row r="7240" spans="1:40" x14ac:dyDescent="0.25">
      <c r="A7240" t="str">
        <f>"20190312154438594"</f>
        <v>20190312154438594</v>
      </c>
      <c r="B7240" t="str">
        <f>"1552376678585071"</f>
        <v>1552376678585071</v>
      </c>
      <c r="C7240" t="s">
        <v>40</v>
      </c>
      <c r="D7240">
        <v>4.9318929999999996</v>
      </c>
      <c r="E7240">
        <v>0.47404459999999998</v>
      </c>
      <c r="F7240" t="s">
        <v>43</v>
      </c>
      <c r="G7240">
        <v>-188.74430000000001</v>
      </c>
      <c r="H7240" s="1">
        <v>-4.2245090000000004E-6</v>
      </c>
      <c r="I7240">
        <v>78.961010000000002</v>
      </c>
      <c r="J7240">
        <v>-187.55549999999999</v>
      </c>
      <c r="K7240">
        <v>1.1108750000000001</v>
      </c>
      <c r="L7240">
        <v>53.271700000000003</v>
      </c>
      <c r="M7240">
        <v>1.040642E-2</v>
      </c>
      <c r="N7240">
        <v>0</v>
      </c>
      <c r="O7240">
        <v>0.99983370000000005</v>
      </c>
      <c r="P7240">
        <v>2.4745099999999999E-2</v>
      </c>
      <c r="Q7240">
        <v>3.1373079999999998E-2</v>
      </c>
      <c r="R7240">
        <v>0.99920140000000002</v>
      </c>
      <c r="S7240">
        <v>-0.13697809999999999</v>
      </c>
      <c r="T7240">
        <v>-0.1283755</v>
      </c>
      <c r="U7240">
        <v>3.0101010000000001</v>
      </c>
      <c r="V7240">
        <v>1.42918E-2</v>
      </c>
      <c r="W7240">
        <v>4.6351339999999998E-2</v>
      </c>
      <c r="X7240">
        <v>0.99882289999999996</v>
      </c>
      <c r="Y7240">
        <v>-5.5812300000000002E-2</v>
      </c>
      <c r="Z7240">
        <v>-4.2550860000000003E-2</v>
      </c>
      <c r="AA7240">
        <v>0.99753420000000004</v>
      </c>
      <c r="AB7240">
        <v>38</v>
      </c>
      <c r="AC7240">
        <v>-1.1888000000000101</v>
      </c>
      <c r="AD7240">
        <v>-1.110879224509</v>
      </c>
      <c r="AE7240">
        <v>25.689309999999999</v>
      </c>
      <c r="AF7240">
        <v>-1.45338740037091</v>
      </c>
      <c r="AG7240">
        <v>-1.110879224509</v>
      </c>
      <c r="AH7240">
        <v>25.627726086583099</v>
      </c>
      <c r="AI7240">
        <v>92.478056607670396</v>
      </c>
      <c r="AJ7240">
        <v>93.245854179673898</v>
      </c>
      <c r="AK7240">
        <v>25.692931556284801</v>
      </c>
      <c r="AL7240">
        <v>87.3433118222882</v>
      </c>
      <c r="AM7240">
        <v>89.180231105229296</v>
      </c>
      <c r="AN7240">
        <v>0.999999943915721</v>
      </c>
    </row>
    <row r="7241" spans="1:40" x14ac:dyDescent="0.25">
      <c r="A7241" t="str">
        <f>"20190312154438616"</f>
        <v>20190312154438616</v>
      </c>
      <c r="B7241" t="str">
        <f>"1552376678604590"</f>
        <v>1552376678604590</v>
      </c>
      <c r="C7241" t="s">
        <v>40</v>
      </c>
      <c r="D7241">
        <v>4.9877339999999997</v>
      </c>
      <c r="E7241">
        <v>0.473995</v>
      </c>
      <c r="F7241" t="s">
        <v>43</v>
      </c>
      <c r="G7241">
        <v>-188.66460000000001</v>
      </c>
      <c r="H7241" s="1">
        <v>-3.7425420000000001E-6</v>
      </c>
      <c r="I7241">
        <v>77.804569999999998</v>
      </c>
      <c r="J7241">
        <v>-187.55199999999999</v>
      </c>
      <c r="K7241">
        <v>1.110878</v>
      </c>
      <c r="L7241">
        <v>53.65146</v>
      </c>
      <c r="M7241">
        <v>9.9477880000000008E-3</v>
      </c>
      <c r="N7241">
        <v>0</v>
      </c>
      <c r="O7241">
        <v>0.99983849999999996</v>
      </c>
      <c r="P7241">
        <v>2.4457779999999998E-2</v>
      </c>
      <c r="Q7241">
        <v>3.1162100000000002E-2</v>
      </c>
      <c r="R7241">
        <v>0.99921510000000002</v>
      </c>
      <c r="S7241">
        <v>-0.1360779</v>
      </c>
      <c r="T7241">
        <v>-0.13629839999999999</v>
      </c>
      <c r="U7241">
        <v>3.01004</v>
      </c>
      <c r="V7241">
        <v>1.4463159999999999E-2</v>
      </c>
      <c r="W7241">
        <v>4.6136040000000003E-2</v>
      </c>
      <c r="X7241">
        <v>0.99883040000000001</v>
      </c>
      <c r="Y7241">
        <v>-5.505227E-2</v>
      </c>
      <c r="Z7241">
        <v>-4.5174230000000003E-2</v>
      </c>
      <c r="AA7241">
        <v>0.99746100000000004</v>
      </c>
      <c r="AB7241">
        <v>38</v>
      </c>
      <c r="AC7241">
        <v>-1.11259999999998</v>
      </c>
      <c r="AD7241">
        <v>-1.1108817425419999</v>
      </c>
      <c r="AE7241">
        <v>24.153110000000002</v>
      </c>
      <c r="AF7241">
        <v>-1.3499921630712699</v>
      </c>
      <c r="AG7241">
        <v>-1.1108817425419999</v>
      </c>
      <c r="AH7241">
        <v>24.0899937548057</v>
      </c>
      <c r="AI7241">
        <v>92.636126895092602</v>
      </c>
      <c r="AJ7241">
        <v>93.207474305668399</v>
      </c>
      <c r="AK7241">
        <v>24.153350413407399</v>
      </c>
      <c r="AL7241">
        <v>87.355660811881606</v>
      </c>
      <c r="AM7241">
        <v>89.170409594539294</v>
      </c>
      <c r="AN7241">
        <v>0.99999994257411196</v>
      </c>
    </row>
    <row r="7242" spans="1:40" x14ac:dyDescent="0.25">
      <c r="A7242" t="str">
        <f>"20190312154438638"</f>
        <v>20190312154438638</v>
      </c>
      <c r="B7242" t="str">
        <f>"1552376678634846"</f>
        <v>1552376678634846</v>
      </c>
      <c r="C7242" t="s">
        <v>40</v>
      </c>
      <c r="D7242">
        <v>4.9673389999999999</v>
      </c>
      <c r="E7242">
        <v>0.47392869999999998</v>
      </c>
      <c r="F7242" t="s">
        <v>43</v>
      </c>
      <c r="G7242">
        <v>-188.6413</v>
      </c>
      <c r="H7242" s="1">
        <v>-3.6128040000000001E-6</v>
      </c>
      <c r="I7242">
        <v>77.492509999999996</v>
      </c>
      <c r="J7242">
        <v>-187.54859999999999</v>
      </c>
      <c r="K7242">
        <v>1.110876</v>
      </c>
      <c r="L7242">
        <v>54.036769999999997</v>
      </c>
      <c r="M7242">
        <v>9.4823330000000008E-3</v>
      </c>
      <c r="N7242">
        <v>0</v>
      </c>
      <c r="O7242">
        <v>0.99984309999999998</v>
      </c>
      <c r="P7242">
        <v>2.37226E-2</v>
      </c>
      <c r="Q7242">
        <v>3.103529E-2</v>
      </c>
      <c r="R7242">
        <v>0.99923680000000004</v>
      </c>
      <c r="S7242">
        <v>-0.1375275</v>
      </c>
      <c r="T7242">
        <v>-0.14025660000000001</v>
      </c>
      <c r="U7242">
        <v>3.0101010000000001</v>
      </c>
      <c r="V7242">
        <v>1.4193320000000001E-2</v>
      </c>
      <c r="W7242">
        <v>4.6005039999999997E-2</v>
      </c>
      <c r="X7242">
        <v>0.99884039999999996</v>
      </c>
      <c r="Y7242">
        <v>-5.5063149999999998E-2</v>
      </c>
      <c r="Z7242">
        <v>-4.6482179999999998E-2</v>
      </c>
      <c r="AA7242">
        <v>0.99740030000000002</v>
      </c>
      <c r="AB7242">
        <v>38</v>
      </c>
      <c r="AC7242">
        <v>-1.0927</v>
      </c>
      <c r="AD7242">
        <v>-1.1108796128039999</v>
      </c>
      <c r="AE7242">
        <v>23.455739999999999</v>
      </c>
      <c r="AF7242">
        <v>-1.3121540680034001</v>
      </c>
      <c r="AG7242">
        <v>-1.1108796128039999</v>
      </c>
      <c r="AH7242">
        <v>23.391967389237301</v>
      </c>
      <c r="AI7242">
        <v>92.714660603434396</v>
      </c>
      <c r="AJ7242">
        <v>93.210597197803693</v>
      </c>
      <c r="AK7242">
        <v>23.455062143415098</v>
      </c>
      <c r="AL7242">
        <v>87.363174766580102</v>
      </c>
      <c r="AM7242">
        <v>89.185893356528098</v>
      </c>
      <c r="AN7242">
        <v>1.0000000293550899</v>
      </c>
    </row>
    <row r="7243" spans="1:40" x14ac:dyDescent="0.25">
      <c r="A7243" t="str">
        <f>"20190312154438662"</f>
        <v>20190312154438662</v>
      </c>
      <c r="B7243" t="str">
        <f>"1552376678654367"</f>
        <v>1552376678654367</v>
      </c>
      <c r="C7243" t="s">
        <v>40</v>
      </c>
      <c r="D7243">
        <v>4.9576219999999998</v>
      </c>
      <c r="E7243">
        <v>0.47387960000000001</v>
      </c>
      <c r="F7243" t="s">
        <v>43</v>
      </c>
      <c r="G7243">
        <v>-188.62729999999999</v>
      </c>
      <c r="H7243" s="1">
        <v>-3.4784049999999999E-6</v>
      </c>
      <c r="I7243">
        <v>77.173419999999993</v>
      </c>
      <c r="J7243">
        <v>-187.5455</v>
      </c>
      <c r="K7243">
        <v>1.1108629999999999</v>
      </c>
      <c r="L7243">
        <v>54.412779999999998</v>
      </c>
      <c r="M7243">
        <v>9.0279639999999994E-3</v>
      </c>
      <c r="N7243">
        <v>0</v>
      </c>
      <c r="O7243">
        <v>0.99984729999999999</v>
      </c>
      <c r="P7243">
        <v>2.338993E-2</v>
      </c>
      <c r="Q7243">
        <v>3.0018670000000001E-2</v>
      </c>
      <c r="R7243">
        <v>0.99927560000000004</v>
      </c>
      <c r="S7243">
        <v>-0.14033509999999999</v>
      </c>
      <c r="T7243">
        <v>-0.1445265</v>
      </c>
      <c r="U7243">
        <v>3.0101010000000001</v>
      </c>
      <c r="V7243">
        <v>1.431574E-2</v>
      </c>
      <c r="W7243">
        <v>4.4984719999999999E-2</v>
      </c>
      <c r="X7243">
        <v>0.99888509999999997</v>
      </c>
      <c r="Y7243">
        <v>-5.5534630000000001E-2</v>
      </c>
      <c r="Z7243">
        <v>-4.789268E-2</v>
      </c>
      <c r="AA7243">
        <v>0.99730750000000001</v>
      </c>
      <c r="AB7243">
        <v>38</v>
      </c>
      <c r="AC7243">
        <v>-1.0817999999999801</v>
      </c>
      <c r="AD7243">
        <v>-1.110866478405</v>
      </c>
      <c r="AE7243">
        <v>22.760639999999899</v>
      </c>
      <c r="AF7243">
        <v>-1.2842089644691399</v>
      </c>
      <c r="AG7243">
        <v>-1.110866478405</v>
      </c>
      <c r="AH7243">
        <v>22.696003041177899</v>
      </c>
      <c r="AI7243">
        <v>92.797664635159705</v>
      </c>
      <c r="AJ7243">
        <v>93.238516435108494</v>
      </c>
      <c r="AK7243">
        <v>22.759432572944799</v>
      </c>
      <c r="AL7243">
        <v>87.421695326229298</v>
      </c>
      <c r="AM7243">
        <v>89.178909234389494</v>
      </c>
      <c r="AN7243">
        <v>1.0000000042236099</v>
      </c>
    </row>
    <row r="7244" spans="1:40" x14ac:dyDescent="0.25">
      <c r="A7244" t="str">
        <f>"20190312154438684"</f>
        <v>20190312154438684</v>
      </c>
      <c r="B7244" t="str">
        <f>"1552376678674874"</f>
        <v>1552376678674874</v>
      </c>
      <c r="C7244" t="s">
        <v>40</v>
      </c>
      <c r="D7244">
        <v>4.9892789999999998</v>
      </c>
      <c r="E7244">
        <v>0.4738385</v>
      </c>
      <c r="F7244" t="s">
        <v>43</v>
      </c>
      <c r="G7244">
        <v>-188.59710000000001</v>
      </c>
      <c r="H7244" s="1">
        <v>-3.2882510000000001E-6</v>
      </c>
      <c r="I7244">
        <v>76.717669999999998</v>
      </c>
      <c r="J7244">
        <v>-187.54239999999999</v>
      </c>
      <c r="K7244">
        <v>1.1108610000000001</v>
      </c>
      <c r="L7244">
        <v>54.810270000000003</v>
      </c>
      <c r="M7244">
        <v>8.5474060000000004E-3</v>
      </c>
      <c r="N7244">
        <v>0</v>
      </c>
      <c r="O7244">
        <v>0.99985159999999995</v>
      </c>
      <c r="P7244">
        <v>2.2645760000000001E-2</v>
      </c>
      <c r="Q7244">
        <v>2.9087849999999998E-2</v>
      </c>
      <c r="R7244">
        <v>0.99932030000000005</v>
      </c>
      <c r="S7244">
        <v>-0.1419067</v>
      </c>
      <c r="T7244">
        <v>-0.1499096</v>
      </c>
      <c r="U7244">
        <v>3.0100099999999999</v>
      </c>
      <c r="V7244">
        <v>1.4052759999999999E-2</v>
      </c>
      <c r="W7244">
        <v>4.405009E-2</v>
      </c>
      <c r="X7244">
        <v>0.99893050000000005</v>
      </c>
      <c r="Y7244">
        <v>-5.557165E-2</v>
      </c>
      <c r="Z7244">
        <v>-4.9673370000000001E-2</v>
      </c>
      <c r="AA7244">
        <v>0.9972183</v>
      </c>
      <c r="AB7244">
        <v>38</v>
      </c>
      <c r="AC7244">
        <v>-1.05470000000002</v>
      </c>
      <c r="AD7244">
        <v>-1.110864288251</v>
      </c>
      <c r="AE7244">
        <v>21.907399999999999</v>
      </c>
      <c r="AF7244">
        <v>-1.2387560980168599</v>
      </c>
      <c r="AG7244">
        <v>-1.110864288251</v>
      </c>
      <c r="AH7244">
        <v>21.841553875259901</v>
      </c>
      <c r="AI7244">
        <v>92.906898615373606</v>
      </c>
      <c r="AJ7244">
        <v>93.246085052661101</v>
      </c>
      <c r="AK7244">
        <v>21.904839917770801</v>
      </c>
      <c r="AL7244">
        <v>87.475298857089996</v>
      </c>
      <c r="AM7244">
        <v>89.194027282182503</v>
      </c>
      <c r="AN7244">
        <v>1.0000000171614301</v>
      </c>
    </row>
    <row r="7245" spans="1:40" x14ac:dyDescent="0.25">
      <c r="A7245" t="str">
        <f>"20190312154438706"</f>
        <v>20190312154438706</v>
      </c>
      <c r="B7245" t="str">
        <f>"1552376678694386"</f>
        <v>1552376678694386</v>
      </c>
      <c r="C7245" t="s">
        <v>40</v>
      </c>
      <c r="D7245">
        <v>5.0085360000000003</v>
      </c>
      <c r="E7245">
        <v>0.47386129999999999</v>
      </c>
      <c r="F7245" t="s">
        <v>43</v>
      </c>
      <c r="G7245">
        <v>-188.5813</v>
      </c>
      <c r="H7245" s="1">
        <v>-3.1646510000000001E-6</v>
      </c>
      <c r="I7245">
        <v>76.42304</v>
      </c>
      <c r="J7245">
        <v>-187.53960000000001</v>
      </c>
      <c r="K7245">
        <v>1.1108610000000001</v>
      </c>
      <c r="L7245">
        <v>55.187930000000001</v>
      </c>
      <c r="M7245">
        <v>8.0906620000000002E-3</v>
      </c>
      <c r="N7245">
        <v>0</v>
      </c>
      <c r="O7245">
        <v>0.99985550000000001</v>
      </c>
      <c r="P7245">
        <v>2.177159E-2</v>
      </c>
      <c r="Q7245">
        <v>2.8651719999999999E-2</v>
      </c>
      <c r="R7245">
        <v>0.99935229999999997</v>
      </c>
      <c r="S7245">
        <v>-0.1446838</v>
      </c>
      <c r="T7245">
        <v>-0.15470059999999999</v>
      </c>
      <c r="U7245">
        <v>3.009827</v>
      </c>
      <c r="V7245">
        <v>1.363552E-2</v>
      </c>
      <c r="W7245">
        <v>4.3609439999999999E-2</v>
      </c>
      <c r="X7245">
        <v>0.99895560000000005</v>
      </c>
      <c r="Y7245">
        <v>-5.603259E-2</v>
      </c>
      <c r="Z7245">
        <v>-5.1258400000000003E-2</v>
      </c>
      <c r="AA7245">
        <v>0.99711229999999995</v>
      </c>
      <c r="AB7245">
        <v>38</v>
      </c>
      <c r="AC7245">
        <v>-1.0416999999999901</v>
      </c>
      <c r="AD7245">
        <v>-1.110864164651</v>
      </c>
      <c r="AE7245">
        <v>21.235109999999999</v>
      </c>
      <c r="AF7245">
        <v>-1.2101873394186999</v>
      </c>
      <c r="AG7245">
        <v>-1.110864164651</v>
      </c>
      <c r="AH7245">
        <v>21.168195811706799</v>
      </c>
      <c r="AI7245">
        <v>92.999122962882595</v>
      </c>
      <c r="AJ7245">
        <v>93.272042306124405</v>
      </c>
      <c r="AK7245">
        <v>21.231841335869898</v>
      </c>
      <c r="AL7245">
        <v>87.500570486695693</v>
      </c>
      <c r="AM7245">
        <v>89.217974019548194</v>
      </c>
      <c r="AN7245">
        <v>1.00000000071707</v>
      </c>
    </row>
    <row r="7246" spans="1:40" x14ac:dyDescent="0.25">
      <c r="A7246" t="str">
        <f>"20190312154438729"</f>
        <v>20190312154438729</v>
      </c>
      <c r="B7246" t="str">
        <f>"1552376678724640"</f>
        <v>1552376678724640</v>
      </c>
      <c r="C7246" t="s">
        <v>40</v>
      </c>
      <c r="D7246">
        <v>4.9937050000000003</v>
      </c>
      <c r="E7246">
        <v>0.47384680000000001</v>
      </c>
      <c r="F7246" t="s">
        <v>43</v>
      </c>
      <c r="G7246">
        <v>-188.5839</v>
      </c>
      <c r="H7246" s="1">
        <v>-3.199001E-6</v>
      </c>
      <c r="I7246">
        <v>76.504180000000005</v>
      </c>
      <c r="J7246">
        <v>-187.53700000000001</v>
      </c>
      <c r="K7246">
        <v>1.1108610000000001</v>
      </c>
      <c r="L7246">
        <v>55.566470000000002</v>
      </c>
      <c r="M7246">
        <v>7.6328990000000003E-3</v>
      </c>
      <c r="N7246">
        <v>0</v>
      </c>
      <c r="O7246">
        <v>0.99985919999999895</v>
      </c>
      <c r="P7246">
        <v>2.073653E-2</v>
      </c>
      <c r="Q7246">
        <v>2.9062609999999999E-2</v>
      </c>
      <c r="R7246">
        <v>0.99936250000000004</v>
      </c>
      <c r="S7246">
        <v>-0.14744570000000001</v>
      </c>
      <c r="T7246">
        <v>-0.15684310000000001</v>
      </c>
      <c r="U7246">
        <v>3.0096440000000002</v>
      </c>
      <c r="V7246">
        <v>1.3057650000000001E-2</v>
      </c>
      <c r="W7246">
        <v>4.4015310000000002E-2</v>
      </c>
      <c r="X7246">
        <v>0.99894550000000004</v>
      </c>
      <c r="Y7246">
        <v>-5.6489440000000002E-2</v>
      </c>
      <c r="Z7246">
        <v>-5.1967970000000002E-2</v>
      </c>
      <c r="AA7246">
        <v>0.99704979999999999</v>
      </c>
      <c r="AB7246">
        <v>38</v>
      </c>
      <c r="AC7246">
        <v>-1.0468999999999899</v>
      </c>
      <c r="AD7246">
        <v>-1.110864199001</v>
      </c>
      <c r="AE7246">
        <v>20.937709999999999</v>
      </c>
      <c r="AF7246">
        <v>-1.20332397537721</v>
      </c>
      <c r="AG7246">
        <v>-1.110864199001</v>
      </c>
      <c r="AH7246">
        <v>20.870506191638899</v>
      </c>
      <c r="AI7246">
        <v>93.041737186696395</v>
      </c>
      <c r="AJ7246">
        <v>93.2998307930566</v>
      </c>
      <c r="AK7246">
        <v>20.9346611282241</v>
      </c>
      <c r="AL7246">
        <v>87.477293447276594</v>
      </c>
      <c r="AM7246">
        <v>89.251104660267401</v>
      </c>
      <c r="AN7246">
        <v>0.99999998085408404</v>
      </c>
    </row>
    <row r="7247" spans="1:40" x14ac:dyDescent="0.25">
      <c r="A7247" t="str">
        <f>"20190312154438751"</f>
        <v>20190312154438751</v>
      </c>
      <c r="B7247" t="str">
        <f>"1552376678745134"</f>
        <v>1552376678745134</v>
      </c>
      <c r="C7247" t="s">
        <v>40</v>
      </c>
      <c r="D7247">
        <v>4.9952399999999999</v>
      </c>
      <c r="E7247">
        <v>0.4738116</v>
      </c>
      <c r="F7247" t="s">
        <v>43</v>
      </c>
      <c r="G7247">
        <v>-188.60839999999999</v>
      </c>
      <c r="H7247" s="1">
        <v>-3.3825039999999999E-6</v>
      </c>
      <c r="I7247">
        <v>76.942059999999998</v>
      </c>
      <c r="J7247">
        <v>-187.53450000000001</v>
      </c>
      <c r="K7247">
        <v>1.110859</v>
      </c>
      <c r="L7247">
        <v>55.956270000000004</v>
      </c>
      <c r="M7247">
        <v>7.1608669999999996E-3</v>
      </c>
      <c r="N7247">
        <v>0</v>
      </c>
      <c r="O7247">
        <v>0.99986269999999999</v>
      </c>
      <c r="P7247">
        <v>1.9503570000000001E-2</v>
      </c>
      <c r="Q7247">
        <v>2.933038E-2</v>
      </c>
      <c r="R7247">
        <v>0.99937949999999998</v>
      </c>
      <c r="S7247">
        <v>-0.15084839999999999</v>
      </c>
      <c r="T7247">
        <v>-0.1564045</v>
      </c>
      <c r="U7247">
        <v>3.0095830000000001</v>
      </c>
      <c r="V7247">
        <v>1.229629E-2</v>
      </c>
      <c r="W7247">
        <v>4.4277789999999997E-2</v>
      </c>
      <c r="X7247">
        <v>0.99894360000000004</v>
      </c>
      <c r="Y7247">
        <v>-5.7144E-2</v>
      </c>
      <c r="Z7247">
        <v>-5.182196E-2</v>
      </c>
      <c r="AA7247">
        <v>0.99702009999999996</v>
      </c>
      <c r="AB7247">
        <v>38</v>
      </c>
      <c r="AC7247">
        <v>-1.0738999999999801</v>
      </c>
      <c r="AD7247">
        <v>-1.110862382504</v>
      </c>
      <c r="AE7247">
        <v>20.985789999999898</v>
      </c>
      <c r="AF7247">
        <v>-1.2207540595072199</v>
      </c>
      <c r="AG7247">
        <v>-1.110862382504</v>
      </c>
      <c r="AH7247">
        <v>20.919098447533798</v>
      </c>
      <c r="AI7247">
        <v>93.034557457663496</v>
      </c>
      <c r="AJ7247">
        <v>93.339762523368805</v>
      </c>
      <c r="AK7247">
        <v>20.984111502855601</v>
      </c>
      <c r="AL7247">
        <v>87.462239870524698</v>
      </c>
      <c r="AM7247">
        <v>89.294765048826093</v>
      </c>
      <c r="AN7247">
        <v>1.000000018708</v>
      </c>
    </row>
    <row r="7248" spans="1:40" x14ac:dyDescent="0.25">
      <c r="A7248" t="str">
        <f>"20190312154438775"</f>
        <v>20190312154438775</v>
      </c>
      <c r="B7248" t="str">
        <f>"1552376678764654"</f>
        <v>1552376678764654</v>
      </c>
      <c r="C7248" t="s">
        <v>40</v>
      </c>
      <c r="D7248">
        <v>5.0132430000000001</v>
      </c>
      <c r="E7248">
        <v>0.47384219999999999</v>
      </c>
      <c r="F7248" t="s">
        <v>43</v>
      </c>
      <c r="G7248">
        <v>-188.63059999999999</v>
      </c>
      <c r="H7248" s="1">
        <v>-3.5186559999999999E-6</v>
      </c>
      <c r="I7248">
        <v>77.268619999999999</v>
      </c>
      <c r="J7248">
        <v>-187.53210000000001</v>
      </c>
      <c r="K7248">
        <v>1.1108659999999999</v>
      </c>
      <c r="L7248">
        <v>56.34628</v>
      </c>
      <c r="M7248">
        <v>6.6886439999999997E-3</v>
      </c>
      <c r="N7248">
        <v>0</v>
      </c>
      <c r="O7248">
        <v>0.99986600000000003</v>
      </c>
      <c r="P7248">
        <v>1.8883380000000002E-2</v>
      </c>
      <c r="Q7248">
        <v>2.9893699999999999E-2</v>
      </c>
      <c r="R7248">
        <v>0.99937469999999995</v>
      </c>
      <c r="S7248">
        <v>-0.15478520000000001</v>
      </c>
      <c r="T7248">
        <v>-0.15686349999999999</v>
      </c>
      <c r="U7248">
        <v>3.0094910000000001</v>
      </c>
      <c r="V7248">
        <v>1.2147689999999999E-2</v>
      </c>
      <c r="W7248">
        <v>4.4836569999999999E-2</v>
      </c>
      <c r="X7248">
        <v>0.99892049999999999</v>
      </c>
      <c r="Y7248">
        <v>-5.797443E-2</v>
      </c>
      <c r="Z7248">
        <v>-5.197247E-2</v>
      </c>
      <c r="AA7248">
        <v>0.99696430000000003</v>
      </c>
      <c r="AB7248">
        <v>38</v>
      </c>
      <c r="AC7248">
        <v>-1.0984999999999701</v>
      </c>
      <c r="AD7248">
        <v>-1.11086951865599</v>
      </c>
      <c r="AE7248">
        <v>20.922339999999899</v>
      </c>
      <c r="AF7248">
        <v>-1.23496125966993</v>
      </c>
      <c r="AG7248">
        <v>-1.11086951865599</v>
      </c>
      <c r="AH7248">
        <v>20.855891031668001</v>
      </c>
      <c r="AI7248">
        <v>93.043603751615507</v>
      </c>
      <c r="AJ7248">
        <v>93.388756768593495</v>
      </c>
      <c r="AK7248">
        <v>20.921934688865999</v>
      </c>
      <c r="AL7248">
        <v>87.430192322327997</v>
      </c>
      <c r="AM7248">
        <v>89.303270819965604</v>
      </c>
      <c r="AN7248">
        <v>1.0000000248509699</v>
      </c>
    </row>
    <row r="7249" spans="1:40" x14ac:dyDescent="0.25">
      <c r="A7249" t="str">
        <f>"20190312154438796"</f>
        <v>20190312154438796</v>
      </c>
      <c r="B7249" t="str">
        <f>"1552376678785150"</f>
        <v>1552376678785150</v>
      </c>
      <c r="C7249" t="s">
        <v>40</v>
      </c>
      <c r="D7249">
        <v>4.9933350000000001</v>
      </c>
      <c r="E7249">
        <v>0.47377619999999998</v>
      </c>
      <c r="F7249" t="s">
        <v>43</v>
      </c>
      <c r="G7249">
        <v>-188.64699999999999</v>
      </c>
      <c r="H7249" s="1">
        <v>-3.7272629999999999E-6</v>
      </c>
      <c r="I7249">
        <v>77.761679999999998</v>
      </c>
      <c r="J7249">
        <v>-187.5301</v>
      </c>
      <c r="K7249">
        <v>1.110873</v>
      </c>
      <c r="L7249">
        <v>56.709290000000003</v>
      </c>
      <c r="M7249">
        <v>6.2488830000000002E-3</v>
      </c>
      <c r="N7249">
        <v>0</v>
      </c>
      <c r="O7249">
        <v>0.99986889999999995</v>
      </c>
      <c r="P7249">
        <v>1.8012319999999998E-2</v>
      </c>
      <c r="Q7249">
        <v>3.0817000000000001E-2</v>
      </c>
      <c r="R7249">
        <v>0.99936270000000005</v>
      </c>
      <c r="S7249">
        <v>-0.15667719999999999</v>
      </c>
      <c r="T7249">
        <v>-0.15610979999999999</v>
      </c>
      <c r="U7249">
        <v>3.0094910000000001</v>
      </c>
      <c r="V7249">
        <v>1.1715400000000001E-2</v>
      </c>
      <c r="W7249">
        <v>4.5754969999999999E-2</v>
      </c>
      <c r="X7249">
        <v>0.99888399999999999</v>
      </c>
      <c r="Y7249">
        <v>-5.8161150000000002E-2</v>
      </c>
      <c r="Z7249">
        <v>-5.1722560000000001E-2</v>
      </c>
      <c r="AA7249">
        <v>0.99696640000000003</v>
      </c>
      <c r="AB7249">
        <v>38</v>
      </c>
      <c r="AC7249">
        <v>-1.11690000000001</v>
      </c>
      <c r="AD7249">
        <v>-1.110876727263</v>
      </c>
      <c r="AE7249">
        <v>21.0523899999999</v>
      </c>
      <c r="AF7249">
        <v>-1.24498999094</v>
      </c>
      <c r="AG7249">
        <v>-1.110876727263</v>
      </c>
      <c r="AH7249">
        <v>20.986727647747198</v>
      </c>
      <c r="AI7249">
        <v>93.024664700196695</v>
      </c>
      <c r="AJ7249">
        <v>93.394963321606895</v>
      </c>
      <c r="AK7249">
        <v>21.052951919895499</v>
      </c>
      <c r="AL7249">
        <v>87.377517766078796</v>
      </c>
      <c r="AM7249">
        <v>89.328037890596505</v>
      </c>
      <c r="AN7249">
        <v>1.0000000066664301</v>
      </c>
    </row>
    <row r="7250" spans="1:40" x14ac:dyDescent="0.25">
      <c r="A7250" t="str">
        <f>"20190312154438818"</f>
        <v>20190312154438818</v>
      </c>
      <c r="B7250" t="str">
        <f>"1552376678814430"</f>
        <v>1552376678814430</v>
      </c>
      <c r="C7250" t="s">
        <v>40</v>
      </c>
      <c r="D7250">
        <v>5.0423739999999997</v>
      </c>
      <c r="E7250">
        <v>0.47381400000000001</v>
      </c>
      <c r="F7250" t="s">
        <v>43</v>
      </c>
      <c r="G7250">
        <v>-188.6825</v>
      </c>
      <c r="H7250" s="1">
        <v>-3.993769E-6</v>
      </c>
      <c r="I7250">
        <v>78.397589999999994</v>
      </c>
      <c r="J7250">
        <v>-187.5282</v>
      </c>
      <c r="K7250">
        <v>1.110878</v>
      </c>
      <c r="L7250">
        <v>57.078919999999997</v>
      </c>
      <c r="M7250">
        <v>5.8008740000000001E-3</v>
      </c>
      <c r="N7250">
        <v>0</v>
      </c>
      <c r="O7250">
        <v>0.99987170000000003</v>
      </c>
      <c r="P7250">
        <v>1.7471339999999998E-2</v>
      </c>
      <c r="Q7250">
        <v>3.1008979999999998E-2</v>
      </c>
      <c r="R7250">
        <v>0.99936639999999999</v>
      </c>
      <c r="S7250">
        <v>-0.1599121</v>
      </c>
      <c r="T7250">
        <v>-0.15414949999999999</v>
      </c>
      <c r="U7250">
        <v>3.0095519999999998</v>
      </c>
      <c r="V7250">
        <v>1.162213E-2</v>
      </c>
      <c r="W7250">
        <v>4.594264E-2</v>
      </c>
      <c r="X7250">
        <v>0.99887649999999994</v>
      </c>
      <c r="Y7250">
        <v>-5.8783210000000002E-2</v>
      </c>
      <c r="Z7250">
        <v>-5.1071579999999998E-2</v>
      </c>
      <c r="AA7250">
        <v>0.9969635</v>
      </c>
      <c r="AB7250">
        <v>38</v>
      </c>
      <c r="AC7250">
        <v>-1.1543000000000001</v>
      </c>
      <c r="AD7250">
        <v>-1.110881993769</v>
      </c>
      <c r="AE7250">
        <v>21.318670000000001</v>
      </c>
      <c r="AF7250">
        <v>-1.27451073417076</v>
      </c>
      <c r="AG7250">
        <v>-1.110881993769</v>
      </c>
      <c r="AH7250">
        <v>21.254072336016101</v>
      </c>
      <c r="AI7250">
        <v>92.986588476594605</v>
      </c>
      <c r="AJ7250">
        <v>93.431659830003795</v>
      </c>
      <c r="AK7250">
        <v>21.321210736733601</v>
      </c>
      <c r="AL7250">
        <v>87.366753812204294</v>
      </c>
      <c r="AM7250">
        <v>89.333382103743006</v>
      </c>
      <c r="AN7250">
        <v>1.00000003116407</v>
      </c>
    </row>
    <row r="7251" spans="1:40" x14ac:dyDescent="0.25">
      <c r="A7251" t="str">
        <f>"20190312154438840"</f>
        <v>20190312154438840</v>
      </c>
      <c r="B7251" t="str">
        <f>"1552376678834926"</f>
        <v>1552376678834926</v>
      </c>
      <c r="C7251" t="s">
        <v>40</v>
      </c>
      <c r="D7251">
        <v>5.0430659999999996</v>
      </c>
      <c r="E7251">
        <v>0.47386800000000001</v>
      </c>
      <c r="F7251" t="s">
        <v>43</v>
      </c>
      <c r="G7251">
        <v>-188.68379999999999</v>
      </c>
      <c r="H7251" s="1">
        <v>-4.1091180000000003E-6</v>
      </c>
      <c r="I7251">
        <v>78.666979999999995</v>
      </c>
      <c r="J7251">
        <v>-187.5265</v>
      </c>
      <c r="K7251">
        <v>1.1108800000000001</v>
      </c>
      <c r="L7251">
        <v>57.455930000000002</v>
      </c>
      <c r="M7251">
        <v>5.3439230000000004E-3</v>
      </c>
      <c r="N7251">
        <v>0</v>
      </c>
      <c r="O7251">
        <v>0.99987429999999999</v>
      </c>
      <c r="P7251">
        <v>1.700784E-2</v>
      </c>
      <c r="Q7251">
        <v>3.067276E-2</v>
      </c>
      <c r="R7251">
        <v>0.99938479999999996</v>
      </c>
      <c r="S7251">
        <v>-0.16108699999999901</v>
      </c>
      <c r="T7251">
        <v>-0.15486449999999999</v>
      </c>
      <c r="U7251">
        <v>3.0095209999999999</v>
      </c>
      <c r="V7251">
        <v>1.1615790000000001E-2</v>
      </c>
      <c r="W7251">
        <v>4.560206E-2</v>
      </c>
      <c r="X7251">
        <v>0.99889209999999995</v>
      </c>
      <c r="Y7251">
        <v>-5.8714990000000002E-2</v>
      </c>
      <c r="Z7251">
        <v>-5.1308140000000002E-2</v>
      </c>
      <c r="AA7251">
        <v>0.99695540000000005</v>
      </c>
      <c r="AB7251">
        <v>38</v>
      </c>
      <c r="AC7251">
        <v>-1.15729999999999</v>
      </c>
      <c r="AD7251">
        <v>-1.110884109118</v>
      </c>
      <c r="AE7251">
        <v>21.21105</v>
      </c>
      <c r="AF7251">
        <v>-1.2671808606031401</v>
      </c>
      <c r="AG7251">
        <v>-1.110884109118</v>
      </c>
      <c r="AH7251">
        <v>21.146730218440101</v>
      </c>
      <c r="AI7251">
        <v>93.001734193787996</v>
      </c>
      <c r="AJ7251">
        <v>93.429248824709006</v>
      </c>
      <c r="AK7251">
        <v>21.213769343727101</v>
      </c>
      <c r="AL7251">
        <v>87.386287872401496</v>
      </c>
      <c r="AM7251">
        <v>89.333756122519503</v>
      </c>
      <c r="AN7251">
        <v>0.99999995094798699</v>
      </c>
    </row>
    <row r="7252" spans="1:40" x14ac:dyDescent="0.25">
      <c r="A7252" t="str">
        <f>"20190312154438863"</f>
        <v>20190312154438863</v>
      </c>
      <c r="B7252" t="str">
        <f>"1552376678854447"</f>
        <v>1552376678854447</v>
      </c>
      <c r="C7252" t="s">
        <v>40</v>
      </c>
      <c r="D7252">
        <v>5.0587910000000003</v>
      </c>
      <c r="E7252">
        <v>0.47389779999999998</v>
      </c>
      <c r="F7252" t="s">
        <v>43</v>
      </c>
      <c r="G7252">
        <v>-188.679</v>
      </c>
      <c r="H7252" s="1">
        <v>-4.1816090000000004E-6</v>
      </c>
      <c r="I7252">
        <v>78.834009999999907</v>
      </c>
      <c r="J7252">
        <v>-187.5249</v>
      </c>
      <c r="K7252">
        <v>1.1108819999999999</v>
      </c>
      <c r="L7252">
        <v>57.84198</v>
      </c>
      <c r="M7252">
        <v>4.8759099999999998E-3</v>
      </c>
      <c r="N7252">
        <v>0</v>
      </c>
      <c r="O7252">
        <v>0.99987669999999995</v>
      </c>
      <c r="P7252">
        <v>1.70569E-2</v>
      </c>
      <c r="Q7252">
        <v>3.0603289999999998E-2</v>
      </c>
      <c r="R7252">
        <v>0.99938610000000005</v>
      </c>
      <c r="S7252">
        <v>-0.16224669999999999</v>
      </c>
      <c r="T7252">
        <v>-0.1563795</v>
      </c>
      <c r="U7252">
        <v>3.0093990000000002</v>
      </c>
      <c r="V7252">
        <v>1.2132860000000001E-2</v>
      </c>
      <c r="W7252">
        <v>4.552871E-2</v>
      </c>
      <c r="X7252">
        <v>0.99888929999999998</v>
      </c>
      <c r="Y7252">
        <v>-5.8631570000000001E-2</v>
      </c>
      <c r="Z7252">
        <v>-5.1810580000000002E-2</v>
      </c>
      <c r="AA7252">
        <v>0.99693430000000005</v>
      </c>
      <c r="AB7252">
        <v>38</v>
      </c>
      <c r="AC7252">
        <v>-1.1540999999999899</v>
      </c>
      <c r="AD7252">
        <v>-1.1108861816090001</v>
      </c>
      <c r="AE7252">
        <v>20.9920299999999</v>
      </c>
      <c r="AF7252">
        <v>-1.25295464896088</v>
      </c>
      <c r="AG7252">
        <v>-1.1108861816090001</v>
      </c>
      <c r="AH7252">
        <v>20.927721736201001</v>
      </c>
      <c r="AI7252">
        <v>93.0331041392907</v>
      </c>
      <c r="AJ7252">
        <v>93.426241167712007</v>
      </c>
      <c r="AK7252">
        <v>20.994606462820499</v>
      </c>
      <c r="AL7252">
        <v>87.390494889555498</v>
      </c>
      <c r="AM7252">
        <v>89.304099575573503</v>
      </c>
      <c r="AN7252">
        <v>0.99999995169026501</v>
      </c>
    </row>
    <row r="7253" spans="1:40" x14ac:dyDescent="0.25">
      <c r="A7253" t="str">
        <f>"20190312154438885"</f>
        <v>20190312154438885</v>
      </c>
      <c r="B7253" t="str">
        <f>"1552376678874473"</f>
        <v>1552376678874473</v>
      </c>
      <c r="C7253" t="s">
        <v>40</v>
      </c>
      <c r="D7253">
        <v>5.0637299999999996</v>
      </c>
      <c r="E7253">
        <v>0.4740008</v>
      </c>
      <c r="F7253" t="s">
        <v>43</v>
      </c>
      <c r="G7253">
        <v>-188.66929999999999</v>
      </c>
      <c r="H7253" s="1">
        <v>-4.3094809999999997E-6</v>
      </c>
      <c r="I7253">
        <v>79.128029999999995</v>
      </c>
      <c r="J7253">
        <v>-187.52350000000001</v>
      </c>
      <c r="K7253">
        <v>1.1108830000000001</v>
      </c>
      <c r="L7253">
        <v>58.216250000000002</v>
      </c>
      <c r="M7253">
        <v>4.4219970000000004E-3</v>
      </c>
      <c r="N7253">
        <v>0</v>
      </c>
      <c r="O7253">
        <v>0.99987890000000001</v>
      </c>
      <c r="P7253">
        <v>1.7068940000000001E-2</v>
      </c>
      <c r="Q7253">
        <v>3.0901209999999998E-2</v>
      </c>
      <c r="R7253">
        <v>0.99937670000000001</v>
      </c>
      <c r="S7253">
        <v>-0.16178890000000001</v>
      </c>
      <c r="T7253">
        <v>-0.157056</v>
      </c>
      <c r="U7253">
        <v>3.0093990000000002</v>
      </c>
      <c r="V7253">
        <v>1.2598450000000001E-2</v>
      </c>
      <c r="W7253">
        <v>4.5823089999999997E-2</v>
      </c>
      <c r="X7253">
        <v>0.99887009999999998</v>
      </c>
      <c r="Y7253">
        <v>-5.802653E-2</v>
      </c>
      <c r="Z7253">
        <v>-5.2035409999999997E-2</v>
      </c>
      <c r="AA7253">
        <v>0.99695800000000001</v>
      </c>
      <c r="AB7253">
        <v>38</v>
      </c>
      <c r="AC7253">
        <v>-1.1457999999999799</v>
      </c>
      <c r="AD7253">
        <v>-1.1108873094809999</v>
      </c>
      <c r="AE7253">
        <v>20.91178</v>
      </c>
      <c r="AF7253">
        <v>-1.23479674427812</v>
      </c>
      <c r="AG7253">
        <v>-1.1108873094809999</v>
      </c>
      <c r="AH7253">
        <v>20.847851535225399</v>
      </c>
      <c r="AI7253">
        <v>93.044821230598302</v>
      </c>
      <c r="AJ7253">
        <v>93.389609963900597</v>
      </c>
      <c r="AK7253">
        <v>20.9139118112525</v>
      </c>
      <c r="AL7253">
        <v>87.373610600556901</v>
      </c>
      <c r="AM7253">
        <v>89.277383775587197</v>
      </c>
      <c r="AN7253">
        <v>0.99999997659677997</v>
      </c>
    </row>
    <row r="7254" spans="1:40" x14ac:dyDescent="0.25">
      <c r="A7254" t="str">
        <f>"20190312154438907"</f>
        <v>20190312154438907</v>
      </c>
      <c r="B7254" t="str">
        <f>"1552376678904730"</f>
        <v>1552376678904730</v>
      </c>
      <c r="C7254" t="s">
        <v>40</v>
      </c>
      <c r="D7254">
        <v>5.0327479999999998</v>
      </c>
      <c r="E7254">
        <v>0.51229859999999905</v>
      </c>
      <c r="F7254" t="s">
        <v>43</v>
      </c>
      <c r="G7254">
        <v>-188.6626</v>
      </c>
      <c r="H7254" s="1">
        <v>-4.4875410000000003E-6</v>
      </c>
      <c r="I7254">
        <v>79.540319999999994</v>
      </c>
      <c r="J7254">
        <v>-187.5223</v>
      </c>
      <c r="K7254">
        <v>1.110884</v>
      </c>
      <c r="L7254">
        <v>58.590359999999997</v>
      </c>
      <c r="M7254">
        <v>3.9678700000000001E-3</v>
      </c>
      <c r="N7254">
        <v>0</v>
      </c>
      <c r="O7254">
        <v>0.99988089999999996</v>
      </c>
      <c r="P7254">
        <v>1.7060220000000001E-2</v>
      </c>
      <c r="Q7254">
        <v>3.1203809999999998E-2</v>
      </c>
      <c r="R7254">
        <v>0.99936740000000002</v>
      </c>
      <c r="S7254">
        <v>-0.16075130000000001</v>
      </c>
      <c r="T7254">
        <v>-0.15677920000000001</v>
      </c>
      <c r="U7254">
        <v>3.0094599999999998</v>
      </c>
      <c r="V7254">
        <v>1.304349E-2</v>
      </c>
      <c r="W7254">
        <v>4.6121750000000003E-2</v>
      </c>
      <c r="X7254">
        <v>0.99885060000000003</v>
      </c>
      <c r="Y7254">
        <v>-5.7229530000000001E-2</v>
      </c>
      <c r="Z7254">
        <v>-5.194472E-2</v>
      </c>
      <c r="AA7254">
        <v>0.99700880000000003</v>
      </c>
      <c r="AB7254">
        <v>38</v>
      </c>
      <c r="AC7254">
        <v>-1.1402999999999901</v>
      </c>
      <c r="AD7254">
        <v>-1.1108884875409999</v>
      </c>
      <c r="AE7254">
        <v>20.949960000000001</v>
      </c>
      <c r="AF7254">
        <v>-1.22000678201137</v>
      </c>
      <c r="AG7254">
        <v>-1.1108884875409999</v>
      </c>
      <c r="AH7254">
        <v>20.886715522929499</v>
      </c>
      <c r="AI7254">
        <v>93.039315078337296</v>
      </c>
      <c r="AJ7254">
        <v>93.342885835100702</v>
      </c>
      <c r="AK7254">
        <v>20.951786919393999</v>
      </c>
      <c r="AL7254">
        <v>87.356480420517698</v>
      </c>
      <c r="AM7254">
        <v>89.2518456196172</v>
      </c>
      <c r="AN7254">
        <v>0.99999993478739901</v>
      </c>
    </row>
    <row r="7255" spans="1:40" x14ac:dyDescent="0.25">
      <c r="A7255" t="str">
        <f>"20190312154438929"</f>
        <v>20190312154438929</v>
      </c>
      <c r="B7255" t="str">
        <f>"1552376678924250"</f>
        <v>1552376678924250</v>
      </c>
      <c r="C7255" t="s">
        <v>40</v>
      </c>
      <c r="D7255">
        <v>5.0860859999999999</v>
      </c>
      <c r="E7255">
        <v>0.52248269999999997</v>
      </c>
      <c r="F7255" t="s">
        <v>43</v>
      </c>
      <c r="G7255">
        <v>-186.47630000000001</v>
      </c>
      <c r="H7255" s="1">
        <v>-1.158899E-6</v>
      </c>
      <c r="I7255">
        <v>80.298439999999999</v>
      </c>
      <c r="J7255">
        <v>-187.5213</v>
      </c>
      <c r="K7255">
        <v>1.1108819999999999</v>
      </c>
      <c r="L7255">
        <v>58.949860000000001</v>
      </c>
      <c r="M7255">
        <v>3.5314299999999999E-3</v>
      </c>
      <c r="N7255">
        <v>0</v>
      </c>
      <c r="O7255">
        <v>0.99988259999999995</v>
      </c>
      <c r="P7255">
        <v>1.7037650000000001E-2</v>
      </c>
      <c r="Q7255">
        <v>3.0882529999999998E-2</v>
      </c>
      <c r="R7255">
        <v>0.99937779999999998</v>
      </c>
      <c r="S7255">
        <v>0.1447601</v>
      </c>
      <c r="T7255">
        <v>-0.1537385</v>
      </c>
      <c r="U7255">
        <v>3.0042420000000001</v>
      </c>
      <c r="V7255">
        <v>1.34576E-2</v>
      </c>
      <c r="W7255">
        <v>4.579689E-2</v>
      </c>
      <c r="X7255">
        <v>0.99886010000000003</v>
      </c>
      <c r="Y7255">
        <v>4.4538620000000001E-2</v>
      </c>
      <c r="Z7255">
        <v>-5.1051560000000003E-2</v>
      </c>
      <c r="AA7255">
        <v>0.99770239999999999</v>
      </c>
      <c r="AB7255">
        <v>38</v>
      </c>
      <c r="AC7255">
        <v>1.0449999999999799</v>
      </c>
      <c r="AD7255">
        <v>-1.110883158899</v>
      </c>
      <c r="AE7255">
        <v>21.348579999999998</v>
      </c>
      <c r="AF7255">
        <v>0.96698205674388804</v>
      </c>
      <c r="AG7255">
        <v>-1.110883158899</v>
      </c>
      <c r="AH7255">
        <v>21.2946162313009</v>
      </c>
      <c r="AI7255">
        <v>92.983191943769796</v>
      </c>
      <c r="AJ7255">
        <v>87.400002169405596</v>
      </c>
      <c r="AK7255">
        <v>21.3454865517086</v>
      </c>
      <c r="AL7255">
        <v>87.375113338535201</v>
      </c>
      <c r="AM7255">
        <v>89.228103081892698</v>
      </c>
      <c r="AN7255">
        <v>0.99999998075172003</v>
      </c>
    </row>
    <row r="7256" spans="1:40" x14ac:dyDescent="0.25">
      <c r="A7256" t="str">
        <f>"20190312154438953"</f>
        <v>20190312154438953</v>
      </c>
      <c r="B7256" t="str">
        <f>"1552376678944746"</f>
        <v>1552376678944746</v>
      </c>
      <c r="C7256" t="s">
        <v>40</v>
      </c>
      <c r="D7256">
        <v>5.0414190000000003</v>
      </c>
      <c r="E7256">
        <v>0.5261093</v>
      </c>
      <c r="F7256" t="s">
        <v>43</v>
      </c>
      <c r="G7256">
        <v>-185.87430000000001</v>
      </c>
      <c r="H7256" s="1">
        <v>-1.494482E-6</v>
      </c>
      <c r="I7256">
        <v>80.813929999999999</v>
      </c>
      <c r="J7256">
        <v>-187.52029999999999</v>
      </c>
      <c r="K7256">
        <v>1.110876</v>
      </c>
      <c r="L7256">
        <v>59.36591</v>
      </c>
      <c r="M7256">
        <v>3.0262470000000001E-3</v>
      </c>
      <c r="N7256">
        <v>0</v>
      </c>
      <c r="O7256">
        <v>0.99988429999999995</v>
      </c>
      <c r="P7256">
        <v>1.685453E-2</v>
      </c>
      <c r="Q7256">
        <v>3.0461749999999999E-2</v>
      </c>
      <c r="R7256">
        <v>0.9993938</v>
      </c>
      <c r="S7256">
        <v>0.22618099999999999</v>
      </c>
      <c r="T7256">
        <v>-0.1525639</v>
      </c>
      <c r="U7256">
        <v>3.0027159999999999</v>
      </c>
      <c r="V7256">
        <v>1.3779980000000001E-2</v>
      </c>
      <c r="W7256">
        <v>4.5371509999999997E-2</v>
      </c>
      <c r="X7256">
        <v>0.99887510000000002</v>
      </c>
      <c r="Y7256">
        <v>7.1998069999999997E-2</v>
      </c>
      <c r="Z7256">
        <v>-5.0605499999999998E-2</v>
      </c>
      <c r="AA7256">
        <v>0.99612020000000001</v>
      </c>
      <c r="AB7256">
        <v>38</v>
      </c>
      <c r="AC7256">
        <v>1.6459999999999799</v>
      </c>
      <c r="AD7256">
        <v>-1.1108774944819999</v>
      </c>
      <c r="AE7256">
        <v>21.44802</v>
      </c>
      <c r="AF7256">
        <v>1.57687287088937</v>
      </c>
      <c r="AG7256">
        <v>-1.1108774944819999</v>
      </c>
      <c r="AH7256">
        <v>21.395842833054701</v>
      </c>
      <c r="AI7256">
        <v>92.964117614471604</v>
      </c>
      <c r="AJ7256">
        <v>85.7849236800309</v>
      </c>
      <c r="AK7256">
        <v>21.4826131416891</v>
      </c>
      <c r="AL7256">
        <v>87.399511134759095</v>
      </c>
      <c r="AM7256">
        <v>89.2096262940955</v>
      </c>
      <c r="AN7256">
        <v>0.99999996358424403</v>
      </c>
    </row>
    <row r="7257" spans="1:40" x14ac:dyDescent="0.25">
      <c r="A7257" t="str">
        <f>"20190312154438975"</f>
        <v>20190312154438975</v>
      </c>
      <c r="B7257" t="str">
        <f>"1552376678964266"</f>
        <v>1552376678964266</v>
      </c>
      <c r="C7257" t="s">
        <v>40</v>
      </c>
      <c r="D7257">
        <v>5.0385559999999998</v>
      </c>
      <c r="E7257">
        <v>0.52843079999999998</v>
      </c>
      <c r="F7257" t="s">
        <v>43</v>
      </c>
      <c r="G7257">
        <v>-185.71520000000001</v>
      </c>
      <c r="H7257" s="1">
        <v>-1.481419E-6</v>
      </c>
      <c r="I7257">
        <v>80.651139999999998</v>
      </c>
      <c r="J7257">
        <v>-187.5197</v>
      </c>
      <c r="K7257">
        <v>1.1108769999999999</v>
      </c>
      <c r="L7257">
        <v>59.728940000000001</v>
      </c>
      <c r="M7257">
        <v>2.585417E-3</v>
      </c>
      <c r="N7257">
        <v>0</v>
      </c>
      <c r="O7257">
        <v>0.99988560000000004</v>
      </c>
      <c r="P7257">
        <v>1.6090819999999999E-2</v>
      </c>
      <c r="Q7257">
        <v>3.0499490000000001E-2</v>
      </c>
      <c r="R7257">
        <v>0.99940530000000005</v>
      </c>
      <c r="S7257">
        <v>0.25460820000000001</v>
      </c>
      <c r="T7257">
        <v>-0.15668959999999901</v>
      </c>
      <c r="U7257">
        <v>3.0022890000000002</v>
      </c>
      <c r="V7257">
        <v>1.3456920000000001E-2</v>
      </c>
      <c r="W7257">
        <v>4.5405340000000002E-2</v>
      </c>
      <c r="X7257">
        <v>0.99887800000000004</v>
      </c>
      <c r="Y7257">
        <v>8.1810599999999997E-2</v>
      </c>
      <c r="Z7257">
        <v>-5.1938560000000002E-2</v>
      </c>
      <c r="AA7257">
        <v>0.9952936</v>
      </c>
      <c r="AB7257">
        <v>38</v>
      </c>
      <c r="AC7257">
        <v>1.80449999999999</v>
      </c>
      <c r="AD7257">
        <v>-1.110878481419</v>
      </c>
      <c r="AE7257">
        <v>20.9222</v>
      </c>
      <c r="AF7257">
        <v>1.74551082334561</v>
      </c>
      <c r="AG7257">
        <v>-1.110878481419</v>
      </c>
      <c r="AH7257">
        <v>20.868399181568801</v>
      </c>
      <c r="AI7257">
        <v>93.036541662747396</v>
      </c>
      <c r="AJ7257">
        <v>85.218696786665902</v>
      </c>
      <c r="AK7257">
        <v>20.9707163310221</v>
      </c>
      <c r="AL7257">
        <v>87.397570903849001</v>
      </c>
      <c r="AM7257">
        <v>89.228155910509201</v>
      </c>
      <c r="AN7257">
        <v>0.99999999624020097</v>
      </c>
    </row>
    <row r="7258" spans="1:40" x14ac:dyDescent="0.25">
      <c r="A7258" t="str">
        <f>"20190312154438997"</f>
        <v>20190312154438997</v>
      </c>
      <c r="B7258" t="str">
        <f>"1552376678994522"</f>
        <v>1552376678994522</v>
      </c>
      <c r="C7258" t="s">
        <v>40</v>
      </c>
      <c r="D7258">
        <v>5.0582960000000003</v>
      </c>
      <c r="E7258">
        <v>0.53030459999999902</v>
      </c>
      <c r="F7258" t="s">
        <v>43</v>
      </c>
      <c r="G7258">
        <v>-185.6182</v>
      </c>
      <c r="H7258" s="1">
        <v>-1.567339E-6</v>
      </c>
      <c r="I7258">
        <v>80.827759999999998</v>
      </c>
      <c r="J7258">
        <v>-187.51910000000001</v>
      </c>
      <c r="K7258">
        <v>1.1108819999999999</v>
      </c>
      <c r="L7258">
        <v>60.106900000000003</v>
      </c>
      <c r="M7258">
        <v>2.1263969999999999E-3</v>
      </c>
      <c r="N7258">
        <v>0</v>
      </c>
      <c r="O7258">
        <v>0.99988679999999996</v>
      </c>
      <c r="P7258">
        <v>1.554534E-2</v>
      </c>
      <c r="Q7258">
        <v>3.052202E-2</v>
      </c>
      <c r="R7258">
        <v>0.9994132</v>
      </c>
      <c r="S7258">
        <v>0.2705688</v>
      </c>
      <c r="T7258">
        <v>-0.15807260000000001</v>
      </c>
      <c r="U7258">
        <v>3.0022579999999999</v>
      </c>
      <c r="V7258">
        <v>1.337032E-2</v>
      </c>
      <c r="W7258">
        <v>4.5422959999999998E-2</v>
      </c>
      <c r="X7258">
        <v>0.99887840000000006</v>
      </c>
      <c r="Y7258">
        <v>8.7516579999999997E-2</v>
      </c>
      <c r="Z7258">
        <v>-5.2371529999999999E-2</v>
      </c>
      <c r="AA7258">
        <v>0.99478540000000004</v>
      </c>
      <c r="AB7258">
        <v>38</v>
      </c>
      <c r="AC7258">
        <v>1.9009</v>
      </c>
      <c r="AD7258">
        <v>-1.1108835673389901</v>
      </c>
      <c r="AE7258">
        <v>20.720859999999899</v>
      </c>
      <c r="AF7258">
        <v>1.8515526640948801</v>
      </c>
      <c r="AG7258">
        <v>-1.1108835673389901</v>
      </c>
      <c r="AH7258">
        <v>20.665952681960199</v>
      </c>
      <c r="AI7258">
        <v>93.064680282405007</v>
      </c>
      <c r="AJ7258">
        <v>84.880291378310105</v>
      </c>
      <c r="AK7258">
        <v>20.778448205318899</v>
      </c>
      <c r="AL7258">
        <v>87.396560408859798</v>
      </c>
      <c r="AM7258">
        <v>89.233122709874195</v>
      </c>
      <c r="AN7258">
        <v>1.0000000343693101</v>
      </c>
    </row>
    <row r="7259" spans="1:40" x14ac:dyDescent="0.25">
      <c r="A7259" t="str">
        <f>"20190312154439019"</f>
        <v>20190312154439019</v>
      </c>
      <c r="B7259" t="str">
        <f>"1552376679015020"</f>
        <v>1552376679015020</v>
      </c>
      <c r="C7259" t="s">
        <v>40</v>
      </c>
      <c r="D7259">
        <v>5.0653050000000004</v>
      </c>
      <c r="E7259">
        <v>0.53111949999999997</v>
      </c>
      <c r="F7259" t="s">
        <v>43</v>
      </c>
      <c r="G7259">
        <v>-185.53030000000001</v>
      </c>
      <c r="H7259" s="1">
        <v>-1.6933350000000001E-6</v>
      </c>
      <c r="I7259">
        <v>81.129249999999999</v>
      </c>
      <c r="J7259">
        <v>-187.5188</v>
      </c>
      <c r="K7259">
        <v>1.1108830000000001</v>
      </c>
      <c r="L7259">
        <v>60.470700000000001</v>
      </c>
      <c r="M7259">
        <v>1.684484E-3</v>
      </c>
      <c r="N7259">
        <v>0</v>
      </c>
      <c r="O7259">
        <v>0.99988759999999999</v>
      </c>
      <c r="P7259">
        <v>1.4945709999999999E-2</v>
      </c>
      <c r="Q7259">
        <v>3.1388720000000002E-2</v>
      </c>
      <c r="R7259">
        <v>0.99939549999999999</v>
      </c>
      <c r="S7259">
        <v>0.28402709999999998</v>
      </c>
      <c r="T7259">
        <v>-0.15864500000000001</v>
      </c>
      <c r="U7259">
        <v>3.0021969999999998</v>
      </c>
      <c r="V7259">
        <v>1.321159E-2</v>
      </c>
      <c r="W7259">
        <v>4.6284649999999997E-2</v>
      </c>
      <c r="X7259">
        <v>0.99884090000000003</v>
      </c>
      <c r="Y7259">
        <v>9.2378450000000001E-2</v>
      </c>
      <c r="Z7259">
        <v>-5.2539450000000001E-2</v>
      </c>
      <c r="AA7259">
        <v>0.99433689999999997</v>
      </c>
      <c r="AB7259">
        <v>38</v>
      </c>
      <c r="AC7259">
        <v>1.98849999999998</v>
      </c>
      <c r="AD7259">
        <v>-1.1108846933350001</v>
      </c>
      <c r="AE7259">
        <v>20.658550000000002</v>
      </c>
      <c r="AF7259">
        <v>1.9481128674935599</v>
      </c>
      <c r="AG7259">
        <v>-1.1108846933350001</v>
      </c>
      <c r="AH7259">
        <v>20.602842367534201</v>
      </c>
      <c r="AI7259">
        <v>93.072663663140702</v>
      </c>
      <c r="AJ7259">
        <v>84.598426515868994</v>
      </c>
      <c r="AK7259">
        <v>20.724534305210401</v>
      </c>
      <c r="AL7259">
        <v>87.347137077145902</v>
      </c>
      <c r="AM7259">
        <v>89.242197422978506</v>
      </c>
      <c r="AN7259">
        <v>0.99999997922438</v>
      </c>
    </row>
    <row r="7260" spans="1:40" x14ac:dyDescent="0.25">
      <c r="A7260" t="str">
        <f>"20190312154439041"</f>
        <v>20190312154439041</v>
      </c>
      <c r="B7260" t="str">
        <f>"1552376679034537"</f>
        <v>1552376679034537</v>
      </c>
      <c r="C7260" t="s">
        <v>40</v>
      </c>
      <c r="D7260">
        <v>5.0793900000000001</v>
      </c>
      <c r="E7260">
        <v>0.53196309999999902</v>
      </c>
      <c r="F7260" t="s">
        <v>43</v>
      </c>
      <c r="G7260">
        <v>-185.48670000000001</v>
      </c>
      <c r="H7260" s="1">
        <v>-1.8699530000000001E-6</v>
      </c>
      <c r="I7260">
        <v>81.614180000000005</v>
      </c>
      <c r="J7260">
        <v>-187.51859999999999</v>
      </c>
      <c r="K7260">
        <v>1.110892</v>
      </c>
      <c r="L7260">
        <v>60.8268699999999</v>
      </c>
      <c r="M7260">
        <v>1.2517030000000001E-3</v>
      </c>
      <c r="N7260">
        <v>0</v>
      </c>
      <c r="O7260">
        <v>0.99988840000000001</v>
      </c>
      <c r="P7260">
        <v>1.415801E-2</v>
      </c>
      <c r="Q7260">
        <v>3.272191E-2</v>
      </c>
      <c r="R7260">
        <v>0.99936420000000004</v>
      </c>
      <c r="S7260">
        <v>0.28855900000000001</v>
      </c>
      <c r="T7260">
        <v>-0.15774920000000001</v>
      </c>
      <c r="U7260">
        <v>3.0024410000000001</v>
      </c>
      <c r="V7260">
        <v>1.2855159999999999E-2</v>
      </c>
      <c r="W7260">
        <v>4.7612599999999998E-2</v>
      </c>
      <c r="X7260">
        <v>0.99878319999999998</v>
      </c>
      <c r="Y7260">
        <v>9.4290540000000006E-2</v>
      </c>
      <c r="Z7260">
        <v>-5.2230989999999998E-2</v>
      </c>
      <c r="AA7260">
        <v>0.99417359999999999</v>
      </c>
      <c r="AB7260">
        <v>37</v>
      </c>
      <c r="AC7260">
        <v>2.0318999999999701</v>
      </c>
      <c r="AD7260">
        <v>-1.110893869953</v>
      </c>
      <c r="AE7260">
        <v>20.787310000000002</v>
      </c>
      <c r="AF7260">
        <v>2.0002175549537902</v>
      </c>
      <c r="AG7260">
        <v>-1.110893869953</v>
      </c>
      <c r="AH7260">
        <v>20.7311907032108</v>
      </c>
      <c r="AI7260">
        <v>93.053145698815399</v>
      </c>
      <c r="AJ7260">
        <v>84.488962061192396</v>
      </c>
      <c r="AK7260">
        <v>20.857066510665899</v>
      </c>
      <c r="AL7260">
        <v>87.270967334382604</v>
      </c>
      <c r="AM7260">
        <v>89.262596982612394</v>
      </c>
      <c r="AN7260">
        <v>1.0000000477098101</v>
      </c>
    </row>
    <row r="7261" spans="1:40" x14ac:dyDescent="0.25">
      <c r="A7261" t="str">
        <f>"20190312154439074"</f>
        <v>20190312154439074</v>
      </c>
      <c r="B7261" t="str">
        <f>"1552376679064794"</f>
        <v>1552376679064794</v>
      </c>
      <c r="C7261" t="s">
        <v>40</v>
      </c>
      <c r="D7261">
        <v>5.0827080000000002</v>
      </c>
      <c r="E7261">
        <v>0.53325809999999996</v>
      </c>
      <c r="F7261" t="s">
        <v>43</v>
      </c>
      <c r="G7261">
        <v>-185.3877</v>
      </c>
      <c r="H7261" s="1">
        <v>-2.26077E-6</v>
      </c>
      <c r="I7261">
        <v>82.685220000000001</v>
      </c>
      <c r="J7261">
        <v>-187.51859999999999</v>
      </c>
      <c r="K7261">
        <v>1.1108990000000001</v>
      </c>
      <c r="L7261">
        <v>61.390560000000001</v>
      </c>
      <c r="M7261">
        <v>5.6615150000000004E-4</v>
      </c>
      <c r="N7261">
        <v>0</v>
      </c>
      <c r="O7261">
        <v>0.99988909999999998</v>
      </c>
      <c r="P7261">
        <v>1.391706E-2</v>
      </c>
      <c r="Q7261">
        <v>3.2850919999999999E-2</v>
      </c>
      <c r="R7261">
        <v>0.99936340000000001</v>
      </c>
      <c r="S7261">
        <v>0.292724599999999</v>
      </c>
      <c r="T7261">
        <v>-0.15260679999999999</v>
      </c>
      <c r="U7261">
        <v>3.0027469999999998</v>
      </c>
      <c r="V7261">
        <v>1.3299450000000001E-2</v>
      </c>
      <c r="W7261">
        <v>4.7735489999999998E-2</v>
      </c>
      <c r="X7261">
        <v>0.99877150000000003</v>
      </c>
      <c r="Y7261">
        <v>9.6338229999999997E-2</v>
      </c>
      <c r="Z7261">
        <v>-5.0519429999999997E-2</v>
      </c>
      <c r="AA7261">
        <v>0.9940658</v>
      </c>
      <c r="AB7261">
        <v>37</v>
      </c>
      <c r="AC7261">
        <v>2.1308999999999898</v>
      </c>
      <c r="AD7261">
        <v>-1.11090126077</v>
      </c>
      <c r="AE7261">
        <v>21.29466</v>
      </c>
      <c r="AF7261">
        <v>2.1131483868346401</v>
      </c>
      <c r="AG7261">
        <v>-1.11090126077</v>
      </c>
      <c r="AH7261">
        <v>21.238635084056501</v>
      </c>
      <c r="AI7261">
        <v>92.979481713359704</v>
      </c>
      <c r="AJ7261">
        <v>84.318028430109294</v>
      </c>
      <c r="AK7261">
        <v>21.372391488780099</v>
      </c>
      <c r="AL7261">
        <v>87.263918194854597</v>
      </c>
      <c r="AM7261">
        <v>89.237105461494394</v>
      </c>
      <c r="AN7261">
        <v>1.00000003079404</v>
      </c>
    </row>
    <row r="7262" spans="1:40" x14ac:dyDescent="0.25">
      <c r="A7262" t="str">
        <f>"20190312154439097"</f>
        <v>20190312154439097</v>
      </c>
      <c r="B7262" t="str">
        <f>"1552376679084314"</f>
        <v>1552376679084314</v>
      </c>
      <c r="C7262" t="s">
        <v>40</v>
      </c>
      <c r="D7262">
        <v>5.1022290000000003</v>
      </c>
      <c r="E7262">
        <v>0.53411739999999996</v>
      </c>
      <c r="F7262" t="s">
        <v>43</v>
      </c>
      <c r="G7262">
        <v>-185.29230000000001</v>
      </c>
      <c r="H7262" s="1">
        <v>-2.5679250000000001E-6</v>
      </c>
      <c r="I7262">
        <v>83.513210000000001</v>
      </c>
      <c r="J7262">
        <v>-187.5188</v>
      </c>
      <c r="K7262">
        <v>1.110908</v>
      </c>
      <c r="L7262">
        <v>61.754969999999901</v>
      </c>
      <c r="M7262">
        <v>1.227174E-4</v>
      </c>
      <c r="N7262">
        <v>0</v>
      </c>
      <c r="O7262">
        <v>0.99988929999999998</v>
      </c>
      <c r="P7262">
        <v>1.467135E-2</v>
      </c>
      <c r="Q7262">
        <v>3.3552609999999997E-2</v>
      </c>
      <c r="R7262">
        <v>0.99932929999999998</v>
      </c>
      <c r="S7262">
        <v>0.30216979999999999</v>
      </c>
      <c r="T7262">
        <v>-0.1507801</v>
      </c>
      <c r="U7262">
        <v>3.0026549999999999</v>
      </c>
      <c r="V7262">
        <v>1.449631E-2</v>
      </c>
      <c r="W7262">
        <v>4.8434199999999997E-2</v>
      </c>
      <c r="X7262">
        <v>0.99872119999999998</v>
      </c>
      <c r="Y7262">
        <v>9.9881629999999999E-2</v>
      </c>
      <c r="Z7262">
        <v>-4.9901300000000003E-2</v>
      </c>
      <c r="AA7262">
        <v>0.99374720000000005</v>
      </c>
      <c r="AB7262">
        <v>37</v>
      </c>
      <c r="AC7262">
        <v>2.2264999999999802</v>
      </c>
      <c r="AD7262">
        <v>-1.110910567925</v>
      </c>
      <c r="AE7262">
        <v>21.758240000000001</v>
      </c>
      <c r="AF7262">
        <v>2.2181072908789399</v>
      </c>
      <c r="AG7262">
        <v>-1.110910567925</v>
      </c>
      <c r="AH7262">
        <v>21.7025248357469</v>
      </c>
      <c r="AI7262">
        <v>92.915143708858096</v>
      </c>
      <c r="AJ7262">
        <v>84.164346099519307</v>
      </c>
      <c r="AK7262">
        <v>21.843848252768801</v>
      </c>
      <c r="AL7262">
        <v>87.223838683390497</v>
      </c>
      <c r="AM7262">
        <v>89.168417512525195</v>
      </c>
      <c r="AN7262">
        <v>1.0000000250313399</v>
      </c>
    </row>
    <row r="7263" spans="1:40" x14ac:dyDescent="0.25">
      <c r="A7263" t="str">
        <f>"20190312154439119"</f>
        <v>20190312154439119</v>
      </c>
      <c r="B7263" t="str">
        <f>"1552376679114570"</f>
        <v>1552376679114570</v>
      </c>
      <c r="C7263" t="s">
        <v>40</v>
      </c>
      <c r="D7263">
        <v>5.0862530000000001</v>
      </c>
      <c r="E7263">
        <v>0.53474149999999998</v>
      </c>
      <c r="F7263" t="s">
        <v>43</v>
      </c>
      <c r="G7263">
        <v>-185.1765</v>
      </c>
      <c r="H7263" s="1">
        <v>-2.8847020000000002E-6</v>
      </c>
      <c r="I7263">
        <v>84.353489999999994</v>
      </c>
      <c r="J7263">
        <v>-187.51920000000001</v>
      </c>
      <c r="K7263">
        <v>1.1109260000000001</v>
      </c>
      <c r="L7263">
        <v>62.141570000000002</v>
      </c>
      <c r="M7263">
        <v>-3.4785300000000002E-4</v>
      </c>
      <c r="N7263">
        <v>0</v>
      </c>
      <c r="O7263">
        <v>0.99988929999999998</v>
      </c>
      <c r="P7263">
        <v>1.523396E-2</v>
      </c>
      <c r="Q7263">
        <v>3.4777589999999997E-2</v>
      </c>
      <c r="R7263">
        <v>0.99927900000000003</v>
      </c>
      <c r="S7263">
        <v>0.31120300000000001</v>
      </c>
      <c r="T7263">
        <v>-0.14759420000000001</v>
      </c>
      <c r="U7263">
        <v>3.0024109999999999</v>
      </c>
      <c r="V7263">
        <v>1.552802E-2</v>
      </c>
      <c r="W7263">
        <v>4.965439E-2</v>
      </c>
      <c r="X7263">
        <v>0.99864569999999997</v>
      </c>
      <c r="Y7263">
        <v>0.1033217</v>
      </c>
      <c r="Z7263">
        <v>-4.883738E-2</v>
      </c>
      <c r="AA7263">
        <v>0.99344829999999995</v>
      </c>
      <c r="AB7263">
        <v>37</v>
      </c>
      <c r="AC7263">
        <v>2.3426999999999998</v>
      </c>
      <c r="AD7263">
        <v>-1.110928884702</v>
      </c>
      <c r="AE7263">
        <v>22.211919999999999</v>
      </c>
      <c r="AF7263">
        <v>2.3446266406318799</v>
      </c>
      <c r="AG7263">
        <v>-1.110928884702</v>
      </c>
      <c r="AH7263">
        <v>22.156289469906699</v>
      </c>
      <c r="AI7263">
        <v>92.854527007118406</v>
      </c>
      <c r="AJ7263">
        <v>83.959317833021302</v>
      </c>
      <c r="AK7263">
        <v>22.307680295026699</v>
      </c>
      <c r="AL7263">
        <v>87.153842514057601</v>
      </c>
      <c r="AM7263">
        <v>89.109175236682603</v>
      </c>
      <c r="AN7263">
        <v>0.99999995598993996</v>
      </c>
    </row>
    <row r="7264" spans="1:40" x14ac:dyDescent="0.25">
      <c r="A7264" t="str">
        <f>"20190312154439141"</f>
        <v>20190312154439141</v>
      </c>
      <c r="B7264" t="str">
        <f>"1552376679135067"</f>
        <v>1552376679135067</v>
      </c>
      <c r="C7264" t="s">
        <v>40</v>
      </c>
      <c r="D7264">
        <v>5.1063720000000004</v>
      </c>
      <c r="E7264">
        <v>0.53496929999999998</v>
      </c>
      <c r="F7264" t="s">
        <v>43</v>
      </c>
      <c r="G7264">
        <v>-185.07470000000001</v>
      </c>
      <c r="H7264" s="1">
        <v>-3.284277E-6</v>
      </c>
      <c r="I7264">
        <v>85.251949999999994</v>
      </c>
      <c r="J7264">
        <v>-187.5198</v>
      </c>
      <c r="K7264">
        <v>1.110927</v>
      </c>
      <c r="L7264">
        <v>62.503570000000003</v>
      </c>
      <c r="M7264">
        <v>-7.8889259999999903E-4</v>
      </c>
      <c r="N7264">
        <v>0</v>
      </c>
      <c r="O7264">
        <v>0.99988909999999998</v>
      </c>
      <c r="P7264">
        <v>1.5605030000000001E-2</v>
      </c>
      <c r="Q7264">
        <v>3.4813650000000002E-2</v>
      </c>
      <c r="R7264">
        <v>0.99927200000000005</v>
      </c>
      <c r="S7264">
        <v>0.31758120000000001</v>
      </c>
      <c r="T7264">
        <v>-0.1443247</v>
      </c>
      <c r="U7264">
        <v>3.0023499999999999</v>
      </c>
      <c r="V7264">
        <v>1.6339949999999999E-2</v>
      </c>
      <c r="W7264">
        <v>4.9687250000000002E-2</v>
      </c>
      <c r="X7264">
        <v>0.99863120000000005</v>
      </c>
      <c r="Y7264">
        <v>0.1058553</v>
      </c>
      <c r="Z7264">
        <v>-4.7747329999999998E-2</v>
      </c>
      <c r="AA7264">
        <v>0.99323450000000002</v>
      </c>
      <c r="AB7264">
        <v>37</v>
      </c>
      <c r="AC7264">
        <v>2.4450999999999898</v>
      </c>
      <c r="AD7264">
        <v>-1.1109302842769999</v>
      </c>
      <c r="AE7264">
        <v>22.748380000000001</v>
      </c>
      <c r="AF7264">
        <v>2.4572538450340402</v>
      </c>
      <c r="AG7264">
        <v>-1.1109302842769999</v>
      </c>
      <c r="AH7264">
        <v>22.692941191300601</v>
      </c>
      <c r="AI7264">
        <v>92.786408645653793</v>
      </c>
      <c r="AJ7264">
        <v>83.819935022743493</v>
      </c>
      <c r="AK7264">
        <v>22.8526112833366</v>
      </c>
      <c r="AL7264">
        <v>87.151957702087003</v>
      </c>
      <c r="AM7264">
        <v>89.062590237033803</v>
      </c>
      <c r="AN7264">
        <v>1.0000000451960001</v>
      </c>
    </row>
    <row r="7265" spans="1:40" x14ac:dyDescent="0.25">
      <c r="A7265" t="str">
        <f>"20190312154439165"</f>
        <v>20190312154439165</v>
      </c>
      <c r="B7265" t="str">
        <f>"1552376679154585"</f>
        <v>1552376679154585</v>
      </c>
      <c r="C7265" t="s">
        <v>40</v>
      </c>
      <c r="D7265">
        <v>5.1300530000000002</v>
      </c>
      <c r="E7265">
        <v>0.53516019999999997</v>
      </c>
      <c r="F7265" t="s">
        <v>43</v>
      </c>
      <c r="G7265">
        <v>-185.0916</v>
      </c>
      <c r="H7265" s="1">
        <v>-3.2843289999999998E-6</v>
      </c>
      <c r="I7265">
        <v>85.259059999999906</v>
      </c>
      <c r="J7265">
        <v>-187.5206</v>
      </c>
      <c r="K7265">
        <v>1.1109209999999901</v>
      </c>
      <c r="L7265">
        <v>62.890439999999998</v>
      </c>
      <c r="M7265">
        <v>-1.260391E-3</v>
      </c>
      <c r="N7265">
        <v>0</v>
      </c>
      <c r="O7265">
        <v>0.99988869999999996</v>
      </c>
      <c r="P7265">
        <v>1.6897789999999999E-2</v>
      </c>
      <c r="Q7265">
        <v>3.4145950000000001E-2</v>
      </c>
      <c r="R7265">
        <v>0.999274</v>
      </c>
      <c r="S7265">
        <v>0.32037349999999998</v>
      </c>
      <c r="T7265">
        <v>-0.1465727</v>
      </c>
      <c r="U7265">
        <v>3.0022890000000002</v>
      </c>
      <c r="V7265">
        <v>1.8104780000000001E-2</v>
      </c>
      <c r="W7265">
        <v>4.9017159999999997E-2</v>
      </c>
      <c r="X7265">
        <v>0.99863389999999996</v>
      </c>
      <c r="Y7265">
        <v>0.1072359</v>
      </c>
      <c r="Z7265">
        <v>-4.8484289999999999E-2</v>
      </c>
      <c r="AA7265">
        <v>0.99305069999999995</v>
      </c>
      <c r="AB7265">
        <v>37</v>
      </c>
      <c r="AC7265">
        <v>2.4289999999999998</v>
      </c>
      <c r="AD7265">
        <v>-1.1109242843289999</v>
      </c>
      <c r="AE7265">
        <v>22.3686199999999</v>
      </c>
      <c r="AF7265">
        <v>2.4512187936754799</v>
      </c>
      <c r="AG7265">
        <v>-1.1109242843289999</v>
      </c>
      <c r="AH7265">
        <v>22.311150110003499</v>
      </c>
      <c r="AI7265">
        <v>92.833515063867594</v>
      </c>
      <c r="AJ7265">
        <v>83.730333201549101</v>
      </c>
      <c r="AK7265">
        <v>22.4728735494839</v>
      </c>
      <c r="AL7265">
        <v>87.190397929177607</v>
      </c>
      <c r="AM7265">
        <v>88.961367268165006</v>
      </c>
      <c r="AN7265">
        <v>1.00000006563125</v>
      </c>
    </row>
    <row r="7266" spans="1:40" x14ac:dyDescent="0.25">
      <c r="A7266" t="str">
        <f>"20190312154439187"</f>
        <v>20190312154439187</v>
      </c>
      <c r="B7266" t="str">
        <f>"1552376679184842"</f>
        <v>1552376679184842</v>
      </c>
      <c r="C7266" t="s">
        <v>40</v>
      </c>
      <c r="D7266">
        <v>3.9864009999999999</v>
      </c>
      <c r="E7266">
        <v>0.53627729999999996</v>
      </c>
      <c r="F7266" t="s">
        <v>43</v>
      </c>
      <c r="G7266">
        <v>-185.13120000000001</v>
      </c>
      <c r="H7266" s="1">
        <v>-3.1267250000000001E-6</v>
      </c>
      <c r="I7266">
        <v>84.908069999999995</v>
      </c>
      <c r="J7266">
        <v>-187.5215</v>
      </c>
      <c r="K7266">
        <v>1.110919</v>
      </c>
      <c r="L7266">
        <v>63.270359999999997</v>
      </c>
      <c r="M7266">
        <v>-1.7234990000000001E-3</v>
      </c>
      <c r="N7266">
        <v>0</v>
      </c>
      <c r="O7266">
        <v>0.99988809999999995</v>
      </c>
      <c r="P7266">
        <v>1.7575279999999999E-2</v>
      </c>
      <c r="Q7266">
        <v>3.3825889999999997E-2</v>
      </c>
      <c r="R7266">
        <v>0.99927319999999997</v>
      </c>
      <c r="S7266">
        <v>0.32575989999999999</v>
      </c>
      <c r="T7266">
        <v>-0.15146080000000001</v>
      </c>
      <c r="U7266">
        <v>3.0018310000000001</v>
      </c>
      <c r="V7266">
        <v>1.9245539999999998E-2</v>
      </c>
      <c r="W7266">
        <v>4.8693769999999997E-2</v>
      </c>
      <c r="X7266">
        <v>0.99862830000000002</v>
      </c>
      <c r="Y7266">
        <v>0.10946500000000001</v>
      </c>
      <c r="Z7266">
        <v>-5.0093810000000003E-2</v>
      </c>
      <c r="AA7266">
        <v>0.99272760000000004</v>
      </c>
      <c r="AB7266">
        <v>37</v>
      </c>
      <c r="AC7266">
        <v>2.3902999999999901</v>
      </c>
      <c r="AD7266">
        <v>-1.110922126725</v>
      </c>
      <c r="AE7266">
        <v>21.637709999999998</v>
      </c>
      <c r="AF7266">
        <v>2.4212875853147899</v>
      </c>
      <c r="AG7266">
        <v>-1.110922126725</v>
      </c>
      <c r="AH7266">
        <v>21.577365622543599</v>
      </c>
      <c r="AI7266">
        <v>92.928950551027398</v>
      </c>
      <c r="AJ7266">
        <v>83.597382255827398</v>
      </c>
      <c r="AK7266">
        <v>21.7411933607926</v>
      </c>
      <c r="AL7266">
        <v>87.208948717405704</v>
      </c>
      <c r="AM7266">
        <v>88.895933821680998</v>
      </c>
      <c r="AN7266">
        <v>0.99999997780379701</v>
      </c>
    </row>
    <row r="7267" spans="1:40" x14ac:dyDescent="0.25">
      <c r="A7267" t="str">
        <f>"20190312154439319"</f>
        <v>20190312154439319</v>
      </c>
      <c r="B7267" t="str">
        <f>"1552376679314562"</f>
        <v>1552376679314562</v>
      </c>
      <c r="C7267" t="s">
        <v>40</v>
      </c>
      <c r="D7267">
        <v>4.5078950000000004</v>
      </c>
      <c r="E7267">
        <v>0.58663589999999999</v>
      </c>
      <c r="F7267" t="s">
        <v>43</v>
      </c>
      <c r="G7267">
        <v>-185.06970000000001</v>
      </c>
      <c r="H7267" s="1">
        <v>-3.2260300000000001E-6</v>
      </c>
      <c r="I7267">
        <v>85.114140000000006</v>
      </c>
      <c r="J7267">
        <v>-187.53030000000001</v>
      </c>
      <c r="K7267">
        <v>1.110943</v>
      </c>
      <c r="L7267">
        <v>65.44699</v>
      </c>
      <c r="M7267">
        <v>-4.3794039999999999E-3</v>
      </c>
      <c r="N7267">
        <v>0</v>
      </c>
      <c r="O7267">
        <v>0.99988030000000006</v>
      </c>
      <c r="P7267">
        <v>1.6146669999999998E-2</v>
      </c>
      <c r="Q7267">
        <v>3.1444010000000001E-2</v>
      </c>
      <c r="R7267">
        <v>0.99937509999999996</v>
      </c>
      <c r="S7267">
        <v>0.3368835</v>
      </c>
      <c r="T7267">
        <v>-0.1526457</v>
      </c>
      <c r="U7267">
        <v>3.0014340000000002</v>
      </c>
      <c r="V7267">
        <v>2.047477E-2</v>
      </c>
      <c r="W7267">
        <v>4.6289900000000002E-2</v>
      </c>
      <c r="X7267">
        <v>0.9987182</v>
      </c>
      <c r="Y7267">
        <v>0.1157498</v>
      </c>
      <c r="Z7267">
        <v>-5.0462479999999997E-2</v>
      </c>
      <c r="AA7267">
        <v>0.99199579999999998</v>
      </c>
      <c r="AB7267">
        <v>37</v>
      </c>
      <c r="AC7267">
        <v>2.4605999999999901</v>
      </c>
      <c r="AD7267">
        <v>-1.11094622602999</v>
      </c>
      <c r="AE7267">
        <v>19.667149999999999</v>
      </c>
      <c r="AF7267">
        <v>2.5387404441627601</v>
      </c>
      <c r="AG7267">
        <v>-1.11094622602999</v>
      </c>
      <c r="AH7267">
        <v>19.594624751662501</v>
      </c>
      <c r="AI7267">
        <v>93.218153652717206</v>
      </c>
      <c r="AJ7267">
        <v>82.617705412729705</v>
      </c>
      <c r="AK7267">
        <v>19.789611510042899</v>
      </c>
      <c r="AL7267">
        <v>87.346836025366997</v>
      </c>
      <c r="AM7267">
        <v>88.825540980568206</v>
      </c>
      <c r="AN7267">
        <v>1.0000000070299</v>
      </c>
    </row>
    <row r="7268" spans="1:40" x14ac:dyDescent="0.25">
      <c r="A7268" t="str">
        <f>"20190312154439342"</f>
        <v>20190312154439342</v>
      </c>
      <c r="B7268" t="str">
        <f>"1552376679335060"</f>
        <v>1552376679335060</v>
      </c>
      <c r="C7268" t="s">
        <v>40</v>
      </c>
      <c r="D7268">
        <v>4.9674860000000001</v>
      </c>
      <c r="E7268">
        <v>0.58372119999999905</v>
      </c>
      <c r="F7268" t="s">
        <v>41</v>
      </c>
      <c r="G7268">
        <v>-187.34739999999999</v>
      </c>
      <c r="H7268">
        <v>0.81368609999999997</v>
      </c>
      <c r="I7268">
        <v>66.216530000000006</v>
      </c>
      <c r="J7268">
        <v>-187.5324</v>
      </c>
      <c r="K7268">
        <v>1.1109450000000001</v>
      </c>
      <c r="L7268">
        <v>65.822299999999998</v>
      </c>
      <c r="M7268">
        <v>-4.8378800000000001E-3</v>
      </c>
      <c r="N7268">
        <v>0</v>
      </c>
      <c r="O7268">
        <v>0.9998783</v>
      </c>
      <c r="P7268">
        <v>1.615548E-2</v>
      </c>
      <c r="Q7268">
        <v>3.1993220000000003E-2</v>
      </c>
      <c r="R7268">
        <v>0.99935750000000001</v>
      </c>
      <c r="S7268">
        <v>0.71855159999999996</v>
      </c>
      <c r="T7268">
        <v>-1.169289</v>
      </c>
      <c r="U7268">
        <v>3.027069</v>
      </c>
      <c r="V7268">
        <v>2.0941250000000002E-2</v>
      </c>
      <c r="W7268">
        <v>4.683528E-2</v>
      </c>
      <c r="X7268">
        <v>0.99868310000000005</v>
      </c>
      <c r="Y7268">
        <v>0.22091069999999999</v>
      </c>
      <c r="Z7268">
        <v>-0.35160720000000001</v>
      </c>
      <c r="AA7268">
        <v>0.9097092</v>
      </c>
      <c r="AB7268">
        <v>37</v>
      </c>
      <c r="AC7268">
        <v>0.185000000000002</v>
      </c>
      <c r="AD7268">
        <v>-0.29725889999999999</v>
      </c>
      <c r="AE7268">
        <v>0.39423000000000702</v>
      </c>
      <c r="AF7268">
        <v>0.12749816553880999</v>
      </c>
      <c r="AG7268">
        <v>-0.29725889999999999</v>
      </c>
      <c r="AH7268">
        <v>0.268311781084007</v>
      </c>
      <c r="AI7268">
        <v>135.01879358231</v>
      </c>
      <c r="AJ7268">
        <v>64.583558861778897</v>
      </c>
      <c r="AK7268">
        <v>0.42024974445375202</v>
      </c>
      <c r="AL7268">
        <v>87.315554123236893</v>
      </c>
      <c r="AM7268">
        <v>88.798748637593107</v>
      </c>
      <c r="AN7268">
        <v>1.00000000681492</v>
      </c>
    </row>
    <row r="7269" spans="1:40" x14ac:dyDescent="0.25">
      <c r="A7269" t="str">
        <f>"20190312154439367"</f>
        <v>20190312154439367</v>
      </c>
      <c r="B7269" t="str">
        <f>"1552376679364846"</f>
        <v>1552376679364846</v>
      </c>
      <c r="C7269" t="s">
        <v>40</v>
      </c>
      <c r="D7269">
        <v>5.2708870000000001</v>
      </c>
      <c r="E7269">
        <v>0.56477569999999999</v>
      </c>
      <c r="F7269" t="s">
        <v>41</v>
      </c>
      <c r="G7269">
        <v>-187.3614</v>
      </c>
      <c r="H7269">
        <v>0.8570065</v>
      </c>
      <c r="I7269">
        <v>66.56344</v>
      </c>
      <c r="J7269">
        <v>-187.53479999999999</v>
      </c>
      <c r="K7269">
        <v>1.1109439999999999</v>
      </c>
      <c r="L7269">
        <v>66.22842</v>
      </c>
      <c r="M7269">
        <v>-5.3339959999999997E-3</v>
      </c>
      <c r="N7269">
        <v>0</v>
      </c>
      <c r="O7269">
        <v>0.99987579999999998</v>
      </c>
      <c r="P7269">
        <v>1.6123189999999999E-2</v>
      </c>
      <c r="Q7269">
        <v>3.3873889999999997E-2</v>
      </c>
      <c r="R7269">
        <v>0.99929610000000002</v>
      </c>
      <c r="S7269">
        <v>0.69738769999999894</v>
      </c>
      <c r="T7269">
        <v>-1.036063</v>
      </c>
      <c r="U7269">
        <v>3.0238339999999999</v>
      </c>
      <c r="V7269">
        <v>2.1402569999999999E-2</v>
      </c>
      <c r="W7269">
        <v>4.8710440000000001E-2</v>
      </c>
      <c r="X7269">
        <v>0.99858360000000002</v>
      </c>
      <c r="Y7269">
        <v>0.21837010000000001</v>
      </c>
      <c r="Z7269">
        <v>-0.31648799999999999</v>
      </c>
      <c r="AA7269">
        <v>0.92311969999999999</v>
      </c>
      <c r="AB7269">
        <v>37</v>
      </c>
      <c r="AC7269">
        <v>0.17339999999998601</v>
      </c>
      <c r="AD7269">
        <v>-0.25393749999999998</v>
      </c>
      <c r="AE7269">
        <v>0.33501999999999998</v>
      </c>
      <c r="AF7269">
        <v>0.12055614218388799</v>
      </c>
      <c r="AG7269">
        <v>-0.25393749999999998</v>
      </c>
      <c r="AH7269">
        <v>0.22990947255668601</v>
      </c>
      <c r="AI7269">
        <v>134.368258399273</v>
      </c>
      <c r="AJ7269">
        <v>62.329122353551099</v>
      </c>
      <c r="AK7269">
        <v>0.36314790773981498</v>
      </c>
      <c r="AL7269">
        <v>87.207992500486895</v>
      </c>
      <c r="AM7269">
        <v>88.772171692283393</v>
      </c>
      <c r="AN7269">
        <v>0.99999999157827901</v>
      </c>
    </row>
    <row r="7270" spans="1:40" x14ac:dyDescent="0.25">
      <c r="A7270" t="str">
        <f>"20190312154439390"</f>
        <v>20190312154439390</v>
      </c>
      <c r="B7270" t="str">
        <f>"1552376679384366"</f>
        <v>1552376679384366</v>
      </c>
      <c r="C7270" t="s">
        <v>40</v>
      </c>
      <c r="D7270">
        <v>5.1242799999999997</v>
      </c>
      <c r="E7270">
        <v>0.56475419999999998</v>
      </c>
      <c r="F7270" t="s">
        <v>41</v>
      </c>
      <c r="G7270">
        <v>-187.39959999999999</v>
      </c>
      <c r="H7270">
        <v>1.0083839999999999</v>
      </c>
      <c r="I7270">
        <v>66.959130000000002</v>
      </c>
      <c r="J7270">
        <v>-187.53720000000001</v>
      </c>
      <c r="K7270">
        <v>1.1109420000000001</v>
      </c>
      <c r="L7270">
        <v>66.59442</v>
      </c>
      <c r="M7270">
        <v>-5.7812849999999997E-3</v>
      </c>
      <c r="N7270">
        <v>0</v>
      </c>
      <c r="O7270">
        <v>0.99987340000000002</v>
      </c>
      <c r="P7270">
        <v>1.5334560000000001E-2</v>
      </c>
      <c r="Q7270">
        <v>3.4448880000000001E-2</v>
      </c>
      <c r="R7270">
        <v>0.99928879999999998</v>
      </c>
      <c r="S7270">
        <v>0.55554199999999998</v>
      </c>
      <c r="T7270">
        <v>-0.42218729999999899</v>
      </c>
      <c r="U7270">
        <v>3.0074459999999998</v>
      </c>
      <c r="V7270">
        <v>2.10604E-2</v>
      </c>
      <c r="W7270">
        <v>4.9280530000000003E-2</v>
      </c>
      <c r="X7270">
        <v>0.99856290000000003</v>
      </c>
      <c r="Y7270">
        <v>0.18562670000000001</v>
      </c>
      <c r="Z7270">
        <v>-0.13667170000000001</v>
      </c>
      <c r="AA7270">
        <v>0.97306910000000002</v>
      </c>
      <c r="AB7270">
        <v>37</v>
      </c>
      <c r="AC7270">
        <v>0.13760000000002001</v>
      </c>
      <c r="AD7270">
        <v>-0.102558</v>
      </c>
      <c r="AE7270">
        <v>0.36471000000000198</v>
      </c>
      <c r="AF7270">
        <v>0.130661709279531</v>
      </c>
      <c r="AG7270">
        <v>-0.102558</v>
      </c>
      <c r="AH7270">
        <v>0.34034857233410998</v>
      </c>
      <c r="AI7270">
        <v>105.71203479293</v>
      </c>
      <c r="AJ7270">
        <v>68.997926375892405</v>
      </c>
      <c r="AK7270">
        <v>0.37871859780807698</v>
      </c>
      <c r="AL7270">
        <v>87.1752894628532</v>
      </c>
      <c r="AM7270">
        <v>88.7917704872645</v>
      </c>
      <c r="AN7270">
        <v>0.99999998817082503</v>
      </c>
    </row>
    <row r="7271" spans="1:40" x14ac:dyDescent="0.25">
      <c r="A7271" t="str">
        <f>"20190312154439410"</f>
        <v>20190312154439410</v>
      </c>
      <c r="B7271" t="str">
        <f>"1552376679404863"</f>
        <v>1552376679404863</v>
      </c>
      <c r="C7271" t="s">
        <v>40</v>
      </c>
      <c r="D7271">
        <v>5.0981569999999996</v>
      </c>
      <c r="E7271">
        <v>0.55274190000000001</v>
      </c>
      <c r="F7271" t="s">
        <v>41</v>
      </c>
      <c r="G7271">
        <v>-187.3484</v>
      </c>
      <c r="H7271">
        <v>1.001833</v>
      </c>
      <c r="I7271">
        <v>67.616129999999998</v>
      </c>
      <c r="J7271">
        <v>-187.53960000000001</v>
      </c>
      <c r="K7271">
        <v>1.11094</v>
      </c>
      <c r="L7271">
        <v>66.940919999999906</v>
      </c>
      <c r="M7271">
        <v>-6.2049050000000001E-3</v>
      </c>
      <c r="N7271">
        <v>0</v>
      </c>
      <c r="O7271">
        <v>0.99987090000000001</v>
      </c>
      <c r="P7271">
        <v>1.5190520000000001E-2</v>
      </c>
      <c r="Q7271">
        <v>3.4094020000000003E-2</v>
      </c>
      <c r="R7271">
        <v>0.99930319999999995</v>
      </c>
      <c r="S7271">
        <v>0.55471800000000004</v>
      </c>
      <c r="T7271">
        <v>-0.32091059999999999</v>
      </c>
      <c r="U7271">
        <v>3.0047000000000001</v>
      </c>
      <c r="V7271">
        <v>2.1340270000000001E-2</v>
      </c>
      <c r="W7271">
        <v>4.8922390000000003E-2</v>
      </c>
      <c r="X7271">
        <v>0.99857459999999998</v>
      </c>
      <c r="Y7271">
        <v>0.1866556</v>
      </c>
      <c r="Z7271">
        <v>-0.10439030000000001</v>
      </c>
      <c r="AA7271">
        <v>0.97686360000000005</v>
      </c>
      <c r="AB7271">
        <v>37</v>
      </c>
      <c r="AC7271">
        <v>0.191200000000009</v>
      </c>
      <c r="AD7271">
        <v>-0.109107</v>
      </c>
      <c r="AE7271">
        <v>0.67521000000000697</v>
      </c>
      <c r="AF7271">
        <v>0.190774809746418</v>
      </c>
      <c r="AG7271">
        <v>-0.109107</v>
      </c>
      <c r="AH7271">
        <v>0.65810224243833604</v>
      </c>
      <c r="AI7271">
        <v>99.047519241787796</v>
      </c>
      <c r="AJ7271">
        <v>73.833851478109295</v>
      </c>
      <c r="AK7271">
        <v>0.69382845645386204</v>
      </c>
      <c r="AL7271">
        <v>87.195834242882597</v>
      </c>
      <c r="AM7271">
        <v>88.775733615192607</v>
      </c>
      <c r="AN7271">
        <v>1.0000000195660701</v>
      </c>
    </row>
    <row r="7272" spans="1:40" x14ac:dyDescent="0.25">
      <c r="A7272" t="str">
        <f>"20190312154439434"</f>
        <v>20190312154439434</v>
      </c>
      <c r="B7272" t="str">
        <f>"1552376679424383"</f>
        <v>1552376679424383</v>
      </c>
      <c r="C7272" t="s">
        <v>40</v>
      </c>
      <c r="D7272">
        <v>5.083933</v>
      </c>
      <c r="E7272">
        <v>0.55200909999999903</v>
      </c>
      <c r="F7272" t="s">
        <v>62</v>
      </c>
      <c r="G7272">
        <v>-169.3135</v>
      </c>
      <c r="H7272">
        <v>1.867108</v>
      </c>
      <c r="I7272">
        <v>184.38300000000001</v>
      </c>
      <c r="J7272">
        <v>-187.54239999999999</v>
      </c>
      <c r="K7272">
        <v>1.11094</v>
      </c>
      <c r="L7272">
        <v>67.316280000000006</v>
      </c>
      <c r="M7272">
        <v>-6.6641060000000004E-3</v>
      </c>
      <c r="N7272">
        <v>0</v>
      </c>
      <c r="O7272">
        <v>0.99986799999999998</v>
      </c>
      <c r="P7272">
        <v>1.559878E-2</v>
      </c>
      <c r="Q7272">
        <v>3.307148E-2</v>
      </c>
      <c r="R7272">
        <v>0.99933119999999998</v>
      </c>
      <c r="S7272">
        <v>0.46470640000000002</v>
      </c>
      <c r="T7272">
        <v>1.928067E-2</v>
      </c>
      <c r="U7272">
        <v>2.9943849999999999</v>
      </c>
      <c r="V7272">
        <v>2.2208769999999999E-2</v>
      </c>
      <c r="W7272">
        <v>4.7897429999999998E-2</v>
      </c>
      <c r="X7272">
        <v>0.99860530000000003</v>
      </c>
      <c r="Y7272">
        <v>0.159936299999999</v>
      </c>
      <c r="Z7272">
        <v>6.3590919999999898E-3</v>
      </c>
      <c r="AA7272">
        <v>0.98710690000000001</v>
      </c>
      <c r="AB7272">
        <v>37</v>
      </c>
      <c r="AC7272">
        <v>18.2288999999999</v>
      </c>
      <c r="AD7272">
        <v>0.75616799999999995</v>
      </c>
      <c r="AE7272">
        <v>117.06671999999899</v>
      </c>
      <c r="AF7272">
        <v>19.007951541231701</v>
      </c>
      <c r="AG7272">
        <v>0.75616799999999995</v>
      </c>
      <c r="AH7272">
        <v>116.93786381988301</v>
      </c>
      <c r="AI7272">
        <v>89.634306730941304</v>
      </c>
      <c r="AJ7272">
        <v>80.767465049625599</v>
      </c>
      <c r="AK7272">
        <v>118.475052254031</v>
      </c>
      <c r="AL7272">
        <v>87.254628921997394</v>
      </c>
      <c r="AM7272">
        <v>88.725964041785602</v>
      </c>
      <c r="AN7272">
        <v>0.99999996922680301</v>
      </c>
    </row>
    <row r="7273" spans="1:40" x14ac:dyDescent="0.25">
      <c r="A7273" t="str">
        <f>"20190312154439455"</f>
        <v>20190312154439455</v>
      </c>
      <c r="B7273" t="str">
        <f>"1552376679444879"</f>
        <v>1552376679444879</v>
      </c>
      <c r="C7273" t="s">
        <v>40</v>
      </c>
      <c r="D7273">
        <v>5.0368559999999896</v>
      </c>
      <c r="E7273">
        <v>0.55338580000000004</v>
      </c>
      <c r="F7273" t="s">
        <v>62</v>
      </c>
      <c r="G7273">
        <v>-169.4015</v>
      </c>
      <c r="H7273">
        <v>3.795048</v>
      </c>
      <c r="I7273">
        <v>185.054</v>
      </c>
      <c r="J7273">
        <v>-187.54519999999999</v>
      </c>
      <c r="K7273">
        <v>1.110946</v>
      </c>
      <c r="L7273">
        <v>67.669529999999995</v>
      </c>
      <c r="M7273">
        <v>-7.0963700000000003E-3</v>
      </c>
      <c r="N7273">
        <v>0</v>
      </c>
      <c r="O7273">
        <v>0.99986509999999995</v>
      </c>
      <c r="P7273">
        <v>1.5048499999999999E-2</v>
      </c>
      <c r="Q7273">
        <v>3.4093020000000002E-2</v>
      </c>
      <c r="R7273">
        <v>0.99930540000000001</v>
      </c>
      <c r="S7273">
        <v>0.4610901</v>
      </c>
      <c r="T7273">
        <v>6.8223119999999998E-2</v>
      </c>
      <c r="U7273">
        <v>2.9925540000000002</v>
      </c>
      <c r="V7273">
        <v>2.2089359999999999E-2</v>
      </c>
      <c r="W7273">
        <v>4.8913810000000002E-2</v>
      </c>
      <c r="X7273">
        <v>0.99855870000000002</v>
      </c>
      <c r="Y7273">
        <v>0.15925410000000001</v>
      </c>
      <c r="Z7273">
        <v>2.251264E-2</v>
      </c>
      <c r="AA7273">
        <v>0.98698090000000005</v>
      </c>
      <c r="AB7273">
        <v>37</v>
      </c>
      <c r="AC7273">
        <v>18.1436999999999</v>
      </c>
      <c r="AD7273">
        <v>2.6841020000000002</v>
      </c>
      <c r="AE7273">
        <v>117.38446999999999</v>
      </c>
      <c r="AF7273">
        <v>18.9666527699639</v>
      </c>
      <c r="AG7273">
        <v>2.6841020000000002</v>
      </c>
      <c r="AH7273">
        <v>117.192900603032</v>
      </c>
      <c r="AI7273">
        <v>88.704814660474398</v>
      </c>
      <c r="AJ7273">
        <v>80.806886704042199</v>
      </c>
      <c r="AK7273">
        <v>118.74811271171799</v>
      </c>
      <c r="AL7273">
        <v>87.1963263441165</v>
      </c>
      <c r="AM7273">
        <v>88.732752800496996</v>
      </c>
      <c r="AN7273">
        <v>0.99999998898980702</v>
      </c>
    </row>
    <row r="7274" spans="1:40" x14ac:dyDescent="0.25">
      <c r="A7274" t="str">
        <f>"20190312154439477"</f>
        <v>20190312154439477</v>
      </c>
      <c r="B7274" t="str">
        <f>"1552376679475134"</f>
        <v>1552376679475134</v>
      </c>
      <c r="C7274" t="s">
        <v>40</v>
      </c>
      <c r="D7274">
        <v>5.1439380000000003</v>
      </c>
      <c r="E7274">
        <v>0.55150779999999999</v>
      </c>
      <c r="F7274" t="s">
        <v>62</v>
      </c>
      <c r="G7274">
        <v>-169.2731</v>
      </c>
      <c r="H7274">
        <v>0.87181260000000005</v>
      </c>
      <c r="I7274">
        <v>184.38339999999999</v>
      </c>
      <c r="J7274">
        <v>-187.54820000000001</v>
      </c>
      <c r="K7274">
        <v>1.1109500000000001</v>
      </c>
      <c r="L7274">
        <v>68.025359999999907</v>
      </c>
      <c r="M7274">
        <v>-7.532001E-3</v>
      </c>
      <c r="N7274">
        <v>0</v>
      </c>
      <c r="O7274">
        <v>0.99986200000000003</v>
      </c>
      <c r="P7274">
        <v>1.3940019999999999E-2</v>
      </c>
      <c r="Q7274">
        <v>3.487225E-2</v>
      </c>
      <c r="R7274">
        <v>0.99929460000000003</v>
      </c>
      <c r="S7274">
        <v>0.4689178</v>
      </c>
      <c r="T7274">
        <v>-6.1360599999999996E-3</v>
      </c>
      <c r="U7274">
        <v>2.9952390000000002</v>
      </c>
      <c r="V7274">
        <v>2.1415460000000001E-2</v>
      </c>
      <c r="W7274">
        <v>4.9688669999999997E-2</v>
      </c>
      <c r="X7274">
        <v>0.99853519999999896</v>
      </c>
      <c r="Y7274">
        <v>0.1621079</v>
      </c>
      <c r="Z7274">
        <v>-2.0226459999999999E-3</v>
      </c>
      <c r="AA7274">
        <v>0.98677099999999995</v>
      </c>
      <c r="AB7274">
        <v>37</v>
      </c>
      <c r="AC7274">
        <v>18.275099999999998</v>
      </c>
      <c r="AD7274">
        <v>-0.2391374</v>
      </c>
      <c r="AE7274">
        <v>116.35803999999899</v>
      </c>
      <c r="AF7274">
        <v>19.151007519490701</v>
      </c>
      <c r="AG7274">
        <v>-0.2391374</v>
      </c>
      <c r="AH7274">
        <v>116.21659645229199</v>
      </c>
      <c r="AI7274">
        <v>90.116327777790801</v>
      </c>
      <c r="AJ7274">
        <v>80.642484708239706</v>
      </c>
      <c r="AK7274">
        <v>117.78419064824701</v>
      </c>
      <c r="AL7274">
        <v>87.151876300040598</v>
      </c>
      <c r="AM7274">
        <v>88.771372910278799</v>
      </c>
      <c r="AN7274">
        <v>1.0000000657462</v>
      </c>
    </row>
    <row r="7275" spans="1:40" x14ac:dyDescent="0.25">
      <c r="A7275" t="str">
        <f>"20190312154439499"</f>
        <v>20190312154439499</v>
      </c>
      <c r="B7275" t="str">
        <f>"1552376679494655"</f>
        <v>1552376679494655</v>
      </c>
      <c r="C7275" t="s">
        <v>40</v>
      </c>
      <c r="D7275">
        <v>5.2057200000000003</v>
      </c>
      <c r="E7275">
        <v>0.55170699999999995</v>
      </c>
      <c r="F7275" t="s">
        <v>69</v>
      </c>
      <c r="G7275">
        <v>-179.68109999999999</v>
      </c>
      <c r="H7275">
        <v>7.9988580000000004E-2</v>
      </c>
      <c r="I7275">
        <v>120.5035</v>
      </c>
      <c r="J7275">
        <v>-187.5513</v>
      </c>
      <c r="K7275">
        <v>1.110957</v>
      </c>
      <c r="L7275">
        <v>68.389769999999999</v>
      </c>
      <c r="M7275">
        <v>-7.9780570000000002E-3</v>
      </c>
      <c r="N7275">
        <v>0</v>
      </c>
      <c r="O7275">
        <v>0.99985860000000004</v>
      </c>
      <c r="P7275">
        <v>1.285556E-2</v>
      </c>
      <c r="Q7275">
        <v>3.4955390000000003E-2</v>
      </c>
      <c r="R7275">
        <v>0.99930620000000003</v>
      </c>
      <c r="S7275">
        <v>0.44941710000000001</v>
      </c>
      <c r="T7275">
        <v>-5.889523E-2</v>
      </c>
      <c r="U7275">
        <v>2.9978940000000001</v>
      </c>
      <c r="V7275">
        <v>2.0776900000000001E-2</v>
      </c>
      <c r="W7275">
        <v>4.9767260000000001E-2</v>
      </c>
      <c r="X7275">
        <v>0.99854469999999995</v>
      </c>
      <c r="Y7275">
        <v>0.15611240000000001</v>
      </c>
      <c r="Z7275">
        <v>-1.9411979999999999E-2</v>
      </c>
      <c r="AA7275">
        <v>0.98754850000000005</v>
      </c>
      <c r="AB7275">
        <v>37</v>
      </c>
      <c r="AC7275">
        <v>7.8702000000000103</v>
      </c>
      <c r="AD7275">
        <v>-1.03096842</v>
      </c>
      <c r="AE7275">
        <v>52.113729999999997</v>
      </c>
      <c r="AF7275">
        <v>8.2825920755395508</v>
      </c>
      <c r="AG7275">
        <v>-1.03096842</v>
      </c>
      <c r="AH7275">
        <v>52.029366696135497</v>
      </c>
      <c r="AI7275">
        <v>91.121062233401304</v>
      </c>
      <c r="AJ7275">
        <v>80.954939997125194</v>
      </c>
      <c r="AK7275">
        <v>52.694584410295498</v>
      </c>
      <c r="AL7275">
        <v>87.147367627539495</v>
      </c>
      <c r="AM7275">
        <v>88.808008362835395</v>
      </c>
      <c r="AN7275">
        <v>0.99999998881980301</v>
      </c>
    </row>
    <row r="7276" spans="1:40" x14ac:dyDescent="0.25">
      <c r="A7276" t="str">
        <f>"20190312154439521"</f>
        <v>20190312154439521</v>
      </c>
      <c r="B7276" t="str">
        <f>"1552376679515151"</f>
        <v>1552376679515151</v>
      </c>
      <c r="C7276" t="s">
        <v>40</v>
      </c>
      <c r="D7276">
        <v>5.1935929999999999</v>
      </c>
      <c r="E7276">
        <v>0.55116580000000004</v>
      </c>
      <c r="F7276" t="s">
        <v>43</v>
      </c>
      <c r="G7276">
        <v>-181.31460000000001</v>
      </c>
      <c r="H7276" s="1">
        <v>-2.4924679999999998E-6</v>
      </c>
      <c r="I7276">
        <v>110.1814</v>
      </c>
      <c r="J7276">
        <v>-187.55459999999999</v>
      </c>
      <c r="K7276">
        <v>1.1109530000000001</v>
      </c>
      <c r="L7276">
        <v>68.747410000000002</v>
      </c>
      <c r="M7276">
        <v>-8.4159839999999996E-3</v>
      </c>
      <c r="N7276">
        <v>0</v>
      </c>
      <c r="O7276">
        <v>0.99985500000000005</v>
      </c>
      <c r="P7276">
        <v>1.2647190000000001E-2</v>
      </c>
      <c r="Q7276">
        <v>3.555585E-2</v>
      </c>
      <c r="R7276">
        <v>0.9992877</v>
      </c>
      <c r="S7276">
        <v>0.44757079999999999</v>
      </c>
      <c r="T7276">
        <v>-7.9726340000000007E-2</v>
      </c>
      <c r="U7276">
        <v>2.9991150000000002</v>
      </c>
      <c r="V7276">
        <v>2.100552E-2</v>
      </c>
      <c r="W7276">
        <v>5.036351E-2</v>
      </c>
      <c r="X7276">
        <v>0.99851000000000001</v>
      </c>
      <c r="Y7276">
        <v>0.15586829999999999</v>
      </c>
      <c r="Z7276">
        <v>-2.6264760000000002E-2</v>
      </c>
      <c r="AA7276">
        <v>0.98742859999999999</v>
      </c>
      <c r="AB7276">
        <v>36</v>
      </c>
      <c r="AC7276">
        <v>6.2399999999999798</v>
      </c>
      <c r="AD7276">
        <v>-1.1109554924680001</v>
      </c>
      <c r="AE7276">
        <v>41.433990000000001</v>
      </c>
      <c r="AF7276">
        <v>6.5838966611781196</v>
      </c>
      <c r="AG7276">
        <v>-1.1109554924680001</v>
      </c>
      <c r="AH7276">
        <v>41.350932133461697</v>
      </c>
      <c r="AI7276">
        <v>91.519832850660904</v>
      </c>
      <c r="AJ7276">
        <v>80.953301872215306</v>
      </c>
      <c r="AK7276">
        <v>41.886531315656498</v>
      </c>
      <c r="AL7276">
        <v>87.113162060993105</v>
      </c>
      <c r="AM7276">
        <v>88.794854183388296</v>
      </c>
      <c r="AN7276">
        <v>0.99999996755499398</v>
      </c>
    </row>
    <row r="7277" spans="1:40" x14ac:dyDescent="0.25">
      <c r="A7277" t="str">
        <f>"20190312154439543"</f>
        <v>20190312154439543</v>
      </c>
      <c r="B7277" t="str">
        <f>"1552376679534671"</f>
        <v>1552376679534671</v>
      </c>
      <c r="C7277" t="s">
        <v>40</v>
      </c>
      <c r="D7277">
        <v>5.2181290000000002</v>
      </c>
      <c r="E7277">
        <v>0.55071899999999996</v>
      </c>
      <c r="F7277" t="s">
        <v>43</v>
      </c>
      <c r="G7277">
        <v>-182.23050000000001</v>
      </c>
      <c r="H7277" s="1">
        <v>-3.8402089999999997E-6</v>
      </c>
      <c r="I7277">
        <v>104.8579</v>
      </c>
      <c r="J7277">
        <v>-187.5581</v>
      </c>
      <c r="K7277">
        <v>1.1109519999999999</v>
      </c>
      <c r="L7277">
        <v>69.106350000000006</v>
      </c>
      <c r="M7277">
        <v>-8.8559439999999993E-3</v>
      </c>
      <c r="N7277">
        <v>0</v>
      </c>
      <c r="O7277">
        <v>0.9998513</v>
      </c>
      <c r="P7277">
        <v>1.2105049999999999E-2</v>
      </c>
      <c r="Q7277">
        <v>3.5270900000000001E-2</v>
      </c>
      <c r="R7277">
        <v>0.99930450000000004</v>
      </c>
      <c r="S7277">
        <v>0.4422913</v>
      </c>
      <c r="T7277">
        <v>-9.2290759999999999E-2</v>
      </c>
      <c r="U7277">
        <v>2.9998170000000002</v>
      </c>
      <c r="V7277">
        <v>2.0903620000000001E-2</v>
      </c>
      <c r="W7277">
        <v>5.007491E-2</v>
      </c>
      <c r="X7277">
        <v>0.99852669999999999</v>
      </c>
      <c r="Y7277">
        <v>0.15455150000000001</v>
      </c>
      <c r="Z7277">
        <v>-3.0400190000000001E-2</v>
      </c>
      <c r="AA7277">
        <v>0.98751690000000003</v>
      </c>
      <c r="AB7277">
        <v>36</v>
      </c>
      <c r="AC7277">
        <v>5.3275999999999897</v>
      </c>
      <c r="AD7277">
        <v>-1.1109558402089901</v>
      </c>
      <c r="AE7277">
        <v>35.751549999999902</v>
      </c>
      <c r="AF7277">
        <v>5.6387128843609799</v>
      </c>
      <c r="AG7277">
        <v>-1.1109558402089901</v>
      </c>
      <c r="AH7277">
        <v>35.669267075358299</v>
      </c>
      <c r="AI7277">
        <v>91.762091317439896</v>
      </c>
      <c r="AJ7277">
        <v>81.016836632575803</v>
      </c>
      <c r="AK7277">
        <v>36.129294479195003</v>
      </c>
      <c r="AL7277">
        <v>87.129718648384198</v>
      </c>
      <c r="AM7277">
        <v>88.800718813612306</v>
      </c>
      <c r="AN7277">
        <v>1.00000001427675</v>
      </c>
    </row>
    <row r="7278" spans="1:40" x14ac:dyDescent="0.25">
      <c r="A7278" t="str">
        <f>"20190312154439567"</f>
        <v>20190312154439567</v>
      </c>
      <c r="B7278" t="str">
        <f>"1552376679555167"</f>
        <v>1552376679555167</v>
      </c>
      <c r="C7278" t="s">
        <v>40</v>
      </c>
      <c r="D7278">
        <v>5.2565689999999998</v>
      </c>
      <c r="E7278">
        <v>0.55024729999999999</v>
      </c>
      <c r="F7278" t="s">
        <v>43</v>
      </c>
      <c r="G7278">
        <v>-183.0402</v>
      </c>
      <c r="H7278" s="1">
        <v>-2.03032E-6</v>
      </c>
      <c r="I7278">
        <v>100.1725</v>
      </c>
      <c r="J7278">
        <v>-187.56200000000001</v>
      </c>
      <c r="K7278">
        <v>1.110957</v>
      </c>
      <c r="L7278">
        <v>69.496030000000005</v>
      </c>
      <c r="M7278">
        <v>-9.3338129999999998E-3</v>
      </c>
      <c r="N7278">
        <v>0</v>
      </c>
      <c r="O7278">
        <v>0.99984700000000004</v>
      </c>
      <c r="P7278">
        <v>1.1715690000000001E-2</v>
      </c>
      <c r="Q7278">
        <v>3.5249620000000002E-2</v>
      </c>
      <c r="R7278">
        <v>0.99930980000000003</v>
      </c>
      <c r="S7278">
        <v>0.4363708</v>
      </c>
      <c r="T7278">
        <v>-0.10730339999999999</v>
      </c>
      <c r="U7278">
        <v>3.0005799999999998</v>
      </c>
      <c r="V7278">
        <v>2.0992029999999998E-2</v>
      </c>
      <c r="W7278">
        <v>5.004919E-2</v>
      </c>
      <c r="X7278">
        <v>0.99852609999999997</v>
      </c>
      <c r="Y7278">
        <v>0.15305639999999901</v>
      </c>
      <c r="Z7278">
        <v>-3.5339519999999999E-2</v>
      </c>
      <c r="AA7278">
        <v>0.98758539999999995</v>
      </c>
      <c r="AB7278">
        <v>36</v>
      </c>
      <c r="AC7278">
        <v>4.5218000000000096</v>
      </c>
      <c r="AD7278">
        <v>-1.1109590303200001</v>
      </c>
      <c r="AE7278">
        <v>30.676469999999899</v>
      </c>
      <c r="AF7278">
        <v>4.8017988751348399</v>
      </c>
      <c r="AG7278">
        <v>-1.1109590303200001</v>
      </c>
      <c r="AH7278">
        <v>30.593651292458201</v>
      </c>
      <c r="AI7278">
        <v>92.054559178822799</v>
      </c>
      <c r="AJ7278">
        <v>81.079964800687506</v>
      </c>
      <c r="AK7278">
        <v>30.9881106524555</v>
      </c>
      <c r="AL7278">
        <v>87.131194046252006</v>
      </c>
      <c r="AM7278">
        <v>88.795647327921401</v>
      </c>
      <c r="AN7278">
        <v>0.999999979562193</v>
      </c>
    </row>
    <row r="7279" spans="1:40" x14ac:dyDescent="0.25">
      <c r="A7279" t="str">
        <f>"20190312154439590"</f>
        <v>20190312154439590</v>
      </c>
      <c r="B7279" t="str">
        <f>"1552376679584447"</f>
        <v>1552376679584447</v>
      </c>
      <c r="C7279" t="s">
        <v>40</v>
      </c>
      <c r="D7279">
        <v>5.2511850000000004</v>
      </c>
      <c r="E7279">
        <v>0.54985209999999995</v>
      </c>
      <c r="F7279" t="s">
        <v>43</v>
      </c>
      <c r="G7279">
        <v>-183.4974</v>
      </c>
      <c r="H7279" s="1">
        <v>-4.6462989999999996E-6</v>
      </c>
      <c r="I7279">
        <v>97.774690000000007</v>
      </c>
      <c r="J7279">
        <v>-187.5658</v>
      </c>
      <c r="K7279">
        <v>1.1109610000000001</v>
      </c>
      <c r="L7279">
        <v>69.856290000000001</v>
      </c>
      <c r="M7279">
        <v>-9.7758570000000006E-3</v>
      </c>
      <c r="N7279">
        <v>0</v>
      </c>
      <c r="O7279">
        <v>0.99984280000000003</v>
      </c>
      <c r="P7279">
        <v>1.1081300000000001E-2</v>
      </c>
      <c r="Q7279">
        <v>3.5604110000000001E-2</v>
      </c>
      <c r="R7279">
        <v>0.99930450000000004</v>
      </c>
      <c r="S7279">
        <v>0.43136600000000003</v>
      </c>
      <c r="T7279">
        <v>-0.1179042</v>
      </c>
      <c r="U7279">
        <v>3.00116</v>
      </c>
      <c r="V7279">
        <v>2.0799120000000001E-2</v>
      </c>
      <c r="W7279">
        <v>5.0398760000000001E-2</v>
      </c>
      <c r="X7279">
        <v>0.99851259999999997</v>
      </c>
      <c r="Y7279">
        <v>0.15183440000000001</v>
      </c>
      <c r="Z7279">
        <v>-3.8826340000000001E-2</v>
      </c>
      <c r="AA7279">
        <v>0.9876431</v>
      </c>
      <c r="AB7279">
        <v>36</v>
      </c>
      <c r="AC7279">
        <v>4.0683999999999898</v>
      </c>
      <c r="AD7279">
        <v>-1.1109656462989901</v>
      </c>
      <c r="AE7279">
        <v>27.918399999999998</v>
      </c>
      <c r="AF7279">
        <v>4.3344408018398299</v>
      </c>
      <c r="AG7279">
        <v>-1.1109656462989901</v>
      </c>
      <c r="AH7279">
        <v>27.834130132981802</v>
      </c>
      <c r="AI7279">
        <v>92.258487122230505</v>
      </c>
      <c r="AJ7279">
        <v>81.148765112341707</v>
      </c>
      <c r="AK7279">
        <v>28.191495561457501</v>
      </c>
      <c r="AL7279">
        <v>87.111139983770499</v>
      </c>
      <c r="AM7279">
        <v>88.806695597681895</v>
      </c>
      <c r="AN7279">
        <v>1.0000000253805299</v>
      </c>
    </row>
    <row r="7280" spans="1:40" x14ac:dyDescent="0.25">
      <c r="A7280" t="str">
        <f>"20190312154439610"</f>
        <v>20190312154439610</v>
      </c>
      <c r="B7280" t="str">
        <f>"1552376679604943"</f>
        <v>1552376679604943</v>
      </c>
      <c r="C7280" t="s">
        <v>40</v>
      </c>
      <c r="D7280">
        <v>5.2631410000000001</v>
      </c>
      <c r="E7280">
        <v>0.54970280000000005</v>
      </c>
      <c r="F7280" t="s">
        <v>43</v>
      </c>
      <c r="G7280">
        <v>-183.89490000000001</v>
      </c>
      <c r="H7280" s="1">
        <v>-3.699847E-6</v>
      </c>
      <c r="I7280">
        <v>95.732820000000004</v>
      </c>
      <c r="J7280">
        <v>-187.56960000000001</v>
      </c>
      <c r="K7280">
        <v>1.110965</v>
      </c>
      <c r="L7280">
        <v>70.19717</v>
      </c>
      <c r="M7280">
        <v>-1.019374E-2</v>
      </c>
      <c r="N7280">
        <v>0</v>
      </c>
      <c r="O7280">
        <v>0.99983869999999997</v>
      </c>
      <c r="P7280">
        <v>1.06436E-2</v>
      </c>
      <c r="Q7280">
        <v>3.6465400000000002E-2</v>
      </c>
      <c r="R7280">
        <v>0.99927820000000001</v>
      </c>
      <c r="S7280">
        <v>0.4258728</v>
      </c>
      <c r="T7280">
        <v>-0.12888369999999999</v>
      </c>
      <c r="U7280">
        <v>3.0019529999999999</v>
      </c>
      <c r="V7280">
        <v>2.077799E-2</v>
      </c>
      <c r="W7280">
        <v>5.1255469999999997E-2</v>
      </c>
      <c r="X7280">
        <v>0.99846939999999995</v>
      </c>
      <c r="Y7280">
        <v>0.15041879999999999</v>
      </c>
      <c r="Z7280">
        <v>-4.2434359999999997E-2</v>
      </c>
      <c r="AA7280">
        <v>0.98771129999999996</v>
      </c>
      <c r="AB7280">
        <v>36</v>
      </c>
      <c r="AC7280">
        <v>3.6747000000000001</v>
      </c>
      <c r="AD7280">
        <v>-1.1109686998469901</v>
      </c>
      <c r="AE7280">
        <v>25.535649999999901</v>
      </c>
      <c r="AF7280">
        <v>3.9275579295029801</v>
      </c>
      <c r="AG7280">
        <v>-1.1109686998469901</v>
      </c>
      <c r="AH7280">
        <v>25.449665544783201</v>
      </c>
      <c r="AI7280">
        <v>92.470370223800998</v>
      </c>
      <c r="AJ7280">
        <v>81.226953951755306</v>
      </c>
      <c r="AK7280">
        <v>25.774899400055201</v>
      </c>
      <c r="AL7280">
        <v>87.061990500869101</v>
      </c>
      <c r="AM7280">
        <v>88.807855973149003</v>
      </c>
      <c r="AN7280">
        <v>0.99999999540485995</v>
      </c>
    </row>
    <row r="7281" spans="1:40" x14ac:dyDescent="0.25">
      <c r="A7281" t="str">
        <f>"20190312154439634"</f>
        <v>20190312154439634</v>
      </c>
      <c r="B7281" t="str">
        <f>"1552376679624464"</f>
        <v>1552376679624464</v>
      </c>
      <c r="C7281" t="s">
        <v>40</v>
      </c>
      <c r="D7281">
        <v>5.4107349999999999</v>
      </c>
      <c r="E7281">
        <v>0.52181239999999995</v>
      </c>
      <c r="F7281" t="s">
        <v>43</v>
      </c>
      <c r="G7281">
        <v>-184.02189999999999</v>
      </c>
      <c r="H7281" s="1">
        <v>-3.5340340000000001E-6</v>
      </c>
      <c r="I7281">
        <v>95.358860000000007</v>
      </c>
      <c r="J7281">
        <v>-187.57390000000001</v>
      </c>
      <c r="K7281">
        <v>1.1109690000000001</v>
      </c>
      <c r="L7281">
        <v>70.572419999999994</v>
      </c>
      <c r="M7281">
        <v>-1.065404E-2</v>
      </c>
      <c r="N7281">
        <v>0</v>
      </c>
      <c r="O7281">
        <v>0.999834</v>
      </c>
      <c r="P7281">
        <v>9.7812469999999999E-3</v>
      </c>
      <c r="Q7281">
        <v>3.7270919999999999E-2</v>
      </c>
      <c r="R7281">
        <v>0.99925730000000001</v>
      </c>
      <c r="S7281">
        <v>0.42333979999999999</v>
      </c>
      <c r="T7281">
        <v>-0.13256999999999999</v>
      </c>
      <c r="U7281">
        <v>3.0025019999999998</v>
      </c>
      <c r="V7281">
        <v>2.0374719999999999E-2</v>
      </c>
      <c r="W7281">
        <v>5.2055490000000003E-2</v>
      </c>
      <c r="X7281">
        <v>0.99843630000000005</v>
      </c>
      <c r="Y7281">
        <v>0.15002460000000001</v>
      </c>
      <c r="Z7281">
        <v>-4.3641409999999999E-2</v>
      </c>
      <c r="AA7281">
        <v>0.9877186</v>
      </c>
      <c r="AB7281">
        <v>36</v>
      </c>
      <c r="AC7281">
        <v>3.55200000000002</v>
      </c>
      <c r="AD7281">
        <v>-1.110972534034</v>
      </c>
      <c r="AE7281">
        <v>24.786439999999999</v>
      </c>
      <c r="AF7281">
        <v>3.8084058343842999</v>
      </c>
      <c r="AG7281">
        <v>-1.110972534034</v>
      </c>
      <c r="AH7281">
        <v>24.698564877592499</v>
      </c>
      <c r="AI7281">
        <v>92.545457539297502</v>
      </c>
      <c r="AJ7281">
        <v>81.234289415067295</v>
      </c>
      <c r="AK7281">
        <v>25.015141854153001</v>
      </c>
      <c r="AL7281">
        <v>87.016091389726697</v>
      </c>
      <c r="AM7281">
        <v>88.83094849391</v>
      </c>
      <c r="AN7281">
        <v>0.99999997420595399</v>
      </c>
    </row>
    <row r="7282" spans="1:40" x14ac:dyDescent="0.25">
      <c r="A7282" t="str">
        <f>"20190312154439655"</f>
        <v>20190312154439655</v>
      </c>
      <c r="B7282" t="str">
        <f>"1552376679644959"</f>
        <v>1552376679644959</v>
      </c>
      <c r="C7282" t="s">
        <v>40</v>
      </c>
      <c r="D7282">
        <v>5.2686609999999998</v>
      </c>
      <c r="E7282">
        <v>0.50596419999999998</v>
      </c>
      <c r="F7282" t="s">
        <v>41</v>
      </c>
      <c r="G7282">
        <v>-187.5112</v>
      </c>
      <c r="H7282">
        <v>1.0411410000000001</v>
      </c>
      <c r="I7282">
        <v>71.530600000000007</v>
      </c>
      <c r="J7282">
        <v>-187.578</v>
      </c>
      <c r="K7282">
        <v>1.1109719999999901</v>
      </c>
      <c r="L7282">
        <v>70.921719999999993</v>
      </c>
      <c r="M7282">
        <v>-1.108261E-2</v>
      </c>
      <c r="N7282">
        <v>0</v>
      </c>
      <c r="O7282">
        <v>0.99982939999999998</v>
      </c>
      <c r="P7282">
        <v>9.4610949999999992E-3</v>
      </c>
      <c r="Q7282">
        <v>3.7905109999999999E-2</v>
      </c>
      <c r="R7282">
        <v>0.99923649999999997</v>
      </c>
      <c r="S7282">
        <v>0.1965027</v>
      </c>
      <c r="T7282">
        <v>-0.2192672</v>
      </c>
      <c r="U7282">
        <v>3.0084840000000002</v>
      </c>
      <c r="V7282">
        <v>2.0482090000000001E-2</v>
      </c>
      <c r="W7282">
        <v>5.268548E-2</v>
      </c>
      <c r="X7282">
        <v>0.99840110000000004</v>
      </c>
      <c r="Y7282">
        <v>7.6061959999999998E-2</v>
      </c>
      <c r="Z7282">
        <v>-7.2501309999999999E-2</v>
      </c>
      <c r="AA7282">
        <v>0.99446369999999895</v>
      </c>
      <c r="AB7282">
        <v>36</v>
      </c>
      <c r="AC7282">
        <v>6.6800000000000595E-2</v>
      </c>
      <c r="AD7282">
        <v>-6.9830999999999699E-2</v>
      </c>
      <c r="AE7282">
        <v>0.60888000000001297</v>
      </c>
      <c r="AF7282">
        <v>7.2601030622682694E-2</v>
      </c>
      <c r="AG7282">
        <v>-6.9830999999999699E-2</v>
      </c>
      <c r="AH7282">
        <v>0.600300206027088</v>
      </c>
      <c r="AI7282">
        <v>96.587636134774996</v>
      </c>
      <c r="AJ7282">
        <v>83.104070940806594</v>
      </c>
      <c r="AK7282">
        <v>0.608693367439338</v>
      </c>
      <c r="AL7282">
        <v>86.979946145432805</v>
      </c>
      <c r="AM7282">
        <v>88.8247481676147</v>
      </c>
      <c r="AN7282">
        <v>1.0000000161474001</v>
      </c>
    </row>
    <row r="7283" spans="1:40" x14ac:dyDescent="0.25">
      <c r="A7283" t="str">
        <f>"20190312154439678"</f>
        <v>20190312154439678</v>
      </c>
      <c r="B7283" t="str">
        <f>"1552376679674239"</f>
        <v>1552376679674239</v>
      </c>
      <c r="C7283" t="s">
        <v>40</v>
      </c>
      <c r="D7283">
        <v>5.272303</v>
      </c>
      <c r="E7283">
        <v>0.4973996</v>
      </c>
      <c r="F7283" t="s">
        <v>43</v>
      </c>
      <c r="G7283">
        <v>-187.16560000000001</v>
      </c>
      <c r="H7283" s="1">
        <v>-4.4014330000000002E-6</v>
      </c>
      <c r="I7283">
        <v>88.72063</v>
      </c>
      <c r="J7283">
        <v>-187.58240000000001</v>
      </c>
      <c r="K7283">
        <v>1.110975</v>
      </c>
      <c r="L7283">
        <v>71.279420000000002</v>
      </c>
      <c r="M7283">
        <v>-1.1521689999999999E-2</v>
      </c>
      <c r="N7283">
        <v>0</v>
      </c>
      <c r="O7283">
        <v>0.9998245</v>
      </c>
      <c r="P7283">
        <v>9.2593669999999993E-3</v>
      </c>
      <c r="Q7283">
        <v>3.8810499999999998E-2</v>
      </c>
      <c r="R7283">
        <v>0.99920370000000003</v>
      </c>
      <c r="S7283">
        <v>6.9717409999999994E-2</v>
      </c>
      <c r="T7283">
        <v>-0.18780150000000001</v>
      </c>
      <c r="U7283">
        <v>3.008759</v>
      </c>
      <c r="V7283">
        <v>2.0717949999999999E-2</v>
      </c>
      <c r="W7283">
        <v>5.3586380000000003E-2</v>
      </c>
      <c r="X7283">
        <v>0.99834829999999997</v>
      </c>
      <c r="Y7283">
        <v>3.4638629999999997E-2</v>
      </c>
      <c r="Z7283">
        <v>-6.2263789999999999E-2</v>
      </c>
      <c r="AA7283">
        <v>0.99745850000000003</v>
      </c>
      <c r="AB7283">
        <v>36</v>
      </c>
      <c r="AC7283">
        <v>0.41679999999999401</v>
      </c>
      <c r="AD7283">
        <v>-1.1109794014329999</v>
      </c>
      <c r="AE7283">
        <v>17.441209999999899</v>
      </c>
      <c r="AF7283">
        <v>0.61525151271270895</v>
      </c>
      <c r="AG7283">
        <v>-1.1109794014329999</v>
      </c>
      <c r="AH7283">
        <v>17.3648316573953</v>
      </c>
      <c r="AI7283">
        <v>93.658430962143001</v>
      </c>
      <c r="AJ7283">
        <v>87.970808129851306</v>
      </c>
      <c r="AK7283">
        <v>17.411208692792801</v>
      </c>
      <c r="AL7283">
        <v>86.928255397752594</v>
      </c>
      <c r="AM7283">
        <v>88.811155649730793</v>
      </c>
      <c r="AN7283">
        <v>1.0000000308432899</v>
      </c>
    </row>
    <row r="7284" spans="1:40" x14ac:dyDescent="0.25">
      <c r="A7284" t="str">
        <f>"20190312154439700"</f>
        <v>20190312154439700</v>
      </c>
      <c r="B7284" t="str">
        <f>"1552376679694736"</f>
        <v>1552376679694736</v>
      </c>
      <c r="C7284" t="s">
        <v>40</v>
      </c>
      <c r="D7284">
        <v>5.2612120000000004</v>
      </c>
      <c r="E7284">
        <v>0.4949615</v>
      </c>
      <c r="F7284" t="s">
        <v>43</v>
      </c>
      <c r="G7284">
        <v>-187.57419999999999</v>
      </c>
      <c r="H7284" s="1">
        <v>-1.0794180000000001E-6</v>
      </c>
      <c r="I7284">
        <v>90.923339999999996</v>
      </c>
      <c r="J7284">
        <v>-187.58699999999999</v>
      </c>
      <c r="K7284">
        <v>1.1109719999999901</v>
      </c>
      <c r="L7284">
        <v>71.637450000000001</v>
      </c>
      <c r="M7284">
        <v>-1.1961390000000001E-2</v>
      </c>
      <c r="N7284">
        <v>0</v>
      </c>
      <c r="O7284">
        <v>0.99981940000000002</v>
      </c>
      <c r="P7284">
        <v>8.7367509999999992E-3</v>
      </c>
      <c r="Q7284">
        <v>3.9794889999999999E-2</v>
      </c>
      <c r="R7284">
        <v>0.99916959999999999</v>
      </c>
      <c r="S7284">
        <v>1.2512210000000001E-3</v>
      </c>
      <c r="T7284">
        <v>-0.17017460000000001</v>
      </c>
      <c r="U7284">
        <v>3.008972</v>
      </c>
      <c r="V7284">
        <v>2.0633459999999999E-2</v>
      </c>
      <c r="W7284">
        <v>5.4566280000000002E-2</v>
      </c>
      <c r="X7284">
        <v>0.99829690000000004</v>
      </c>
      <c r="Y7284">
        <v>1.2377829999999999E-2</v>
      </c>
      <c r="Z7284">
        <v>-5.6457269999999997E-2</v>
      </c>
      <c r="AA7284">
        <v>0.99832829999999995</v>
      </c>
      <c r="AB7284">
        <v>36</v>
      </c>
      <c r="AC7284">
        <v>1.2800000000027E-2</v>
      </c>
      <c r="AD7284">
        <v>-1.1109730794179999</v>
      </c>
      <c r="AE7284">
        <v>19.285889999999899</v>
      </c>
      <c r="AF7284">
        <v>0.24270490575770601</v>
      </c>
      <c r="AG7284">
        <v>-1.1109730794179999</v>
      </c>
      <c r="AH7284">
        <v>19.220575486596601</v>
      </c>
      <c r="AI7284">
        <v>93.3078231209834</v>
      </c>
      <c r="AJ7284">
        <v>89.276544672368303</v>
      </c>
      <c r="AK7284">
        <v>19.254186269235898</v>
      </c>
      <c r="AL7284">
        <v>86.872028769493994</v>
      </c>
      <c r="AM7284">
        <v>88.815941556359306</v>
      </c>
      <c r="AN7284">
        <v>0.99999995956710896</v>
      </c>
    </row>
    <row r="7285" spans="1:40" x14ac:dyDescent="0.25">
      <c r="A7285" t="str">
        <f>"20190312154439724"</f>
        <v>20190312154439724</v>
      </c>
      <c r="B7285" t="str">
        <f>"1552376679714255"</f>
        <v>1552376679714255</v>
      </c>
      <c r="C7285" t="s">
        <v>40</v>
      </c>
      <c r="D7285">
        <v>5.2790049999999997</v>
      </c>
      <c r="E7285">
        <v>0.493365</v>
      </c>
      <c r="F7285" t="s">
        <v>43</v>
      </c>
      <c r="G7285">
        <v>-187.71619999999999</v>
      </c>
      <c r="H7285" s="1">
        <v>-1.1958700000000001E-6</v>
      </c>
      <c r="I7285">
        <v>91.376540000000006</v>
      </c>
      <c r="J7285">
        <v>-187.59200000000001</v>
      </c>
      <c r="K7285">
        <v>1.110967</v>
      </c>
      <c r="L7285">
        <v>72.016689999999997</v>
      </c>
      <c r="M7285">
        <v>-1.242736E-2</v>
      </c>
      <c r="N7285">
        <v>0</v>
      </c>
      <c r="O7285">
        <v>0.99981370000000003</v>
      </c>
      <c r="P7285">
        <v>8.4551660000000001E-3</v>
      </c>
      <c r="Q7285">
        <v>3.9343870000000003E-2</v>
      </c>
      <c r="R7285">
        <v>0.99919000000000002</v>
      </c>
      <c r="S7285">
        <v>-1.9699100000000001E-2</v>
      </c>
      <c r="T7285">
        <v>-0.16937769999999999</v>
      </c>
      <c r="U7285">
        <v>3.0093990000000002</v>
      </c>
      <c r="V7285">
        <v>2.0818329999999999E-2</v>
      </c>
      <c r="W7285">
        <v>5.4111090000000001E-2</v>
      </c>
      <c r="X7285">
        <v>0.99831789999999998</v>
      </c>
      <c r="Y7285">
        <v>5.8935740000000004E-3</v>
      </c>
      <c r="Z7285">
        <v>-5.6186359999999998E-2</v>
      </c>
      <c r="AA7285">
        <v>0.99840289999999998</v>
      </c>
      <c r="AB7285">
        <v>36</v>
      </c>
      <c r="AC7285">
        <v>-0.124199999999973</v>
      </c>
      <c r="AD7285">
        <v>-1.11096819587</v>
      </c>
      <c r="AE7285">
        <v>19.359850000000002</v>
      </c>
      <c r="AF7285">
        <v>0.116045533744353</v>
      </c>
      <c r="AG7285">
        <v>-1.11096819587</v>
      </c>
      <c r="AH7285">
        <v>19.296356909715801</v>
      </c>
      <c r="AI7285">
        <v>93.295049370422902</v>
      </c>
      <c r="AJ7285">
        <v>89.6554355212362</v>
      </c>
      <c r="AK7285">
        <v>19.328660245481899</v>
      </c>
      <c r="AL7285">
        <v>86.898148017276597</v>
      </c>
      <c r="AM7285">
        <v>88.805360909497196</v>
      </c>
      <c r="AN7285">
        <v>1.00000002119269</v>
      </c>
    </row>
    <row r="7286" spans="1:40" x14ac:dyDescent="0.25">
      <c r="A7286" t="str">
        <f>"20190312154439744"</f>
        <v>20190312154439744</v>
      </c>
      <c r="B7286" t="str">
        <f>"1552376679734751"</f>
        <v>1552376679734751</v>
      </c>
      <c r="C7286" t="s">
        <v>40</v>
      </c>
      <c r="D7286">
        <v>5.2505660000000001</v>
      </c>
      <c r="E7286">
        <v>0.49269600000000002</v>
      </c>
      <c r="F7286" t="s">
        <v>43</v>
      </c>
      <c r="G7286">
        <v>-187.80709999999999</v>
      </c>
      <c r="H7286" s="1">
        <v>-1.2739119999999999E-6</v>
      </c>
      <c r="I7286">
        <v>91.676959999999994</v>
      </c>
      <c r="J7286">
        <v>-187.5967</v>
      </c>
      <c r="K7286">
        <v>1.1109610000000001</v>
      </c>
      <c r="L7286">
        <v>72.358219999999903</v>
      </c>
      <c r="M7286">
        <v>-1.284706E-2</v>
      </c>
      <c r="N7286">
        <v>0</v>
      </c>
      <c r="O7286">
        <v>0.99980849999999999</v>
      </c>
      <c r="P7286">
        <v>8.0873400000000002E-3</v>
      </c>
      <c r="Q7286">
        <v>3.7895409999999997E-2</v>
      </c>
      <c r="R7286">
        <v>0.99924900000000005</v>
      </c>
      <c r="S7286">
        <v>-3.2928470000000001E-2</v>
      </c>
      <c r="T7286">
        <v>-0.17005599999999901</v>
      </c>
      <c r="U7286">
        <v>3.0093990000000002</v>
      </c>
      <c r="V7286">
        <v>2.087224E-2</v>
      </c>
      <c r="W7286">
        <v>5.2659289999999997E-2</v>
      </c>
      <c r="X7286">
        <v>0.99839440000000002</v>
      </c>
      <c r="Y7286">
        <v>1.9248010000000001E-3</v>
      </c>
      <c r="Z7286">
        <v>-5.6409569999999999E-2</v>
      </c>
      <c r="AA7286">
        <v>0.99840589999999996</v>
      </c>
      <c r="AB7286">
        <v>36</v>
      </c>
      <c r="AC7286">
        <v>-0.21039999999999201</v>
      </c>
      <c r="AD7286">
        <v>-1.110962273912</v>
      </c>
      <c r="AE7286">
        <v>19.318739999999998</v>
      </c>
      <c r="AF7286">
        <v>3.7708736028482501E-2</v>
      </c>
      <c r="AG7286">
        <v>-1.110962273912</v>
      </c>
      <c r="AH7286">
        <v>19.256175032953799</v>
      </c>
      <c r="AI7286">
        <v>93.301945652462393</v>
      </c>
      <c r="AJ7286">
        <v>89.887799697512804</v>
      </c>
      <c r="AK7286">
        <v>19.2882330974764</v>
      </c>
      <c r="AL7286">
        <v>86.981448803090601</v>
      </c>
      <c r="AM7286">
        <v>88.802359985052703</v>
      </c>
      <c r="AN7286">
        <v>1.0000000145886401</v>
      </c>
    </row>
    <row r="7287" spans="1:40" x14ac:dyDescent="0.25">
      <c r="A7287" t="str">
        <f>"20190312154439768"</f>
        <v>20190312154439768</v>
      </c>
      <c r="B7287" t="str">
        <f>"1552376679765007"</f>
        <v>1552376679765007</v>
      </c>
      <c r="C7287" t="s">
        <v>40</v>
      </c>
      <c r="D7287">
        <v>5.2587919999999997</v>
      </c>
      <c r="E7287">
        <v>0.49183880000000002</v>
      </c>
      <c r="F7287" t="s">
        <v>43</v>
      </c>
      <c r="G7287">
        <v>-187.8329</v>
      </c>
      <c r="H7287" s="1">
        <v>-8.2453649999999995E-7</v>
      </c>
      <c r="I7287">
        <v>90.376630000000006</v>
      </c>
      <c r="J7287">
        <v>-187.602</v>
      </c>
      <c r="K7287">
        <v>1.1109560000000001</v>
      </c>
      <c r="L7287">
        <v>72.732330000000005</v>
      </c>
      <c r="M7287">
        <v>-1.3307009999999999E-2</v>
      </c>
      <c r="N7287">
        <v>0</v>
      </c>
      <c r="O7287">
        <v>0.99980259999999999</v>
      </c>
      <c r="P7287">
        <v>7.7461079999999998E-3</v>
      </c>
      <c r="Q7287">
        <v>3.7089240000000002E-2</v>
      </c>
      <c r="R7287">
        <v>0.99928189999999995</v>
      </c>
      <c r="S7287">
        <v>-3.9459229999999998E-2</v>
      </c>
      <c r="T7287">
        <v>-0.1855619</v>
      </c>
      <c r="U7287">
        <v>3.0095830000000001</v>
      </c>
      <c r="V7287">
        <v>2.099202E-2</v>
      </c>
      <c r="W7287">
        <v>5.1849779999999998E-2</v>
      </c>
      <c r="X7287">
        <v>0.99843419999999905</v>
      </c>
      <c r="Y7287">
        <v>2.232453E-4</v>
      </c>
      <c r="Z7287">
        <v>-6.1529359999999998E-2</v>
      </c>
      <c r="AA7287">
        <v>0.99810520000000003</v>
      </c>
      <c r="AB7287">
        <v>36</v>
      </c>
      <c r="AC7287">
        <v>-0.230899999999991</v>
      </c>
      <c r="AD7287">
        <v>-1.1109568245365</v>
      </c>
      <c r="AE7287">
        <v>17.644300000000001</v>
      </c>
      <c r="AF7287">
        <v>3.9233336552244504E-3</v>
      </c>
      <c r="AG7287">
        <v>-1.1109568245365</v>
      </c>
      <c r="AH7287">
        <v>17.5761421032756</v>
      </c>
      <c r="AI7287">
        <v>93.616753166742996</v>
      </c>
      <c r="AJ7287">
        <v>89.987210477987006</v>
      </c>
      <c r="AK7287">
        <v>17.611218347776699</v>
      </c>
      <c r="AL7287">
        <v>87.027893595475405</v>
      </c>
      <c r="AM7287">
        <v>88.795537080593505</v>
      </c>
      <c r="AN7287">
        <v>0.99999995815968301</v>
      </c>
    </row>
    <row r="7288" spans="1:40" x14ac:dyDescent="0.25">
      <c r="A7288" t="str">
        <f>"20190312154439791"</f>
        <v>20190312154439791</v>
      </c>
      <c r="B7288" t="str">
        <f>"1552376679784527"</f>
        <v>1552376679784527</v>
      </c>
      <c r="C7288" t="s">
        <v>40</v>
      </c>
      <c r="D7288">
        <v>5.2827950000000001</v>
      </c>
      <c r="E7288">
        <v>0.49152439999999997</v>
      </c>
      <c r="F7288" t="s">
        <v>43</v>
      </c>
      <c r="G7288">
        <v>-187.86429999999999</v>
      </c>
      <c r="H7288" s="1">
        <v>-4.5670800000000002E-6</v>
      </c>
      <c r="I7288">
        <v>89.395679999999999</v>
      </c>
      <c r="J7288">
        <v>-187.60720000000001</v>
      </c>
      <c r="K7288">
        <v>1.1109549999999999</v>
      </c>
      <c r="L7288">
        <v>73.090850000000003</v>
      </c>
      <c r="M7288">
        <v>-1.3747840000000001E-2</v>
      </c>
      <c r="N7288">
        <v>0</v>
      </c>
      <c r="O7288">
        <v>0.99979660000000004</v>
      </c>
      <c r="P7288">
        <v>6.6267369999999997E-3</v>
      </c>
      <c r="Q7288">
        <v>3.607026E-2</v>
      </c>
      <c r="R7288">
        <v>0.99932730000000003</v>
      </c>
      <c r="S7288">
        <v>-4.73938E-2</v>
      </c>
      <c r="T7288">
        <v>-0.200678</v>
      </c>
      <c r="U7288">
        <v>3.009979</v>
      </c>
      <c r="V7288">
        <v>2.0315030000000001E-2</v>
      </c>
      <c r="W7288">
        <v>5.0826879999999998E-2</v>
      </c>
      <c r="X7288">
        <v>0.99850079999999997</v>
      </c>
      <c r="Y7288">
        <v>-1.9596169999999999E-3</v>
      </c>
      <c r="Z7288">
        <v>-6.650963E-2</v>
      </c>
      <c r="AA7288">
        <v>0.9977838</v>
      </c>
      <c r="AB7288">
        <v>36</v>
      </c>
      <c r="AC7288">
        <v>-0.25709999999997901</v>
      </c>
      <c r="AD7288">
        <v>-1.1109595670800001</v>
      </c>
      <c r="AE7288">
        <v>16.3048299999999</v>
      </c>
      <c r="AF7288">
        <v>-3.2743117182225001E-2</v>
      </c>
      <c r="AG7288">
        <v>-1.1109595670800001</v>
      </c>
      <c r="AH7288">
        <v>16.231485684370998</v>
      </c>
      <c r="AI7288">
        <v>93.915479257007803</v>
      </c>
      <c r="AJ7288">
        <v>90.115580293411298</v>
      </c>
      <c r="AK7288">
        <v>16.269493870226899</v>
      </c>
      <c r="AL7288">
        <v>87.086578845566805</v>
      </c>
      <c r="AM7288">
        <v>88.834447688634597</v>
      </c>
      <c r="AN7288">
        <v>0.99999995988753598</v>
      </c>
    </row>
    <row r="7289" spans="1:40" x14ac:dyDescent="0.25">
      <c r="A7289" t="str">
        <f>"20190312154439812"</f>
        <v>20190312154439812</v>
      </c>
      <c r="B7289" t="str">
        <f>"1552376679805023"</f>
        <v>1552376679805023</v>
      </c>
      <c r="C7289" t="s">
        <v>40</v>
      </c>
      <c r="D7289">
        <v>5.30694</v>
      </c>
      <c r="E7289">
        <v>0.4912975</v>
      </c>
      <c r="F7289" t="s">
        <v>43</v>
      </c>
      <c r="G7289">
        <v>-187.8905</v>
      </c>
      <c r="H7289" s="1">
        <v>-4.4235890000000002E-6</v>
      </c>
      <c r="I7289">
        <v>89.072019999999995</v>
      </c>
      <c r="J7289">
        <v>-187.61250000000001</v>
      </c>
      <c r="K7289">
        <v>1.1109530000000001</v>
      </c>
      <c r="L7289">
        <v>73.443240000000003</v>
      </c>
      <c r="M7289">
        <v>-1.4181269999999999E-2</v>
      </c>
      <c r="N7289">
        <v>0</v>
      </c>
      <c r="O7289">
        <v>0.99979070000000003</v>
      </c>
      <c r="P7289">
        <v>6.1951150000000002E-3</v>
      </c>
      <c r="Q7289">
        <v>3.7288000000000002E-2</v>
      </c>
      <c r="R7289">
        <v>0.99928530000000004</v>
      </c>
      <c r="S7289">
        <v>-5.3359990000000003E-2</v>
      </c>
      <c r="T7289">
        <v>-0.2092397</v>
      </c>
      <c r="U7289">
        <v>3.0099179999999999</v>
      </c>
      <c r="V7289">
        <v>2.0314889999999999E-2</v>
      </c>
      <c r="W7289">
        <v>5.2040250000000003E-2</v>
      </c>
      <c r="X7289">
        <v>0.99843839999999995</v>
      </c>
      <c r="Y7289">
        <v>-3.500235E-3</v>
      </c>
      <c r="Z7289">
        <v>-6.9333309999999995E-2</v>
      </c>
      <c r="AA7289">
        <v>0.99758740000000001</v>
      </c>
      <c r="AB7289">
        <v>36</v>
      </c>
      <c r="AC7289">
        <v>-0.27799999999999098</v>
      </c>
      <c r="AD7289">
        <v>-1.1109574235889901</v>
      </c>
      <c r="AE7289">
        <v>15.6287799999999</v>
      </c>
      <c r="AF7289">
        <v>-5.6028966634702901E-2</v>
      </c>
      <c r="AG7289">
        <v>-1.1109574235889901</v>
      </c>
      <c r="AH7289">
        <v>15.552589321078999</v>
      </c>
      <c r="AI7289">
        <v>94.085803626902404</v>
      </c>
      <c r="AJ7289">
        <v>90.206409965869298</v>
      </c>
      <c r="AK7289">
        <v>15.5923186291286</v>
      </c>
      <c r="AL7289">
        <v>87.016966020168496</v>
      </c>
      <c r="AM7289">
        <v>88.834382895144003</v>
      </c>
      <c r="AN7289">
        <v>1.00000006048516</v>
      </c>
    </row>
    <row r="7290" spans="1:40" x14ac:dyDescent="0.25">
      <c r="A7290" t="str">
        <f>"20190312154439835"</f>
        <v>20190312154439835</v>
      </c>
      <c r="B7290" t="str">
        <f>"1552376679824543"</f>
        <v>1552376679824543</v>
      </c>
      <c r="C7290" t="s">
        <v>40</v>
      </c>
      <c r="D7290">
        <v>5.3021659999999997</v>
      </c>
      <c r="E7290">
        <v>0.4911104</v>
      </c>
      <c r="F7290" t="s">
        <v>43</v>
      </c>
      <c r="G7290">
        <v>-187.91050000000001</v>
      </c>
      <c r="H7290" s="1">
        <v>-4.5671319999999999E-6</v>
      </c>
      <c r="I7290">
        <v>89.414909999999907</v>
      </c>
      <c r="J7290">
        <v>-187.61799999999999</v>
      </c>
      <c r="K7290">
        <v>1.1109530000000001</v>
      </c>
      <c r="L7290">
        <v>73.803650000000005</v>
      </c>
      <c r="M7290">
        <v>-1.4624710000000001E-2</v>
      </c>
      <c r="N7290">
        <v>0</v>
      </c>
      <c r="O7290">
        <v>0.99978440000000002</v>
      </c>
      <c r="P7290">
        <v>5.6653069999999996E-3</v>
      </c>
      <c r="Q7290">
        <v>3.8193810000000002E-2</v>
      </c>
      <c r="R7290">
        <v>0.99925430000000004</v>
      </c>
      <c r="S7290">
        <v>-5.6182860000000001E-2</v>
      </c>
      <c r="T7290">
        <v>-0.20939150000000001</v>
      </c>
      <c r="U7290">
        <v>3.0103149999999999</v>
      </c>
      <c r="V7290">
        <v>2.0227019999999998E-2</v>
      </c>
      <c r="W7290">
        <v>5.2941179999999997E-2</v>
      </c>
      <c r="X7290">
        <v>0.99839279999999997</v>
      </c>
      <c r="Y7290">
        <v>-3.9894919999999999E-3</v>
      </c>
      <c r="Z7290">
        <v>-6.9372939999999994E-2</v>
      </c>
      <c r="AA7290">
        <v>0.99758279999999999</v>
      </c>
      <c r="AB7290">
        <v>36</v>
      </c>
      <c r="AC7290">
        <v>-0.29250000000001802</v>
      </c>
      <c r="AD7290">
        <v>-1.110957567132</v>
      </c>
      <c r="AE7290">
        <v>15.6112599999999</v>
      </c>
      <c r="AF7290">
        <v>-6.38107114724146E-2</v>
      </c>
      <c r="AG7290">
        <v>-1.110957567132</v>
      </c>
      <c r="AH7290">
        <v>15.5352209173766</v>
      </c>
      <c r="AI7290">
        <v>94.090348658111694</v>
      </c>
      <c r="AJ7290">
        <v>90.235340322072304</v>
      </c>
      <c r="AK7290">
        <v>15.5750244774948</v>
      </c>
      <c r="AL7290">
        <v>86.965275218468804</v>
      </c>
      <c r="AM7290">
        <v>88.839370278957006</v>
      </c>
      <c r="AN7290">
        <v>1.00000004198485</v>
      </c>
    </row>
    <row r="7291" spans="1:40" x14ac:dyDescent="0.25">
      <c r="A7291" t="str">
        <f>"20190312154439855"</f>
        <v>20190312154439855</v>
      </c>
      <c r="B7291" t="str">
        <f>"1552376679845042"</f>
        <v>1552376679845042</v>
      </c>
      <c r="C7291" t="s">
        <v>40</v>
      </c>
      <c r="D7291">
        <v>5.3049480000000004</v>
      </c>
      <c r="E7291">
        <v>0.4909174</v>
      </c>
      <c r="F7291" t="s">
        <v>43</v>
      </c>
      <c r="G7291">
        <v>-187.93209999999999</v>
      </c>
      <c r="H7291" s="1">
        <v>-5.711044E-7</v>
      </c>
      <c r="I7291">
        <v>89.709450000000004</v>
      </c>
      <c r="J7291">
        <v>-187.6232</v>
      </c>
      <c r="K7291">
        <v>1.110943</v>
      </c>
      <c r="L7291">
        <v>74.133579999999995</v>
      </c>
      <c r="M7291">
        <v>-1.503079E-2</v>
      </c>
      <c r="N7291">
        <v>0</v>
      </c>
      <c r="O7291">
        <v>0.99977830000000001</v>
      </c>
      <c r="P7291">
        <v>4.9884780000000002E-3</v>
      </c>
      <c r="Q7291">
        <v>3.5692300000000003E-2</v>
      </c>
      <c r="R7291">
        <v>0.99935039999999997</v>
      </c>
      <c r="S7291">
        <v>-5.9448239999999999E-2</v>
      </c>
      <c r="T7291">
        <v>-0.2102792</v>
      </c>
      <c r="U7291">
        <v>3.0106199999999999</v>
      </c>
      <c r="V7291">
        <v>1.9960120000000001E-2</v>
      </c>
      <c r="W7291">
        <v>5.0437320000000001E-2</v>
      </c>
      <c r="X7291">
        <v>0.99852779999999997</v>
      </c>
      <c r="Y7291">
        <v>-4.662645E-3</v>
      </c>
      <c r="Z7291">
        <v>-6.9657150000000001E-2</v>
      </c>
      <c r="AA7291">
        <v>0.99756009999999995</v>
      </c>
      <c r="AB7291">
        <v>36</v>
      </c>
      <c r="AC7291">
        <v>-0.30889999999999401</v>
      </c>
      <c r="AD7291">
        <v>-1.11094357110439</v>
      </c>
      <c r="AE7291">
        <v>15.575869999999901</v>
      </c>
      <c r="AF7291">
        <v>-7.4343955169946893E-2</v>
      </c>
      <c r="AG7291">
        <v>-1.11094357110439</v>
      </c>
      <c r="AH7291">
        <v>15.4999331859976</v>
      </c>
      <c r="AI7291">
        <v>94.099565182275697</v>
      </c>
      <c r="AJ7291">
        <v>90.274811649068496</v>
      </c>
      <c r="AK7291">
        <v>15.5398729535423</v>
      </c>
      <c r="AL7291">
        <v>87.108927912089101</v>
      </c>
      <c r="AM7291">
        <v>88.854835742855897</v>
      </c>
      <c r="AN7291">
        <v>1.0000000485060101</v>
      </c>
    </row>
    <row r="7292" spans="1:40" x14ac:dyDescent="0.25">
      <c r="A7292" t="str">
        <f>"20190312154439879"</f>
        <v>20190312154439879</v>
      </c>
      <c r="B7292" t="str">
        <f>"1552376679875295"</f>
        <v>1552376679875295</v>
      </c>
      <c r="C7292" t="s">
        <v>40</v>
      </c>
      <c r="D7292">
        <v>5.2945630000000001</v>
      </c>
      <c r="E7292">
        <v>0.4907627</v>
      </c>
      <c r="F7292" t="s">
        <v>43</v>
      </c>
      <c r="G7292">
        <v>-187.94</v>
      </c>
      <c r="H7292" s="1">
        <v>-4.4994609999999998E-6</v>
      </c>
      <c r="I7292">
        <v>89.269329999999997</v>
      </c>
      <c r="J7292">
        <v>-187.6294</v>
      </c>
      <c r="K7292">
        <v>1.1109370000000001</v>
      </c>
      <c r="L7292">
        <v>74.510890000000003</v>
      </c>
      <c r="M7292">
        <v>-1.549415E-2</v>
      </c>
      <c r="N7292">
        <v>0</v>
      </c>
      <c r="O7292">
        <v>0.99977139999999998</v>
      </c>
      <c r="P7292">
        <v>4.5366460000000001E-3</v>
      </c>
      <c r="Q7292">
        <v>3.4004689999999997E-2</v>
      </c>
      <c r="R7292">
        <v>0.99941139999999995</v>
      </c>
      <c r="S7292">
        <v>-6.2988279999999994E-2</v>
      </c>
      <c r="T7292">
        <v>-0.22094249999999999</v>
      </c>
      <c r="U7292">
        <v>3.0101619999999998</v>
      </c>
      <c r="V7292">
        <v>1.9974240000000001E-2</v>
      </c>
      <c r="W7292">
        <v>4.8747110000000003E-2</v>
      </c>
      <c r="X7292">
        <v>0.99861140000000004</v>
      </c>
      <c r="Y7292">
        <v>-5.3695799999999997E-3</v>
      </c>
      <c r="Z7292">
        <v>-7.3180300000000004E-2</v>
      </c>
      <c r="AA7292">
        <v>0.99730430000000003</v>
      </c>
      <c r="AB7292">
        <v>36</v>
      </c>
      <c r="AC7292">
        <v>-0.31059999999999299</v>
      </c>
      <c r="AD7292">
        <v>-1.1109414994610001</v>
      </c>
      <c r="AE7292">
        <v>14.75844</v>
      </c>
      <c r="AF7292">
        <v>-8.1407324025379299E-2</v>
      </c>
      <c r="AG7292">
        <v>-1.1109414994610001</v>
      </c>
      <c r="AH7292">
        <v>14.678345542069099</v>
      </c>
      <c r="AI7292">
        <v>94.3281554649529</v>
      </c>
      <c r="AJ7292">
        <v>90.317763895974196</v>
      </c>
      <c r="AK7292">
        <v>14.7205518245754</v>
      </c>
      <c r="AL7292">
        <v>87.205888959812398</v>
      </c>
      <c r="AM7292">
        <v>88.854121768579205</v>
      </c>
      <c r="AN7292">
        <v>0.99999998960344405</v>
      </c>
    </row>
    <row r="7293" spans="1:40" x14ac:dyDescent="0.25">
      <c r="A7293" t="str">
        <f>"20190312154439901"</f>
        <v>20190312154439901</v>
      </c>
      <c r="B7293" t="str">
        <f>"1552376679894815"</f>
        <v>1552376679894815</v>
      </c>
      <c r="C7293" t="s">
        <v>40</v>
      </c>
      <c r="D7293">
        <v>5.2846900000000003</v>
      </c>
      <c r="E7293">
        <v>0.49015120000000001</v>
      </c>
      <c r="F7293" t="s">
        <v>43</v>
      </c>
      <c r="G7293">
        <v>-187.94800000000001</v>
      </c>
      <c r="H7293" s="1">
        <v>-4.4207620000000003E-6</v>
      </c>
      <c r="I7293">
        <v>89.089200000000005</v>
      </c>
      <c r="J7293">
        <v>-187.6353</v>
      </c>
      <c r="K7293">
        <v>1.1109329999999999</v>
      </c>
      <c r="L7293">
        <v>74.863039999999998</v>
      </c>
      <c r="M7293">
        <v>-1.5920090000000001E-2</v>
      </c>
      <c r="N7293">
        <v>0</v>
      </c>
      <c r="O7293">
        <v>0.99976469999999995</v>
      </c>
      <c r="P7293">
        <v>4.1468870000000001E-3</v>
      </c>
      <c r="Q7293">
        <v>3.3865060000000002E-2</v>
      </c>
      <c r="R7293">
        <v>0.99941780000000002</v>
      </c>
      <c r="S7293">
        <v>-6.5780640000000001E-2</v>
      </c>
      <c r="T7293">
        <v>-0.22936870000000001</v>
      </c>
      <c r="U7293">
        <v>3.0098880000000001</v>
      </c>
      <c r="V7293">
        <v>2.0010969999999999E-2</v>
      </c>
      <c r="W7293">
        <v>4.8603279999999999E-2</v>
      </c>
      <c r="X7293">
        <v>0.99861770000000005</v>
      </c>
      <c r="Y7293">
        <v>-5.8657120000000004E-3</v>
      </c>
      <c r="Z7293">
        <v>-7.5960669999999994E-2</v>
      </c>
      <c r="AA7293">
        <v>0.99709360000000002</v>
      </c>
      <c r="AB7293">
        <v>36</v>
      </c>
      <c r="AC7293">
        <v>-0.312699999999978</v>
      </c>
      <c r="AD7293">
        <v>-1.110937420762</v>
      </c>
      <c r="AE7293">
        <v>14.22616</v>
      </c>
      <c r="AF7293">
        <v>-8.5632074540973796E-2</v>
      </c>
      <c r="AG7293">
        <v>-1.110937420762</v>
      </c>
      <c r="AH7293">
        <v>14.1431290359108</v>
      </c>
      <c r="AI7293">
        <v>94.491257657945198</v>
      </c>
      <c r="AJ7293">
        <v>90.346903185057997</v>
      </c>
      <c r="AK7293">
        <v>14.1869522354684</v>
      </c>
      <c r="AL7293">
        <v>87.214139660391893</v>
      </c>
      <c r="AM7293">
        <v>88.8520224529817</v>
      </c>
      <c r="AN7293">
        <v>1.0000000142501899</v>
      </c>
    </row>
    <row r="7294" spans="1:40" x14ac:dyDescent="0.25">
      <c r="A7294" t="str">
        <f>"20190312154439924"</f>
        <v>20190312154439924</v>
      </c>
      <c r="B7294" t="str">
        <f>"1552376679914335"</f>
        <v>1552376679914335</v>
      </c>
      <c r="C7294" t="s">
        <v>40</v>
      </c>
      <c r="D7294">
        <v>5.2783319999999998</v>
      </c>
      <c r="E7294">
        <v>0.47998950000000001</v>
      </c>
      <c r="F7294" t="s">
        <v>43</v>
      </c>
      <c r="G7294">
        <v>-187.98089999999999</v>
      </c>
      <c r="H7294" s="1">
        <v>-4.544258E-6</v>
      </c>
      <c r="I7294">
        <v>89.390690000000006</v>
      </c>
      <c r="J7294">
        <v>-187.6413</v>
      </c>
      <c r="K7294">
        <v>1.1109199999999999</v>
      </c>
      <c r="L7294">
        <v>75.212859999999907</v>
      </c>
      <c r="M7294">
        <v>-1.6327939999999999E-2</v>
      </c>
      <c r="N7294">
        <v>0</v>
      </c>
      <c r="O7294">
        <v>0.99975820000000004</v>
      </c>
      <c r="P7294">
        <v>4.1189039999999996E-3</v>
      </c>
      <c r="Q7294">
        <v>3.287093E-2</v>
      </c>
      <c r="R7294">
        <v>0.99945110000000004</v>
      </c>
      <c r="S7294">
        <v>-7.1609500000000006E-2</v>
      </c>
      <c r="T7294">
        <v>-0.23016539999999999</v>
      </c>
      <c r="U7294">
        <v>3.0098569999999998</v>
      </c>
      <c r="V7294">
        <v>2.0393330000000001E-2</v>
      </c>
      <c r="W7294">
        <v>4.7605939999999999E-2</v>
      </c>
      <c r="X7294">
        <v>0.99865800000000005</v>
      </c>
      <c r="Y7294">
        <v>-7.3874630000000004E-3</v>
      </c>
      <c r="Z7294">
        <v>-7.6220940000000001E-2</v>
      </c>
      <c r="AA7294">
        <v>0.99706360000000005</v>
      </c>
      <c r="AB7294">
        <v>36</v>
      </c>
      <c r="AC7294">
        <v>-0.33959999999999002</v>
      </c>
      <c r="AD7294">
        <v>-1.110924544258</v>
      </c>
      <c r="AE7294">
        <v>14.17783</v>
      </c>
      <c r="AF7294">
        <v>-0.10737596442940001</v>
      </c>
      <c r="AG7294">
        <v>-1.110924544258</v>
      </c>
      <c r="AH7294">
        <v>14.094995211364401</v>
      </c>
      <c r="AI7294">
        <v>94.506432064807697</v>
      </c>
      <c r="AJ7294">
        <v>90.436471987559699</v>
      </c>
      <c r="AK7294">
        <v>14.1391149987953</v>
      </c>
      <c r="AL7294">
        <v>87.271349246829899</v>
      </c>
      <c r="AM7294">
        <v>88.830140686243496</v>
      </c>
      <c r="AN7294">
        <v>1.0000000071978801</v>
      </c>
    </row>
    <row r="7295" spans="1:40" x14ac:dyDescent="0.25">
      <c r="A7295" t="str">
        <f>"20190312154439946"</f>
        <v>20190312154439946</v>
      </c>
      <c r="B7295" t="str">
        <f>"1552376679934831"</f>
        <v>1552376679934831</v>
      </c>
      <c r="C7295" t="s">
        <v>40</v>
      </c>
      <c r="D7295">
        <v>5.2754880000000002</v>
      </c>
      <c r="E7295">
        <v>0.48048999999999997</v>
      </c>
      <c r="F7295" t="s">
        <v>43</v>
      </c>
      <c r="G7295">
        <v>-188.43520000000001</v>
      </c>
      <c r="H7295" s="1">
        <v>-8.4404840000000001E-7</v>
      </c>
      <c r="I7295">
        <v>90.904859999999999</v>
      </c>
      <c r="J7295">
        <v>-187.64750000000001</v>
      </c>
      <c r="K7295">
        <v>1.1109</v>
      </c>
      <c r="L7295">
        <v>75.57056</v>
      </c>
      <c r="M7295">
        <v>-1.6714980000000001E-2</v>
      </c>
      <c r="N7295">
        <v>0</v>
      </c>
      <c r="O7295">
        <v>0.99975190000000003</v>
      </c>
      <c r="P7295">
        <v>4.0726950000000003E-3</v>
      </c>
      <c r="Q7295">
        <v>3.2047609999999997E-2</v>
      </c>
      <c r="R7295">
        <v>0.99947799999999998</v>
      </c>
      <c r="S7295">
        <v>-0.1522522</v>
      </c>
      <c r="T7295">
        <v>-0.21304300000000001</v>
      </c>
      <c r="U7295">
        <v>3.009277</v>
      </c>
      <c r="V7295">
        <v>2.0737519999999999E-2</v>
      </c>
      <c r="W7295">
        <v>4.6778599999999997E-2</v>
      </c>
      <c r="X7295">
        <v>0.99868999999999997</v>
      </c>
      <c r="Y7295">
        <v>-3.3701269999999998E-2</v>
      </c>
      <c r="Z7295">
        <v>-7.0538950000000003E-2</v>
      </c>
      <c r="AA7295">
        <v>0.99693949999999998</v>
      </c>
      <c r="AB7295">
        <v>36</v>
      </c>
      <c r="AC7295">
        <v>-0.78770000000000095</v>
      </c>
      <c r="AD7295">
        <v>-1.1109008440483901</v>
      </c>
      <c r="AE7295">
        <v>15.334300000000001</v>
      </c>
      <c r="AF7295">
        <v>-0.528483265759781</v>
      </c>
      <c r="AG7295">
        <v>-1.1109008440483901</v>
      </c>
      <c r="AH7295">
        <v>15.2654176916858</v>
      </c>
      <c r="AI7295">
        <v>94.159730136667903</v>
      </c>
      <c r="AJ7295">
        <v>91.982767387919907</v>
      </c>
      <c r="AK7295">
        <v>15.3149068736682</v>
      </c>
      <c r="AL7295">
        <v>87.318805190710094</v>
      </c>
      <c r="AM7295">
        <v>88.810440028251605</v>
      </c>
      <c r="AN7295">
        <v>0.999999999126855</v>
      </c>
    </row>
    <row r="7296" spans="1:40" x14ac:dyDescent="0.25">
      <c r="A7296" t="str">
        <f>"20190312154439969"</f>
        <v>20190312154439969</v>
      </c>
      <c r="B7296" t="str">
        <f>"1552376679965087"</f>
        <v>1552376679965087</v>
      </c>
      <c r="C7296" t="s">
        <v>40</v>
      </c>
      <c r="D7296">
        <v>5.2761820000000004</v>
      </c>
      <c r="E7296">
        <v>0.48053040000000002</v>
      </c>
      <c r="F7296" t="s">
        <v>43</v>
      </c>
      <c r="G7296">
        <v>-188.36330000000001</v>
      </c>
      <c r="H7296" s="1">
        <v>-5.8679259999999998E-7</v>
      </c>
      <c r="I7296">
        <v>90.092730000000003</v>
      </c>
      <c r="J7296">
        <v>-187.6541</v>
      </c>
      <c r="K7296">
        <v>1.110862</v>
      </c>
      <c r="L7296">
        <v>75.945219999999907</v>
      </c>
      <c r="M7296">
        <v>-1.7066419999999999E-2</v>
      </c>
      <c r="N7296">
        <v>0</v>
      </c>
      <c r="O7296">
        <v>0.99974600000000002</v>
      </c>
      <c r="P7296">
        <v>3.480959E-3</v>
      </c>
      <c r="Q7296">
        <v>3.1535100000000003E-2</v>
      </c>
      <c r="R7296">
        <v>0.99949659999999996</v>
      </c>
      <c r="S7296">
        <v>-0.148345899999999</v>
      </c>
      <c r="T7296">
        <v>-0.23022129999999999</v>
      </c>
      <c r="U7296">
        <v>3.0095519999999998</v>
      </c>
      <c r="V7296">
        <v>2.0502099999999999E-2</v>
      </c>
      <c r="W7296">
        <v>4.626036E-2</v>
      </c>
      <c r="X7296">
        <v>0.99871900000000002</v>
      </c>
      <c r="Y7296">
        <v>-3.2034079999999999E-2</v>
      </c>
      <c r="Z7296">
        <v>-7.619186E-2</v>
      </c>
      <c r="AA7296">
        <v>0.99657850000000003</v>
      </c>
      <c r="AB7296">
        <v>36</v>
      </c>
      <c r="AC7296">
        <v>-0.70920000000000905</v>
      </c>
      <c r="AD7296">
        <v>-1.1108625867926001</v>
      </c>
      <c r="AE7296">
        <v>14.14751</v>
      </c>
      <c r="AF7296">
        <v>-0.46476490393530301</v>
      </c>
      <c r="AG7296">
        <v>-1.1108625867926001</v>
      </c>
      <c r="AH7296">
        <v>14.0710180208157</v>
      </c>
      <c r="AI7296">
        <v>94.511508951019195</v>
      </c>
      <c r="AJ7296">
        <v>91.891788487193494</v>
      </c>
      <c r="AK7296">
        <v>14.1224491588671</v>
      </c>
      <c r="AL7296">
        <v>87.348530336422996</v>
      </c>
      <c r="AM7296">
        <v>88.823974678520003</v>
      </c>
      <c r="AN7296">
        <v>0.99999999898636904</v>
      </c>
    </row>
    <row r="7297" spans="1:40" x14ac:dyDescent="0.25">
      <c r="A7297" t="str">
        <f>"20190312154439996"</f>
        <v>20190312154439996</v>
      </c>
      <c r="B7297" t="str">
        <f>"1552376679985583"</f>
        <v>1552376679985583</v>
      </c>
      <c r="C7297" t="s">
        <v>40</v>
      </c>
      <c r="D7297">
        <v>5.2891830000000004</v>
      </c>
      <c r="E7297">
        <v>0.48065200000000002</v>
      </c>
      <c r="F7297" t="s">
        <v>43</v>
      </c>
      <c r="G7297">
        <v>-188.36109999999999</v>
      </c>
      <c r="H7297" s="1">
        <v>-6.1001959999999898E-7</v>
      </c>
      <c r="I7297">
        <v>90.159189999999995</v>
      </c>
      <c r="J7297">
        <v>-187.66139999999999</v>
      </c>
      <c r="K7297">
        <v>1.1108009999999999</v>
      </c>
      <c r="L7297">
        <v>76.347719999999995</v>
      </c>
      <c r="M7297">
        <v>-1.736184E-2</v>
      </c>
      <c r="N7297">
        <v>0</v>
      </c>
      <c r="O7297">
        <v>0.99974099999999999</v>
      </c>
      <c r="P7297">
        <v>2.5964400000000002E-3</v>
      </c>
      <c r="Q7297">
        <v>3.1008419999999998E-2</v>
      </c>
      <c r="R7297">
        <v>0.99951579999999995</v>
      </c>
      <c r="S7297">
        <v>-0.14967349999999999</v>
      </c>
      <c r="T7297">
        <v>-0.23519789999999999</v>
      </c>
      <c r="U7297">
        <v>3.0094599999999998</v>
      </c>
      <c r="V7297">
        <v>1.9920009999999998E-2</v>
      </c>
      <c r="W7297">
        <v>4.5725920000000003E-2</v>
      </c>
      <c r="X7297">
        <v>0.99875539999999996</v>
      </c>
      <c r="Y7297">
        <v>-3.217246E-2</v>
      </c>
      <c r="Z7297">
        <v>-7.7829739999999994E-2</v>
      </c>
      <c r="AA7297">
        <v>0.99644739999999998</v>
      </c>
      <c r="AB7297">
        <v>35</v>
      </c>
      <c r="AC7297">
        <v>-0.69970000000000698</v>
      </c>
      <c r="AD7297">
        <v>-1.1108016100196001</v>
      </c>
      <c r="AE7297">
        <v>13.81147</v>
      </c>
      <c r="AF7297">
        <v>-0.45682865768444098</v>
      </c>
      <c r="AG7297">
        <v>-1.1108016100196001</v>
      </c>
      <c r="AH7297">
        <v>13.7329351993953</v>
      </c>
      <c r="AI7297">
        <v>94.621811106975201</v>
      </c>
      <c r="AJ7297">
        <v>91.905252261285995</v>
      </c>
      <c r="AK7297">
        <v>13.7853575154979</v>
      </c>
      <c r="AL7297">
        <v>87.379183955319306</v>
      </c>
      <c r="AM7297">
        <v>88.857396718297295</v>
      </c>
      <c r="AN7297">
        <v>1.0000000077936999</v>
      </c>
    </row>
    <row r="7298" spans="1:40" x14ac:dyDescent="0.25">
      <c r="A7298" t="str">
        <f>"20190312154440015"</f>
        <v>20190312154440015</v>
      </c>
      <c r="B7298" t="str">
        <f>"1552376680005103"</f>
        <v>1552376680005103</v>
      </c>
      <c r="C7298" t="s">
        <v>40</v>
      </c>
      <c r="D7298">
        <v>5.2838440000000002</v>
      </c>
      <c r="E7298">
        <v>0.48080329999999899</v>
      </c>
      <c r="F7298" t="s">
        <v>43</v>
      </c>
      <c r="G7298">
        <v>-188.3706</v>
      </c>
      <c r="H7298" s="1">
        <v>-7.053858E-7</v>
      </c>
      <c r="I7298">
        <v>90.446879999999993</v>
      </c>
      <c r="J7298">
        <v>-187.6671</v>
      </c>
      <c r="K7298">
        <v>1.110751</v>
      </c>
      <c r="L7298">
        <v>76.669280000000001</v>
      </c>
      <c r="M7298">
        <v>-1.754373E-2</v>
      </c>
      <c r="N7298">
        <v>0</v>
      </c>
      <c r="O7298">
        <v>0.99973780000000001</v>
      </c>
      <c r="P7298">
        <v>2.2161099999999999E-3</v>
      </c>
      <c r="Q7298">
        <v>3.0762459999999998E-2</v>
      </c>
      <c r="R7298">
        <v>0.99952430000000003</v>
      </c>
      <c r="S7298">
        <v>-0.15136720000000001</v>
      </c>
      <c r="T7298">
        <v>-0.23708090000000001</v>
      </c>
      <c r="U7298">
        <v>3.0092159999999999</v>
      </c>
      <c r="V7298">
        <v>1.9727250000000002E-2</v>
      </c>
      <c r="W7298">
        <v>4.547441E-2</v>
      </c>
      <c r="X7298">
        <v>0.99877070000000001</v>
      </c>
      <c r="Y7298">
        <v>-3.2551620000000003E-2</v>
      </c>
      <c r="Z7298">
        <v>-7.8453410000000001E-2</v>
      </c>
      <c r="AA7298">
        <v>0.9963862</v>
      </c>
      <c r="AB7298">
        <v>35</v>
      </c>
      <c r="AC7298">
        <v>-0.70349999999999102</v>
      </c>
      <c r="AD7298">
        <v>-1.1107517053858</v>
      </c>
      <c r="AE7298">
        <v>13.7776</v>
      </c>
      <c r="AF7298">
        <v>-0.45868154065516198</v>
      </c>
      <c r="AG7298">
        <v>-1.1107517053858</v>
      </c>
      <c r="AH7298">
        <v>13.699015851328699</v>
      </c>
      <c r="AI7298">
        <v>94.632964433137502</v>
      </c>
      <c r="AJ7298">
        <v>91.917707249183493</v>
      </c>
      <c r="AK7298">
        <v>13.7516251185709</v>
      </c>
      <c r="AL7298">
        <v>87.393609398992595</v>
      </c>
      <c r="AM7298">
        <v>88.868467790447994</v>
      </c>
      <c r="AN7298">
        <v>0.99999999876794998</v>
      </c>
    </row>
    <row r="7299" spans="1:40" x14ac:dyDescent="0.25">
      <c r="A7299" t="str">
        <f>"20190312154440036"</f>
        <v>20190312154440036</v>
      </c>
      <c r="B7299" t="str">
        <f>"1552376680024623"</f>
        <v>1552376680024623</v>
      </c>
      <c r="C7299" t="s">
        <v>40</v>
      </c>
      <c r="D7299">
        <v>5.2768430000000004</v>
      </c>
      <c r="E7299">
        <v>0.48081309999999999</v>
      </c>
      <c r="F7299" t="s">
        <v>43</v>
      </c>
      <c r="G7299">
        <v>-188.3707</v>
      </c>
      <c r="H7299" s="1">
        <v>-7.775442E-7</v>
      </c>
      <c r="I7299">
        <v>90.658969999999997</v>
      </c>
      <c r="J7299">
        <v>-187.6729</v>
      </c>
      <c r="K7299">
        <v>1.110695</v>
      </c>
      <c r="L7299">
        <v>76.992339999999999</v>
      </c>
      <c r="M7299">
        <v>-1.767123E-2</v>
      </c>
      <c r="N7299">
        <v>0</v>
      </c>
      <c r="O7299">
        <v>0.9997357</v>
      </c>
      <c r="P7299">
        <v>1.9907050000000002E-3</v>
      </c>
      <c r="Q7299">
        <v>2.940769E-2</v>
      </c>
      <c r="R7299">
        <v>0.9995655</v>
      </c>
      <c r="S7299">
        <v>-0.15132139999999999</v>
      </c>
      <c r="T7299">
        <v>-0.23891809999999999</v>
      </c>
      <c r="U7299">
        <v>3.009125</v>
      </c>
      <c r="V7299">
        <v>1.9636190000000001E-2</v>
      </c>
      <c r="W7299">
        <v>4.4114399999999998E-2</v>
      </c>
      <c r="X7299">
        <v>0.99883350000000004</v>
      </c>
      <c r="Y7299">
        <v>-3.2408159999999998E-2</v>
      </c>
      <c r="Z7299">
        <v>-7.9059879999999999E-2</v>
      </c>
      <c r="AA7299">
        <v>0.99634299999999998</v>
      </c>
      <c r="AB7299">
        <v>35</v>
      </c>
      <c r="AC7299">
        <v>-0.69779999999999998</v>
      </c>
      <c r="AD7299">
        <v>-1.1106957775441999</v>
      </c>
      <c r="AE7299">
        <v>13.6666299999999</v>
      </c>
      <c r="AF7299">
        <v>-0.45317334651885099</v>
      </c>
      <c r="AG7299">
        <v>-1.1106957775441999</v>
      </c>
      <c r="AH7299">
        <v>13.587318076123699</v>
      </c>
      <c r="AI7299">
        <v>94.670669034173599</v>
      </c>
      <c r="AJ7299">
        <v>91.910259156429305</v>
      </c>
      <c r="AK7299">
        <v>13.6401694891965</v>
      </c>
      <c r="AL7299">
        <v>87.471610563323097</v>
      </c>
      <c r="AM7299">
        <v>88.873760334644999</v>
      </c>
      <c r="AN7299">
        <v>1.0000000104836599</v>
      </c>
    </row>
    <row r="7300" spans="1:40" x14ac:dyDescent="0.25">
      <c r="A7300" t="str">
        <f>"20190312154440058"</f>
        <v>20190312154440058</v>
      </c>
      <c r="B7300" t="str">
        <f>"1552376680054879"</f>
        <v>1552376680054879</v>
      </c>
      <c r="C7300" t="s">
        <v>40</v>
      </c>
      <c r="D7300">
        <v>5.2581579999999999</v>
      </c>
      <c r="E7300">
        <v>0.48082429999999898</v>
      </c>
      <c r="F7300" t="s">
        <v>43</v>
      </c>
      <c r="G7300">
        <v>-188.36779999999999</v>
      </c>
      <c r="H7300" s="1">
        <v>-7.9708639999999996E-7</v>
      </c>
      <c r="I7300">
        <v>90.714200000000005</v>
      </c>
      <c r="J7300">
        <v>-187.67939999999999</v>
      </c>
      <c r="K7300">
        <v>1.1106389999999999</v>
      </c>
      <c r="L7300">
        <v>77.349789999999999</v>
      </c>
      <c r="M7300">
        <v>-1.775579E-2</v>
      </c>
      <c r="N7300">
        <v>0</v>
      </c>
      <c r="O7300">
        <v>0.99973420000000002</v>
      </c>
      <c r="P7300">
        <v>2.4206829999999999E-3</v>
      </c>
      <c r="Q7300">
        <v>2.8618649999999999E-2</v>
      </c>
      <c r="R7300">
        <v>0.99958749999999996</v>
      </c>
      <c r="S7300">
        <v>-0.15237429999999999</v>
      </c>
      <c r="T7300">
        <v>-0.2435397</v>
      </c>
      <c r="U7300">
        <v>3.008759</v>
      </c>
      <c r="V7300">
        <v>2.0156739999999999E-2</v>
      </c>
      <c r="W7300">
        <v>4.3319320000000001E-2</v>
      </c>
      <c r="X7300">
        <v>0.99885789999999997</v>
      </c>
      <c r="Y7300">
        <v>-3.2671279999999997E-2</v>
      </c>
      <c r="Z7300">
        <v>-8.0587880000000001E-2</v>
      </c>
      <c r="AA7300">
        <v>0.99621190000000004</v>
      </c>
      <c r="AB7300">
        <v>35</v>
      </c>
      <c r="AC7300">
        <v>-0.68840000000000101</v>
      </c>
      <c r="AD7300">
        <v>-1.1106397970863999</v>
      </c>
      <c r="AE7300">
        <v>13.364409999999999</v>
      </c>
      <c r="AF7300">
        <v>-0.44788507867569799</v>
      </c>
      <c r="AG7300">
        <v>-1.1106397970863999</v>
      </c>
      <c r="AH7300">
        <v>13.2830329441088</v>
      </c>
      <c r="AI7300">
        <v>94.776876191345195</v>
      </c>
      <c r="AJ7300">
        <v>91.931200959153202</v>
      </c>
      <c r="AK7300">
        <v>13.336906912656</v>
      </c>
      <c r="AL7300">
        <v>87.517208813009105</v>
      </c>
      <c r="AM7300">
        <v>88.843940262208605</v>
      </c>
      <c r="AN7300">
        <v>0.99999998102254894</v>
      </c>
    </row>
    <row r="7301" spans="1:40" x14ac:dyDescent="0.25">
      <c r="A7301" t="str">
        <f>"20190312154440081"</f>
        <v>20190312154440081</v>
      </c>
      <c r="B7301" t="str">
        <f>"1552376680075375"</f>
        <v>1552376680075375</v>
      </c>
      <c r="C7301" t="s">
        <v>40</v>
      </c>
      <c r="D7301">
        <v>5.2612949999999996</v>
      </c>
      <c r="E7301">
        <v>0.48080390000000001</v>
      </c>
      <c r="F7301" t="s">
        <v>43</v>
      </c>
      <c r="G7301">
        <v>-188.36189999999999</v>
      </c>
      <c r="H7301" s="1">
        <v>-8.763531E-7</v>
      </c>
      <c r="I7301">
        <v>90.942480000000003</v>
      </c>
      <c r="J7301">
        <v>-187.68559999999999</v>
      </c>
      <c r="K7301">
        <v>1.1105959999999999</v>
      </c>
      <c r="L7301">
        <v>77.697389999999999</v>
      </c>
      <c r="M7301">
        <v>-1.778646E-2</v>
      </c>
      <c r="N7301">
        <v>0</v>
      </c>
      <c r="O7301">
        <v>0.99973369999999995</v>
      </c>
      <c r="P7301">
        <v>3.1532660000000001E-3</v>
      </c>
      <c r="Q7301">
        <v>2.8682949999999999E-2</v>
      </c>
      <c r="R7301">
        <v>0.99958360000000002</v>
      </c>
      <c r="S7301">
        <v>-0.1510773</v>
      </c>
      <c r="T7301">
        <v>-0.24583160000000001</v>
      </c>
      <c r="U7301">
        <v>3.0086360000000001</v>
      </c>
      <c r="V7301">
        <v>2.0924499999999999E-2</v>
      </c>
      <c r="W7301">
        <v>4.3377440000000003E-2</v>
      </c>
      <c r="X7301">
        <v>0.99883960000000005</v>
      </c>
      <c r="Y7301">
        <v>-3.2211190000000001E-2</v>
      </c>
      <c r="Z7301">
        <v>-8.1345970000000004E-2</v>
      </c>
      <c r="AA7301">
        <v>0.99616530000000003</v>
      </c>
      <c r="AB7301">
        <v>35</v>
      </c>
      <c r="AC7301">
        <v>-0.67629999999999701</v>
      </c>
      <c r="AD7301">
        <v>-1.1105968763531</v>
      </c>
      <c r="AE7301">
        <v>13.245089999999999</v>
      </c>
      <c r="AF7301">
        <v>-0.43751618323981201</v>
      </c>
      <c r="AG7301">
        <v>-1.1105968763531</v>
      </c>
      <c r="AH7301">
        <v>13.162721116426001</v>
      </c>
      <c r="AI7301">
        <v>94.820225213913204</v>
      </c>
      <c r="AJ7301">
        <v>91.903755669836798</v>
      </c>
      <c r="AK7301">
        <v>13.2167345823833</v>
      </c>
      <c r="AL7301">
        <v>87.513875675846293</v>
      </c>
      <c r="AM7301">
        <v>88.799897194129201</v>
      </c>
      <c r="AN7301">
        <v>0.99999999176468102</v>
      </c>
    </row>
    <row r="7302" spans="1:40" x14ac:dyDescent="0.25">
      <c r="A7302" t="str">
        <f>"20190312154440115"</f>
        <v>20190312154440115</v>
      </c>
      <c r="B7302" t="str">
        <f>"1552376680104655"</f>
        <v>1552376680104655</v>
      </c>
      <c r="C7302" t="s">
        <v>40</v>
      </c>
      <c r="D7302">
        <v>5.2625960000000003</v>
      </c>
      <c r="E7302">
        <v>0.48085450000000002</v>
      </c>
      <c r="F7302" t="s">
        <v>43</v>
      </c>
      <c r="G7302">
        <v>-188.36449999999999</v>
      </c>
      <c r="H7302" s="1">
        <v>-1.028607E-6</v>
      </c>
      <c r="I7302">
        <v>91.354209999999995</v>
      </c>
      <c r="J7302">
        <v>-187.69499999999999</v>
      </c>
      <c r="K7302">
        <v>1.110528</v>
      </c>
      <c r="L7302">
        <v>78.231080000000006</v>
      </c>
      <c r="M7302">
        <v>-1.7735589999999999E-2</v>
      </c>
      <c r="N7302">
        <v>0</v>
      </c>
      <c r="O7302">
        <v>0.99973469999999998</v>
      </c>
      <c r="P7302">
        <v>5.608521E-3</v>
      </c>
      <c r="Q7302">
        <v>2.8589819999999998E-2</v>
      </c>
      <c r="R7302">
        <v>0.99957549999999995</v>
      </c>
      <c r="S7302">
        <v>-0.1495667</v>
      </c>
      <c r="T7302">
        <v>-0.244675</v>
      </c>
      <c r="U7302">
        <v>3.0087280000000001</v>
      </c>
      <c r="V7302">
        <v>2.3335359999999999E-2</v>
      </c>
      <c r="W7302">
        <v>4.3274069999999998E-2</v>
      </c>
      <c r="X7302">
        <v>0.99879070000000003</v>
      </c>
      <c r="Y7302">
        <v>-3.1763159999999999E-2</v>
      </c>
      <c r="Z7302">
        <v>-8.0965029999999993E-2</v>
      </c>
      <c r="AA7302">
        <v>0.9962107</v>
      </c>
      <c r="AB7302">
        <v>35</v>
      </c>
      <c r="AC7302">
        <v>-0.66949999999999898</v>
      </c>
      <c r="AD7302">
        <v>-1.110529028607</v>
      </c>
      <c r="AE7302">
        <v>13.1231299999999</v>
      </c>
      <c r="AF7302">
        <v>-0.43352657635286501</v>
      </c>
      <c r="AG7302">
        <v>-1.110529028607</v>
      </c>
      <c r="AH7302">
        <v>13.0398026601253</v>
      </c>
      <c r="AI7302">
        <v>94.865148503736407</v>
      </c>
      <c r="AJ7302">
        <v>91.9041773900761</v>
      </c>
      <c r="AK7302">
        <v>13.094184718064501</v>
      </c>
      <c r="AL7302">
        <v>87.5198039854656</v>
      </c>
      <c r="AM7302">
        <v>88.661607034445296</v>
      </c>
      <c r="AN7302">
        <v>1.0000000232835899</v>
      </c>
    </row>
    <row r="7303" spans="1:40" x14ac:dyDescent="0.25">
      <c r="A7303" t="str">
        <f>"20190312154440136"</f>
        <v>20190312154440136</v>
      </c>
      <c r="B7303" t="str">
        <f>"1552376680125151"</f>
        <v>1552376680125151</v>
      </c>
      <c r="C7303" t="s">
        <v>40</v>
      </c>
      <c r="D7303">
        <v>5.3540739999999998</v>
      </c>
      <c r="E7303">
        <v>0.4808615</v>
      </c>
      <c r="F7303" t="s">
        <v>43</v>
      </c>
      <c r="G7303">
        <v>-188.3434</v>
      </c>
      <c r="H7303" s="1">
        <v>-1.2886409999999999E-6</v>
      </c>
      <c r="I7303">
        <v>91.951660000000004</v>
      </c>
      <c r="J7303">
        <v>-187.70099999999999</v>
      </c>
      <c r="K7303">
        <v>1.110484</v>
      </c>
      <c r="L7303">
        <v>78.572050000000004</v>
      </c>
      <c r="M7303">
        <v>-1.7649390000000001E-2</v>
      </c>
      <c r="N7303">
        <v>0</v>
      </c>
      <c r="O7303">
        <v>0.99973619999999996</v>
      </c>
      <c r="P7303">
        <v>7.1841619999999896E-3</v>
      </c>
      <c r="Q7303">
        <v>2.6883710000000002E-2</v>
      </c>
      <c r="R7303">
        <v>0.99961270000000002</v>
      </c>
      <c r="S7303">
        <v>-0.14219670000000001</v>
      </c>
      <c r="T7303">
        <v>-0.24354790000000001</v>
      </c>
      <c r="U7303">
        <v>3.0090330000000001</v>
      </c>
      <c r="V7303">
        <v>2.4829540000000001E-2</v>
      </c>
      <c r="W7303">
        <v>4.1562330000000001E-2</v>
      </c>
      <c r="X7303">
        <v>0.99882729999999997</v>
      </c>
      <c r="Y7303">
        <v>-2.9411380000000001E-2</v>
      </c>
      <c r="Z7303">
        <v>-8.0594200000000005E-2</v>
      </c>
      <c r="AA7303">
        <v>0.996313</v>
      </c>
      <c r="AB7303">
        <v>35</v>
      </c>
      <c r="AC7303">
        <v>-0.64240000000000896</v>
      </c>
      <c r="AD7303">
        <v>-1.1104852886409999</v>
      </c>
      <c r="AE7303">
        <v>13.37961</v>
      </c>
      <c r="AF7303">
        <v>-0.40336020475963802</v>
      </c>
      <c r="AG7303">
        <v>-1.1104852886409999</v>
      </c>
      <c r="AH7303">
        <v>13.297472779694299</v>
      </c>
      <c r="AI7303">
        <v>94.7715664778205</v>
      </c>
      <c r="AJ7303">
        <v>91.737454428089507</v>
      </c>
      <c r="AK7303">
        <v>13.3498561549473</v>
      </c>
      <c r="AL7303">
        <v>87.617967661436097</v>
      </c>
      <c r="AM7303">
        <v>88.575995151447202</v>
      </c>
      <c r="AN7303">
        <v>0.999999954278464</v>
      </c>
    </row>
    <row r="7304" spans="1:40" x14ac:dyDescent="0.25">
      <c r="A7304" t="str">
        <f>"20190312154440157"</f>
        <v>20190312154440157</v>
      </c>
      <c r="B7304" t="str">
        <f>"1552376680155407"</f>
        <v>1552376680155407</v>
      </c>
      <c r="C7304" t="s">
        <v>40</v>
      </c>
      <c r="D7304">
        <v>5.2890709999999999</v>
      </c>
      <c r="E7304">
        <v>0.51454809999999995</v>
      </c>
      <c r="F7304" t="s">
        <v>43</v>
      </c>
      <c r="G7304">
        <v>-188.3185</v>
      </c>
      <c r="H7304" s="1">
        <v>-1.3354270000000001E-6</v>
      </c>
      <c r="I7304">
        <v>92.050420000000003</v>
      </c>
      <c r="J7304">
        <v>-187.70689999999999</v>
      </c>
      <c r="K7304">
        <v>1.1104499999999999</v>
      </c>
      <c r="L7304">
        <v>78.911769999999905</v>
      </c>
      <c r="M7304">
        <v>-1.7534170000000002E-2</v>
      </c>
      <c r="N7304">
        <v>0</v>
      </c>
      <c r="O7304">
        <v>0.99973829999999997</v>
      </c>
      <c r="P7304">
        <v>9.8118879999999995E-3</v>
      </c>
      <c r="Q7304">
        <v>2.686941E-2</v>
      </c>
      <c r="R7304">
        <v>0.9995908</v>
      </c>
      <c r="S7304">
        <v>-0.1378479</v>
      </c>
      <c r="T7304">
        <v>-0.24789739999999999</v>
      </c>
      <c r="U7304">
        <v>3.0088200000000001</v>
      </c>
      <c r="V7304">
        <v>2.7345149999999999E-2</v>
      </c>
      <c r="W7304">
        <v>4.1540899999999999E-2</v>
      </c>
      <c r="X7304">
        <v>0.9987625</v>
      </c>
      <c r="Y7304">
        <v>-2.8087620000000001E-2</v>
      </c>
      <c r="Z7304">
        <v>-8.2034239999999994E-2</v>
      </c>
      <c r="AA7304">
        <v>0.99623360000000005</v>
      </c>
      <c r="AB7304">
        <v>35</v>
      </c>
      <c r="AC7304">
        <v>-0.61160000000000903</v>
      </c>
      <c r="AD7304">
        <v>-1.110451335427</v>
      </c>
      <c r="AE7304">
        <v>13.138649999999901</v>
      </c>
      <c r="AF7304">
        <v>-0.37840852833246502</v>
      </c>
      <c r="AG7304">
        <v>-1.110451335427</v>
      </c>
      <c r="AH7304">
        <v>13.0543058294658</v>
      </c>
      <c r="AI7304">
        <v>94.860071283259799</v>
      </c>
      <c r="AJ7304">
        <v>91.660382583473805</v>
      </c>
      <c r="AK7304">
        <v>13.106914048390299</v>
      </c>
      <c r="AL7304">
        <v>87.619196602889701</v>
      </c>
      <c r="AM7304">
        <v>88.431688841262101</v>
      </c>
      <c r="AN7304">
        <v>0.99999996750379005</v>
      </c>
    </row>
    <row r="7305" spans="1:40" x14ac:dyDescent="0.25">
      <c r="A7305" t="str">
        <f>"20190312154440182"</f>
        <v>20190312154440182</v>
      </c>
      <c r="B7305" t="str">
        <f>"1552376680174927"</f>
        <v>1552376680174927</v>
      </c>
      <c r="C7305" t="s">
        <v>40</v>
      </c>
      <c r="D7305">
        <v>5.3063260000000003</v>
      </c>
      <c r="E7305">
        <v>0.56056830000000002</v>
      </c>
      <c r="F7305" t="s">
        <v>41</v>
      </c>
      <c r="G7305">
        <v>-187.66560000000001</v>
      </c>
      <c r="H7305">
        <v>1.040119</v>
      </c>
      <c r="I7305">
        <v>79.801779999999994</v>
      </c>
      <c r="J7305">
        <v>-187.7132</v>
      </c>
      <c r="K7305">
        <v>1.11042</v>
      </c>
      <c r="L7305">
        <v>79.280550000000005</v>
      </c>
      <c r="M7305">
        <v>-1.7382419999999999E-2</v>
      </c>
      <c r="N7305">
        <v>0</v>
      </c>
      <c r="O7305">
        <v>0.99974110000000005</v>
      </c>
      <c r="P7305">
        <v>1.243256E-2</v>
      </c>
      <c r="Q7305">
        <v>2.757863E-2</v>
      </c>
      <c r="R7305">
        <v>0.99954229999999999</v>
      </c>
      <c r="S7305">
        <v>0.1389465</v>
      </c>
      <c r="T7305">
        <v>-0.2376008</v>
      </c>
      <c r="U7305">
        <v>3.006256</v>
      </c>
      <c r="V7305">
        <v>2.9816619999999999E-2</v>
      </c>
      <c r="W7305">
        <v>4.22417E-2</v>
      </c>
      <c r="X7305">
        <v>0.99866239999999995</v>
      </c>
      <c r="Y7305">
        <v>6.3385520000000001E-2</v>
      </c>
      <c r="Z7305">
        <v>-7.8650919999999999E-2</v>
      </c>
      <c r="AA7305">
        <v>0.99488509999999997</v>
      </c>
      <c r="AB7305">
        <v>35</v>
      </c>
      <c r="AC7305">
        <v>4.7599999999988499E-2</v>
      </c>
      <c r="AD7305">
        <v>-7.0300999999999905E-2</v>
      </c>
      <c r="AE7305">
        <v>0.52123000000000197</v>
      </c>
      <c r="AF7305">
        <v>5.5650047483928898E-2</v>
      </c>
      <c r="AG7305">
        <v>-7.0300999999999905E-2</v>
      </c>
      <c r="AH7305">
        <v>0.51110300135726205</v>
      </c>
      <c r="AI7305">
        <v>97.786304887747704</v>
      </c>
      <c r="AJ7305">
        <v>83.785985581260803</v>
      </c>
      <c r="AK7305">
        <v>0.51890792669062702</v>
      </c>
      <c r="AL7305">
        <v>87.579008496240803</v>
      </c>
      <c r="AM7305">
        <v>88.289853371766199</v>
      </c>
      <c r="AN7305">
        <v>0.99999999061043698</v>
      </c>
    </row>
    <row r="7306" spans="1:40" x14ac:dyDescent="0.25">
      <c r="A7306" t="str">
        <f>"20190312154440204"</f>
        <v>20190312154440204</v>
      </c>
      <c r="B7306" t="str">
        <f>"1552376680195425"</f>
        <v>1552376680195425</v>
      </c>
      <c r="C7306" t="s">
        <v>40</v>
      </c>
      <c r="D7306">
        <v>5.2413930000000004</v>
      </c>
      <c r="E7306">
        <v>0.56056049999999902</v>
      </c>
      <c r="F7306" t="s">
        <v>43</v>
      </c>
      <c r="G7306">
        <v>-185.27160000000001</v>
      </c>
      <c r="H7306" s="1">
        <v>-2.5866649999999998E-6</v>
      </c>
      <c r="I7306">
        <v>93.552120000000002</v>
      </c>
      <c r="J7306">
        <v>-187.7191</v>
      </c>
      <c r="K7306">
        <v>1.1103940000000001</v>
      </c>
      <c r="L7306">
        <v>79.627809999999997</v>
      </c>
      <c r="M7306">
        <v>-1.722069E-2</v>
      </c>
      <c r="N7306">
        <v>0</v>
      </c>
      <c r="O7306">
        <v>0.99974390000000002</v>
      </c>
      <c r="P7306">
        <v>1.4943140000000001E-2</v>
      </c>
      <c r="Q7306">
        <v>2.846154E-2</v>
      </c>
      <c r="R7306">
        <v>0.99948320000000002</v>
      </c>
      <c r="S7306">
        <v>0.51348879999999997</v>
      </c>
      <c r="T7306">
        <v>-0.23353160000000001</v>
      </c>
      <c r="U7306">
        <v>3.0014340000000002</v>
      </c>
      <c r="V7306">
        <v>3.2167059999999997E-2</v>
      </c>
      <c r="W7306">
        <v>4.3116380000000003E-2</v>
      </c>
      <c r="X7306">
        <v>0.99855210000000005</v>
      </c>
      <c r="Y7306">
        <v>0.18508949999999999</v>
      </c>
      <c r="Z7306">
        <v>-7.6333429999999994E-2</v>
      </c>
      <c r="AA7306">
        <v>0.97975250000000003</v>
      </c>
      <c r="AB7306">
        <v>35</v>
      </c>
      <c r="AC7306">
        <v>2.44749999999999</v>
      </c>
      <c r="AD7306">
        <v>-1.1103965866650001</v>
      </c>
      <c r="AE7306">
        <v>13.92431</v>
      </c>
      <c r="AF7306">
        <v>2.6704756841069899</v>
      </c>
      <c r="AG7306">
        <v>-1.1103965866650001</v>
      </c>
      <c r="AH7306">
        <v>13.794995293126499</v>
      </c>
      <c r="AI7306">
        <v>94.518443781437199</v>
      </c>
      <c r="AJ7306">
        <v>79.044029366610403</v>
      </c>
      <c r="AK7306">
        <v>14.094903905187399</v>
      </c>
      <c r="AL7306">
        <v>87.528847387285296</v>
      </c>
      <c r="AM7306">
        <v>88.154928867828104</v>
      </c>
      <c r="AN7306">
        <v>1.00000001919387</v>
      </c>
    </row>
    <row r="7307" spans="1:40" x14ac:dyDescent="0.25">
      <c r="A7307" t="str">
        <f>"20190312154440225"</f>
        <v>20190312154440225</v>
      </c>
      <c r="B7307" t="str">
        <f>"1552376680214943"</f>
        <v>1552376680214943</v>
      </c>
      <c r="C7307" t="s">
        <v>40</v>
      </c>
      <c r="D7307">
        <v>5.2416960000000001</v>
      </c>
      <c r="E7307">
        <v>0.56028350000000005</v>
      </c>
      <c r="F7307" t="s">
        <v>43</v>
      </c>
      <c r="G7307">
        <v>-185.1747</v>
      </c>
      <c r="H7307" s="1">
        <v>-2.8607929999999998E-6</v>
      </c>
      <c r="I7307">
        <v>94.281869999999998</v>
      </c>
      <c r="J7307">
        <v>-187.72499999999999</v>
      </c>
      <c r="K7307">
        <v>1.110358</v>
      </c>
      <c r="L7307">
        <v>79.978669999999994</v>
      </c>
      <c r="M7307">
        <v>-1.704433E-2</v>
      </c>
      <c r="N7307">
        <v>0</v>
      </c>
      <c r="O7307">
        <v>0.99974700000000005</v>
      </c>
      <c r="P7307">
        <v>1.6277670000000001E-2</v>
      </c>
      <c r="Q7307">
        <v>2.7649730000000001E-2</v>
      </c>
      <c r="R7307">
        <v>0.99948510000000002</v>
      </c>
      <c r="S7307">
        <v>0.52093509999999998</v>
      </c>
      <c r="T7307">
        <v>-0.2273405</v>
      </c>
      <c r="U7307">
        <v>3.0002439999999999</v>
      </c>
      <c r="V7307">
        <v>3.3326880000000003E-2</v>
      </c>
      <c r="W7307">
        <v>4.2298870000000002E-2</v>
      </c>
      <c r="X7307">
        <v>0.99854900000000002</v>
      </c>
      <c r="Y7307">
        <v>0.1873678</v>
      </c>
      <c r="Z7307">
        <v>-7.4318880000000004E-2</v>
      </c>
      <c r="AA7307">
        <v>0.97947439999999997</v>
      </c>
      <c r="AB7307">
        <v>35</v>
      </c>
      <c r="AC7307">
        <v>2.5502999999999898</v>
      </c>
      <c r="AD7307">
        <v>-1.110360860793</v>
      </c>
      <c r="AE7307">
        <v>14.3032</v>
      </c>
      <c r="AF7307">
        <v>2.7775213243552299</v>
      </c>
      <c r="AG7307">
        <v>-1.110360860793</v>
      </c>
      <c r="AH7307">
        <v>14.1748569439523</v>
      </c>
      <c r="AI7307">
        <v>94.395755080127699</v>
      </c>
      <c r="AJ7307">
        <v>78.913526373239094</v>
      </c>
      <c r="AK7307">
        <v>14.487031971040199</v>
      </c>
      <c r="AL7307">
        <v>87.575729965594704</v>
      </c>
      <c r="AM7307">
        <v>88.0884452928766</v>
      </c>
      <c r="AN7307">
        <v>0.99999999036740495</v>
      </c>
    </row>
    <row r="7308" spans="1:40" x14ac:dyDescent="0.25">
      <c r="A7308" t="str">
        <f>"20190312154440247"</f>
        <v>20190312154440247</v>
      </c>
      <c r="B7308" t="str">
        <f>"1552376680245199"</f>
        <v>1552376680245199</v>
      </c>
      <c r="C7308" t="s">
        <v>40</v>
      </c>
      <c r="D7308">
        <v>5.245933</v>
      </c>
      <c r="E7308">
        <v>0.55976919999999897</v>
      </c>
      <c r="F7308" t="s">
        <v>43</v>
      </c>
      <c r="G7308">
        <v>-185.20840000000001</v>
      </c>
      <c r="H7308" s="1">
        <v>-2.9045470000000001E-6</v>
      </c>
      <c r="I7308">
        <v>94.422079999999994</v>
      </c>
      <c r="J7308">
        <v>-187.73050000000001</v>
      </c>
      <c r="K7308">
        <v>1.110331</v>
      </c>
      <c r="L7308">
        <v>80.31326</v>
      </c>
      <c r="M7308">
        <v>-1.6869240000000001E-2</v>
      </c>
      <c r="N7308">
        <v>0</v>
      </c>
      <c r="O7308">
        <v>0.99975000000000003</v>
      </c>
      <c r="P7308">
        <v>1.76983E-2</v>
      </c>
      <c r="Q7308">
        <v>2.2283859999999999E-2</v>
      </c>
      <c r="R7308">
        <v>0.99959500000000001</v>
      </c>
      <c r="S7308">
        <v>0.52261349999999995</v>
      </c>
      <c r="T7308">
        <v>-0.23058529999999999</v>
      </c>
      <c r="U7308">
        <v>2.9994200000000002</v>
      </c>
      <c r="V7308">
        <v>3.457354E-2</v>
      </c>
      <c r="W7308">
        <v>3.6929150000000001E-2</v>
      </c>
      <c r="X7308">
        <v>0.99871960000000004</v>
      </c>
      <c r="Y7308">
        <v>0.18775929999999999</v>
      </c>
      <c r="Z7308">
        <v>-7.5387750000000003E-2</v>
      </c>
      <c r="AA7308">
        <v>0.97931769999999996</v>
      </c>
      <c r="AB7308">
        <v>35</v>
      </c>
      <c r="AC7308">
        <v>2.5220999999999898</v>
      </c>
      <c r="AD7308">
        <v>-1.110333904547</v>
      </c>
      <c r="AE7308">
        <v>14.10882</v>
      </c>
      <c r="AF7308">
        <v>2.7433075882840399</v>
      </c>
      <c r="AG7308">
        <v>-1.110333904547</v>
      </c>
      <c r="AH7308">
        <v>13.980357347865001</v>
      </c>
      <c r="AI7308">
        <v>94.456324230204402</v>
      </c>
      <c r="AJ7308">
        <v>78.898143132890596</v>
      </c>
      <c r="AK7308">
        <v>14.2901703795835</v>
      </c>
      <c r="AL7308">
        <v>87.883634268615694</v>
      </c>
      <c r="AM7308">
        <v>88.017334209808496</v>
      </c>
      <c r="AN7308">
        <v>0.99999996560600601</v>
      </c>
    </row>
    <row r="7309" spans="1:40" x14ac:dyDescent="0.25">
      <c r="A7309" t="str">
        <f>"20190312154440270"</f>
        <v>20190312154440270</v>
      </c>
      <c r="B7309" t="str">
        <f>"1552376680265696"</f>
        <v>1552376680265696</v>
      </c>
      <c r="C7309" t="s">
        <v>40</v>
      </c>
      <c r="D7309">
        <v>5.2651209999999997</v>
      </c>
      <c r="E7309">
        <v>0.55950710000000003</v>
      </c>
      <c r="F7309" t="s">
        <v>43</v>
      </c>
      <c r="G7309">
        <v>-185.3809</v>
      </c>
      <c r="H7309" s="1">
        <v>-2.6356300000000002E-6</v>
      </c>
      <c r="I7309">
        <v>93.781459999999996</v>
      </c>
      <c r="J7309">
        <v>-187.73609999999999</v>
      </c>
      <c r="K7309">
        <v>1.11032</v>
      </c>
      <c r="L7309">
        <v>80.654939999999996</v>
      </c>
      <c r="M7309">
        <v>-1.6687770000000001E-2</v>
      </c>
      <c r="N7309">
        <v>0</v>
      </c>
      <c r="O7309">
        <v>0.99975309999999995</v>
      </c>
      <c r="P7309">
        <v>1.8162959999999999E-2</v>
      </c>
      <c r="Q7309">
        <v>2.0623409999999998E-2</v>
      </c>
      <c r="R7309">
        <v>0.99962229999999996</v>
      </c>
      <c r="S7309">
        <v>0.52291869999999996</v>
      </c>
      <c r="T7309">
        <v>-0.24711449999999999</v>
      </c>
      <c r="U7309">
        <v>2.9974669999999999</v>
      </c>
      <c r="V7309">
        <v>3.485738E-2</v>
      </c>
      <c r="W7309">
        <v>3.526464E-2</v>
      </c>
      <c r="X7309">
        <v>0.99876989999999999</v>
      </c>
      <c r="Y7309">
        <v>0.18771270000000001</v>
      </c>
      <c r="Z7309">
        <v>-8.0808640000000001E-2</v>
      </c>
      <c r="AA7309">
        <v>0.97889420000000005</v>
      </c>
      <c r="AB7309">
        <v>35</v>
      </c>
      <c r="AC7309">
        <v>2.3551999999999902</v>
      </c>
      <c r="AD7309">
        <v>-1.11032263563</v>
      </c>
      <c r="AE7309">
        <v>13.126519999999999</v>
      </c>
      <c r="AF7309">
        <v>2.5562289355358998</v>
      </c>
      <c r="AG7309">
        <v>-1.11032263563</v>
      </c>
      <c r="AH7309">
        <v>12.9953051840918</v>
      </c>
      <c r="AI7309">
        <v>94.792118099956696</v>
      </c>
      <c r="AJ7309">
        <v>78.871763830968405</v>
      </c>
      <c r="AK7309">
        <v>13.290789275048599</v>
      </c>
      <c r="AL7309">
        <v>87.979065888063204</v>
      </c>
      <c r="AM7309">
        <v>88.001170765677202</v>
      </c>
      <c r="AN7309">
        <v>0.99999997246040095</v>
      </c>
    </row>
    <row r="7310" spans="1:40" x14ac:dyDescent="0.25">
      <c r="A7310" t="str">
        <f>"20190312154440291"</f>
        <v>20190312154440291</v>
      </c>
      <c r="B7310" t="str">
        <f>"1552376680285216"</f>
        <v>1552376680285216</v>
      </c>
      <c r="C7310" t="s">
        <v>40</v>
      </c>
      <c r="D7310">
        <v>5.2689250000000003</v>
      </c>
      <c r="E7310">
        <v>0.55943809999999905</v>
      </c>
      <c r="F7310" t="s">
        <v>43</v>
      </c>
      <c r="G7310">
        <v>-185.4333</v>
      </c>
      <c r="H7310" s="1">
        <v>-2.655492E-6</v>
      </c>
      <c r="I7310">
        <v>93.880780000000001</v>
      </c>
      <c r="J7310">
        <v>-187.74170000000001</v>
      </c>
      <c r="K7310">
        <v>1.110317</v>
      </c>
      <c r="L7310">
        <v>81.000919999999994</v>
      </c>
      <c r="M7310">
        <v>-1.6504459999999999E-2</v>
      </c>
      <c r="N7310">
        <v>0</v>
      </c>
      <c r="O7310">
        <v>0.99975619999999998</v>
      </c>
      <c r="P7310">
        <v>1.863074E-2</v>
      </c>
      <c r="Q7310">
        <v>2.2150630000000001E-2</v>
      </c>
      <c r="R7310">
        <v>0.99958100000000005</v>
      </c>
      <c r="S7310">
        <v>0.52178959999999996</v>
      </c>
      <c r="T7310">
        <v>-0.25158659999999999</v>
      </c>
      <c r="U7310">
        <v>2.996826</v>
      </c>
      <c r="V7310">
        <v>3.5142409999999999E-2</v>
      </c>
      <c r="W7310">
        <v>3.678667E-2</v>
      </c>
      <c r="X7310">
        <v>0.99870499999999995</v>
      </c>
      <c r="Y7310">
        <v>0.1871893</v>
      </c>
      <c r="Z7310">
        <v>-8.228539E-2</v>
      </c>
      <c r="AA7310">
        <v>0.97887139999999995</v>
      </c>
      <c r="AB7310">
        <v>35</v>
      </c>
      <c r="AC7310">
        <v>2.3083999999999998</v>
      </c>
      <c r="AD7310">
        <v>-1.1103196554920001</v>
      </c>
      <c r="AE7310">
        <v>12.879860000000001</v>
      </c>
      <c r="AF7310">
        <v>2.5026639065015099</v>
      </c>
      <c r="AG7310">
        <v>-1.1103196554920001</v>
      </c>
      <c r="AH7310">
        <v>12.748212974096299</v>
      </c>
      <c r="AI7310">
        <v>94.884901041612807</v>
      </c>
      <c r="AJ7310">
        <v>78.893231609302603</v>
      </c>
      <c r="AK7310">
        <v>13.038906027700101</v>
      </c>
      <c r="AL7310">
        <v>87.891803315856393</v>
      </c>
      <c r="AM7310">
        <v>87.984708845472298</v>
      </c>
      <c r="AN7310">
        <v>0.999999962547647</v>
      </c>
    </row>
    <row r="7311" spans="1:40" x14ac:dyDescent="0.25">
      <c r="A7311" t="str">
        <f>"20190312154440314"</f>
        <v>20190312154440314</v>
      </c>
      <c r="B7311" t="str">
        <f>"1552376680304735"</f>
        <v>1552376680304735</v>
      </c>
      <c r="C7311" t="s">
        <v>40</v>
      </c>
      <c r="D7311">
        <v>5.2717400000000003</v>
      </c>
      <c r="E7311">
        <v>0.559141</v>
      </c>
      <c r="F7311" t="s">
        <v>43</v>
      </c>
      <c r="G7311">
        <v>-185.3835</v>
      </c>
      <c r="H7311" s="1">
        <v>-2.9164510000000001E-6</v>
      </c>
      <c r="I7311">
        <v>94.522239999999996</v>
      </c>
      <c r="J7311">
        <v>-187.7474</v>
      </c>
      <c r="K7311">
        <v>1.1103209999999999</v>
      </c>
      <c r="L7311">
        <v>81.361019999999996</v>
      </c>
      <c r="M7311">
        <v>-1.6314849999999999E-2</v>
      </c>
      <c r="N7311">
        <v>0</v>
      </c>
      <c r="O7311">
        <v>0.99975939999999996</v>
      </c>
      <c r="P7311">
        <v>1.935448E-2</v>
      </c>
      <c r="Q7311">
        <v>2.279515E-2</v>
      </c>
      <c r="R7311">
        <v>0.99955280000000002</v>
      </c>
      <c r="S7311">
        <v>0.52268979999999998</v>
      </c>
      <c r="T7311">
        <v>-0.2461005</v>
      </c>
      <c r="U7311">
        <v>2.9969790000000001</v>
      </c>
      <c r="V7311">
        <v>3.5676840000000001E-2</v>
      </c>
      <c r="W7311">
        <v>3.7425670000000001E-2</v>
      </c>
      <c r="X7311">
        <v>0.99866239999999995</v>
      </c>
      <c r="Y7311">
        <v>0.18730520000000001</v>
      </c>
      <c r="Z7311">
        <v>-8.0496509999999993E-2</v>
      </c>
      <c r="AA7311">
        <v>0.97899800000000003</v>
      </c>
      <c r="AB7311">
        <v>35</v>
      </c>
      <c r="AC7311">
        <v>2.3639000000000001</v>
      </c>
      <c r="AD7311">
        <v>-1.1103239164509999</v>
      </c>
      <c r="AE7311">
        <v>13.16122</v>
      </c>
      <c r="AF7311">
        <v>2.5606765188918699</v>
      </c>
      <c r="AG7311">
        <v>-1.1103239164509999</v>
      </c>
      <c r="AH7311">
        <v>13.0310513756597</v>
      </c>
      <c r="AI7311">
        <v>94.779217576978695</v>
      </c>
      <c r="AJ7311">
        <v>78.882701821703705</v>
      </c>
      <c r="AK7311">
        <v>13.3265968419897</v>
      </c>
      <c r="AL7311">
        <v>87.855166274763704</v>
      </c>
      <c r="AM7311">
        <v>87.953999853736605</v>
      </c>
      <c r="AN7311">
        <v>1.00000005343054</v>
      </c>
    </row>
    <row r="7312" spans="1:40" x14ac:dyDescent="0.25">
      <c r="A7312" t="str">
        <f>"20190312154440336"</f>
        <v>20190312154440336</v>
      </c>
      <c r="B7312" t="str">
        <f>"1552376680325235"</f>
        <v>1552376680325235</v>
      </c>
      <c r="C7312" t="s">
        <v>40</v>
      </c>
      <c r="D7312">
        <v>5.3189640000000002</v>
      </c>
      <c r="E7312">
        <v>0.55908910000000001</v>
      </c>
      <c r="F7312" t="s">
        <v>43</v>
      </c>
      <c r="G7312">
        <v>-185.37649999999999</v>
      </c>
      <c r="H7312" s="1">
        <v>-3.1117849999999998E-6</v>
      </c>
      <c r="I7312">
        <v>94.97466</v>
      </c>
      <c r="J7312">
        <v>-187.75280000000001</v>
      </c>
      <c r="K7312">
        <v>1.1103179999999999</v>
      </c>
      <c r="L7312">
        <v>81.698909999999998</v>
      </c>
      <c r="M7312">
        <v>-1.6138449999999999E-2</v>
      </c>
      <c r="N7312">
        <v>0</v>
      </c>
      <c r="O7312">
        <v>0.99976240000000005</v>
      </c>
      <c r="P7312">
        <v>1.9309570000000002E-2</v>
      </c>
      <c r="Q7312">
        <v>2.3559770000000001E-2</v>
      </c>
      <c r="R7312">
        <v>0.99953590000000003</v>
      </c>
      <c r="S7312">
        <v>0.52192689999999997</v>
      </c>
      <c r="T7312">
        <v>-0.24441779999999999</v>
      </c>
      <c r="U7312">
        <v>2.9967959999999998</v>
      </c>
      <c r="V7312">
        <v>3.5456040000000001E-2</v>
      </c>
      <c r="W7312">
        <v>3.8186150000000002E-2</v>
      </c>
      <c r="X7312">
        <v>0.99864140000000001</v>
      </c>
      <c r="Y7312">
        <v>0.1869075</v>
      </c>
      <c r="Z7312">
        <v>-7.995961E-2</v>
      </c>
      <c r="AA7312">
        <v>0.97911800000000004</v>
      </c>
      <c r="AB7312">
        <v>35</v>
      </c>
      <c r="AC7312">
        <v>2.3763000000000098</v>
      </c>
      <c r="AD7312">
        <v>-1.110321111785</v>
      </c>
      <c r="AE7312">
        <v>13.27575</v>
      </c>
      <c r="AF7312">
        <v>2.5728256325058698</v>
      </c>
      <c r="AG7312">
        <v>-1.110321111785</v>
      </c>
      <c r="AH7312">
        <v>13.146563215721301</v>
      </c>
      <c r="AI7312">
        <v>94.738119884081499</v>
      </c>
      <c r="AJ7312">
        <v>78.926976863276195</v>
      </c>
      <c r="AK7312">
        <v>13.441888598389401</v>
      </c>
      <c r="AL7312">
        <v>87.8115626472743</v>
      </c>
      <c r="AM7312">
        <v>87.9666089367322</v>
      </c>
      <c r="AN7312">
        <v>0.99999997930913098</v>
      </c>
    </row>
    <row r="7313" spans="1:40" x14ac:dyDescent="0.25">
      <c r="A7313" t="str">
        <f>"20190312154440359"</f>
        <v>20190312154440359</v>
      </c>
      <c r="B7313" t="str">
        <f>"1552376680354511"</f>
        <v>1552376680354511</v>
      </c>
      <c r="C7313" t="s">
        <v>40</v>
      </c>
      <c r="D7313">
        <v>5.2422659999999999</v>
      </c>
      <c r="E7313">
        <v>0.55893939999999998</v>
      </c>
      <c r="F7313" t="s">
        <v>43</v>
      </c>
      <c r="G7313">
        <v>-185.35310000000001</v>
      </c>
      <c r="H7313" s="1">
        <v>-3.3413160000000001E-6</v>
      </c>
      <c r="I7313">
        <v>95.500050000000002</v>
      </c>
      <c r="J7313">
        <v>-187.75839999999999</v>
      </c>
      <c r="K7313">
        <v>1.110317</v>
      </c>
      <c r="L7313">
        <v>82.055819999999997</v>
      </c>
      <c r="M7313">
        <v>-1.5953200000000001E-2</v>
      </c>
      <c r="N7313">
        <v>0</v>
      </c>
      <c r="O7313">
        <v>0.99976529999999997</v>
      </c>
      <c r="P7313">
        <v>1.922198E-2</v>
      </c>
      <c r="Q7313">
        <v>2.4045690000000002E-2</v>
      </c>
      <c r="R7313">
        <v>0.99952600000000003</v>
      </c>
      <c r="S7313">
        <v>0.52110290000000004</v>
      </c>
      <c r="T7313">
        <v>-0.24111369999999999</v>
      </c>
      <c r="U7313">
        <v>2.9970089999999998</v>
      </c>
      <c r="V7313">
        <v>3.5183640000000002E-2</v>
      </c>
      <c r="W7313">
        <v>3.8667399999999998E-2</v>
      </c>
      <c r="X7313">
        <v>0.99863259999999998</v>
      </c>
      <c r="Y7313">
        <v>0.1864671</v>
      </c>
      <c r="Z7313">
        <v>-7.88856E-2</v>
      </c>
      <c r="AA7313">
        <v>0.97928910000000002</v>
      </c>
      <c r="AB7313">
        <v>35</v>
      </c>
      <c r="AC7313">
        <v>2.40529999999998</v>
      </c>
      <c r="AD7313">
        <v>-1.1103203413160001</v>
      </c>
      <c r="AE7313">
        <v>13.444229999999999</v>
      </c>
      <c r="AF7313">
        <v>2.6022965657787398</v>
      </c>
      <c r="AG7313">
        <v>-1.1103203413160001</v>
      </c>
      <c r="AH7313">
        <v>13.3161348777288</v>
      </c>
      <c r="AI7313">
        <v>94.678294247299604</v>
      </c>
      <c r="AJ7313">
        <v>78.942371865489804</v>
      </c>
      <c r="AK7313">
        <v>13.6133833692609</v>
      </c>
      <c r="AL7313">
        <v>87.783968857848706</v>
      </c>
      <c r="AM7313">
        <v>87.982200248695193</v>
      </c>
      <c r="AN7313">
        <v>1.00000006306458</v>
      </c>
    </row>
    <row r="7314" spans="1:40" x14ac:dyDescent="0.25">
      <c r="A7314" t="str">
        <f>"20190312154440383"</f>
        <v>20190312154440383</v>
      </c>
      <c r="B7314" t="str">
        <f>"1552376680375008"</f>
        <v>1552376680375008</v>
      </c>
      <c r="C7314" t="s">
        <v>40</v>
      </c>
      <c r="D7314">
        <v>5.3033650000000003</v>
      </c>
      <c r="E7314">
        <v>0.55904770000000004</v>
      </c>
      <c r="F7314" t="s">
        <v>43</v>
      </c>
      <c r="G7314">
        <v>-185.35380000000001</v>
      </c>
      <c r="H7314" s="1">
        <v>-3.5232480000000001E-6</v>
      </c>
      <c r="I7314">
        <v>95.924419999999998</v>
      </c>
      <c r="J7314">
        <v>-187.76400000000001</v>
      </c>
      <c r="K7314">
        <v>1.110311</v>
      </c>
      <c r="L7314">
        <v>82.422209999999893</v>
      </c>
      <c r="M7314">
        <v>-1.576317E-2</v>
      </c>
      <c r="N7314">
        <v>0</v>
      </c>
      <c r="O7314">
        <v>0.9997684</v>
      </c>
      <c r="P7314">
        <v>1.9002120000000001E-2</v>
      </c>
      <c r="Q7314">
        <v>2.259541E-2</v>
      </c>
      <c r="R7314">
        <v>0.99956409999999996</v>
      </c>
      <c r="S7314">
        <v>0.51965329999999998</v>
      </c>
      <c r="T7314">
        <v>-0.2399551</v>
      </c>
      <c r="U7314">
        <v>2.9971920000000001</v>
      </c>
      <c r="V7314">
        <v>3.4774050000000001E-2</v>
      </c>
      <c r="W7314">
        <v>3.7214089999999998E-2</v>
      </c>
      <c r="X7314">
        <v>0.99870210000000004</v>
      </c>
      <c r="Y7314">
        <v>0.18581549999999999</v>
      </c>
      <c r="Z7314">
        <v>-7.8512689999999996E-2</v>
      </c>
      <c r="AA7314">
        <v>0.97944290000000001</v>
      </c>
      <c r="AB7314">
        <v>35</v>
      </c>
      <c r="AC7314">
        <v>2.4102000000000001</v>
      </c>
      <c r="AD7314">
        <v>-1.1103145232480001</v>
      </c>
      <c r="AE7314">
        <v>13.50221</v>
      </c>
      <c r="AF7314">
        <v>2.6056851232432199</v>
      </c>
      <c r="AG7314">
        <v>-1.1103145232480001</v>
      </c>
      <c r="AH7314">
        <v>13.3748859403517</v>
      </c>
      <c r="AI7314">
        <v>94.658337950977796</v>
      </c>
      <c r="AJ7314">
        <v>78.975768691928707</v>
      </c>
      <c r="AK7314">
        <v>13.671502010366099</v>
      </c>
      <c r="AL7314">
        <v>87.867297260137306</v>
      </c>
      <c r="AM7314">
        <v>88.005810038320803</v>
      </c>
      <c r="AN7314">
        <v>1.00000000379617</v>
      </c>
    </row>
    <row r="7315" spans="1:40" x14ac:dyDescent="0.25">
      <c r="A7315" t="str">
        <f>"20190312154440405"</f>
        <v>20190312154440405</v>
      </c>
      <c r="B7315" t="str">
        <f>"1552376680394528"</f>
        <v>1552376680394528</v>
      </c>
      <c r="C7315" t="s">
        <v>40</v>
      </c>
      <c r="D7315">
        <v>5.2641200000000001</v>
      </c>
      <c r="E7315">
        <v>0.55899160000000003</v>
      </c>
      <c r="F7315" t="s">
        <v>43</v>
      </c>
      <c r="G7315">
        <v>-185.38560000000001</v>
      </c>
      <c r="H7315" s="1">
        <v>-3.603467E-6</v>
      </c>
      <c r="I7315">
        <v>96.124549999999999</v>
      </c>
      <c r="J7315">
        <v>-187.76920000000001</v>
      </c>
      <c r="K7315">
        <v>1.110309</v>
      </c>
      <c r="L7315">
        <v>82.762600000000006</v>
      </c>
      <c r="M7315">
        <v>-1.558506E-2</v>
      </c>
      <c r="N7315">
        <v>0</v>
      </c>
      <c r="O7315">
        <v>0.99977130000000003</v>
      </c>
      <c r="P7315">
        <v>1.9564359999999999E-2</v>
      </c>
      <c r="Q7315">
        <v>2.2398339999999999E-2</v>
      </c>
      <c r="R7315">
        <v>0.99955769999999999</v>
      </c>
      <c r="S7315">
        <v>0.52020259999999996</v>
      </c>
      <c r="T7315">
        <v>-0.24284339999999999</v>
      </c>
      <c r="U7315">
        <v>2.996918</v>
      </c>
      <c r="V7315">
        <v>3.5158189999999999E-2</v>
      </c>
      <c r="W7315">
        <v>3.7012539999999997E-2</v>
      </c>
      <c r="X7315">
        <v>0.99869609999999998</v>
      </c>
      <c r="Y7315">
        <v>0.18581700000000001</v>
      </c>
      <c r="Z7315">
        <v>-7.9457920000000001E-2</v>
      </c>
      <c r="AA7315">
        <v>0.97936639999999997</v>
      </c>
      <c r="AB7315">
        <v>35</v>
      </c>
      <c r="AC7315">
        <v>2.3835999999999999</v>
      </c>
      <c r="AD7315">
        <v>-1.1103126034669999</v>
      </c>
      <c r="AE7315">
        <v>13.361949999999901</v>
      </c>
      <c r="AF7315">
        <v>2.5743523893142299</v>
      </c>
      <c r="AG7315">
        <v>-1.1103126034669999</v>
      </c>
      <c r="AH7315">
        <v>13.2346102476114</v>
      </c>
      <c r="AI7315">
        <v>94.707749504048095</v>
      </c>
      <c r="AJ7315">
        <v>78.992471429428406</v>
      </c>
      <c r="AK7315">
        <v>13.5283033935511</v>
      </c>
      <c r="AL7315">
        <v>87.878853099830394</v>
      </c>
      <c r="AM7315">
        <v>87.983786713023605</v>
      </c>
      <c r="AN7315">
        <v>0.99999996329826801</v>
      </c>
    </row>
    <row r="7316" spans="1:40" x14ac:dyDescent="0.25">
      <c r="A7316" t="str">
        <f>"20190312154440426"</f>
        <v>20190312154440426</v>
      </c>
      <c r="B7316" t="str">
        <f>"1552376680415023"</f>
        <v>1552376680415023</v>
      </c>
      <c r="C7316" t="s">
        <v>40</v>
      </c>
      <c r="D7316">
        <v>5.2946090000000003</v>
      </c>
      <c r="E7316">
        <v>0.55911679999999997</v>
      </c>
      <c r="F7316" t="s">
        <v>43</v>
      </c>
      <c r="G7316">
        <v>-185.38339999999999</v>
      </c>
      <c r="H7316" s="1">
        <v>-3.753128E-6</v>
      </c>
      <c r="I7316">
        <v>96.472530000000006</v>
      </c>
      <c r="J7316">
        <v>-187.77430000000001</v>
      </c>
      <c r="K7316">
        <v>1.1103080000000001</v>
      </c>
      <c r="L7316">
        <v>83.09872</v>
      </c>
      <c r="M7316">
        <v>-1.5404630000000001E-2</v>
      </c>
      <c r="N7316">
        <v>0</v>
      </c>
      <c r="O7316">
        <v>0.99977419999999995</v>
      </c>
      <c r="P7316">
        <v>2.0051860000000001E-2</v>
      </c>
      <c r="Q7316">
        <v>2.2639739999999998E-2</v>
      </c>
      <c r="R7316">
        <v>0.99954259999999995</v>
      </c>
      <c r="S7316">
        <v>0.52145390000000003</v>
      </c>
      <c r="T7316">
        <v>-0.2426789</v>
      </c>
      <c r="U7316">
        <v>2.9965519999999999</v>
      </c>
      <c r="V7316">
        <v>3.5465490000000002E-2</v>
      </c>
      <c r="W7316">
        <v>3.7250310000000002E-2</v>
      </c>
      <c r="X7316">
        <v>0.99867640000000002</v>
      </c>
      <c r="Y7316">
        <v>0.18605749999999999</v>
      </c>
      <c r="Z7316">
        <v>-7.9409660000000007E-2</v>
      </c>
      <c r="AA7316">
        <v>0.97932459999999999</v>
      </c>
      <c r="AB7316">
        <v>35</v>
      </c>
      <c r="AC7316">
        <v>2.39090000000001</v>
      </c>
      <c r="AD7316">
        <v>-1.110311753128</v>
      </c>
      <c r="AE7316">
        <v>13.373810000000001</v>
      </c>
      <c r="AF7316">
        <v>2.57942870037289</v>
      </c>
      <c r="AG7316">
        <v>-1.110311753128</v>
      </c>
      <c r="AH7316">
        <v>13.2469107159468</v>
      </c>
      <c r="AI7316">
        <v>94.703216271280297</v>
      </c>
      <c r="AJ7316">
        <v>78.981287594048595</v>
      </c>
      <c r="AK7316">
        <v>13.541303043861999</v>
      </c>
      <c r="AL7316">
        <v>87.865220493327797</v>
      </c>
      <c r="AM7316">
        <v>87.966138659900196</v>
      </c>
      <c r="AN7316">
        <v>0.99999996924649703</v>
      </c>
    </row>
    <row r="7317" spans="1:40" x14ac:dyDescent="0.25">
      <c r="A7317" t="str">
        <f>"20190312154440449"</f>
        <v>20190312154440449</v>
      </c>
      <c r="B7317" t="str">
        <f>"1552376680445280"</f>
        <v>1552376680445280</v>
      </c>
      <c r="C7317" t="s">
        <v>40</v>
      </c>
      <c r="D7317">
        <v>5.2971120000000003</v>
      </c>
      <c r="E7317">
        <v>0.55920930000000002</v>
      </c>
      <c r="F7317" t="s">
        <v>43</v>
      </c>
      <c r="G7317">
        <v>-185.36330000000001</v>
      </c>
      <c r="H7317" s="1">
        <v>-3.9377560000000003E-6</v>
      </c>
      <c r="I7317">
        <v>96.894580000000005</v>
      </c>
      <c r="J7317">
        <v>-187.77940000000001</v>
      </c>
      <c r="K7317">
        <v>1.1103019999999999</v>
      </c>
      <c r="L7317">
        <v>83.440190000000001</v>
      </c>
      <c r="M7317">
        <v>-1.5210090000000001E-2</v>
      </c>
      <c r="N7317">
        <v>0</v>
      </c>
      <c r="O7317">
        <v>0.99977720000000003</v>
      </c>
      <c r="P7317">
        <v>2.1185820000000001E-2</v>
      </c>
      <c r="Q7317">
        <v>2.3261270000000001E-2</v>
      </c>
      <c r="R7317">
        <v>0.99950490000000003</v>
      </c>
      <c r="S7317">
        <v>0.52363590000000004</v>
      </c>
      <c r="T7317">
        <v>-0.2411498</v>
      </c>
      <c r="U7317">
        <v>2.9963380000000002</v>
      </c>
      <c r="V7317">
        <v>3.6405239999999998E-2</v>
      </c>
      <c r="W7317">
        <v>3.7865940000000001E-2</v>
      </c>
      <c r="X7317">
        <v>0.99861940000000005</v>
      </c>
      <c r="Y7317">
        <v>0.1865771</v>
      </c>
      <c r="Z7317">
        <v>-7.8909580000000007E-2</v>
      </c>
      <c r="AA7317">
        <v>0.97926619999999998</v>
      </c>
      <c r="AB7317">
        <v>35</v>
      </c>
      <c r="AC7317">
        <v>2.4161000000000001</v>
      </c>
      <c r="AD7317">
        <v>-1.1103059377560001</v>
      </c>
      <c r="AE7317">
        <v>13.45439</v>
      </c>
      <c r="AF7317">
        <v>2.6033097551197102</v>
      </c>
      <c r="AG7317">
        <v>-1.1103059377560001</v>
      </c>
      <c r="AH7317">
        <v>13.328149001855</v>
      </c>
      <c r="AI7317">
        <v>94.674123208056201</v>
      </c>
      <c r="AJ7317">
        <v>78.947898431610597</v>
      </c>
      <c r="AK7317">
        <v>13.6253277675132</v>
      </c>
      <c r="AL7317">
        <v>87.829922519525994</v>
      </c>
      <c r="AM7317">
        <v>87.912174252374996</v>
      </c>
      <c r="AN7317">
        <v>0.99999993848394797</v>
      </c>
    </row>
    <row r="7318" spans="1:40" x14ac:dyDescent="0.25">
      <c r="A7318" t="str">
        <f>"20190312154440470"</f>
        <v>20190312154440470</v>
      </c>
      <c r="B7318" t="str">
        <f>"1552376680464799"</f>
        <v>1552376680464799</v>
      </c>
      <c r="C7318" t="s">
        <v>40</v>
      </c>
      <c r="D7318">
        <v>5.3174890000000001</v>
      </c>
      <c r="E7318">
        <v>0.55927289999999996</v>
      </c>
      <c r="F7318" t="s">
        <v>43</v>
      </c>
      <c r="G7318">
        <v>-185.3245</v>
      </c>
      <c r="H7318" s="1">
        <v>-4.1504290000000003E-6</v>
      </c>
      <c r="I7318">
        <v>97.374269999999996</v>
      </c>
      <c r="J7318">
        <v>-187.7842</v>
      </c>
      <c r="K7318">
        <v>1.110287</v>
      </c>
      <c r="L7318">
        <v>83.769130000000004</v>
      </c>
      <c r="M7318">
        <v>-1.500596E-2</v>
      </c>
      <c r="N7318">
        <v>0</v>
      </c>
      <c r="O7318">
        <v>0.99978029999999996</v>
      </c>
      <c r="P7318">
        <v>2.115061E-2</v>
      </c>
      <c r="Q7318">
        <v>2.3033120000000001E-2</v>
      </c>
      <c r="R7318">
        <v>0.99951089999999998</v>
      </c>
      <c r="S7318">
        <v>0.52780150000000003</v>
      </c>
      <c r="T7318">
        <v>-0.2387177</v>
      </c>
      <c r="U7318">
        <v>2.9958499999999999</v>
      </c>
      <c r="V7318">
        <v>3.6167100000000001E-2</v>
      </c>
      <c r="W7318">
        <v>3.7633420000000001E-2</v>
      </c>
      <c r="X7318">
        <v>0.99863690000000005</v>
      </c>
      <c r="Y7318">
        <v>0.18773529999999999</v>
      </c>
      <c r="Z7318">
        <v>-7.8113580000000002E-2</v>
      </c>
      <c r="AA7318">
        <v>0.9791086</v>
      </c>
      <c r="AB7318">
        <v>35</v>
      </c>
      <c r="AC7318">
        <v>2.45969999999999</v>
      </c>
      <c r="AD7318">
        <v>-1.1102911504290001</v>
      </c>
      <c r="AE7318">
        <v>13.605139999999899</v>
      </c>
      <c r="AF7318">
        <v>2.6465352539153999</v>
      </c>
      <c r="AG7318">
        <v>-1.1102911504290001</v>
      </c>
      <c r="AH7318">
        <v>13.4797612618767</v>
      </c>
      <c r="AI7318">
        <v>94.620842938651407</v>
      </c>
      <c r="AJ7318">
        <v>78.892177590758195</v>
      </c>
      <c r="AK7318">
        <v>13.7819033143514</v>
      </c>
      <c r="AL7318">
        <v>87.843254561191898</v>
      </c>
      <c r="AM7318">
        <v>87.925855832483293</v>
      </c>
      <c r="AN7318">
        <v>0.99999999573245801</v>
      </c>
    </row>
    <row r="7319" spans="1:40" x14ac:dyDescent="0.25">
      <c r="A7319" t="str">
        <f>"20190312154440493"</f>
        <v>20190312154440493</v>
      </c>
      <c r="B7319" t="str">
        <f>"1552376680485295"</f>
        <v>1552376680485295</v>
      </c>
      <c r="C7319" t="s">
        <v>40</v>
      </c>
      <c r="D7319">
        <v>5.4506119999999996</v>
      </c>
      <c r="E7319">
        <v>0.53230089999999997</v>
      </c>
      <c r="F7319" t="s">
        <v>43</v>
      </c>
      <c r="G7319">
        <v>-185.3349</v>
      </c>
      <c r="H7319" s="1">
        <v>-4.2736909999999998E-6</v>
      </c>
      <c r="I7319">
        <v>97.66592</v>
      </c>
      <c r="J7319">
        <v>-187.78919999999999</v>
      </c>
      <c r="K7319">
        <v>1.110268</v>
      </c>
      <c r="L7319">
        <v>84.121430000000004</v>
      </c>
      <c r="M7319">
        <v>-1.4769040000000001E-2</v>
      </c>
      <c r="N7319">
        <v>0</v>
      </c>
      <c r="O7319">
        <v>0.99978389999999995</v>
      </c>
      <c r="P7319">
        <v>2.079601E-2</v>
      </c>
      <c r="Q7319">
        <v>2.267754E-2</v>
      </c>
      <c r="R7319">
        <v>0.99952649999999998</v>
      </c>
      <c r="S7319">
        <v>0.52799989999999997</v>
      </c>
      <c r="T7319">
        <v>-0.2393527</v>
      </c>
      <c r="U7319">
        <v>2.995819</v>
      </c>
      <c r="V7319">
        <v>3.5577209999999998E-2</v>
      </c>
      <c r="W7319">
        <v>3.7273649999999998E-2</v>
      </c>
      <c r="X7319">
        <v>0.99867159999999999</v>
      </c>
      <c r="Y7319">
        <v>0.18756429999999999</v>
      </c>
      <c r="Z7319">
        <v>-7.8322130000000004E-2</v>
      </c>
      <c r="AA7319">
        <v>0.97912480000000002</v>
      </c>
      <c r="AB7319">
        <v>34</v>
      </c>
      <c r="AC7319">
        <v>2.4542999999999799</v>
      </c>
      <c r="AD7319">
        <v>-1.110272273691</v>
      </c>
      <c r="AE7319">
        <v>13.5444899999999</v>
      </c>
      <c r="AF7319">
        <v>2.6369373062679999</v>
      </c>
      <c r="AG7319">
        <v>-1.110272273691</v>
      </c>
      <c r="AH7319">
        <v>13.419456126979201</v>
      </c>
      <c r="AI7319">
        <v>94.641293243757204</v>
      </c>
      <c r="AJ7319">
        <v>78.882960721968104</v>
      </c>
      <c r="AK7319">
        <v>13.721076693278601</v>
      </c>
      <c r="AL7319">
        <v>87.863882375556997</v>
      </c>
      <c r="AM7319">
        <v>87.959727392297694</v>
      </c>
      <c r="AN7319">
        <v>1.00000001375113</v>
      </c>
    </row>
    <row r="7320" spans="1:40" x14ac:dyDescent="0.25">
      <c r="A7320" t="str">
        <f>"20190312154440515"</f>
        <v>20190312154440515</v>
      </c>
      <c r="B7320" t="str">
        <f>"1552376680504815"</f>
        <v>1552376680504815</v>
      </c>
      <c r="C7320" t="s">
        <v>40</v>
      </c>
      <c r="D7320">
        <v>5.2854169999999998</v>
      </c>
      <c r="E7320">
        <v>0.48661090000000001</v>
      </c>
      <c r="F7320" t="s">
        <v>41</v>
      </c>
      <c r="G7320">
        <v>-187.68969999999999</v>
      </c>
      <c r="H7320">
        <v>1.03233</v>
      </c>
      <c r="I7320">
        <v>85.078319999999906</v>
      </c>
      <c r="J7320">
        <v>-187.79400000000001</v>
      </c>
      <c r="K7320">
        <v>1.110247</v>
      </c>
      <c r="L7320">
        <v>84.464230000000001</v>
      </c>
      <c r="M7320">
        <v>-1.451175E-2</v>
      </c>
      <c r="N7320">
        <v>0</v>
      </c>
      <c r="O7320">
        <v>0.99978769999999995</v>
      </c>
      <c r="P7320">
        <v>1.965714E-2</v>
      </c>
      <c r="Q7320">
        <v>2.2235560000000001E-2</v>
      </c>
      <c r="R7320">
        <v>0.99955950000000005</v>
      </c>
      <c r="S7320">
        <v>0.3118744</v>
      </c>
      <c r="T7320">
        <v>-0.24439179999999999</v>
      </c>
      <c r="U7320">
        <v>3.0004879999999998</v>
      </c>
      <c r="V7320">
        <v>3.41833E-2</v>
      </c>
      <c r="W7320">
        <v>3.6828119999999999E-2</v>
      </c>
      <c r="X7320">
        <v>0.99873679999999998</v>
      </c>
      <c r="Y7320">
        <v>0.117471699999999</v>
      </c>
      <c r="Z7320">
        <v>-8.0671999999999994E-2</v>
      </c>
      <c r="AA7320">
        <v>0.98979410000000001</v>
      </c>
      <c r="AB7320">
        <v>34</v>
      </c>
      <c r="AC7320">
        <v>0.104300000000023</v>
      </c>
      <c r="AD7320">
        <v>-7.7917E-2</v>
      </c>
      <c r="AE7320">
        <v>0.61408999999999003</v>
      </c>
      <c r="AF7320">
        <v>0.111457440351867</v>
      </c>
      <c r="AG7320">
        <v>-7.7917E-2</v>
      </c>
      <c r="AH7320">
        <v>0.60307487192142895</v>
      </c>
      <c r="AI7320">
        <v>97.240523341152993</v>
      </c>
      <c r="AJ7320">
        <v>79.529016638092102</v>
      </c>
      <c r="AK7320">
        <v>0.61821769712766905</v>
      </c>
      <c r="AL7320">
        <v>87.889426878730305</v>
      </c>
      <c r="AM7320">
        <v>88.039729217312399</v>
      </c>
      <c r="AN7320">
        <v>1.00000000204793</v>
      </c>
    </row>
    <row r="7321" spans="1:40" x14ac:dyDescent="0.25">
      <c r="A7321" t="str">
        <f>"20190312154440537"</f>
        <v>20190312154440537</v>
      </c>
      <c r="B7321" t="str">
        <f>"1552376680525311"</f>
        <v>1552376680525311</v>
      </c>
      <c r="C7321" t="s">
        <v>40</v>
      </c>
      <c r="D7321">
        <v>5.3395989999999998</v>
      </c>
      <c r="E7321">
        <v>0.48177629999999999</v>
      </c>
      <c r="F7321" t="s">
        <v>43</v>
      </c>
      <c r="G7321">
        <v>-188.07339999999999</v>
      </c>
      <c r="H7321" s="1">
        <v>-5.187636E-7</v>
      </c>
      <c r="I7321">
        <v>99.666129999999995</v>
      </c>
      <c r="J7321">
        <v>-187.7987</v>
      </c>
      <c r="K7321">
        <v>1.110215</v>
      </c>
      <c r="L7321">
        <v>84.806030000000007</v>
      </c>
      <c r="M7321">
        <v>-1.4218E-2</v>
      </c>
      <c r="N7321">
        <v>0</v>
      </c>
      <c r="O7321">
        <v>0.99979200000000001</v>
      </c>
      <c r="P7321">
        <v>1.844353E-2</v>
      </c>
      <c r="Q7321">
        <v>2.2048149999999999E-2</v>
      </c>
      <c r="R7321">
        <v>0.9995868</v>
      </c>
      <c r="S7321">
        <v>-5.5267330000000003E-2</v>
      </c>
      <c r="T7321">
        <v>-0.2196331</v>
      </c>
      <c r="U7321">
        <v>3.0072939999999999</v>
      </c>
      <c r="V7321">
        <v>3.2678810000000003E-2</v>
      </c>
      <c r="W7321">
        <v>3.663657E-2</v>
      </c>
      <c r="X7321">
        <v>0.99879419999999997</v>
      </c>
      <c r="Y7321">
        <v>-4.1068889999999999E-3</v>
      </c>
      <c r="Z7321">
        <v>-7.2822040000000005E-2</v>
      </c>
      <c r="AA7321">
        <v>0.99733649999999996</v>
      </c>
      <c r="AB7321">
        <v>34</v>
      </c>
      <c r="AC7321">
        <v>-0.274699999999995</v>
      </c>
      <c r="AD7321">
        <v>-1.1102155187636</v>
      </c>
      <c r="AE7321">
        <v>14.860099999999999</v>
      </c>
      <c r="AF7321">
        <v>-6.30171090540384E-2</v>
      </c>
      <c r="AG7321">
        <v>-1.1102155187636</v>
      </c>
      <c r="AH7321">
        <v>14.7800332992467</v>
      </c>
      <c r="AI7321">
        <v>94.295717868579501</v>
      </c>
      <c r="AJ7321">
        <v>90.244288523180103</v>
      </c>
      <c r="AK7321">
        <v>14.821806029663801</v>
      </c>
      <c r="AL7321">
        <v>87.900409289265795</v>
      </c>
      <c r="AM7321">
        <v>88.126050180130207</v>
      </c>
      <c r="AN7321">
        <v>0.99999999841900999</v>
      </c>
    </row>
    <row r="7322" spans="1:40" x14ac:dyDescent="0.25">
      <c r="A7322" t="str">
        <f>"20190312154440560"</f>
        <v>20190312154440560</v>
      </c>
      <c r="B7322" t="str">
        <f>"1552376680554592"</f>
        <v>1552376680554592</v>
      </c>
      <c r="C7322" t="s">
        <v>40</v>
      </c>
      <c r="D7322">
        <v>5.280475</v>
      </c>
      <c r="E7322">
        <v>0.48014760000000001</v>
      </c>
      <c r="F7322" t="s">
        <v>43</v>
      </c>
      <c r="G7322">
        <v>-188.31450000000001</v>
      </c>
      <c r="H7322" s="1">
        <v>-8.4551280000000005E-7</v>
      </c>
      <c r="I7322">
        <v>100.81480000000001</v>
      </c>
      <c r="J7322">
        <v>-187.8032</v>
      </c>
      <c r="K7322">
        <v>1.1101840000000001</v>
      </c>
      <c r="L7322">
        <v>85.146730000000005</v>
      </c>
      <c r="M7322">
        <v>-1.387736E-2</v>
      </c>
      <c r="N7322">
        <v>0</v>
      </c>
      <c r="O7322">
        <v>0.99979680000000004</v>
      </c>
      <c r="P7322">
        <v>1.789719E-2</v>
      </c>
      <c r="Q7322">
        <v>2.1267339999999999E-2</v>
      </c>
      <c r="R7322">
        <v>0.99961359999999999</v>
      </c>
      <c r="S7322">
        <v>-9.6893309999999996E-2</v>
      </c>
      <c r="T7322">
        <v>-0.20858099999999999</v>
      </c>
      <c r="U7322">
        <v>3.0076290000000001</v>
      </c>
      <c r="V7322">
        <v>3.1794929999999999E-2</v>
      </c>
      <c r="W7322">
        <v>3.5850769999999997E-2</v>
      </c>
      <c r="X7322">
        <v>0.99885119999999905</v>
      </c>
      <c r="Y7322">
        <v>-1.8247300000000001E-2</v>
      </c>
      <c r="Z7322">
        <v>-6.9150870000000003E-2</v>
      </c>
      <c r="AA7322">
        <v>0.99743930000000003</v>
      </c>
      <c r="AB7322">
        <v>34</v>
      </c>
      <c r="AC7322">
        <v>-0.51130000000000497</v>
      </c>
      <c r="AD7322">
        <v>-1.1101848455128001</v>
      </c>
      <c r="AE7322">
        <v>15.66807</v>
      </c>
      <c r="AF7322">
        <v>-0.29232993737670199</v>
      </c>
      <c r="AG7322">
        <v>-1.1101848455128001</v>
      </c>
      <c r="AH7322">
        <v>15.595441277895</v>
      </c>
      <c r="AI7322">
        <v>94.071104406265903</v>
      </c>
      <c r="AJ7322">
        <v>91.073859346597501</v>
      </c>
      <c r="AK7322">
        <v>15.6376390748656</v>
      </c>
      <c r="AL7322">
        <v>87.945461830332206</v>
      </c>
      <c r="AM7322">
        <v>88.176805121883305</v>
      </c>
      <c r="AN7322">
        <v>0.99999995751236703</v>
      </c>
    </row>
    <row r="7323" spans="1:40" x14ac:dyDescent="0.25">
      <c r="A7323" t="str">
        <f>"20190312154440583"</f>
        <v>20190312154440583</v>
      </c>
      <c r="B7323" t="str">
        <f>"1552376680575087"</f>
        <v>1552376680575087</v>
      </c>
      <c r="C7323" t="s">
        <v>40</v>
      </c>
      <c r="D7323">
        <v>5.2633919999999996</v>
      </c>
      <c r="E7323">
        <v>0.47997079999999998</v>
      </c>
      <c r="F7323" t="s">
        <v>43</v>
      </c>
      <c r="G7323">
        <v>-188.38890000000001</v>
      </c>
      <c r="H7323" s="1">
        <v>-8.8227909999999905E-7</v>
      </c>
      <c r="I7323">
        <v>100.98099999999999</v>
      </c>
      <c r="J7323">
        <v>-187.80779999999999</v>
      </c>
      <c r="K7323">
        <v>1.110139</v>
      </c>
      <c r="L7323">
        <v>85.508539999999996</v>
      </c>
      <c r="M7323">
        <v>-1.3454580000000001E-2</v>
      </c>
      <c r="N7323">
        <v>0</v>
      </c>
      <c r="O7323">
        <v>0.99980259999999999</v>
      </c>
      <c r="P7323">
        <v>1.8086930000000001E-2</v>
      </c>
      <c r="Q7323">
        <v>2.0887550000000001E-2</v>
      </c>
      <c r="R7323">
        <v>0.99961820000000001</v>
      </c>
      <c r="S7323">
        <v>-0.1112518</v>
      </c>
      <c r="T7323">
        <v>-0.2108728</v>
      </c>
      <c r="U7323">
        <v>3.0076290000000001</v>
      </c>
      <c r="V7323">
        <v>3.1565849999999999E-2</v>
      </c>
      <c r="W7323">
        <v>3.5464309999999999E-2</v>
      </c>
      <c r="X7323">
        <v>0.99887230000000005</v>
      </c>
      <c r="Y7323">
        <v>-2.342402E-2</v>
      </c>
      <c r="Z7323">
        <v>-6.9898070000000007E-2</v>
      </c>
      <c r="AA7323">
        <v>0.99727909999999997</v>
      </c>
      <c r="AB7323">
        <v>34</v>
      </c>
      <c r="AC7323">
        <v>-0.58110000000002004</v>
      </c>
      <c r="AD7323">
        <v>-1.1101398822791</v>
      </c>
      <c r="AE7323">
        <v>15.47246</v>
      </c>
      <c r="AF7323">
        <v>-0.37094277226948102</v>
      </c>
      <c r="AG7323">
        <v>-1.1101398822791</v>
      </c>
      <c r="AH7323">
        <v>15.3997127576636</v>
      </c>
      <c r="AI7323">
        <v>94.122034109004602</v>
      </c>
      <c r="AJ7323">
        <v>91.379853412570199</v>
      </c>
      <c r="AK7323">
        <v>15.444130345120501</v>
      </c>
      <c r="AL7323">
        <v>87.967618526601697</v>
      </c>
      <c r="AM7323">
        <v>88.189970539407895</v>
      </c>
      <c r="AN7323">
        <v>0.99999999593864397</v>
      </c>
    </row>
    <row r="7324" spans="1:40" x14ac:dyDescent="0.25">
      <c r="A7324" t="str">
        <f>"20190312154440606"</f>
        <v>20190312154440606</v>
      </c>
      <c r="B7324" t="str">
        <f>"1552376680594608"</f>
        <v>1552376680594608</v>
      </c>
      <c r="C7324" t="s">
        <v>40</v>
      </c>
      <c r="D7324">
        <v>5.2779989999999897</v>
      </c>
      <c r="E7324">
        <v>0.4799369</v>
      </c>
      <c r="F7324" t="s">
        <v>43</v>
      </c>
      <c r="G7324">
        <v>-188.38900000000001</v>
      </c>
      <c r="H7324" s="1">
        <v>-9.2961700000000001E-7</v>
      </c>
      <c r="I7324">
        <v>101.1202</v>
      </c>
      <c r="J7324">
        <v>-187.81209999999999</v>
      </c>
      <c r="K7324">
        <v>1.110088</v>
      </c>
      <c r="L7324">
        <v>85.856750000000005</v>
      </c>
      <c r="M7324">
        <v>-1.2981660000000001E-2</v>
      </c>
      <c r="N7324">
        <v>0</v>
      </c>
      <c r="O7324">
        <v>0.99980899999999995</v>
      </c>
      <c r="P7324">
        <v>1.849752E-2</v>
      </c>
      <c r="Q7324">
        <v>2.0352579999999999E-2</v>
      </c>
      <c r="R7324">
        <v>0.99962169999999895</v>
      </c>
      <c r="S7324">
        <v>-0.1119537</v>
      </c>
      <c r="T7324">
        <v>-0.21387220000000001</v>
      </c>
      <c r="U7324">
        <v>3.0076290000000001</v>
      </c>
      <c r="V7324">
        <v>3.1507760000000003E-2</v>
      </c>
      <c r="W7324">
        <v>3.4922479999999999E-2</v>
      </c>
      <c r="X7324">
        <v>0.99889320000000004</v>
      </c>
      <c r="Y7324">
        <v>-2.4126720000000001E-2</v>
      </c>
      <c r="Z7324">
        <v>-7.088709E-2</v>
      </c>
      <c r="AA7324">
        <v>0.99719250000000004</v>
      </c>
      <c r="AB7324">
        <v>34</v>
      </c>
      <c r="AC7324">
        <v>-0.57690000000002295</v>
      </c>
      <c r="AD7324">
        <v>-1.110088929617</v>
      </c>
      <c r="AE7324">
        <v>15.263449999999899</v>
      </c>
      <c r="AF7324">
        <v>-0.37669564060396998</v>
      </c>
      <c r="AG7324">
        <v>-1.110088929617</v>
      </c>
      <c r="AH7324">
        <v>15.189424447409801</v>
      </c>
      <c r="AI7324">
        <v>94.1786367919604</v>
      </c>
      <c r="AJ7324">
        <v>91.420636266120894</v>
      </c>
      <c r="AK7324">
        <v>15.234592612895099</v>
      </c>
      <c r="AL7324">
        <v>87.998682294344505</v>
      </c>
      <c r="AM7324">
        <v>88.193337067489196</v>
      </c>
      <c r="AN7324">
        <v>0.99999997177790301</v>
      </c>
    </row>
    <row r="7325" spans="1:40" x14ac:dyDescent="0.25">
      <c r="A7325" t="str">
        <f>"20190312154440626"</f>
        <v>20190312154440626</v>
      </c>
      <c r="B7325" t="str">
        <f>"1552376680615103"</f>
        <v>1552376680615103</v>
      </c>
      <c r="C7325" t="s">
        <v>40</v>
      </c>
      <c r="D7325">
        <v>5.2741759999999998</v>
      </c>
      <c r="E7325">
        <v>0.47990189999999999</v>
      </c>
      <c r="F7325" t="s">
        <v>43</v>
      </c>
      <c r="G7325">
        <v>-188.3767</v>
      </c>
      <c r="H7325" s="1">
        <v>-9.4316609999999998E-7</v>
      </c>
      <c r="I7325">
        <v>101.1504</v>
      </c>
      <c r="J7325">
        <v>-187.81569999999999</v>
      </c>
      <c r="K7325">
        <v>1.1100380000000001</v>
      </c>
      <c r="L7325">
        <v>86.174619999999905</v>
      </c>
      <c r="M7325">
        <v>-1.2489139999999999E-2</v>
      </c>
      <c r="N7325">
        <v>0</v>
      </c>
      <c r="O7325">
        <v>0.99981529999999996</v>
      </c>
      <c r="P7325">
        <v>1.9534719999999998E-2</v>
      </c>
      <c r="Q7325">
        <v>1.9865939999999999E-2</v>
      </c>
      <c r="R7325">
        <v>0.99961180000000005</v>
      </c>
      <c r="S7325">
        <v>-0.1110382</v>
      </c>
      <c r="T7325">
        <v>-0.21830859999999999</v>
      </c>
      <c r="U7325">
        <v>3.0076290000000001</v>
      </c>
      <c r="V7325">
        <v>3.205624E-2</v>
      </c>
      <c r="W7325">
        <v>3.442829E-2</v>
      </c>
      <c r="X7325">
        <v>0.99889289999999997</v>
      </c>
      <c r="Y7325">
        <v>-2.4312170000000001E-2</v>
      </c>
      <c r="Z7325">
        <v>-7.2350810000000002E-2</v>
      </c>
      <c r="AA7325">
        <v>0.99708289999999999</v>
      </c>
      <c r="AB7325">
        <v>34</v>
      </c>
      <c r="AC7325">
        <v>-0.56100000000000705</v>
      </c>
      <c r="AD7325">
        <v>-1.1100389431661</v>
      </c>
      <c r="AE7325">
        <v>14.97578</v>
      </c>
      <c r="AF7325">
        <v>-0.37186147958757898</v>
      </c>
      <c r="AG7325">
        <v>-1.1100389431661</v>
      </c>
      <c r="AH7325">
        <v>14.899872054546</v>
      </c>
      <c r="AI7325">
        <v>94.259337373977104</v>
      </c>
      <c r="AJ7325">
        <v>91.429654649202007</v>
      </c>
      <c r="AK7325">
        <v>14.9457905330292</v>
      </c>
      <c r="AL7325">
        <v>88.027014326704602</v>
      </c>
      <c r="AM7325">
        <v>88.161907923357106</v>
      </c>
      <c r="AN7325">
        <v>0.99999996767283506</v>
      </c>
    </row>
    <row r="7326" spans="1:40" x14ac:dyDescent="0.25">
      <c r="A7326" t="str">
        <f>"20190312154440650"</f>
        <v>20190312154440650</v>
      </c>
      <c r="B7326" t="str">
        <f>"1552376680645360"</f>
        <v>1552376680645360</v>
      </c>
      <c r="C7326" t="s">
        <v>40</v>
      </c>
      <c r="D7326">
        <v>5.2835130000000001</v>
      </c>
      <c r="E7326">
        <v>0.47986200000000001</v>
      </c>
      <c r="F7326" t="s">
        <v>43</v>
      </c>
      <c r="G7326">
        <v>-188.35890000000001</v>
      </c>
      <c r="H7326" s="1">
        <v>-9.9269879999999992E-7</v>
      </c>
      <c r="I7326">
        <v>101.26819999999999</v>
      </c>
      <c r="J7326">
        <v>-187.81950000000001</v>
      </c>
      <c r="K7326">
        <v>1.109982</v>
      </c>
      <c r="L7326">
        <v>86.518919999999994</v>
      </c>
      <c r="M7326">
        <v>-1.189348E-2</v>
      </c>
      <c r="N7326">
        <v>0</v>
      </c>
      <c r="O7326">
        <v>0.99982260000000001</v>
      </c>
      <c r="P7326">
        <v>2.059246E-2</v>
      </c>
      <c r="Q7326">
        <v>1.9373769999999998E-2</v>
      </c>
      <c r="R7326">
        <v>0.99960020000000005</v>
      </c>
      <c r="S7326">
        <v>-0.1082458</v>
      </c>
      <c r="T7326">
        <v>-0.22119430000000001</v>
      </c>
      <c r="U7326">
        <v>3.00766</v>
      </c>
      <c r="V7326">
        <v>3.2522290000000002E-2</v>
      </c>
      <c r="W7326">
        <v>3.3927909999999999E-2</v>
      </c>
      <c r="X7326">
        <v>0.99889499999999998</v>
      </c>
      <c r="Y7326">
        <v>-2.3980410000000001E-2</v>
      </c>
      <c r="Z7326">
        <v>-7.3303670000000001E-2</v>
      </c>
      <c r="AA7326">
        <v>0.9970213</v>
      </c>
      <c r="AB7326">
        <v>34</v>
      </c>
      <c r="AC7326">
        <v>-0.53939999999999999</v>
      </c>
      <c r="AD7326">
        <v>-1.1099829926988001</v>
      </c>
      <c r="AE7326">
        <v>14.749280000000001</v>
      </c>
      <c r="AF7326">
        <v>-0.36187608414715899</v>
      </c>
      <c r="AG7326">
        <v>-1.1099829926988001</v>
      </c>
      <c r="AH7326">
        <v>14.6716694083251</v>
      </c>
      <c r="AI7326">
        <v>94.325151513772397</v>
      </c>
      <c r="AJ7326">
        <v>91.412911422135906</v>
      </c>
      <c r="AK7326">
        <v>14.718046737646301</v>
      </c>
      <c r="AL7326">
        <v>88.055700835579302</v>
      </c>
      <c r="AM7326">
        <v>88.135207451768494</v>
      </c>
      <c r="AN7326">
        <v>1.0000000117243999</v>
      </c>
    </row>
    <row r="7327" spans="1:40" x14ac:dyDescent="0.25">
      <c r="A7327" t="str">
        <f>"20190312154440672"</f>
        <v>20190312154440672</v>
      </c>
      <c r="B7327" t="str">
        <f>"1552376680664880"</f>
        <v>1552376680664880</v>
      </c>
      <c r="C7327" t="s">
        <v>40</v>
      </c>
      <c r="D7327">
        <v>5.294416</v>
      </c>
      <c r="E7327">
        <v>0.47979329999999998</v>
      </c>
      <c r="F7327" t="s">
        <v>43</v>
      </c>
      <c r="G7327">
        <v>-188.3391</v>
      </c>
      <c r="H7327" s="1">
        <v>-1.0464249999999999E-6</v>
      </c>
      <c r="I7327">
        <v>101.3853</v>
      </c>
      <c r="J7327">
        <v>-187.82300000000001</v>
      </c>
      <c r="K7327">
        <v>1.1099330000000001</v>
      </c>
      <c r="L7327">
        <v>86.87567</v>
      </c>
      <c r="M7327">
        <v>-1.121634E-2</v>
      </c>
      <c r="N7327">
        <v>0</v>
      </c>
      <c r="O7327">
        <v>0.99983049999999996</v>
      </c>
      <c r="P7327">
        <v>2.2084900000000001E-2</v>
      </c>
      <c r="Q7327">
        <v>1.9337469999999999E-2</v>
      </c>
      <c r="R7327">
        <v>0.99956909999999999</v>
      </c>
      <c r="S7327">
        <v>-0.10513309999999999</v>
      </c>
      <c r="T7327">
        <v>-0.2245713</v>
      </c>
      <c r="U7327">
        <v>3.0077509999999998</v>
      </c>
      <c r="V7327">
        <v>3.3341500000000003E-2</v>
      </c>
      <c r="W7327">
        <v>3.3883589999999998E-2</v>
      </c>
      <c r="X7327">
        <v>0.99886949999999997</v>
      </c>
      <c r="Y7327">
        <v>-2.362295E-2</v>
      </c>
      <c r="Z7327">
        <v>-7.4416969999999999E-2</v>
      </c>
      <c r="AA7327">
        <v>0.99694729999999998</v>
      </c>
      <c r="AB7327">
        <v>34</v>
      </c>
      <c r="AC7327">
        <v>-0.51610000000002199</v>
      </c>
      <c r="AD7327">
        <v>-1.109934046425</v>
      </c>
      <c r="AE7327">
        <v>14.50963</v>
      </c>
      <c r="AF7327">
        <v>-0.35125241113996902</v>
      </c>
      <c r="AG7327">
        <v>-1.109934046425</v>
      </c>
      <c r="AH7327">
        <v>14.4301721800107</v>
      </c>
      <c r="AI7327">
        <v>94.397095385844494</v>
      </c>
      <c r="AJ7327">
        <v>91.394391352667895</v>
      </c>
      <c r="AK7327">
        <v>14.477057746258399</v>
      </c>
      <c r="AL7327">
        <v>88.0582416530236</v>
      </c>
      <c r="AM7327">
        <v>88.088220505294103</v>
      </c>
      <c r="AN7327">
        <v>1.00000001566189</v>
      </c>
    </row>
    <row r="7328" spans="1:40" x14ac:dyDescent="0.25">
      <c r="A7328" t="str">
        <f>"20190312154440694"</f>
        <v>20190312154440694</v>
      </c>
      <c r="B7328" t="str">
        <f>"1552376680685375"</f>
        <v>1552376680685375</v>
      </c>
      <c r="C7328" t="s">
        <v>40</v>
      </c>
      <c r="D7328">
        <v>5.2740749999999998</v>
      </c>
      <c r="E7328">
        <v>0.4797688</v>
      </c>
      <c r="F7328" t="s">
        <v>43</v>
      </c>
      <c r="G7328">
        <v>-188.32239999999999</v>
      </c>
      <c r="H7328" s="1">
        <v>-1.188595E-6</v>
      </c>
      <c r="I7328">
        <v>101.7098</v>
      </c>
      <c r="J7328">
        <v>-187.82599999999999</v>
      </c>
      <c r="K7328">
        <v>1.109896</v>
      </c>
      <c r="L7328">
        <v>87.197569999999999</v>
      </c>
      <c r="M7328">
        <v>-1.0568839999999999E-2</v>
      </c>
      <c r="N7328">
        <v>0</v>
      </c>
      <c r="O7328">
        <v>0.99983759999999999</v>
      </c>
      <c r="P7328">
        <v>2.3506139999999998E-2</v>
      </c>
      <c r="Q7328">
        <v>1.8751830000000001E-2</v>
      </c>
      <c r="R7328">
        <v>0.99954779999999999</v>
      </c>
      <c r="S7328">
        <v>-0.1012726</v>
      </c>
      <c r="T7328">
        <v>-0.2250587</v>
      </c>
      <c r="U7328">
        <v>3.0078740000000002</v>
      </c>
      <c r="V7328">
        <v>3.4117429999999997E-2</v>
      </c>
      <c r="W7328">
        <v>3.3290260000000002E-2</v>
      </c>
      <c r="X7328">
        <v>0.99886319999999995</v>
      </c>
      <c r="Y7328">
        <v>-2.299052E-2</v>
      </c>
      <c r="Z7328">
        <v>-7.4577519999999994E-2</v>
      </c>
      <c r="AA7328">
        <v>0.99695009999999995</v>
      </c>
      <c r="AB7328">
        <v>34</v>
      </c>
      <c r="AC7328">
        <v>-0.49639999999999401</v>
      </c>
      <c r="AD7328">
        <v>-1.109897188595</v>
      </c>
      <c r="AE7328">
        <v>14.512230000000001</v>
      </c>
      <c r="AF7328">
        <v>-0.34098631981753202</v>
      </c>
      <c r="AG7328">
        <v>-1.109897188595</v>
      </c>
      <c r="AH7328">
        <v>14.4323470551135</v>
      </c>
      <c r="AI7328">
        <v>94.396364996142495</v>
      </c>
      <c r="AJ7328">
        <v>91.3534488088427</v>
      </c>
      <c r="AK7328">
        <v>14.478977345061301</v>
      </c>
      <c r="AL7328">
        <v>88.092256054769194</v>
      </c>
      <c r="AM7328">
        <v>88.043751040892403</v>
      </c>
      <c r="AN7328">
        <v>0.99999996637745503</v>
      </c>
    </row>
    <row r="7329" spans="1:40" x14ac:dyDescent="0.25">
      <c r="A7329" t="str">
        <f>"20190312154440715"</f>
        <v>20190312154440715</v>
      </c>
      <c r="B7329" t="str">
        <f>"1552376680704896"</f>
        <v>1552376680704896</v>
      </c>
      <c r="C7329" t="s">
        <v>40</v>
      </c>
      <c r="D7329">
        <v>5.2873039999999998</v>
      </c>
      <c r="E7329">
        <v>0.47962169999999998</v>
      </c>
      <c r="F7329" t="s">
        <v>43</v>
      </c>
      <c r="G7329">
        <v>-188.30099999999999</v>
      </c>
      <c r="H7329" s="1">
        <v>-1.2820500000000001E-6</v>
      </c>
      <c r="I7329">
        <v>101.9187</v>
      </c>
      <c r="J7329">
        <v>-187.8287</v>
      </c>
      <c r="K7329">
        <v>1.109866</v>
      </c>
      <c r="L7329">
        <v>87.52704</v>
      </c>
      <c r="M7329">
        <v>-9.8786120000000002E-3</v>
      </c>
      <c r="N7329">
        <v>0</v>
      </c>
      <c r="O7329">
        <v>0.99984470000000003</v>
      </c>
      <c r="P7329">
        <v>2.5570030000000001E-2</v>
      </c>
      <c r="Q7329">
        <v>1.761095E-2</v>
      </c>
      <c r="R7329">
        <v>0.99951789999999996</v>
      </c>
      <c r="S7329">
        <v>-9.7061159999999994E-2</v>
      </c>
      <c r="T7329">
        <v>-0.2267798</v>
      </c>
      <c r="U7329">
        <v>3.0079039999999999</v>
      </c>
      <c r="V7329">
        <v>3.5491670000000003E-2</v>
      </c>
      <c r="W7329">
        <v>3.2141700000000002E-2</v>
      </c>
      <c r="X7329">
        <v>0.99885299999999999</v>
      </c>
      <c r="Y7329">
        <v>-2.2284620000000002E-2</v>
      </c>
      <c r="Z7329">
        <v>-7.5146989999999997E-2</v>
      </c>
      <c r="AA7329">
        <v>0.99692340000000002</v>
      </c>
      <c r="AB7329">
        <v>34</v>
      </c>
      <c r="AC7329">
        <v>-0.47229999999999001</v>
      </c>
      <c r="AD7329">
        <v>-1.10986728205</v>
      </c>
      <c r="AE7329">
        <v>14.39166</v>
      </c>
      <c r="AF7329">
        <v>-0.32814271576929799</v>
      </c>
      <c r="AG7329">
        <v>-1.10986728205</v>
      </c>
      <c r="AH7329">
        <v>14.3106057853248</v>
      </c>
      <c r="AI7329">
        <v>94.433569237362605</v>
      </c>
      <c r="AJ7329">
        <v>91.313564140776293</v>
      </c>
      <c r="AK7329">
        <v>14.3573298690477</v>
      </c>
      <c r="AL7329">
        <v>88.158099067663997</v>
      </c>
      <c r="AM7329">
        <v>87.964998116581299</v>
      </c>
      <c r="AN7329">
        <v>1.0000000315636299</v>
      </c>
    </row>
    <row r="7330" spans="1:40" x14ac:dyDescent="0.25">
      <c r="A7330" t="str">
        <f>"20190312154440739"</f>
        <v>20190312154440739</v>
      </c>
      <c r="B7330" t="str">
        <f>"1552376680735153"</f>
        <v>1552376680735153</v>
      </c>
      <c r="C7330" t="s">
        <v>40</v>
      </c>
      <c r="D7330">
        <v>5.2380180000000003</v>
      </c>
      <c r="E7330">
        <v>0.479489</v>
      </c>
      <c r="F7330" t="s">
        <v>43</v>
      </c>
      <c r="G7330">
        <v>-188.27119999999999</v>
      </c>
      <c r="H7330" s="1">
        <v>-1.330461E-6</v>
      </c>
      <c r="I7330">
        <v>102.0193</v>
      </c>
      <c r="J7330">
        <v>-187.8314</v>
      </c>
      <c r="K7330">
        <v>1.1098399999999999</v>
      </c>
      <c r="L7330">
        <v>87.877259999999893</v>
      </c>
      <c r="M7330">
        <v>-9.125434E-3</v>
      </c>
      <c r="N7330">
        <v>0</v>
      </c>
      <c r="O7330">
        <v>0.99985190000000002</v>
      </c>
      <c r="P7330">
        <v>2.7344790000000001E-2</v>
      </c>
      <c r="Q7330">
        <v>1.8114640000000001E-2</v>
      </c>
      <c r="R7330">
        <v>0.99946190000000001</v>
      </c>
      <c r="S7330">
        <v>-9.1842649999999998E-2</v>
      </c>
      <c r="T7330">
        <v>-0.23035349999999999</v>
      </c>
      <c r="U7330">
        <v>3.0078740000000002</v>
      </c>
      <c r="V7330">
        <v>3.651563E-2</v>
      </c>
      <c r="W7330">
        <v>3.263783E-2</v>
      </c>
      <c r="X7330">
        <v>0.99880000000000002</v>
      </c>
      <c r="Y7330">
        <v>-2.1307400000000001E-2</v>
      </c>
      <c r="Z7330">
        <v>-7.6328800000000002E-2</v>
      </c>
      <c r="AA7330">
        <v>0.99685500000000005</v>
      </c>
      <c r="AB7330">
        <v>34</v>
      </c>
      <c r="AC7330">
        <v>-0.43979999999999098</v>
      </c>
      <c r="AD7330">
        <v>-1.109841330461</v>
      </c>
      <c r="AE7330">
        <v>14.14204</v>
      </c>
      <c r="AF7330">
        <v>-0.30881558847934798</v>
      </c>
      <c r="AG7330">
        <v>-1.109841330461</v>
      </c>
      <c r="AH7330">
        <v>14.0589618405034</v>
      </c>
      <c r="AI7330">
        <v>94.512593751715002</v>
      </c>
      <c r="AJ7330">
        <v>91.258342199776706</v>
      </c>
      <c r="AK7330">
        <v>14.106081060280999</v>
      </c>
      <c r="AL7330">
        <v>88.129657986850702</v>
      </c>
      <c r="AM7330">
        <v>87.9062273798245</v>
      </c>
      <c r="AN7330">
        <v>1.0000000295906999</v>
      </c>
    </row>
    <row r="7331" spans="1:40" x14ac:dyDescent="0.25">
      <c r="A7331" t="str">
        <f>"20190312154440760"</f>
        <v>20190312154440760</v>
      </c>
      <c r="B7331" t="str">
        <f>"1552376680754672"</f>
        <v>1552376680754672</v>
      </c>
      <c r="C7331" t="s">
        <v>40</v>
      </c>
      <c r="D7331">
        <v>5.2443669999999996</v>
      </c>
      <c r="E7331">
        <v>0.47938589999999998</v>
      </c>
      <c r="F7331" t="s">
        <v>43</v>
      </c>
      <c r="G7331">
        <v>-188.25380000000001</v>
      </c>
      <c r="H7331" s="1">
        <v>-1.5129900000000001E-6</v>
      </c>
      <c r="I7331">
        <v>102.4375</v>
      </c>
      <c r="J7331">
        <v>-187.83369999999999</v>
      </c>
      <c r="K7331">
        <v>1.1098410000000001</v>
      </c>
      <c r="L7331">
        <v>88.207400000000007</v>
      </c>
      <c r="M7331">
        <v>-8.4059700000000005E-3</v>
      </c>
      <c r="N7331">
        <v>0</v>
      </c>
      <c r="O7331">
        <v>0.99985820000000003</v>
      </c>
      <c r="P7331">
        <v>2.8769920000000001E-2</v>
      </c>
      <c r="Q7331">
        <v>1.975064E-2</v>
      </c>
      <c r="R7331">
        <v>0.99939089999999997</v>
      </c>
      <c r="S7331">
        <v>-8.7249759999999996E-2</v>
      </c>
      <c r="T7331">
        <v>-0.22929289999999999</v>
      </c>
      <c r="U7331">
        <v>3.0081479999999998</v>
      </c>
      <c r="V7331">
        <v>3.722491E-2</v>
      </c>
      <c r="W7331">
        <v>3.4266749999999999E-2</v>
      </c>
      <c r="X7331">
        <v>0.99871920000000003</v>
      </c>
      <c r="Y7331">
        <v>-2.0504129999999999E-2</v>
      </c>
      <c r="Z7331">
        <v>-7.5975570000000006E-2</v>
      </c>
      <c r="AA7331">
        <v>0.99689879999999997</v>
      </c>
      <c r="AB7331">
        <v>34</v>
      </c>
      <c r="AC7331">
        <v>-0.42010000000001901</v>
      </c>
      <c r="AD7331">
        <v>-1.10984251299</v>
      </c>
      <c r="AE7331">
        <v>14.230099999999901</v>
      </c>
      <c r="AF7331">
        <v>-0.29863962719927001</v>
      </c>
      <c r="AG7331">
        <v>-1.10984251299</v>
      </c>
      <c r="AH7331">
        <v>14.147148866178799</v>
      </c>
      <c r="AI7331">
        <v>94.484666439136902</v>
      </c>
      <c r="AJ7331">
        <v>91.209307223881694</v>
      </c>
      <c r="AK7331">
        <v>14.193757679782999</v>
      </c>
      <c r="AL7331">
        <v>88.036275360725995</v>
      </c>
      <c r="AM7331">
        <v>87.865422653500104</v>
      </c>
      <c r="AN7331">
        <v>0.999999972264355</v>
      </c>
    </row>
    <row r="7332" spans="1:40" x14ac:dyDescent="0.25">
      <c r="A7332" t="str">
        <f>"20190312154440785"</f>
        <v>20190312154440785</v>
      </c>
      <c r="B7332" t="str">
        <f>"1552376680775168"</f>
        <v>1552376680775168</v>
      </c>
      <c r="C7332" t="s">
        <v>40</v>
      </c>
      <c r="D7332">
        <v>5.2637210000000003</v>
      </c>
      <c r="E7332">
        <v>0.47933969999999998</v>
      </c>
      <c r="F7332" t="s">
        <v>43</v>
      </c>
      <c r="G7332">
        <v>-188.2449</v>
      </c>
      <c r="H7332" s="1">
        <v>-1.8030839999999999E-6</v>
      </c>
      <c r="I7332">
        <v>103.1101</v>
      </c>
      <c r="J7332">
        <v>-187.83600000000001</v>
      </c>
      <c r="K7332">
        <v>1.1098490000000001</v>
      </c>
      <c r="L7332">
        <v>88.584590000000006</v>
      </c>
      <c r="M7332">
        <v>-7.5799589999999998E-3</v>
      </c>
      <c r="N7332">
        <v>0</v>
      </c>
      <c r="O7332">
        <v>0.99986489999999995</v>
      </c>
      <c r="P7332">
        <v>2.9475919999999999E-2</v>
      </c>
      <c r="Q7332">
        <v>2.443563E-2</v>
      </c>
      <c r="R7332">
        <v>0.99926669999999995</v>
      </c>
      <c r="S7332">
        <v>-8.3007810000000001E-2</v>
      </c>
      <c r="T7332">
        <v>-0.22406110000000001</v>
      </c>
      <c r="U7332">
        <v>3.0086360000000001</v>
      </c>
      <c r="V7332">
        <v>3.7113090000000001E-2</v>
      </c>
      <c r="W7332">
        <v>3.894471E-2</v>
      </c>
      <c r="X7332">
        <v>0.99855190000000005</v>
      </c>
      <c r="Y7332">
        <v>-1.9924569999999999E-2</v>
      </c>
      <c r="Z7332">
        <v>-7.42424E-2</v>
      </c>
      <c r="AA7332">
        <v>0.99704119999999996</v>
      </c>
      <c r="AB7332">
        <v>34</v>
      </c>
      <c r="AC7332">
        <v>-0.40890000000001597</v>
      </c>
      <c r="AD7332">
        <v>-1.109850803084</v>
      </c>
      <c r="AE7332">
        <v>14.525509999999899</v>
      </c>
      <c r="AF7332">
        <v>-0.297041005940124</v>
      </c>
      <c r="AG7332">
        <v>-1.109850803084</v>
      </c>
      <c r="AH7332">
        <v>14.4439350173493</v>
      </c>
      <c r="AI7332">
        <v>94.392964700401393</v>
      </c>
      <c r="AJ7332">
        <v>91.178127518474199</v>
      </c>
      <c r="AK7332">
        <v>14.4895569618166</v>
      </c>
      <c r="AL7332">
        <v>87.768068013612705</v>
      </c>
      <c r="AM7332">
        <v>87.871472579455997</v>
      </c>
      <c r="AN7332">
        <v>0.99999998443997096</v>
      </c>
    </row>
    <row r="7333" spans="1:40" x14ac:dyDescent="0.25">
      <c r="A7333" t="str">
        <f>"20190312154440806"</f>
        <v>20190312154440806</v>
      </c>
      <c r="B7333" t="str">
        <f>"1552376680794687"</f>
        <v>1552376680794687</v>
      </c>
      <c r="C7333" t="s">
        <v>40</v>
      </c>
      <c r="D7333">
        <v>5.2774799999999997</v>
      </c>
      <c r="E7333">
        <v>0.47926649999999998</v>
      </c>
      <c r="F7333" t="s">
        <v>43</v>
      </c>
      <c r="G7333">
        <v>-188.2576</v>
      </c>
      <c r="H7333" s="1">
        <v>-2.3838599999999999E-6</v>
      </c>
      <c r="I7333">
        <v>104.4691</v>
      </c>
      <c r="J7333">
        <v>-187.83770000000001</v>
      </c>
      <c r="K7333">
        <v>1.109869</v>
      </c>
      <c r="L7333">
        <v>88.903869999999998</v>
      </c>
      <c r="M7333">
        <v>-6.8808920000000004E-3</v>
      </c>
      <c r="N7333">
        <v>0</v>
      </c>
      <c r="O7333">
        <v>0.99987000000000004</v>
      </c>
      <c r="P7333">
        <v>3.1167429999999999E-2</v>
      </c>
      <c r="Q7333">
        <v>2.968047E-2</v>
      </c>
      <c r="R7333">
        <v>0.9990734</v>
      </c>
      <c r="S7333">
        <v>-7.9864500000000005E-2</v>
      </c>
      <c r="T7333">
        <v>-0.2102878</v>
      </c>
      <c r="U7333">
        <v>3.0097049999999999</v>
      </c>
      <c r="V7333">
        <v>3.8113929999999997E-2</v>
      </c>
      <c r="W7333">
        <v>4.4180619999999997E-2</v>
      </c>
      <c r="X7333">
        <v>0.99829630000000003</v>
      </c>
      <c r="Y7333">
        <v>-1.9582019999999999E-2</v>
      </c>
      <c r="Z7333">
        <v>-6.967864E-2</v>
      </c>
      <c r="AA7333">
        <v>0.99737730000000002</v>
      </c>
      <c r="AB7333">
        <v>34</v>
      </c>
      <c r="AC7333">
        <v>-0.41989999999998401</v>
      </c>
      <c r="AD7333">
        <v>-1.1098713838600001</v>
      </c>
      <c r="AE7333">
        <v>15.56523</v>
      </c>
      <c r="AF7333">
        <v>-0.31119493305940199</v>
      </c>
      <c r="AG7333">
        <v>-1.1098713838600001</v>
      </c>
      <c r="AH7333">
        <v>15.4890567345779</v>
      </c>
      <c r="AI7333">
        <v>94.097711107463894</v>
      </c>
      <c r="AJ7333">
        <v>91.150990538224704</v>
      </c>
      <c r="AK7333">
        <v>15.5318876928095</v>
      </c>
      <c r="AL7333">
        <v>87.467812835997094</v>
      </c>
      <c r="AM7333">
        <v>87.813567763365199</v>
      </c>
      <c r="AN7333">
        <v>1.0000000507186499</v>
      </c>
    </row>
    <row r="7334" spans="1:40" x14ac:dyDescent="0.25">
      <c r="A7334" t="str">
        <f>"20190312154440828"</f>
        <v>20190312154440828</v>
      </c>
      <c r="B7334" t="str">
        <f>"1552376680824944"</f>
        <v>1552376680824944</v>
      </c>
      <c r="C7334" t="s">
        <v>40</v>
      </c>
      <c r="D7334">
        <v>5.2570550000000003</v>
      </c>
      <c r="E7334">
        <v>0.47913610000000001</v>
      </c>
      <c r="F7334" t="s">
        <v>43</v>
      </c>
      <c r="G7334">
        <v>-188.25980000000001</v>
      </c>
      <c r="H7334" s="1">
        <v>-3.0580659999999999E-6</v>
      </c>
      <c r="I7334">
        <v>106.0416</v>
      </c>
      <c r="J7334">
        <v>-187.83930000000001</v>
      </c>
      <c r="K7334">
        <v>1.109885</v>
      </c>
      <c r="L7334">
        <v>89.231080000000006</v>
      </c>
      <c r="M7334">
        <v>-6.1654359999999998E-3</v>
      </c>
      <c r="N7334">
        <v>0</v>
      </c>
      <c r="O7334">
        <v>0.99987470000000001</v>
      </c>
      <c r="P7334">
        <v>3.4044579999999998E-2</v>
      </c>
      <c r="Q7334">
        <v>3.2971399999999998E-2</v>
      </c>
      <c r="R7334">
        <v>0.99887630000000005</v>
      </c>
      <c r="S7334">
        <v>-7.4142459999999993E-2</v>
      </c>
      <c r="T7334">
        <v>-0.19499089999999999</v>
      </c>
      <c r="U7334">
        <v>3.0108950000000001</v>
      </c>
      <c r="V7334">
        <v>4.0281020000000001E-2</v>
      </c>
      <c r="W7334">
        <v>4.7461139999999999E-2</v>
      </c>
      <c r="X7334">
        <v>0.99806059999999996</v>
      </c>
      <c r="Y7334">
        <v>-1.840114E-2</v>
      </c>
      <c r="Z7334">
        <v>-6.4609330000000006E-2</v>
      </c>
      <c r="AA7334">
        <v>0.99774099999999999</v>
      </c>
      <c r="AB7334">
        <v>34</v>
      </c>
      <c r="AC7334">
        <v>-0.42050000000000398</v>
      </c>
      <c r="AD7334">
        <v>-1.109888058066</v>
      </c>
      <c r="AE7334">
        <v>16.810519999999901</v>
      </c>
      <c r="AF7334">
        <v>-0.31546253282192499</v>
      </c>
      <c r="AG7334">
        <v>-1.109888058066</v>
      </c>
      <c r="AH7334">
        <v>16.739868263885398</v>
      </c>
      <c r="AI7334">
        <v>93.792605978991006</v>
      </c>
      <c r="AJ7334">
        <v>91.079610201008094</v>
      </c>
      <c r="AK7334">
        <v>16.779587527805599</v>
      </c>
      <c r="AL7334">
        <v>87.279655155746894</v>
      </c>
      <c r="AM7334">
        <v>87.688837176308198</v>
      </c>
      <c r="AN7334">
        <v>1.00000004082734</v>
      </c>
    </row>
    <row r="7335" spans="1:40" x14ac:dyDescent="0.25">
      <c r="A7335" t="str">
        <f>"20190312154440851"</f>
        <v>20190312154440851</v>
      </c>
      <c r="B7335" t="str">
        <f>"1552376680844464"</f>
        <v>1552376680844464</v>
      </c>
      <c r="C7335" t="s">
        <v>40</v>
      </c>
      <c r="D7335">
        <v>5.2580660000000004</v>
      </c>
      <c r="E7335">
        <v>0.47903600000000002</v>
      </c>
      <c r="F7335" t="s">
        <v>43</v>
      </c>
      <c r="G7335">
        <v>-188.2354</v>
      </c>
      <c r="H7335" s="1">
        <v>-3.597637E-6</v>
      </c>
      <c r="I7335">
        <v>107.2893</v>
      </c>
      <c r="J7335">
        <v>-187.84059999999999</v>
      </c>
      <c r="K7335">
        <v>1.109888</v>
      </c>
      <c r="L7335">
        <v>89.571960000000004</v>
      </c>
      <c r="M7335">
        <v>-5.4217619999999897E-3</v>
      </c>
      <c r="N7335">
        <v>0</v>
      </c>
      <c r="O7335">
        <v>0.99987910000000002</v>
      </c>
      <c r="P7335">
        <v>3.7577159999999998E-2</v>
      </c>
      <c r="Q7335">
        <v>3.274208E-2</v>
      </c>
      <c r="R7335">
        <v>0.99875720000000001</v>
      </c>
      <c r="S7335">
        <v>-6.607056E-2</v>
      </c>
      <c r="T7335">
        <v>-0.18510509999999999</v>
      </c>
      <c r="U7335">
        <v>3.0117189999999998</v>
      </c>
      <c r="V7335">
        <v>4.307014E-2</v>
      </c>
      <c r="W7335">
        <v>4.7221560000000003E-2</v>
      </c>
      <c r="X7335">
        <v>0.99795540000000005</v>
      </c>
      <c r="Y7335">
        <v>-1.6469910000000001E-2</v>
      </c>
      <c r="Z7335">
        <v>-6.1332999999999999E-2</v>
      </c>
      <c r="AA7335">
        <v>0.99798149999999997</v>
      </c>
      <c r="AB7335">
        <v>34</v>
      </c>
      <c r="AC7335">
        <v>-0.39480000000000298</v>
      </c>
      <c r="AD7335">
        <v>-1.1098915976369901</v>
      </c>
      <c r="AE7335">
        <v>17.717339999999901</v>
      </c>
      <c r="AF7335">
        <v>-0.29755766159673602</v>
      </c>
      <c r="AG7335">
        <v>-1.1098915976369901</v>
      </c>
      <c r="AH7335">
        <v>17.649990493495999</v>
      </c>
      <c r="AI7335">
        <v>93.597706288468402</v>
      </c>
      <c r="AJ7335">
        <v>90.965846596613503</v>
      </c>
      <c r="AK7335">
        <v>17.687356058523299</v>
      </c>
      <c r="AL7335">
        <v>87.293397230999801</v>
      </c>
      <c r="AM7335">
        <v>87.528740481244895</v>
      </c>
      <c r="AN7335">
        <v>0.99999994653880497</v>
      </c>
    </row>
    <row r="7336" spans="1:40" x14ac:dyDescent="0.25">
      <c r="A7336" t="str">
        <f>"20190312154440872"</f>
        <v>20190312154440872</v>
      </c>
      <c r="B7336" t="str">
        <f>"1552376680864960"</f>
        <v>1552376680864960</v>
      </c>
      <c r="C7336" t="s">
        <v>40</v>
      </c>
      <c r="D7336">
        <v>5.2397080000000003</v>
      </c>
      <c r="E7336">
        <v>0.47884310000000002</v>
      </c>
      <c r="F7336" t="s">
        <v>43</v>
      </c>
      <c r="G7336">
        <v>-188.17570000000001</v>
      </c>
      <c r="H7336" s="1">
        <v>-3.700539E-6</v>
      </c>
      <c r="I7336">
        <v>107.50449999999999</v>
      </c>
      <c r="J7336">
        <v>-187.8416</v>
      </c>
      <c r="K7336">
        <v>1.109885</v>
      </c>
      <c r="L7336">
        <v>89.900509999999997</v>
      </c>
      <c r="M7336">
        <v>-4.7056229999999999E-3</v>
      </c>
      <c r="N7336">
        <v>0</v>
      </c>
      <c r="O7336">
        <v>0.99988279999999996</v>
      </c>
      <c r="P7336">
        <v>3.9881640000000003E-2</v>
      </c>
      <c r="Q7336">
        <v>3.1457289999999999E-2</v>
      </c>
      <c r="R7336">
        <v>0.99870910000000002</v>
      </c>
      <c r="S7336">
        <v>-5.628967E-2</v>
      </c>
      <c r="T7336">
        <v>-0.18641830000000001</v>
      </c>
      <c r="U7336">
        <v>3.0119630000000002</v>
      </c>
      <c r="V7336">
        <v>4.4657240000000001E-2</v>
      </c>
      <c r="W7336">
        <v>4.5929789999999998E-2</v>
      </c>
      <c r="X7336">
        <v>0.997946</v>
      </c>
      <c r="Y7336">
        <v>-1.394426E-2</v>
      </c>
      <c r="Z7336">
        <v>-6.1765029999999999E-2</v>
      </c>
      <c r="AA7336">
        <v>0.99799329999999997</v>
      </c>
      <c r="AB7336">
        <v>34</v>
      </c>
      <c r="AC7336">
        <v>-0.334100000000006</v>
      </c>
      <c r="AD7336">
        <v>-1.1098887005389999</v>
      </c>
      <c r="AE7336">
        <v>17.6039899999999</v>
      </c>
      <c r="AF7336">
        <v>-0.250255361962962</v>
      </c>
      <c r="AG7336">
        <v>-1.1098887005389999</v>
      </c>
      <c r="AH7336">
        <v>17.535688188760702</v>
      </c>
      <c r="AI7336">
        <v>93.6212309008896</v>
      </c>
      <c r="AJ7336">
        <v>90.817624182918607</v>
      </c>
      <c r="AK7336">
        <v>17.572559316366402</v>
      </c>
      <c r="AL7336">
        <v>87.367490803146893</v>
      </c>
      <c r="AM7336">
        <v>87.437771659115</v>
      </c>
      <c r="AN7336">
        <v>1.0000000168049299</v>
      </c>
    </row>
    <row r="7337" spans="1:40" x14ac:dyDescent="0.25">
      <c r="A7337" t="str">
        <f>"20190312154440894"</f>
        <v>20190312154440894</v>
      </c>
      <c r="B7337" t="str">
        <f>"1552376680884480"</f>
        <v>1552376680884480</v>
      </c>
      <c r="C7337" t="s">
        <v>40</v>
      </c>
      <c r="D7337">
        <v>5.214855</v>
      </c>
      <c r="E7337">
        <v>0.47864060000000003</v>
      </c>
      <c r="F7337" t="s">
        <v>43</v>
      </c>
      <c r="G7337">
        <v>-188.14060000000001</v>
      </c>
      <c r="H7337" s="1">
        <v>-3.6557130000000001E-6</v>
      </c>
      <c r="I7337">
        <v>107.38549999999999</v>
      </c>
      <c r="J7337">
        <v>-187.8424</v>
      </c>
      <c r="K7337">
        <v>1.109882</v>
      </c>
      <c r="L7337">
        <v>90.233220000000003</v>
      </c>
      <c r="M7337">
        <v>-3.9808830000000002E-3</v>
      </c>
      <c r="N7337">
        <v>0</v>
      </c>
      <c r="O7337">
        <v>0.99988600000000005</v>
      </c>
      <c r="P7337">
        <v>4.0925889999999999E-2</v>
      </c>
      <c r="Q7337">
        <v>3.07125E-2</v>
      </c>
      <c r="R7337">
        <v>0.99869010000000003</v>
      </c>
      <c r="S7337">
        <v>-5.1513669999999998E-2</v>
      </c>
      <c r="T7337">
        <v>-0.1911892</v>
      </c>
      <c r="U7337">
        <v>3.0119630000000002</v>
      </c>
      <c r="V7337">
        <v>4.4976509999999997E-2</v>
      </c>
      <c r="W7337">
        <v>4.5180980000000003E-2</v>
      </c>
      <c r="X7337">
        <v>0.99796580000000001</v>
      </c>
      <c r="Y7337">
        <v>-1.3085319999999999E-2</v>
      </c>
      <c r="Z7337">
        <v>-6.3341040000000001E-2</v>
      </c>
      <c r="AA7337">
        <v>0.99790610000000002</v>
      </c>
      <c r="AB7337">
        <v>34</v>
      </c>
      <c r="AC7337">
        <v>-0.29820000000000801</v>
      </c>
      <c r="AD7337">
        <v>-1.1098856557129999</v>
      </c>
      <c r="AE7337">
        <v>17.152280000000001</v>
      </c>
      <c r="AF7337">
        <v>-0.228950823978015</v>
      </c>
      <c r="AG7337">
        <v>-1.1098856557129999</v>
      </c>
      <c r="AH7337">
        <v>17.081829662843798</v>
      </c>
      <c r="AI7337">
        <v>93.717213866609995</v>
      </c>
      <c r="AJ7337">
        <v>90.767899619065702</v>
      </c>
      <c r="AK7337">
        <v>17.119379932666</v>
      </c>
      <c r="AL7337">
        <v>87.410438930009704</v>
      </c>
      <c r="AM7337">
        <v>87.419529209245198</v>
      </c>
      <c r="AN7337">
        <v>0.999999972687589</v>
      </c>
    </row>
    <row r="7338" spans="1:40" x14ac:dyDescent="0.25">
      <c r="A7338" t="str">
        <f>"20190312154440917"</f>
        <v>20190312154440917</v>
      </c>
      <c r="B7338" t="str">
        <f>"1552376680904980"</f>
        <v>1552376680904980</v>
      </c>
      <c r="C7338" t="s">
        <v>40</v>
      </c>
      <c r="D7338">
        <v>5.2361230000000001</v>
      </c>
      <c r="E7338">
        <v>0.47843989999999997</v>
      </c>
      <c r="F7338" t="s">
        <v>43</v>
      </c>
      <c r="G7338">
        <v>-188.1336</v>
      </c>
      <c r="H7338" s="1">
        <v>-3.7086220000000001E-6</v>
      </c>
      <c r="I7338">
        <v>107.5059</v>
      </c>
      <c r="J7338">
        <v>-187.84299999999999</v>
      </c>
      <c r="K7338">
        <v>1.1098730000000001</v>
      </c>
      <c r="L7338">
        <v>90.573269999999994</v>
      </c>
      <c r="M7338">
        <v>-3.2402659999999999E-3</v>
      </c>
      <c r="N7338">
        <v>0</v>
      </c>
      <c r="O7338">
        <v>0.99988869999999996</v>
      </c>
      <c r="P7338">
        <v>4.1656829999999999E-2</v>
      </c>
      <c r="Q7338">
        <v>3.0006069999999999E-2</v>
      </c>
      <c r="R7338">
        <v>0.99868129999999999</v>
      </c>
      <c r="S7338">
        <v>-5.078125E-2</v>
      </c>
      <c r="T7338">
        <v>-0.1935384</v>
      </c>
      <c r="U7338">
        <v>3.0119630000000002</v>
      </c>
      <c r="V7338">
        <v>4.4966640000000002E-2</v>
      </c>
      <c r="W7338">
        <v>4.4471200000000002E-2</v>
      </c>
      <c r="X7338">
        <v>0.99799819999999995</v>
      </c>
      <c r="Y7338">
        <v>-1.3582530000000001E-2</v>
      </c>
      <c r="Z7338">
        <v>-6.4116339999999994E-2</v>
      </c>
      <c r="AA7338">
        <v>0.99785000000000001</v>
      </c>
      <c r="AB7338">
        <v>34</v>
      </c>
      <c r="AC7338">
        <v>-0.29060000000001202</v>
      </c>
      <c r="AD7338">
        <v>-1.1098767086219901</v>
      </c>
      <c r="AE7338">
        <v>16.93263</v>
      </c>
      <c r="AF7338">
        <v>-0.234718292387948</v>
      </c>
      <c r="AG7338">
        <v>-1.1098767086219901</v>
      </c>
      <c r="AH7338">
        <v>16.861062949963699</v>
      </c>
      <c r="AI7338">
        <v>93.765688454810501</v>
      </c>
      <c r="AJ7338">
        <v>90.797547519056707</v>
      </c>
      <c r="AK7338">
        <v>16.899182311217402</v>
      </c>
      <c r="AL7338">
        <v>87.451147439097497</v>
      </c>
      <c r="AM7338">
        <v>87.420178366341702</v>
      </c>
      <c r="AN7338">
        <v>1.0000000467727801</v>
      </c>
    </row>
    <row r="7339" spans="1:40" x14ac:dyDescent="0.25">
      <c r="A7339" t="str">
        <f>"20190312154440940"</f>
        <v>20190312154440940</v>
      </c>
      <c r="B7339" t="str">
        <f>"1552376680935232"</f>
        <v>1552376680935232</v>
      </c>
      <c r="C7339" t="s">
        <v>40</v>
      </c>
      <c r="D7339">
        <v>5.2159930000000001</v>
      </c>
      <c r="E7339">
        <v>0.47812450000000001</v>
      </c>
      <c r="F7339" t="s">
        <v>43</v>
      </c>
      <c r="G7339">
        <v>-188.12899999999999</v>
      </c>
      <c r="H7339" s="1">
        <v>-3.7474720000000002E-6</v>
      </c>
      <c r="I7339">
        <v>107.5946</v>
      </c>
      <c r="J7339">
        <v>-187.8433</v>
      </c>
      <c r="K7339">
        <v>1.1098680000000001</v>
      </c>
      <c r="L7339">
        <v>90.914919999999995</v>
      </c>
      <c r="M7339">
        <v>-2.496093E-3</v>
      </c>
      <c r="N7339">
        <v>0</v>
      </c>
      <c r="O7339">
        <v>0.99989090000000003</v>
      </c>
      <c r="P7339">
        <v>4.1630590000000002E-2</v>
      </c>
      <c r="Q7339">
        <v>2.8625999999999999E-2</v>
      </c>
      <c r="R7339">
        <v>0.99872289999999997</v>
      </c>
      <c r="S7339">
        <v>-5.0613400000000003E-2</v>
      </c>
      <c r="T7339">
        <v>-0.19639529999999999</v>
      </c>
      <c r="U7339">
        <v>3.0119630000000002</v>
      </c>
      <c r="V7339">
        <v>4.4194990000000003E-2</v>
      </c>
      <c r="W7339">
        <v>4.3089229999999999E-2</v>
      </c>
      <c r="X7339">
        <v>0.99809320000000001</v>
      </c>
      <c r="Y7339">
        <v>-1.4270100000000001E-2</v>
      </c>
      <c r="Z7339">
        <v>-6.5058740000000004E-2</v>
      </c>
      <c r="AA7339">
        <v>0.99777939999999998</v>
      </c>
      <c r="AB7339">
        <v>34</v>
      </c>
      <c r="AC7339">
        <v>-0.28570000000001899</v>
      </c>
      <c r="AD7339">
        <v>-1.1098717474719999</v>
      </c>
      <c r="AE7339">
        <v>16.679680000000001</v>
      </c>
      <c r="AF7339">
        <v>-0.24298513441564501</v>
      </c>
      <c r="AG7339">
        <v>-1.1098717474719999</v>
      </c>
      <c r="AH7339">
        <v>16.606834082524401</v>
      </c>
      <c r="AI7339">
        <v>93.823110811896001</v>
      </c>
      <c r="AJ7339">
        <v>90.838271114609</v>
      </c>
      <c r="AK7339">
        <v>16.645653946777699</v>
      </c>
      <c r="AL7339">
        <v>87.530404261966297</v>
      </c>
      <c r="AM7339">
        <v>87.464632138759498</v>
      </c>
      <c r="AN7339">
        <v>0.99999995738466496</v>
      </c>
    </row>
    <row r="7340" spans="1:40" x14ac:dyDescent="0.25">
      <c r="A7340" t="str">
        <f>"20190312154440961"</f>
        <v>20190312154440961</v>
      </c>
      <c r="B7340" t="str">
        <f>"1552376680954753"</f>
        <v>1552376680954753</v>
      </c>
      <c r="C7340" t="s">
        <v>40</v>
      </c>
      <c r="D7340">
        <v>5.2032499999999997</v>
      </c>
      <c r="E7340">
        <v>0.47788449999999999</v>
      </c>
      <c r="F7340" t="s">
        <v>43</v>
      </c>
      <c r="G7340">
        <v>-188.1378</v>
      </c>
      <c r="H7340" s="1">
        <v>-3.706808E-6</v>
      </c>
      <c r="I7340">
        <v>107.5034</v>
      </c>
      <c r="J7340">
        <v>-187.8434</v>
      </c>
      <c r="K7340">
        <v>1.1098629999999901</v>
      </c>
      <c r="L7340">
        <v>91.242400000000004</v>
      </c>
      <c r="M7340">
        <v>-1.7826249999999999E-3</v>
      </c>
      <c r="N7340">
        <v>0</v>
      </c>
      <c r="O7340">
        <v>0.99989249999999996</v>
      </c>
      <c r="P7340">
        <v>4.2032369999999999E-2</v>
      </c>
      <c r="Q7340">
        <v>2.8523280000000002E-2</v>
      </c>
      <c r="R7340">
        <v>0.99870899999999996</v>
      </c>
      <c r="S7340">
        <v>-5.3466800000000002E-2</v>
      </c>
      <c r="T7340">
        <v>-0.2015103</v>
      </c>
      <c r="U7340">
        <v>3.011841</v>
      </c>
      <c r="V7340">
        <v>4.3883930000000002E-2</v>
      </c>
      <c r="W7340">
        <v>4.298395E-2</v>
      </c>
      <c r="X7340">
        <v>0.99811150000000004</v>
      </c>
      <c r="Y7340">
        <v>-1.5927259999999999E-2</v>
      </c>
      <c r="Z7340">
        <v>-6.674716E-2</v>
      </c>
      <c r="AA7340">
        <v>0.99764280000000005</v>
      </c>
      <c r="AB7340">
        <v>34</v>
      </c>
      <c r="AC7340">
        <v>-0.294399999999996</v>
      </c>
      <c r="AD7340">
        <v>-1.1098667068079999</v>
      </c>
      <c r="AE7340">
        <v>16.2609999999999</v>
      </c>
      <c r="AF7340">
        <v>-0.264178919408804</v>
      </c>
      <c r="AG7340">
        <v>-1.1098667068079999</v>
      </c>
      <c r="AH7340">
        <v>16.186120501320602</v>
      </c>
      <c r="AI7340">
        <v>93.922055820226902</v>
      </c>
      <c r="AJ7340">
        <v>90.935059966827794</v>
      </c>
      <c r="AK7340">
        <v>16.226277807667799</v>
      </c>
      <c r="AL7340">
        <v>87.536442043264103</v>
      </c>
      <c r="AM7340">
        <v>87.482500014325097</v>
      </c>
      <c r="AN7340">
        <v>0.99999999285104801</v>
      </c>
    </row>
    <row r="7341" spans="1:40" x14ac:dyDescent="0.25">
      <c r="A7341" t="str">
        <f>"20190312154440986"</f>
        <v>20190312154440986</v>
      </c>
      <c r="B7341" t="str">
        <f>"1552376680974893"</f>
        <v>1552376680974893</v>
      </c>
      <c r="C7341" t="s">
        <v>40</v>
      </c>
      <c r="D7341">
        <v>5.2174440000000004</v>
      </c>
      <c r="E7341">
        <v>0.4727692</v>
      </c>
      <c r="F7341" t="s">
        <v>43</v>
      </c>
      <c r="G7341">
        <v>-188.14189999999999</v>
      </c>
      <c r="H7341" s="1">
        <v>-3.8230639999999997E-6</v>
      </c>
      <c r="I7341">
        <v>107.7761</v>
      </c>
      <c r="J7341">
        <v>-187.8432</v>
      </c>
      <c r="K7341">
        <v>1.1098589999999999</v>
      </c>
      <c r="L7341">
        <v>91.602329999999995</v>
      </c>
      <c r="M7341">
        <v>-9.9847330000000004E-4</v>
      </c>
      <c r="N7341">
        <v>0</v>
      </c>
      <c r="O7341">
        <v>0.99989360000000005</v>
      </c>
      <c r="P7341">
        <v>4.1888839999999997E-2</v>
      </c>
      <c r="Q7341">
        <v>2.802578E-2</v>
      </c>
      <c r="R7341">
        <v>0.99872910000000004</v>
      </c>
      <c r="S7341">
        <v>-5.4382319999999998E-2</v>
      </c>
      <c r="T7341">
        <v>-0.20218340000000001</v>
      </c>
      <c r="U7341">
        <v>3.0119319999999998</v>
      </c>
      <c r="V7341">
        <v>4.2956319999999999E-2</v>
      </c>
      <c r="W7341">
        <v>4.2485630000000003E-2</v>
      </c>
      <c r="X7341">
        <v>0.99817319999999998</v>
      </c>
      <c r="Y7341">
        <v>-1.7013730000000001E-2</v>
      </c>
      <c r="Z7341">
        <v>-6.6966399999999995E-2</v>
      </c>
      <c r="AA7341">
        <v>0.9976102</v>
      </c>
      <c r="AB7341">
        <v>34</v>
      </c>
      <c r="AC7341">
        <v>-0.29869999999999602</v>
      </c>
      <c r="AD7341">
        <v>-1.109862823064</v>
      </c>
      <c r="AE7341">
        <v>16.173769999999902</v>
      </c>
      <c r="AF7341">
        <v>-0.28122526336918802</v>
      </c>
      <c r="AG7341">
        <v>-1.109862823064</v>
      </c>
      <c r="AH7341">
        <v>16.0982814511264</v>
      </c>
      <c r="AI7341">
        <v>93.943298912053095</v>
      </c>
      <c r="AJ7341">
        <v>91.000813778346</v>
      </c>
      <c r="AK7341">
        <v>16.138945096085401</v>
      </c>
      <c r="AL7341">
        <v>87.565019815047606</v>
      </c>
      <c r="AM7341">
        <v>87.535800269675903</v>
      </c>
      <c r="AN7341">
        <v>1.0000000056913301</v>
      </c>
    </row>
    <row r="7342" spans="1:40" x14ac:dyDescent="0.25">
      <c r="A7342" t="str">
        <f>"20190312154441008"</f>
        <v>20190312154441008</v>
      </c>
      <c r="B7342" t="str">
        <f>"1552376681005148"</f>
        <v>1552376681005148</v>
      </c>
      <c r="C7342" t="s">
        <v>40</v>
      </c>
      <c r="D7342">
        <v>5.218801</v>
      </c>
      <c r="E7342">
        <v>0.47247030000000001</v>
      </c>
      <c r="F7342" t="s">
        <v>43</v>
      </c>
      <c r="G7342">
        <v>-188.32740000000001</v>
      </c>
      <c r="H7342" s="1">
        <v>-3.3765050000000001E-6</v>
      </c>
      <c r="I7342">
        <v>106.81189999999999</v>
      </c>
      <c r="J7342">
        <v>-187.84280000000001</v>
      </c>
      <c r="K7342">
        <v>1.1098570000000001</v>
      </c>
      <c r="L7342">
        <v>91.933899999999994</v>
      </c>
      <c r="M7342">
        <v>-2.7554860000000001E-4</v>
      </c>
      <c r="N7342">
        <v>0</v>
      </c>
      <c r="O7342">
        <v>0.99989410000000001</v>
      </c>
      <c r="P7342">
        <v>4.2486280000000001E-2</v>
      </c>
      <c r="Q7342">
        <v>2.6936999999999999E-2</v>
      </c>
      <c r="R7342">
        <v>0.99873389999999995</v>
      </c>
      <c r="S7342">
        <v>-9.5947270000000001E-2</v>
      </c>
      <c r="T7342">
        <v>-0.2199363</v>
      </c>
      <c r="U7342">
        <v>3.014008</v>
      </c>
      <c r="V7342">
        <v>4.2829770000000003E-2</v>
      </c>
      <c r="W7342">
        <v>4.1394149999999998E-2</v>
      </c>
      <c r="X7342">
        <v>0.99822449999999996</v>
      </c>
      <c r="Y7342">
        <v>-3.1457939999999997E-2</v>
      </c>
      <c r="Z7342">
        <v>-7.2741520000000004E-2</v>
      </c>
      <c r="AA7342">
        <v>0.99685460000000004</v>
      </c>
      <c r="AB7342">
        <v>34</v>
      </c>
      <c r="AC7342">
        <v>-0.48459999999999998</v>
      </c>
      <c r="AD7342">
        <v>-1.1098603765049999</v>
      </c>
      <c r="AE7342">
        <v>14.878</v>
      </c>
      <c r="AF7342">
        <v>-0.47784366124104599</v>
      </c>
      <c r="AG7342">
        <v>-1.1098603765049999</v>
      </c>
      <c r="AH7342">
        <v>14.795884474745201</v>
      </c>
      <c r="AI7342">
        <v>94.287577188492605</v>
      </c>
      <c r="AJ7342">
        <v>91.849765207974301</v>
      </c>
      <c r="AK7342">
        <v>14.845144728493899</v>
      </c>
      <c r="AL7342">
        <v>87.627612094911498</v>
      </c>
      <c r="AM7342">
        <v>87.543177042746095</v>
      </c>
      <c r="AN7342">
        <v>1.0000000086263601</v>
      </c>
    </row>
    <row r="7343" spans="1:40" x14ac:dyDescent="0.25">
      <c r="A7343" t="str">
        <f>"20190312154441031"</f>
        <v>20190312154441031</v>
      </c>
      <c r="B7343" t="str">
        <f>"1552376681024669"</f>
        <v>1552376681024669</v>
      </c>
      <c r="C7343" t="s">
        <v>40</v>
      </c>
      <c r="D7343">
        <v>5.2191890000000001</v>
      </c>
      <c r="E7343">
        <v>0.47259879999999999</v>
      </c>
      <c r="F7343" t="s">
        <v>43</v>
      </c>
      <c r="G7343">
        <v>-188.32749999999999</v>
      </c>
      <c r="H7343" s="1">
        <v>-3.5048790000000002E-6</v>
      </c>
      <c r="I7343">
        <v>107.1112</v>
      </c>
      <c r="J7343">
        <v>-187.84209999999999</v>
      </c>
      <c r="K7343">
        <v>1.1098570000000001</v>
      </c>
      <c r="L7343">
        <v>92.267910000000001</v>
      </c>
      <c r="M7343">
        <v>4.5244080000000003E-4</v>
      </c>
      <c r="N7343">
        <v>0</v>
      </c>
      <c r="O7343">
        <v>0.99989410000000001</v>
      </c>
      <c r="P7343">
        <v>4.2824920000000002E-2</v>
      </c>
      <c r="Q7343">
        <v>2.6361119999999998E-2</v>
      </c>
      <c r="R7343">
        <v>0.99873480000000003</v>
      </c>
      <c r="S7343">
        <v>-9.6252439999999995E-2</v>
      </c>
      <c r="T7343">
        <v>-0.22039030000000001</v>
      </c>
      <c r="U7343">
        <v>3.0138240000000001</v>
      </c>
      <c r="V7343">
        <v>4.2440209999999999E-2</v>
      </c>
      <c r="W7343">
        <v>4.0815280000000002E-2</v>
      </c>
      <c r="X7343">
        <v>0.99826499999999996</v>
      </c>
      <c r="Y7343">
        <v>-3.2288039999999997E-2</v>
      </c>
      <c r="Z7343">
        <v>-7.2894200000000006E-2</v>
      </c>
      <c r="AA7343">
        <v>0.99681690000000001</v>
      </c>
      <c r="AB7343">
        <v>33</v>
      </c>
      <c r="AC7343">
        <v>-0.485399999999998</v>
      </c>
      <c r="AD7343">
        <v>-1.10986050487899</v>
      </c>
      <c r="AE7343">
        <v>14.8432899999999</v>
      </c>
      <c r="AF7343">
        <v>-0.48938323421329599</v>
      </c>
      <c r="AG7343">
        <v>-1.10986050487899</v>
      </c>
      <c r="AH7343">
        <v>14.760632780013699</v>
      </c>
      <c r="AI7343">
        <v>94.297658838061295</v>
      </c>
      <c r="AJ7343">
        <v>91.898924463068795</v>
      </c>
      <c r="AK7343">
        <v>14.8103871102896</v>
      </c>
      <c r="AL7343">
        <v>87.660807018056204</v>
      </c>
      <c r="AM7343">
        <v>87.565594821298902</v>
      </c>
      <c r="AN7343">
        <v>1.0000000343656601</v>
      </c>
    </row>
    <row r="7344" spans="1:40" x14ac:dyDescent="0.25">
      <c r="A7344" t="str">
        <f>"20190312154441051"</f>
        <v>20190312154441051</v>
      </c>
      <c r="B7344" t="str">
        <f>"1552376681045165"</f>
        <v>1552376681045165</v>
      </c>
      <c r="C7344" t="s">
        <v>40</v>
      </c>
      <c r="D7344">
        <v>5.2295860000000003</v>
      </c>
      <c r="E7344">
        <v>0.47239360000000002</v>
      </c>
      <c r="F7344" t="s">
        <v>43</v>
      </c>
      <c r="G7344">
        <v>-188.30969999999999</v>
      </c>
      <c r="H7344" s="1">
        <v>-3.5725309999999999E-6</v>
      </c>
      <c r="I7344">
        <v>107.2615</v>
      </c>
      <c r="J7344">
        <v>-187.84129999999999</v>
      </c>
      <c r="K7344">
        <v>1.1098570000000001</v>
      </c>
      <c r="L7344">
        <v>92.578429999999997</v>
      </c>
      <c r="M7344">
        <v>1.129623E-3</v>
      </c>
      <c r="N7344">
        <v>0</v>
      </c>
      <c r="O7344">
        <v>0.99989360000000005</v>
      </c>
      <c r="P7344">
        <v>4.302073E-2</v>
      </c>
      <c r="Q7344">
        <v>2.623696E-2</v>
      </c>
      <c r="R7344">
        <v>0.9987296</v>
      </c>
      <c r="S7344">
        <v>-9.3994140000000004E-2</v>
      </c>
      <c r="T7344">
        <v>-0.22308330000000001</v>
      </c>
      <c r="U7344">
        <v>3.0137330000000002</v>
      </c>
      <c r="V7344">
        <v>4.195927E-2</v>
      </c>
      <c r="W7344">
        <v>4.0689500000000003E-2</v>
      </c>
      <c r="X7344">
        <v>0.99829040000000002</v>
      </c>
      <c r="Y7344">
        <v>-3.2217660000000002E-2</v>
      </c>
      <c r="Z7344">
        <v>-7.3783199999999993E-2</v>
      </c>
      <c r="AA7344">
        <v>0.99675380000000002</v>
      </c>
      <c r="AB7344">
        <v>33</v>
      </c>
      <c r="AC7344">
        <v>-0.46840000000000198</v>
      </c>
      <c r="AD7344">
        <v>-1.10986057253099</v>
      </c>
      <c r="AE7344">
        <v>14.683069999999899</v>
      </c>
      <c r="AF7344">
        <v>-0.48223533296667198</v>
      </c>
      <c r="AG7344">
        <v>-1.10986057253099</v>
      </c>
      <c r="AH7344">
        <v>14.5992035396345</v>
      </c>
      <c r="AI7344">
        <v>94.345016643887405</v>
      </c>
      <c r="AJ7344">
        <v>91.891884503993793</v>
      </c>
      <c r="AK7344">
        <v>14.6492691079964</v>
      </c>
      <c r="AL7344">
        <v>87.668019520729004</v>
      </c>
      <c r="AM7344">
        <v>87.593210471880397</v>
      </c>
      <c r="AN7344">
        <v>0.99999996924067103</v>
      </c>
    </row>
    <row r="7345" spans="1:40" x14ac:dyDescent="0.25">
      <c r="A7345" t="str">
        <f>"20190312154441073"</f>
        <v>20190312154441073</v>
      </c>
      <c r="B7345" t="str">
        <f>"1552376681064684"</f>
        <v>1552376681064684</v>
      </c>
      <c r="C7345" t="s">
        <v>40</v>
      </c>
      <c r="D7345">
        <v>5.236853</v>
      </c>
      <c r="E7345">
        <v>0.47231580000000001</v>
      </c>
      <c r="F7345" t="s">
        <v>43</v>
      </c>
      <c r="G7345">
        <v>-188.31290000000001</v>
      </c>
      <c r="H7345" s="1">
        <v>-3.6905149999999999E-6</v>
      </c>
      <c r="I7345">
        <v>107.53789999999999</v>
      </c>
      <c r="J7345">
        <v>-187.84020000000001</v>
      </c>
      <c r="K7345">
        <v>1.1098680000000001</v>
      </c>
      <c r="L7345">
        <v>92.908839999999998</v>
      </c>
      <c r="M7345">
        <v>1.8504120000000001E-3</v>
      </c>
      <c r="N7345">
        <v>0</v>
      </c>
      <c r="O7345">
        <v>0.99989260000000002</v>
      </c>
      <c r="P7345">
        <v>4.3459669999999999E-2</v>
      </c>
      <c r="Q7345">
        <v>2.7590509999999999E-2</v>
      </c>
      <c r="R7345">
        <v>0.99867419999999996</v>
      </c>
      <c r="S7345">
        <v>-9.501648E-2</v>
      </c>
      <c r="T7345">
        <v>-0.22359499999999999</v>
      </c>
      <c r="U7345">
        <v>3.013763</v>
      </c>
      <c r="V7345">
        <v>4.1680410000000001E-2</v>
      </c>
      <c r="W7345">
        <v>4.2039710000000001E-2</v>
      </c>
      <c r="X7345">
        <v>0.99824619999999997</v>
      </c>
      <c r="Y7345">
        <v>-3.3275220000000001E-2</v>
      </c>
      <c r="Z7345">
        <v>-7.3949009999999996E-2</v>
      </c>
      <c r="AA7345">
        <v>0.99670669999999995</v>
      </c>
      <c r="AB7345">
        <v>33</v>
      </c>
      <c r="AC7345">
        <v>-0.47270000000000301</v>
      </c>
      <c r="AD7345">
        <v>-1.1098716905149999</v>
      </c>
      <c r="AE7345">
        <v>14.6290599999999</v>
      </c>
      <c r="AF7345">
        <v>-0.496914635730758</v>
      </c>
      <c r="AG7345">
        <v>-1.1098716905149999</v>
      </c>
      <c r="AH7345">
        <v>14.544530722730499</v>
      </c>
      <c r="AI7345">
        <v>94.361164905640393</v>
      </c>
      <c r="AJ7345">
        <v>91.956752133033504</v>
      </c>
      <c r="AK7345">
        <v>14.5952770877795</v>
      </c>
      <c r="AL7345">
        <v>87.590592067172096</v>
      </c>
      <c r="AM7345">
        <v>87.609081560396007</v>
      </c>
      <c r="AN7345">
        <v>1.0000000348045399</v>
      </c>
    </row>
    <row r="7346" spans="1:40" x14ac:dyDescent="0.25">
      <c r="A7346" t="str">
        <f>"20190312154441096"</f>
        <v>20190312154441096</v>
      </c>
      <c r="B7346" t="str">
        <f>"1552376681085298"</f>
        <v>1552376681085298</v>
      </c>
      <c r="C7346" t="s">
        <v>40</v>
      </c>
      <c r="D7346">
        <v>5.2566490000000003</v>
      </c>
      <c r="E7346">
        <v>0.47222520000000001</v>
      </c>
      <c r="F7346" t="s">
        <v>43</v>
      </c>
      <c r="G7346">
        <v>-188.31800000000001</v>
      </c>
      <c r="H7346" s="1">
        <v>-3.96168E-6</v>
      </c>
      <c r="I7346">
        <v>108.1721</v>
      </c>
      <c r="J7346">
        <v>-187.83869999999999</v>
      </c>
      <c r="K7346">
        <v>1.109877</v>
      </c>
      <c r="L7346">
        <v>93.247680000000003</v>
      </c>
      <c r="M7346">
        <v>2.5897749999999999E-3</v>
      </c>
      <c r="N7346">
        <v>0</v>
      </c>
      <c r="O7346">
        <v>0.99989099999999997</v>
      </c>
      <c r="P7346">
        <v>4.3409780000000002E-2</v>
      </c>
      <c r="Q7346">
        <v>2.9452450000000002E-2</v>
      </c>
      <c r="R7346">
        <v>0.99862309999999999</v>
      </c>
      <c r="S7346">
        <v>-9.4360349999999996E-2</v>
      </c>
      <c r="T7346">
        <v>-0.21917610000000001</v>
      </c>
      <c r="U7346">
        <v>3.01416</v>
      </c>
      <c r="V7346">
        <v>4.0895019999999997E-2</v>
      </c>
      <c r="W7346">
        <v>4.3898600000000003E-2</v>
      </c>
      <c r="X7346">
        <v>0.99819860000000005</v>
      </c>
      <c r="Y7346">
        <v>-3.3796720000000002E-2</v>
      </c>
      <c r="Z7346">
        <v>-7.2485250000000001E-2</v>
      </c>
      <c r="AA7346">
        <v>0.99679669999999998</v>
      </c>
      <c r="AB7346">
        <v>33</v>
      </c>
      <c r="AC7346">
        <v>-0.47929999999999501</v>
      </c>
      <c r="AD7346">
        <v>-1.1098809616800001</v>
      </c>
      <c r="AE7346">
        <v>14.9244199999999</v>
      </c>
      <c r="AF7346">
        <v>-0.51510754152642302</v>
      </c>
      <c r="AG7346">
        <v>-1.1098809616800001</v>
      </c>
      <c r="AH7346">
        <v>14.841135429085099</v>
      </c>
      <c r="AI7346">
        <v>94.274287993984601</v>
      </c>
      <c r="AJ7346">
        <v>91.987829412699199</v>
      </c>
      <c r="AK7346">
        <v>14.8914899305906</v>
      </c>
      <c r="AL7346">
        <v>87.483986873669195</v>
      </c>
      <c r="AM7346">
        <v>87.653971424107596</v>
      </c>
      <c r="AN7346">
        <v>0.99999996739235897</v>
      </c>
    </row>
    <row r="7347" spans="1:40" x14ac:dyDescent="0.25">
      <c r="A7347" t="str">
        <f>"20190312154441117"</f>
        <v>20190312154441117</v>
      </c>
      <c r="B7347" t="str">
        <f>"1552376681114578"</f>
        <v>1552376681114578</v>
      </c>
      <c r="C7347" t="s">
        <v>40</v>
      </c>
      <c r="D7347">
        <v>5.2879269999999998</v>
      </c>
      <c r="E7347">
        <v>0.47212880000000002</v>
      </c>
      <c r="F7347" t="s">
        <v>43</v>
      </c>
      <c r="G7347">
        <v>-188.3357</v>
      </c>
      <c r="H7347" s="1">
        <v>-4.2868479999999998E-6</v>
      </c>
      <c r="I7347">
        <v>108.9374</v>
      </c>
      <c r="J7347">
        <v>-187.83709999999999</v>
      </c>
      <c r="K7347">
        <v>1.1098809999999999</v>
      </c>
      <c r="L7347">
        <v>93.574340000000007</v>
      </c>
      <c r="M7347">
        <v>3.302751E-3</v>
      </c>
      <c r="N7347">
        <v>0</v>
      </c>
      <c r="O7347">
        <v>0.99988900000000003</v>
      </c>
      <c r="P7347">
        <v>4.3965860000000002E-2</v>
      </c>
      <c r="Q7347">
        <v>3.056472E-2</v>
      </c>
      <c r="R7347">
        <v>0.99856540000000005</v>
      </c>
      <c r="S7347">
        <v>-9.5489500000000005E-2</v>
      </c>
      <c r="T7347">
        <v>-0.21325050000000001</v>
      </c>
      <c r="U7347">
        <v>3.0145870000000001</v>
      </c>
      <c r="V7347">
        <v>4.0740779999999997E-2</v>
      </c>
      <c r="W7347">
        <v>4.5007110000000003E-2</v>
      </c>
      <c r="X7347">
        <v>0.99815560000000003</v>
      </c>
      <c r="Y7347">
        <v>-3.4882379999999998E-2</v>
      </c>
      <c r="Z7347">
        <v>-7.0523559999999999E-2</v>
      </c>
      <c r="AA7347">
        <v>0.99690000000000001</v>
      </c>
      <c r="AB7347">
        <v>33</v>
      </c>
      <c r="AC7347">
        <v>-0.49860000000000998</v>
      </c>
      <c r="AD7347">
        <v>-1.10988528684799</v>
      </c>
      <c r="AE7347">
        <v>15.3630599999999</v>
      </c>
      <c r="AF7347">
        <v>-0.54649375966022895</v>
      </c>
      <c r="AG7347">
        <v>-1.10988528684799</v>
      </c>
      <c r="AH7347">
        <v>15.2816557554896</v>
      </c>
      <c r="AI7347">
        <v>94.151374137974599</v>
      </c>
      <c r="AJ7347">
        <v>92.048105826568104</v>
      </c>
      <c r="AK7347">
        <v>15.331650381110199</v>
      </c>
      <c r="AL7347">
        <v>87.420411230499298</v>
      </c>
      <c r="AM7347">
        <v>87.662709321166602</v>
      </c>
      <c r="AN7347">
        <v>1.0000000264584501</v>
      </c>
    </row>
    <row r="7348" spans="1:40" x14ac:dyDescent="0.25">
      <c r="A7348" t="str">
        <f>"20190312154441139"</f>
        <v>20190312154441139</v>
      </c>
      <c r="B7348" t="str">
        <f>"1552376681135075"</f>
        <v>1552376681135075</v>
      </c>
      <c r="C7348" t="s">
        <v>40</v>
      </c>
      <c r="D7348">
        <v>5.291995</v>
      </c>
      <c r="E7348">
        <v>0.47207320000000003</v>
      </c>
      <c r="F7348" t="s">
        <v>43</v>
      </c>
      <c r="G7348">
        <v>-188.34119999999999</v>
      </c>
      <c r="H7348" s="1">
        <v>-4.5481249999999998E-6</v>
      </c>
      <c r="I7348">
        <v>109.5487</v>
      </c>
      <c r="J7348">
        <v>-187.83529999999999</v>
      </c>
      <c r="K7348">
        <v>1.109885</v>
      </c>
      <c r="L7348">
        <v>93.899410000000003</v>
      </c>
      <c r="M7348">
        <v>4.0133850000000004E-3</v>
      </c>
      <c r="N7348">
        <v>0</v>
      </c>
      <c r="O7348">
        <v>0.99988639999999995</v>
      </c>
      <c r="P7348">
        <v>4.4486329999999998E-2</v>
      </c>
      <c r="Q7348">
        <v>3.106803E-2</v>
      </c>
      <c r="R7348">
        <v>0.99852680000000005</v>
      </c>
      <c r="S7348">
        <v>-9.5138550000000002E-2</v>
      </c>
      <c r="T7348">
        <v>-0.20947250000000001</v>
      </c>
      <c r="U7348">
        <v>3.0148929999999998</v>
      </c>
      <c r="V7348">
        <v>4.0552299999999999E-2</v>
      </c>
      <c r="W7348">
        <v>4.5507270000000002E-2</v>
      </c>
      <c r="X7348">
        <v>0.99814060000000004</v>
      </c>
      <c r="Y7348">
        <v>-3.5476279999999999E-2</v>
      </c>
      <c r="Z7348">
        <v>-6.9272349999999996E-2</v>
      </c>
      <c r="AA7348">
        <v>0.99696680000000004</v>
      </c>
      <c r="AB7348">
        <v>33</v>
      </c>
      <c r="AC7348">
        <v>-0.50589999999999602</v>
      </c>
      <c r="AD7348">
        <v>-1.109889548125</v>
      </c>
      <c r="AE7348">
        <v>15.649289999999899</v>
      </c>
      <c r="AF7348">
        <v>-0.56586583170469595</v>
      </c>
      <c r="AG7348">
        <v>-1.109889548125</v>
      </c>
      <c r="AH7348">
        <v>15.568903118195699</v>
      </c>
      <c r="AI7348">
        <v>94.074971560410305</v>
      </c>
      <c r="AJ7348">
        <v>92.081550534082496</v>
      </c>
      <c r="AK7348">
        <v>15.6186684212289</v>
      </c>
      <c r="AL7348">
        <v>87.391724787503307</v>
      </c>
      <c r="AM7348">
        <v>87.673475549365506</v>
      </c>
      <c r="AN7348">
        <v>1.00000002901325</v>
      </c>
    </row>
    <row r="7349" spans="1:40" x14ac:dyDescent="0.25">
      <c r="A7349" t="str">
        <f>"20190312154441174"</f>
        <v>20190312154441174</v>
      </c>
      <c r="B7349" t="str">
        <f>"1552376681164354"</f>
        <v>1552376681164354</v>
      </c>
      <c r="C7349" t="s">
        <v>40</v>
      </c>
      <c r="D7349">
        <v>5.300446</v>
      </c>
      <c r="E7349">
        <v>0.47196840000000001</v>
      </c>
      <c r="F7349" t="s">
        <v>43</v>
      </c>
      <c r="G7349">
        <v>-188.33869999999999</v>
      </c>
      <c r="H7349" s="1">
        <v>-5.5668599999999898E-7</v>
      </c>
      <c r="I7349">
        <v>109.9849</v>
      </c>
      <c r="J7349">
        <v>-187.83199999999999</v>
      </c>
      <c r="K7349">
        <v>1.1098790000000001</v>
      </c>
      <c r="L7349">
        <v>94.409700000000001</v>
      </c>
      <c r="M7349">
        <v>5.133426E-3</v>
      </c>
      <c r="N7349">
        <v>0</v>
      </c>
      <c r="O7349">
        <v>0.99988140000000003</v>
      </c>
      <c r="P7349">
        <v>4.5940399999999999E-2</v>
      </c>
      <c r="Q7349">
        <v>3.0359790000000001E-2</v>
      </c>
      <c r="R7349">
        <v>0.99848269999999995</v>
      </c>
      <c r="S7349">
        <v>-9.4345090000000006E-2</v>
      </c>
      <c r="T7349">
        <v>-0.20804139999999999</v>
      </c>
      <c r="U7349">
        <v>3.0151370000000002</v>
      </c>
      <c r="V7349">
        <v>4.0886690000000003E-2</v>
      </c>
      <c r="W7349">
        <v>4.4793220000000002E-2</v>
      </c>
      <c r="X7349">
        <v>0.99815920000000002</v>
      </c>
      <c r="Y7349">
        <v>-3.6332120000000002E-2</v>
      </c>
      <c r="Z7349">
        <v>-6.8794499999999995E-2</v>
      </c>
      <c r="AA7349">
        <v>0.99696899999999999</v>
      </c>
      <c r="AB7349">
        <v>33</v>
      </c>
      <c r="AC7349">
        <v>-0.50669999999999504</v>
      </c>
      <c r="AD7349">
        <v>-1.109879556686</v>
      </c>
      <c r="AE7349">
        <v>15.575199999999899</v>
      </c>
      <c r="AF7349">
        <v>-0.58369507511518504</v>
      </c>
      <c r="AG7349">
        <v>-1.109879556686</v>
      </c>
      <c r="AH7349">
        <v>15.4938005113765</v>
      </c>
      <c r="AI7349">
        <v>94.094420164208799</v>
      </c>
      <c r="AJ7349">
        <v>92.157473010629403</v>
      </c>
      <c r="AK7349">
        <v>15.544464830202299</v>
      </c>
      <c r="AL7349">
        <v>87.432678454568901</v>
      </c>
      <c r="AM7349">
        <v>87.654356276511294</v>
      </c>
      <c r="AN7349">
        <v>0.99999997126088103</v>
      </c>
    </row>
    <row r="7350" spans="1:40" x14ac:dyDescent="0.25">
      <c r="A7350" t="str">
        <f>"20190312154441198"</f>
        <v>20190312154441198</v>
      </c>
      <c r="B7350" t="str">
        <f>"1552376681184476"</f>
        <v>1552376681184476</v>
      </c>
      <c r="C7350" t="s">
        <v>40</v>
      </c>
      <c r="D7350">
        <v>5.253965</v>
      </c>
      <c r="E7350">
        <v>0.47201520000000002</v>
      </c>
      <c r="F7350" t="s">
        <v>43</v>
      </c>
      <c r="G7350">
        <v>-188.3099</v>
      </c>
      <c r="H7350" s="1">
        <v>-6.5012319999999896E-7</v>
      </c>
      <c r="I7350">
        <v>110.2371</v>
      </c>
      <c r="J7350">
        <v>-187.82939999999999</v>
      </c>
      <c r="K7350">
        <v>1.1098760000000001</v>
      </c>
      <c r="L7350">
        <v>94.753690000000006</v>
      </c>
      <c r="M7350">
        <v>5.8943210000000001E-3</v>
      </c>
      <c r="N7350">
        <v>0</v>
      </c>
      <c r="O7350">
        <v>0.99987720000000002</v>
      </c>
      <c r="P7350">
        <v>4.6921789999999998E-2</v>
      </c>
      <c r="Q7350">
        <v>2.88904E-2</v>
      </c>
      <c r="R7350">
        <v>0.9984807</v>
      </c>
      <c r="S7350">
        <v>-9.1049190000000002E-2</v>
      </c>
      <c r="T7350">
        <v>-0.21143600000000001</v>
      </c>
      <c r="U7350">
        <v>3.0151669999999999</v>
      </c>
      <c r="V7350">
        <v>4.110581E-2</v>
      </c>
      <c r="W7350">
        <v>4.3320280000000003E-2</v>
      </c>
      <c r="X7350">
        <v>0.99821530000000003</v>
      </c>
      <c r="Y7350">
        <v>-3.6001180000000001E-2</v>
      </c>
      <c r="Z7350">
        <v>-6.9912009999999997E-2</v>
      </c>
      <c r="AA7350">
        <v>0.99690330000000005</v>
      </c>
      <c r="AB7350">
        <v>33</v>
      </c>
      <c r="AC7350">
        <v>-0.48050000000000598</v>
      </c>
      <c r="AD7350">
        <v>-1.1098766501232</v>
      </c>
      <c r="AE7350">
        <v>15.4834099999999</v>
      </c>
      <c r="AF7350">
        <v>-0.56884539834985304</v>
      </c>
      <c r="AG7350">
        <v>-1.1098766501232</v>
      </c>
      <c r="AH7350">
        <v>15.4012489457333</v>
      </c>
      <c r="AI7350">
        <v>94.119042622312406</v>
      </c>
      <c r="AJ7350">
        <v>92.115259089349806</v>
      </c>
      <c r="AK7350">
        <v>15.451662705164299</v>
      </c>
      <c r="AL7350">
        <v>87.517153952879198</v>
      </c>
      <c r="AM7350">
        <v>87.641932035823203</v>
      </c>
      <c r="AN7350">
        <v>1.00000005971456</v>
      </c>
    </row>
    <row r="7351" spans="1:40" x14ac:dyDescent="0.25">
      <c r="A7351" t="str">
        <f>"20190312154441219"</f>
        <v>20190312154441219</v>
      </c>
      <c r="B7351" t="str">
        <f>"1552376681214730"</f>
        <v>1552376681214730</v>
      </c>
      <c r="C7351" t="s">
        <v>40</v>
      </c>
      <c r="D7351">
        <v>5.318009</v>
      </c>
      <c r="E7351">
        <v>0.47203780000000001</v>
      </c>
      <c r="F7351" t="s">
        <v>43</v>
      </c>
      <c r="G7351">
        <v>-188.28100000000001</v>
      </c>
      <c r="H7351" s="1">
        <v>-6.8216989999999998E-7</v>
      </c>
      <c r="I7351">
        <v>110.3086</v>
      </c>
      <c r="J7351">
        <v>-187.82679999999999</v>
      </c>
      <c r="K7351">
        <v>1.1098680000000001</v>
      </c>
      <c r="L7351">
        <v>95.07602</v>
      </c>
      <c r="M7351">
        <v>6.6137779999999998E-3</v>
      </c>
      <c r="N7351">
        <v>0</v>
      </c>
      <c r="O7351">
        <v>0.99987280000000001</v>
      </c>
      <c r="P7351">
        <v>4.7253330000000003E-2</v>
      </c>
      <c r="Q7351">
        <v>2.7634570000000001E-2</v>
      </c>
      <c r="R7351">
        <v>0.99850059999999996</v>
      </c>
      <c r="S7351">
        <v>-8.7524409999999997E-2</v>
      </c>
      <c r="T7351">
        <v>-0.21512129999999999</v>
      </c>
      <c r="U7351">
        <v>3.014923</v>
      </c>
      <c r="V7351">
        <v>4.0716839999999997E-2</v>
      </c>
      <c r="W7351">
        <v>4.2062570000000001E-2</v>
      </c>
      <c r="X7351">
        <v>0.99828499999999998</v>
      </c>
      <c r="Y7351">
        <v>-3.5555719999999999E-2</v>
      </c>
      <c r="Z7351">
        <v>-7.1131459999999994E-2</v>
      </c>
      <c r="AA7351">
        <v>0.99683299999999997</v>
      </c>
      <c r="AB7351">
        <v>33</v>
      </c>
      <c r="AC7351">
        <v>-0.454199999999986</v>
      </c>
      <c r="AD7351">
        <v>-1.1098686821699</v>
      </c>
      <c r="AE7351">
        <v>15.23258</v>
      </c>
      <c r="AF7351">
        <v>-0.552017631414502</v>
      </c>
      <c r="AG7351">
        <v>-1.1098686821699</v>
      </c>
      <c r="AH7351">
        <v>15.1488915034928</v>
      </c>
      <c r="AI7351">
        <v>94.187463307494099</v>
      </c>
      <c r="AJ7351">
        <v>92.086904681022702</v>
      </c>
      <c r="AK7351">
        <v>15.199521233961599</v>
      </c>
      <c r="AL7351">
        <v>87.589281117036606</v>
      </c>
      <c r="AM7351">
        <v>87.664383684327007</v>
      </c>
      <c r="AN7351">
        <v>1.0000000310397901</v>
      </c>
    </row>
    <row r="7352" spans="1:40" x14ac:dyDescent="0.25">
      <c r="A7352" t="str">
        <f>"20190312154441242"</f>
        <v>20190312154441242</v>
      </c>
      <c r="B7352" t="str">
        <f>"1552376681235226"</f>
        <v>1552376681235226</v>
      </c>
      <c r="C7352" t="s">
        <v>40</v>
      </c>
      <c r="D7352">
        <v>5.3153480000000002</v>
      </c>
      <c r="E7352">
        <v>0.4905101</v>
      </c>
      <c r="F7352" t="s">
        <v>43</v>
      </c>
      <c r="G7352">
        <v>-188.26429999999999</v>
      </c>
      <c r="H7352" s="1">
        <v>-7.0160469999999903E-7</v>
      </c>
      <c r="I7352">
        <v>110.3526</v>
      </c>
      <c r="J7352">
        <v>-187.82380000000001</v>
      </c>
      <c r="K7352">
        <v>1.1098539999999999</v>
      </c>
      <c r="L7352">
        <v>95.407259999999994</v>
      </c>
      <c r="M7352">
        <v>7.3669499999999997E-3</v>
      </c>
      <c r="N7352">
        <v>0</v>
      </c>
      <c r="O7352">
        <v>0.99986759999999997</v>
      </c>
      <c r="P7352">
        <v>4.7654830000000002E-2</v>
      </c>
      <c r="Q7352">
        <v>2.7087779999999999E-2</v>
      </c>
      <c r="R7352">
        <v>0.99849650000000001</v>
      </c>
      <c r="S7352">
        <v>-8.6334229999999998E-2</v>
      </c>
      <c r="T7352">
        <v>-0.21901860000000001</v>
      </c>
      <c r="U7352">
        <v>3.0146480000000002</v>
      </c>
      <c r="V7352">
        <v>4.0365819999999997E-2</v>
      </c>
      <c r="W7352">
        <v>4.1512779999999999E-2</v>
      </c>
      <c r="X7352">
        <v>0.99832220000000005</v>
      </c>
      <c r="Y7352">
        <v>-3.5915259999999997E-2</v>
      </c>
      <c r="Z7352">
        <v>-7.2419380000000005E-2</v>
      </c>
      <c r="AA7352">
        <v>0.99672740000000004</v>
      </c>
      <c r="AB7352">
        <v>33</v>
      </c>
      <c r="AC7352">
        <v>-0.44049999999998501</v>
      </c>
      <c r="AD7352">
        <v>-1.1098547016047</v>
      </c>
      <c r="AE7352">
        <v>14.94534</v>
      </c>
      <c r="AF7352">
        <v>-0.54758407479553906</v>
      </c>
      <c r="AG7352">
        <v>-1.1098547016047</v>
      </c>
      <c r="AH7352">
        <v>14.859812820966001</v>
      </c>
      <c r="AI7352">
        <v>94.268509352140001</v>
      </c>
      <c r="AJ7352">
        <v>92.110394463468594</v>
      </c>
      <c r="AK7352">
        <v>14.911259599771901</v>
      </c>
      <c r="AL7352">
        <v>87.620809139757895</v>
      </c>
      <c r="AM7352">
        <v>87.684583215522807</v>
      </c>
      <c r="AN7352">
        <v>0.99999996267021896</v>
      </c>
    </row>
    <row r="7353" spans="1:40" x14ac:dyDescent="0.25">
      <c r="A7353" t="str">
        <f>"20190312154441263"</f>
        <v>20190312154441263</v>
      </c>
      <c r="B7353" t="str">
        <f>"1552376681254746"</f>
        <v>1552376681254746</v>
      </c>
      <c r="C7353" t="s">
        <v>40</v>
      </c>
      <c r="D7353">
        <v>5.3488290000000003</v>
      </c>
      <c r="E7353">
        <v>0.51279569999999997</v>
      </c>
      <c r="F7353" t="s">
        <v>41</v>
      </c>
      <c r="G7353">
        <v>-187.80680000000001</v>
      </c>
      <c r="H7353">
        <v>1.0401910000000001</v>
      </c>
      <c r="I7353">
        <v>96.229590000000002</v>
      </c>
      <c r="J7353">
        <v>-187.82069999999999</v>
      </c>
      <c r="K7353">
        <v>1.1098380000000001</v>
      </c>
      <c r="L7353">
        <v>95.725679999999997</v>
      </c>
      <c r="M7353">
        <v>8.1106919999999992E-3</v>
      </c>
      <c r="N7353">
        <v>0</v>
      </c>
      <c r="O7353">
        <v>0.99986180000000002</v>
      </c>
      <c r="P7353">
        <v>4.7761980000000002E-2</v>
      </c>
      <c r="Q7353">
        <v>2.6139840000000001E-2</v>
      </c>
      <c r="R7353">
        <v>0.99851670000000003</v>
      </c>
      <c r="S7353">
        <v>6.1614990000000001E-2</v>
      </c>
      <c r="T7353">
        <v>-0.254882</v>
      </c>
      <c r="U7353">
        <v>3.0084840000000002</v>
      </c>
      <c r="V7353">
        <v>3.9729420000000001E-2</v>
      </c>
      <c r="W7353">
        <v>4.0562290000000001E-2</v>
      </c>
      <c r="X7353">
        <v>0.99838689999999997</v>
      </c>
      <c r="Y7353">
        <v>1.2292539999999999E-2</v>
      </c>
      <c r="Z7353">
        <v>-8.4402519999999995E-2</v>
      </c>
      <c r="AA7353">
        <v>0.99635589999999996</v>
      </c>
      <c r="AB7353">
        <v>33</v>
      </c>
      <c r="AC7353">
        <v>1.3899999999978201E-2</v>
      </c>
      <c r="AD7353">
        <v>-6.9646999999999695E-2</v>
      </c>
      <c r="AE7353">
        <v>0.50390999999998998</v>
      </c>
      <c r="AF7353">
        <v>9.6282656932702992E-3</v>
      </c>
      <c r="AG7353">
        <v>-6.9646999999999695E-2</v>
      </c>
      <c r="AH7353">
        <v>0.49456572517417102</v>
      </c>
      <c r="AI7353">
        <v>98.014441808892002</v>
      </c>
      <c r="AJ7353">
        <v>88.884699683627503</v>
      </c>
      <c r="AK7353">
        <v>0.49953845159938698</v>
      </c>
      <c r="AL7353">
        <v>87.675314360033298</v>
      </c>
      <c r="AM7353">
        <v>87.721196378785095</v>
      </c>
      <c r="AN7353">
        <v>1.0000000641375899</v>
      </c>
    </row>
    <row r="7354" spans="1:40" x14ac:dyDescent="0.25">
      <c r="A7354" t="str">
        <f>"20190312154441285"</f>
        <v>20190312154441285</v>
      </c>
      <c r="B7354" t="str">
        <f>"1552376681275241"</f>
        <v>1552376681275241</v>
      </c>
      <c r="C7354" t="s">
        <v>40</v>
      </c>
      <c r="D7354">
        <v>5.3392499999999998</v>
      </c>
      <c r="E7354">
        <v>0.52440769999999903</v>
      </c>
      <c r="F7354" t="s">
        <v>41</v>
      </c>
      <c r="G7354">
        <v>-187.75720000000001</v>
      </c>
      <c r="H7354">
        <v>1.038781</v>
      </c>
      <c r="I7354">
        <v>96.520359999999997</v>
      </c>
      <c r="J7354">
        <v>-187.81720000000001</v>
      </c>
      <c r="K7354">
        <v>1.10982</v>
      </c>
      <c r="L7354">
        <v>96.060519999999997</v>
      </c>
      <c r="M7354">
        <v>8.9201100000000002E-3</v>
      </c>
      <c r="N7354">
        <v>0</v>
      </c>
      <c r="O7354">
        <v>0.99985500000000005</v>
      </c>
      <c r="P7354">
        <v>4.8225829999999997E-2</v>
      </c>
      <c r="Q7354">
        <v>2.4868020000000001E-2</v>
      </c>
      <c r="R7354">
        <v>0.99852680000000005</v>
      </c>
      <c r="S7354">
        <v>0.2395477</v>
      </c>
      <c r="T7354">
        <v>-0.26825680000000002</v>
      </c>
      <c r="U7354">
        <v>3.0000309999999999</v>
      </c>
      <c r="V7354">
        <v>3.9384179999999998E-2</v>
      </c>
      <c r="W7354">
        <v>3.9286340000000003E-2</v>
      </c>
      <c r="X7354">
        <v>0.99845150000000005</v>
      </c>
      <c r="Y7354">
        <v>7.0384730000000006E-2</v>
      </c>
      <c r="Z7354">
        <v>-8.8806769999999993E-2</v>
      </c>
      <c r="AA7354">
        <v>0.99355890000000002</v>
      </c>
      <c r="AB7354">
        <v>33</v>
      </c>
      <c r="AC7354">
        <v>6.0000000000002197E-2</v>
      </c>
      <c r="AD7354">
        <v>-7.1039000000000005E-2</v>
      </c>
      <c r="AE7354">
        <v>0.45983999999999903</v>
      </c>
      <c r="AF7354">
        <v>5.4613762940406901E-2</v>
      </c>
      <c r="AG7354">
        <v>-7.1039000000000005E-2</v>
      </c>
      <c r="AH7354">
        <v>0.44980168803418102</v>
      </c>
      <c r="AI7354">
        <v>98.910445952560906</v>
      </c>
      <c r="AJ7354">
        <v>83.077180421997099</v>
      </c>
      <c r="AK7354">
        <v>0.458640121644313</v>
      </c>
      <c r="AL7354">
        <v>87.748479018488297</v>
      </c>
      <c r="AM7354">
        <v>87.741124087865799</v>
      </c>
      <c r="AN7354">
        <v>0.99999996399855795</v>
      </c>
    </row>
    <row r="7355" spans="1:40" x14ac:dyDescent="0.25">
      <c r="A7355" t="str">
        <f>"20190312154441307"</f>
        <v>20190312154441307</v>
      </c>
      <c r="B7355" t="str">
        <f>"1552376681304522"</f>
        <v>1552376681304522</v>
      </c>
      <c r="C7355" t="s">
        <v>40</v>
      </c>
      <c r="D7355">
        <v>5.2722850000000001</v>
      </c>
      <c r="E7355">
        <v>0.53057469999999995</v>
      </c>
      <c r="F7355" t="s">
        <v>41</v>
      </c>
      <c r="G7355">
        <v>-187.73310000000001</v>
      </c>
      <c r="H7355">
        <v>1.0379620000000001</v>
      </c>
      <c r="I7355">
        <v>96.814080000000004</v>
      </c>
      <c r="J7355">
        <v>-187.8135</v>
      </c>
      <c r="K7355">
        <v>1.109796</v>
      </c>
      <c r="L7355">
        <v>96.379670000000004</v>
      </c>
      <c r="M7355">
        <v>9.7260820000000005E-3</v>
      </c>
      <c r="N7355">
        <v>0</v>
      </c>
      <c r="O7355">
        <v>0.9998475</v>
      </c>
      <c r="P7355">
        <v>4.8404240000000001E-2</v>
      </c>
      <c r="Q7355">
        <v>2.3993609999999999E-2</v>
      </c>
      <c r="R7355">
        <v>0.99853959999999997</v>
      </c>
      <c r="S7355">
        <v>0.33358759999999998</v>
      </c>
      <c r="T7355">
        <v>-0.28564859999999997</v>
      </c>
      <c r="U7355">
        <v>2.995422</v>
      </c>
      <c r="V7355">
        <v>3.8757960000000001E-2</v>
      </c>
      <c r="W7355">
        <v>3.8408669999999999E-2</v>
      </c>
      <c r="X7355">
        <v>0.99851020000000001</v>
      </c>
      <c r="Y7355">
        <v>0.1005149</v>
      </c>
      <c r="Z7355">
        <v>-9.4394889999999995E-2</v>
      </c>
      <c r="AA7355">
        <v>0.99044759999999998</v>
      </c>
      <c r="AB7355">
        <v>33</v>
      </c>
      <c r="AC7355">
        <v>8.0399999999997293E-2</v>
      </c>
      <c r="AD7355">
        <v>-7.1833999999999898E-2</v>
      </c>
      <c r="AE7355">
        <v>0.43441000000001401</v>
      </c>
      <c r="AF7355">
        <v>7.4208694177115994E-2</v>
      </c>
      <c r="AG7355">
        <v>-7.1833999999999898E-2</v>
      </c>
      <c r="AH7355">
        <v>0.42396266329227</v>
      </c>
      <c r="AI7355">
        <v>99.475181947486604</v>
      </c>
      <c r="AJ7355">
        <v>80.071757680113294</v>
      </c>
      <c r="AK7355">
        <v>0.43636154013999301</v>
      </c>
      <c r="AL7355">
        <v>87.798803903051805</v>
      </c>
      <c r="AM7355">
        <v>87.777135105855706</v>
      </c>
      <c r="AN7355">
        <v>1.0000000124492801</v>
      </c>
    </row>
    <row r="7356" spans="1:40" x14ac:dyDescent="0.25">
      <c r="A7356" t="str">
        <f>"20190312154441330"</f>
        <v>20190312154441330</v>
      </c>
      <c r="B7356" t="str">
        <f>"1552376681325019"</f>
        <v>1552376681325019</v>
      </c>
      <c r="C7356" t="s">
        <v>40</v>
      </c>
      <c r="D7356">
        <v>5.2632680000000001</v>
      </c>
      <c r="E7356">
        <v>0.53302759999999905</v>
      </c>
      <c r="F7356" t="s">
        <v>41</v>
      </c>
      <c r="G7356">
        <v>-187.71950000000001</v>
      </c>
      <c r="H7356">
        <v>1.045034</v>
      </c>
      <c r="I7356">
        <v>97.112589999999997</v>
      </c>
      <c r="J7356">
        <v>-187.80940000000001</v>
      </c>
      <c r="K7356">
        <v>1.1097729999999999</v>
      </c>
      <c r="L7356">
        <v>96.708500000000001</v>
      </c>
      <c r="M7356">
        <v>1.060373E-2</v>
      </c>
      <c r="N7356">
        <v>0</v>
      </c>
      <c r="O7356">
        <v>0.99983869999999997</v>
      </c>
      <c r="P7356">
        <v>4.8837199999999997E-2</v>
      </c>
      <c r="Q7356">
        <v>2.497278E-2</v>
      </c>
      <c r="R7356">
        <v>0.99849449999999995</v>
      </c>
      <c r="S7356">
        <v>0.38374330000000001</v>
      </c>
      <c r="T7356">
        <v>-0.26438509999999998</v>
      </c>
      <c r="U7356">
        <v>2.9921570000000002</v>
      </c>
      <c r="V7356">
        <v>3.8319270000000002E-2</v>
      </c>
      <c r="W7356">
        <v>3.9382100000000003E-2</v>
      </c>
      <c r="X7356">
        <v>0.99848919999999997</v>
      </c>
      <c r="Y7356">
        <v>0.1161958</v>
      </c>
      <c r="Z7356">
        <v>-8.7356059999999999E-2</v>
      </c>
      <c r="AA7356">
        <v>0.98937730000000002</v>
      </c>
      <c r="AB7356">
        <v>33</v>
      </c>
      <c r="AC7356">
        <v>8.9899999999999994E-2</v>
      </c>
      <c r="AD7356">
        <v>-6.4738999999999797E-2</v>
      </c>
      <c r="AE7356">
        <v>0.40408999999999601</v>
      </c>
      <c r="AF7356">
        <v>8.3565899010454706E-2</v>
      </c>
      <c r="AG7356">
        <v>-6.4738999999999797E-2</v>
      </c>
      <c r="AH7356">
        <v>0.395351710917001</v>
      </c>
      <c r="AI7356">
        <v>99.102040853472104</v>
      </c>
      <c r="AJ7356">
        <v>78.0650052603158</v>
      </c>
      <c r="AK7356">
        <v>0.409239994286269</v>
      </c>
      <c r="AL7356">
        <v>87.742988205004707</v>
      </c>
      <c r="AM7356">
        <v>87.802224073435795</v>
      </c>
      <c r="AN7356">
        <v>0.99999999938519102</v>
      </c>
    </row>
    <row r="7357" spans="1:40" x14ac:dyDescent="0.25">
      <c r="A7357" t="str">
        <f>"20190312154441352"</f>
        <v>20190312154441352</v>
      </c>
      <c r="B7357" t="str">
        <f>"1552376681344538"</f>
        <v>1552376681344538</v>
      </c>
      <c r="C7357" t="s">
        <v>40</v>
      </c>
      <c r="D7357">
        <v>5.2419449999999896</v>
      </c>
      <c r="E7357">
        <v>0.53454460000000004</v>
      </c>
      <c r="F7357" t="s">
        <v>41</v>
      </c>
      <c r="G7357">
        <v>-187.6765</v>
      </c>
      <c r="H7357">
        <v>1.027855</v>
      </c>
      <c r="I7357">
        <v>97.689980000000006</v>
      </c>
      <c r="J7357">
        <v>-187.8049</v>
      </c>
      <c r="K7357">
        <v>1.10975</v>
      </c>
      <c r="L7357">
        <v>97.036559999999994</v>
      </c>
      <c r="M7357">
        <v>1.152715E-2</v>
      </c>
      <c r="N7357">
        <v>0</v>
      </c>
      <c r="O7357">
        <v>0.99982850000000001</v>
      </c>
      <c r="P7357">
        <v>4.9001879999999998E-2</v>
      </c>
      <c r="Q7357">
        <v>2.6129360000000001E-2</v>
      </c>
      <c r="R7357">
        <v>0.99845680000000003</v>
      </c>
      <c r="S7357">
        <v>0.40509030000000001</v>
      </c>
      <c r="T7357">
        <v>-0.2496264</v>
      </c>
      <c r="U7357">
        <v>2.9909669999999999</v>
      </c>
      <c r="V7357">
        <v>3.7567440000000001E-2</v>
      </c>
      <c r="W7357">
        <v>4.0534180000000003E-2</v>
      </c>
      <c r="X7357">
        <v>0.99847169999999996</v>
      </c>
      <c r="Y7357">
        <v>0.1223224</v>
      </c>
      <c r="Z7357">
        <v>-8.2476569999999999E-2</v>
      </c>
      <c r="AA7357">
        <v>0.98905750000000003</v>
      </c>
      <c r="AB7357">
        <v>33</v>
      </c>
      <c r="AC7357">
        <v>0.12839999999999899</v>
      </c>
      <c r="AD7357">
        <v>-8.1894999999999996E-2</v>
      </c>
      <c r="AE7357">
        <v>0.65342000000001099</v>
      </c>
      <c r="AF7357">
        <v>0.11905793579913999</v>
      </c>
      <c r="AG7357">
        <v>-8.1894999999999996E-2</v>
      </c>
      <c r="AH7357">
        <v>0.64510012131416805</v>
      </c>
      <c r="AI7357">
        <v>97.116044064024805</v>
      </c>
      <c r="AJ7357">
        <v>79.543309324928998</v>
      </c>
      <c r="AK7357">
        <v>0.66108679431774098</v>
      </c>
      <c r="AL7357">
        <v>87.676926199902098</v>
      </c>
      <c r="AM7357">
        <v>87.845265997219798</v>
      </c>
      <c r="AN7357">
        <v>1.0000000339986499</v>
      </c>
    </row>
    <row r="7358" spans="1:40" x14ac:dyDescent="0.25">
      <c r="A7358" t="str">
        <f>"20190312154441375"</f>
        <v>20190312154441375</v>
      </c>
      <c r="B7358" t="str">
        <f>"1552376681365034"</f>
        <v>1552376681365034</v>
      </c>
      <c r="C7358" t="s">
        <v>40</v>
      </c>
      <c r="D7358">
        <v>5.266356</v>
      </c>
      <c r="E7358">
        <v>0.53581730000000005</v>
      </c>
      <c r="F7358" t="s">
        <v>41</v>
      </c>
      <c r="G7358">
        <v>-187.6721</v>
      </c>
      <c r="H7358">
        <v>1.0335970000000001</v>
      </c>
      <c r="I7358">
        <v>97.985759999999999</v>
      </c>
      <c r="J7358">
        <v>-187.80009999999999</v>
      </c>
      <c r="K7358">
        <v>1.1097269999999999</v>
      </c>
      <c r="L7358">
        <v>97.370639999999995</v>
      </c>
      <c r="M7358">
        <v>1.251116E-2</v>
      </c>
      <c r="N7358">
        <v>0</v>
      </c>
      <c r="O7358">
        <v>0.9998167</v>
      </c>
      <c r="P7358">
        <v>4.9408639999999997E-2</v>
      </c>
      <c r="Q7358">
        <v>2.669469E-2</v>
      </c>
      <c r="R7358">
        <v>0.99842180000000003</v>
      </c>
      <c r="S7358">
        <v>0.41810609999999998</v>
      </c>
      <c r="T7358">
        <v>-0.2399143</v>
      </c>
      <c r="U7358">
        <v>2.9904169999999999</v>
      </c>
      <c r="V7358">
        <v>3.6996069999999999E-2</v>
      </c>
      <c r="W7358">
        <v>4.1094480000000003E-2</v>
      </c>
      <c r="X7358">
        <v>0.99847010000000003</v>
      </c>
      <c r="Y7358">
        <v>0.12563009999999999</v>
      </c>
      <c r="Z7358">
        <v>-7.9261650000000003E-2</v>
      </c>
      <c r="AA7358">
        <v>0.98890579999999995</v>
      </c>
      <c r="AB7358">
        <v>33</v>
      </c>
      <c r="AC7358">
        <v>0.12799999999998499</v>
      </c>
      <c r="AD7358">
        <v>-7.6130000000000198E-2</v>
      </c>
      <c r="AE7358">
        <v>0.61511999999999001</v>
      </c>
      <c r="AF7358">
        <v>0.11855272734698501</v>
      </c>
      <c r="AG7358">
        <v>-7.6130000000000198E-2</v>
      </c>
      <c r="AH7358">
        <v>0.60775051073147501</v>
      </c>
      <c r="AI7358">
        <v>97.009218184004794</v>
      </c>
      <c r="AJ7358">
        <v>78.962033048039402</v>
      </c>
      <c r="AK7358">
        <v>0.62386794224080599</v>
      </c>
      <c r="AL7358">
        <v>87.644796530303495</v>
      </c>
      <c r="AM7358">
        <v>87.878004149407005</v>
      </c>
      <c r="AN7358">
        <v>1.0000000030379601</v>
      </c>
    </row>
    <row r="7359" spans="1:40" x14ac:dyDescent="0.25">
      <c r="A7359" t="str">
        <f>"20190312154441399"</f>
        <v>20190312154441399</v>
      </c>
      <c r="B7359" t="str">
        <f>"1552376681395290"</f>
        <v>1552376681395290</v>
      </c>
      <c r="C7359" t="s">
        <v>40</v>
      </c>
      <c r="D7359">
        <v>5.2655529999999997</v>
      </c>
      <c r="E7359">
        <v>0.53749150000000001</v>
      </c>
      <c r="F7359" t="s">
        <v>41</v>
      </c>
      <c r="G7359">
        <v>-187.66909999999999</v>
      </c>
      <c r="H7359">
        <v>1.038794</v>
      </c>
      <c r="I7359">
        <v>98.281750000000002</v>
      </c>
      <c r="J7359">
        <v>-187.79470000000001</v>
      </c>
      <c r="K7359">
        <v>1.109715</v>
      </c>
      <c r="L7359">
        <v>97.710480000000004</v>
      </c>
      <c r="M7359">
        <v>1.3559109999999999E-2</v>
      </c>
      <c r="N7359">
        <v>0</v>
      </c>
      <c r="O7359">
        <v>0.99980309999999994</v>
      </c>
      <c r="P7359">
        <v>4.9317350000000003E-2</v>
      </c>
      <c r="Q7359">
        <v>2.9232660000000001E-2</v>
      </c>
      <c r="R7359">
        <v>0.99835529999999995</v>
      </c>
      <c r="S7359">
        <v>0.42974849999999998</v>
      </c>
      <c r="T7359">
        <v>-0.23275199999999999</v>
      </c>
      <c r="U7359">
        <v>2.989716</v>
      </c>
      <c r="V7359">
        <v>3.5867429999999999E-2</v>
      </c>
      <c r="W7359">
        <v>4.3627539999999999E-2</v>
      </c>
      <c r="X7359">
        <v>0.99840379999999995</v>
      </c>
      <c r="Y7359">
        <v>0.12842319999999999</v>
      </c>
      <c r="Z7359">
        <v>-7.6891319999999999E-2</v>
      </c>
      <c r="AA7359">
        <v>0.98873409999999995</v>
      </c>
      <c r="AB7359">
        <v>33</v>
      </c>
      <c r="AC7359">
        <v>0.125600000000019</v>
      </c>
      <c r="AD7359">
        <v>-7.0920999999999998E-2</v>
      </c>
      <c r="AE7359">
        <v>0.57126999999999795</v>
      </c>
      <c r="AF7359">
        <v>0.116134362214838</v>
      </c>
      <c r="AG7359">
        <v>-7.0920999999999998E-2</v>
      </c>
      <c r="AH7359">
        <v>0.56461984950121102</v>
      </c>
      <c r="AI7359">
        <v>97.014011951895199</v>
      </c>
      <c r="AJ7359">
        <v>78.377162656984595</v>
      </c>
      <c r="AK7359">
        <v>0.58078615064308903</v>
      </c>
      <c r="AL7359">
        <v>87.499532421625005</v>
      </c>
      <c r="AM7359">
        <v>87.942546924675497</v>
      </c>
      <c r="AN7359">
        <v>0.999999991317848</v>
      </c>
    </row>
    <row r="7360" spans="1:40" x14ac:dyDescent="0.25">
      <c r="A7360" t="str">
        <f>"20190312154441421"</f>
        <v>20190312154441421</v>
      </c>
      <c r="B7360" t="str">
        <f>"1552376681414810"</f>
        <v>1552376681414810</v>
      </c>
      <c r="C7360" t="s">
        <v>40</v>
      </c>
      <c r="D7360">
        <v>5.2421519999999999</v>
      </c>
      <c r="E7360">
        <v>0.53819689999999998</v>
      </c>
      <c r="F7360" t="s">
        <v>41</v>
      </c>
      <c r="G7360">
        <v>-187.66560000000001</v>
      </c>
      <c r="H7360">
        <v>1.0465660000000001</v>
      </c>
      <c r="I7360">
        <v>98.581090000000003</v>
      </c>
      <c r="J7360">
        <v>-187.78919999999999</v>
      </c>
      <c r="K7360">
        <v>1.1096870000000001</v>
      </c>
      <c r="L7360">
        <v>98.035399999999996</v>
      </c>
      <c r="M7360">
        <v>1.4605409999999999E-2</v>
      </c>
      <c r="N7360">
        <v>0</v>
      </c>
      <c r="O7360">
        <v>0.99978840000000002</v>
      </c>
      <c r="P7360">
        <v>4.9202339999999997E-2</v>
      </c>
      <c r="Q7360">
        <v>3.0247840000000002E-2</v>
      </c>
      <c r="R7360">
        <v>0.99833070000000002</v>
      </c>
      <c r="S7360">
        <v>0.442749</v>
      </c>
      <c r="T7360">
        <v>-0.21683910000000001</v>
      </c>
      <c r="U7360">
        <v>2.9894099999999999</v>
      </c>
      <c r="V7360">
        <v>3.4713029999999999E-2</v>
      </c>
      <c r="W7360">
        <v>4.4639360000000003E-2</v>
      </c>
      <c r="X7360">
        <v>0.99839990000000001</v>
      </c>
      <c r="Y7360">
        <v>0.13166649999999999</v>
      </c>
      <c r="Z7360">
        <v>-7.1630639999999995E-2</v>
      </c>
      <c r="AA7360">
        <v>0.98870270000000005</v>
      </c>
      <c r="AB7360">
        <v>33</v>
      </c>
      <c r="AC7360">
        <v>0.123599999999981</v>
      </c>
      <c r="AD7360">
        <v>-6.3121000000000205E-2</v>
      </c>
      <c r="AE7360">
        <v>0.545690000000007</v>
      </c>
      <c r="AF7360">
        <v>0.11416299287394201</v>
      </c>
      <c r="AG7360">
        <v>-6.3121000000000205E-2</v>
      </c>
      <c r="AH7360">
        <v>0.54055749789308405</v>
      </c>
      <c r="AI7360">
        <v>96.517782910267499</v>
      </c>
      <c r="AJ7360">
        <v>78.074664993422004</v>
      </c>
      <c r="AK7360">
        <v>0.55607540685717005</v>
      </c>
      <c r="AL7360">
        <v>87.441502918675894</v>
      </c>
      <c r="AM7360">
        <v>88.008704472047299</v>
      </c>
      <c r="AN7360">
        <v>1.0000000136164999</v>
      </c>
    </row>
    <row r="7361" spans="1:40" x14ac:dyDescent="0.25">
      <c r="A7361" t="str">
        <f>"20190312154441443"</f>
        <v>20190312154441443</v>
      </c>
      <c r="B7361" t="str">
        <f>"1552376681435306"</f>
        <v>1552376681435306</v>
      </c>
      <c r="C7361" t="s">
        <v>40</v>
      </c>
      <c r="D7361">
        <v>5.2107159999999997</v>
      </c>
      <c r="E7361">
        <v>0.53905369999999997</v>
      </c>
      <c r="F7361" t="s">
        <v>43</v>
      </c>
      <c r="G7361">
        <v>-185.41249999999999</v>
      </c>
      <c r="H7361" s="1">
        <v>-2.6631599999999999E-6</v>
      </c>
      <c r="I7361">
        <v>113.887</v>
      </c>
      <c r="J7361">
        <v>-187.7834</v>
      </c>
      <c r="K7361">
        <v>1.1096520000000001</v>
      </c>
      <c r="L7361">
        <v>98.358580000000003</v>
      </c>
      <c r="M7361">
        <v>1.568661E-2</v>
      </c>
      <c r="N7361">
        <v>0</v>
      </c>
      <c r="O7361">
        <v>0.99977210000000005</v>
      </c>
      <c r="P7361">
        <v>4.9671960000000001E-2</v>
      </c>
      <c r="Q7361">
        <v>3.0550299999999999E-2</v>
      </c>
      <c r="R7361">
        <v>0.99829820000000002</v>
      </c>
      <c r="S7361">
        <v>0.44819639999999999</v>
      </c>
      <c r="T7361">
        <v>-0.20926210000000001</v>
      </c>
      <c r="U7361">
        <v>2.989258</v>
      </c>
      <c r="V7361">
        <v>3.4106940000000002E-2</v>
      </c>
      <c r="W7361">
        <v>4.4938039999999999E-2</v>
      </c>
      <c r="X7361">
        <v>0.99840739999999994</v>
      </c>
      <c r="Y7361">
        <v>0.1323906</v>
      </c>
      <c r="Z7361">
        <v>-6.9129209999999996E-2</v>
      </c>
      <c r="AA7361">
        <v>0.988784</v>
      </c>
      <c r="AB7361">
        <v>33</v>
      </c>
      <c r="AC7361">
        <v>2.3708999999999998</v>
      </c>
      <c r="AD7361">
        <v>-1.1096546631599999</v>
      </c>
      <c r="AE7361">
        <v>15.528419999999899</v>
      </c>
      <c r="AF7361">
        <v>2.1164330972601699</v>
      </c>
      <c r="AG7361">
        <v>-1.1096546631599999</v>
      </c>
      <c r="AH7361">
        <v>15.4864247075209</v>
      </c>
      <c r="AI7361">
        <v>94.060813327989806</v>
      </c>
      <c r="AJ7361">
        <v>82.2179525160807</v>
      </c>
      <c r="AK7361">
        <v>15.6697151457315</v>
      </c>
      <c r="AL7361">
        <v>87.424372650565701</v>
      </c>
      <c r="AM7361">
        <v>88.043459944217702</v>
      </c>
      <c r="AN7361">
        <v>1.00000002358498</v>
      </c>
    </row>
    <row r="7362" spans="1:40" x14ac:dyDescent="0.25">
      <c r="A7362" t="str">
        <f>"20190312154441464"</f>
        <v>20190312154441464</v>
      </c>
      <c r="B7362" t="str">
        <f>"1552376681454826"</f>
        <v>1552376681454826</v>
      </c>
      <c r="C7362" t="s">
        <v>40</v>
      </c>
      <c r="D7362">
        <v>5.1877000000000004</v>
      </c>
      <c r="E7362">
        <v>0.53927429999999998</v>
      </c>
      <c r="F7362" t="s">
        <v>43</v>
      </c>
      <c r="G7362">
        <v>-185.3288</v>
      </c>
      <c r="H7362" s="1">
        <v>-2.8815389999999999E-6</v>
      </c>
      <c r="I7362">
        <v>114.4182</v>
      </c>
      <c r="J7362">
        <v>-187.7774</v>
      </c>
      <c r="K7362">
        <v>1.109629</v>
      </c>
      <c r="L7362">
        <v>98.671570000000003</v>
      </c>
      <c r="M7362">
        <v>1.676716E-2</v>
      </c>
      <c r="N7362">
        <v>0</v>
      </c>
      <c r="O7362">
        <v>0.99975449999999999</v>
      </c>
      <c r="P7362">
        <v>5.0141030000000003E-2</v>
      </c>
      <c r="Q7362">
        <v>2.9971040000000001E-2</v>
      </c>
      <c r="R7362">
        <v>0.99829230000000002</v>
      </c>
      <c r="S7362">
        <v>0.4568024</v>
      </c>
      <c r="T7362">
        <v>-0.2065073</v>
      </c>
      <c r="U7362">
        <v>2.9887079999999999</v>
      </c>
      <c r="V7362">
        <v>3.3498180000000002E-2</v>
      </c>
      <c r="W7362">
        <v>4.435592E-2</v>
      </c>
      <c r="X7362">
        <v>0.99845399999999995</v>
      </c>
      <c r="Y7362">
        <v>0.1341387</v>
      </c>
      <c r="Z7362">
        <v>-6.8211380000000002E-2</v>
      </c>
      <c r="AA7362">
        <v>0.98861220000000005</v>
      </c>
      <c r="AB7362">
        <v>33</v>
      </c>
      <c r="AC7362">
        <v>2.4485999999999901</v>
      </c>
      <c r="AD7362">
        <v>-1.1096318815390001</v>
      </c>
      <c r="AE7362">
        <v>15.74663</v>
      </c>
      <c r="AF7362">
        <v>2.17366276584209</v>
      </c>
      <c r="AG7362">
        <v>-1.1096318815390001</v>
      </c>
      <c r="AH7362">
        <v>15.709309888330401</v>
      </c>
      <c r="AI7362">
        <v>94.0023872843866</v>
      </c>
      <c r="AJ7362">
        <v>82.122130119354594</v>
      </c>
      <c r="AK7362">
        <v>15.8977517246852</v>
      </c>
      <c r="AL7362">
        <v>87.457758857894106</v>
      </c>
      <c r="AM7362">
        <v>88.078444580658299</v>
      </c>
      <c r="AN7362">
        <v>0.99999998290917902</v>
      </c>
    </row>
    <row r="7363" spans="1:40" x14ac:dyDescent="0.25">
      <c r="A7363" t="str">
        <f>"20190312154441487"</f>
        <v>20190312154441487</v>
      </c>
      <c r="B7363" t="str">
        <f>"1552376681474347"</f>
        <v>1552376681474347</v>
      </c>
      <c r="C7363" t="s">
        <v>40</v>
      </c>
      <c r="D7363">
        <v>5.195913</v>
      </c>
      <c r="E7363">
        <v>0.539738099999999</v>
      </c>
      <c r="F7363" t="s">
        <v>43</v>
      </c>
      <c r="G7363">
        <v>-185.3133</v>
      </c>
      <c r="H7363" s="1">
        <v>-2.9983979999999999E-6</v>
      </c>
      <c r="I7363">
        <v>114.6842</v>
      </c>
      <c r="J7363">
        <v>-187.7706</v>
      </c>
      <c r="K7363">
        <v>1.1095930000000001</v>
      </c>
      <c r="L7363">
        <v>99.001949999999994</v>
      </c>
      <c r="M7363">
        <v>1.7935860000000001E-2</v>
      </c>
      <c r="N7363">
        <v>0</v>
      </c>
      <c r="O7363">
        <v>0.99973429999999996</v>
      </c>
      <c r="P7363">
        <v>5.1154959999999999E-2</v>
      </c>
      <c r="Q7363">
        <v>2.957303E-2</v>
      </c>
      <c r="R7363">
        <v>0.99825269999999999</v>
      </c>
      <c r="S7363">
        <v>0.45983889999999999</v>
      </c>
      <c r="T7363">
        <v>-0.20707709999999999</v>
      </c>
      <c r="U7363">
        <v>2.988251</v>
      </c>
      <c r="V7363">
        <v>3.3346819999999999E-2</v>
      </c>
      <c r="W7363">
        <v>4.3952909999999998E-2</v>
      </c>
      <c r="X7363">
        <v>0.9984769</v>
      </c>
      <c r="Y7363">
        <v>0.1339825</v>
      </c>
      <c r="Z7363">
        <v>-6.8402480000000002E-2</v>
      </c>
      <c r="AA7363">
        <v>0.98862019999999995</v>
      </c>
      <c r="AB7363">
        <v>33</v>
      </c>
      <c r="AC7363">
        <v>2.4573</v>
      </c>
      <c r="AD7363">
        <v>-1.1095959983979999</v>
      </c>
      <c r="AE7363">
        <v>15.68225</v>
      </c>
      <c r="AF7363">
        <v>2.1650215967044399</v>
      </c>
      <c r="AG7363">
        <v>-1.1095959983979999</v>
      </c>
      <c r="AH7363">
        <v>15.647347840320901</v>
      </c>
      <c r="AI7363">
        <v>94.018057388918905</v>
      </c>
      <c r="AJ7363">
        <v>82.122373058779601</v>
      </c>
      <c r="AK7363">
        <v>15.8353407361462</v>
      </c>
      <c r="AL7363">
        <v>87.480872201174805</v>
      </c>
      <c r="AM7363">
        <v>88.087164415441293</v>
      </c>
      <c r="AN7363">
        <v>0.999999994267595</v>
      </c>
    </row>
    <row r="7364" spans="1:40" x14ac:dyDescent="0.25">
      <c r="A7364" t="str">
        <f>"20190312154441510"</f>
        <v>20190312154441510</v>
      </c>
      <c r="B7364" t="str">
        <f>"1552376681504602"</f>
        <v>1552376681504602</v>
      </c>
      <c r="C7364" t="s">
        <v>40</v>
      </c>
      <c r="D7364">
        <v>5.1902939999999997</v>
      </c>
      <c r="E7364">
        <v>0.54106330000000002</v>
      </c>
      <c r="F7364" t="s">
        <v>43</v>
      </c>
      <c r="G7364">
        <v>-185.2499</v>
      </c>
      <c r="H7364" s="1">
        <v>-3.2040959999999998E-6</v>
      </c>
      <c r="I7364">
        <v>115.1375</v>
      </c>
      <c r="J7364">
        <v>-187.7637</v>
      </c>
      <c r="K7364">
        <v>1.1095569999999999</v>
      </c>
      <c r="L7364">
        <v>99.321039999999996</v>
      </c>
      <c r="M7364">
        <v>1.9086249999999999E-2</v>
      </c>
      <c r="N7364">
        <v>0</v>
      </c>
      <c r="O7364">
        <v>0.99971310000000002</v>
      </c>
      <c r="P7364">
        <v>5.2736659999999998E-2</v>
      </c>
      <c r="Q7364">
        <v>2.784118E-2</v>
      </c>
      <c r="R7364">
        <v>0.99822029999999995</v>
      </c>
      <c r="S7364">
        <v>0.46670529999999999</v>
      </c>
      <c r="T7364">
        <v>-0.20543710000000001</v>
      </c>
      <c r="U7364">
        <v>2.9874269999999998</v>
      </c>
      <c r="V7364">
        <v>3.3777139999999997E-2</v>
      </c>
      <c r="W7364">
        <v>4.2215969999999998E-2</v>
      </c>
      <c r="X7364">
        <v>0.99853740000000002</v>
      </c>
      <c r="Y7364">
        <v>0.1351077</v>
      </c>
      <c r="Z7364">
        <v>-6.7862450000000005E-2</v>
      </c>
      <c r="AA7364">
        <v>0.98850420000000006</v>
      </c>
      <c r="AB7364">
        <v>33</v>
      </c>
      <c r="AC7364">
        <v>2.5137999999999998</v>
      </c>
      <c r="AD7364">
        <v>-1.109560204096</v>
      </c>
      <c r="AE7364">
        <v>15.816459999999999</v>
      </c>
      <c r="AF7364">
        <v>2.2008691079202198</v>
      </c>
      <c r="AG7364">
        <v>-1.109560204096</v>
      </c>
      <c r="AH7364">
        <v>15.7857891965495</v>
      </c>
      <c r="AI7364">
        <v>93.982232882652994</v>
      </c>
      <c r="AJ7364">
        <v>82.062933741014504</v>
      </c>
      <c r="AK7364">
        <v>15.977048827446501</v>
      </c>
      <c r="AL7364">
        <v>87.580484082869702</v>
      </c>
      <c r="AM7364">
        <v>88.062616454846804</v>
      </c>
      <c r="AN7364">
        <v>1.00000001125419</v>
      </c>
    </row>
    <row r="7365" spans="1:40" x14ac:dyDescent="0.25">
      <c r="A7365" t="str">
        <f>"20190312154441531"</f>
        <v>20190312154441531</v>
      </c>
      <c r="B7365" t="str">
        <f>"1552376681525098"</f>
        <v>1552376681525098</v>
      </c>
      <c r="C7365" t="s">
        <v>40</v>
      </c>
      <c r="D7365">
        <v>5.1865489999999896</v>
      </c>
      <c r="E7365">
        <v>0.54175629999999997</v>
      </c>
      <c r="F7365" t="s">
        <v>41</v>
      </c>
      <c r="G7365">
        <v>-187.60220000000001</v>
      </c>
      <c r="H7365">
        <v>1.036449</v>
      </c>
      <c r="I7365">
        <v>100.32170000000001</v>
      </c>
      <c r="J7365">
        <v>-187.75630000000001</v>
      </c>
      <c r="K7365">
        <v>1.1095349999999999</v>
      </c>
      <c r="L7365">
        <v>99.643429999999995</v>
      </c>
      <c r="M7365">
        <v>2.0262499999999999E-2</v>
      </c>
      <c r="N7365">
        <v>0</v>
      </c>
      <c r="O7365">
        <v>0.99968990000000002</v>
      </c>
      <c r="P7365">
        <v>5.5183830000000003E-2</v>
      </c>
      <c r="Q7365">
        <v>2.64186E-2</v>
      </c>
      <c r="R7365">
        <v>0.99812659999999997</v>
      </c>
      <c r="S7365">
        <v>0.48188779999999998</v>
      </c>
      <c r="T7365">
        <v>-0.2181776</v>
      </c>
      <c r="U7365">
        <v>2.9859619999999998</v>
      </c>
      <c r="V7365">
        <v>3.5048059999999999E-2</v>
      </c>
      <c r="W7365">
        <v>4.0786219999999998E-2</v>
      </c>
      <c r="X7365">
        <v>0.99855300000000002</v>
      </c>
      <c r="Y7365">
        <v>0.13887079999999999</v>
      </c>
      <c r="Z7365">
        <v>-7.2034630000000002E-2</v>
      </c>
      <c r="AA7365">
        <v>0.98768719999999999</v>
      </c>
      <c r="AB7365">
        <v>32</v>
      </c>
      <c r="AC7365">
        <v>0.15409999999999899</v>
      </c>
      <c r="AD7365">
        <v>-7.3085999999999901E-2</v>
      </c>
      <c r="AE7365">
        <v>0.67826999999999704</v>
      </c>
      <c r="AF7365">
        <v>0.13879108868739901</v>
      </c>
      <c r="AG7365">
        <v>-7.3085999999999901E-2</v>
      </c>
      <c r="AH7365">
        <v>0.67381397136052201</v>
      </c>
      <c r="AI7365">
        <v>96.0641241184302</v>
      </c>
      <c r="AJ7365">
        <v>78.361089644794504</v>
      </c>
      <c r="AK7365">
        <v>0.69183075798613702</v>
      </c>
      <c r="AL7365">
        <v>87.662473312590606</v>
      </c>
      <c r="AM7365">
        <v>87.989809341739601</v>
      </c>
      <c r="AN7365">
        <v>0.99999998803032497</v>
      </c>
    </row>
    <row r="7366" spans="1:40" x14ac:dyDescent="0.25">
      <c r="A7366" t="str">
        <f>"20190312154441554"</f>
        <v>20190312154441554</v>
      </c>
      <c r="B7366" t="str">
        <f>"1552376681544618"</f>
        <v>1552376681544618</v>
      </c>
      <c r="C7366" t="s">
        <v>40</v>
      </c>
      <c r="D7366">
        <v>5.3458909999999999</v>
      </c>
      <c r="E7366">
        <v>0.54258039999999996</v>
      </c>
      <c r="F7366" t="s">
        <v>41</v>
      </c>
      <c r="G7366">
        <v>-187.596</v>
      </c>
      <c r="H7366">
        <v>1.0356939999999999</v>
      </c>
      <c r="I7366">
        <v>100.61069999999999</v>
      </c>
      <c r="J7366">
        <v>-187.7484</v>
      </c>
      <c r="K7366">
        <v>1.109529</v>
      </c>
      <c r="L7366">
        <v>99.969849999999994</v>
      </c>
      <c r="M7366">
        <v>2.1461600000000001E-2</v>
      </c>
      <c r="N7366">
        <v>0</v>
      </c>
      <c r="O7366">
        <v>0.99966500000000003</v>
      </c>
      <c r="P7366">
        <v>5.7180429999999997E-2</v>
      </c>
      <c r="Q7366">
        <v>2.7245370000000001E-2</v>
      </c>
      <c r="R7366">
        <v>0.99799199999999999</v>
      </c>
      <c r="S7366">
        <v>0.49446109999999999</v>
      </c>
      <c r="T7366">
        <v>-0.22782160000000001</v>
      </c>
      <c r="U7366">
        <v>2.9843139999999999</v>
      </c>
      <c r="V7366">
        <v>3.5851670000000002E-2</v>
      </c>
      <c r="W7366">
        <v>4.1605679999999999E-2</v>
      </c>
      <c r="X7366">
        <v>0.99849069999999995</v>
      </c>
      <c r="Y7366">
        <v>0.14178279999999999</v>
      </c>
      <c r="Z7366">
        <v>-7.5198020000000004E-2</v>
      </c>
      <c r="AA7366">
        <v>0.98703739999999995</v>
      </c>
      <c r="AB7366">
        <v>32</v>
      </c>
      <c r="AC7366">
        <v>0.15240000000002801</v>
      </c>
      <c r="AD7366">
        <v>-7.3834999999999804E-2</v>
      </c>
      <c r="AE7366">
        <v>0.64085000000000003</v>
      </c>
      <c r="AF7366">
        <v>0.13688992972953001</v>
      </c>
      <c r="AG7366">
        <v>-7.3834999999999804E-2</v>
      </c>
      <c r="AH7366">
        <v>0.63598310099553401</v>
      </c>
      <c r="AI7366">
        <v>96.475164011291298</v>
      </c>
      <c r="AJ7366">
        <v>77.852897223955395</v>
      </c>
      <c r="AK7366">
        <v>0.65472510631428504</v>
      </c>
      <c r="AL7366">
        <v>87.615481911103103</v>
      </c>
      <c r="AM7366">
        <v>87.943629015228794</v>
      </c>
      <c r="AN7366">
        <v>1.00000002641827</v>
      </c>
    </row>
    <row r="7367" spans="1:40" x14ac:dyDescent="0.25">
      <c r="A7367" t="str">
        <f>"20190312154441575"</f>
        <v>20190312154441575</v>
      </c>
      <c r="B7367" t="str">
        <f>"1552376681565114"</f>
        <v>1552376681565114</v>
      </c>
      <c r="C7367" t="s">
        <v>40</v>
      </c>
      <c r="D7367">
        <v>5.2090329999999998</v>
      </c>
      <c r="E7367">
        <v>0.54323690000000002</v>
      </c>
      <c r="F7367" t="s">
        <v>41</v>
      </c>
      <c r="G7367">
        <v>-187.5899</v>
      </c>
      <c r="H7367">
        <v>1.0379039999999999</v>
      </c>
      <c r="I7367">
        <v>100.9019</v>
      </c>
      <c r="J7367">
        <v>-187.7405</v>
      </c>
      <c r="K7367">
        <v>1.1095269999999999</v>
      </c>
      <c r="L7367">
        <v>100.2822</v>
      </c>
      <c r="M7367">
        <v>2.261258E-2</v>
      </c>
      <c r="N7367">
        <v>0</v>
      </c>
      <c r="O7367">
        <v>0.99963959999999996</v>
      </c>
      <c r="P7367">
        <v>5.9063890000000001E-2</v>
      </c>
      <c r="Q7367">
        <v>2.8005809999999999E-2</v>
      </c>
      <c r="R7367">
        <v>0.99786129999999995</v>
      </c>
      <c r="S7367">
        <v>0.50712590000000002</v>
      </c>
      <c r="T7367">
        <v>-0.2292575</v>
      </c>
      <c r="U7367">
        <v>2.9832459999999998</v>
      </c>
      <c r="V7367">
        <v>3.6589749999999997E-2</v>
      </c>
      <c r="W7367">
        <v>4.2359849999999998E-2</v>
      </c>
      <c r="X7367">
        <v>0.99843219999999999</v>
      </c>
      <c r="Y7367">
        <v>0.14476919999999999</v>
      </c>
      <c r="Z7367">
        <v>-7.5650239999999994E-2</v>
      </c>
      <c r="AA7367">
        <v>0.98656929999999998</v>
      </c>
      <c r="AB7367">
        <v>32</v>
      </c>
      <c r="AC7367">
        <v>0.15059999999999699</v>
      </c>
      <c r="AD7367">
        <v>-7.1622999999999895E-2</v>
      </c>
      <c r="AE7367">
        <v>0.61969999999999403</v>
      </c>
      <c r="AF7367">
        <v>0.13484617295738299</v>
      </c>
      <c r="AG7367">
        <v>-7.1622999999999895E-2</v>
      </c>
      <c r="AH7367">
        <v>0.61518789627453396</v>
      </c>
      <c r="AI7367">
        <v>96.488065257406205</v>
      </c>
      <c r="AJ7367">
        <v>77.636577186634398</v>
      </c>
      <c r="AK7367">
        <v>0.63385289477365203</v>
      </c>
      <c r="AL7367">
        <v>87.572232987968405</v>
      </c>
      <c r="AM7367">
        <v>87.901209029405194</v>
      </c>
      <c r="AN7367">
        <v>1.0000000123469599</v>
      </c>
    </row>
    <row r="7368" spans="1:40" x14ac:dyDescent="0.25">
      <c r="A7368" t="str">
        <f>"20190312154441600"</f>
        <v>20190312154441600</v>
      </c>
      <c r="B7368" t="str">
        <f>"1552376681595371"</f>
        <v>1552376681595371</v>
      </c>
      <c r="C7368" t="s">
        <v>40</v>
      </c>
      <c r="D7368">
        <v>5.1725250000000003</v>
      </c>
      <c r="E7368">
        <v>0.54415329999999995</v>
      </c>
      <c r="F7368" t="s">
        <v>41</v>
      </c>
      <c r="G7368">
        <v>-187.58240000000001</v>
      </c>
      <c r="H7368">
        <v>1.0391859999999999</v>
      </c>
      <c r="I7368">
        <v>101.19199999999999</v>
      </c>
      <c r="J7368">
        <v>-187.7312</v>
      </c>
      <c r="K7368">
        <v>1.1095189999999999</v>
      </c>
      <c r="L7368">
        <v>100.6322</v>
      </c>
      <c r="M7368">
        <v>2.3903520000000001E-2</v>
      </c>
      <c r="N7368">
        <v>0</v>
      </c>
      <c r="O7368">
        <v>0.99960959999999999</v>
      </c>
      <c r="P7368">
        <v>6.0543409999999999E-2</v>
      </c>
      <c r="Q7368">
        <v>2.7651040000000002E-2</v>
      </c>
      <c r="R7368">
        <v>0.99778250000000002</v>
      </c>
      <c r="S7368">
        <v>0.51821899999999999</v>
      </c>
      <c r="T7368">
        <v>-0.2305624</v>
      </c>
      <c r="U7368">
        <v>2.9822389999999999</v>
      </c>
      <c r="V7368">
        <v>3.6780050000000002E-2</v>
      </c>
      <c r="W7368">
        <v>4.2000639999999999E-2</v>
      </c>
      <c r="X7368">
        <v>0.99844040000000001</v>
      </c>
      <c r="Y7368">
        <v>0.14710509999999999</v>
      </c>
      <c r="Z7368">
        <v>-7.6063249999999999E-2</v>
      </c>
      <c r="AA7368">
        <v>0.98619190000000001</v>
      </c>
      <c r="AB7368">
        <v>32</v>
      </c>
      <c r="AC7368">
        <v>0.14879999999999399</v>
      </c>
      <c r="AD7368">
        <v>-7.0332999999999896E-2</v>
      </c>
      <c r="AE7368">
        <v>0.55980000000000896</v>
      </c>
      <c r="AF7368">
        <v>0.13340797169910901</v>
      </c>
      <c r="AG7368">
        <v>-7.0332999999999896E-2</v>
      </c>
      <c r="AH7368">
        <v>0.55501432928231698</v>
      </c>
      <c r="AI7368">
        <v>97.024203523149694</v>
      </c>
      <c r="AJ7368">
        <v>76.484303832128006</v>
      </c>
      <c r="AK7368">
        <v>0.57513939485186605</v>
      </c>
      <c r="AL7368">
        <v>87.592832578364394</v>
      </c>
      <c r="AM7368">
        <v>87.890320555240706</v>
      </c>
      <c r="AN7368">
        <v>1.00000002909528</v>
      </c>
    </row>
    <row r="7369" spans="1:40" x14ac:dyDescent="0.25">
      <c r="A7369" t="str">
        <f>"20190312154441621"</f>
        <v>20190312154441621</v>
      </c>
      <c r="B7369" t="str">
        <f>"1552376681614890"</f>
        <v>1552376681614890</v>
      </c>
      <c r="C7369" t="s">
        <v>40</v>
      </c>
      <c r="D7369">
        <v>5.2083079999999997</v>
      </c>
      <c r="E7369">
        <v>0.54470689999999999</v>
      </c>
      <c r="F7369" t="s">
        <v>41</v>
      </c>
      <c r="G7369">
        <v>-187.58</v>
      </c>
      <c r="H7369">
        <v>1.041617</v>
      </c>
      <c r="I7369">
        <v>101.4821</v>
      </c>
      <c r="J7369">
        <v>-187.7225</v>
      </c>
      <c r="K7369">
        <v>1.1095189999999999</v>
      </c>
      <c r="L7369">
        <v>100.94580000000001</v>
      </c>
      <c r="M7369">
        <v>2.50621E-2</v>
      </c>
      <c r="N7369">
        <v>0</v>
      </c>
      <c r="O7369">
        <v>0.99958130000000001</v>
      </c>
      <c r="P7369">
        <v>6.1296700000000003E-2</v>
      </c>
      <c r="Q7369">
        <v>2.7049030000000002E-2</v>
      </c>
      <c r="R7369">
        <v>0.997753</v>
      </c>
      <c r="S7369">
        <v>0.52993769999999996</v>
      </c>
      <c r="T7369">
        <v>-0.23818610000000001</v>
      </c>
      <c r="U7369">
        <v>2.9811100000000001</v>
      </c>
      <c r="V7369">
        <v>3.6374730000000001E-2</v>
      </c>
      <c r="W7369">
        <v>4.1396530000000001E-2</v>
      </c>
      <c r="X7369">
        <v>0.99848040000000005</v>
      </c>
      <c r="Y7369">
        <v>0.1497481</v>
      </c>
      <c r="Z7369">
        <v>-7.8546630000000006E-2</v>
      </c>
      <c r="AA7369">
        <v>0.98559929999999996</v>
      </c>
      <c r="AB7369">
        <v>32</v>
      </c>
      <c r="AC7369">
        <v>0.142499999999984</v>
      </c>
      <c r="AD7369">
        <v>-6.7902000000000101E-2</v>
      </c>
      <c r="AE7369">
        <v>0.536299999999997</v>
      </c>
      <c r="AF7369">
        <v>0.12710975043852901</v>
      </c>
      <c r="AG7369">
        <v>-6.7902000000000101E-2</v>
      </c>
      <c r="AH7369">
        <v>0.53174123647203198</v>
      </c>
      <c r="AI7369">
        <v>97.079782390724603</v>
      </c>
      <c r="AJ7369">
        <v>76.556049301284801</v>
      </c>
      <c r="AK7369">
        <v>0.55092314602433501</v>
      </c>
      <c r="AL7369">
        <v>87.627475478198093</v>
      </c>
      <c r="AM7369">
        <v>87.913632292498093</v>
      </c>
      <c r="AN7369">
        <v>0.99999995143138498</v>
      </c>
    </row>
    <row r="7370" spans="1:40" x14ac:dyDescent="0.25">
      <c r="A7370" t="str">
        <f>"20190312154441644"</f>
        <v>20190312154441644</v>
      </c>
      <c r="B7370" t="str">
        <f>"1552376681634410"</f>
        <v>1552376681634410</v>
      </c>
      <c r="C7370" t="s">
        <v>40</v>
      </c>
      <c r="D7370">
        <v>5.2241479999999996</v>
      </c>
      <c r="E7370">
        <v>0.54506860000000001</v>
      </c>
      <c r="F7370" t="s">
        <v>41</v>
      </c>
      <c r="G7370">
        <v>-187.57390000000001</v>
      </c>
      <c r="H7370">
        <v>1.0421549999999999</v>
      </c>
      <c r="I7370">
        <v>101.77070000000001</v>
      </c>
      <c r="J7370">
        <v>-187.7132</v>
      </c>
      <c r="K7370">
        <v>1.109515</v>
      </c>
      <c r="L7370">
        <v>101.26860000000001</v>
      </c>
      <c r="M7370">
        <v>2.6258340000000002E-2</v>
      </c>
      <c r="N7370">
        <v>0</v>
      </c>
      <c r="O7370">
        <v>0.99955070000000001</v>
      </c>
      <c r="P7370">
        <v>6.2096440000000003E-2</v>
      </c>
      <c r="Q7370">
        <v>2.709133E-2</v>
      </c>
      <c r="R7370">
        <v>0.99770239999999999</v>
      </c>
      <c r="S7370">
        <v>0.53707890000000003</v>
      </c>
      <c r="T7370">
        <v>-0.24341740000000001</v>
      </c>
      <c r="U7370">
        <v>2.9803769999999998</v>
      </c>
      <c r="V7370">
        <v>3.5980470000000001E-2</v>
      </c>
      <c r="W7370">
        <v>4.1436550000000003E-2</v>
      </c>
      <c r="X7370">
        <v>0.99849310000000002</v>
      </c>
      <c r="Y7370">
        <v>0.1508707</v>
      </c>
      <c r="Z7370">
        <v>-8.0252630000000005E-2</v>
      </c>
      <c r="AA7370">
        <v>0.98529060000000002</v>
      </c>
      <c r="AB7370">
        <v>32</v>
      </c>
      <c r="AC7370">
        <v>0.13929999999999099</v>
      </c>
      <c r="AD7370">
        <v>-6.7360000000000003E-2</v>
      </c>
      <c r="AE7370">
        <v>0.50209999999999799</v>
      </c>
      <c r="AF7370">
        <v>0.12399411825097099</v>
      </c>
      <c r="AG7370">
        <v>-6.7360000000000003E-2</v>
      </c>
      <c r="AH7370">
        <v>0.497274708430612</v>
      </c>
      <c r="AI7370">
        <v>97.487696174725997</v>
      </c>
      <c r="AJ7370">
        <v>75.998957729132698</v>
      </c>
      <c r="AK7370">
        <v>0.516908160707089</v>
      </c>
      <c r="AL7370">
        <v>87.625180709805306</v>
      </c>
      <c r="AM7370">
        <v>87.936252670437099</v>
      </c>
      <c r="AN7370">
        <v>1.00000002632246</v>
      </c>
    </row>
    <row r="7371" spans="1:40" x14ac:dyDescent="0.25">
      <c r="A7371" t="str">
        <f>"20190312154441665"</f>
        <v>20190312154441665</v>
      </c>
      <c r="B7371" t="str">
        <f>"1552376681654906"</f>
        <v>1552376681654906</v>
      </c>
      <c r="C7371" t="s">
        <v>40</v>
      </c>
      <c r="D7371">
        <v>5.2533560000000001</v>
      </c>
      <c r="E7371">
        <v>0.54538219999999904</v>
      </c>
      <c r="F7371" t="s">
        <v>41</v>
      </c>
      <c r="G7371">
        <v>-187.56890000000001</v>
      </c>
      <c r="H7371">
        <v>1.044279</v>
      </c>
      <c r="I7371">
        <v>102.06010000000001</v>
      </c>
      <c r="J7371">
        <v>-187.7037</v>
      </c>
      <c r="K7371">
        <v>1.1095159999999999</v>
      </c>
      <c r="L7371">
        <v>101.5823</v>
      </c>
      <c r="M7371">
        <v>2.7429180000000001E-2</v>
      </c>
      <c r="N7371">
        <v>0</v>
      </c>
      <c r="O7371">
        <v>0.9995193</v>
      </c>
      <c r="P7371">
        <v>6.2712989999999996E-2</v>
      </c>
      <c r="Q7371">
        <v>2.7629319999999999E-2</v>
      </c>
      <c r="R7371">
        <v>0.99764909999999996</v>
      </c>
      <c r="S7371">
        <v>0.54257200000000005</v>
      </c>
      <c r="T7371">
        <v>-0.24561379999999999</v>
      </c>
      <c r="U7371">
        <v>2.979797</v>
      </c>
      <c r="V7371">
        <v>3.5430000000000003E-2</v>
      </c>
      <c r="W7371">
        <v>4.1972040000000002E-2</v>
      </c>
      <c r="X7371">
        <v>0.9984904</v>
      </c>
      <c r="Y7371">
        <v>0.15149460000000001</v>
      </c>
      <c r="Z7371">
        <v>-8.0966560000000007E-2</v>
      </c>
      <c r="AA7371">
        <v>0.98513640000000002</v>
      </c>
      <c r="AB7371">
        <v>32</v>
      </c>
      <c r="AC7371">
        <v>0.13479999999998399</v>
      </c>
      <c r="AD7371">
        <v>-6.5236999999999698E-2</v>
      </c>
      <c r="AE7371">
        <v>0.477800000000002</v>
      </c>
      <c r="AF7371">
        <v>0.11957741232711699</v>
      </c>
      <c r="AG7371">
        <v>-6.5236999999999698E-2</v>
      </c>
      <c r="AH7371">
        <v>0.473147850746379</v>
      </c>
      <c r="AI7371">
        <v>97.6139183152832</v>
      </c>
      <c r="AJ7371">
        <v>75.8167765066855</v>
      </c>
      <c r="AK7371">
        <v>0.49236522254700998</v>
      </c>
      <c r="AL7371">
        <v>87.594472633026001</v>
      </c>
      <c r="AM7371">
        <v>87.967794046081494</v>
      </c>
      <c r="AN7371">
        <v>1.00000000796696</v>
      </c>
    </row>
    <row r="7372" spans="1:40" x14ac:dyDescent="0.25">
      <c r="A7372" t="str">
        <f>"20190312154441687"</f>
        <v>20190312154441687</v>
      </c>
      <c r="B7372" t="str">
        <f>"1552376681674429"</f>
        <v>1552376681674429</v>
      </c>
      <c r="C7372" t="s">
        <v>40</v>
      </c>
      <c r="D7372">
        <v>5.7384110000000002</v>
      </c>
      <c r="E7372">
        <v>0.54550609999999999</v>
      </c>
      <c r="F7372" t="s">
        <v>41</v>
      </c>
      <c r="G7372">
        <v>-187.56190000000001</v>
      </c>
      <c r="H7372">
        <v>1.0459130000000001</v>
      </c>
      <c r="I7372">
        <v>102.3545</v>
      </c>
      <c r="J7372">
        <v>-187.69399999999999</v>
      </c>
      <c r="K7372">
        <v>1.1095189999999999</v>
      </c>
      <c r="L7372">
        <v>101.8925</v>
      </c>
      <c r="M7372">
        <v>2.8599139999999999E-2</v>
      </c>
      <c r="N7372">
        <v>0</v>
      </c>
      <c r="O7372">
        <v>0.9994866</v>
      </c>
      <c r="P7372">
        <v>6.3721819999999998E-2</v>
      </c>
      <c r="Q7372">
        <v>2.942001E-2</v>
      </c>
      <c r="R7372">
        <v>0.99753400000000003</v>
      </c>
      <c r="S7372">
        <v>0.54711909999999997</v>
      </c>
      <c r="T7372">
        <v>-0.24541959999999999</v>
      </c>
      <c r="U7372">
        <v>2.9794619999999998</v>
      </c>
      <c r="V7372">
        <v>3.5277830000000003E-2</v>
      </c>
      <c r="W7372">
        <v>4.375855E-2</v>
      </c>
      <c r="X7372">
        <v>0.9984191</v>
      </c>
      <c r="Y7372">
        <v>0.15181310000000001</v>
      </c>
      <c r="Z7372">
        <v>-8.0894980000000005E-2</v>
      </c>
      <c r="AA7372">
        <v>0.98509329999999995</v>
      </c>
      <c r="AB7372">
        <v>32</v>
      </c>
      <c r="AC7372">
        <v>0.13210000000000799</v>
      </c>
      <c r="AD7372">
        <v>-6.3606000000000204E-2</v>
      </c>
      <c r="AE7372">
        <v>0.46200000000000302</v>
      </c>
      <c r="AF7372">
        <v>0.116785462977956</v>
      </c>
      <c r="AG7372">
        <v>-6.3606000000000204E-2</v>
      </c>
      <c r="AH7372">
        <v>0.45757176958423701</v>
      </c>
      <c r="AI7372">
        <v>97.6710000398445</v>
      </c>
      <c r="AJ7372">
        <v>75.682143546501806</v>
      </c>
      <c r="AK7372">
        <v>0.47650445110137801</v>
      </c>
      <c r="AL7372">
        <v>87.492018992111795</v>
      </c>
      <c r="AM7372">
        <v>87.976370610401005</v>
      </c>
      <c r="AN7372">
        <v>1.00000001761621</v>
      </c>
    </row>
    <row r="7373" spans="1:40" x14ac:dyDescent="0.25">
      <c r="A7373" t="str">
        <f>"20190312154441709"</f>
        <v>20190312154441709</v>
      </c>
      <c r="B7373" t="str">
        <f>"1552376681704682"</f>
        <v>1552376681704682</v>
      </c>
      <c r="C7373" t="s">
        <v>40</v>
      </c>
      <c r="D7373">
        <v>5.2972289999999997</v>
      </c>
      <c r="E7373">
        <v>0.50046009999999996</v>
      </c>
      <c r="F7373" t="s">
        <v>43</v>
      </c>
      <c r="G7373">
        <v>-185.15809999999999</v>
      </c>
      <c r="H7373" s="1">
        <v>-3.418449E-6</v>
      </c>
      <c r="I7373">
        <v>115.5992</v>
      </c>
      <c r="J7373">
        <v>-187.68350000000001</v>
      </c>
      <c r="K7373">
        <v>1.109513</v>
      </c>
      <c r="L7373">
        <v>102.21299999999999</v>
      </c>
      <c r="M7373">
        <v>2.9825959999999999E-2</v>
      </c>
      <c r="N7373">
        <v>0</v>
      </c>
      <c r="O7373">
        <v>0.99945070000000003</v>
      </c>
      <c r="P7373">
        <v>6.4942079999999999E-2</v>
      </c>
      <c r="Q7373">
        <v>3.0344659999999999E-2</v>
      </c>
      <c r="R7373">
        <v>0.99742759999999997</v>
      </c>
      <c r="S7373">
        <v>0.55120849999999999</v>
      </c>
      <c r="T7373">
        <v>-0.24116650000000001</v>
      </c>
      <c r="U7373">
        <v>2.9793090000000002</v>
      </c>
      <c r="V7373">
        <v>3.5278150000000001E-2</v>
      </c>
      <c r="W7373">
        <v>4.4678420000000003E-2</v>
      </c>
      <c r="X7373">
        <v>0.99837830000000005</v>
      </c>
      <c r="Y7373">
        <v>0.15193709999999999</v>
      </c>
      <c r="Z7373">
        <v>-7.9491300000000001E-2</v>
      </c>
      <c r="AA7373">
        <v>0.98518839999999996</v>
      </c>
      <c r="AB7373">
        <v>32</v>
      </c>
      <c r="AC7373">
        <v>2.5254000000000101</v>
      </c>
      <c r="AD7373">
        <v>-1.1095164184490001</v>
      </c>
      <c r="AE7373">
        <v>13.386200000000001</v>
      </c>
      <c r="AF7373">
        <v>2.1109744488181401</v>
      </c>
      <c r="AG7373">
        <v>-1.1095164184490001</v>
      </c>
      <c r="AH7373">
        <v>13.3668999196905</v>
      </c>
      <c r="AI7373">
        <v>94.687119682973105</v>
      </c>
      <c r="AJ7373">
        <v>81.025653268571702</v>
      </c>
      <c r="AK7373">
        <v>13.577969408913599</v>
      </c>
      <c r="AL7373">
        <v>87.439262597433199</v>
      </c>
      <c r="AM7373">
        <v>87.976269639440801</v>
      </c>
      <c r="AN7373">
        <v>0.999999969496004</v>
      </c>
    </row>
    <row r="7374" spans="1:40" x14ac:dyDescent="0.25">
      <c r="A7374" t="str">
        <f>"20190312154441732"</f>
        <v>20190312154441732</v>
      </c>
      <c r="B7374" t="str">
        <f>"1552376681725179"</f>
        <v>1552376681725179</v>
      </c>
      <c r="C7374" t="s">
        <v>40</v>
      </c>
      <c r="D7374">
        <v>5.3654409999999997</v>
      </c>
      <c r="E7374">
        <v>0.49186590000000002</v>
      </c>
      <c r="F7374" t="s">
        <v>69</v>
      </c>
      <c r="G7374">
        <v>-186.36080000000001</v>
      </c>
      <c r="H7374" s="1">
        <v>-2.025256E-6</v>
      </c>
      <c r="I7374">
        <v>122.39709999999999</v>
      </c>
      <c r="J7374">
        <v>-187.6722</v>
      </c>
      <c r="K7374">
        <v>1.1094949999999999</v>
      </c>
      <c r="L7374">
        <v>102.5462</v>
      </c>
      <c r="M7374">
        <v>3.1121800000000002E-2</v>
      </c>
      <c r="N7374">
        <v>0</v>
      </c>
      <c r="O7374">
        <v>0.9994113</v>
      </c>
      <c r="P7374">
        <v>6.5507750000000003E-2</v>
      </c>
      <c r="Q7374">
        <v>2.9303300000000001E-2</v>
      </c>
      <c r="R7374">
        <v>0.99742169999999997</v>
      </c>
      <c r="S7374">
        <v>0.1965942</v>
      </c>
      <c r="T7374">
        <v>-0.16490569999999999</v>
      </c>
      <c r="U7374">
        <v>2.9999389999999999</v>
      </c>
      <c r="V7374">
        <v>3.45472E-2</v>
      </c>
      <c r="W7374">
        <v>4.3635159999999999E-2</v>
      </c>
      <c r="X7374">
        <v>0.99844999999999995</v>
      </c>
      <c r="Y7374">
        <v>3.4204180000000001E-2</v>
      </c>
      <c r="Z7374">
        <v>-5.4772380000000002E-2</v>
      </c>
      <c r="AA7374">
        <v>0.99791280000000004</v>
      </c>
      <c r="AB7374">
        <v>32</v>
      </c>
      <c r="AC7374">
        <v>1.3113999999999899</v>
      </c>
      <c r="AD7374">
        <v>-1.1094970252559999</v>
      </c>
      <c r="AE7374">
        <v>19.850899999999999</v>
      </c>
      <c r="AF7374">
        <v>0.69075602343689901</v>
      </c>
      <c r="AG7374">
        <v>-1.1094970252559999</v>
      </c>
      <c r="AH7374">
        <v>19.820452272353801</v>
      </c>
      <c r="AI7374">
        <v>93.201984179162395</v>
      </c>
      <c r="AJ7374">
        <v>88.004011574792102</v>
      </c>
      <c r="AK7374">
        <v>19.863495558778698</v>
      </c>
      <c r="AL7374">
        <v>87.499095356662096</v>
      </c>
      <c r="AM7374">
        <v>88.018308985605998</v>
      </c>
      <c r="AN7374">
        <v>0.99999996935803204</v>
      </c>
    </row>
    <row r="7375" spans="1:40" x14ac:dyDescent="0.25">
      <c r="A7375" t="str">
        <f>"20190312154441754"</f>
        <v>20190312154441754</v>
      </c>
      <c r="B7375" t="str">
        <f>"1552376681744698"</f>
        <v>1552376681744698</v>
      </c>
      <c r="C7375" t="s">
        <v>40</v>
      </c>
      <c r="D7375">
        <v>5.2650870000000003</v>
      </c>
      <c r="E7375">
        <v>0.48737209999999997</v>
      </c>
      <c r="F7375" t="s">
        <v>69</v>
      </c>
      <c r="G7375">
        <v>-186.8451</v>
      </c>
      <c r="H7375" s="1">
        <v>-1.5815119999999999E-6</v>
      </c>
      <c r="I7375">
        <v>121.7106</v>
      </c>
      <c r="J7375">
        <v>-187.6611</v>
      </c>
      <c r="K7375">
        <v>1.1094850000000001</v>
      </c>
      <c r="L7375">
        <v>102.86150000000001</v>
      </c>
      <c r="M7375">
        <v>3.2363879999999998E-2</v>
      </c>
      <c r="N7375">
        <v>0</v>
      </c>
      <c r="O7375">
        <v>0.99937180000000003</v>
      </c>
      <c r="P7375">
        <v>6.6828929999999995E-2</v>
      </c>
      <c r="Q7375">
        <v>2.918523E-2</v>
      </c>
      <c r="R7375">
        <v>0.99733749999999999</v>
      </c>
      <c r="S7375">
        <v>0.12965389999999999</v>
      </c>
      <c r="T7375">
        <v>-0.1739329</v>
      </c>
      <c r="U7375">
        <v>3.0043639999999998</v>
      </c>
      <c r="V7375">
        <v>3.4629699999999999E-2</v>
      </c>
      <c r="W7375">
        <v>4.3513690000000001E-2</v>
      </c>
      <c r="X7375">
        <v>0.99845249999999997</v>
      </c>
      <c r="Y7375">
        <v>1.0683399999999999E-2</v>
      </c>
      <c r="Z7375">
        <v>-5.7722870000000003E-2</v>
      </c>
      <c r="AA7375">
        <v>0.99827549999999998</v>
      </c>
      <c r="AB7375">
        <v>32</v>
      </c>
      <c r="AC7375">
        <v>0.81600000000000195</v>
      </c>
      <c r="AD7375">
        <v>-1.1094865815119901</v>
      </c>
      <c r="AE7375">
        <v>18.8491</v>
      </c>
      <c r="AF7375">
        <v>0.20477067197983601</v>
      </c>
      <c r="AG7375">
        <v>-1.1094865815119901</v>
      </c>
      <c r="AH7375">
        <v>18.800619322573102</v>
      </c>
      <c r="AI7375">
        <v>93.377096241385402</v>
      </c>
      <c r="AJ7375">
        <v>89.375976335363404</v>
      </c>
      <c r="AK7375">
        <v>18.8344412822618</v>
      </c>
      <c r="AL7375">
        <v>87.506061833426799</v>
      </c>
      <c r="AM7375">
        <v>88.013585390136498</v>
      </c>
      <c r="AN7375">
        <v>1.0000000260478701</v>
      </c>
    </row>
    <row r="7376" spans="1:40" x14ac:dyDescent="0.25">
      <c r="A7376" t="str">
        <f>"20190312154441776"</f>
        <v>20190312154441776</v>
      </c>
      <c r="B7376" t="str">
        <f>"1552376681765199"</f>
        <v>1552376681765199</v>
      </c>
      <c r="C7376" t="s">
        <v>40</v>
      </c>
      <c r="D7376">
        <v>5.3041029999999996</v>
      </c>
      <c r="E7376">
        <v>0.4852803</v>
      </c>
      <c r="F7376" t="s">
        <v>69</v>
      </c>
      <c r="G7376">
        <v>-187.0531</v>
      </c>
      <c r="H7376" s="1">
        <v>-1.486658E-6</v>
      </c>
      <c r="I7376">
        <v>121.5904</v>
      </c>
      <c r="J7376">
        <v>-187.64930000000001</v>
      </c>
      <c r="K7376">
        <v>1.1094729999999999</v>
      </c>
      <c r="L7376">
        <v>103.18210000000001</v>
      </c>
      <c r="M7376">
        <v>3.3642150000000003E-2</v>
      </c>
      <c r="N7376">
        <v>0</v>
      </c>
      <c r="O7376">
        <v>0.99932969999999999</v>
      </c>
      <c r="P7376">
        <v>6.8302390000000004E-2</v>
      </c>
      <c r="Q7376">
        <v>2.8313350000000001E-2</v>
      </c>
      <c r="R7376">
        <v>0.9972628</v>
      </c>
      <c r="S7376">
        <v>9.7595210000000002E-2</v>
      </c>
      <c r="T7376">
        <v>-0.17811370000000001</v>
      </c>
      <c r="U7376">
        <v>3.0066830000000002</v>
      </c>
      <c r="V7376">
        <v>3.4825689999999999E-2</v>
      </c>
      <c r="W7376">
        <v>4.2637599999999998E-2</v>
      </c>
      <c r="X7376">
        <v>0.99848349999999997</v>
      </c>
      <c r="Y7376">
        <v>-1.260658E-3</v>
      </c>
      <c r="Z7376">
        <v>-5.9069919999999998E-2</v>
      </c>
      <c r="AA7376">
        <v>0.99825299999999995</v>
      </c>
      <c r="AB7376">
        <v>32</v>
      </c>
      <c r="AC7376">
        <v>0.59620000000001006</v>
      </c>
      <c r="AD7376">
        <v>-1.109474486658</v>
      </c>
      <c r="AE7376">
        <v>18.408300000000001</v>
      </c>
      <c r="AF7376">
        <v>-2.34119157017838E-2</v>
      </c>
      <c r="AG7376">
        <v>-1.109474486658</v>
      </c>
      <c r="AH7376">
        <v>18.351345549924101</v>
      </c>
      <c r="AI7376">
        <v>93.459739448211707</v>
      </c>
      <c r="AJ7376">
        <v>90.073095633703801</v>
      </c>
      <c r="AK7376">
        <v>18.3848678332769</v>
      </c>
      <c r="AL7376">
        <v>87.556304778463101</v>
      </c>
      <c r="AM7376">
        <v>88.002414146233605</v>
      </c>
      <c r="AN7376">
        <v>1.0000000466949901</v>
      </c>
    </row>
    <row r="7377" spans="1:40" x14ac:dyDescent="0.25">
      <c r="A7377" t="str">
        <f>"20190312154441800"</f>
        <v>20190312154441800</v>
      </c>
      <c r="B7377" t="str">
        <f>"1552376681794474"</f>
        <v>1552376681794474</v>
      </c>
      <c r="C7377" t="s">
        <v>40</v>
      </c>
      <c r="D7377">
        <v>5.3350580000000001</v>
      </c>
      <c r="E7377">
        <v>0.48305229999999999</v>
      </c>
      <c r="F7377" t="s">
        <v>69</v>
      </c>
      <c r="G7377">
        <v>-187.13079999999999</v>
      </c>
      <c r="H7377" s="1">
        <v>-1.3964789999999999E-6</v>
      </c>
      <c r="I7377">
        <v>121.4457</v>
      </c>
      <c r="J7377">
        <v>-187.637</v>
      </c>
      <c r="K7377">
        <v>1.1094580000000001</v>
      </c>
      <c r="L7377">
        <v>103.5057</v>
      </c>
      <c r="M7377">
        <v>3.4946499999999998E-2</v>
      </c>
      <c r="N7377">
        <v>0</v>
      </c>
      <c r="O7377">
        <v>0.99928499999999998</v>
      </c>
      <c r="P7377">
        <v>7.0192019999999994E-2</v>
      </c>
      <c r="Q7377">
        <v>2.7279250000000001E-2</v>
      </c>
      <c r="R7377">
        <v>0.99716039999999995</v>
      </c>
      <c r="S7377">
        <v>8.5388179999999994E-2</v>
      </c>
      <c r="T7377">
        <v>-0.1827039</v>
      </c>
      <c r="U7377">
        <v>3.007568</v>
      </c>
      <c r="V7377">
        <v>3.5411810000000002E-2</v>
      </c>
      <c r="W7377">
        <v>4.1598540000000003E-2</v>
      </c>
      <c r="X7377">
        <v>0.99850669999999997</v>
      </c>
      <c r="Y7377">
        <v>-6.6258630000000001E-3</v>
      </c>
      <c r="Z7377">
        <v>-6.0567929999999999E-2</v>
      </c>
      <c r="AA7377">
        <v>0.99814210000000003</v>
      </c>
      <c r="AB7377">
        <v>32</v>
      </c>
      <c r="AC7377">
        <v>0.50620000000000598</v>
      </c>
      <c r="AD7377">
        <v>-1.109459396479</v>
      </c>
      <c r="AE7377">
        <v>17.939999999999898</v>
      </c>
      <c r="AF7377">
        <v>-0.120653677187716</v>
      </c>
      <c r="AG7377">
        <v>-1.109459396479</v>
      </c>
      <c r="AH7377">
        <v>17.878409349512001</v>
      </c>
      <c r="AI7377">
        <v>93.550902550676298</v>
      </c>
      <c r="AJ7377">
        <v>90.386658645489902</v>
      </c>
      <c r="AK7377">
        <v>17.913206813158101</v>
      </c>
      <c r="AL7377">
        <v>87.615891371657696</v>
      </c>
      <c r="AM7377">
        <v>87.968869649828306</v>
      </c>
      <c r="AN7377">
        <v>1.0000000323812399</v>
      </c>
    </row>
    <row r="7378" spans="1:40" x14ac:dyDescent="0.25">
      <c r="A7378" t="str">
        <f>"20190312154441822"</f>
        <v>20190312154441822</v>
      </c>
      <c r="B7378" t="str">
        <f>"1552376681814971"</f>
        <v>1552376681814971</v>
      </c>
      <c r="C7378" t="s">
        <v>40</v>
      </c>
      <c r="D7378">
        <v>5.2939189999999998</v>
      </c>
      <c r="E7378">
        <v>0.48227700000000001</v>
      </c>
      <c r="F7378" t="s">
        <v>69</v>
      </c>
      <c r="G7378">
        <v>-187.21809999999999</v>
      </c>
      <c r="H7378" s="1">
        <v>-1.047809E-6</v>
      </c>
      <c r="I7378">
        <v>120.69889999999999</v>
      </c>
      <c r="J7378">
        <v>-187.62430000000001</v>
      </c>
      <c r="K7378">
        <v>1.10945</v>
      </c>
      <c r="L7378">
        <v>103.8287</v>
      </c>
      <c r="M7378">
        <v>3.6258159999999998E-2</v>
      </c>
      <c r="N7378">
        <v>0</v>
      </c>
      <c r="O7378">
        <v>0.99923830000000002</v>
      </c>
      <c r="P7378">
        <v>7.2242570000000006E-2</v>
      </c>
      <c r="Q7378">
        <v>2.6193350000000001E-2</v>
      </c>
      <c r="R7378">
        <v>0.99704309999999996</v>
      </c>
      <c r="S7378">
        <v>7.3303220000000002E-2</v>
      </c>
      <c r="T7378">
        <v>-0.19414809999999999</v>
      </c>
      <c r="U7378">
        <v>3.0086979999999999</v>
      </c>
      <c r="V7378">
        <v>3.6151509999999998E-2</v>
      </c>
      <c r="W7378">
        <v>4.0507019999999998E-2</v>
      </c>
      <c r="X7378">
        <v>0.998525</v>
      </c>
      <c r="Y7378">
        <v>-1.196112E-2</v>
      </c>
      <c r="Z7378">
        <v>-6.4319760000000004E-2</v>
      </c>
      <c r="AA7378">
        <v>0.99785760000000001</v>
      </c>
      <c r="AB7378">
        <v>32</v>
      </c>
      <c r="AC7378">
        <v>0.406200000000012</v>
      </c>
      <c r="AD7378">
        <v>-1.1094510478090001</v>
      </c>
      <c r="AE7378">
        <v>16.870199999999901</v>
      </c>
      <c r="AF7378">
        <v>-0.204927459364797</v>
      </c>
      <c r="AG7378">
        <v>-1.1094510478090001</v>
      </c>
      <c r="AH7378">
        <v>16.801212977841299</v>
      </c>
      <c r="AI7378">
        <v>93.777703556726806</v>
      </c>
      <c r="AJ7378">
        <v>90.698812420897696</v>
      </c>
      <c r="AK7378">
        <v>16.839050876396499</v>
      </c>
      <c r="AL7378">
        <v>87.678483467384794</v>
      </c>
      <c r="AM7378">
        <v>87.926516985079999</v>
      </c>
      <c r="AN7378">
        <v>0.999999962984779</v>
      </c>
    </row>
    <row r="7379" spans="1:40" x14ac:dyDescent="0.25">
      <c r="A7379" t="str">
        <f>"20190312154441845"</f>
        <v>20190312154441845</v>
      </c>
      <c r="B7379" t="str">
        <f>"1552376681834491"</f>
        <v>1552376681834491</v>
      </c>
      <c r="C7379" t="s">
        <v>40</v>
      </c>
      <c r="D7379">
        <v>5.3144999999999998</v>
      </c>
      <c r="E7379">
        <v>0.48157539999999999</v>
      </c>
      <c r="F7379" t="s">
        <v>69</v>
      </c>
      <c r="G7379">
        <v>-187.22909999999999</v>
      </c>
      <c r="H7379" s="1">
        <v>-8.7220880000000004E-7</v>
      </c>
      <c r="I7379">
        <v>120.1127</v>
      </c>
      <c r="J7379">
        <v>-187.6113</v>
      </c>
      <c r="K7379">
        <v>1.109445</v>
      </c>
      <c r="L7379">
        <v>104.15049999999999</v>
      </c>
      <c r="M7379">
        <v>3.7570720000000002E-2</v>
      </c>
      <c r="N7379">
        <v>0</v>
      </c>
      <c r="O7379">
        <v>0.99918989999999996</v>
      </c>
      <c r="P7379">
        <v>7.4536110000000003E-2</v>
      </c>
      <c r="Q7379">
        <v>2.6404770000000001E-2</v>
      </c>
      <c r="R7379">
        <v>0.99686870000000005</v>
      </c>
      <c r="S7379">
        <v>7.3028560000000006E-2</v>
      </c>
      <c r="T7379">
        <v>-0.2050083</v>
      </c>
      <c r="U7379">
        <v>3.0090029999999999</v>
      </c>
      <c r="V7379">
        <v>3.7138600000000001E-2</v>
      </c>
      <c r="W7379">
        <v>4.0711410000000003E-2</v>
      </c>
      <c r="X7379">
        <v>0.99848049999999999</v>
      </c>
      <c r="Y7379">
        <v>-1.337384E-2</v>
      </c>
      <c r="Z7379">
        <v>-6.7889169999999999E-2</v>
      </c>
      <c r="AA7379">
        <v>0.99760320000000002</v>
      </c>
      <c r="AB7379">
        <v>32</v>
      </c>
      <c r="AC7379">
        <v>0.38220000000001098</v>
      </c>
      <c r="AD7379">
        <v>-1.1094458722088001</v>
      </c>
      <c r="AE7379">
        <v>15.962199999999999</v>
      </c>
      <c r="AF7379">
        <v>-0.21679690136024199</v>
      </c>
      <c r="AG7379">
        <v>-1.1094458722088001</v>
      </c>
      <c r="AH7379">
        <v>15.8885769901642</v>
      </c>
      <c r="AI7379">
        <v>93.993917619277596</v>
      </c>
      <c r="AJ7379">
        <v>90.781742547900393</v>
      </c>
      <c r="AK7379">
        <v>15.928739743375001</v>
      </c>
      <c r="AL7379">
        <v>87.666763204877199</v>
      </c>
      <c r="AM7379">
        <v>87.869858692700305</v>
      </c>
      <c r="AN7379">
        <v>1.0000000016971899</v>
      </c>
    </row>
    <row r="7380" spans="1:40" x14ac:dyDescent="0.25">
      <c r="A7380" t="str">
        <f>"20190312154441866"</f>
        <v>20190312154441866</v>
      </c>
      <c r="B7380" t="str">
        <f>"1552376681854986"</f>
        <v>1552376681854986</v>
      </c>
      <c r="C7380" t="s">
        <v>40</v>
      </c>
      <c r="D7380">
        <v>5.2915650000000003</v>
      </c>
      <c r="E7380">
        <v>0.48083049999999999</v>
      </c>
      <c r="F7380" t="s">
        <v>69</v>
      </c>
      <c r="G7380">
        <v>-187.21950000000001</v>
      </c>
      <c r="H7380" s="1">
        <v>-8.2098479999999998E-7</v>
      </c>
      <c r="I7380">
        <v>119.9301</v>
      </c>
      <c r="J7380">
        <v>-187.5986</v>
      </c>
      <c r="K7380">
        <v>1.1094310000000001</v>
      </c>
      <c r="L7380">
        <v>104.45140000000001</v>
      </c>
      <c r="M7380">
        <v>3.8800870000000001E-2</v>
      </c>
      <c r="N7380">
        <v>0</v>
      </c>
      <c r="O7380">
        <v>0.99914289999999994</v>
      </c>
      <c r="P7380">
        <v>7.6343469999999997E-2</v>
      </c>
      <c r="Q7380">
        <v>2.6186129999999998E-2</v>
      </c>
      <c r="R7380">
        <v>0.99673769999999995</v>
      </c>
      <c r="S7380">
        <v>7.4707029999999994E-2</v>
      </c>
      <c r="T7380">
        <v>-0.21159210000000001</v>
      </c>
      <c r="U7380">
        <v>3.0094599999999998</v>
      </c>
      <c r="V7380">
        <v>3.7719259999999998E-2</v>
      </c>
      <c r="W7380">
        <v>4.0487490000000001E-2</v>
      </c>
      <c r="X7380">
        <v>0.99846789999999996</v>
      </c>
      <c r="Y7380">
        <v>-1.4056219999999999E-2</v>
      </c>
      <c r="Z7380">
        <v>-7.0042519999999997E-2</v>
      </c>
      <c r="AA7380">
        <v>0.99744500000000003</v>
      </c>
      <c r="AB7380">
        <v>32</v>
      </c>
      <c r="AC7380">
        <v>0.379099999999993</v>
      </c>
      <c r="AD7380">
        <v>-1.1094318209848</v>
      </c>
      <c r="AE7380">
        <v>15.4786999999999</v>
      </c>
      <c r="AF7380">
        <v>-0.22070189523696501</v>
      </c>
      <c r="AG7380">
        <v>-1.1094318209848</v>
      </c>
      <c r="AH7380">
        <v>15.4026722477088</v>
      </c>
      <c r="AI7380">
        <v>94.119394439906998</v>
      </c>
      <c r="AJ7380">
        <v>90.820923902676398</v>
      </c>
      <c r="AK7380">
        <v>15.444152960337901</v>
      </c>
      <c r="AL7380">
        <v>87.679603605789595</v>
      </c>
      <c r="AM7380">
        <v>87.8365581769459</v>
      </c>
      <c r="AN7380">
        <v>1.0000000633759201</v>
      </c>
    </row>
    <row r="7381" spans="1:40" x14ac:dyDescent="0.25">
      <c r="A7381" t="str">
        <f>"20190312154441889"</f>
        <v>20190312154441889</v>
      </c>
      <c r="B7381" t="str">
        <f>"1552376681885242"</f>
        <v>1552376681885242</v>
      </c>
      <c r="C7381" t="s">
        <v>40</v>
      </c>
      <c r="D7381">
        <v>5.3084439999999997</v>
      </c>
      <c r="E7381">
        <v>0.47977710000000001</v>
      </c>
      <c r="F7381" t="s">
        <v>69</v>
      </c>
      <c r="G7381">
        <v>-187.2216</v>
      </c>
      <c r="H7381" s="1">
        <v>-7.7598049999999995E-7</v>
      </c>
      <c r="I7381">
        <v>119.7792</v>
      </c>
      <c r="J7381">
        <v>-187.58500000000001</v>
      </c>
      <c r="K7381">
        <v>1.109429</v>
      </c>
      <c r="L7381">
        <v>104.7677</v>
      </c>
      <c r="M7381">
        <v>4.0096E-2</v>
      </c>
      <c r="N7381">
        <v>0</v>
      </c>
      <c r="O7381">
        <v>0.99909179999999997</v>
      </c>
      <c r="P7381">
        <v>7.8405779999999994E-2</v>
      </c>
      <c r="Q7381">
        <v>2.5059669999999999E-2</v>
      </c>
      <c r="R7381">
        <v>0.99660649999999995</v>
      </c>
      <c r="S7381">
        <v>7.403564E-2</v>
      </c>
      <c r="T7381">
        <v>-0.21785560000000001</v>
      </c>
      <c r="U7381">
        <v>3.0098720000000001</v>
      </c>
      <c r="V7381">
        <v>3.848712E-2</v>
      </c>
      <c r="W7381">
        <v>3.9356380000000003E-2</v>
      </c>
      <c r="X7381">
        <v>0.99848380000000003</v>
      </c>
      <c r="Y7381">
        <v>-1.5581680000000001E-2</v>
      </c>
      <c r="Z7381">
        <v>-7.208929E-2</v>
      </c>
      <c r="AA7381">
        <v>0.99727650000000001</v>
      </c>
      <c r="AB7381">
        <v>32</v>
      </c>
      <c r="AC7381">
        <v>0.36340000000001199</v>
      </c>
      <c r="AD7381">
        <v>-1.1094297759805001</v>
      </c>
      <c r="AE7381">
        <v>15.0114999999999</v>
      </c>
      <c r="AF7381">
        <v>-0.23755918498447201</v>
      </c>
      <c r="AG7381">
        <v>-1.1094297759805001</v>
      </c>
      <c r="AH7381">
        <v>14.9324847062983</v>
      </c>
      <c r="AI7381">
        <v>94.248527474344002</v>
      </c>
      <c r="AJ7381">
        <v>90.911435091564201</v>
      </c>
      <c r="AK7381">
        <v>14.9755256434636</v>
      </c>
      <c r="AL7381">
        <v>87.744463089630798</v>
      </c>
      <c r="AM7381">
        <v>87.792594725937903</v>
      </c>
      <c r="AN7381">
        <v>1.0000000409575101</v>
      </c>
    </row>
    <row r="7382" spans="1:40" x14ac:dyDescent="0.25">
      <c r="A7382" t="str">
        <f>"20190312154441910"</f>
        <v>20190312154441910</v>
      </c>
      <c r="B7382" t="str">
        <f>"1552376681904762"</f>
        <v>1552376681904762</v>
      </c>
      <c r="C7382" t="s">
        <v>40</v>
      </c>
      <c r="D7382">
        <v>5.3399320000000001</v>
      </c>
      <c r="E7382">
        <v>0.47921049999999998</v>
      </c>
      <c r="F7382" t="s">
        <v>43</v>
      </c>
      <c r="G7382">
        <v>-187.23390000000001</v>
      </c>
      <c r="H7382" s="1">
        <v>-4.722896E-6</v>
      </c>
      <c r="I7382">
        <v>119.4982</v>
      </c>
      <c r="J7382">
        <v>-187.57140000000001</v>
      </c>
      <c r="K7382">
        <v>1.1094280000000001</v>
      </c>
      <c r="L7382">
        <v>105.0729</v>
      </c>
      <c r="M7382">
        <v>4.1345680000000003E-2</v>
      </c>
      <c r="N7382">
        <v>0</v>
      </c>
      <c r="O7382">
        <v>0.99904090000000001</v>
      </c>
      <c r="P7382">
        <v>7.9996399999999995E-2</v>
      </c>
      <c r="Q7382">
        <v>2.4106590000000001E-2</v>
      </c>
      <c r="R7382">
        <v>0.99650360000000004</v>
      </c>
      <c r="S7382">
        <v>7.1746829999999998E-2</v>
      </c>
      <c r="T7382">
        <v>-0.2267199</v>
      </c>
      <c r="U7382">
        <v>3.010284</v>
      </c>
      <c r="V7382">
        <v>3.8828380000000003E-2</v>
      </c>
      <c r="W7382">
        <v>3.8398660000000001E-2</v>
      </c>
      <c r="X7382">
        <v>0.9985079</v>
      </c>
      <c r="Y7382">
        <v>-1.7598619999999999E-2</v>
      </c>
      <c r="Z7382">
        <v>-7.4989799999999995E-2</v>
      </c>
      <c r="AA7382">
        <v>0.99702900000000005</v>
      </c>
      <c r="AB7382">
        <v>32</v>
      </c>
      <c r="AC7382">
        <v>0.33750000000000502</v>
      </c>
      <c r="AD7382">
        <v>-1.1094327228959999</v>
      </c>
      <c r="AE7382">
        <v>14.425299999999901</v>
      </c>
      <c r="AF7382">
        <v>-0.25775072328602</v>
      </c>
      <c r="AG7382">
        <v>-1.1094327228959999</v>
      </c>
      <c r="AH7382">
        <v>14.34213120031</v>
      </c>
      <c r="AI7382">
        <v>94.422583768734</v>
      </c>
      <c r="AJ7382">
        <v>91.0295847108343</v>
      </c>
      <c r="AK7382">
        <v>14.3872861849931</v>
      </c>
      <c r="AL7382">
        <v>87.799377969097904</v>
      </c>
      <c r="AM7382">
        <v>87.773095282729301</v>
      </c>
      <c r="AN7382">
        <v>1.0000000632728101</v>
      </c>
    </row>
    <row r="7383" spans="1:40" x14ac:dyDescent="0.25">
      <c r="A7383" t="str">
        <f>"20190312154441933"</f>
        <v>20190312154441933</v>
      </c>
      <c r="B7383" t="str">
        <f>"1552376681924282"</f>
        <v>1552376681924282</v>
      </c>
      <c r="C7383" t="s">
        <v>40</v>
      </c>
      <c r="D7383">
        <v>5.3497260000000004</v>
      </c>
      <c r="E7383">
        <v>0.47860009999999997</v>
      </c>
      <c r="F7383" t="s">
        <v>43</v>
      </c>
      <c r="G7383">
        <v>-187.2278</v>
      </c>
      <c r="H7383" s="1">
        <v>-4.6877080000000002E-6</v>
      </c>
      <c r="I7383">
        <v>119.41370000000001</v>
      </c>
      <c r="J7383">
        <v>-187.55619999999999</v>
      </c>
      <c r="K7383">
        <v>1.109429</v>
      </c>
      <c r="L7383">
        <v>105.40470000000001</v>
      </c>
      <c r="M7383">
        <v>4.2703949999999997E-2</v>
      </c>
      <c r="N7383">
        <v>0</v>
      </c>
      <c r="O7383">
        <v>0.99898379999999998</v>
      </c>
      <c r="P7383">
        <v>8.165886E-2</v>
      </c>
      <c r="Q7383">
        <v>2.371672E-2</v>
      </c>
      <c r="R7383">
        <v>0.99637810000000004</v>
      </c>
      <c r="S7383">
        <v>7.2128300000000006E-2</v>
      </c>
      <c r="T7383">
        <v>-0.23288909999999999</v>
      </c>
      <c r="U7383">
        <v>3.0103759999999999</v>
      </c>
      <c r="V7383">
        <v>3.9135259999999998E-2</v>
      </c>
      <c r="W7383">
        <v>3.8005089999999998E-2</v>
      </c>
      <c r="X7383">
        <v>0.99851089999999998</v>
      </c>
      <c r="Y7383">
        <v>-1.8836160000000001E-2</v>
      </c>
      <c r="Z7383">
        <v>-7.7008450000000006E-2</v>
      </c>
      <c r="AA7383">
        <v>0.99685250000000003</v>
      </c>
      <c r="AB7383">
        <v>32</v>
      </c>
      <c r="AC7383">
        <v>0.32839999999998698</v>
      </c>
      <c r="AD7383">
        <v>-1.109433687708</v>
      </c>
      <c r="AE7383">
        <v>14.009</v>
      </c>
      <c r="AF7383">
        <v>-0.26851826960187303</v>
      </c>
      <c r="AG7383">
        <v>-1.109433687708</v>
      </c>
      <c r="AH7383">
        <v>13.9229699858224</v>
      </c>
      <c r="AI7383">
        <v>94.555069606882199</v>
      </c>
      <c r="AJ7383">
        <v>91.104868899049904</v>
      </c>
      <c r="AK7383">
        <v>13.9696828308535</v>
      </c>
      <c r="AL7383">
        <v>87.821944172814</v>
      </c>
      <c r="AM7383">
        <v>87.755519613786106</v>
      </c>
      <c r="AN7383">
        <v>0.99999998642999199</v>
      </c>
    </row>
    <row r="7384" spans="1:40" x14ac:dyDescent="0.25">
      <c r="A7384" t="str">
        <f>"20190312154441955"</f>
        <v>20190312154441955</v>
      </c>
      <c r="B7384" t="str">
        <f>"1552376681944779"</f>
        <v>1552376681944779</v>
      </c>
      <c r="C7384" t="s">
        <v>40</v>
      </c>
      <c r="D7384">
        <v>5.400074</v>
      </c>
      <c r="E7384">
        <v>0.47798420000000003</v>
      </c>
      <c r="F7384" t="s">
        <v>43</v>
      </c>
      <c r="G7384">
        <v>-187.21969999999999</v>
      </c>
      <c r="H7384" s="1">
        <v>-4.7224139999999998E-6</v>
      </c>
      <c r="I7384">
        <v>119.49120000000001</v>
      </c>
      <c r="J7384">
        <v>-187.54140000000001</v>
      </c>
      <c r="K7384">
        <v>1.1094310000000001</v>
      </c>
      <c r="L7384">
        <v>105.7188</v>
      </c>
      <c r="M7384">
        <v>4.3989199999999999E-2</v>
      </c>
      <c r="N7384">
        <v>0</v>
      </c>
      <c r="O7384">
        <v>0.99892809999999999</v>
      </c>
      <c r="P7384">
        <v>8.3299029999999996E-2</v>
      </c>
      <c r="Q7384">
        <v>2.3608870000000001E-2</v>
      </c>
      <c r="R7384">
        <v>0.99624489999999999</v>
      </c>
      <c r="S7384">
        <v>7.1929930000000003E-2</v>
      </c>
      <c r="T7384">
        <v>-0.2371153</v>
      </c>
      <c r="U7384">
        <v>3.0106510000000002</v>
      </c>
      <c r="V7384">
        <v>3.9493939999999998E-2</v>
      </c>
      <c r="W7384">
        <v>3.7892639999999998E-2</v>
      </c>
      <c r="X7384">
        <v>0.99850110000000003</v>
      </c>
      <c r="Y7384">
        <v>-2.019288E-2</v>
      </c>
      <c r="Z7384">
        <v>-7.8382729999999998E-2</v>
      </c>
      <c r="AA7384">
        <v>0.99671880000000002</v>
      </c>
      <c r="AB7384">
        <v>32</v>
      </c>
      <c r="AC7384">
        <v>0.32170000000002102</v>
      </c>
      <c r="AD7384">
        <v>-1.1094357224139999</v>
      </c>
      <c r="AE7384">
        <v>13.772399999999999</v>
      </c>
      <c r="AF7384">
        <v>-0.28267789504670099</v>
      </c>
      <c r="AG7384">
        <v>-1.1094357224139999</v>
      </c>
      <c r="AH7384">
        <v>13.684466866977701</v>
      </c>
      <c r="AI7384">
        <v>94.633998128440197</v>
      </c>
      <c r="AJ7384">
        <v>91.183381670628094</v>
      </c>
      <c r="AK7384">
        <v>13.732275406789901</v>
      </c>
      <c r="AL7384">
        <v>87.828391833302206</v>
      </c>
      <c r="AM7384">
        <v>87.734947765547005</v>
      </c>
      <c r="AN7384">
        <v>1.0000000350820499</v>
      </c>
    </row>
    <row r="7385" spans="1:40" x14ac:dyDescent="0.25">
      <c r="A7385" t="str">
        <f>"20190312154441977"</f>
        <v>20190312154441977</v>
      </c>
      <c r="B7385" t="str">
        <f>"1552376681965276"</f>
        <v>1552376681965276</v>
      </c>
      <c r="C7385" t="s">
        <v>40</v>
      </c>
      <c r="D7385">
        <v>5.5196139999999998</v>
      </c>
      <c r="E7385">
        <v>0.47792800000000002</v>
      </c>
      <c r="F7385" t="s">
        <v>69</v>
      </c>
      <c r="G7385">
        <v>-187.209</v>
      </c>
      <c r="H7385" s="1">
        <v>-7.3931680000000002E-7</v>
      </c>
      <c r="I7385">
        <v>119.6433</v>
      </c>
      <c r="J7385">
        <v>-187.5264</v>
      </c>
      <c r="K7385">
        <v>1.1094299999999999</v>
      </c>
      <c r="L7385">
        <v>106.02849999999999</v>
      </c>
      <c r="M7385">
        <v>4.5256110000000002E-2</v>
      </c>
      <c r="N7385">
        <v>0</v>
      </c>
      <c r="O7385">
        <v>0.99887150000000002</v>
      </c>
      <c r="P7385">
        <v>8.5260379999999997E-2</v>
      </c>
      <c r="Q7385">
        <v>2.4164809999999998E-2</v>
      </c>
      <c r="R7385">
        <v>0.9960656</v>
      </c>
      <c r="S7385">
        <v>7.1868899999999999E-2</v>
      </c>
      <c r="T7385">
        <v>-0.2398999</v>
      </c>
      <c r="U7385">
        <v>3.0109859999999999</v>
      </c>
      <c r="V7385">
        <v>4.0195719999999997E-2</v>
      </c>
      <c r="W7385">
        <v>3.844297E-2</v>
      </c>
      <c r="X7385">
        <v>0.99845200000000001</v>
      </c>
      <c r="Y7385">
        <v>-2.1485460000000001E-2</v>
      </c>
      <c r="Z7385">
        <v>-7.9280909999999996E-2</v>
      </c>
      <c r="AA7385">
        <v>0.99662079999999997</v>
      </c>
      <c r="AB7385">
        <v>32</v>
      </c>
      <c r="AC7385">
        <v>0.31739999999999202</v>
      </c>
      <c r="AD7385">
        <v>-1.1094307393167999</v>
      </c>
      <c r="AE7385">
        <v>13.614800000000001</v>
      </c>
      <c r="AF7385">
        <v>-0.29716994553079001</v>
      </c>
      <c r="AG7385">
        <v>-1.1094307393167999</v>
      </c>
      <c r="AH7385">
        <v>13.525451161902</v>
      </c>
      <c r="AI7385">
        <v>94.688085905085799</v>
      </c>
      <c r="AJ7385">
        <v>91.258652632477904</v>
      </c>
      <c r="AK7385">
        <v>13.5741289103523</v>
      </c>
      <c r="AL7385">
        <v>87.796837127374403</v>
      </c>
      <c r="AM7385">
        <v>87.694629156175296</v>
      </c>
      <c r="AN7385">
        <v>0.99999997707636901</v>
      </c>
    </row>
    <row r="7386" spans="1:40" x14ac:dyDescent="0.25">
      <c r="A7386" t="str">
        <f>"20190312154441999"</f>
        <v>20190312154441999</v>
      </c>
      <c r="B7386" t="str">
        <f>"1552376681994556"</f>
        <v>1552376681994556</v>
      </c>
      <c r="C7386" t="s">
        <v>40</v>
      </c>
      <c r="D7386">
        <v>5.454828</v>
      </c>
      <c r="E7386">
        <v>0.51937319999999998</v>
      </c>
      <c r="F7386" t="s">
        <v>69</v>
      </c>
      <c r="G7386">
        <v>-187.16990000000001</v>
      </c>
      <c r="H7386" s="1">
        <v>-8.4288249999999995E-7</v>
      </c>
      <c r="I7386">
        <v>119.95959999999999</v>
      </c>
      <c r="J7386">
        <v>-187.511</v>
      </c>
      <c r="K7386">
        <v>1.1094389999999901</v>
      </c>
      <c r="L7386">
        <v>106.3381</v>
      </c>
      <c r="M7386">
        <v>4.652278E-2</v>
      </c>
      <c r="N7386">
        <v>0</v>
      </c>
      <c r="O7386">
        <v>0.99881339999999996</v>
      </c>
      <c r="P7386">
        <v>8.6837789999999998E-2</v>
      </c>
      <c r="Q7386">
        <v>2.42531E-2</v>
      </c>
      <c r="R7386">
        <v>0.99592720000000001</v>
      </c>
      <c r="S7386">
        <v>7.7056879999999994E-2</v>
      </c>
      <c r="T7386">
        <v>-0.23979210000000001</v>
      </c>
      <c r="U7386">
        <v>3.011063</v>
      </c>
      <c r="V7386">
        <v>4.0511129999999999E-2</v>
      </c>
      <c r="W7386">
        <v>3.8527319999999997E-2</v>
      </c>
      <c r="X7386">
        <v>0.99843599999999999</v>
      </c>
      <c r="Y7386">
        <v>-2.1037710000000001E-2</v>
      </c>
      <c r="Z7386">
        <v>-7.9235299999999995E-2</v>
      </c>
      <c r="AA7386">
        <v>0.99663389999999996</v>
      </c>
      <c r="AB7386">
        <v>32</v>
      </c>
      <c r="AC7386">
        <v>0.34109999999998297</v>
      </c>
      <c r="AD7386">
        <v>-1.1094398428825001</v>
      </c>
      <c r="AE7386">
        <v>13.6214999999999</v>
      </c>
      <c r="AF7386">
        <v>-0.29111522182872401</v>
      </c>
      <c r="AG7386">
        <v>-1.1094398428825001</v>
      </c>
      <c r="AH7386">
        <v>13.5329012189449</v>
      </c>
      <c r="AI7386">
        <v>94.685601396534395</v>
      </c>
      <c r="AJ7386">
        <v>91.232337483153799</v>
      </c>
      <c r="AK7386">
        <v>13.5814218783997</v>
      </c>
      <c r="AL7386">
        <v>87.792000643033305</v>
      </c>
      <c r="AM7386">
        <v>87.676521800467896</v>
      </c>
      <c r="AN7386">
        <v>0.99999997606812896</v>
      </c>
    </row>
    <row r="7387" spans="1:40" x14ac:dyDescent="0.25">
      <c r="A7387" t="str">
        <f>"20190312154442023"</f>
        <v>20190312154442023</v>
      </c>
      <c r="B7387" t="str">
        <f>"1552376682015051"</f>
        <v>1552376682015051</v>
      </c>
      <c r="C7387" t="s">
        <v>40</v>
      </c>
      <c r="D7387">
        <v>5.4421220000000003</v>
      </c>
      <c r="E7387">
        <v>0.52865030000000002</v>
      </c>
      <c r="F7387" t="s">
        <v>41</v>
      </c>
      <c r="G7387">
        <v>-187.39619999999999</v>
      </c>
      <c r="H7387">
        <v>1.018348</v>
      </c>
      <c r="I7387">
        <v>107.17319999999999</v>
      </c>
      <c r="J7387">
        <v>-187.49369999999999</v>
      </c>
      <c r="K7387">
        <v>1.109443</v>
      </c>
      <c r="L7387">
        <v>106.6776</v>
      </c>
      <c r="M7387">
        <v>4.7911919999999997E-2</v>
      </c>
      <c r="N7387">
        <v>0</v>
      </c>
      <c r="O7387">
        <v>0.99874779999999996</v>
      </c>
      <c r="P7387">
        <v>8.8988189999999995E-2</v>
      </c>
      <c r="Q7387">
        <v>2.4173920000000002E-2</v>
      </c>
      <c r="R7387">
        <v>0.99573929999999999</v>
      </c>
      <c r="S7387">
        <v>0.41020200000000001</v>
      </c>
      <c r="T7387">
        <v>-0.325503599999999</v>
      </c>
      <c r="U7387">
        <v>2.9844360000000001</v>
      </c>
      <c r="V7387">
        <v>4.1278269999999999E-2</v>
      </c>
      <c r="W7387">
        <v>3.8442499999999998E-2</v>
      </c>
      <c r="X7387">
        <v>0.99840790000000001</v>
      </c>
      <c r="Y7387">
        <v>8.7749999999999995E-2</v>
      </c>
      <c r="Z7387">
        <v>-0.10753020000000001</v>
      </c>
      <c r="AA7387">
        <v>0.99032180000000003</v>
      </c>
      <c r="AB7387">
        <v>32</v>
      </c>
      <c r="AC7387">
        <v>9.7499999999996603E-2</v>
      </c>
      <c r="AD7387">
        <v>-9.1094999999999898E-2</v>
      </c>
      <c r="AE7387">
        <v>0.49559999999999599</v>
      </c>
      <c r="AF7387">
        <v>7.1320598325825296E-2</v>
      </c>
      <c r="AG7387">
        <v>-9.1094999999999898E-2</v>
      </c>
      <c r="AH7387">
        <v>0.48396113555645298</v>
      </c>
      <c r="AI7387">
        <v>100.548608764573</v>
      </c>
      <c r="AJ7387">
        <v>81.616750368682204</v>
      </c>
      <c r="AK7387">
        <v>0.497597535664763</v>
      </c>
      <c r="AL7387">
        <v>87.796864188738397</v>
      </c>
      <c r="AM7387">
        <v>87.632506241517007</v>
      </c>
      <c r="AN7387">
        <v>1.0000000280814201</v>
      </c>
    </row>
    <row r="7388" spans="1:40" x14ac:dyDescent="0.25">
      <c r="A7388" t="str">
        <f>"20190312154442046"</f>
        <v>20190312154442046</v>
      </c>
      <c r="B7388" t="str">
        <f>"1552376682034570"</f>
        <v>1552376682034570</v>
      </c>
      <c r="C7388" t="s">
        <v>40</v>
      </c>
      <c r="D7388">
        <v>5.3542820000000004</v>
      </c>
      <c r="E7388">
        <v>0.53311149999999996</v>
      </c>
      <c r="F7388" t="s">
        <v>41</v>
      </c>
      <c r="G7388">
        <v>-187.36529999999999</v>
      </c>
      <c r="H7388">
        <v>1.0247599999999999</v>
      </c>
      <c r="I7388">
        <v>107.45740000000001</v>
      </c>
      <c r="J7388">
        <v>-187.47710000000001</v>
      </c>
      <c r="K7388">
        <v>1.109443</v>
      </c>
      <c r="L7388">
        <v>106.99509999999999</v>
      </c>
      <c r="M7388">
        <v>4.921122E-2</v>
      </c>
      <c r="N7388">
        <v>0</v>
      </c>
      <c r="O7388">
        <v>0.99868460000000003</v>
      </c>
      <c r="P7388">
        <v>9.1156589999999996E-2</v>
      </c>
      <c r="Q7388">
        <v>2.2921489999999999E-2</v>
      </c>
      <c r="R7388">
        <v>0.99557269999999998</v>
      </c>
      <c r="S7388">
        <v>0.49037170000000002</v>
      </c>
      <c r="T7388">
        <v>-0.32327820000000002</v>
      </c>
      <c r="U7388">
        <v>2.9768680000000001</v>
      </c>
      <c r="V7388">
        <v>4.214909E-2</v>
      </c>
      <c r="W7388">
        <v>3.7184080000000001E-2</v>
      </c>
      <c r="X7388">
        <v>0.99841919999999995</v>
      </c>
      <c r="Y7388">
        <v>0.1128498</v>
      </c>
      <c r="Z7388">
        <v>-0.1067121</v>
      </c>
      <c r="AA7388">
        <v>0.98786510000000005</v>
      </c>
      <c r="AB7388">
        <v>32</v>
      </c>
      <c r="AC7388">
        <v>0.111800000000016</v>
      </c>
      <c r="AD7388">
        <v>-8.46829999999998E-2</v>
      </c>
      <c r="AE7388">
        <v>0.46230000000001298</v>
      </c>
      <c r="AF7388">
        <v>8.6179898319572804E-2</v>
      </c>
      <c r="AG7388">
        <v>-8.46829999999998E-2</v>
      </c>
      <c r="AH7388">
        <v>0.45288562924200398</v>
      </c>
      <c r="AI7388">
        <v>100.408584875233</v>
      </c>
      <c r="AJ7388">
        <v>79.225961276538996</v>
      </c>
      <c r="AK7388">
        <v>0.46872548313196899</v>
      </c>
      <c r="AL7388">
        <v>87.869017996432206</v>
      </c>
      <c r="AM7388">
        <v>87.582646779360303</v>
      </c>
      <c r="AN7388">
        <v>1.0000000502609501</v>
      </c>
    </row>
    <row r="7389" spans="1:40" x14ac:dyDescent="0.25">
      <c r="A7389" t="str">
        <f>"20190312154442067"</f>
        <v>20190312154442067</v>
      </c>
      <c r="B7389" t="str">
        <f>"1552376682055067"</f>
        <v>1552376682055067</v>
      </c>
      <c r="C7389" t="s">
        <v>40</v>
      </c>
      <c r="D7389">
        <v>5.3249089999999999</v>
      </c>
      <c r="E7389">
        <v>0.53567810000000005</v>
      </c>
      <c r="F7389" t="s">
        <v>41</v>
      </c>
      <c r="G7389">
        <v>-187.34350000000001</v>
      </c>
      <c r="H7389">
        <v>1.0286519999999999</v>
      </c>
      <c r="I7389">
        <v>107.7403</v>
      </c>
      <c r="J7389">
        <v>-187.4607</v>
      </c>
      <c r="K7389">
        <v>1.1094469999999901</v>
      </c>
      <c r="L7389">
        <v>107.30110000000001</v>
      </c>
      <c r="M7389">
        <v>5.0463979999999999E-2</v>
      </c>
      <c r="N7389">
        <v>0</v>
      </c>
      <c r="O7389">
        <v>0.99862220000000002</v>
      </c>
      <c r="P7389">
        <v>9.3000139999999995E-2</v>
      </c>
      <c r="Q7389">
        <v>2.2681699999999999E-2</v>
      </c>
      <c r="R7389">
        <v>0.99540770000000001</v>
      </c>
      <c r="S7389">
        <v>0.53193659999999998</v>
      </c>
      <c r="T7389">
        <v>-0.32218809999999998</v>
      </c>
      <c r="U7389">
        <v>2.9720309999999999</v>
      </c>
      <c r="V7389">
        <v>4.274468E-2</v>
      </c>
      <c r="W7389">
        <v>3.6939619999999999E-2</v>
      </c>
      <c r="X7389">
        <v>0.99840289999999998</v>
      </c>
      <c r="Y7389">
        <v>0.12527839999999901</v>
      </c>
      <c r="Z7389">
        <v>-0.1063119</v>
      </c>
      <c r="AA7389">
        <v>0.98640919999999999</v>
      </c>
      <c r="AB7389">
        <v>31</v>
      </c>
      <c r="AC7389">
        <v>0.117199999999996</v>
      </c>
      <c r="AD7389">
        <v>-8.07949999999997E-2</v>
      </c>
      <c r="AE7389">
        <v>0.43919999999999898</v>
      </c>
      <c r="AF7389">
        <v>9.1978817365023099E-2</v>
      </c>
      <c r="AG7389">
        <v>-8.07949999999997E-2</v>
      </c>
      <c r="AH7389">
        <v>0.430941199067713</v>
      </c>
      <c r="AI7389">
        <v>100.390063366432</v>
      </c>
      <c r="AJ7389">
        <v>77.951741241286499</v>
      </c>
      <c r="AK7389">
        <v>0.44799358468931899</v>
      </c>
      <c r="AL7389">
        <v>87.883034038605103</v>
      </c>
      <c r="AM7389">
        <v>87.548489648088093</v>
      </c>
      <c r="AN7389">
        <v>0.99999999696122799</v>
      </c>
    </row>
    <row r="7390" spans="1:40" x14ac:dyDescent="0.25">
      <c r="A7390" t="str">
        <f>"20190312154442089"</f>
        <v>20190312154442089</v>
      </c>
      <c r="B7390" t="str">
        <f>"1552376682084529"</f>
        <v>1552376682084529</v>
      </c>
      <c r="C7390" t="s">
        <v>40</v>
      </c>
      <c r="D7390">
        <v>5.3927120000000004</v>
      </c>
      <c r="E7390">
        <v>0.53831490000000004</v>
      </c>
      <c r="F7390" t="s">
        <v>41</v>
      </c>
      <c r="G7390">
        <v>-187.3252</v>
      </c>
      <c r="H7390">
        <v>1.031317</v>
      </c>
      <c r="I7390">
        <v>108.0224</v>
      </c>
      <c r="J7390">
        <v>-187.44489999999999</v>
      </c>
      <c r="K7390">
        <v>1.1094569999999999</v>
      </c>
      <c r="L7390">
        <v>107.5883</v>
      </c>
      <c r="M7390">
        <v>5.1640159999999997E-2</v>
      </c>
      <c r="N7390">
        <v>0</v>
      </c>
      <c r="O7390">
        <v>0.99856210000000001</v>
      </c>
      <c r="P7390">
        <v>9.4466510000000004E-2</v>
      </c>
      <c r="Q7390">
        <v>2.3509370000000002E-2</v>
      </c>
      <c r="R7390">
        <v>0.99525039999999998</v>
      </c>
      <c r="S7390">
        <v>0.55770869999999995</v>
      </c>
      <c r="T7390">
        <v>-0.32158520000000002</v>
      </c>
      <c r="U7390">
        <v>2.969055</v>
      </c>
      <c r="V7390">
        <v>4.3042759999999999E-2</v>
      </c>
      <c r="W7390">
        <v>3.7763020000000001E-2</v>
      </c>
      <c r="X7390">
        <v>0.99835929999999995</v>
      </c>
      <c r="Y7390">
        <v>0.13256589999999999</v>
      </c>
      <c r="Z7390">
        <v>-0.10607709999999999</v>
      </c>
      <c r="AA7390">
        <v>0.98548159999999896</v>
      </c>
      <c r="AB7390">
        <v>31</v>
      </c>
      <c r="AC7390">
        <v>0.11969999999999401</v>
      </c>
      <c r="AD7390">
        <v>-7.8139999999999807E-2</v>
      </c>
      <c r="AE7390">
        <v>0.43409999999999999</v>
      </c>
      <c r="AF7390">
        <v>9.4281916316178799E-2</v>
      </c>
      <c r="AG7390">
        <v>-7.8139999999999807E-2</v>
      </c>
      <c r="AH7390">
        <v>0.42684931858984299</v>
      </c>
      <c r="AI7390">
        <v>100.13479302743001</v>
      </c>
      <c r="AJ7390">
        <v>77.544569581277003</v>
      </c>
      <c r="AK7390">
        <v>0.44406675187956202</v>
      </c>
      <c r="AL7390">
        <v>87.835823773469102</v>
      </c>
      <c r="AM7390">
        <v>87.531307443909</v>
      </c>
      <c r="AN7390">
        <v>1.00000000838221</v>
      </c>
    </row>
    <row r="7391" spans="1:40" x14ac:dyDescent="0.25">
      <c r="A7391" t="str">
        <f>"20190312154442111"</f>
        <v>20190312154442111</v>
      </c>
      <c r="B7391" t="str">
        <f>"1552376682105026"</f>
        <v>1552376682105026</v>
      </c>
      <c r="C7391" t="s">
        <v>40</v>
      </c>
      <c r="D7391">
        <v>5.3738140000000003</v>
      </c>
      <c r="E7391">
        <v>0.53947109999999998</v>
      </c>
      <c r="F7391" t="s">
        <v>41</v>
      </c>
      <c r="G7391">
        <v>-187.25210000000001</v>
      </c>
      <c r="H7391">
        <v>1.004186</v>
      </c>
      <c r="I7391">
        <v>108.5684</v>
      </c>
      <c r="J7391">
        <v>-187.42619999999999</v>
      </c>
      <c r="K7391">
        <v>1.1094550000000001</v>
      </c>
      <c r="L7391">
        <v>107.92140000000001</v>
      </c>
      <c r="M7391">
        <v>5.3004219999999998E-2</v>
      </c>
      <c r="N7391">
        <v>0</v>
      </c>
      <c r="O7391">
        <v>0.99849060000000001</v>
      </c>
      <c r="P7391">
        <v>9.6042939999999993E-2</v>
      </c>
      <c r="Q7391">
        <v>2.2422319999999999E-2</v>
      </c>
      <c r="R7391">
        <v>0.99512460000000003</v>
      </c>
      <c r="S7391">
        <v>0.58326719999999999</v>
      </c>
      <c r="T7391">
        <v>-0.31866290000000003</v>
      </c>
      <c r="U7391">
        <v>2.9664920000000001</v>
      </c>
      <c r="V7391">
        <v>4.3255960000000003E-2</v>
      </c>
      <c r="W7391">
        <v>3.667277E-2</v>
      </c>
      <c r="X7391">
        <v>0.99839069999999996</v>
      </c>
      <c r="Y7391">
        <v>0.1395718</v>
      </c>
      <c r="Z7391">
        <v>-0.1050663</v>
      </c>
      <c r="AA7391">
        <v>0.9846222</v>
      </c>
      <c r="AB7391">
        <v>31</v>
      </c>
      <c r="AC7391">
        <v>0.17409999999998099</v>
      </c>
      <c r="AD7391">
        <v>-0.105268999999999</v>
      </c>
      <c r="AE7391">
        <v>0.64699999999999103</v>
      </c>
      <c r="AF7391">
        <v>0.13619594346257299</v>
      </c>
      <c r="AG7391">
        <v>-0.105268999999999</v>
      </c>
      <c r="AH7391">
        <v>0.63953248004047802</v>
      </c>
      <c r="AI7391">
        <v>99.145732019494005</v>
      </c>
      <c r="AJ7391">
        <v>77.977790882044602</v>
      </c>
      <c r="AK7391">
        <v>0.66229350774666695</v>
      </c>
      <c r="AL7391">
        <v>87.8983337485422</v>
      </c>
      <c r="AM7391">
        <v>87.519172650692894</v>
      </c>
      <c r="AN7391">
        <v>0.99999997999074197</v>
      </c>
    </row>
    <row r="7392" spans="1:40" x14ac:dyDescent="0.25">
      <c r="A7392" t="str">
        <f>"20190312154442134"</f>
        <v>20190312154442134</v>
      </c>
      <c r="B7392" t="str">
        <f>"1552376682124548"</f>
        <v>1552376682124548</v>
      </c>
      <c r="C7392" t="s">
        <v>40</v>
      </c>
      <c r="D7392">
        <v>5.3944089999999996</v>
      </c>
      <c r="E7392">
        <v>0.54041070000000002</v>
      </c>
      <c r="F7392" t="s">
        <v>41</v>
      </c>
      <c r="G7392">
        <v>-187.239</v>
      </c>
      <c r="H7392">
        <v>1.0090049999999999</v>
      </c>
      <c r="I7392">
        <v>108.8506</v>
      </c>
      <c r="J7392">
        <v>-187.40790000000001</v>
      </c>
      <c r="K7392">
        <v>1.1094539999999999</v>
      </c>
      <c r="L7392">
        <v>108.2388</v>
      </c>
      <c r="M7392">
        <v>5.430459E-2</v>
      </c>
      <c r="N7392">
        <v>0</v>
      </c>
      <c r="O7392">
        <v>0.9984208</v>
      </c>
      <c r="P7392">
        <v>9.7200850000000005E-2</v>
      </c>
      <c r="Q7392">
        <v>2.054659E-2</v>
      </c>
      <c r="R7392">
        <v>0.99505270000000001</v>
      </c>
      <c r="S7392">
        <v>0.59684749999999998</v>
      </c>
      <c r="T7392">
        <v>-0.32043169999999999</v>
      </c>
      <c r="U7392">
        <v>2.9643250000000001</v>
      </c>
      <c r="V7392">
        <v>4.31099E-2</v>
      </c>
      <c r="W7392">
        <v>3.4795239999999998E-2</v>
      </c>
      <c r="X7392">
        <v>0.99846420000000002</v>
      </c>
      <c r="Y7392">
        <v>0.14274489999999901</v>
      </c>
      <c r="Z7392">
        <v>-0.10563649999999999</v>
      </c>
      <c r="AA7392">
        <v>0.98410609999999998</v>
      </c>
      <c r="AB7392">
        <v>31</v>
      </c>
      <c r="AC7392">
        <v>0.16890000000000699</v>
      </c>
      <c r="AD7392">
        <v>-0.100449</v>
      </c>
      <c r="AE7392">
        <v>0.61180000000000201</v>
      </c>
      <c r="AF7392">
        <v>0.13211453017512401</v>
      </c>
      <c r="AG7392">
        <v>-0.100449</v>
      </c>
      <c r="AH7392">
        <v>0.60491805134271803</v>
      </c>
      <c r="AI7392">
        <v>99.214806794869503</v>
      </c>
      <c r="AJ7392">
        <v>77.680013199337694</v>
      </c>
      <c r="AK7392">
        <v>0.62727195021351401</v>
      </c>
      <c r="AL7392">
        <v>88.005977030322001</v>
      </c>
      <c r="AM7392">
        <v>87.527720889305996</v>
      </c>
      <c r="AN7392">
        <v>0.99999996544315295</v>
      </c>
    </row>
    <row r="7393" spans="1:40" x14ac:dyDescent="0.25">
      <c r="A7393" t="str">
        <f>"20190312154442156"</f>
        <v>20190312154442156</v>
      </c>
      <c r="B7393" t="str">
        <f>"1552376682145041"</f>
        <v>1552376682145041</v>
      </c>
      <c r="C7393" t="s">
        <v>40</v>
      </c>
      <c r="D7393">
        <v>5.4409280000000004</v>
      </c>
      <c r="E7393">
        <v>0.54100369999999998</v>
      </c>
      <c r="F7393" t="s">
        <v>41</v>
      </c>
      <c r="G7393">
        <v>-187.22489999999999</v>
      </c>
      <c r="H7393">
        <v>1.01116299999999</v>
      </c>
      <c r="I7393">
        <v>109.13120000000001</v>
      </c>
      <c r="J7393">
        <v>-187.39</v>
      </c>
      <c r="K7393">
        <v>1.1094520000000001</v>
      </c>
      <c r="L7393">
        <v>108.54340000000001</v>
      </c>
      <c r="M7393">
        <v>5.5553089999999999E-2</v>
      </c>
      <c r="N7393">
        <v>0</v>
      </c>
      <c r="O7393">
        <v>0.99835220000000002</v>
      </c>
      <c r="P7393">
        <v>9.871299E-2</v>
      </c>
      <c r="Q7393">
        <v>1.9904970000000001E-2</v>
      </c>
      <c r="R7393">
        <v>0.99491689999999999</v>
      </c>
      <c r="S7393">
        <v>0.60736080000000003</v>
      </c>
      <c r="T7393">
        <v>-0.326260099999999</v>
      </c>
      <c r="U7393">
        <v>2.9623110000000001</v>
      </c>
      <c r="V7393">
        <v>4.337618E-2</v>
      </c>
      <c r="W7393">
        <v>3.4149989999999998E-2</v>
      </c>
      <c r="X7393">
        <v>0.998475</v>
      </c>
      <c r="Y7393">
        <v>0.14494949999999901</v>
      </c>
      <c r="Z7393">
        <v>-0.107540899999999</v>
      </c>
      <c r="AA7393">
        <v>0.98357740000000005</v>
      </c>
      <c r="AB7393">
        <v>31</v>
      </c>
      <c r="AC7393">
        <v>0.165099999999995</v>
      </c>
      <c r="AD7393">
        <v>-9.8289000000000196E-2</v>
      </c>
      <c r="AE7393">
        <v>0.58780000000000099</v>
      </c>
      <c r="AF7393">
        <v>0.12884824057439501</v>
      </c>
      <c r="AG7393">
        <v>-9.8289000000000196E-2</v>
      </c>
      <c r="AH7393">
        <v>0.58100731218580004</v>
      </c>
      <c r="AI7393">
        <v>99.378167521544995</v>
      </c>
      <c r="AJ7393">
        <v>77.496050349170105</v>
      </c>
      <c r="AK7393">
        <v>0.60318495789723103</v>
      </c>
      <c r="AL7393">
        <v>88.042969227727497</v>
      </c>
      <c r="AM7393">
        <v>87.5124961821368</v>
      </c>
      <c r="AN7393">
        <v>1.0000000202166901</v>
      </c>
    </row>
    <row r="7394" spans="1:40" x14ac:dyDescent="0.25">
      <c r="A7394" t="str">
        <f>"20190312154442179"</f>
        <v>20190312154442179</v>
      </c>
      <c r="B7394" t="str">
        <f>"1552376682175297"</f>
        <v>1552376682175297</v>
      </c>
      <c r="C7394" t="s">
        <v>40</v>
      </c>
      <c r="D7394">
        <v>5.4809859999999997</v>
      </c>
      <c r="E7394">
        <v>0.541682199999999</v>
      </c>
      <c r="F7394" t="s">
        <v>41</v>
      </c>
      <c r="G7394">
        <v>-187.209</v>
      </c>
      <c r="H7394">
        <v>1.013147</v>
      </c>
      <c r="I7394">
        <v>109.4114</v>
      </c>
      <c r="J7394">
        <v>-187.37139999999999</v>
      </c>
      <c r="K7394">
        <v>1.1094489999999999</v>
      </c>
      <c r="L7394">
        <v>108.8528</v>
      </c>
      <c r="M7394">
        <v>5.6821490000000002E-2</v>
      </c>
      <c r="N7394">
        <v>0</v>
      </c>
      <c r="O7394">
        <v>0.99828079999999997</v>
      </c>
      <c r="P7394">
        <v>0.1006581</v>
      </c>
      <c r="Q7394">
        <v>1.9075499999999999E-2</v>
      </c>
      <c r="R7394">
        <v>0.99473820000000002</v>
      </c>
      <c r="S7394">
        <v>0.61660769999999998</v>
      </c>
      <c r="T7394">
        <v>-0.32851740000000001</v>
      </c>
      <c r="U7394">
        <v>2.960709</v>
      </c>
      <c r="V7394">
        <v>4.4056730000000002E-2</v>
      </c>
      <c r="W7394">
        <v>3.331551E-2</v>
      </c>
      <c r="X7394">
        <v>0.99847330000000001</v>
      </c>
      <c r="Y7394">
        <v>0.14672689999999999</v>
      </c>
      <c r="Z7394">
        <v>-0.10827349999999999</v>
      </c>
      <c r="AA7394">
        <v>0.98323349999999998</v>
      </c>
      <c r="AB7394">
        <v>31</v>
      </c>
      <c r="AC7394">
        <v>0.162399999999991</v>
      </c>
      <c r="AD7394">
        <v>-9.6301999999999804E-2</v>
      </c>
      <c r="AE7394">
        <v>0.55859999999999799</v>
      </c>
      <c r="AF7394">
        <v>0.12691567027654899</v>
      </c>
      <c r="AG7394">
        <v>-9.6301999999999804E-2</v>
      </c>
      <c r="AH7394">
        <v>0.55180387332375502</v>
      </c>
      <c r="AI7394">
        <v>99.652579072300199</v>
      </c>
      <c r="AJ7394">
        <v>77.047158623547901</v>
      </c>
      <c r="AK7394">
        <v>0.57434238671792603</v>
      </c>
      <c r="AL7394">
        <v>88.090808453829496</v>
      </c>
      <c r="AM7394">
        <v>87.4735144089573</v>
      </c>
      <c r="AN7394">
        <v>0.99999992473886801</v>
      </c>
    </row>
    <row r="7395" spans="1:40" x14ac:dyDescent="0.25">
      <c r="A7395" t="str">
        <f>"20190312154442201"</f>
        <v>20190312154442201</v>
      </c>
      <c r="B7395" t="str">
        <f>"1552376682194817"</f>
        <v>1552376682194817</v>
      </c>
      <c r="C7395" t="s">
        <v>40</v>
      </c>
      <c r="D7395">
        <v>5.4712269999999998</v>
      </c>
      <c r="E7395">
        <v>0.54206169999999998</v>
      </c>
      <c r="F7395" t="s">
        <v>41</v>
      </c>
      <c r="G7395">
        <v>-187.1935</v>
      </c>
      <c r="H7395">
        <v>1.015495</v>
      </c>
      <c r="I7395">
        <v>109.6914</v>
      </c>
      <c r="J7395">
        <v>-187.3519</v>
      </c>
      <c r="K7395">
        <v>1.1094459999999999</v>
      </c>
      <c r="L7395">
        <v>109.17</v>
      </c>
      <c r="M7395">
        <v>5.8122819999999999E-2</v>
      </c>
      <c r="N7395">
        <v>0</v>
      </c>
      <c r="O7395">
        <v>0.99820600000000004</v>
      </c>
      <c r="P7395">
        <v>0.1022972</v>
      </c>
      <c r="Q7395">
        <v>1.8244920000000001E-2</v>
      </c>
      <c r="R7395">
        <v>0.99458650000000004</v>
      </c>
      <c r="S7395">
        <v>0.62786869999999995</v>
      </c>
      <c r="T7395">
        <v>-0.33149669999999998</v>
      </c>
      <c r="U7395">
        <v>2.9586939999999999</v>
      </c>
      <c r="V7395">
        <v>4.4397329999999999E-2</v>
      </c>
      <c r="W7395">
        <v>3.2481030000000001E-2</v>
      </c>
      <c r="X7395">
        <v>0.99848579999999998</v>
      </c>
      <c r="Y7395">
        <v>0.1491325</v>
      </c>
      <c r="Z7395">
        <v>-0.1092417</v>
      </c>
      <c r="AA7395">
        <v>0.98276439999999998</v>
      </c>
      <c r="AB7395">
        <v>31</v>
      </c>
      <c r="AC7395">
        <v>0.15840000000000001</v>
      </c>
      <c r="AD7395">
        <v>-9.3950999999999896E-2</v>
      </c>
      <c r="AE7395">
        <v>0.52139999999999898</v>
      </c>
      <c r="AF7395">
        <v>0.124133913033352</v>
      </c>
      <c r="AG7395">
        <v>-9.3950999999999896E-2</v>
      </c>
      <c r="AH7395">
        <v>0.51443440995626499</v>
      </c>
      <c r="AI7395">
        <v>100.067070087459</v>
      </c>
      <c r="AJ7395">
        <v>76.433765995701293</v>
      </c>
      <c r="AK7395">
        <v>0.53747444675353795</v>
      </c>
      <c r="AL7395">
        <v>88.138646706288696</v>
      </c>
      <c r="AM7395">
        <v>87.454039730940593</v>
      </c>
      <c r="AN7395">
        <v>1.0000000165113101</v>
      </c>
    </row>
    <row r="7396" spans="1:40" x14ac:dyDescent="0.25">
      <c r="A7396" t="str">
        <f>"20190312154442225"</f>
        <v>20190312154442225</v>
      </c>
      <c r="B7396" t="str">
        <f>"1552376682215313"</f>
        <v>1552376682215313</v>
      </c>
      <c r="C7396" t="s">
        <v>40</v>
      </c>
      <c r="D7396">
        <v>5.4521959999999998</v>
      </c>
      <c r="E7396">
        <v>0.54228310000000002</v>
      </c>
      <c r="F7396" t="s">
        <v>41</v>
      </c>
      <c r="G7396">
        <v>-187.17939999999999</v>
      </c>
      <c r="H7396">
        <v>1.018802</v>
      </c>
      <c r="I7396">
        <v>109.9716</v>
      </c>
      <c r="J7396">
        <v>-187.33170000000001</v>
      </c>
      <c r="K7396">
        <v>1.109437</v>
      </c>
      <c r="L7396">
        <v>109.4926</v>
      </c>
      <c r="M7396">
        <v>5.9449750000000003E-2</v>
      </c>
      <c r="N7396">
        <v>0</v>
      </c>
      <c r="O7396">
        <v>0.99812789999999996</v>
      </c>
      <c r="P7396">
        <v>0.1044099</v>
      </c>
      <c r="Q7396">
        <v>1.7745199999999999E-2</v>
      </c>
      <c r="R7396">
        <v>0.99437600000000004</v>
      </c>
      <c r="S7396">
        <v>0.63569639999999905</v>
      </c>
      <c r="T7396">
        <v>-0.33436880000000002</v>
      </c>
      <c r="U7396">
        <v>2.957077</v>
      </c>
      <c r="V7396">
        <v>4.5189460000000001E-2</v>
      </c>
      <c r="W7396">
        <v>3.1975370000000003E-2</v>
      </c>
      <c r="X7396">
        <v>0.99846659999999998</v>
      </c>
      <c r="Y7396">
        <v>0.15039340000000001</v>
      </c>
      <c r="Z7396">
        <v>-0.1101815</v>
      </c>
      <c r="AA7396">
        <v>0.98246719999999998</v>
      </c>
      <c r="AB7396">
        <v>31</v>
      </c>
      <c r="AC7396">
        <v>0.152300000000025</v>
      </c>
      <c r="AD7396">
        <v>-9.0634999999999993E-2</v>
      </c>
      <c r="AE7396">
        <v>0.47899999999999898</v>
      </c>
      <c r="AF7396">
        <v>0.11966033471245199</v>
      </c>
      <c r="AG7396">
        <v>-9.0634999999999993E-2</v>
      </c>
      <c r="AH7396">
        <v>0.47186463286144698</v>
      </c>
      <c r="AI7396">
        <v>100.546856249689</v>
      </c>
      <c r="AJ7396">
        <v>75.7703075125428</v>
      </c>
      <c r="AK7396">
        <v>0.49516616471035702</v>
      </c>
      <c r="AL7396">
        <v>88.167633975178205</v>
      </c>
      <c r="AM7396">
        <v>87.408626733578899</v>
      </c>
      <c r="AN7396">
        <v>1.0000000314486399</v>
      </c>
    </row>
    <row r="7397" spans="1:40" x14ac:dyDescent="0.25">
      <c r="A7397" t="str">
        <f>"20190312154442257"</f>
        <v>20190312154442257</v>
      </c>
      <c r="B7397" t="str">
        <f>"1552376682244593"</f>
        <v>1552376682244593</v>
      </c>
      <c r="C7397" t="s">
        <v>40</v>
      </c>
      <c r="D7397">
        <v>5.4825889999999999</v>
      </c>
      <c r="E7397">
        <v>0.54271879999999995</v>
      </c>
      <c r="F7397" t="s">
        <v>41</v>
      </c>
      <c r="G7397">
        <v>-187.1662</v>
      </c>
      <c r="H7397">
        <v>1.0229469999999901</v>
      </c>
      <c r="I7397">
        <v>110.25190000000001</v>
      </c>
      <c r="J7397">
        <v>-187.3022</v>
      </c>
      <c r="K7397">
        <v>1.109429</v>
      </c>
      <c r="L7397">
        <v>109.9513</v>
      </c>
      <c r="M7397">
        <v>6.1350109999999999E-2</v>
      </c>
      <c r="N7397">
        <v>0</v>
      </c>
      <c r="O7397">
        <v>0.99801300000000004</v>
      </c>
      <c r="P7397">
        <v>0.1074232</v>
      </c>
      <c r="Q7397">
        <v>1.6295770000000001E-2</v>
      </c>
      <c r="R7397">
        <v>0.99407979999999996</v>
      </c>
      <c r="S7397">
        <v>0.64384459999999999</v>
      </c>
      <c r="T7397">
        <v>-0.33659879999999998</v>
      </c>
      <c r="U7397">
        <v>2.955368</v>
      </c>
      <c r="V7397">
        <v>4.6309709999999997E-2</v>
      </c>
      <c r="W7397">
        <v>3.0517430000000002E-2</v>
      </c>
      <c r="X7397">
        <v>0.99846089999999998</v>
      </c>
      <c r="Y7397">
        <v>0.15119830000000001</v>
      </c>
      <c r="Z7397">
        <v>-0.1109116</v>
      </c>
      <c r="AA7397">
        <v>0.98226150000000001</v>
      </c>
      <c r="AB7397">
        <v>31</v>
      </c>
      <c r="AC7397">
        <v>0.13599999999999501</v>
      </c>
      <c r="AD7397">
        <v>-8.64820000000001E-2</v>
      </c>
      <c r="AE7397">
        <v>0.30060000000000198</v>
      </c>
      <c r="AF7397">
        <v>0.109758875162617</v>
      </c>
      <c r="AG7397">
        <v>-8.64820000000001E-2</v>
      </c>
      <c r="AH7397">
        <v>0.28855268405262602</v>
      </c>
      <c r="AI7397">
        <v>105.649072241198</v>
      </c>
      <c r="AJ7397">
        <v>69.174324094615798</v>
      </c>
      <c r="AK7397">
        <v>0.32060692206335401</v>
      </c>
      <c r="AL7397">
        <v>88.251208604856103</v>
      </c>
      <c r="AM7397">
        <v>87.344462110956002</v>
      </c>
      <c r="AN7397">
        <v>1.00000003580144</v>
      </c>
    </row>
    <row r="7398" spans="1:40" x14ac:dyDescent="0.25">
      <c r="A7398" t="str">
        <f>"20190312154442279"</f>
        <v>20190312154442279</v>
      </c>
      <c r="B7398" t="str">
        <f>"1552376682274850"</f>
        <v>1552376682274850</v>
      </c>
      <c r="C7398" t="s">
        <v>40</v>
      </c>
      <c r="D7398">
        <v>5.4706219999999997</v>
      </c>
      <c r="E7398">
        <v>0.54303650000000003</v>
      </c>
      <c r="F7398" t="s">
        <v>41</v>
      </c>
      <c r="G7398">
        <v>-187.11340000000001</v>
      </c>
      <c r="H7398">
        <v>1.011023</v>
      </c>
      <c r="I7398">
        <v>110.8006</v>
      </c>
      <c r="J7398">
        <v>-187.28210000000001</v>
      </c>
      <c r="K7398">
        <v>1.109423</v>
      </c>
      <c r="L7398">
        <v>110.25579999999999</v>
      </c>
      <c r="M7398">
        <v>6.262289E-2</v>
      </c>
      <c r="N7398">
        <v>0</v>
      </c>
      <c r="O7398">
        <v>0.99793390000000004</v>
      </c>
      <c r="P7398">
        <v>0.1091645</v>
      </c>
      <c r="Q7398">
        <v>1.572687E-2</v>
      </c>
      <c r="R7398">
        <v>0.99389930000000004</v>
      </c>
      <c r="S7398">
        <v>0.65632630000000003</v>
      </c>
      <c r="T7398">
        <v>-0.34209980000000001</v>
      </c>
      <c r="U7398">
        <v>2.9525450000000002</v>
      </c>
      <c r="V7398">
        <v>4.6783789999999999E-2</v>
      </c>
      <c r="W7398">
        <v>2.9942630000000001E-2</v>
      </c>
      <c r="X7398">
        <v>0.99845620000000002</v>
      </c>
      <c r="Y7398">
        <v>0.15404889999999999</v>
      </c>
      <c r="Z7398">
        <v>-0.1127167</v>
      </c>
      <c r="AA7398">
        <v>0.98161290000000001</v>
      </c>
      <c r="AB7398">
        <v>31</v>
      </c>
      <c r="AC7398">
        <v>0.16870000000000099</v>
      </c>
      <c r="AD7398">
        <v>-9.8400000000000001E-2</v>
      </c>
      <c r="AE7398">
        <v>0.54480000000000905</v>
      </c>
      <c r="AF7398">
        <v>0.13036755774916101</v>
      </c>
      <c r="AG7398">
        <v>-9.8400000000000001E-2</v>
      </c>
      <c r="AH7398">
        <v>0.53827271495672901</v>
      </c>
      <c r="AI7398">
        <v>100.074625308793</v>
      </c>
      <c r="AJ7398">
        <v>76.385351264857206</v>
      </c>
      <c r="AK7398">
        <v>0.56250846729659898</v>
      </c>
      <c r="AL7398">
        <v>88.284157273193202</v>
      </c>
      <c r="AM7398">
        <v>87.317303843207995</v>
      </c>
      <c r="AN7398">
        <v>1.00000003370826</v>
      </c>
    </row>
    <row r="7399" spans="1:40" x14ac:dyDescent="0.25">
      <c r="A7399" t="str">
        <f>"20190312154442302"</f>
        <v>20190312154442302</v>
      </c>
      <c r="B7399" t="str">
        <f>"1552376682294370"</f>
        <v>1552376682294370</v>
      </c>
      <c r="C7399" t="s">
        <v>40</v>
      </c>
      <c r="D7399">
        <v>5.4976310000000002</v>
      </c>
      <c r="E7399">
        <v>0.54323589999999999</v>
      </c>
      <c r="F7399" t="s">
        <v>41</v>
      </c>
      <c r="G7399">
        <v>-187.0967</v>
      </c>
      <c r="H7399">
        <v>1.013619</v>
      </c>
      <c r="I7399">
        <v>111.07899999999999</v>
      </c>
      <c r="J7399">
        <v>-187.2612</v>
      </c>
      <c r="K7399">
        <v>1.109415</v>
      </c>
      <c r="L7399">
        <v>110.5658</v>
      </c>
      <c r="M7399">
        <v>6.3933420000000005E-2</v>
      </c>
      <c r="N7399">
        <v>0</v>
      </c>
      <c r="O7399">
        <v>0.99785089999999999</v>
      </c>
      <c r="P7399">
        <v>0.11072750000000001</v>
      </c>
      <c r="Q7399">
        <v>1.6380809999999999E-2</v>
      </c>
      <c r="R7399">
        <v>0.99371580000000004</v>
      </c>
      <c r="S7399">
        <v>0.66384889999999996</v>
      </c>
      <c r="T7399">
        <v>-0.34340609999999999</v>
      </c>
      <c r="U7399">
        <v>2.9509280000000002</v>
      </c>
      <c r="V7399">
        <v>4.7045910000000003E-2</v>
      </c>
      <c r="W7399">
        <v>3.059131E-2</v>
      </c>
      <c r="X7399">
        <v>0.99842419999999998</v>
      </c>
      <c r="Y7399">
        <v>0.15523770000000001</v>
      </c>
      <c r="Z7399">
        <v>-0.11314589999999899</v>
      </c>
      <c r="AA7399">
        <v>0.98137620000000003</v>
      </c>
      <c r="AB7399">
        <v>31</v>
      </c>
      <c r="AC7399">
        <v>0.164500000000003</v>
      </c>
      <c r="AD7399">
        <v>-9.5796000000000006E-2</v>
      </c>
      <c r="AE7399">
        <v>0.51319999999999699</v>
      </c>
      <c r="AF7399">
        <v>0.12732624417409899</v>
      </c>
      <c r="AG7399">
        <v>-9.5796000000000006E-2</v>
      </c>
      <c r="AH7399">
        <v>0.50665906040603403</v>
      </c>
      <c r="AI7399">
        <v>100.391009419648</v>
      </c>
      <c r="AJ7399">
        <v>75.893374730565796</v>
      </c>
      <c r="AK7399">
        <v>0.53112357278039102</v>
      </c>
      <c r="AL7399">
        <v>88.246973578208497</v>
      </c>
      <c r="AM7399">
        <v>87.302209053186701</v>
      </c>
      <c r="AN7399">
        <v>1.00000001452044</v>
      </c>
    </row>
    <row r="7400" spans="1:40" x14ac:dyDescent="0.25">
      <c r="A7400" t="str">
        <f>"20190312154442324"</f>
        <v>20190312154442324</v>
      </c>
      <c r="B7400" t="str">
        <f>"1552376682314865"</f>
        <v>1552376682314865</v>
      </c>
      <c r="C7400" t="s">
        <v>40</v>
      </c>
      <c r="D7400">
        <v>5.6086790000000004</v>
      </c>
      <c r="E7400">
        <v>0.54347209999999901</v>
      </c>
      <c r="F7400" t="s">
        <v>41</v>
      </c>
      <c r="G7400">
        <v>-187.0813</v>
      </c>
      <c r="H7400">
        <v>1.017557</v>
      </c>
      <c r="I7400">
        <v>111.3578</v>
      </c>
      <c r="J7400">
        <v>-187.2397</v>
      </c>
      <c r="K7400">
        <v>1.1094040000000001</v>
      </c>
      <c r="L7400">
        <v>110.8781</v>
      </c>
      <c r="M7400">
        <v>6.5277959999999996E-2</v>
      </c>
      <c r="N7400">
        <v>0</v>
      </c>
      <c r="O7400">
        <v>0.99776390000000004</v>
      </c>
      <c r="P7400">
        <v>0.11192969999999999</v>
      </c>
      <c r="Q7400">
        <v>1.66180999999999E-2</v>
      </c>
      <c r="R7400">
        <v>0.99357720000000005</v>
      </c>
      <c r="S7400">
        <v>0.66973879999999997</v>
      </c>
      <c r="T7400">
        <v>-0.34212900000000002</v>
      </c>
      <c r="U7400">
        <v>2.9499819999999999</v>
      </c>
      <c r="V7400">
        <v>4.6910350000000003E-2</v>
      </c>
      <c r="W7400">
        <v>3.082437E-2</v>
      </c>
      <c r="X7400">
        <v>0.99842339999999996</v>
      </c>
      <c r="Y7400">
        <v>0.15584909999999999</v>
      </c>
      <c r="Z7400">
        <v>-0.112721</v>
      </c>
      <c r="AA7400">
        <v>0.98132819999999998</v>
      </c>
      <c r="AB7400">
        <v>31</v>
      </c>
      <c r="AC7400">
        <v>0.15840000000000001</v>
      </c>
      <c r="AD7400">
        <v>-9.1846999999999998E-2</v>
      </c>
      <c r="AE7400">
        <v>0.47969999999999302</v>
      </c>
      <c r="AF7400">
        <v>0.122689448211505</v>
      </c>
      <c r="AG7400">
        <v>-9.1846999999999998E-2</v>
      </c>
      <c r="AH7400">
        <v>0.47337021354638598</v>
      </c>
      <c r="AI7400">
        <v>100.637467621982</v>
      </c>
      <c r="AJ7400">
        <v>75.469646380965898</v>
      </c>
      <c r="AK7400">
        <v>0.49756198727836298</v>
      </c>
      <c r="AL7400">
        <v>88.233613905382995</v>
      </c>
      <c r="AM7400">
        <v>87.309968990751798</v>
      </c>
      <c r="AN7400">
        <v>1.0000000041952799</v>
      </c>
    </row>
    <row r="7401" spans="1:40" x14ac:dyDescent="0.25">
      <c r="A7401" t="str">
        <f>"20190312154442346"</f>
        <v>20190312154442346</v>
      </c>
      <c r="B7401" t="str">
        <f>"1552376682334385"</f>
        <v>1552376682334385</v>
      </c>
      <c r="C7401" t="s">
        <v>40</v>
      </c>
      <c r="D7401">
        <v>5.5176910000000001</v>
      </c>
      <c r="E7401">
        <v>0.54360010000000003</v>
      </c>
      <c r="F7401" t="s">
        <v>41</v>
      </c>
      <c r="G7401">
        <v>-187.06610000000001</v>
      </c>
      <c r="H7401">
        <v>1.021611</v>
      </c>
      <c r="I7401">
        <v>111.63639999999999</v>
      </c>
      <c r="J7401">
        <v>-187.21850000000001</v>
      </c>
      <c r="K7401">
        <v>1.109391</v>
      </c>
      <c r="L7401">
        <v>111.1814</v>
      </c>
      <c r="M7401">
        <v>6.6617399999999993E-2</v>
      </c>
      <c r="N7401">
        <v>0</v>
      </c>
      <c r="O7401">
        <v>0.99767539999999999</v>
      </c>
      <c r="P7401">
        <v>0.11321589999999999</v>
      </c>
      <c r="Q7401">
        <v>1.7218440000000002E-2</v>
      </c>
      <c r="R7401">
        <v>0.9934212</v>
      </c>
      <c r="S7401">
        <v>0.67483519999999997</v>
      </c>
      <c r="T7401">
        <v>-0.34140690000000001</v>
      </c>
      <c r="U7401">
        <v>2.9490970000000001</v>
      </c>
      <c r="V7401">
        <v>4.6866459999999999E-2</v>
      </c>
      <c r="W7401">
        <v>3.141965E-2</v>
      </c>
      <c r="X7401">
        <v>0.99840689999999999</v>
      </c>
      <c r="Y7401">
        <v>0.15620499999999901</v>
      </c>
      <c r="Z7401">
        <v>-0.1124795</v>
      </c>
      <c r="AA7401">
        <v>0.98129929999999999</v>
      </c>
      <c r="AB7401">
        <v>31</v>
      </c>
      <c r="AC7401">
        <v>0.15240000000000001</v>
      </c>
      <c r="AD7401">
        <v>-8.77799999999999E-2</v>
      </c>
      <c r="AE7401">
        <v>0.45499999999999802</v>
      </c>
      <c r="AF7401">
        <v>0.117805011686285</v>
      </c>
      <c r="AG7401">
        <v>-8.77799999999999E-2</v>
      </c>
      <c r="AH7401">
        <v>0.44911304673641</v>
      </c>
      <c r="AI7401">
        <v>100.7057631739</v>
      </c>
      <c r="AJ7401">
        <v>75.302099627768001</v>
      </c>
      <c r="AK7401">
        <v>0.47253135126387802</v>
      </c>
      <c r="AL7401">
        <v>88.199490333841794</v>
      </c>
      <c r="AM7401">
        <v>87.312437781128807</v>
      </c>
      <c r="AN7401">
        <v>0.99999999872333101</v>
      </c>
    </row>
    <row r="7402" spans="1:40" x14ac:dyDescent="0.25">
      <c r="A7402" t="str">
        <f>"20190312154442370"</f>
        <v>20190312154442370</v>
      </c>
      <c r="B7402" t="str">
        <f>"1552376682364641"</f>
        <v>1552376682364641</v>
      </c>
      <c r="C7402" t="s">
        <v>40</v>
      </c>
      <c r="D7402">
        <v>5.4966089999999896</v>
      </c>
      <c r="E7402">
        <v>0.5437746</v>
      </c>
      <c r="F7402" t="s">
        <v>41</v>
      </c>
      <c r="G7402">
        <v>-187.0497</v>
      </c>
      <c r="H7402">
        <v>1.0249680000000001</v>
      </c>
      <c r="I7402">
        <v>111.91419999999999</v>
      </c>
      <c r="J7402">
        <v>-187.19579999999999</v>
      </c>
      <c r="K7402">
        <v>1.1093649999999999</v>
      </c>
      <c r="L7402">
        <v>111.49720000000001</v>
      </c>
      <c r="M7402">
        <v>6.8059819999999993E-2</v>
      </c>
      <c r="N7402">
        <v>0</v>
      </c>
      <c r="O7402">
        <v>0.99757810000000002</v>
      </c>
      <c r="P7402">
        <v>0.1148764</v>
      </c>
      <c r="Q7402">
        <v>1.8076100000000001E-2</v>
      </c>
      <c r="R7402">
        <v>0.99321530000000002</v>
      </c>
      <c r="S7402">
        <v>0.67932130000000002</v>
      </c>
      <c r="T7402">
        <v>-0.33966239999999998</v>
      </c>
      <c r="U7402">
        <v>2.948334</v>
      </c>
      <c r="V7402">
        <v>4.7097739999999999E-2</v>
      </c>
      <c r="W7402">
        <v>3.2269899999999997E-2</v>
      </c>
      <c r="X7402">
        <v>0.9983689</v>
      </c>
      <c r="Y7402">
        <v>0.15626519999999999</v>
      </c>
      <c r="Z7402">
        <v>-0.1119045</v>
      </c>
      <c r="AA7402">
        <v>0.98135550000000005</v>
      </c>
      <c r="AB7402">
        <v>31</v>
      </c>
      <c r="AC7402">
        <v>0.14609999999998899</v>
      </c>
      <c r="AD7402">
        <v>-8.4396999999999806E-2</v>
      </c>
      <c r="AE7402">
        <v>0.41699999999998699</v>
      </c>
      <c r="AF7402">
        <v>0.113245679915825</v>
      </c>
      <c r="AG7402">
        <v>-8.4396999999999806E-2</v>
      </c>
      <c r="AH7402">
        <v>0.41098327793358502</v>
      </c>
      <c r="AI7402">
        <v>101.198356495703</v>
      </c>
      <c r="AJ7402">
        <v>74.5945545623903</v>
      </c>
      <c r="AK7402">
        <v>0.434574150599908</v>
      </c>
      <c r="AL7402">
        <v>88.150749882012803</v>
      </c>
      <c r="AM7402">
        <v>87.299091948084396</v>
      </c>
      <c r="AN7402">
        <v>1.0000000020231601</v>
      </c>
    </row>
    <row r="7403" spans="1:40" x14ac:dyDescent="0.25">
      <c r="A7403" t="str">
        <f>"20190312154442392"</f>
        <v>20190312154442392</v>
      </c>
      <c r="B7403" t="str">
        <f>"1552376682385139"</f>
        <v>1552376682385139</v>
      </c>
      <c r="C7403" t="s">
        <v>40</v>
      </c>
      <c r="D7403">
        <v>5.4431770000000004</v>
      </c>
      <c r="E7403">
        <v>0.54376950000000002</v>
      </c>
      <c r="F7403" t="s">
        <v>41</v>
      </c>
      <c r="G7403">
        <v>-186.97399999999999</v>
      </c>
      <c r="H7403">
        <v>1.000184</v>
      </c>
      <c r="I7403">
        <v>112.4515</v>
      </c>
      <c r="J7403">
        <v>-187.17320000000001</v>
      </c>
      <c r="K7403">
        <v>1.109327</v>
      </c>
      <c r="L7403">
        <v>111.80540000000001</v>
      </c>
      <c r="M7403">
        <v>6.952585E-2</v>
      </c>
      <c r="N7403">
        <v>0</v>
      </c>
      <c r="O7403">
        <v>0.99747699999999995</v>
      </c>
      <c r="P7403">
        <v>0.116546</v>
      </c>
      <c r="Q7403">
        <v>1.8075210000000001E-2</v>
      </c>
      <c r="R7403">
        <v>0.99302080000000004</v>
      </c>
      <c r="S7403">
        <v>0.68508910000000001</v>
      </c>
      <c r="T7403">
        <v>-0.33718989999999999</v>
      </c>
      <c r="U7403">
        <v>2.9473880000000001</v>
      </c>
      <c r="V7403">
        <v>4.7312060000000003E-2</v>
      </c>
      <c r="W7403">
        <v>3.2260850000000001E-2</v>
      </c>
      <c r="X7403">
        <v>0.99835910000000005</v>
      </c>
      <c r="Y7403">
        <v>0.15672630000000001</v>
      </c>
      <c r="Z7403">
        <v>-0.1110896</v>
      </c>
      <c r="AA7403">
        <v>0.98137459999999999</v>
      </c>
      <c r="AB7403">
        <v>31</v>
      </c>
      <c r="AC7403">
        <v>0.19919999999999</v>
      </c>
      <c r="AD7403">
        <v>-0.109143</v>
      </c>
      <c r="AE7403">
        <v>0.64609999999998902</v>
      </c>
      <c r="AF7403">
        <v>0.14988671005451501</v>
      </c>
      <c r="AG7403">
        <v>-0.109143</v>
      </c>
      <c r="AH7403">
        <v>0.64166607861199798</v>
      </c>
      <c r="AI7403">
        <v>99.404761195930504</v>
      </c>
      <c r="AJ7403">
        <v>76.852037747611803</v>
      </c>
      <c r="AK7403">
        <v>0.66791734274629</v>
      </c>
      <c r="AL7403">
        <v>88.151268754731703</v>
      </c>
      <c r="AM7403">
        <v>87.286793097295302</v>
      </c>
      <c r="AN7403">
        <v>1.0000000430084801</v>
      </c>
    </row>
    <row r="7404" spans="1:40" x14ac:dyDescent="0.25">
      <c r="A7404" t="str">
        <f>"20190312154442415"</f>
        <v>20190312154442415</v>
      </c>
      <c r="B7404" t="str">
        <f>"1552376682404657"</f>
        <v>1552376682404657</v>
      </c>
      <c r="C7404" t="s">
        <v>40</v>
      </c>
      <c r="D7404">
        <v>5.6503110000000003</v>
      </c>
      <c r="E7404">
        <v>0.54380930000000005</v>
      </c>
      <c r="F7404" t="s">
        <v>41</v>
      </c>
      <c r="G7404">
        <v>-186.95699999999999</v>
      </c>
      <c r="H7404">
        <v>1.0036419999999999</v>
      </c>
      <c r="I7404">
        <v>112.7283</v>
      </c>
      <c r="J7404">
        <v>-187.14940000000001</v>
      </c>
      <c r="K7404">
        <v>1.109286</v>
      </c>
      <c r="L7404">
        <v>112.1224</v>
      </c>
      <c r="M7404">
        <v>7.108776E-2</v>
      </c>
      <c r="N7404">
        <v>0</v>
      </c>
      <c r="O7404">
        <v>0.99736689999999995</v>
      </c>
      <c r="P7404">
        <v>0.1186807</v>
      </c>
      <c r="Q7404">
        <v>1.807191E-2</v>
      </c>
      <c r="R7404">
        <v>0.99276799999999998</v>
      </c>
      <c r="S7404">
        <v>0.68997189999999997</v>
      </c>
      <c r="T7404">
        <v>-0.33737479999999997</v>
      </c>
      <c r="U7404">
        <v>2.9462429999999999</v>
      </c>
      <c r="V7404">
        <v>4.7898509999999998E-2</v>
      </c>
      <c r="W7404">
        <v>3.2247980000000002E-2</v>
      </c>
      <c r="X7404">
        <v>0.99833150000000004</v>
      </c>
      <c r="Y7404">
        <v>0.15680479999999899</v>
      </c>
      <c r="Z7404">
        <v>-0.1111519</v>
      </c>
      <c r="AA7404">
        <v>0.98135499999999998</v>
      </c>
      <c r="AB7404">
        <v>31</v>
      </c>
      <c r="AC7404">
        <v>0.19240000000002</v>
      </c>
      <c r="AD7404">
        <v>-0.105644</v>
      </c>
      <c r="AE7404">
        <v>0.60590000000000499</v>
      </c>
      <c r="AF7404">
        <v>0.144836774792864</v>
      </c>
      <c r="AG7404">
        <v>-0.105644</v>
      </c>
      <c r="AH7404">
        <v>0.60143603837847204</v>
      </c>
      <c r="AI7404">
        <v>99.690969310723204</v>
      </c>
      <c r="AJ7404">
        <v>76.459945983284499</v>
      </c>
      <c r="AK7404">
        <v>0.62758557530331205</v>
      </c>
      <c r="AL7404">
        <v>88.152006440374606</v>
      </c>
      <c r="AM7404">
        <v>87.253137291401998</v>
      </c>
      <c r="AN7404">
        <v>0.99999999168327502</v>
      </c>
    </row>
    <row r="7405" spans="1:40" x14ac:dyDescent="0.25">
      <c r="A7405" t="str">
        <f>"20190312154442460"</f>
        <v>20190312154442460</v>
      </c>
      <c r="B7405" t="str">
        <f>"1552376682444675"</f>
        <v>1552376682444675</v>
      </c>
      <c r="C7405" t="s">
        <v>40</v>
      </c>
      <c r="D7405">
        <v>5.6084529999999999</v>
      </c>
      <c r="E7405">
        <v>0.57373319999999906</v>
      </c>
      <c r="F7405" t="s">
        <v>41</v>
      </c>
      <c r="G7405">
        <v>-186.94049999999999</v>
      </c>
      <c r="H7405">
        <v>1.0081560000000001</v>
      </c>
      <c r="I7405">
        <v>113.00539999999999</v>
      </c>
      <c r="J7405">
        <v>-187.10159999999999</v>
      </c>
      <c r="K7405">
        <v>1.1091930000000001</v>
      </c>
      <c r="L7405">
        <v>112.7377</v>
      </c>
      <c r="M7405">
        <v>7.432859E-2</v>
      </c>
      <c r="N7405">
        <v>0</v>
      </c>
      <c r="O7405">
        <v>0.99713070000000004</v>
      </c>
      <c r="P7405">
        <v>0.1245338</v>
      </c>
      <c r="Q7405">
        <v>1.7177230000000002E-2</v>
      </c>
      <c r="R7405">
        <v>0.99206669999999997</v>
      </c>
      <c r="S7405">
        <v>0.69667049999999997</v>
      </c>
      <c r="T7405">
        <v>-0.33728399999999997</v>
      </c>
      <c r="U7405">
        <v>2.9447019999999999</v>
      </c>
      <c r="V7405">
        <v>5.0546279999999999E-2</v>
      </c>
      <c r="W7405">
        <v>3.1328149999999999E-2</v>
      </c>
      <c r="X7405">
        <v>0.99823019999999996</v>
      </c>
      <c r="Y7405">
        <v>0.15582570000000001</v>
      </c>
      <c r="Z7405">
        <v>-0.1111193</v>
      </c>
      <c r="AA7405">
        <v>0.98151460000000001</v>
      </c>
      <c r="AB7405">
        <v>31</v>
      </c>
      <c r="AC7405">
        <v>0.16110000000000399</v>
      </c>
      <c r="AD7405">
        <v>-0.101037</v>
      </c>
      <c r="AE7405">
        <v>0.26769999999999</v>
      </c>
      <c r="AF7405">
        <v>0.127428345202031</v>
      </c>
      <c r="AG7405">
        <v>-0.101037</v>
      </c>
      <c r="AH7405">
        <v>0.25252636481602497</v>
      </c>
      <c r="AI7405">
        <v>109.656874450166</v>
      </c>
      <c r="AJ7405">
        <v>63.223848092421797</v>
      </c>
      <c r="AK7405">
        <v>0.30035982330718602</v>
      </c>
      <c r="AL7405">
        <v>88.204735402679205</v>
      </c>
      <c r="AM7405">
        <v>87.101252666459303</v>
      </c>
      <c r="AN7405">
        <v>0.99999995579814904</v>
      </c>
    </row>
    <row r="7406" spans="1:40" x14ac:dyDescent="0.25">
      <c r="A7406" t="str">
        <f>"20190312154442480"</f>
        <v>20190312154442480</v>
      </c>
      <c r="B7406" t="str">
        <f>"1552376682474929"</f>
        <v>1552376682474929</v>
      </c>
      <c r="C7406" t="s">
        <v>40</v>
      </c>
      <c r="D7406">
        <v>5.582058</v>
      </c>
      <c r="E7406">
        <v>0.57776919999999898</v>
      </c>
      <c r="F7406" t="s">
        <v>69</v>
      </c>
      <c r="G7406">
        <v>-184.30969999999999</v>
      </c>
      <c r="H7406" s="1">
        <v>-1.9973330000000002E-6</v>
      </c>
      <c r="I7406">
        <v>121.2954</v>
      </c>
      <c r="J7406">
        <v>-187.07839999999999</v>
      </c>
      <c r="K7406">
        <v>1.109127</v>
      </c>
      <c r="L7406">
        <v>113.02630000000001</v>
      </c>
      <c r="M7406">
        <v>7.5970579999999996E-2</v>
      </c>
      <c r="N7406">
        <v>0</v>
      </c>
      <c r="O7406">
        <v>0.99700699999999998</v>
      </c>
      <c r="P7406">
        <v>0.12681310000000001</v>
      </c>
      <c r="Q7406">
        <v>1.645806E-2</v>
      </c>
      <c r="R7406">
        <v>0.99179010000000001</v>
      </c>
      <c r="S7406">
        <v>0.94979860000000005</v>
      </c>
      <c r="T7406">
        <v>-0.37734709999999999</v>
      </c>
      <c r="U7406">
        <v>2.9113009999999999</v>
      </c>
      <c r="V7406">
        <v>5.1197590000000001E-2</v>
      </c>
      <c r="W7406">
        <v>3.0597030000000001E-2</v>
      </c>
      <c r="X7406">
        <v>0.99821970000000004</v>
      </c>
      <c r="Y7406">
        <v>0.23467260000000001</v>
      </c>
      <c r="Z7406">
        <v>-0.1230571</v>
      </c>
      <c r="AA7406">
        <v>0.96425400000000006</v>
      </c>
      <c r="AB7406">
        <v>31</v>
      </c>
      <c r="AC7406">
        <v>2.7686999999999902</v>
      </c>
      <c r="AD7406">
        <v>-1.1091289973330001</v>
      </c>
      <c r="AE7406">
        <v>8.2690999999999892</v>
      </c>
      <c r="AF7406">
        <v>2.0984768103256002</v>
      </c>
      <c r="AG7406">
        <v>-1.1091289973330001</v>
      </c>
      <c r="AH7406">
        <v>8.3209503513494205</v>
      </c>
      <c r="AI7406">
        <v>97.3644701511693</v>
      </c>
      <c r="AJ7406">
        <v>75.845615016961005</v>
      </c>
      <c r="AK7406">
        <v>8.6528600361857908</v>
      </c>
      <c r="AL7406">
        <v>88.246645615602901</v>
      </c>
      <c r="AM7406">
        <v>87.063935201592798</v>
      </c>
      <c r="AN7406">
        <v>0.999999970467359</v>
      </c>
    </row>
    <row r="7407" spans="1:40" x14ac:dyDescent="0.25">
      <c r="A7407" t="str">
        <f>"20190312154442503"</f>
        <v>20190312154442503</v>
      </c>
      <c r="B7407" t="str">
        <f>"1552376682495426"</f>
        <v>1552376682495426</v>
      </c>
      <c r="C7407" t="s">
        <v>40</v>
      </c>
      <c r="D7407">
        <v>5.5907559999999998</v>
      </c>
      <c r="E7407">
        <v>0.57884919999999995</v>
      </c>
      <c r="F7407" t="s">
        <v>69</v>
      </c>
      <c r="G7407">
        <v>-184.4385</v>
      </c>
      <c r="H7407" s="1">
        <v>-1.814931E-6</v>
      </c>
      <c r="I7407">
        <v>120.7924</v>
      </c>
      <c r="J7407">
        <v>-187.05340000000001</v>
      </c>
      <c r="K7407">
        <v>1.1090469999999999</v>
      </c>
      <c r="L7407">
        <v>113.3289</v>
      </c>
      <c r="M7407">
        <v>7.7793479999999998E-2</v>
      </c>
      <c r="N7407">
        <v>0</v>
      </c>
      <c r="O7407">
        <v>0.99686640000000004</v>
      </c>
      <c r="P7407">
        <v>0.12982009999999999</v>
      </c>
      <c r="Q7407">
        <v>1.562763E-2</v>
      </c>
      <c r="R7407">
        <v>0.99141440000000003</v>
      </c>
      <c r="S7407">
        <v>0.98764039999999997</v>
      </c>
      <c r="T7407">
        <v>-0.41494500000000001</v>
      </c>
      <c r="U7407">
        <v>2.9054259999999998</v>
      </c>
      <c r="V7407">
        <v>5.2401349999999999E-2</v>
      </c>
      <c r="W7407">
        <v>2.9751030000000001E-2</v>
      </c>
      <c r="X7407">
        <v>0.99818280000000004</v>
      </c>
      <c r="Y7407">
        <v>0.2442656</v>
      </c>
      <c r="Z7407">
        <v>-0.13489570000000001</v>
      </c>
      <c r="AA7407">
        <v>0.96027989999999996</v>
      </c>
      <c r="AB7407">
        <v>31</v>
      </c>
      <c r="AC7407">
        <v>2.6149</v>
      </c>
      <c r="AD7407">
        <v>-1.1090488149309901</v>
      </c>
      <c r="AE7407">
        <v>7.46349999999999</v>
      </c>
      <c r="AF7407">
        <v>1.98722039605876</v>
      </c>
      <c r="AG7407">
        <v>-1.1090488149309901</v>
      </c>
      <c r="AH7407">
        <v>7.4968809028111103</v>
      </c>
      <c r="AI7407">
        <v>98.137913226958005</v>
      </c>
      <c r="AJ7407">
        <v>75.153867123033294</v>
      </c>
      <c r="AK7407">
        <v>7.8346829832065099</v>
      </c>
      <c r="AL7407">
        <v>88.295139917871893</v>
      </c>
      <c r="AM7407">
        <v>86.994916506131403</v>
      </c>
      <c r="AN7407">
        <v>0.99999996374186095</v>
      </c>
    </row>
    <row r="7408" spans="1:40" x14ac:dyDescent="0.25">
      <c r="A7408" t="str">
        <f>"20190312154442536"</f>
        <v>20190312154442536</v>
      </c>
      <c r="B7408" t="str">
        <f>"1552376682524705"</f>
        <v>1552376682524705</v>
      </c>
      <c r="C7408" t="s">
        <v>40</v>
      </c>
      <c r="D7408">
        <v>5.6049239999999996</v>
      </c>
      <c r="E7408">
        <v>0.57957609999999904</v>
      </c>
      <c r="F7408" t="s">
        <v>69</v>
      </c>
      <c r="G7408">
        <v>-184.43639999999999</v>
      </c>
      <c r="H7408" s="1">
        <v>-1.8429069999999999E-6</v>
      </c>
      <c r="I7408">
        <v>120.88549999999999</v>
      </c>
      <c r="J7408">
        <v>-187.0145</v>
      </c>
      <c r="K7408">
        <v>1.1089100000000001</v>
      </c>
      <c r="L7408">
        <v>113.785</v>
      </c>
      <c r="M7408">
        <v>8.077339E-2</v>
      </c>
      <c r="N7408">
        <v>0</v>
      </c>
      <c r="O7408">
        <v>0.9966294</v>
      </c>
      <c r="P7408">
        <v>0.13310900000000001</v>
      </c>
      <c r="Q7408">
        <v>1.6329929999999999E-2</v>
      </c>
      <c r="R7408">
        <v>0.99096689999999998</v>
      </c>
      <c r="S7408">
        <v>1.004745</v>
      </c>
      <c r="T7408">
        <v>-0.42578919999999998</v>
      </c>
      <c r="U7408">
        <v>2.9011230000000001</v>
      </c>
      <c r="V7408">
        <v>5.2743100000000001E-2</v>
      </c>
      <c r="W7408">
        <v>3.043307E-2</v>
      </c>
      <c r="X7408">
        <v>0.99814429999999998</v>
      </c>
      <c r="Y7408">
        <v>0.24671190000000001</v>
      </c>
      <c r="Z7408">
        <v>-0.13832340000000001</v>
      </c>
      <c r="AA7408">
        <v>0.95916619999999997</v>
      </c>
      <c r="AB7408">
        <v>31</v>
      </c>
      <c r="AC7408">
        <v>2.5781000000000001</v>
      </c>
      <c r="AD7408">
        <v>-1.108911842907</v>
      </c>
      <c r="AE7408">
        <v>7.1004999999999896</v>
      </c>
      <c r="AF7408">
        <v>1.9539769789769099</v>
      </c>
      <c r="AG7408">
        <v>-1.108911842907</v>
      </c>
      <c r="AH7408">
        <v>7.1318704047272696</v>
      </c>
      <c r="AI7408">
        <v>98.528543102923095</v>
      </c>
      <c r="AJ7408">
        <v>74.678191895037102</v>
      </c>
      <c r="AK7408">
        <v>7.4773850361965302</v>
      </c>
      <c r="AL7408">
        <v>88.256044303860605</v>
      </c>
      <c r="AM7408">
        <v>86.975237841737396</v>
      </c>
      <c r="AN7408">
        <v>1.00000002498486</v>
      </c>
    </row>
    <row r="7409" spans="1:40" x14ac:dyDescent="0.25">
      <c r="A7409" t="str">
        <f>"20190312154442558"</f>
        <v>20190312154442558</v>
      </c>
      <c r="B7409" t="str">
        <f>"1552376682545202"</f>
        <v>1552376682545202</v>
      </c>
      <c r="C7409" t="s">
        <v>40</v>
      </c>
      <c r="D7409">
        <v>5.5640859999999996</v>
      </c>
      <c r="E7409">
        <v>0.57996899999999996</v>
      </c>
      <c r="F7409" t="s">
        <v>69</v>
      </c>
      <c r="G7409">
        <v>-184.38130000000001</v>
      </c>
      <c r="H7409" s="1">
        <v>-1.9687790000000002E-6</v>
      </c>
      <c r="I7409">
        <v>121.26309999999999</v>
      </c>
      <c r="J7409">
        <v>-186.98820000000001</v>
      </c>
      <c r="K7409">
        <v>1.108824</v>
      </c>
      <c r="L7409">
        <v>114.08199999999999</v>
      </c>
      <c r="M7409">
        <v>8.286404E-2</v>
      </c>
      <c r="N7409">
        <v>0</v>
      </c>
      <c r="O7409">
        <v>0.99645779999999995</v>
      </c>
      <c r="P7409">
        <v>0.1362894</v>
      </c>
      <c r="Q7409">
        <v>1.6824059999999998E-2</v>
      </c>
      <c r="R7409">
        <v>0.99052620000000002</v>
      </c>
      <c r="S7409">
        <v>1.020203</v>
      </c>
      <c r="T7409">
        <v>-0.42964550000000001</v>
      </c>
      <c r="U7409">
        <v>2.8973849999999999</v>
      </c>
      <c r="V7409">
        <v>5.3863429999999997E-2</v>
      </c>
      <c r="W7409">
        <v>3.0909679999999998E-2</v>
      </c>
      <c r="X7409">
        <v>0.99806980000000001</v>
      </c>
      <c r="Y7409">
        <v>0.24956680000000001</v>
      </c>
      <c r="Z7409">
        <v>-0.13951279999999999</v>
      </c>
      <c r="AA7409">
        <v>0.95825499999999997</v>
      </c>
      <c r="AB7409">
        <v>31</v>
      </c>
      <c r="AC7409">
        <v>2.6068999999999898</v>
      </c>
      <c r="AD7409">
        <v>-1.1088259687790001</v>
      </c>
      <c r="AE7409">
        <v>7.1810999999999803</v>
      </c>
      <c r="AF7409">
        <v>1.96149583524594</v>
      </c>
      <c r="AG7409">
        <v>-1.1088259687790001</v>
      </c>
      <c r="AH7409">
        <v>7.2203354374579698</v>
      </c>
      <c r="AI7409">
        <v>98.429799270758494</v>
      </c>
      <c r="AJ7409">
        <v>74.801669268017903</v>
      </c>
      <c r="AK7409">
        <v>7.5637427752493798</v>
      </c>
      <c r="AL7409">
        <v>88.228723667551193</v>
      </c>
      <c r="AM7409">
        <v>86.910881084979906</v>
      </c>
      <c r="AN7409">
        <v>1.0000000015405499</v>
      </c>
    </row>
    <row r="7410" spans="1:40" x14ac:dyDescent="0.25">
      <c r="A7410" t="str">
        <f>"20190312154442580"</f>
        <v>20190312154442580</v>
      </c>
      <c r="B7410" t="str">
        <f>"1552376682575458"</f>
        <v>1552376682575458</v>
      </c>
      <c r="C7410" t="s">
        <v>40</v>
      </c>
      <c r="D7410">
        <v>5.5262769999999897</v>
      </c>
      <c r="E7410">
        <v>0.58035269999999906</v>
      </c>
      <c r="F7410" t="s">
        <v>69</v>
      </c>
      <c r="G7410">
        <v>-184.34270000000001</v>
      </c>
      <c r="H7410" s="1">
        <v>-2.0479080000000001E-6</v>
      </c>
      <c r="I7410">
        <v>121.4969</v>
      </c>
      <c r="J7410">
        <v>-186.9607</v>
      </c>
      <c r="K7410">
        <v>1.1087309999999999</v>
      </c>
      <c r="L7410">
        <v>114.3835</v>
      </c>
      <c r="M7410">
        <v>8.5107530000000001E-2</v>
      </c>
      <c r="N7410">
        <v>0</v>
      </c>
      <c r="O7410">
        <v>0.99626859999999995</v>
      </c>
      <c r="P7410">
        <v>0.13938710000000001</v>
      </c>
      <c r="Q7410">
        <v>1.6594580000000001E-2</v>
      </c>
      <c r="R7410">
        <v>0.9900989</v>
      </c>
      <c r="S7410">
        <v>1.032516</v>
      </c>
      <c r="T7410">
        <v>-0.4327667</v>
      </c>
      <c r="U7410">
        <v>2.8939819999999998</v>
      </c>
      <c r="V7410">
        <v>5.4744099999999997E-2</v>
      </c>
      <c r="W7410">
        <v>3.0663280000000001E-2</v>
      </c>
      <c r="X7410">
        <v>0.99802950000000001</v>
      </c>
      <c r="Y7410">
        <v>0.25131609999999999</v>
      </c>
      <c r="Z7410">
        <v>-0.140490899999999</v>
      </c>
      <c r="AA7410">
        <v>0.95765469999999997</v>
      </c>
      <c r="AB7410">
        <v>31</v>
      </c>
      <c r="AC7410">
        <v>2.6179999999999901</v>
      </c>
      <c r="AD7410">
        <v>-1.108733047908</v>
      </c>
      <c r="AE7410">
        <v>7.1133999999999897</v>
      </c>
      <c r="AF7410">
        <v>1.96107422545142</v>
      </c>
      <c r="AG7410">
        <v>-1.108733047908</v>
      </c>
      <c r="AH7410">
        <v>7.1572834561506102</v>
      </c>
      <c r="AI7410">
        <v>98.497313754239499</v>
      </c>
      <c r="AJ7410">
        <v>74.677189446316802</v>
      </c>
      <c r="AK7410">
        <v>7.5034530424958703</v>
      </c>
      <c r="AL7410">
        <v>88.242848071832199</v>
      </c>
      <c r="AM7410">
        <v>86.860347532039597</v>
      </c>
      <c r="AN7410">
        <v>1.0000000180477</v>
      </c>
    </row>
    <row r="7411" spans="1:40" x14ac:dyDescent="0.25">
      <c r="A7411" t="str">
        <f>"20190312154442602"</f>
        <v>20190312154442602</v>
      </c>
      <c r="B7411" t="str">
        <f>"1552376682594977"</f>
        <v>1552376682594977</v>
      </c>
      <c r="C7411" t="s">
        <v>40</v>
      </c>
      <c r="D7411">
        <v>5.5260850000000001</v>
      </c>
      <c r="E7411">
        <v>0.58047439999999995</v>
      </c>
      <c r="F7411" t="s">
        <v>69</v>
      </c>
      <c r="G7411">
        <v>-184.31630000000001</v>
      </c>
      <c r="H7411" s="1">
        <v>-2.1150780000000001E-6</v>
      </c>
      <c r="I7411">
        <v>121.70099999999999</v>
      </c>
      <c r="J7411">
        <v>-186.93170000000001</v>
      </c>
      <c r="K7411">
        <v>1.108633</v>
      </c>
      <c r="L7411">
        <v>114.6925</v>
      </c>
      <c r="M7411">
        <v>8.7552640000000001E-2</v>
      </c>
      <c r="N7411">
        <v>0</v>
      </c>
      <c r="O7411">
        <v>0.99605670000000002</v>
      </c>
      <c r="P7411">
        <v>0.14227860000000001</v>
      </c>
      <c r="Q7411">
        <v>1.6804429999999999E-2</v>
      </c>
      <c r="R7411">
        <v>0.98968400000000001</v>
      </c>
      <c r="S7411">
        <v>1.04451</v>
      </c>
      <c r="T7411">
        <v>-0.43792880000000001</v>
      </c>
      <c r="U7411">
        <v>2.8902890000000001</v>
      </c>
      <c r="V7411">
        <v>5.5218690000000001E-2</v>
      </c>
      <c r="W7411">
        <v>3.085678E-2</v>
      </c>
      <c r="X7411">
        <v>0.99799729999999998</v>
      </c>
      <c r="Y7411">
        <v>0.25276910000000002</v>
      </c>
      <c r="Z7411">
        <v>-0.14213190000000001</v>
      </c>
      <c r="AA7411">
        <v>0.95702989999999999</v>
      </c>
      <c r="AB7411">
        <v>31</v>
      </c>
      <c r="AC7411">
        <v>2.61539999999999</v>
      </c>
      <c r="AD7411">
        <v>-1.1086351150780001</v>
      </c>
      <c r="AE7411">
        <v>7.0085000000000104</v>
      </c>
      <c r="AF7411">
        <v>1.9488743834228901</v>
      </c>
      <c r="AG7411">
        <v>-1.1086351150780001</v>
      </c>
      <c r="AH7411">
        <v>7.05562264396751</v>
      </c>
      <c r="AI7411">
        <v>98.612356724311496</v>
      </c>
      <c r="AJ7411">
        <v>74.559006887317693</v>
      </c>
      <c r="AK7411">
        <v>7.4033096703307697</v>
      </c>
      <c r="AL7411">
        <v>88.2317559301313</v>
      </c>
      <c r="AM7411">
        <v>86.833082310619901</v>
      </c>
      <c r="AN7411">
        <v>0.99999992770228396</v>
      </c>
    </row>
    <row r="7412" spans="1:40" x14ac:dyDescent="0.25">
      <c r="A7412" t="str">
        <f>"20190312154442625"</f>
        <v>20190312154442625</v>
      </c>
      <c r="B7412" t="str">
        <f>"1552376682615474"</f>
        <v>1552376682615474</v>
      </c>
      <c r="C7412" t="s">
        <v>40</v>
      </c>
      <c r="D7412">
        <v>5.5425389999999997</v>
      </c>
      <c r="E7412">
        <v>0.58059689999999997</v>
      </c>
      <c r="F7412" t="s">
        <v>69</v>
      </c>
      <c r="G7412">
        <v>-184.26339999999999</v>
      </c>
      <c r="H7412" s="1">
        <v>-2.217378E-6</v>
      </c>
      <c r="I7412">
        <v>122.00060000000001</v>
      </c>
      <c r="J7412">
        <v>-186.90260000000001</v>
      </c>
      <c r="K7412">
        <v>1.1085290000000001</v>
      </c>
      <c r="L7412">
        <v>114.99339999999999</v>
      </c>
      <c r="M7412">
        <v>9.0082969999999998E-2</v>
      </c>
      <c r="N7412">
        <v>0</v>
      </c>
      <c r="O7412">
        <v>0.99583109999999997</v>
      </c>
      <c r="P7412">
        <v>0.14464630000000001</v>
      </c>
      <c r="Q7412">
        <v>1.71490999999999E-2</v>
      </c>
      <c r="R7412">
        <v>0.98933479999999996</v>
      </c>
      <c r="S7412">
        <v>1.0541689999999999</v>
      </c>
      <c r="T7412">
        <v>-0.43797639999999999</v>
      </c>
      <c r="U7412">
        <v>2.887146</v>
      </c>
      <c r="V7412">
        <v>5.5081360000000003E-2</v>
      </c>
      <c r="W7412">
        <v>3.1188980000000002E-2</v>
      </c>
      <c r="X7412">
        <v>0.99799470000000001</v>
      </c>
      <c r="Y7412">
        <v>0.25347310000000001</v>
      </c>
      <c r="Z7412">
        <v>-0.14215079999999999</v>
      </c>
      <c r="AA7412">
        <v>0.95684089999999999</v>
      </c>
      <c r="AB7412">
        <v>30</v>
      </c>
      <c r="AC7412">
        <v>2.63920000000001</v>
      </c>
      <c r="AD7412">
        <v>-1.108531217378</v>
      </c>
      <c r="AE7412">
        <v>7.0072000000000099</v>
      </c>
      <c r="AF7412">
        <v>1.9543386874720099</v>
      </c>
      <c r="AG7412">
        <v>-1.108531217378</v>
      </c>
      <c r="AH7412">
        <v>7.06170005527889</v>
      </c>
      <c r="AI7412">
        <v>98.603094501156505</v>
      </c>
      <c r="AJ7412">
        <v>74.530473060164198</v>
      </c>
      <c r="AK7412">
        <v>7.4105255438448703</v>
      </c>
      <c r="AL7412">
        <v>88.212713350316093</v>
      </c>
      <c r="AM7412">
        <v>86.840934313258799</v>
      </c>
      <c r="AN7412">
        <v>1.0000000649604801</v>
      </c>
    </row>
    <row r="7413" spans="1:40" x14ac:dyDescent="0.25">
      <c r="A7413" t="str">
        <f>"20190312154442649"</f>
        <v>20190312154442649</v>
      </c>
      <c r="B7413" t="str">
        <f>"1552376682634994"</f>
        <v>1552376682634994</v>
      </c>
      <c r="C7413" t="s">
        <v>40</v>
      </c>
      <c r="D7413">
        <v>5.5100170000000004</v>
      </c>
      <c r="E7413">
        <v>0.58075359999999998</v>
      </c>
      <c r="F7413" t="s">
        <v>41</v>
      </c>
      <c r="G7413">
        <v>-186.63069999999999</v>
      </c>
      <c r="H7413">
        <v>0.99662070000000003</v>
      </c>
      <c r="I7413">
        <v>115.7319</v>
      </c>
      <c r="J7413">
        <v>-186.8706</v>
      </c>
      <c r="K7413">
        <v>1.1084069999999999</v>
      </c>
      <c r="L7413">
        <v>115.3142</v>
      </c>
      <c r="M7413">
        <v>9.2936519999999995E-2</v>
      </c>
      <c r="N7413">
        <v>0</v>
      </c>
      <c r="O7413">
        <v>0.99556880000000003</v>
      </c>
      <c r="P7413">
        <v>0.14628479999999999</v>
      </c>
      <c r="Q7413">
        <v>1.770101E-2</v>
      </c>
      <c r="R7413">
        <v>0.98908410000000002</v>
      </c>
      <c r="S7413">
        <v>1.062683</v>
      </c>
      <c r="T7413">
        <v>-0.43717630000000002</v>
      </c>
      <c r="U7413">
        <v>2.8845519999999998</v>
      </c>
      <c r="V7413">
        <v>5.3886870000000003E-2</v>
      </c>
      <c r="W7413">
        <v>3.1733730000000002E-2</v>
      </c>
      <c r="X7413">
        <v>0.9980426</v>
      </c>
      <c r="Y7413">
        <v>0.2534824</v>
      </c>
      <c r="Z7413">
        <v>-0.141889299999999</v>
      </c>
      <c r="AA7413">
        <v>0.95687730000000004</v>
      </c>
      <c r="AB7413">
        <v>30</v>
      </c>
      <c r="AC7413">
        <v>0.239900000000005</v>
      </c>
      <c r="AD7413">
        <v>-0.11178629999999901</v>
      </c>
      <c r="AE7413">
        <v>0.41769999999999602</v>
      </c>
      <c r="AF7413">
        <v>0.18981507015700499</v>
      </c>
      <c r="AG7413">
        <v>-0.11178629999999901</v>
      </c>
      <c r="AH7413">
        <v>0.41579608756139202</v>
      </c>
      <c r="AI7413">
        <v>103.743037849762</v>
      </c>
      <c r="AJ7413">
        <v>65.462828328749595</v>
      </c>
      <c r="AK7413">
        <v>0.47054471005182902</v>
      </c>
      <c r="AL7413">
        <v>88.181485768235405</v>
      </c>
      <c r="AM7413">
        <v>86.909455321900893</v>
      </c>
      <c r="AN7413">
        <v>0.99999992789643199</v>
      </c>
    </row>
    <row r="7414" spans="1:40" x14ac:dyDescent="0.25">
      <c r="A7414" t="str">
        <f>"20190312154442671"</f>
        <v>20190312154442671</v>
      </c>
      <c r="B7414" t="str">
        <f>"1552376682665250"</f>
        <v>1552376682665250</v>
      </c>
      <c r="C7414" t="s">
        <v>40</v>
      </c>
      <c r="D7414">
        <v>5.5069179999999998</v>
      </c>
      <c r="E7414">
        <v>0.58095750000000002</v>
      </c>
      <c r="F7414" t="s">
        <v>69</v>
      </c>
      <c r="G7414">
        <v>-184.15369999999999</v>
      </c>
      <c r="H7414" s="1">
        <v>-2.4641210000000002E-6</v>
      </c>
      <c r="I7414">
        <v>122.6371</v>
      </c>
      <c r="J7414">
        <v>-186.83959999999999</v>
      </c>
      <c r="K7414">
        <v>1.1082939999999999</v>
      </c>
      <c r="L7414">
        <v>115.61490000000001</v>
      </c>
      <c r="M7414">
        <v>9.57596E-2</v>
      </c>
      <c r="N7414">
        <v>0</v>
      </c>
      <c r="O7414">
        <v>0.9953012</v>
      </c>
      <c r="P7414">
        <v>0.14745610000000001</v>
      </c>
      <c r="Q7414">
        <v>1.7748420000000001E-2</v>
      </c>
      <c r="R7414">
        <v>0.98890940000000005</v>
      </c>
      <c r="S7414">
        <v>1.069534</v>
      </c>
      <c r="T7414">
        <v>-0.43633699999999997</v>
      </c>
      <c r="U7414">
        <v>2.882736</v>
      </c>
      <c r="V7414">
        <v>5.2246670000000002E-2</v>
      </c>
      <c r="W7414">
        <v>3.1779010000000003E-2</v>
      </c>
      <c r="X7414">
        <v>0.99812840000000003</v>
      </c>
      <c r="Y7414">
        <v>0.25295139999999999</v>
      </c>
      <c r="Z7414">
        <v>-0.14160220000000001</v>
      </c>
      <c r="AA7414">
        <v>0.95706029999999997</v>
      </c>
      <c r="AB7414">
        <v>30</v>
      </c>
      <c r="AC7414">
        <v>2.6859000000000002</v>
      </c>
      <c r="AD7414">
        <v>-1.108296464121</v>
      </c>
      <c r="AE7414">
        <v>7.02219999999999</v>
      </c>
      <c r="AF7414">
        <v>1.95848345080611</v>
      </c>
      <c r="AG7414">
        <v>-1.108296464121</v>
      </c>
      <c r="AH7414">
        <v>7.09301553033003</v>
      </c>
      <c r="AI7414">
        <v>98.565271030143606</v>
      </c>
      <c r="AJ7414">
        <v>74.564406531870702</v>
      </c>
      <c r="AK7414">
        <v>7.4414278060710597</v>
      </c>
      <c r="AL7414">
        <v>88.178890167117004</v>
      </c>
      <c r="AM7414">
        <v>87.003607818932693</v>
      </c>
      <c r="AN7414">
        <v>0.99999996144461301</v>
      </c>
    </row>
    <row r="7415" spans="1:40" x14ac:dyDescent="0.25">
      <c r="A7415" t="str">
        <f>"20190312154442692"</f>
        <v>20190312154442692</v>
      </c>
      <c r="B7415" t="str">
        <f>"1552376682685413"</f>
        <v>1552376682685413</v>
      </c>
      <c r="C7415" t="s">
        <v>40</v>
      </c>
      <c r="D7415">
        <v>5.4196859999999996</v>
      </c>
      <c r="E7415">
        <v>0.58114860000000002</v>
      </c>
      <c r="F7415" t="s">
        <v>69</v>
      </c>
      <c r="G7415">
        <v>-184.12739999999999</v>
      </c>
      <c r="H7415" s="1">
        <v>-2.6063010000000002E-6</v>
      </c>
      <c r="I7415">
        <v>122.8897</v>
      </c>
      <c r="J7415">
        <v>-186.8092</v>
      </c>
      <c r="K7415">
        <v>1.108203</v>
      </c>
      <c r="L7415">
        <v>115.9</v>
      </c>
      <c r="M7415">
        <v>9.8532270000000005E-2</v>
      </c>
      <c r="N7415">
        <v>0</v>
      </c>
      <c r="O7415">
        <v>0.99503050000000004</v>
      </c>
      <c r="P7415">
        <v>0.14868629999999999</v>
      </c>
      <c r="Q7415">
        <v>1.8181119999999999E-2</v>
      </c>
      <c r="R7415">
        <v>0.98871730000000002</v>
      </c>
      <c r="S7415">
        <v>1.074219</v>
      </c>
      <c r="T7415">
        <v>-0.43896869999999999</v>
      </c>
      <c r="U7415">
        <v>2.8813629999999999</v>
      </c>
      <c r="V7415">
        <v>5.0717190000000002E-2</v>
      </c>
      <c r="W7415">
        <v>3.2211289999999997E-2</v>
      </c>
      <c r="X7415">
        <v>0.99819340000000001</v>
      </c>
      <c r="Y7415">
        <v>0.2517317</v>
      </c>
      <c r="Z7415">
        <v>-0.14242759999999999</v>
      </c>
      <c r="AA7415">
        <v>0.95725939999999998</v>
      </c>
      <c r="AB7415">
        <v>30</v>
      </c>
      <c r="AC7415">
        <v>2.6818</v>
      </c>
      <c r="AD7415">
        <v>-1.108205606301</v>
      </c>
      <c r="AE7415">
        <v>6.9896999999999903</v>
      </c>
      <c r="AF7415">
        <v>1.9375108060584401</v>
      </c>
      <c r="AG7415">
        <v>-1.108205606301</v>
      </c>
      <c r="AH7415">
        <v>7.0651401714851501</v>
      </c>
      <c r="AI7415">
        <v>98.601938535053094</v>
      </c>
      <c r="AJ7415">
        <v>74.664490527672001</v>
      </c>
      <c r="AK7415">
        <v>7.4093369090738097</v>
      </c>
      <c r="AL7415">
        <v>88.154109605347401</v>
      </c>
      <c r="AM7415">
        <v>87.091361012467701</v>
      </c>
      <c r="AN7415">
        <v>0.99999993218425698</v>
      </c>
    </row>
    <row r="7416" spans="1:40" x14ac:dyDescent="0.25">
      <c r="A7416" t="str">
        <f>"20190312154442714"</f>
        <v>20190312154442714</v>
      </c>
      <c r="B7416" t="str">
        <f>"1552376682704932"</f>
        <v>1552376682704932</v>
      </c>
      <c r="C7416" t="s">
        <v>40</v>
      </c>
      <c r="D7416">
        <v>5.6571879999999997</v>
      </c>
      <c r="E7416">
        <v>0.55964199999999997</v>
      </c>
      <c r="F7416" t="s">
        <v>69</v>
      </c>
      <c r="G7416">
        <v>-184.07560000000001</v>
      </c>
      <c r="H7416" s="1">
        <v>-2.7812000000000002E-6</v>
      </c>
      <c r="I7416">
        <v>123.1956</v>
      </c>
      <c r="J7416">
        <v>-186.77619999999999</v>
      </c>
      <c r="K7416">
        <v>1.108123</v>
      </c>
      <c r="L7416">
        <v>116.20050000000001</v>
      </c>
      <c r="M7416">
        <v>0.1015505</v>
      </c>
      <c r="N7416">
        <v>0</v>
      </c>
      <c r="O7416">
        <v>0.99472700000000003</v>
      </c>
      <c r="P7416">
        <v>0.15001439999999999</v>
      </c>
      <c r="Q7416">
        <v>1.8811290000000001E-2</v>
      </c>
      <c r="R7416">
        <v>0.98850479999999996</v>
      </c>
      <c r="S7416">
        <v>1.079086</v>
      </c>
      <c r="T7416">
        <v>-0.43746950000000001</v>
      </c>
      <c r="U7416">
        <v>2.8799899999999998</v>
      </c>
      <c r="V7416">
        <v>4.9040250000000001E-2</v>
      </c>
      <c r="W7416">
        <v>3.2843709999999998E-2</v>
      </c>
      <c r="X7416">
        <v>0.99825660000000005</v>
      </c>
      <c r="Y7416">
        <v>0.25039119999999998</v>
      </c>
      <c r="Z7416">
        <v>-0.14193410000000001</v>
      </c>
      <c r="AA7416">
        <v>0.95768419999999999</v>
      </c>
      <c r="AB7416">
        <v>30</v>
      </c>
      <c r="AC7416">
        <v>2.7005999999999699</v>
      </c>
      <c r="AD7416">
        <v>-1.1081257812</v>
      </c>
      <c r="AE7416">
        <v>6.9950999999999901</v>
      </c>
      <c r="AF7416">
        <v>1.9339693332227399</v>
      </c>
      <c r="AG7416">
        <v>-1.1081257812</v>
      </c>
      <c r="AH7416">
        <v>7.0786097181149596</v>
      </c>
      <c r="AI7416">
        <v>98.587406801575</v>
      </c>
      <c r="AJ7416">
        <v>74.718972511635599</v>
      </c>
      <c r="AK7416">
        <v>7.4212462343057704</v>
      </c>
      <c r="AL7416">
        <v>88.117855449864507</v>
      </c>
      <c r="AM7416">
        <v>87.187554510411204</v>
      </c>
      <c r="AN7416">
        <v>0.99999994742509102</v>
      </c>
    </row>
    <row r="7417" spans="1:40" x14ac:dyDescent="0.25">
      <c r="A7417" t="str">
        <f>"20190312154442738"</f>
        <v>20190312154442738</v>
      </c>
      <c r="B7417" t="str">
        <f>"1552376682725430"</f>
        <v>1552376682725430</v>
      </c>
      <c r="C7417" t="s">
        <v>40</v>
      </c>
      <c r="D7417">
        <v>5.2371930000000004</v>
      </c>
      <c r="E7417">
        <v>0.49684060000000002</v>
      </c>
      <c r="F7417" t="s">
        <v>41</v>
      </c>
      <c r="G7417">
        <v>-186.4999</v>
      </c>
      <c r="H7417">
        <v>1.00396</v>
      </c>
      <c r="I7417">
        <v>117.0776</v>
      </c>
      <c r="J7417">
        <v>-186.7398</v>
      </c>
      <c r="K7417">
        <v>1.1080559999999999</v>
      </c>
      <c r="L7417">
        <v>116.5224</v>
      </c>
      <c r="M7417">
        <v>0.1048689</v>
      </c>
      <c r="N7417">
        <v>0</v>
      </c>
      <c r="O7417">
        <v>0.99438260000000001</v>
      </c>
      <c r="P7417">
        <v>0.1517309</v>
      </c>
      <c r="Q7417">
        <v>1.9714780000000001E-2</v>
      </c>
      <c r="R7417">
        <v>0.98822520000000003</v>
      </c>
      <c r="S7417">
        <v>0.91421509999999995</v>
      </c>
      <c r="T7417">
        <v>-0.3446825</v>
      </c>
      <c r="U7417">
        <v>2.902695</v>
      </c>
      <c r="V7417">
        <v>4.7454990000000002E-2</v>
      </c>
      <c r="W7417">
        <v>3.3750629999999997E-2</v>
      </c>
      <c r="X7417">
        <v>0.99830300000000005</v>
      </c>
      <c r="Y7417">
        <v>0.1967827</v>
      </c>
      <c r="Z7417">
        <v>-0.11310149999999999</v>
      </c>
      <c r="AA7417">
        <v>0.97390169999999998</v>
      </c>
      <c r="AB7417">
        <v>30</v>
      </c>
      <c r="AC7417">
        <v>0.239900000000005</v>
      </c>
      <c r="AD7417">
        <v>-0.10409599999999899</v>
      </c>
      <c r="AE7417">
        <v>0.55519999999999903</v>
      </c>
      <c r="AF7417">
        <v>0.175159033571747</v>
      </c>
      <c r="AG7417">
        <v>-0.10409599999999899</v>
      </c>
      <c r="AH7417">
        <v>0.56068949384946198</v>
      </c>
      <c r="AI7417">
        <v>100.049120653316</v>
      </c>
      <c r="AJ7417">
        <v>72.651229259025897</v>
      </c>
      <c r="AK7417">
        <v>0.59656464257526498</v>
      </c>
      <c r="AL7417">
        <v>88.065863991360501</v>
      </c>
      <c r="AM7417">
        <v>87.278456087862594</v>
      </c>
      <c r="AN7417">
        <v>0.99999998045514804</v>
      </c>
    </row>
    <row r="7418" spans="1:40" x14ac:dyDescent="0.25">
      <c r="A7418" t="str">
        <f>"20190312154442759"</f>
        <v>20190312154442759</v>
      </c>
      <c r="B7418" t="str">
        <f>"1552376682754709"</f>
        <v>1552376682754709</v>
      </c>
      <c r="C7418" t="s">
        <v>40</v>
      </c>
      <c r="D7418">
        <v>5.2965249999999999</v>
      </c>
      <c r="E7418">
        <v>0.48642980000000002</v>
      </c>
      <c r="F7418" t="s">
        <v>41</v>
      </c>
      <c r="G7418">
        <v>-186.6182</v>
      </c>
      <c r="H7418">
        <v>1.032343</v>
      </c>
      <c r="I7418">
        <v>117.3736</v>
      </c>
      <c r="J7418">
        <v>-186.7064</v>
      </c>
      <c r="K7418">
        <v>1.108017</v>
      </c>
      <c r="L7418">
        <v>116.80880000000001</v>
      </c>
      <c r="M7418">
        <v>0.10786809999999999</v>
      </c>
      <c r="N7418">
        <v>0</v>
      </c>
      <c r="O7418">
        <v>0.99406170000000005</v>
      </c>
      <c r="P7418">
        <v>0.15409149999999999</v>
      </c>
      <c r="Q7418">
        <v>1.9621260000000001E-2</v>
      </c>
      <c r="R7418">
        <v>0.98786180000000001</v>
      </c>
      <c r="S7418">
        <v>0.42492679999999999</v>
      </c>
      <c r="T7418">
        <v>-0.2647021</v>
      </c>
      <c r="U7418">
        <v>2.9757690000000001</v>
      </c>
      <c r="V7418">
        <v>4.6831009999999999E-2</v>
      </c>
      <c r="W7418">
        <v>3.3656739999999997E-2</v>
      </c>
      <c r="X7418">
        <v>0.99833570000000005</v>
      </c>
      <c r="Y7418">
        <v>3.319722E-2</v>
      </c>
      <c r="Z7418">
        <v>-8.7367230000000004E-2</v>
      </c>
      <c r="AA7418">
        <v>0.99562289999999998</v>
      </c>
      <c r="AB7418">
        <v>30</v>
      </c>
      <c r="AC7418">
        <v>8.82000000000005E-2</v>
      </c>
      <c r="AD7418">
        <v>-7.5674000000000005E-2</v>
      </c>
      <c r="AE7418">
        <v>0.56479999999999098</v>
      </c>
      <c r="AF7418">
        <v>2.62943036730383E-2</v>
      </c>
      <c r="AG7418">
        <v>-7.5674000000000005E-2</v>
      </c>
      <c r="AH7418">
        <v>0.56118442484063902</v>
      </c>
      <c r="AI7418">
        <v>97.671518635124599</v>
      </c>
      <c r="AJ7418">
        <v>87.317367486158901</v>
      </c>
      <c r="AK7418">
        <v>0.56687379844668095</v>
      </c>
      <c r="AL7418">
        <v>88.071246674296404</v>
      </c>
      <c r="AM7418">
        <v>87.314276439761599</v>
      </c>
      <c r="AN7418">
        <v>1.0000000447697599</v>
      </c>
    </row>
    <row r="7419" spans="1:40" x14ac:dyDescent="0.25">
      <c r="A7419" t="str">
        <f>"20190312154442781"</f>
        <v>20190312154442781</v>
      </c>
      <c r="B7419" t="str">
        <f>"1552376682775206"</f>
        <v>1552376682775206</v>
      </c>
      <c r="C7419" t="s">
        <v>40</v>
      </c>
      <c r="D7419">
        <v>5.283207</v>
      </c>
      <c r="E7419">
        <v>0.48513580000000001</v>
      </c>
      <c r="F7419" t="s">
        <v>41</v>
      </c>
      <c r="G7419">
        <v>-186.60810000000001</v>
      </c>
      <c r="H7419">
        <v>1.034035</v>
      </c>
      <c r="I7419">
        <v>117.6469</v>
      </c>
      <c r="J7419">
        <v>-186.67160000000001</v>
      </c>
      <c r="K7419">
        <v>1.1079889999999999</v>
      </c>
      <c r="L7419">
        <v>117.0989</v>
      </c>
      <c r="M7419">
        <v>0.11092630000000001</v>
      </c>
      <c r="N7419">
        <v>0</v>
      </c>
      <c r="O7419">
        <v>0.99372510000000003</v>
      </c>
      <c r="P7419">
        <v>0.15762909999999999</v>
      </c>
      <c r="Q7419">
        <v>1.794857E-2</v>
      </c>
      <c r="R7419">
        <v>0.98733530000000003</v>
      </c>
      <c r="S7419">
        <v>0.35006710000000002</v>
      </c>
      <c r="T7419">
        <v>-0.26369609999999999</v>
      </c>
      <c r="U7419">
        <v>2.9875029999999998</v>
      </c>
      <c r="V7419">
        <v>4.7323490000000003E-2</v>
      </c>
      <c r="W7419">
        <v>3.1977749999999999E-2</v>
      </c>
      <c r="X7419">
        <v>0.99836760000000002</v>
      </c>
      <c r="Y7419">
        <v>5.036497E-3</v>
      </c>
      <c r="Z7419">
        <v>-8.6819060000000003E-2</v>
      </c>
      <c r="AA7419">
        <v>0.99621130000000002</v>
      </c>
      <c r="AB7419">
        <v>30</v>
      </c>
      <c r="AC7419">
        <v>6.3500000000004705E-2</v>
      </c>
      <c r="AD7419">
        <v>-7.3953999999999798E-2</v>
      </c>
      <c r="AE7419">
        <v>0.54800000000000104</v>
      </c>
      <c r="AF7419">
        <v>2.2733160500349602E-3</v>
      </c>
      <c r="AG7419">
        <v>-7.3953999999999798E-2</v>
      </c>
      <c r="AH7419">
        <v>0.541923096842991</v>
      </c>
      <c r="AI7419">
        <v>97.770848311014305</v>
      </c>
      <c r="AJ7419">
        <v>89.759651042902902</v>
      </c>
      <c r="AK7419">
        <v>0.54695064217327805</v>
      </c>
      <c r="AL7419">
        <v>88.167497441582697</v>
      </c>
      <c r="AM7419">
        <v>87.286161671377002</v>
      </c>
      <c r="AN7419">
        <v>0.99999997696530096</v>
      </c>
    </row>
    <row r="7420" spans="1:40" x14ac:dyDescent="0.25">
      <c r="A7420" t="str">
        <f>"20190312154442803"</f>
        <v>20190312154442803</v>
      </c>
      <c r="B7420" t="str">
        <f>"1552376682794818"</f>
        <v>1552376682794818</v>
      </c>
      <c r="C7420" t="s">
        <v>40</v>
      </c>
      <c r="D7420">
        <v>5.264869</v>
      </c>
      <c r="E7420">
        <v>0.48426659999999999</v>
      </c>
      <c r="F7420" t="s">
        <v>41</v>
      </c>
      <c r="G7420">
        <v>-186.57570000000001</v>
      </c>
      <c r="H7420">
        <v>1.033863</v>
      </c>
      <c r="I7420">
        <v>117.91549999999999</v>
      </c>
      <c r="J7420">
        <v>-186.63419999999999</v>
      </c>
      <c r="K7420">
        <v>1.107982</v>
      </c>
      <c r="L7420">
        <v>117.4036</v>
      </c>
      <c r="M7420">
        <v>0.11413180000000001</v>
      </c>
      <c r="N7420">
        <v>0</v>
      </c>
      <c r="O7420">
        <v>0.99336210000000003</v>
      </c>
      <c r="P7420">
        <v>0.16136130000000001</v>
      </c>
      <c r="Q7420">
        <v>1.6287240000000001E-2</v>
      </c>
      <c r="R7420">
        <v>0.986761</v>
      </c>
      <c r="S7420">
        <v>0.3509216</v>
      </c>
      <c r="T7420">
        <v>-0.27115270000000002</v>
      </c>
      <c r="U7420">
        <v>2.9873959999999999</v>
      </c>
      <c r="V7420">
        <v>4.7864429999999999E-2</v>
      </c>
      <c r="W7420">
        <v>3.0311060000000001E-2</v>
      </c>
      <c r="X7420">
        <v>0.9983938</v>
      </c>
      <c r="Y7420">
        <v>2.0704389999999999E-3</v>
      </c>
      <c r="Z7420">
        <v>-8.9207910000000001E-2</v>
      </c>
      <c r="AA7420">
        <v>0.99601090000000003</v>
      </c>
      <c r="AB7420">
        <v>30</v>
      </c>
      <c r="AC7420">
        <v>5.8499999999980901E-2</v>
      </c>
      <c r="AD7420">
        <v>-7.4119000000000004E-2</v>
      </c>
      <c r="AE7420">
        <v>0.51189999999999702</v>
      </c>
      <c r="AF7420">
        <v>-3.0608347288575699E-4</v>
      </c>
      <c r="AG7420">
        <v>-7.4119000000000004E-2</v>
      </c>
      <c r="AH7420">
        <v>0.50478550226209196</v>
      </c>
      <c r="AI7420">
        <v>98.353200506884406</v>
      </c>
      <c r="AJ7420">
        <v>90.034742061622396</v>
      </c>
      <c r="AK7420">
        <v>0.51019812146075605</v>
      </c>
      <c r="AL7420">
        <v>88.263038096138999</v>
      </c>
      <c r="AM7420">
        <v>87.255259727296703</v>
      </c>
      <c r="AN7420">
        <v>0.99999997194799295</v>
      </c>
    </row>
    <row r="7421" spans="1:40" x14ac:dyDescent="0.25">
      <c r="A7421" t="str">
        <f>"20190312154442826"</f>
        <v>20190312154442826</v>
      </c>
      <c r="B7421" t="str">
        <f>"1552376682815315"</f>
        <v>1552376682815315</v>
      </c>
      <c r="C7421" t="s">
        <v>40</v>
      </c>
      <c r="D7421">
        <v>5.286416</v>
      </c>
      <c r="E7421">
        <v>0.4837978</v>
      </c>
      <c r="F7421" t="s">
        <v>41</v>
      </c>
      <c r="G7421">
        <v>-186.541</v>
      </c>
      <c r="H7421">
        <v>1.0355570000000001</v>
      </c>
      <c r="I7421">
        <v>118.18510000000001</v>
      </c>
      <c r="J7421">
        <v>-186.59620000000001</v>
      </c>
      <c r="K7421">
        <v>1.1080030000000001</v>
      </c>
      <c r="L7421">
        <v>117.7047</v>
      </c>
      <c r="M7421">
        <v>0.11725380000000001</v>
      </c>
      <c r="N7421">
        <v>0</v>
      </c>
      <c r="O7421">
        <v>0.99299850000000001</v>
      </c>
      <c r="P7421">
        <v>0.1642431</v>
      </c>
      <c r="Q7421">
        <v>1.6784509999999999E-2</v>
      </c>
      <c r="R7421">
        <v>0.98627710000000002</v>
      </c>
      <c r="S7421">
        <v>0.35543819999999998</v>
      </c>
      <c r="T7421">
        <v>-0.27670479999999997</v>
      </c>
      <c r="U7421">
        <v>2.9866790000000001</v>
      </c>
      <c r="V7421">
        <v>4.7645050000000001E-2</v>
      </c>
      <c r="W7421">
        <v>3.0809599999999999E-2</v>
      </c>
      <c r="X7421">
        <v>0.99838910000000003</v>
      </c>
      <c r="Y7421">
        <v>4.2093920000000002E-4</v>
      </c>
      <c r="Z7421">
        <v>-9.0983120000000001E-2</v>
      </c>
      <c r="AA7421">
        <v>0.99585239999999997</v>
      </c>
      <c r="AB7421">
        <v>30</v>
      </c>
      <c r="AC7421">
        <v>5.5200000000013398E-2</v>
      </c>
      <c r="AD7421">
        <v>-7.2445999999999997E-2</v>
      </c>
      <c r="AE7421">
        <v>0.48040000000000299</v>
      </c>
      <c r="AF7421">
        <v>-1.4820978472854099E-3</v>
      </c>
      <c r="AG7421">
        <v>-7.2445999999999997E-2</v>
      </c>
      <c r="AH7421">
        <v>0.47294320808214202</v>
      </c>
      <c r="AI7421">
        <v>98.708897330350894</v>
      </c>
      <c r="AJ7421">
        <v>90.179551523407099</v>
      </c>
      <c r="AK7421">
        <v>0.47846201270430799</v>
      </c>
      <c r="AL7421">
        <v>88.234460626967405</v>
      </c>
      <c r="AM7421">
        <v>87.267807916704498</v>
      </c>
      <c r="AN7421">
        <v>1.0000000386202299</v>
      </c>
    </row>
    <row r="7422" spans="1:40" x14ac:dyDescent="0.25">
      <c r="A7422" t="str">
        <f>"20190312154442850"</f>
        <v>20190312154442850</v>
      </c>
      <c r="B7422" t="str">
        <f>"1552376682844594"</f>
        <v>1552376682844594</v>
      </c>
      <c r="C7422" t="s">
        <v>40</v>
      </c>
      <c r="D7422">
        <v>5.3298699999999997</v>
      </c>
      <c r="E7422">
        <v>0.48289559999999998</v>
      </c>
      <c r="F7422" t="s">
        <v>41</v>
      </c>
      <c r="G7422">
        <v>-186.50559999999999</v>
      </c>
      <c r="H7422">
        <v>1.0383560000000001</v>
      </c>
      <c r="I7422">
        <v>118.4552</v>
      </c>
      <c r="J7422">
        <v>-186.55600000000001</v>
      </c>
      <c r="K7422">
        <v>1.108063</v>
      </c>
      <c r="L7422">
        <v>118.01649999999999</v>
      </c>
      <c r="M7422">
        <v>0.1203799</v>
      </c>
      <c r="N7422">
        <v>0</v>
      </c>
      <c r="O7422">
        <v>0.99262439999999996</v>
      </c>
      <c r="P7422">
        <v>0.16687759999999999</v>
      </c>
      <c r="Q7422">
        <v>1.8170160000000001E-2</v>
      </c>
      <c r="R7422">
        <v>0.98581019999999997</v>
      </c>
      <c r="S7422">
        <v>0.36036679999999999</v>
      </c>
      <c r="T7422">
        <v>-0.27716059999999998</v>
      </c>
      <c r="U7422">
        <v>2.98645</v>
      </c>
      <c r="V7422">
        <v>4.717532E-2</v>
      </c>
      <c r="W7422">
        <v>3.2201269999999997E-2</v>
      </c>
      <c r="X7422">
        <v>0.99836740000000002</v>
      </c>
      <c r="Y7422">
        <v>-1.0999250000000001E-3</v>
      </c>
      <c r="Z7422">
        <v>-9.1078409999999999E-2</v>
      </c>
      <c r="AA7422">
        <v>0.99584309999999998</v>
      </c>
      <c r="AB7422">
        <v>30</v>
      </c>
      <c r="AC7422">
        <v>5.0399999999996198E-2</v>
      </c>
      <c r="AD7422">
        <v>-6.9706999999999894E-2</v>
      </c>
      <c r="AE7422">
        <v>0.43870000000001103</v>
      </c>
      <c r="AF7422">
        <v>-2.7150237909837499E-3</v>
      </c>
      <c r="AG7422">
        <v>-6.9706999999999894E-2</v>
      </c>
      <c r="AH7422">
        <v>0.43084090576430201</v>
      </c>
      <c r="AI7422">
        <v>99.190230972751607</v>
      </c>
      <c r="AJ7422">
        <v>90.361055190713401</v>
      </c>
      <c r="AK7422">
        <v>0.43645197133589603</v>
      </c>
      <c r="AL7422">
        <v>88.154684038103298</v>
      </c>
      <c r="AM7422">
        <v>87.294645523353495</v>
      </c>
      <c r="AN7422">
        <v>0.99999994899473599</v>
      </c>
    </row>
    <row r="7423" spans="1:40" x14ac:dyDescent="0.25">
      <c r="A7423" t="str">
        <f>"20190312154442871"</f>
        <v>20190312154442871</v>
      </c>
      <c r="B7423" t="str">
        <f>"1552376682865090"</f>
        <v>1552376682865090</v>
      </c>
      <c r="C7423" t="s">
        <v>40</v>
      </c>
      <c r="D7423">
        <v>5.4084450000000004</v>
      </c>
      <c r="E7423">
        <v>0.4407935</v>
      </c>
      <c r="F7423" t="s">
        <v>41</v>
      </c>
      <c r="G7423">
        <v>-186.43989999999999</v>
      </c>
      <c r="H7423">
        <v>1.019925</v>
      </c>
      <c r="I7423">
        <v>118.9773</v>
      </c>
      <c r="J7423">
        <v>-186.5179</v>
      </c>
      <c r="K7423">
        <v>1.108155</v>
      </c>
      <c r="L7423">
        <v>118.3049</v>
      </c>
      <c r="M7423">
        <v>0.123127</v>
      </c>
      <c r="N7423">
        <v>0</v>
      </c>
      <c r="O7423">
        <v>0.99228749999999999</v>
      </c>
      <c r="P7423">
        <v>0.16828180000000001</v>
      </c>
      <c r="Q7423">
        <v>1.9324279999999999E-2</v>
      </c>
      <c r="R7423">
        <v>0.98554949999999997</v>
      </c>
      <c r="S7423">
        <v>0.36100769999999999</v>
      </c>
      <c r="T7423">
        <v>-0.27405740000000001</v>
      </c>
      <c r="U7423">
        <v>2.9871370000000002</v>
      </c>
      <c r="V7423">
        <v>4.5835399999999998E-2</v>
      </c>
      <c r="W7423">
        <v>3.3368889999999998E-2</v>
      </c>
      <c r="X7423">
        <v>0.99839149999999999</v>
      </c>
      <c r="Y7423">
        <v>-3.672795E-3</v>
      </c>
      <c r="Z7423">
        <v>-8.9999529999999994E-2</v>
      </c>
      <c r="AA7423">
        <v>0.99593500000000001</v>
      </c>
      <c r="AB7423">
        <v>30</v>
      </c>
      <c r="AC7423">
        <v>7.80000000000029E-2</v>
      </c>
      <c r="AD7423">
        <v>-8.8230000000000003E-2</v>
      </c>
      <c r="AE7423">
        <v>0.672399999999996</v>
      </c>
      <c r="AF7423">
        <v>-5.3026359289145902E-3</v>
      </c>
      <c r="AG7423">
        <v>-8.8230000000000003E-2</v>
      </c>
      <c r="AH7423">
        <v>0.66557984792944302</v>
      </c>
      <c r="AI7423">
        <v>97.5509295230883</v>
      </c>
      <c r="AJ7423">
        <v>90.456462484857497</v>
      </c>
      <c r="AK7423">
        <v>0.67142325311056605</v>
      </c>
      <c r="AL7423">
        <v>88.087748403386598</v>
      </c>
      <c r="AM7423">
        <v>87.371439685646195</v>
      </c>
      <c r="AN7423">
        <v>0.99999997699262</v>
      </c>
    </row>
    <row r="7424" spans="1:40" x14ac:dyDescent="0.25">
      <c r="A7424" t="str">
        <f>"20190312154442894"</f>
        <v>20190312154442894</v>
      </c>
      <c r="B7424" t="str">
        <f>"1552376682884617"</f>
        <v>1552376682884617</v>
      </c>
      <c r="C7424" t="s">
        <v>40</v>
      </c>
      <c r="D7424">
        <v>5.3483689999999999</v>
      </c>
      <c r="E7424">
        <v>0.42973479999999997</v>
      </c>
      <c r="F7424" t="s">
        <v>69</v>
      </c>
      <c r="G7424">
        <v>-186.3417</v>
      </c>
      <c r="H7424" s="1">
        <v>-6.3586740000000003E-6</v>
      </c>
      <c r="I7424">
        <v>133.67160000000001</v>
      </c>
      <c r="J7424">
        <v>-186.47919999999999</v>
      </c>
      <c r="K7424">
        <v>1.1082639999999999</v>
      </c>
      <c r="L7424">
        <v>118.5936</v>
      </c>
      <c r="M7424">
        <v>0.1257441</v>
      </c>
      <c r="N7424">
        <v>0</v>
      </c>
      <c r="O7424">
        <v>0.99195929999999999</v>
      </c>
      <c r="P7424">
        <v>0.1688162</v>
      </c>
      <c r="Q7424">
        <v>2.0484820000000001E-2</v>
      </c>
      <c r="R7424">
        <v>0.9854347</v>
      </c>
      <c r="S7424">
        <v>3.4881589999999997E-2</v>
      </c>
      <c r="T7424">
        <v>-0.2193956</v>
      </c>
      <c r="U7424">
        <v>3.0423429999999998</v>
      </c>
      <c r="V7424">
        <v>4.3742339999999998E-2</v>
      </c>
      <c r="W7424">
        <v>3.4549339999999998E-2</v>
      </c>
      <c r="X7424">
        <v>0.99844529999999998</v>
      </c>
      <c r="Y7424">
        <v>-0.11440309999999999</v>
      </c>
      <c r="Z7424">
        <v>-7.0833270000000004E-2</v>
      </c>
      <c r="AA7424">
        <v>0.99090590000000001</v>
      </c>
      <c r="AB7424">
        <v>30</v>
      </c>
      <c r="AC7424">
        <v>0.13749999999998799</v>
      </c>
      <c r="AD7424">
        <v>-1.1082703586739999</v>
      </c>
      <c r="AE7424">
        <v>15.077999999999999</v>
      </c>
      <c r="AF7424">
        <v>-1.75030025773336</v>
      </c>
      <c r="AG7424">
        <v>-1.1082703586739999</v>
      </c>
      <c r="AH7424">
        <v>14.8951225676572</v>
      </c>
      <c r="AI7424">
        <v>94.226274668121903</v>
      </c>
      <c r="AJ7424">
        <v>96.701993885371806</v>
      </c>
      <c r="AK7424">
        <v>15.0385002738194</v>
      </c>
      <c r="AL7424">
        <v>88.020074673463697</v>
      </c>
      <c r="AM7424">
        <v>87.491450108107401</v>
      </c>
      <c r="AN7424">
        <v>1.0000000331476</v>
      </c>
    </row>
    <row r="7425" spans="1:40" x14ac:dyDescent="0.25">
      <c r="A7425" t="str">
        <f>"20190312154442915"</f>
        <v>20190312154442915</v>
      </c>
      <c r="B7425" t="str">
        <f>"1552376682905106"</f>
        <v>1552376682905106</v>
      </c>
      <c r="C7425" t="s">
        <v>40</v>
      </c>
      <c r="D7425">
        <v>5.3262549999999997</v>
      </c>
      <c r="E7425">
        <v>0.42598750000000002</v>
      </c>
      <c r="F7425" t="s">
        <v>69</v>
      </c>
      <c r="G7425">
        <v>-186.7414</v>
      </c>
      <c r="H7425" s="1">
        <v>-6.5598509999999998E-6</v>
      </c>
      <c r="I7425">
        <v>134.37309999999999</v>
      </c>
      <c r="J7425">
        <v>-186.4376</v>
      </c>
      <c r="K7425">
        <v>1.1084080000000001</v>
      </c>
      <c r="L7425">
        <v>118.89879999999999</v>
      </c>
      <c r="M7425">
        <v>0.1283089</v>
      </c>
      <c r="N7425">
        <v>0</v>
      </c>
      <c r="O7425">
        <v>0.99163089999999998</v>
      </c>
      <c r="P7425">
        <v>0.1699331</v>
      </c>
      <c r="Q7425">
        <v>2.0386339999999999E-2</v>
      </c>
      <c r="R7425">
        <v>0.98524469999999997</v>
      </c>
      <c r="S7425">
        <v>-5.0811769999999999E-2</v>
      </c>
      <c r="T7425">
        <v>-0.2147453</v>
      </c>
      <c r="U7425">
        <v>3.0575260000000002</v>
      </c>
      <c r="V7425">
        <v>4.2278459999999997E-2</v>
      </c>
      <c r="W7425">
        <v>3.446784E-2</v>
      </c>
      <c r="X7425">
        <v>0.99851109999999998</v>
      </c>
      <c r="Y7425">
        <v>-0.14474189999999901</v>
      </c>
      <c r="Z7425">
        <v>-6.8820229999999996E-2</v>
      </c>
      <c r="AA7425">
        <v>0.98707319999999998</v>
      </c>
      <c r="AB7425">
        <v>30</v>
      </c>
      <c r="AC7425">
        <v>-0.30379999999999502</v>
      </c>
      <c r="AD7425">
        <v>-1.108414559851</v>
      </c>
      <c r="AE7425">
        <v>15.474299999999999</v>
      </c>
      <c r="AF7425">
        <v>-2.2753126837520199</v>
      </c>
      <c r="AG7425">
        <v>-1.108414559851</v>
      </c>
      <c r="AH7425">
        <v>15.229274980741801</v>
      </c>
      <c r="AI7425">
        <v>94.117214084939803</v>
      </c>
      <c r="AJ7425">
        <v>98.497358789088807</v>
      </c>
      <c r="AK7425">
        <v>15.4381490822048</v>
      </c>
      <c r="AL7425">
        <v>88.024746914700501</v>
      </c>
      <c r="AM7425">
        <v>87.575458838129705</v>
      </c>
      <c r="AN7425">
        <v>0.99999995849872203</v>
      </c>
    </row>
    <row r="7426" spans="1:40" x14ac:dyDescent="0.25">
      <c r="A7426" t="str">
        <f>"20190312154442929"</f>
        <v>20190312154442929</v>
      </c>
      <c r="B7426" t="str">
        <f>"1552376682924627"</f>
        <v>1552376682924627</v>
      </c>
      <c r="C7426" t="s">
        <v>40</v>
      </c>
      <c r="D7426">
        <v>5.3430900000000001</v>
      </c>
      <c r="E7426">
        <v>0.42288730000000002</v>
      </c>
      <c r="F7426" t="s">
        <v>69</v>
      </c>
      <c r="G7426">
        <v>-186.81729999999999</v>
      </c>
      <c r="H7426" s="1">
        <v>-6.3951890000000001E-6</v>
      </c>
      <c r="I7426">
        <v>133.87209999999999</v>
      </c>
      <c r="J7426">
        <v>-186.41249999999999</v>
      </c>
      <c r="K7426">
        <v>1.108508</v>
      </c>
      <c r="L7426">
        <v>119.0814</v>
      </c>
      <c r="M7426">
        <v>0.1297413</v>
      </c>
      <c r="N7426">
        <v>0</v>
      </c>
      <c r="O7426">
        <v>0.99144460000000001</v>
      </c>
      <c r="P7426">
        <v>0.17063729999999999</v>
      </c>
      <c r="Q7426">
        <v>2.0477080000000002E-2</v>
      </c>
      <c r="R7426">
        <v>0.98512109999999997</v>
      </c>
      <c r="S7426">
        <v>-7.7667239999999999E-2</v>
      </c>
      <c r="T7426">
        <v>-0.22674369999999999</v>
      </c>
      <c r="U7426">
        <v>3.0630190000000002</v>
      </c>
      <c r="V7426">
        <v>4.1541849999999998E-2</v>
      </c>
      <c r="W7426">
        <v>3.4568399999999999E-2</v>
      </c>
      <c r="X7426">
        <v>0.99853860000000005</v>
      </c>
      <c r="Y7426">
        <v>-0.15477759999999999</v>
      </c>
      <c r="Z7426">
        <v>-7.2431850000000006E-2</v>
      </c>
      <c r="AA7426">
        <v>0.98529060000000002</v>
      </c>
      <c r="AB7426">
        <v>30</v>
      </c>
      <c r="AC7426">
        <v>-0.404799999999994</v>
      </c>
      <c r="AD7426">
        <v>-1.108514395189</v>
      </c>
      <c r="AE7426">
        <v>14.7906999999999</v>
      </c>
      <c r="AF7426">
        <v>-2.3075870171871902</v>
      </c>
      <c r="AG7426">
        <v>-1.108514395189</v>
      </c>
      <c r="AH7426">
        <v>14.531573924045</v>
      </c>
      <c r="AI7426">
        <v>94.308476974528205</v>
      </c>
      <c r="AJ7426">
        <v>99.023122117137902</v>
      </c>
      <c r="AK7426">
        <v>14.7553516635903</v>
      </c>
      <c r="AL7426">
        <v>88.018981932484095</v>
      </c>
      <c r="AM7426">
        <v>87.617717615459796</v>
      </c>
      <c r="AN7426">
        <v>1.0000000176349699</v>
      </c>
    </row>
    <row r="7427" spans="1:40" x14ac:dyDescent="0.25">
      <c r="A7427" t="str">
        <f>"20190312154442949"</f>
        <v>20190312154442949</v>
      </c>
      <c r="B7427" t="str">
        <f>"1552376682934387"</f>
        <v>1552376682934387</v>
      </c>
      <c r="C7427" t="s">
        <v>40</v>
      </c>
      <c r="D7427">
        <v>5.2790109999999997</v>
      </c>
      <c r="E7427">
        <v>0.4218478</v>
      </c>
      <c r="F7427" t="s">
        <v>69</v>
      </c>
      <c r="G7427">
        <v>-186.91380000000001</v>
      </c>
      <c r="H7427" s="1">
        <v>-6.5592179999999999E-6</v>
      </c>
      <c r="I7427">
        <v>134.4024</v>
      </c>
      <c r="J7427">
        <v>-186.37860000000001</v>
      </c>
      <c r="K7427">
        <v>1.1086659999999999</v>
      </c>
      <c r="L7427">
        <v>119.3258</v>
      </c>
      <c r="M7427">
        <v>0.13147710000000001</v>
      </c>
      <c r="N7427">
        <v>0</v>
      </c>
      <c r="O7427">
        <v>0.99121590000000004</v>
      </c>
      <c r="P7427">
        <v>0.17279</v>
      </c>
      <c r="Q7427">
        <v>2.0530679999999999E-2</v>
      </c>
      <c r="R7427">
        <v>0.98474470000000003</v>
      </c>
      <c r="S7427">
        <v>-0.1003723</v>
      </c>
      <c r="T7427">
        <v>-0.22192780000000001</v>
      </c>
      <c r="U7427">
        <v>3.067307</v>
      </c>
      <c r="V7427">
        <v>4.1963239999999999E-2</v>
      </c>
      <c r="W7427">
        <v>3.4628920000000001E-2</v>
      </c>
      <c r="X7427">
        <v>0.99851889999999999</v>
      </c>
      <c r="Y7427">
        <v>-0.16375709999999999</v>
      </c>
      <c r="Z7427">
        <v>-7.0718210000000004E-2</v>
      </c>
      <c r="AA7427">
        <v>0.98396269999999997</v>
      </c>
      <c r="AB7427">
        <v>30</v>
      </c>
      <c r="AC7427">
        <v>-0.53520000000000301</v>
      </c>
      <c r="AD7427">
        <v>-1.108672559218</v>
      </c>
      <c r="AE7427">
        <v>15.076599999999999</v>
      </c>
      <c r="AF7427">
        <v>-2.49948469953442</v>
      </c>
      <c r="AG7427">
        <v>-1.108672559218</v>
      </c>
      <c r="AH7427">
        <v>14.795416375391801</v>
      </c>
      <c r="AI7427">
        <v>94.225711153835505</v>
      </c>
      <c r="AJ7427">
        <v>99.588808034988702</v>
      </c>
      <c r="AK7427">
        <v>15.0459603989902</v>
      </c>
      <c r="AL7427">
        <v>88.0155123484125</v>
      </c>
      <c r="AM7427">
        <v>87.593533191520706</v>
      </c>
      <c r="AN7427">
        <v>1.00000003463443</v>
      </c>
    </row>
    <row r="7428" spans="1:40" x14ac:dyDescent="0.25">
      <c r="A7428" t="str">
        <f>"20190312154442970"</f>
        <v>20190312154442970</v>
      </c>
      <c r="B7428" t="str">
        <f>"1552376682964643"</f>
        <v>1552376682964643</v>
      </c>
      <c r="C7428" t="s">
        <v>40</v>
      </c>
      <c r="D7428">
        <v>5.3607170000000002</v>
      </c>
      <c r="E7428">
        <v>0.41985739999999999</v>
      </c>
      <c r="F7428" t="s">
        <v>69</v>
      </c>
      <c r="G7428">
        <v>-186.8931</v>
      </c>
      <c r="H7428" s="1">
        <v>-6.6509049999999996E-6</v>
      </c>
      <c r="I7428">
        <v>134.68530000000001</v>
      </c>
      <c r="J7428">
        <v>-186.3366</v>
      </c>
      <c r="K7428">
        <v>1.1089059999999999</v>
      </c>
      <c r="L7428">
        <v>119.6259</v>
      </c>
      <c r="M7428">
        <v>0.1332922</v>
      </c>
      <c r="N7428">
        <v>0</v>
      </c>
      <c r="O7428">
        <v>0.99097369999999996</v>
      </c>
      <c r="P7428">
        <v>0.1754559</v>
      </c>
      <c r="Q7428">
        <v>1.9896730000000001E-2</v>
      </c>
      <c r="R7428">
        <v>0.9842862</v>
      </c>
      <c r="S7428">
        <v>-0.10281369999999999</v>
      </c>
      <c r="T7428">
        <v>-0.22153519999999999</v>
      </c>
      <c r="U7428">
        <v>3.0691380000000001</v>
      </c>
      <c r="V7428">
        <v>4.2814789999999998E-2</v>
      </c>
      <c r="W7428">
        <v>3.4005590000000002E-2</v>
      </c>
      <c r="X7428">
        <v>0.99850419999999995</v>
      </c>
      <c r="Y7428">
        <v>-0.16632620000000001</v>
      </c>
      <c r="Z7428">
        <v>-7.0509260000000004E-2</v>
      </c>
      <c r="AA7428">
        <v>0.9835467</v>
      </c>
      <c r="AB7428">
        <v>30</v>
      </c>
      <c r="AC7428">
        <v>-0.556499999999999</v>
      </c>
      <c r="AD7428">
        <v>-1.108912650905</v>
      </c>
      <c r="AE7428">
        <v>15.0594</v>
      </c>
      <c r="AF7428">
        <v>-2.5452566684645199</v>
      </c>
      <c r="AG7428">
        <v>-1.108912650905</v>
      </c>
      <c r="AH7428">
        <v>14.7708275680088</v>
      </c>
      <c r="AI7428">
        <v>94.231270118330997</v>
      </c>
      <c r="AJ7428">
        <v>99.776990974091504</v>
      </c>
      <c r="AK7428">
        <v>15.029483218645501</v>
      </c>
      <c r="AL7428">
        <v>88.051247627586605</v>
      </c>
      <c r="AM7428">
        <v>87.544722401083803</v>
      </c>
      <c r="AN7428">
        <v>1.00000006190581</v>
      </c>
    </row>
    <row r="7429" spans="1:40" x14ac:dyDescent="0.25">
      <c r="A7429" t="str">
        <f>"20190312154442985"</f>
        <v>20190312154442985</v>
      </c>
      <c r="B7429" t="str">
        <f>"1552376682975378"</f>
        <v>1552376682975378</v>
      </c>
      <c r="C7429" t="s">
        <v>40</v>
      </c>
      <c r="D7429">
        <v>5.3742269999999897</v>
      </c>
      <c r="E7429">
        <v>0.41937920000000001</v>
      </c>
      <c r="F7429" t="s">
        <v>69</v>
      </c>
      <c r="G7429">
        <v>-186.8631</v>
      </c>
      <c r="H7429" s="1">
        <v>-6.5182609999999999E-6</v>
      </c>
      <c r="I7429">
        <v>134.26509999999999</v>
      </c>
      <c r="J7429">
        <v>-186.31049999999999</v>
      </c>
      <c r="K7429">
        <v>1.109065</v>
      </c>
      <c r="L7429">
        <v>119.81140000000001</v>
      </c>
      <c r="M7429">
        <v>0.13426450000000001</v>
      </c>
      <c r="N7429">
        <v>0</v>
      </c>
      <c r="O7429">
        <v>0.99084249999999996</v>
      </c>
      <c r="P7429">
        <v>0.17671719999999999</v>
      </c>
      <c r="Q7429">
        <v>1.9838020000000001E-2</v>
      </c>
      <c r="R7429">
        <v>0.98406170000000004</v>
      </c>
      <c r="S7429">
        <v>-0.1104889</v>
      </c>
      <c r="T7429">
        <v>-0.2327244</v>
      </c>
      <c r="U7429">
        <v>3.0722960000000001</v>
      </c>
      <c r="V7429">
        <v>4.3101559999999997E-2</v>
      </c>
      <c r="W7429">
        <v>3.3956970000000003E-2</v>
      </c>
      <c r="X7429">
        <v>0.99849339999999998</v>
      </c>
      <c r="Y7429">
        <v>-0.16970370000000001</v>
      </c>
      <c r="Z7429">
        <v>-7.3935210000000001E-2</v>
      </c>
      <c r="AA7429">
        <v>0.98271779999999997</v>
      </c>
      <c r="AB7429">
        <v>30</v>
      </c>
      <c r="AC7429">
        <v>-0.55260000000001197</v>
      </c>
      <c r="AD7429">
        <v>-1.109071518261</v>
      </c>
      <c r="AE7429">
        <v>14.4536999999999</v>
      </c>
      <c r="AF7429">
        <v>-2.4738677831099598</v>
      </c>
      <c r="AG7429">
        <v>-1.109071518261</v>
      </c>
      <c r="AH7429">
        <v>14.165318066129901</v>
      </c>
      <c r="AI7429">
        <v>94.410348475110993</v>
      </c>
      <c r="AJ7429">
        <v>99.906374518193701</v>
      </c>
      <c r="AK7429">
        <v>14.4224234217261</v>
      </c>
      <c r="AL7429">
        <v>88.054034730526297</v>
      </c>
      <c r="AM7429">
        <v>87.5282707766345</v>
      </c>
      <c r="AN7429">
        <v>0.99999994506478496</v>
      </c>
    </row>
    <row r="7430" spans="1:40" x14ac:dyDescent="0.25">
      <c r="A7430" t="str">
        <f>"20190312154443004"</f>
        <v>20190312154443004</v>
      </c>
      <c r="B7430" t="str">
        <f>"1552376682994899"</f>
        <v>1552376682994899</v>
      </c>
      <c r="C7430" t="s">
        <v>40</v>
      </c>
      <c r="D7430">
        <v>5.4365350000000001</v>
      </c>
      <c r="E7430">
        <v>0.41860940000000002</v>
      </c>
      <c r="F7430" t="s">
        <v>69</v>
      </c>
      <c r="G7430">
        <v>-186.8289</v>
      </c>
      <c r="H7430" s="1">
        <v>-6.5129370000000003E-6</v>
      </c>
      <c r="I7430">
        <v>134.2423</v>
      </c>
      <c r="J7430">
        <v>-186.2747</v>
      </c>
      <c r="K7430">
        <v>1.1092900000000001</v>
      </c>
      <c r="L7430">
        <v>120.0656</v>
      </c>
      <c r="M7430">
        <v>0.13540379999999999</v>
      </c>
      <c r="N7430">
        <v>0</v>
      </c>
      <c r="O7430">
        <v>0.99068750000000005</v>
      </c>
      <c r="P7430">
        <v>0.1783904</v>
      </c>
      <c r="Q7430">
        <v>2.0930339999999999E-2</v>
      </c>
      <c r="R7430">
        <v>0.98373719999999998</v>
      </c>
      <c r="S7430">
        <v>-0.1103821</v>
      </c>
      <c r="T7430">
        <v>-0.23618529999999999</v>
      </c>
      <c r="U7430">
        <v>3.0731660000000001</v>
      </c>
      <c r="V7430">
        <v>4.3640400000000003E-2</v>
      </c>
      <c r="W7430">
        <v>3.5062099999999999E-2</v>
      </c>
      <c r="X7430">
        <v>0.99843190000000004</v>
      </c>
      <c r="Y7430">
        <v>-0.17078969999999999</v>
      </c>
      <c r="Z7430">
        <v>-7.4982279999999998E-2</v>
      </c>
      <c r="AA7430">
        <v>0.98245020000000005</v>
      </c>
      <c r="AB7430">
        <v>30</v>
      </c>
      <c r="AC7430">
        <v>-0.55420000000000802</v>
      </c>
      <c r="AD7430">
        <v>-1.1092965129369901</v>
      </c>
      <c r="AE7430">
        <v>14.176699999999901</v>
      </c>
      <c r="AF7430">
        <v>-2.4538685650501302</v>
      </c>
      <c r="AG7430">
        <v>-1.1092965129369901</v>
      </c>
      <c r="AH7430">
        <v>13.886172899703499</v>
      </c>
      <c r="AI7430">
        <v>94.497974628027606</v>
      </c>
      <c r="AJ7430">
        <v>100.021454117014</v>
      </c>
      <c r="AK7430">
        <v>14.1448862663726</v>
      </c>
      <c r="AL7430">
        <v>87.990677906769903</v>
      </c>
      <c r="AM7430">
        <v>87.497255207961302</v>
      </c>
      <c r="AN7430">
        <v>1.0000000471530801</v>
      </c>
    </row>
    <row r="7431" spans="1:40" x14ac:dyDescent="0.25">
      <c r="A7431" t="str">
        <f>"20190312154443027"</f>
        <v>20190312154443027</v>
      </c>
      <c r="B7431" t="str">
        <f>"1552376683014419"</f>
        <v>1552376683014419</v>
      </c>
      <c r="C7431" t="s">
        <v>40</v>
      </c>
      <c r="D7431">
        <v>5.328036</v>
      </c>
      <c r="E7431">
        <v>0.4175432</v>
      </c>
      <c r="F7431" t="s">
        <v>69</v>
      </c>
      <c r="G7431">
        <v>-186.78829999999999</v>
      </c>
      <c r="H7431" s="1">
        <v>-6.518633E-6</v>
      </c>
      <c r="I7431">
        <v>134.2527</v>
      </c>
      <c r="J7431">
        <v>-186.2329</v>
      </c>
      <c r="K7431">
        <v>1.109553</v>
      </c>
      <c r="L7431">
        <v>120.36239999999999</v>
      </c>
      <c r="M7431">
        <v>0.13643910000000001</v>
      </c>
      <c r="N7431">
        <v>0</v>
      </c>
      <c r="O7431">
        <v>0.99054560000000003</v>
      </c>
      <c r="P7431">
        <v>0.17929429999999999</v>
      </c>
      <c r="Q7431">
        <v>2.4144619999999999E-2</v>
      </c>
      <c r="R7431">
        <v>0.98349920000000002</v>
      </c>
      <c r="S7431">
        <v>-0.1112976</v>
      </c>
      <c r="T7431">
        <v>-0.24042749999999999</v>
      </c>
      <c r="U7431">
        <v>3.0748899999999999</v>
      </c>
      <c r="V7431">
        <v>4.3510760000000002E-2</v>
      </c>
      <c r="W7431">
        <v>3.829432E-2</v>
      </c>
      <c r="X7431">
        <v>0.99831879999999995</v>
      </c>
      <c r="Y7431">
        <v>-0.17208789999999999</v>
      </c>
      <c r="Z7431">
        <v>-7.6252619999999993E-2</v>
      </c>
      <c r="AA7431">
        <v>0.9821259</v>
      </c>
      <c r="AB7431">
        <v>30</v>
      </c>
      <c r="AC7431">
        <v>-0.55539999999999101</v>
      </c>
      <c r="AD7431">
        <v>-1.1095595186330001</v>
      </c>
      <c r="AE7431">
        <v>13.8903</v>
      </c>
      <c r="AF7431">
        <v>-2.4300969451608498</v>
      </c>
      <c r="AG7431">
        <v>-1.1095595186330001</v>
      </c>
      <c r="AH7431">
        <v>13.5979637565852</v>
      </c>
      <c r="AI7431">
        <v>94.592416284458295</v>
      </c>
      <c r="AJ7431">
        <v>100.13238544939701</v>
      </c>
      <c r="AK7431">
        <v>13.8578898759397</v>
      </c>
      <c r="AL7431">
        <v>87.805360545872801</v>
      </c>
      <c r="AM7431">
        <v>87.5043982163631</v>
      </c>
      <c r="AN7431">
        <v>1.0000000338067301</v>
      </c>
    </row>
    <row r="7432" spans="1:40" x14ac:dyDescent="0.25">
      <c r="A7432" t="str">
        <f>"20190312154443042"</f>
        <v>20190312154443042</v>
      </c>
      <c r="B7432" t="str">
        <f>"1552376683034915"</f>
        <v>1552376683034915</v>
      </c>
      <c r="C7432" t="s">
        <v>40</v>
      </c>
      <c r="D7432">
        <v>5.3437640000000002</v>
      </c>
      <c r="E7432">
        <v>0.41652830000000002</v>
      </c>
      <c r="F7432" t="s">
        <v>69</v>
      </c>
      <c r="G7432">
        <v>-186.77969999999999</v>
      </c>
      <c r="H7432" s="1">
        <v>-6.7078819999999997E-6</v>
      </c>
      <c r="I7432">
        <v>134.84280000000001</v>
      </c>
      <c r="J7432">
        <v>-186.2047</v>
      </c>
      <c r="K7432">
        <v>1.1097269999999999</v>
      </c>
      <c r="L7432">
        <v>120.5628</v>
      </c>
      <c r="M7432">
        <v>0.136926399999999</v>
      </c>
      <c r="N7432">
        <v>0</v>
      </c>
      <c r="O7432">
        <v>0.99047839999999998</v>
      </c>
      <c r="P7432">
        <v>0.17945329999999901</v>
      </c>
      <c r="Q7432">
        <v>2.5724150000000001E-2</v>
      </c>
      <c r="R7432">
        <v>0.98343009999999997</v>
      </c>
      <c r="S7432">
        <v>-0.1161957</v>
      </c>
      <c r="T7432">
        <v>-0.2357979</v>
      </c>
      <c r="U7432">
        <v>3.0773009999999998</v>
      </c>
      <c r="V7432">
        <v>4.317381E-2</v>
      </c>
      <c r="W7432">
        <v>3.9886690000000002E-2</v>
      </c>
      <c r="X7432">
        <v>0.99827100000000002</v>
      </c>
      <c r="Y7432">
        <v>-0.17410999999999999</v>
      </c>
      <c r="Z7432">
        <v>-7.471121E-2</v>
      </c>
      <c r="AA7432">
        <v>0.98188790000000004</v>
      </c>
      <c r="AB7432">
        <v>30</v>
      </c>
      <c r="AC7432">
        <v>-0.57499999999998797</v>
      </c>
      <c r="AD7432">
        <v>-1.109733707882</v>
      </c>
      <c r="AE7432">
        <v>14.28</v>
      </c>
      <c r="AF7432">
        <v>-2.50995760658633</v>
      </c>
      <c r="AG7432">
        <v>-1.109733707882</v>
      </c>
      <c r="AH7432">
        <v>13.982425334082199</v>
      </c>
      <c r="AI7432">
        <v>94.466743618209307</v>
      </c>
      <c r="AJ7432">
        <v>100.17666812165901</v>
      </c>
      <c r="AK7432">
        <v>14.2491969707929</v>
      </c>
      <c r="AL7432">
        <v>87.714054497271405</v>
      </c>
      <c r="AM7432">
        <v>87.5235817341852</v>
      </c>
      <c r="AN7432">
        <v>0.99999995767503502</v>
      </c>
    </row>
    <row r="7433" spans="1:40" x14ac:dyDescent="0.25">
      <c r="A7433" t="str">
        <f>"20190312154443061"</f>
        <v>20190312154443061</v>
      </c>
      <c r="B7433" t="str">
        <f>"1552376683054436"</f>
        <v>1552376683054436</v>
      </c>
      <c r="C7433" t="s">
        <v>40</v>
      </c>
      <c r="D7433">
        <v>5.3529929999999997</v>
      </c>
      <c r="E7433">
        <v>0.41554239999999998</v>
      </c>
      <c r="F7433" t="s">
        <v>69</v>
      </c>
      <c r="G7433">
        <v>-186.78989999999999</v>
      </c>
      <c r="H7433" s="1">
        <v>-6.8135850000000001E-6</v>
      </c>
      <c r="I7433">
        <v>135.17509999999999</v>
      </c>
      <c r="J7433">
        <v>-186.17</v>
      </c>
      <c r="K7433">
        <v>1.109936</v>
      </c>
      <c r="L7433">
        <v>120.8092</v>
      </c>
      <c r="M7433">
        <v>0.13736470000000001</v>
      </c>
      <c r="N7433">
        <v>0</v>
      </c>
      <c r="O7433">
        <v>0.99041780000000001</v>
      </c>
      <c r="P7433">
        <v>0.17856379999999999</v>
      </c>
      <c r="Q7433">
        <v>2.7604699999999999E-2</v>
      </c>
      <c r="R7433">
        <v>0.983541</v>
      </c>
      <c r="S7433">
        <v>-0.1233215</v>
      </c>
      <c r="T7433">
        <v>-0.23384849999999999</v>
      </c>
      <c r="U7433">
        <v>3.0791780000000002</v>
      </c>
      <c r="V7433">
        <v>4.1819490000000001E-2</v>
      </c>
      <c r="W7433">
        <v>4.1783870000000001E-2</v>
      </c>
      <c r="X7433">
        <v>0.99825109999999995</v>
      </c>
      <c r="Y7433">
        <v>-0.17679329999999999</v>
      </c>
      <c r="Z7433">
        <v>-7.4023839999999994E-2</v>
      </c>
      <c r="AA7433">
        <v>0.98146049999999996</v>
      </c>
      <c r="AB7433">
        <v>30</v>
      </c>
      <c r="AC7433">
        <v>-0.61990000000000101</v>
      </c>
      <c r="AD7433">
        <v>-1.109942813585</v>
      </c>
      <c r="AE7433">
        <v>14.3658999999999</v>
      </c>
      <c r="AF7433">
        <v>-2.5722643569806398</v>
      </c>
      <c r="AG7433">
        <v>-1.109942813585</v>
      </c>
      <c r="AH7433">
        <v>14.0607509331338</v>
      </c>
      <c r="AI7433">
        <v>94.440131742831497</v>
      </c>
      <c r="AJ7433">
        <v>100.367015657941</v>
      </c>
      <c r="AK7433">
        <v>14.3371278077321</v>
      </c>
      <c r="AL7433">
        <v>87.605263451300104</v>
      </c>
      <c r="AM7433">
        <v>87.601124563584193</v>
      </c>
      <c r="AN7433">
        <v>1.0000000100936199</v>
      </c>
    </row>
    <row r="7434" spans="1:40" x14ac:dyDescent="0.25">
      <c r="A7434" t="str">
        <f>"20190312154443083"</f>
        <v>20190312154443083</v>
      </c>
      <c r="B7434" t="str">
        <f>"1552376683074931"</f>
        <v>1552376683074931</v>
      </c>
      <c r="C7434" t="s">
        <v>40</v>
      </c>
      <c r="D7434">
        <v>5.3633369999999996</v>
      </c>
      <c r="E7434">
        <v>0.41459449999999998</v>
      </c>
      <c r="F7434" t="s">
        <v>69</v>
      </c>
      <c r="G7434">
        <v>-186.80789999999999</v>
      </c>
      <c r="H7434" s="1">
        <v>-6.9404359999999998E-6</v>
      </c>
      <c r="I7434">
        <v>135.57490000000001</v>
      </c>
      <c r="J7434">
        <v>-186.12799999999999</v>
      </c>
      <c r="K7434">
        <v>1.1101490000000001</v>
      </c>
      <c r="L7434">
        <v>121.1084</v>
      </c>
      <c r="M7434">
        <v>0.13767460000000001</v>
      </c>
      <c r="N7434">
        <v>0</v>
      </c>
      <c r="O7434">
        <v>0.99037489999999995</v>
      </c>
      <c r="P7434">
        <v>0.17665799999999901</v>
      </c>
      <c r="Q7434">
        <v>2.8121179999999999E-2</v>
      </c>
      <c r="R7434">
        <v>0.98387049999999998</v>
      </c>
      <c r="S7434">
        <v>-0.13310239999999901</v>
      </c>
      <c r="T7434">
        <v>-0.2315903</v>
      </c>
      <c r="U7434">
        <v>3.0808719999999998</v>
      </c>
      <c r="V7434">
        <v>3.9553049999999999E-2</v>
      </c>
      <c r="W7434">
        <v>4.2318880000000003E-2</v>
      </c>
      <c r="X7434">
        <v>0.99832089999999996</v>
      </c>
      <c r="Y7434">
        <v>-0.1801915</v>
      </c>
      <c r="Z7434">
        <v>-7.3240169999999993E-2</v>
      </c>
      <c r="AA7434">
        <v>0.98090109999999997</v>
      </c>
      <c r="AB7434">
        <v>30</v>
      </c>
      <c r="AC7434">
        <v>-0.67990000000000295</v>
      </c>
      <c r="AD7434">
        <v>-1.110155940436</v>
      </c>
      <c r="AE7434">
        <v>14.4665</v>
      </c>
      <c r="AF7434">
        <v>-2.6497265561322001</v>
      </c>
      <c r="AG7434">
        <v>-1.110155940436</v>
      </c>
      <c r="AH7434">
        <v>14.151943317242001</v>
      </c>
      <c r="AI7434">
        <v>94.409100823028794</v>
      </c>
      <c r="AJ7434">
        <v>100.604937760209</v>
      </c>
      <c r="AK7434">
        <v>14.440602365856799</v>
      </c>
      <c r="AL7434">
        <v>87.574582413135204</v>
      </c>
      <c r="AM7434">
        <v>87.731152201692097</v>
      </c>
      <c r="AN7434">
        <v>0.99999997537278296</v>
      </c>
    </row>
    <row r="7435" spans="1:40" x14ac:dyDescent="0.25">
      <c r="A7435" t="str">
        <f>"20190312154443097"</f>
        <v>20190312154443097</v>
      </c>
      <c r="B7435" t="str">
        <f>"1552376683094451"</f>
        <v>1552376683094451</v>
      </c>
      <c r="C7435" t="s">
        <v>40</v>
      </c>
      <c r="D7435">
        <v>5.3944530000000004</v>
      </c>
      <c r="E7435">
        <v>0.41385810000000001</v>
      </c>
      <c r="F7435" t="s">
        <v>69</v>
      </c>
      <c r="G7435">
        <v>-186.81800000000001</v>
      </c>
      <c r="H7435" s="1">
        <v>-6.9951610000000004E-6</v>
      </c>
      <c r="I7435">
        <v>135.74780000000001</v>
      </c>
      <c r="J7435">
        <v>-186.10220000000001</v>
      </c>
      <c r="K7435">
        <v>1.1102529999999999</v>
      </c>
      <c r="L7435">
        <v>121.2925</v>
      </c>
      <c r="M7435">
        <v>0.13776099999999999</v>
      </c>
      <c r="N7435">
        <v>0</v>
      </c>
      <c r="O7435">
        <v>0.99036290000000005</v>
      </c>
      <c r="P7435">
        <v>0.17546389999999901</v>
      </c>
      <c r="Q7435">
        <v>2.7622190000000001E-2</v>
      </c>
      <c r="R7435">
        <v>0.98409829999999998</v>
      </c>
      <c r="S7435">
        <v>-0.1452637</v>
      </c>
      <c r="T7435">
        <v>-0.23371330000000001</v>
      </c>
      <c r="U7435">
        <v>3.0819399999999999</v>
      </c>
      <c r="V7435">
        <v>3.8240360000000001E-2</v>
      </c>
      <c r="W7435">
        <v>4.182818E-2</v>
      </c>
      <c r="X7435">
        <v>0.99839279999999997</v>
      </c>
      <c r="Y7435">
        <v>-0.1841216</v>
      </c>
      <c r="Z7435">
        <v>-7.3846759999999997E-2</v>
      </c>
      <c r="AA7435">
        <v>0.98012540000000004</v>
      </c>
      <c r="AB7435">
        <v>30</v>
      </c>
      <c r="AC7435">
        <v>-0.71579999999997301</v>
      </c>
      <c r="AD7435">
        <v>-1.1102599951609999</v>
      </c>
      <c r="AE7435">
        <v>14.455299999999999</v>
      </c>
      <c r="AF7435">
        <v>-2.6847535498297801</v>
      </c>
      <c r="AG7435">
        <v>-1.1102599951609999</v>
      </c>
      <c r="AH7435">
        <v>14.135643043576099</v>
      </c>
      <c r="AI7435">
        <v>94.412420599748799</v>
      </c>
      <c r="AJ7435">
        <v>100.75398210120601</v>
      </c>
      <c r="AK7435">
        <v>14.4311116389411</v>
      </c>
      <c r="AL7435">
        <v>87.602722555417699</v>
      </c>
      <c r="AM7435">
        <v>87.806533915644593</v>
      </c>
      <c r="AN7435">
        <v>1.00000005243343</v>
      </c>
    </row>
    <row r="7436" spans="1:40" x14ac:dyDescent="0.25">
      <c r="A7436" t="str">
        <f>"20190312154443116"</f>
        <v>20190312154443116</v>
      </c>
      <c r="B7436" t="str">
        <f>"1552376683105190"</f>
        <v>1552376683105190</v>
      </c>
      <c r="C7436" t="s">
        <v>40</v>
      </c>
      <c r="D7436">
        <v>5.3519959999999998</v>
      </c>
      <c r="E7436">
        <v>0.41385810000000001</v>
      </c>
      <c r="F7436" t="s">
        <v>69</v>
      </c>
      <c r="G7436">
        <v>-186.82040000000001</v>
      </c>
      <c r="H7436" s="1">
        <v>-6.9626479999999997E-6</v>
      </c>
      <c r="I7436">
        <v>135.64660000000001</v>
      </c>
      <c r="J7436">
        <v>-186.06780000000001</v>
      </c>
      <c r="K7436">
        <v>1.1103670000000001</v>
      </c>
      <c r="L7436">
        <v>121.5389</v>
      </c>
      <c r="M7436">
        <v>0.13779330000000001</v>
      </c>
      <c r="N7436">
        <v>0</v>
      </c>
      <c r="O7436">
        <v>0.99035850000000003</v>
      </c>
      <c r="P7436">
        <v>0.17158709999999999</v>
      </c>
      <c r="Q7436">
        <v>2.61552E-2</v>
      </c>
      <c r="R7436">
        <v>0.98482170000000002</v>
      </c>
      <c r="S7436">
        <v>-0.15423580000000001</v>
      </c>
      <c r="T7436">
        <v>-0.2384377</v>
      </c>
      <c r="U7436">
        <v>3.0826720000000001</v>
      </c>
      <c r="V7436">
        <v>3.425537E-2</v>
      </c>
      <c r="W7436">
        <v>4.037172E-2</v>
      </c>
      <c r="X7436">
        <v>0.99859739999999997</v>
      </c>
      <c r="Y7436">
        <v>-0.18698219999999999</v>
      </c>
      <c r="Z7436">
        <v>-7.52863E-2</v>
      </c>
      <c r="AA7436">
        <v>0.97947419999999996</v>
      </c>
      <c r="AB7436">
        <v>30</v>
      </c>
      <c r="AC7436">
        <v>-0.75260000000000105</v>
      </c>
      <c r="AD7436">
        <v>-1.110373962648</v>
      </c>
      <c r="AE7436">
        <v>14.107699999999999</v>
      </c>
      <c r="AF7436">
        <v>-2.6730514316838101</v>
      </c>
      <c r="AG7436">
        <v>-1.110373962648</v>
      </c>
      <c r="AH7436">
        <v>13.7842374784857</v>
      </c>
      <c r="AI7436">
        <v>94.521579626101001</v>
      </c>
      <c r="AJ7436">
        <v>100.97463272936</v>
      </c>
      <c r="AK7436">
        <v>14.084861985715101</v>
      </c>
      <c r="AL7436">
        <v>87.686242103810997</v>
      </c>
      <c r="AM7436">
        <v>88.035325528531601</v>
      </c>
      <c r="AN7436">
        <v>1.0000000367181701</v>
      </c>
    </row>
    <row r="7437" spans="1:40" x14ac:dyDescent="0.25">
      <c r="A7437" t="str">
        <f>"20190312154443138"</f>
        <v>20190312154443138</v>
      </c>
      <c r="B7437" t="str">
        <f>"1552376683134466"</f>
        <v>1552376683134466</v>
      </c>
      <c r="C7437" t="s">
        <v>40</v>
      </c>
      <c r="D7437">
        <v>5.4075319999999998</v>
      </c>
      <c r="E7437">
        <v>0.4050339</v>
      </c>
      <c r="F7437" t="s">
        <v>69</v>
      </c>
      <c r="G7437">
        <v>-186.8193</v>
      </c>
      <c r="H7437" s="1">
        <v>-6.9204080000000001E-6</v>
      </c>
      <c r="I7437">
        <v>135.51439999999999</v>
      </c>
      <c r="J7437">
        <v>-186.02860000000001</v>
      </c>
      <c r="K7437">
        <v>1.110468</v>
      </c>
      <c r="L7437">
        <v>121.8205</v>
      </c>
      <c r="M7437">
        <v>0.1377282</v>
      </c>
      <c r="N7437">
        <v>0</v>
      </c>
      <c r="O7437">
        <v>0.99036769999999996</v>
      </c>
      <c r="P7437">
        <v>0.16752510000000001</v>
      </c>
      <c r="Q7437">
        <v>2.4199910000000002E-2</v>
      </c>
      <c r="R7437">
        <v>0.98557070000000002</v>
      </c>
      <c r="S7437">
        <v>-0.16569519999999999</v>
      </c>
      <c r="T7437">
        <v>-0.244839</v>
      </c>
      <c r="U7437">
        <v>3.0816189999999999</v>
      </c>
      <c r="V7437">
        <v>3.0183729999999999E-2</v>
      </c>
      <c r="W7437">
        <v>3.8422489999999997E-2</v>
      </c>
      <c r="X7437">
        <v>0.99880559999999996</v>
      </c>
      <c r="Y7437">
        <v>-0.1905569</v>
      </c>
      <c r="Z7437">
        <v>-7.7287610000000007E-2</v>
      </c>
      <c r="AA7437">
        <v>0.97862899999999997</v>
      </c>
      <c r="AB7437">
        <v>30</v>
      </c>
      <c r="AC7437">
        <v>-0.79069999999998597</v>
      </c>
      <c r="AD7437">
        <v>-1.110474920408</v>
      </c>
      <c r="AE7437">
        <v>13.693899999999999</v>
      </c>
      <c r="AF7437">
        <v>-2.6520088618039699</v>
      </c>
      <c r="AG7437">
        <v>-1.110474920408</v>
      </c>
      <c r="AH7437">
        <v>13.366850053097201</v>
      </c>
      <c r="AI7437">
        <v>94.658649962198595</v>
      </c>
      <c r="AJ7437">
        <v>101.221864507476</v>
      </c>
      <c r="AK7437">
        <v>13.6725632525115</v>
      </c>
      <c r="AL7437">
        <v>87.798011432073395</v>
      </c>
      <c r="AM7437">
        <v>88.269058387349801</v>
      </c>
      <c r="AN7437">
        <v>0.99999998594293604</v>
      </c>
    </row>
    <row r="7438" spans="1:40" x14ac:dyDescent="0.25">
      <c r="A7438" t="str">
        <f>"20190312154443160"</f>
        <v>20190312154443160</v>
      </c>
      <c r="B7438" t="str">
        <f>"1552376683154964"</f>
        <v>1552376683154964</v>
      </c>
      <c r="C7438" t="s">
        <v>40</v>
      </c>
      <c r="D7438">
        <v>5.4226199999999896</v>
      </c>
      <c r="E7438">
        <v>0.4043678</v>
      </c>
      <c r="F7438" t="s">
        <v>69</v>
      </c>
      <c r="G7438">
        <v>-186.94290000000001</v>
      </c>
      <c r="H7438" s="1">
        <v>-6.1786670000000004E-6</v>
      </c>
      <c r="I7438">
        <v>133.21799999999999</v>
      </c>
      <c r="J7438">
        <v>-185.98830000000001</v>
      </c>
      <c r="K7438">
        <v>1.1105560000000001</v>
      </c>
      <c r="L7438">
        <v>122.11069999999999</v>
      </c>
      <c r="M7438">
        <v>0.13757339999999901</v>
      </c>
      <c r="N7438">
        <v>0</v>
      </c>
      <c r="O7438">
        <v>0.99038919999999997</v>
      </c>
      <c r="P7438">
        <v>0.16231989999999999</v>
      </c>
      <c r="Q7438">
        <v>2.294471E-2</v>
      </c>
      <c r="R7438">
        <v>0.9864714</v>
      </c>
      <c r="S7438">
        <v>-0.2481689</v>
      </c>
      <c r="T7438">
        <v>-0.30140409999999901</v>
      </c>
      <c r="U7438">
        <v>3.0935060000000001</v>
      </c>
      <c r="V7438">
        <v>2.505189E-2</v>
      </c>
      <c r="W7438">
        <v>3.7170729999999999E-2</v>
      </c>
      <c r="X7438">
        <v>0.99899490000000002</v>
      </c>
      <c r="Y7438">
        <v>-0.2159845</v>
      </c>
      <c r="Z7438">
        <v>-9.4292619999999994E-2</v>
      </c>
      <c r="AA7438">
        <v>0.97183310000000001</v>
      </c>
      <c r="AB7438">
        <v>30</v>
      </c>
      <c r="AC7438">
        <v>-0.954599999999999</v>
      </c>
      <c r="AD7438">
        <v>-1.1105621786669999</v>
      </c>
      <c r="AE7438">
        <v>11.107299999999899</v>
      </c>
      <c r="AF7438">
        <v>-2.4494379600870899</v>
      </c>
      <c r="AG7438">
        <v>-1.1105621786669999</v>
      </c>
      <c r="AH7438">
        <v>10.763511025819099</v>
      </c>
      <c r="AI7438">
        <v>95.744982121392795</v>
      </c>
      <c r="AJ7438">
        <v>102.820388841743</v>
      </c>
      <c r="AK7438">
        <v>11.094424918666601</v>
      </c>
      <c r="AL7438">
        <v>87.869783392306502</v>
      </c>
      <c r="AM7438">
        <v>88.563489365939603</v>
      </c>
      <c r="AN7438">
        <v>1.00000003529365</v>
      </c>
    </row>
    <row r="7439" spans="1:40" x14ac:dyDescent="0.25">
      <c r="A7439" t="str">
        <f>"20190312154443173"</f>
        <v>20190312154443173</v>
      </c>
      <c r="B7439" t="str">
        <f>"1552376683164723"</f>
        <v>1552376683164723</v>
      </c>
      <c r="C7439" t="s">
        <v>40</v>
      </c>
      <c r="D7439">
        <v>5.4099579999999996</v>
      </c>
      <c r="E7439">
        <v>0.40407949999999998</v>
      </c>
      <c r="F7439" t="s">
        <v>69</v>
      </c>
      <c r="G7439">
        <v>-187.0009</v>
      </c>
      <c r="H7439" s="1">
        <v>-6.3361490000000001E-6</v>
      </c>
      <c r="I7439">
        <v>133.7208</v>
      </c>
      <c r="J7439">
        <v>-185.96459999999999</v>
      </c>
      <c r="K7439">
        <v>1.110606</v>
      </c>
      <c r="L7439">
        <v>122.2813</v>
      </c>
      <c r="M7439">
        <v>0.13744679999999901</v>
      </c>
      <c r="N7439">
        <v>0</v>
      </c>
      <c r="O7439">
        <v>0.99040689999999998</v>
      </c>
      <c r="P7439">
        <v>0.15971740000000001</v>
      </c>
      <c r="Q7439">
        <v>2.2682000000000001E-2</v>
      </c>
      <c r="R7439">
        <v>0.98690219999999995</v>
      </c>
      <c r="S7439">
        <v>-0.26971440000000002</v>
      </c>
      <c r="T7439">
        <v>-0.29580430000000002</v>
      </c>
      <c r="U7439">
        <v>3.0924070000000001</v>
      </c>
      <c r="V7439">
        <v>2.253807E-2</v>
      </c>
      <c r="W7439">
        <v>3.6908169999999997E-2</v>
      </c>
      <c r="X7439">
        <v>0.99906439999999996</v>
      </c>
      <c r="Y7439">
        <v>-0.2226206</v>
      </c>
      <c r="Z7439">
        <v>-9.2493850000000002E-2</v>
      </c>
      <c r="AA7439">
        <v>0.97050760000000003</v>
      </c>
      <c r="AB7439">
        <v>29</v>
      </c>
      <c r="AC7439">
        <v>-1.03630000000001</v>
      </c>
      <c r="AD7439">
        <v>-1.1106123361489999</v>
      </c>
      <c r="AE7439">
        <v>11.439499999999899</v>
      </c>
      <c r="AF7439">
        <v>-2.5748722864707099</v>
      </c>
      <c r="AG7439">
        <v>-1.1106123361489999</v>
      </c>
      <c r="AH7439">
        <v>11.084825638156101</v>
      </c>
      <c r="AI7439">
        <v>95.574058243176296</v>
      </c>
      <c r="AJ7439">
        <v>103.077209991274</v>
      </c>
      <c r="AK7439">
        <v>11.434018824593799</v>
      </c>
      <c r="AL7439">
        <v>87.884837071353601</v>
      </c>
      <c r="AM7439">
        <v>88.707673603942496</v>
      </c>
      <c r="AN7439">
        <v>0.99999992647971403</v>
      </c>
    </row>
    <row r="7440" spans="1:40" x14ac:dyDescent="0.25">
      <c r="A7440" t="str">
        <f>"20190312154443186"</f>
        <v>20190312154443186</v>
      </c>
      <c r="B7440" t="str">
        <f>"1552376683174482"</f>
        <v>1552376683174482</v>
      </c>
      <c r="C7440" t="s">
        <v>40</v>
      </c>
      <c r="D7440">
        <v>5.5448820000000003</v>
      </c>
      <c r="E7440">
        <v>0.40407949999999998</v>
      </c>
      <c r="F7440" t="s">
        <v>69</v>
      </c>
      <c r="G7440">
        <v>-187.01300000000001</v>
      </c>
      <c r="H7440" s="1">
        <v>-6.3779359999999997E-6</v>
      </c>
      <c r="I7440">
        <v>133.8537</v>
      </c>
      <c r="J7440">
        <v>-185.94059999999999</v>
      </c>
      <c r="K7440">
        <v>1.11066</v>
      </c>
      <c r="L7440">
        <v>122.45480000000001</v>
      </c>
      <c r="M7440">
        <v>0.1372939</v>
      </c>
      <c r="N7440">
        <v>0</v>
      </c>
      <c r="O7440">
        <v>0.99042810000000003</v>
      </c>
      <c r="P7440">
        <v>0.15715660000000001</v>
      </c>
      <c r="Q7440">
        <v>2.2323340000000001E-2</v>
      </c>
      <c r="R7440">
        <v>0.98732140000000002</v>
      </c>
      <c r="S7440">
        <v>-0.2801208</v>
      </c>
      <c r="T7440">
        <v>-0.29674020000000001</v>
      </c>
      <c r="U7440">
        <v>3.0919650000000001</v>
      </c>
      <c r="V7440">
        <v>2.0093730000000001E-2</v>
      </c>
      <c r="W7440">
        <v>3.654984E-2</v>
      </c>
      <c r="X7440">
        <v>0.99912979999999996</v>
      </c>
      <c r="Y7440">
        <v>-0.22571930000000001</v>
      </c>
      <c r="Z7440">
        <v>-9.2752169999999995E-2</v>
      </c>
      <c r="AA7440">
        <v>0.96976689999999999</v>
      </c>
      <c r="AB7440">
        <v>29</v>
      </c>
      <c r="AC7440">
        <v>-1.07240000000001</v>
      </c>
      <c r="AD7440">
        <v>-1.110666377936</v>
      </c>
      <c r="AE7440">
        <v>11.3988999999999</v>
      </c>
      <c r="AF7440">
        <v>-2.6029059121114</v>
      </c>
      <c r="AG7440">
        <v>-1.110666377936</v>
      </c>
      <c r="AH7440">
        <v>11.039795207679299</v>
      </c>
      <c r="AI7440">
        <v>95.592620001230102</v>
      </c>
      <c r="AJ7440">
        <v>103.266615400774</v>
      </c>
      <c r="AK7440">
        <v>11.396744149882499</v>
      </c>
      <c r="AL7440">
        <v>87.905381892293605</v>
      </c>
      <c r="AM7440">
        <v>88.847866669227201</v>
      </c>
      <c r="AN7440">
        <v>1.00000000301868</v>
      </c>
    </row>
    <row r="7441" spans="1:40" x14ac:dyDescent="0.25">
      <c r="A7441" t="str">
        <f>"20190312154443205"</f>
        <v>20190312154443205</v>
      </c>
      <c r="B7441" t="str">
        <f>"1552376683194979"</f>
        <v>1552376683194979</v>
      </c>
      <c r="C7441" t="s">
        <v>40</v>
      </c>
      <c r="D7441">
        <v>5.4908869999999999</v>
      </c>
      <c r="E7441">
        <v>0.40240510000000002</v>
      </c>
      <c r="F7441" t="s">
        <v>69</v>
      </c>
      <c r="G7441">
        <v>-187.01480000000001</v>
      </c>
      <c r="H7441" s="1">
        <v>-6.4186379999999996E-6</v>
      </c>
      <c r="I7441">
        <v>133.9812</v>
      </c>
      <c r="J7441">
        <v>-185.90770000000001</v>
      </c>
      <c r="K7441">
        <v>1.1107309999999999</v>
      </c>
      <c r="L7441">
        <v>122.6943</v>
      </c>
      <c r="M7441">
        <v>0.13702320000000001</v>
      </c>
      <c r="N7441">
        <v>0</v>
      </c>
      <c r="O7441">
        <v>0.99046559999999995</v>
      </c>
      <c r="P7441">
        <v>0.151813</v>
      </c>
      <c r="Q7441">
        <v>2.181056E-2</v>
      </c>
      <c r="R7441">
        <v>0.98816850000000001</v>
      </c>
      <c r="S7441">
        <v>-0.28807070000000001</v>
      </c>
      <c r="T7441">
        <v>-0.29785699999999998</v>
      </c>
      <c r="U7441">
        <v>3.0911409999999999</v>
      </c>
      <c r="V7441">
        <v>1.4951219999999999E-2</v>
      </c>
      <c r="W7441">
        <v>3.6036140000000001E-2</v>
      </c>
      <c r="X7441">
        <v>0.99923859999999998</v>
      </c>
      <c r="Y7441">
        <v>-0.2279457</v>
      </c>
      <c r="Z7441">
        <v>-9.3092209999999995E-2</v>
      </c>
      <c r="AA7441">
        <v>0.9692134</v>
      </c>
      <c r="AB7441">
        <v>29</v>
      </c>
      <c r="AC7441">
        <v>-1.1071</v>
      </c>
      <c r="AD7441">
        <v>-1.1107374186379999</v>
      </c>
      <c r="AE7441">
        <v>11.286899999999999</v>
      </c>
      <c r="AF7441">
        <v>-2.6182645944033802</v>
      </c>
      <c r="AG7441">
        <v>-1.1107374186379999</v>
      </c>
      <c r="AH7441">
        <v>10.923921051670201</v>
      </c>
      <c r="AI7441">
        <v>95.646985824459406</v>
      </c>
      <c r="AJ7441">
        <v>103.478491148374</v>
      </c>
      <c r="AK7441">
        <v>11.2880954213982</v>
      </c>
      <c r="AL7441">
        <v>87.934834051113796</v>
      </c>
      <c r="AM7441">
        <v>89.142769419736396</v>
      </c>
      <c r="AN7441">
        <v>0.999999961047773</v>
      </c>
    </row>
    <row r="7442" spans="1:40" x14ac:dyDescent="0.25">
      <c r="A7442" t="str">
        <f>"20190312154443229"</f>
        <v>20190312154443229</v>
      </c>
      <c r="B7442" t="str">
        <f>"1552376683225234"</f>
        <v>1552376683225234</v>
      </c>
      <c r="C7442" t="s">
        <v>40</v>
      </c>
      <c r="D7442">
        <v>5.5345230000000001</v>
      </c>
      <c r="E7442">
        <v>0.39998450000000002</v>
      </c>
      <c r="F7442" t="s">
        <v>69</v>
      </c>
      <c r="G7442">
        <v>-186.95509999999999</v>
      </c>
      <c r="H7442" s="1">
        <v>-6.0657040000000003E-6</v>
      </c>
      <c r="I7442">
        <v>132.86709999999999</v>
      </c>
      <c r="J7442">
        <v>-185.86689999999999</v>
      </c>
      <c r="K7442">
        <v>1.11083</v>
      </c>
      <c r="L7442">
        <v>122.9919</v>
      </c>
      <c r="M7442">
        <v>0.13659250000000001</v>
      </c>
      <c r="N7442">
        <v>0</v>
      </c>
      <c r="O7442">
        <v>0.99052519999999999</v>
      </c>
      <c r="P7442">
        <v>0.14536869999999999</v>
      </c>
      <c r="Q7442">
        <v>2.089187E-2</v>
      </c>
      <c r="R7442">
        <v>0.98915699999999995</v>
      </c>
      <c r="S7442">
        <v>-0.3184052</v>
      </c>
      <c r="T7442">
        <v>-0.33764060000000001</v>
      </c>
      <c r="U7442">
        <v>3.0922999999999998</v>
      </c>
      <c r="V7442">
        <v>8.8584630000000004E-3</v>
      </c>
      <c r="W7442">
        <v>3.5113569999999997E-2</v>
      </c>
      <c r="X7442">
        <v>0.99934409999999896</v>
      </c>
      <c r="Y7442">
        <v>-0.23676810000000001</v>
      </c>
      <c r="Z7442">
        <v>-0.10519539999999999</v>
      </c>
      <c r="AA7442">
        <v>0.9658544</v>
      </c>
      <c r="AB7442">
        <v>29</v>
      </c>
      <c r="AC7442">
        <v>-1.0882000000000001</v>
      </c>
      <c r="AD7442">
        <v>-1.110836065704</v>
      </c>
      <c r="AE7442">
        <v>9.8751999999999907</v>
      </c>
      <c r="AF7442">
        <v>-2.3970463432578799</v>
      </c>
      <c r="AG7442">
        <v>-1.110836065704</v>
      </c>
      <c r="AH7442">
        <v>9.5150159960896197</v>
      </c>
      <c r="AI7442">
        <v>96.458867717416695</v>
      </c>
      <c r="AJ7442">
        <v>104.139866585928</v>
      </c>
      <c r="AK7442">
        <v>9.8749844223895398</v>
      </c>
      <c r="AL7442">
        <v>87.987727046985199</v>
      </c>
      <c r="AM7442">
        <v>89.4921276367335</v>
      </c>
      <c r="AN7442">
        <v>1.00000003268483</v>
      </c>
    </row>
    <row r="7443" spans="1:40" x14ac:dyDescent="0.25">
      <c r="A7443" t="str">
        <f>"20190312154443263"</f>
        <v>20190312154443263</v>
      </c>
      <c r="B7443" t="str">
        <f>"1552376683254515"</f>
        <v>1552376683254515</v>
      </c>
      <c r="C7443" t="s">
        <v>40</v>
      </c>
      <c r="D7443">
        <v>5.4033579999999999</v>
      </c>
      <c r="E7443">
        <v>0.39858159999999998</v>
      </c>
      <c r="F7443" t="s">
        <v>69</v>
      </c>
      <c r="G7443">
        <v>-186.95529999999999</v>
      </c>
      <c r="H7443" s="1">
        <v>-5.9237029999999996E-6</v>
      </c>
      <c r="I7443">
        <v>132.42320000000001</v>
      </c>
      <c r="J7443">
        <v>-185.8056</v>
      </c>
      <c r="K7443">
        <v>1.1109979999999999</v>
      </c>
      <c r="L7443">
        <v>123.4435</v>
      </c>
      <c r="M7443">
        <v>0.13567850000000001</v>
      </c>
      <c r="N7443">
        <v>0</v>
      </c>
      <c r="O7443">
        <v>0.9906509</v>
      </c>
      <c r="P7443">
        <v>0.14029910000000001</v>
      </c>
      <c r="Q7443">
        <v>2.131781E-2</v>
      </c>
      <c r="R7443">
        <v>0.98987970000000003</v>
      </c>
      <c r="S7443">
        <v>-0.35693360000000002</v>
      </c>
      <c r="T7443">
        <v>-0.36430040000000002</v>
      </c>
      <c r="U7443">
        <v>3.0930179999999998</v>
      </c>
      <c r="V7443">
        <v>4.6455020000000001E-3</v>
      </c>
      <c r="W7443">
        <v>3.5532929999999997E-2</v>
      </c>
      <c r="X7443">
        <v>0.99935770000000002</v>
      </c>
      <c r="Y7443">
        <v>-0.2476189</v>
      </c>
      <c r="Z7443">
        <v>-0.1131548</v>
      </c>
      <c r="AA7443">
        <v>0.96222700000000005</v>
      </c>
      <c r="AB7443">
        <v>29</v>
      </c>
      <c r="AC7443">
        <v>-1.14969999999999</v>
      </c>
      <c r="AD7443">
        <v>-1.1110039237029901</v>
      </c>
      <c r="AE7443">
        <v>8.9796999999999993</v>
      </c>
      <c r="AF7443">
        <v>-2.3225623648808198</v>
      </c>
      <c r="AG7443">
        <v>-1.1110039237029901</v>
      </c>
      <c r="AH7443">
        <v>8.6109544958256894</v>
      </c>
      <c r="AI7443">
        <v>97.100782810715202</v>
      </c>
      <c r="AJ7443">
        <v>105.09471880102799</v>
      </c>
      <c r="AK7443">
        <v>8.9876116397196899</v>
      </c>
      <c r="AL7443">
        <v>87.963684400919504</v>
      </c>
      <c r="AM7443">
        <v>89.733663190678698</v>
      </c>
      <c r="AN7443">
        <v>0.99999999117625304</v>
      </c>
    </row>
    <row r="7444" spans="1:40" x14ac:dyDescent="0.25">
      <c r="A7444" t="str">
        <f>"20190312154443284"</f>
        <v>20190312154443284</v>
      </c>
      <c r="B7444" t="str">
        <f>"1552376683275011"</f>
        <v>1552376683275011</v>
      </c>
      <c r="C7444" t="s">
        <v>40</v>
      </c>
      <c r="D7444">
        <v>5.4295439999999999</v>
      </c>
      <c r="E7444">
        <v>0.39797310000000002</v>
      </c>
      <c r="F7444" t="s">
        <v>69</v>
      </c>
      <c r="G7444">
        <v>-186.93260000000001</v>
      </c>
      <c r="H7444" s="1">
        <v>-5.9614939999999998E-6</v>
      </c>
      <c r="I7444">
        <v>132.53720000000001</v>
      </c>
      <c r="J7444">
        <v>-185.76779999999999</v>
      </c>
      <c r="K7444">
        <v>1.1110949999999999</v>
      </c>
      <c r="L7444">
        <v>123.7251</v>
      </c>
      <c r="M7444">
        <v>0.13496830000000001</v>
      </c>
      <c r="N7444">
        <v>0</v>
      </c>
      <c r="O7444">
        <v>0.99074799999999996</v>
      </c>
      <c r="P7444">
        <v>0.13657420000000001</v>
      </c>
      <c r="Q7444">
        <v>2.0664890000000002E-2</v>
      </c>
      <c r="R7444">
        <v>0.99041429999999997</v>
      </c>
      <c r="S7444">
        <v>-0.38333129999999999</v>
      </c>
      <c r="T7444">
        <v>-0.3778994</v>
      </c>
      <c r="U7444">
        <v>3.0931549999999999</v>
      </c>
      <c r="V7444">
        <v>1.591921E-3</v>
      </c>
      <c r="W7444">
        <v>3.4874349999999998E-2</v>
      </c>
      <c r="X7444">
        <v>0.99939040000000001</v>
      </c>
      <c r="Y7444">
        <v>-0.25494850000000002</v>
      </c>
      <c r="Z7444">
        <v>-0.11715680000000001</v>
      </c>
      <c r="AA7444">
        <v>0.95983099999999999</v>
      </c>
      <c r="AB7444">
        <v>29</v>
      </c>
      <c r="AC7444">
        <v>-1.16480000000001</v>
      </c>
      <c r="AD7444">
        <v>-1.111100961494</v>
      </c>
      <c r="AE7444">
        <v>8.8121000000000098</v>
      </c>
      <c r="AF7444">
        <v>-2.3075580278711501</v>
      </c>
      <c r="AG7444">
        <v>-1.111100961494</v>
      </c>
      <c r="AH7444">
        <v>8.4423123757214906</v>
      </c>
      <c r="AI7444">
        <v>97.235222334716497</v>
      </c>
      <c r="AJ7444">
        <v>105.287387978794</v>
      </c>
      <c r="AK7444">
        <v>8.82224504578544</v>
      </c>
      <c r="AL7444">
        <v>88.001441603655906</v>
      </c>
      <c r="AM7444">
        <v>89.908734086823799</v>
      </c>
      <c r="AN7444">
        <v>0.99999996305627503</v>
      </c>
    </row>
    <row r="7445" spans="1:40" x14ac:dyDescent="0.25">
      <c r="A7445" t="str">
        <f>"20190312154443306"</f>
        <v>20190312154443306</v>
      </c>
      <c r="B7445" t="str">
        <f>"1552376683294531"</f>
        <v>1552376683294531</v>
      </c>
      <c r="C7445" t="s">
        <v>40</v>
      </c>
      <c r="D7445">
        <v>5.4150450000000001</v>
      </c>
      <c r="E7445">
        <v>0.3975978</v>
      </c>
      <c r="F7445" t="s">
        <v>69</v>
      </c>
      <c r="G7445">
        <v>-186.91050000000001</v>
      </c>
      <c r="H7445" s="1">
        <v>-5.97434E-6</v>
      </c>
      <c r="I7445">
        <v>132.57339999999999</v>
      </c>
      <c r="J7445">
        <v>-185.7303</v>
      </c>
      <c r="K7445">
        <v>1.1112109999999999</v>
      </c>
      <c r="L7445">
        <v>124.00700000000001</v>
      </c>
      <c r="M7445">
        <v>0.13409090000000001</v>
      </c>
      <c r="N7445">
        <v>0</v>
      </c>
      <c r="O7445">
        <v>0.9908671</v>
      </c>
      <c r="P7445">
        <v>0.1327496</v>
      </c>
      <c r="Q7445">
        <v>2.0003739999999999E-2</v>
      </c>
      <c r="R7445">
        <v>0.99094769999999999</v>
      </c>
      <c r="S7445">
        <v>-0.39935300000000001</v>
      </c>
      <c r="T7445">
        <v>-0.38829730000000001</v>
      </c>
      <c r="U7445">
        <v>3.0922239999999999</v>
      </c>
      <c r="V7445">
        <v>-1.3928040000000001E-3</v>
      </c>
      <c r="W7445">
        <v>3.420575E-2</v>
      </c>
      <c r="X7445">
        <v>0.99941380000000002</v>
      </c>
      <c r="Y7445">
        <v>-0.2589706</v>
      </c>
      <c r="Z7445">
        <v>-0.1202839</v>
      </c>
      <c r="AA7445">
        <v>0.9583663</v>
      </c>
      <c r="AB7445">
        <v>29</v>
      </c>
      <c r="AC7445">
        <v>-1.1802000000000099</v>
      </c>
      <c r="AD7445">
        <v>-1.11121697434</v>
      </c>
      <c r="AE7445">
        <v>8.5663999999999803</v>
      </c>
      <c r="AF7445">
        <v>-2.2806703302993601</v>
      </c>
      <c r="AG7445">
        <v>-1.11121697434</v>
      </c>
      <c r="AH7445">
        <v>8.1954176275611808</v>
      </c>
      <c r="AI7445">
        <v>97.442196860987195</v>
      </c>
      <c r="AJ7445">
        <v>105.551142761942</v>
      </c>
      <c r="AK7445">
        <v>8.5791101175885203</v>
      </c>
      <c r="AL7445">
        <v>88.039772426359704</v>
      </c>
      <c r="AM7445">
        <v>90.079848546443799</v>
      </c>
      <c r="AN7445">
        <v>0.99999995843324097</v>
      </c>
    </row>
    <row r="7446" spans="1:40" x14ac:dyDescent="0.25">
      <c r="A7446" t="str">
        <f>"20190312154443328"</f>
        <v>20190312154443328</v>
      </c>
      <c r="B7446" t="str">
        <f>"1552376683324787"</f>
        <v>1552376683324787</v>
      </c>
      <c r="C7446" t="s">
        <v>40</v>
      </c>
      <c r="D7446">
        <v>5.4336679999999999</v>
      </c>
      <c r="E7446">
        <v>0.3969975</v>
      </c>
      <c r="F7446" t="s">
        <v>69</v>
      </c>
      <c r="G7446">
        <v>-186.88579999999999</v>
      </c>
      <c r="H7446" s="1">
        <v>-5.9989159999999999E-6</v>
      </c>
      <c r="I7446">
        <v>132.64570000000001</v>
      </c>
      <c r="J7446">
        <v>-185.69380000000001</v>
      </c>
      <c r="K7446">
        <v>1.1113649999999999</v>
      </c>
      <c r="L7446">
        <v>124.2846</v>
      </c>
      <c r="M7446">
        <v>0.13302459999999999</v>
      </c>
      <c r="N7446">
        <v>0</v>
      </c>
      <c r="O7446">
        <v>0.99101090000000003</v>
      </c>
      <c r="P7446">
        <v>0.12921669999999999</v>
      </c>
      <c r="Q7446">
        <v>2.1711930000000001E-2</v>
      </c>
      <c r="R7446">
        <v>0.99137869999999995</v>
      </c>
      <c r="S7446">
        <v>-0.4134369</v>
      </c>
      <c r="T7446">
        <v>-0.39757730000000002</v>
      </c>
      <c r="U7446">
        <v>3.0908199999999999</v>
      </c>
      <c r="V7446">
        <v>-3.8906800000000001E-3</v>
      </c>
      <c r="W7446">
        <v>3.5906050000000002E-2</v>
      </c>
      <c r="X7446">
        <v>0.9993476</v>
      </c>
      <c r="Y7446">
        <v>-0.26223079999999999</v>
      </c>
      <c r="Z7446">
        <v>-0.1231027</v>
      </c>
      <c r="AA7446">
        <v>0.95712109999999995</v>
      </c>
      <c r="AB7446">
        <v>29</v>
      </c>
      <c r="AC7446">
        <v>-1.19199999999997</v>
      </c>
      <c r="AD7446">
        <v>-1.1113709989160001</v>
      </c>
      <c r="AE7446">
        <v>8.3611000000000004</v>
      </c>
      <c r="AF7446">
        <v>-2.2547055309539301</v>
      </c>
      <c r="AG7446">
        <v>-1.1113709989160001</v>
      </c>
      <c r="AH7446">
        <v>7.9898425063273599</v>
      </c>
      <c r="AI7446">
        <v>97.624837753655896</v>
      </c>
      <c r="AJ7446">
        <v>105.75888021517601</v>
      </c>
      <c r="AK7446">
        <v>8.3759432784887693</v>
      </c>
      <c r="AL7446">
        <v>87.942292574084604</v>
      </c>
      <c r="AM7446">
        <v>90.2230639440874</v>
      </c>
      <c r="AN7446">
        <v>1.0000000037216099</v>
      </c>
    </row>
    <row r="7447" spans="1:40" x14ac:dyDescent="0.25">
      <c r="A7447" t="str">
        <f>"20190312154443351"</f>
        <v>20190312154443351</v>
      </c>
      <c r="B7447" t="str">
        <f>"1552376683345283"</f>
        <v>1552376683345283</v>
      </c>
      <c r="C7447" t="s">
        <v>40</v>
      </c>
      <c r="D7447">
        <v>5.4519409999999997</v>
      </c>
      <c r="E7447">
        <v>0.39661429999999998</v>
      </c>
      <c r="F7447" t="s">
        <v>69</v>
      </c>
      <c r="G7447">
        <v>-186.88720000000001</v>
      </c>
      <c r="H7447" s="1">
        <v>-6.0743259999999999E-6</v>
      </c>
      <c r="I7447">
        <v>132.8817</v>
      </c>
      <c r="J7447">
        <v>-185.65549999999999</v>
      </c>
      <c r="K7447">
        <v>1.111569</v>
      </c>
      <c r="L7447">
        <v>124.58029999999999</v>
      </c>
      <c r="M7447">
        <v>0.13162179999999901</v>
      </c>
      <c r="N7447">
        <v>0</v>
      </c>
      <c r="O7447">
        <v>0.99119820000000003</v>
      </c>
      <c r="P7447">
        <v>0.12679309999999999</v>
      </c>
      <c r="Q7447">
        <v>2.5967810000000001E-2</v>
      </c>
      <c r="R7447">
        <v>0.99158919999999995</v>
      </c>
      <c r="S7447">
        <v>-0.4290466</v>
      </c>
      <c r="T7447">
        <v>-0.3995513</v>
      </c>
      <c r="U7447">
        <v>3.0907749999999998</v>
      </c>
      <c r="V7447">
        <v>-4.9320429999999997E-3</v>
      </c>
      <c r="W7447">
        <v>4.0155400000000001E-2</v>
      </c>
      <c r="X7447">
        <v>0.99918130000000005</v>
      </c>
      <c r="Y7447">
        <v>-0.26560159999999899</v>
      </c>
      <c r="Z7447">
        <v>-0.1236413</v>
      </c>
      <c r="AA7447">
        <v>0.95612169999999996</v>
      </c>
      <c r="AB7447">
        <v>29</v>
      </c>
      <c r="AC7447">
        <v>-1.23170000000001</v>
      </c>
      <c r="AD7447">
        <v>-1.111575074326</v>
      </c>
      <c r="AE7447">
        <v>8.3013999999999992</v>
      </c>
      <c r="AF7447">
        <v>-2.2738461640235301</v>
      </c>
      <c r="AG7447">
        <v>-1.111575074326</v>
      </c>
      <c r="AH7447">
        <v>7.9279438787385796</v>
      </c>
      <c r="AI7447">
        <v>97.675832342940097</v>
      </c>
      <c r="AJ7447">
        <v>106.00363835450401</v>
      </c>
      <c r="AK7447">
        <v>8.3221553499040102</v>
      </c>
      <c r="AL7447">
        <v>87.698646359815598</v>
      </c>
      <c r="AM7447">
        <v>90.282814493480004</v>
      </c>
      <c r="AN7447">
        <v>1.0000000257335</v>
      </c>
    </row>
    <row r="7448" spans="1:40" x14ac:dyDescent="0.25">
      <c r="A7448" t="str">
        <f>"20190312154443374"</f>
        <v>20190312154443374</v>
      </c>
      <c r="B7448" t="str">
        <f>"1552376683364804"</f>
        <v>1552376683364804</v>
      </c>
      <c r="C7448" t="s">
        <v>40</v>
      </c>
      <c r="D7448">
        <v>5.4321279999999996</v>
      </c>
      <c r="E7448">
        <v>0.39635209999999998</v>
      </c>
      <c r="F7448" t="s">
        <v>69</v>
      </c>
      <c r="G7448">
        <v>-186.91040000000001</v>
      </c>
      <c r="H7448" s="1">
        <v>-6.2382020000000003E-6</v>
      </c>
      <c r="I7448">
        <v>133.3982</v>
      </c>
      <c r="J7448">
        <v>-185.61799999999999</v>
      </c>
      <c r="K7448">
        <v>1.1117939999999999</v>
      </c>
      <c r="L7448">
        <v>124.8767</v>
      </c>
      <c r="M7448">
        <v>0.1299495</v>
      </c>
      <c r="N7448">
        <v>0</v>
      </c>
      <c r="O7448">
        <v>0.99141880000000004</v>
      </c>
      <c r="P7448">
        <v>0.12496740000000001</v>
      </c>
      <c r="Q7448">
        <v>3.0091550000000002E-2</v>
      </c>
      <c r="R7448">
        <v>0.99170440000000004</v>
      </c>
      <c r="S7448">
        <v>-0.44001770000000001</v>
      </c>
      <c r="T7448">
        <v>-0.38976260000000001</v>
      </c>
      <c r="U7448">
        <v>3.091904</v>
      </c>
      <c r="V7448">
        <v>-5.1036270000000003E-3</v>
      </c>
      <c r="W7448">
        <v>4.4275889999999998E-2</v>
      </c>
      <c r="X7448">
        <v>0.99900630000000001</v>
      </c>
      <c r="Y7448">
        <v>-0.26730910000000002</v>
      </c>
      <c r="Z7448">
        <v>-0.12059930000000001</v>
      </c>
      <c r="AA7448">
        <v>0.9560343</v>
      </c>
      <c r="AB7448">
        <v>29</v>
      </c>
      <c r="AC7448">
        <v>-1.29240000000001</v>
      </c>
      <c r="AD7448">
        <v>-1.111800238202</v>
      </c>
      <c r="AE7448">
        <v>8.5214999999999996</v>
      </c>
      <c r="AF7448">
        <v>-2.3498153029350601</v>
      </c>
      <c r="AG7448">
        <v>-1.111800238202</v>
      </c>
      <c r="AH7448">
        <v>8.1457223345654093</v>
      </c>
      <c r="AI7448">
        <v>97.471209148761403</v>
      </c>
      <c r="AJ7448">
        <v>106.09138587086299</v>
      </c>
      <c r="AK7448">
        <v>8.5504692315341195</v>
      </c>
      <c r="AL7448">
        <v>87.462348777749895</v>
      </c>
      <c r="AM7448">
        <v>90.292704604004001</v>
      </c>
      <c r="AN7448">
        <v>0.99999999444176801</v>
      </c>
    </row>
    <row r="7449" spans="1:40" x14ac:dyDescent="0.25">
      <c r="A7449" t="str">
        <f>"20190312154443397"</f>
        <v>20190312154443397</v>
      </c>
      <c r="B7449" t="str">
        <f>"1552376683385299"</f>
        <v>1552376683385299</v>
      </c>
      <c r="C7449" t="s">
        <v>40</v>
      </c>
      <c r="D7449">
        <v>5.492597</v>
      </c>
      <c r="E7449">
        <v>0.3962135</v>
      </c>
      <c r="F7449" t="s">
        <v>69</v>
      </c>
      <c r="G7449">
        <v>-186.93520000000001</v>
      </c>
      <c r="H7449" s="1">
        <v>-6.4170450000000003E-6</v>
      </c>
      <c r="I7449">
        <v>133.96180000000001</v>
      </c>
      <c r="J7449">
        <v>-185.58189999999999</v>
      </c>
      <c r="K7449">
        <v>1.111998</v>
      </c>
      <c r="L7449">
        <v>125.1671</v>
      </c>
      <c r="M7449">
        <v>0.12807730000000001</v>
      </c>
      <c r="N7449">
        <v>0</v>
      </c>
      <c r="O7449">
        <v>0.99166240000000005</v>
      </c>
      <c r="P7449">
        <v>0.1234083</v>
      </c>
      <c r="Q7449">
        <v>3.1932309999999998E-2</v>
      </c>
      <c r="R7449">
        <v>0.99184209999999995</v>
      </c>
      <c r="S7449">
        <v>-0.44845580000000002</v>
      </c>
      <c r="T7449">
        <v>-0.37852049999999998</v>
      </c>
      <c r="U7449">
        <v>3.0930939999999998</v>
      </c>
      <c r="V7449">
        <v>-4.8074049999999998E-3</v>
      </c>
      <c r="W7449">
        <v>4.6116030000000002E-2</v>
      </c>
      <c r="X7449">
        <v>0.99892449999999999</v>
      </c>
      <c r="Y7449">
        <v>-0.26805559999999901</v>
      </c>
      <c r="Z7449">
        <v>-0.1171378</v>
      </c>
      <c r="AA7449">
        <v>0.95625570000000004</v>
      </c>
      <c r="AB7449">
        <v>29</v>
      </c>
      <c r="AC7449">
        <v>-1.3533000000000099</v>
      </c>
      <c r="AD7449">
        <v>-1.1120044170450001</v>
      </c>
      <c r="AE7449">
        <v>8.7947000000000006</v>
      </c>
      <c r="AF7449">
        <v>-2.4307061593301098</v>
      </c>
      <c r="AG7449">
        <v>-1.1120044170450001</v>
      </c>
      <c r="AH7449">
        <v>8.4174509643916196</v>
      </c>
      <c r="AI7449">
        <v>97.233369321450994</v>
      </c>
      <c r="AJ7449">
        <v>106.10712364492301</v>
      </c>
      <c r="AK7449">
        <v>8.8316684151110607</v>
      </c>
      <c r="AL7449">
        <v>87.356808615877497</v>
      </c>
      <c r="AM7449">
        <v>90.275738447125804</v>
      </c>
      <c r="AN7449">
        <v>0.99999997803302199</v>
      </c>
    </row>
    <row r="7450" spans="1:40" x14ac:dyDescent="0.25">
      <c r="A7450" t="str">
        <f>"20190312154443419"</f>
        <v>20190312154443419</v>
      </c>
      <c r="B7450" t="str">
        <f>"1552376683414580"</f>
        <v>1552376683414580</v>
      </c>
      <c r="C7450" t="s">
        <v>40</v>
      </c>
      <c r="D7450">
        <v>5.452496</v>
      </c>
      <c r="E7450">
        <v>0.39589200000000002</v>
      </c>
      <c r="F7450" t="s">
        <v>69</v>
      </c>
      <c r="G7450">
        <v>-186.91929999999999</v>
      </c>
      <c r="H7450" s="1">
        <v>-6.51447199999999E-6</v>
      </c>
      <c r="I7450">
        <v>134.26349999999999</v>
      </c>
      <c r="J7450">
        <v>-185.5471</v>
      </c>
      <c r="K7450">
        <v>1.112174</v>
      </c>
      <c r="L7450">
        <v>125.45350000000001</v>
      </c>
      <c r="M7450">
        <v>0.1259904</v>
      </c>
      <c r="N7450">
        <v>0</v>
      </c>
      <c r="O7450">
        <v>0.99192970000000003</v>
      </c>
      <c r="P7450">
        <v>0.12217980000000001</v>
      </c>
      <c r="Q7450">
        <v>3.2567270000000002E-2</v>
      </c>
      <c r="R7450">
        <v>0.99197349999999995</v>
      </c>
      <c r="S7450">
        <v>-0.45483400000000002</v>
      </c>
      <c r="T7450">
        <v>-0.37816179999999999</v>
      </c>
      <c r="U7450">
        <v>3.0934300000000001</v>
      </c>
      <c r="V7450">
        <v>-3.9618090000000002E-3</v>
      </c>
      <c r="W7450">
        <v>4.6753349999999999E-2</v>
      </c>
      <c r="X7450">
        <v>0.99889859999999997</v>
      </c>
      <c r="Y7450">
        <v>-0.26794699999999999</v>
      </c>
      <c r="Z7450">
        <v>-0.11704920000000001</v>
      </c>
      <c r="AA7450">
        <v>0.95629699999999995</v>
      </c>
      <c r="AB7450">
        <v>29</v>
      </c>
      <c r="AC7450">
        <v>-1.3721999999999901</v>
      </c>
      <c r="AD7450">
        <v>-1.1121805144720001</v>
      </c>
      <c r="AE7450">
        <v>8.8099999999999792</v>
      </c>
      <c r="AF7450">
        <v>-2.4334875936130902</v>
      </c>
      <c r="AG7450">
        <v>-1.1121805144720001</v>
      </c>
      <c r="AH7450">
        <v>8.4356293705749401</v>
      </c>
      <c r="AI7450">
        <v>97.2196340707997</v>
      </c>
      <c r="AJ7450">
        <v>106.091650099321</v>
      </c>
      <c r="AK7450">
        <v>8.8497824969174594</v>
      </c>
      <c r="AL7450">
        <v>87.320253475663094</v>
      </c>
      <c r="AM7450">
        <v>90.227244031271496</v>
      </c>
      <c r="AN7450">
        <v>0.99999999237436699</v>
      </c>
    </row>
    <row r="7451" spans="1:40" x14ac:dyDescent="0.25">
      <c r="A7451" t="str">
        <f>"20190312154443440"</f>
        <v>20190312154443440</v>
      </c>
      <c r="B7451" t="str">
        <f>"1552376683435075"</f>
        <v>1552376683435075</v>
      </c>
      <c r="C7451" t="s">
        <v>40</v>
      </c>
      <c r="D7451">
        <v>5.4816839999999996</v>
      </c>
      <c r="E7451">
        <v>0.39567409999999997</v>
      </c>
      <c r="F7451" t="s">
        <v>69</v>
      </c>
      <c r="G7451">
        <v>-186.8956</v>
      </c>
      <c r="H7451" s="1">
        <v>-6.5891110000000002E-6</v>
      </c>
      <c r="I7451">
        <v>134.49250000000001</v>
      </c>
      <c r="J7451">
        <v>-185.51429999999999</v>
      </c>
      <c r="K7451">
        <v>1.1123259999999999</v>
      </c>
      <c r="L7451">
        <v>125.7306</v>
      </c>
      <c r="M7451">
        <v>0.12374739999999999</v>
      </c>
      <c r="N7451">
        <v>0</v>
      </c>
      <c r="O7451">
        <v>0.99221190000000004</v>
      </c>
      <c r="P7451">
        <v>0.12049509999999999</v>
      </c>
      <c r="Q7451">
        <v>3.2064750000000003E-2</v>
      </c>
      <c r="R7451">
        <v>0.99219599999999997</v>
      </c>
      <c r="S7451">
        <v>-0.46150210000000003</v>
      </c>
      <c r="T7451">
        <v>-0.38064409999999999</v>
      </c>
      <c r="U7451">
        <v>3.0936129999999999</v>
      </c>
      <c r="V7451">
        <v>-3.4169880000000001E-3</v>
      </c>
      <c r="W7451">
        <v>4.625369E-2</v>
      </c>
      <c r="X7451">
        <v>0.99892389999999998</v>
      </c>
      <c r="Y7451">
        <v>-0.26776480000000003</v>
      </c>
      <c r="Z7451">
        <v>-0.1178358</v>
      </c>
      <c r="AA7451">
        <v>0.95625139999999997</v>
      </c>
      <c r="AB7451">
        <v>29</v>
      </c>
      <c r="AC7451">
        <v>-1.38130000000001</v>
      </c>
      <c r="AD7451">
        <v>-1.1123325891110001</v>
      </c>
      <c r="AE7451">
        <v>8.7619000000000096</v>
      </c>
      <c r="AF7451">
        <v>-2.41704297541696</v>
      </c>
      <c r="AG7451">
        <v>-1.1123325891110001</v>
      </c>
      <c r="AH7451">
        <v>8.3916260814738397</v>
      </c>
      <c r="AI7451">
        <v>97.2589251335923</v>
      </c>
      <c r="AJ7451">
        <v>106.068006124547</v>
      </c>
      <c r="AK7451">
        <v>8.80333850451537</v>
      </c>
      <c r="AL7451">
        <v>87.3489129614034</v>
      </c>
      <c r="AM7451">
        <v>90.195989131354594</v>
      </c>
      <c r="AN7451">
        <v>1.0000000188183999</v>
      </c>
    </row>
    <row r="7452" spans="1:40" x14ac:dyDescent="0.25">
      <c r="A7452" t="str">
        <f>"20190312154443463"</f>
        <v>20190312154443463</v>
      </c>
      <c r="B7452" t="str">
        <f>"1552376683454595"</f>
        <v>1552376683454595</v>
      </c>
      <c r="C7452" t="s">
        <v>40</v>
      </c>
      <c r="D7452">
        <v>5.4978189999999998</v>
      </c>
      <c r="E7452">
        <v>0.39557209999999998</v>
      </c>
      <c r="F7452" t="s">
        <v>69</v>
      </c>
      <c r="G7452">
        <v>-186.8562</v>
      </c>
      <c r="H7452" s="1">
        <v>-6.627406E-6</v>
      </c>
      <c r="I7452">
        <v>134.60509999999999</v>
      </c>
      <c r="J7452">
        <v>-185.48050000000001</v>
      </c>
      <c r="K7452">
        <v>1.1124750000000001</v>
      </c>
      <c r="L7452">
        <v>126.0232</v>
      </c>
      <c r="M7452">
        <v>0.121184</v>
      </c>
      <c r="N7452">
        <v>0</v>
      </c>
      <c r="O7452">
        <v>0.99252830000000003</v>
      </c>
      <c r="P7452">
        <v>0.1179848</v>
      </c>
      <c r="Q7452">
        <v>3.1552070000000002E-2</v>
      </c>
      <c r="R7452">
        <v>0.99251400000000001</v>
      </c>
      <c r="S7452">
        <v>-0.46766659999999999</v>
      </c>
      <c r="T7452">
        <v>-0.3876657</v>
      </c>
      <c r="U7452">
        <v>3.092911</v>
      </c>
      <c r="V7452">
        <v>-3.3799139999999999E-3</v>
      </c>
      <c r="W7452">
        <v>4.5743060000000002E-2</v>
      </c>
      <c r="X7452">
        <v>0.99894749999999999</v>
      </c>
      <c r="Y7452">
        <v>-0.26713239999999999</v>
      </c>
      <c r="Z7452">
        <v>-0.1200553</v>
      </c>
      <c r="AA7452">
        <v>0.95615220000000001</v>
      </c>
      <c r="AB7452">
        <v>29</v>
      </c>
      <c r="AC7452">
        <v>-1.3756999999999899</v>
      </c>
      <c r="AD7452">
        <v>-1.1124816274060001</v>
      </c>
      <c r="AE7452">
        <v>8.5818999999999903</v>
      </c>
      <c r="AF7452">
        <v>-2.3668760542393401</v>
      </c>
      <c r="AG7452">
        <v>-1.1124816274060001</v>
      </c>
      <c r="AH7452">
        <v>8.2172837042345908</v>
      </c>
      <c r="AI7452">
        <v>97.412210141133102</v>
      </c>
      <c r="AJ7452">
        <v>106.068321442661</v>
      </c>
      <c r="AK7452">
        <v>8.6234256014258595</v>
      </c>
      <c r="AL7452">
        <v>87.378200802919395</v>
      </c>
      <c r="AM7452">
        <v>90.193858103996106</v>
      </c>
      <c r="AN7452">
        <v>0.99999997955652997</v>
      </c>
    </row>
    <row r="7453" spans="1:40" x14ac:dyDescent="0.25">
      <c r="A7453" t="str">
        <f>"20190312154443485"</f>
        <v>20190312154443485</v>
      </c>
      <c r="B7453" t="str">
        <f>"1552376683475091"</f>
        <v>1552376683475091</v>
      </c>
      <c r="C7453" t="s">
        <v>40</v>
      </c>
      <c r="D7453">
        <v>5.3259919999999896</v>
      </c>
      <c r="E7453">
        <v>0.39532230000000002</v>
      </c>
      <c r="F7453" t="s">
        <v>69</v>
      </c>
      <c r="G7453">
        <v>-186.81229999999999</v>
      </c>
      <c r="H7453" s="1">
        <v>-6.6582989999999899E-6</v>
      </c>
      <c r="I7453">
        <v>134.69370000000001</v>
      </c>
      <c r="J7453">
        <v>-185.4485</v>
      </c>
      <c r="K7453">
        <v>1.11259</v>
      </c>
      <c r="L7453">
        <v>126.3083</v>
      </c>
      <c r="M7453">
        <v>0.1185514</v>
      </c>
      <c r="N7453">
        <v>0</v>
      </c>
      <c r="O7453">
        <v>0.99284609999999995</v>
      </c>
      <c r="P7453">
        <v>0.11312609999999999</v>
      </c>
      <c r="Q7453">
        <v>3.2952629999999997E-2</v>
      </c>
      <c r="R7453">
        <v>0.99303410000000003</v>
      </c>
      <c r="S7453">
        <v>-0.47486879999999998</v>
      </c>
      <c r="T7453">
        <v>-0.39668490000000001</v>
      </c>
      <c r="U7453">
        <v>3.0917050000000001</v>
      </c>
      <c r="V7453">
        <v>-5.6349859999999998E-3</v>
      </c>
      <c r="W7453">
        <v>4.7132970000000003E-2</v>
      </c>
      <c r="X7453">
        <v>0.99887280000000001</v>
      </c>
      <c r="Y7453">
        <v>-0.2667564</v>
      </c>
      <c r="Z7453">
        <v>-0.122896699999999</v>
      </c>
      <c r="AA7453">
        <v>0.95589610000000003</v>
      </c>
      <c r="AB7453">
        <v>29</v>
      </c>
      <c r="AC7453">
        <v>-1.3637999999999899</v>
      </c>
      <c r="AD7453">
        <v>-1.1125966582989999</v>
      </c>
      <c r="AE7453">
        <v>8.3854000000000006</v>
      </c>
      <c r="AF7453">
        <v>-2.3087838900478701</v>
      </c>
      <c r="AG7453">
        <v>-1.1125966582989999</v>
      </c>
      <c r="AH7453">
        <v>8.02688757687101</v>
      </c>
      <c r="AI7453">
        <v>97.587584629854206</v>
      </c>
      <c r="AJ7453">
        <v>106.04689021368701</v>
      </c>
      <c r="AK7453">
        <v>8.4261069626921294</v>
      </c>
      <c r="AL7453">
        <v>87.298479056921096</v>
      </c>
      <c r="AM7453">
        <v>90.323221826131302</v>
      </c>
      <c r="AN7453">
        <v>1.0000000702540299</v>
      </c>
    </row>
    <row r="7454" spans="1:40" x14ac:dyDescent="0.25">
      <c r="A7454" t="str">
        <f>"20190312154443507"</f>
        <v>20190312154443507</v>
      </c>
      <c r="B7454" t="str">
        <f>"1552376683494611"</f>
        <v>1552376683494611</v>
      </c>
      <c r="C7454" t="s">
        <v>40</v>
      </c>
      <c r="D7454">
        <v>5.6046069999999997</v>
      </c>
      <c r="E7454">
        <v>0.39506940000000002</v>
      </c>
      <c r="F7454" t="s">
        <v>69</v>
      </c>
      <c r="G7454">
        <v>-186.8176</v>
      </c>
      <c r="H7454" s="1">
        <v>-6.74027399999999E-6</v>
      </c>
      <c r="I7454">
        <v>134.95089999999999</v>
      </c>
      <c r="J7454">
        <v>-185.41849999999999</v>
      </c>
      <c r="K7454">
        <v>1.1126689999999999</v>
      </c>
      <c r="L7454">
        <v>126.5836</v>
      </c>
      <c r="M7454">
        <v>0.1159314</v>
      </c>
      <c r="N7454">
        <v>0</v>
      </c>
      <c r="O7454">
        <v>0.99315540000000002</v>
      </c>
      <c r="P7454">
        <v>0.1072897</v>
      </c>
      <c r="Q7454">
        <v>3.2540470000000002E-2</v>
      </c>
      <c r="R7454">
        <v>0.99369510000000005</v>
      </c>
      <c r="S7454">
        <v>-0.4894714</v>
      </c>
      <c r="T7454">
        <v>-0.39778449999999999</v>
      </c>
      <c r="U7454">
        <v>3.0899960000000002</v>
      </c>
      <c r="V7454">
        <v>-8.8787320000000003E-3</v>
      </c>
      <c r="W7454">
        <v>4.670382E-2</v>
      </c>
      <c r="X7454">
        <v>0.99886929999999996</v>
      </c>
      <c r="Y7454">
        <v>-0.26869599999999999</v>
      </c>
      <c r="Z7454">
        <v>-0.12327879999999999</v>
      </c>
      <c r="AA7454">
        <v>0.95530349999999997</v>
      </c>
      <c r="AB7454">
        <v>29</v>
      </c>
      <c r="AC7454">
        <v>-1.3991</v>
      </c>
      <c r="AD7454">
        <v>-1.112675740274</v>
      </c>
      <c r="AE7454">
        <v>8.3672999999999806</v>
      </c>
      <c r="AF7454">
        <v>-2.31988740738577</v>
      </c>
      <c r="AG7454">
        <v>-1.112675740274</v>
      </c>
      <c r="AH7454">
        <v>8.0108473770109292</v>
      </c>
      <c r="AI7454">
        <v>97.599207087689194</v>
      </c>
      <c r="AJ7454">
        <v>106.15066005872499</v>
      </c>
      <c r="AK7454">
        <v>8.4138933071262798</v>
      </c>
      <c r="AL7454">
        <v>87.323094402103607</v>
      </c>
      <c r="AM7454">
        <v>90.509276312484502</v>
      </c>
      <c r="AN7454">
        <v>0.99999997858350398</v>
      </c>
    </row>
    <row r="7455" spans="1:40" x14ac:dyDescent="0.25">
      <c r="A7455" t="str">
        <f>"20190312154443529"</f>
        <v>20190312154443529</v>
      </c>
      <c r="B7455" t="str">
        <f>"1552376683524867"</f>
        <v>1552376683524867</v>
      </c>
      <c r="C7455" t="s">
        <v>40</v>
      </c>
      <c r="D7455">
        <v>5.5662589999999996</v>
      </c>
      <c r="E7455">
        <v>0.39468259999999999</v>
      </c>
      <c r="F7455" t="s">
        <v>69</v>
      </c>
      <c r="G7455">
        <v>-186.82579999999999</v>
      </c>
      <c r="H7455" s="1">
        <v>-6.79955799999999E-6</v>
      </c>
      <c r="I7455">
        <v>135.1378</v>
      </c>
      <c r="J7455">
        <v>-185.3887</v>
      </c>
      <c r="K7455">
        <v>1.11269</v>
      </c>
      <c r="L7455">
        <v>126.8634</v>
      </c>
      <c r="M7455">
        <v>0.1132452</v>
      </c>
      <c r="N7455">
        <v>0</v>
      </c>
      <c r="O7455">
        <v>0.99346540000000005</v>
      </c>
      <c r="P7455">
        <v>0.10175729999999999</v>
      </c>
      <c r="Q7455">
        <v>3.1140359999999999E-2</v>
      </c>
      <c r="R7455">
        <v>0.99432180000000003</v>
      </c>
      <c r="S7455">
        <v>-0.50785829999999998</v>
      </c>
      <c r="T7455">
        <v>-0.4015377</v>
      </c>
      <c r="U7455">
        <v>3.0870060000000001</v>
      </c>
      <c r="V7455">
        <v>-1.17401E-2</v>
      </c>
      <c r="W7455">
        <v>4.5288149999999999E-2</v>
      </c>
      <c r="X7455">
        <v>0.99890500000000004</v>
      </c>
      <c r="Y7455">
        <v>-0.271754299999999</v>
      </c>
      <c r="Z7455">
        <v>-0.12448670000000001</v>
      </c>
      <c r="AA7455">
        <v>0.95428120000000005</v>
      </c>
      <c r="AB7455">
        <v>29</v>
      </c>
      <c r="AC7455">
        <v>-1.4370999999999801</v>
      </c>
      <c r="AD7455">
        <v>-1.1126967995579999</v>
      </c>
      <c r="AE7455">
        <v>8.2744</v>
      </c>
      <c r="AF7455">
        <v>-2.3241855622988599</v>
      </c>
      <c r="AG7455">
        <v>-1.1126967995579999</v>
      </c>
      <c r="AH7455">
        <v>7.9193833008659897</v>
      </c>
      <c r="AI7455">
        <v>97.678145459431803</v>
      </c>
      <c r="AJ7455">
        <v>106.355941824447</v>
      </c>
      <c r="AK7455">
        <v>8.3280588711764096</v>
      </c>
      <c r="AL7455">
        <v>87.404292379404893</v>
      </c>
      <c r="AM7455">
        <v>90.673364545867102</v>
      </c>
      <c r="AN7455">
        <v>1.0000000227517101</v>
      </c>
    </row>
    <row r="7456" spans="1:40" x14ac:dyDescent="0.25">
      <c r="A7456" t="str">
        <f>"20190312154443553"</f>
        <v>20190312154443553</v>
      </c>
      <c r="B7456" t="str">
        <f>"1552376683545363"</f>
        <v>1552376683545363</v>
      </c>
      <c r="C7456" t="s">
        <v>40</v>
      </c>
      <c r="D7456">
        <v>5.521452</v>
      </c>
      <c r="E7456">
        <v>0.3945285</v>
      </c>
      <c r="F7456" t="s">
        <v>69</v>
      </c>
      <c r="G7456">
        <v>-186.84039999999999</v>
      </c>
      <c r="H7456" s="1">
        <v>-6.8601139999999997E-6</v>
      </c>
      <c r="I7456">
        <v>135.3297</v>
      </c>
      <c r="J7456">
        <v>-185.358</v>
      </c>
      <c r="K7456">
        <v>1.112668</v>
      </c>
      <c r="L7456">
        <v>127.1614</v>
      </c>
      <c r="M7456">
        <v>0.1104144</v>
      </c>
      <c r="N7456">
        <v>0</v>
      </c>
      <c r="O7456">
        <v>0.993784</v>
      </c>
      <c r="P7456">
        <v>9.5080100000000001E-2</v>
      </c>
      <c r="Q7456">
        <v>2.852112E-2</v>
      </c>
      <c r="R7456">
        <v>0.99506099999999997</v>
      </c>
      <c r="S7456">
        <v>-0.52877810000000003</v>
      </c>
      <c r="T7456">
        <v>-0.4053118</v>
      </c>
      <c r="U7456">
        <v>3.0839539999999999</v>
      </c>
      <c r="V7456">
        <v>-1.559664E-2</v>
      </c>
      <c r="W7456">
        <v>4.2647610000000002E-2</v>
      </c>
      <c r="X7456">
        <v>0.99896839999999998</v>
      </c>
      <c r="Y7456">
        <v>-0.27543260000000003</v>
      </c>
      <c r="Z7456">
        <v>-0.12568289999999999</v>
      </c>
      <c r="AA7456">
        <v>0.9530691</v>
      </c>
      <c r="AB7456">
        <v>29</v>
      </c>
      <c r="AC7456">
        <v>-1.48239999999998</v>
      </c>
      <c r="AD7456">
        <v>-1.112674860114</v>
      </c>
      <c r="AE7456">
        <v>8.1683000000000003</v>
      </c>
      <c r="AF7456">
        <v>-2.3334062850650601</v>
      </c>
      <c r="AG7456">
        <v>-1.112674860114</v>
      </c>
      <c r="AH7456">
        <v>7.8142764463034204</v>
      </c>
      <c r="AI7456">
        <v>97.769295239031607</v>
      </c>
      <c r="AJ7456">
        <v>106.626051387126</v>
      </c>
      <c r="AK7456">
        <v>8.23078043776915</v>
      </c>
      <c r="AL7456">
        <v>87.555730535570504</v>
      </c>
      <c r="AM7456">
        <v>90.894471785201603</v>
      </c>
      <c r="AN7456">
        <v>0.99999996900828003</v>
      </c>
    </row>
    <row r="7457" spans="1:40" x14ac:dyDescent="0.25">
      <c r="A7457" t="str">
        <f>"20190312154443574"</f>
        <v>20190312154443574</v>
      </c>
      <c r="B7457" t="str">
        <f>"1552376683564883"</f>
        <v>1552376683564883</v>
      </c>
      <c r="C7457" t="s">
        <v>40</v>
      </c>
      <c r="D7457">
        <v>5.5708699999999904</v>
      </c>
      <c r="E7457">
        <v>0.39445960000000002</v>
      </c>
      <c r="F7457" t="s">
        <v>69</v>
      </c>
      <c r="G7457">
        <v>-186.83529999999999</v>
      </c>
      <c r="H7457" s="1">
        <v>-6.8864209999999998E-6</v>
      </c>
      <c r="I7457">
        <v>135.411</v>
      </c>
      <c r="J7457">
        <v>-185.3296</v>
      </c>
      <c r="K7457">
        <v>1.1126240000000001</v>
      </c>
      <c r="L7457">
        <v>127.44289999999999</v>
      </c>
      <c r="M7457">
        <v>0.10778799999999999</v>
      </c>
      <c r="N7457">
        <v>0</v>
      </c>
      <c r="O7457">
        <v>0.99407230000000002</v>
      </c>
      <c r="P7457">
        <v>8.6400899999999906E-2</v>
      </c>
      <c r="Q7457">
        <v>2.628163E-2</v>
      </c>
      <c r="R7457">
        <v>0.99591370000000001</v>
      </c>
      <c r="S7457">
        <v>-0.55146790000000001</v>
      </c>
      <c r="T7457">
        <v>-0.41534379999999999</v>
      </c>
      <c r="U7457">
        <v>3.0794679999999999</v>
      </c>
      <c r="V7457">
        <v>-2.1661280000000002E-2</v>
      </c>
      <c r="W7457">
        <v>4.0376009999999997E-2</v>
      </c>
      <c r="X7457">
        <v>0.99894970000000005</v>
      </c>
      <c r="Y7457">
        <v>-0.27986250000000001</v>
      </c>
      <c r="Z7457">
        <v>-0.1288135</v>
      </c>
      <c r="AA7457">
        <v>0.95135910000000001</v>
      </c>
      <c r="AB7457">
        <v>29</v>
      </c>
      <c r="AC7457">
        <v>-1.50569999999999</v>
      </c>
      <c r="AD7457">
        <v>-1.1126308864209999</v>
      </c>
      <c r="AE7457">
        <v>7.9680999999999997</v>
      </c>
      <c r="AF7457">
        <v>-2.3123462397149699</v>
      </c>
      <c r="AG7457">
        <v>-1.1126308864209999</v>
      </c>
      <c r="AH7457">
        <v>7.6159773991063702</v>
      </c>
      <c r="AI7457">
        <v>97.957836410529197</v>
      </c>
      <c r="AJ7457">
        <v>106.889223358454</v>
      </c>
      <c r="AK7457">
        <v>8.0366662469858099</v>
      </c>
      <c r="AL7457">
        <v>87.6859959456703</v>
      </c>
      <c r="AM7457">
        <v>91.242210150035305</v>
      </c>
      <c r="AN7457">
        <v>0.99999996818242298</v>
      </c>
    </row>
    <row r="7458" spans="1:40" x14ac:dyDescent="0.25">
      <c r="A7458" t="str">
        <f>"20190312154443596"</f>
        <v>20190312154443596</v>
      </c>
      <c r="B7458" t="str">
        <f>"1552376683585393"</f>
        <v>1552376683585393</v>
      </c>
      <c r="C7458" t="s">
        <v>40</v>
      </c>
      <c r="D7458">
        <v>5.5580030000000002</v>
      </c>
      <c r="E7458">
        <v>0.39436169999999998</v>
      </c>
      <c r="F7458" t="s">
        <v>69</v>
      </c>
      <c r="G7458">
        <v>-186.8382</v>
      </c>
      <c r="H7458" s="1">
        <v>-6.9011429999999898E-6</v>
      </c>
      <c r="I7458">
        <v>135.45760000000001</v>
      </c>
      <c r="J7458">
        <v>-185.303</v>
      </c>
      <c r="K7458">
        <v>1.1125750000000001</v>
      </c>
      <c r="L7458">
        <v>127.7131</v>
      </c>
      <c r="M7458">
        <v>0.1053385</v>
      </c>
      <c r="N7458">
        <v>0</v>
      </c>
      <c r="O7458">
        <v>0.99433490000000002</v>
      </c>
      <c r="P7458">
        <v>7.7512719999999993E-2</v>
      </c>
      <c r="Q7458">
        <v>2.3707079999999998E-2</v>
      </c>
      <c r="R7458">
        <v>0.99670950000000003</v>
      </c>
      <c r="S7458">
        <v>-0.57859799999999995</v>
      </c>
      <c r="T7458">
        <v>-0.42671300000000001</v>
      </c>
      <c r="U7458">
        <v>3.0737610000000002</v>
      </c>
      <c r="V7458">
        <v>-2.8104670000000002E-2</v>
      </c>
      <c r="W7458">
        <v>3.7767790000000002E-2</v>
      </c>
      <c r="X7458">
        <v>0.99889119999999998</v>
      </c>
      <c r="Y7458">
        <v>-0.28583389999999997</v>
      </c>
      <c r="Z7458">
        <v>-0.1323426</v>
      </c>
      <c r="AA7458">
        <v>0.94909659999999996</v>
      </c>
      <c r="AB7458">
        <v>29</v>
      </c>
      <c r="AC7458">
        <v>-1.5351999999999999</v>
      </c>
      <c r="AD7458">
        <v>-1.112581901143</v>
      </c>
      <c r="AE7458">
        <v>7.7445000000000102</v>
      </c>
      <c r="AF7458">
        <v>-2.2969209170629599</v>
      </c>
      <c r="AG7458">
        <v>-1.112581901143</v>
      </c>
      <c r="AH7458">
        <v>7.3928637789245402</v>
      </c>
      <c r="AI7458">
        <v>98.178390255581405</v>
      </c>
      <c r="AJ7458">
        <v>107.259723770599</v>
      </c>
      <c r="AK7458">
        <v>7.8210049891127698</v>
      </c>
      <c r="AL7458">
        <v>87.8355501596008</v>
      </c>
      <c r="AM7458">
        <v>91.611641251691495</v>
      </c>
      <c r="AN7458">
        <v>0.99999995393736496</v>
      </c>
    </row>
    <row r="7459" spans="1:40" x14ac:dyDescent="0.25">
      <c r="A7459" t="str">
        <f>"20190312154443618"</f>
        <v>20190312154443618</v>
      </c>
      <c r="B7459" t="str">
        <f>"1552376683614660"</f>
        <v>1552376683614660</v>
      </c>
      <c r="C7459" t="s">
        <v>40</v>
      </c>
      <c r="D7459">
        <v>5.5620180000000001</v>
      </c>
      <c r="E7459">
        <v>0.39443</v>
      </c>
      <c r="F7459" t="s">
        <v>69</v>
      </c>
      <c r="G7459">
        <v>-186.85059999999999</v>
      </c>
      <c r="H7459" s="1">
        <v>-6.9230740000000004E-6</v>
      </c>
      <c r="I7459">
        <v>135.5284</v>
      </c>
      <c r="J7459">
        <v>-185.27520000000001</v>
      </c>
      <c r="K7459">
        <v>1.1125130000000001</v>
      </c>
      <c r="L7459">
        <v>128.0016</v>
      </c>
      <c r="M7459">
        <v>0.10281319999999999</v>
      </c>
      <c r="N7459">
        <v>0</v>
      </c>
      <c r="O7459">
        <v>0.99459929999999996</v>
      </c>
      <c r="P7459">
        <v>7.0443320000000004E-2</v>
      </c>
      <c r="Q7459">
        <v>2.239317E-2</v>
      </c>
      <c r="R7459">
        <v>0.99726440000000005</v>
      </c>
      <c r="S7459">
        <v>-0.60743709999999995</v>
      </c>
      <c r="T7459">
        <v>-0.4366971</v>
      </c>
      <c r="U7459">
        <v>3.0675509999999999</v>
      </c>
      <c r="V7459">
        <v>-3.2644260000000001E-2</v>
      </c>
      <c r="W7459">
        <v>3.6431659999999998E-2</v>
      </c>
      <c r="X7459">
        <v>0.99880279999999999</v>
      </c>
      <c r="Y7459">
        <v>-0.29226259999999998</v>
      </c>
      <c r="Z7459">
        <v>-0.1354456</v>
      </c>
      <c r="AA7459">
        <v>0.94669800000000004</v>
      </c>
      <c r="AB7459">
        <v>29</v>
      </c>
      <c r="AC7459">
        <v>-1.5753999999999699</v>
      </c>
      <c r="AD7459">
        <v>-1.1125199230739999</v>
      </c>
      <c r="AE7459">
        <v>7.5267999999999997</v>
      </c>
      <c r="AF7459">
        <v>-2.2929894201446701</v>
      </c>
      <c r="AG7459">
        <v>-1.1125199230739999</v>
      </c>
      <c r="AH7459">
        <v>7.1747476853718304</v>
      </c>
      <c r="AI7459">
        <v>98.401889885869707</v>
      </c>
      <c r="AJ7459">
        <v>107.723445435464</v>
      </c>
      <c r="AK7459">
        <v>7.6139677835462596</v>
      </c>
      <c r="AL7459">
        <v>87.912157558381793</v>
      </c>
      <c r="AM7459">
        <v>91.871953871220995</v>
      </c>
      <c r="AN7459">
        <v>0.99999997342457103</v>
      </c>
    </row>
    <row r="7460" spans="1:40" x14ac:dyDescent="0.25">
      <c r="A7460" t="str">
        <f>"20190312154443641"</f>
        <v>20190312154443641</v>
      </c>
      <c r="B7460" t="str">
        <f>"1552376683635156"</f>
        <v>1552376683635156</v>
      </c>
      <c r="C7460" t="s">
        <v>40</v>
      </c>
      <c r="D7460">
        <v>5.4571079999999998</v>
      </c>
      <c r="E7460">
        <v>0.39444509999999999</v>
      </c>
      <c r="F7460" t="s">
        <v>69</v>
      </c>
      <c r="G7460">
        <v>-186.85990000000001</v>
      </c>
      <c r="H7460" s="1">
        <v>-6.97850699999999E-6</v>
      </c>
      <c r="I7460">
        <v>135.70339999999999</v>
      </c>
      <c r="J7460">
        <v>-185.24780000000001</v>
      </c>
      <c r="K7460">
        <v>1.11246</v>
      </c>
      <c r="L7460">
        <v>128.29349999999999</v>
      </c>
      <c r="M7460">
        <v>0.10034079999999999</v>
      </c>
      <c r="N7460">
        <v>0</v>
      </c>
      <c r="O7460">
        <v>0.99485179999999995</v>
      </c>
      <c r="P7460">
        <v>6.8257949999999998E-2</v>
      </c>
      <c r="Q7460">
        <v>2.2801120000000001E-2</v>
      </c>
      <c r="R7460">
        <v>0.99740709999999999</v>
      </c>
      <c r="S7460">
        <v>-0.63014219999999999</v>
      </c>
      <c r="T7460">
        <v>-0.44240079999999998</v>
      </c>
      <c r="U7460">
        <v>3.0626679999999999</v>
      </c>
      <c r="V7460">
        <v>-3.2346100000000003E-2</v>
      </c>
      <c r="W7460">
        <v>3.6841459999999999E-2</v>
      </c>
      <c r="X7460">
        <v>0.9987975</v>
      </c>
      <c r="Y7460">
        <v>-0.29686360000000001</v>
      </c>
      <c r="Z7460">
        <v>-0.137244899999999</v>
      </c>
      <c r="AA7460">
        <v>0.94500569999999895</v>
      </c>
      <c r="AB7460">
        <v>29</v>
      </c>
      <c r="AC7460">
        <v>-1.6120999999999901</v>
      </c>
      <c r="AD7460">
        <v>-1.112466978507</v>
      </c>
      <c r="AE7460">
        <v>7.4098999999999897</v>
      </c>
      <c r="AF7460">
        <v>-2.2980949580291199</v>
      </c>
      <c r="AG7460">
        <v>-1.112466978507</v>
      </c>
      <c r="AH7460">
        <v>7.0588064350772601</v>
      </c>
      <c r="AI7460">
        <v>98.522806850560599</v>
      </c>
      <c r="AJ7460">
        <v>108.033396882671</v>
      </c>
      <c r="AK7460">
        <v>7.5063687294373898</v>
      </c>
      <c r="AL7460">
        <v>87.888662039552102</v>
      </c>
      <c r="AM7460">
        <v>91.854878005531802</v>
      </c>
      <c r="AN7460">
        <v>1.0000000046831901</v>
      </c>
    </row>
    <row r="7461" spans="1:40" x14ac:dyDescent="0.25">
      <c r="A7461" t="str">
        <f>"20190312154443664"</f>
        <v>20190312154443664</v>
      </c>
      <c r="B7461" t="str">
        <f>"1552376683654675"</f>
        <v>1552376683654675</v>
      </c>
      <c r="C7461" t="s">
        <v>40</v>
      </c>
      <c r="D7461">
        <v>5.6119019999999997</v>
      </c>
      <c r="E7461">
        <v>0.39457500000000001</v>
      </c>
      <c r="F7461" t="s">
        <v>69</v>
      </c>
      <c r="G7461">
        <v>-186.85939999999999</v>
      </c>
      <c r="H7461" s="1">
        <v>-7.0831339999999997E-6</v>
      </c>
      <c r="I7461">
        <v>136.03039999999999</v>
      </c>
      <c r="J7461">
        <v>-185.2216</v>
      </c>
      <c r="K7461">
        <v>1.112417</v>
      </c>
      <c r="L7461">
        <v>128.57939999999999</v>
      </c>
      <c r="M7461">
        <v>9.7982849999999996E-2</v>
      </c>
      <c r="N7461">
        <v>0</v>
      </c>
      <c r="O7461">
        <v>0.99508680000000005</v>
      </c>
      <c r="P7461">
        <v>6.9552569999999994E-2</v>
      </c>
      <c r="Q7461">
        <v>2.3809179999999999E-2</v>
      </c>
      <c r="R7461">
        <v>0.99729409999999996</v>
      </c>
      <c r="S7461">
        <v>-0.63772580000000001</v>
      </c>
      <c r="T7461">
        <v>-0.44020959999999998</v>
      </c>
      <c r="U7461">
        <v>3.0615079999999999</v>
      </c>
      <c r="V7461">
        <v>-2.8678990000000001E-2</v>
      </c>
      <c r="W7461">
        <v>3.7866419999999998E-2</v>
      </c>
      <c r="X7461">
        <v>0.99887119999999996</v>
      </c>
      <c r="Y7461">
        <v>-0.29693560000000002</v>
      </c>
      <c r="Z7461">
        <v>-0.1366433</v>
      </c>
      <c r="AA7461">
        <v>0.94507030000000003</v>
      </c>
      <c r="AB7461">
        <v>29</v>
      </c>
      <c r="AC7461">
        <v>-1.6377999999999899</v>
      </c>
      <c r="AD7461">
        <v>-1.112424083134</v>
      </c>
      <c r="AE7461">
        <v>7.4509999999999899</v>
      </c>
      <c r="AF7461">
        <v>-2.3109247033395199</v>
      </c>
      <c r="AG7461">
        <v>-1.112424083134</v>
      </c>
      <c r="AH7461">
        <v>7.1036046776022497</v>
      </c>
      <c r="AI7461">
        <v>98.470125551873494</v>
      </c>
      <c r="AJ7461">
        <v>108.02059744889399</v>
      </c>
      <c r="AK7461">
        <v>7.5524207868003499</v>
      </c>
      <c r="AL7461">
        <v>87.829895157882405</v>
      </c>
      <c r="AM7461">
        <v>91.644590207476199</v>
      </c>
      <c r="AN7461">
        <v>1.0000000122102299</v>
      </c>
    </row>
    <row r="7462" spans="1:40" x14ac:dyDescent="0.25">
      <c r="A7462" t="str">
        <f>"20190312154443687"</f>
        <v>20190312154443687</v>
      </c>
      <c r="B7462" t="str">
        <f>"1552376683675171"</f>
        <v>1552376683675171</v>
      </c>
      <c r="C7462" t="s">
        <v>40</v>
      </c>
      <c r="D7462">
        <v>5.2261360000000003</v>
      </c>
      <c r="E7462">
        <v>0.39536830000000001</v>
      </c>
      <c r="F7462" t="s">
        <v>69</v>
      </c>
      <c r="G7462">
        <v>-186.8272</v>
      </c>
      <c r="H7462" s="1">
        <v>-7.1865459999999997E-6</v>
      </c>
      <c r="I7462">
        <v>136.34780000000001</v>
      </c>
      <c r="J7462">
        <v>-185.19499999999999</v>
      </c>
      <c r="K7462">
        <v>1.1123879999999999</v>
      </c>
      <c r="L7462">
        <v>128.87610000000001</v>
      </c>
      <c r="M7462">
        <v>9.5570470000000005E-2</v>
      </c>
      <c r="N7462">
        <v>0</v>
      </c>
      <c r="O7462">
        <v>0.99532149999999997</v>
      </c>
      <c r="P7462">
        <v>7.3789320000000005E-2</v>
      </c>
      <c r="Q7462">
        <v>2.3646179999999999E-2</v>
      </c>
      <c r="R7462">
        <v>0.99699349999999998</v>
      </c>
      <c r="S7462">
        <v>-0.63304139999999998</v>
      </c>
      <c r="T7462">
        <v>-0.43858209999999997</v>
      </c>
      <c r="U7462">
        <v>3.0627589999999998</v>
      </c>
      <c r="V7462">
        <v>-2.2007470000000001E-2</v>
      </c>
      <c r="W7462">
        <v>3.7733490000000001E-2</v>
      </c>
      <c r="X7462">
        <v>0.99904550000000003</v>
      </c>
      <c r="Y7462">
        <v>-0.29316989999999998</v>
      </c>
      <c r="Z7462">
        <v>-0.13624649999999999</v>
      </c>
      <c r="AA7462">
        <v>0.94630250000000005</v>
      </c>
      <c r="AB7462">
        <v>29</v>
      </c>
      <c r="AC7462">
        <v>-1.6322000000000101</v>
      </c>
      <c r="AD7462">
        <v>-1.112395186546</v>
      </c>
      <c r="AE7462">
        <v>7.4716999999999896</v>
      </c>
      <c r="AF7462">
        <v>-2.2904170777947699</v>
      </c>
      <c r="AG7462">
        <v>-1.112395186546</v>
      </c>
      <c r="AH7462">
        <v>7.1306310947773897</v>
      </c>
      <c r="AI7462">
        <v>98.4482768587078</v>
      </c>
      <c r="AJ7462">
        <v>107.807443443426</v>
      </c>
      <c r="AK7462">
        <v>7.5716136490916499</v>
      </c>
      <c r="AL7462">
        <v>87.837516967088504</v>
      </c>
      <c r="AM7462">
        <v>91.261935767600704</v>
      </c>
      <c r="AN7462">
        <v>1.00000002803681</v>
      </c>
    </row>
    <row r="7463" spans="1:40" x14ac:dyDescent="0.25">
      <c r="A7463" t="str">
        <f>"20190312154443709"</f>
        <v>20190312154443709</v>
      </c>
      <c r="B7463" t="str">
        <f>"1552376683704451"</f>
        <v>1552376683704451</v>
      </c>
      <c r="C7463" t="s">
        <v>40</v>
      </c>
      <c r="D7463">
        <v>5.6345029999999996</v>
      </c>
      <c r="E7463">
        <v>0.49703940000000002</v>
      </c>
      <c r="F7463" t="s">
        <v>69</v>
      </c>
      <c r="G7463">
        <v>-186.80240000000001</v>
      </c>
      <c r="H7463" s="1">
        <v>-7.3640930000000004E-6</v>
      </c>
      <c r="I7463">
        <v>136.86109999999999</v>
      </c>
      <c r="J7463">
        <v>-185.1721</v>
      </c>
      <c r="K7463">
        <v>1.1123809999999901</v>
      </c>
      <c r="L7463">
        <v>129.13890000000001</v>
      </c>
      <c r="M7463">
        <v>9.3438099999999996E-2</v>
      </c>
      <c r="N7463">
        <v>0</v>
      </c>
      <c r="O7463">
        <v>0.99552399999999996</v>
      </c>
      <c r="P7463">
        <v>8.3397159999999998E-2</v>
      </c>
      <c r="Q7463">
        <v>2.1323640000000001E-2</v>
      </c>
      <c r="R7463">
        <v>0.99628819999999996</v>
      </c>
      <c r="S7463">
        <v>-0.61695859999999902</v>
      </c>
      <c r="T7463">
        <v>-0.42696339999999999</v>
      </c>
      <c r="U7463">
        <v>3.064835</v>
      </c>
      <c r="V7463">
        <v>-1.022375E-2</v>
      </c>
      <c r="W7463">
        <v>3.5463349999999998E-2</v>
      </c>
      <c r="X7463">
        <v>0.9993187</v>
      </c>
      <c r="Y7463">
        <v>-0.28631450000000003</v>
      </c>
      <c r="Z7463">
        <v>-0.1328705</v>
      </c>
      <c r="AA7463">
        <v>0.948878</v>
      </c>
      <c r="AB7463">
        <v>29</v>
      </c>
      <c r="AC7463">
        <v>-1.6303000000000001</v>
      </c>
      <c r="AD7463">
        <v>-1.1123883640929999</v>
      </c>
      <c r="AE7463">
        <v>7.7221999999999804</v>
      </c>
      <c r="AF7463">
        <v>-2.2991141258641798</v>
      </c>
      <c r="AG7463">
        <v>-1.1123883640929999</v>
      </c>
      <c r="AH7463">
        <v>7.3892724662215201</v>
      </c>
      <c r="AI7463">
        <v>98.179882688058598</v>
      </c>
      <c r="AJ7463">
        <v>107.283119840692</v>
      </c>
      <c r="AK7463">
        <v>7.8182274983769302</v>
      </c>
      <c r="AL7463">
        <v>87.967673612493698</v>
      </c>
      <c r="AM7463">
        <v>90.586156638274701</v>
      </c>
      <c r="AN7463">
        <v>1.0000000192134799</v>
      </c>
    </row>
    <row r="7464" spans="1:40" x14ac:dyDescent="0.25">
      <c r="A7464" t="str">
        <f>"20190312154443730"</f>
        <v>20190312154443730</v>
      </c>
      <c r="B7464" t="str">
        <f>"1552376683724949"</f>
        <v>1552376683724949</v>
      </c>
      <c r="C7464" t="s">
        <v>40</v>
      </c>
      <c r="D7464">
        <v>5.5268499999999996</v>
      </c>
      <c r="E7464">
        <v>0.56165279999999995</v>
      </c>
      <c r="F7464" t="s">
        <v>69</v>
      </c>
      <c r="G7464">
        <v>-183.9451</v>
      </c>
      <c r="H7464" s="1">
        <v>-1.022985E-5</v>
      </c>
      <c r="I7464">
        <v>145.79429999999999</v>
      </c>
      <c r="J7464">
        <v>-185.148</v>
      </c>
      <c r="K7464">
        <v>1.112385</v>
      </c>
      <c r="L7464">
        <v>129.42269999999999</v>
      </c>
      <c r="M7464">
        <v>9.1127189999999997E-2</v>
      </c>
      <c r="N7464">
        <v>0</v>
      </c>
      <c r="O7464">
        <v>0.99573820000000002</v>
      </c>
      <c r="P7464">
        <v>9.8206630000000003E-2</v>
      </c>
      <c r="Q7464">
        <v>1.9451309999999999E-2</v>
      </c>
      <c r="R7464">
        <v>0.99497590000000002</v>
      </c>
      <c r="S7464">
        <v>0.22079470000000001</v>
      </c>
      <c r="T7464">
        <v>-0.20016400000000001</v>
      </c>
      <c r="U7464">
        <v>2.9969790000000001</v>
      </c>
      <c r="V7464">
        <v>6.9724349999999999E-3</v>
      </c>
      <c r="W7464">
        <v>3.3664369999999999E-2</v>
      </c>
      <c r="X7464">
        <v>0.99940890000000004</v>
      </c>
      <c r="Y7464">
        <v>-1.7884009999999999E-2</v>
      </c>
      <c r="Z7464">
        <v>-6.6130620000000001E-2</v>
      </c>
      <c r="AA7464">
        <v>0.9976507</v>
      </c>
      <c r="AB7464">
        <v>28</v>
      </c>
      <c r="AC7464">
        <v>1.2028999999999901</v>
      </c>
      <c r="AD7464">
        <v>-1.1123952298499999</v>
      </c>
      <c r="AE7464">
        <v>16.371600000000001</v>
      </c>
      <c r="AF7464">
        <v>-0.29280945884646198</v>
      </c>
      <c r="AG7464">
        <v>-1.1123952298499999</v>
      </c>
      <c r="AH7464">
        <v>16.3380725332214</v>
      </c>
      <c r="AI7464">
        <v>93.894409946162895</v>
      </c>
      <c r="AJ7464">
        <v>91.026739861995694</v>
      </c>
      <c r="AK7464">
        <v>16.378515641760298</v>
      </c>
      <c r="AL7464">
        <v>88.070809225405796</v>
      </c>
      <c r="AM7464">
        <v>89.600279107755298</v>
      </c>
      <c r="AN7464">
        <v>1.0000000270282601</v>
      </c>
    </row>
    <row r="7465" spans="1:40" x14ac:dyDescent="0.25">
      <c r="A7465" t="str">
        <f>"20190312154443753"</f>
        <v>20190312154443753</v>
      </c>
      <c r="B7465" t="str">
        <f>"1552376683744467"</f>
        <v>1552376683744467</v>
      </c>
      <c r="C7465" t="s">
        <v>40</v>
      </c>
      <c r="D7465">
        <v>5.813555</v>
      </c>
      <c r="E7465">
        <v>0.57667939999999995</v>
      </c>
      <c r="F7465" t="s">
        <v>69</v>
      </c>
      <c r="G7465">
        <v>-181.6454</v>
      </c>
      <c r="H7465" s="1">
        <v>-9.6076960000000002E-6</v>
      </c>
      <c r="I7465">
        <v>142.6995</v>
      </c>
      <c r="J7465">
        <v>-185.12520000000001</v>
      </c>
      <c r="K7465">
        <v>1.11239</v>
      </c>
      <c r="L7465">
        <v>129.69919999999999</v>
      </c>
      <c r="M7465">
        <v>8.8870279999999996E-2</v>
      </c>
      <c r="N7465">
        <v>0</v>
      </c>
      <c r="O7465">
        <v>0.9959422</v>
      </c>
      <c r="P7465">
        <v>0.110522</v>
      </c>
      <c r="Q7465">
        <v>1.863836E-2</v>
      </c>
      <c r="R7465">
        <v>0.99369890000000005</v>
      </c>
      <c r="S7465">
        <v>0.77650450000000004</v>
      </c>
      <c r="T7465">
        <v>-0.2466074</v>
      </c>
      <c r="U7465">
        <v>2.9433440000000002</v>
      </c>
      <c r="V7465">
        <v>2.1621919999999999E-2</v>
      </c>
      <c r="W7465">
        <v>3.2909479999999998E-2</v>
      </c>
      <c r="X7465">
        <v>0.99922440000000001</v>
      </c>
      <c r="Y7465">
        <v>0.1673007</v>
      </c>
      <c r="Z7465">
        <v>-8.1035529999999995E-2</v>
      </c>
      <c r="AA7465">
        <v>0.9825699</v>
      </c>
      <c r="AB7465">
        <v>28</v>
      </c>
      <c r="AC7465">
        <v>3.4798000000000102</v>
      </c>
      <c r="AD7465">
        <v>-1.1123996076960001</v>
      </c>
      <c r="AE7465">
        <v>13.000299999999999</v>
      </c>
      <c r="AF7465">
        <v>2.2948925813564198</v>
      </c>
      <c r="AG7465">
        <v>-1.1123996076960001</v>
      </c>
      <c r="AH7465">
        <v>13.1681640559671</v>
      </c>
      <c r="AI7465">
        <v>94.757311195677005</v>
      </c>
      <c r="AJ7465">
        <v>80.114018979191499</v>
      </c>
      <c r="AK7465">
        <v>13.412848670287399</v>
      </c>
      <c r="AL7465">
        <v>88.114085113330503</v>
      </c>
      <c r="AM7465">
        <v>88.760387097152005</v>
      </c>
      <c r="AN7465">
        <v>0.99999997142685704</v>
      </c>
    </row>
    <row r="7466" spans="1:40" x14ac:dyDescent="0.25">
      <c r="A7466" t="str">
        <f>"20190312154443774"</f>
        <v>20190312154443774</v>
      </c>
      <c r="B7466" t="str">
        <f>"1552376683764963"</f>
        <v>1552376683764963</v>
      </c>
      <c r="C7466" t="s">
        <v>40</v>
      </c>
      <c r="D7466">
        <v>5.7532420000000002</v>
      </c>
      <c r="E7466">
        <v>0.58094460000000003</v>
      </c>
      <c r="F7466" t="s">
        <v>41</v>
      </c>
      <c r="G7466">
        <v>-184.84530000000001</v>
      </c>
      <c r="H7466">
        <v>0.99081549999999996</v>
      </c>
      <c r="I7466">
        <v>130.58000000000001</v>
      </c>
      <c r="J7466">
        <v>-185.10249999999999</v>
      </c>
      <c r="K7466">
        <v>1.112349</v>
      </c>
      <c r="L7466">
        <v>129.98259999999999</v>
      </c>
      <c r="M7466">
        <v>8.6613200000000001E-2</v>
      </c>
      <c r="N7466">
        <v>0</v>
      </c>
      <c r="O7466">
        <v>0.9961411</v>
      </c>
      <c r="P7466">
        <v>0.12596740000000001</v>
      </c>
      <c r="Q7466">
        <v>1.8464520000000002E-2</v>
      </c>
      <c r="R7466">
        <v>0.99186249999999998</v>
      </c>
      <c r="S7466">
        <v>0.9285736</v>
      </c>
      <c r="T7466">
        <v>-0.40356779999999998</v>
      </c>
      <c r="U7466">
        <v>2.9233090000000002</v>
      </c>
      <c r="V7466">
        <v>3.9436720000000001E-2</v>
      </c>
      <c r="W7466">
        <v>3.2799389999999998E-2</v>
      </c>
      <c r="X7466">
        <v>0.9986836</v>
      </c>
      <c r="Y7466">
        <v>0.2164256</v>
      </c>
      <c r="Z7466">
        <v>-0.1312062</v>
      </c>
      <c r="AA7466">
        <v>0.96744249999999998</v>
      </c>
      <c r="AB7466">
        <v>28</v>
      </c>
      <c r="AC7466">
        <v>0.257199999999983</v>
      </c>
      <c r="AD7466">
        <v>-0.121533499999999</v>
      </c>
      <c r="AE7466">
        <v>0.59740000000002103</v>
      </c>
      <c r="AF7466">
        <v>0.19758658822070499</v>
      </c>
      <c r="AG7466">
        <v>-0.121533499999999</v>
      </c>
      <c r="AH7466">
        <v>0.596603280675019</v>
      </c>
      <c r="AI7466">
        <v>100.94474149631201</v>
      </c>
      <c r="AJ7466">
        <v>71.675857943222496</v>
      </c>
      <c r="AK7466">
        <v>0.64011430696333005</v>
      </c>
      <c r="AL7466">
        <v>88.1203962551795</v>
      </c>
      <c r="AM7466">
        <v>87.738638918946805</v>
      </c>
      <c r="AN7466">
        <v>0.99999999388884497</v>
      </c>
    </row>
    <row r="7467" spans="1:40" x14ac:dyDescent="0.25">
      <c r="A7467" t="str">
        <f>"20190312154443788"</f>
        <v>20190312154443788</v>
      </c>
      <c r="B7467" t="str">
        <f>"1552376683784483"</f>
        <v>1552376683784483</v>
      </c>
      <c r="C7467" t="s">
        <v>40</v>
      </c>
      <c r="D7467">
        <v>5.7454919999999996</v>
      </c>
      <c r="E7467">
        <v>0.58221899999999904</v>
      </c>
      <c r="F7467" t="s">
        <v>69</v>
      </c>
      <c r="G7467">
        <v>-182.63929999999999</v>
      </c>
      <c r="H7467" s="1">
        <v>-7.8154690000000002E-6</v>
      </c>
      <c r="I7467">
        <v>137.1061</v>
      </c>
      <c r="J7467">
        <v>-185.08879999999999</v>
      </c>
      <c r="K7467">
        <v>1.1122860000000001</v>
      </c>
      <c r="L7467">
        <v>130.15530000000001</v>
      </c>
      <c r="M7467">
        <v>8.5297819999999996E-2</v>
      </c>
      <c r="N7467">
        <v>0</v>
      </c>
      <c r="O7467">
        <v>0.99625459999999999</v>
      </c>
      <c r="P7467">
        <v>0.132210299999999</v>
      </c>
      <c r="Q7467">
        <v>1.8154400000000001E-2</v>
      </c>
      <c r="R7467">
        <v>0.99105540000000003</v>
      </c>
      <c r="S7467">
        <v>1.0046539999999999</v>
      </c>
      <c r="T7467">
        <v>-0.4536983</v>
      </c>
      <c r="U7467">
        <v>2.9054720000000001</v>
      </c>
      <c r="V7467">
        <v>4.7049870000000001E-2</v>
      </c>
      <c r="W7467">
        <v>3.2508679999999998E-2</v>
      </c>
      <c r="X7467">
        <v>0.99836340000000001</v>
      </c>
      <c r="Y7467">
        <v>0.24143129999999999</v>
      </c>
      <c r="Z7467">
        <v>-0.14700669999999999</v>
      </c>
      <c r="AA7467">
        <v>0.95921840000000003</v>
      </c>
      <c r="AB7467">
        <v>28</v>
      </c>
      <c r="AC7467">
        <v>2.4495</v>
      </c>
      <c r="AD7467">
        <v>-1.1122938154690001</v>
      </c>
      <c r="AE7467">
        <v>6.9507999999999797</v>
      </c>
      <c r="AF7467">
        <v>1.80647407922897</v>
      </c>
      <c r="AG7467">
        <v>-1.1122938154690001</v>
      </c>
      <c r="AH7467">
        <v>6.9755269369517299</v>
      </c>
      <c r="AI7467">
        <v>98.775156649705707</v>
      </c>
      <c r="AJ7467">
        <v>75.480907189796298</v>
      </c>
      <c r="AK7467">
        <v>7.2909891084129299</v>
      </c>
      <c r="AL7467">
        <v>88.137061594333503</v>
      </c>
      <c r="AM7467">
        <v>87.301818241712198</v>
      </c>
      <c r="AN7467">
        <v>0.99999999150095897</v>
      </c>
    </row>
    <row r="7468" spans="1:40" x14ac:dyDescent="0.25">
      <c r="A7468" t="str">
        <f>"20190312154443802"</f>
        <v>20190312154443802</v>
      </c>
      <c r="B7468" t="str">
        <f>"1552376683795433"</f>
        <v>1552376683795433</v>
      </c>
      <c r="C7468" t="s">
        <v>40</v>
      </c>
      <c r="D7468">
        <v>5.7678659999999997</v>
      </c>
      <c r="E7468">
        <v>0.58237419999999995</v>
      </c>
      <c r="F7468" t="s">
        <v>69</v>
      </c>
      <c r="G7468">
        <v>-182.67019999999999</v>
      </c>
      <c r="H7468" s="1">
        <v>-7.755802E-6</v>
      </c>
      <c r="I7468">
        <v>136.94319999999999</v>
      </c>
      <c r="J7468">
        <v>-185.07509999999999</v>
      </c>
      <c r="K7468">
        <v>1.1121540000000001</v>
      </c>
      <c r="L7468">
        <v>130.3314</v>
      </c>
      <c r="M7468">
        <v>8.4113880000000002E-2</v>
      </c>
      <c r="N7468">
        <v>0</v>
      </c>
      <c r="O7468">
        <v>0.9963554</v>
      </c>
      <c r="P7468">
        <v>0.137483299999999</v>
      </c>
      <c r="Q7468">
        <v>1.840056E-2</v>
      </c>
      <c r="R7468">
        <v>0.99033309999999997</v>
      </c>
      <c r="S7468">
        <v>1.032608</v>
      </c>
      <c r="T7468">
        <v>-0.47488130000000001</v>
      </c>
      <c r="U7468">
        <v>2.8980100000000002</v>
      </c>
      <c r="V7468">
        <v>5.3559610000000001E-2</v>
      </c>
      <c r="W7468">
        <v>3.27584E-2</v>
      </c>
      <c r="X7468">
        <v>0.9980272</v>
      </c>
      <c r="Y7468">
        <v>0.25122909999999998</v>
      </c>
      <c r="Z7468">
        <v>-0.15366629999999901</v>
      </c>
      <c r="AA7468">
        <v>0.9556519</v>
      </c>
      <c r="AB7468">
        <v>28</v>
      </c>
      <c r="AC7468">
        <v>2.4048999999999898</v>
      </c>
      <c r="AD7468">
        <v>-1.1121617558020001</v>
      </c>
      <c r="AE7468">
        <v>6.6117999999999801</v>
      </c>
      <c r="AF7468">
        <v>1.7953139579790001</v>
      </c>
      <c r="AG7468">
        <v>-1.1121617558020001</v>
      </c>
      <c r="AH7468">
        <v>6.6251197699032103</v>
      </c>
      <c r="AI7468">
        <v>99.203465792281307</v>
      </c>
      <c r="AJ7468">
        <v>74.837788897823501</v>
      </c>
      <c r="AK7468">
        <v>6.9535795058620797</v>
      </c>
      <c r="AL7468">
        <v>88.122746117702903</v>
      </c>
      <c r="AM7468">
        <v>86.928141124809997</v>
      </c>
      <c r="AN7468">
        <v>1.00000001826687</v>
      </c>
    </row>
    <row r="7469" spans="1:40" x14ac:dyDescent="0.25">
      <c r="A7469" t="str">
        <f>"20190312154443819"</f>
        <v>20190312154443819</v>
      </c>
      <c r="B7469" t="str">
        <f>"1552376683814953"</f>
        <v>1552376683814953</v>
      </c>
      <c r="C7469" t="s">
        <v>40</v>
      </c>
      <c r="D7469">
        <v>5.7785729999999997</v>
      </c>
      <c r="E7469">
        <v>0.58199239999999997</v>
      </c>
      <c r="F7469" t="s">
        <v>41</v>
      </c>
      <c r="G7469">
        <v>-184.8014</v>
      </c>
      <c r="H7469">
        <v>0.98716280000000001</v>
      </c>
      <c r="I7469">
        <v>131.0847</v>
      </c>
      <c r="J7469">
        <v>-185.05889999999999</v>
      </c>
      <c r="K7469">
        <v>1.111904</v>
      </c>
      <c r="L7469">
        <v>130.53989999999999</v>
      </c>
      <c r="M7469">
        <v>8.2942249999999995E-2</v>
      </c>
      <c r="N7469">
        <v>0</v>
      </c>
      <c r="O7469">
        <v>0.99645360000000005</v>
      </c>
      <c r="P7469">
        <v>0.14835590000000001</v>
      </c>
      <c r="Q7469">
        <v>1.554936E-2</v>
      </c>
      <c r="R7469">
        <v>0.98881180000000002</v>
      </c>
      <c r="S7469">
        <v>1.0499419999999999</v>
      </c>
      <c r="T7469">
        <v>-0.48005140000000002</v>
      </c>
      <c r="U7469">
        <v>2.8924259999999999</v>
      </c>
      <c r="V7469">
        <v>6.5721119999999994E-2</v>
      </c>
      <c r="W7469">
        <v>2.9905459999999998E-2</v>
      </c>
      <c r="X7469">
        <v>0.99738979999999999</v>
      </c>
      <c r="Y7469">
        <v>0.2579264</v>
      </c>
      <c r="Z7469">
        <v>-0.1553071</v>
      </c>
      <c r="AA7469">
        <v>0.95360029999999996</v>
      </c>
      <c r="AB7469">
        <v>28</v>
      </c>
      <c r="AC7469">
        <v>0.25749999999999301</v>
      </c>
      <c r="AD7469">
        <v>-0.1247412</v>
      </c>
      <c r="AE7469">
        <v>0.54480000000000905</v>
      </c>
      <c r="AF7469">
        <v>0.202733427833865</v>
      </c>
      <c r="AG7469">
        <v>-0.1247412</v>
      </c>
      <c r="AH7469">
        <v>0.54109486015338804</v>
      </c>
      <c r="AI7469">
        <v>102.18204730330901</v>
      </c>
      <c r="AJ7469">
        <v>69.460401575961697</v>
      </c>
      <c r="AK7469">
        <v>0.59113861100686405</v>
      </c>
      <c r="AL7469">
        <v>88.286287866724805</v>
      </c>
      <c r="AM7469">
        <v>86.230052601854993</v>
      </c>
      <c r="AN7469">
        <v>1.0000000076479501</v>
      </c>
    </row>
    <row r="7470" spans="1:40" x14ac:dyDescent="0.25">
      <c r="A7470" t="str">
        <f>"20190312154443841"</f>
        <v>20190312154443841</v>
      </c>
      <c r="B7470" t="str">
        <f>"1552376683834474"</f>
        <v>1552376683834474</v>
      </c>
      <c r="C7470" t="s">
        <v>40</v>
      </c>
      <c r="D7470">
        <v>5.7396890000000003</v>
      </c>
      <c r="E7470">
        <v>0.58129690000000001</v>
      </c>
      <c r="F7470" t="s">
        <v>69</v>
      </c>
      <c r="G7470">
        <v>-182.61859999999999</v>
      </c>
      <c r="H7470" s="1">
        <v>-7.7979690000000008E-6</v>
      </c>
      <c r="I7470">
        <v>137.05090000000001</v>
      </c>
      <c r="J7470">
        <v>-185.03710000000001</v>
      </c>
      <c r="K7470">
        <v>1.1114269999999999</v>
      </c>
      <c r="L7470">
        <v>130.81870000000001</v>
      </c>
      <c r="M7470">
        <v>8.1933300000000001E-2</v>
      </c>
      <c r="N7470">
        <v>0</v>
      </c>
      <c r="O7470">
        <v>0.99653729999999996</v>
      </c>
      <c r="P7470">
        <v>0.16086</v>
      </c>
      <c r="Q7470">
        <v>8.0837319999999997E-3</v>
      </c>
      <c r="R7470">
        <v>0.98694409999999999</v>
      </c>
      <c r="S7470">
        <v>1.079315</v>
      </c>
      <c r="T7470">
        <v>-0.49179289999999998</v>
      </c>
      <c r="U7470">
        <v>2.8797609999999998</v>
      </c>
      <c r="V7470">
        <v>7.9395839999999995E-2</v>
      </c>
      <c r="W7470">
        <v>2.2379260000000002E-2</v>
      </c>
      <c r="X7470">
        <v>0.99659189999999998</v>
      </c>
      <c r="Y7470">
        <v>0.26857419999999999</v>
      </c>
      <c r="Z7470">
        <v>-0.1591649</v>
      </c>
      <c r="AA7470">
        <v>0.95001809999999998</v>
      </c>
      <c r="AB7470">
        <v>28</v>
      </c>
      <c r="AC7470">
        <v>2.4185000000000199</v>
      </c>
      <c r="AD7470">
        <v>-1.111434797969</v>
      </c>
      <c r="AE7470">
        <v>6.2321999999999997</v>
      </c>
      <c r="AF7470">
        <v>1.84859301926945</v>
      </c>
      <c r="AG7470">
        <v>-1.111434797969</v>
      </c>
      <c r="AH7470">
        <v>6.2370165251983796</v>
      </c>
      <c r="AI7470">
        <v>99.695550111461102</v>
      </c>
      <c r="AJ7470">
        <v>73.4906720429518</v>
      </c>
      <c r="AK7470">
        <v>6.5994665387912903</v>
      </c>
      <c r="AL7470">
        <v>88.717655763763901</v>
      </c>
      <c r="AM7470">
        <v>85.445017231144206</v>
      </c>
      <c r="AN7470">
        <v>0.99999997291653098</v>
      </c>
    </row>
    <row r="7471" spans="1:40" x14ac:dyDescent="0.25">
      <c r="A7471" t="str">
        <f>"20190312154443864"</f>
        <v>20190312154443864</v>
      </c>
      <c r="B7471" t="str">
        <f>"1552376683854969"</f>
        <v>1552376683854969</v>
      </c>
      <c r="C7471" t="s">
        <v>40</v>
      </c>
      <c r="D7471">
        <v>5.9715860000000003</v>
      </c>
      <c r="E7471">
        <v>0.58099709999999904</v>
      </c>
      <c r="F7471" t="s">
        <v>69</v>
      </c>
      <c r="G7471">
        <v>-182.66730000000001</v>
      </c>
      <c r="H7471" s="1">
        <v>-7.7519070000000002E-6</v>
      </c>
      <c r="I7471">
        <v>136.9314</v>
      </c>
      <c r="J7471">
        <v>-185.01400000000001</v>
      </c>
      <c r="K7471">
        <v>1.1107670000000001</v>
      </c>
      <c r="L7471">
        <v>131.1061</v>
      </c>
      <c r="M7471">
        <v>8.1756300000000004E-2</v>
      </c>
      <c r="N7471">
        <v>0</v>
      </c>
      <c r="O7471">
        <v>0.99655179999999999</v>
      </c>
      <c r="P7471">
        <v>0.17342639999999901</v>
      </c>
      <c r="Q7471">
        <v>-7.5918899999999996E-4</v>
      </c>
      <c r="R7471">
        <v>0.98484649999999996</v>
      </c>
      <c r="S7471">
        <v>1.1099699999999999</v>
      </c>
      <c r="T7471">
        <v>-0.52057390000000003</v>
      </c>
      <c r="U7471">
        <v>2.8630369999999998</v>
      </c>
      <c r="V7471">
        <v>9.2310229999999993E-2</v>
      </c>
      <c r="W7471">
        <v>1.340475E-2</v>
      </c>
      <c r="X7471">
        <v>0.99563999999999997</v>
      </c>
      <c r="Y7471">
        <v>0.27886280000000002</v>
      </c>
      <c r="Z7471">
        <v>-0.168553799999999</v>
      </c>
      <c r="AA7471">
        <v>0.94542320000000002</v>
      </c>
      <c r="AB7471">
        <v>28</v>
      </c>
      <c r="AC7471">
        <v>2.34669999999999</v>
      </c>
      <c r="AD7471">
        <v>-1.1107747519069999</v>
      </c>
      <c r="AE7471">
        <v>5.8252999999999897</v>
      </c>
      <c r="AF7471">
        <v>1.8060421058481599</v>
      </c>
      <c r="AG7471">
        <v>-1.1107747519069999</v>
      </c>
      <c r="AH7471">
        <v>5.8157403190219501</v>
      </c>
      <c r="AI7471">
        <v>100.337210615841</v>
      </c>
      <c r="AJ7471">
        <v>72.748142384114402</v>
      </c>
      <c r="AK7471">
        <v>6.1901893424892904</v>
      </c>
      <c r="AL7471">
        <v>89.231941348848295</v>
      </c>
      <c r="AM7471">
        <v>84.702995450840803</v>
      </c>
      <c r="AN7471">
        <v>0.99999993774260498</v>
      </c>
    </row>
    <row r="7472" spans="1:40" x14ac:dyDescent="0.25">
      <c r="A7472" t="str">
        <f>"20190312154443888"</f>
        <v>20190312154443888</v>
      </c>
      <c r="B7472" t="str">
        <f>"1552376683874489"</f>
        <v>1552376683874489</v>
      </c>
      <c r="C7472" t="s">
        <v>40</v>
      </c>
      <c r="D7472">
        <v>6.4970999999999997</v>
      </c>
      <c r="E7472">
        <v>0.57908029999999999</v>
      </c>
      <c r="F7472" t="s">
        <v>69</v>
      </c>
      <c r="G7472">
        <v>-182.68279999999999</v>
      </c>
      <c r="H7472" s="1">
        <v>-7.7378739999999998E-6</v>
      </c>
      <c r="I7472">
        <v>136.89510000000001</v>
      </c>
      <c r="J7472">
        <v>-184.9896</v>
      </c>
      <c r="K7472">
        <v>1.1099969999999999</v>
      </c>
      <c r="L7472">
        <v>131.3954</v>
      </c>
      <c r="M7472">
        <v>8.2626190000000002E-2</v>
      </c>
      <c r="N7472">
        <v>0</v>
      </c>
      <c r="O7472">
        <v>0.99647989999999997</v>
      </c>
      <c r="P7472">
        <v>0.1851727</v>
      </c>
      <c r="Q7472">
        <v>-6.1967810000000002E-3</v>
      </c>
      <c r="R7472">
        <v>0.98268650000000002</v>
      </c>
      <c r="S7472">
        <v>1.1452789999999999</v>
      </c>
      <c r="T7472">
        <v>-0.54570669999999899</v>
      </c>
      <c r="U7472">
        <v>2.8440699999999999</v>
      </c>
      <c r="V7472">
        <v>0.103344699999999</v>
      </c>
      <c r="W7472">
        <v>7.7741009999999899E-3</v>
      </c>
      <c r="X7472">
        <v>0.99461520000000003</v>
      </c>
      <c r="Y7472">
        <v>0.28973339999999997</v>
      </c>
      <c r="Z7472">
        <v>-0.17680460000000001</v>
      </c>
      <c r="AA7472">
        <v>0.94063529999999995</v>
      </c>
      <c r="AB7472">
        <v>28</v>
      </c>
      <c r="AC7472">
        <v>2.3068</v>
      </c>
      <c r="AD7472">
        <v>-1.1100047378739999</v>
      </c>
      <c r="AE7472">
        <v>5.4997000000000096</v>
      </c>
      <c r="AF7472">
        <v>1.7826915517665101</v>
      </c>
      <c r="AG7472">
        <v>-1.1100047378739999</v>
      </c>
      <c r="AH7472">
        <v>5.4816231481395201</v>
      </c>
      <c r="AI7472">
        <v>100.899921141615</v>
      </c>
      <c r="AJ7472">
        <v>71.984834607667494</v>
      </c>
      <c r="AK7472">
        <v>5.8701185699320799</v>
      </c>
      <c r="AL7472">
        <v>89.554572327454693</v>
      </c>
      <c r="AM7472">
        <v>84.068013966501894</v>
      </c>
      <c r="AN7472">
        <v>0.99999997986774303</v>
      </c>
    </row>
    <row r="7473" spans="1:40" x14ac:dyDescent="0.25">
      <c r="A7473" t="str">
        <f>"20190312154443909"</f>
        <v>20190312154443909</v>
      </c>
      <c r="B7473" t="str">
        <f>"1552376683904882"</f>
        <v>1552376683904882</v>
      </c>
      <c r="C7473" t="s">
        <v>40</v>
      </c>
      <c r="D7473">
        <v>5.8425289999999999</v>
      </c>
      <c r="E7473">
        <v>0.57730729999999997</v>
      </c>
      <c r="F7473" t="s">
        <v>69</v>
      </c>
      <c r="G7473">
        <v>-182.59389999999999</v>
      </c>
      <c r="H7473" s="1">
        <v>-7.8582830000000008E-6</v>
      </c>
      <c r="I7473">
        <v>137.21709999999999</v>
      </c>
      <c r="J7473">
        <v>-184.96530000000001</v>
      </c>
      <c r="K7473">
        <v>1.109254</v>
      </c>
      <c r="L7473">
        <v>131.66759999999999</v>
      </c>
      <c r="M7473">
        <v>8.4607950000000001E-2</v>
      </c>
      <c r="N7473">
        <v>0</v>
      </c>
      <c r="O7473">
        <v>0.99631329999999996</v>
      </c>
      <c r="P7473">
        <v>0.1967323</v>
      </c>
      <c r="Q7473">
        <v>-3.8630159999999999E-3</v>
      </c>
      <c r="R7473">
        <v>0.98044960000000003</v>
      </c>
      <c r="S7473">
        <v>1.1645970000000001</v>
      </c>
      <c r="T7473">
        <v>-0.53958139999999999</v>
      </c>
      <c r="U7473">
        <v>2.829987</v>
      </c>
      <c r="V7473">
        <v>0.1130959</v>
      </c>
      <c r="W7473">
        <v>9.8854530000000006E-3</v>
      </c>
      <c r="X7473">
        <v>0.9935349</v>
      </c>
      <c r="Y7473">
        <v>0.29505940000000003</v>
      </c>
      <c r="Z7473">
        <v>-0.175264</v>
      </c>
      <c r="AA7473">
        <v>0.93926699999999996</v>
      </c>
      <c r="AB7473">
        <v>28</v>
      </c>
      <c r="AC7473">
        <v>2.3714000000000199</v>
      </c>
      <c r="AD7473">
        <v>-1.1092618582830001</v>
      </c>
      <c r="AE7473">
        <v>5.5494999999999903</v>
      </c>
      <c r="AF7473">
        <v>1.83144109584149</v>
      </c>
      <c r="AG7473">
        <v>-1.1092618582830001</v>
      </c>
      <c r="AH7473">
        <v>5.5429875623431402</v>
      </c>
      <c r="AI7473">
        <v>100.75888099500401</v>
      </c>
      <c r="AJ7473">
        <v>71.716090728229005</v>
      </c>
      <c r="AK7473">
        <v>5.9421670688452801</v>
      </c>
      <c r="AL7473">
        <v>89.433596039881394</v>
      </c>
      <c r="AM7473">
        <v>83.505869691568194</v>
      </c>
      <c r="AN7473">
        <v>1.00000000114791</v>
      </c>
    </row>
    <row r="7474" spans="1:40" x14ac:dyDescent="0.25">
      <c r="A7474" t="str">
        <f>"20190312154443931"</f>
        <v>20190312154443931</v>
      </c>
      <c r="B7474" t="str">
        <f>"1552376683925378"</f>
        <v>1552376683925378</v>
      </c>
      <c r="C7474" t="s">
        <v>40</v>
      </c>
      <c r="D7474">
        <v>5.7157039999999997</v>
      </c>
      <c r="E7474">
        <v>0.57689489999999999</v>
      </c>
      <c r="F7474" t="s">
        <v>69</v>
      </c>
      <c r="G7474">
        <v>-182.4676</v>
      </c>
      <c r="H7474" s="1">
        <v>-8.0158899999999999E-6</v>
      </c>
      <c r="I7474">
        <v>137.6361</v>
      </c>
      <c r="J7474">
        <v>-184.93860000000001</v>
      </c>
      <c r="K7474">
        <v>1.108508</v>
      </c>
      <c r="L7474">
        <v>131.94589999999999</v>
      </c>
      <c r="M7474">
        <v>8.7793209999999997E-2</v>
      </c>
      <c r="N7474">
        <v>0</v>
      </c>
      <c r="O7474">
        <v>0.99603710000000001</v>
      </c>
      <c r="P7474">
        <v>0.20930460000000001</v>
      </c>
      <c r="Q7474">
        <v>4.7330310000000004E-3</v>
      </c>
      <c r="R7474">
        <v>0.97783909999999996</v>
      </c>
      <c r="S7474">
        <v>1.18045</v>
      </c>
      <c r="T7474">
        <v>-0.52426759999999994</v>
      </c>
      <c r="U7474">
        <v>2.8208769999999999</v>
      </c>
      <c r="V7474">
        <v>0.1227347</v>
      </c>
      <c r="W7474">
        <v>1.8228299999999999E-2</v>
      </c>
      <c r="X7474">
        <v>0.99227209999999999</v>
      </c>
      <c r="Y7474">
        <v>0.29789169999999998</v>
      </c>
      <c r="Z7474">
        <v>-0.1706174</v>
      </c>
      <c r="AA7474">
        <v>0.93922850000000002</v>
      </c>
      <c r="AB7474">
        <v>28</v>
      </c>
      <c r="AC7474">
        <v>2.4710000000000001</v>
      </c>
      <c r="AD7474">
        <v>-1.10851601589</v>
      </c>
      <c r="AE7474">
        <v>5.6901999999999999</v>
      </c>
      <c r="AF7474">
        <v>1.9011415646421499</v>
      </c>
      <c r="AG7474">
        <v>-1.10851601589</v>
      </c>
      <c r="AH7474">
        <v>5.7030826561777097</v>
      </c>
      <c r="AI7474">
        <v>100.44774040228801</v>
      </c>
      <c r="AJ7474">
        <v>71.564020302912994</v>
      </c>
      <c r="AK7474">
        <v>6.1129615399975803</v>
      </c>
      <c r="AL7474">
        <v>88.955537495028196</v>
      </c>
      <c r="AM7474">
        <v>82.948866195280701</v>
      </c>
      <c r="AN7474">
        <v>0.999999998971695</v>
      </c>
    </row>
    <row r="7475" spans="1:40" x14ac:dyDescent="0.25">
      <c r="A7475" t="str">
        <f>"20190312154443944"</f>
        <v>20190312154443944</v>
      </c>
      <c r="B7475" t="str">
        <f>"1552376683935138"</f>
        <v>1552376683935138</v>
      </c>
      <c r="C7475" t="s">
        <v>40</v>
      </c>
      <c r="D7475">
        <v>5.7161439999999999</v>
      </c>
      <c r="E7475">
        <v>0.57624160000000002</v>
      </c>
      <c r="F7475" t="s">
        <v>69</v>
      </c>
      <c r="G7475">
        <v>-182.27010000000001</v>
      </c>
      <c r="H7475" s="1">
        <v>-8.2107329999999994E-6</v>
      </c>
      <c r="I7475">
        <v>138.1437</v>
      </c>
      <c r="J7475">
        <v>-184.9204</v>
      </c>
      <c r="K7475">
        <v>1.1080570000000001</v>
      </c>
      <c r="L7475">
        <v>132.1251</v>
      </c>
      <c r="M7475">
        <v>9.0343099999999996E-2</v>
      </c>
      <c r="N7475">
        <v>0</v>
      </c>
      <c r="O7475">
        <v>0.99580860000000004</v>
      </c>
      <c r="P7475">
        <v>0.2159809</v>
      </c>
      <c r="Q7475">
        <v>1.1524039999999999E-2</v>
      </c>
      <c r="R7475">
        <v>0.97632960000000002</v>
      </c>
      <c r="S7475">
        <v>1.2104029999999999</v>
      </c>
      <c r="T7475">
        <v>-0.50282839999999995</v>
      </c>
      <c r="U7475">
        <v>2.81134</v>
      </c>
      <c r="V7475">
        <v>0.1270432</v>
      </c>
      <c r="W7475">
        <v>2.486623E-2</v>
      </c>
      <c r="X7475">
        <v>0.99158539999999995</v>
      </c>
      <c r="Y7475">
        <v>0.30551230000000001</v>
      </c>
      <c r="Z7475">
        <v>-0.16376060000000001</v>
      </c>
      <c r="AA7475">
        <v>0.93800039999999996</v>
      </c>
      <c r="AB7475">
        <v>28</v>
      </c>
      <c r="AC7475">
        <v>2.6502999999999801</v>
      </c>
      <c r="AD7475">
        <v>-1.108065210733</v>
      </c>
      <c r="AE7475">
        <v>6.0185999999999904</v>
      </c>
      <c r="AF7475">
        <v>2.0378117859238301</v>
      </c>
      <c r="AG7475">
        <v>-1.108065210733</v>
      </c>
      <c r="AH7475">
        <v>6.0613606287745601</v>
      </c>
      <c r="AI7475">
        <v>99.830455651824195</v>
      </c>
      <c r="AJ7475">
        <v>71.417505371337299</v>
      </c>
      <c r="AK7475">
        <v>6.4900368302610696</v>
      </c>
      <c r="AL7475">
        <v>88.575123037869204</v>
      </c>
      <c r="AM7475">
        <v>82.698966448211095</v>
      </c>
      <c r="AN7475">
        <v>0.99999995477690495</v>
      </c>
    </row>
    <row r="7476" spans="1:40" x14ac:dyDescent="0.25">
      <c r="A7476" t="str">
        <f>"20190312154443957"</f>
        <v>20190312154443957</v>
      </c>
      <c r="B7476" t="str">
        <f>"1552376683944898"</f>
        <v>1552376683944898</v>
      </c>
      <c r="C7476" t="s">
        <v>40</v>
      </c>
      <c r="D7476">
        <v>5.744008</v>
      </c>
      <c r="E7476">
        <v>0.57559659999999901</v>
      </c>
      <c r="F7476" t="s">
        <v>69</v>
      </c>
      <c r="G7476">
        <v>-182.0941</v>
      </c>
      <c r="H7476" s="1">
        <v>-8.3865089999999997E-6</v>
      </c>
      <c r="I7476">
        <v>138.60220000000001</v>
      </c>
      <c r="J7476">
        <v>-184.904</v>
      </c>
      <c r="K7476">
        <v>1.107701</v>
      </c>
      <c r="L7476">
        <v>132.2784</v>
      </c>
      <c r="M7476">
        <v>9.2899129999999996E-2</v>
      </c>
      <c r="N7476">
        <v>0</v>
      </c>
      <c r="O7476">
        <v>0.99557300000000004</v>
      </c>
      <c r="P7476">
        <v>0.22221150000000001</v>
      </c>
      <c r="Q7476">
        <v>1.7181470000000001E-2</v>
      </c>
      <c r="R7476">
        <v>0.97484709999999997</v>
      </c>
      <c r="S7476">
        <v>1.2250369999999999</v>
      </c>
      <c r="T7476">
        <v>-0.48027920000000002</v>
      </c>
      <c r="U7476">
        <v>2.807404</v>
      </c>
      <c r="V7476">
        <v>0.1309023</v>
      </c>
      <c r="W7476">
        <v>3.0391600000000001E-2</v>
      </c>
      <c r="X7476">
        <v>0.99092930000000001</v>
      </c>
      <c r="Y7476">
        <v>0.30813259999999998</v>
      </c>
      <c r="Z7476">
        <v>-0.1565319</v>
      </c>
      <c r="AA7476">
        <v>0.93837729999999997</v>
      </c>
      <c r="AB7476">
        <v>28</v>
      </c>
      <c r="AC7476">
        <v>2.8099000000000198</v>
      </c>
      <c r="AD7476">
        <v>-1.107709386509</v>
      </c>
      <c r="AE7476">
        <v>6.3238000000000003</v>
      </c>
      <c r="AF7476">
        <v>2.1549916382558898</v>
      </c>
      <c r="AG7476">
        <v>-1.107709386509</v>
      </c>
      <c r="AH7476">
        <v>6.3936809120957498</v>
      </c>
      <c r="AI7476">
        <v>99.323419388763895</v>
      </c>
      <c r="AJ7476">
        <v>71.373598998900803</v>
      </c>
      <c r="AK7476">
        <v>6.8374092060963001</v>
      </c>
      <c r="AL7476">
        <v>88.258421362780794</v>
      </c>
      <c r="AM7476">
        <v>82.474767635113295</v>
      </c>
      <c r="AN7476">
        <v>0.99999996954716897</v>
      </c>
    </row>
    <row r="7477" spans="1:40" x14ac:dyDescent="0.25">
      <c r="A7477" t="str">
        <f>"20190312154443975"</f>
        <v>20190312154443975</v>
      </c>
      <c r="B7477" t="str">
        <f>"1552376683964418"</f>
        <v>1552376683964418</v>
      </c>
      <c r="C7477" t="s">
        <v>40</v>
      </c>
      <c r="D7477">
        <v>5.7813220000000003</v>
      </c>
      <c r="E7477">
        <v>0.57441779999999998</v>
      </c>
      <c r="F7477" t="s">
        <v>69</v>
      </c>
      <c r="G7477">
        <v>-181.9273</v>
      </c>
      <c r="H7477" s="1">
        <v>-8.5453969999999997E-6</v>
      </c>
      <c r="I7477">
        <v>139.0146</v>
      </c>
      <c r="J7477">
        <v>-184.8792</v>
      </c>
      <c r="K7477">
        <v>1.107194</v>
      </c>
      <c r="L7477">
        <v>132.5008</v>
      </c>
      <c r="M7477">
        <v>9.7047430000000004E-2</v>
      </c>
      <c r="N7477">
        <v>0</v>
      </c>
      <c r="O7477">
        <v>0.99517670000000003</v>
      </c>
      <c r="P7477">
        <v>0.2332091</v>
      </c>
      <c r="Q7477">
        <v>2.637977E-2</v>
      </c>
      <c r="R7477">
        <v>0.97206870000000001</v>
      </c>
      <c r="S7477">
        <v>1.2387239999999999</v>
      </c>
      <c r="T7477">
        <v>-0.46095350000000002</v>
      </c>
      <c r="U7477">
        <v>2.8031769999999998</v>
      </c>
      <c r="V7477">
        <v>0.13810439999999999</v>
      </c>
      <c r="W7477">
        <v>3.9370679999999998E-2</v>
      </c>
      <c r="X7477">
        <v>0.98963489999999998</v>
      </c>
      <c r="Y7477">
        <v>0.30892069999999999</v>
      </c>
      <c r="Z7477">
        <v>-0.15034149999999999</v>
      </c>
      <c r="AA7477">
        <v>0.93913009999999997</v>
      </c>
      <c r="AB7477">
        <v>28</v>
      </c>
      <c r="AC7477">
        <v>2.95189999999999</v>
      </c>
      <c r="AD7477">
        <v>-1.107202545397</v>
      </c>
      <c r="AE7477">
        <v>6.5137999999999998</v>
      </c>
      <c r="AF7477">
        <v>2.25177630816939</v>
      </c>
      <c r="AG7477">
        <v>-1.107202545397</v>
      </c>
      <c r="AH7477">
        <v>6.6110839488106397</v>
      </c>
      <c r="AI7477">
        <v>99.008306968166707</v>
      </c>
      <c r="AJ7477">
        <v>71.190837897849306</v>
      </c>
      <c r="AK7477">
        <v>7.0712675664825602</v>
      </c>
      <c r="AL7477">
        <v>87.743643157384497</v>
      </c>
      <c r="AM7477">
        <v>82.055630378369301</v>
      </c>
      <c r="AN7477">
        <v>1.00000005552051</v>
      </c>
    </row>
    <row r="7478" spans="1:40" x14ac:dyDescent="0.25">
      <c r="A7478" t="str">
        <f>"20190312154443989"</f>
        <v>20190312154443989</v>
      </c>
      <c r="B7478" t="str">
        <f>"1552376683975154"</f>
        <v>1552376683975154</v>
      </c>
      <c r="C7478" t="s">
        <v>40</v>
      </c>
      <c r="D7478">
        <v>5.7503320000000002</v>
      </c>
      <c r="E7478">
        <v>0.57441779999999998</v>
      </c>
      <c r="F7478" t="s">
        <v>69</v>
      </c>
      <c r="G7478">
        <v>-181.61930000000001</v>
      </c>
      <c r="H7478" s="1">
        <v>-8.8078950000000005E-6</v>
      </c>
      <c r="I7478">
        <v>139.71129999999999</v>
      </c>
      <c r="J7478">
        <v>-184.8596</v>
      </c>
      <c r="K7478">
        <v>1.106787</v>
      </c>
      <c r="L7478">
        <v>132.67009999999999</v>
      </c>
      <c r="M7478">
        <v>0.10055119999999999</v>
      </c>
      <c r="N7478">
        <v>0</v>
      </c>
      <c r="O7478">
        <v>0.9948285</v>
      </c>
      <c r="P7478">
        <v>0.238733</v>
      </c>
      <c r="Q7478">
        <v>2.8899419999999999E-2</v>
      </c>
      <c r="R7478">
        <v>0.97065509999999999</v>
      </c>
      <c r="S7478">
        <v>1.2635350000000001</v>
      </c>
      <c r="T7478">
        <v>-0.42914459999999999</v>
      </c>
      <c r="U7478">
        <v>2.794724</v>
      </c>
      <c r="V7478">
        <v>0.14031859999999999</v>
      </c>
      <c r="W7478">
        <v>4.1750519999999999E-2</v>
      </c>
      <c r="X7478">
        <v>0.98922569999999999</v>
      </c>
      <c r="Y7478">
        <v>0.3141853</v>
      </c>
      <c r="Z7478">
        <v>-0.14013239999999999</v>
      </c>
      <c r="AA7478">
        <v>0.93896250000000003</v>
      </c>
      <c r="AB7478">
        <v>28</v>
      </c>
      <c r="AC7478">
        <v>3.2402999999999902</v>
      </c>
      <c r="AD7478">
        <v>-1.106795807895</v>
      </c>
      <c r="AE7478">
        <v>7.0411999999999999</v>
      </c>
      <c r="AF7478">
        <v>2.4655281055671301</v>
      </c>
      <c r="AG7478">
        <v>-1.106795807895</v>
      </c>
      <c r="AH7478">
        <v>7.1848566906727402</v>
      </c>
      <c r="AI7478">
        <v>98.289971373122896</v>
      </c>
      <c r="AJ7478">
        <v>71.060024714717898</v>
      </c>
      <c r="AK7478">
        <v>7.6763266908867402</v>
      </c>
      <c r="AL7478">
        <v>87.607175791697998</v>
      </c>
      <c r="AM7478">
        <v>81.926630590357107</v>
      </c>
      <c r="AN7478">
        <v>0.99999995048335899</v>
      </c>
    </row>
    <row r="7479" spans="1:40" x14ac:dyDescent="0.25">
      <c r="A7479" t="str">
        <f>"20190312154444008"</f>
        <v>20190312154444008</v>
      </c>
      <c r="B7479" t="str">
        <f>"1552376684004434"</f>
        <v>1552376684004434</v>
      </c>
      <c r="C7479" t="s">
        <v>40</v>
      </c>
      <c r="D7479">
        <v>5.4960699999999996</v>
      </c>
      <c r="E7479">
        <v>0.55696210000000002</v>
      </c>
      <c r="F7479" t="s">
        <v>69</v>
      </c>
      <c r="G7479">
        <v>-181.48269999999999</v>
      </c>
      <c r="H7479" s="1">
        <v>-8.9011339999999999E-6</v>
      </c>
      <c r="I7479">
        <v>140.01929999999999</v>
      </c>
      <c r="J7479">
        <v>-184.8295</v>
      </c>
      <c r="K7479">
        <v>1.106198</v>
      </c>
      <c r="L7479">
        <v>132.91210000000001</v>
      </c>
      <c r="M7479">
        <v>0.1062091</v>
      </c>
      <c r="N7479">
        <v>0</v>
      </c>
      <c r="O7479">
        <v>0.99423969999999995</v>
      </c>
      <c r="P7479">
        <v>0.2494015</v>
      </c>
      <c r="Q7479">
        <v>2.9918989999999999E-2</v>
      </c>
      <c r="R7479">
        <v>0.96793790000000002</v>
      </c>
      <c r="S7479">
        <v>1.2810820000000001</v>
      </c>
      <c r="T7479">
        <v>-0.41988579999999998</v>
      </c>
      <c r="U7479">
        <v>2.7881010000000002</v>
      </c>
      <c r="V7479">
        <v>0.14565159999999999</v>
      </c>
      <c r="W7479">
        <v>4.2548030000000001E-2</v>
      </c>
      <c r="X7479">
        <v>0.98842059999999998</v>
      </c>
      <c r="Y7479">
        <v>0.31469269999999999</v>
      </c>
      <c r="Z7479">
        <v>-0.1371588</v>
      </c>
      <c r="AA7479">
        <v>0.93923160000000006</v>
      </c>
      <c r="AB7479">
        <v>28</v>
      </c>
      <c r="AC7479">
        <v>3.3468</v>
      </c>
      <c r="AD7479">
        <v>-1.1062069011339899</v>
      </c>
      <c r="AE7479">
        <v>7.1071999999999704</v>
      </c>
      <c r="AF7479">
        <v>2.5229124927956201</v>
      </c>
      <c r="AG7479">
        <v>-1.1062069011339899</v>
      </c>
      <c r="AH7479">
        <v>7.27817298130282</v>
      </c>
      <c r="AI7479">
        <v>98.172171970856994</v>
      </c>
      <c r="AJ7479">
        <v>70.881591192274897</v>
      </c>
      <c r="AK7479">
        <v>7.7820680477741302</v>
      </c>
      <c r="AL7479">
        <v>87.561441315941195</v>
      </c>
      <c r="AM7479">
        <v>81.617340607034194</v>
      </c>
      <c r="AN7479">
        <v>1.0000000029719001</v>
      </c>
    </row>
    <row r="7480" spans="1:40" x14ac:dyDescent="0.25">
      <c r="A7480" t="str">
        <f>"20190312154444031"</f>
        <v>20190312154444031</v>
      </c>
      <c r="B7480" t="str">
        <f>"1552376684024929"</f>
        <v>1552376684024929</v>
      </c>
      <c r="C7480" t="s">
        <v>40</v>
      </c>
      <c r="D7480">
        <v>5.7926710000000003</v>
      </c>
      <c r="E7480">
        <v>0.55420819999999904</v>
      </c>
      <c r="F7480" t="s">
        <v>69</v>
      </c>
      <c r="G7480">
        <v>-181.495</v>
      </c>
      <c r="H7480" s="1">
        <v>-9.1202579999999998E-6</v>
      </c>
      <c r="I7480">
        <v>140.8544</v>
      </c>
      <c r="J7480">
        <v>-184.7901</v>
      </c>
      <c r="K7480">
        <v>1.105524</v>
      </c>
      <c r="L7480">
        <v>133.20609999999999</v>
      </c>
      <c r="M7480">
        <v>0.11390110000000001</v>
      </c>
      <c r="N7480">
        <v>0</v>
      </c>
      <c r="O7480">
        <v>0.99338700000000002</v>
      </c>
      <c r="P7480">
        <v>0.26341009999999998</v>
      </c>
      <c r="Q7480">
        <v>2.7918370000000001E-2</v>
      </c>
      <c r="R7480">
        <v>0.96427989999999997</v>
      </c>
      <c r="S7480">
        <v>1.1788179999999999</v>
      </c>
      <c r="T7480">
        <v>-0.39106489999999999</v>
      </c>
      <c r="U7480">
        <v>2.8077390000000002</v>
      </c>
      <c r="V7480">
        <v>0.15236930000000001</v>
      </c>
      <c r="W7480">
        <v>4.0282140000000001E-2</v>
      </c>
      <c r="X7480">
        <v>0.9875024</v>
      </c>
      <c r="Y7480">
        <v>0.2763427</v>
      </c>
      <c r="Z7480">
        <v>-0.12860730000000001</v>
      </c>
      <c r="AA7480">
        <v>0.95241529999999996</v>
      </c>
      <c r="AB7480">
        <v>28</v>
      </c>
      <c r="AC7480">
        <v>3.2950999999999899</v>
      </c>
      <c r="AD7480">
        <v>-1.1055331202580001</v>
      </c>
      <c r="AE7480">
        <v>7.6482999999999999</v>
      </c>
      <c r="AF7480">
        <v>2.3608069114230701</v>
      </c>
      <c r="AG7480">
        <v>-1.1055331202580001</v>
      </c>
      <c r="AH7480">
        <v>7.8357826990158097</v>
      </c>
      <c r="AI7480">
        <v>97.693494610514094</v>
      </c>
      <c r="AJ7480">
        <v>73.233212814372493</v>
      </c>
      <c r="AK7480">
        <v>8.2580326506502697</v>
      </c>
      <c r="AL7480">
        <v>87.691378804543106</v>
      </c>
      <c r="AM7480">
        <v>81.228568735121797</v>
      </c>
      <c r="AN7480">
        <v>1.00000002219561</v>
      </c>
    </row>
    <row r="7481" spans="1:40" x14ac:dyDescent="0.25">
      <c r="A7481" t="str">
        <f>"20190312154444064"</f>
        <v>20190312154444064</v>
      </c>
      <c r="B7481" t="str">
        <f>"1552376684055186"</f>
        <v>1552376684055186</v>
      </c>
      <c r="C7481" t="s">
        <v>40</v>
      </c>
      <c r="D7481">
        <v>5.6669929999999997</v>
      </c>
      <c r="E7481">
        <v>0.54811219999999905</v>
      </c>
      <c r="F7481" t="s">
        <v>69</v>
      </c>
      <c r="G7481">
        <v>-180.30799999999999</v>
      </c>
      <c r="H7481" s="1">
        <v>-9.9948430000000006E-6</v>
      </c>
      <c r="I7481">
        <v>143.6353</v>
      </c>
      <c r="J7481">
        <v>-184.72919999999999</v>
      </c>
      <c r="K7481">
        <v>1.1046819999999999</v>
      </c>
      <c r="L7481">
        <v>133.62090000000001</v>
      </c>
      <c r="M7481">
        <v>0.1259537</v>
      </c>
      <c r="N7481">
        <v>0</v>
      </c>
      <c r="O7481">
        <v>0.99192959999999997</v>
      </c>
      <c r="P7481">
        <v>0.28886970000000001</v>
      </c>
      <c r="Q7481">
        <v>2.7314290000000001E-2</v>
      </c>
      <c r="R7481">
        <v>0.95697869999999996</v>
      </c>
      <c r="S7481">
        <v>1.199875</v>
      </c>
      <c r="T7481">
        <v>-0.29595480000000002</v>
      </c>
      <c r="U7481">
        <v>2.7919309999999999</v>
      </c>
      <c r="V7481">
        <v>0.16660899999999901</v>
      </c>
      <c r="W7481">
        <v>3.9224879999999997E-2</v>
      </c>
      <c r="X7481">
        <v>0.98524250000000002</v>
      </c>
      <c r="Y7481">
        <v>0.27406909999999901</v>
      </c>
      <c r="Z7481">
        <v>-9.7873870000000002E-2</v>
      </c>
      <c r="AA7481">
        <v>0.95671669999999998</v>
      </c>
      <c r="AB7481">
        <v>28</v>
      </c>
      <c r="AC7481">
        <v>4.42119999999999</v>
      </c>
      <c r="AD7481">
        <v>-1.1046919948429901</v>
      </c>
      <c r="AE7481">
        <v>10.014399999999901</v>
      </c>
      <c r="AF7481">
        <v>3.0930009492333599</v>
      </c>
      <c r="AG7481">
        <v>-1.1046919948429901</v>
      </c>
      <c r="AH7481">
        <v>10.3857910375455</v>
      </c>
      <c r="AI7481">
        <v>95.820686697049098</v>
      </c>
      <c r="AJ7481">
        <v>73.415899072908502</v>
      </c>
      <c r="AK7481">
        <v>10.892734034712801</v>
      </c>
      <c r="AL7481">
        <v>87.752003140243701</v>
      </c>
      <c r="AM7481">
        <v>80.401825885993603</v>
      </c>
      <c r="AN7481">
        <v>0.99999996694913096</v>
      </c>
    </row>
    <row r="7482" spans="1:40" x14ac:dyDescent="0.25">
      <c r="A7482" t="str">
        <f>"20190312154444078"</f>
        <v>20190312154444078</v>
      </c>
      <c r="B7482" t="str">
        <f>"1552376684064946"</f>
        <v>1552376684064946</v>
      </c>
      <c r="C7482" t="s">
        <v>40</v>
      </c>
      <c r="D7482">
        <v>5.7680680000000004</v>
      </c>
      <c r="E7482">
        <v>0.54809549999999996</v>
      </c>
      <c r="F7482" t="s">
        <v>69</v>
      </c>
      <c r="G7482">
        <v>-181.37029999999999</v>
      </c>
      <c r="H7482" s="1">
        <v>-9.2307189999999999E-6</v>
      </c>
      <c r="I7482">
        <v>141.2242</v>
      </c>
      <c r="J7482">
        <v>-184.7039</v>
      </c>
      <c r="K7482">
        <v>1.1043940000000001</v>
      </c>
      <c r="L7482">
        <v>133.77979999999999</v>
      </c>
      <c r="M7482">
        <v>0.130995</v>
      </c>
      <c r="N7482">
        <v>0</v>
      </c>
      <c r="O7482">
        <v>0.99127589999999999</v>
      </c>
      <c r="P7482">
        <v>0.29814449999999998</v>
      </c>
      <c r="Q7482">
        <v>2.660744E-2</v>
      </c>
      <c r="R7482">
        <v>0.95414980000000005</v>
      </c>
      <c r="S7482">
        <v>1.2264250000000001</v>
      </c>
      <c r="T7482">
        <v>-0.40335149999999997</v>
      </c>
      <c r="U7482">
        <v>2.7761689999999999</v>
      </c>
      <c r="V7482">
        <v>0.1711771</v>
      </c>
      <c r="W7482">
        <v>3.8355309999999997E-2</v>
      </c>
      <c r="X7482">
        <v>0.98449339999999996</v>
      </c>
      <c r="Y7482">
        <v>0.27717249999999999</v>
      </c>
      <c r="Z7482">
        <v>-0.13306780000000001</v>
      </c>
      <c r="AA7482">
        <v>0.95156099999999999</v>
      </c>
      <c r="AB7482">
        <v>28</v>
      </c>
      <c r="AC7482">
        <v>3.3336000000000099</v>
      </c>
      <c r="AD7482">
        <v>-1.1044032307189999</v>
      </c>
      <c r="AE7482">
        <v>7.4443999999999999</v>
      </c>
      <c r="AF7482">
        <v>2.2876469808375002</v>
      </c>
      <c r="AG7482">
        <v>-1.1044032307189999</v>
      </c>
      <c r="AH7482">
        <v>7.6762436766503903</v>
      </c>
      <c r="AI7482">
        <v>97.8504586371333</v>
      </c>
      <c r="AJ7482">
        <v>73.405077157173395</v>
      </c>
      <c r="AK7482">
        <v>8.08565100584193</v>
      </c>
      <c r="AL7482">
        <v>87.801863415316504</v>
      </c>
      <c r="AM7482">
        <v>80.136404273698702</v>
      </c>
      <c r="AN7482">
        <v>0.99999999200658296</v>
      </c>
    </row>
    <row r="7483" spans="1:40" x14ac:dyDescent="0.25">
      <c r="A7483" t="str">
        <f>"20190312154444099"</f>
        <v>20190312154444099</v>
      </c>
      <c r="B7483" t="str">
        <f>"1552376684095202"</f>
        <v>1552376684095202</v>
      </c>
      <c r="C7483" t="s">
        <v>40</v>
      </c>
      <c r="D7483">
        <v>5.5373010000000003</v>
      </c>
      <c r="E7483">
        <v>0.54761859999999996</v>
      </c>
      <c r="F7483" t="s">
        <v>69</v>
      </c>
      <c r="G7483">
        <v>-181.3141</v>
      </c>
      <c r="H7483" s="1">
        <v>-9.2416219999999999E-6</v>
      </c>
      <c r="I7483">
        <v>141.244</v>
      </c>
      <c r="J7483">
        <v>-184.65979999999999</v>
      </c>
      <c r="K7483">
        <v>1.103945</v>
      </c>
      <c r="L7483">
        <v>134.0437</v>
      </c>
      <c r="M7483">
        <v>0.1397823</v>
      </c>
      <c r="N7483">
        <v>0</v>
      </c>
      <c r="O7483">
        <v>0.99007420000000002</v>
      </c>
      <c r="P7483">
        <v>0.31379269999999998</v>
      </c>
      <c r="Q7483">
        <v>2.4574260000000001E-2</v>
      </c>
      <c r="R7483">
        <v>0.9491735</v>
      </c>
      <c r="S7483">
        <v>1.254974</v>
      </c>
      <c r="T7483">
        <v>-0.4088773</v>
      </c>
      <c r="U7483">
        <v>2.7634280000000002</v>
      </c>
      <c r="V7483">
        <v>0.17863280000000001</v>
      </c>
      <c r="W7483">
        <v>3.6049009999999999E-2</v>
      </c>
      <c r="X7483">
        <v>0.9832552</v>
      </c>
      <c r="Y7483">
        <v>0.27835690000000002</v>
      </c>
      <c r="Z7483">
        <v>-0.13487689999999999</v>
      </c>
      <c r="AA7483">
        <v>0.95096040000000004</v>
      </c>
      <c r="AB7483">
        <v>28</v>
      </c>
      <c r="AC7483">
        <v>3.3456999999999901</v>
      </c>
      <c r="AD7483">
        <v>-1.1039542416220001</v>
      </c>
      <c r="AE7483">
        <v>7.2002999999999897</v>
      </c>
      <c r="AF7483">
        <v>2.2625221566059102</v>
      </c>
      <c r="AG7483">
        <v>-1.1039542416220001</v>
      </c>
      <c r="AH7483">
        <v>7.4532206064716897</v>
      </c>
      <c r="AI7483">
        <v>98.066877956372295</v>
      </c>
      <c r="AJ7483">
        <v>73.113649996646402</v>
      </c>
      <c r="AK7483">
        <v>7.8669065639209199</v>
      </c>
      <c r="AL7483">
        <v>87.9340962520522</v>
      </c>
      <c r="AM7483">
        <v>79.7030999163469</v>
      </c>
      <c r="AN7483">
        <v>0.99999999834243003</v>
      </c>
    </row>
    <row r="7484" spans="1:40" x14ac:dyDescent="0.25">
      <c r="A7484" t="str">
        <f>"20190312154444121"</f>
        <v>20190312154444121</v>
      </c>
      <c r="B7484" t="str">
        <f>"1552376684114723"</f>
        <v>1552376684114723</v>
      </c>
      <c r="C7484" t="s">
        <v>40</v>
      </c>
      <c r="D7484">
        <v>5.6745429999999999</v>
      </c>
      <c r="E7484">
        <v>0.53902269999999997</v>
      </c>
      <c r="F7484" t="s">
        <v>69</v>
      </c>
      <c r="G7484">
        <v>-181.179</v>
      </c>
      <c r="H7484" s="1">
        <v>-9.2965470000000001E-6</v>
      </c>
      <c r="I7484">
        <v>141.3963</v>
      </c>
      <c r="J7484">
        <v>-184.61199999999999</v>
      </c>
      <c r="K7484">
        <v>1.1035250000000001</v>
      </c>
      <c r="L7484">
        <v>134.3109</v>
      </c>
      <c r="M7484">
        <v>0.14924100000000001</v>
      </c>
      <c r="N7484">
        <v>0</v>
      </c>
      <c r="O7484">
        <v>0.9886916</v>
      </c>
      <c r="P7484">
        <v>0.32776949999999999</v>
      </c>
      <c r="Q7484">
        <v>2.5776719999999999E-2</v>
      </c>
      <c r="R7484">
        <v>0.94440599999999997</v>
      </c>
      <c r="S7484">
        <v>1.298157</v>
      </c>
      <c r="T7484">
        <v>-0.41172219999999998</v>
      </c>
      <c r="U7484">
        <v>2.7421570000000002</v>
      </c>
      <c r="V7484">
        <v>0.18381140000000001</v>
      </c>
      <c r="W7484">
        <v>3.7023010000000002E-2</v>
      </c>
      <c r="X7484">
        <v>0.98226400000000003</v>
      </c>
      <c r="Y7484">
        <v>0.28419820000000001</v>
      </c>
      <c r="Z7484">
        <v>-0.13590869999999999</v>
      </c>
      <c r="AA7484">
        <v>0.94908389999999998</v>
      </c>
      <c r="AB7484">
        <v>28</v>
      </c>
      <c r="AC7484">
        <v>3.4329999999999901</v>
      </c>
      <c r="AD7484">
        <v>-1.1035342965469901</v>
      </c>
      <c r="AE7484">
        <v>7.0853999999999902</v>
      </c>
      <c r="AF7484">
        <v>2.29197178867273</v>
      </c>
      <c r="AG7484">
        <v>-1.1035342965469901</v>
      </c>
      <c r="AH7484">
        <v>7.3735750206505299</v>
      </c>
      <c r="AI7484">
        <v>98.133388771845205</v>
      </c>
      <c r="AJ7484">
        <v>72.732879921094593</v>
      </c>
      <c r="AK7484">
        <v>7.8000340517775104</v>
      </c>
      <c r="AL7484">
        <v>87.878252773047507</v>
      </c>
      <c r="AM7484">
        <v>79.400806522489503</v>
      </c>
      <c r="AN7484">
        <v>0.99999994986770802</v>
      </c>
    </row>
    <row r="7485" spans="1:40" x14ac:dyDescent="0.25">
      <c r="A7485" t="str">
        <f>"20190312154444135"</f>
        <v>20190312154444135</v>
      </c>
      <c r="B7485" t="str">
        <f>"1552376684124482"</f>
        <v>1552376684124482</v>
      </c>
      <c r="C7485" t="s">
        <v>40</v>
      </c>
      <c r="D7485">
        <v>5.7565809999999997</v>
      </c>
      <c r="E7485">
        <v>0.53861250000000005</v>
      </c>
      <c r="F7485" t="s">
        <v>69</v>
      </c>
      <c r="G7485">
        <v>-179.8135</v>
      </c>
      <c r="H7485" s="1">
        <v>-1.022331E-5</v>
      </c>
      <c r="I7485">
        <v>144.62</v>
      </c>
      <c r="J7485">
        <v>-184.5795</v>
      </c>
      <c r="K7485">
        <v>1.1032729999999999</v>
      </c>
      <c r="L7485">
        <v>134.4836</v>
      </c>
      <c r="M7485">
        <v>0.1556352</v>
      </c>
      <c r="N7485">
        <v>0</v>
      </c>
      <c r="O7485">
        <v>0.98770460000000004</v>
      </c>
      <c r="P7485">
        <v>0.33613720000000002</v>
      </c>
      <c r="Q7485">
        <v>2.7684730000000001E-2</v>
      </c>
      <c r="R7485">
        <v>0.94140610000000002</v>
      </c>
      <c r="S7485">
        <v>1.276154</v>
      </c>
      <c r="T7485">
        <v>-0.29348400000000002</v>
      </c>
      <c r="U7485">
        <v>2.7416839999999998</v>
      </c>
      <c r="V7485">
        <v>0.18624019999999999</v>
      </c>
      <c r="W7485">
        <v>3.8805579999999999E-2</v>
      </c>
      <c r="X7485">
        <v>0.98173759999999999</v>
      </c>
      <c r="Y7485">
        <v>0.27370939999999999</v>
      </c>
      <c r="Z7485">
        <v>-9.7524860000000005E-2</v>
      </c>
      <c r="AA7485">
        <v>0.95685529999999996</v>
      </c>
      <c r="AB7485">
        <v>28</v>
      </c>
      <c r="AC7485">
        <v>4.7659999999999902</v>
      </c>
      <c r="AD7485">
        <v>-1.1032832233099901</v>
      </c>
      <c r="AE7485">
        <v>10.1364</v>
      </c>
      <c r="AF7485">
        <v>3.1000824136316498</v>
      </c>
      <c r="AG7485">
        <v>-1.1032832233099901</v>
      </c>
      <c r="AH7485">
        <v>10.651354771242501</v>
      </c>
      <c r="AI7485">
        <v>95.679656752992102</v>
      </c>
      <c r="AJ7485">
        <v>73.7723352159841</v>
      </c>
      <c r="AK7485">
        <v>11.1480537900127</v>
      </c>
      <c r="AL7485">
        <v>87.776045641056697</v>
      </c>
      <c r="AM7485">
        <v>79.258365806606804</v>
      </c>
      <c r="AN7485">
        <v>1.00000000019446</v>
      </c>
    </row>
    <row r="7486" spans="1:40" x14ac:dyDescent="0.25">
      <c r="A7486" t="str">
        <f>"20190312154444146"</f>
        <v>20190312154444146</v>
      </c>
      <c r="B7486" t="str">
        <f>"1552376684135218"</f>
        <v>1552376684135218</v>
      </c>
      <c r="C7486" t="s">
        <v>40</v>
      </c>
      <c r="D7486">
        <v>5.7733639999999999</v>
      </c>
      <c r="E7486">
        <v>0.53861250000000005</v>
      </c>
      <c r="F7486" t="s">
        <v>69</v>
      </c>
      <c r="G7486">
        <v>-179.5616</v>
      </c>
      <c r="H7486" s="1">
        <v>-1.020784E-5</v>
      </c>
      <c r="I7486">
        <v>145.04470000000001</v>
      </c>
      <c r="J7486">
        <v>-184.5504</v>
      </c>
      <c r="K7486">
        <v>1.1030709999999999</v>
      </c>
      <c r="L7486">
        <v>134.63290000000001</v>
      </c>
      <c r="M7486">
        <v>0.16129839999999901</v>
      </c>
      <c r="N7486">
        <v>0</v>
      </c>
      <c r="O7486">
        <v>0.98679490000000003</v>
      </c>
      <c r="P7486">
        <v>0.34332950000000001</v>
      </c>
      <c r="Q7486">
        <v>3.0894000000000001E-2</v>
      </c>
      <c r="R7486">
        <v>0.93870679999999995</v>
      </c>
      <c r="S7486">
        <v>1.2978970000000001</v>
      </c>
      <c r="T7486">
        <v>-0.28536990000000001</v>
      </c>
      <c r="U7486">
        <v>2.7316739999999999</v>
      </c>
      <c r="V7486">
        <v>0.18821740000000001</v>
      </c>
      <c r="W7486">
        <v>4.1908689999999998E-2</v>
      </c>
      <c r="X7486">
        <v>0.98123280000000002</v>
      </c>
      <c r="Y7486">
        <v>0.27587850000000003</v>
      </c>
      <c r="Z7486">
        <v>-9.4852889999999995E-2</v>
      </c>
      <c r="AA7486">
        <v>0.95650089999999999</v>
      </c>
      <c r="AB7486">
        <v>28</v>
      </c>
      <c r="AC7486">
        <v>4.9887999999999897</v>
      </c>
      <c r="AD7486">
        <v>-1.1030812078400001</v>
      </c>
      <c r="AE7486">
        <v>10.411799999999999</v>
      </c>
      <c r="AF7486">
        <v>3.21452617221841</v>
      </c>
      <c r="AG7486">
        <v>-1.1030812078400001</v>
      </c>
      <c r="AH7486">
        <v>10.979975940820699</v>
      </c>
      <c r="AI7486">
        <v>95.507207927744801</v>
      </c>
      <c r="AJ7486">
        <v>73.681943555044597</v>
      </c>
      <c r="AK7486">
        <v>11.4939043985918</v>
      </c>
      <c r="AL7486">
        <v>87.598105420801403</v>
      </c>
      <c r="AM7486">
        <v>79.141572254796401</v>
      </c>
      <c r="AN7486">
        <v>0.99999996787805701</v>
      </c>
    </row>
    <row r="7487" spans="1:40" x14ac:dyDescent="0.25">
      <c r="A7487" t="str">
        <f>"20190312154444159"</f>
        <v>20190312154444159</v>
      </c>
      <c r="B7487" t="str">
        <f>"1552376684154739"</f>
        <v>1552376684154739</v>
      </c>
      <c r="C7487" t="s">
        <v>40</v>
      </c>
      <c r="D7487">
        <v>5.7006699999999997</v>
      </c>
      <c r="E7487">
        <v>0.53876040000000003</v>
      </c>
      <c r="F7487" t="s">
        <v>69</v>
      </c>
      <c r="G7487">
        <v>-179.27799999999999</v>
      </c>
      <c r="H7487" s="1">
        <v>-1.01889E-5</v>
      </c>
      <c r="I7487">
        <v>145.51730000000001</v>
      </c>
      <c r="J7487">
        <v>-184.51990000000001</v>
      </c>
      <c r="K7487">
        <v>1.1028720000000001</v>
      </c>
      <c r="L7487">
        <v>134.78139999999999</v>
      </c>
      <c r="M7487">
        <v>0.16717850000000001</v>
      </c>
      <c r="N7487">
        <v>0</v>
      </c>
      <c r="O7487">
        <v>0.9858152</v>
      </c>
      <c r="P7487">
        <v>0.35132289999999999</v>
      </c>
      <c r="Q7487">
        <v>3.5272289999999998E-2</v>
      </c>
      <c r="R7487">
        <v>0.93558969999999997</v>
      </c>
      <c r="S7487">
        <v>1.318848</v>
      </c>
      <c r="T7487">
        <v>-0.27592290000000003</v>
      </c>
      <c r="U7487">
        <v>2.7225950000000001</v>
      </c>
      <c r="V7487">
        <v>0.19086890000000001</v>
      </c>
      <c r="W7487">
        <v>4.6169370000000001E-2</v>
      </c>
      <c r="X7487">
        <v>0.98052919999999999</v>
      </c>
      <c r="Y7487">
        <v>0.27749400000000002</v>
      </c>
      <c r="Z7487">
        <v>-9.171195E-2</v>
      </c>
      <c r="AA7487">
        <v>0.95633990000000002</v>
      </c>
      <c r="AB7487">
        <v>28</v>
      </c>
      <c r="AC7487">
        <v>5.24190000000001</v>
      </c>
      <c r="AD7487">
        <v>-1.10288218889999</v>
      </c>
      <c r="AE7487">
        <v>10.735900000000001</v>
      </c>
      <c r="AF7487">
        <v>3.3446022778453499</v>
      </c>
      <c r="AG7487">
        <v>-1.10288218889999</v>
      </c>
      <c r="AH7487">
        <v>11.364363067739401</v>
      </c>
      <c r="AI7487">
        <v>95.318859599333706</v>
      </c>
      <c r="AJ7487">
        <v>73.600518096812806</v>
      </c>
      <c r="AK7487">
        <v>11.8975401430279</v>
      </c>
      <c r="AL7487">
        <v>87.3537493375254</v>
      </c>
      <c r="AM7487">
        <v>78.9846106089404</v>
      </c>
      <c r="AN7487">
        <v>1.0000000298830201</v>
      </c>
    </row>
    <row r="7488" spans="1:40" x14ac:dyDescent="0.25">
      <c r="A7488" t="str">
        <f>"20190312154444176"</f>
        <v>20190312154444176</v>
      </c>
      <c r="B7488" t="str">
        <f>"1552376684164498"</f>
        <v>1552376684164498</v>
      </c>
      <c r="C7488" t="s">
        <v>40</v>
      </c>
      <c r="D7488">
        <v>5.6475949999999999</v>
      </c>
      <c r="E7488">
        <v>0.53671150000000001</v>
      </c>
      <c r="F7488" t="s">
        <v>69</v>
      </c>
      <c r="G7488">
        <v>-180.7567</v>
      </c>
      <c r="H7488" s="1">
        <v>-9.6114560000000007E-6</v>
      </c>
      <c r="I7488">
        <v>142.3954</v>
      </c>
      <c r="J7488">
        <v>-184.47489999999999</v>
      </c>
      <c r="K7488">
        <v>1.102608</v>
      </c>
      <c r="L7488">
        <v>134.99340000000001</v>
      </c>
      <c r="M7488">
        <v>0.175791899999999</v>
      </c>
      <c r="N7488">
        <v>0</v>
      </c>
      <c r="O7488">
        <v>0.98431480000000005</v>
      </c>
      <c r="P7488">
        <v>0.36743189999999998</v>
      </c>
      <c r="Q7488">
        <v>4.4327039999999998E-2</v>
      </c>
      <c r="R7488">
        <v>0.92899350000000003</v>
      </c>
      <c r="S7488">
        <v>1.3429409999999999</v>
      </c>
      <c r="T7488">
        <v>-0.3935689</v>
      </c>
      <c r="U7488">
        <v>2.7171020000000001</v>
      </c>
      <c r="V7488">
        <v>0.19951360000000001</v>
      </c>
      <c r="W7488">
        <v>5.4939549999999997E-2</v>
      </c>
      <c r="X7488">
        <v>0.97835369999999999</v>
      </c>
      <c r="Y7488">
        <v>0.27478669999999999</v>
      </c>
      <c r="Z7488">
        <v>-0.12997020000000001</v>
      </c>
      <c r="AA7488">
        <v>0.95268039999999998</v>
      </c>
      <c r="AB7488">
        <v>28</v>
      </c>
      <c r="AC7488">
        <v>3.7181999999999902</v>
      </c>
      <c r="AD7488">
        <v>-1.102617611456</v>
      </c>
      <c r="AE7488">
        <v>7.4019999999999797</v>
      </c>
      <c r="AF7488">
        <v>2.3178594239918899</v>
      </c>
      <c r="AG7488">
        <v>-1.102617611456</v>
      </c>
      <c r="AH7488">
        <v>7.8021627532898297</v>
      </c>
      <c r="AI7488">
        <v>97.714915185658697</v>
      </c>
      <c r="AJ7488">
        <v>73.454416284868898</v>
      </c>
      <c r="AK7488">
        <v>8.2135243066118804</v>
      </c>
      <c r="AL7488">
        <v>86.850609959580893</v>
      </c>
      <c r="AM7488">
        <v>78.473836516166898</v>
      </c>
      <c r="AN7488">
        <v>0.99999999652142602</v>
      </c>
    </row>
    <row r="7489" spans="1:40" x14ac:dyDescent="0.25">
      <c r="A7489" t="str">
        <f>"20190312154444190"</f>
        <v>20190312154444190</v>
      </c>
      <c r="B7489" t="str">
        <f>"1552376684184994"</f>
        <v>1552376684184994</v>
      </c>
      <c r="C7489" t="s">
        <v>40</v>
      </c>
      <c r="D7489">
        <v>5.709422</v>
      </c>
      <c r="E7489">
        <v>0.53693340000000001</v>
      </c>
      <c r="F7489" t="s">
        <v>69</v>
      </c>
      <c r="G7489">
        <v>-180.17590000000001</v>
      </c>
      <c r="H7489" s="1">
        <v>-9.9576760000000006E-6</v>
      </c>
      <c r="I7489">
        <v>143.45230000000001</v>
      </c>
      <c r="J7489">
        <v>-184.43639999999999</v>
      </c>
      <c r="K7489">
        <v>1.102363</v>
      </c>
      <c r="L7489">
        <v>135.16759999999999</v>
      </c>
      <c r="M7489">
        <v>0.18308659999999999</v>
      </c>
      <c r="N7489">
        <v>0</v>
      </c>
      <c r="O7489">
        <v>0.9829833</v>
      </c>
      <c r="P7489">
        <v>0.37681019999999998</v>
      </c>
      <c r="Q7489">
        <v>4.6677280000000002E-2</v>
      </c>
      <c r="R7489">
        <v>0.92511370000000004</v>
      </c>
      <c r="S7489">
        <v>1.373642</v>
      </c>
      <c r="T7489">
        <v>-0.3523152</v>
      </c>
      <c r="U7489">
        <v>2.7028349999999999</v>
      </c>
      <c r="V7489">
        <v>0.2022591</v>
      </c>
      <c r="W7489">
        <v>5.7152889999999998E-2</v>
      </c>
      <c r="X7489">
        <v>0.9776629</v>
      </c>
      <c r="Y7489">
        <v>0.27905859999999999</v>
      </c>
      <c r="Z7489">
        <v>-0.11650919999999999</v>
      </c>
      <c r="AA7489">
        <v>0.95317989999999997</v>
      </c>
      <c r="AB7489">
        <v>28</v>
      </c>
      <c r="AC7489">
        <v>4.2604999999999702</v>
      </c>
      <c r="AD7489">
        <v>-1.102372957676</v>
      </c>
      <c r="AE7489">
        <v>8.2847000000000097</v>
      </c>
      <c r="AF7489">
        <v>2.6345907383404099</v>
      </c>
      <c r="AG7489">
        <v>-1.102372957676</v>
      </c>
      <c r="AH7489">
        <v>8.8015171792843994</v>
      </c>
      <c r="AI7489">
        <v>96.842088061899503</v>
      </c>
      <c r="AJ7489">
        <v>73.335785990318499</v>
      </c>
      <c r="AK7489">
        <v>9.2532696466493896</v>
      </c>
      <c r="AL7489">
        <v>86.723595164389707</v>
      </c>
      <c r="AM7489">
        <v>78.311529045239197</v>
      </c>
      <c r="AN7489">
        <v>0.99999997120228501</v>
      </c>
    </row>
    <row r="7490" spans="1:40" x14ac:dyDescent="0.25">
      <c r="A7490" t="str">
        <f>"20190312154444210"</f>
        <v>20190312154444210</v>
      </c>
      <c r="B7490" t="str">
        <f>"1552376684204515"</f>
        <v>1552376684204515</v>
      </c>
      <c r="C7490" t="s">
        <v>40</v>
      </c>
      <c r="D7490">
        <v>5.6948080000000001</v>
      </c>
      <c r="E7490">
        <v>0.54969389999999996</v>
      </c>
      <c r="F7490" t="s">
        <v>69</v>
      </c>
      <c r="G7490">
        <v>-180.1516</v>
      </c>
      <c r="H7490" s="1">
        <v>-9.9426140000000003E-6</v>
      </c>
      <c r="I7490">
        <v>143.3886</v>
      </c>
      <c r="J7490">
        <v>-184.38159999999999</v>
      </c>
      <c r="K7490">
        <v>1.1020270000000001</v>
      </c>
      <c r="L7490">
        <v>135.4033</v>
      </c>
      <c r="M7490">
        <v>0.19333069999999999</v>
      </c>
      <c r="N7490">
        <v>0</v>
      </c>
      <c r="O7490">
        <v>0.98101879999999997</v>
      </c>
      <c r="P7490">
        <v>0.39104480000000003</v>
      </c>
      <c r="Q7490">
        <v>4.8076819999999999E-2</v>
      </c>
      <c r="R7490">
        <v>0.91911509999999996</v>
      </c>
      <c r="S7490">
        <v>1.402023</v>
      </c>
      <c r="T7490">
        <v>-0.36070600000000003</v>
      </c>
      <c r="U7490">
        <v>2.6899869999999999</v>
      </c>
      <c r="V7490">
        <v>0.20724229999999999</v>
      </c>
      <c r="W7490">
        <v>5.8342520000000002E-2</v>
      </c>
      <c r="X7490">
        <v>0.97654839999999998</v>
      </c>
      <c r="Y7490">
        <v>0.27868029999999999</v>
      </c>
      <c r="Z7490">
        <v>-0.1191243</v>
      </c>
      <c r="AA7490">
        <v>0.95296729999999996</v>
      </c>
      <c r="AB7490">
        <v>28</v>
      </c>
      <c r="AC7490">
        <v>4.2299999999999898</v>
      </c>
      <c r="AD7490">
        <v>-1.102036942614</v>
      </c>
      <c r="AE7490">
        <v>7.9852999999999899</v>
      </c>
      <c r="AF7490">
        <v>2.5680060092188302</v>
      </c>
      <c r="AG7490">
        <v>-1.102036942614</v>
      </c>
      <c r="AH7490">
        <v>8.5256919941871594</v>
      </c>
      <c r="AI7490">
        <v>97.055507687796904</v>
      </c>
      <c r="AJ7490">
        <v>73.237282305501793</v>
      </c>
      <c r="AK7490">
        <v>8.9719877544509092</v>
      </c>
      <c r="AL7490">
        <v>86.655320537149606</v>
      </c>
      <c r="AM7490">
        <v>78.018496245548604</v>
      </c>
      <c r="AN7490">
        <v>0.99999999904589998</v>
      </c>
    </row>
    <row r="7491" spans="1:40" x14ac:dyDescent="0.25">
      <c r="A7491" t="str">
        <f>"20190312154444232"</f>
        <v>20190312154444232</v>
      </c>
      <c r="B7491" t="str">
        <f>"1552376684225010"</f>
        <v>1552376684225010</v>
      </c>
      <c r="C7491" t="s">
        <v>40</v>
      </c>
      <c r="D7491">
        <v>5.8215389999999996</v>
      </c>
      <c r="E7491">
        <v>0.55951399999999996</v>
      </c>
      <c r="F7491" t="s">
        <v>69</v>
      </c>
      <c r="G7491">
        <v>-179.88390000000001</v>
      </c>
      <c r="H7491" s="1">
        <v>-9.8461599999999996E-6</v>
      </c>
      <c r="I7491">
        <v>143.10810000000001</v>
      </c>
      <c r="J7491">
        <v>-184.3141</v>
      </c>
      <c r="K7491">
        <v>1.101647</v>
      </c>
      <c r="L7491">
        <v>135.67599999999999</v>
      </c>
      <c r="M7491">
        <v>0.20568449999999999</v>
      </c>
      <c r="N7491">
        <v>0</v>
      </c>
      <c r="O7491">
        <v>0.97850179999999998</v>
      </c>
      <c r="P7491">
        <v>0.40635070000000001</v>
      </c>
      <c r="Q7491">
        <v>4.8029710000000003E-2</v>
      </c>
      <c r="R7491">
        <v>0.91245399999999999</v>
      </c>
      <c r="S7491">
        <v>1.5354920000000001</v>
      </c>
      <c r="T7491">
        <v>-0.37623119999999999</v>
      </c>
      <c r="U7491">
        <v>2.6304020000000001</v>
      </c>
      <c r="V7491">
        <v>0.21130209999999999</v>
      </c>
      <c r="W7491">
        <v>5.8099270000000001E-2</v>
      </c>
      <c r="X7491">
        <v>0.97569249999999996</v>
      </c>
      <c r="Y7491">
        <v>0.31176279999999901</v>
      </c>
      <c r="Z7491">
        <v>-0.12404129999999999</v>
      </c>
      <c r="AA7491">
        <v>0.94202850000000005</v>
      </c>
      <c r="AB7491">
        <v>27</v>
      </c>
      <c r="AC7491">
        <v>4.4301999999999797</v>
      </c>
      <c r="AD7491">
        <v>-1.10165684616</v>
      </c>
      <c r="AE7491">
        <v>7.4320999999999904</v>
      </c>
      <c r="AF7491">
        <v>2.76183714878968</v>
      </c>
      <c r="AG7491">
        <v>-1.10165684616</v>
      </c>
      <c r="AH7491">
        <v>8.0539131807926694</v>
      </c>
      <c r="AI7491">
        <v>97.372486211451005</v>
      </c>
      <c r="AJ7491">
        <v>71.0722015074371</v>
      </c>
      <c r="AK7491">
        <v>8.5852728417256401</v>
      </c>
      <c r="AL7491">
        <v>86.669281348871294</v>
      </c>
      <c r="AM7491">
        <v>77.780370993908306</v>
      </c>
      <c r="AN7491">
        <v>0.99999997859759604</v>
      </c>
    </row>
    <row r="7492" spans="1:40" x14ac:dyDescent="0.25">
      <c r="A7492" t="str">
        <f>"20190312154444255"</f>
        <v>20190312154444255</v>
      </c>
      <c r="B7492" t="str">
        <f>"1552376684244530"</f>
        <v>1552376684244530</v>
      </c>
      <c r="C7492" t="s">
        <v>40</v>
      </c>
      <c r="D7492">
        <v>5.7274079999999996</v>
      </c>
      <c r="E7492">
        <v>0.56641909999999995</v>
      </c>
      <c r="F7492" t="s">
        <v>69</v>
      </c>
      <c r="G7492">
        <v>-179.5385</v>
      </c>
      <c r="H7492" s="1">
        <v>-9.6716900000000002E-6</v>
      </c>
      <c r="I7492">
        <v>143.13040000000001</v>
      </c>
      <c r="J7492">
        <v>-184.24350000000001</v>
      </c>
      <c r="K7492">
        <v>1.101297</v>
      </c>
      <c r="L7492">
        <v>135.9451</v>
      </c>
      <c r="M7492">
        <v>0.21833610000000001</v>
      </c>
      <c r="N7492">
        <v>0</v>
      </c>
      <c r="O7492">
        <v>0.97575540000000005</v>
      </c>
      <c r="P7492">
        <v>0.42220259999999998</v>
      </c>
      <c r="Q7492">
        <v>4.7374989999999999E-2</v>
      </c>
      <c r="R7492">
        <v>0.90526269999999998</v>
      </c>
      <c r="S7492">
        <v>1.6487579999999999</v>
      </c>
      <c r="T7492">
        <v>-0.38034649999999998</v>
      </c>
      <c r="U7492">
        <v>2.5736240000000001</v>
      </c>
      <c r="V7492">
        <v>0.21571319999999999</v>
      </c>
      <c r="W7492">
        <v>5.7246190000000002E-2</v>
      </c>
      <c r="X7492">
        <v>0.97477729999999996</v>
      </c>
      <c r="Y7492">
        <v>0.33824660000000001</v>
      </c>
      <c r="Z7492">
        <v>-0.12525139999999901</v>
      </c>
      <c r="AA7492">
        <v>0.93268499999999999</v>
      </c>
      <c r="AB7492">
        <v>27</v>
      </c>
      <c r="AC7492">
        <v>4.7050000000000098</v>
      </c>
      <c r="AD7492">
        <v>-1.10130667169</v>
      </c>
      <c r="AE7492">
        <v>7.1853000000000096</v>
      </c>
      <c r="AF7492">
        <v>2.9735750606531899</v>
      </c>
      <c r="AG7492">
        <v>-1.10130667169</v>
      </c>
      <c r="AH7492">
        <v>7.90924787749272</v>
      </c>
      <c r="AI7492">
        <v>97.425839240724599</v>
      </c>
      <c r="AJ7492">
        <v>69.395657057801699</v>
      </c>
      <c r="AK7492">
        <v>8.5212221549535094</v>
      </c>
      <c r="AL7492">
        <v>86.718240953013805</v>
      </c>
      <c r="AM7492">
        <v>77.521836087547598</v>
      </c>
      <c r="AN7492">
        <v>1.0000000477595199</v>
      </c>
    </row>
    <row r="7493" spans="1:40" x14ac:dyDescent="0.25">
      <c r="A7493" t="str">
        <f>"20190312154444276"</f>
        <v>20190312154444276</v>
      </c>
      <c r="B7493" t="str">
        <f>"1552376684265026"</f>
        <v>1552376684265026</v>
      </c>
      <c r="C7493" t="s">
        <v>40</v>
      </c>
      <c r="D7493">
        <v>5.6440229999999998</v>
      </c>
      <c r="E7493">
        <v>0.57071090000000002</v>
      </c>
      <c r="F7493" t="s">
        <v>69</v>
      </c>
      <c r="G7493">
        <v>-179.15199999999999</v>
      </c>
      <c r="H7493" s="1">
        <v>-9.5215130000000008E-6</v>
      </c>
      <c r="I7493">
        <v>143.3201</v>
      </c>
      <c r="J7493">
        <v>-184.1713</v>
      </c>
      <c r="K7493">
        <v>1.100967</v>
      </c>
      <c r="L7493">
        <v>136.20519999999999</v>
      </c>
      <c r="M7493">
        <v>0.23099339999999999</v>
      </c>
      <c r="N7493">
        <v>0</v>
      </c>
      <c r="O7493">
        <v>0.97283529999999996</v>
      </c>
      <c r="P7493">
        <v>0.43956529999999999</v>
      </c>
      <c r="Q7493">
        <v>4.2936920000000003E-2</v>
      </c>
      <c r="R7493">
        <v>0.89718379999999998</v>
      </c>
      <c r="S7493">
        <v>1.7409209999999999</v>
      </c>
      <c r="T7493">
        <v>-0.3765693</v>
      </c>
      <c r="U7493">
        <v>2.5217290000000001</v>
      </c>
      <c r="V7493">
        <v>0.2217172</v>
      </c>
      <c r="W7493">
        <v>5.2573109999999999E-2</v>
      </c>
      <c r="X7493">
        <v>0.97369269999999997</v>
      </c>
      <c r="Y7493">
        <v>0.35820159999999901</v>
      </c>
      <c r="Z7493">
        <v>-0.1239411</v>
      </c>
      <c r="AA7493">
        <v>0.92538109999999996</v>
      </c>
      <c r="AB7493">
        <v>27</v>
      </c>
      <c r="AC7493">
        <v>5.0192999999999799</v>
      </c>
      <c r="AD7493">
        <v>-1.1009765215130001</v>
      </c>
      <c r="AE7493">
        <v>7.1148999999999996</v>
      </c>
      <c r="AF7493">
        <v>3.18885155438945</v>
      </c>
      <c r="AG7493">
        <v>-1.1009765215130001</v>
      </c>
      <c r="AH7493">
        <v>7.9548115542181597</v>
      </c>
      <c r="AI7493">
        <v>97.3204718141114</v>
      </c>
      <c r="AJ7493">
        <v>68.155592811422395</v>
      </c>
      <c r="AK7493">
        <v>8.6405989607189699</v>
      </c>
      <c r="AL7493">
        <v>86.986393241933897</v>
      </c>
      <c r="AM7493">
        <v>77.172045139229894</v>
      </c>
      <c r="AN7493">
        <v>0.99999996135210001</v>
      </c>
    </row>
    <row r="7494" spans="1:40" x14ac:dyDescent="0.25">
      <c r="A7494" t="str">
        <f>"20190312154444299"</f>
        <v>20190312154444299</v>
      </c>
      <c r="B7494" t="str">
        <f>"1552376684294952"</f>
        <v>1552376684294952</v>
      </c>
      <c r="C7494" t="s">
        <v>40</v>
      </c>
      <c r="D7494">
        <v>5.5952199999999896</v>
      </c>
      <c r="E7494">
        <v>0.57449319999999904</v>
      </c>
      <c r="F7494" t="s">
        <v>69</v>
      </c>
      <c r="G7494">
        <v>-178.98410000000001</v>
      </c>
      <c r="H7494" s="1">
        <v>-9.4161729999999992E-6</v>
      </c>
      <c r="I7494">
        <v>143.25620000000001</v>
      </c>
      <c r="J7494">
        <v>-184.09119999999999</v>
      </c>
      <c r="K7494">
        <v>1.10063</v>
      </c>
      <c r="L7494">
        <v>136.47799999999901</v>
      </c>
      <c r="M7494">
        <v>0.24470839999999999</v>
      </c>
      <c r="N7494">
        <v>0</v>
      </c>
      <c r="O7494">
        <v>0.96947490000000003</v>
      </c>
      <c r="P7494">
        <v>0.4573991</v>
      </c>
      <c r="Q7494">
        <v>3.6725529999999999E-2</v>
      </c>
      <c r="R7494">
        <v>0.88850289999999998</v>
      </c>
      <c r="S7494">
        <v>1.818192</v>
      </c>
      <c r="T7494">
        <v>-0.38590940000000001</v>
      </c>
      <c r="U7494">
        <v>2.4714659999999999</v>
      </c>
      <c r="V7494">
        <v>0.22723650000000001</v>
      </c>
      <c r="W7494">
        <v>4.6136990000000003E-2</v>
      </c>
      <c r="X7494">
        <v>0.97274609999999995</v>
      </c>
      <c r="Y7494">
        <v>0.3725541</v>
      </c>
      <c r="Z7494">
        <v>-0.12695870000000001</v>
      </c>
      <c r="AA7494">
        <v>0.91928500000000002</v>
      </c>
      <c r="AB7494">
        <v>27</v>
      </c>
      <c r="AC7494">
        <v>5.1070999999999698</v>
      </c>
      <c r="AD7494">
        <v>-1.100639416173</v>
      </c>
      <c r="AE7494">
        <v>6.7782000000000204</v>
      </c>
      <c r="AF7494">
        <v>3.2384445992556299</v>
      </c>
      <c r="AG7494">
        <v>-1.100639416173</v>
      </c>
      <c r="AH7494">
        <v>7.6925879377680504</v>
      </c>
      <c r="AI7494">
        <v>97.512191520115607</v>
      </c>
      <c r="AJ7494">
        <v>67.169760963318097</v>
      </c>
      <c r="AK7494">
        <v>8.41871960141067</v>
      </c>
      <c r="AL7494">
        <v>87.355606506378095</v>
      </c>
      <c r="AM7494">
        <v>76.8513203969177</v>
      </c>
      <c r="AN7494">
        <v>1.0000000119218599</v>
      </c>
    </row>
    <row r="7495" spans="1:40" x14ac:dyDescent="0.25">
      <c r="A7495" t="str">
        <f>"20190312154444321"</f>
        <v>20190312154444321</v>
      </c>
      <c r="B7495" t="str">
        <f>"1552376684314471"</f>
        <v>1552376684314471</v>
      </c>
      <c r="C7495" t="s">
        <v>40</v>
      </c>
      <c r="D7495">
        <v>5.6740440000000003</v>
      </c>
      <c r="E7495">
        <v>0.57585069999999905</v>
      </c>
      <c r="F7495" t="s">
        <v>69</v>
      </c>
      <c r="G7495">
        <v>-178.87540000000001</v>
      </c>
      <c r="H7495" s="1">
        <v>-9.3280540000000005E-6</v>
      </c>
      <c r="I7495">
        <v>143.14189999999999</v>
      </c>
      <c r="J7495">
        <v>-184.0093</v>
      </c>
      <c r="K7495">
        <v>1.1003130000000001</v>
      </c>
      <c r="L7495">
        <v>136.74180000000001</v>
      </c>
      <c r="M7495">
        <v>0.25839509999999999</v>
      </c>
      <c r="N7495">
        <v>0</v>
      </c>
      <c r="O7495">
        <v>0.96591559999999999</v>
      </c>
      <c r="P7495">
        <v>0.4745878</v>
      </c>
      <c r="Q7495">
        <v>3.0688779999999999E-2</v>
      </c>
      <c r="R7495">
        <v>0.87967309999999999</v>
      </c>
      <c r="S7495">
        <v>1.8929290000000001</v>
      </c>
      <c r="T7495">
        <v>-0.39944849999999998</v>
      </c>
      <c r="U7495">
        <v>2.4185029999999998</v>
      </c>
      <c r="V7495">
        <v>0.23221269999999999</v>
      </c>
      <c r="W7495">
        <v>3.9893829999999998E-2</v>
      </c>
      <c r="X7495">
        <v>0.9718466</v>
      </c>
      <c r="Y7495">
        <v>0.38646049999999998</v>
      </c>
      <c r="Z7495">
        <v>-0.1313684</v>
      </c>
      <c r="AA7495">
        <v>0.91290230000000006</v>
      </c>
      <c r="AB7495">
        <v>27</v>
      </c>
      <c r="AC7495">
        <v>5.1338999999999801</v>
      </c>
      <c r="AD7495">
        <v>-1.10032232805399</v>
      </c>
      <c r="AE7495">
        <v>6.4000999999999797</v>
      </c>
      <c r="AF7495">
        <v>3.2471550391683799</v>
      </c>
      <c r="AG7495">
        <v>-1.10032232805399</v>
      </c>
      <c r="AH7495">
        <v>7.3767585220153702</v>
      </c>
      <c r="AI7495">
        <v>97.773938135630402</v>
      </c>
      <c r="AJ7495">
        <v>66.241517715825196</v>
      </c>
      <c r="AK7495">
        <v>8.1345738281815994</v>
      </c>
      <c r="AL7495">
        <v>87.713645255999296</v>
      </c>
      <c r="AM7495">
        <v>76.561724532127997</v>
      </c>
      <c r="AN7495">
        <v>1.00000003482245</v>
      </c>
    </row>
    <row r="7496" spans="1:40" x14ac:dyDescent="0.25">
      <c r="A7496" t="str">
        <f>"20190312154444343"</f>
        <v>20190312154444343</v>
      </c>
      <c r="B7496" t="str">
        <f>"1552376684334967"</f>
        <v>1552376684334967</v>
      </c>
      <c r="C7496" t="s">
        <v>40</v>
      </c>
      <c r="D7496">
        <v>5.4507770000000004</v>
      </c>
      <c r="E7496">
        <v>0.57666019999999996</v>
      </c>
      <c r="F7496" t="s">
        <v>69</v>
      </c>
      <c r="G7496">
        <v>-178.84649999999999</v>
      </c>
      <c r="H7496" s="1">
        <v>-9.2854159999999997E-6</v>
      </c>
      <c r="I7496">
        <v>143.04130000000001</v>
      </c>
      <c r="J7496">
        <v>-183.92410000000001</v>
      </c>
      <c r="K7496">
        <v>1.1000299999999901</v>
      </c>
      <c r="L7496">
        <v>137.00190000000001</v>
      </c>
      <c r="M7496">
        <v>0.2722678</v>
      </c>
      <c r="N7496">
        <v>0</v>
      </c>
      <c r="O7496">
        <v>0.9620959</v>
      </c>
      <c r="P7496">
        <v>0.49123810000000001</v>
      </c>
      <c r="Q7496">
        <v>2.4157519999999998E-2</v>
      </c>
      <c r="R7496">
        <v>0.87069030000000003</v>
      </c>
      <c r="S7496">
        <v>1.9462740000000001</v>
      </c>
      <c r="T7496">
        <v>-0.41480549999999999</v>
      </c>
      <c r="U7496">
        <v>2.3748170000000002</v>
      </c>
      <c r="V7496">
        <v>0.23651949999999999</v>
      </c>
      <c r="W7496">
        <v>3.3176839999999999E-2</v>
      </c>
      <c r="X7496">
        <v>0.97106020000000004</v>
      </c>
      <c r="Y7496">
        <v>0.39325399999999999</v>
      </c>
      <c r="Z7496">
        <v>-0.1363789</v>
      </c>
      <c r="AA7496">
        <v>0.90925909999999999</v>
      </c>
      <c r="AB7496">
        <v>27</v>
      </c>
      <c r="AC7496">
        <v>5.0776000000000101</v>
      </c>
      <c r="AD7496">
        <v>-1.1000392854159999</v>
      </c>
      <c r="AE7496">
        <v>6.0393999999999997</v>
      </c>
      <c r="AF7496">
        <v>3.17939733190603</v>
      </c>
      <c r="AG7496">
        <v>-1.1000392854159999</v>
      </c>
      <c r="AH7496">
        <v>7.0566571745871203</v>
      </c>
      <c r="AI7496">
        <v>98.089103507317702</v>
      </c>
      <c r="AJ7496">
        <v>65.745916138027596</v>
      </c>
      <c r="AK7496">
        <v>7.81761244263501</v>
      </c>
      <c r="AL7496">
        <v>88.098758282187603</v>
      </c>
      <c r="AM7496">
        <v>76.311109200708003</v>
      </c>
      <c r="AN7496">
        <v>1.0000000443083299</v>
      </c>
    </row>
    <row r="7497" spans="1:40" x14ac:dyDescent="0.25">
      <c r="A7497" t="str">
        <f>"20190312154444366"</f>
        <v>20190312154444366</v>
      </c>
      <c r="B7497" t="str">
        <f>"1552376684354487"</f>
        <v>1552376684354487</v>
      </c>
      <c r="C7497" t="s">
        <v>40</v>
      </c>
      <c r="D7497">
        <v>5.5188139999999999</v>
      </c>
      <c r="E7497">
        <v>0.57720019999999905</v>
      </c>
      <c r="F7497" t="s">
        <v>69</v>
      </c>
      <c r="G7497">
        <v>-178.9</v>
      </c>
      <c r="H7497" s="1">
        <v>-9.268014E-6</v>
      </c>
      <c r="I7497">
        <v>142.87569999999999</v>
      </c>
      <c r="J7497">
        <v>-183.8312</v>
      </c>
      <c r="K7497">
        <v>1.0997619999999999</v>
      </c>
      <c r="L7497">
        <v>137.2713</v>
      </c>
      <c r="M7497">
        <v>0.28701459999999901</v>
      </c>
      <c r="N7497">
        <v>0</v>
      </c>
      <c r="O7497">
        <v>0.9577985</v>
      </c>
      <c r="P7497">
        <v>0.50682240000000001</v>
      </c>
      <c r="Q7497">
        <v>1.9878860000000002E-2</v>
      </c>
      <c r="R7497">
        <v>0.86182119999999995</v>
      </c>
      <c r="S7497">
        <v>1.9948269999999999</v>
      </c>
      <c r="T7497">
        <v>-0.43676880000000001</v>
      </c>
      <c r="U7497">
        <v>2.3321839999999998</v>
      </c>
      <c r="V7497">
        <v>0.2389502</v>
      </c>
      <c r="W7497">
        <v>2.8769630000000001E-2</v>
      </c>
      <c r="X7497">
        <v>0.97060559999999996</v>
      </c>
      <c r="Y7497">
        <v>0.3976113</v>
      </c>
      <c r="Z7497">
        <v>-0.14347019999999999</v>
      </c>
      <c r="AA7497">
        <v>0.90626790000000002</v>
      </c>
      <c r="AB7497">
        <v>27</v>
      </c>
      <c r="AC7497">
        <v>4.9311999999999898</v>
      </c>
      <c r="AD7497">
        <v>-1.0997712680139999</v>
      </c>
      <c r="AE7497">
        <v>5.6043999999999903</v>
      </c>
      <c r="AF7497">
        <v>3.0487610499704898</v>
      </c>
      <c r="AG7497">
        <v>-1.0997712680139999</v>
      </c>
      <c r="AH7497">
        <v>6.6399269848032896</v>
      </c>
      <c r="AI7497">
        <v>98.559985765456005</v>
      </c>
      <c r="AJ7497">
        <v>65.337503785362202</v>
      </c>
      <c r="AK7497">
        <v>7.3887124145743499</v>
      </c>
      <c r="AL7497">
        <v>88.3513942459264</v>
      </c>
      <c r="AM7497">
        <v>76.1695736202863</v>
      </c>
      <c r="AN7497">
        <v>1.0000000602208601</v>
      </c>
    </row>
    <row r="7498" spans="1:40" x14ac:dyDescent="0.25">
      <c r="A7498" t="str">
        <f>"20190312154444389"</f>
        <v>20190312154444389</v>
      </c>
      <c r="B7498" t="str">
        <f>"1552376684384744"</f>
        <v>1552376684384744</v>
      </c>
      <c r="C7498" t="s">
        <v>40</v>
      </c>
      <c r="D7498">
        <v>5.5094320000000003</v>
      </c>
      <c r="E7498">
        <v>0.57728699999999999</v>
      </c>
      <c r="F7498" t="s">
        <v>69</v>
      </c>
      <c r="G7498">
        <v>-178.81630000000001</v>
      </c>
      <c r="H7498" s="1">
        <v>-9.2312519999999996E-6</v>
      </c>
      <c r="I7498">
        <v>142.90110000000001</v>
      </c>
      <c r="J7498">
        <v>-183.73670000000001</v>
      </c>
      <c r="K7498">
        <v>1.0995239999999999</v>
      </c>
      <c r="L7498">
        <v>137.53110000000001</v>
      </c>
      <c r="M7498">
        <v>0.30160619999999999</v>
      </c>
      <c r="N7498">
        <v>0</v>
      </c>
      <c r="O7498">
        <v>0.95330280000000001</v>
      </c>
      <c r="P7498">
        <v>0.52185969999999904</v>
      </c>
      <c r="Q7498">
        <v>1.8842999999999999E-2</v>
      </c>
      <c r="R7498">
        <v>0.8528232</v>
      </c>
      <c r="S7498">
        <v>2.0408629999999999</v>
      </c>
      <c r="T7498">
        <v>-0.44756810000000002</v>
      </c>
      <c r="U7498">
        <v>2.291153</v>
      </c>
      <c r="V7498">
        <v>0.24113519999999999</v>
      </c>
      <c r="W7498">
        <v>2.761854E-2</v>
      </c>
      <c r="X7498">
        <v>0.97009840000000003</v>
      </c>
      <c r="Y7498">
        <v>0.40148850000000003</v>
      </c>
      <c r="Z7498">
        <v>-0.14687510000000001</v>
      </c>
      <c r="AA7498">
        <v>0.90401030000000004</v>
      </c>
      <c r="AB7498">
        <v>27</v>
      </c>
      <c r="AC7498">
        <v>4.9203999999999999</v>
      </c>
      <c r="AD7498">
        <v>-1.0995332312520001</v>
      </c>
      <c r="AE7498">
        <v>5.37</v>
      </c>
      <c r="AF7498">
        <v>3.0029471828351202</v>
      </c>
      <c r="AG7498">
        <v>-1.0995332312520001</v>
      </c>
      <c r="AH7498">
        <v>6.4569199248705198</v>
      </c>
      <c r="AI7498">
        <v>98.777484723214997</v>
      </c>
      <c r="AJ7498">
        <v>65.058074624026403</v>
      </c>
      <c r="AK7498">
        <v>7.2054479406706404</v>
      </c>
      <c r="AL7498">
        <v>88.417372878181695</v>
      </c>
      <c r="AM7498">
        <v>76.041015929418194</v>
      </c>
      <c r="AN7498">
        <v>0.99999993705666301</v>
      </c>
    </row>
    <row r="7499" spans="1:40" x14ac:dyDescent="0.25">
      <c r="A7499" t="str">
        <f>"20190312154444411"</f>
        <v>20190312154444411</v>
      </c>
      <c r="B7499" t="str">
        <f>"1552376684405240"</f>
        <v>1552376684405240</v>
      </c>
      <c r="C7499" t="s">
        <v>40</v>
      </c>
      <c r="D7499">
        <v>5.5037909999999997</v>
      </c>
      <c r="E7499">
        <v>0.57704549999999999</v>
      </c>
      <c r="F7499" t="s">
        <v>69</v>
      </c>
      <c r="G7499">
        <v>-178.66050000000001</v>
      </c>
      <c r="H7499" s="1">
        <v>-9.1838569999999993E-6</v>
      </c>
      <c r="I7499">
        <v>143.0257</v>
      </c>
      <c r="J7499">
        <v>-183.6371</v>
      </c>
      <c r="K7499">
        <v>1.0992999999999999</v>
      </c>
      <c r="L7499">
        <v>137.79060000000001</v>
      </c>
      <c r="M7499">
        <v>0.31653890000000001</v>
      </c>
      <c r="N7499">
        <v>0</v>
      </c>
      <c r="O7499">
        <v>0.94844759999999995</v>
      </c>
      <c r="P7499">
        <v>0.53789330000000002</v>
      </c>
      <c r="Q7499">
        <v>2.0536349999999998E-2</v>
      </c>
      <c r="R7499">
        <v>0.84276280000000003</v>
      </c>
      <c r="S7499">
        <v>2.0820310000000002</v>
      </c>
      <c r="T7499">
        <v>-0.45098389999999999</v>
      </c>
      <c r="U7499">
        <v>2.253647</v>
      </c>
      <c r="V7499">
        <v>0.2443205</v>
      </c>
      <c r="W7499">
        <v>2.917144E-2</v>
      </c>
      <c r="X7499">
        <v>0.96925570000000005</v>
      </c>
      <c r="Y7499">
        <v>0.40344099999999999</v>
      </c>
      <c r="Z7499">
        <v>-0.1477916</v>
      </c>
      <c r="AA7499">
        <v>0.90299110000000005</v>
      </c>
      <c r="AB7499">
        <v>27</v>
      </c>
      <c r="AC7499">
        <v>4.9765999999999897</v>
      </c>
      <c r="AD7499">
        <v>-1.0993091838569999</v>
      </c>
      <c r="AE7499">
        <v>5.2350999999999797</v>
      </c>
      <c r="AF7499">
        <v>2.9939655702032599</v>
      </c>
      <c r="AG7499">
        <v>-1.0993091838569999</v>
      </c>
      <c r="AH7499">
        <v>6.3932373751686598</v>
      </c>
      <c r="AI7499">
        <v>98.8509765412348</v>
      </c>
      <c r="AJ7499">
        <v>64.906215266211902</v>
      </c>
      <c r="AK7499">
        <v>7.14463397610601</v>
      </c>
      <c r="AL7499">
        <v>88.328362538709797</v>
      </c>
      <c r="AM7499">
        <v>75.852173366042607</v>
      </c>
      <c r="AN7499">
        <v>1.0000000458072</v>
      </c>
    </row>
    <row r="7500" spans="1:40" x14ac:dyDescent="0.25">
      <c r="A7500" t="str">
        <f>"20190312154444433"</f>
        <v>20190312154444433</v>
      </c>
      <c r="B7500" t="str">
        <f>"1552376684424759"</f>
        <v>1552376684424759</v>
      </c>
      <c r="C7500" t="s">
        <v>40</v>
      </c>
      <c r="D7500">
        <v>5.4564380000000003</v>
      </c>
      <c r="E7500">
        <v>0.57652009999999998</v>
      </c>
      <c r="F7500" t="s">
        <v>69</v>
      </c>
      <c r="G7500">
        <v>-178.4348</v>
      </c>
      <c r="H7500" s="1">
        <v>-9.1218460000000005E-6</v>
      </c>
      <c r="I7500">
        <v>143.2304</v>
      </c>
      <c r="J7500">
        <v>-183.53559999999999</v>
      </c>
      <c r="K7500">
        <v>1.0991059999999999</v>
      </c>
      <c r="L7500">
        <v>138.04249999999999</v>
      </c>
      <c r="M7500">
        <v>0.33130799999999999</v>
      </c>
      <c r="N7500">
        <v>0</v>
      </c>
      <c r="O7500">
        <v>0.94338869999999997</v>
      </c>
      <c r="P7500">
        <v>0.55376230000000004</v>
      </c>
      <c r="Q7500">
        <v>2.1079230000000001E-2</v>
      </c>
      <c r="R7500">
        <v>0.83240800000000004</v>
      </c>
      <c r="S7500">
        <v>2.1204830000000001</v>
      </c>
      <c r="T7500">
        <v>-0.44808229999999999</v>
      </c>
      <c r="U7500">
        <v>2.2172550000000002</v>
      </c>
      <c r="V7500">
        <v>0.24758330000000001</v>
      </c>
      <c r="W7500">
        <v>2.9579919999999999E-2</v>
      </c>
      <c r="X7500">
        <v>0.96841500000000003</v>
      </c>
      <c r="Y7500">
        <v>0.40488170000000001</v>
      </c>
      <c r="Z7500">
        <v>-0.146636299999999</v>
      </c>
      <c r="AA7500">
        <v>0.90253450000000002</v>
      </c>
      <c r="AB7500">
        <v>27</v>
      </c>
      <c r="AC7500">
        <v>5.1007999999999898</v>
      </c>
      <c r="AD7500">
        <v>-1.099115121846</v>
      </c>
      <c r="AE7500">
        <v>5.1879000000000097</v>
      </c>
      <c r="AF7500">
        <v>3.02460608765921</v>
      </c>
      <c r="AG7500">
        <v>-1.099115121846</v>
      </c>
      <c r="AH7500">
        <v>6.4380418244653601</v>
      </c>
      <c r="AI7500">
        <v>98.783828727400603</v>
      </c>
      <c r="AJ7500">
        <v>64.835759677466001</v>
      </c>
      <c r="AK7500">
        <v>7.1975467049641901</v>
      </c>
      <c r="AL7500">
        <v>88.304948240320698</v>
      </c>
      <c r="AM7500">
        <v>75.659040594892303</v>
      </c>
      <c r="AN7500">
        <v>1.00000003716554</v>
      </c>
    </row>
    <row r="7501" spans="1:40" x14ac:dyDescent="0.25">
      <c r="A7501" t="str">
        <f>"20190312154444455"</f>
        <v>20190312154444455</v>
      </c>
      <c r="B7501" t="str">
        <f>"1552376684445255"</f>
        <v>1552376684445255</v>
      </c>
      <c r="C7501" t="s">
        <v>40</v>
      </c>
      <c r="D7501">
        <v>5.448105</v>
      </c>
      <c r="E7501">
        <v>0.57597299999999996</v>
      </c>
      <c r="F7501" t="s">
        <v>69</v>
      </c>
      <c r="G7501">
        <v>-178.2516</v>
      </c>
      <c r="H7501" s="1">
        <v>-9.0689989999999997E-6</v>
      </c>
      <c r="I7501">
        <v>143.38720000000001</v>
      </c>
      <c r="J7501">
        <v>-183.43090000000001</v>
      </c>
      <c r="K7501">
        <v>1.098929</v>
      </c>
      <c r="L7501">
        <v>138.29089999999999</v>
      </c>
      <c r="M7501">
        <v>0.34612779999999999</v>
      </c>
      <c r="N7501">
        <v>0</v>
      </c>
      <c r="O7501">
        <v>0.93805130000000003</v>
      </c>
      <c r="P7501">
        <v>0.56827530000000004</v>
      </c>
      <c r="Q7501">
        <v>1.970015E-2</v>
      </c>
      <c r="R7501">
        <v>0.82260270000000002</v>
      </c>
      <c r="S7501">
        <v>2.1562039999999998</v>
      </c>
      <c r="T7501">
        <v>-0.44850400000000001</v>
      </c>
      <c r="U7501">
        <v>2.180939</v>
      </c>
      <c r="V7501">
        <v>0.24927369999999999</v>
      </c>
      <c r="W7501">
        <v>2.8122359999999999E-2</v>
      </c>
      <c r="X7501">
        <v>0.96802469999999996</v>
      </c>
      <c r="Y7501">
        <v>0.40549220000000002</v>
      </c>
      <c r="Z7501">
        <v>-0.1465349</v>
      </c>
      <c r="AA7501">
        <v>0.90227690000000005</v>
      </c>
      <c r="AB7501">
        <v>27</v>
      </c>
      <c r="AC7501">
        <v>5.1793000000000102</v>
      </c>
      <c r="AD7501">
        <v>-1.098938068999</v>
      </c>
      <c r="AE7501">
        <v>5.09630000000001</v>
      </c>
      <c r="AF7501">
        <v>3.0256653530380602</v>
      </c>
      <c r="AG7501">
        <v>-1.098938068999</v>
      </c>
      <c r="AH7501">
        <v>6.4271187402412604</v>
      </c>
      <c r="AI7501">
        <v>98.793916803414604</v>
      </c>
      <c r="AJ7501">
        <v>64.790564834668203</v>
      </c>
      <c r="AK7501">
        <v>7.1881966451419901</v>
      </c>
      <c r="AL7501">
        <v>88.388495051993303</v>
      </c>
      <c r="AM7501">
        <v>75.559627466158105</v>
      </c>
      <c r="AN7501">
        <v>1.0000000322268701</v>
      </c>
    </row>
    <row r="7502" spans="1:40" x14ac:dyDescent="0.25">
      <c r="A7502" t="str">
        <f>"20190312154444476"</f>
        <v>20190312154444476</v>
      </c>
      <c r="B7502" t="str">
        <f>"1552376684464775"</f>
        <v>1552376684464775</v>
      </c>
      <c r="C7502" t="s">
        <v>40</v>
      </c>
      <c r="D7502">
        <v>5.4871319999999999</v>
      </c>
      <c r="E7502">
        <v>0.57536750000000003</v>
      </c>
      <c r="F7502" t="s">
        <v>69</v>
      </c>
      <c r="G7502">
        <v>-178.09309999999999</v>
      </c>
      <c r="H7502" s="1">
        <v>-9.0223240000000007E-6</v>
      </c>
      <c r="I7502">
        <v>143.51939999999999</v>
      </c>
      <c r="J7502">
        <v>-183.32300000000001</v>
      </c>
      <c r="K7502">
        <v>1.098779</v>
      </c>
      <c r="L7502">
        <v>138.5351</v>
      </c>
      <c r="M7502">
        <v>0.36093839999999999</v>
      </c>
      <c r="N7502">
        <v>0</v>
      </c>
      <c r="O7502">
        <v>0.93245160000000005</v>
      </c>
      <c r="P7502">
        <v>0.58177719999999999</v>
      </c>
      <c r="Q7502">
        <v>1.9578169999999999E-2</v>
      </c>
      <c r="R7502">
        <v>0.81311259999999996</v>
      </c>
      <c r="S7502">
        <v>2.1898040000000001</v>
      </c>
      <c r="T7502">
        <v>-0.45083489999999998</v>
      </c>
      <c r="U7502">
        <v>2.1449739999999999</v>
      </c>
      <c r="V7502">
        <v>0.24993190000000001</v>
      </c>
      <c r="W7502">
        <v>2.795982E-2</v>
      </c>
      <c r="X7502">
        <v>0.96785960000000004</v>
      </c>
      <c r="Y7502">
        <v>0.40545819999999999</v>
      </c>
      <c r="Z7502">
        <v>-0.14700769999999999</v>
      </c>
      <c r="AA7502">
        <v>0.90221519999999999</v>
      </c>
      <c r="AB7502">
        <v>27</v>
      </c>
      <c r="AC7502">
        <v>5.2298999999999802</v>
      </c>
      <c r="AD7502">
        <v>-1.0987880223240001</v>
      </c>
      <c r="AE7502">
        <v>4.9842999999999904</v>
      </c>
      <c r="AF7502">
        <v>3.00841149374487</v>
      </c>
      <c r="AG7502">
        <v>-1.0987880223240001</v>
      </c>
      <c r="AH7502">
        <v>6.3883613398786201</v>
      </c>
      <c r="AI7502">
        <v>98.844717395725695</v>
      </c>
      <c r="AJ7502">
        <v>64.783283875138906</v>
      </c>
      <c r="AK7502">
        <v>7.1462602417316701</v>
      </c>
      <c r="AL7502">
        <v>88.397811448652902</v>
      </c>
      <c r="AM7502">
        <v>75.5207326395617</v>
      </c>
      <c r="AN7502">
        <v>0.99999995574209999</v>
      </c>
    </row>
    <row r="7503" spans="1:40" x14ac:dyDescent="0.25">
      <c r="A7503" t="str">
        <f>"20190312154444500"</f>
        <v>20190312154444500</v>
      </c>
      <c r="B7503" t="str">
        <f>"1552376684494593"</f>
        <v>1552376684494593</v>
      </c>
      <c r="C7503" t="s">
        <v>40</v>
      </c>
      <c r="D7503">
        <v>5.421297</v>
      </c>
      <c r="E7503">
        <v>0.57440729999999995</v>
      </c>
      <c r="F7503" t="s">
        <v>69</v>
      </c>
      <c r="G7503">
        <v>-177.8819</v>
      </c>
      <c r="H7503" s="1">
        <v>-8.9601279999999906E-6</v>
      </c>
      <c r="I7503">
        <v>143.70689999999999</v>
      </c>
      <c r="J7503">
        <v>-183.20179999999999</v>
      </c>
      <c r="K7503">
        <v>1.0986149999999999</v>
      </c>
      <c r="L7503">
        <v>138.79750000000001</v>
      </c>
      <c r="M7503">
        <v>0.37711169999999999</v>
      </c>
      <c r="N7503">
        <v>0</v>
      </c>
      <c r="O7503">
        <v>0.9260275</v>
      </c>
      <c r="P7503">
        <v>0.59669669999999997</v>
      </c>
      <c r="Q7503">
        <v>1.9465619999999999E-2</v>
      </c>
      <c r="R7503">
        <v>0.80223080000000002</v>
      </c>
      <c r="S7503">
        <v>2.2211150000000002</v>
      </c>
      <c r="T7503">
        <v>-0.44852959999999897</v>
      </c>
      <c r="U7503">
        <v>2.1111300000000002</v>
      </c>
      <c r="V7503">
        <v>0.25097190000000003</v>
      </c>
      <c r="W7503">
        <v>2.7794900000000001E-2</v>
      </c>
      <c r="X7503">
        <v>0.96759519999999999</v>
      </c>
      <c r="Y7503">
        <v>0.40326620000000002</v>
      </c>
      <c r="Z7503">
        <v>-0.1458245</v>
      </c>
      <c r="AA7503">
        <v>0.903389</v>
      </c>
      <c r="AB7503">
        <v>27</v>
      </c>
      <c r="AC7503">
        <v>5.3198999999999899</v>
      </c>
      <c r="AD7503">
        <v>-1.0986239601279999</v>
      </c>
      <c r="AE7503">
        <v>4.9093999999999696</v>
      </c>
      <c r="AF7503">
        <v>3.0061426830220799</v>
      </c>
      <c r="AG7503">
        <v>-1.0986239601279999</v>
      </c>
      <c r="AH7503">
        <v>6.4057482135657597</v>
      </c>
      <c r="AI7503">
        <v>98.825249874676402</v>
      </c>
      <c r="AJ7503">
        <v>64.859884135995898</v>
      </c>
      <c r="AK7503">
        <v>7.1608294639696304</v>
      </c>
      <c r="AL7503">
        <v>88.407264351369705</v>
      </c>
      <c r="AM7503">
        <v>75.459226162205397</v>
      </c>
      <c r="AN7503">
        <v>0.99999996105932898</v>
      </c>
    </row>
    <row r="7504" spans="1:40" x14ac:dyDescent="0.25">
      <c r="A7504" t="str">
        <f>"20190312154444522"</f>
        <v>20190312154444522</v>
      </c>
      <c r="B7504" t="str">
        <f>"1552376684515089"</f>
        <v>1552376684515089</v>
      </c>
      <c r="C7504" t="s">
        <v>40</v>
      </c>
      <c r="D7504">
        <v>5.4494420000000003</v>
      </c>
      <c r="E7504">
        <v>0.57394239999999996</v>
      </c>
      <c r="F7504" t="s">
        <v>69</v>
      </c>
      <c r="G7504">
        <v>-177.71119999999999</v>
      </c>
      <c r="H7504" s="1">
        <v>-8.9017380000000005E-6</v>
      </c>
      <c r="I7504">
        <v>143.85480000000001</v>
      </c>
      <c r="J7504">
        <v>-183.08160000000001</v>
      </c>
      <c r="K7504">
        <v>1.0984700000000001</v>
      </c>
      <c r="L7504">
        <v>139.04589999999999</v>
      </c>
      <c r="M7504">
        <v>0.39266580000000001</v>
      </c>
      <c r="N7504">
        <v>0</v>
      </c>
      <c r="O7504">
        <v>0.91953870000000004</v>
      </c>
      <c r="P7504">
        <v>0.610757199999999</v>
      </c>
      <c r="Q7504">
        <v>1.7982620000000001E-2</v>
      </c>
      <c r="R7504">
        <v>0.79161380000000003</v>
      </c>
      <c r="S7504">
        <v>2.2527309999999998</v>
      </c>
      <c r="T7504">
        <v>-0.45075150000000003</v>
      </c>
      <c r="U7504">
        <v>2.074951</v>
      </c>
      <c r="V7504">
        <v>0.25168780000000002</v>
      </c>
      <c r="W7504">
        <v>2.6272920000000002E-2</v>
      </c>
      <c r="X7504">
        <v>0.96745179999999997</v>
      </c>
      <c r="Y7504">
        <v>0.40198089999999997</v>
      </c>
      <c r="Z7504">
        <v>-0.146112299999999</v>
      </c>
      <c r="AA7504">
        <v>0.90391509999999997</v>
      </c>
      <c r="AB7504">
        <v>27</v>
      </c>
      <c r="AC7504">
        <v>5.3704000000000098</v>
      </c>
      <c r="AD7504">
        <v>-1.0984789017379999</v>
      </c>
      <c r="AE7504">
        <v>4.8089000000000199</v>
      </c>
      <c r="AF7504">
        <v>2.9811776242613899</v>
      </c>
      <c r="AG7504">
        <v>-1.0984789017379999</v>
      </c>
      <c r="AH7504">
        <v>6.3833775998879796</v>
      </c>
      <c r="AI7504">
        <v>98.862124685908697</v>
      </c>
      <c r="AJ7504">
        <v>64.966391658586502</v>
      </c>
      <c r="AK7504">
        <v>7.1303285694077196</v>
      </c>
      <c r="AL7504">
        <v>88.4944993354666</v>
      </c>
      <c r="AM7504">
        <v>75.417444691477101</v>
      </c>
      <c r="AN7504">
        <v>1.0000000001586999</v>
      </c>
    </row>
    <row r="7505" spans="1:40" x14ac:dyDescent="0.25">
      <c r="A7505" t="str">
        <f>"20190312154444544"</f>
        <v>20190312154444544</v>
      </c>
      <c r="B7505" t="str">
        <f>"1552376684534609"</f>
        <v>1552376684534609</v>
      </c>
      <c r="C7505" t="s">
        <v>40</v>
      </c>
      <c r="D7505">
        <v>5.3665219999999998</v>
      </c>
      <c r="E7505">
        <v>0.57423169999999901</v>
      </c>
      <c r="F7505" t="s">
        <v>69</v>
      </c>
      <c r="G7505">
        <v>-177.52680000000001</v>
      </c>
      <c r="H7505" s="1">
        <v>-8.8315239999999906E-6</v>
      </c>
      <c r="I7505">
        <v>143.99260000000001</v>
      </c>
      <c r="J7505">
        <v>-182.96119999999999</v>
      </c>
      <c r="K7505">
        <v>1.09833799999999</v>
      </c>
      <c r="L7505">
        <v>139.2841</v>
      </c>
      <c r="M7505">
        <v>0.40781859999999998</v>
      </c>
      <c r="N7505">
        <v>0</v>
      </c>
      <c r="O7505">
        <v>0.91291829999999996</v>
      </c>
      <c r="P7505">
        <v>0.62447330000000001</v>
      </c>
      <c r="Q7505">
        <v>1.7962209999999999E-2</v>
      </c>
      <c r="R7505">
        <v>0.78083959999999997</v>
      </c>
      <c r="S7505">
        <v>2.286346</v>
      </c>
      <c r="T7505">
        <v>-0.45212659999999999</v>
      </c>
      <c r="U7505">
        <v>2.036041</v>
      </c>
      <c r="V7505">
        <v>0.25257410000000002</v>
      </c>
      <c r="W7505">
        <v>2.6207129999999999E-2</v>
      </c>
      <c r="X7505">
        <v>0.96722260000000004</v>
      </c>
      <c r="Y7505">
        <v>0.4020225</v>
      </c>
      <c r="Z7505">
        <v>-0.14611759999999999</v>
      </c>
      <c r="AA7505">
        <v>0.90389569999999997</v>
      </c>
      <c r="AB7505">
        <v>27</v>
      </c>
      <c r="AC7505">
        <v>5.4343999999999797</v>
      </c>
      <c r="AD7505">
        <v>-1.0983468315239999</v>
      </c>
      <c r="AE7505">
        <v>4.7085000000000097</v>
      </c>
      <c r="AF7505">
        <v>2.9720059884679699</v>
      </c>
      <c r="AG7505">
        <v>-1.0983468315239999</v>
      </c>
      <c r="AH7505">
        <v>6.36702563680051</v>
      </c>
      <c r="AI7505">
        <v>98.884278718220102</v>
      </c>
      <c r="AJ7505">
        <v>64.977731909217297</v>
      </c>
      <c r="AK7505">
        <v>7.1118352636631901</v>
      </c>
      <c r="AL7505">
        <v>88.498270158705694</v>
      </c>
      <c r="AM7505">
        <v>75.364974934076798</v>
      </c>
      <c r="AN7505">
        <v>1.0000000238022</v>
      </c>
    </row>
    <row r="7506" spans="1:40" x14ac:dyDescent="0.25">
      <c r="A7506" t="str">
        <f>"20190312154444566"</f>
        <v>20190312154444566</v>
      </c>
      <c r="B7506" t="str">
        <f>"1552376684555105"</f>
        <v>1552376684555105</v>
      </c>
      <c r="C7506" t="s">
        <v>40</v>
      </c>
      <c r="D7506">
        <v>5.5402420000000001</v>
      </c>
      <c r="E7506">
        <v>0.61392840000000004</v>
      </c>
      <c r="F7506" t="s">
        <v>69</v>
      </c>
      <c r="G7506">
        <v>-177.3083</v>
      </c>
      <c r="H7506" s="1">
        <v>-8.7399650000000003E-6</v>
      </c>
      <c r="I7506">
        <v>144.13</v>
      </c>
      <c r="J7506">
        <v>-182.83349999999999</v>
      </c>
      <c r="K7506">
        <v>1.0982019999999999</v>
      </c>
      <c r="L7506">
        <v>139.5264</v>
      </c>
      <c r="M7506">
        <v>0.42346270000000003</v>
      </c>
      <c r="N7506">
        <v>0</v>
      </c>
      <c r="O7506">
        <v>0.90576650000000003</v>
      </c>
      <c r="P7506">
        <v>0.63852259999999905</v>
      </c>
      <c r="Q7506">
        <v>1.9056879999999998E-2</v>
      </c>
      <c r="R7506">
        <v>0.76936709999999997</v>
      </c>
      <c r="S7506">
        <v>2.3249360000000001</v>
      </c>
      <c r="T7506">
        <v>-0.45172639999999997</v>
      </c>
      <c r="U7506">
        <v>1.9930270000000001</v>
      </c>
      <c r="V7506">
        <v>0.2535193</v>
      </c>
      <c r="W7506">
        <v>2.7252470000000001E-2</v>
      </c>
      <c r="X7506">
        <v>0.96694639999999998</v>
      </c>
      <c r="Y7506">
        <v>0.4034181</v>
      </c>
      <c r="Z7506">
        <v>-0.14545339999999901</v>
      </c>
      <c r="AA7506">
        <v>0.90338090000000004</v>
      </c>
      <c r="AB7506">
        <v>27</v>
      </c>
      <c r="AC7506">
        <v>5.5251999999999803</v>
      </c>
      <c r="AD7506">
        <v>-1.0982107399650001</v>
      </c>
      <c r="AE7506">
        <v>4.6036000000000001</v>
      </c>
      <c r="AF7506">
        <v>2.9858685466542401</v>
      </c>
      <c r="AG7506">
        <v>-1.0982107399650001</v>
      </c>
      <c r="AH7506">
        <v>6.3620158987099096</v>
      </c>
      <c r="AI7506">
        <v>98.881529647595798</v>
      </c>
      <c r="AJ7506">
        <v>64.858046956412494</v>
      </c>
      <c r="AK7506">
        <v>7.1131374303264598</v>
      </c>
      <c r="AL7506">
        <v>88.438355199209695</v>
      </c>
      <c r="AM7506">
        <v>75.308556715292795</v>
      </c>
      <c r="AN7506">
        <v>1.00000003653327</v>
      </c>
    </row>
    <row r="7507" spans="1:40" x14ac:dyDescent="0.25">
      <c r="A7507" t="str">
        <f>"20190312154444589"</f>
        <v>20190312154444589</v>
      </c>
      <c r="B7507" t="str">
        <f>"1552376684585360"</f>
        <v>1552376684585360</v>
      </c>
      <c r="C7507" t="s">
        <v>40</v>
      </c>
      <c r="D7507">
        <v>5.4296069999999999</v>
      </c>
      <c r="E7507">
        <v>0.61747410000000003</v>
      </c>
      <c r="F7507" t="s">
        <v>69</v>
      </c>
      <c r="G7507">
        <v>-177.00890000000001</v>
      </c>
      <c r="H7507" s="1">
        <v>-8.3301709999999993E-6</v>
      </c>
      <c r="I7507">
        <v>143.43960000000001</v>
      </c>
      <c r="J7507">
        <v>-182.7047</v>
      </c>
      <c r="K7507">
        <v>1.098052</v>
      </c>
      <c r="L7507">
        <v>139.76</v>
      </c>
      <c r="M7507">
        <v>0.43879479999999998</v>
      </c>
      <c r="N7507">
        <v>0</v>
      </c>
      <c r="O7507">
        <v>0.89843779999999995</v>
      </c>
      <c r="P7507">
        <v>0.65237690000000004</v>
      </c>
      <c r="Q7507">
        <v>1.9752289999999999E-2</v>
      </c>
      <c r="R7507">
        <v>0.75763729999999996</v>
      </c>
      <c r="S7507">
        <v>2.604568</v>
      </c>
      <c r="T7507">
        <v>-0.49108590000000002</v>
      </c>
      <c r="U7507">
        <v>1.7498629999999999</v>
      </c>
      <c r="V7507">
        <v>0.2546698</v>
      </c>
      <c r="W7507">
        <v>2.7890229999999998E-2</v>
      </c>
      <c r="X7507">
        <v>0.96662579999999998</v>
      </c>
      <c r="Y7507">
        <v>0.49001329999999998</v>
      </c>
      <c r="Z7507">
        <v>-0.1570501</v>
      </c>
      <c r="AA7507">
        <v>0.85745099999999996</v>
      </c>
      <c r="AB7507">
        <v>27</v>
      </c>
      <c r="AC7507">
        <v>5.6957999999999904</v>
      </c>
      <c r="AD7507">
        <v>-1.0980603301709999</v>
      </c>
      <c r="AE7507">
        <v>3.6796000000000202</v>
      </c>
      <c r="AF7507">
        <v>3.41368898010565</v>
      </c>
      <c r="AG7507">
        <v>-1.0980603301709999</v>
      </c>
      <c r="AH7507">
        <v>5.6576044854598804</v>
      </c>
      <c r="AI7507">
        <v>99.435121973710196</v>
      </c>
      <c r="AJ7507">
        <v>58.894032297703497</v>
      </c>
      <c r="AK7507">
        <v>6.69832049513054</v>
      </c>
      <c r="AL7507">
        <v>88.401800295759699</v>
      </c>
      <c r="AM7507">
        <v>75.240107817715895</v>
      </c>
      <c r="AN7507">
        <v>1.00000000459356</v>
      </c>
    </row>
    <row r="7508" spans="1:40" x14ac:dyDescent="0.25">
      <c r="A7508" t="str">
        <f>"20190312154444611"</f>
        <v>20190312154444611</v>
      </c>
      <c r="B7508" t="str">
        <f>"1552376684605059"</f>
        <v>1552376684605059</v>
      </c>
      <c r="C7508" t="s">
        <v>40</v>
      </c>
      <c r="D7508">
        <v>5.4406619999999997</v>
      </c>
      <c r="E7508">
        <v>0.61708790000000002</v>
      </c>
      <c r="F7508" t="s">
        <v>69</v>
      </c>
      <c r="G7508">
        <v>-176.47929999999999</v>
      </c>
      <c r="H7508" s="1">
        <v>-8.0856430000000003E-6</v>
      </c>
      <c r="I7508">
        <v>143.70269999999999</v>
      </c>
      <c r="J7508">
        <v>-182.56399999999999</v>
      </c>
      <c r="K7508">
        <v>1.09789</v>
      </c>
      <c r="L7508">
        <v>140.00389999999999</v>
      </c>
      <c r="M7508">
        <v>0.45508520000000002</v>
      </c>
      <c r="N7508">
        <v>0</v>
      </c>
      <c r="O7508">
        <v>0.89029570000000002</v>
      </c>
      <c r="P7508">
        <v>0.66562529999999998</v>
      </c>
      <c r="Q7508">
        <v>1.6171060000000001E-2</v>
      </c>
      <c r="R7508">
        <v>0.74611090000000002</v>
      </c>
      <c r="S7508">
        <v>2.657883</v>
      </c>
      <c r="T7508">
        <v>-0.46880830000000001</v>
      </c>
      <c r="U7508">
        <v>1.683289</v>
      </c>
      <c r="V7508">
        <v>0.25395909999999999</v>
      </c>
      <c r="W7508">
        <v>2.4315170000000001E-2</v>
      </c>
      <c r="X7508">
        <v>0.96690929999999997</v>
      </c>
      <c r="Y7508">
        <v>0.4984114</v>
      </c>
      <c r="Z7508">
        <v>-0.14946519999999999</v>
      </c>
      <c r="AA7508">
        <v>0.85395909999999997</v>
      </c>
      <c r="AB7508">
        <v>27</v>
      </c>
      <c r="AC7508">
        <v>6.0847000000000202</v>
      </c>
      <c r="AD7508">
        <v>-1.0978980856430001</v>
      </c>
      <c r="AE7508">
        <v>3.6987999999999999</v>
      </c>
      <c r="AF7508">
        <v>3.6477039609615498</v>
      </c>
      <c r="AG7508">
        <v>-1.0978980856430001</v>
      </c>
      <c r="AH7508">
        <v>5.9221203761712999</v>
      </c>
      <c r="AI7508">
        <v>98.970061411623405</v>
      </c>
      <c r="AJ7508">
        <v>58.369190450407203</v>
      </c>
      <c r="AK7508">
        <v>7.0414937437404896</v>
      </c>
      <c r="AL7508">
        <v>88.606706097896407</v>
      </c>
      <c r="AM7508">
        <v>75.283635418507501</v>
      </c>
      <c r="AN7508">
        <v>1.00000002319571</v>
      </c>
    </row>
    <row r="7509" spans="1:40" x14ac:dyDescent="0.25">
      <c r="A7509" t="str">
        <f>"20190312154444633"</f>
        <v>20190312154444633</v>
      </c>
      <c r="B7509" t="str">
        <f>"1552376684624578"</f>
        <v>1552376684624578</v>
      </c>
      <c r="C7509" t="s">
        <v>40</v>
      </c>
      <c r="D7509">
        <v>5.382504</v>
      </c>
      <c r="E7509">
        <v>0.6163324</v>
      </c>
      <c r="F7509" t="s">
        <v>69</v>
      </c>
      <c r="G7509">
        <v>-176.65209999999999</v>
      </c>
      <c r="H7509" s="1">
        <v>-8.1633970000000006E-6</v>
      </c>
      <c r="I7509">
        <v>143.61060000000001</v>
      </c>
      <c r="J7509">
        <v>-182.4288</v>
      </c>
      <c r="K7509">
        <v>1.0977490000000001</v>
      </c>
      <c r="L7509">
        <v>140.22899999999899</v>
      </c>
      <c r="M7509">
        <v>0.47032930000000001</v>
      </c>
      <c r="N7509">
        <v>0</v>
      </c>
      <c r="O7509">
        <v>0.88233619999999902</v>
      </c>
      <c r="P7509">
        <v>0.67681469999999999</v>
      </c>
      <c r="Q7509">
        <v>1.1653729999999999E-2</v>
      </c>
      <c r="R7509">
        <v>0.73606119999999997</v>
      </c>
      <c r="S7509">
        <v>2.6838380000000002</v>
      </c>
      <c r="T7509">
        <v>-0.49841390000000002</v>
      </c>
      <c r="U7509">
        <v>1.6373139999999999</v>
      </c>
      <c r="V7509">
        <v>0.25175740000000002</v>
      </c>
      <c r="W7509">
        <v>1.9861650000000002E-2</v>
      </c>
      <c r="X7509">
        <v>0.96758659999999996</v>
      </c>
      <c r="Y7509">
        <v>0.49658429999999998</v>
      </c>
      <c r="Z7509">
        <v>-0.15815969999999999</v>
      </c>
      <c r="AA7509">
        <v>0.85345749999999998</v>
      </c>
      <c r="AB7509">
        <v>27</v>
      </c>
      <c r="AC7509">
        <v>5.7766999999999999</v>
      </c>
      <c r="AD7509">
        <v>-1.097757163397</v>
      </c>
      <c r="AE7509">
        <v>3.3816000000000201</v>
      </c>
      <c r="AF7509">
        <v>3.4151524097635302</v>
      </c>
      <c r="AG7509">
        <v>-1.097757163397</v>
      </c>
      <c r="AH7509">
        <v>5.5521107630188</v>
      </c>
      <c r="AI7509">
        <v>99.559461823766</v>
      </c>
      <c r="AJ7509">
        <v>58.403959814859199</v>
      </c>
      <c r="AK7509">
        <v>6.6101641958829003</v>
      </c>
      <c r="AL7509">
        <v>88.861936505711896</v>
      </c>
      <c r="AM7509">
        <v>75.415529565290399</v>
      </c>
      <c r="AN7509">
        <v>1.00000005104752</v>
      </c>
    </row>
    <row r="7510" spans="1:40" x14ac:dyDescent="0.25">
      <c r="A7510" t="str">
        <f>"20190312154444655"</f>
        <v>20190312154444655</v>
      </c>
      <c r="B7510" t="str">
        <f>"1552376684645075"</f>
        <v>1552376684645075</v>
      </c>
      <c r="C7510" t="s">
        <v>40</v>
      </c>
      <c r="D7510">
        <v>5.3660459999999999</v>
      </c>
      <c r="E7510">
        <v>0.61549039999999999</v>
      </c>
      <c r="F7510" t="s">
        <v>69</v>
      </c>
      <c r="G7510">
        <v>-176.72890000000001</v>
      </c>
      <c r="H7510" s="1">
        <v>-8.2064779999999999E-6</v>
      </c>
      <c r="I7510">
        <v>143.5959</v>
      </c>
      <c r="J7510">
        <v>-182.28380000000001</v>
      </c>
      <c r="K7510">
        <v>1.0976129999999999</v>
      </c>
      <c r="L7510">
        <v>140.46039999999999</v>
      </c>
      <c r="M7510">
        <v>0.48622919999999997</v>
      </c>
      <c r="N7510">
        <v>0</v>
      </c>
      <c r="O7510">
        <v>0.873673699999999</v>
      </c>
      <c r="P7510">
        <v>0.68889140000000004</v>
      </c>
      <c r="Q7510">
        <v>9.5094129999999995E-3</v>
      </c>
      <c r="R7510">
        <v>0.72480219999999995</v>
      </c>
      <c r="S7510">
        <v>2.7042540000000002</v>
      </c>
      <c r="T7510">
        <v>-0.52082479999999998</v>
      </c>
      <c r="U7510">
        <v>1.5974120000000001</v>
      </c>
      <c r="V7510">
        <v>0.25015860000000001</v>
      </c>
      <c r="W7510">
        <v>1.7763939999999999E-2</v>
      </c>
      <c r="X7510">
        <v>0.96804190000000001</v>
      </c>
      <c r="Y7510">
        <v>0.49206559999999999</v>
      </c>
      <c r="Z7510">
        <v>-0.16435139999999901</v>
      </c>
      <c r="AA7510">
        <v>0.85490350000000004</v>
      </c>
      <c r="AB7510">
        <v>26</v>
      </c>
      <c r="AC7510">
        <v>5.5548999999999999</v>
      </c>
      <c r="AD7510">
        <v>-1.097621206478</v>
      </c>
      <c r="AE7510">
        <v>3.1355</v>
      </c>
      <c r="AF7510">
        <v>3.2333188963399899</v>
      </c>
      <c r="AG7510">
        <v>-1.097621206478</v>
      </c>
      <c r="AH7510">
        <v>5.2846308975717102</v>
      </c>
      <c r="AI7510">
        <v>100.04684599655999</v>
      </c>
      <c r="AJ7510">
        <v>58.540271646524097</v>
      </c>
      <c r="AK7510">
        <v>6.2917761500159202</v>
      </c>
      <c r="AL7510">
        <v>88.9821476753187</v>
      </c>
      <c r="AM7510">
        <v>75.510766231480204</v>
      </c>
      <c r="AN7510">
        <v>1.0000000014369399</v>
      </c>
    </row>
    <row r="7511" spans="1:40" x14ac:dyDescent="0.25">
      <c r="A7511" t="str">
        <f>"20190312154444678"</f>
        <v>20190312154444678</v>
      </c>
      <c r="B7511" t="str">
        <f>"1552376684664595"</f>
        <v>1552376684664595</v>
      </c>
      <c r="C7511" t="s">
        <v>40</v>
      </c>
      <c r="D7511">
        <v>5.3306329999999997</v>
      </c>
      <c r="E7511">
        <v>0.61418869999999903</v>
      </c>
      <c r="F7511" t="s">
        <v>69</v>
      </c>
      <c r="G7511">
        <v>-176.66030000000001</v>
      </c>
      <c r="H7511" s="1">
        <v>-8.1879369999999995E-6</v>
      </c>
      <c r="I7511">
        <v>143.67070000000001</v>
      </c>
      <c r="J7511">
        <v>-182.13489999999999</v>
      </c>
      <c r="K7511">
        <v>1.0974820000000001</v>
      </c>
      <c r="L7511">
        <v>140.6885</v>
      </c>
      <c r="M7511">
        <v>0.50213379999999996</v>
      </c>
      <c r="N7511">
        <v>0</v>
      </c>
      <c r="O7511">
        <v>0.86462939999999999</v>
      </c>
      <c r="P7511">
        <v>0.70143990000000001</v>
      </c>
      <c r="Q7511">
        <v>9.2151739999999996E-3</v>
      </c>
      <c r="R7511">
        <v>0.712669</v>
      </c>
      <c r="S7511">
        <v>2.7252809999999998</v>
      </c>
      <c r="T7511">
        <v>-0.53192890000000004</v>
      </c>
      <c r="U7511">
        <v>1.5557559999999999</v>
      </c>
      <c r="V7511">
        <v>0.24934139999999999</v>
      </c>
      <c r="W7511">
        <v>1.74898E-2</v>
      </c>
      <c r="X7511">
        <v>0.9682577</v>
      </c>
      <c r="Y7511">
        <v>0.48841289999999998</v>
      </c>
      <c r="Z7511">
        <v>-0.166942799999999</v>
      </c>
      <c r="AA7511">
        <v>0.85649449999999905</v>
      </c>
      <c r="AB7511">
        <v>26</v>
      </c>
      <c r="AC7511">
        <v>5.4745999999999801</v>
      </c>
      <c r="AD7511">
        <v>-1.097490187937</v>
      </c>
      <c r="AE7511">
        <v>2.9822000000000002</v>
      </c>
      <c r="AF7511">
        <v>3.1391970023514899</v>
      </c>
      <c r="AG7511">
        <v>-1.097490187937</v>
      </c>
      <c r="AH7511">
        <v>5.1680525431536104</v>
      </c>
      <c r="AI7511">
        <v>100.287225640453</v>
      </c>
      <c r="AJ7511">
        <v>58.7245174326154</v>
      </c>
      <c r="AK7511">
        <v>6.1455520192239099</v>
      </c>
      <c r="AL7511">
        <v>88.997857179847799</v>
      </c>
      <c r="AM7511">
        <v>75.559200120417898</v>
      </c>
      <c r="AN7511">
        <v>1.00000000023364</v>
      </c>
    </row>
    <row r="7512" spans="1:40" x14ac:dyDescent="0.25">
      <c r="A7512" t="str">
        <f>"20190312154444701"</f>
        <v>20190312154444701</v>
      </c>
      <c r="B7512" t="str">
        <f>"1552376684694851"</f>
        <v>1552376684694851</v>
      </c>
      <c r="C7512" t="s">
        <v>40</v>
      </c>
      <c r="D7512">
        <v>5.167179</v>
      </c>
      <c r="E7512">
        <v>0.61012860000000002</v>
      </c>
      <c r="F7512" t="s">
        <v>69</v>
      </c>
      <c r="G7512">
        <v>-176.51179999999999</v>
      </c>
      <c r="H7512" s="1">
        <v>-8.134706E-6</v>
      </c>
      <c r="I7512">
        <v>143.79169999999999</v>
      </c>
      <c r="J7512">
        <v>-181.97900000000001</v>
      </c>
      <c r="K7512">
        <v>1.097351</v>
      </c>
      <c r="L7512">
        <v>140.9178</v>
      </c>
      <c r="M7512">
        <v>0.51835909999999996</v>
      </c>
      <c r="N7512">
        <v>0</v>
      </c>
      <c r="O7512">
        <v>0.85499939999999996</v>
      </c>
      <c r="P7512">
        <v>0.71399480000000004</v>
      </c>
      <c r="Q7512">
        <v>8.5759549999999997E-3</v>
      </c>
      <c r="R7512">
        <v>0.70009849999999996</v>
      </c>
      <c r="S7512">
        <v>2.744888</v>
      </c>
      <c r="T7512">
        <v>-0.53573859999999995</v>
      </c>
      <c r="U7512">
        <v>1.514832</v>
      </c>
      <c r="V7512">
        <v>0.24826139999999999</v>
      </c>
      <c r="W7512">
        <v>1.6881440000000001E-2</v>
      </c>
      <c r="X7512">
        <v>0.96854600000000002</v>
      </c>
      <c r="Y7512">
        <v>0.48428159999999998</v>
      </c>
      <c r="Z7512">
        <v>-0.16715720000000001</v>
      </c>
      <c r="AA7512">
        <v>0.85879559999999999</v>
      </c>
      <c r="AB7512">
        <v>26</v>
      </c>
      <c r="AC7512">
        <v>5.4672000000000098</v>
      </c>
      <c r="AD7512">
        <v>-1.0973591347060001</v>
      </c>
      <c r="AE7512">
        <v>2.8738999999999901</v>
      </c>
      <c r="AF7512">
        <v>3.0877218522797798</v>
      </c>
      <c r="AG7512">
        <v>-1.0973591347060001</v>
      </c>
      <c r="AH7512">
        <v>5.1299680160366403</v>
      </c>
      <c r="AI7512">
        <v>100.38556227537801</v>
      </c>
      <c r="AJ7512">
        <v>58.956313330130598</v>
      </c>
      <c r="AK7512">
        <v>6.0872649977742697</v>
      </c>
      <c r="AL7512">
        <v>89.032718818021493</v>
      </c>
      <c r="AM7512">
        <v>75.623253015864606</v>
      </c>
      <c r="AN7512">
        <v>1.00000002993121</v>
      </c>
    </row>
    <row r="7513" spans="1:40" x14ac:dyDescent="0.25">
      <c r="A7513" t="str">
        <f>"20190312154444716"</f>
        <v>20190312154444716</v>
      </c>
      <c r="B7513" t="str">
        <f>"1552376684704611"</f>
        <v>1552376684704611</v>
      </c>
      <c r="C7513" t="s">
        <v>40</v>
      </c>
      <c r="D7513">
        <v>5.1930399999999999</v>
      </c>
      <c r="E7513">
        <v>0.6091278</v>
      </c>
      <c r="F7513" t="s">
        <v>69</v>
      </c>
      <c r="G7513">
        <v>-174.5419</v>
      </c>
      <c r="H7513" s="1">
        <v>-7.3516899999999903E-6</v>
      </c>
      <c r="I7513">
        <v>144.93170000000001</v>
      </c>
      <c r="J7513">
        <v>-181.87629999999999</v>
      </c>
      <c r="K7513">
        <v>1.0972630000000001</v>
      </c>
      <c r="L7513">
        <v>141.0633</v>
      </c>
      <c r="M7513">
        <v>0.5287982</v>
      </c>
      <c r="N7513">
        <v>0</v>
      </c>
      <c r="O7513">
        <v>0.84858180000000005</v>
      </c>
      <c r="P7513">
        <v>0.72203519999999999</v>
      </c>
      <c r="Q7513">
        <v>8.4296530000000005E-3</v>
      </c>
      <c r="R7513">
        <v>0.69180489999999994</v>
      </c>
      <c r="S7513">
        <v>2.7508240000000002</v>
      </c>
      <c r="T7513">
        <v>-0.40589389999999997</v>
      </c>
      <c r="U7513">
        <v>1.4846649999999999</v>
      </c>
      <c r="V7513">
        <v>0.24757989999999999</v>
      </c>
      <c r="W7513">
        <v>1.6756050000000001E-2</v>
      </c>
      <c r="X7513">
        <v>0.96872259999999999</v>
      </c>
      <c r="Y7513">
        <v>0.48754900000000001</v>
      </c>
      <c r="Z7513">
        <v>-0.1272703</v>
      </c>
      <c r="AA7513">
        <v>0.86376980000000003</v>
      </c>
      <c r="AB7513">
        <v>26</v>
      </c>
      <c r="AC7513">
        <v>7.33439999999998</v>
      </c>
      <c r="AD7513">
        <v>-1.09727035169</v>
      </c>
      <c r="AE7513">
        <v>3.8683999999999998</v>
      </c>
      <c r="AF7513">
        <v>4.1069083910008501</v>
      </c>
      <c r="AG7513">
        <v>-1.09727035169</v>
      </c>
      <c r="AH7513">
        <v>7.0388241049912903</v>
      </c>
      <c r="AI7513">
        <v>97.668487992921598</v>
      </c>
      <c r="AJ7513">
        <v>59.7379291448892</v>
      </c>
      <c r="AK7513">
        <v>8.2228792729662192</v>
      </c>
      <c r="AL7513">
        <v>89.039904146165696</v>
      </c>
      <c r="AM7513">
        <v>75.663595332657493</v>
      </c>
      <c r="AN7513">
        <v>1.0000000239231801</v>
      </c>
    </row>
    <row r="7514" spans="1:40" x14ac:dyDescent="0.25">
      <c r="A7514" t="str">
        <f>"20190312154444729"</f>
        <v>20190312154444729</v>
      </c>
      <c r="B7514" t="str">
        <f>"1552376684725108"</f>
        <v>1552376684725108</v>
      </c>
      <c r="C7514" t="s">
        <v>40</v>
      </c>
      <c r="D7514">
        <v>5.1819860000000002</v>
      </c>
      <c r="E7514">
        <v>0.60830010000000001</v>
      </c>
      <c r="F7514" t="s">
        <v>69</v>
      </c>
      <c r="G7514">
        <v>-174.79929999999999</v>
      </c>
      <c r="H7514" s="1">
        <v>-7.4236140000000003E-6</v>
      </c>
      <c r="I7514">
        <v>144.80119999999999</v>
      </c>
      <c r="J7514">
        <v>-181.77959999999999</v>
      </c>
      <c r="K7514">
        <v>1.0971850000000001</v>
      </c>
      <c r="L7514">
        <v>141.1977</v>
      </c>
      <c r="M7514">
        <v>0.53849729999999996</v>
      </c>
      <c r="N7514">
        <v>0</v>
      </c>
      <c r="O7514">
        <v>0.84245939999999997</v>
      </c>
      <c r="P7514">
        <v>0.72959830000000003</v>
      </c>
      <c r="Q7514">
        <v>7.8893769999999995E-3</v>
      </c>
      <c r="R7514">
        <v>0.68383050000000001</v>
      </c>
      <c r="S7514">
        <v>2.762146</v>
      </c>
      <c r="T7514">
        <v>-0.42826320000000001</v>
      </c>
      <c r="U7514">
        <v>1.4588779999999999</v>
      </c>
      <c r="V7514">
        <v>0.2471025</v>
      </c>
      <c r="W7514">
        <v>1.6229219999999999E-2</v>
      </c>
      <c r="X7514">
        <v>0.96885339999999998</v>
      </c>
      <c r="Y7514">
        <v>0.48444350000000003</v>
      </c>
      <c r="Z7514">
        <v>-0.1336591</v>
      </c>
      <c r="AA7514">
        <v>0.86455179999999998</v>
      </c>
      <c r="AB7514">
        <v>26</v>
      </c>
      <c r="AC7514">
        <v>6.9802999999999997</v>
      </c>
      <c r="AD7514">
        <v>-1.0971924236139901</v>
      </c>
      <c r="AE7514">
        <v>3.6034999999999902</v>
      </c>
      <c r="AF7514">
        <v>3.8652976156264001</v>
      </c>
      <c r="AG7514">
        <v>-1.0971924236139901</v>
      </c>
      <c r="AH7514">
        <v>6.6656039641395504</v>
      </c>
      <c r="AI7514">
        <v>98.104180930535605</v>
      </c>
      <c r="AJ7514">
        <v>59.891108353975099</v>
      </c>
      <c r="AK7514">
        <v>7.7829707103750501</v>
      </c>
      <c r="AL7514">
        <v>89.070093339045101</v>
      </c>
      <c r="AM7514">
        <v>75.691955959512597</v>
      </c>
      <c r="AN7514">
        <v>0.99999997188980805</v>
      </c>
    </row>
    <row r="7515" spans="1:40" x14ac:dyDescent="0.25">
      <c r="A7515" t="str">
        <f>"20190312154444744"</f>
        <v>20190312154444744</v>
      </c>
      <c r="B7515" t="str">
        <f>"1552376684734867"</f>
        <v>1552376684734867</v>
      </c>
      <c r="C7515" t="s">
        <v>40</v>
      </c>
      <c r="D7515">
        <v>5.197546</v>
      </c>
      <c r="E7515">
        <v>0.60811359999999903</v>
      </c>
      <c r="F7515" t="s">
        <v>69</v>
      </c>
      <c r="G7515">
        <v>-175.11240000000001</v>
      </c>
      <c r="H7515" s="1">
        <v>-7.5390679999999902E-6</v>
      </c>
      <c r="I7515">
        <v>144.64340000000001</v>
      </c>
      <c r="J7515">
        <v>-181.66540000000001</v>
      </c>
      <c r="K7515">
        <v>1.0971</v>
      </c>
      <c r="L7515">
        <v>141.35120000000001</v>
      </c>
      <c r="M7515">
        <v>0.54972619999999905</v>
      </c>
      <c r="N7515">
        <v>0</v>
      </c>
      <c r="O7515">
        <v>0.83517459999999899</v>
      </c>
      <c r="P7515">
        <v>0.73885199999999995</v>
      </c>
      <c r="Q7515">
        <v>7.5121479999999997E-3</v>
      </c>
      <c r="R7515">
        <v>0.67382600000000004</v>
      </c>
      <c r="S7515">
        <v>2.7733919999999999</v>
      </c>
      <c r="T7515">
        <v>-0.45640579999999997</v>
      </c>
      <c r="U7515">
        <v>1.433319</v>
      </c>
      <c r="V7515">
        <v>0.24732970000000001</v>
      </c>
      <c r="W7515">
        <v>1.584112E-2</v>
      </c>
      <c r="X7515">
        <v>0.96880189999999999</v>
      </c>
      <c r="Y7515">
        <v>0.47931669999999998</v>
      </c>
      <c r="Z7515">
        <v>-0.14151759999999999</v>
      </c>
      <c r="AA7515">
        <v>0.86615719999999996</v>
      </c>
      <c r="AB7515">
        <v>26</v>
      </c>
      <c r="AC7515">
        <v>6.5529999999999902</v>
      </c>
      <c r="AD7515">
        <v>-1.0971075390680001</v>
      </c>
      <c r="AE7515">
        <v>3.2921999999999998</v>
      </c>
      <c r="AF7515">
        <v>3.5834123091348502</v>
      </c>
      <c r="AG7515">
        <v>-1.0971075390680001</v>
      </c>
      <c r="AH7515">
        <v>6.2137529436248</v>
      </c>
      <c r="AI7515">
        <v>98.696004855195596</v>
      </c>
      <c r="AJ7515">
        <v>60.028359473193902</v>
      </c>
      <c r="AK7515">
        <v>7.2563912776217396</v>
      </c>
      <c r="AL7515">
        <v>89.092332736234496</v>
      </c>
      <c r="AM7515">
        <v>75.678611247015496</v>
      </c>
      <c r="AN7515">
        <v>1.0000000215142699</v>
      </c>
    </row>
    <row r="7516" spans="1:40" x14ac:dyDescent="0.25">
      <c r="A7516" t="str">
        <f>"20190312154444757"</f>
        <v>20190312154444757</v>
      </c>
      <c r="B7516" t="str">
        <f>"1552376684745605"</f>
        <v>1552376684745605</v>
      </c>
      <c r="C7516" t="s">
        <v>40</v>
      </c>
      <c r="D7516">
        <v>5.2534700000000001</v>
      </c>
      <c r="E7516">
        <v>0.60798660000000004</v>
      </c>
      <c r="F7516" t="s">
        <v>69</v>
      </c>
      <c r="G7516">
        <v>-175.0898</v>
      </c>
      <c r="H7516" s="1">
        <v>-7.5234519999999903E-6</v>
      </c>
      <c r="I7516">
        <v>144.63849999999999</v>
      </c>
      <c r="J7516">
        <v>-181.57550000000001</v>
      </c>
      <c r="K7516">
        <v>1.097032</v>
      </c>
      <c r="L7516">
        <v>141.46850000000001</v>
      </c>
      <c r="M7516">
        <v>0.55840809999999996</v>
      </c>
      <c r="N7516">
        <v>0</v>
      </c>
      <c r="O7516">
        <v>0.82939399999999996</v>
      </c>
      <c r="P7516">
        <v>0.7460234</v>
      </c>
      <c r="Q7516">
        <v>7.8986990000000003E-3</v>
      </c>
      <c r="R7516">
        <v>0.66587289999999999</v>
      </c>
      <c r="S7516">
        <v>2.792068</v>
      </c>
      <c r="T7516">
        <v>-0.46584510000000001</v>
      </c>
      <c r="U7516">
        <v>1.395859</v>
      </c>
      <c r="V7516">
        <v>0.2476138</v>
      </c>
      <c r="W7516">
        <v>1.6216350000000001E-2</v>
      </c>
      <c r="X7516">
        <v>0.96872309999999995</v>
      </c>
      <c r="Y7516">
        <v>0.48140430000000001</v>
      </c>
      <c r="Z7516">
        <v>-0.1440015</v>
      </c>
      <c r="AA7516">
        <v>0.86458860000000004</v>
      </c>
      <c r="AB7516">
        <v>26</v>
      </c>
      <c r="AC7516">
        <v>6.4856999999999996</v>
      </c>
      <c r="AD7516">
        <v>-1.0970395234520001</v>
      </c>
      <c r="AE7516">
        <v>3.1699999999999799</v>
      </c>
      <c r="AF7516">
        <v>3.5280859997622498</v>
      </c>
      <c r="AG7516">
        <v>-1.0970395234520001</v>
      </c>
      <c r="AH7516">
        <v>6.1106224768960802</v>
      </c>
      <c r="AI7516">
        <v>98.837374207789097</v>
      </c>
      <c r="AJ7516">
        <v>59.999180968192697</v>
      </c>
      <c r="AK7516">
        <v>7.1407698179455297</v>
      </c>
      <c r="AL7516">
        <v>89.070830862839799</v>
      </c>
      <c r="AM7516">
        <v>75.661720339612302</v>
      </c>
      <c r="AN7516">
        <v>1.00000000421568</v>
      </c>
    </row>
    <row r="7517" spans="1:40" x14ac:dyDescent="0.25">
      <c r="A7517" t="str">
        <f>"20190312154444770"</f>
        <v>20190312154444770</v>
      </c>
      <c r="B7517" t="str">
        <f>"1552376684765123"</f>
        <v>1552376684765123</v>
      </c>
      <c r="C7517" t="s">
        <v>40</v>
      </c>
      <c r="D7517">
        <v>5.1601410000000003</v>
      </c>
      <c r="E7517">
        <v>0.60615280000000005</v>
      </c>
      <c r="F7517" t="s">
        <v>69</v>
      </c>
      <c r="G7517">
        <v>-175.0943</v>
      </c>
      <c r="H7517" s="1">
        <v>-7.5219519999999997E-6</v>
      </c>
      <c r="I7517">
        <v>144.62530000000001</v>
      </c>
      <c r="J7517">
        <v>-181.4828</v>
      </c>
      <c r="K7517">
        <v>1.096965</v>
      </c>
      <c r="L7517">
        <v>141.58789999999999</v>
      </c>
      <c r="M7517">
        <v>0.56726460000000001</v>
      </c>
      <c r="N7517">
        <v>0</v>
      </c>
      <c r="O7517">
        <v>0.82336129999999996</v>
      </c>
      <c r="P7517">
        <v>0.75335289999999999</v>
      </c>
      <c r="Q7517">
        <v>7.836361E-3</v>
      </c>
      <c r="R7517">
        <v>0.65756990000000004</v>
      </c>
      <c r="S7517">
        <v>2.8063199999999999</v>
      </c>
      <c r="T7517">
        <v>-0.47500910000000002</v>
      </c>
      <c r="U7517">
        <v>1.3668670000000001</v>
      </c>
      <c r="V7517">
        <v>0.2479625</v>
      </c>
      <c r="W7517">
        <v>1.6140060000000001E-2</v>
      </c>
      <c r="X7517">
        <v>0.96863520000000003</v>
      </c>
      <c r="Y7517">
        <v>0.48061739999999997</v>
      </c>
      <c r="Z7517">
        <v>-0.14619209999999999</v>
      </c>
      <c r="AA7517">
        <v>0.86465879999999995</v>
      </c>
      <c r="AB7517">
        <v>26</v>
      </c>
      <c r="AC7517">
        <v>6.3884999999999899</v>
      </c>
      <c r="AD7517">
        <v>-1.0969725219519999</v>
      </c>
      <c r="AE7517">
        <v>3.0374000000000101</v>
      </c>
      <c r="AF7517">
        <v>3.4544676852654299</v>
      </c>
      <c r="AG7517">
        <v>-1.0969725219519999</v>
      </c>
      <c r="AH7517">
        <v>5.9818726052704196</v>
      </c>
      <c r="AI7517">
        <v>99.023482479192197</v>
      </c>
      <c r="AJ7517">
        <v>59.994024070516602</v>
      </c>
      <c r="AK7517">
        <v>6.9942473196295802</v>
      </c>
      <c r="AL7517">
        <v>89.075202550884498</v>
      </c>
      <c r="AM7517">
        <v>75.641113733250705</v>
      </c>
      <c r="AN7517">
        <v>1.0000000268110401</v>
      </c>
    </row>
    <row r="7518" spans="1:40" x14ac:dyDescent="0.25">
      <c r="A7518" t="str">
        <f>"20190312154444781"</f>
        <v>20190312154444781</v>
      </c>
      <c r="B7518" t="str">
        <f>"1552376684774883"</f>
        <v>1552376684774883</v>
      </c>
      <c r="C7518" t="s">
        <v>40</v>
      </c>
      <c r="D7518">
        <v>5.1457689999999996</v>
      </c>
      <c r="E7518">
        <v>0.6052476</v>
      </c>
      <c r="F7518" t="s">
        <v>69</v>
      </c>
      <c r="G7518">
        <v>-175.0077</v>
      </c>
      <c r="H7518" s="1">
        <v>-7.4891360000000002E-6</v>
      </c>
      <c r="I7518">
        <v>144.69059999999999</v>
      </c>
      <c r="J7518">
        <v>-181.3896</v>
      </c>
      <c r="K7518">
        <v>1.096903</v>
      </c>
      <c r="L7518">
        <v>141.70429999999999</v>
      </c>
      <c r="M7518">
        <v>0.57600560000000001</v>
      </c>
      <c r="N7518">
        <v>0</v>
      </c>
      <c r="O7518">
        <v>0.81726940000000003</v>
      </c>
      <c r="P7518">
        <v>0.76078900000000005</v>
      </c>
      <c r="Q7518">
        <v>7.6429159999999996E-3</v>
      </c>
      <c r="R7518">
        <v>0.64895419999999904</v>
      </c>
      <c r="S7518">
        <v>2.81134</v>
      </c>
      <c r="T7518">
        <v>-0.47628090000000001</v>
      </c>
      <c r="U7518">
        <v>1.347092</v>
      </c>
      <c r="V7518">
        <v>0.24866250000000001</v>
      </c>
      <c r="W7518">
        <v>1.5920750000000001E-2</v>
      </c>
      <c r="X7518">
        <v>0.96845930000000002</v>
      </c>
      <c r="Y7518">
        <v>0.47682959999999902</v>
      </c>
      <c r="Z7518">
        <v>-0.14599000000000001</v>
      </c>
      <c r="AA7518">
        <v>0.86678739999999999</v>
      </c>
      <c r="AB7518">
        <v>26</v>
      </c>
      <c r="AC7518">
        <v>6.3818999999999999</v>
      </c>
      <c r="AD7518">
        <v>-1.096910489136</v>
      </c>
      <c r="AE7518">
        <v>2.9863</v>
      </c>
      <c r="AF7518">
        <v>3.4133848229553001</v>
      </c>
      <c r="AG7518">
        <v>-1.096910489136</v>
      </c>
      <c r="AH7518">
        <v>5.9727507848637398</v>
      </c>
      <c r="AI7518">
        <v>99.059580888834404</v>
      </c>
      <c r="AJ7518">
        <v>60.252339159737801</v>
      </c>
      <c r="AK7518">
        <v>6.9662156519051797</v>
      </c>
      <c r="AL7518">
        <v>89.087769644099097</v>
      </c>
      <c r="AM7518">
        <v>75.599754957088706</v>
      </c>
      <c r="AN7518">
        <v>0.99999996247165002</v>
      </c>
    </row>
    <row r="7519" spans="1:40" x14ac:dyDescent="0.25">
      <c r="A7519" t="str">
        <f>"20190312154444793"</f>
        <v>20190312154444793</v>
      </c>
      <c r="B7519" t="str">
        <f>"1552376684785618"</f>
        <v>1552376684785618</v>
      </c>
      <c r="C7519" t="s">
        <v>40</v>
      </c>
      <c r="D7519">
        <v>5.1891829999999999</v>
      </c>
      <c r="E7519">
        <v>0.60455899999999996</v>
      </c>
      <c r="F7519" t="s">
        <v>69</v>
      </c>
      <c r="G7519">
        <v>-174.9564</v>
      </c>
      <c r="H7519" s="1">
        <v>-7.4653819999999996E-6</v>
      </c>
      <c r="I7519">
        <v>144.715</v>
      </c>
      <c r="J7519">
        <v>-181.30600000000001</v>
      </c>
      <c r="K7519">
        <v>1.096846</v>
      </c>
      <c r="L7519">
        <v>141.80680000000001</v>
      </c>
      <c r="M7519">
        <v>0.58374530000000002</v>
      </c>
      <c r="N7519">
        <v>0</v>
      </c>
      <c r="O7519">
        <v>0.81175850000000005</v>
      </c>
      <c r="P7519">
        <v>0.76752159999999903</v>
      </c>
      <c r="Q7519">
        <v>7.2939509999999999E-3</v>
      </c>
      <c r="R7519">
        <v>0.64098180000000005</v>
      </c>
      <c r="S7519">
        <v>2.8216709999999998</v>
      </c>
      <c r="T7519">
        <v>-0.48111920000000002</v>
      </c>
      <c r="U7519">
        <v>1.320557</v>
      </c>
      <c r="V7519">
        <v>0.24955720000000001</v>
      </c>
      <c r="W7519">
        <v>1.553885E-2</v>
      </c>
      <c r="X7519">
        <v>0.96823539999999997</v>
      </c>
      <c r="Y7519">
        <v>0.47621350000000001</v>
      </c>
      <c r="Z7519">
        <v>-0.14697560000000001</v>
      </c>
      <c r="AA7519">
        <v>0.86695959999999905</v>
      </c>
      <c r="AB7519">
        <v>26</v>
      </c>
      <c r="AC7519">
        <v>6.3495999999999801</v>
      </c>
      <c r="AD7519">
        <v>-1.0968534653819999</v>
      </c>
      <c r="AE7519">
        <v>2.9081999999999901</v>
      </c>
      <c r="AF7519">
        <v>3.3739717240250902</v>
      </c>
      <c r="AG7519">
        <v>-1.0968534653819999</v>
      </c>
      <c r="AH7519">
        <v>5.9221088446172097</v>
      </c>
      <c r="AI7519">
        <v>99.1421228944604</v>
      </c>
      <c r="AJ7519">
        <v>60.328766392970898</v>
      </c>
      <c r="AK7519">
        <v>6.9034879507778397</v>
      </c>
      <c r="AL7519">
        <v>89.109653662755804</v>
      </c>
      <c r="AM7519">
        <v>75.546906219772197</v>
      </c>
      <c r="AN7519">
        <v>1.00000002087216</v>
      </c>
    </row>
    <row r="7520" spans="1:40" x14ac:dyDescent="0.25">
      <c r="A7520" t="str">
        <f>"20190312154444812"</f>
        <v>20190312154444812</v>
      </c>
      <c r="B7520" t="str">
        <f>"1552376684805139"</f>
        <v>1552376684805139</v>
      </c>
      <c r="C7520" t="s">
        <v>40</v>
      </c>
      <c r="D7520">
        <v>5.3068619999999997</v>
      </c>
      <c r="E7520">
        <v>0.60454629999999998</v>
      </c>
      <c r="F7520" t="s">
        <v>69</v>
      </c>
      <c r="G7520">
        <v>-174.9057</v>
      </c>
      <c r="H7520" s="1">
        <v>-7.4489720000000002E-6</v>
      </c>
      <c r="I7520">
        <v>144.7337</v>
      </c>
      <c r="J7520">
        <v>-181.15860000000001</v>
      </c>
      <c r="K7520">
        <v>1.0967549999999999</v>
      </c>
      <c r="L7520">
        <v>141.98259999999999</v>
      </c>
      <c r="M7520">
        <v>0.59713819999999995</v>
      </c>
      <c r="N7520">
        <v>0</v>
      </c>
      <c r="O7520">
        <v>0.80195669999999897</v>
      </c>
      <c r="P7520">
        <v>0.77884219999999904</v>
      </c>
      <c r="Q7520">
        <v>6.4906E-3</v>
      </c>
      <c r="R7520">
        <v>0.62718640000000003</v>
      </c>
      <c r="S7520">
        <v>2.8318020000000002</v>
      </c>
      <c r="T7520">
        <v>-0.48530709999999999</v>
      </c>
      <c r="U7520">
        <v>1.2950440000000001</v>
      </c>
      <c r="V7520">
        <v>0.25074400000000002</v>
      </c>
      <c r="W7520">
        <v>1.4693029999999999E-2</v>
      </c>
      <c r="X7520">
        <v>0.96794190000000002</v>
      </c>
      <c r="Y7520">
        <v>0.46920899999999999</v>
      </c>
      <c r="Z7520">
        <v>-0.14693709999999999</v>
      </c>
      <c r="AA7520">
        <v>0.87077689999999996</v>
      </c>
      <c r="AB7520">
        <v>26</v>
      </c>
      <c r="AC7520">
        <v>6.2529000000000101</v>
      </c>
      <c r="AD7520">
        <v>-1.09676244897199</v>
      </c>
      <c r="AE7520">
        <v>2.7511000000000001</v>
      </c>
      <c r="AF7520">
        <v>3.2875210286358598</v>
      </c>
      <c r="AG7520">
        <v>-1.09676244897199</v>
      </c>
      <c r="AH7520">
        <v>5.7916887653360298</v>
      </c>
      <c r="AI7520">
        <v>99.351911701501393</v>
      </c>
      <c r="AJ7520">
        <v>60.419570042500297</v>
      </c>
      <c r="AK7520">
        <v>6.7493956127728696</v>
      </c>
      <c r="AL7520">
        <v>89.158121082712398</v>
      </c>
      <c r="AM7520">
        <v>75.476854870351005</v>
      </c>
      <c r="AN7520">
        <v>0.99999998022109504</v>
      </c>
    </row>
    <row r="7521" spans="1:40" x14ac:dyDescent="0.25">
      <c r="A7521" t="str">
        <f>"20190312154444823"</f>
        <v>20190312154444823</v>
      </c>
      <c r="B7521" t="str">
        <f>"1552376684814898"</f>
        <v>1552376684814898</v>
      </c>
      <c r="C7521" t="s">
        <v>40</v>
      </c>
      <c r="D7521">
        <v>5.1595180000000003</v>
      </c>
      <c r="E7521">
        <v>0.60782230000000004</v>
      </c>
      <c r="F7521" t="s">
        <v>69</v>
      </c>
      <c r="G7521">
        <v>-174.62629999999999</v>
      </c>
      <c r="H7521" s="1">
        <v>-7.3558459999999999E-6</v>
      </c>
      <c r="I7521">
        <v>144.8289</v>
      </c>
      <c r="J7521">
        <v>-181.06739999999999</v>
      </c>
      <c r="K7521">
        <v>1.0967020000000001</v>
      </c>
      <c r="L7521">
        <v>142.08840000000001</v>
      </c>
      <c r="M7521">
        <v>0.60526919999999995</v>
      </c>
      <c r="N7521">
        <v>0</v>
      </c>
      <c r="O7521">
        <v>0.79583709999999996</v>
      </c>
      <c r="P7521">
        <v>0.78572989999999998</v>
      </c>
      <c r="Q7521">
        <v>6.6210319999999998E-3</v>
      </c>
      <c r="R7521">
        <v>0.61853419999999903</v>
      </c>
      <c r="S7521">
        <v>2.8543240000000001</v>
      </c>
      <c r="T7521">
        <v>-0.4792342</v>
      </c>
      <c r="U7521">
        <v>1.2437129999999901</v>
      </c>
      <c r="V7521">
        <v>0.25160359999999998</v>
      </c>
      <c r="W7521">
        <v>1.479459E-2</v>
      </c>
      <c r="X7521">
        <v>0.9677173</v>
      </c>
      <c r="Y7521">
        <v>0.47621340000000001</v>
      </c>
      <c r="Z7521">
        <v>-0.1449271</v>
      </c>
      <c r="AA7521">
        <v>0.86730439999999998</v>
      </c>
      <c r="AB7521">
        <v>26</v>
      </c>
      <c r="AC7521">
        <v>6.4410999999999996</v>
      </c>
      <c r="AD7521">
        <v>-1.0967093558459999</v>
      </c>
      <c r="AE7521">
        <v>2.7404999999999902</v>
      </c>
      <c r="AF7521">
        <v>3.3847469138462598</v>
      </c>
      <c r="AG7521">
        <v>-1.0967093558459999</v>
      </c>
      <c r="AH7521">
        <v>5.9347971100858601</v>
      </c>
      <c r="AI7521">
        <v>99.119422743544504</v>
      </c>
      <c r="AJ7521">
        <v>60.302925405361897</v>
      </c>
      <c r="AK7521">
        <v>6.9196170284110003</v>
      </c>
      <c r="AL7521">
        <v>89.152301517664398</v>
      </c>
      <c r="AM7521">
        <v>75.425944519865297</v>
      </c>
      <c r="AN7521">
        <v>1.0000000120727499</v>
      </c>
    </row>
    <row r="7522" spans="1:40" x14ac:dyDescent="0.25">
      <c r="A7522" t="str">
        <f>"20190312154444836"</f>
        <v>20190312154444836</v>
      </c>
      <c r="B7522" t="str">
        <f>"1552376684825634"</f>
        <v>1552376684825634</v>
      </c>
      <c r="C7522" t="s">
        <v>40</v>
      </c>
      <c r="D7522">
        <v>5.2495269999999996</v>
      </c>
      <c r="E7522">
        <v>0.60782230000000004</v>
      </c>
      <c r="F7522" t="s">
        <v>69</v>
      </c>
      <c r="G7522">
        <v>-174.6679</v>
      </c>
      <c r="H7522" s="1">
        <v>-7.3430809999999997E-6</v>
      </c>
      <c r="I7522">
        <v>144.73240000000001</v>
      </c>
      <c r="J7522">
        <v>-180.96789999999999</v>
      </c>
      <c r="K7522">
        <v>1.096652</v>
      </c>
      <c r="L7522">
        <v>142.20089999999999</v>
      </c>
      <c r="M7522">
        <v>0.613986699999999</v>
      </c>
      <c r="N7522">
        <v>0</v>
      </c>
      <c r="O7522">
        <v>0.78913029999999995</v>
      </c>
      <c r="P7522">
        <v>0.79315530000000001</v>
      </c>
      <c r="Q7522">
        <v>6.6171789999999999E-3</v>
      </c>
      <c r="R7522">
        <v>0.60898350000000001</v>
      </c>
      <c r="S7522">
        <v>2.8842159999999999</v>
      </c>
      <c r="T7522">
        <v>-0.49428519999999998</v>
      </c>
      <c r="U7522">
        <v>1.191635</v>
      </c>
      <c r="V7522">
        <v>0.25266739999999999</v>
      </c>
      <c r="W7522">
        <v>1.4755020000000001E-2</v>
      </c>
      <c r="X7522">
        <v>0.96744070000000004</v>
      </c>
      <c r="Y7522">
        <v>0.48247810000000002</v>
      </c>
      <c r="Z7522">
        <v>-0.1487425</v>
      </c>
      <c r="AA7522">
        <v>0.86318629999999996</v>
      </c>
      <c r="AB7522">
        <v>26</v>
      </c>
      <c r="AC7522">
        <v>6.2999999999999803</v>
      </c>
      <c r="AD7522">
        <v>-1.0966593430810001</v>
      </c>
      <c r="AE7522">
        <v>2.5315000000000198</v>
      </c>
      <c r="AF7522">
        <v>3.3308179155194999</v>
      </c>
      <c r="AG7522">
        <v>-1.0966593430810001</v>
      </c>
      <c r="AH7522">
        <v>5.7174975871628302</v>
      </c>
      <c r="AI7522">
        <v>99.410358748432301</v>
      </c>
      <c r="AJ7522">
        <v>59.776390011035197</v>
      </c>
      <c r="AK7522">
        <v>6.7072191227307698</v>
      </c>
      <c r="AL7522">
        <v>89.154568963151306</v>
      </c>
      <c r="AM7522">
        <v>75.362959763383301</v>
      </c>
      <c r="AN7522">
        <v>1.0000000168272201</v>
      </c>
    </row>
    <row r="7523" spans="1:40" x14ac:dyDescent="0.25">
      <c r="A7523" t="str">
        <f>"20190312154444848"</f>
        <v>20190312154444848</v>
      </c>
      <c r="B7523" t="str">
        <f>"1552376684845155"</f>
        <v>1552376684845155</v>
      </c>
      <c r="C7523" t="s">
        <v>40</v>
      </c>
      <c r="D7523">
        <v>5.1928029999999996</v>
      </c>
      <c r="E7523">
        <v>0.67457489999999998</v>
      </c>
      <c r="F7523" t="s">
        <v>69</v>
      </c>
      <c r="G7523">
        <v>-174.5317</v>
      </c>
      <c r="H7523" s="1">
        <v>-7.2944869999999996E-6</v>
      </c>
      <c r="I7523">
        <v>144.7689</v>
      </c>
      <c r="J7523">
        <v>-180.87739999999999</v>
      </c>
      <c r="K7523">
        <v>1.096606</v>
      </c>
      <c r="L7523">
        <v>142.3021</v>
      </c>
      <c r="M7523">
        <v>0.62182369999999898</v>
      </c>
      <c r="N7523">
        <v>0</v>
      </c>
      <c r="O7523">
        <v>0.78296909999999997</v>
      </c>
      <c r="P7523">
        <v>0.79964569999999902</v>
      </c>
      <c r="Q7523">
        <v>6.2249640000000004E-3</v>
      </c>
      <c r="R7523">
        <v>0.60043990000000003</v>
      </c>
      <c r="S7523">
        <v>2.898514</v>
      </c>
      <c r="T7523">
        <v>-0.49387419999999999</v>
      </c>
      <c r="U7523">
        <v>1.156479</v>
      </c>
      <c r="V7523">
        <v>0.25339149999999999</v>
      </c>
      <c r="W7523">
        <v>1.433973E-2</v>
      </c>
      <c r="X7523">
        <v>0.96725760000000005</v>
      </c>
      <c r="Y7523">
        <v>0.48434319999999997</v>
      </c>
      <c r="Z7523">
        <v>-0.14809349999999999</v>
      </c>
      <c r="AA7523">
        <v>0.86225289999999999</v>
      </c>
      <c r="AB7523">
        <v>26</v>
      </c>
      <c r="AC7523">
        <v>6.3456999999999901</v>
      </c>
      <c r="AD7523">
        <v>-1.096613294487</v>
      </c>
      <c r="AE7523">
        <v>2.4668000000000001</v>
      </c>
      <c r="AF7523">
        <v>3.3482139778363398</v>
      </c>
      <c r="AG7523">
        <v>-1.096613294487</v>
      </c>
      <c r="AH7523">
        <v>5.7295560621914996</v>
      </c>
      <c r="AI7523">
        <v>99.383255028217107</v>
      </c>
      <c r="AJ7523">
        <v>59.699017933613398</v>
      </c>
      <c r="AK7523">
        <v>6.72613635223221</v>
      </c>
      <c r="AL7523">
        <v>89.178365891049197</v>
      </c>
      <c r="AM7523">
        <v>75.320162949024194</v>
      </c>
      <c r="AN7523">
        <v>1.0000000724432301</v>
      </c>
    </row>
    <row r="7524" spans="1:40" x14ac:dyDescent="0.25">
      <c r="A7524" t="str">
        <f>"20190312154444859"</f>
        <v>20190312154444859</v>
      </c>
      <c r="B7524" t="str">
        <f>"1552376684854916"</f>
        <v>1552376684854916</v>
      </c>
      <c r="C7524" t="s">
        <v>40</v>
      </c>
      <c r="D7524">
        <v>5.3850800000000003</v>
      </c>
      <c r="E7524">
        <v>0.678041</v>
      </c>
      <c r="F7524" t="s">
        <v>69</v>
      </c>
      <c r="G7524">
        <v>-175.1397</v>
      </c>
      <c r="H7524" s="1">
        <v>-7.202291E-6</v>
      </c>
      <c r="I7524">
        <v>143.55000000000001</v>
      </c>
      <c r="J7524">
        <v>-180.77869999999999</v>
      </c>
      <c r="K7524">
        <v>1.0965659999999999</v>
      </c>
      <c r="L7524">
        <v>142.40860000000001</v>
      </c>
      <c r="M7524">
        <v>0.63020520000000002</v>
      </c>
      <c r="N7524">
        <v>0</v>
      </c>
      <c r="O7524">
        <v>0.77623809999999904</v>
      </c>
      <c r="P7524">
        <v>0.80645809999999996</v>
      </c>
      <c r="Q7524">
        <v>5.9646109999999999E-3</v>
      </c>
      <c r="R7524">
        <v>0.59126119999999904</v>
      </c>
      <c r="S7524">
        <v>3.229095</v>
      </c>
      <c r="T7524">
        <v>-0.61715819999999999</v>
      </c>
      <c r="U7524">
        <v>0.7023163</v>
      </c>
      <c r="V7524">
        <v>0.2540424</v>
      </c>
      <c r="W7524">
        <v>1.4061769999999999E-2</v>
      </c>
      <c r="X7524">
        <v>0.96709080000000003</v>
      </c>
      <c r="Y7524">
        <v>0.6047148</v>
      </c>
      <c r="Z7524">
        <v>-0.18272260000000001</v>
      </c>
      <c r="AA7524">
        <v>0.77519839999999995</v>
      </c>
      <c r="AB7524">
        <v>26</v>
      </c>
      <c r="AC7524">
        <v>5.6389999999999798</v>
      </c>
      <c r="AD7524">
        <v>-1.096573202291</v>
      </c>
      <c r="AE7524">
        <v>1.1414</v>
      </c>
      <c r="AF7524">
        <v>3.5301894769150701</v>
      </c>
      <c r="AG7524">
        <v>-1.096573202291</v>
      </c>
      <c r="AH7524">
        <v>4.2847296267946096</v>
      </c>
      <c r="AI7524">
        <v>101.173293372487</v>
      </c>
      <c r="AJ7524">
        <v>50.514884253057502</v>
      </c>
      <c r="AK7524">
        <v>5.6589414651183798</v>
      </c>
      <c r="AL7524">
        <v>89.194293328123194</v>
      </c>
      <c r="AM7524">
        <v>75.281660801685206</v>
      </c>
      <c r="AN7524">
        <v>0.99999994490896404</v>
      </c>
    </row>
    <row r="7525" spans="1:40" x14ac:dyDescent="0.25">
      <c r="A7525" t="str">
        <f>"20190312154444871"</f>
        <v>20190312154444871</v>
      </c>
      <c r="B7525" t="str">
        <f>"1552376684864675"</f>
        <v>1552376684864675</v>
      </c>
      <c r="C7525" t="s">
        <v>40</v>
      </c>
      <c r="D7525">
        <v>5.3342660000000004</v>
      </c>
      <c r="E7525">
        <v>0.6794038</v>
      </c>
      <c r="F7525" t="s">
        <v>69</v>
      </c>
      <c r="G7525">
        <v>-175.33850000000001</v>
      </c>
      <c r="H7525" s="1">
        <v>-7.305232E-6</v>
      </c>
      <c r="I7525">
        <v>143.48570000000001</v>
      </c>
      <c r="J7525">
        <v>-180.6841</v>
      </c>
      <c r="K7525">
        <v>1.0965290000000001</v>
      </c>
      <c r="L7525">
        <v>142.5093</v>
      </c>
      <c r="M7525">
        <v>0.63812650000000004</v>
      </c>
      <c r="N7525">
        <v>0</v>
      </c>
      <c r="O7525">
        <v>0.7697387</v>
      </c>
      <c r="P7525">
        <v>0.81288079999999996</v>
      </c>
      <c r="Q7525">
        <v>5.7836040000000003E-3</v>
      </c>
      <c r="R7525">
        <v>0.58240159999999996</v>
      </c>
      <c r="S7525">
        <v>3.2526700000000002</v>
      </c>
      <c r="T7525">
        <v>-0.65564119999999904</v>
      </c>
      <c r="U7525">
        <v>0.6439819</v>
      </c>
      <c r="V7525">
        <v>0.2547102</v>
      </c>
      <c r="W7525">
        <v>1.3861989999999999E-2</v>
      </c>
      <c r="X7525">
        <v>0.9669181</v>
      </c>
      <c r="Y7525">
        <v>0.60875269999999904</v>
      </c>
      <c r="Z7525">
        <v>-0.19287080000000001</v>
      </c>
      <c r="AA7525">
        <v>0.76955899999999999</v>
      </c>
      <c r="AB7525">
        <v>26</v>
      </c>
      <c r="AC7525">
        <v>5.3455999999999904</v>
      </c>
      <c r="AD7525">
        <v>-1.0965363052320001</v>
      </c>
      <c r="AE7525">
        <v>0.97640000000001204</v>
      </c>
      <c r="AF7525">
        <v>3.3555320273759501</v>
      </c>
      <c r="AG7525">
        <v>-1.0965363052320001</v>
      </c>
      <c r="AH7525">
        <v>4.0004639059786804</v>
      </c>
      <c r="AI7525">
        <v>101.86016272347101</v>
      </c>
      <c r="AJ7525">
        <v>50.010555874392203</v>
      </c>
      <c r="AK7525">
        <v>5.3353255306940603</v>
      </c>
      <c r="AL7525">
        <v>89.205741060181197</v>
      </c>
      <c r="AM7525">
        <v>75.242136401870496</v>
      </c>
      <c r="AN7525">
        <v>1.0000000264291999</v>
      </c>
    </row>
    <row r="7526" spans="1:40" x14ac:dyDescent="0.25">
      <c r="A7526" t="str">
        <f>"20190312154444884"</f>
        <v>20190312154444884</v>
      </c>
      <c r="B7526" t="str">
        <f>"1552376684875412"</f>
        <v>1552376684875412</v>
      </c>
      <c r="C7526" t="s">
        <v>40</v>
      </c>
      <c r="D7526">
        <v>5.1928070000000002</v>
      </c>
      <c r="E7526">
        <v>0.67920709999999995</v>
      </c>
      <c r="F7526" t="s">
        <v>69</v>
      </c>
      <c r="G7526">
        <v>-175.3296</v>
      </c>
      <c r="H7526" s="1">
        <v>-7.3021300000000003E-6</v>
      </c>
      <c r="I7526">
        <v>143.4933</v>
      </c>
      <c r="J7526">
        <v>-180.58369999999999</v>
      </c>
      <c r="K7526">
        <v>1.096506</v>
      </c>
      <c r="L7526">
        <v>142.6138</v>
      </c>
      <c r="M7526">
        <v>0.64640240000000004</v>
      </c>
      <c r="N7526">
        <v>0</v>
      </c>
      <c r="O7526">
        <v>0.76280139999999996</v>
      </c>
      <c r="P7526">
        <v>0.81933250000000002</v>
      </c>
      <c r="Q7526">
        <v>5.1442270000000003E-3</v>
      </c>
      <c r="R7526">
        <v>0.57329549999999996</v>
      </c>
      <c r="S7526">
        <v>3.2653660000000002</v>
      </c>
      <c r="T7526">
        <v>-0.66869709999999905</v>
      </c>
      <c r="U7526">
        <v>0.60008240000000002</v>
      </c>
      <c r="V7526">
        <v>0.25503910000000002</v>
      </c>
      <c r="W7526">
        <v>1.321832E-2</v>
      </c>
      <c r="X7526">
        <v>0.96684040000000004</v>
      </c>
      <c r="Y7526">
        <v>0.61009250000000004</v>
      </c>
      <c r="Z7526">
        <v>-0.1957151</v>
      </c>
      <c r="AA7526">
        <v>0.76777769999999901</v>
      </c>
      <c r="AB7526">
        <v>26</v>
      </c>
      <c r="AC7526">
        <v>5.2540999999999896</v>
      </c>
      <c r="AD7526">
        <v>-1.09651330213</v>
      </c>
      <c r="AE7526">
        <v>0.87950000000000705</v>
      </c>
      <c r="AF7526">
        <v>3.3000237851221899</v>
      </c>
      <c r="AG7526">
        <v>-1.09651330213</v>
      </c>
      <c r="AH7526">
        <v>3.90241834681999</v>
      </c>
      <c r="AI7526">
        <v>102.109420600927</v>
      </c>
      <c r="AJ7526">
        <v>49.780950963636698</v>
      </c>
      <c r="AK7526">
        <v>5.2269845377346904</v>
      </c>
      <c r="AL7526">
        <v>89.242624005051695</v>
      </c>
      <c r="AM7526">
        <v>75.222777744040201</v>
      </c>
      <c r="AN7526">
        <v>1.0000000127922899</v>
      </c>
    </row>
    <row r="7527" spans="1:40" x14ac:dyDescent="0.25">
      <c r="A7527" t="str">
        <f>"20190312154444895"</f>
        <v>20190312154444895</v>
      </c>
      <c r="B7527" t="str">
        <f>"1552376684885171"</f>
        <v>1552376684885171</v>
      </c>
      <c r="C7527" t="s">
        <v>40</v>
      </c>
      <c r="D7527">
        <v>5.4146150000000004</v>
      </c>
      <c r="E7527">
        <v>0.67968850000000003</v>
      </c>
      <c r="F7527" t="s">
        <v>69</v>
      </c>
      <c r="G7527">
        <v>-175.2021</v>
      </c>
      <c r="H7527" s="1">
        <v>-7.2387309999999996E-6</v>
      </c>
      <c r="I7527">
        <v>143.5427</v>
      </c>
      <c r="J7527">
        <v>-180.48089999999999</v>
      </c>
      <c r="K7527">
        <v>1.096481</v>
      </c>
      <c r="L7527">
        <v>142.71799999999999</v>
      </c>
      <c r="M7527">
        <v>0.65471599999999996</v>
      </c>
      <c r="N7527">
        <v>0</v>
      </c>
      <c r="O7527">
        <v>0.7556773</v>
      </c>
      <c r="P7527">
        <v>0.82563519999999901</v>
      </c>
      <c r="Q7527">
        <v>5.2327909999999997E-3</v>
      </c>
      <c r="R7527">
        <v>0.56418009999999996</v>
      </c>
      <c r="S7527">
        <v>3.2706909999999998</v>
      </c>
      <c r="T7527">
        <v>-0.66641450000000002</v>
      </c>
      <c r="U7527">
        <v>0.56452939999999996</v>
      </c>
      <c r="V7527">
        <v>0.25517139999999999</v>
      </c>
      <c r="W7527">
        <v>1.3312249999999999E-2</v>
      </c>
      <c r="X7527">
        <v>0.9668042</v>
      </c>
      <c r="Y7527">
        <v>0.61010279999999995</v>
      </c>
      <c r="Z7527">
        <v>-0.19429879999999999</v>
      </c>
      <c r="AA7527">
        <v>0.76812930000000001</v>
      </c>
      <c r="AB7527">
        <v>26</v>
      </c>
      <c r="AC7527">
        <v>5.2787999999999897</v>
      </c>
      <c r="AD7527">
        <v>-1.096488238731</v>
      </c>
      <c r="AE7527">
        <v>0.82470000000000698</v>
      </c>
      <c r="AF7527">
        <v>3.3102214491563302</v>
      </c>
      <c r="AG7527">
        <v>-1.096488238731</v>
      </c>
      <c r="AH7527">
        <v>3.9150389268022199</v>
      </c>
      <c r="AI7527">
        <v>102.071963971128</v>
      </c>
      <c r="AJ7527">
        <v>49.785002183069302</v>
      </c>
      <c r="AK7527">
        <v>5.2428410521878996</v>
      </c>
      <c r="AL7527">
        <v>89.237241737041998</v>
      </c>
      <c r="AM7527">
        <v>75.214918508587999</v>
      </c>
      <c r="AN7527">
        <v>1.0000000102578299</v>
      </c>
    </row>
    <row r="7528" spans="1:40" x14ac:dyDescent="0.25">
      <c r="A7528" t="str">
        <f>"20190312154444910"</f>
        <v>20190312154444910</v>
      </c>
      <c r="B7528" t="str">
        <f>"1552376684905667"</f>
        <v>1552376684905667</v>
      </c>
      <c r="C7528" t="s">
        <v>40</v>
      </c>
      <c r="D7528">
        <v>5.2857240000000001</v>
      </c>
      <c r="E7528">
        <v>0.6790448</v>
      </c>
      <c r="F7528" t="s">
        <v>69</v>
      </c>
      <c r="G7528">
        <v>-175.20140000000001</v>
      </c>
      <c r="H7528" s="1">
        <v>-7.2449469999999899E-6</v>
      </c>
      <c r="I7528">
        <v>143.56319999999999</v>
      </c>
      <c r="J7528">
        <v>-180.36189999999999</v>
      </c>
      <c r="K7528">
        <v>1.096457</v>
      </c>
      <c r="L7528">
        <v>142.8366</v>
      </c>
      <c r="M7528">
        <v>0.66418180000000004</v>
      </c>
      <c r="N7528">
        <v>0</v>
      </c>
      <c r="O7528">
        <v>0.7473706</v>
      </c>
      <c r="P7528">
        <v>0.83248199999999895</v>
      </c>
      <c r="Q7528">
        <v>5.6273290000000004E-3</v>
      </c>
      <c r="R7528">
        <v>0.55402359999999995</v>
      </c>
      <c r="S7528">
        <v>3.2791600000000001</v>
      </c>
      <c r="T7528">
        <v>-0.68104330000000002</v>
      </c>
      <c r="U7528">
        <v>0.52494810000000003</v>
      </c>
      <c r="V7528">
        <v>0.2548512</v>
      </c>
      <c r="W7528">
        <v>1.37322999999999E-2</v>
      </c>
      <c r="X7528">
        <v>0.96688280000000004</v>
      </c>
      <c r="Y7528">
        <v>0.60877539999999997</v>
      </c>
      <c r="Z7528">
        <v>-0.1972362</v>
      </c>
      <c r="AA7528">
        <v>0.7684337</v>
      </c>
      <c r="AB7528">
        <v>26</v>
      </c>
      <c r="AC7528">
        <v>5.1604999999999803</v>
      </c>
      <c r="AD7528">
        <v>-1.0964642449469999</v>
      </c>
      <c r="AE7528">
        <v>0.72659999999999003</v>
      </c>
      <c r="AF7528">
        <v>3.2316613891655801</v>
      </c>
      <c r="AG7528">
        <v>-1.0964642449469999</v>
      </c>
      <c r="AH7528">
        <v>3.8028061001167202</v>
      </c>
      <c r="AI7528">
        <v>102.39161427767399</v>
      </c>
      <c r="AJ7528">
        <v>49.641795065956103</v>
      </c>
      <c r="AK7528">
        <v>5.1095208591174002</v>
      </c>
      <c r="AL7528">
        <v>89.213172459465099</v>
      </c>
      <c r="AM7528">
        <v>75.233808209077395</v>
      </c>
      <c r="AN7528">
        <v>1.00000002957028</v>
      </c>
    </row>
    <row r="7529" spans="1:40" x14ac:dyDescent="0.25">
      <c r="A7529" t="str">
        <f>"20190312154444926"</f>
        <v>20190312154444926</v>
      </c>
      <c r="B7529" t="str">
        <f>"1552376684915427"</f>
        <v>1552376684915427</v>
      </c>
      <c r="C7529" t="s">
        <v>40</v>
      </c>
      <c r="D7529">
        <v>5.2136750000000003</v>
      </c>
      <c r="E7529">
        <v>0.67842979999999997</v>
      </c>
      <c r="F7529" t="s">
        <v>69</v>
      </c>
      <c r="G7529">
        <v>-175.1748</v>
      </c>
      <c r="H7529" s="1">
        <v>-7.2433639999999998E-6</v>
      </c>
      <c r="I7529">
        <v>143.6095</v>
      </c>
      <c r="J7529">
        <v>-180.22839999999999</v>
      </c>
      <c r="K7529">
        <v>1.0964449999999999</v>
      </c>
      <c r="L7529">
        <v>142.96559999999999</v>
      </c>
      <c r="M7529">
        <v>0.67456099999999997</v>
      </c>
      <c r="N7529">
        <v>0</v>
      </c>
      <c r="O7529">
        <v>0.73801519999999898</v>
      </c>
      <c r="P7529">
        <v>0.83954249999999997</v>
      </c>
      <c r="Q7529">
        <v>6.1693360000000001E-3</v>
      </c>
      <c r="R7529">
        <v>0.54325900000000005</v>
      </c>
      <c r="S7529">
        <v>3.2828369999999998</v>
      </c>
      <c r="T7529">
        <v>-0.69393549999999904</v>
      </c>
      <c r="U7529">
        <v>0.489151</v>
      </c>
      <c r="V7529">
        <v>0.25380550000000002</v>
      </c>
      <c r="W7529">
        <v>1.4331150000000001E-2</v>
      </c>
      <c r="X7529">
        <v>0.96714909999999998</v>
      </c>
      <c r="Y7529">
        <v>0.60543789999999997</v>
      </c>
      <c r="Z7529">
        <v>-0.19949249999999999</v>
      </c>
      <c r="AA7529">
        <v>0.77048539999999999</v>
      </c>
      <c r="AB7529">
        <v>26</v>
      </c>
      <c r="AC7529">
        <v>5.0535999999999799</v>
      </c>
      <c r="AD7529">
        <v>-1.096452243364</v>
      </c>
      <c r="AE7529">
        <v>0.64390000000000203</v>
      </c>
      <c r="AF7529">
        <v>3.1498726381565398</v>
      </c>
      <c r="AG7529">
        <v>-1.096452243364</v>
      </c>
      <c r="AH7529">
        <v>3.7127725214817699</v>
      </c>
      <c r="AI7529">
        <v>102.690971542312</v>
      </c>
      <c r="AJ7529">
        <v>49.689117468114198</v>
      </c>
      <c r="AK7529">
        <v>4.9908501234614597</v>
      </c>
      <c r="AL7529">
        <v>89.178857477911095</v>
      </c>
      <c r="AM7529">
        <v>75.295638890422893</v>
      </c>
      <c r="AN7529">
        <v>0.99999999766069103</v>
      </c>
    </row>
    <row r="7530" spans="1:40" x14ac:dyDescent="0.25">
      <c r="A7530" t="str">
        <f>"20190312154444941"</f>
        <v>20190312154444941</v>
      </c>
      <c r="B7530" t="str">
        <f>"1552376684934947"</f>
        <v>1552376684934947</v>
      </c>
      <c r="C7530" t="s">
        <v>40</v>
      </c>
      <c r="D7530">
        <v>5.2213129999999897</v>
      </c>
      <c r="E7530">
        <v>0.67645429999999995</v>
      </c>
      <c r="F7530" t="s">
        <v>69</v>
      </c>
      <c r="G7530">
        <v>-175.02260000000001</v>
      </c>
      <c r="H7530" s="1">
        <v>-7.1711020000000003E-6</v>
      </c>
      <c r="I7530">
        <v>143.679</v>
      </c>
      <c r="J7530">
        <v>-180.09219999999999</v>
      </c>
      <c r="K7530">
        <v>1.096438</v>
      </c>
      <c r="L7530">
        <v>143.09309999999999</v>
      </c>
      <c r="M7530">
        <v>0.68489160000000004</v>
      </c>
      <c r="N7530">
        <v>0</v>
      </c>
      <c r="O7530">
        <v>0.72843780000000002</v>
      </c>
      <c r="P7530">
        <v>0.84681989999999996</v>
      </c>
      <c r="Q7530">
        <v>7.0412369999999997E-3</v>
      </c>
      <c r="R7530">
        <v>0.53183319999999901</v>
      </c>
      <c r="S7530">
        <v>3.2870029999999999</v>
      </c>
      <c r="T7530">
        <v>-0.69231709999999902</v>
      </c>
      <c r="U7530">
        <v>0.4504242</v>
      </c>
      <c r="V7530">
        <v>0.25331049999999999</v>
      </c>
      <c r="W7530">
        <v>1.524038E-2</v>
      </c>
      <c r="X7530">
        <v>0.96726500000000004</v>
      </c>
      <c r="Y7530">
        <v>0.60372250000000005</v>
      </c>
      <c r="Z7530">
        <v>-0.19772780000000001</v>
      </c>
      <c r="AA7530">
        <v>0.77228430000000003</v>
      </c>
      <c r="AB7530">
        <v>26</v>
      </c>
      <c r="AC7530">
        <v>5.0695999999999799</v>
      </c>
      <c r="AD7530">
        <v>-1.096445171102</v>
      </c>
      <c r="AE7530">
        <v>0.58590000000000897</v>
      </c>
      <c r="AF7530">
        <v>3.1468492188124202</v>
      </c>
      <c r="AG7530">
        <v>-1.096445171102</v>
      </c>
      <c r="AH7530">
        <v>3.7274484281912499</v>
      </c>
      <c r="AI7530">
        <v>102.667606700965</v>
      </c>
      <c r="AJ7530">
        <v>49.827710883353397</v>
      </c>
      <c r="AK7530">
        <v>4.9998723787711503</v>
      </c>
      <c r="AL7530">
        <v>89.1267567666996</v>
      </c>
      <c r="AM7530">
        <v>75.3247603923474</v>
      </c>
      <c r="AN7530">
        <v>1.00000002940889</v>
      </c>
    </row>
    <row r="7531" spans="1:40" x14ac:dyDescent="0.25">
      <c r="A7531" t="str">
        <f>"20190312154444958"</f>
        <v>20190312154444958</v>
      </c>
      <c r="B7531" t="str">
        <f>"1552376684955443"</f>
        <v>1552376684955443</v>
      </c>
      <c r="C7531" t="s">
        <v>40</v>
      </c>
      <c r="D7531">
        <v>5.179163</v>
      </c>
      <c r="E7531">
        <v>0.6750102</v>
      </c>
      <c r="F7531" t="s">
        <v>69</v>
      </c>
      <c r="G7531">
        <v>-174.8511</v>
      </c>
      <c r="H7531" s="1">
        <v>-7.1104249999999998E-6</v>
      </c>
      <c r="I7531">
        <v>143.76240000000001</v>
      </c>
      <c r="J7531">
        <v>-179.95189999999999</v>
      </c>
      <c r="K7531">
        <v>1.0964400000000001</v>
      </c>
      <c r="L7531">
        <v>143.2209</v>
      </c>
      <c r="M7531">
        <v>0.69529090000000005</v>
      </c>
      <c r="N7531">
        <v>0</v>
      </c>
      <c r="O7531">
        <v>0.71851799999999999</v>
      </c>
      <c r="P7531">
        <v>0.85388229999999998</v>
      </c>
      <c r="Q7531">
        <v>8.8878519999999999E-3</v>
      </c>
      <c r="R7531">
        <v>0.52039040000000003</v>
      </c>
      <c r="S7531">
        <v>3.2849270000000002</v>
      </c>
      <c r="T7531">
        <v>-0.68720749999999997</v>
      </c>
      <c r="U7531">
        <v>0.4194946</v>
      </c>
      <c r="V7531">
        <v>0.25247459999999999</v>
      </c>
      <c r="W7531">
        <v>1.7138899999999999E-2</v>
      </c>
      <c r="X7531">
        <v>0.96745179999999997</v>
      </c>
      <c r="Y7531">
        <v>0.60002480000000002</v>
      </c>
      <c r="Z7531">
        <v>-0.19499810000000001</v>
      </c>
      <c r="AA7531">
        <v>0.77585179999999998</v>
      </c>
      <c r="AB7531">
        <v>26</v>
      </c>
      <c r="AC7531">
        <v>5.1007999999999898</v>
      </c>
      <c r="AD7531">
        <v>-1.09644711042499</v>
      </c>
      <c r="AE7531">
        <v>0.54150000000001297</v>
      </c>
      <c r="AF7531">
        <v>3.1453016851836701</v>
      </c>
      <c r="AG7531">
        <v>-1.09644711042499</v>
      </c>
      <c r="AH7531">
        <v>3.7642211743370799</v>
      </c>
      <c r="AI7531">
        <v>102.599727027893</v>
      </c>
      <c r="AJ7531">
        <v>50.1186001934473</v>
      </c>
      <c r="AK7531">
        <v>5.0263784185142804</v>
      </c>
      <c r="AL7531">
        <v>89.017965357128006</v>
      </c>
      <c r="AM7531">
        <v>75.373810185273001</v>
      </c>
      <c r="AN7531">
        <v>1.0000000754308001</v>
      </c>
    </row>
    <row r="7532" spans="1:40" x14ac:dyDescent="0.25">
      <c r="A7532" t="str">
        <f>"20190312154444971"</f>
        <v>20190312154444971</v>
      </c>
      <c r="B7532" t="str">
        <f>"1552376684965203"</f>
        <v>1552376684965203</v>
      </c>
      <c r="C7532" t="s">
        <v>40</v>
      </c>
      <c r="D7532">
        <v>5.2713380000000001</v>
      </c>
      <c r="E7532">
        <v>0.67418509999999998</v>
      </c>
      <c r="F7532" t="s">
        <v>69</v>
      </c>
      <c r="G7532">
        <v>-174.6651</v>
      </c>
      <c r="H7532" s="1">
        <v>-7.0543219999999997E-6</v>
      </c>
      <c r="I7532">
        <v>143.84389999999999</v>
      </c>
      <c r="J7532">
        <v>-179.83269999999999</v>
      </c>
      <c r="K7532">
        <v>1.096438</v>
      </c>
      <c r="L7532">
        <v>143.3271</v>
      </c>
      <c r="M7532">
        <v>0.7039415</v>
      </c>
      <c r="N7532">
        <v>0</v>
      </c>
      <c r="O7532">
        <v>0.71004460000000003</v>
      </c>
      <c r="P7532">
        <v>0.85986469999999904</v>
      </c>
      <c r="Q7532">
        <v>1.003271E-2</v>
      </c>
      <c r="R7532">
        <v>0.51042359999999998</v>
      </c>
      <c r="S7532">
        <v>3.2845610000000001</v>
      </c>
      <c r="T7532">
        <v>-0.68118880000000004</v>
      </c>
      <c r="U7532">
        <v>0.38705440000000002</v>
      </c>
      <c r="V7532">
        <v>0.25204130000000002</v>
      </c>
      <c r="W7532">
        <v>1.831698E-2</v>
      </c>
      <c r="X7532">
        <v>0.96754309999999999</v>
      </c>
      <c r="Y7532">
        <v>0.5985511</v>
      </c>
      <c r="Z7532">
        <v>-0.19231790000000001</v>
      </c>
      <c r="AA7532">
        <v>0.77765699999999904</v>
      </c>
      <c r="AB7532">
        <v>26</v>
      </c>
      <c r="AC7532">
        <v>5.1675999999999904</v>
      </c>
      <c r="AD7532">
        <v>-1.0964450543219999</v>
      </c>
      <c r="AE7532">
        <v>0.51679999999998905</v>
      </c>
      <c r="AF7532">
        <v>3.1648623648078398</v>
      </c>
      <c r="AG7532">
        <v>-1.0964450543219999</v>
      </c>
      <c r="AH7532">
        <v>3.8343373180034499</v>
      </c>
      <c r="AI7532">
        <v>102.436606850744</v>
      </c>
      <c r="AJ7532">
        <v>50.4637315828639</v>
      </c>
      <c r="AK7532">
        <v>5.0912364130492103</v>
      </c>
      <c r="AL7532">
        <v>88.950455646905596</v>
      </c>
      <c r="AM7532">
        <v>75.399157091480802</v>
      </c>
      <c r="AN7532">
        <v>0.99999998950980995</v>
      </c>
    </row>
    <row r="7533" spans="1:40" x14ac:dyDescent="0.25">
      <c r="A7533" t="str">
        <f>"20190312154444984"</f>
        <v>20190312154444984</v>
      </c>
      <c r="B7533" t="str">
        <f>"1552376684974963"</f>
        <v>1552376684974963</v>
      </c>
      <c r="C7533" t="s">
        <v>40</v>
      </c>
      <c r="D7533">
        <v>5.2867509999999998</v>
      </c>
      <c r="E7533">
        <v>0.67334159999999998</v>
      </c>
      <c r="F7533" t="s">
        <v>69</v>
      </c>
      <c r="G7533">
        <v>-174.54589999999999</v>
      </c>
      <c r="H7533" s="1">
        <v>-7.0193249999999999E-6</v>
      </c>
      <c r="I7533">
        <v>143.8991</v>
      </c>
      <c r="J7533">
        <v>-179.7191</v>
      </c>
      <c r="K7533">
        <v>1.096444</v>
      </c>
      <c r="L7533">
        <v>143.4254</v>
      </c>
      <c r="M7533">
        <v>0.71200459999999999</v>
      </c>
      <c r="N7533">
        <v>0</v>
      </c>
      <c r="O7533">
        <v>0.70195850000000004</v>
      </c>
      <c r="P7533">
        <v>0.86551129999999998</v>
      </c>
      <c r="Q7533">
        <v>9.9198710000000002E-3</v>
      </c>
      <c r="R7533">
        <v>0.50079119999999999</v>
      </c>
      <c r="S7533">
        <v>3.285812</v>
      </c>
      <c r="T7533">
        <v>-0.68145250000000002</v>
      </c>
      <c r="U7533">
        <v>0.355545</v>
      </c>
      <c r="V7533">
        <v>0.2517915</v>
      </c>
      <c r="W7533">
        <v>1.8229249999999999E-2</v>
      </c>
      <c r="X7533">
        <v>0.96760979999999996</v>
      </c>
      <c r="Y7533">
        <v>0.5970453</v>
      </c>
      <c r="Z7533">
        <v>-0.19129389999999999</v>
      </c>
      <c r="AA7533">
        <v>0.77906580000000003</v>
      </c>
      <c r="AB7533">
        <v>26</v>
      </c>
      <c r="AC7533">
        <v>5.1731999999999996</v>
      </c>
      <c r="AD7533">
        <v>-1.0964510193250001</v>
      </c>
      <c r="AE7533">
        <v>0.473700000000007</v>
      </c>
      <c r="AF7533">
        <v>3.15408550770533</v>
      </c>
      <c r="AG7533">
        <v>-1.0964510193250001</v>
      </c>
      <c r="AH7533">
        <v>3.8451729898064002</v>
      </c>
      <c r="AI7533">
        <v>102.43299011532601</v>
      </c>
      <c r="AJ7533">
        <v>50.638949873559397</v>
      </c>
      <c r="AK7533">
        <v>5.0927218213085501</v>
      </c>
      <c r="AL7533">
        <v>88.955483050886798</v>
      </c>
      <c r="AM7533">
        <v>75.413973194117801</v>
      </c>
      <c r="AN7533">
        <v>0.99999999504192605</v>
      </c>
    </row>
    <row r="7534" spans="1:40" x14ac:dyDescent="0.25">
      <c r="A7534" t="str">
        <f>"20190312154445000"</f>
        <v>20190312154445000</v>
      </c>
      <c r="B7534" t="str">
        <f>"1552376684995459"</f>
        <v>1552376684995459</v>
      </c>
      <c r="C7534" t="s">
        <v>40</v>
      </c>
      <c r="D7534">
        <v>5.2356749999999996</v>
      </c>
      <c r="E7534">
        <v>0.67116980000000004</v>
      </c>
      <c r="F7534" t="s">
        <v>69</v>
      </c>
      <c r="G7534">
        <v>-174.44710000000001</v>
      </c>
      <c r="H7534" s="1">
        <v>-6.9906569999999997E-6</v>
      </c>
      <c r="I7534">
        <v>143.94589999999999</v>
      </c>
      <c r="J7534">
        <v>-179.57249999999999</v>
      </c>
      <c r="K7534">
        <v>1.0964510000000001</v>
      </c>
      <c r="L7534">
        <v>143.5488</v>
      </c>
      <c r="M7534">
        <v>0.72217169999999997</v>
      </c>
      <c r="N7534">
        <v>0</v>
      </c>
      <c r="O7534">
        <v>0.69149389999999999</v>
      </c>
      <c r="P7534">
        <v>0.87251849999999997</v>
      </c>
      <c r="Q7534">
        <v>9.6929149999999999E-3</v>
      </c>
      <c r="R7534">
        <v>0.4884849</v>
      </c>
      <c r="S7534">
        <v>3.2862550000000001</v>
      </c>
      <c r="T7534">
        <v>-0.68346260000000003</v>
      </c>
      <c r="U7534">
        <v>0.3244629</v>
      </c>
      <c r="V7534">
        <v>0.25136799999999998</v>
      </c>
      <c r="W7534">
        <v>1.80395E-2</v>
      </c>
      <c r="X7534">
        <v>0.96772349999999996</v>
      </c>
      <c r="Y7534">
        <v>0.59288359999999996</v>
      </c>
      <c r="Z7534">
        <v>-0.19015090000000001</v>
      </c>
      <c r="AA7534">
        <v>0.78251630000000005</v>
      </c>
      <c r="AB7534">
        <v>26</v>
      </c>
      <c r="AC7534">
        <v>5.1253999999999804</v>
      </c>
      <c r="AD7534">
        <v>-1.096457990657</v>
      </c>
      <c r="AE7534">
        <v>0.39709999999999401</v>
      </c>
      <c r="AF7534">
        <v>3.1161461910091299</v>
      </c>
      <c r="AG7534">
        <v>-1.096457990657</v>
      </c>
      <c r="AH7534">
        <v>3.8035855482401</v>
      </c>
      <c r="AI7534">
        <v>102.570714025694</v>
      </c>
      <c r="AJ7534">
        <v>50.673422152396903</v>
      </c>
      <c r="AK7534">
        <v>5.0378418228242596</v>
      </c>
      <c r="AL7534">
        <v>88.966356753180705</v>
      </c>
      <c r="AM7534">
        <v>75.439100583131093</v>
      </c>
      <c r="AN7534">
        <v>1.00000003371824</v>
      </c>
    </row>
    <row r="7535" spans="1:40" x14ac:dyDescent="0.25">
      <c r="A7535" t="str">
        <f>"20190312154445013"</f>
        <v>20190312154445013</v>
      </c>
      <c r="B7535" t="str">
        <f>"1552376685005219"</f>
        <v>1552376685005219</v>
      </c>
      <c r="C7535" t="s">
        <v>40</v>
      </c>
      <c r="D7535">
        <v>5.2163209999999998</v>
      </c>
      <c r="E7535">
        <v>0.67008049999999997</v>
      </c>
      <c r="F7535" t="s">
        <v>69</v>
      </c>
      <c r="G7535">
        <v>-174.2191</v>
      </c>
      <c r="H7535" s="1">
        <v>-6.9153609999999999E-6</v>
      </c>
      <c r="I7535">
        <v>144.0257</v>
      </c>
      <c r="J7535">
        <v>-179.45429999999999</v>
      </c>
      <c r="K7535">
        <v>1.096449</v>
      </c>
      <c r="L7535">
        <v>143.64609999999999</v>
      </c>
      <c r="M7535">
        <v>0.73019699999999998</v>
      </c>
      <c r="N7535">
        <v>0</v>
      </c>
      <c r="O7535">
        <v>0.68301389999999995</v>
      </c>
      <c r="P7535">
        <v>0.87799530000000003</v>
      </c>
      <c r="Q7535">
        <v>9.1660809999999995E-3</v>
      </c>
      <c r="R7535">
        <v>0.47858149999999999</v>
      </c>
      <c r="S7535">
        <v>3.2820740000000002</v>
      </c>
      <c r="T7535">
        <v>-0.67221070000000005</v>
      </c>
      <c r="U7535">
        <v>0.29238890000000001</v>
      </c>
      <c r="V7535">
        <v>0.25100309999999998</v>
      </c>
      <c r="W7535">
        <v>1.7542240000000001E-2</v>
      </c>
      <c r="X7535">
        <v>0.96782729999999995</v>
      </c>
      <c r="Y7535">
        <v>0.59194709999999995</v>
      </c>
      <c r="Z7535">
        <v>-0.18623500000000001</v>
      </c>
      <c r="AA7535">
        <v>0.78416519999999901</v>
      </c>
      <c r="AB7535">
        <v>26</v>
      </c>
      <c r="AC7535">
        <v>5.2351999999999901</v>
      </c>
      <c r="AD7535">
        <v>-1.0964559153610001</v>
      </c>
      <c r="AE7535">
        <v>0.37960000000000998</v>
      </c>
      <c r="AF7535">
        <v>3.1610980509656201</v>
      </c>
      <c r="AG7535">
        <v>-1.0964559153610001</v>
      </c>
      <c r="AH7535">
        <v>3.9119226349928899</v>
      </c>
      <c r="AI7535">
        <v>102.298387290298</v>
      </c>
      <c r="AJ7535">
        <v>51.0594445157422</v>
      </c>
      <c r="AK7535">
        <v>5.1476106267197901</v>
      </c>
      <c r="AL7535">
        <v>88.994852112337099</v>
      </c>
      <c r="AM7535">
        <v>75.460834842945204</v>
      </c>
      <c r="AN7535">
        <v>0.99999998450955796</v>
      </c>
    </row>
    <row r="7536" spans="1:40" x14ac:dyDescent="0.25">
      <c r="A7536" t="str">
        <f>"20190312154445027"</f>
        <v>20190312154445027</v>
      </c>
      <c r="B7536" t="str">
        <f>"1552376685014979"</f>
        <v>1552376685014979</v>
      </c>
      <c r="C7536" t="s">
        <v>40</v>
      </c>
      <c r="D7536">
        <v>5.1941179999999996</v>
      </c>
      <c r="E7536">
        <v>0.66882280000000005</v>
      </c>
      <c r="F7536" t="s">
        <v>69</v>
      </c>
      <c r="G7536">
        <v>-174.07060000000001</v>
      </c>
      <c r="H7536" s="1">
        <v>-6.8655949999999996E-6</v>
      </c>
      <c r="I7536">
        <v>144.0754</v>
      </c>
      <c r="J7536">
        <v>-179.32079999999999</v>
      </c>
      <c r="K7536">
        <v>1.0964609999999999</v>
      </c>
      <c r="L7536">
        <v>143.7533</v>
      </c>
      <c r="M7536">
        <v>0.73905609999999999</v>
      </c>
      <c r="N7536">
        <v>0</v>
      </c>
      <c r="O7536">
        <v>0.67341759999999995</v>
      </c>
      <c r="P7536">
        <v>0.88418209999999997</v>
      </c>
      <c r="Q7536">
        <v>8.6324829999999998E-3</v>
      </c>
      <c r="R7536">
        <v>0.4670629</v>
      </c>
      <c r="S7536">
        <v>3.2812039999999998</v>
      </c>
      <c r="T7536">
        <v>-0.66826160000000001</v>
      </c>
      <c r="U7536">
        <v>0.26167299999999999</v>
      </c>
      <c r="V7536">
        <v>0.25099880000000002</v>
      </c>
      <c r="W7536">
        <v>1.7026380000000001E-2</v>
      </c>
      <c r="X7536">
        <v>0.96783759999999996</v>
      </c>
      <c r="Y7536">
        <v>0.58927399999999996</v>
      </c>
      <c r="Z7536">
        <v>-0.18375929999999999</v>
      </c>
      <c r="AA7536">
        <v>0.78675839999999997</v>
      </c>
      <c r="AB7536">
        <v>26</v>
      </c>
      <c r="AC7536">
        <v>5.2501999999999702</v>
      </c>
      <c r="AD7536">
        <v>-1.096467865595</v>
      </c>
      <c r="AE7536">
        <v>0.32210000000000599</v>
      </c>
      <c r="AF7536">
        <v>3.1606917965383299</v>
      </c>
      <c r="AG7536">
        <v>-1.096467865595</v>
      </c>
      <c r="AH7536">
        <v>3.9270854709961598</v>
      </c>
      <c r="AI7536">
        <v>102.271198602635</v>
      </c>
      <c r="AJ7536">
        <v>51.171353537379801</v>
      </c>
      <c r="AK7536">
        <v>5.1588966562140302</v>
      </c>
      <c r="AL7536">
        <v>89.024413103651298</v>
      </c>
      <c r="AM7536">
        <v>75.461221532528299</v>
      </c>
      <c r="AN7536">
        <v>0.99999995759555105</v>
      </c>
    </row>
    <row r="7537" spans="1:40" x14ac:dyDescent="0.25">
      <c r="A7537" t="str">
        <f>"20190312154445047"</f>
        <v>20190312154445047</v>
      </c>
      <c r="B7537" t="str">
        <f>"1552376685035474"</f>
        <v>1552376685035474</v>
      </c>
      <c r="C7537" t="s">
        <v>40</v>
      </c>
      <c r="D7537">
        <v>5.275671</v>
      </c>
      <c r="E7537">
        <v>0.6665413</v>
      </c>
      <c r="F7537" t="s">
        <v>69</v>
      </c>
      <c r="G7537">
        <v>-173.90719999999999</v>
      </c>
      <c r="H7537" s="1">
        <v>-6.8103130000000004E-6</v>
      </c>
      <c r="I7537">
        <v>144.1285</v>
      </c>
      <c r="J7537">
        <v>-179.14449999999999</v>
      </c>
      <c r="K7537">
        <v>1.096479</v>
      </c>
      <c r="L7537">
        <v>143.88980000000001</v>
      </c>
      <c r="M7537">
        <v>0.75042629999999999</v>
      </c>
      <c r="N7537">
        <v>0</v>
      </c>
      <c r="O7537">
        <v>0.66072310000000001</v>
      </c>
      <c r="P7537">
        <v>0.89211879999999999</v>
      </c>
      <c r="Q7537">
        <v>8.1632709999999997E-3</v>
      </c>
      <c r="R7537">
        <v>0.4517274</v>
      </c>
      <c r="S7537">
        <v>3.2793879999999902</v>
      </c>
      <c r="T7537">
        <v>-0.66419890000000004</v>
      </c>
      <c r="U7537">
        <v>0.22732540000000001</v>
      </c>
      <c r="V7537">
        <v>0.25119940000000002</v>
      </c>
      <c r="W7537">
        <v>1.657202E-2</v>
      </c>
      <c r="X7537">
        <v>0.96779349999999997</v>
      </c>
      <c r="Y7537">
        <v>0.58437190000000006</v>
      </c>
      <c r="Z7537">
        <v>-0.1806258</v>
      </c>
      <c r="AA7537">
        <v>0.79112819999999995</v>
      </c>
      <c r="AB7537">
        <v>26</v>
      </c>
      <c r="AC7537">
        <v>5.2373000000000003</v>
      </c>
      <c r="AD7537">
        <v>-1.096485810313</v>
      </c>
      <c r="AE7537">
        <v>0.238699999999994</v>
      </c>
      <c r="AF7537">
        <v>3.1442465499369598</v>
      </c>
      <c r="AG7537">
        <v>-1.096485810313</v>
      </c>
      <c r="AH7537">
        <v>3.9172036536891999</v>
      </c>
      <c r="AI7537">
        <v>102.31404002308599</v>
      </c>
      <c r="AJ7537">
        <v>51.246813179700197</v>
      </c>
      <c r="AK7537">
        <v>5.14130839023339</v>
      </c>
      <c r="AL7537">
        <v>89.050449743613697</v>
      </c>
      <c r="AM7537">
        <v>75.449460128854398</v>
      </c>
      <c r="AN7537">
        <v>1.0000000145247401</v>
      </c>
    </row>
    <row r="7538" spans="1:40" x14ac:dyDescent="0.25">
      <c r="A7538" t="str">
        <f>"20190312154445060"</f>
        <v>20190312154445060</v>
      </c>
      <c r="B7538" t="str">
        <f>"1552376685054995"</f>
        <v>1552376685054995</v>
      </c>
      <c r="C7538" t="s">
        <v>40</v>
      </c>
      <c r="D7538">
        <v>5.1940730000000004</v>
      </c>
      <c r="E7538">
        <v>0.63719139999999996</v>
      </c>
      <c r="F7538" t="s">
        <v>69</v>
      </c>
      <c r="G7538">
        <v>-173.6808</v>
      </c>
      <c r="H7538" s="1">
        <v>-6.73356E-6</v>
      </c>
      <c r="I7538">
        <v>144.20150000000001</v>
      </c>
      <c r="J7538">
        <v>-179.0093</v>
      </c>
      <c r="K7538">
        <v>1.0964929999999999</v>
      </c>
      <c r="L7538">
        <v>143.99109999999999</v>
      </c>
      <c r="M7538">
        <v>0.75890559999999996</v>
      </c>
      <c r="N7538">
        <v>0</v>
      </c>
      <c r="O7538">
        <v>0.65096599999999905</v>
      </c>
      <c r="P7538">
        <v>0.89785319999999902</v>
      </c>
      <c r="Q7538">
        <v>8.0846659999999904E-3</v>
      </c>
      <c r="R7538">
        <v>0.44022109999999898</v>
      </c>
      <c r="S7538">
        <v>3.2742</v>
      </c>
      <c r="T7538">
        <v>-0.65708180000000005</v>
      </c>
      <c r="U7538">
        <v>0.1867828</v>
      </c>
      <c r="V7538">
        <v>0.25112659999999998</v>
      </c>
      <c r="W7538">
        <v>1.651242E-2</v>
      </c>
      <c r="X7538">
        <v>0.96781340000000005</v>
      </c>
      <c r="Y7538">
        <v>0.58423630000000004</v>
      </c>
      <c r="Z7538">
        <v>-0.17776229999999901</v>
      </c>
      <c r="AA7538">
        <v>0.79187659999999904</v>
      </c>
      <c r="AB7538">
        <v>25</v>
      </c>
      <c r="AC7538">
        <v>5.3284999999999902</v>
      </c>
      <c r="AD7538">
        <v>-1.09649973356</v>
      </c>
      <c r="AE7538">
        <v>0.21040000000002099</v>
      </c>
      <c r="AF7538">
        <v>3.1752558128011499</v>
      </c>
      <c r="AG7538">
        <v>-1.09649973356</v>
      </c>
      <c r="AH7538">
        <v>4.0118129064456696</v>
      </c>
      <c r="AI7538">
        <v>102.09627806348</v>
      </c>
      <c r="AJ7538">
        <v>51.639211618198402</v>
      </c>
      <c r="AK7538">
        <v>5.23251411261821</v>
      </c>
      <c r="AL7538">
        <v>89.053865028658194</v>
      </c>
      <c r="AM7538">
        <v>75.453784521337994</v>
      </c>
      <c r="AN7538">
        <v>1.0000000032306799</v>
      </c>
    </row>
    <row r="7539" spans="1:40" x14ac:dyDescent="0.25">
      <c r="A7539" t="str">
        <f>"20190312154445080"</f>
        <v>20190312154445080</v>
      </c>
      <c r="B7539" t="str">
        <f>"1552376685075493"</f>
        <v>1552376685075493</v>
      </c>
      <c r="C7539" t="s">
        <v>40</v>
      </c>
      <c r="D7539">
        <v>5.4731540000000001</v>
      </c>
      <c r="E7539">
        <v>0.63723730000000001</v>
      </c>
      <c r="F7539" t="s">
        <v>69</v>
      </c>
      <c r="G7539">
        <v>-172.61060000000001</v>
      </c>
      <c r="H7539" s="1">
        <v>-6.4207479999999998E-6</v>
      </c>
      <c r="I7539">
        <v>144.70160000000001</v>
      </c>
      <c r="J7539">
        <v>-178.8237</v>
      </c>
      <c r="K7539">
        <v>1.096517</v>
      </c>
      <c r="L7539">
        <v>144.12610000000001</v>
      </c>
      <c r="M7539">
        <v>0.77022279999999999</v>
      </c>
      <c r="N7539">
        <v>0</v>
      </c>
      <c r="O7539">
        <v>0.63753530000000003</v>
      </c>
      <c r="P7539">
        <v>0.90557719999999997</v>
      </c>
      <c r="Q7539">
        <v>7.3779539999999999E-3</v>
      </c>
      <c r="R7539">
        <v>0.42411739999999998</v>
      </c>
      <c r="S7539">
        <v>3.1734309999999999</v>
      </c>
      <c r="T7539">
        <v>-0.54380819999999996</v>
      </c>
      <c r="U7539">
        <v>0.352356</v>
      </c>
      <c r="V7539">
        <v>0.25138870000000002</v>
      </c>
      <c r="W7539">
        <v>1.5817290000000001E-2</v>
      </c>
      <c r="X7539">
        <v>0.96775699999999998</v>
      </c>
      <c r="Y7539">
        <v>0.53334689999999996</v>
      </c>
      <c r="Z7539">
        <v>-0.1454124</v>
      </c>
      <c r="AA7539">
        <v>0.8333045</v>
      </c>
      <c r="AB7539">
        <v>25</v>
      </c>
      <c r="AC7539">
        <v>6.2130999999999901</v>
      </c>
      <c r="AD7539">
        <v>-1.0965234207479999</v>
      </c>
      <c r="AE7539">
        <v>0.57550000000000501</v>
      </c>
      <c r="AF7539">
        <v>3.4129455309130599</v>
      </c>
      <c r="AG7539">
        <v>-1.0965234207479999</v>
      </c>
      <c r="AH7539">
        <v>4.99878649289841</v>
      </c>
      <c r="AI7539">
        <v>100.268365682595</v>
      </c>
      <c r="AJ7539">
        <v>55.6765045320236</v>
      </c>
      <c r="AK7539">
        <v>6.1512947588952303</v>
      </c>
      <c r="AL7539">
        <v>89.093698280750502</v>
      </c>
      <c r="AM7539">
        <v>75.438435127584896</v>
      </c>
      <c r="AN7539">
        <v>1.00000003809981</v>
      </c>
    </row>
    <row r="7540" spans="1:40" x14ac:dyDescent="0.25">
      <c r="A7540" t="str">
        <f>"20190312154445094"</f>
        <v>20190312154445094</v>
      </c>
      <c r="B7540" t="str">
        <f>"1552376685085252"</f>
        <v>1552376685085252</v>
      </c>
      <c r="C7540" t="s">
        <v>40</v>
      </c>
      <c r="D7540">
        <v>5.1123430000000001</v>
      </c>
      <c r="E7540">
        <v>0.66188059999999904</v>
      </c>
      <c r="F7540" t="s">
        <v>69</v>
      </c>
      <c r="G7540">
        <v>-172.30269999999999</v>
      </c>
      <c r="H7540" s="1">
        <v>-6.2935559999999998E-6</v>
      </c>
      <c r="I7540">
        <v>144.7304</v>
      </c>
      <c r="J7540">
        <v>-178.69069999999999</v>
      </c>
      <c r="K7540">
        <v>1.096536</v>
      </c>
      <c r="L7540">
        <v>144.2199</v>
      </c>
      <c r="M7540">
        <v>0.77811660000000005</v>
      </c>
      <c r="N7540">
        <v>0</v>
      </c>
      <c r="O7540">
        <v>0.6278764</v>
      </c>
      <c r="P7540">
        <v>0.91082229999999997</v>
      </c>
      <c r="Q7540">
        <v>7.4354479999999999E-3</v>
      </c>
      <c r="R7540">
        <v>0.41273199999999999</v>
      </c>
      <c r="S7540">
        <v>3.1791689999999999</v>
      </c>
      <c r="T7540">
        <v>-0.53458399999999995</v>
      </c>
      <c r="U7540">
        <v>0.29461670000000001</v>
      </c>
      <c r="V7540">
        <v>0.25144759999999999</v>
      </c>
      <c r="W7540">
        <v>1.5887849999999999E-2</v>
      </c>
      <c r="X7540">
        <v>0.9677405</v>
      </c>
      <c r="Y7540">
        <v>0.53856539999999997</v>
      </c>
      <c r="Z7540">
        <v>-0.1422167</v>
      </c>
      <c r="AA7540">
        <v>0.83049490000000004</v>
      </c>
      <c r="AB7540">
        <v>25</v>
      </c>
      <c r="AC7540">
        <v>6.3879999999999999</v>
      </c>
      <c r="AD7540">
        <v>-1.0965422935560001</v>
      </c>
      <c r="AE7540">
        <v>0.51050000000000695</v>
      </c>
      <c r="AF7540">
        <v>3.5113886122005198</v>
      </c>
      <c r="AG7540">
        <v>-1.0965422935560001</v>
      </c>
      <c r="AH7540">
        <v>5.1414134799314803</v>
      </c>
      <c r="AI7540">
        <v>99.988554758557598</v>
      </c>
      <c r="AJ7540">
        <v>55.668419409333502</v>
      </c>
      <c r="AK7540">
        <v>6.3218974650866997</v>
      </c>
      <c r="AL7540">
        <v>89.089654945504904</v>
      </c>
      <c r="AM7540">
        <v>75.434930678809593</v>
      </c>
      <c r="AN7540">
        <v>0.99999999733181599</v>
      </c>
    </row>
    <row r="7541" spans="1:40" x14ac:dyDescent="0.25">
      <c r="A7541" t="str">
        <f>"20190312154445110"</f>
        <v>20190312154445110</v>
      </c>
      <c r="B7541" t="str">
        <f>"1552376685104771"</f>
        <v>1552376685104771</v>
      </c>
      <c r="C7541" t="s">
        <v>40</v>
      </c>
      <c r="D7541">
        <v>5.2465580000000003</v>
      </c>
      <c r="E7541">
        <v>0.66397099999999998</v>
      </c>
      <c r="F7541" t="s">
        <v>69</v>
      </c>
      <c r="G7541">
        <v>-172.5515</v>
      </c>
      <c r="H7541" s="1">
        <v>-6.2854370000000004E-6</v>
      </c>
      <c r="I7541">
        <v>144.36439999999999</v>
      </c>
      <c r="J7541">
        <v>-178.53599999999901</v>
      </c>
      <c r="K7541">
        <v>1.096562</v>
      </c>
      <c r="L7541">
        <v>144.3261</v>
      </c>
      <c r="M7541">
        <v>0.7870665</v>
      </c>
      <c r="N7541">
        <v>0</v>
      </c>
      <c r="O7541">
        <v>0.61662030000000001</v>
      </c>
      <c r="P7541">
        <v>0.9166453</v>
      </c>
      <c r="Q7541">
        <v>6.9531940000000002E-3</v>
      </c>
      <c r="R7541">
        <v>0.39964110000000003</v>
      </c>
      <c r="S7541">
        <v>3.2637019999999999</v>
      </c>
      <c r="T7541">
        <v>-0.5829413</v>
      </c>
      <c r="U7541">
        <v>7.6812740000000004E-2</v>
      </c>
      <c r="V7541">
        <v>0.2513783</v>
      </c>
      <c r="W7541">
        <v>1.54249E-2</v>
      </c>
      <c r="X7541">
        <v>0.96776600000000002</v>
      </c>
      <c r="Y7541">
        <v>0.58032510000000004</v>
      </c>
      <c r="Z7541">
        <v>-0.15394349999999901</v>
      </c>
      <c r="AA7541">
        <v>0.79970249999999998</v>
      </c>
      <c r="AB7541">
        <v>25</v>
      </c>
      <c r="AC7541">
        <v>5.9844999999999597</v>
      </c>
      <c r="AD7541">
        <v>-1.096568285437</v>
      </c>
      <c r="AE7541">
        <v>3.8299999999992403E-2</v>
      </c>
      <c r="AF7541">
        <v>3.5416724825406898</v>
      </c>
      <c r="AG7541">
        <v>-1.096568285437</v>
      </c>
      <c r="AH7541">
        <v>4.5807476663483397</v>
      </c>
      <c r="AI7541">
        <v>100.723827286237</v>
      </c>
      <c r="AJ7541">
        <v>52.29006959046</v>
      </c>
      <c r="AK7541">
        <v>5.8931447598856703</v>
      </c>
      <c r="AL7541">
        <v>89.116183284374699</v>
      </c>
      <c r="AM7541">
        <v>75.439141594850994</v>
      </c>
      <c r="AN7541">
        <v>1.00000000400345</v>
      </c>
    </row>
    <row r="7542" spans="1:40" x14ac:dyDescent="0.25">
      <c r="A7542" t="str">
        <f>"20190312154445125"</f>
        <v>20190312154445125</v>
      </c>
      <c r="B7542" t="str">
        <f>"1552376685115506"</f>
        <v>1552376685115506</v>
      </c>
      <c r="C7542" t="s">
        <v>40</v>
      </c>
      <c r="D7542">
        <v>5.1503389999999998</v>
      </c>
      <c r="E7542">
        <v>0.66367600000000004</v>
      </c>
      <c r="F7542" t="s">
        <v>69</v>
      </c>
      <c r="G7542">
        <v>-172.58279999999999</v>
      </c>
      <c r="H7542" s="1">
        <v>-6.2958150000000001E-6</v>
      </c>
      <c r="I7542">
        <v>144.3535</v>
      </c>
      <c r="J7542">
        <v>-178.3922</v>
      </c>
      <c r="K7542">
        <v>1.096579</v>
      </c>
      <c r="L7542">
        <v>144.42160000000001</v>
      </c>
      <c r="M7542">
        <v>0.79516069999999905</v>
      </c>
      <c r="N7542">
        <v>0</v>
      </c>
      <c r="O7542">
        <v>0.60614659999999998</v>
      </c>
      <c r="P7542">
        <v>0.92176769999999997</v>
      </c>
      <c r="Q7542">
        <v>6.9011580000000001E-3</v>
      </c>
      <c r="R7542">
        <v>0.38768140000000001</v>
      </c>
      <c r="S7542">
        <v>3.270813</v>
      </c>
      <c r="T7542">
        <v>-0.60247989999999996</v>
      </c>
      <c r="U7542">
        <v>1.506042E-2</v>
      </c>
      <c r="V7542">
        <v>0.25115510000000002</v>
      </c>
      <c r="W7542">
        <v>1.5396760000000001E-2</v>
      </c>
      <c r="X7542">
        <v>0.96782440000000003</v>
      </c>
      <c r="Y7542">
        <v>0.58373779999999997</v>
      </c>
      <c r="Z7542">
        <v>-0.15765170000000001</v>
      </c>
      <c r="AA7542">
        <v>0.79648989999999997</v>
      </c>
      <c r="AB7542">
        <v>25</v>
      </c>
      <c r="AC7542">
        <v>5.8094000000000099</v>
      </c>
      <c r="AD7542">
        <v>-1.096585295815</v>
      </c>
      <c r="AE7542">
        <v>-6.8100000000015301E-2</v>
      </c>
      <c r="AF7542">
        <v>3.4530289063225599</v>
      </c>
      <c r="AG7542">
        <v>-1.096585295815</v>
      </c>
      <c r="AH7542">
        <v>4.4213158721249997</v>
      </c>
      <c r="AI7542">
        <v>101.060248104221</v>
      </c>
      <c r="AJ7542">
        <v>52.010314798519701</v>
      </c>
      <c r="AK7542">
        <v>5.7161124883963996</v>
      </c>
      <c r="AL7542">
        <v>89.117795781609601</v>
      </c>
      <c r="AM7542">
        <v>75.4523620610004</v>
      </c>
      <c r="AN7542">
        <v>1.00000000685493</v>
      </c>
    </row>
    <row r="7543" spans="1:40" x14ac:dyDescent="0.25">
      <c r="A7543" t="str">
        <f>"20190312154445147"</f>
        <v>20190312154445147</v>
      </c>
      <c r="B7543" t="str">
        <f>"1552376685135027"</f>
        <v>1552376685135027</v>
      </c>
      <c r="C7543" t="s">
        <v>40</v>
      </c>
      <c r="D7543">
        <v>5.1737529999999996</v>
      </c>
      <c r="E7543">
        <v>0.66241159999999999</v>
      </c>
      <c r="F7543" t="s">
        <v>69</v>
      </c>
      <c r="G7543">
        <v>-172.38910000000001</v>
      </c>
      <c r="H7543" s="1">
        <v>-6.2166729999999996E-6</v>
      </c>
      <c r="I7543">
        <v>144.37450000000001</v>
      </c>
      <c r="J7543">
        <v>-178.17509999999999</v>
      </c>
      <c r="K7543">
        <v>1.0966209999999901</v>
      </c>
      <c r="L7543">
        <v>144.5608</v>
      </c>
      <c r="M7543">
        <v>0.80700050000000001</v>
      </c>
      <c r="N7543">
        <v>0</v>
      </c>
      <c r="O7543">
        <v>0.59029189999999998</v>
      </c>
      <c r="P7543">
        <v>0.92913480000000004</v>
      </c>
      <c r="Q7543">
        <v>7.5419569999999898E-3</v>
      </c>
      <c r="R7543">
        <v>0.36966399999999999</v>
      </c>
      <c r="S7543">
        <v>3.269882</v>
      </c>
      <c r="T7543">
        <v>-0.597306</v>
      </c>
      <c r="U7543">
        <v>-2.5665279999999999E-2</v>
      </c>
      <c r="V7543">
        <v>0.25085970000000002</v>
      </c>
      <c r="W7543">
        <v>1.607045E-2</v>
      </c>
      <c r="X7543">
        <v>0.96789000000000003</v>
      </c>
      <c r="Y7543">
        <v>0.57838829999999997</v>
      </c>
      <c r="Z7543">
        <v>-0.15366150000000001</v>
      </c>
      <c r="AA7543">
        <v>0.8011587</v>
      </c>
      <c r="AB7543">
        <v>25</v>
      </c>
      <c r="AC7543">
        <v>5.7859999999999703</v>
      </c>
      <c r="AD7543">
        <v>-1.09662721667299</v>
      </c>
      <c r="AE7543">
        <v>-0.186299999999988</v>
      </c>
      <c r="AF7543">
        <v>3.4427747546374698</v>
      </c>
      <c r="AG7543">
        <v>-1.09662721667299</v>
      </c>
      <c r="AH7543">
        <v>4.40206310275736</v>
      </c>
      <c r="AI7543">
        <v>101.102126914186</v>
      </c>
      <c r="AJ7543">
        <v>51.9716736710674</v>
      </c>
      <c r="AK7543">
        <v>5.6950372100781603</v>
      </c>
      <c r="AL7543">
        <v>89.079191356857294</v>
      </c>
      <c r="AM7543">
        <v>75.469690941685101</v>
      </c>
      <c r="AN7543">
        <v>0.99999995027364497</v>
      </c>
    </row>
    <row r="7544" spans="1:40" x14ac:dyDescent="0.25">
      <c r="A7544" t="str">
        <f>"20190312154445170"</f>
        <v>20190312154445170</v>
      </c>
      <c r="B7544" t="str">
        <f>"1552376685165283"</f>
        <v>1552376685165283</v>
      </c>
      <c r="C7544" t="s">
        <v>40</v>
      </c>
      <c r="D7544">
        <v>5.1744110000000001</v>
      </c>
      <c r="E7544">
        <v>0.65897059999999996</v>
      </c>
      <c r="F7544" t="s">
        <v>69</v>
      </c>
      <c r="G7544">
        <v>-172.09479999999999</v>
      </c>
      <c r="H7544" s="1">
        <v>-6.0984729999999996E-6</v>
      </c>
      <c r="I7544">
        <v>144.41239999999999</v>
      </c>
      <c r="J7544">
        <v>-177.95599999999999</v>
      </c>
      <c r="K7544">
        <v>1.096668</v>
      </c>
      <c r="L7544">
        <v>144.6951</v>
      </c>
      <c r="M7544">
        <v>0.81849130000000003</v>
      </c>
      <c r="N7544">
        <v>0</v>
      </c>
      <c r="O7544">
        <v>0.57425280000000001</v>
      </c>
      <c r="P7544">
        <v>0.93598000000000003</v>
      </c>
      <c r="Q7544">
        <v>8.3177200000000007E-3</v>
      </c>
      <c r="R7544">
        <v>0.35195510000000002</v>
      </c>
      <c r="S7544">
        <v>3.2653050000000001</v>
      </c>
      <c r="T7544">
        <v>-0.58892549999999999</v>
      </c>
      <c r="U7544">
        <v>-7.972717E-2</v>
      </c>
      <c r="V7544">
        <v>0.25015949999999998</v>
      </c>
      <c r="W7544">
        <v>1.6894320000000001E-2</v>
      </c>
      <c r="X7544">
        <v>0.96805719999999995</v>
      </c>
      <c r="Y7544">
        <v>0.57645990000000003</v>
      </c>
      <c r="Z7544">
        <v>-0.14932110000000001</v>
      </c>
      <c r="AA7544">
        <v>0.80336619999999903</v>
      </c>
      <c r="AB7544">
        <v>25</v>
      </c>
      <c r="AC7544">
        <v>5.8611999999999904</v>
      </c>
      <c r="AD7544">
        <v>-1.0966740984729999</v>
      </c>
      <c r="AE7544">
        <v>-0.282700000000005</v>
      </c>
      <c r="AF7544">
        <v>3.4763270517339602</v>
      </c>
      <c r="AG7544">
        <v>-1.0966740984729999</v>
      </c>
      <c r="AH7544">
        <v>4.4792573751312403</v>
      </c>
      <c r="AI7544">
        <v>100.946853960064</v>
      </c>
      <c r="AJ7544">
        <v>52.1851575516446</v>
      </c>
      <c r="AK7544">
        <v>5.7750576171624903</v>
      </c>
      <c r="AL7544">
        <v>89.031980683170801</v>
      </c>
      <c r="AM7544">
        <v>75.510935659542199</v>
      </c>
      <c r="AN7544">
        <v>0.99999996798017499</v>
      </c>
    </row>
    <row r="7545" spans="1:40" x14ac:dyDescent="0.25">
      <c r="A7545" t="str">
        <f>"20190312154445185"</f>
        <v>20190312154445185</v>
      </c>
      <c r="B7545" t="str">
        <f>"1552376685175043"</f>
        <v>1552376685175043</v>
      </c>
      <c r="C7545" t="s">
        <v>40</v>
      </c>
      <c r="D7545">
        <v>5.1730450000000001</v>
      </c>
      <c r="E7545">
        <v>0.65897059999999996</v>
      </c>
      <c r="F7545" t="s">
        <v>69</v>
      </c>
      <c r="G7545">
        <v>-171.6292</v>
      </c>
      <c r="H7545" s="1">
        <v>-5.9099620000000004E-6</v>
      </c>
      <c r="I7545">
        <v>144.46799999999999</v>
      </c>
      <c r="J7545">
        <v>-177.78659999999999</v>
      </c>
      <c r="K7545">
        <v>1.0967009999999999</v>
      </c>
      <c r="L7545">
        <v>144.79480000000001</v>
      </c>
      <c r="M7545">
        <v>0.82707009999999903</v>
      </c>
      <c r="N7545">
        <v>0</v>
      </c>
      <c r="O7545">
        <v>0.56182710000000002</v>
      </c>
      <c r="P7545">
        <v>0.9409904</v>
      </c>
      <c r="Q7545">
        <v>8.7421200000000008E-3</v>
      </c>
      <c r="R7545">
        <v>0.33832040000000002</v>
      </c>
      <c r="S7545">
        <v>3.2541350000000002</v>
      </c>
      <c r="T7545">
        <v>-0.56406210000000001</v>
      </c>
      <c r="U7545">
        <v>-0.1167755</v>
      </c>
      <c r="V7545">
        <v>0.24961469999999999</v>
      </c>
      <c r="W7545">
        <v>1.7353440000000001E-2</v>
      </c>
      <c r="X7545">
        <v>0.96818970000000004</v>
      </c>
      <c r="Y7545">
        <v>0.57499560000000005</v>
      </c>
      <c r="Z7545">
        <v>-0.14173829999999901</v>
      </c>
      <c r="AA7545">
        <v>0.80578549999999904</v>
      </c>
      <c r="AB7545">
        <v>25</v>
      </c>
      <c r="AC7545">
        <v>6.1573999999999902</v>
      </c>
      <c r="AD7545">
        <v>-1.0967069099619999</v>
      </c>
      <c r="AE7545">
        <v>-0.32680000000002002</v>
      </c>
      <c r="AF7545">
        <v>3.61586324149226</v>
      </c>
      <c r="AG7545">
        <v>-1.0967069099619999</v>
      </c>
      <c r="AH7545">
        <v>4.7591900928006297</v>
      </c>
      <c r="AI7545">
        <v>100.397447566794</v>
      </c>
      <c r="AJ7545">
        <v>52.773723309584703</v>
      </c>
      <c r="AK7545">
        <v>6.0767691553114798</v>
      </c>
      <c r="AL7545">
        <v>89.005671185975203</v>
      </c>
      <c r="AM7545">
        <v>75.543061873296494</v>
      </c>
      <c r="AN7545">
        <v>0.99999996776100597</v>
      </c>
    </row>
    <row r="7546" spans="1:40" x14ac:dyDescent="0.25">
      <c r="A7546" t="str">
        <f>"20190312154445201"</f>
        <v>20190312154445201</v>
      </c>
      <c r="B7546" t="str">
        <f>"1552376685194564"</f>
        <v>1552376685194564</v>
      </c>
      <c r="C7546" t="s">
        <v>40</v>
      </c>
      <c r="D7546">
        <v>5.3386290000000001</v>
      </c>
      <c r="E7546">
        <v>0.64290599999999998</v>
      </c>
      <c r="F7546" t="s">
        <v>69</v>
      </c>
      <c r="G7546">
        <v>-171.44329999999999</v>
      </c>
      <c r="H7546" s="1">
        <v>-5.8295970000000002E-6</v>
      </c>
      <c r="I7546">
        <v>144.4743</v>
      </c>
      <c r="J7546">
        <v>-177.63570000000001</v>
      </c>
      <c r="K7546">
        <v>1.09673</v>
      </c>
      <c r="L7546">
        <v>144.88040000000001</v>
      </c>
      <c r="M7546">
        <v>0.83449010000000001</v>
      </c>
      <c r="N7546">
        <v>0</v>
      </c>
      <c r="O7546">
        <v>0.55074599999999996</v>
      </c>
      <c r="P7546">
        <v>0.94528029999999996</v>
      </c>
      <c r="Q7546">
        <v>9.3531550000000001E-3</v>
      </c>
      <c r="R7546">
        <v>0.32612570000000002</v>
      </c>
      <c r="S7546">
        <v>3.2524410000000001</v>
      </c>
      <c r="T7546">
        <v>-0.56232689999999996</v>
      </c>
      <c r="U7546">
        <v>-0.1643066</v>
      </c>
      <c r="V7546">
        <v>0.24923529999999999</v>
      </c>
      <c r="W7546">
        <v>1.79904E-2</v>
      </c>
      <c r="X7546">
        <v>0.96827580000000002</v>
      </c>
      <c r="Y7546">
        <v>0.57618210000000003</v>
      </c>
      <c r="Z7546">
        <v>-0.13992489999999999</v>
      </c>
      <c r="AA7546">
        <v>0.80525480000000005</v>
      </c>
      <c r="AB7546">
        <v>25</v>
      </c>
      <c r="AC7546">
        <v>6.1924000000000197</v>
      </c>
      <c r="AD7546">
        <v>-1.096735829597</v>
      </c>
      <c r="AE7546">
        <v>-0.40610000000000901</v>
      </c>
      <c r="AF7546">
        <v>3.6363225810141802</v>
      </c>
      <c r="AG7546">
        <v>-1.096735829597</v>
      </c>
      <c r="AH7546">
        <v>4.7948329722483498</v>
      </c>
      <c r="AI7546">
        <v>100.32880946943899</v>
      </c>
      <c r="AJ7546">
        <v>52.823917510342802</v>
      </c>
      <c r="AK7546">
        <v>6.1168696753221203</v>
      </c>
      <c r="AL7546">
        <v>88.969170353442607</v>
      </c>
      <c r="AM7546">
        <v>75.565346754045706</v>
      </c>
      <c r="AN7546">
        <v>0.999999957061944</v>
      </c>
    </row>
    <row r="7547" spans="1:40" x14ac:dyDescent="0.25">
      <c r="A7547" t="str">
        <f>"20190312154445214"</f>
        <v>20190312154445214</v>
      </c>
      <c r="B7547" t="str">
        <f>"1552376685205299"</f>
        <v>1552376685205299</v>
      </c>
      <c r="C7547" t="s">
        <v>40</v>
      </c>
      <c r="D7547">
        <v>5.231401</v>
      </c>
      <c r="E7547">
        <v>0.64177969999999995</v>
      </c>
      <c r="F7547" t="s">
        <v>69</v>
      </c>
      <c r="G7547">
        <v>-171.14680000000001</v>
      </c>
      <c r="H7547" s="1">
        <v>-5.7733710000000003E-6</v>
      </c>
      <c r="I7547">
        <v>144.70689999999999</v>
      </c>
      <c r="J7547">
        <v>-177.50880000000001</v>
      </c>
      <c r="K7547">
        <v>1.096749</v>
      </c>
      <c r="L7547">
        <v>144.95060000000001</v>
      </c>
      <c r="M7547">
        <v>0.84058089999999996</v>
      </c>
      <c r="N7547">
        <v>0</v>
      </c>
      <c r="O7547">
        <v>0.54140449999999996</v>
      </c>
      <c r="P7547">
        <v>0.94853160000000003</v>
      </c>
      <c r="Q7547">
        <v>1.000272E-2</v>
      </c>
      <c r="R7547">
        <v>0.31652469999999999</v>
      </c>
      <c r="S7547">
        <v>3.2086030000000001</v>
      </c>
      <c r="T7547">
        <v>-0.54231070000000003</v>
      </c>
      <c r="U7547">
        <v>-8.575439E-2</v>
      </c>
      <c r="V7547">
        <v>0.2482703</v>
      </c>
      <c r="W7547">
        <v>1.8680740000000001E-2</v>
      </c>
      <c r="X7547">
        <v>0.9685106</v>
      </c>
      <c r="Y7547">
        <v>0.54891309999999904</v>
      </c>
      <c r="Z7547">
        <v>-0.1331195</v>
      </c>
      <c r="AA7547">
        <v>0.82521129999999998</v>
      </c>
      <c r="AB7547">
        <v>25</v>
      </c>
      <c r="AC7547">
        <v>6.3619999999999903</v>
      </c>
      <c r="AD7547">
        <v>-1.0967547733709999</v>
      </c>
      <c r="AE7547">
        <v>-0.24370000000001801</v>
      </c>
      <c r="AF7547">
        <v>3.5446334624837701</v>
      </c>
      <c r="AG7547">
        <v>-1.0967547733709999</v>
      </c>
      <c r="AH7547">
        <v>5.0662872536816499</v>
      </c>
      <c r="AI7547">
        <v>100.05834759257</v>
      </c>
      <c r="AJ7547">
        <v>55.021398346808198</v>
      </c>
      <c r="AK7547">
        <v>6.2796945748251902</v>
      </c>
      <c r="AL7547">
        <v>88.929610121379</v>
      </c>
      <c r="AM7547">
        <v>75.622255265257394</v>
      </c>
      <c r="AN7547">
        <v>0.99999994711069695</v>
      </c>
    </row>
    <row r="7548" spans="1:40" x14ac:dyDescent="0.25">
      <c r="A7548" t="str">
        <f>"20190312154445230"</f>
        <v>20190312154445230</v>
      </c>
      <c r="B7548" t="str">
        <f>"1552376685224819"</f>
        <v>1552376685224819</v>
      </c>
      <c r="C7548" t="s">
        <v>40</v>
      </c>
      <c r="D7548">
        <v>5.1510069999999999</v>
      </c>
      <c r="E7548">
        <v>0.64081880000000002</v>
      </c>
      <c r="F7548" t="s">
        <v>69</v>
      </c>
      <c r="G7548">
        <v>-171.14109999999999</v>
      </c>
      <c r="H7548" s="1">
        <v>-5.7791149999999996E-6</v>
      </c>
      <c r="I7548">
        <v>144.73259999999999</v>
      </c>
      <c r="J7548">
        <v>-177.33920000000001</v>
      </c>
      <c r="K7548">
        <v>1.096776</v>
      </c>
      <c r="L7548">
        <v>145.0419</v>
      </c>
      <c r="M7548">
        <v>0.84851710000000002</v>
      </c>
      <c r="N7548">
        <v>0</v>
      </c>
      <c r="O7548">
        <v>0.52888049999999998</v>
      </c>
      <c r="P7548">
        <v>0.95291300000000001</v>
      </c>
      <c r="Q7548">
        <v>1.0580559999999999E-2</v>
      </c>
      <c r="R7548">
        <v>0.30305959999999899</v>
      </c>
      <c r="S7548">
        <v>3.2052309999999999</v>
      </c>
      <c r="T7548">
        <v>-0.55205230000000005</v>
      </c>
      <c r="U7548">
        <v>-0.10975650000000001</v>
      </c>
      <c r="V7548">
        <v>0.2476389</v>
      </c>
      <c r="W7548">
        <v>1.9277160000000002E-2</v>
      </c>
      <c r="X7548">
        <v>0.96866059999999998</v>
      </c>
      <c r="Y7548">
        <v>0.54250549999999997</v>
      </c>
      <c r="Z7548">
        <v>-0.1332546</v>
      </c>
      <c r="AA7548">
        <v>0.82941609999999999</v>
      </c>
      <c r="AB7548">
        <v>25</v>
      </c>
      <c r="AC7548">
        <v>6.1981000000000099</v>
      </c>
      <c r="AD7548">
        <v>-1.0967817791150001</v>
      </c>
      <c r="AE7548">
        <v>-0.30930000000000701</v>
      </c>
      <c r="AF7548">
        <v>3.4337844470300398</v>
      </c>
      <c r="AG7548">
        <v>-1.0967817791150001</v>
      </c>
      <c r="AH7548">
        <v>4.94202156243455</v>
      </c>
      <c r="AI7548">
        <v>100.32906717366799</v>
      </c>
      <c r="AJ7548">
        <v>55.207896457926999</v>
      </c>
      <c r="AK7548">
        <v>6.1169749895869296</v>
      </c>
      <c r="AL7548">
        <v>88.895431667967003</v>
      </c>
      <c r="AM7548">
        <v>75.659439770399203</v>
      </c>
      <c r="AN7548">
        <v>0.99999999584161703</v>
      </c>
    </row>
    <row r="7549" spans="1:40" x14ac:dyDescent="0.25">
      <c r="A7549" t="str">
        <f>"20190312154445246"</f>
        <v>20190312154445246</v>
      </c>
      <c r="B7549" t="str">
        <f>"1552376685234579"</f>
        <v>1552376685234579</v>
      </c>
      <c r="C7549" t="s">
        <v>40</v>
      </c>
      <c r="D7549">
        <v>5.1591630000000004</v>
      </c>
      <c r="E7549">
        <v>0.6390036</v>
      </c>
      <c r="F7549" t="s">
        <v>69</v>
      </c>
      <c r="G7549">
        <v>-171.05670000000001</v>
      </c>
      <c r="H7549" s="1">
        <v>-5.7482789999999997E-6</v>
      </c>
      <c r="I7549">
        <v>144.75280000000001</v>
      </c>
      <c r="J7549">
        <v>-177.17099999999999</v>
      </c>
      <c r="K7549">
        <v>1.096784</v>
      </c>
      <c r="L7549">
        <v>145.12899999999999</v>
      </c>
      <c r="M7549">
        <v>0.85614100000000004</v>
      </c>
      <c r="N7549">
        <v>0</v>
      </c>
      <c r="O7549">
        <v>0.51644920000000005</v>
      </c>
      <c r="P7549">
        <v>0.95688269999999997</v>
      </c>
      <c r="Q7549">
        <v>1.1642029999999999E-2</v>
      </c>
      <c r="R7549">
        <v>0.29024149999999999</v>
      </c>
      <c r="S7549">
        <v>3.2012939999999999</v>
      </c>
      <c r="T7549">
        <v>-0.55888139999999997</v>
      </c>
      <c r="U7549">
        <v>-0.147308299999999</v>
      </c>
      <c r="V7549">
        <v>0.24654000000000001</v>
      </c>
      <c r="W7549">
        <v>2.0356030000000001E-2</v>
      </c>
      <c r="X7549">
        <v>0.96891879999999997</v>
      </c>
      <c r="Y7549">
        <v>0.53990850000000001</v>
      </c>
      <c r="Z7549">
        <v>-0.13297909999999999</v>
      </c>
      <c r="AA7549">
        <v>0.83115309999999898</v>
      </c>
      <c r="AB7549">
        <v>25</v>
      </c>
      <c r="AC7549">
        <v>6.1142999999999796</v>
      </c>
      <c r="AD7549">
        <v>-1.0967897482790001</v>
      </c>
      <c r="AE7549">
        <v>-0.37619999999998199</v>
      </c>
      <c r="AF7549">
        <v>3.3722315805603502</v>
      </c>
      <c r="AG7549">
        <v>-1.0967897482790001</v>
      </c>
      <c r="AH7549">
        <v>4.8845963642840298</v>
      </c>
      <c r="AI7549">
        <v>100.469136567973</v>
      </c>
      <c r="AJ7549">
        <v>55.379545802849499</v>
      </c>
      <c r="AK7549">
        <v>6.0360728314720697</v>
      </c>
      <c r="AL7549">
        <v>88.833604819757497</v>
      </c>
      <c r="AM7549">
        <v>75.724117846170898</v>
      </c>
      <c r="AN7549">
        <v>0.99999999027539999</v>
      </c>
    </row>
    <row r="7550" spans="1:40" x14ac:dyDescent="0.25">
      <c r="A7550" t="str">
        <f>"20190312154445269"</f>
        <v>20190312154445269</v>
      </c>
      <c r="B7550" t="str">
        <f>"1552376685264835"</f>
        <v>1552376685264835</v>
      </c>
      <c r="C7550" t="s">
        <v>40</v>
      </c>
      <c r="D7550">
        <v>5.0917219999999999</v>
      </c>
      <c r="E7550">
        <v>0.63493279999999996</v>
      </c>
      <c r="F7550" t="s">
        <v>69</v>
      </c>
      <c r="G7550">
        <v>-170.7902</v>
      </c>
      <c r="H7550" s="1">
        <v>-5.6378189999999898E-6</v>
      </c>
      <c r="I7550">
        <v>144.77670000000001</v>
      </c>
      <c r="J7550">
        <v>-176.9323</v>
      </c>
      <c r="K7550">
        <v>1.0968</v>
      </c>
      <c r="L7550">
        <v>145.24719999999999</v>
      </c>
      <c r="M7550">
        <v>0.86656540000000004</v>
      </c>
      <c r="N7550">
        <v>0</v>
      </c>
      <c r="O7550">
        <v>0.4987627</v>
      </c>
      <c r="P7550">
        <v>0.96237709999999999</v>
      </c>
      <c r="Q7550">
        <v>1.1570769999999999E-2</v>
      </c>
      <c r="R7550">
        <v>0.27147100000000002</v>
      </c>
      <c r="S7550">
        <v>3.1953740000000002</v>
      </c>
      <c r="T7550">
        <v>-0.54925179999999996</v>
      </c>
      <c r="U7550">
        <v>-0.17640690000000001</v>
      </c>
      <c r="V7550">
        <v>0.24559110000000001</v>
      </c>
      <c r="W7550">
        <v>2.026354E-2</v>
      </c>
      <c r="X7550">
        <v>0.96916170000000001</v>
      </c>
      <c r="Y7550">
        <v>0.53121249999999998</v>
      </c>
      <c r="Z7550">
        <v>-0.12757950000000001</v>
      </c>
      <c r="AA7550">
        <v>0.83757789999999999</v>
      </c>
      <c r="AB7550">
        <v>25</v>
      </c>
      <c r="AC7550">
        <v>6.1420999999999903</v>
      </c>
      <c r="AD7550">
        <v>-1.0968056378190001</v>
      </c>
      <c r="AE7550">
        <v>-0.47049999999998698</v>
      </c>
      <c r="AF7550">
        <v>3.3650133485984699</v>
      </c>
      <c r="AG7550">
        <v>-1.0968056378190001</v>
      </c>
      <c r="AH7550">
        <v>4.9322653535530003</v>
      </c>
      <c r="AI7550">
        <v>100.408885506408</v>
      </c>
      <c r="AJ7550">
        <v>55.696432393548903</v>
      </c>
      <c r="AK7550">
        <v>6.0707115695984699</v>
      </c>
      <c r="AL7550">
        <v>88.838905211149196</v>
      </c>
      <c r="AM7550">
        <v>75.780250286199703</v>
      </c>
      <c r="AN7550">
        <v>1.00000000009971</v>
      </c>
    </row>
    <row r="7551" spans="1:40" x14ac:dyDescent="0.25">
      <c r="A7551" t="str">
        <f>"20190312154445292"</f>
        <v>20190312154445292</v>
      </c>
      <c r="B7551" t="str">
        <f>"1552376685285331"</f>
        <v>1552376685285331</v>
      </c>
      <c r="C7551" t="s">
        <v>40</v>
      </c>
      <c r="D7551">
        <v>5.1202560000000004</v>
      </c>
      <c r="E7551">
        <v>0.63196519999999901</v>
      </c>
      <c r="F7551" t="s">
        <v>69</v>
      </c>
      <c r="G7551">
        <v>-170.2593</v>
      </c>
      <c r="H7551" s="1">
        <v>-5.4131739999999998E-6</v>
      </c>
      <c r="I7551">
        <v>144.81010000000001</v>
      </c>
      <c r="J7551">
        <v>-176.6995</v>
      </c>
      <c r="K7551">
        <v>1.0968359999999999</v>
      </c>
      <c r="L7551">
        <v>145.35640000000001</v>
      </c>
      <c r="M7551">
        <v>0.87628139999999999</v>
      </c>
      <c r="N7551">
        <v>0</v>
      </c>
      <c r="O7551">
        <v>0.4814909</v>
      </c>
      <c r="P7551">
        <v>0.96709699999999998</v>
      </c>
      <c r="Q7551">
        <v>1.157625E-2</v>
      </c>
      <c r="R7551">
        <v>0.25414499999999901</v>
      </c>
      <c r="S7551">
        <v>3.1823429999999999</v>
      </c>
      <c r="T7551">
        <v>-0.52306940000000002</v>
      </c>
      <c r="U7551">
        <v>-0.20845030000000001</v>
      </c>
      <c r="V7551">
        <v>0.2437829</v>
      </c>
      <c r="W7551">
        <v>2.0271649999999999E-2</v>
      </c>
      <c r="X7551">
        <v>0.96961799999999998</v>
      </c>
      <c r="Y7551">
        <v>0.52469069999999995</v>
      </c>
      <c r="Z7551">
        <v>-0.1190365</v>
      </c>
      <c r="AA7551">
        <v>0.84292939999999905</v>
      </c>
      <c r="AB7551">
        <v>25</v>
      </c>
      <c r="AC7551">
        <v>6.4401999999999999</v>
      </c>
      <c r="AD7551">
        <v>-1.0968414131739901</v>
      </c>
      <c r="AE7551">
        <v>-0.54630000000000201</v>
      </c>
      <c r="AF7551">
        <v>3.479924828158</v>
      </c>
      <c r="AG7551">
        <v>-1.0968414131739901</v>
      </c>
      <c r="AH7551">
        <v>5.2305553056331897</v>
      </c>
      <c r="AI7551">
        <v>99.903421478836904</v>
      </c>
      <c r="AJ7551">
        <v>56.363901033027702</v>
      </c>
      <c r="AK7551">
        <v>6.3774326104296604</v>
      </c>
      <c r="AL7551">
        <v>88.838440509556804</v>
      </c>
      <c r="AM7551">
        <v>75.887122304155596</v>
      </c>
      <c r="AN7551">
        <v>1.00000005402506</v>
      </c>
    </row>
    <row r="7552" spans="1:40" x14ac:dyDescent="0.25">
      <c r="A7552" t="str">
        <f>"20190312154445306"</f>
        <v>20190312154445306</v>
      </c>
      <c r="B7552" t="str">
        <f>"1552376685295092"</f>
        <v>1552376685295092</v>
      </c>
      <c r="C7552" t="s">
        <v>40</v>
      </c>
      <c r="D7552">
        <v>5.1198430000000004</v>
      </c>
      <c r="E7552">
        <v>0.63061730000000005</v>
      </c>
      <c r="F7552" t="s">
        <v>69</v>
      </c>
      <c r="G7552">
        <v>-170.11160000000001</v>
      </c>
      <c r="H7552" s="1">
        <v>-5.3617699999999997E-6</v>
      </c>
      <c r="I7552">
        <v>144.8536</v>
      </c>
      <c r="J7552">
        <v>-176.5377</v>
      </c>
      <c r="K7552">
        <v>1.096848</v>
      </c>
      <c r="L7552">
        <v>145.42930000000001</v>
      </c>
      <c r="M7552">
        <v>0.88278760000000001</v>
      </c>
      <c r="N7552">
        <v>0</v>
      </c>
      <c r="O7552">
        <v>0.46945809999999999</v>
      </c>
      <c r="P7552">
        <v>0.97037390000000001</v>
      </c>
      <c r="Q7552">
        <v>1.1764500000000001E-2</v>
      </c>
      <c r="R7552">
        <v>0.24132210000000001</v>
      </c>
      <c r="S7552">
        <v>3.1720120000000001</v>
      </c>
      <c r="T7552">
        <v>-0.52812139999999996</v>
      </c>
      <c r="U7552">
        <v>-0.24206539999999999</v>
      </c>
      <c r="V7552">
        <v>0.24335380000000001</v>
      </c>
      <c r="W7552">
        <v>2.0430400000000001E-2</v>
      </c>
      <c r="X7552">
        <v>0.96972239999999998</v>
      </c>
      <c r="Y7552">
        <v>0.52205590000000002</v>
      </c>
      <c r="Z7552">
        <v>-0.11855</v>
      </c>
      <c r="AA7552">
        <v>0.84463220000000006</v>
      </c>
      <c r="AB7552">
        <v>25</v>
      </c>
      <c r="AC7552">
        <v>6.4260999999999902</v>
      </c>
      <c r="AD7552">
        <v>-1.09685336177</v>
      </c>
      <c r="AE7552">
        <v>-0.57570000000001098</v>
      </c>
      <c r="AF7552">
        <v>3.4264927496170801</v>
      </c>
      <c r="AG7552">
        <v>-1.09685336177</v>
      </c>
      <c r="AH7552">
        <v>5.2516283644007604</v>
      </c>
      <c r="AI7552">
        <v>99.921794527283595</v>
      </c>
      <c r="AJ7552">
        <v>56.877042219555896</v>
      </c>
      <c r="AK7552">
        <v>6.3658102656443702</v>
      </c>
      <c r="AL7552">
        <v>88.829342861321194</v>
      </c>
      <c r="AM7552">
        <v>75.912429674957806</v>
      </c>
      <c r="AN7552">
        <v>1.0000000031401799</v>
      </c>
    </row>
    <row r="7553" spans="1:40" x14ac:dyDescent="0.25">
      <c r="A7553" t="str">
        <f>"20190312154445321"</f>
        <v>20190312154445321</v>
      </c>
      <c r="B7553" t="str">
        <f>"1552376685314611"</f>
        <v>1552376685314611</v>
      </c>
      <c r="C7553" t="s">
        <v>40</v>
      </c>
      <c r="D7553">
        <v>5.1487740000000004</v>
      </c>
      <c r="E7553">
        <v>0.62787130000000002</v>
      </c>
      <c r="F7553" t="s">
        <v>69</v>
      </c>
      <c r="G7553">
        <v>-169.97309999999999</v>
      </c>
      <c r="H7553" s="1">
        <v>-5.30305799999999E-6</v>
      </c>
      <c r="I7553">
        <v>144.86199999999999</v>
      </c>
      <c r="J7553">
        <v>-176.38829999999999</v>
      </c>
      <c r="K7553">
        <v>1.09687</v>
      </c>
      <c r="L7553">
        <v>145.49379999999999</v>
      </c>
      <c r="M7553">
        <v>0.8886117</v>
      </c>
      <c r="N7553">
        <v>0</v>
      </c>
      <c r="O7553">
        <v>0.45834049999999998</v>
      </c>
      <c r="P7553">
        <v>0.97316309999999995</v>
      </c>
      <c r="Q7553">
        <v>1.152768E-2</v>
      </c>
      <c r="R7553">
        <v>0.22982810000000001</v>
      </c>
      <c r="S7553">
        <v>3.166061</v>
      </c>
      <c r="T7553">
        <v>-0.52900429999999998</v>
      </c>
      <c r="U7553">
        <v>-0.27363589999999999</v>
      </c>
      <c r="V7553">
        <v>0.24264150000000001</v>
      </c>
      <c r="W7553">
        <v>2.0181069999999999E-2</v>
      </c>
      <c r="X7553">
        <v>0.96990609999999999</v>
      </c>
      <c r="Y7553">
        <v>0.52000579999999996</v>
      </c>
      <c r="Z7553">
        <v>-0.117116899999999</v>
      </c>
      <c r="AA7553">
        <v>0.8460955</v>
      </c>
      <c r="AB7553">
        <v>25</v>
      </c>
      <c r="AC7553">
        <v>6.4151999999999898</v>
      </c>
      <c r="AD7553">
        <v>-1.0968753030580001</v>
      </c>
      <c r="AE7553">
        <v>-0.63179999999999803</v>
      </c>
      <c r="AF7553">
        <v>3.4037341331984798</v>
      </c>
      <c r="AG7553">
        <v>-1.0968753030580001</v>
      </c>
      <c r="AH7553">
        <v>5.2595529529315899</v>
      </c>
      <c r="AI7553">
        <v>99.930923217824997</v>
      </c>
      <c r="AJ7553">
        <v>57.090964059359898</v>
      </c>
      <c r="AK7553">
        <v>6.3601445537543002</v>
      </c>
      <c r="AL7553">
        <v>88.843631369638899</v>
      </c>
      <c r="AM7553">
        <v>75.954584517095597</v>
      </c>
      <c r="AN7553">
        <v>1.0000000079628999</v>
      </c>
    </row>
    <row r="7554" spans="1:40" x14ac:dyDescent="0.25">
      <c r="A7554" t="str">
        <f>"20190312154445338"</f>
        <v>20190312154445338</v>
      </c>
      <c r="B7554" t="str">
        <f>"1552376685335107"</f>
        <v>1552376685335107</v>
      </c>
      <c r="C7554" t="s">
        <v>40</v>
      </c>
      <c r="D7554">
        <v>5.136139</v>
      </c>
      <c r="E7554">
        <v>0.62752249999999998</v>
      </c>
      <c r="F7554" t="s">
        <v>43</v>
      </c>
      <c r="G7554">
        <v>-169.78039999999999</v>
      </c>
      <c r="H7554" s="1">
        <v>-1.4868309999999999E-6</v>
      </c>
      <c r="I7554">
        <v>144.88759999999999</v>
      </c>
      <c r="J7554">
        <v>-176.21770000000001</v>
      </c>
      <c r="K7554">
        <v>1.096892</v>
      </c>
      <c r="L7554">
        <v>145.565</v>
      </c>
      <c r="M7554">
        <v>0.89506359999999996</v>
      </c>
      <c r="N7554">
        <v>0</v>
      </c>
      <c r="O7554">
        <v>0.44561200000000001</v>
      </c>
      <c r="P7554">
        <v>0.97607299999999997</v>
      </c>
      <c r="Q7554">
        <v>1.0916479999999999E-2</v>
      </c>
      <c r="R7554">
        <v>0.21716859999999999</v>
      </c>
      <c r="S7554">
        <v>3.157349</v>
      </c>
      <c r="T7554">
        <v>-0.52410129999999999</v>
      </c>
      <c r="U7554">
        <v>-0.28964230000000002</v>
      </c>
      <c r="V7554">
        <v>0.2413767</v>
      </c>
      <c r="W7554">
        <v>1.9575599999999999E-2</v>
      </c>
      <c r="X7554">
        <v>0.97023400000000004</v>
      </c>
      <c r="Y7554">
        <v>0.51278550000000001</v>
      </c>
      <c r="Z7554">
        <v>-0.11384329999999999</v>
      </c>
      <c r="AA7554">
        <v>0.850935199999999</v>
      </c>
      <c r="AB7554">
        <v>25</v>
      </c>
      <c r="AC7554">
        <v>6.43730000000002</v>
      </c>
      <c r="AD7554">
        <v>-1.0968934868310001</v>
      </c>
      <c r="AE7554">
        <v>-0.677400000000005</v>
      </c>
      <c r="AF7554">
        <v>3.3783442491077098</v>
      </c>
      <c r="AG7554">
        <v>-1.0968934868310001</v>
      </c>
      <c r="AH7554">
        <v>5.30829210439639</v>
      </c>
      <c r="AI7554">
        <v>99.8888405167325</v>
      </c>
      <c r="AJ7554">
        <v>57.526194321395799</v>
      </c>
      <c r="AK7554">
        <v>6.3870455026192303</v>
      </c>
      <c r="AL7554">
        <v>88.878329053466999</v>
      </c>
      <c r="AM7554">
        <v>76.029459575462795</v>
      </c>
      <c r="AN7554">
        <v>0.99999996508712397</v>
      </c>
    </row>
    <row r="7555" spans="1:40" x14ac:dyDescent="0.25">
      <c r="A7555" t="str">
        <f>"20190312154445371"</f>
        <v>20190312154445371</v>
      </c>
      <c r="B7555" t="str">
        <f>"1552376685365364"</f>
        <v>1552376685365364</v>
      </c>
      <c r="C7555" t="s">
        <v>40</v>
      </c>
      <c r="D7555">
        <v>5.1363269999999996</v>
      </c>
      <c r="E7555">
        <v>0.62858219999999898</v>
      </c>
      <c r="F7555" t="s">
        <v>43</v>
      </c>
      <c r="G7555">
        <v>-169.60400000000001</v>
      </c>
      <c r="H7555" s="1">
        <v>-1.567224E-6</v>
      </c>
      <c r="I7555">
        <v>144.87639999999999</v>
      </c>
      <c r="J7555">
        <v>-175.8623</v>
      </c>
      <c r="K7555">
        <v>1.096957</v>
      </c>
      <c r="L7555">
        <v>145.7047</v>
      </c>
      <c r="M7555">
        <v>0.90781350000000005</v>
      </c>
      <c r="N7555">
        <v>0</v>
      </c>
      <c r="O7555">
        <v>0.4190313</v>
      </c>
      <c r="P7555">
        <v>0.98179240000000001</v>
      </c>
      <c r="Q7555">
        <v>9.7703479999999999E-3</v>
      </c>
      <c r="R7555">
        <v>0.18970629999999999</v>
      </c>
      <c r="S7555">
        <v>3.1524049999999999</v>
      </c>
      <c r="T7555">
        <v>-0.52283760000000001</v>
      </c>
      <c r="U7555">
        <v>-0.32826230000000001</v>
      </c>
      <c r="V7555">
        <v>0.2399464</v>
      </c>
      <c r="W7555">
        <v>1.8413280000000001E-2</v>
      </c>
      <c r="X7555">
        <v>0.97061149999999996</v>
      </c>
      <c r="Y7555">
        <v>0.49860769999999999</v>
      </c>
      <c r="Z7555">
        <v>-0.10851619999999999</v>
      </c>
      <c r="AA7555">
        <v>0.86000849999999995</v>
      </c>
      <c r="AB7555">
        <v>25</v>
      </c>
      <c r="AC7555">
        <v>6.2582999999999904</v>
      </c>
      <c r="AD7555">
        <v>-1.0969585672240001</v>
      </c>
      <c r="AE7555">
        <v>-0.82830000000001203</v>
      </c>
      <c r="AF7555">
        <v>3.2759357246432801</v>
      </c>
      <c r="AG7555">
        <v>-1.0969585672240001</v>
      </c>
      <c r="AH7555">
        <v>5.1786852168787396</v>
      </c>
      <c r="AI7555">
        <v>100.149132894689</v>
      </c>
      <c r="AJ7555">
        <v>57.683349184528502</v>
      </c>
      <c r="AK7555">
        <v>6.2252593155400797</v>
      </c>
      <c r="AL7555">
        <v>88.944937147687199</v>
      </c>
      <c r="AM7555">
        <v>76.114221818570201</v>
      </c>
      <c r="AN7555">
        <v>1.0000000038427801</v>
      </c>
    </row>
    <row r="7556" spans="1:40" x14ac:dyDescent="0.25">
      <c r="A7556" t="str">
        <f>"20190312154445393"</f>
        <v>20190312154445393</v>
      </c>
      <c r="B7556" t="str">
        <f>"1552376685384883"</f>
        <v>1552376685384883</v>
      </c>
      <c r="C7556" t="s">
        <v>40</v>
      </c>
      <c r="D7556">
        <v>5.1254359999999997</v>
      </c>
      <c r="E7556">
        <v>0.62839719999999999</v>
      </c>
      <c r="F7556" t="s">
        <v>43</v>
      </c>
      <c r="G7556">
        <v>-169.2715</v>
      </c>
      <c r="H7556" s="1">
        <v>-1.7069079999999999E-6</v>
      </c>
      <c r="I7556">
        <v>144.81059999999999</v>
      </c>
      <c r="J7556">
        <v>-175.62260000000001</v>
      </c>
      <c r="K7556">
        <v>1.0970009999999999</v>
      </c>
      <c r="L7556">
        <v>145.7919</v>
      </c>
      <c r="M7556">
        <v>0.91589399999999999</v>
      </c>
      <c r="N7556">
        <v>0</v>
      </c>
      <c r="O7556">
        <v>0.40106439999999999</v>
      </c>
      <c r="P7556">
        <v>0.98505620000000005</v>
      </c>
      <c r="Q7556">
        <v>9.9781469999999997E-3</v>
      </c>
      <c r="R7556">
        <v>0.17194470000000001</v>
      </c>
      <c r="S7556">
        <v>3.1432500000000001</v>
      </c>
      <c r="T7556">
        <v>-0.52315929999999999</v>
      </c>
      <c r="U7556">
        <v>-0.42642210000000003</v>
      </c>
      <c r="V7556">
        <v>0.23835410000000001</v>
      </c>
      <c r="W7556">
        <v>1.865118E-2</v>
      </c>
      <c r="X7556">
        <v>0.97099919999999995</v>
      </c>
      <c r="Y7556">
        <v>0.50840229999999997</v>
      </c>
      <c r="Z7556">
        <v>-0.10683529999999999</v>
      </c>
      <c r="AA7556">
        <v>0.85446669999999902</v>
      </c>
      <c r="AB7556">
        <v>25</v>
      </c>
      <c r="AC7556">
        <v>6.3510999999999997</v>
      </c>
      <c r="AD7556">
        <v>-1.0970027069079999</v>
      </c>
      <c r="AE7556">
        <v>-0.98130000000000395</v>
      </c>
      <c r="AF7556">
        <v>3.34887675883967</v>
      </c>
      <c r="AG7556">
        <v>-1.0970027069079999</v>
      </c>
      <c r="AH7556">
        <v>5.2705664143569102</v>
      </c>
      <c r="AI7556">
        <v>99.963759927221005</v>
      </c>
      <c r="AJ7556">
        <v>57.568441634167101</v>
      </c>
      <c r="AK7556">
        <v>6.3401309775908397</v>
      </c>
      <c r="AL7556">
        <v>88.931304130972705</v>
      </c>
      <c r="AM7556">
        <v>76.208135079036296</v>
      </c>
      <c r="AN7556">
        <v>0.999999994951421</v>
      </c>
    </row>
    <row r="7557" spans="1:40" x14ac:dyDescent="0.25">
      <c r="A7557" t="str">
        <f>"20190312154445415"</f>
        <v>20190312154445415</v>
      </c>
      <c r="B7557" t="str">
        <f>"1552376685404911"</f>
        <v>1552376685404911</v>
      </c>
      <c r="C7557" t="s">
        <v>40</v>
      </c>
      <c r="D7557">
        <v>5.1382479999999999</v>
      </c>
      <c r="E7557">
        <v>0.62783219999999995</v>
      </c>
      <c r="F7557" t="s">
        <v>43</v>
      </c>
      <c r="G7557">
        <v>-169.0172</v>
      </c>
      <c r="H7557" s="1">
        <v>-1.817932E-6</v>
      </c>
      <c r="I7557">
        <v>144.77600000000001</v>
      </c>
      <c r="J7557">
        <v>-175.37710000000001</v>
      </c>
      <c r="K7557">
        <v>1.0970409999999999</v>
      </c>
      <c r="L7557">
        <v>145.87569999999999</v>
      </c>
      <c r="M7557">
        <v>0.92374990000000001</v>
      </c>
      <c r="N7557">
        <v>0</v>
      </c>
      <c r="O7557">
        <v>0.3826253</v>
      </c>
      <c r="P7557">
        <v>0.98804970000000003</v>
      </c>
      <c r="Q7557">
        <v>9.486286E-3</v>
      </c>
      <c r="R7557">
        <v>0.15384339999999999</v>
      </c>
      <c r="S7557">
        <v>3.1349490000000002</v>
      </c>
      <c r="T7557">
        <v>-0.5206385</v>
      </c>
      <c r="U7557">
        <v>-0.48216249999999999</v>
      </c>
      <c r="V7557">
        <v>0.23668790000000001</v>
      </c>
      <c r="W7557">
        <v>1.8203029999999999E-2</v>
      </c>
      <c r="X7557">
        <v>0.97141520000000003</v>
      </c>
      <c r="Y7557">
        <v>0.506795</v>
      </c>
      <c r="Z7557">
        <v>-0.1035296</v>
      </c>
      <c r="AA7557">
        <v>0.85582729999999996</v>
      </c>
      <c r="AB7557">
        <v>25</v>
      </c>
      <c r="AC7557">
        <v>6.3598999999999997</v>
      </c>
      <c r="AD7557">
        <v>-1.097042817932</v>
      </c>
      <c r="AE7557">
        <v>-1.0996999999999799</v>
      </c>
      <c r="AF7557">
        <v>3.3529291572128899</v>
      </c>
      <c r="AG7557">
        <v>-1.097042817932</v>
      </c>
      <c r="AH7557">
        <v>5.3017883037844804</v>
      </c>
      <c r="AI7557">
        <v>99.9196868631592</v>
      </c>
      <c r="AJ7557">
        <v>57.690135569707003</v>
      </c>
      <c r="AK7557">
        <v>6.3682490604412099</v>
      </c>
      <c r="AL7557">
        <v>88.956985602334896</v>
      </c>
      <c r="AM7557">
        <v>76.306547360767397</v>
      </c>
      <c r="AN7557">
        <v>1.00000000154931</v>
      </c>
    </row>
    <row r="7558" spans="1:40" x14ac:dyDescent="0.25">
      <c r="A7558" t="str">
        <f>"20190312154445437"</f>
        <v>20190312154445437</v>
      </c>
      <c r="B7558" t="str">
        <f>"1552376685425408"</f>
        <v>1552376685425408</v>
      </c>
      <c r="C7558" t="s">
        <v>40</v>
      </c>
      <c r="D7558">
        <v>5.1525189999999998</v>
      </c>
      <c r="E7558">
        <v>0.62735030000000003</v>
      </c>
      <c r="F7558" t="s">
        <v>43</v>
      </c>
      <c r="G7558">
        <v>-168.77420000000001</v>
      </c>
      <c r="H7558" s="1">
        <v>-1.9240920000000001E-6</v>
      </c>
      <c r="I7558">
        <v>144.7433</v>
      </c>
      <c r="J7558">
        <v>-175.14009999999999</v>
      </c>
      <c r="K7558">
        <v>1.0970879999999901</v>
      </c>
      <c r="L7558">
        <v>145.95150000000001</v>
      </c>
      <c r="M7558">
        <v>0.93093369999999998</v>
      </c>
      <c r="N7558">
        <v>0</v>
      </c>
      <c r="O7558">
        <v>0.36480000000000001</v>
      </c>
      <c r="P7558">
        <v>0.99045320000000003</v>
      </c>
      <c r="Q7558">
        <v>8.4119290000000003E-3</v>
      </c>
      <c r="R7558">
        <v>0.137592299999999</v>
      </c>
      <c r="S7558">
        <v>3.1247099999999999</v>
      </c>
      <c r="T7558">
        <v>-0.51915649999999902</v>
      </c>
      <c r="U7558">
        <v>-0.53590389999999999</v>
      </c>
      <c r="V7558">
        <v>0.23394000000000001</v>
      </c>
      <c r="W7558">
        <v>1.7230909999999999E-2</v>
      </c>
      <c r="X7558">
        <v>0.97209840000000003</v>
      </c>
      <c r="Y7558">
        <v>0.50538179999999999</v>
      </c>
      <c r="Z7558">
        <v>-0.10057339999999999</v>
      </c>
      <c r="AA7558">
        <v>0.85701469999999902</v>
      </c>
      <c r="AB7558">
        <v>25</v>
      </c>
      <c r="AC7558">
        <v>6.3658999999999804</v>
      </c>
      <c r="AD7558">
        <v>-1.09708992409199</v>
      </c>
      <c r="AE7558">
        <v>-1.2081999999999999</v>
      </c>
      <c r="AF7558">
        <v>3.3514440443437099</v>
      </c>
      <c r="AG7558">
        <v>-1.09708992409199</v>
      </c>
      <c r="AH7558">
        <v>5.3333605980985199</v>
      </c>
      <c r="AI7558">
        <v>99.880095287872805</v>
      </c>
      <c r="AJ7558">
        <v>57.8550520268236</v>
      </c>
      <c r="AK7558">
        <v>6.3937875123639296</v>
      </c>
      <c r="AL7558">
        <v>89.012692782533804</v>
      </c>
      <c r="AM7558">
        <v>76.468806154693993</v>
      </c>
      <c r="AN7558">
        <v>1.00000006357099</v>
      </c>
    </row>
    <row r="7559" spans="1:40" x14ac:dyDescent="0.25">
      <c r="A7559" t="str">
        <f>"20190312154445459"</f>
        <v>20190312154445459</v>
      </c>
      <c r="B7559" t="str">
        <f>"1552376685454687"</f>
        <v>1552376685454687</v>
      </c>
      <c r="C7559" t="s">
        <v>40</v>
      </c>
      <c r="D7559">
        <v>5.1901760000000001</v>
      </c>
      <c r="E7559">
        <v>0.62581149999999997</v>
      </c>
      <c r="F7559" t="s">
        <v>43</v>
      </c>
      <c r="G7559">
        <v>-168.4572</v>
      </c>
      <c r="H7559" s="1">
        <v>-2.061572E-6</v>
      </c>
      <c r="I7559">
        <v>144.6968</v>
      </c>
      <c r="J7559">
        <v>-174.89070000000001</v>
      </c>
      <c r="K7559">
        <v>1.0971420000000001</v>
      </c>
      <c r="L7559">
        <v>146.02590000000001</v>
      </c>
      <c r="M7559">
        <v>0.93807660000000004</v>
      </c>
      <c r="N7559">
        <v>0</v>
      </c>
      <c r="O7559">
        <v>0.34601850000000001</v>
      </c>
      <c r="P7559">
        <v>0.99253199999999997</v>
      </c>
      <c r="Q7559">
        <v>7.3071359999999997E-3</v>
      </c>
      <c r="R7559">
        <v>0.12176729999999999</v>
      </c>
      <c r="S7559">
        <v>3.114487</v>
      </c>
      <c r="T7559">
        <v>-0.51128580000000001</v>
      </c>
      <c r="U7559">
        <v>-0.58471680000000004</v>
      </c>
      <c r="V7559">
        <v>0.22988410000000001</v>
      </c>
      <c r="W7559">
        <v>1.630407E-2</v>
      </c>
      <c r="X7559">
        <v>0.97308139999999999</v>
      </c>
      <c r="Y7559">
        <v>0.50222909999999998</v>
      </c>
      <c r="Z7559">
        <v>-9.6113699999999996E-2</v>
      </c>
      <c r="AA7559">
        <v>0.85937659999999905</v>
      </c>
      <c r="AB7559">
        <v>25</v>
      </c>
      <c r="AC7559">
        <v>6.4335000000000004</v>
      </c>
      <c r="AD7559">
        <v>-1.0971440615719901</v>
      </c>
      <c r="AE7559">
        <v>-1.3291000000000099</v>
      </c>
      <c r="AF7559">
        <v>3.3791483283017998</v>
      </c>
      <c r="AG7559">
        <v>-1.0971440615719901</v>
      </c>
      <c r="AH7559">
        <v>5.4247063850458996</v>
      </c>
      <c r="AI7559">
        <v>99.740884886763197</v>
      </c>
      <c r="AJ7559">
        <v>58.080470319361297</v>
      </c>
      <c r="AK7559">
        <v>6.4845823212035301</v>
      </c>
      <c r="AL7559">
        <v>89.065804177363901</v>
      </c>
      <c r="AM7559">
        <v>76.707952051345401</v>
      </c>
      <c r="AN7559">
        <v>0.99999996657866597</v>
      </c>
    </row>
    <row r="7560" spans="1:40" x14ac:dyDescent="0.25">
      <c r="A7560" t="str">
        <f>"20190312154445482"</f>
        <v>20190312154445482</v>
      </c>
      <c r="B7560" t="str">
        <f>"1552376685475183"</f>
        <v>1552376685475183</v>
      </c>
      <c r="C7560" t="s">
        <v>40</v>
      </c>
      <c r="D7560">
        <v>5.1852780000000003</v>
      </c>
      <c r="E7560">
        <v>0.62451619999999997</v>
      </c>
      <c r="F7560" t="s">
        <v>43</v>
      </c>
      <c r="G7560">
        <v>-168.16409999999999</v>
      </c>
      <c r="H7560" s="1">
        <v>-2.194182E-6</v>
      </c>
      <c r="I7560">
        <v>144.67449999999999</v>
      </c>
      <c r="J7560">
        <v>-174.642</v>
      </c>
      <c r="K7560">
        <v>1.097213</v>
      </c>
      <c r="L7560">
        <v>146.09479999999999</v>
      </c>
      <c r="M7560">
        <v>0.94478510000000004</v>
      </c>
      <c r="N7560">
        <v>0</v>
      </c>
      <c r="O7560">
        <v>0.3272562</v>
      </c>
      <c r="P7560">
        <v>0.99434880000000003</v>
      </c>
      <c r="Q7560">
        <v>8.4784769999999999E-3</v>
      </c>
      <c r="R7560">
        <v>0.1058245</v>
      </c>
      <c r="S7560">
        <v>3.1027680000000002</v>
      </c>
      <c r="T7560">
        <v>-0.50607349999999995</v>
      </c>
      <c r="U7560">
        <v>-0.62335209999999996</v>
      </c>
      <c r="V7560">
        <v>0.22614090000000001</v>
      </c>
      <c r="W7560">
        <v>1.7662859999999999E-2</v>
      </c>
      <c r="X7560">
        <v>0.97393450000000004</v>
      </c>
      <c r="Y7560">
        <v>0.49648209999999998</v>
      </c>
      <c r="Z7560">
        <v>-9.2035350000000002E-2</v>
      </c>
      <c r="AA7560">
        <v>0.86315409999999904</v>
      </c>
      <c r="AB7560">
        <v>25</v>
      </c>
      <c r="AC7560">
        <v>6.4779</v>
      </c>
      <c r="AD7560">
        <v>-1.0972151941820001</v>
      </c>
      <c r="AE7560">
        <v>-1.4202999999999899</v>
      </c>
      <c r="AF7560">
        <v>3.37005488973029</v>
      </c>
      <c r="AG7560">
        <v>-1.0972151941820001</v>
      </c>
      <c r="AH7560">
        <v>5.5055228081978704</v>
      </c>
      <c r="AI7560">
        <v>99.646765782680404</v>
      </c>
      <c r="AJ7560">
        <v>58.528257969142501</v>
      </c>
      <c r="AK7560">
        <v>6.5476661898516104</v>
      </c>
      <c r="AL7560">
        <v>88.987940087394705</v>
      </c>
      <c r="AM7560">
        <v>76.927948999154097</v>
      </c>
      <c r="AN7560">
        <v>1.00000004678321</v>
      </c>
    </row>
    <row r="7561" spans="1:40" x14ac:dyDescent="0.25">
      <c r="A7561" t="str">
        <f>"20190312154445504"</f>
        <v>20190312154445504</v>
      </c>
      <c r="B7561" t="str">
        <f>"1552376685494704"</f>
        <v>1552376685494704</v>
      </c>
      <c r="C7561" t="s">
        <v>40</v>
      </c>
      <c r="D7561">
        <v>5.1609689999999997</v>
      </c>
      <c r="E7561">
        <v>0.60114440000000002</v>
      </c>
      <c r="F7561" t="s">
        <v>43</v>
      </c>
      <c r="G7561">
        <v>-167.8417</v>
      </c>
      <c r="H7561" s="1">
        <v>-2.3367040000000001E-6</v>
      </c>
      <c r="I7561">
        <v>144.63740000000001</v>
      </c>
      <c r="J7561">
        <v>-174.40219999999999</v>
      </c>
      <c r="K7561">
        <v>1.097269</v>
      </c>
      <c r="L7561">
        <v>146.15610000000001</v>
      </c>
      <c r="M7561">
        <v>0.95086870000000001</v>
      </c>
      <c r="N7561">
        <v>0</v>
      </c>
      <c r="O7561">
        <v>0.30913249999999998</v>
      </c>
      <c r="P7561">
        <v>0.99580469999999999</v>
      </c>
      <c r="Q7561">
        <v>1.0139479999999999E-2</v>
      </c>
      <c r="R7561">
        <v>9.0943179999999998E-2</v>
      </c>
      <c r="S7561">
        <v>3.0918269999999999</v>
      </c>
      <c r="T7561">
        <v>-0.49885679999999999</v>
      </c>
      <c r="U7561">
        <v>-0.66261289999999995</v>
      </c>
      <c r="V7561">
        <v>0.22213040000000001</v>
      </c>
      <c r="W7561">
        <v>1.9523639999999998E-2</v>
      </c>
      <c r="X7561">
        <v>0.97482139999999995</v>
      </c>
      <c r="Y7561">
        <v>0.49161929999999998</v>
      </c>
      <c r="Z7561">
        <v>-8.7775850000000002E-2</v>
      </c>
      <c r="AA7561">
        <v>0.86637509999999995</v>
      </c>
      <c r="AB7561">
        <v>25</v>
      </c>
      <c r="AC7561">
        <v>6.5604999999999896</v>
      </c>
      <c r="AD7561">
        <v>-1.0972713367039999</v>
      </c>
      <c r="AE7561">
        <v>-1.5186999999999899</v>
      </c>
      <c r="AF7561">
        <v>3.38282644622694</v>
      </c>
      <c r="AG7561">
        <v>-1.0972713367039999</v>
      </c>
      <c r="AH7561">
        <v>5.62029390400218</v>
      </c>
      <c r="AI7561">
        <v>99.496042312759002</v>
      </c>
      <c r="AJ7561">
        <v>58.956477922537402</v>
      </c>
      <c r="AK7561">
        <v>6.6509565266214601</v>
      </c>
      <c r="AL7561">
        <v>88.881306665942603</v>
      </c>
      <c r="AM7561">
        <v>77.163318002334293</v>
      </c>
      <c r="AN7561">
        <v>0.99999992451048103</v>
      </c>
    </row>
    <row r="7562" spans="1:40" x14ac:dyDescent="0.25">
      <c r="A7562" t="str">
        <f>"20190312154445526"</f>
        <v>20190312154445526</v>
      </c>
      <c r="B7562" t="str">
        <f>"1552376685515199"</f>
        <v>1552376685515199</v>
      </c>
      <c r="C7562" t="s">
        <v>40</v>
      </c>
      <c r="D7562">
        <v>5.2121740000000001</v>
      </c>
      <c r="E7562">
        <v>0.5993174</v>
      </c>
      <c r="F7562" t="s">
        <v>43</v>
      </c>
      <c r="G7562">
        <v>-166.61609999999999</v>
      </c>
      <c r="H7562" s="1">
        <v>-2.9663279999999998E-6</v>
      </c>
      <c r="I7562">
        <v>144.8263</v>
      </c>
      <c r="J7562">
        <v>-174.1514</v>
      </c>
      <c r="K7562">
        <v>1.097315</v>
      </c>
      <c r="L7562">
        <v>146.21520000000001</v>
      </c>
      <c r="M7562">
        <v>0.95683019999999996</v>
      </c>
      <c r="N7562">
        <v>0</v>
      </c>
      <c r="O7562">
        <v>0.29015380000000002</v>
      </c>
      <c r="P7562">
        <v>0.99709579999999998</v>
      </c>
      <c r="Q7562">
        <v>7.9302009999999996E-3</v>
      </c>
      <c r="R7562">
        <v>7.5746289999999994E-2</v>
      </c>
      <c r="S7562">
        <v>3.064835</v>
      </c>
      <c r="T7562">
        <v>-0.431917</v>
      </c>
      <c r="U7562">
        <v>-0.52345280000000005</v>
      </c>
      <c r="V7562">
        <v>0.2175359</v>
      </c>
      <c r="W7562">
        <v>1.753271E-2</v>
      </c>
      <c r="X7562">
        <v>0.97589490000000001</v>
      </c>
      <c r="Y7562">
        <v>0.44012309999999999</v>
      </c>
      <c r="Z7562">
        <v>-7.085226E-2</v>
      </c>
      <c r="AA7562">
        <v>0.89513779999999998</v>
      </c>
      <c r="AB7562">
        <v>25</v>
      </c>
      <c r="AC7562">
        <v>7.5353000000000003</v>
      </c>
      <c r="AD7562">
        <v>-1.0973179663279999</v>
      </c>
      <c r="AE7562">
        <v>-1.3889</v>
      </c>
      <c r="AF7562">
        <v>3.4451826244903399</v>
      </c>
      <c r="AG7562">
        <v>-1.0973179663279999</v>
      </c>
      <c r="AH7562">
        <v>6.6711621204945999</v>
      </c>
      <c r="AI7562">
        <v>98.314824082492706</v>
      </c>
      <c r="AJ7562">
        <v>62.686850817422602</v>
      </c>
      <c r="AK7562">
        <v>7.58800329950102</v>
      </c>
      <c r="AL7562">
        <v>88.995398300734706</v>
      </c>
      <c r="AM7562">
        <v>77.433691981032197</v>
      </c>
      <c r="AN7562">
        <v>1.0000000597773799</v>
      </c>
    </row>
    <row r="7563" spans="1:40" x14ac:dyDescent="0.25">
      <c r="A7563" t="str">
        <f>"20190312154445549"</f>
        <v>20190312154445549</v>
      </c>
      <c r="B7563" t="str">
        <f>"1552376685545456"</f>
        <v>1552376685545456</v>
      </c>
      <c r="C7563" t="s">
        <v>40</v>
      </c>
      <c r="D7563">
        <v>5.1999219999999999</v>
      </c>
      <c r="E7563">
        <v>0.59606840000000005</v>
      </c>
      <c r="F7563" t="s">
        <v>43</v>
      </c>
      <c r="G7563">
        <v>-165.5146</v>
      </c>
      <c r="H7563" s="1">
        <v>-3.437519E-6</v>
      </c>
      <c r="I7563">
        <v>144.6404</v>
      </c>
      <c r="J7563">
        <v>-173.90649999999999</v>
      </c>
      <c r="K7563">
        <v>1.0973569999999999</v>
      </c>
      <c r="L7563">
        <v>146.26759999999999</v>
      </c>
      <c r="M7563">
        <v>0.96225550000000004</v>
      </c>
      <c r="N7563">
        <v>0</v>
      </c>
      <c r="O7563">
        <v>0.27161790000000002</v>
      </c>
      <c r="P7563">
        <v>0.99812190000000001</v>
      </c>
      <c r="Q7563">
        <v>4.828883E-3</v>
      </c>
      <c r="R7563">
        <v>6.1071269999999997E-2</v>
      </c>
      <c r="S7563">
        <v>3.0541529999999999</v>
      </c>
      <c r="T7563">
        <v>-0.38803510000000002</v>
      </c>
      <c r="U7563">
        <v>-0.55689999999999995</v>
      </c>
      <c r="V7563">
        <v>0.2129453</v>
      </c>
      <c r="W7563">
        <v>1.46443999999999E-2</v>
      </c>
      <c r="X7563">
        <v>0.97695430000000005</v>
      </c>
      <c r="Y7563">
        <v>0.43436580000000002</v>
      </c>
      <c r="Z7563">
        <v>-6.1242489999999997E-2</v>
      </c>
      <c r="AA7563">
        <v>0.89865209999999995</v>
      </c>
      <c r="AB7563">
        <v>25</v>
      </c>
      <c r="AC7563">
        <v>8.3918999999999908</v>
      </c>
      <c r="AD7563">
        <v>-1.09736043751899</v>
      </c>
      <c r="AE7563">
        <v>-1.62719999999998</v>
      </c>
      <c r="AF7563">
        <v>3.78337747981689</v>
      </c>
      <c r="AG7563">
        <v>-1.09736043751899</v>
      </c>
      <c r="AH7563">
        <v>7.5105041929278098</v>
      </c>
      <c r="AI7563">
        <v>97.4344505728576</v>
      </c>
      <c r="AJ7563">
        <v>63.263556790419997</v>
      </c>
      <c r="AK7563">
        <v>8.4809090501315794</v>
      </c>
      <c r="AL7563">
        <v>89.160907635677802</v>
      </c>
      <c r="AM7563">
        <v>77.703649499081095</v>
      </c>
      <c r="AN7563">
        <v>0.99999993176596702</v>
      </c>
    </row>
    <row r="7564" spans="1:40" x14ac:dyDescent="0.25">
      <c r="A7564" t="str">
        <f>"20190312154445571"</f>
        <v>20190312154445571</v>
      </c>
      <c r="B7564" t="str">
        <f>"1552376685564975"</f>
        <v>1552376685564975</v>
      </c>
      <c r="C7564" t="s">
        <v>40</v>
      </c>
      <c r="D7564">
        <v>5.2049830000000004</v>
      </c>
      <c r="E7564">
        <v>0.59561009999999903</v>
      </c>
      <c r="F7564" t="s">
        <v>43</v>
      </c>
      <c r="G7564">
        <v>-165.072</v>
      </c>
      <c r="H7564" s="1">
        <v>-3.6339769999999999E-6</v>
      </c>
      <c r="I7564">
        <v>144.59229999999999</v>
      </c>
      <c r="J7564">
        <v>-173.6583</v>
      </c>
      <c r="K7564">
        <v>1.0974120000000001</v>
      </c>
      <c r="L7564">
        <v>146.31540000000001</v>
      </c>
      <c r="M7564">
        <v>0.96736</v>
      </c>
      <c r="N7564">
        <v>0</v>
      </c>
      <c r="O7564">
        <v>0.2528359</v>
      </c>
      <c r="P7564">
        <v>0.99886819999999998</v>
      </c>
      <c r="Q7564">
        <v>4.3890969999999998E-3</v>
      </c>
      <c r="R7564">
        <v>4.7364879999999998E-2</v>
      </c>
      <c r="S7564">
        <v>3.04277</v>
      </c>
      <c r="T7564">
        <v>-0.37795129999999999</v>
      </c>
      <c r="U7564">
        <v>-0.57699579999999995</v>
      </c>
      <c r="V7564">
        <v>0.20732239999999999</v>
      </c>
      <c r="W7564">
        <v>1.4453209999999999E-2</v>
      </c>
      <c r="X7564">
        <v>0.97816590000000003</v>
      </c>
      <c r="Y7564">
        <v>0.42364819999999997</v>
      </c>
      <c r="Z7564">
        <v>-5.6926820000000003E-2</v>
      </c>
      <c r="AA7564">
        <v>0.90403619999999996</v>
      </c>
      <c r="AB7564">
        <v>24</v>
      </c>
      <c r="AC7564">
        <v>8.5862999999999907</v>
      </c>
      <c r="AD7564">
        <v>-1.097415633977</v>
      </c>
      <c r="AE7564">
        <v>-1.7231000000000101</v>
      </c>
      <c r="AF7564">
        <v>3.7789952704006602</v>
      </c>
      <c r="AG7564">
        <v>-1.097415633977</v>
      </c>
      <c r="AH7564">
        <v>7.7498221483102698</v>
      </c>
      <c r="AI7564">
        <v>97.253573196751105</v>
      </c>
      <c r="AJ7564">
        <v>64.005050189224505</v>
      </c>
      <c r="AK7564">
        <v>8.6916551736621592</v>
      </c>
      <c r="AL7564">
        <v>89.171863232874799</v>
      </c>
      <c r="AM7564">
        <v>78.033247519027597</v>
      </c>
      <c r="AN7564">
        <v>1.00000000037193</v>
      </c>
    </row>
    <row r="7565" spans="1:40" x14ac:dyDescent="0.25">
      <c r="A7565" t="str">
        <f>"20190312154445594"</f>
        <v>20190312154445594</v>
      </c>
      <c r="B7565" t="str">
        <f>"1552376685585471"</f>
        <v>1552376685585471</v>
      </c>
      <c r="C7565" t="s">
        <v>40</v>
      </c>
      <c r="D7565">
        <v>5.1757379999999999</v>
      </c>
      <c r="E7565">
        <v>0.5939835</v>
      </c>
      <c r="F7565" t="s">
        <v>43</v>
      </c>
      <c r="G7565">
        <v>-164.42920000000001</v>
      </c>
      <c r="H7565" s="1">
        <v>-3.8665040000000003E-6</v>
      </c>
      <c r="I7565">
        <v>144.4425</v>
      </c>
      <c r="J7565">
        <v>-173.41059999999999</v>
      </c>
      <c r="K7565">
        <v>1.097477</v>
      </c>
      <c r="L7565">
        <v>146.35820000000001</v>
      </c>
      <c r="M7565">
        <v>0.97206380000000003</v>
      </c>
      <c r="N7565">
        <v>0</v>
      </c>
      <c r="O7565">
        <v>0.23409969999999999</v>
      </c>
      <c r="P7565">
        <v>0.99943099999999996</v>
      </c>
      <c r="Q7565">
        <v>4.6301229999999999E-3</v>
      </c>
      <c r="R7565">
        <v>3.3408960000000001E-2</v>
      </c>
      <c r="S7565">
        <v>3.0341640000000001</v>
      </c>
      <c r="T7565">
        <v>-0.36078759999999999</v>
      </c>
      <c r="U7565">
        <v>-0.61573789999999995</v>
      </c>
      <c r="V7565">
        <v>0.2020913</v>
      </c>
      <c r="W7565">
        <v>1.4925229999999999E-2</v>
      </c>
      <c r="X7565">
        <v>0.97925289999999998</v>
      </c>
      <c r="Y7565">
        <v>0.41836250000000003</v>
      </c>
      <c r="Z7565">
        <v>-5.1972900000000002E-2</v>
      </c>
      <c r="AA7565">
        <v>0.90679200000000004</v>
      </c>
      <c r="AB7565">
        <v>24</v>
      </c>
      <c r="AC7565">
        <v>8.9813999999999794</v>
      </c>
      <c r="AD7565">
        <v>-1.0974808665039999</v>
      </c>
      <c r="AE7565">
        <v>-1.91570000000001</v>
      </c>
      <c r="AF7565">
        <v>3.90946498917656</v>
      </c>
      <c r="AG7565">
        <v>-1.0974808665039999</v>
      </c>
      <c r="AH7565">
        <v>8.1665934046509197</v>
      </c>
      <c r="AI7565">
        <v>96.9112974115329</v>
      </c>
      <c r="AJ7565">
        <v>64.418895440812506</v>
      </c>
      <c r="AK7565">
        <v>9.1203962957114797</v>
      </c>
      <c r="AL7565">
        <v>89.144815516692404</v>
      </c>
      <c r="AM7565">
        <v>78.339403050389393</v>
      </c>
      <c r="AN7565">
        <v>0.99999994909232504</v>
      </c>
    </row>
    <row r="7566" spans="1:40" x14ac:dyDescent="0.25">
      <c r="A7566" t="str">
        <f>"20190312154445615"</f>
        <v>20190312154445615</v>
      </c>
      <c r="B7566" t="str">
        <f>"1552376685604991"</f>
        <v>1552376685604991</v>
      </c>
      <c r="C7566" t="s">
        <v>40</v>
      </c>
      <c r="D7566">
        <v>5.1468959999999999</v>
      </c>
      <c r="E7566">
        <v>0.59263999999999994</v>
      </c>
      <c r="F7566" t="s">
        <v>43</v>
      </c>
      <c r="G7566">
        <v>-164.3638</v>
      </c>
      <c r="H7566" s="1">
        <v>-3.8891179999999998E-6</v>
      </c>
      <c r="I7566">
        <v>144.42840000000001</v>
      </c>
      <c r="J7566">
        <v>-173.16329999999999</v>
      </c>
      <c r="K7566">
        <v>1.0975459999999999</v>
      </c>
      <c r="L7566">
        <v>146.39609999999999</v>
      </c>
      <c r="M7566">
        <v>0.97637910000000006</v>
      </c>
      <c r="N7566">
        <v>0</v>
      </c>
      <c r="O7566">
        <v>0.21539330000000001</v>
      </c>
      <c r="P7566">
        <v>0.99981330000000002</v>
      </c>
      <c r="Q7566">
        <v>3.955231E-3</v>
      </c>
      <c r="R7566">
        <v>1.8920920000000001E-2</v>
      </c>
      <c r="S7566">
        <v>3.0249790000000001</v>
      </c>
      <c r="T7566">
        <v>-0.36696269999999998</v>
      </c>
      <c r="U7566">
        <v>-0.64527889999999999</v>
      </c>
      <c r="V7566">
        <v>0.1974583</v>
      </c>
      <c r="W7566">
        <v>1.4458459999999999E-2</v>
      </c>
      <c r="X7566">
        <v>0.98020459999999998</v>
      </c>
      <c r="Y7566">
        <v>0.4099891</v>
      </c>
      <c r="Z7566">
        <v>-5.0249759999999997E-2</v>
      </c>
      <c r="AA7566">
        <v>0.91070510000000005</v>
      </c>
      <c r="AB7566">
        <v>24</v>
      </c>
      <c r="AC7566">
        <v>8.7994999999999894</v>
      </c>
      <c r="AD7566">
        <v>-1.097549889118</v>
      </c>
      <c r="AE7566">
        <v>-1.96769999999998</v>
      </c>
      <c r="AF7566">
        <v>3.7613969797677398</v>
      </c>
      <c r="AG7566">
        <v>-1.097549889118</v>
      </c>
      <c r="AH7566">
        <v>8.0497335575375004</v>
      </c>
      <c r="AI7566">
        <v>97.041845879915101</v>
      </c>
      <c r="AJ7566">
        <v>64.954738381046695</v>
      </c>
      <c r="AK7566">
        <v>8.9527053646288497</v>
      </c>
      <c r="AL7566">
        <v>89.171562350719995</v>
      </c>
      <c r="AM7566">
        <v>78.610426320211005</v>
      </c>
      <c r="AN7566">
        <v>0.999999942582809</v>
      </c>
    </row>
    <row r="7567" spans="1:40" x14ac:dyDescent="0.25">
      <c r="A7567" t="str">
        <f>"20190312154445638"</f>
        <v>20190312154445638</v>
      </c>
      <c r="B7567" t="str">
        <f>"1552376685635248"</f>
        <v>1552376685635248</v>
      </c>
      <c r="C7567" t="s">
        <v>40</v>
      </c>
      <c r="D7567">
        <v>5.1553399999999998</v>
      </c>
      <c r="E7567">
        <v>0.59048500000000004</v>
      </c>
      <c r="F7567" t="s">
        <v>43</v>
      </c>
      <c r="G7567">
        <v>-164.2852</v>
      </c>
      <c r="H7567" s="1">
        <v>-3.9139720000000002E-6</v>
      </c>
      <c r="I7567">
        <v>144.39840000000001</v>
      </c>
      <c r="J7567">
        <v>-172.9144</v>
      </c>
      <c r="K7567">
        <v>1.0976239999999999</v>
      </c>
      <c r="L7567">
        <v>146.42939999999999</v>
      </c>
      <c r="M7567">
        <v>0.98034019999999999</v>
      </c>
      <c r="N7567">
        <v>0</v>
      </c>
      <c r="O7567">
        <v>0.19657859999999999</v>
      </c>
      <c r="P7567">
        <v>0.99998739999999997</v>
      </c>
      <c r="Q7567">
        <v>2.174989E-3</v>
      </c>
      <c r="R7567">
        <v>4.5274340000000003E-3</v>
      </c>
      <c r="S7567">
        <v>3.0149080000000001</v>
      </c>
      <c r="T7567">
        <v>-0.3727143</v>
      </c>
      <c r="U7567">
        <v>-0.67839050000000001</v>
      </c>
      <c r="V7567">
        <v>0.192661</v>
      </c>
      <c r="W7567">
        <v>1.2889329999999999E-2</v>
      </c>
      <c r="X7567">
        <v>0.98118070000000002</v>
      </c>
      <c r="Y7567">
        <v>0.40267199999999997</v>
      </c>
      <c r="Z7567">
        <v>-4.8423519999999998E-2</v>
      </c>
      <c r="AA7567">
        <v>0.91406259999999995</v>
      </c>
      <c r="AB7567">
        <v>24</v>
      </c>
      <c r="AC7567">
        <v>8.6291999999999902</v>
      </c>
      <c r="AD7567">
        <v>-1.097627913972</v>
      </c>
      <c r="AE7567">
        <v>-2.0309999999999699</v>
      </c>
      <c r="AF7567">
        <v>3.6322379941315601</v>
      </c>
      <c r="AG7567">
        <v>-1.097627913972</v>
      </c>
      <c r="AH7567">
        <v>7.9397496851719502</v>
      </c>
      <c r="AI7567">
        <v>97.165302824918996</v>
      </c>
      <c r="AJ7567">
        <v>65.417083783322497</v>
      </c>
      <c r="AK7567">
        <v>8.7998616436130099</v>
      </c>
      <c r="AL7567">
        <v>89.261475326068606</v>
      </c>
      <c r="AM7567">
        <v>78.890947198934896</v>
      </c>
      <c r="AN7567">
        <v>0.99999998090066899</v>
      </c>
    </row>
    <row r="7568" spans="1:40" x14ac:dyDescent="0.25">
      <c r="A7568" t="str">
        <f>"20190312154445660"</f>
        <v>20190312154445660</v>
      </c>
      <c r="B7568" t="str">
        <f>"1552376685654767"</f>
        <v>1552376685654767</v>
      </c>
      <c r="C7568" t="s">
        <v>40</v>
      </c>
      <c r="D7568">
        <v>5.1851770000000004</v>
      </c>
      <c r="E7568">
        <v>0.57510249999999996</v>
      </c>
      <c r="F7568" t="s">
        <v>43</v>
      </c>
      <c r="G7568">
        <v>-164.1352</v>
      </c>
      <c r="H7568" s="1">
        <v>-3.9668340000000004E-6</v>
      </c>
      <c r="I7568">
        <v>144.3717</v>
      </c>
      <c r="J7568">
        <v>-172.66329999999999</v>
      </c>
      <c r="K7568">
        <v>1.097718</v>
      </c>
      <c r="L7568">
        <v>146.4581</v>
      </c>
      <c r="M7568">
        <v>0.98394979999999999</v>
      </c>
      <c r="N7568">
        <v>0</v>
      </c>
      <c r="O7568">
        <v>0.17763090000000001</v>
      </c>
      <c r="P7568">
        <v>0.99994959999999999</v>
      </c>
      <c r="Q7568">
        <v>1.460416E-3</v>
      </c>
      <c r="R7568">
        <v>-9.9281590000000006E-3</v>
      </c>
      <c r="S7568">
        <v>3.0040589999999998</v>
      </c>
      <c r="T7568">
        <v>-0.37558570000000002</v>
      </c>
      <c r="U7568">
        <v>-0.70410159999999999</v>
      </c>
      <c r="V7568">
        <v>0.18789120000000001</v>
      </c>
      <c r="W7568">
        <v>1.2382489999999999E-2</v>
      </c>
      <c r="X7568">
        <v>0.98211179999999998</v>
      </c>
      <c r="Y7568">
        <v>0.39328930000000001</v>
      </c>
      <c r="Z7568">
        <v>-4.6024740000000001E-2</v>
      </c>
      <c r="AA7568">
        <v>0.91826209999999997</v>
      </c>
      <c r="AB7568">
        <v>24</v>
      </c>
      <c r="AC7568">
        <v>8.5280999999999896</v>
      </c>
      <c r="AD7568">
        <v>-1.0977219668339999</v>
      </c>
      <c r="AE7568">
        <v>-2.08639999999999</v>
      </c>
      <c r="AF7568">
        <v>3.5133611246445802</v>
      </c>
      <c r="AG7568">
        <v>-1.0977219668339999</v>
      </c>
      <c r="AH7568">
        <v>7.8983047399143196</v>
      </c>
      <c r="AI7568">
        <v>97.236993979674907</v>
      </c>
      <c r="AJ7568">
        <v>66.019319758895605</v>
      </c>
      <c r="AK7568">
        <v>8.7138922229498998</v>
      </c>
      <c r="AL7568">
        <v>89.290517457947104</v>
      </c>
      <c r="AM7568">
        <v>79.169417170296697</v>
      </c>
      <c r="AN7568">
        <v>1.0000000083976399</v>
      </c>
    </row>
    <row r="7569" spans="1:40" x14ac:dyDescent="0.25">
      <c r="A7569" t="str">
        <f>"20190312154445683"</f>
        <v>20190312154445683</v>
      </c>
      <c r="B7569" t="str">
        <f>"1552376685675264"</f>
        <v>1552376685675264</v>
      </c>
      <c r="C7569" t="s">
        <v>40</v>
      </c>
      <c r="D7569">
        <v>5.1448010000000002</v>
      </c>
      <c r="E7569">
        <v>0.57561209999999996</v>
      </c>
      <c r="F7569" t="s">
        <v>43</v>
      </c>
      <c r="G7569">
        <v>-163.5318</v>
      </c>
      <c r="H7569" s="1">
        <v>-4.2308740000000001E-6</v>
      </c>
      <c r="I7569">
        <v>144.5539</v>
      </c>
      <c r="J7569">
        <v>-172.41669999999999</v>
      </c>
      <c r="K7569">
        <v>1.0978159999999999</v>
      </c>
      <c r="L7569">
        <v>146.48169999999999</v>
      </c>
      <c r="M7569">
        <v>0.98712149999999999</v>
      </c>
      <c r="N7569">
        <v>0</v>
      </c>
      <c r="O7569">
        <v>0.15906289999999901</v>
      </c>
      <c r="P7569">
        <v>0.9996815</v>
      </c>
      <c r="Q7569">
        <v>8.2546149999999897E-4</v>
      </c>
      <c r="R7569">
        <v>-2.5225040000000001E-2</v>
      </c>
      <c r="S7569">
        <v>2.9944760000000001</v>
      </c>
      <c r="T7569">
        <v>-0.3599735</v>
      </c>
      <c r="U7569">
        <v>-0.62445069999999903</v>
      </c>
      <c r="V7569">
        <v>0.18439159999999999</v>
      </c>
      <c r="W7569">
        <v>1.190569E-2</v>
      </c>
      <c r="X7569">
        <v>0.98278080000000001</v>
      </c>
      <c r="Y7569">
        <v>0.35371710000000001</v>
      </c>
      <c r="Z7569">
        <v>-3.9833239999999999E-2</v>
      </c>
      <c r="AA7569">
        <v>0.93450390000000005</v>
      </c>
      <c r="AB7569">
        <v>24</v>
      </c>
      <c r="AC7569">
        <v>8.8848999999999805</v>
      </c>
      <c r="AD7569">
        <v>-1.0978202308739999</v>
      </c>
      <c r="AE7569">
        <v>-1.92779999999999</v>
      </c>
      <c r="AF7569">
        <v>3.26904698999203</v>
      </c>
      <c r="AG7569">
        <v>-1.0978202308739999</v>
      </c>
      <c r="AH7569">
        <v>8.3434097314732405</v>
      </c>
      <c r="AI7569">
        <v>96.984568898801697</v>
      </c>
      <c r="AJ7569">
        <v>68.604164365180395</v>
      </c>
      <c r="AK7569">
        <v>9.0279767073987607</v>
      </c>
      <c r="AL7569">
        <v>89.317838131596602</v>
      </c>
      <c r="AM7569">
        <v>79.373575250149003</v>
      </c>
      <c r="AN7569">
        <v>1.00000005422678</v>
      </c>
    </row>
    <row r="7570" spans="1:40" x14ac:dyDescent="0.25">
      <c r="A7570" t="str">
        <f>"20190312154445705"</f>
        <v>20190312154445705</v>
      </c>
      <c r="B7570" t="str">
        <f>"1552376685694784"</f>
        <v>1552376685694784</v>
      </c>
      <c r="C7570" t="s">
        <v>40</v>
      </c>
      <c r="D7570">
        <v>5.2249280000000002</v>
      </c>
      <c r="E7570">
        <v>0.57383439999999997</v>
      </c>
      <c r="F7570" t="s">
        <v>43</v>
      </c>
      <c r="G7570">
        <v>-162.77590000000001</v>
      </c>
      <c r="H7570" s="1">
        <v>-4.4767989999999998E-6</v>
      </c>
      <c r="I7570">
        <v>144.3039</v>
      </c>
      <c r="J7570">
        <v>-172.1669</v>
      </c>
      <c r="K7570">
        <v>1.0979190000000001</v>
      </c>
      <c r="L7570">
        <v>146.5009</v>
      </c>
      <c r="M7570">
        <v>0.98996390000000001</v>
      </c>
      <c r="N7570">
        <v>0</v>
      </c>
      <c r="O7570">
        <v>0.14029249999999999</v>
      </c>
      <c r="P7570">
        <v>0.99918739999999995</v>
      </c>
      <c r="Q7570">
        <v>7.3668170000000001E-4</v>
      </c>
      <c r="R7570">
        <v>-4.0305250000000001E-2</v>
      </c>
      <c r="S7570">
        <v>2.9842219999999999</v>
      </c>
      <c r="T7570">
        <v>-0.33981869999999997</v>
      </c>
      <c r="U7570">
        <v>-0.67411799999999999</v>
      </c>
      <c r="V7570">
        <v>0.18055389999999999</v>
      </c>
      <c r="W7570">
        <v>1.198198E-2</v>
      </c>
      <c r="X7570">
        <v>0.98349209999999998</v>
      </c>
      <c r="Y7570">
        <v>0.35197909999999999</v>
      </c>
      <c r="Z7570">
        <v>-3.5482020000000003E-2</v>
      </c>
      <c r="AA7570">
        <v>0.93533509999999997</v>
      </c>
      <c r="AB7570">
        <v>24</v>
      </c>
      <c r="AC7570">
        <v>9.3909999999999894</v>
      </c>
      <c r="AD7570">
        <v>-1.097923476799</v>
      </c>
      <c r="AE7570">
        <v>-2.1970000000000001</v>
      </c>
      <c r="AF7570">
        <v>3.4482564936488602</v>
      </c>
      <c r="AG7570">
        <v>-1.097923476799</v>
      </c>
      <c r="AH7570">
        <v>8.8748190336341892</v>
      </c>
      <c r="AI7570">
        <v>96.577940074491295</v>
      </c>
      <c r="AJ7570">
        <v>68.766667954877903</v>
      </c>
      <c r="AK7570">
        <v>9.5842747084301401</v>
      </c>
      <c r="AL7570">
        <v>89.313466684135605</v>
      </c>
      <c r="AM7570">
        <v>79.597220282971094</v>
      </c>
      <c r="AN7570">
        <v>0.99999999470616996</v>
      </c>
    </row>
    <row r="7571" spans="1:40" x14ac:dyDescent="0.25">
      <c r="A7571" t="str">
        <f>"20190312154445727"</f>
        <v>20190312154445727</v>
      </c>
      <c r="B7571" t="str">
        <f>"1552376685715279"</f>
        <v>1552376685715279</v>
      </c>
      <c r="C7571" t="s">
        <v>40</v>
      </c>
      <c r="D7571">
        <v>5.2546489999999997</v>
      </c>
      <c r="E7571">
        <v>0.57130769999999997</v>
      </c>
      <c r="F7571" t="s">
        <v>43</v>
      </c>
      <c r="G7571">
        <v>-162.4803</v>
      </c>
      <c r="H7571" s="1">
        <v>-4.5728810000000004E-6</v>
      </c>
      <c r="I7571">
        <v>144.20570000000001</v>
      </c>
      <c r="J7571">
        <v>-171.9145</v>
      </c>
      <c r="K7571">
        <v>1.098034</v>
      </c>
      <c r="L7571">
        <v>146.5155</v>
      </c>
      <c r="M7571">
        <v>0.99246060000000003</v>
      </c>
      <c r="N7571">
        <v>0</v>
      </c>
      <c r="O7571">
        <v>0.1213799</v>
      </c>
      <c r="P7571">
        <v>0.99843979999999999</v>
      </c>
      <c r="Q7571">
        <v>1.2541989999999999E-3</v>
      </c>
      <c r="R7571">
        <v>-5.5827250000000002E-2</v>
      </c>
      <c r="S7571">
        <v>2.974243</v>
      </c>
      <c r="T7571">
        <v>-0.33711550000000001</v>
      </c>
      <c r="U7571">
        <v>-0.7047272</v>
      </c>
      <c r="V7571">
        <v>0.1770852</v>
      </c>
      <c r="W7571">
        <v>1.264616E-2</v>
      </c>
      <c r="X7571">
        <v>0.9841143</v>
      </c>
      <c r="Y7571">
        <v>0.34414040000000001</v>
      </c>
      <c r="Z7571">
        <v>-3.2731349999999999E-2</v>
      </c>
      <c r="AA7571">
        <v>0.9383475</v>
      </c>
      <c r="AB7571">
        <v>24</v>
      </c>
      <c r="AC7571">
        <v>9.4342000000000006</v>
      </c>
      <c r="AD7571">
        <v>-1.098038572881</v>
      </c>
      <c r="AE7571">
        <v>-2.3097999999999899</v>
      </c>
      <c r="AF7571">
        <v>3.3946199548874501</v>
      </c>
      <c r="AG7571">
        <v>-1.098038572881</v>
      </c>
      <c r="AH7571">
        <v>8.9693888104194901</v>
      </c>
      <c r="AI7571">
        <v>96.531638076124594</v>
      </c>
      <c r="AJ7571">
        <v>69.269986802611996</v>
      </c>
      <c r="AK7571">
        <v>9.6529305901437503</v>
      </c>
      <c r="AL7571">
        <v>89.275409108379094</v>
      </c>
      <c r="AM7571">
        <v>79.799149042890306</v>
      </c>
      <c r="AN7571">
        <v>1.00000002444313</v>
      </c>
    </row>
    <row r="7572" spans="1:40" x14ac:dyDescent="0.25">
      <c r="A7572" t="str">
        <f>"20190312154445752"</f>
        <v>20190312154445752</v>
      </c>
      <c r="B7572" t="str">
        <f>"1552376685744559"</f>
        <v>1552376685744559</v>
      </c>
      <c r="C7572" t="s">
        <v>40</v>
      </c>
      <c r="D7572">
        <v>5.2595390000000002</v>
      </c>
      <c r="E7572">
        <v>0.5698761</v>
      </c>
      <c r="F7572" t="s">
        <v>43</v>
      </c>
      <c r="G7572">
        <v>-162.09139999999999</v>
      </c>
      <c r="H7572" s="1">
        <v>-4.7027589999999996E-6</v>
      </c>
      <c r="I7572">
        <v>144.0959</v>
      </c>
      <c r="J7572">
        <v>-171.64789999999999</v>
      </c>
      <c r="K7572">
        <v>1.09815</v>
      </c>
      <c r="L7572">
        <v>146.52529999999999</v>
      </c>
      <c r="M7572">
        <v>0.9946952</v>
      </c>
      <c r="N7572">
        <v>0</v>
      </c>
      <c r="O7572">
        <v>0.101455</v>
      </c>
      <c r="P7572">
        <v>0.99730560000000001</v>
      </c>
      <c r="Q7572">
        <v>2.2584620000000001E-3</v>
      </c>
      <c r="R7572">
        <v>-7.3325660000000001E-2</v>
      </c>
      <c r="S7572">
        <v>2.9642940000000002</v>
      </c>
      <c r="T7572">
        <v>-0.3313528</v>
      </c>
      <c r="U7572">
        <v>-0.73014829999999997</v>
      </c>
      <c r="V7572">
        <v>0.17463380000000001</v>
      </c>
      <c r="W7572">
        <v>1.3758050000000001E-2</v>
      </c>
      <c r="X7572">
        <v>0.98453729999999995</v>
      </c>
      <c r="Y7572">
        <v>0.33388499999999999</v>
      </c>
      <c r="Z7572">
        <v>-2.949382E-2</v>
      </c>
      <c r="AA7572">
        <v>0.94215230000000005</v>
      </c>
      <c r="AB7572">
        <v>24</v>
      </c>
      <c r="AC7572">
        <v>9.5564999999999998</v>
      </c>
      <c r="AD7572">
        <v>-1.098154702759</v>
      </c>
      <c r="AE7572">
        <v>-2.4293999999999798</v>
      </c>
      <c r="AF7572">
        <v>3.34506608334955</v>
      </c>
      <c r="AG7572">
        <v>-1.098154702759</v>
      </c>
      <c r="AH7572">
        <v>9.1472107132877394</v>
      </c>
      <c r="AI7572">
        <v>96.432979496705499</v>
      </c>
      <c r="AJ7572">
        <v>69.912914406785603</v>
      </c>
      <c r="AK7572">
        <v>9.8013710615634402</v>
      </c>
      <c r="AL7572">
        <v>89.211696908068902</v>
      </c>
      <c r="AM7572">
        <v>79.941689585857901</v>
      </c>
      <c r="AN7572">
        <v>0.99999997156676501</v>
      </c>
    </row>
    <row r="7573" spans="1:40" x14ac:dyDescent="0.25">
      <c r="A7573" t="str">
        <f>"20190312154445772"</f>
        <v>20190312154445772</v>
      </c>
      <c r="B7573" t="str">
        <f>"1552376685765055"</f>
        <v>1552376685765055</v>
      </c>
      <c r="C7573" t="s">
        <v>40</v>
      </c>
      <c r="D7573">
        <v>5.0917810000000001</v>
      </c>
      <c r="E7573">
        <v>0.56936399999999998</v>
      </c>
      <c r="F7573" t="s">
        <v>43</v>
      </c>
      <c r="G7573">
        <v>-161.4375</v>
      </c>
      <c r="H7573" s="1">
        <v>-4.9121279999999999E-6</v>
      </c>
      <c r="I7573">
        <v>143.86060000000001</v>
      </c>
      <c r="J7573">
        <v>-171.41399999999999</v>
      </c>
      <c r="K7573">
        <v>1.0982529999999999</v>
      </c>
      <c r="L7573">
        <v>146.52979999999999</v>
      </c>
      <c r="M7573">
        <v>0.99631910000000001</v>
      </c>
      <c r="N7573">
        <v>0</v>
      </c>
      <c r="O7573">
        <v>8.4027820000000003E-2</v>
      </c>
      <c r="P7573">
        <v>0.99608810000000003</v>
      </c>
      <c r="Q7573">
        <v>2.723713E-3</v>
      </c>
      <c r="R7573">
        <v>-8.8323849999999995E-2</v>
      </c>
      <c r="S7573">
        <v>2.9521639999999998</v>
      </c>
      <c r="T7573">
        <v>-0.31751479999999999</v>
      </c>
      <c r="U7573">
        <v>-0.77046199999999998</v>
      </c>
      <c r="V7573">
        <v>0.1722243</v>
      </c>
      <c r="W7573">
        <v>1.432162E-2</v>
      </c>
      <c r="X7573">
        <v>0.98495359999999998</v>
      </c>
      <c r="Y7573">
        <v>0.33069549999999998</v>
      </c>
      <c r="Z7573">
        <v>-2.6324529999999999E-2</v>
      </c>
      <c r="AA7573">
        <v>0.94337029999999999</v>
      </c>
      <c r="AB7573">
        <v>24</v>
      </c>
      <c r="AC7573">
        <v>9.9765000000000104</v>
      </c>
      <c r="AD7573">
        <v>-1.0982579121280001</v>
      </c>
      <c r="AE7573">
        <v>-2.66919999999998</v>
      </c>
      <c r="AF7573">
        <v>3.45906275367919</v>
      </c>
      <c r="AG7573">
        <v>-1.0982579121280001</v>
      </c>
      <c r="AH7573">
        <v>9.6082276413817205</v>
      </c>
      <c r="AI7573">
        <v>96.138380911280294</v>
      </c>
      <c r="AJ7573">
        <v>70.200591505690099</v>
      </c>
      <c r="AK7573">
        <v>10.270799578613801</v>
      </c>
      <c r="AL7573">
        <v>89.179403528735705</v>
      </c>
      <c r="AM7573">
        <v>80.081802261755996</v>
      </c>
      <c r="AN7573">
        <v>0.999999956231436</v>
      </c>
    </row>
    <row r="7574" spans="1:40" x14ac:dyDescent="0.25">
      <c r="A7574" t="str">
        <f>"20190312154445795"</f>
        <v>20190312154445795</v>
      </c>
      <c r="B7574" t="str">
        <f>"1552376685784575"</f>
        <v>1552376685784575</v>
      </c>
      <c r="C7574" t="s">
        <v>40</v>
      </c>
      <c r="D7574">
        <v>5.0696789999999998</v>
      </c>
      <c r="E7574">
        <v>0.56793499999999997</v>
      </c>
      <c r="F7574" t="s">
        <v>43</v>
      </c>
      <c r="G7574">
        <v>-161.00360000000001</v>
      </c>
      <c r="H7574" s="1">
        <v>-5.0429079999999998E-6</v>
      </c>
      <c r="I7574">
        <v>143.65860000000001</v>
      </c>
      <c r="J7574">
        <v>-171.16589999999999</v>
      </c>
      <c r="K7574">
        <v>1.0983540000000001</v>
      </c>
      <c r="L7574">
        <v>146.53</v>
      </c>
      <c r="M7574">
        <v>0.99770349999999997</v>
      </c>
      <c r="N7574">
        <v>0</v>
      </c>
      <c r="O7574">
        <v>6.5580959999999994E-2</v>
      </c>
      <c r="P7574">
        <v>0.99450260000000001</v>
      </c>
      <c r="Q7574">
        <v>3.2288149999999999E-3</v>
      </c>
      <c r="R7574">
        <v>-0.1046636</v>
      </c>
      <c r="S7574">
        <v>2.9407199999999998</v>
      </c>
      <c r="T7574">
        <v>-0.31023679999999998</v>
      </c>
      <c r="U7574">
        <v>-0.81105039999999995</v>
      </c>
      <c r="V7574">
        <v>0.17018169999999999</v>
      </c>
      <c r="W7574">
        <v>1.490902E-2</v>
      </c>
      <c r="X7574">
        <v>0.98529990000000001</v>
      </c>
      <c r="Y7574">
        <v>0.32649919999999999</v>
      </c>
      <c r="Z7574">
        <v>-2.3648820000000001E-2</v>
      </c>
      <c r="AA7574">
        <v>0.94490160000000001</v>
      </c>
      <c r="AB7574">
        <v>24</v>
      </c>
      <c r="AC7574">
        <v>10.162299999999901</v>
      </c>
      <c r="AD7574">
        <v>-1.0983590429079999</v>
      </c>
      <c r="AE7574">
        <v>-2.8713999999999902</v>
      </c>
      <c r="AF7574">
        <v>3.4939681187459599</v>
      </c>
      <c r="AG7574">
        <v>-1.0983590429079999</v>
      </c>
      <c r="AH7574">
        <v>9.8455713846431401</v>
      </c>
      <c r="AI7574">
        <v>96.001728198714403</v>
      </c>
      <c r="AJ7574">
        <v>70.4613899237699</v>
      </c>
      <c r="AK7574">
        <v>10.5047361552803</v>
      </c>
      <c r="AL7574">
        <v>89.145744420835598</v>
      </c>
      <c r="AM7574">
        <v>80.200516358258596</v>
      </c>
      <c r="AN7574">
        <v>0.99999999141613005</v>
      </c>
    </row>
    <row r="7575" spans="1:40" x14ac:dyDescent="0.25">
      <c r="A7575" t="str">
        <f>"20190312154445820"</f>
        <v>20190312154445820</v>
      </c>
      <c r="B7575" t="str">
        <f>"1552376685814832"</f>
        <v>1552376685814832</v>
      </c>
      <c r="C7575" t="s">
        <v>40</v>
      </c>
      <c r="D7575">
        <v>5.1272129999999896</v>
      </c>
      <c r="E7575">
        <v>0.5652876</v>
      </c>
      <c r="F7575" t="s">
        <v>43</v>
      </c>
      <c r="G7575">
        <v>-160.35390000000001</v>
      </c>
      <c r="H7575" s="1">
        <v>-5.2463320000000001E-6</v>
      </c>
      <c r="I7575">
        <v>143.39869999999999</v>
      </c>
      <c r="J7575">
        <v>-170.91390000000001</v>
      </c>
      <c r="K7575">
        <v>1.0984430000000001</v>
      </c>
      <c r="L7575">
        <v>146.5257</v>
      </c>
      <c r="M7575">
        <v>0.99875659999999999</v>
      </c>
      <c r="N7575">
        <v>0</v>
      </c>
      <c r="O7575">
        <v>4.6894520000000002E-2</v>
      </c>
      <c r="P7575">
        <v>0.99259649999999999</v>
      </c>
      <c r="Q7575">
        <v>2.948464E-3</v>
      </c>
      <c r="R7575">
        <v>-0.12142459999999999</v>
      </c>
      <c r="S7575">
        <v>2.9283139999999999</v>
      </c>
      <c r="T7575">
        <v>-0.29747829999999997</v>
      </c>
      <c r="U7575">
        <v>-0.84808349999999899</v>
      </c>
      <c r="V7575">
        <v>0.1683472</v>
      </c>
      <c r="W7575">
        <v>1.4700660000000001E-2</v>
      </c>
      <c r="X7575">
        <v>0.9856182</v>
      </c>
      <c r="Y7575">
        <v>0.32117299999999999</v>
      </c>
      <c r="Z7575">
        <v>-2.0610219999999999E-2</v>
      </c>
      <c r="AA7575">
        <v>0.94679619999999998</v>
      </c>
      <c r="AB7575">
        <v>24</v>
      </c>
      <c r="AC7575">
        <v>10.56</v>
      </c>
      <c r="AD7575">
        <v>-1.098448246332</v>
      </c>
      <c r="AE7575">
        <v>-3.1269999999999998</v>
      </c>
      <c r="AF7575">
        <v>3.5831908900216898</v>
      </c>
      <c r="AG7575">
        <v>-1.098448246332</v>
      </c>
      <c r="AH7575">
        <v>10.299263662408499</v>
      </c>
      <c r="AI7575">
        <v>95.752056001239396</v>
      </c>
      <c r="AJ7575">
        <v>70.8168317949618</v>
      </c>
      <c r="AK7575">
        <v>10.9599579147008</v>
      </c>
      <c r="AL7575">
        <v>89.1576839381311</v>
      </c>
      <c r="AM7575">
        <v>80.307207438951806</v>
      </c>
      <c r="AN7575">
        <v>1.00000006266175</v>
      </c>
    </row>
    <row r="7576" spans="1:40" x14ac:dyDescent="0.25">
      <c r="A7576" t="str">
        <f>"20190312154445839"</f>
        <v>20190312154445839</v>
      </c>
      <c r="B7576" t="str">
        <f>"1552376685835328"</f>
        <v>1552376685835328</v>
      </c>
      <c r="C7576" t="s">
        <v>40</v>
      </c>
      <c r="D7576">
        <v>5.0562620000000003</v>
      </c>
      <c r="E7576">
        <v>0.54569519999999905</v>
      </c>
      <c r="F7576" t="s">
        <v>43</v>
      </c>
      <c r="G7576">
        <v>-159.7653</v>
      </c>
      <c r="H7576" s="1">
        <v>-1.0297399999999999E-6</v>
      </c>
      <c r="I7576">
        <v>143.17439999999999</v>
      </c>
      <c r="J7576">
        <v>-170.68299999999999</v>
      </c>
      <c r="K7576">
        <v>1.098535</v>
      </c>
      <c r="L7576">
        <v>146.51769999999999</v>
      </c>
      <c r="M7576">
        <v>0.99941250000000004</v>
      </c>
      <c r="N7576">
        <v>0</v>
      </c>
      <c r="O7576">
        <v>2.982806E-2</v>
      </c>
      <c r="P7576">
        <v>0.99069260000000003</v>
      </c>
      <c r="Q7576">
        <v>3.3750999999999998E-3</v>
      </c>
      <c r="R7576">
        <v>-0.136078</v>
      </c>
      <c r="S7576">
        <v>2.9160159999999999</v>
      </c>
      <c r="T7576">
        <v>-0.2873077</v>
      </c>
      <c r="U7576">
        <v>-0.87657169999999895</v>
      </c>
      <c r="V7576">
        <v>0.16608390000000001</v>
      </c>
      <c r="W7576">
        <v>1.521082E-2</v>
      </c>
      <c r="X7576">
        <v>0.98599429999999999</v>
      </c>
      <c r="Y7576">
        <v>0.31478739999999999</v>
      </c>
      <c r="Z7576">
        <v>-1.8009979999999998E-2</v>
      </c>
      <c r="AA7576">
        <v>0.94899129999999998</v>
      </c>
      <c r="AB7576">
        <v>24</v>
      </c>
      <c r="AC7576">
        <v>10.9176999999999</v>
      </c>
      <c r="AD7576">
        <v>-1.09853602974</v>
      </c>
      <c r="AE7576">
        <v>-3.3433000000000002</v>
      </c>
      <c r="AF7576">
        <v>3.6338758677574798</v>
      </c>
      <c r="AG7576">
        <v>-1.09853602974</v>
      </c>
      <c r="AH7576">
        <v>10.713930825788299</v>
      </c>
      <c r="AI7576">
        <v>95.546050745646596</v>
      </c>
      <c r="AJ7576">
        <v>71.264452054697102</v>
      </c>
      <c r="AK7576">
        <v>11.3666243436952</v>
      </c>
      <c r="AL7576">
        <v>89.128450596471794</v>
      </c>
      <c r="AM7576">
        <v>80.438677207147506</v>
      </c>
      <c r="AN7576">
        <v>0.99999999525838601</v>
      </c>
    </row>
    <row r="7577" spans="1:40" x14ac:dyDescent="0.25">
      <c r="A7577" t="str">
        <f>"20190312154445861"</f>
        <v>20190312154445861</v>
      </c>
      <c r="B7577" t="str">
        <f>"1552376685854848"</f>
        <v>1552376685854848</v>
      </c>
      <c r="C7577" t="s">
        <v>40</v>
      </c>
      <c r="D7577">
        <v>5.0915429999999997</v>
      </c>
      <c r="E7577">
        <v>0.54199439999999999</v>
      </c>
      <c r="F7577" t="s">
        <v>43</v>
      </c>
      <c r="G7577">
        <v>-156.71539999999999</v>
      </c>
      <c r="H7577" s="1">
        <v>-2.2543269999999999E-6</v>
      </c>
      <c r="I7577">
        <v>142.85929999999999</v>
      </c>
      <c r="J7577">
        <v>-170.43039999999999</v>
      </c>
      <c r="K7577">
        <v>1.098635</v>
      </c>
      <c r="L7577">
        <v>146.50450000000001</v>
      </c>
      <c r="M7577">
        <v>0.99979479999999998</v>
      </c>
      <c r="N7577">
        <v>0</v>
      </c>
      <c r="O7577">
        <v>1.12313E-2</v>
      </c>
      <c r="P7577">
        <v>0.98841889999999999</v>
      </c>
      <c r="Q7577">
        <v>3.571365E-3</v>
      </c>
      <c r="R7577">
        <v>-0.1517087</v>
      </c>
      <c r="S7577">
        <v>2.9237820000000001</v>
      </c>
      <c r="T7577">
        <v>-0.22995070000000001</v>
      </c>
      <c r="U7577">
        <v>-0.76579280000000005</v>
      </c>
      <c r="V7577">
        <v>0.16331599999999999</v>
      </c>
      <c r="W7577">
        <v>1.550547E-2</v>
      </c>
      <c r="X7577">
        <v>0.986452</v>
      </c>
      <c r="Y7577">
        <v>0.26342789999999999</v>
      </c>
      <c r="Z7577">
        <v>-1.104015E-2</v>
      </c>
      <c r="AA7577">
        <v>0.96461589999999997</v>
      </c>
      <c r="AB7577">
        <v>24</v>
      </c>
      <c r="AC7577">
        <v>13.715</v>
      </c>
      <c r="AD7577">
        <v>-1.098637254327</v>
      </c>
      <c r="AE7577">
        <v>-3.6452000000000102</v>
      </c>
      <c r="AF7577">
        <v>3.77639573093925</v>
      </c>
      <c r="AG7577">
        <v>-1.098637254327</v>
      </c>
      <c r="AH7577">
        <v>13.5917278422123</v>
      </c>
      <c r="AI7577">
        <v>94.453267294485102</v>
      </c>
      <c r="AJ7577">
        <v>74.472305162742302</v>
      </c>
      <c r="AK7577">
        <v>14.149319215779199</v>
      </c>
      <c r="AL7577">
        <v>89.111566444943705</v>
      </c>
      <c r="AM7577">
        <v>80.599438603500005</v>
      </c>
      <c r="AN7577">
        <v>1.00000004187995</v>
      </c>
    </row>
    <row r="7578" spans="1:40" x14ac:dyDescent="0.25">
      <c r="A7578" t="str">
        <f>"20190312154445884"</f>
        <v>20190312154445884</v>
      </c>
      <c r="B7578" t="str">
        <f>"1552376685875344"</f>
        <v>1552376685875344</v>
      </c>
      <c r="C7578" t="s">
        <v>40</v>
      </c>
      <c r="D7578">
        <v>5.1155210000000002</v>
      </c>
      <c r="E7578">
        <v>0.54072109999999995</v>
      </c>
      <c r="F7578" t="s">
        <v>43</v>
      </c>
      <c r="G7578">
        <v>-156.90860000000001</v>
      </c>
      <c r="H7578" s="1">
        <v>-2.175333E-6</v>
      </c>
      <c r="I7578">
        <v>142.87389999999999</v>
      </c>
      <c r="J7578">
        <v>-170.1892</v>
      </c>
      <c r="K7578">
        <v>1.0987530000000001</v>
      </c>
      <c r="L7578">
        <v>146.48759999999999</v>
      </c>
      <c r="M7578">
        <v>0.9998378</v>
      </c>
      <c r="N7578">
        <v>0</v>
      </c>
      <c r="O7578">
        <v>-6.4427149999999999E-3</v>
      </c>
      <c r="P7578">
        <v>0.98624100000000003</v>
      </c>
      <c r="Q7578">
        <v>2.4564360000000002E-3</v>
      </c>
      <c r="R7578">
        <v>-0.16529559999999999</v>
      </c>
      <c r="S7578">
        <v>2.9158629999999999</v>
      </c>
      <c r="T7578">
        <v>-0.23691019999999999</v>
      </c>
      <c r="U7578">
        <v>-0.78289790000000004</v>
      </c>
      <c r="V7578">
        <v>0.15941610000000001</v>
      </c>
      <c r="W7578">
        <v>1.4522820000000001E-2</v>
      </c>
      <c r="X7578">
        <v>0.98710469999999895</v>
      </c>
      <c r="Y7578">
        <v>0.25232779999999999</v>
      </c>
      <c r="Z7578">
        <v>-9.5430480000000002E-3</v>
      </c>
      <c r="AA7578">
        <v>0.96759470000000003</v>
      </c>
      <c r="AB7578">
        <v>24</v>
      </c>
      <c r="AC7578">
        <v>13.2805999999999</v>
      </c>
      <c r="AD7578">
        <v>-1.098755175333</v>
      </c>
      <c r="AE7578">
        <v>-3.6136999999999899</v>
      </c>
      <c r="AF7578">
        <v>3.5057077781713799</v>
      </c>
      <c r="AG7578">
        <v>-1.098755175333</v>
      </c>
      <c r="AH7578">
        <v>13.219362251359</v>
      </c>
      <c r="AI7578">
        <v>94.593278350332895</v>
      </c>
      <c r="AJ7578">
        <v>75.147337912729697</v>
      </c>
      <c r="AK7578">
        <v>13.720378576916399</v>
      </c>
      <c r="AL7578">
        <v>89.167874493818204</v>
      </c>
      <c r="AM7578">
        <v>80.826018365889595</v>
      </c>
      <c r="AN7578">
        <v>1.00000004700102</v>
      </c>
    </row>
    <row r="7579" spans="1:40" x14ac:dyDescent="0.25">
      <c r="A7579" t="str">
        <f>"20190312154445907"</f>
        <v>20190312154445907</v>
      </c>
      <c r="B7579" t="str">
        <f>"1552376685894864"</f>
        <v>1552376685894864</v>
      </c>
      <c r="C7579" t="s">
        <v>40</v>
      </c>
      <c r="D7579">
        <v>5.1108589999999996</v>
      </c>
      <c r="E7579">
        <v>0.53900389999999998</v>
      </c>
      <c r="F7579" t="s">
        <v>43</v>
      </c>
      <c r="G7579">
        <v>-157.10820000000001</v>
      </c>
      <c r="H7579" s="1">
        <v>-2.077031E-6</v>
      </c>
      <c r="I7579">
        <v>142.82640000000001</v>
      </c>
      <c r="J7579">
        <v>-169.9401</v>
      </c>
      <c r="K7579">
        <v>1.0988830000000001</v>
      </c>
      <c r="L7579">
        <v>146.4658</v>
      </c>
      <c r="M7579">
        <v>0.99955720000000003</v>
      </c>
      <c r="N7579">
        <v>0</v>
      </c>
      <c r="O7579">
        <v>-2.4577870000000002E-2</v>
      </c>
      <c r="P7579">
        <v>0.98388960000000003</v>
      </c>
      <c r="Q7579">
        <v>8.3484830000000001E-4</v>
      </c>
      <c r="R7579">
        <v>-0.17877570000000001</v>
      </c>
      <c r="S7579">
        <v>2.9061430000000001</v>
      </c>
      <c r="T7579">
        <v>-0.24410589999999999</v>
      </c>
      <c r="U7579">
        <v>-0.81338500000000002</v>
      </c>
      <c r="V7579">
        <v>0.15496559999999901</v>
      </c>
      <c r="W7579">
        <v>1.3048580000000001E-2</v>
      </c>
      <c r="X7579">
        <v>0.98783370000000004</v>
      </c>
      <c r="Y7579">
        <v>0.245055</v>
      </c>
      <c r="Z7579">
        <v>-8.0604839999999997E-3</v>
      </c>
      <c r="AA7579">
        <v>0.96947570000000005</v>
      </c>
      <c r="AB7579">
        <v>24</v>
      </c>
      <c r="AC7579">
        <v>12.8318999999999</v>
      </c>
      <c r="AD7579">
        <v>-1.0988850770309999</v>
      </c>
      <c r="AE7579">
        <v>-3.63939999999999</v>
      </c>
      <c r="AF7579">
        <v>3.3004725909286701</v>
      </c>
      <c r="AG7579">
        <v>-1.0988850770309999</v>
      </c>
      <c r="AH7579">
        <v>12.830395259769601</v>
      </c>
      <c r="AI7579">
        <v>94.741636472937202</v>
      </c>
      <c r="AJ7579">
        <v>75.574082911787002</v>
      </c>
      <c r="AK7579">
        <v>13.293596588505</v>
      </c>
      <c r="AL7579">
        <v>89.252350227880896</v>
      </c>
      <c r="AM7579">
        <v>81.084433700491402</v>
      </c>
      <c r="AN7579">
        <v>1.0000000107395299</v>
      </c>
    </row>
    <row r="7580" spans="1:40" x14ac:dyDescent="0.25">
      <c r="A7580" t="str">
        <f>"20190312154445929"</f>
        <v>20190312154445929</v>
      </c>
      <c r="B7580" t="str">
        <f>"1552376685925660"</f>
        <v>1552376685925660</v>
      </c>
      <c r="C7580" t="s">
        <v>40</v>
      </c>
      <c r="D7580">
        <v>5.1526829999999997</v>
      </c>
      <c r="E7580">
        <v>0.53720749999999995</v>
      </c>
      <c r="F7580" t="s">
        <v>43</v>
      </c>
      <c r="G7580">
        <v>-157.14439999999999</v>
      </c>
      <c r="H7580" s="1">
        <v>-2.0426580000000001E-6</v>
      </c>
      <c r="I7580">
        <v>142.75550000000001</v>
      </c>
      <c r="J7580">
        <v>-169.6936</v>
      </c>
      <c r="K7580">
        <v>1.0990359999999999</v>
      </c>
      <c r="L7580">
        <v>146.43979999999999</v>
      </c>
      <c r="M7580">
        <v>0.99896169999999995</v>
      </c>
      <c r="N7580">
        <v>0</v>
      </c>
      <c r="O7580">
        <v>-4.2376400000000002E-2</v>
      </c>
      <c r="P7580">
        <v>0.9813558</v>
      </c>
      <c r="Q7580">
        <v>-8.9239889999999996E-4</v>
      </c>
      <c r="R7580">
        <v>-0.19219849999999999</v>
      </c>
      <c r="S7580">
        <v>2.8967130000000001</v>
      </c>
      <c r="T7580">
        <v>-0.2487673</v>
      </c>
      <c r="U7580">
        <v>-0.83995059999999999</v>
      </c>
      <c r="V7580">
        <v>0.15081059999999999</v>
      </c>
      <c r="W7580">
        <v>1.145702E-2</v>
      </c>
      <c r="X7580">
        <v>0.98849629999999999</v>
      </c>
      <c r="Y7580">
        <v>0.2368807</v>
      </c>
      <c r="Z7580">
        <v>-6.3950500000000002E-3</v>
      </c>
      <c r="AA7580">
        <v>0.97151770000000004</v>
      </c>
      <c r="AB7580">
        <v>24</v>
      </c>
      <c r="AC7580">
        <v>12.549200000000001</v>
      </c>
      <c r="AD7580">
        <v>-1.099038042658</v>
      </c>
      <c r="AE7580">
        <v>-3.6842999999999702</v>
      </c>
      <c r="AF7580">
        <v>3.1270441472157202</v>
      </c>
      <c r="AG7580">
        <v>-1.099038042658</v>
      </c>
      <c r="AH7580">
        <v>12.6050649252659</v>
      </c>
      <c r="AI7580">
        <v>94.837132500792293</v>
      </c>
      <c r="AJ7580">
        <v>76.067427236344997</v>
      </c>
      <c r="AK7580">
        <v>13.033570174285099</v>
      </c>
      <c r="AL7580">
        <v>89.343546757948303</v>
      </c>
      <c r="AM7580">
        <v>81.3255215011866</v>
      </c>
      <c r="AN7580">
        <v>1.0000000177466599</v>
      </c>
    </row>
    <row r="7581" spans="1:40" x14ac:dyDescent="0.25">
      <c r="A7581" t="str">
        <f>"20190312154445953"</f>
        <v>20190312154445953</v>
      </c>
      <c r="B7581" t="str">
        <f>"1552376685945181"</f>
        <v>1552376685945181</v>
      </c>
      <c r="C7581" t="s">
        <v>40</v>
      </c>
      <c r="D7581">
        <v>5.1505910000000004</v>
      </c>
      <c r="E7581">
        <v>0.52583869999999999</v>
      </c>
      <c r="F7581" t="s">
        <v>43</v>
      </c>
      <c r="G7581">
        <v>-157.2002</v>
      </c>
      <c r="H7581" s="1">
        <v>-2.0024730000000002E-6</v>
      </c>
      <c r="I7581">
        <v>142.6944</v>
      </c>
      <c r="J7581">
        <v>-169.4238</v>
      </c>
      <c r="K7581">
        <v>1.099218</v>
      </c>
      <c r="L7581">
        <v>146.40620000000001</v>
      </c>
      <c r="M7581">
        <v>0.9979576</v>
      </c>
      <c r="N7581">
        <v>0</v>
      </c>
      <c r="O7581">
        <v>-6.1664530000000002E-2</v>
      </c>
      <c r="P7581">
        <v>0.97836610000000002</v>
      </c>
      <c r="Q7581">
        <v>-2.0989070000000001E-3</v>
      </c>
      <c r="R7581">
        <v>-0.20687059999999999</v>
      </c>
      <c r="S7581">
        <v>2.887222</v>
      </c>
      <c r="T7581">
        <v>-0.25398589999999999</v>
      </c>
      <c r="U7581">
        <v>-0.86555479999999996</v>
      </c>
      <c r="V7581">
        <v>0.1464772</v>
      </c>
      <c r="W7581">
        <v>1.038849E-2</v>
      </c>
      <c r="X7581">
        <v>0.98915949999999997</v>
      </c>
      <c r="Y7581">
        <v>0.2269562</v>
      </c>
      <c r="Z7581">
        <v>-4.4655739999999999E-3</v>
      </c>
      <c r="AA7581">
        <v>0.9738947</v>
      </c>
      <c r="AB7581">
        <v>24</v>
      </c>
      <c r="AC7581">
        <v>12.223599999999999</v>
      </c>
      <c r="AD7581">
        <v>-1.0992200024729999</v>
      </c>
      <c r="AE7581">
        <v>-3.71180000000001</v>
      </c>
      <c r="AF7581">
        <v>2.9291792437969999</v>
      </c>
      <c r="AG7581">
        <v>-1.0992200024729999</v>
      </c>
      <c r="AH7581">
        <v>12.337899811992701</v>
      </c>
      <c r="AI7581">
        <v>94.954214148343794</v>
      </c>
      <c r="AJ7581">
        <v>76.644493911556793</v>
      </c>
      <c r="AK7581">
        <v>12.7283992484089</v>
      </c>
      <c r="AL7581">
        <v>89.404772663099195</v>
      </c>
      <c r="AM7581">
        <v>81.576712255265605</v>
      </c>
      <c r="AN7581">
        <v>1.00000000364228</v>
      </c>
    </row>
    <row r="7582" spans="1:40" x14ac:dyDescent="0.25">
      <c r="A7582" t="str">
        <f>"20190312154445976"</f>
        <v>20190312154445976</v>
      </c>
      <c r="B7582" t="str">
        <f>"1552376685964700"</f>
        <v>1552376685964700</v>
      </c>
      <c r="C7582" t="s">
        <v>40</v>
      </c>
      <c r="D7582">
        <v>5.1012579999999996</v>
      </c>
      <c r="E7582">
        <v>0.52602759999999904</v>
      </c>
      <c r="F7582" t="s">
        <v>41</v>
      </c>
      <c r="G7582">
        <v>-168.56190000000001</v>
      </c>
      <c r="H7582">
        <v>1.0162709999999999</v>
      </c>
      <c r="I7582">
        <v>146.1619</v>
      </c>
      <c r="J7582">
        <v>-169.18379999999999</v>
      </c>
      <c r="K7582">
        <v>1.09938</v>
      </c>
      <c r="L7582">
        <v>146.37209999999999</v>
      </c>
      <c r="M7582">
        <v>0.99676200000000004</v>
      </c>
      <c r="N7582">
        <v>0</v>
      </c>
      <c r="O7582">
        <v>-7.8675439999999999E-2</v>
      </c>
      <c r="P7582">
        <v>0.97577930000000002</v>
      </c>
      <c r="Q7582">
        <v>-3.4280209999999998E-3</v>
      </c>
      <c r="R7582">
        <v>-0.21873100000000001</v>
      </c>
      <c r="S7582">
        <v>2.8924259999999999</v>
      </c>
      <c r="T7582">
        <v>-0.27790920000000002</v>
      </c>
      <c r="U7582">
        <v>-0.8196869</v>
      </c>
      <c r="V7582">
        <v>0.14157210000000001</v>
      </c>
      <c r="W7582">
        <v>9.2059900000000007E-3</v>
      </c>
      <c r="X7582">
        <v>0.98988520000000002</v>
      </c>
      <c r="Y7582">
        <v>0.19560710000000001</v>
      </c>
      <c r="Z7582">
        <v>-1.823271E-3</v>
      </c>
      <c r="AA7582">
        <v>0.98068060000000001</v>
      </c>
      <c r="AB7582">
        <v>24</v>
      </c>
      <c r="AC7582">
        <v>0.62189999999998202</v>
      </c>
      <c r="AD7582">
        <v>-8.3109000000000099E-2</v>
      </c>
      <c r="AE7582">
        <v>-0.21019999999998601</v>
      </c>
      <c r="AF7582">
        <v>0.158079579682291</v>
      </c>
      <c r="AG7582">
        <v>-8.3109000000000099E-2</v>
      </c>
      <c r="AH7582">
        <v>0.62647062592878999</v>
      </c>
      <c r="AI7582">
        <v>97.329727361789097</v>
      </c>
      <c r="AJ7582">
        <v>75.837986131174901</v>
      </c>
      <c r="AK7582">
        <v>0.65143050630527</v>
      </c>
      <c r="AL7582">
        <v>89.472528207386603</v>
      </c>
      <c r="AM7582">
        <v>81.860826124887097</v>
      </c>
      <c r="AN7582">
        <v>1.0000000594646601</v>
      </c>
    </row>
    <row r="7583" spans="1:40" x14ac:dyDescent="0.25">
      <c r="A7583" t="str">
        <f>"20190312154446107"</f>
        <v>20190312154446107</v>
      </c>
      <c r="B7583" t="str">
        <f>"1552376686104867"</f>
        <v>1552376686104867</v>
      </c>
      <c r="C7583" t="s">
        <v>40</v>
      </c>
      <c r="D7583">
        <v>4.8038280000000002</v>
      </c>
      <c r="E7583">
        <v>0.49717289999999997</v>
      </c>
      <c r="F7583" t="s">
        <v>43</v>
      </c>
      <c r="G7583">
        <v>-156.7167</v>
      </c>
      <c r="H7583" s="1">
        <v>-2.2021640000000001E-6</v>
      </c>
      <c r="I7583">
        <v>142.66540000000001</v>
      </c>
      <c r="J7583">
        <v>-167.78380000000001</v>
      </c>
      <c r="K7583">
        <v>1.1006149999999999</v>
      </c>
      <c r="L7583">
        <v>146.096</v>
      </c>
      <c r="M7583">
        <v>0.98471589999999998</v>
      </c>
      <c r="N7583">
        <v>0</v>
      </c>
      <c r="O7583">
        <v>-0.1734135</v>
      </c>
      <c r="P7583">
        <v>0.959951</v>
      </c>
      <c r="Q7583">
        <v>-3.7049930000000002E-3</v>
      </c>
      <c r="R7583">
        <v>-0.2801437</v>
      </c>
      <c r="S7583">
        <v>2.881516</v>
      </c>
      <c r="T7583">
        <v>-0.25409900000000002</v>
      </c>
      <c r="U7583">
        <v>-0.85672000000000004</v>
      </c>
      <c r="V7583">
        <v>0.10967349999999999</v>
      </c>
      <c r="W7583">
        <v>9.7681560000000001E-3</v>
      </c>
      <c r="X7583">
        <v>0.99391969999999996</v>
      </c>
      <c r="Y7583">
        <v>0.1146258</v>
      </c>
      <c r="Z7583">
        <v>9.8549390000000001E-3</v>
      </c>
      <c r="AA7583">
        <v>0.99335989999999996</v>
      </c>
      <c r="AB7583">
        <v>24</v>
      </c>
      <c r="AC7583">
        <v>11.0671</v>
      </c>
      <c r="AD7583">
        <v>-1.1006172021639999</v>
      </c>
      <c r="AE7583">
        <v>-3.4305999999999899</v>
      </c>
      <c r="AF7583">
        <v>1.44612461315618</v>
      </c>
      <c r="AG7583">
        <v>-1.1006172021639999</v>
      </c>
      <c r="AH7583">
        <v>11.391581395876599</v>
      </c>
      <c r="AI7583">
        <v>95.474931926950006</v>
      </c>
      <c r="AJ7583">
        <v>82.765183673967499</v>
      </c>
      <c r="AK7583">
        <v>11.535630079079199</v>
      </c>
      <c r="AL7583">
        <v>89.440317004576897</v>
      </c>
      <c r="AM7583">
        <v>83.703203944315007</v>
      </c>
      <c r="AN7583">
        <v>1.0000000317609801</v>
      </c>
    </row>
    <row r="7584" spans="1:40" x14ac:dyDescent="0.25">
      <c r="A7584" t="str">
        <f>"20190312154446130"</f>
        <v>20190312154446130</v>
      </c>
      <c r="B7584" t="str">
        <f>"1552376686125363"</f>
        <v>1552376686125363</v>
      </c>
      <c r="C7584" t="s">
        <v>40</v>
      </c>
      <c r="D7584">
        <v>4.7625580000000003</v>
      </c>
      <c r="E7584">
        <v>0.49141220000000002</v>
      </c>
      <c r="F7584" t="s">
        <v>41</v>
      </c>
      <c r="G7584">
        <v>-167.1576</v>
      </c>
      <c r="H7584">
        <v>0.8499042</v>
      </c>
      <c r="I7584">
        <v>145.91990000000001</v>
      </c>
      <c r="J7584">
        <v>-167.55369999999999</v>
      </c>
      <c r="K7584">
        <v>1.1008979999999999</v>
      </c>
      <c r="L7584">
        <v>146.03829999999999</v>
      </c>
      <c r="M7584">
        <v>0.98204740000000001</v>
      </c>
      <c r="N7584">
        <v>0</v>
      </c>
      <c r="O7584">
        <v>-0.18794559999999999</v>
      </c>
      <c r="P7584">
        <v>0.95733460000000004</v>
      </c>
      <c r="Q7584">
        <v>-4.4983899999999997E-3</v>
      </c>
      <c r="R7584">
        <v>-0.28894699999999901</v>
      </c>
      <c r="S7584">
        <v>2.8839260000000002</v>
      </c>
      <c r="T7584">
        <v>-1.1548069999999999</v>
      </c>
      <c r="U7584">
        <v>-0.81132510000000002</v>
      </c>
      <c r="V7584">
        <v>0.1040862</v>
      </c>
      <c r="W7584">
        <v>9.0991849999999992E-3</v>
      </c>
      <c r="X7584">
        <v>0.99452669999999999</v>
      </c>
      <c r="Y7584">
        <v>9.1726199999999994E-2</v>
      </c>
      <c r="Z7584">
        <v>5.3081009999999998E-2</v>
      </c>
      <c r="AA7584">
        <v>0.99436849999999999</v>
      </c>
      <c r="AB7584">
        <v>24</v>
      </c>
      <c r="AC7584">
        <v>0.39609999999998902</v>
      </c>
      <c r="AD7584">
        <v>-0.25099379999999899</v>
      </c>
      <c r="AE7584">
        <v>-0.11839999999997899</v>
      </c>
      <c r="AF7584">
        <v>3.0567551758339601E-2</v>
      </c>
      <c r="AG7584">
        <v>-0.25099379999999899</v>
      </c>
      <c r="AH7584">
        <v>0.30052367761488502</v>
      </c>
      <c r="AI7584">
        <v>129.72322582429001</v>
      </c>
      <c r="AJ7584">
        <v>84.192174507684797</v>
      </c>
      <c r="AK7584">
        <v>0.39274259212124402</v>
      </c>
      <c r="AL7584">
        <v>89.478647931339296</v>
      </c>
      <c r="AM7584">
        <v>84.025230823829403</v>
      </c>
      <c r="AN7584">
        <v>1.00000004460549</v>
      </c>
    </row>
    <row r="7585" spans="1:40" x14ac:dyDescent="0.25">
      <c r="A7585" t="str">
        <f>"20190312154446156"</f>
        <v>20190312154446156</v>
      </c>
      <c r="B7585" t="str">
        <f>"1552376686144883"</f>
        <v>1552376686144883</v>
      </c>
      <c r="C7585" t="s">
        <v>40</v>
      </c>
      <c r="D7585">
        <v>9.4702739999999999</v>
      </c>
      <c r="E7585">
        <v>0.48498229999999998</v>
      </c>
      <c r="F7585" t="s">
        <v>41</v>
      </c>
      <c r="G7585">
        <v>-166.75099999999901</v>
      </c>
      <c r="H7585">
        <v>0.82448920000000003</v>
      </c>
      <c r="I7585">
        <v>145.8177</v>
      </c>
      <c r="J7585">
        <v>-167.28099999999901</v>
      </c>
      <c r="K7585">
        <v>1.101251</v>
      </c>
      <c r="L7585">
        <v>145.9657</v>
      </c>
      <c r="M7585">
        <v>0.97870369999999995</v>
      </c>
      <c r="N7585">
        <v>0</v>
      </c>
      <c r="O7585">
        <v>-0.20465530000000001</v>
      </c>
      <c r="P7585">
        <v>0.95401389999999997</v>
      </c>
      <c r="Q7585">
        <v>-4.9602420000000001E-3</v>
      </c>
      <c r="R7585">
        <v>-0.29972110000000002</v>
      </c>
      <c r="S7585">
        <v>2.889389</v>
      </c>
      <c r="T7585">
        <v>-0.99491689999999999</v>
      </c>
      <c r="U7585">
        <v>-0.79397580000000001</v>
      </c>
      <c r="V7585">
        <v>9.8327280000000003E-2</v>
      </c>
      <c r="W7585">
        <v>8.7406159999999997E-3</v>
      </c>
      <c r="X7585">
        <v>0.99511579999999999</v>
      </c>
      <c r="Y7585">
        <v>6.905124E-2</v>
      </c>
      <c r="Z7585">
        <v>5.5178150000000002E-2</v>
      </c>
      <c r="AA7585">
        <v>0.99608600000000003</v>
      </c>
      <c r="AB7585">
        <v>23</v>
      </c>
      <c r="AC7585">
        <v>0.53000000000000103</v>
      </c>
      <c r="AD7585">
        <v>-0.276761799999999</v>
      </c>
      <c r="AE7585">
        <v>-0.147999999999996</v>
      </c>
      <c r="AF7585">
        <v>2.90396363884203E-2</v>
      </c>
      <c r="AG7585">
        <v>-0.276761799999999</v>
      </c>
      <c r="AH7585">
        <v>0.43822015886552801</v>
      </c>
      <c r="AI7585">
        <v>122.21817306672</v>
      </c>
      <c r="AJ7585">
        <v>86.208710495129097</v>
      </c>
      <c r="AK7585">
        <v>0.51911203227910296</v>
      </c>
      <c r="AL7585">
        <v>89.499193242900503</v>
      </c>
      <c r="AM7585">
        <v>84.356928092070305</v>
      </c>
      <c r="AN7585">
        <v>1.0000000538849401</v>
      </c>
    </row>
    <row r="7586" spans="1:40" x14ac:dyDescent="0.25">
      <c r="A7586" t="str">
        <f>"20190312154446179"</f>
        <v>20190312154446179</v>
      </c>
      <c r="B7586" t="str">
        <f>"1552376686175138"</f>
        <v>1552376686175138</v>
      </c>
      <c r="C7586" t="s">
        <v>40</v>
      </c>
      <c r="D7586">
        <v>5.9656859999999998</v>
      </c>
      <c r="E7586">
        <v>0.48458679999999899</v>
      </c>
      <c r="F7586" t="s">
        <v>41</v>
      </c>
      <c r="G7586">
        <v>-166.5206</v>
      </c>
      <c r="H7586">
        <v>0.88080309999999995</v>
      </c>
      <c r="I7586">
        <v>145.76130000000001</v>
      </c>
      <c r="J7586">
        <v>-167.04650000000001</v>
      </c>
      <c r="K7586">
        <v>1.1015360000000001</v>
      </c>
      <c r="L7586">
        <v>145.8999</v>
      </c>
      <c r="M7586">
        <v>0.97567340000000002</v>
      </c>
      <c r="N7586">
        <v>0</v>
      </c>
      <c r="O7586">
        <v>-0.2186555</v>
      </c>
      <c r="P7586">
        <v>0.95140239999999998</v>
      </c>
      <c r="Q7586">
        <v>-6.1467830000000003E-3</v>
      </c>
      <c r="R7586">
        <v>-0.30788900000000002</v>
      </c>
      <c r="S7586">
        <v>2.8958279999999998</v>
      </c>
      <c r="T7586">
        <v>-0.83875889999999997</v>
      </c>
      <c r="U7586">
        <v>-0.77798459999999903</v>
      </c>
      <c r="V7586">
        <v>9.256897E-2</v>
      </c>
      <c r="W7586">
        <v>7.6358219999999996E-3</v>
      </c>
      <c r="X7586">
        <v>0.99567700000000003</v>
      </c>
      <c r="Y7586">
        <v>4.832268E-2</v>
      </c>
      <c r="Z7586">
        <v>5.3493430000000002E-2</v>
      </c>
      <c r="AA7586">
        <v>0.99739829999999996</v>
      </c>
      <c r="AB7586">
        <v>23</v>
      </c>
      <c r="AC7586">
        <v>0.52590000000000703</v>
      </c>
      <c r="AD7586">
        <v>-0.22073290000000001</v>
      </c>
      <c r="AE7586">
        <v>-0.138599999999996</v>
      </c>
      <c r="AF7586">
        <v>1.73774213507632E-2</v>
      </c>
      <c r="AG7586">
        <v>-0.22073290000000001</v>
      </c>
      <c r="AH7586">
        <v>0.46661634830536403</v>
      </c>
      <c r="AI7586">
        <v>115.301149406839</v>
      </c>
      <c r="AJ7586">
        <v>87.867213628061194</v>
      </c>
      <c r="AK7586">
        <v>0.51648407954267495</v>
      </c>
      <c r="AL7586">
        <v>89.562495376527295</v>
      </c>
      <c r="AM7586">
        <v>84.688429334741201</v>
      </c>
      <c r="AN7586">
        <v>1.0000000041567301</v>
      </c>
    </row>
    <row r="7587" spans="1:40" x14ac:dyDescent="0.25">
      <c r="A7587" t="str">
        <f>"20190312154446202"</f>
        <v>20190312154446202</v>
      </c>
      <c r="B7587" t="str">
        <f>"1552376686194658"</f>
        <v>1552376686194658</v>
      </c>
      <c r="C7587" t="s">
        <v>40</v>
      </c>
      <c r="D7587">
        <v>5.2217729999999998</v>
      </c>
      <c r="E7587">
        <v>0.47708299999999998</v>
      </c>
      <c r="F7587" t="s">
        <v>41</v>
      </c>
      <c r="G7587">
        <v>-166.29490000000001</v>
      </c>
      <c r="H7587">
        <v>0.92838810000000005</v>
      </c>
      <c r="I7587">
        <v>145.69159999999999</v>
      </c>
      <c r="J7587">
        <v>-166.8107</v>
      </c>
      <c r="K7587">
        <v>1.1018059999999901</v>
      </c>
      <c r="L7587">
        <v>145.8305</v>
      </c>
      <c r="M7587">
        <v>0.97250610000000004</v>
      </c>
      <c r="N7587">
        <v>0</v>
      </c>
      <c r="O7587">
        <v>-0.23234740000000001</v>
      </c>
      <c r="P7587">
        <v>0.94859459999999995</v>
      </c>
      <c r="Q7587">
        <v>-7.2312699999999997E-3</v>
      </c>
      <c r="R7587">
        <v>-0.31641170000000002</v>
      </c>
      <c r="S7587">
        <v>2.8897710000000001</v>
      </c>
      <c r="T7587">
        <v>-0.66558339999999905</v>
      </c>
      <c r="U7587">
        <v>-0.8008575</v>
      </c>
      <c r="V7587">
        <v>8.7476799999999993E-2</v>
      </c>
      <c r="W7587">
        <v>6.5725030000000004E-3</v>
      </c>
      <c r="X7587">
        <v>0.9961449</v>
      </c>
      <c r="Y7587">
        <v>4.03431E-2</v>
      </c>
      <c r="Z7587">
        <v>4.6621639999999999E-2</v>
      </c>
      <c r="AA7587">
        <v>0.99809760000000003</v>
      </c>
      <c r="AB7587">
        <v>23</v>
      </c>
      <c r="AC7587">
        <v>0.51579999999998405</v>
      </c>
      <c r="AD7587">
        <v>-0.17341789999999899</v>
      </c>
      <c r="AE7587">
        <v>-0.13890000000000599</v>
      </c>
      <c r="AF7587">
        <v>1.37852842784868E-2</v>
      </c>
      <c r="AG7587">
        <v>-0.17341789999999899</v>
      </c>
      <c r="AH7587">
        <v>0.48304672516470198</v>
      </c>
      <c r="AI7587">
        <v>109.741155752634</v>
      </c>
      <c r="AJ7587">
        <v>88.365325237356799</v>
      </c>
      <c r="AK7587">
        <v>0.51341790073524995</v>
      </c>
      <c r="AL7587">
        <v>89.623420615435506</v>
      </c>
      <c r="AM7587">
        <v>84.981425698246497</v>
      </c>
      <c r="AN7587">
        <v>1.0000000250649601</v>
      </c>
    </row>
    <row r="7588" spans="1:40" x14ac:dyDescent="0.25">
      <c r="A7588" t="str">
        <f>"20190312154446221"</f>
        <v>20190312154446221</v>
      </c>
      <c r="B7588" t="str">
        <f>"1552376686214689"</f>
        <v>1552376686214689</v>
      </c>
      <c r="C7588" t="s">
        <v>40</v>
      </c>
      <c r="D7588">
        <v>5.2308139999999996</v>
      </c>
      <c r="E7588">
        <v>0.48001509999999997</v>
      </c>
      <c r="F7588" t="s">
        <v>43</v>
      </c>
      <c r="G7588">
        <v>-112.1562</v>
      </c>
      <c r="H7588" s="1">
        <v>-4.8860329999999997E-6</v>
      </c>
      <c r="I7588">
        <v>131.23249999999999</v>
      </c>
      <c r="J7588">
        <v>-166.60499999999999</v>
      </c>
      <c r="K7588">
        <v>1.102034</v>
      </c>
      <c r="L7588">
        <v>145.76750000000001</v>
      </c>
      <c r="M7588">
        <v>0.96967040000000004</v>
      </c>
      <c r="N7588">
        <v>0</v>
      </c>
      <c r="O7588">
        <v>-0.24392330000000001</v>
      </c>
      <c r="P7588">
        <v>0.94592089999999995</v>
      </c>
      <c r="Q7588">
        <v>-7.3198819999999998E-3</v>
      </c>
      <c r="R7588">
        <v>-0.32431539999999998</v>
      </c>
      <c r="S7588">
        <v>2.9034420000000001</v>
      </c>
      <c r="T7588">
        <v>-5.853212E-2</v>
      </c>
      <c r="U7588">
        <v>-0.7754974</v>
      </c>
      <c r="V7588">
        <v>8.3905549999999995E-2</v>
      </c>
      <c r="W7588">
        <v>6.4327909999999898E-3</v>
      </c>
      <c r="X7588">
        <v>0.99645289999999997</v>
      </c>
      <c r="Y7588">
        <v>1.460507E-2</v>
      </c>
      <c r="Z7588">
        <v>4.6130090000000004E-3</v>
      </c>
      <c r="AA7588">
        <v>0.99988270000000001</v>
      </c>
      <c r="AB7588">
        <v>23</v>
      </c>
      <c r="AC7588">
        <v>54.448799999999899</v>
      </c>
      <c r="AD7588">
        <v>-1.1020388860329999</v>
      </c>
      <c r="AE7588">
        <v>-14.535</v>
      </c>
      <c r="AF7588">
        <v>0.81261539745450895</v>
      </c>
      <c r="AG7588">
        <v>-1.1020388860329999</v>
      </c>
      <c r="AH7588">
        <v>56.328057980089397</v>
      </c>
      <c r="AI7588">
        <v>91.120712440228402</v>
      </c>
      <c r="AJ7588">
        <v>89.173481126791003</v>
      </c>
      <c r="AK7588">
        <v>56.344697614760697</v>
      </c>
      <c r="AL7588">
        <v>89.631425665512495</v>
      </c>
      <c r="AM7588">
        <v>85.186807271513899</v>
      </c>
      <c r="AN7588">
        <v>0.99999995201962999</v>
      </c>
    </row>
    <row r="7589" spans="1:40" x14ac:dyDescent="0.25">
      <c r="A7589" t="str">
        <f>"20190312154446242"</f>
        <v>20190312154446242</v>
      </c>
      <c r="B7589" t="str">
        <f>"1552376686235184"</f>
        <v>1552376686235184</v>
      </c>
      <c r="C7589" t="s">
        <v>40</v>
      </c>
      <c r="D7589">
        <v>5.2105870000000003</v>
      </c>
      <c r="E7589">
        <v>0.48017789999999999</v>
      </c>
      <c r="F7589" t="s">
        <v>43</v>
      </c>
      <c r="G7589">
        <v>-144.70439999999999</v>
      </c>
      <c r="H7589" s="1">
        <v>-2.2667849999999998E-6</v>
      </c>
      <c r="I7589">
        <v>139.5446</v>
      </c>
      <c r="J7589">
        <v>-166.3845</v>
      </c>
      <c r="K7589">
        <v>1.1022959999999999</v>
      </c>
      <c r="L7589">
        <v>145.69739999999999</v>
      </c>
      <c r="M7589">
        <v>0.96657590000000004</v>
      </c>
      <c r="N7589">
        <v>0</v>
      </c>
      <c r="O7589">
        <v>-0.25592540000000003</v>
      </c>
      <c r="P7589">
        <v>0.94291789999999998</v>
      </c>
      <c r="Q7589">
        <v>-6.5203459999999998E-3</v>
      </c>
      <c r="R7589">
        <v>-0.33296150000000002</v>
      </c>
      <c r="S7589">
        <v>2.8889619999999998</v>
      </c>
      <c r="T7589">
        <v>-0.14537220000000001</v>
      </c>
      <c r="U7589">
        <v>-0.82086179999999997</v>
      </c>
      <c r="V7589">
        <v>8.0681009999999997E-2</v>
      </c>
      <c r="W7589">
        <v>7.1146530000000003E-3</v>
      </c>
      <c r="X7589">
        <v>0.99671460000000001</v>
      </c>
      <c r="Y7589">
        <v>1.8272690000000001E-2</v>
      </c>
      <c r="Z7589">
        <v>1.195421E-2</v>
      </c>
      <c r="AA7589">
        <v>0.99976160000000003</v>
      </c>
      <c r="AB7589">
        <v>23</v>
      </c>
      <c r="AC7589">
        <v>21.680099999999999</v>
      </c>
      <c r="AD7589">
        <v>-1.1022982667850001</v>
      </c>
      <c r="AE7589">
        <v>-6.1527999999999796</v>
      </c>
      <c r="AF7589">
        <v>0.39775483957902802</v>
      </c>
      <c r="AG7589">
        <v>-1.1022982667850001</v>
      </c>
      <c r="AH7589">
        <v>22.4789689489461</v>
      </c>
      <c r="AI7589">
        <v>92.806918219193406</v>
      </c>
      <c r="AJ7589">
        <v>88.986283773432703</v>
      </c>
      <c r="AK7589">
        <v>22.509493894555899</v>
      </c>
      <c r="AL7589">
        <v>89.5923569789651</v>
      </c>
      <c r="AM7589">
        <v>85.372171429551699</v>
      </c>
      <c r="AN7589">
        <v>1.00000001875754</v>
      </c>
    </row>
    <row r="7590" spans="1:40" x14ac:dyDescent="0.25">
      <c r="A7590" t="str">
        <f>"20190312154446276"</f>
        <v>20190312154446276</v>
      </c>
      <c r="B7590" t="str">
        <f>"1552376686265441"</f>
        <v>1552376686265441</v>
      </c>
      <c r="C7590" t="s">
        <v>40</v>
      </c>
      <c r="D7590">
        <v>5.1712160000000003</v>
      </c>
      <c r="E7590">
        <v>0.4785548</v>
      </c>
      <c r="F7590" t="s">
        <v>43</v>
      </c>
      <c r="G7590">
        <v>-147.73230000000001</v>
      </c>
      <c r="H7590" s="1">
        <v>-1.1125350000000001E-6</v>
      </c>
      <c r="I7590">
        <v>140.20779999999999</v>
      </c>
      <c r="J7590">
        <v>-166.05619999999999</v>
      </c>
      <c r="K7590">
        <v>1.1027439999999999</v>
      </c>
      <c r="L7590">
        <v>145.5883</v>
      </c>
      <c r="M7590">
        <v>0.96191720000000003</v>
      </c>
      <c r="N7590">
        <v>0</v>
      </c>
      <c r="O7590">
        <v>-0.27293859999999998</v>
      </c>
      <c r="P7590">
        <v>0.93746070000000004</v>
      </c>
      <c r="Q7590">
        <v>-5.1770480000000001E-3</v>
      </c>
      <c r="R7590">
        <v>-0.34805330000000001</v>
      </c>
      <c r="S7590">
        <v>2.8810120000000001</v>
      </c>
      <c r="T7590">
        <v>-0.17026050000000001</v>
      </c>
      <c r="U7590">
        <v>-0.84791559999999899</v>
      </c>
      <c r="V7590">
        <v>7.910201E-2</v>
      </c>
      <c r="W7590">
        <v>8.1503119999999998E-3</v>
      </c>
      <c r="X7590">
        <v>0.99683319999999997</v>
      </c>
      <c r="Y7590">
        <v>1.015779E-2</v>
      </c>
      <c r="Z7590">
        <v>1.518531E-2</v>
      </c>
      <c r="AA7590">
        <v>0.99983310000000003</v>
      </c>
      <c r="AB7590">
        <v>23</v>
      </c>
      <c r="AC7590">
        <v>18.323899999999899</v>
      </c>
      <c r="AD7590">
        <v>-1.1027451125349901</v>
      </c>
      <c r="AE7590">
        <v>-5.3805000000000103</v>
      </c>
      <c r="AF7590">
        <v>0.173735765835593</v>
      </c>
      <c r="AG7590">
        <v>-1.1027451125349901</v>
      </c>
      <c r="AH7590">
        <v>19.033258357220301</v>
      </c>
      <c r="AI7590">
        <v>93.315746654102995</v>
      </c>
      <c r="AJ7590">
        <v>89.477018096787305</v>
      </c>
      <c r="AK7590">
        <v>19.0659684934243</v>
      </c>
      <c r="AL7590">
        <v>89.533016346797794</v>
      </c>
      <c r="AM7590">
        <v>85.462897831662104</v>
      </c>
      <c r="AN7590">
        <v>0.99999999209698798</v>
      </c>
    </row>
    <row r="7591" spans="1:40" x14ac:dyDescent="0.25">
      <c r="A7591" t="str">
        <f>"20190312154446309"</f>
        <v>20190312154446309</v>
      </c>
      <c r="B7591" t="str">
        <f>"1552376686294721"</f>
        <v>1552376686294721</v>
      </c>
      <c r="C7591" t="s">
        <v>40</v>
      </c>
      <c r="D7591">
        <v>5.2059009999999999</v>
      </c>
      <c r="E7591">
        <v>0.47649819999999998</v>
      </c>
      <c r="F7591" t="s">
        <v>43</v>
      </c>
      <c r="G7591">
        <v>-149.4684</v>
      </c>
      <c r="H7591" s="1">
        <v>-4.4432800000000001E-7</v>
      </c>
      <c r="I7591">
        <v>140.49539999999999</v>
      </c>
      <c r="J7591">
        <v>-165.7225</v>
      </c>
      <c r="K7591">
        <v>1.1032169999999999</v>
      </c>
      <c r="L7591">
        <v>145.4725</v>
      </c>
      <c r="M7591">
        <v>0.95712949999999997</v>
      </c>
      <c r="N7591">
        <v>0</v>
      </c>
      <c r="O7591">
        <v>-0.28930430000000001</v>
      </c>
      <c r="P7591">
        <v>0.93367409999999995</v>
      </c>
      <c r="Q7591">
        <v>-3.9193860000000004E-3</v>
      </c>
      <c r="R7591">
        <v>-0.35810229999999998</v>
      </c>
      <c r="S7591">
        <v>2.87175</v>
      </c>
      <c r="T7591">
        <v>-0.1909111</v>
      </c>
      <c r="U7591">
        <v>-0.88168329999999995</v>
      </c>
      <c r="V7591">
        <v>7.2810340000000001E-2</v>
      </c>
      <c r="W7591">
        <v>9.1468650000000006E-3</v>
      </c>
      <c r="X7591">
        <v>0.99730379999999996</v>
      </c>
      <c r="Y7591">
        <v>4.9019129999999999E-3</v>
      </c>
      <c r="Z7591">
        <v>1.8218519999999998E-2</v>
      </c>
      <c r="AA7591">
        <v>0.99982199999999999</v>
      </c>
      <c r="AB7591">
        <v>23</v>
      </c>
      <c r="AC7591">
        <v>16.254099999999902</v>
      </c>
      <c r="AD7591">
        <v>-1.1032174443279901</v>
      </c>
      <c r="AE7591">
        <v>-4.9771000000000001</v>
      </c>
      <c r="AF7591">
        <v>6.1097203380493903E-2</v>
      </c>
      <c r="AG7591">
        <v>-1.1032174443279901</v>
      </c>
      <c r="AH7591">
        <v>16.927630477732901</v>
      </c>
      <c r="AI7591">
        <v>93.728816460646499</v>
      </c>
      <c r="AJ7591">
        <v>89.793202202904396</v>
      </c>
      <c r="AK7591">
        <v>16.9636521771817</v>
      </c>
      <c r="AL7591">
        <v>89.475915900241205</v>
      </c>
      <c r="AM7591">
        <v>85.824404792591594</v>
      </c>
      <c r="AN7591">
        <v>0.99999994012233995</v>
      </c>
    </row>
    <row r="7592" spans="1:40" x14ac:dyDescent="0.25">
      <c r="A7592" t="str">
        <f>"20190312154446331"</f>
        <v>20190312154446331</v>
      </c>
      <c r="B7592" t="str">
        <f>"1552376686324976"</f>
        <v>1552376686324976</v>
      </c>
      <c r="C7592" t="s">
        <v>40</v>
      </c>
      <c r="D7592">
        <v>5.2034940000000001</v>
      </c>
      <c r="E7592">
        <v>0.47455809999999998</v>
      </c>
      <c r="F7592" t="s">
        <v>43</v>
      </c>
      <c r="G7592">
        <v>-150.0633</v>
      </c>
      <c r="H7592" s="1">
        <v>-4.4239799999999998E-6</v>
      </c>
      <c r="I7592">
        <v>140.5718</v>
      </c>
      <c r="J7592">
        <v>-165.48660000000001</v>
      </c>
      <c r="K7592">
        <v>1.1035090000000001</v>
      </c>
      <c r="L7592">
        <v>145.38730000000001</v>
      </c>
      <c r="M7592">
        <v>0.95375379999999998</v>
      </c>
      <c r="N7592">
        <v>0</v>
      </c>
      <c r="O7592">
        <v>-0.30026249999999999</v>
      </c>
      <c r="P7592">
        <v>0.93054870000000001</v>
      </c>
      <c r="Q7592">
        <v>-2.7224739999999999E-3</v>
      </c>
      <c r="R7592">
        <v>-0.36615900000000001</v>
      </c>
      <c r="S7592">
        <v>2.8680110000000001</v>
      </c>
      <c r="T7592">
        <v>-0.20205609999999999</v>
      </c>
      <c r="U7592">
        <v>-0.89756769999999997</v>
      </c>
      <c r="V7592">
        <v>6.9998939999999996E-2</v>
      </c>
      <c r="W7592">
        <v>1.010956E-2</v>
      </c>
      <c r="X7592">
        <v>0.99749580000000004</v>
      </c>
      <c r="Y7592">
        <v>-1.0473469999999999E-3</v>
      </c>
      <c r="Z7592">
        <v>2.0199129999999999E-2</v>
      </c>
      <c r="AA7592">
        <v>0.9997954</v>
      </c>
      <c r="AB7592">
        <v>23</v>
      </c>
      <c r="AC7592">
        <v>15.423299999999999</v>
      </c>
      <c r="AD7592">
        <v>-1.10351342398</v>
      </c>
      <c r="AE7592">
        <v>-4.8155000000000099</v>
      </c>
      <c r="AF7592">
        <v>-3.80633966304477E-2</v>
      </c>
      <c r="AG7592">
        <v>-1.10351342398</v>
      </c>
      <c r="AH7592">
        <v>16.082513036948399</v>
      </c>
      <c r="AI7592">
        <v>93.925228512593193</v>
      </c>
      <c r="AJ7592">
        <v>90.135604920933801</v>
      </c>
      <c r="AK7592">
        <v>16.120372709174099</v>
      </c>
      <c r="AL7592">
        <v>89.420754990713405</v>
      </c>
      <c r="AM7592">
        <v>85.985868045609493</v>
      </c>
      <c r="AN7592">
        <v>0.99999996291107796</v>
      </c>
    </row>
    <row r="7593" spans="1:40" x14ac:dyDescent="0.25">
      <c r="A7593" t="str">
        <f>"20190312154446358"</f>
        <v>20190312154446358</v>
      </c>
      <c r="B7593" t="str">
        <f>"1552376686345472"</f>
        <v>1552376686345472</v>
      </c>
      <c r="C7593" t="s">
        <v>40</v>
      </c>
      <c r="D7593">
        <v>5.2126279999999996</v>
      </c>
      <c r="E7593">
        <v>0.4731881</v>
      </c>
      <c r="F7593" t="s">
        <v>43</v>
      </c>
      <c r="G7593">
        <v>-150.42310000000001</v>
      </c>
      <c r="H7593" s="1">
        <v>-4.3093910000000002E-6</v>
      </c>
      <c r="I7593">
        <v>140.61600000000001</v>
      </c>
      <c r="J7593">
        <v>-165.23050000000001</v>
      </c>
      <c r="K7593">
        <v>1.103769</v>
      </c>
      <c r="L7593">
        <v>145.2921</v>
      </c>
      <c r="M7593">
        <v>0.95010110000000003</v>
      </c>
      <c r="N7593">
        <v>0</v>
      </c>
      <c r="O7593">
        <v>-0.31164439999999999</v>
      </c>
      <c r="P7593">
        <v>0.92675110000000005</v>
      </c>
      <c r="Q7593">
        <v>-2.488255E-3</v>
      </c>
      <c r="R7593">
        <v>-0.3756681</v>
      </c>
      <c r="S7593">
        <v>2.8660739999999998</v>
      </c>
      <c r="T7593">
        <v>-0.20996010000000001</v>
      </c>
      <c r="U7593">
        <v>-0.90780640000000001</v>
      </c>
      <c r="V7593">
        <v>6.8278580000000005E-2</v>
      </c>
      <c r="W7593">
        <v>1.0049000000000001E-2</v>
      </c>
      <c r="X7593">
        <v>0.99761569999999999</v>
      </c>
      <c r="Y7593">
        <v>-9.4640469999999997E-3</v>
      </c>
      <c r="Z7593">
        <v>2.2051089999999999E-2</v>
      </c>
      <c r="AA7593">
        <v>0.99971200000000005</v>
      </c>
      <c r="AB7593">
        <v>24</v>
      </c>
      <c r="AC7593">
        <v>14.807399999999999</v>
      </c>
      <c r="AD7593">
        <v>-1.103773309391</v>
      </c>
      <c r="AE7593">
        <v>-4.6760999999999902</v>
      </c>
      <c r="AF7593">
        <v>-0.171027354941335</v>
      </c>
      <c r="AG7593">
        <v>-1.103773309391</v>
      </c>
      <c r="AH7593">
        <v>15.4491898830256</v>
      </c>
      <c r="AI7593">
        <v>94.086325662127393</v>
      </c>
      <c r="AJ7593">
        <v>90.634256256932005</v>
      </c>
      <c r="AK7593">
        <v>15.489513675917699</v>
      </c>
      <c r="AL7593">
        <v>89.424225030020196</v>
      </c>
      <c r="AM7593">
        <v>86.084681541452397</v>
      </c>
      <c r="AN7593">
        <v>1.00000001588715</v>
      </c>
    </row>
    <row r="7594" spans="1:40" x14ac:dyDescent="0.25">
      <c r="A7594" t="str">
        <f>"20190312154446383"</f>
        <v>20190312154446383</v>
      </c>
      <c r="B7594" t="str">
        <f>"1552376686374753"</f>
        <v>1552376686374753</v>
      </c>
      <c r="C7594" t="s">
        <v>40</v>
      </c>
      <c r="D7594">
        <v>5.3426999999999998</v>
      </c>
      <c r="E7594">
        <v>0.47137669999999998</v>
      </c>
      <c r="F7594" t="s">
        <v>43</v>
      </c>
      <c r="G7594">
        <v>-150.54089999999999</v>
      </c>
      <c r="H7594" s="1">
        <v>-4.2550400000000002E-6</v>
      </c>
      <c r="I7594">
        <v>140.53559999999999</v>
      </c>
      <c r="J7594">
        <v>-164.97299999999899</v>
      </c>
      <c r="K7594">
        <v>1.104044</v>
      </c>
      <c r="L7594">
        <v>145.19370000000001</v>
      </c>
      <c r="M7594">
        <v>0.94648849999999995</v>
      </c>
      <c r="N7594">
        <v>0</v>
      </c>
      <c r="O7594">
        <v>-0.32246590000000003</v>
      </c>
      <c r="P7594">
        <v>0.92317099999999996</v>
      </c>
      <c r="Q7594">
        <v>-2.826495E-3</v>
      </c>
      <c r="R7594">
        <v>-0.38437959999999999</v>
      </c>
      <c r="S7594">
        <v>2.8610229999999999</v>
      </c>
      <c r="T7594">
        <v>-0.21497630000000001</v>
      </c>
      <c r="U7594">
        <v>-0.92639159999999998</v>
      </c>
      <c r="V7594">
        <v>6.6273209999999999E-2</v>
      </c>
      <c r="W7594">
        <v>9.3981480000000003E-3</v>
      </c>
      <c r="X7594">
        <v>0.99775729999999996</v>
      </c>
      <c r="Y7594">
        <v>-1.440316E-2</v>
      </c>
      <c r="Z7594">
        <v>2.3507989999999999E-2</v>
      </c>
      <c r="AA7594">
        <v>0.99961990000000001</v>
      </c>
      <c r="AB7594">
        <v>24</v>
      </c>
      <c r="AC7594">
        <v>14.432099999999901</v>
      </c>
      <c r="AD7594">
        <v>-1.1040482550399999</v>
      </c>
      <c r="AE7594">
        <v>-4.6581000000000099</v>
      </c>
      <c r="AF7594">
        <v>-0.243751613298475</v>
      </c>
      <c r="AG7594">
        <v>-1.1040482550399999</v>
      </c>
      <c r="AH7594">
        <v>15.0832818394634</v>
      </c>
      <c r="AI7594">
        <v>94.1858582640333</v>
      </c>
      <c r="AJ7594">
        <v>90.925841157016293</v>
      </c>
      <c r="AK7594">
        <v>15.1255984492227</v>
      </c>
      <c r="AL7594">
        <v>89.461517882347906</v>
      </c>
      <c r="AM7594">
        <v>86.199871747889105</v>
      </c>
      <c r="AN7594">
        <v>1.0000000466264101</v>
      </c>
    </row>
    <row r="7595" spans="1:40" x14ac:dyDescent="0.25">
      <c r="A7595" t="str">
        <f>"20190312154446406"</f>
        <v>20190312154446406</v>
      </c>
      <c r="B7595" t="str">
        <f>"1552376686395250"</f>
        <v>1552376686395250</v>
      </c>
      <c r="C7595" t="s">
        <v>40</v>
      </c>
      <c r="D7595">
        <v>5.4465199999999996</v>
      </c>
      <c r="E7595">
        <v>0.45531909999999998</v>
      </c>
      <c r="F7595" t="s">
        <v>43</v>
      </c>
      <c r="G7595">
        <v>-150.94220000000001</v>
      </c>
      <c r="H7595" s="1">
        <v>-4.1243660000000002E-6</v>
      </c>
      <c r="I7595">
        <v>140.57939999999999</v>
      </c>
      <c r="J7595">
        <v>-164.74279999999999</v>
      </c>
      <c r="K7595">
        <v>1.104344</v>
      </c>
      <c r="L7595">
        <v>145.1036</v>
      </c>
      <c r="M7595">
        <v>0.94335449999999998</v>
      </c>
      <c r="N7595">
        <v>0</v>
      </c>
      <c r="O7595">
        <v>-0.33153680000000002</v>
      </c>
      <c r="P7595">
        <v>0.92052670000000003</v>
      </c>
      <c r="Q7595">
        <v>-2.7098230000000001E-3</v>
      </c>
      <c r="R7595">
        <v>-0.39067069999999998</v>
      </c>
      <c r="S7595">
        <v>2.8576969999999999</v>
      </c>
      <c r="T7595">
        <v>-0.22486419999999999</v>
      </c>
      <c r="U7595">
        <v>-0.93980410000000003</v>
      </c>
      <c r="V7595">
        <v>6.349486E-2</v>
      </c>
      <c r="W7595">
        <v>9.2512879999999999E-3</v>
      </c>
      <c r="X7595">
        <v>0.99793929999999997</v>
      </c>
      <c r="Y7595">
        <v>-1.930697E-2</v>
      </c>
      <c r="Z7595">
        <v>2.5425619999999999E-2</v>
      </c>
      <c r="AA7595">
        <v>0.99949030000000005</v>
      </c>
      <c r="AB7595">
        <v>24</v>
      </c>
      <c r="AC7595">
        <v>13.8005999999999</v>
      </c>
      <c r="AD7595">
        <v>-1.1043481243660001</v>
      </c>
      <c r="AE7595">
        <v>-4.5242000000000004</v>
      </c>
      <c r="AF7595">
        <v>-0.30573998877502701</v>
      </c>
      <c r="AG7595">
        <v>-1.1043481243660001</v>
      </c>
      <c r="AH7595">
        <v>14.4365263406248</v>
      </c>
      <c r="AI7595">
        <v>94.373447720686499</v>
      </c>
      <c r="AJ7595">
        <v>91.213241488525796</v>
      </c>
      <c r="AK7595">
        <v>14.481932001776499</v>
      </c>
      <c r="AL7595">
        <v>89.469932689237794</v>
      </c>
      <c r="AM7595">
        <v>86.359407621327094</v>
      </c>
      <c r="AN7595">
        <v>1.0000000150302799</v>
      </c>
    </row>
    <row r="7596" spans="1:40" x14ac:dyDescent="0.25">
      <c r="A7596" t="str">
        <f>"20190312154446426"</f>
        <v>20190312154446426</v>
      </c>
      <c r="B7596" t="str">
        <f>"1552376686415275"</f>
        <v>1552376686415275</v>
      </c>
      <c r="C7596" t="s">
        <v>40</v>
      </c>
      <c r="D7596">
        <v>5.2743080000000004</v>
      </c>
      <c r="E7596">
        <v>0.4545188</v>
      </c>
      <c r="F7596" t="s">
        <v>43</v>
      </c>
      <c r="G7596">
        <v>-151.2518</v>
      </c>
      <c r="H7596" s="1">
        <v>-4.1295519999999998E-6</v>
      </c>
      <c r="I7596">
        <v>141.19200000000001</v>
      </c>
      <c r="J7596">
        <v>-164.54259999999999</v>
      </c>
      <c r="K7596">
        <v>1.104673</v>
      </c>
      <c r="L7596">
        <v>145.02369999999999</v>
      </c>
      <c r="M7596">
        <v>0.94074230000000003</v>
      </c>
      <c r="N7596">
        <v>0</v>
      </c>
      <c r="O7596">
        <v>-0.3388892</v>
      </c>
      <c r="P7596">
        <v>0.91841609999999996</v>
      </c>
      <c r="Q7596" s="1">
        <v>8.1306789999999998E-5</v>
      </c>
      <c r="R7596">
        <v>-0.39561639999999998</v>
      </c>
      <c r="S7596">
        <v>2.9012910000000001</v>
      </c>
      <c r="T7596">
        <v>-0.23749429999999999</v>
      </c>
      <c r="U7596">
        <v>-0.8412018</v>
      </c>
      <c r="V7596">
        <v>6.1098819999999998E-2</v>
      </c>
      <c r="W7596">
        <v>1.1829879999999999E-2</v>
      </c>
      <c r="X7596">
        <v>0.99806159999999999</v>
      </c>
      <c r="Y7596">
        <v>-6.2341779999999999E-2</v>
      </c>
      <c r="Z7596">
        <v>2.8904369999999999E-2</v>
      </c>
      <c r="AA7596">
        <v>0.99763619999999997</v>
      </c>
      <c r="AB7596">
        <v>24</v>
      </c>
      <c r="AC7596">
        <v>13.2907999999999</v>
      </c>
      <c r="AD7596">
        <v>-1.1046771295519999</v>
      </c>
      <c r="AE7596">
        <v>-3.8316999999999801</v>
      </c>
      <c r="AF7596">
        <v>-0.89383638010308897</v>
      </c>
      <c r="AG7596">
        <v>-1.1046771295519999</v>
      </c>
      <c r="AH7596">
        <v>13.7153518319593</v>
      </c>
      <c r="AI7596">
        <v>94.595134106616996</v>
      </c>
      <c r="AJ7596">
        <v>93.728721877146498</v>
      </c>
      <c r="AK7596">
        <v>13.7887682883345</v>
      </c>
      <c r="AL7596">
        <v>89.322181983148496</v>
      </c>
      <c r="AM7596">
        <v>86.496868260570395</v>
      </c>
      <c r="AN7596">
        <v>0.99999998463038298</v>
      </c>
    </row>
    <row r="7597" spans="1:40" x14ac:dyDescent="0.25">
      <c r="A7597" t="str">
        <f>"20190312154446448"</f>
        <v>20190312154446448</v>
      </c>
      <c r="B7597" t="str">
        <f>"1552376686434796"</f>
        <v>1552376686434796</v>
      </c>
      <c r="C7597" t="s">
        <v>40</v>
      </c>
      <c r="D7597">
        <v>5.2720379999999896</v>
      </c>
      <c r="E7597">
        <v>0.45336949999999998</v>
      </c>
      <c r="F7597" t="s">
        <v>43</v>
      </c>
      <c r="G7597">
        <v>-150.77189999999999</v>
      </c>
      <c r="H7597" s="1">
        <v>-4.2557310000000004E-6</v>
      </c>
      <c r="I7597">
        <v>140.98269999999999</v>
      </c>
      <c r="J7597">
        <v>-164.32589999999999</v>
      </c>
      <c r="K7597">
        <v>1.1051059999999999</v>
      </c>
      <c r="L7597">
        <v>144.93610000000001</v>
      </c>
      <c r="M7597">
        <v>0.93804960000000004</v>
      </c>
      <c r="N7597">
        <v>0</v>
      </c>
      <c r="O7597">
        <v>-0.34628370000000003</v>
      </c>
      <c r="P7597">
        <v>0.91590729999999998</v>
      </c>
      <c r="Q7597">
        <v>2.755993E-3</v>
      </c>
      <c r="R7597">
        <v>-0.4013815</v>
      </c>
      <c r="S7597">
        <v>2.8999480000000002</v>
      </c>
      <c r="T7597">
        <v>-0.23263200000000001</v>
      </c>
      <c r="U7597">
        <v>-0.85099789999999997</v>
      </c>
      <c r="V7597">
        <v>5.9534730000000001E-2</v>
      </c>
      <c r="W7597">
        <v>1.4285859999999999E-2</v>
      </c>
      <c r="X7597">
        <v>0.99812400000000001</v>
      </c>
      <c r="Y7597">
        <v>-6.6982100000000003E-2</v>
      </c>
      <c r="Z7597">
        <v>2.9030340000000002E-2</v>
      </c>
      <c r="AA7597">
        <v>0.99733170000000004</v>
      </c>
      <c r="AB7597">
        <v>24</v>
      </c>
      <c r="AC7597">
        <v>13.554</v>
      </c>
      <c r="AD7597">
        <v>-1.105110255731</v>
      </c>
      <c r="AE7597">
        <v>-3.95340000000001</v>
      </c>
      <c r="AF7597">
        <v>-0.97911951047677903</v>
      </c>
      <c r="AG7597">
        <v>-1.105110255731</v>
      </c>
      <c r="AH7597">
        <v>13.998619207725</v>
      </c>
      <c r="AI7597">
        <v>94.502854414542796</v>
      </c>
      <c r="AJ7597">
        <v>94.000980370822802</v>
      </c>
      <c r="AK7597">
        <v>14.0762666718134</v>
      </c>
      <c r="AL7597">
        <v>89.181452666960496</v>
      </c>
      <c r="AM7597">
        <v>86.586544213335102</v>
      </c>
      <c r="AN7597">
        <v>0.99999999462405598</v>
      </c>
    </row>
    <row r="7598" spans="1:40" x14ac:dyDescent="0.25">
      <c r="A7598" t="str">
        <f>"20190312154446472"</f>
        <v>20190312154446472</v>
      </c>
      <c r="B7598" t="str">
        <f>"1552376686465052"</f>
        <v>1552376686465052</v>
      </c>
      <c r="C7598" t="s">
        <v>40</v>
      </c>
      <c r="D7598">
        <v>5.2995619999999999</v>
      </c>
      <c r="E7598">
        <v>0.45218249999999999</v>
      </c>
      <c r="F7598" t="s">
        <v>43</v>
      </c>
      <c r="G7598">
        <v>-150.15090000000001</v>
      </c>
      <c r="H7598" s="1">
        <v>-4.4219300000000004E-6</v>
      </c>
      <c r="I7598">
        <v>140.72819999999999</v>
      </c>
      <c r="J7598">
        <v>-164.0866</v>
      </c>
      <c r="K7598">
        <v>1.1056090000000001</v>
      </c>
      <c r="L7598">
        <v>144.83779999999999</v>
      </c>
      <c r="M7598">
        <v>0.93529589999999996</v>
      </c>
      <c r="N7598">
        <v>0</v>
      </c>
      <c r="O7598">
        <v>-0.3536646</v>
      </c>
      <c r="P7598">
        <v>0.91395689999999996</v>
      </c>
      <c r="Q7598">
        <v>2.1754510000000001E-3</v>
      </c>
      <c r="R7598">
        <v>-0.40580579999999999</v>
      </c>
      <c r="S7598">
        <v>2.898987</v>
      </c>
      <c r="T7598">
        <v>-0.2260094</v>
      </c>
      <c r="U7598">
        <v>-0.86056520000000003</v>
      </c>
      <c r="V7598">
        <v>5.6469329999999998E-2</v>
      </c>
      <c r="W7598">
        <v>1.350869E-2</v>
      </c>
      <c r="X7598">
        <v>0.99831300000000001</v>
      </c>
      <c r="Y7598">
        <v>-7.1759660000000003E-2</v>
      </c>
      <c r="Z7598">
        <v>2.890088E-2</v>
      </c>
      <c r="AA7598">
        <v>0.99700310000000003</v>
      </c>
      <c r="AB7598">
        <v>24</v>
      </c>
      <c r="AC7598">
        <v>13.935699999999899</v>
      </c>
      <c r="AD7598">
        <v>-1.10561342192999</v>
      </c>
      <c r="AE7598">
        <v>-4.1096000000000004</v>
      </c>
      <c r="AF7598">
        <v>-1.07870279211154</v>
      </c>
      <c r="AG7598">
        <v>-1.10561342192999</v>
      </c>
      <c r="AH7598">
        <v>14.4050427813862</v>
      </c>
      <c r="AI7598">
        <v>94.376744849069098</v>
      </c>
      <c r="AJ7598">
        <v>94.2825266095914</v>
      </c>
      <c r="AK7598">
        <v>14.487623624529601</v>
      </c>
      <c r="AL7598">
        <v>89.225985578923996</v>
      </c>
      <c r="AM7598">
        <v>86.762528183860397</v>
      </c>
      <c r="AN7598">
        <v>1.0000000579525801</v>
      </c>
    </row>
    <row r="7599" spans="1:40" x14ac:dyDescent="0.25">
      <c r="A7599" t="str">
        <f>"20190312154446493"</f>
        <v>20190312154446493</v>
      </c>
      <c r="B7599" t="str">
        <f>"1552376686485547"</f>
        <v>1552376686485547</v>
      </c>
      <c r="C7599" t="s">
        <v>40</v>
      </c>
      <c r="D7599">
        <v>5.3172360000000003</v>
      </c>
      <c r="E7599">
        <v>0.4428202</v>
      </c>
      <c r="F7599" t="s">
        <v>43</v>
      </c>
      <c r="G7599">
        <v>-150.2621</v>
      </c>
      <c r="H7599" s="1">
        <v>-4.380522E-6</v>
      </c>
      <c r="I7599">
        <v>140.708</v>
      </c>
      <c r="J7599">
        <v>-163.8706</v>
      </c>
      <c r="K7599">
        <v>1.106044</v>
      </c>
      <c r="L7599">
        <v>144.7482</v>
      </c>
      <c r="M7599">
        <v>0.93299310000000002</v>
      </c>
      <c r="N7599">
        <v>0</v>
      </c>
      <c r="O7599">
        <v>-0.35970340000000001</v>
      </c>
      <c r="P7599">
        <v>0.91273249999999995</v>
      </c>
      <c r="Q7599">
        <v>1.309614E-3</v>
      </c>
      <c r="R7599">
        <v>-0.40855540000000001</v>
      </c>
      <c r="S7599">
        <v>2.898514</v>
      </c>
      <c r="T7599">
        <v>-0.2318064</v>
      </c>
      <c r="U7599">
        <v>-0.86585999999999996</v>
      </c>
      <c r="V7599">
        <v>5.2995729999999998E-2</v>
      </c>
      <c r="W7599">
        <v>1.248787E-2</v>
      </c>
      <c r="X7599">
        <v>0.99851670000000003</v>
      </c>
      <c r="Y7599">
        <v>-7.6401810000000001E-2</v>
      </c>
      <c r="Z7599">
        <v>3.025131E-2</v>
      </c>
      <c r="AA7599">
        <v>0.99661809999999995</v>
      </c>
      <c r="AB7599">
        <v>24</v>
      </c>
      <c r="AC7599">
        <v>13.6084999999999</v>
      </c>
      <c r="AD7599">
        <v>-1.1060483805220001</v>
      </c>
      <c r="AE7599">
        <v>-4.0401999999999898</v>
      </c>
      <c r="AF7599">
        <v>-1.1188301627419299</v>
      </c>
      <c r="AG7599">
        <v>-1.1060483805220001</v>
      </c>
      <c r="AH7599">
        <v>14.0654940242066</v>
      </c>
      <c r="AI7599">
        <v>94.482135335606699</v>
      </c>
      <c r="AJ7599">
        <v>94.5479778339175</v>
      </c>
      <c r="AK7599">
        <v>14.1532062126611</v>
      </c>
      <c r="AL7599">
        <v>89.284479189661795</v>
      </c>
      <c r="AM7599">
        <v>86.961908234077299</v>
      </c>
      <c r="AN7599">
        <v>1.00000004723712</v>
      </c>
    </row>
    <row r="7600" spans="1:40" x14ac:dyDescent="0.25">
      <c r="A7600" t="str">
        <f>"20190312154446514"</f>
        <v>20190312154446514</v>
      </c>
      <c r="B7600" t="str">
        <f>"1552376686505068"</f>
        <v>1552376686505068</v>
      </c>
      <c r="C7600" t="s">
        <v>40</v>
      </c>
      <c r="D7600">
        <v>5.2968590000000004</v>
      </c>
      <c r="E7600">
        <v>0.44259799999999999</v>
      </c>
      <c r="F7600" t="s">
        <v>43</v>
      </c>
      <c r="G7600">
        <v>-153.8056</v>
      </c>
      <c r="H7600" s="1">
        <v>-3.2682119999999998E-6</v>
      </c>
      <c r="I7600">
        <v>141.97829999999999</v>
      </c>
      <c r="J7600">
        <v>-163.66640000000001</v>
      </c>
      <c r="K7600">
        <v>1.106393</v>
      </c>
      <c r="L7600">
        <v>144.6626</v>
      </c>
      <c r="M7600">
        <v>0.93096350000000005</v>
      </c>
      <c r="N7600">
        <v>0</v>
      </c>
      <c r="O7600">
        <v>-0.36493140000000002</v>
      </c>
      <c r="P7600">
        <v>0.91248209999999996</v>
      </c>
      <c r="Q7600">
        <v>1.9043619999999999E-3</v>
      </c>
      <c r="R7600">
        <v>-0.40911249999999999</v>
      </c>
      <c r="S7600">
        <v>2.926758</v>
      </c>
      <c r="T7600">
        <v>-0.32162069999999998</v>
      </c>
      <c r="U7600">
        <v>-0.80541989999999997</v>
      </c>
      <c r="V7600">
        <v>4.7997360000000003E-2</v>
      </c>
      <c r="W7600">
        <v>1.2960370000000001E-2</v>
      </c>
      <c r="X7600">
        <v>0.99876339999999997</v>
      </c>
      <c r="Y7600">
        <v>-0.1023674</v>
      </c>
      <c r="Z7600">
        <v>4.3594430000000003E-2</v>
      </c>
      <c r="AA7600">
        <v>0.99379090000000003</v>
      </c>
      <c r="AB7600">
        <v>24</v>
      </c>
      <c r="AC7600">
        <v>9.86080000000001</v>
      </c>
      <c r="AD7600">
        <v>-1.1063962682120001</v>
      </c>
      <c r="AE7600">
        <v>-2.6842999999999999</v>
      </c>
      <c r="AF7600">
        <v>-1.0868640873251101</v>
      </c>
      <c r="AG7600">
        <v>-1.1063962682120001</v>
      </c>
      <c r="AH7600">
        <v>10.0425954504737</v>
      </c>
      <c r="AI7600">
        <v>96.250733422498001</v>
      </c>
      <c r="AJ7600">
        <v>96.176818708395601</v>
      </c>
      <c r="AK7600">
        <v>10.1616489620782</v>
      </c>
      <c r="AL7600">
        <v>89.257404725408605</v>
      </c>
      <c r="AM7600">
        <v>87.248665651231306</v>
      </c>
      <c r="AN7600">
        <v>1.00000002346853</v>
      </c>
    </row>
    <row r="7601" spans="1:40" x14ac:dyDescent="0.25">
      <c r="A7601" t="str">
        <f>"20190312154446535"</f>
        <v>20190312154446535</v>
      </c>
      <c r="B7601" t="str">
        <f>"1552376686524587"</f>
        <v>1552376686524587</v>
      </c>
      <c r="C7601" t="s">
        <v>40</v>
      </c>
      <c r="D7601">
        <v>5.4456699999999998</v>
      </c>
      <c r="E7601">
        <v>0.44135170000000001</v>
      </c>
      <c r="F7601" t="s">
        <v>43</v>
      </c>
      <c r="G7601">
        <v>-153.4006</v>
      </c>
      <c r="H7601" s="1">
        <v>-3.4047289999999999E-6</v>
      </c>
      <c r="I7601">
        <v>141.83840000000001</v>
      </c>
      <c r="J7601">
        <v>-163.45679999999999</v>
      </c>
      <c r="K7601">
        <v>1.1067089999999999</v>
      </c>
      <c r="L7601">
        <v>144.57390000000001</v>
      </c>
      <c r="M7601">
        <v>0.92904339999999996</v>
      </c>
      <c r="N7601">
        <v>0</v>
      </c>
      <c r="O7601">
        <v>-0.36979800000000002</v>
      </c>
      <c r="P7601">
        <v>0.91211249999999999</v>
      </c>
      <c r="Q7601">
        <v>2.2721960000000002E-3</v>
      </c>
      <c r="R7601">
        <v>-0.40993400000000002</v>
      </c>
      <c r="S7601">
        <v>2.9273220000000002</v>
      </c>
      <c r="T7601">
        <v>-0.31548979999999999</v>
      </c>
      <c r="U7601">
        <v>-0.805313099999999</v>
      </c>
      <c r="V7601">
        <v>4.3662649999999997E-2</v>
      </c>
      <c r="W7601">
        <v>1.320878E-2</v>
      </c>
      <c r="X7601">
        <v>0.99895900000000004</v>
      </c>
      <c r="Y7601">
        <v>-0.10769620000000001</v>
      </c>
      <c r="Z7601">
        <v>4.3513530000000002E-2</v>
      </c>
      <c r="AA7601">
        <v>0.99323110000000003</v>
      </c>
      <c r="AB7601">
        <v>24</v>
      </c>
      <c r="AC7601">
        <v>10.056199999999899</v>
      </c>
      <c r="AD7601">
        <v>-1.106712404729</v>
      </c>
      <c r="AE7601">
        <v>-2.7355</v>
      </c>
      <c r="AF7601">
        <v>-1.1643095767360601</v>
      </c>
      <c r="AG7601">
        <v>-1.106712404729</v>
      </c>
      <c r="AH7601">
        <v>10.239418928005801</v>
      </c>
      <c r="AI7601">
        <v>96.129586556761595</v>
      </c>
      <c r="AJ7601">
        <v>96.4871574450341</v>
      </c>
      <c r="AK7601">
        <v>10.364657694321799</v>
      </c>
      <c r="AL7601">
        <v>89.243170638221301</v>
      </c>
      <c r="AM7601">
        <v>87.497300374136103</v>
      </c>
      <c r="AN7601">
        <v>0.99999999127755501</v>
      </c>
    </row>
    <row r="7602" spans="1:40" x14ac:dyDescent="0.25">
      <c r="A7602" t="str">
        <f>"20190312154446564"</f>
        <v>20190312154446564</v>
      </c>
      <c r="B7602" t="str">
        <f>"1552376686554843"</f>
        <v>1552376686554843</v>
      </c>
      <c r="C7602" t="s">
        <v>40</v>
      </c>
      <c r="D7602">
        <v>5.3474159999999999</v>
      </c>
      <c r="E7602">
        <v>0.43926959999999998</v>
      </c>
      <c r="F7602" t="s">
        <v>43</v>
      </c>
      <c r="G7602">
        <v>-152.8322</v>
      </c>
      <c r="H7602" s="1">
        <v>-3.6057489999999999E-6</v>
      </c>
      <c r="I7602">
        <v>141.67740000000001</v>
      </c>
      <c r="J7602">
        <v>-163.16579999999999</v>
      </c>
      <c r="K7602">
        <v>1.1071340000000001</v>
      </c>
      <c r="L7602">
        <v>144.44970000000001</v>
      </c>
      <c r="M7602">
        <v>0.92666720000000002</v>
      </c>
      <c r="N7602">
        <v>0</v>
      </c>
      <c r="O7602">
        <v>-0.37571959999999999</v>
      </c>
      <c r="P7602">
        <v>0.91087560000000001</v>
      </c>
      <c r="Q7602">
        <v>2.915398E-3</v>
      </c>
      <c r="R7602">
        <v>-0.41267110000000001</v>
      </c>
      <c r="S7602">
        <v>2.9307400000000001</v>
      </c>
      <c r="T7602">
        <v>-0.30527789999999999</v>
      </c>
      <c r="U7602">
        <v>-0.7989655</v>
      </c>
      <c r="V7602">
        <v>4.0278099999999997E-2</v>
      </c>
      <c r="W7602">
        <v>1.3700840000000001E-2</v>
      </c>
      <c r="X7602">
        <v>0.9990945</v>
      </c>
      <c r="Y7602">
        <v>-0.11642230000000001</v>
      </c>
      <c r="Z7602">
        <v>4.3080140000000003E-2</v>
      </c>
      <c r="AA7602">
        <v>0.99226499999999995</v>
      </c>
      <c r="AB7602">
        <v>24</v>
      </c>
      <c r="AC7602">
        <v>10.333599999999899</v>
      </c>
      <c r="AD7602">
        <v>-1.1071376057490001</v>
      </c>
      <c r="AE7602">
        <v>-2.7723</v>
      </c>
      <c r="AF7602">
        <v>-1.29969974600049</v>
      </c>
      <c r="AG7602">
        <v>-1.1071376057490001</v>
      </c>
      <c r="AH7602">
        <v>10.5055714481847</v>
      </c>
      <c r="AI7602">
        <v>95.970766714414296</v>
      </c>
      <c r="AJ7602">
        <v>97.0525285144344</v>
      </c>
      <c r="AK7602">
        <v>10.6434019261104</v>
      </c>
      <c r="AL7602">
        <v>89.214975075384103</v>
      </c>
      <c r="AM7602">
        <v>87.691393447306496</v>
      </c>
      <c r="AN7602">
        <v>0.99999992914327995</v>
      </c>
    </row>
    <row r="7603" spans="1:40" x14ac:dyDescent="0.25">
      <c r="A7603" t="str">
        <f>"20190312154446586"</f>
        <v>20190312154446586</v>
      </c>
      <c r="B7603" t="str">
        <f>"1552376686575339"</f>
        <v>1552376686575339</v>
      </c>
      <c r="C7603" t="s">
        <v>40</v>
      </c>
      <c r="D7603">
        <v>5.4076700000000004</v>
      </c>
      <c r="E7603">
        <v>0.43819370000000002</v>
      </c>
      <c r="F7603" t="s">
        <v>43</v>
      </c>
      <c r="G7603">
        <v>-152.46770000000001</v>
      </c>
      <c r="H7603" s="1">
        <v>-3.7310170000000002E-6</v>
      </c>
      <c r="I7603">
        <v>141.56059999999999</v>
      </c>
      <c r="J7603">
        <v>-162.9563</v>
      </c>
      <c r="K7603">
        <v>1.1074790000000001</v>
      </c>
      <c r="L7603">
        <v>144.3596</v>
      </c>
      <c r="M7603">
        <v>0.92518350000000005</v>
      </c>
      <c r="N7603">
        <v>0</v>
      </c>
      <c r="O7603">
        <v>-0.37936209999999998</v>
      </c>
      <c r="P7603">
        <v>0.91045169999999997</v>
      </c>
      <c r="Q7603">
        <v>4.7449830000000004E-3</v>
      </c>
      <c r="R7603">
        <v>-0.41358889999999998</v>
      </c>
      <c r="S7603">
        <v>2.9353639999999999</v>
      </c>
      <c r="T7603">
        <v>-0.30377589999999999</v>
      </c>
      <c r="U7603">
        <v>-0.79269409999999996</v>
      </c>
      <c r="V7603">
        <v>3.7357290000000001E-2</v>
      </c>
      <c r="W7603">
        <v>1.5460659999999999E-2</v>
      </c>
      <c r="X7603">
        <v>0.99918229999999997</v>
      </c>
      <c r="Y7603">
        <v>-0.12267980000000001</v>
      </c>
      <c r="Z7603">
        <v>4.3475569999999998E-2</v>
      </c>
      <c r="AA7603">
        <v>0.99149359999999997</v>
      </c>
      <c r="AB7603">
        <v>24</v>
      </c>
      <c r="AC7603">
        <v>10.4885999999999</v>
      </c>
      <c r="AD7603">
        <v>-1.1074827310169999</v>
      </c>
      <c r="AE7603">
        <v>-2.7989999999999999</v>
      </c>
      <c r="AF7603">
        <v>-1.3751595035493001</v>
      </c>
      <c r="AG7603">
        <v>-1.1074827310169999</v>
      </c>
      <c r="AH7603">
        <v>10.6554588376727</v>
      </c>
      <c r="AI7603">
        <v>95.885309599223504</v>
      </c>
      <c r="AJ7603">
        <v>97.353762918125597</v>
      </c>
      <c r="AK7603">
        <v>10.8007585243371</v>
      </c>
      <c r="AL7603">
        <v>89.114134080827498</v>
      </c>
      <c r="AM7603">
        <v>87.858830607088507</v>
      </c>
      <c r="AN7603">
        <v>0.99999993387853203</v>
      </c>
    </row>
    <row r="7604" spans="1:40" x14ac:dyDescent="0.25">
      <c r="A7604" t="str">
        <f>"20190312154446608"</f>
        <v>20190312154446608</v>
      </c>
      <c r="B7604" t="str">
        <f>"1552376686594859"</f>
        <v>1552376686594859</v>
      </c>
      <c r="C7604" t="s">
        <v>40</v>
      </c>
      <c r="D7604">
        <v>5.3488340000000001</v>
      </c>
      <c r="E7604">
        <v>0.43712289999999998</v>
      </c>
      <c r="F7604" t="s">
        <v>43</v>
      </c>
      <c r="G7604">
        <v>-152.2509</v>
      </c>
      <c r="H7604" s="1">
        <v>-3.804471E-6</v>
      </c>
      <c r="I7604">
        <v>141.4872</v>
      </c>
      <c r="J7604">
        <v>-162.7329</v>
      </c>
      <c r="K7604">
        <v>1.1079270000000001</v>
      </c>
      <c r="L7604">
        <v>144.26310000000001</v>
      </c>
      <c r="M7604">
        <v>0.92383000000000004</v>
      </c>
      <c r="N7604">
        <v>0</v>
      </c>
      <c r="O7604">
        <v>-0.3826484</v>
      </c>
      <c r="P7604">
        <v>0.90980190000000005</v>
      </c>
      <c r="Q7604">
        <v>6.4537680000000004E-3</v>
      </c>
      <c r="R7604">
        <v>-0.41499269999999999</v>
      </c>
      <c r="S7604">
        <v>2.938507</v>
      </c>
      <c r="T7604">
        <v>-0.30399019999999999</v>
      </c>
      <c r="U7604">
        <v>-0.78840639999999995</v>
      </c>
      <c r="V7604">
        <v>3.5343090000000001E-2</v>
      </c>
      <c r="W7604">
        <v>1.7135089999999999E-2</v>
      </c>
      <c r="X7604">
        <v>0.99922840000000002</v>
      </c>
      <c r="Y7604">
        <v>-0.1277827</v>
      </c>
      <c r="Z7604">
        <v>4.4035499999999998E-2</v>
      </c>
      <c r="AA7604">
        <v>0.99082409999999999</v>
      </c>
      <c r="AB7604">
        <v>24</v>
      </c>
      <c r="AC7604">
        <v>10.481999999999999</v>
      </c>
      <c r="AD7604">
        <v>-1.1079308044709999</v>
      </c>
      <c r="AE7604">
        <v>-2.7759</v>
      </c>
      <c r="AF7604">
        <v>-1.43160054919983</v>
      </c>
      <c r="AG7604">
        <v>-1.1079308044709999</v>
      </c>
      <c r="AH7604">
        <v>10.6353824857001</v>
      </c>
      <c r="AI7604">
        <v>95.894498684573406</v>
      </c>
      <c r="AJ7604">
        <v>97.666351558110506</v>
      </c>
      <c r="AK7604">
        <v>10.7883433119781</v>
      </c>
      <c r="AL7604">
        <v>89.018183681097398</v>
      </c>
      <c r="AM7604">
        <v>87.974270894406601</v>
      </c>
      <c r="AN7604">
        <v>1.0000000703433001</v>
      </c>
    </row>
    <row r="7605" spans="1:40" x14ac:dyDescent="0.25">
      <c r="A7605" t="str">
        <f>"20190312154446628"</f>
        <v>20190312154446628</v>
      </c>
      <c r="B7605" t="str">
        <f>"1552376686615356"</f>
        <v>1552376686615356</v>
      </c>
      <c r="C7605" t="s">
        <v>40</v>
      </c>
      <c r="D7605">
        <v>5.3859300000000001</v>
      </c>
      <c r="E7605">
        <v>0.4360311</v>
      </c>
      <c r="F7605" t="s">
        <v>43</v>
      </c>
      <c r="G7605">
        <v>-152.02969999999999</v>
      </c>
      <c r="H7605" s="1">
        <v>-3.8764830000000002E-6</v>
      </c>
      <c r="I7605">
        <v>141.40110000000001</v>
      </c>
      <c r="J7605">
        <v>-162.54150000000001</v>
      </c>
      <c r="K7605">
        <v>1.1083780000000001</v>
      </c>
      <c r="L7605">
        <v>144.18049999999999</v>
      </c>
      <c r="M7605">
        <v>0.92289759999999998</v>
      </c>
      <c r="N7605">
        <v>0</v>
      </c>
      <c r="O7605">
        <v>-0.38489289999999998</v>
      </c>
      <c r="P7605">
        <v>0.90984509999999996</v>
      </c>
      <c r="Q7605">
        <v>4.9877209999999996E-3</v>
      </c>
      <c r="R7605">
        <v>-0.41491840000000002</v>
      </c>
      <c r="S7605">
        <v>2.9408720000000002</v>
      </c>
      <c r="T7605">
        <v>-0.30442000000000002</v>
      </c>
      <c r="U7605">
        <v>-0.78636169999999905</v>
      </c>
      <c r="V7605">
        <v>3.2803970000000002E-2</v>
      </c>
      <c r="W7605">
        <v>1.56937999999999E-2</v>
      </c>
      <c r="X7605">
        <v>0.99933859999999997</v>
      </c>
      <c r="Y7605">
        <v>-0.1310056</v>
      </c>
      <c r="Z7605">
        <v>4.444012E-2</v>
      </c>
      <c r="AA7605">
        <v>0.99038510000000002</v>
      </c>
      <c r="AB7605">
        <v>24</v>
      </c>
      <c r="AC7605">
        <v>10.511799999999999</v>
      </c>
      <c r="AD7605">
        <v>-1.108381876483</v>
      </c>
      <c r="AE7605">
        <v>-2.7793999999999799</v>
      </c>
      <c r="AF7605">
        <v>-1.46567210160202</v>
      </c>
      <c r="AG7605">
        <v>-1.108381876483</v>
      </c>
      <c r="AH7605">
        <v>10.660936280303799</v>
      </c>
      <c r="AI7605">
        <v>95.880604776283803</v>
      </c>
      <c r="AJ7605">
        <v>97.827986571151897</v>
      </c>
      <c r="AK7605">
        <v>10.8181452877204</v>
      </c>
      <c r="AL7605">
        <v>89.100774595347104</v>
      </c>
      <c r="AM7605">
        <v>88.119902114916101</v>
      </c>
      <c r="AN7605">
        <v>1.00000001662808</v>
      </c>
    </row>
    <row r="7606" spans="1:40" x14ac:dyDescent="0.25">
      <c r="A7606" t="str">
        <f>"20190312154446648"</f>
        <v>20190312154446648</v>
      </c>
      <c r="B7606" t="str">
        <f>"1552376686645612"</f>
        <v>1552376686645612</v>
      </c>
      <c r="C7606" t="s">
        <v>40</v>
      </c>
      <c r="D7606">
        <v>5.3563999999999998</v>
      </c>
      <c r="E7606">
        <v>0.4346835</v>
      </c>
      <c r="F7606" t="s">
        <v>43</v>
      </c>
      <c r="G7606">
        <v>-152.0453</v>
      </c>
      <c r="H7606" s="1">
        <v>-3.8706029999999997E-6</v>
      </c>
      <c r="I7606">
        <v>141.4042</v>
      </c>
      <c r="J7606">
        <v>-162.33629999999999</v>
      </c>
      <c r="K7606">
        <v>1.1089020000000001</v>
      </c>
      <c r="L7606">
        <v>144.09209999999999</v>
      </c>
      <c r="M7606">
        <v>0.92212919999999998</v>
      </c>
      <c r="N7606">
        <v>0</v>
      </c>
      <c r="O7606">
        <v>-0.38672980000000001</v>
      </c>
      <c r="P7606">
        <v>0.90983590000000003</v>
      </c>
      <c r="Q7606">
        <v>1.142529E-3</v>
      </c>
      <c r="R7606">
        <v>-0.4149679</v>
      </c>
      <c r="S7606">
        <v>2.9438780000000002</v>
      </c>
      <c r="T7606">
        <v>-0.31086859999999999</v>
      </c>
      <c r="U7606">
        <v>-0.77864069999999996</v>
      </c>
      <c r="V7606">
        <v>3.0831600000000001E-2</v>
      </c>
      <c r="W7606">
        <v>1.1915230000000001E-2</v>
      </c>
      <c r="X7606">
        <v>0.99945349999999999</v>
      </c>
      <c r="Y7606">
        <v>-0.13552410000000001</v>
      </c>
      <c r="Z7606">
        <v>4.5759359999999999E-2</v>
      </c>
      <c r="AA7606">
        <v>0.98971679999999995</v>
      </c>
      <c r="AB7606">
        <v>24</v>
      </c>
      <c r="AC7606">
        <v>10.290999999999899</v>
      </c>
      <c r="AD7606">
        <v>-1.1089058706029999</v>
      </c>
      <c r="AE7606">
        <v>-2.68789999999998</v>
      </c>
      <c r="AF7606">
        <v>-1.4851903026027899</v>
      </c>
      <c r="AG7606">
        <v>-1.1089058706029999</v>
      </c>
      <c r="AH7606">
        <v>10.416519452753001</v>
      </c>
      <c r="AI7606">
        <v>96.016228175105994</v>
      </c>
      <c r="AJ7606">
        <v>98.114556168785995</v>
      </c>
      <c r="AK7606">
        <v>10.5801389392761</v>
      </c>
      <c r="AL7606">
        <v>89.317291405934299</v>
      </c>
      <c r="AM7606">
        <v>88.233073855949996</v>
      </c>
      <c r="AN7606">
        <v>0.99999992946337901</v>
      </c>
    </row>
    <row r="7607" spans="1:40" x14ac:dyDescent="0.25">
      <c r="A7607" t="str">
        <f>"20190312154446672"</f>
        <v>20190312154446672</v>
      </c>
      <c r="B7607" t="str">
        <f>"1552376686665132"</f>
        <v>1552376686665132</v>
      </c>
      <c r="C7607" t="s">
        <v>40</v>
      </c>
      <c r="D7607">
        <v>5.4174879999999996</v>
      </c>
      <c r="E7607">
        <v>0.43383440000000001</v>
      </c>
      <c r="F7607" t="s">
        <v>43</v>
      </c>
      <c r="G7607">
        <v>-152.30029999999999</v>
      </c>
      <c r="H7607" s="1">
        <v>-3.780084E-6</v>
      </c>
      <c r="I7607">
        <v>141.4752</v>
      </c>
      <c r="J7607">
        <v>-162.09469999999999</v>
      </c>
      <c r="K7607">
        <v>1.1095170000000001</v>
      </c>
      <c r="L7607">
        <v>143.98849999999999</v>
      </c>
      <c r="M7607">
        <v>0.921574</v>
      </c>
      <c r="N7607">
        <v>0</v>
      </c>
      <c r="O7607">
        <v>-0.38804810000000001</v>
      </c>
      <c r="P7607">
        <v>0.91001469999999995</v>
      </c>
      <c r="Q7607">
        <v>-1.81354E-3</v>
      </c>
      <c r="R7607">
        <v>-0.41457169999999999</v>
      </c>
      <c r="S7607">
        <v>2.9472200000000002</v>
      </c>
      <c r="T7607">
        <v>-0.32564589999999999</v>
      </c>
      <c r="U7607">
        <v>-0.76847840000000001</v>
      </c>
      <c r="V7607">
        <v>2.8945430000000001E-2</v>
      </c>
      <c r="W7607">
        <v>9.0844029999999996E-3</v>
      </c>
      <c r="X7607">
        <v>0.99953970000000003</v>
      </c>
      <c r="Y7607">
        <v>-0.14013120000000001</v>
      </c>
      <c r="Z7607">
        <v>4.8277180000000003E-2</v>
      </c>
      <c r="AA7607">
        <v>0.98895529999999998</v>
      </c>
      <c r="AB7607">
        <v>24</v>
      </c>
      <c r="AC7607">
        <v>9.7943999999999907</v>
      </c>
      <c r="AD7607">
        <v>-1.1095207800839999</v>
      </c>
      <c r="AE7607">
        <v>-2.5132999999999801</v>
      </c>
      <c r="AF7607">
        <v>-1.4669338395054801</v>
      </c>
      <c r="AG7607">
        <v>-1.1095207800839999</v>
      </c>
      <c r="AH7607">
        <v>9.8831544487435998</v>
      </c>
      <c r="AI7607">
        <v>96.336578270446395</v>
      </c>
      <c r="AJ7607">
        <v>98.442641284962207</v>
      </c>
      <c r="AK7607">
        <v>10.0528440308524</v>
      </c>
      <c r="AL7607">
        <v>89.479494883101495</v>
      </c>
      <c r="AM7607">
        <v>88.341248866262006</v>
      </c>
      <c r="AN7607">
        <v>0.99999998808592006</v>
      </c>
    </row>
    <row r="7608" spans="1:40" x14ac:dyDescent="0.25">
      <c r="A7608" t="str">
        <f>"20190312154446695"</f>
        <v>20190312154446695</v>
      </c>
      <c r="B7608" t="str">
        <f>"1552376686684652"</f>
        <v>1552376686684652</v>
      </c>
      <c r="C7608" t="s">
        <v>40</v>
      </c>
      <c r="D7608">
        <v>5.295185</v>
      </c>
      <c r="E7608">
        <v>0.43317909999999998</v>
      </c>
      <c r="F7608" t="s">
        <v>43</v>
      </c>
      <c r="G7608">
        <v>-152.2816</v>
      </c>
      <c r="H7608" s="1">
        <v>-3.7833109999999999E-6</v>
      </c>
      <c r="I7608">
        <v>141.4572</v>
      </c>
      <c r="J7608">
        <v>-161.87710000000001</v>
      </c>
      <c r="K7608">
        <v>1.109993</v>
      </c>
      <c r="L7608">
        <v>143.89570000000001</v>
      </c>
      <c r="M7608">
        <v>0.92132389999999997</v>
      </c>
      <c r="N7608">
        <v>0</v>
      </c>
      <c r="O7608">
        <v>-0.38863920000000002</v>
      </c>
      <c r="P7608">
        <v>0.91022210000000003</v>
      </c>
      <c r="Q7608">
        <v>-2.7428019999999999E-3</v>
      </c>
      <c r="R7608">
        <v>-0.41411160000000002</v>
      </c>
      <c r="S7608">
        <v>2.9494020000000001</v>
      </c>
      <c r="T7608">
        <v>-0.3334744</v>
      </c>
      <c r="U7608">
        <v>-0.76078800000000002</v>
      </c>
      <c r="V7608">
        <v>2.7788690000000001E-2</v>
      </c>
      <c r="W7608">
        <v>8.2771479999999998E-3</v>
      </c>
      <c r="X7608">
        <v>0.99957949999999995</v>
      </c>
      <c r="Y7608">
        <v>-0.14320329999999901</v>
      </c>
      <c r="Z7608">
        <v>4.9646790000000003E-2</v>
      </c>
      <c r="AA7608">
        <v>0.98844719999999997</v>
      </c>
      <c r="AB7608">
        <v>24</v>
      </c>
      <c r="AC7608">
        <v>9.5955000000000101</v>
      </c>
      <c r="AD7608">
        <v>-1.109996783311</v>
      </c>
      <c r="AE7608">
        <v>-2.4384999999999999</v>
      </c>
      <c r="AF7608">
        <v>-1.4642243985597101</v>
      </c>
      <c r="AG7608">
        <v>-1.109996783311</v>
      </c>
      <c r="AH7608">
        <v>9.6673397907377403</v>
      </c>
      <c r="AI7608">
        <v>96.476745561344998</v>
      </c>
      <c r="AJ7608">
        <v>98.612611928435598</v>
      </c>
      <c r="AK7608">
        <v>9.8404016471828797</v>
      </c>
      <c r="AL7608">
        <v>89.525748913958594</v>
      </c>
      <c r="AM7608">
        <v>88.407565712719105</v>
      </c>
      <c r="AN7608">
        <v>0.99999994964558803</v>
      </c>
    </row>
    <row r="7609" spans="1:40" x14ac:dyDescent="0.25">
      <c r="A7609" t="str">
        <f>"20190312154446714"</f>
        <v>20190312154446714</v>
      </c>
      <c r="B7609" t="str">
        <f>"1552376686705148"</f>
        <v>1552376686705148</v>
      </c>
      <c r="C7609" t="s">
        <v>40</v>
      </c>
      <c r="D7609">
        <v>5.4097589999999904</v>
      </c>
      <c r="E7609">
        <v>0.42365900000000001</v>
      </c>
      <c r="F7609" t="s">
        <v>43</v>
      </c>
      <c r="G7609">
        <v>-152.23330000000001</v>
      </c>
      <c r="H7609" s="1">
        <v>-3.7968670000000002E-6</v>
      </c>
      <c r="I7609">
        <v>141.43020000000001</v>
      </c>
      <c r="J7609">
        <v>-161.68010000000001</v>
      </c>
      <c r="K7609">
        <v>1.1103639999999999</v>
      </c>
      <c r="L7609">
        <v>143.81229999999999</v>
      </c>
      <c r="M7609">
        <v>0.92130420000000002</v>
      </c>
      <c r="N7609">
        <v>0</v>
      </c>
      <c r="O7609">
        <v>-0.38868350000000002</v>
      </c>
      <c r="P7609">
        <v>0.91082879999999999</v>
      </c>
      <c r="Q7609">
        <v>-2.0535169999999999E-3</v>
      </c>
      <c r="R7609">
        <v>-0.41277950000000002</v>
      </c>
      <c r="S7609">
        <v>2.9515690000000001</v>
      </c>
      <c r="T7609">
        <v>-0.33972289999999999</v>
      </c>
      <c r="U7609">
        <v>-0.75459290000000001</v>
      </c>
      <c r="V7609">
        <v>2.6270109999999999E-2</v>
      </c>
      <c r="W7609">
        <v>9.0805869999999993E-3</v>
      </c>
      <c r="X7609">
        <v>0.99961359999999999</v>
      </c>
      <c r="Y7609">
        <v>-0.14524899999999999</v>
      </c>
      <c r="Z7609">
        <v>5.0672870000000002E-2</v>
      </c>
      <c r="AA7609">
        <v>0.98809669999999905</v>
      </c>
      <c r="AB7609">
        <v>24</v>
      </c>
      <c r="AC7609">
        <v>9.4467999999999908</v>
      </c>
      <c r="AD7609">
        <v>-1.1103677968669901</v>
      </c>
      <c r="AE7609">
        <v>-2.3820999999999799</v>
      </c>
      <c r="AF7609">
        <v>-1.4583250228659701</v>
      </c>
      <c r="AG7609">
        <v>-1.1103677968669901</v>
      </c>
      <c r="AH7609">
        <v>9.5063721569433497</v>
      </c>
      <c r="AI7609">
        <v>96.5857493467349</v>
      </c>
      <c r="AJ7609">
        <v>98.721468807981495</v>
      </c>
      <c r="AK7609">
        <v>9.6814637376248101</v>
      </c>
      <c r="AL7609">
        <v>89.479713519516494</v>
      </c>
      <c r="AM7609">
        <v>88.494598254457401</v>
      </c>
      <c r="AN7609">
        <v>0.99999996252231704</v>
      </c>
    </row>
    <row r="7610" spans="1:40" x14ac:dyDescent="0.25">
      <c r="A7610" t="str">
        <f>"20190312154446736"</f>
        <v>20190312154446736</v>
      </c>
      <c r="B7610" t="str">
        <f>"1552376686724668"</f>
        <v>1552376686724668</v>
      </c>
      <c r="C7610" t="s">
        <v>40</v>
      </c>
      <c r="D7610">
        <v>5.4154809999999998</v>
      </c>
      <c r="E7610">
        <v>0.42377359999999997</v>
      </c>
      <c r="F7610" t="s">
        <v>43</v>
      </c>
      <c r="G7610">
        <v>-152.0138</v>
      </c>
      <c r="H7610" s="1">
        <v>-3.9378209999999997E-6</v>
      </c>
      <c r="I7610">
        <v>141.6061</v>
      </c>
      <c r="J7610">
        <v>-161.46619999999999</v>
      </c>
      <c r="K7610">
        <v>1.1107469999999999</v>
      </c>
      <c r="L7610">
        <v>143.72229999999999</v>
      </c>
      <c r="M7610">
        <v>0.92151959999999999</v>
      </c>
      <c r="N7610">
        <v>0</v>
      </c>
      <c r="O7610">
        <v>-0.38816899999999999</v>
      </c>
      <c r="P7610">
        <v>0.91212349999999998</v>
      </c>
      <c r="Q7610">
        <v>-2.361326E-4</v>
      </c>
      <c r="R7610">
        <v>-0.40991559999999999</v>
      </c>
      <c r="S7610">
        <v>2.9842680000000001</v>
      </c>
      <c r="T7610">
        <v>-0.34280129999999998</v>
      </c>
      <c r="U7610">
        <v>-0.68110660000000001</v>
      </c>
      <c r="V7610">
        <v>2.3675809999999999E-2</v>
      </c>
      <c r="W7610">
        <v>1.103552E-2</v>
      </c>
      <c r="X7610">
        <v>0.99965879999999996</v>
      </c>
      <c r="Y7610">
        <v>-0.17008400000000001</v>
      </c>
      <c r="Z7610">
        <v>5.2135859999999999E-2</v>
      </c>
      <c r="AA7610">
        <v>0.98404939999999996</v>
      </c>
      <c r="AB7610">
        <v>24</v>
      </c>
      <c r="AC7610">
        <v>9.4523999999999795</v>
      </c>
      <c r="AD7610">
        <v>-1.1107509378210001</v>
      </c>
      <c r="AE7610">
        <v>-2.1161999999999899</v>
      </c>
      <c r="AF7610">
        <v>-1.6968054253557301</v>
      </c>
      <c r="AG7610">
        <v>-1.1107509378210001</v>
      </c>
      <c r="AH7610">
        <v>9.4088955273636508</v>
      </c>
      <c r="AI7610">
        <v>96.626866550492394</v>
      </c>
      <c r="AJ7610">
        <v>100.222872508683</v>
      </c>
      <c r="AK7610">
        <v>9.6249795502240207</v>
      </c>
      <c r="AL7610">
        <v>89.367698458552397</v>
      </c>
      <c r="AM7610">
        <v>88.643266644533895</v>
      </c>
      <c r="AN7610">
        <v>1.00000002154913</v>
      </c>
    </row>
    <row r="7611" spans="1:40" x14ac:dyDescent="0.25">
      <c r="A7611" t="str">
        <f>"20190312154446758"</f>
        <v>20190312154446758</v>
      </c>
      <c r="B7611" t="str">
        <f>"1552376686754923"</f>
        <v>1552376686754923</v>
      </c>
      <c r="C7611" t="s">
        <v>40</v>
      </c>
      <c r="D7611">
        <v>5.247293</v>
      </c>
      <c r="E7611">
        <v>0.4224696</v>
      </c>
      <c r="F7611" t="s">
        <v>43</v>
      </c>
      <c r="G7611">
        <v>-152.51140000000001</v>
      </c>
      <c r="H7611" s="1">
        <v>-3.7508940000000002E-6</v>
      </c>
      <c r="I7611">
        <v>141.70580000000001</v>
      </c>
      <c r="J7611">
        <v>-161.24039999999999</v>
      </c>
      <c r="K7611">
        <v>1.1111660000000001</v>
      </c>
      <c r="L7611">
        <v>143.62809999999999</v>
      </c>
      <c r="M7611">
        <v>0.92199620000000004</v>
      </c>
      <c r="N7611">
        <v>0</v>
      </c>
      <c r="O7611">
        <v>-0.38703130000000002</v>
      </c>
      <c r="P7611">
        <v>0.9138771</v>
      </c>
      <c r="Q7611">
        <v>9.960730000000001E-4</v>
      </c>
      <c r="R7611">
        <v>-0.40599010000000002</v>
      </c>
      <c r="S7611">
        <v>2.9866790000000001</v>
      </c>
      <c r="T7611">
        <v>-0.3704655</v>
      </c>
      <c r="U7611">
        <v>-0.67253109999999905</v>
      </c>
      <c r="V7611">
        <v>2.0597580000000001E-2</v>
      </c>
      <c r="W7611">
        <v>1.243351E-2</v>
      </c>
      <c r="X7611">
        <v>0.9997106</v>
      </c>
      <c r="Y7611">
        <v>-0.1711753</v>
      </c>
      <c r="Z7611">
        <v>5.6232839999999999E-2</v>
      </c>
      <c r="AA7611">
        <v>0.98363449999999997</v>
      </c>
      <c r="AB7611">
        <v>24</v>
      </c>
      <c r="AC7611">
        <v>8.7289999999999797</v>
      </c>
      <c r="AD7611">
        <v>-1.1111697508939999</v>
      </c>
      <c r="AE7611">
        <v>-1.9222999999999699</v>
      </c>
      <c r="AF7611">
        <v>-1.58170218336059</v>
      </c>
      <c r="AG7611">
        <v>-1.1111697508939999</v>
      </c>
      <c r="AH7611">
        <v>8.6588445540176906</v>
      </c>
      <c r="AI7611">
        <v>97.1948935939389</v>
      </c>
      <c r="AJ7611">
        <v>100.352025865792</v>
      </c>
      <c r="AK7611">
        <v>8.8719822487869795</v>
      </c>
      <c r="AL7611">
        <v>89.287594044790097</v>
      </c>
      <c r="AM7611">
        <v>88.819670962268802</v>
      </c>
      <c r="AN7611">
        <v>1.00000006811256</v>
      </c>
    </row>
    <row r="7612" spans="1:40" x14ac:dyDescent="0.25">
      <c r="A7612" t="str">
        <f>"20190312154446787"</f>
        <v>20190312154446787</v>
      </c>
      <c r="B7612" t="str">
        <f>"1552376686775419"</f>
        <v>1552376686775419</v>
      </c>
      <c r="C7612" t="s">
        <v>40</v>
      </c>
      <c r="D7612">
        <v>5.3472460000000002</v>
      </c>
      <c r="E7612">
        <v>0.42209970000000002</v>
      </c>
      <c r="F7612" t="s">
        <v>43</v>
      </c>
      <c r="G7612">
        <v>-152.26939999999999</v>
      </c>
      <c r="H7612" s="1">
        <v>-3.8478639999999999E-6</v>
      </c>
      <c r="I7612">
        <v>141.68010000000001</v>
      </c>
      <c r="J7612">
        <v>-160.9684</v>
      </c>
      <c r="K7612">
        <v>1.1116969999999999</v>
      </c>
      <c r="L7612">
        <v>143.51599999999999</v>
      </c>
      <c r="M7612">
        <v>0.92285550000000005</v>
      </c>
      <c r="N7612">
        <v>0</v>
      </c>
      <c r="O7612">
        <v>-0.38497189999999998</v>
      </c>
      <c r="P7612">
        <v>0.91562650000000001</v>
      </c>
      <c r="Q7612">
        <v>2.7976530000000002E-3</v>
      </c>
      <c r="R7612">
        <v>-0.40202090000000001</v>
      </c>
      <c r="S7612">
        <v>2.9942470000000001</v>
      </c>
      <c r="T7612">
        <v>-0.37087320000000001</v>
      </c>
      <c r="U7612">
        <v>-0.650177</v>
      </c>
      <c r="V7612">
        <v>1.8470509999999999E-2</v>
      </c>
      <c r="W7612">
        <v>1.4462269999999999E-2</v>
      </c>
      <c r="X7612">
        <v>0.99972479999999997</v>
      </c>
      <c r="Y7612">
        <v>-0.1764869</v>
      </c>
      <c r="Z7612">
        <v>5.6311439999999997E-2</v>
      </c>
      <c r="AA7612">
        <v>0.98269090000000003</v>
      </c>
      <c r="AB7612">
        <v>24</v>
      </c>
      <c r="AC7612">
        <v>8.6990000000000105</v>
      </c>
      <c r="AD7612">
        <v>-1.111700847864</v>
      </c>
      <c r="AE7612">
        <v>-1.8358999999999801</v>
      </c>
      <c r="AF7612">
        <v>-1.62923737550331</v>
      </c>
      <c r="AG7612">
        <v>-1.111700847864</v>
      </c>
      <c r="AH7612">
        <v>8.6007989877358302</v>
      </c>
      <c r="AI7612">
        <v>97.237652554973494</v>
      </c>
      <c r="AJ7612">
        <v>100.72636607787101</v>
      </c>
      <c r="AK7612">
        <v>8.8240600875286503</v>
      </c>
      <c r="AL7612">
        <v>89.171344075530101</v>
      </c>
      <c r="AM7612">
        <v>88.941546834613305</v>
      </c>
      <c r="AN7612">
        <v>0.99999999636412595</v>
      </c>
    </row>
    <row r="7613" spans="1:40" x14ac:dyDescent="0.25">
      <c r="A7613" t="str">
        <f>"20190312154446808"</f>
        <v>20190312154446808</v>
      </c>
      <c r="B7613" t="str">
        <f>"1552376686804700"</f>
        <v>1552376686804700</v>
      </c>
      <c r="C7613" t="s">
        <v>40</v>
      </c>
      <c r="D7613">
        <v>5.2189129999999997</v>
      </c>
      <c r="E7613">
        <v>0.42183330000000002</v>
      </c>
      <c r="F7613" t="s">
        <v>43</v>
      </c>
      <c r="G7613">
        <v>-151.59870000000001</v>
      </c>
      <c r="H7613" s="1">
        <v>-4.0719279999999999E-6</v>
      </c>
      <c r="I7613">
        <v>141.53270000000001</v>
      </c>
      <c r="J7613">
        <v>-160.756</v>
      </c>
      <c r="K7613">
        <v>1.1121030000000001</v>
      </c>
      <c r="L7613">
        <v>143.4298</v>
      </c>
      <c r="M7613">
        <v>0.92373700000000003</v>
      </c>
      <c r="N7613">
        <v>0</v>
      </c>
      <c r="O7613">
        <v>-0.38284649999999998</v>
      </c>
      <c r="P7613">
        <v>0.91731050000000003</v>
      </c>
      <c r="Q7613">
        <v>3.6418900000000001E-3</v>
      </c>
      <c r="R7613">
        <v>-0.39815689999999998</v>
      </c>
      <c r="S7613">
        <v>2.99884</v>
      </c>
      <c r="T7613">
        <v>-0.35580689999999998</v>
      </c>
      <c r="U7613">
        <v>-0.63475039999999905</v>
      </c>
      <c r="V7613">
        <v>1.6538790000000001E-2</v>
      </c>
      <c r="W7613">
        <v>1.549594E-2</v>
      </c>
      <c r="X7613">
        <v>0.99974320000000005</v>
      </c>
      <c r="Y7613">
        <v>-0.17967449999999999</v>
      </c>
      <c r="Z7613">
        <v>5.3957230000000002E-2</v>
      </c>
      <c r="AA7613">
        <v>0.98224529999999999</v>
      </c>
      <c r="AB7613">
        <v>24</v>
      </c>
      <c r="AC7613">
        <v>9.1572999999999904</v>
      </c>
      <c r="AD7613">
        <v>-1.112107071928</v>
      </c>
      <c r="AE7613">
        <v>-1.89709999999999</v>
      </c>
      <c r="AF7613">
        <v>-1.72908764662973</v>
      </c>
      <c r="AG7613">
        <v>-1.112107071928</v>
      </c>
      <c r="AH7613">
        <v>9.0577769072445005</v>
      </c>
      <c r="AI7613">
        <v>96.876744739115097</v>
      </c>
      <c r="AJ7613">
        <v>100.80747226535399</v>
      </c>
      <c r="AK7613">
        <v>9.2881563687618591</v>
      </c>
      <c r="AL7613">
        <v>89.1121125561436</v>
      </c>
      <c r="AM7613">
        <v>89.052240179993305</v>
      </c>
      <c r="AN7613">
        <v>1.0000000608386901</v>
      </c>
    </row>
    <row r="7614" spans="1:40" x14ac:dyDescent="0.25">
      <c r="A7614" t="str">
        <f>"20190312154446830"</f>
        <v>20190312154446830</v>
      </c>
      <c r="B7614" t="str">
        <f>"1552376686825196"</f>
        <v>1552376686825196</v>
      </c>
      <c r="C7614" t="s">
        <v>40</v>
      </c>
      <c r="D7614">
        <v>5.3640670000000004</v>
      </c>
      <c r="E7614">
        <v>0.42169279999999998</v>
      </c>
      <c r="F7614" t="s">
        <v>43</v>
      </c>
      <c r="G7614">
        <v>-151.22489999999999</v>
      </c>
      <c r="H7614" s="1">
        <v>-4.1861140000000004E-6</v>
      </c>
      <c r="I7614">
        <v>141.45920000000001</v>
      </c>
      <c r="J7614">
        <v>-160.5463</v>
      </c>
      <c r="K7614">
        <v>1.1124670000000001</v>
      </c>
      <c r="L7614">
        <v>143.346</v>
      </c>
      <c r="M7614">
        <v>0.92478479999999996</v>
      </c>
      <c r="N7614">
        <v>0</v>
      </c>
      <c r="O7614">
        <v>-0.3803028</v>
      </c>
      <c r="P7614">
        <v>0.91928580000000004</v>
      </c>
      <c r="Q7614">
        <v>3.115498E-3</v>
      </c>
      <c r="R7614">
        <v>-0.39357890000000001</v>
      </c>
      <c r="S7614">
        <v>3.0024109999999999</v>
      </c>
      <c r="T7614">
        <v>-0.35032459999999999</v>
      </c>
      <c r="U7614">
        <v>-0.62074280000000004</v>
      </c>
      <c r="V7614">
        <v>1.429308E-2</v>
      </c>
      <c r="W7614">
        <v>1.515552E-2</v>
      </c>
      <c r="X7614">
        <v>0.99978299999999998</v>
      </c>
      <c r="Y7614">
        <v>-0.18171080000000001</v>
      </c>
      <c r="Z7614">
        <v>5.2952609999999997E-2</v>
      </c>
      <c r="AA7614">
        <v>0.98192520000000005</v>
      </c>
      <c r="AB7614">
        <v>24</v>
      </c>
      <c r="AC7614">
        <v>9.3214000000000095</v>
      </c>
      <c r="AD7614">
        <v>-1.112471186114</v>
      </c>
      <c r="AE7614">
        <v>-1.88679999999999</v>
      </c>
      <c r="AF7614">
        <v>-1.7758998013357501</v>
      </c>
      <c r="AG7614">
        <v>-1.112471186114</v>
      </c>
      <c r="AH7614">
        <v>9.2124588418817908</v>
      </c>
      <c r="AI7614">
        <v>96.762226412148493</v>
      </c>
      <c r="AJ7614">
        <v>100.911153095877</v>
      </c>
      <c r="AK7614">
        <v>9.4477939307376992</v>
      </c>
      <c r="AL7614">
        <v>89.131619435082698</v>
      </c>
      <c r="AM7614">
        <v>89.180944889369798</v>
      </c>
      <c r="AN7614">
        <v>1.00000001450567</v>
      </c>
    </row>
    <row r="7615" spans="1:40" x14ac:dyDescent="0.25">
      <c r="A7615" t="str">
        <f>"20190312154446846"</f>
        <v>20190312154446846</v>
      </c>
      <c r="B7615" t="str">
        <f>"1552376686834956"</f>
        <v>1552376686834956</v>
      </c>
      <c r="C7615" t="s">
        <v>40</v>
      </c>
      <c r="D7615">
        <v>5.2199419999999996</v>
      </c>
      <c r="E7615">
        <v>0.42173549999999899</v>
      </c>
      <c r="F7615" t="s">
        <v>43</v>
      </c>
      <c r="G7615">
        <v>-151.0513</v>
      </c>
      <c r="H7615" s="1">
        <v>-4.2404640000000002E-6</v>
      </c>
      <c r="I7615">
        <v>141.43270000000001</v>
      </c>
      <c r="J7615">
        <v>-160.3664</v>
      </c>
      <c r="K7615">
        <v>1.1127450000000001</v>
      </c>
      <c r="L7615">
        <v>143.27500000000001</v>
      </c>
      <c r="M7615">
        <v>0.92580609999999997</v>
      </c>
      <c r="N7615">
        <v>0</v>
      </c>
      <c r="O7615">
        <v>-0.37780469999999999</v>
      </c>
      <c r="P7615">
        <v>0.92097379999999995</v>
      </c>
      <c r="Q7615">
        <v>2.3896189999999999E-3</v>
      </c>
      <c r="R7615">
        <v>-0.38961770000000001</v>
      </c>
      <c r="S7615">
        <v>3.005325</v>
      </c>
      <c r="T7615">
        <v>-0.3521165</v>
      </c>
      <c r="U7615">
        <v>-0.60557559999999999</v>
      </c>
      <c r="V7615">
        <v>1.2679640000000001E-2</v>
      </c>
      <c r="W7615">
        <v>1.4582899999999999E-2</v>
      </c>
      <c r="X7615">
        <v>0.99981330000000002</v>
      </c>
      <c r="Y7615">
        <v>-0.18396960000000001</v>
      </c>
      <c r="Z7615">
        <v>5.3072750000000002E-2</v>
      </c>
      <c r="AA7615">
        <v>0.98149810000000004</v>
      </c>
      <c r="AB7615">
        <v>24</v>
      </c>
      <c r="AC7615">
        <v>9.3150999999999993</v>
      </c>
      <c r="AD7615">
        <v>-1.112749240464</v>
      </c>
      <c r="AE7615">
        <v>-1.8422999999999901</v>
      </c>
      <c r="AF7615">
        <v>-1.78923794274779</v>
      </c>
      <c r="AG7615">
        <v>-1.112749240464</v>
      </c>
      <c r="AH7615">
        <v>9.1944253109927505</v>
      </c>
      <c r="AI7615">
        <v>96.774752284535197</v>
      </c>
      <c r="AJ7615">
        <v>101.012145253505</v>
      </c>
      <c r="AK7615">
        <v>9.4327641806283697</v>
      </c>
      <c r="AL7615">
        <v>89.164431788565693</v>
      </c>
      <c r="AM7615">
        <v>89.273413432709802</v>
      </c>
      <c r="AN7615">
        <v>1.00000003454991</v>
      </c>
    </row>
    <row r="7616" spans="1:40" x14ac:dyDescent="0.25">
      <c r="A7616" t="str">
        <f>"20190312154446871"</f>
        <v>20190312154446871</v>
      </c>
      <c r="B7616" t="str">
        <f>"1552376686865212"</f>
        <v>1552376686865212</v>
      </c>
      <c r="C7616" t="s">
        <v>40</v>
      </c>
      <c r="D7616">
        <v>5.3173510000000004</v>
      </c>
      <c r="E7616">
        <v>0.42160900000000001</v>
      </c>
      <c r="F7616" t="s">
        <v>43</v>
      </c>
      <c r="G7616">
        <v>-151.0232</v>
      </c>
      <c r="H7616" s="1">
        <v>-4.249409E-6</v>
      </c>
      <c r="I7616">
        <v>141.42910000000001</v>
      </c>
      <c r="J7616">
        <v>-160.13839999999999</v>
      </c>
      <c r="K7616">
        <v>1.113016</v>
      </c>
      <c r="L7616">
        <v>143.18639999999999</v>
      </c>
      <c r="M7616">
        <v>0.92722819999999995</v>
      </c>
      <c r="N7616">
        <v>0</v>
      </c>
      <c r="O7616">
        <v>-0.37429479999999998</v>
      </c>
      <c r="P7616">
        <v>0.92315510000000001</v>
      </c>
      <c r="Q7616">
        <v>2.7617029999999999E-3</v>
      </c>
      <c r="R7616">
        <v>-0.38441769999999997</v>
      </c>
      <c r="S7616">
        <v>3.00705</v>
      </c>
      <c r="T7616">
        <v>-0.35813010000000001</v>
      </c>
      <c r="U7616">
        <v>-0.59408570000000005</v>
      </c>
      <c r="V7616">
        <v>1.081582E-2</v>
      </c>
      <c r="W7616">
        <v>1.5131199999999999E-2</v>
      </c>
      <c r="X7616">
        <v>0.99982700000000002</v>
      </c>
      <c r="Y7616">
        <v>-0.1838649</v>
      </c>
      <c r="Z7616">
        <v>5.3583800000000001E-2</v>
      </c>
      <c r="AA7616">
        <v>0.98148999999999997</v>
      </c>
      <c r="AB7616">
        <v>24</v>
      </c>
      <c r="AC7616">
        <v>9.1151999999999802</v>
      </c>
      <c r="AD7616">
        <v>-1.113020249409</v>
      </c>
      <c r="AE7616">
        <v>-1.7572999999999801</v>
      </c>
      <c r="AF7616">
        <v>-1.75722752560402</v>
      </c>
      <c r="AG7616">
        <v>-1.113020249409</v>
      </c>
      <c r="AH7616">
        <v>8.9811980055974701</v>
      </c>
      <c r="AI7616">
        <v>96.934356400198396</v>
      </c>
      <c r="AJ7616">
        <v>101.070427530399</v>
      </c>
      <c r="AK7616">
        <v>9.2189251145718103</v>
      </c>
      <c r="AL7616">
        <v>89.133013000514495</v>
      </c>
      <c r="AM7616">
        <v>89.380216110686604</v>
      </c>
      <c r="AN7616">
        <v>0.999999982552356</v>
      </c>
    </row>
    <row r="7617" spans="1:40" x14ac:dyDescent="0.25">
      <c r="A7617" t="str">
        <f>"20190312154446891"</f>
        <v>20190312154446891</v>
      </c>
      <c r="B7617" t="str">
        <f>"1552376686884731"</f>
        <v>1552376686884731</v>
      </c>
      <c r="C7617" t="s">
        <v>40</v>
      </c>
      <c r="D7617">
        <v>5.191128</v>
      </c>
      <c r="E7617">
        <v>0.42175309999999999</v>
      </c>
      <c r="F7617" t="s">
        <v>43</v>
      </c>
      <c r="G7617">
        <v>-150.9538</v>
      </c>
      <c r="H7617" s="1">
        <v>-4.272301E-6</v>
      </c>
      <c r="I7617">
        <v>141.42509999999999</v>
      </c>
      <c r="J7617">
        <v>-159.92869999999999</v>
      </c>
      <c r="K7617">
        <v>1.1131930000000001</v>
      </c>
      <c r="L7617">
        <v>143.1063</v>
      </c>
      <c r="M7617">
        <v>0.92862979999999995</v>
      </c>
      <c r="N7617">
        <v>0</v>
      </c>
      <c r="O7617">
        <v>-0.37079830000000003</v>
      </c>
      <c r="P7617">
        <v>0.92521880000000001</v>
      </c>
      <c r="Q7617">
        <v>3.8995140000000002E-3</v>
      </c>
      <c r="R7617">
        <v>-0.37941429999999998</v>
      </c>
      <c r="S7617">
        <v>3.0104220000000002</v>
      </c>
      <c r="T7617">
        <v>-0.36481400000000003</v>
      </c>
      <c r="U7617">
        <v>-0.57730099999999995</v>
      </c>
      <c r="V7617">
        <v>9.1559669999999992E-3</v>
      </c>
      <c r="W7617">
        <v>1.6421359999999999E-2</v>
      </c>
      <c r="X7617">
        <v>0.99982320000000002</v>
      </c>
      <c r="Y7617">
        <v>-0.1855214</v>
      </c>
      <c r="Z7617">
        <v>5.4269659999999997E-2</v>
      </c>
      <c r="AA7617">
        <v>0.98114049999999997</v>
      </c>
      <c r="AB7617">
        <v>24</v>
      </c>
      <c r="AC7617">
        <v>8.9748999999999892</v>
      </c>
      <c r="AD7617">
        <v>-1.113197272301</v>
      </c>
      <c r="AE7617">
        <v>-1.68120000000001</v>
      </c>
      <c r="AF7617">
        <v>-1.74092702165408</v>
      </c>
      <c r="AG7617">
        <v>-1.113197272301</v>
      </c>
      <c r="AH7617">
        <v>8.8272419431698506</v>
      </c>
      <c r="AI7617">
        <v>97.053132949429596</v>
      </c>
      <c r="AJ7617">
        <v>101.156809634315</v>
      </c>
      <c r="AK7617">
        <v>9.0658830449681407</v>
      </c>
      <c r="AL7617">
        <v>89.059083051061606</v>
      </c>
      <c r="AM7617">
        <v>89.475323634531605</v>
      </c>
      <c r="AN7617">
        <v>0.99999996202709596</v>
      </c>
    </row>
    <row r="7618" spans="1:40" x14ac:dyDescent="0.25">
      <c r="A7618" t="str">
        <f>"20190312154446915"</f>
        <v>20190312154446915</v>
      </c>
      <c r="B7618" t="str">
        <f>"1552376686905228"</f>
        <v>1552376686905228</v>
      </c>
      <c r="C7618" t="s">
        <v>40</v>
      </c>
      <c r="D7618">
        <v>5.0970380000000004</v>
      </c>
      <c r="E7618">
        <v>0.42213709999999999</v>
      </c>
      <c r="F7618" t="s">
        <v>43</v>
      </c>
      <c r="G7618">
        <v>-150.71729999999999</v>
      </c>
      <c r="H7618" s="1">
        <v>-4.3455860000000004E-6</v>
      </c>
      <c r="I7618">
        <v>141.3845</v>
      </c>
      <c r="J7618">
        <v>-159.6848</v>
      </c>
      <c r="K7618">
        <v>1.1133230000000001</v>
      </c>
      <c r="L7618">
        <v>143.0145</v>
      </c>
      <c r="M7618">
        <v>0.93032820000000005</v>
      </c>
      <c r="N7618">
        <v>0</v>
      </c>
      <c r="O7618">
        <v>-0.36651020000000001</v>
      </c>
      <c r="P7618">
        <v>0.92760410000000004</v>
      </c>
      <c r="Q7618">
        <v>4.5887150000000002E-3</v>
      </c>
      <c r="R7618">
        <v>-0.37353629999999999</v>
      </c>
      <c r="S7618">
        <v>3.013077</v>
      </c>
      <c r="T7618">
        <v>-0.3641297</v>
      </c>
      <c r="U7618">
        <v>-0.56318659999999998</v>
      </c>
      <c r="V7618">
        <v>7.4146250000000002E-3</v>
      </c>
      <c r="W7618">
        <v>1.727764E-2</v>
      </c>
      <c r="X7618">
        <v>0.99982320000000002</v>
      </c>
      <c r="Y7618">
        <v>-0.18562989999999999</v>
      </c>
      <c r="Z7618">
        <v>5.3687039999999998E-2</v>
      </c>
      <c r="AA7618">
        <v>0.98115200000000002</v>
      </c>
      <c r="AB7618">
        <v>24</v>
      </c>
      <c r="AC7618">
        <v>8.9674999999999994</v>
      </c>
      <c r="AD7618">
        <v>-1.113327345586</v>
      </c>
      <c r="AE7618">
        <v>-1.6299999999999899</v>
      </c>
      <c r="AF7618">
        <v>-1.7443597534261499</v>
      </c>
      <c r="AG7618">
        <v>-1.113327345586</v>
      </c>
      <c r="AH7618">
        <v>8.8094022683330007</v>
      </c>
      <c r="AI7618">
        <v>97.067039294207603</v>
      </c>
      <c r="AJ7618">
        <v>101.200320015472</v>
      </c>
      <c r="AK7618">
        <v>9.0491909612469303</v>
      </c>
      <c r="AL7618">
        <v>89.010014852104604</v>
      </c>
      <c r="AM7618">
        <v>89.575105947241099</v>
      </c>
      <c r="AN7618">
        <v>0.999999962383049</v>
      </c>
    </row>
    <row r="7619" spans="1:40" x14ac:dyDescent="0.25">
      <c r="A7619" t="str">
        <f>"20190312154446936"</f>
        <v>20190312154446936</v>
      </c>
      <c r="B7619" t="str">
        <f>"1552376686924748"</f>
        <v>1552376686924748</v>
      </c>
      <c r="C7619" t="s">
        <v>40</v>
      </c>
      <c r="D7619">
        <v>5.070112</v>
      </c>
      <c r="E7619">
        <v>0.44082860000000001</v>
      </c>
      <c r="F7619" t="s">
        <v>43</v>
      </c>
      <c r="G7619">
        <v>-150.39580000000001</v>
      </c>
      <c r="H7619" s="1">
        <v>-4.4447470000000002E-6</v>
      </c>
      <c r="I7619">
        <v>141.32679999999999</v>
      </c>
      <c r="J7619">
        <v>-159.48009999999999</v>
      </c>
      <c r="K7619">
        <v>1.113372</v>
      </c>
      <c r="L7619">
        <v>142.93860000000001</v>
      </c>
      <c r="M7619">
        <v>0.931778</v>
      </c>
      <c r="N7619">
        <v>0</v>
      </c>
      <c r="O7619">
        <v>-0.36280420000000002</v>
      </c>
      <c r="P7619">
        <v>0.92995070000000002</v>
      </c>
      <c r="Q7619">
        <v>4.8276509999999996E-3</v>
      </c>
      <c r="R7619">
        <v>-0.36765330000000002</v>
      </c>
      <c r="S7619">
        <v>3.0153050000000001</v>
      </c>
      <c r="T7619">
        <v>-0.36139870000000002</v>
      </c>
      <c r="U7619">
        <v>-0.54783630000000005</v>
      </c>
      <c r="V7619">
        <v>5.0562419999999999E-3</v>
      </c>
      <c r="W7619">
        <v>1.7634730000000001E-2</v>
      </c>
      <c r="X7619">
        <v>0.99983169999999999</v>
      </c>
      <c r="Y7619">
        <v>-0.18675420000000001</v>
      </c>
      <c r="Z7619">
        <v>5.2941929999999998E-2</v>
      </c>
      <c r="AA7619">
        <v>0.98097909999999999</v>
      </c>
      <c r="AB7619">
        <v>24</v>
      </c>
      <c r="AC7619">
        <v>9.0842999999999794</v>
      </c>
      <c r="AD7619">
        <v>-1.113376444747</v>
      </c>
      <c r="AE7619">
        <v>-1.6118000000000099</v>
      </c>
      <c r="AF7619">
        <v>-1.76837629489161</v>
      </c>
      <c r="AG7619">
        <v>-1.113376444747</v>
      </c>
      <c r="AH7619">
        <v>8.9201547034339193</v>
      </c>
      <c r="AI7619">
        <v>96.980162683816502</v>
      </c>
      <c r="AJ7619">
        <v>101.21321469015599</v>
      </c>
      <c r="AK7619">
        <v>9.1616549684675608</v>
      </c>
      <c r="AL7619">
        <v>88.989552010076594</v>
      </c>
      <c r="AM7619">
        <v>89.710252378266205</v>
      </c>
      <c r="AN7619">
        <v>0.99999998880511198</v>
      </c>
    </row>
    <row r="7620" spans="1:40" x14ac:dyDescent="0.25">
      <c r="A7620" t="str">
        <f>"20190312154446960"</f>
        <v>20190312154446960</v>
      </c>
      <c r="B7620" t="str">
        <f>"1552376686955003"</f>
        <v>1552376686955003</v>
      </c>
      <c r="C7620" t="s">
        <v>40</v>
      </c>
      <c r="D7620">
        <v>5.0397449999999999</v>
      </c>
      <c r="E7620">
        <v>0.44103540000000002</v>
      </c>
      <c r="F7620" t="s">
        <v>43</v>
      </c>
      <c r="G7620">
        <v>-148.5564</v>
      </c>
      <c r="H7620" s="1">
        <v>-8.3117769999999998E-7</v>
      </c>
      <c r="I7620">
        <v>140.47890000000001</v>
      </c>
      <c r="J7620">
        <v>-159.24610000000001</v>
      </c>
      <c r="K7620">
        <v>1.1133770000000001</v>
      </c>
      <c r="L7620">
        <v>142.85310000000001</v>
      </c>
      <c r="M7620">
        <v>0.93343540000000003</v>
      </c>
      <c r="N7620">
        <v>0</v>
      </c>
      <c r="O7620">
        <v>-0.35851339999999998</v>
      </c>
      <c r="P7620">
        <v>0.93257840000000003</v>
      </c>
      <c r="Q7620">
        <v>2.5646689999999999E-3</v>
      </c>
      <c r="R7620">
        <v>-0.36095850000000002</v>
      </c>
      <c r="S7620">
        <v>2.9637150000000001</v>
      </c>
      <c r="T7620">
        <v>-0.30206729999999998</v>
      </c>
      <c r="U7620">
        <v>-0.66732789999999997</v>
      </c>
      <c r="V7620">
        <v>2.4792680000000002E-3</v>
      </c>
      <c r="W7620">
        <v>1.548831E-2</v>
      </c>
      <c r="X7620">
        <v>0.99987700000000002</v>
      </c>
      <c r="Y7620">
        <v>-0.1423632</v>
      </c>
      <c r="Z7620">
        <v>4.2178439999999998E-2</v>
      </c>
      <c r="AA7620">
        <v>0.9889154</v>
      </c>
      <c r="AB7620">
        <v>24</v>
      </c>
      <c r="AC7620">
        <v>10.6897</v>
      </c>
      <c r="AD7620">
        <v>-1.1133778311777001</v>
      </c>
      <c r="AE7620">
        <v>-2.3742000000000001</v>
      </c>
      <c r="AF7620">
        <v>-1.5998336281988801</v>
      </c>
      <c r="AG7620">
        <v>-1.1133778311777001</v>
      </c>
      <c r="AH7620">
        <v>10.7194097930086</v>
      </c>
      <c r="AI7620">
        <v>95.865294232527305</v>
      </c>
      <c r="AJ7620">
        <v>98.488534580948595</v>
      </c>
      <c r="AK7620">
        <v>10.895174351212701</v>
      </c>
      <c r="AL7620">
        <v>89.112549743420601</v>
      </c>
      <c r="AM7620">
        <v>89.857931223982007</v>
      </c>
      <c r="AN7620">
        <v>1.0000000248227301</v>
      </c>
    </row>
    <row r="7621" spans="1:40" x14ac:dyDescent="0.25">
      <c r="A7621" t="str">
        <f>"20190312154446985"</f>
        <v>20190312154446985</v>
      </c>
      <c r="B7621" t="str">
        <f>"1552376686975500"</f>
        <v>1552376686975500</v>
      </c>
      <c r="C7621" t="s">
        <v>40</v>
      </c>
      <c r="D7621">
        <v>4.9586739999999896</v>
      </c>
      <c r="E7621">
        <v>0.44122990000000001</v>
      </c>
      <c r="F7621" t="s">
        <v>43</v>
      </c>
      <c r="G7621">
        <v>-148.04239999999999</v>
      </c>
      <c r="H7621" s="1">
        <v>-1.0328150000000001E-6</v>
      </c>
      <c r="I7621">
        <v>140.40809999999999</v>
      </c>
      <c r="J7621">
        <v>-159.0018</v>
      </c>
      <c r="K7621">
        <v>1.113353</v>
      </c>
      <c r="L7621">
        <v>142.76499999999999</v>
      </c>
      <c r="M7621">
        <v>0.93514260000000005</v>
      </c>
      <c r="N7621">
        <v>0</v>
      </c>
      <c r="O7621">
        <v>-0.35403179999999901</v>
      </c>
      <c r="P7621">
        <v>0.93582359999999998</v>
      </c>
      <c r="Q7621">
        <v>-1.5463289999999999E-3</v>
      </c>
      <c r="R7621">
        <v>-0.35246569999999999</v>
      </c>
      <c r="S7621">
        <v>2.9670719999999999</v>
      </c>
      <c r="T7621">
        <v>-0.29485420000000001</v>
      </c>
      <c r="U7621">
        <v>-0.6474915</v>
      </c>
      <c r="V7621">
        <v>-1.787369E-3</v>
      </c>
      <c r="W7621">
        <v>1.1473229999999999E-2</v>
      </c>
      <c r="X7621">
        <v>0.99993259999999995</v>
      </c>
      <c r="Y7621">
        <v>-0.14428009999999999</v>
      </c>
      <c r="Z7621">
        <v>4.0856539999999997E-2</v>
      </c>
      <c r="AA7621">
        <v>0.98869309999999999</v>
      </c>
      <c r="AB7621">
        <v>24</v>
      </c>
      <c r="AC7621">
        <v>10.9594</v>
      </c>
      <c r="AD7621">
        <v>-1.113354032815</v>
      </c>
      <c r="AE7621">
        <v>-2.3568999999999898</v>
      </c>
      <c r="AF7621">
        <v>-1.6597092759485499</v>
      </c>
      <c r="AG7621">
        <v>-1.113354032815</v>
      </c>
      <c r="AH7621">
        <v>10.975695034549901</v>
      </c>
      <c r="AI7621">
        <v>95.727491196888195</v>
      </c>
      <c r="AJ7621">
        <v>98.598935741482705</v>
      </c>
      <c r="AK7621">
        <v>11.156167512837801</v>
      </c>
      <c r="AL7621">
        <v>89.342617931917403</v>
      </c>
      <c r="AM7621">
        <v>90.102415493867696</v>
      </c>
      <c r="AN7621">
        <v>1.00000001711866</v>
      </c>
    </row>
    <row r="7622" spans="1:40" x14ac:dyDescent="0.25">
      <c r="A7622" t="str">
        <f>"20190312154447011"</f>
        <v>20190312154447011</v>
      </c>
      <c r="B7622" t="str">
        <f>"1552376687004779"</f>
        <v>1552376687004779</v>
      </c>
      <c r="C7622" t="s">
        <v>40</v>
      </c>
      <c r="D7622">
        <v>4.9946289999999998</v>
      </c>
      <c r="E7622">
        <v>0.44172869999999997</v>
      </c>
      <c r="F7622" t="s">
        <v>43</v>
      </c>
      <c r="G7622">
        <v>-148.08109999999999</v>
      </c>
      <c r="H7622" s="1">
        <v>-1.0357530000000001E-6</v>
      </c>
      <c r="I7622">
        <v>140.48140000000001</v>
      </c>
      <c r="J7622">
        <v>-158.74889999999999</v>
      </c>
      <c r="K7622">
        <v>1.1133029999999999</v>
      </c>
      <c r="L7622">
        <v>142.6754</v>
      </c>
      <c r="M7622">
        <v>0.93686860000000005</v>
      </c>
      <c r="N7622">
        <v>0</v>
      </c>
      <c r="O7622">
        <v>-0.34943449999999998</v>
      </c>
      <c r="P7622">
        <v>0.93907680000000004</v>
      </c>
      <c r="Q7622">
        <v>-4.4627429999999999E-3</v>
      </c>
      <c r="R7622">
        <v>-0.34367900000000001</v>
      </c>
      <c r="S7622">
        <v>2.9712369999999999</v>
      </c>
      <c r="T7622">
        <v>-0.30291410000000002</v>
      </c>
      <c r="U7622">
        <v>-0.62129209999999901</v>
      </c>
      <c r="V7622">
        <v>-6.2246619999999997E-3</v>
      </c>
      <c r="W7622">
        <v>8.646206E-3</v>
      </c>
      <c r="X7622">
        <v>0.99994329999999998</v>
      </c>
      <c r="Y7622">
        <v>-0.14792569999999999</v>
      </c>
      <c r="Z7622">
        <v>4.1714849999999998E-2</v>
      </c>
      <c r="AA7622">
        <v>0.98811839999999995</v>
      </c>
      <c r="AB7622">
        <v>24</v>
      </c>
      <c r="AC7622">
        <v>10.6678</v>
      </c>
      <c r="AD7622">
        <v>-1.113304035753</v>
      </c>
      <c r="AE7622">
        <v>-2.19399999999998</v>
      </c>
      <c r="AF7622">
        <v>-1.6550579709154101</v>
      </c>
      <c r="AG7622">
        <v>-1.113304035753</v>
      </c>
      <c r="AH7622">
        <v>10.6506245711854</v>
      </c>
      <c r="AI7622">
        <v>95.897156676222593</v>
      </c>
      <c r="AJ7622">
        <v>98.832854404507401</v>
      </c>
      <c r="AK7622">
        <v>10.8357956108194</v>
      </c>
      <c r="AL7622">
        <v>89.504602741259205</v>
      </c>
      <c r="AM7622">
        <v>90.356662477579903</v>
      </c>
      <c r="AN7622">
        <v>1.0000000532550399</v>
      </c>
    </row>
    <row r="7623" spans="1:40" x14ac:dyDescent="0.25">
      <c r="A7623" t="str">
        <f>"20190312154447035"</f>
        <v>20190312154447035</v>
      </c>
      <c r="B7623" t="str">
        <f>"1552376687025276"</f>
        <v>1552376687025276</v>
      </c>
      <c r="C7623" t="s">
        <v>40</v>
      </c>
      <c r="D7623">
        <v>5.0644859999999996</v>
      </c>
      <c r="E7623">
        <v>0.44211</v>
      </c>
      <c r="F7623" t="s">
        <v>43</v>
      </c>
      <c r="G7623">
        <v>-147.9359</v>
      </c>
      <c r="H7623" s="1">
        <v>-1.104563E-6</v>
      </c>
      <c r="I7623">
        <v>140.5059</v>
      </c>
      <c r="J7623">
        <v>-158.5128</v>
      </c>
      <c r="K7623">
        <v>1.113246</v>
      </c>
      <c r="L7623">
        <v>142.59299999999999</v>
      </c>
      <c r="M7623">
        <v>0.93844159999999999</v>
      </c>
      <c r="N7623">
        <v>0</v>
      </c>
      <c r="O7623">
        <v>-0.34518349999999998</v>
      </c>
      <c r="P7623">
        <v>0.94144550000000005</v>
      </c>
      <c r="Q7623">
        <v>-5.8208799999999996E-3</v>
      </c>
      <c r="R7623">
        <v>-0.3371151</v>
      </c>
      <c r="S7623">
        <v>2.9747469999999998</v>
      </c>
      <c r="T7623">
        <v>-0.30627659999999901</v>
      </c>
      <c r="U7623">
        <v>-0.59683229999999998</v>
      </c>
      <c r="V7623">
        <v>-8.6602750000000003E-3</v>
      </c>
      <c r="W7623">
        <v>7.3726149999999999E-3</v>
      </c>
      <c r="X7623">
        <v>0.99993529999999997</v>
      </c>
      <c r="Y7623">
        <v>-0.151423</v>
      </c>
      <c r="Z7623">
        <v>4.1948050000000001E-2</v>
      </c>
      <c r="AA7623">
        <v>0.98757859999999997</v>
      </c>
      <c r="AB7623">
        <v>24</v>
      </c>
      <c r="AC7623">
        <v>10.576899999999901</v>
      </c>
      <c r="AD7623">
        <v>-1.1132471045629999</v>
      </c>
      <c r="AE7623">
        <v>-2.0870999999999902</v>
      </c>
      <c r="AF7623">
        <v>-1.6746419996383901</v>
      </c>
      <c r="AG7623">
        <v>-1.1132471045629999</v>
      </c>
      <c r="AH7623">
        <v>10.5348385888223</v>
      </c>
      <c r="AI7623">
        <v>95.957966890887505</v>
      </c>
      <c r="AJ7623">
        <v>99.032294885250096</v>
      </c>
      <c r="AK7623">
        <v>10.7250440108799</v>
      </c>
      <c r="AL7623">
        <v>89.577576441180597</v>
      </c>
      <c r="AM7623">
        <v>90.496216906119201</v>
      </c>
      <c r="AN7623">
        <v>0.99999998000055101</v>
      </c>
    </row>
    <row r="7624" spans="1:40" x14ac:dyDescent="0.25">
      <c r="A7624" t="str">
        <f>"20190312154447055"</f>
        <v>20190312154447055</v>
      </c>
      <c r="B7624" t="str">
        <f>"1552376687045772"</f>
        <v>1552376687045772</v>
      </c>
      <c r="C7624" t="s">
        <v>40</v>
      </c>
      <c r="D7624">
        <v>5.032413</v>
      </c>
      <c r="E7624">
        <v>0.44231979999999999</v>
      </c>
      <c r="F7624" t="s">
        <v>43</v>
      </c>
      <c r="G7624">
        <v>-147.8562</v>
      </c>
      <c r="H7624" s="1">
        <v>-1.142775E-6</v>
      </c>
      <c r="I7624">
        <v>140.52109999999999</v>
      </c>
      <c r="J7624">
        <v>-158.3143</v>
      </c>
      <c r="K7624">
        <v>1.1131979999999999</v>
      </c>
      <c r="L7624">
        <v>142.52459999999999</v>
      </c>
      <c r="M7624">
        <v>0.93973640000000003</v>
      </c>
      <c r="N7624">
        <v>0</v>
      </c>
      <c r="O7624">
        <v>-0.34163949999999998</v>
      </c>
      <c r="P7624">
        <v>0.9427352</v>
      </c>
      <c r="Q7624">
        <v>-6.3889389999999997E-3</v>
      </c>
      <c r="R7624">
        <v>-0.33348060000000002</v>
      </c>
      <c r="S7624">
        <v>2.9774020000000001</v>
      </c>
      <c r="T7624">
        <v>-0.31103560000000002</v>
      </c>
      <c r="U7624">
        <v>-0.57887270000000002</v>
      </c>
      <c r="V7624">
        <v>-8.7389800000000004E-3</v>
      </c>
      <c r="W7624">
        <v>6.880054E-3</v>
      </c>
      <c r="X7624">
        <v>0.99993810000000005</v>
      </c>
      <c r="Y7624">
        <v>-0.1535272</v>
      </c>
      <c r="Z7624">
        <v>4.2359399999999998E-2</v>
      </c>
      <c r="AA7624">
        <v>0.98723609999999995</v>
      </c>
      <c r="AB7624">
        <v>24</v>
      </c>
      <c r="AC7624">
        <v>10.4581</v>
      </c>
      <c r="AD7624">
        <v>-1.1131991427750001</v>
      </c>
      <c r="AE7624">
        <v>-2.0034999999999998</v>
      </c>
      <c r="AF7624">
        <v>-1.6720148596248701</v>
      </c>
      <c r="AG7624">
        <v>-1.1131991427750001</v>
      </c>
      <c r="AH7624">
        <v>10.3996084571708</v>
      </c>
      <c r="AI7624">
        <v>96.032920438652397</v>
      </c>
      <c r="AJ7624">
        <v>99.1336631836202</v>
      </c>
      <c r="AK7624">
        <v>10.5918224156535</v>
      </c>
      <c r="AL7624">
        <v>89.6057988150216</v>
      </c>
      <c r="AM7624">
        <v>90.500724918843005</v>
      </c>
      <c r="AN7624">
        <v>0.99999995437304501</v>
      </c>
    </row>
    <row r="7625" spans="1:40" x14ac:dyDescent="0.25">
      <c r="A7625" t="str">
        <f>"20190312154447074"</f>
        <v>20190312154447074</v>
      </c>
      <c r="B7625" t="str">
        <f>"1552376687065292"</f>
        <v>1552376687065292</v>
      </c>
      <c r="C7625" t="s">
        <v>40</v>
      </c>
      <c r="D7625">
        <v>5.0323000000000002</v>
      </c>
      <c r="E7625">
        <v>0.44276389999999999</v>
      </c>
      <c r="F7625" t="s">
        <v>43</v>
      </c>
      <c r="G7625">
        <v>-147.72649999999999</v>
      </c>
      <c r="H7625" s="1">
        <v>-1.1935939999999999E-6</v>
      </c>
      <c r="I7625">
        <v>140.50299999999999</v>
      </c>
      <c r="J7625">
        <v>-158.12780000000001</v>
      </c>
      <c r="K7625">
        <v>1.1131580000000001</v>
      </c>
      <c r="L7625">
        <v>142.46109999999999</v>
      </c>
      <c r="M7625">
        <v>0.94093170000000004</v>
      </c>
      <c r="N7625">
        <v>0</v>
      </c>
      <c r="O7625">
        <v>-0.33833170000000001</v>
      </c>
      <c r="P7625">
        <v>0.94352009999999997</v>
      </c>
      <c r="Q7625">
        <v>-7.4209590000000004E-3</v>
      </c>
      <c r="R7625">
        <v>-0.33123209999999997</v>
      </c>
      <c r="S7625">
        <v>2.9789279999999998</v>
      </c>
      <c r="T7625">
        <v>-0.31320330000000002</v>
      </c>
      <c r="U7625">
        <v>-0.56878660000000003</v>
      </c>
      <c r="V7625">
        <v>-7.5961119999999899E-3</v>
      </c>
      <c r="W7625">
        <v>5.919723E-3</v>
      </c>
      <c r="X7625">
        <v>0.9999536</v>
      </c>
      <c r="Y7625">
        <v>-0.15335219999999999</v>
      </c>
      <c r="Z7625">
        <v>4.231915E-2</v>
      </c>
      <c r="AA7625">
        <v>0.98726499999999995</v>
      </c>
      <c r="AB7625">
        <v>24</v>
      </c>
      <c r="AC7625">
        <v>10.401300000000001</v>
      </c>
      <c r="AD7625">
        <v>-1.113159193594</v>
      </c>
      <c r="AE7625">
        <v>-1.9581</v>
      </c>
      <c r="AF7625">
        <v>-1.6584563661573399</v>
      </c>
      <c r="AG7625">
        <v>-1.113159193594</v>
      </c>
      <c r="AH7625">
        <v>10.336004766621601</v>
      </c>
      <c r="AI7625">
        <v>96.069856280881993</v>
      </c>
      <c r="AJ7625">
        <v>99.115654636635</v>
      </c>
      <c r="AK7625">
        <v>10.527231138545099</v>
      </c>
      <c r="AL7625">
        <v>89.660822866097405</v>
      </c>
      <c r="AM7625">
        <v>90.435236981853905</v>
      </c>
      <c r="AN7625">
        <v>0.99999997309543598</v>
      </c>
    </row>
    <row r="7626" spans="1:40" x14ac:dyDescent="0.25">
      <c r="A7626" t="str">
        <f>"20190312154447092"</f>
        <v>20190312154447092</v>
      </c>
      <c r="B7626" t="str">
        <f>"1552376687084811"</f>
        <v>1552376687084811</v>
      </c>
      <c r="C7626" t="s">
        <v>40</v>
      </c>
      <c r="D7626">
        <v>5.0605149999999997</v>
      </c>
      <c r="E7626">
        <v>0.44314189999999998</v>
      </c>
      <c r="F7626" t="s">
        <v>43</v>
      </c>
      <c r="G7626">
        <v>-147.60249999999999</v>
      </c>
      <c r="H7626" s="1">
        <v>-1.2365200000000001E-6</v>
      </c>
      <c r="I7626">
        <v>140.46440000000001</v>
      </c>
      <c r="J7626">
        <v>-157.9348</v>
      </c>
      <c r="K7626">
        <v>1.1131340000000001</v>
      </c>
      <c r="L7626">
        <v>142.39609999999999</v>
      </c>
      <c r="M7626">
        <v>0.94215000000000004</v>
      </c>
      <c r="N7626">
        <v>0</v>
      </c>
      <c r="O7626">
        <v>-0.33492169999999999</v>
      </c>
      <c r="P7626">
        <v>0.94406080000000003</v>
      </c>
      <c r="Q7626">
        <v>-9.1359230000000007E-3</v>
      </c>
      <c r="R7626">
        <v>-0.32964520000000003</v>
      </c>
      <c r="S7626">
        <v>2.978745</v>
      </c>
      <c r="T7626">
        <v>-0.31503189999999998</v>
      </c>
      <c r="U7626">
        <v>-0.5650482</v>
      </c>
      <c r="V7626">
        <v>-5.6397729999999998E-3</v>
      </c>
      <c r="W7626">
        <v>4.2760879999999999E-3</v>
      </c>
      <c r="X7626">
        <v>0.99997499999999995</v>
      </c>
      <c r="Y7626">
        <v>-0.15095720000000001</v>
      </c>
      <c r="Z7626">
        <v>4.2114649999999997E-2</v>
      </c>
      <c r="AA7626">
        <v>0.98764280000000004</v>
      </c>
      <c r="AB7626">
        <v>24</v>
      </c>
      <c r="AC7626">
        <v>10.3323</v>
      </c>
      <c r="AD7626">
        <v>-1.11313523652</v>
      </c>
      <c r="AE7626">
        <v>-1.93169999999997</v>
      </c>
      <c r="AF7626">
        <v>-1.6225129543617101</v>
      </c>
      <c r="AG7626">
        <v>-1.11313523652</v>
      </c>
      <c r="AH7626">
        <v>10.2673400572183</v>
      </c>
      <c r="AI7626">
        <v>96.112299609023296</v>
      </c>
      <c r="AJ7626">
        <v>98.979998513419005</v>
      </c>
      <c r="AK7626">
        <v>10.454180512714199</v>
      </c>
      <c r="AL7626">
        <v>89.754997469470098</v>
      </c>
      <c r="AM7626">
        <v>90.323139842710702</v>
      </c>
      <c r="AN7626">
        <v>1.0000000462965299</v>
      </c>
    </row>
    <row r="7627" spans="1:40" x14ac:dyDescent="0.25">
      <c r="A7627" t="str">
        <f>"20190312154447116"</f>
        <v>20190312154447116</v>
      </c>
      <c r="B7627" t="str">
        <f>"1552376687105308"</f>
        <v>1552376687105308</v>
      </c>
      <c r="C7627" t="s">
        <v>40</v>
      </c>
      <c r="D7627">
        <v>5.0497079999999999</v>
      </c>
      <c r="E7627">
        <v>0.44328119999999999</v>
      </c>
      <c r="F7627" t="s">
        <v>43</v>
      </c>
      <c r="G7627">
        <v>-147.4975</v>
      </c>
      <c r="H7627" s="1">
        <v>-1.2713710000000001E-6</v>
      </c>
      <c r="I7627">
        <v>140.42609999999999</v>
      </c>
      <c r="J7627">
        <v>-157.70910000000001</v>
      </c>
      <c r="K7627">
        <v>1.1131180000000001</v>
      </c>
      <c r="L7627">
        <v>142.321</v>
      </c>
      <c r="M7627">
        <v>0.94355549999999999</v>
      </c>
      <c r="N7627">
        <v>0</v>
      </c>
      <c r="O7627">
        <v>-0.33093929999999999</v>
      </c>
      <c r="P7627">
        <v>0.9443684</v>
      </c>
      <c r="Q7627">
        <v>-9.3331089999999992E-3</v>
      </c>
      <c r="R7627">
        <v>-0.32875769999999999</v>
      </c>
      <c r="S7627">
        <v>2.9783940000000002</v>
      </c>
      <c r="T7627">
        <v>-0.31764409999999998</v>
      </c>
      <c r="U7627">
        <v>-0.56213380000000002</v>
      </c>
      <c r="V7627">
        <v>-2.3549019999999999E-3</v>
      </c>
      <c r="W7627">
        <v>4.161171E-3</v>
      </c>
      <c r="X7627">
        <v>0.99998860000000001</v>
      </c>
      <c r="Y7627">
        <v>-0.14768819999999999</v>
      </c>
      <c r="Z7627">
        <v>4.190543E-2</v>
      </c>
      <c r="AA7627">
        <v>0.98814579999999996</v>
      </c>
      <c r="AB7627">
        <v>24</v>
      </c>
      <c r="AC7627">
        <v>10.211600000000001</v>
      </c>
      <c r="AD7627">
        <v>-1.1131192713709901</v>
      </c>
      <c r="AE7627">
        <v>-1.8949</v>
      </c>
      <c r="AF7627">
        <v>-1.5735466724645799</v>
      </c>
      <c r="AG7627">
        <v>-1.1131192713709901</v>
      </c>
      <c r="AH7627">
        <v>10.146691815021001</v>
      </c>
      <c r="AI7627">
        <v>96.187093208013195</v>
      </c>
      <c r="AJ7627">
        <v>98.815196404699904</v>
      </c>
      <c r="AK7627">
        <v>10.3281381880635</v>
      </c>
      <c r="AL7627">
        <v>89.7615817830917</v>
      </c>
      <c r="AM7627">
        <v>90.134927234518997</v>
      </c>
      <c r="AN7627">
        <v>1.00000003051874</v>
      </c>
    </row>
    <row r="7628" spans="1:40" x14ac:dyDescent="0.25">
      <c r="A7628" t="str">
        <f>"20190312154447138"</f>
        <v>20190312154447138</v>
      </c>
      <c r="B7628" t="str">
        <f>"1552376687124827"</f>
        <v>1552376687124827</v>
      </c>
      <c r="C7628" t="s">
        <v>40</v>
      </c>
      <c r="D7628">
        <v>5.0601900000000004</v>
      </c>
      <c r="E7628">
        <v>0.44349329999999998</v>
      </c>
      <c r="F7628" t="s">
        <v>43</v>
      </c>
      <c r="G7628">
        <v>-147.16540000000001</v>
      </c>
      <c r="H7628" s="1">
        <v>-1.3908450000000001E-6</v>
      </c>
      <c r="I7628">
        <v>140.33959999999999</v>
      </c>
      <c r="J7628">
        <v>-157.49010000000001</v>
      </c>
      <c r="K7628">
        <v>1.113119</v>
      </c>
      <c r="L7628">
        <v>142.2492</v>
      </c>
      <c r="M7628">
        <v>0.94490620000000003</v>
      </c>
      <c r="N7628">
        <v>0</v>
      </c>
      <c r="O7628">
        <v>-0.32706030000000003</v>
      </c>
      <c r="P7628">
        <v>0.94456759999999995</v>
      </c>
      <c r="Q7628">
        <v>-8.5731130000000003E-3</v>
      </c>
      <c r="R7628">
        <v>-0.32820539999999998</v>
      </c>
      <c r="S7628">
        <v>2.978745</v>
      </c>
      <c r="T7628">
        <v>-0.31446929999999901</v>
      </c>
      <c r="U7628">
        <v>-0.55976870000000001</v>
      </c>
      <c r="V7628">
        <v>1.160372E-3</v>
      </c>
      <c r="W7628">
        <v>4.9951500000000003E-3</v>
      </c>
      <c r="X7628">
        <v>0.99998679999999995</v>
      </c>
      <c r="Y7628">
        <v>-0.14449039999999999</v>
      </c>
      <c r="Z7628">
        <v>4.0940579999999997E-2</v>
      </c>
      <c r="AA7628">
        <v>0.98865890000000001</v>
      </c>
      <c r="AB7628">
        <v>24</v>
      </c>
      <c r="AC7628">
        <v>10.3247</v>
      </c>
      <c r="AD7628">
        <v>-1.113120390845</v>
      </c>
      <c r="AE7628">
        <v>-1.90960000000001</v>
      </c>
      <c r="AF7628">
        <v>-1.5550739256544199</v>
      </c>
      <c r="AG7628">
        <v>-1.113120390845</v>
      </c>
      <c r="AH7628">
        <v>10.2660037013382</v>
      </c>
      <c r="AI7628">
        <v>96.119015455556493</v>
      </c>
      <c r="AJ7628">
        <v>98.613568501399598</v>
      </c>
      <c r="AK7628">
        <v>10.4426109721015</v>
      </c>
      <c r="AL7628">
        <v>89.713797782186504</v>
      </c>
      <c r="AM7628">
        <v>89.933514733969702</v>
      </c>
      <c r="AN7628">
        <v>0.99999994908046896</v>
      </c>
    </row>
    <row r="7629" spans="1:40" x14ac:dyDescent="0.25">
      <c r="A7629" t="str">
        <f>"20190312154447161"</f>
        <v>20190312154447161</v>
      </c>
      <c r="B7629" t="str">
        <f>"1552376687155084"</f>
        <v>1552376687155084</v>
      </c>
      <c r="C7629" t="s">
        <v>40</v>
      </c>
      <c r="D7629">
        <v>5.053471</v>
      </c>
      <c r="E7629">
        <v>0.44365450000000001</v>
      </c>
      <c r="F7629" t="s">
        <v>43</v>
      </c>
      <c r="G7629">
        <v>-146.7002</v>
      </c>
      <c r="H7629" s="1">
        <v>-1.5600319999999999E-6</v>
      </c>
      <c r="I7629">
        <v>140.22559999999999</v>
      </c>
      <c r="J7629">
        <v>-157.2533</v>
      </c>
      <c r="K7629">
        <v>1.1131260000000001</v>
      </c>
      <c r="L7629">
        <v>142.1728</v>
      </c>
      <c r="M7629">
        <v>0.94635789999999997</v>
      </c>
      <c r="N7629">
        <v>0</v>
      </c>
      <c r="O7629">
        <v>-0.3228335</v>
      </c>
      <c r="P7629">
        <v>0.94475169999999997</v>
      </c>
      <c r="Q7629">
        <v>-7.0477500000000002E-3</v>
      </c>
      <c r="R7629">
        <v>-0.32771149999999999</v>
      </c>
      <c r="S7629">
        <v>2.9791409999999998</v>
      </c>
      <c r="T7629">
        <v>-0.30733880000000002</v>
      </c>
      <c r="U7629">
        <v>-0.55873109999999904</v>
      </c>
      <c r="V7629">
        <v>5.0924799999999999E-3</v>
      </c>
      <c r="W7629">
        <v>6.5944360000000004E-3</v>
      </c>
      <c r="X7629">
        <v>0.99996529999999995</v>
      </c>
      <c r="Y7629">
        <v>-0.14057320000000001</v>
      </c>
      <c r="Z7629">
        <v>3.9407780000000003E-2</v>
      </c>
      <c r="AA7629">
        <v>0.98928570000000005</v>
      </c>
      <c r="AB7629">
        <v>23</v>
      </c>
      <c r="AC7629">
        <v>10.553100000000001</v>
      </c>
      <c r="AD7629">
        <v>-1.1131275600319901</v>
      </c>
      <c r="AE7629">
        <v>-1.9472</v>
      </c>
      <c r="AF7629">
        <v>-1.54763926283082</v>
      </c>
      <c r="AG7629">
        <v>-1.1131275600319901</v>
      </c>
      <c r="AH7629">
        <v>10.5036014145771</v>
      </c>
      <c r="AI7629">
        <v>95.985242076182203</v>
      </c>
      <c r="AJ7629">
        <v>98.3818609274755</v>
      </c>
      <c r="AK7629">
        <v>10.675199432753701</v>
      </c>
      <c r="AL7629">
        <v>89.622163914424405</v>
      </c>
      <c r="AM7629">
        <v>89.708214786191306</v>
      </c>
      <c r="AN7629">
        <v>1.00000001057139</v>
      </c>
    </row>
    <row r="7630" spans="1:40" x14ac:dyDescent="0.25">
      <c r="A7630" t="str">
        <f>"20190312154447186"</f>
        <v>20190312154447186</v>
      </c>
      <c r="B7630" t="str">
        <f>"1552376687175579"</f>
        <v>1552376687175579</v>
      </c>
      <c r="C7630" t="s">
        <v>40</v>
      </c>
      <c r="D7630">
        <v>5.0629140000000001</v>
      </c>
      <c r="E7630">
        <v>0.44373220000000002</v>
      </c>
      <c r="F7630" t="s">
        <v>43</v>
      </c>
      <c r="G7630">
        <v>-146.13839999999999</v>
      </c>
      <c r="H7630" s="1">
        <v>-1.765574E-6</v>
      </c>
      <c r="I7630">
        <v>140.09219999999999</v>
      </c>
      <c r="J7630">
        <v>-157.01589999999999</v>
      </c>
      <c r="K7630">
        <v>1.1131420000000001</v>
      </c>
      <c r="L7630">
        <v>142.09729999999999</v>
      </c>
      <c r="M7630">
        <v>0.94781110000000002</v>
      </c>
      <c r="N7630">
        <v>0</v>
      </c>
      <c r="O7630">
        <v>-0.3185404</v>
      </c>
      <c r="P7630">
        <v>0.94537599999999999</v>
      </c>
      <c r="Q7630">
        <v>-6.6961919999999897E-3</v>
      </c>
      <c r="R7630">
        <v>-0.32591379999999998</v>
      </c>
      <c r="S7630">
        <v>2.9797359999999999</v>
      </c>
      <c r="T7630">
        <v>-0.29841079999999998</v>
      </c>
      <c r="U7630">
        <v>-0.55775450000000004</v>
      </c>
      <c r="V7630">
        <v>7.719175E-3</v>
      </c>
      <c r="W7630">
        <v>7.0059369999999899E-3</v>
      </c>
      <c r="X7630">
        <v>0.99994559999999999</v>
      </c>
      <c r="Y7630">
        <v>-0.13660369999999999</v>
      </c>
      <c r="Z7630">
        <v>3.7665110000000002E-2</v>
      </c>
      <c r="AA7630">
        <v>0.9899095</v>
      </c>
      <c r="AB7630">
        <v>23</v>
      </c>
      <c r="AC7630">
        <v>10.8774999999999</v>
      </c>
      <c r="AD7630">
        <v>-1.113143765574</v>
      </c>
      <c r="AE7630">
        <v>-2.0050999999999899</v>
      </c>
      <c r="AF7630">
        <v>-1.5489249533607099</v>
      </c>
      <c r="AG7630">
        <v>-1.113143765574</v>
      </c>
      <c r="AH7630">
        <v>10.839752434554599</v>
      </c>
      <c r="AI7630">
        <v>95.804649252109499</v>
      </c>
      <c r="AJ7630">
        <v>98.132116798949099</v>
      </c>
      <c r="AK7630">
        <v>11.0062932178101</v>
      </c>
      <c r="AL7630">
        <v>89.598586068806995</v>
      </c>
      <c r="AM7630">
        <v>89.557708575604394</v>
      </c>
      <c r="AN7630">
        <v>0.99999993588764202</v>
      </c>
    </row>
    <row r="7631" spans="1:40" x14ac:dyDescent="0.25">
      <c r="A7631" t="str">
        <f>"20190312154447211"</f>
        <v>20190312154447211</v>
      </c>
      <c r="B7631" t="str">
        <f>"1552376687205836"</f>
        <v>1552376687205836</v>
      </c>
      <c r="C7631" t="s">
        <v>40</v>
      </c>
      <c r="D7631">
        <v>5.1247769999999999</v>
      </c>
      <c r="E7631">
        <v>0.44380009999999998</v>
      </c>
      <c r="F7631" t="s">
        <v>43</v>
      </c>
      <c r="G7631">
        <v>-145.74760000000001</v>
      </c>
      <c r="H7631" s="1">
        <v>-1.911446E-6</v>
      </c>
      <c r="I7631">
        <v>140.0103</v>
      </c>
      <c r="J7631">
        <v>-156.76730000000001</v>
      </c>
      <c r="K7631">
        <v>1.1131770000000001</v>
      </c>
      <c r="L7631">
        <v>142.0196</v>
      </c>
      <c r="M7631">
        <v>0.94933599999999996</v>
      </c>
      <c r="N7631">
        <v>0</v>
      </c>
      <c r="O7631">
        <v>-0.31396479999999999</v>
      </c>
      <c r="P7631">
        <v>0.94633020000000001</v>
      </c>
      <c r="Q7631">
        <v>-6.4208969999999897E-3</v>
      </c>
      <c r="R7631">
        <v>-0.32313760000000002</v>
      </c>
      <c r="S7631">
        <v>2.9809420000000002</v>
      </c>
      <c r="T7631">
        <v>-0.2944734</v>
      </c>
      <c r="U7631">
        <v>-0.55206299999999997</v>
      </c>
      <c r="V7631">
        <v>9.6043910000000003E-3</v>
      </c>
      <c r="W7631">
        <v>7.3325619999999999E-3</v>
      </c>
      <c r="X7631">
        <v>0.99992700000000001</v>
      </c>
      <c r="Y7631">
        <v>-0.13381370000000001</v>
      </c>
      <c r="Z7631">
        <v>3.660571E-2</v>
      </c>
      <c r="AA7631">
        <v>0.99033020000000005</v>
      </c>
      <c r="AB7631">
        <v>23</v>
      </c>
      <c r="AC7631">
        <v>11.0197</v>
      </c>
      <c r="AD7631">
        <v>-1.113178911446</v>
      </c>
      <c r="AE7631">
        <v>-2.0092999999999899</v>
      </c>
      <c r="AF7631">
        <v>-1.5372602806659901</v>
      </c>
      <c r="AG7631">
        <v>-1.113178911446</v>
      </c>
      <c r="AH7631">
        <v>10.984798940331199</v>
      </c>
      <c r="AI7631">
        <v>95.731022680512794</v>
      </c>
      <c r="AJ7631">
        <v>97.966481788259102</v>
      </c>
      <c r="AK7631">
        <v>11.147562254542599</v>
      </c>
      <c r="AL7631">
        <v>89.579871382905907</v>
      </c>
      <c r="AM7631">
        <v>89.449685679904803</v>
      </c>
      <c r="AN7631">
        <v>1.0000000080604801</v>
      </c>
    </row>
    <row r="7632" spans="1:40" x14ac:dyDescent="0.25">
      <c r="A7632" t="str">
        <f>"20190312154447234"</f>
        <v>20190312154447234</v>
      </c>
      <c r="B7632" t="str">
        <f>"1552376687225356"</f>
        <v>1552376687225356</v>
      </c>
      <c r="C7632" t="s">
        <v>40</v>
      </c>
      <c r="D7632">
        <v>5.1201210000000001</v>
      </c>
      <c r="E7632">
        <v>0.44387759999999998</v>
      </c>
      <c r="F7632" t="s">
        <v>43</v>
      </c>
      <c r="G7632">
        <v>-145.33330000000001</v>
      </c>
      <c r="H7632" s="1">
        <v>-2.0701770000000001E-6</v>
      </c>
      <c r="I7632">
        <v>139.93889999999999</v>
      </c>
      <c r="J7632">
        <v>-156.54320000000001</v>
      </c>
      <c r="K7632">
        <v>1.1132139999999999</v>
      </c>
      <c r="L7632">
        <v>141.95089999999999</v>
      </c>
      <c r="M7632">
        <v>0.95071519999999998</v>
      </c>
      <c r="N7632">
        <v>0</v>
      </c>
      <c r="O7632">
        <v>-0.30976219999999999</v>
      </c>
      <c r="P7632">
        <v>0.94720210000000005</v>
      </c>
      <c r="Q7632">
        <v>-6.4997290000000001E-3</v>
      </c>
      <c r="R7632">
        <v>-0.32057170000000001</v>
      </c>
      <c r="S7632">
        <v>2.9828190000000001</v>
      </c>
      <c r="T7632">
        <v>-0.29039730000000002</v>
      </c>
      <c r="U7632">
        <v>-0.54280090000000003</v>
      </c>
      <c r="V7632">
        <v>1.1317310000000001E-2</v>
      </c>
      <c r="W7632">
        <v>7.2963230000000004E-3</v>
      </c>
      <c r="X7632">
        <v>0.9999093</v>
      </c>
      <c r="Y7632">
        <v>-0.13259689999999999</v>
      </c>
      <c r="Z7632">
        <v>3.5650830000000001E-2</v>
      </c>
      <c r="AA7632">
        <v>0.99052870000000004</v>
      </c>
      <c r="AB7632">
        <v>23</v>
      </c>
      <c r="AC7632">
        <v>11.209899999999999</v>
      </c>
      <c r="AD7632">
        <v>-1.113216070177</v>
      </c>
      <c r="AE7632">
        <v>-2.012</v>
      </c>
      <c r="AF7632">
        <v>-1.5449504492419099</v>
      </c>
      <c r="AG7632">
        <v>-1.113216070177</v>
      </c>
      <c r="AH7632">
        <v>11.1749587183496</v>
      </c>
      <c r="AI7632">
        <v>95.635613453186807</v>
      </c>
      <c r="AJ7632">
        <v>97.871309124574793</v>
      </c>
      <c r="AK7632">
        <v>11.3360409432187</v>
      </c>
      <c r="AL7632">
        <v>89.581947761363494</v>
      </c>
      <c r="AM7632">
        <v>89.351534772795702</v>
      </c>
      <c r="AN7632">
        <v>0.99999996303072203</v>
      </c>
    </row>
    <row r="7633" spans="1:40" x14ac:dyDescent="0.25">
      <c r="A7633" t="str">
        <f>"20190312154447251"</f>
        <v>20190312154447251</v>
      </c>
      <c r="B7633" t="str">
        <f>"1552376687244876"</f>
        <v>1552376687244876</v>
      </c>
      <c r="C7633" t="s">
        <v>40</v>
      </c>
      <c r="D7633">
        <v>5.1349720000000003</v>
      </c>
      <c r="E7633">
        <v>0.44393500000000002</v>
      </c>
      <c r="F7633" t="s">
        <v>43</v>
      </c>
      <c r="G7633">
        <v>-145.06450000000001</v>
      </c>
      <c r="H7633" s="1">
        <v>-2.1733500000000001E-6</v>
      </c>
      <c r="I7633">
        <v>139.89330000000001</v>
      </c>
      <c r="J7633">
        <v>-156.3623</v>
      </c>
      <c r="K7633">
        <v>1.1132500000000001</v>
      </c>
      <c r="L7633">
        <v>141.89619999999999</v>
      </c>
      <c r="M7633">
        <v>0.95182900000000004</v>
      </c>
      <c r="N7633">
        <v>0</v>
      </c>
      <c r="O7633">
        <v>-0.30632110000000001</v>
      </c>
      <c r="P7633">
        <v>0.94811080000000003</v>
      </c>
      <c r="Q7633">
        <v>-6.4098530000000001E-3</v>
      </c>
      <c r="R7633">
        <v>-0.31787520000000002</v>
      </c>
      <c r="S7633">
        <v>2.9842070000000001</v>
      </c>
      <c r="T7633">
        <v>-0.28941060000000002</v>
      </c>
      <c r="U7633">
        <v>-0.5349121</v>
      </c>
      <c r="V7633">
        <v>1.208764E-2</v>
      </c>
      <c r="W7633">
        <v>7.4140990000000004E-3</v>
      </c>
      <c r="X7633">
        <v>0.99989939999999999</v>
      </c>
      <c r="Y7633">
        <v>-0.13166149999999999</v>
      </c>
      <c r="Z7633">
        <v>3.5167240000000002E-2</v>
      </c>
      <c r="AA7633">
        <v>0.99067070000000002</v>
      </c>
      <c r="AB7633">
        <v>23</v>
      </c>
      <c r="AC7633">
        <v>11.297799999999899</v>
      </c>
      <c r="AD7633">
        <v>-1.11325217335</v>
      </c>
      <c r="AE7633">
        <v>-2.0028999999999799</v>
      </c>
      <c r="AF7633">
        <v>-1.5399861218778801</v>
      </c>
      <c r="AG7633">
        <v>-1.11325217335</v>
      </c>
      <c r="AH7633">
        <v>11.262159696166901</v>
      </c>
      <c r="AI7633">
        <v>95.593569119515493</v>
      </c>
      <c r="AJ7633">
        <v>97.786327369163303</v>
      </c>
      <c r="AK7633">
        <v>11.421345309507601</v>
      </c>
      <c r="AL7633">
        <v>89.575199503188102</v>
      </c>
      <c r="AM7633">
        <v>89.307393302066998</v>
      </c>
      <c r="AN7633">
        <v>0.99999994501255396</v>
      </c>
    </row>
    <row r="7634" spans="1:40" x14ac:dyDescent="0.25">
      <c r="A7634" t="str">
        <f>"20190312154447275"</f>
        <v>20190312154447275</v>
      </c>
      <c r="B7634" t="str">
        <f>"1552376687265372"</f>
        <v>1552376687265372</v>
      </c>
      <c r="C7634" t="s">
        <v>40</v>
      </c>
      <c r="D7634">
        <v>5.122293</v>
      </c>
      <c r="E7634">
        <v>0.44404250000000001</v>
      </c>
      <c r="F7634" t="s">
        <v>43</v>
      </c>
      <c r="G7634">
        <v>-144.80760000000001</v>
      </c>
      <c r="H7634" s="1">
        <v>-2.2746030000000001E-6</v>
      </c>
      <c r="I7634">
        <v>139.8596</v>
      </c>
      <c r="J7634">
        <v>-156.1377</v>
      </c>
      <c r="K7634">
        <v>1.113291</v>
      </c>
      <c r="L7634">
        <v>141.8295</v>
      </c>
      <c r="M7634">
        <v>0.95321330000000004</v>
      </c>
      <c r="N7634">
        <v>0</v>
      </c>
      <c r="O7634">
        <v>-0.30198530000000001</v>
      </c>
      <c r="P7634">
        <v>0.94917419999999997</v>
      </c>
      <c r="Q7634">
        <v>-7.1863020000000003E-3</v>
      </c>
      <c r="R7634">
        <v>-0.31466939999999999</v>
      </c>
      <c r="S7634">
        <v>2.9857939999999998</v>
      </c>
      <c r="T7634">
        <v>-0.28766920000000001</v>
      </c>
      <c r="U7634">
        <v>-0.52626039999999996</v>
      </c>
      <c r="V7634">
        <v>1.3266099999999999E-2</v>
      </c>
      <c r="W7634">
        <v>6.6707270000000004E-3</v>
      </c>
      <c r="X7634">
        <v>0.99988969999999999</v>
      </c>
      <c r="Y7634">
        <v>-0.13007270000000001</v>
      </c>
      <c r="Z7634">
        <v>3.4481829999999998E-2</v>
      </c>
      <c r="AA7634">
        <v>0.99090469999999997</v>
      </c>
      <c r="AB7634">
        <v>23</v>
      </c>
      <c r="AC7634">
        <v>11.3300999999999</v>
      </c>
      <c r="AD7634">
        <v>-1.113293274603</v>
      </c>
      <c r="AE7634">
        <v>-1.96989999999999</v>
      </c>
      <c r="AF7634">
        <v>-1.52959995588864</v>
      </c>
      <c r="AG7634">
        <v>-1.113293274603</v>
      </c>
      <c r="AH7634">
        <v>11.2901535960518</v>
      </c>
      <c r="AI7634">
        <v>95.580925166442995</v>
      </c>
      <c r="AJ7634">
        <v>97.715505339209798</v>
      </c>
      <c r="AK7634">
        <v>11.4475615815235</v>
      </c>
      <c r="AL7634">
        <v>89.617792642887693</v>
      </c>
      <c r="AM7634">
        <v>89.239869211457403</v>
      </c>
      <c r="AN7634">
        <v>0.99999995008700304</v>
      </c>
    </row>
    <row r="7635" spans="1:40" x14ac:dyDescent="0.25">
      <c r="A7635" t="str">
        <f>"20190312154447294"</f>
        <v>20190312154447294</v>
      </c>
      <c r="B7635" t="str">
        <f>"1552376687284892"</f>
        <v>1552376687284892</v>
      </c>
      <c r="C7635" t="s">
        <v>40</v>
      </c>
      <c r="D7635">
        <v>5.125311</v>
      </c>
      <c r="E7635">
        <v>0.44414880000000001</v>
      </c>
      <c r="F7635" t="s">
        <v>43</v>
      </c>
      <c r="G7635">
        <v>-144.6181</v>
      </c>
      <c r="H7635" s="1">
        <v>-2.350048E-6</v>
      </c>
      <c r="I7635">
        <v>139.83760000000001</v>
      </c>
      <c r="J7635">
        <v>-155.94200000000001</v>
      </c>
      <c r="K7635">
        <v>1.1133169999999999</v>
      </c>
      <c r="L7635">
        <v>141.7722</v>
      </c>
      <c r="M7635">
        <v>0.95441819999999999</v>
      </c>
      <c r="N7635">
        <v>0</v>
      </c>
      <c r="O7635">
        <v>-0.29815370000000002</v>
      </c>
      <c r="P7635">
        <v>0.95016970000000001</v>
      </c>
      <c r="Q7635">
        <v>-8.3402779999999996E-3</v>
      </c>
      <c r="R7635">
        <v>-0.31162109999999998</v>
      </c>
      <c r="S7635">
        <v>2.9872130000000001</v>
      </c>
      <c r="T7635">
        <v>-0.28869339999999999</v>
      </c>
      <c r="U7635">
        <v>-0.51651000000000002</v>
      </c>
      <c r="V7635">
        <v>1.4083439999999999E-2</v>
      </c>
      <c r="W7635">
        <v>5.5411210000000004E-3</v>
      </c>
      <c r="X7635">
        <v>0.99988549999999998</v>
      </c>
      <c r="Y7635">
        <v>-0.12931580000000001</v>
      </c>
      <c r="Z7635">
        <v>3.4216030000000001E-2</v>
      </c>
      <c r="AA7635">
        <v>0.99101289999999997</v>
      </c>
      <c r="AB7635">
        <v>23</v>
      </c>
      <c r="AC7635">
        <v>11.3239</v>
      </c>
      <c r="AD7635">
        <v>-1.1133193500480001</v>
      </c>
      <c r="AE7635">
        <v>-1.9345999999999799</v>
      </c>
      <c r="AF7635">
        <v>-1.5157549877969601</v>
      </c>
      <c r="AG7635">
        <v>-1.1133193500480001</v>
      </c>
      <c r="AH7635">
        <v>11.2796899858918</v>
      </c>
      <c r="AI7635">
        <v>95.587010080372394</v>
      </c>
      <c r="AJ7635">
        <v>97.653508688911899</v>
      </c>
      <c r="AK7635">
        <v>11.4354011445183</v>
      </c>
      <c r="AL7635">
        <v>89.6825155378299</v>
      </c>
      <c r="AM7635">
        <v>89.1930392850049</v>
      </c>
      <c r="AN7635">
        <v>1.0000000302072001</v>
      </c>
    </row>
    <row r="7636" spans="1:40" x14ac:dyDescent="0.25">
      <c r="A7636" t="str">
        <f>"20190312154447317"</f>
        <v>20190312154447317</v>
      </c>
      <c r="B7636" t="str">
        <f>"1552376687305388"</f>
        <v>1552376687305388</v>
      </c>
      <c r="C7636" t="s">
        <v>40</v>
      </c>
      <c r="D7636">
        <v>5.1211650000000004</v>
      </c>
      <c r="E7636">
        <v>0.4441987</v>
      </c>
      <c r="F7636" t="s">
        <v>43</v>
      </c>
      <c r="G7636">
        <v>-144.53319999999999</v>
      </c>
      <c r="H7636" s="1">
        <v>-2.3859700000000001E-6</v>
      </c>
      <c r="I7636">
        <v>139.83580000000001</v>
      </c>
      <c r="J7636">
        <v>-155.72120000000001</v>
      </c>
      <c r="K7636">
        <v>1.1133470000000001</v>
      </c>
      <c r="L7636">
        <v>141.7088</v>
      </c>
      <c r="M7636">
        <v>0.95577630000000002</v>
      </c>
      <c r="N7636">
        <v>0</v>
      </c>
      <c r="O7636">
        <v>-0.29377059999999999</v>
      </c>
      <c r="P7636">
        <v>0.95144019999999996</v>
      </c>
      <c r="Q7636">
        <v>-9.3480569999999999E-3</v>
      </c>
      <c r="R7636">
        <v>-0.30769180000000002</v>
      </c>
      <c r="S7636">
        <v>2.9884189999999999</v>
      </c>
      <c r="T7636">
        <v>-0.29162199999999999</v>
      </c>
      <c r="U7636">
        <v>-0.50721740000000004</v>
      </c>
      <c r="V7636">
        <v>1.454915E-2</v>
      </c>
      <c r="W7636">
        <v>4.5555120000000003E-3</v>
      </c>
      <c r="X7636">
        <v>0.99988379999999999</v>
      </c>
      <c r="Y7636">
        <v>-0.12781410000000001</v>
      </c>
      <c r="Z7636">
        <v>3.4083929999999998E-2</v>
      </c>
      <c r="AA7636">
        <v>0.99121230000000005</v>
      </c>
      <c r="AB7636">
        <v>23</v>
      </c>
      <c r="AC7636">
        <v>11.188000000000001</v>
      </c>
      <c r="AD7636">
        <v>-1.1133493859700001</v>
      </c>
      <c r="AE7636">
        <v>-1.87299999999999</v>
      </c>
      <c r="AF7636">
        <v>-1.4823993340805199</v>
      </c>
      <c r="AG7636">
        <v>-1.1133493859700001</v>
      </c>
      <c r="AH7636">
        <v>11.137245526506</v>
      </c>
      <c r="AI7636">
        <v>95.659101120323996</v>
      </c>
      <c r="AJ7636">
        <v>97.581669000908704</v>
      </c>
      <c r="AK7636">
        <v>11.2904956737337</v>
      </c>
      <c r="AL7636">
        <v>89.738987491825</v>
      </c>
      <c r="AM7636">
        <v>89.166357064927496</v>
      </c>
      <c r="AN7636">
        <v>1.0000000219788701</v>
      </c>
    </row>
    <row r="7637" spans="1:40" x14ac:dyDescent="0.25">
      <c r="A7637" t="str">
        <f>"20190312154447339"</f>
        <v>20190312154447339</v>
      </c>
      <c r="B7637" t="str">
        <f>"1552376687335643"</f>
        <v>1552376687335643</v>
      </c>
      <c r="C7637" t="s">
        <v>40</v>
      </c>
      <c r="D7637">
        <v>5.1372879999999999</v>
      </c>
      <c r="E7637">
        <v>0.44437549999999998</v>
      </c>
      <c r="F7637" t="s">
        <v>43</v>
      </c>
      <c r="G7637">
        <v>-144.47409999999999</v>
      </c>
      <c r="H7637" s="1">
        <v>-2.4136940000000001E-6</v>
      </c>
      <c r="I7637">
        <v>139.84469999999999</v>
      </c>
      <c r="J7637">
        <v>-155.50210000000001</v>
      </c>
      <c r="K7637">
        <v>1.113375</v>
      </c>
      <c r="L7637">
        <v>141.64689999999999</v>
      </c>
      <c r="M7637">
        <v>0.95711820000000003</v>
      </c>
      <c r="N7637">
        <v>0</v>
      </c>
      <c r="O7637">
        <v>-0.28936830000000002</v>
      </c>
      <c r="P7637">
        <v>0.95286669999999996</v>
      </c>
      <c r="Q7637">
        <v>-9.2464060000000004E-3</v>
      </c>
      <c r="R7637">
        <v>-0.30324859999999998</v>
      </c>
      <c r="S7637">
        <v>2.9899439999999999</v>
      </c>
      <c r="T7637">
        <v>-0.29597430000000002</v>
      </c>
      <c r="U7637">
        <v>-0.4955292</v>
      </c>
      <c r="V7637">
        <v>1.4483920000000001E-2</v>
      </c>
      <c r="W7637">
        <v>4.6732889999999997E-3</v>
      </c>
      <c r="X7637">
        <v>0.9998842</v>
      </c>
      <c r="Y7637">
        <v>-0.1270684</v>
      </c>
      <c r="Z7637">
        <v>3.413944E-2</v>
      </c>
      <c r="AA7637">
        <v>0.99130620000000003</v>
      </c>
      <c r="AB7637">
        <v>23</v>
      </c>
      <c r="AC7637">
        <v>11.028</v>
      </c>
      <c r="AD7637">
        <v>-1.113377413694</v>
      </c>
      <c r="AE7637">
        <v>-1.80219999999999</v>
      </c>
      <c r="AF7637">
        <v>-1.45196053478389</v>
      </c>
      <c r="AG7637">
        <v>-1.113377413694</v>
      </c>
      <c r="AH7637">
        <v>10.9687618864575</v>
      </c>
      <c r="AI7637">
        <v>95.746137039531902</v>
      </c>
      <c r="AJ7637">
        <v>97.540536738437595</v>
      </c>
      <c r="AK7637">
        <v>11.120320857857299</v>
      </c>
      <c r="AL7637">
        <v>89.732239294167201</v>
      </c>
      <c r="AM7637">
        <v>89.170094447224102</v>
      </c>
      <c r="AN7637">
        <v>1.00000001848914</v>
      </c>
    </row>
    <row r="7638" spans="1:40" x14ac:dyDescent="0.25">
      <c r="A7638" t="str">
        <f>"20190312154447361"</f>
        <v>20190312154447361</v>
      </c>
      <c r="B7638" t="str">
        <f>"1552376687355164"</f>
        <v>1552376687355164</v>
      </c>
      <c r="C7638" t="s">
        <v>40</v>
      </c>
      <c r="D7638">
        <v>5.149559</v>
      </c>
      <c r="E7638">
        <v>0.44449689999999997</v>
      </c>
      <c r="F7638" t="s">
        <v>43</v>
      </c>
      <c r="G7638">
        <v>-144.29640000000001</v>
      </c>
      <c r="H7638" s="1">
        <v>-2.4878429999999998E-6</v>
      </c>
      <c r="I7638">
        <v>139.83680000000001</v>
      </c>
      <c r="J7638">
        <v>-155.28360000000001</v>
      </c>
      <c r="K7638">
        <v>1.113394</v>
      </c>
      <c r="L7638">
        <v>141.5864</v>
      </c>
      <c r="M7638">
        <v>0.9584471</v>
      </c>
      <c r="N7638">
        <v>0</v>
      </c>
      <c r="O7638">
        <v>-0.2849352</v>
      </c>
      <c r="P7638">
        <v>0.95421829999999996</v>
      </c>
      <c r="Q7638">
        <v>-1.013273E-2</v>
      </c>
      <c r="R7638">
        <v>-0.29893989999999998</v>
      </c>
      <c r="S7638">
        <v>2.991714</v>
      </c>
      <c r="T7638">
        <v>-0.29724980000000001</v>
      </c>
      <c r="U7638">
        <v>-0.4832458</v>
      </c>
      <c r="V7638">
        <v>1.46023E-2</v>
      </c>
      <c r="W7638">
        <v>3.8025929999999999E-3</v>
      </c>
      <c r="X7638">
        <v>0.99988619999999995</v>
      </c>
      <c r="Y7638">
        <v>-0.12654290000000001</v>
      </c>
      <c r="Z7638">
        <v>3.3838260000000002E-2</v>
      </c>
      <c r="AA7638">
        <v>0.99138380000000004</v>
      </c>
      <c r="AB7638">
        <v>23</v>
      </c>
      <c r="AC7638">
        <v>10.9872</v>
      </c>
      <c r="AD7638">
        <v>-1.113396487843</v>
      </c>
      <c r="AE7638">
        <v>-1.7495999999999801</v>
      </c>
      <c r="AF7638">
        <v>-1.43946368934707</v>
      </c>
      <c r="AG7638">
        <v>-1.113396487843</v>
      </c>
      <c r="AH7638">
        <v>10.920854311885</v>
      </c>
      <c r="AI7638">
        <v>95.771692058635907</v>
      </c>
      <c r="AJ7638">
        <v>97.508797494145398</v>
      </c>
      <c r="AK7638">
        <v>11.0714392178031</v>
      </c>
      <c r="AL7638">
        <v>89.782126955703305</v>
      </c>
      <c r="AM7638">
        <v>89.163314095400807</v>
      </c>
      <c r="AN7638">
        <v>1.00000004991462</v>
      </c>
    </row>
    <row r="7639" spans="1:40" x14ac:dyDescent="0.25">
      <c r="A7639" t="str">
        <f>"20190312154447388"</f>
        <v>20190312154447388</v>
      </c>
      <c r="B7639" t="str">
        <f>"1552376687375660"</f>
        <v>1552376687375660</v>
      </c>
      <c r="C7639" t="s">
        <v>40</v>
      </c>
      <c r="D7639">
        <v>5.1827360000000002</v>
      </c>
      <c r="E7639">
        <v>0.44462950000000001</v>
      </c>
      <c r="F7639" t="s">
        <v>43</v>
      </c>
      <c r="G7639">
        <v>-144.18260000000001</v>
      </c>
      <c r="H7639" s="1">
        <v>-2.538051E-6</v>
      </c>
      <c r="I7639">
        <v>139.84209999999999</v>
      </c>
      <c r="J7639">
        <v>-155.01669999999999</v>
      </c>
      <c r="K7639">
        <v>1.113408</v>
      </c>
      <c r="L7639">
        <v>141.51390000000001</v>
      </c>
      <c r="M7639">
        <v>0.96005399999999996</v>
      </c>
      <c r="N7639">
        <v>0</v>
      </c>
      <c r="O7639">
        <v>-0.279472099999999</v>
      </c>
      <c r="P7639">
        <v>0.95600350000000001</v>
      </c>
      <c r="Q7639">
        <v>-1.1948220000000001E-2</v>
      </c>
      <c r="R7639">
        <v>-0.2931126</v>
      </c>
      <c r="S7639">
        <v>2.9934080000000001</v>
      </c>
      <c r="T7639">
        <v>-0.30022900000000002</v>
      </c>
      <c r="U7639">
        <v>-0.47032170000000001</v>
      </c>
      <c r="V7639">
        <v>1.4214829999999999E-2</v>
      </c>
      <c r="W7639">
        <v>1.9982490000000001E-3</v>
      </c>
      <c r="X7639">
        <v>0.99989689999999998</v>
      </c>
      <c r="Y7639">
        <v>-0.12515039999999999</v>
      </c>
      <c r="Z7639">
        <v>3.3583200000000001E-2</v>
      </c>
      <c r="AA7639">
        <v>0.99156920000000004</v>
      </c>
      <c r="AB7639">
        <v>23</v>
      </c>
      <c r="AC7639">
        <v>10.8340999999999</v>
      </c>
      <c r="AD7639">
        <v>-1.113410538051</v>
      </c>
      <c r="AE7639">
        <v>-1.6718000000000099</v>
      </c>
      <c r="AF7639">
        <v>-1.4084177430868901</v>
      </c>
      <c r="AG7639">
        <v>-1.113410538051</v>
      </c>
      <c r="AH7639">
        <v>10.7586000782404</v>
      </c>
      <c r="AI7639">
        <v>95.858883977811999</v>
      </c>
      <c r="AJ7639">
        <v>97.458228055127805</v>
      </c>
      <c r="AK7639">
        <v>10.9073736164486</v>
      </c>
      <c r="AL7639">
        <v>89.885508681962705</v>
      </c>
      <c r="AM7639">
        <v>89.185521122676903</v>
      </c>
      <c r="AN7639">
        <v>0.99999993251029995</v>
      </c>
    </row>
    <row r="7640" spans="1:40" x14ac:dyDescent="0.25">
      <c r="A7640" t="str">
        <f>"20190312154447428"</f>
        <v>20190312154447428</v>
      </c>
      <c r="B7640" t="str">
        <f>"1552376687414700"</f>
        <v>1552376687414700</v>
      </c>
      <c r="C7640" t="s">
        <v>40</v>
      </c>
      <c r="D7640">
        <v>5.224119</v>
      </c>
      <c r="E7640">
        <v>0.44485200000000003</v>
      </c>
      <c r="F7640" t="s">
        <v>43</v>
      </c>
      <c r="G7640">
        <v>-144.13380000000001</v>
      </c>
      <c r="H7640" s="1">
        <v>-2.565858E-6</v>
      </c>
      <c r="I7640">
        <v>139.86789999999999</v>
      </c>
      <c r="J7640">
        <v>-154.62710000000001</v>
      </c>
      <c r="K7640">
        <v>1.1134139999999999</v>
      </c>
      <c r="L7640">
        <v>141.41130000000001</v>
      </c>
      <c r="M7640">
        <v>0.96235879999999996</v>
      </c>
      <c r="N7640">
        <v>0</v>
      </c>
      <c r="O7640">
        <v>-0.27142889999999997</v>
      </c>
      <c r="P7640">
        <v>0.95881839999999996</v>
      </c>
      <c r="Q7640">
        <v>-1.331483E-2</v>
      </c>
      <c r="R7640">
        <v>-0.28370780000000001</v>
      </c>
      <c r="S7640">
        <v>2.9953159999999999</v>
      </c>
      <c r="T7640">
        <v>-0.30644490000000002</v>
      </c>
      <c r="U7640">
        <v>-0.45301819999999998</v>
      </c>
      <c r="V7640">
        <v>1.2774829999999999E-2</v>
      </c>
      <c r="W7640">
        <v>6.3687960000000001E-4</v>
      </c>
      <c r="X7640">
        <v>0.99991819999999998</v>
      </c>
      <c r="Y7640">
        <v>-0.1225123</v>
      </c>
      <c r="Z7640">
        <v>3.3357070000000003E-2</v>
      </c>
      <c r="AA7640">
        <v>0.99190630000000002</v>
      </c>
      <c r="AB7640">
        <v>23</v>
      </c>
      <c r="AC7640">
        <v>10.4933</v>
      </c>
      <c r="AD7640">
        <v>-1.113416565858</v>
      </c>
      <c r="AE7640">
        <v>-1.5434000000000101</v>
      </c>
      <c r="AF7640">
        <v>-1.3481539397223301</v>
      </c>
      <c r="AG7640">
        <v>-1.113416565858</v>
      </c>
      <c r="AH7640">
        <v>10.403600731223101</v>
      </c>
      <c r="AI7640">
        <v>96.058396405626397</v>
      </c>
      <c r="AJ7640">
        <v>97.383546391366394</v>
      </c>
      <c r="AK7640">
        <v>10.5495082192973</v>
      </c>
      <c r="AL7640">
        <v>89.963509484551807</v>
      </c>
      <c r="AM7640">
        <v>89.268036101809003</v>
      </c>
      <c r="AN7640">
        <v>1.0000000042941899</v>
      </c>
    </row>
    <row r="7641" spans="1:40" x14ac:dyDescent="0.25">
      <c r="A7641" t="str">
        <f>"20190312154447455"</f>
        <v>20190312154447455</v>
      </c>
      <c r="B7641" t="str">
        <f>"1552376687444956"</f>
        <v>1552376687444956</v>
      </c>
      <c r="C7641" t="s">
        <v>40</v>
      </c>
      <c r="D7641">
        <v>5.2435839999999896</v>
      </c>
      <c r="E7641">
        <v>0.44497779999999998</v>
      </c>
      <c r="F7641" t="s">
        <v>43</v>
      </c>
      <c r="G7641">
        <v>-143.93029999999999</v>
      </c>
      <c r="H7641" s="1">
        <v>-2.6601959999999998E-6</v>
      </c>
      <c r="I7641">
        <v>139.89439999999999</v>
      </c>
      <c r="J7641">
        <v>-154.35050000000001</v>
      </c>
      <c r="K7641">
        <v>1.1134139999999999</v>
      </c>
      <c r="L7641">
        <v>141.3407</v>
      </c>
      <c r="M7641">
        <v>0.96395889999999995</v>
      </c>
      <c r="N7641">
        <v>0</v>
      </c>
      <c r="O7641">
        <v>-0.26568940000000002</v>
      </c>
      <c r="P7641">
        <v>0.9606228</v>
      </c>
      <c r="Q7641">
        <v>-1.3547760000000001E-2</v>
      </c>
      <c r="R7641">
        <v>-0.27752520000000003</v>
      </c>
      <c r="S7641">
        <v>2.9987029999999999</v>
      </c>
      <c r="T7641">
        <v>-0.3121314</v>
      </c>
      <c r="U7641">
        <v>-0.4252319</v>
      </c>
      <c r="V7641">
        <v>1.2294100000000001E-2</v>
      </c>
      <c r="W7641">
        <v>4.0847460000000002E-4</v>
      </c>
      <c r="X7641">
        <v>0.99992440000000005</v>
      </c>
      <c r="Y7641">
        <v>-0.12570149999999999</v>
      </c>
      <c r="Z7641">
        <v>3.3560609999999998E-2</v>
      </c>
      <c r="AA7641">
        <v>0.9915003</v>
      </c>
      <c r="AB7641">
        <v>23</v>
      </c>
      <c r="AC7641">
        <v>10.420199999999999</v>
      </c>
      <c r="AD7641">
        <v>-1.1134166601959901</v>
      </c>
      <c r="AE7641">
        <v>-1.4462999999999999</v>
      </c>
      <c r="AF7641">
        <v>-1.3592692903422401</v>
      </c>
      <c r="AG7641">
        <v>-1.1134166601959901</v>
      </c>
      <c r="AH7641">
        <v>10.314377887394601</v>
      </c>
      <c r="AI7641">
        <v>96.108696407965596</v>
      </c>
      <c r="AJ7641">
        <v>97.507402299556801</v>
      </c>
      <c r="AK7641">
        <v>10.462968071577199</v>
      </c>
      <c r="AL7641">
        <v>89.976596130105406</v>
      </c>
      <c r="AM7641">
        <v>89.295582194073006</v>
      </c>
      <c r="AN7641">
        <v>1.00000005873083</v>
      </c>
    </row>
    <row r="7642" spans="1:40" x14ac:dyDescent="0.25">
      <c r="A7642" t="str">
        <f>"20190312154447474"</f>
        <v>20190312154447474</v>
      </c>
      <c r="B7642" t="str">
        <f>"1552376687465452"</f>
        <v>1552376687465452</v>
      </c>
      <c r="C7642" t="s">
        <v>40</v>
      </c>
      <c r="D7642">
        <v>5.2216170000000002</v>
      </c>
      <c r="E7642">
        <v>0.44509660000000001</v>
      </c>
      <c r="F7642" t="s">
        <v>43</v>
      </c>
      <c r="G7642">
        <v>-143.69999999999999</v>
      </c>
      <c r="H7642" s="1">
        <v>-2.7596659999999999E-6</v>
      </c>
      <c r="I7642">
        <v>139.89680000000001</v>
      </c>
      <c r="J7642">
        <v>-154.1651</v>
      </c>
      <c r="K7642">
        <v>1.11341</v>
      </c>
      <c r="L7642">
        <v>141.29429999999999</v>
      </c>
      <c r="M7642">
        <v>0.96501289999999995</v>
      </c>
      <c r="N7642">
        <v>0</v>
      </c>
      <c r="O7642">
        <v>-0.2618356</v>
      </c>
      <c r="P7642">
        <v>0.96193770000000001</v>
      </c>
      <c r="Q7642">
        <v>-1.386151E-2</v>
      </c>
      <c r="R7642">
        <v>-0.27291779999999999</v>
      </c>
      <c r="S7642">
        <v>3.001007</v>
      </c>
      <c r="T7642">
        <v>-0.31372630000000001</v>
      </c>
      <c r="U7642">
        <v>-0.40682980000000002</v>
      </c>
      <c r="V7642">
        <v>1.150025E-2</v>
      </c>
      <c r="W7642" s="1">
        <v>9.2823489999999996E-5</v>
      </c>
      <c r="X7642">
        <v>0.99993379999999998</v>
      </c>
      <c r="Y7642">
        <v>-0.1277971</v>
      </c>
      <c r="Z7642">
        <v>3.3448539999999999E-2</v>
      </c>
      <c r="AA7642">
        <v>0.99123620000000001</v>
      </c>
      <c r="AB7642">
        <v>23</v>
      </c>
      <c r="AC7642">
        <v>10.4651</v>
      </c>
      <c r="AD7642">
        <v>-1.113412759666</v>
      </c>
      <c r="AE7642">
        <v>-1.39749999999997</v>
      </c>
      <c r="AF7642">
        <v>-1.3763573105364499</v>
      </c>
      <c r="AG7642">
        <v>-1.113412759666</v>
      </c>
      <c r="AH7642">
        <v>10.350765392289</v>
      </c>
      <c r="AI7642">
        <v>96.086428598526396</v>
      </c>
      <c r="AJ7642">
        <v>97.574275778610797</v>
      </c>
      <c r="AK7642">
        <v>10.5010662137643</v>
      </c>
      <c r="AL7642">
        <v>89.994681605426607</v>
      </c>
      <c r="AM7642">
        <v>89.341069640472995</v>
      </c>
      <c r="AN7642">
        <v>0.99999993437434898</v>
      </c>
    </row>
    <row r="7643" spans="1:40" x14ac:dyDescent="0.25">
      <c r="A7643" t="str">
        <f>"20190312154447497"</f>
        <v>20190312154447497</v>
      </c>
      <c r="B7643" t="str">
        <f>"1552376687484972"</f>
        <v>1552376687484972</v>
      </c>
      <c r="C7643" t="s">
        <v>40</v>
      </c>
      <c r="D7643">
        <v>5.2723230000000001</v>
      </c>
      <c r="E7643">
        <v>0.4452721</v>
      </c>
      <c r="F7643" t="s">
        <v>43</v>
      </c>
      <c r="G7643">
        <v>-143.56450000000001</v>
      </c>
      <c r="H7643" s="1">
        <v>-2.8200990000000001E-6</v>
      </c>
      <c r="I7643">
        <v>139.90549999999999</v>
      </c>
      <c r="J7643">
        <v>-153.93620000000001</v>
      </c>
      <c r="K7643">
        <v>1.1134120000000001</v>
      </c>
      <c r="L7643">
        <v>141.2381</v>
      </c>
      <c r="M7643">
        <v>0.96629229999999999</v>
      </c>
      <c r="N7643">
        <v>0</v>
      </c>
      <c r="O7643">
        <v>-0.2570731</v>
      </c>
      <c r="P7643">
        <v>0.96324750000000003</v>
      </c>
      <c r="Q7643">
        <v>-1.3857690000000001E-2</v>
      </c>
      <c r="R7643">
        <v>-0.26825789999999999</v>
      </c>
      <c r="S7643">
        <v>3.0025629999999999</v>
      </c>
      <c r="T7643">
        <v>-0.31536769999999997</v>
      </c>
      <c r="U7643">
        <v>-0.3933411</v>
      </c>
      <c r="V7643">
        <v>1.1591189999999999E-2</v>
      </c>
      <c r="W7643">
        <v>1.013915E-4</v>
      </c>
      <c r="X7643">
        <v>0.99993279999999995</v>
      </c>
      <c r="Y7643">
        <v>-0.127356</v>
      </c>
      <c r="Z7643">
        <v>3.3116880000000001E-2</v>
      </c>
      <c r="AA7643">
        <v>0.99130399999999996</v>
      </c>
      <c r="AB7643">
        <v>23</v>
      </c>
      <c r="AC7643">
        <v>10.371700000000001</v>
      </c>
      <c r="AD7643">
        <v>-1.1134148200989999</v>
      </c>
      <c r="AE7643">
        <v>-1.33260000000001</v>
      </c>
      <c r="AF7643">
        <v>-1.36328104186792</v>
      </c>
      <c r="AG7643">
        <v>-1.1134148200989999</v>
      </c>
      <c r="AH7643">
        <v>10.249468208687899</v>
      </c>
      <c r="AI7643">
        <v>96.146104308749997</v>
      </c>
      <c r="AJ7643">
        <v>97.576436574656199</v>
      </c>
      <c r="AK7643">
        <v>10.399510869345599</v>
      </c>
      <c r="AL7643">
        <v>89.994190694875797</v>
      </c>
      <c r="AM7643">
        <v>89.3358588478267</v>
      </c>
      <c r="AN7643">
        <v>0.99999998524084599</v>
      </c>
    </row>
    <row r="7644" spans="1:40" x14ac:dyDescent="0.25">
      <c r="A7644" t="str">
        <f>"20190312154447518"</f>
        <v>20190312154447518</v>
      </c>
      <c r="B7644" t="str">
        <f>"1552376687505468"</f>
        <v>1552376687505468</v>
      </c>
      <c r="C7644" t="s">
        <v>40</v>
      </c>
      <c r="D7644">
        <v>5.2615109999999996</v>
      </c>
      <c r="E7644">
        <v>0.44543169999999999</v>
      </c>
      <c r="F7644" t="s">
        <v>43</v>
      </c>
      <c r="G7644">
        <v>-143.3537</v>
      </c>
      <c r="H7644" s="1">
        <v>-2.9088599999999898E-6</v>
      </c>
      <c r="I7644">
        <v>139.89930000000001</v>
      </c>
      <c r="J7644">
        <v>-153.7353</v>
      </c>
      <c r="K7644">
        <v>1.113413</v>
      </c>
      <c r="L7644">
        <v>141.18979999999999</v>
      </c>
      <c r="M7644">
        <v>0.96739629999999999</v>
      </c>
      <c r="N7644">
        <v>0</v>
      </c>
      <c r="O7644">
        <v>-0.25288660000000002</v>
      </c>
      <c r="P7644">
        <v>0.96423349999999997</v>
      </c>
      <c r="Q7644">
        <v>-1.355919E-2</v>
      </c>
      <c r="R7644">
        <v>-0.26470719999999998</v>
      </c>
      <c r="S7644">
        <v>3.0040589999999998</v>
      </c>
      <c r="T7644">
        <v>-0.31606600000000001</v>
      </c>
      <c r="U7644">
        <v>-0.38005070000000002</v>
      </c>
      <c r="V7644">
        <v>1.2233590000000001E-2</v>
      </c>
      <c r="W7644">
        <v>4.0656729999999998E-4</v>
      </c>
      <c r="X7644">
        <v>0.99992510000000001</v>
      </c>
      <c r="Y7644">
        <v>-0.12745209999999901</v>
      </c>
      <c r="Z7644">
        <v>3.2768749999999999E-2</v>
      </c>
      <c r="AA7644">
        <v>0.9913033</v>
      </c>
      <c r="AB7644">
        <v>23</v>
      </c>
      <c r="AC7644">
        <v>10.381599999999899</v>
      </c>
      <c r="AD7644">
        <v>-1.11341590886</v>
      </c>
      <c r="AE7644">
        <v>-1.29049999999998</v>
      </c>
      <c r="AF7644">
        <v>-1.3616514849552901</v>
      </c>
      <c r="AG7644">
        <v>-1.11341590886</v>
      </c>
      <c r="AH7644">
        <v>10.2543173317287</v>
      </c>
      <c r="AI7644">
        <v>96.143402685226903</v>
      </c>
      <c r="AJ7644">
        <v>97.563948211089098</v>
      </c>
      <c r="AK7644">
        <v>10.404076782318301</v>
      </c>
      <c r="AL7644">
        <v>89.976705409348597</v>
      </c>
      <c r="AM7644">
        <v>89.299049392988096</v>
      </c>
      <c r="AN7644">
        <v>1.0000000158156299</v>
      </c>
    </row>
    <row r="7645" spans="1:40" x14ac:dyDescent="0.25">
      <c r="A7645" t="str">
        <f>"20190312154447541"</f>
        <v>20190312154447541</v>
      </c>
      <c r="B7645" t="str">
        <f>"1552376687534748"</f>
        <v>1552376687534748</v>
      </c>
      <c r="C7645" t="s">
        <v>40</v>
      </c>
      <c r="D7645">
        <v>5.2780750000000003</v>
      </c>
      <c r="E7645">
        <v>0.44568249999999998</v>
      </c>
      <c r="F7645" t="s">
        <v>43</v>
      </c>
      <c r="G7645">
        <v>-143.12190000000001</v>
      </c>
      <c r="H7645" s="1">
        <v>-3.004101E-6</v>
      </c>
      <c r="I7645">
        <v>139.8835</v>
      </c>
      <c r="J7645">
        <v>-153.4991</v>
      </c>
      <c r="K7645">
        <v>1.1134139999999999</v>
      </c>
      <c r="L7645">
        <v>141.13419999999999</v>
      </c>
      <c r="M7645">
        <v>0.96867420000000004</v>
      </c>
      <c r="N7645">
        <v>0</v>
      </c>
      <c r="O7645">
        <v>-0.2479469</v>
      </c>
      <c r="P7645">
        <v>0.96533849999999999</v>
      </c>
      <c r="Q7645">
        <v>-1.3538059999999999E-2</v>
      </c>
      <c r="R7645">
        <v>-0.26065070000000001</v>
      </c>
      <c r="S7645">
        <v>3.0053100000000001</v>
      </c>
      <c r="T7645">
        <v>-0.31527830000000001</v>
      </c>
      <c r="U7645">
        <v>-0.36987300000000001</v>
      </c>
      <c r="V7645">
        <v>1.313104E-2</v>
      </c>
      <c r="W7645">
        <v>4.36608E-4</v>
      </c>
      <c r="X7645">
        <v>0.99991370000000002</v>
      </c>
      <c r="Y7645">
        <v>-0.1257934</v>
      </c>
      <c r="Z7645">
        <v>3.2098990000000001E-2</v>
      </c>
      <c r="AA7645">
        <v>0.991537</v>
      </c>
      <c r="AB7645">
        <v>23</v>
      </c>
      <c r="AC7645">
        <v>10.377199999999901</v>
      </c>
      <c r="AD7645">
        <v>-1.1134170041010001</v>
      </c>
      <c r="AE7645">
        <v>-1.2506999999999899</v>
      </c>
      <c r="AF7645">
        <v>-1.3463277265381599</v>
      </c>
      <c r="AG7645">
        <v>-1.1134170041010001</v>
      </c>
      <c r="AH7645">
        <v>10.246956093719399</v>
      </c>
      <c r="AI7645">
        <v>96.148897174791202</v>
      </c>
      <c r="AJ7645">
        <v>97.485106709039499</v>
      </c>
      <c r="AK7645">
        <v>10.3948258743896</v>
      </c>
      <c r="AL7645">
        <v>89.974984203782299</v>
      </c>
      <c r="AM7645">
        <v>89.247625141723006</v>
      </c>
      <c r="AN7645">
        <v>1.00000001114285</v>
      </c>
    </row>
    <row r="7646" spans="1:40" x14ac:dyDescent="0.25">
      <c r="A7646" t="str">
        <f>"20190312154447562"</f>
        <v>20190312154447562</v>
      </c>
      <c r="B7646" t="str">
        <f>"1552376687555245"</f>
        <v>1552376687555245</v>
      </c>
      <c r="C7646" t="s">
        <v>40</v>
      </c>
      <c r="D7646">
        <v>5.2078439999999997</v>
      </c>
      <c r="E7646">
        <v>0.4457836</v>
      </c>
      <c r="F7646" t="s">
        <v>43</v>
      </c>
      <c r="G7646">
        <v>-142.9007</v>
      </c>
      <c r="H7646" s="1">
        <v>-3.095037E-6</v>
      </c>
      <c r="I7646">
        <v>139.86850000000001</v>
      </c>
      <c r="J7646">
        <v>-153.29669999999999</v>
      </c>
      <c r="K7646">
        <v>1.1134230000000001</v>
      </c>
      <c r="L7646">
        <v>141.08760000000001</v>
      </c>
      <c r="M7646">
        <v>0.96975449999999996</v>
      </c>
      <c r="N7646">
        <v>0</v>
      </c>
      <c r="O7646">
        <v>-0.24368780000000001</v>
      </c>
      <c r="P7646">
        <v>0.96589210000000003</v>
      </c>
      <c r="Q7646">
        <v>-1.3414489999999999E-2</v>
      </c>
      <c r="R7646">
        <v>-0.258598299999999</v>
      </c>
      <c r="S7646">
        <v>3.006348</v>
      </c>
      <c r="T7646">
        <v>-0.31583090000000003</v>
      </c>
      <c r="U7646">
        <v>-0.35899350000000002</v>
      </c>
      <c r="V7646">
        <v>1.539827E-2</v>
      </c>
      <c r="W7646">
        <v>5.7918230000000002E-4</v>
      </c>
      <c r="X7646">
        <v>0.99988129999999997</v>
      </c>
      <c r="Y7646">
        <v>-0.12503159999999999</v>
      </c>
      <c r="Z7646">
        <v>3.168315E-2</v>
      </c>
      <c r="AA7646">
        <v>0.99164680000000005</v>
      </c>
      <c r="AB7646">
        <v>23</v>
      </c>
      <c r="AC7646">
        <v>10.3959999999999</v>
      </c>
      <c r="AD7646">
        <v>-1.1134260950370001</v>
      </c>
      <c r="AE7646">
        <v>-1.2190999999999901</v>
      </c>
      <c r="AF7646">
        <v>-1.33616188268129</v>
      </c>
      <c r="AG7646">
        <v>-1.1134260950370001</v>
      </c>
      <c r="AH7646">
        <v>10.2635137008941</v>
      </c>
      <c r="AI7646">
        <v>96.140045065976295</v>
      </c>
      <c r="AJ7646">
        <v>97.417370309213894</v>
      </c>
      <c r="AK7646">
        <v>10.4098395633305</v>
      </c>
      <c r="AL7646">
        <v>89.966815297719506</v>
      </c>
      <c r="AM7646">
        <v>89.117709125503197</v>
      </c>
      <c r="AN7646">
        <v>1.0000000281304</v>
      </c>
    </row>
    <row r="7647" spans="1:40" x14ac:dyDescent="0.25">
      <c r="A7647" t="str">
        <f>"20190312154447586"</f>
        <v>20190312154447586</v>
      </c>
      <c r="B7647" t="str">
        <f>"1552376687574764"</f>
        <v>1552376687574764</v>
      </c>
      <c r="C7647" t="s">
        <v>40</v>
      </c>
      <c r="D7647">
        <v>5.2082949999999997</v>
      </c>
      <c r="E7647">
        <v>0.45319500000000001</v>
      </c>
      <c r="F7647" t="s">
        <v>43</v>
      </c>
      <c r="G7647">
        <v>-142.6611</v>
      </c>
      <c r="H7647" s="1">
        <v>-3.1900879999999998E-6</v>
      </c>
      <c r="I7647">
        <v>139.83959999999999</v>
      </c>
      <c r="J7647">
        <v>-153.0624</v>
      </c>
      <c r="K7647">
        <v>1.1134360000000001</v>
      </c>
      <c r="L7647">
        <v>141.03479999999999</v>
      </c>
      <c r="M7647">
        <v>0.97099049999999998</v>
      </c>
      <c r="N7647">
        <v>0</v>
      </c>
      <c r="O7647">
        <v>-0.2387147</v>
      </c>
      <c r="P7647">
        <v>0.96673880000000001</v>
      </c>
      <c r="Q7647">
        <v>-1.422271E-2</v>
      </c>
      <c r="R7647">
        <v>-0.25537120000000002</v>
      </c>
      <c r="S7647">
        <v>3.0070950000000001</v>
      </c>
      <c r="T7647">
        <v>-0.31480839999999999</v>
      </c>
      <c r="U7647">
        <v>-0.3528442</v>
      </c>
      <c r="V7647">
        <v>1.7191700000000001E-2</v>
      </c>
      <c r="W7647">
        <v>-2.1325740000000001E-4</v>
      </c>
      <c r="X7647">
        <v>0.99985219999999997</v>
      </c>
      <c r="Y7647">
        <v>-0.1220306</v>
      </c>
      <c r="Z7647">
        <v>3.092056E-2</v>
      </c>
      <c r="AA7647">
        <v>0.99204460000000005</v>
      </c>
      <c r="AB7647">
        <v>23</v>
      </c>
      <c r="AC7647">
        <v>10.4012999999999</v>
      </c>
      <c r="AD7647">
        <v>-1.1134391900880001</v>
      </c>
      <c r="AE7647">
        <v>-1.19519999999999</v>
      </c>
      <c r="AF7647">
        <v>-1.3077522056853601</v>
      </c>
      <c r="AG7647">
        <v>-1.1134391900880001</v>
      </c>
      <c r="AH7647">
        <v>10.2697261014044</v>
      </c>
      <c r="AI7647">
        <v>96.138625665139202</v>
      </c>
      <c r="AJ7647">
        <v>97.257016592895695</v>
      </c>
      <c r="AK7647">
        <v>10.412359812231101</v>
      </c>
      <c r="AL7647">
        <v>90.012218748928902</v>
      </c>
      <c r="AM7647">
        <v>89.014939608473597</v>
      </c>
      <c r="AN7647">
        <v>1.0000000109362199</v>
      </c>
    </row>
    <row r="7648" spans="1:40" x14ac:dyDescent="0.25">
      <c r="A7648" t="str">
        <f>"20190312154447611"</f>
        <v>20190312154447611</v>
      </c>
      <c r="B7648" t="str">
        <f>"1552376687605020"</f>
        <v>1552376687605020</v>
      </c>
      <c r="C7648" t="s">
        <v>40</v>
      </c>
      <c r="D7648">
        <v>5.1874510000000003</v>
      </c>
      <c r="E7648">
        <v>0.45333590000000001</v>
      </c>
      <c r="F7648" t="s">
        <v>43</v>
      </c>
      <c r="G7648">
        <v>-143.4135</v>
      </c>
      <c r="H7648" s="1">
        <v>-2.8434979999999999E-6</v>
      </c>
      <c r="I7648">
        <v>139.7501</v>
      </c>
      <c r="J7648">
        <v>-152.80950000000001</v>
      </c>
      <c r="K7648">
        <v>1.1134740000000001</v>
      </c>
      <c r="L7648">
        <v>140.97929999999999</v>
      </c>
      <c r="M7648">
        <v>0.97231270000000003</v>
      </c>
      <c r="N7648">
        <v>0</v>
      </c>
      <c r="O7648">
        <v>-0.23327030000000001</v>
      </c>
      <c r="P7648">
        <v>0.96755500000000005</v>
      </c>
      <c r="Q7648">
        <v>-1.4948889999999999E-2</v>
      </c>
      <c r="R7648">
        <v>-0.25221749999999998</v>
      </c>
      <c r="S7648">
        <v>2.9928889999999999</v>
      </c>
      <c r="T7648">
        <v>-0.34536539999999999</v>
      </c>
      <c r="U7648">
        <v>-0.39846799999999999</v>
      </c>
      <c r="V7648">
        <v>1.9541610000000001E-2</v>
      </c>
      <c r="W7648">
        <v>-9.1796659999999997E-4</v>
      </c>
      <c r="X7648">
        <v>0.99980860000000005</v>
      </c>
      <c r="Y7648">
        <v>-0.1007798</v>
      </c>
      <c r="Z7648">
        <v>3.21959E-2</v>
      </c>
      <c r="AA7648">
        <v>0.99438769999999999</v>
      </c>
      <c r="AB7648">
        <v>23</v>
      </c>
      <c r="AC7648">
        <v>9.3960000000000097</v>
      </c>
      <c r="AD7648">
        <v>-1.113476843498</v>
      </c>
      <c r="AE7648">
        <v>-1.2291999999999901</v>
      </c>
      <c r="AF7648">
        <v>-0.98316239731306199</v>
      </c>
      <c r="AG7648">
        <v>-1.113476843498</v>
      </c>
      <c r="AH7648">
        <v>9.2951549461931702</v>
      </c>
      <c r="AI7648">
        <v>96.793435637810106</v>
      </c>
      <c r="AJ7648">
        <v>96.037810587780996</v>
      </c>
      <c r="AK7648">
        <v>9.4130943081558502</v>
      </c>
      <c r="AL7648">
        <v>90.052595620515106</v>
      </c>
      <c r="AM7648">
        <v>88.880276451086004</v>
      </c>
      <c r="AN7648">
        <v>0.99999997690901499</v>
      </c>
    </row>
    <row r="7649" spans="1:40" x14ac:dyDescent="0.25">
      <c r="A7649" t="str">
        <f>"20190312154447634"</f>
        <v>20190312154447634</v>
      </c>
      <c r="B7649" t="str">
        <f>"1552376687625516"</f>
        <v>1552376687625516</v>
      </c>
      <c r="C7649" t="s">
        <v>40</v>
      </c>
      <c r="D7649">
        <v>5.2074299999999996</v>
      </c>
      <c r="E7649">
        <v>0.45340449999999999</v>
      </c>
      <c r="F7649" t="s">
        <v>43</v>
      </c>
      <c r="G7649">
        <v>-143.19799999999901</v>
      </c>
      <c r="H7649" s="1">
        <v>-2.930586E-6</v>
      </c>
      <c r="I7649">
        <v>139.72980000000001</v>
      </c>
      <c r="J7649">
        <v>-152.5889</v>
      </c>
      <c r="K7649">
        <v>1.1135189999999999</v>
      </c>
      <c r="L7649">
        <v>140.9323</v>
      </c>
      <c r="M7649">
        <v>0.97345630000000005</v>
      </c>
      <c r="N7649">
        <v>0</v>
      </c>
      <c r="O7649">
        <v>-0.2284514</v>
      </c>
      <c r="P7649">
        <v>0.96825589999999995</v>
      </c>
      <c r="Q7649">
        <v>-1.543246E-2</v>
      </c>
      <c r="R7649">
        <v>-0.24948419999999999</v>
      </c>
      <c r="S7649">
        <v>2.993805</v>
      </c>
      <c r="T7649">
        <v>-0.34682499999999999</v>
      </c>
      <c r="U7649">
        <v>-0.3891907</v>
      </c>
      <c r="V7649">
        <v>2.1675449999999999E-2</v>
      </c>
      <c r="W7649">
        <v>-1.3812500000000001E-3</v>
      </c>
      <c r="X7649">
        <v>0.99976410000000004</v>
      </c>
      <c r="Y7649">
        <v>-9.8945329999999998E-2</v>
      </c>
      <c r="Z7649">
        <v>3.1686260000000001E-2</v>
      </c>
      <c r="AA7649">
        <v>0.99458829999999998</v>
      </c>
      <c r="AB7649">
        <v>23</v>
      </c>
      <c r="AC7649">
        <v>9.3909000000000091</v>
      </c>
      <c r="AD7649">
        <v>-1.113521930586</v>
      </c>
      <c r="AE7649">
        <v>-1.2024999999999799</v>
      </c>
      <c r="AF7649">
        <v>-0.96157544866645595</v>
      </c>
      <c r="AG7649">
        <v>-1.113521930586</v>
      </c>
      <c r="AH7649">
        <v>9.2887589551613594</v>
      </c>
      <c r="AI7649">
        <v>96.799911860439096</v>
      </c>
      <c r="AJ7649">
        <v>95.910226113012698</v>
      </c>
      <c r="AK7649">
        <v>9.4045521616111198</v>
      </c>
      <c r="AL7649">
        <v>90.079139821066704</v>
      </c>
      <c r="AM7649">
        <v>88.757989736459095</v>
      </c>
      <c r="AN7649">
        <v>0.99999999431653697</v>
      </c>
    </row>
    <row r="7650" spans="1:40" x14ac:dyDescent="0.25">
      <c r="A7650" t="str">
        <f>"20190312154447651"</f>
        <v>20190312154447651</v>
      </c>
      <c r="B7650" t="str">
        <f>"1552376687645038"</f>
        <v>1552376687645038</v>
      </c>
      <c r="C7650" t="s">
        <v>40</v>
      </c>
      <c r="D7650">
        <v>5.1940499999999998</v>
      </c>
      <c r="E7650">
        <v>0.4534744</v>
      </c>
      <c r="F7650" t="s">
        <v>43</v>
      </c>
      <c r="G7650">
        <v>-143.02090000000001</v>
      </c>
      <c r="H7650" s="1">
        <v>-3.0023539999999998E-6</v>
      </c>
      <c r="I7650">
        <v>139.714</v>
      </c>
      <c r="J7650">
        <v>-152.41550000000001</v>
      </c>
      <c r="K7650">
        <v>1.1135729999999999</v>
      </c>
      <c r="L7650">
        <v>140.89619999999999</v>
      </c>
      <c r="M7650">
        <v>0.97434699999999996</v>
      </c>
      <c r="N7650">
        <v>0</v>
      </c>
      <c r="O7650">
        <v>-0.22462180000000001</v>
      </c>
      <c r="P7650">
        <v>0.96855119999999895</v>
      </c>
      <c r="Q7650">
        <v>-1.7151639999999999E-2</v>
      </c>
      <c r="R7650">
        <v>-0.248223</v>
      </c>
      <c r="S7650">
        <v>2.9945529999999998</v>
      </c>
      <c r="T7650">
        <v>-0.34850160000000002</v>
      </c>
      <c r="U7650">
        <v>-0.38128659999999998</v>
      </c>
      <c r="V7650">
        <v>2.4323569999999999E-2</v>
      </c>
      <c r="W7650">
        <v>-3.077654E-3</v>
      </c>
      <c r="X7650">
        <v>0.99969940000000002</v>
      </c>
      <c r="Y7650">
        <v>-9.7659499999999996E-2</v>
      </c>
      <c r="Z7650">
        <v>3.1333159999999999E-2</v>
      </c>
      <c r="AA7650">
        <v>0.99472649999999996</v>
      </c>
      <c r="AB7650">
        <v>23</v>
      </c>
      <c r="AC7650">
        <v>9.3945999999999898</v>
      </c>
      <c r="AD7650">
        <v>-1.113576002354</v>
      </c>
      <c r="AE7650">
        <v>-1.1821999999999899</v>
      </c>
      <c r="AF7650">
        <v>-0.94537573908481698</v>
      </c>
      <c r="AG7650">
        <v>-1.113576002354</v>
      </c>
      <c r="AH7650">
        <v>9.2915439581530208</v>
      </c>
      <c r="AI7650">
        <v>96.7994336282311</v>
      </c>
      <c r="AJ7650">
        <v>95.809613541155898</v>
      </c>
      <c r="AK7650">
        <v>9.4056672239325394</v>
      </c>
      <c r="AL7650">
        <v>90.176336863521598</v>
      </c>
      <c r="AM7650">
        <v>88.606218035264902</v>
      </c>
      <c r="AN7650">
        <v>0.999999999186024</v>
      </c>
    </row>
    <row r="7651" spans="1:40" x14ac:dyDescent="0.25">
      <c r="A7651" t="str">
        <f>"20190312154447673"</f>
        <v>20190312154447673</v>
      </c>
      <c r="B7651" t="str">
        <f>"1552376687665532"</f>
        <v>1552376687665532</v>
      </c>
      <c r="C7651" t="s">
        <v>40</v>
      </c>
      <c r="D7651">
        <v>5.1718070000000003</v>
      </c>
      <c r="E7651">
        <v>0.45341490000000001</v>
      </c>
      <c r="F7651" t="s">
        <v>43</v>
      </c>
      <c r="G7651">
        <v>-142.95820000000001</v>
      </c>
      <c r="H7651" s="1">
        <v>-3.026347E-6</v>
      </c>
      <c r="I7651">
        <v>139.70320000000001</v>
      </c>
      <c r="J7651">
        <v>-152.20359999999999</v>
      </c>
      <c r="K7651">
        <v>1.1136330000000001</v>
      </c>
      <c r="L7651">
        <v>140.85310000000001</v>
      </c>
      <c r="M7651">
        <v>0.97542669999999998</v>
      </c>
      <c r="N7651">
        <v>0</v>
      </c>
      <c r="O7651">
        <v>-0.21988569999999999</v>
      </c>
      <c r="P7651">
        <v>0.96928239999999999</v>
      </c>
      <c r="Q7651">
        <v>-1.9329490000000001E-2</v>
      </c>
      <c r="R7651">
        <v>-0.2451904</v>
      </c>
      <c r="S7651">
        <v>2.9943849999999999</v>
      </c>
      <c r="T7651">
        <v>-0.35258139999999999</v>
      </c>
      <c r="U7651">
        <v>-0.3777008</v>
      </c>
      <c r="V7651">
        <v>2.6076769999999999E-2</v>
      </c>
      <c r="W7651">
        <v>-5.238693E-3</v>
      </c>
      <c r="X7651">
        <v>0.99964620000000004</v>
      </c>
      <c r="Y7651">
        <v>-9.3995380000000003E-2</v>
      </c>
      <c r="Z7651">
        <v>3.0949230000000001E-2</v>
      </c>
      <c r="AA7651">
        <v>0.99509139999999996</v>
      </c>
      <c r="AB7651">
        <v>23</v>
      </c>
      <c r="AC7651">
        <v>9.2453999999999894</v>
      </c>
      <c r="AD7651">
        <v>-1.113636026347</v>
      </c>
      <c r="AE7651">
        <v>-1.1498999999999999</v>
      </c>
      <c r="AF7651">
        <v>-0.89853783735861503</v>
      </c>
      <c r="AG7651">
        <v>-1.113636026347</v>
      </c>
      <c r="AH7651">
        <v>9.1413409587550891</v>
      </c>
      <c r="AI7651">
        <v>96.912793414416797</v>
      </c>
      <c r="AJ7651">
        <v>95.613791048074404</v>
      </c>
      <c r="AK7651">
        <v>9.252657454405</v>
      </c>
      <c r="AL7651">
        <v>90.300156376936599</v>
      </c>
      <c r="AM7651">
        <v>88.505721220409299</v>
      </c>
      <c r="AN7651">
        <v>0.99999998350621</v>
      </c>
    </row>
    <row r="7652" spans="1:40" x14ac:dyDescent="0.25">
      <c r="A7652" t="str">
        <f>"20190312154447695"</f>
        <v>20190312154447695</v>
      </c>
      <c r="B7652" t="str">
        <f>"1552376687685052"</f>
        <v>1552376687685052</v>
      </c>
      <c r="C7652" t="s">
        <v>40</v>
      </c>
      <c r="D7652">
        <v>5.1914350000000002</v>
      </c>
      <c r="E7652">
        <v>0.45329999999999998</v>
      </c>
      <c r="F7652" t="s">
        <v>43</v>
      </c>
      <c r="G7652">
        <v>-142.86840000000001</v>
      </c>
      <c r="H7652" s="1">
        <v>-3.0661300000000002E-6</v>
      </c>
      <c r="I7652">
        <v>139.7079</v>
      </c>
      <c r="J7652">
        <v>-151.98060000000001</v>
      </c>
      <c r="K7652">
        <v>1.1137189999999999</v>
      </c>
      <c r="L7652">
        <v>140.80889999999999</v>
      </c>
      <c r="M7652">
        <v>0.976549</v>
      </c>
      <c r="N7652">
        <v>0</v>
      </c>
      <c r="O7652">
        <v>-0.21484619999999999</v>
      </c>
      <c r="P7652">
        <v>0.97020859999999998</v>
      </c>
      <c r="Q7652">
        <v>-2.1285289999999998E-2</v>
      </c>
      <c r="R7652">
        <v>-0.24133450000000001</v>
      </c>
      <c r="S7652">
        <v>2.9950100000000002</v>
      </c>
      <c r="T7652">
        <v>-0.35728880000000002</v>
      </c>
      <c r="U7652">
        <v>-0.36738589999999999</v>
      </c>
      <c r="V7652">
        <v>2.7287550000000001E-2</v>
      </c>
      <c r="W7652">
        <v>-7.1820590000000002E-3</v>
      </c>
      <c r="X7652">
        <v>0.99960179999999998</v>
      </c>
      <c r="Y7652">
        <v>-9.2245140000000003E-2</v>
      </c>
      <c r="Z7652">
        <v>3.0676510000000001E-2</v>
      </c>
      <c r="AA7652">
        <v>0.99526369999999997</v>
      </c>
      <c r="AB7652">
        <v>23</v>
      </c>
      <c r="AC7652">
        <v>9.1121999999999996</v>
      </c>
      <c r="AD7652">
        <v>-1.11372206612999</v>
      </c>
      <c r="AE7652">
        <v>-1.10099999999999</v>
      </c>
      <c r="AF7652">
        <v>-0.86981950854020595</v>
      </c>
      <c r="AG7652">
        <v>-1.11372206612999</v>
      </c>
      <c r="AH7652">
        <v>9.0033761628122395</v>
      </c>
      <c r="AI7652">
        <v>97.019340485125497</v>
      </c>
      <c r="AJ7652">
        <v>95.518240737157299</v>
      </c>
      <c r="AK7652">
        <v>9.1136022047880498</v>
      </c>
      <c r="AL7652">
        <v>90.411505216772497</v>
      </c>
      <c r="AM7652">
        <v>88.436304080254502</v>
      </c>
      <c r="AN7652">
        <v>0.99999997545985997</v>
      </c>
    </row>
    <row r="7653" spans="1:40" x14ac:dyDescent="0.25">
      <c r="A7653" t="str">
        <f>"20190312154447717"</f>
        <v>20190312154447717</v>
      </c>
      <c r="B7653" t="str">
        <f>"1552376687705548"</f>
        <v>1552376687705548</v>
      </c>
      <c r="C7653" t="s">
        <v>40</v>
      </c>
      <c r="D7653">
        <v>5.1384239999999997</v>
      </c>
      <c r="E7653">
        <v>0.45331870000000002</v>
      </c>
      <c r="F7653" t="s">
        <v>43</v>
      </c>
      <c r="G7653">
        <v>-142.80449999999999</v>
      </c>
      <c r="H7653" s="1">
        <v>-3.0973329999999998E-6</v>
      </c>
      <c r="I7653">
        <v>139.72210000000001</v>
      </c>
      <c r="J7653">
        <v>-151.76929999999999</v>
      </c>
      <c r="K7653">
        <v>1.1138060000000001</v>
      </c>
      <c r="L7653">
        <v>140.76820000000001</v>
      </c>
      <c r="M7653">
        <v>0.9775954</v>
      </c>
      <c r="N7653">
        <v>0</v>
      </c>
      <c r="O7653">
        <v>-0.21003359999999999</v>
      </c>
      <c r="P7653">
        <v>0.97149569999999996</v>
      </c>
      <c r="Q7653">
        <v>-2.178093E-2</v>
      </c>
      <c r="R7653">
        <v>-0.2360554</v>
      </c>
      <c r="S7653">
        <v>2.9958800000000001</v>
      </c>
      <c r="T7653">
        <v>-0.3636162</v>
      </c>
      <c r="U7653">
        <v>-0.35481259999999998</v>
      </c>
      <c r="V7653">
        <v>2.6781940000000001E-2</v>
      </c>
      <c r="W7653">
        <v>-7.6787219999999998E-3</v>
      </c>
      <c r="X7653">
        <v>0.99961180000000005</v>
      </c>
      <c r="Y7653">
        <v>-9.1456889999999999E-2</v>
      </c>
      <c r="Z7653">
        <v>3.0603849999999998E-2</v>
      </c>
      <c r="AA7653">
        <v>0.99533870000000002</v>
      </c>
      <c r="AB7653">
        <v>23</v>
      </c>
      <c r="AC7653">
        <v>8.9647999999999897</v>
      </c>
      <c r="AD7653">
        <v>-1.1138090973329999</v>
      </c>
      <c r="AE7653">
        <v>-1.04609999999999</v>
      </c>
      <c r="AF7653">
        <v>-0.84742446094554003</v>
      </c>
      <c r="AG7653">
        <v>-1.1138090973329999</v>
      </c>
      <c r="AH7653">
        <v>8.8497594674484201</v>
      </c>
      <c r="AI7653">
        <v>97.141064379586197</v>
      </c>
      <c r="AJ7653">
        <v>95.469781841838397</v>
      </c>
      <c r="AK7653">
        <v>8.9597400383048793</v>
      </c>
      <c r="AL7653">
        <v>90.439962689424306</v>
      </c>
      <c r="AM7653">
        <v>88.465279102036106</v>
      </c>
      <c r="AN7653">
        <v>0.99999999289047803</v>
      </c>
    </row>
    <row r="7654" spans="1:40" x14ac:dyDescent="0.25">
      <c r="A7654" t="str">
        <f>"20190312154447737"</f>
        <v>20190312154447737</v>
      </c>
      <c r="B7654" t="str">
        <f>"1552376687725069"</f>
        <v>1552376687725069</v>
      </c>
      <c r="C7654" t="s">
        <v>40</v>
      </c>
      <c r="D7654">
        <v>5.1215919999999997</v>
      </c>
      <c r="E7654">
        <v>0.4532699</v>
      </c>
      <c r="F7654" t="s">
        <v>43</v>
      </c>
      <c r="G7654">
        <v>-142.6489</v>
      </c>
      <c r="H7654" s="1">
        <v>-3.1675909999999999E-6</v>
      </c>
      <c r="I7654">
        <v>139.7353</v>
      </c>
      <c r="J7654">
        <v>-151.56729999999999</v>
      </c>
      <c r="K7654">
        <v>1.113883</v>
      </c>
      <c r="L7654">
        <v>140.7303</v>
      </c>
      <c r="M7654">
        <v>0.97857740000000004</v>
      </c>
      <c r="N7654">
        <v>0</v>
      </c>
      <c r="O7654">
        <v>-0.20540919999999999</v>
      </c>
      <c r="P7654">
        <v>0.97292100000000004</v>
      </c>
      <c r="Q7654">
        <v>-1.971707E-2</v>
      </c>
      <c r="R7654">
        <v>-0.23029540000000001</v>
      </c>
      <c r="S7654">
        <v>2.9973450000000001</v>
      </c>
      <c r="T7654">
        <v>-0.36604419999999999</v>
      </c>
      <c r="U7654">
        <v>-0.33943179999999901</v>
      </c>
      <c r="V7654">
        <v>2.556141E-2</v>
      </c>
      <c r="W7654">
        <v>-5.6219690000000001E-3</v>
      </c>
      <c r="X7654">
        <v>0.99965749999999998</v>
      </c>
      <c r="Y7654">
        <v>-9.1847520000000002E-2</v>
      </c>
      <c r="Z7654">
        <v>3.0279650000000002E-2</v>
      </c>
      <c r="AA7654">
        <v>0.99531259999999999</v>
      </c>
      <c r="AB7654">
        <v>23</v>
      </c>
      <c r="AC7654">
        <v>8.9183999999999894</v>
      </c>
      <c r="AD7654">
        <v>-1.1138861675909999</v>
      </c>
      <c r="AE7654">
        <v>-0.99500000000000399</v>
      </c>
      <c r="AF7654">
        <v>-0.84529587992691002</v>
      </c>
      <c r="AG7654">
        <v>-1.1138861675909999</v>
      </c>
      <c r="AH7654">
        <v>8.7970488447354391</v>
      </c>
      <c r="AI7654">
        <v>97.183674600949999</v>
      </c>
      <c r="AJ7654">
        <v>95.488618981762997</v>
      </c>
      <c r="AK7654">
        <v>8.9074876309559397</v>
      </c>
      <c r="AL7654">
        <v>90.322116775461396</v>
      </c>
      <c r="AM7654">
        <v>88.535256481766496</v>
      </c>
      <c r="AN7654">
        <v>1.0000000547614301</v>
      </c>
    </row>
    <row r="7655" spans="1:40" x14ac:dyDescent="0.25">
      <c r="A7655" t="str">
        <f>"20190312154447761"</f>
        <v>20190312154447761</v>
      </c>
      <c r="B7655" t="str">
        <f>"1552376687755325"</f>
        <v>1552376687755325</v>
      </c>
      <c r="C7655" t="s">
        <v>40</v>
      </c>
      <c r="D7655">
        <v>5.0801879999999997</v>
      </c>
      <c r="E7655">
        <v>0.45342480000000002</v>
      </c>
      <c r="F7655" t="s">
        <v>43</v>
      </c>
      <c r="G7655">
        <v>-142.25409999999999</v>
      </c>
      <c r="H7655" s="1">
        <v>-3.3364610000000001E-6</v>
      </c>
      <c r="I7655">
        <v>139.73339999999999</v>
      </c>
      <c r="J7655">
        <v>-151.3426</v>
      </c>
      <c r="K7655">
        <v>1.1139300000000001</v>
      </c>
      <c r="L7655">
        <v>140.68940000000001</v>
      </c>
      <c r="M7655">
        <v>0.97964549999999995</v>
      </c>
      <c r="N7655">
        <v>0</v>
      </c>
      <c r="O7655">
        <v>-0.2002535</v>
      </c>
      <c r="P7655">
        <v>0.97437209999999996</v>
      </c>
      <c r="Q7655">
        <v>-1.3329189999999999E-2</v>
      </c>
      <c r="R7655">
        <v>-0.2245472</v>
      </c>
      <c r="S7655">
        <v>3.0002140000000002</v>
      </c>
      <c r="T7655">
        <v>-0.35883379999999998</v>
      </c>
      <c r="U7655">
        <v>-0.32113649999999999</v>
      </c>
      <c r="V7655">
        <v>2.4852539999999999E-2</v>
      </c>
      <c r="W7655">
        <v>7.6181090000000001E-4</v>
      </c>
      <c r="X7655">
        <v>0.99969079999999999</v>
      </c>
      <c r="Y7655">
        <v>-9.2821899999999999E-2</v>
      </c>
      <c r="Z7655">
        <v>2.9131230000000001E-2</v>
      </c>
      <c r="AA7655">
        <v>0.99525649999999999</v>
      </c>
      <c r="AB7655">
        <v>23</v>
      </c>
      <c r="AC7655">
        <v>9.0884999999999998</v>
      </c>
      <c r="AD7655">
        <v>-1.11393333646099</v>
      </c>
      <c r="AE7655">
        <v>-0.95600000000001695</v>
      </c>
      <c r="AF7655">
        <v>-0.87061279582715501</v>
      </c>
      <c r="AG7655">
        <v>-1.11393333646099</v>
      </c>
      <c r="AH7655">
        <v>8.9626636567070399</v>
      </c>
      <c r="AI7655">
        <v>97.051876049476206</v>
      </c>
      <c r="AJ7655">
        <v>95.548175234771307</v>
      </c>
      <c r="AK7655">
        <v>9.0734863168241002</v>
      </c>
      <c r="AL7655">
        <v>89.956351444777695</v>
      </c>
      <c r="AM7655">
        <v>88.5759072570726</v>
      </c>
      <c r="AN7655">
        <v>0.99999996235246802</v>
      </c>
    </row>
    <row r="7656" spans="1:40" x14ac:dyDescent="0.25">
      <c r="A7656" t="str">
        <f>"20190312154447783"</f>
        <v>20190312154447783</v>
      </c>
      <c r="B7656" t="str">
        <f>"1552376687774845"</f>
        <v>1552376687774845</v>
      </c>
      <c r="C7656" t="s">
        <v>40</v>
      </c>
      <c r="D7656">
        <v>5.0616009999999996</v>
      </c>
      <c r="E7656">
        <v>0.45500689999999999</v>
      </c>
      <c r="F7656" t="s">
        <v>43</v>
      </c>
      <c r="G7656">
        <v>-141.39660000000001</v>
      </c>
      <c r="H7656" s="1">
        <v>-3.6908849999999999E-6</v>
      </c>
      <c r="I7656">
        <v>139.68279999999999</v>
      </c>
      <c r="J7656">
        <v>-151.12610000000001</v>
      </c>
      <c r="K7656">
        <v>1.1139410000000001</v>
      </c>
      <c r="L7656">
        <v>140.65110000000001</v>
      </c>
      <c r="M7656">
        <v>0.98064830000000003</v>
      </c>
      <c r="N7656">
        <v>0</v>
      </c>
      <c r="O7656">
        <v>-0.1952834</v>
      </c>
      <c r="P7656">
        <v>0.97564320000000004</v>
      </c>
      <c r="Q7656">
        <v>-6.7172000000000004E-3</v>
      </c>
      <c r="R7656">
        <v>-0.21926100000000001</v>
      </c>
      <c r="S7656">
        <v>3.0042420000000001</v>
      </c>
      <c r="T7656">
        <v>-0.33646619999999999</v>
      </c>
      <c r="U7656">
        <v>-0.30401610000000001</v>
      </c>
      <c r="V7656">
        <v>2.443772E-2</v>
      </c>
      <c r="W7656">
        <v>7.3707089999999996E-3</v>
      </c>
      <c r="X7656">
        <v>0.99967419999999996</v>
      </c>
      <c r="Y7656">
        <v>-9.3798610000000004E-2</v>
      </c>
      <c r="Z7656">
        <v>2.6813879999999998E-2</v>
      </c>
      <c r="AA7656">
        <v>0.99522999999999995</v>
      </c>
      <c r="AB7656">
        <v>23</v>
      </c>
      <c r="AC7656">
        <v>9.7294999999999998</v>
      </c>
      <c r="AD7656">
        <v>-1.1139446908849999</v>
      </c>
      <c r="AE7656">
        <v>-0.96830000000002703</v>
      </c>
      <c r="AF7656">
        <v>-0.93836029961343703</v>
      </c>
      <c r="AG7656">
        <v>-1.1139446908849999</v>
      </c>
      <c r="AH7656">
        <v>9.6065605334520097</v>
      </c>
      <c r="AI7656">
        <v>96.583233287460601</v>
      </c>
      <c r="AJ7656">
        <v>95.578902610000597</v>
      </c>
      <c r="AK7656">
        <v>9.7163469528994995</v>
      </c>
      <c r="AL7656">
        <v>89.577685665881205</v>
      </c>
      <c r="AM7656">
        <v>88.599644358774299</v>
      </c>
      <c r="AN7656">
        <v>1.0000000178277999</v>
      </c>
    </row>
    <row r="7657" spans="1:40" x14ac:dyDescent="0.25">
      <c r="A7657" t="str">
        <f>"20190312154447812"</f>
        <v>20190312154447812</v>
      </c>
      <c r="B7657" t="str">
        <f>"1552376687805101"</f>
        <v>1552376687805101</v>
      </c>
      <c r="C7657" t="s">
        <v>40</v>
      </c>
      <c r="D7657">
        <v>5.1142989999999999</v>
      </c>
      <c r="E7657">
        <v>0.45497349999999998</v>
      </c>
      <c r="F7657" t="s">
        <v>43</v>
      </c>
      <c r="G7657">
        <v>-138.2131</v>
      </c>
      <c r="H7657" s="1">
        <v>-7.9481989999999997E-7</v>
      </c>
      <c r="I7657">
        <v>139.35740000000001</v>
      </c>
      <c r="J7657">
        <v>-150.8355</v>
      </c>
      <c r="K7657">
        <v>1.1138859999999999</v>
      </c>
      <c r="L7657">
        <v>140.60149999999999</v>
      </c>
      <c r="M7657">
        <v>0.98195239999999995</v>
      </c>
      <c r="N7657">
        <v>0</v>
      </c>
      <c r="O7657">
        <v>-0.1886166</v>
      </c>
      <c r="P7657">
        <v>0.97703329999999999</v>
      </c>
      <c r="Q7657">
        <v>-2.9647599999999999E-3</v>
      </c>
      <c r="R7657">
        <v>-0.21306610000000001</v>
      </c>
      <c r="S7657">
        <v>3.0054630000000002</v>
      </c>
      <c r="T7657">
        <v>-0.2592643</v>
      </c>
      <c r="U7657">
        <v>-0.30110170000000003</v>
      </c>
      <c r="V7657">
        <v>2.4854749999999998E-2</v>
      </c>
      <c r="W7657">
        <v>1.112373E-2</v>
      </c>
      <c r="X7657">
        <v>0.9996292</v>
      </c>
      <c r="Y7657">
        <v>-8.8790090000000002E-2</v>
      </c>
      <c r="Z7657">
        <v>1.9903669999999998E-2</v>
      </c>
      <c r="AA7657">
        <v>0.9958515</v>
      </c>
      <c r="AB7657">
        <v>23</v>
      </c>
      <c r="AC7657">
        <v>12.622400000000001</v>
      </c>
      <c r="AD7657">
        <v>-1.1138867948199001</v>
      </c>
      <c r="AE7657">
        <v>-1.24409999999997</v>
      </c>
      <c r="AF7657">
        <v>-1.1503867690751901</v>
      </c>
      <c r="AG7657">
        <v>-1.1138867948199001</v>
      </c>
      <c r="AH7657">
        <v>12.5338064797489</v>
      </c>
      <c r="AI7657">
        <v>95.057421293340994</v>
      </c>
      <c r="AJ7657">
        <v>95.244069585994396</v>
      </c>
      <c r="AK7657">
        <v>12.635681160188099</v>
      </c>
      <c r="AL7657">
        <v>89.362644084634994</v>
      </c>
      <c r="AM7657">
        <v>88.575692944173397</v>
      </c>
      <c r="AN7657">
        <v>1.0000000167296501</v>
      </c>
    </row>
    <row r="7658" spans="1:40" x14ac:dyDescent="0.25">
      <c r="A7658" t="str">
        <f>"20190312154447835"</f>
        <v>20190312154447835</v>
      </c>
      <c r="B7658" t="str">
        <f>"1552376687825596"</f>
        <v>1552376687825596</v>
      </c>
      <c r="C7658" t="s">
        <v>40</v>
      </c>
      <c r="D7658">
        <v>5.0988889999999998</v>
      </c>
      <c r="E7658">
        <v>0.45517540000000001</v>
      </c>
      <c r="F7658" t="s">
        <v>43</v>
      </c>
      <c r="G7658">
        <v>-135.91309999999999</v>
      </c>
      <c r="H7658" s="1">
        <v>-1.808394E-6</v>
      </c>
      <c r="I7658">
        <v>139.20570000000001</v>
      </c>
      <c r="J7658">
        <v>-150.6165</v>
      </c>
      <c r="K7658">
        <v>1.113796</v>
      </c>
      <c r="L7658">
        <v>140.56549999999999</v>
      </c>
      <c r="M7658">
        <v>0.9829019</v>
      </c>
      <c r="N7658">
        <v>0</v>
      </c>
      <c r="O7658">
        <v>-0.1836045</v>
      </c>
      <c r="P7658">
        <v>0.9778654</v>
      </c>
      <c r="Q7658">
        <v>-2.7206370000000001E-3</v>
      </c>
      <c r="R7658">
        <v>-0.20921729999999999</v>
      </c>
      <c r="S7658">
        <v>3.0084689999999998</v>
      </c>
      <c r="T7658">
        <v>-0.22456809999999999</v>
      </c>
      <c r="U7658">
        <v>-0.2814026</v>
      </c>
      <c r="V7658">
        <v>2.6016839999999999E-2</v>
      </c>
      <c r="W7658">
        <v>1.1373579999999999E-2</v>
      </c>
      <c r="X7658">
        <v>0.99959679999999995</v>
      </c>
      <c r="Y7658">
        <v>-9.0528910000000004E-2</v>
      </c>
      <c r="Z7658">
        <v>1.6936860000000001E-2</v>
      </c>
      <c r="AA7658">
        <v>0.99574980000000002</v>
      </c>
      <c r="AB7658">
        <v>22</v>
      </c>
      <c r="AC7658">
        <v>14.7034</v>
      </c>
      <c r="AD7658">
        <v>-1.1137978083939899</v>
      </c>
      <c r="AE7658">
        <v>-1.3597999999999699</v>
      </c>
      <c r="AF7658">
        <v>-1.3554800399479801</v>
      </c>
      <c r="AG7658">
        <v>-1.1137978083939899</v>
      </c>
      <c r="AH7658">
        <v>14.6199051061991</v>
      </c>
      <c r="AI7658">
        <v>94.338052832780207</v>
      </c>
      <c r="AJ7658">
        <v>95.297017599753104</v>
      </c>
      <c r="AK7658">
        <v>14.7247919174074</v>
      </c>
      <c r="AL7658">
        <v>89.348327816636001</v>
      </c>
      <c r="AM7658">
        <v>88.509080197044199</v>
      </c>
      <c r="AN7658">
        <v>0.99999999842792098</v>
      </c>
    </row>
    <row r="7659" spans="1:40" x14ac:dyDescent="0.25">
      <c r="A7659" t="str">
        <f>"20190312154447852"</f>
        <v>20190312154447852</v>
      </c>
      <c r="B7659" t="str">
        <f>"1552376687845117"</f>
        <v>1552376687845117</v>
      </c>
      <c r="C7659" t="s">
        <v>40</v>
      </c>
      <c r="D7659">
        <v>5.0574640000000004</v>
      </c>
      <c r="E7659">
        <v>0.45557900000000001</v>
      </c>
      <c r="F7659" t="s">
        <v>43</v>
      </c>
      <c r="G7659">
        <v>-135.5874</v>
      </c>
      <c r="H7659" s="1">
        <v>-1.9463069999999999E-6</v>
      </c>
      <c r="I7659">
        <v>139.21600000000001</v>
      </c>
      <c r="J7659">
        <v>-150.43899999999999</v>
      </c>
      <c r="K7659">
        <v>1.113696</v>
      </c>
      <c r="L7659">
        <v>140.53710000000001</v>
      </c>
      <c r="M7659">
        <v>0.98365100000000005</v>
      </c>
      <c r="N7659">
        <v>0</v>
      </c>
      <c r="O7659">
        <v>-0.1795477</v>
      </c>
      <c r="P7659">
        <v>0.97808989999999996</v>
      </c>
      <c r="Q7659">
        <v>-5.7419119999999896E-3</v>
      </c>
      <c r="R7659">
        <v>-0.20810329999999999</v>
      </c>
      <c r="S7659">
        <v>3.0094759999999998</v>
      </c>
      <c r="T7659">
        <v>-0.22302939999999999</v>
      </c>
      <c r="U7659">
        <v>-0.27021790000000001</v>
      </c>
      <c r="V7659">
        <v>2.9027939999999999E-2</v>
      </c>
      <c r="W7659">
        <v>8.371557E-3</v>
      </c>
      <c r="X7659">
        <v>0.99954350000000003</v>
      </c>
      <c r="Y7659">
        <v>-9.0143089999999995E-2</v>
      </c>
      <c r="Z7659">
        <v>1.651064E-2</v>
      </c>
      <c r="AA7659">
        <v>0.99579200000000001</v>
      </c>
      <c r="AB7659">
        <v>22</v>
      </c>
      <c r="AC7659">
        <v>14.8515999999999</v>
      </c>
      <c r="AD7659">
        <v>-1.113697946307</v>
      </c>
      <c r="AE7659">
        <v>-1.3210999999999999</v>
      </c>
      <c r="AF7659">
        <v>-1.3596159985493801</v>
      </c>
      <c r="AG7659">
        <v>-1.113697946307</v>
      </c>
      <c r="AH7659">
        <v>14.765051040843501</v>
      </c>
      <c r="AI7659">
        <v>94.295432374280693</v>
      </c>
      <c r="AJ7659">
        <v>95.261152873622095</v>
      </c>
      <c r="AK7659">
        <v>14.8692841461125</v>
      </c>
      <c r="AL7659">
        <v>89.520339492216493</v>
      </c>
      <c r="AM7659">
        <v>88.336529509287999</v>
      </c>
      <c r="AN7659">
        <v>0.99999995632974803</v>
      </c>
    </row>
    <row r="7660" spans="1:40" x14ac:dyDescent="0.25">
      <c r="A7660" t="str">
        <f>"20190312154447874"</f>
        <v>20190312154447874</v>
      </c>
      <c r="B7660" t="str">
        <f>"1552376687865612"</f>
        <v>1552376687865612</v>
      </c>
      <c r="C7660" t="s">
        <v>40</v>
      </c>
      <c r="D7660">
        <v>5.06914</v>
      </c>
      <c r="E7660">
        <v>0.45613209999999998</v>
      </c>
      <c r="F7660" t="s">
        <v>43</v>
      </c>
      <c r="G7660">
        <v>-136.27869999999999</v>
      </c>
      <c r="H7660" s="1">
        <v>-1.640455E-6</v>
      </c>
      <c r="I7660">
        <v>139.26830000000001</v>
      </c>
      <c r="J7660">
        <v>-150.23050000000001</v>
      </c>
      <c r="K7660">
        <v>1.113585</v>
      </c>
      <c r="L7660">
        <v>140.50470000000001</v>
      </c>
      <c r="M7660">
        <v>0.98450610000000005</v>
      </c>
      <c r="N7660">
        <v>0</v>
      </c>
      <c r="O7660">
        <v>-0.17479939999999999</v>
      </c>
      <c r="P7660">
        <v>0.97810490000000005</v>
      </c>
      <c r="Q7660">
        <v>-1.2554320000000001E-2</v>
      </c>
      <c r="R7660">
        <v>-0.20773440000000001</v>
      </c>
      <c r="S7660">
        <v>3.0084529999999998</v>
      </c>
      <c r="T7660">
        <v>-0.23661289999999999</v>
      </c>
      <c r="U7660">
        <v>-0.26956180000000002</v>
      </c>
      <c r="V7660">
        <v>3.3535830000000003E-2</v>
      </c>
      <c r="W7660">
        <v>1.586739E-3</v>
      </c>
      <c r="X7660">
        <v>0.99943630000000006</v>
      </c>
      <c r="Y7660">
        <v>-8.5458980000000004E-2</v>
      </c>
      <c r="Z7660">
        <v>1.6969600000000001E-2</v>
      </c>
      <c r="AA7660">
        <v>0.9961972</v>
      </c>
      <c r="AB7660">
        <v>22</v>
      </c>
      <c r="AC7660">
        <v>13.9518</v>
      </c>
      <c r="AD7660">
        <v>-1.1135866404549899</v>
      </c>
      <c r="AE7660">
        <v>-1.2363999999999999</v>
      </c>
      <c r="AF7660">
        <v>-1.2139672010245199</v>
      </c>
      <c r="AG7660">
        <v>-1.1135866404549899</v>
      </c>
      <c r="AH7660">
        <v>13.8654556567045</v>
      </c>
      <c r="AI7660">
        <v>94.574358223395507</v>
      </c>
      <c r="AJ7660">
        <v>95.003678535075593</v>
      </c>
      <c r="AK7660">
        <v>13.9629743299558</v>
      </c>
      <c r="AL7660">
        <v>89.909086517934298</v>
      </c>
      <c r="AM7660">
        <v>88.078175797348294</v>
      </c>
      <c r="AN7660">
        <v>1.0000000436960601</v>
      </c>
    </row>
    <row r="7661" spans="1:40" x14ac:dyDescent="0.25">
      <c r="A7661" t="str">
        <f>"20190312154447895"</f>
        <v>20190312154447895</v>
      </c>
      <c r="B7661" t="str">
        <f>"1552376687885133"</f>
        <v>1552376687885133</v>
      </c>
      <c r="C7661" t="s">
        <v>40</v>
      </c>
      <c r="D7661">
        <v>5.0962860000000001</v>
      </c>
      <c r="E7661">
        <v>0.4564975</v>
      </c>
      <c r="F7661" t="s">
        <v>43</v>
      </c>
      <c r="G7661">
        <v>-137.29650000000001</v>
      </c>
      <c r="H7661" s="1">
        <v>-1.1923729999999999E-6</v>
      </c>
      <c r="I7661">
        <v>139.3329</v>
      </c>
      <c r="J7661">
        <v>-150.01589999999999</v>
      </c>
      <c r="K7661">
        <v>1.113504</v>
      </c>
      <c r="L7661">
        <v>140.4725</v>
      </c>
      <c r="M7661">
        <v>0.98535740000000005</v>
      </c>
      <c r="N7661">
        <v>0</v>
      </c>
      <c r="O7661">
        <v>-0.16993429999999901</v>
      </c>
      <c r="P7661">
        <v>0.97784199999999999</v>
      </c>
      <c r="Q7661">
        <v>-2.1790480000000001E-2</v>
      </c>
      <c r="R7661">
        <v>-0.20820710000000001</v>
      </c>
      <c r="S7661">
        <v>3.0060120000000001</v>
      </c>
      <c r="T7661">
        <v>-0.25880829999999999</v>
      </c>
      <c r="U7661">
        <v>-0.27233889999999999</v>
      </c>
      <c r="V7661">
        <v>3.9050910000000001E-2</v>
      </c>
      <c r="W7661">
        <v>-7.6176940000000004E-3</v>
      </c>
      <c r="X7661">
        <v>0.99920819999999999</v>
      </c>
      <c r="Y7661">
        <v>-7.9434530000000003E-2</v>
      </c>
      <c r="Z7661">
        <v>1.790048E-2</v>
      </c>
      <c r="AA7661">
        <v>0.99667939999999999</v>
      </c>
      <c r="AB7661">
        <v>22</v>
      </c>
      <c r="AC7661">
        <v>12.719399999999901</v>
      </c>
      <c r="AD7661">
        <v>-1.1135051923729999</v>
      </c>
      <c r="AE7661">
        <v>-1.1395999999999999</v>
      </c>
      <c r="AF7661">
        <v>-1.03081218760925</v>
      </c>
      <c r="AG7661">
        <v>-1.1135051923729999</v>
      </c>
      <c r="AH7661">
        <v>12.632001404648801</v>
      </c>
      <c r="AI7661">
        <v>95.020971926876996</v>
      </c>
      <c r="AJ7661">
        <v>94.665184032675299</v>
      </c>
      <c r="AK7661">
        <v>12.7228112878646</v>
      </c>
      <c r="AL7661">
        <v>90.436465930691597</v>
      </c>
      <c r="AM7661">
        <v>87.761913666413903</v>
      </c>
      <c r="AN7661">
        <v>1.00000001489047</v>
      </c>
    </row>
    <row r="7662" spans="1:40" x14ac:dyDescent="0.25">
      <c r="A7662" t="str">
        <f>"20190312154447918"</f>
        <v>20190312154447918</v>
      </c>
      <c r="B7662" t="str">
        <f>"1552376687905628"</f>
        <v>1552376687905628</v>
      </c>
      <c r="C7662" t="s">
        <v>40</v>
      </c>
      <c r="D7662">
        <v>5.1015620000000004</v>
      </c>
      <c r="E7662">
        <v>0.45674199999999998</v>
      </c>
      <c r="F7662" t="s">
        <v>43</v>
      </c>
      <c r="G7662">
        <v>-138.46530000000001</v>
      </c>
      <c r="H7662" s="1">
        <v>-6.7741469999999897E-7</v>
      </c>
      <c r="I7662">
        <v>139.4092</v>
      </c>
      <c r="J7662">
        <v>-149.80009999999999</v>
      </c>
      <c r="K7662">
        <v>1.1134489999999999</v>
      </c>
      <c r="L7662">
        <v>140.44110000000001</v>
      </c>
      <c r="M7662">
        <v>0.98618269999999997</v>
      </c>
      <c r="N7662">
        <v>0</v>
      </c>
      <c r="O7662">
        <v>-0.16507869999999999</v>
      </c>
      <c r="P7662">
        <v>0.97715609999999997</v>
      </c>
      <c r="Q7662">
        <v>-3.4044860000000003E-2</v>
      </c>
      <c r="R7662">
        <v>-0.20977870000000001</v>
      </c>
      <c r="S7662">
        <v>3.0027010000000001</v>
      </c>
      <c r="T7662">
        <v>-0.28946519999999998</v>
      </c>
      <c r="U7662">
        <v>-0.27639770000000002</v>
      </c>
      <c r="V7662">
        <v>4.5723479999999997E-2</v>
      </c>
      <c r="W7662">
        <v>-1.9838120000000001E-2</v>
      </c>
      <c r="X7662">
        <v>0.99875709999999995</v>
      </c>
      <c r="Y7662">
        <v>-7.2910520000000006E-2</v>
      </c>
      <c r="Z7662">
        <v>1.9259490000000001E-2</v>
      </c>
      <c r="AA7662">
        <v>0.9971525</v>
      </c>
      <c r="AB7662">
        <v>22</v>
      </c>
      <c r="AC7662">
        <v>11.3347999999999</v>
      </c>
      <c r="AD7662">
        <v>-1.11344967741469</v>
      </c>
      <c r="AE7662">
        <v>-1.0319</v>
      </c>
      <c r="AF7662">
        <v>-0.84548278266130505</v>
      </c>
      <c r="AG7662">
        <v>-1.11344967741469</v>
      </c>
      <c r="AH7662">
        <v>11.2420315555744</v>
      </c>
      <c r="AI7662">
        <v>95.640498738967494</v>
      </c>
      <c r="AJ7662">
        <v>94.300963834768595</v>
      </c>
      <c r="AK7662">
        <v>11.3286311978298</v>
      </c>
      <c r="AL7662">
        <v>91.136715155428604</v>
      </c>
      <c r="AM7662">
        <v>87.378807597044997</v>
      </c>
      <c r="AN7662">
        <v>0.99999996621442599</v>
      </c>
    </row>
    <row r="7663" spans="1:40" x14ac:dyDescent="0.25">
      <c r="A7663" t="str">
        <f>"20190312154447940"</f>
        <v>20190312154447940</v>
      </c>
      <c r="B7663" t="str">
        <f>"1552376687934795"</f>
        <v>1552376687934795</v>
      </c>
      <c r="C7663" t="s">
        <v>40</v>
      </c>
      <c r="D7663">
        <v>5.119103</v>
      </c>
      <c r="E7663">
        <v>0.45690570000000003</v>
      </c>
      <c r="F7663" t="s">
        <v>43</v>
      </c>
      <c r="G7663">
        <v>-139.62909999999999</v>
      </c>
      <c r="H7663" s="1">
        <v>-1.6519980000000001E-7</v>
      </c>
      <c r="I7663">
        <v>139.48230000000001</v>
      </c>
      <c r="J7663">
        <v>-149.58779999999999</v>
      </c>
      <c r="K7663">
        <v>1.1134630000000001</v>
      </c>
      <c r="L7663">
        <v>140.41120000000001</v>
      </c>
      <c r="M7663">
        <v>0.98696159999999999</v>
      </c>
      <c r="N7663">
        <v>0</v>
      </c>
      <c r="O7663">
        <v>-0.16035639999999901</v>
      </c>
      <c r="P7663">
        <v>0.9766378</v>
      </c>
      <c r="Q7663">
        <v>-4.0229569999999999E-2</v>
      </c>
      <c r="R7663">
        <v>-0.2110939</v>
      </c>
      <c r="S7663">
        <v>2.9980159999999998</v>
      </c>
      <c r="T7663">
        <v>-0.32819949999999998</v>
      </c>
      <c r="U7663">
        <v>-0.28260800000000003</v>
      </c>
      <c r="V7663">
        <v>5.1925529999999998E-2</v>
      </c>
      <c r="W7663">
        <v>-2.599537E-2</v>
      </c>
      <c r="X7663">
        <v>0.99831259999999999</v>
      </c>
      <c r="Y7663">
        <v>-6.5702330000000003E-2</v>
      </c>
      <c r="Z7663">
        <v>2.0953579999999999E-2</v>
      </c>
      <c r="AA7663">
        <v>0.99761929999999999</v>
      </c>
      <c r="AB7663">
        <v>22</v>
      </c>
      <c r="AC7663">
        <v>9.9586999999999897</v>
      </c>
      <c r="AD7663">
        <v>-1.1134631651997999</v>
      </c>
      <c r="AE7663">
        <v>-0.92889999999999795</v>
      </c>
      <c r="AF7663">
        <v>-0.67189126864145099</v>
      </c>
      <c r="AG7663">
        <v>-1.1134631651997999</v>
      </c>
      <c r="AH7663">
        <v>9.85661543729511</v>
      </c>
      <c r="AI7663">
        <v>96.430358623129294</v>
      </c>
      <c r="AJ7663">
        <v>93.899621827531703</v>
      </c>
      <c r="AK7663">
        <v>9.9420373151511399</v>
      </c>
      <c r="AL7663">
        <v>91.489592737604895</v>
      </c>
      <c r="AM7663">
        <v>87.022540711365593</v>
      </c>
      <c r="AN7663">
        <v>1.00000003362298</v>
      </c>
    </row>
    <row r="7664" spans="1:40" x14ac:dyDescent="0.25">
      <c r="A7664" t="str">
        <f>"20190312154447961"</f>
        <v>20190312154447961</v>
      </c>
      <c r="B7664" t="str">
        <f>"1552376687955290"</f>
        <v>1552376687955290</v>
      </c>
      <c r="C7664" t="s">
        <v>40</v>
      </c>
      <c r="D7664">
        <v>5.036073</v>
      </c>
      <c r="E7664">
        <v>0.45576850000000002</v>
      </c>
      <c r="F7664" t="s">
        <v>43</v>
      </c>
      <c r="G7664">
        <v>-140.00049999999999</v>
      </c>
      <c r="H7664" s="1">
        <v>-4.2947069999999997E-6</v>
      </c>
      <c r="I7664">
        <v>139.48869999999999</v>
      </c>
      <c r="J7664">
        <v>-149.37809999999999</v>
      </c>
      <c r="K7664">
        <v>1.113513</v>
      </c>
      <c r="L7664">
        <v>140.3827</v>
      </c>
      <c r="M7664">
        <v>0.98769620000000002</v>
      </c>
      <c r="N7664">
        <v>0</v>
      </c>
      <c r="O7664">
        <v>-0.15576789999999999</v>
      </c>
      <c r="P7664">
        <v>0.97680769999999995</v>
      </c>
      <c r="Q7664">
        <v>-3.9106420000000003E-2</v>
      </c>
      <c r="R7664">
        <v>-0.21051700000000001</v>
      </c>
      <c r="S7664">
        <v>2.9951479999999999</v>
      </c>
      <c r="T7664">
        <v>-0.34785470000000002</v>
      </c>
      <c r="U7664">
        <v>-0.28820800000000002</v>
      </c>
      <c r="V7664">
        <v>5.5954030000000002E-2</v>
      </c>
      <c r="W7664">
        <v>-2.4860400000000001E-2</v>
      </c>
      <c r="X7664">
        <v>0.99812380000000001</v>
      </c>
      <c r="Y7664">
        <v>-5.9034459999999997E-2</v>
      </c>
      <c r="Z7664">
        <v>2.1310809999999999E-2</v>
      </c>
      <c r="AA7664">
        <v>0.99802849999999999</v>
      </c>
      <c r="AB7664">
        <v>22</v>
      </c>
      <c r="AC7664">
        <v>9.3775999999999993</v>
      </c>
      <c r="AD7664">
        <v>-1.113517294707</v>
      </c>
      <c r="AE7664">
        <v>-0.89400000000000501</v>
      </c>
      <c r="AF7664">
        <v>-0.56982231960065</v>
      </c>
      <c r="AG7664">
        <v>-1.113517294707</v>
      </c>
      <c r="AH7664">
        <v>9.2728152309203296</v>
      </c>
      <c r="AI7664">
        <v>96.834750988085304</v>
      </c>
      <c r="AJ7664">
        <v>93.516452158292907</v>
      </c>
      <c r="AK7664">
        <v>9.3568007645944196</v>
      </c>
      <c r="AL7664">
        <v>91.424542750666205</v>
      </c>
      <c r="AM7664">
        <v>86.791402300495506</v>
      </c>
      <c r="AN7664">
        <v>1.0000000065439201</v>
      </c>
    </row>
    <row r="7665" spans="1:40" x14ac:dyDescent="0.25">
      <c r="A7665" t="str">
        <f>"20190312154447985"</f>
        <v>20190312154447985</v>
      </c>
      <c r="B7665" t="str">
        <f>"1552376687974811"</f>
        <v>1552376687974811</v>
      </c>
      <c r="C7665" t="s">
        <v>40</v>
      </c>
      <c r="D7665">
        <v>5.0848399999999998</v>
      </c>
      <c r="E7665">
        <v>0.42678860000000002</v>
      </c>
      <c r="F7665" t="s">
        <v>43</v>
      </c>
      <c r="G7665">
        <v>-139.68860000000001</v>
      </c>
      <c r="H7665" s="1">
        <v>-1.394131E-7</v>
      </c>
      <c r="I7665">
        <v>139.4837</v>
      </c>
      <c r="J7665">
        <v>-149.14949999999999</v>
      </c>
      <c r="K7665">
        <v>1.113559</v>
      </c>
      <c r="L7665">
        <v>140.35249999999999</v>
      </c>
      <c r="M7665">
        <v>0.98845629999999995</v>
      </c>
      <c r="N7665">
        <v>0</v>
      </c>
      <c r="O7665">
        <v>-0.15087029999999901</v>
      </c>
      <c r="P7665">
        <v>0.97777009999999998</v>
      </c>
      <c r="Q7665">
        <v>-3.1573759999999999E-2</v>
      </c>
      <c r="R7665">
        <v>-0.20728869999999999</v>
      </c>
      <c r="S7665">
        <v>2.9975130000000001</v>
      </c>
      <c r="T7665">
        <v>-0.34447109999999997</v>
      </c>
      <c r="U7665">
        <v>-0.27809139999999999</v>
      </c>
      <c r="V7665">
        <v>5.7505189999999998E-2</v>
      </c>
      <c r="W7665">
        <v>-1.7334840000000001E-2</v>
      </c>
      <c r="X7665">
        <v>0.99819469999999999</v>
      </c>
      <c r="Y7665">
        <v>-5.757002E-2</v>
      </c>
      <c r="Z7665">
        <v>2.0456370000000001E-2</v>
      </c>
      <c r="AA7665">
        <v>0.99813189999999996</v>
      </c>
      <c r="AB7665">
        <v>22</v>
      </c>
      <c r="AC7665">
        <v>9.4608999999999792</v>
      </c>
      <c r="AD7665">
        <v>-1.1135591394130999</v>
      </c>
      <c r="AE7665">
        <v>-0.86879999999999302</v>
      </c>
      <c r="AF7665">
        <v>-0.56094653829457197</v>
      </c>
      <c r="AG7665">
        <v>-1.1135591394130999</v>
      </c>
      <c r="AH7665">
        <v>9.3551556876827302</v>
      </c>
      <c r="AI7665">
        <v>96.776012841672198</v>
      </c>
      <c r="AJ7665">
        <v>93.431416336043696</v>
      </c>
      <c r="AK7665">
        <v>9.4378818024267304</v>
      </c>
      <c r="AL7665">
        <v>90.993262918815901</v>
      </c>
      <c r="AM7665">
        <v>86.702880735944902</v>
      </c>
      <c r="AN7665">
        <v>1.0000000013314201</v>
      </c>
    </row>
    <row r="7666" spans="1:40" x14ac:dyDescent="0.25">
      <c r="A7666" t="str">
        <f>"20190312154448013"</f>
        <v>20190312154448013</v>
      </c>
      <c r="B7666" t="str">
        <f>"1552376688005066"</f>
        <v>1552376688005066</v>
      </c>
      <c r="C7666" t="s">
        <v>40</v>
      </c>
      <c r="D7666">
        <v>5.1052379999999999</v>
      </c>
      <c r="E7666">
        <v>0.42640329999999899</v>
      </c>
      <c r="F7666" t="s">
        <v>43</v>
      </c>
      <c r="G7666">
        <v>-131.21430000000001</v>
      </c>
      <c r="H7666" s="1">
        <v>-3.8735950000000001E-6</v>
      </c>
      <c r="I7666">
        <v>140.07570000000001</v>
      </c>
      <c r="J7666">
        <v>-148.87729999999999</v>
      </c>
      <c r="K7666">
        <v>1.1135740000000001</v>
      </c>
      <c r="L7666">
        <v>140.31799999999899</v>
      </c>
      <c r="M7666">
        <v>0.98930119999999999</v>
      </c>
      <c r="N7666">
        <v>0</v>
      </c>
      <c r="O7666">
        <v>-0.14522739999999901</v>
      </c>
      <c r="P7666">
        <v>0.97936310000000004</v>
      </c>
      <c r="Q7666">
        <v>-2.361181E-2</v>
      </c>
      <c r="R7666">
        <v>-0.20072499999999999</v>
      </c>
      <c r="S7666">
        <v>3.0520939999999999</v>
      </c>
      <c r="T7666">
        <v>-0.18949849999999999</v>
      </c>
      <c r="U7666">
        <v>-4.7103880000000001E-2</v>
      </c>
      <c r="V7666">
        <v>5.6415399999999997E-2</v>
      </c>
      <c r="W7666">
        <v>-9.4046609999999999E-3</v>
      </c>
      <c r="X7666">
        <v>0.99836309999999995</v>
      </c>
      <c r="Y7666">
        <v>-0.1294293</v>
      </c>
      <c r="Z7666">
        <v>1.2995899999999999E-2</v>
      </c>
      <c r="AA7666">
        <v>0.99150349999999998</v>
      </c>
      <c r="AB7666">
        <v>22</v>
      </c>
      <c r="AC7666">
        <v>17.662999999999901</v>
      </c>
      <c r="AD7666">
        <v>-1.1135778735949999</v>
      </c>
      <c r="AE7666">
        <v>-0.24229999999997101</v>
      </c>
      <c r="AF7666">
        <v>-2.3164616455620601</v>
      </c>
      <c r="AG7666">
        <v>-1.1135778735949999</v>
      </c>
      <c r="AH7666">
        <v>17.441584746210999</v>
      </c>
      <c r="AI7666">
        <v>93.621441693493693</v>
      </c>
      <c r="AJ7666">
        <v>97.565324849973294</v>
      </c>
      <c r="AK7666">
        <v>17.629944092230701</v>
      </c>
      <c r="AL7666">
        <v>90.538855320077801</v>
      </c>
      <c r="AM7666">
        <v>86.765775468418795</v>
      </c>
      <c r="AN7666">
        <v>1.0000000122236401</v>
      </c>
    </row>
    <row r="7667" spans="1:40" x14ac:dyDescent="0.25">
      <c r="A7667" t="str">
        <f>"20190312154448035"</f>
        <v>20190312154448035</v>
      </c>
      <c r="B7667" t="str">
        <f>"1552376688025563"</f>
        <v>1552376688025563</v>
      </c>
      <c r="C7667" t="s">
        <v>40</v>
      </c>
      <c r="D7667">
        <v>5.2374869999999998</v>
      </c>
      <c r="E7667">
        <v>0.4273382</v>
      </c>
      <c r="F7667" t="s">
        <v>43</v>
      </c>
      <c r="G7667">
        <v>-130.6018</v>
      </c>
      <c r="H7667" s="1">
        <v>-4.1640019999999999E-6</v>
      </c>
      <c r="I7667">
        <v>140.17959999999999</v>
      </c>
      <c r="J7667">
        <v>-148.65860000000001</v>
      </c>
      <c r="K7667">
        <v>1.1135630000000001</v>
      </c>
      <c r="L7667">
        <v>140.2912</v>
      </c>
      <c r="M7667">
        <v>0.98993500000000001</v>
      </c>
      <c r="N7667">
        <v>0</v>
      </c>
      <c r="O7667">
        <v>-0.14084440000000001</v>
      </c>
      <c r="P7667">
        <v>0.98068149999999998</v>
      </c>
      <c r="Q7667">
        <v>-1.9274349999999999E-2</v>
      </c>
      <c r="R7667">
        <v>-0.19466020000000001</v>
      </c>
      <c r="S7667">
        <v>3.0539860000000001</v>
      </c>
      <c r="T7667">
        <v>-0.18608759999999999</v>
      </c>
      <c r="U7667">
        <v>-2.311707E-2</v>
      </c>
      <c r="V7667">
        <v>5.461618E-2</v>
      </c>
      <c r="W7667">
        <v>-5.0998950000000001E-3</v>
      </c>
      <c r="X7667">
        <v>0.9984944</v>
      </c>
      <c r="Y7667">
        <v>-0.1328539</v>
      </c>
      <c r="Z7667">
        <v>1.259591E-2</v>
      </c>
      <c r="AA7667">
        <v>0.99105560000000004</v>
      </c>
      <c r="AB7667">
        <v>22</v>
      </c>
      <c r="AC7667">
        <v>18.056799999999999</v>
      </c>
      <c r="AD7667">
        <v>-1.113567164002</v>
      </c>
      <c r="AE7667">
        <v>-0.111600000000009</v>
      </c>
      <c r="AF7667">
        <v>-2.42373779242623</v>
      </c>
      <c r="AG7667">
        <v>-1.113567164002</v>
      </c>
      <c r="AH7667">
        <v>17.824701642673901</v>
      </c>
      <c r="AI7667">
        <v>93.542294457485099</v>
      </c>
      <c r="AJ7667">
        <v>97.743379862473802</v>
      </c>
      <c r="AK7667">
        <v>18.023166352378901</v>
      </c>
      <c r="AL7667">
        <v>90.292203725699693</v>
      </c>
      <c r="AM7667">
        <v>86.869124815177997</v>
      </c>
      <c r="AN7667">
        <v>1.00000000143908</v>
      </c>
    </row>
    <row r="7668" spans="1:40" x14ac:dyDescent="0.25">
      <c r="A7668" t="str">
        <f>"20190312154448055"</f>
        <v>20190312154448055</v>
      </c>
      <c r="B7668" t="str">
        <f>"1552376688045083"</f>
        <v>1552376688045083</v>
      </c>
      <c r="C7668" t="s">
        <v>40</v>
      </c>
      <c r="D7668">
        <v>5.3974380000000002</v>
      </c>
      <c r="E7668">
        <v>0.42800300000000002</v>
      </c>
      <c r="F7668" t="s">
        <v>43</v>
      </c>
      <c r="G7668">
        <v>-128.58529999999999</v>
      </c>
      <c r="H7668" s="1">
        <v>-7.4859219999999904E-7</v>
      </c>
      <c r="I7668">
        <v>140.21530000000001</v>
      </c>
      <c r="J7668">
        <v>-148.46360000000001</v>
      </c>
      <c r="K7668">
        <v>1.113526</v>
      </c>
      <c r="L7668">
        <v>140.268</v>
      </c>
      <c r="M7668">
        <v>0.99046869999999998</v>
      </c>
      <c r="N7668">
        <v>0</v>
      </c>
      <c r="O7668">
        <v>-0.13704040000000001</v>
      </c>
      <c r="P7668">
        <v>0.98202339999999999</v>
      </c>
      <c r="Q7668">
        <v>-1.7142190000000002E-2</v>
      </c>
      <c r="R7668">
        <v>-0.18797900000000001</v>
      </c>
      <c r="S7668">
        <v>3.0534819999999998</v>
      </c>
      <c r="T7668">
        <v>-0.16939119999999999</v>
      </c>
      <c r="U7668">
        <v>-1.1550899999999999E-2</v>
      </c>
      <c r="V7668">
        <v>5.1634819999999998E-2</v>
      </c>
      <c r="W7668">
        <v>-3.0032560000000002E-3</v>
      </c>
      <c r="X7668">
        <v>0.99866149999999998</v>
      </c>
      <c r="Y7668">
        <v>-0.13289139999999999</v>
      </c>
      <c r="Z7668">
        <v>1.126184E-2</v>
      </c>
      <c r="AA7668">
        <v>0.99106660000000002</v>
      </c>
      <c r="AB7668">
        <v>22</v>
      </c>
      <c r="AC7668">
        <v>19.878299999999999</v>
      </c>
      <c r="AD7668">
        <v>-1.1135267485922</v>
      </c>
      <c r="AE7668">
        <v>-5.2699999999987299E-2</v>
      </c>
      <c r="AF7668">
        <v>-2.6638297573988701</v>
      </c>
      <c r="AG7668">
        <v>-1.1135267485922</v>
      </c>
      <c r="AH7668">
        <v>19.636327033769199</v>
      </c>
      <c r="AI7668">
        <v>93.216226835574801</v>
      </c>
      <c r="AJ7668">
        <v>97.725484414526093</v>
      </c>
      <c r="AK7668">
        <v>19.847449966516301</v>
      </c>
      <c r="AL7668">
        <v>90.172074155215199</v>
      </c>
      <c r="AM7668">
        <v>87.040213130319501</v>
      </c>
      <c r="AN7668">
        <v>0.99999998288264103</v>
      </c>
    </row>
    <row r="7669" spans="1:40" x14ac:dyDescent="0.25">
      <c r="A7669" t="str">
        <f>"20190312154448085"</f>
        <v>20190312154448085</v>
      </c>
      <c r="B7669" t="str">
        <f>"1552376688075338"</f>
        <v>1552376688075338</v>
      </c>
      <c r="C7669" t="s">
        <v>40</v>
      </c>
      <c r="D7669">
        <v>5.1564779999999999</v>
      </c>
      <c r="E7669">
        <v>0.42844520000000003</v>
      </c>
      <c r="F7669" t="s">
        <v>43</v>
      </c>
      <c r="G7669">
        <v>-128.56190000000001</v>
      </c>
      <c r="H7669" s="1">
        <v>-7.8013660000000005E-7</v>
      </c>
      <c r="I7669">
        <v>140.29599999999999</v>
      </c>
      <c r="J7669">
        <v>-148.17699999999999</v>
      </c>
      <c r="K7669">
        <v>1.113461</v>
      </c>
      <c r="L7669">
        <v>140.23509999999999</v>
      </c>
      <c r="M7669">
        <v>0.99120220000000003</v>
      </c>
      <c r="N7669">
        <v>0</v>
      </c>
      <c r="O7669">
        <v>-0.1316319</v>
      </c>
      <c r="P7669">
        <v>0.98414550000000001</v>
      </c>
      <c r="Q7669">
        <v>-1.19007E-2</v>
      </c>
      <c r="R7669">
        <v>-0.1769626</v>
      </c>
      <c r="S7669">
        <v>3.052765</v>
      </c>
      <c r="T7669">
        <v>-0.17080580000000001</v>
      </c>
      <c r="U7669">
        <v>4.3029790000000002E-3</v>
      </c>
      <c r="V7669">
        <v>4.5853249999999998E-2</v>
      </c>
      <c r="W7669">
        <v>2.1823070000000001E-3</v>
      </c>
      <c r="X7669">
        <v>0.99894579999999999</v>
      </c>
      <c r="Y7669">
        <v>-0.1326291</v>
      </c>
      <c r="Z7669">
        <v>1.1051460000000001E-2</v>
      </c>
      <c r="AA7669">
        <v>0.99110410000000004</v>
      </c>
      <c r="AB7669">
        <v>22</v>
      </c>
      <c r="AC7669">
        <v>19.615100000000002</v>
      </c>
      <c r="AD7669">
        <v>-1.1134617801366</v>
      </c>
      <c r="AE7669">
        <v>6.0900000000003701E-2</v>
      </c>
      <c r="AF7669">
        <v>-2.6341019390231102</v>
      </c>
      <c r="AG7669">
        <v>-1.1134617801366</v>
      </c>
      <c r="AH7669">
        <v>19.373943925191501</v>
      </c>
      <c r="AI7669">
        <v>93.259370081459593</v>
      </c>
      <c r="AJ7669">
        <v>97.742519915373194</v>
      </c>
      <c r="AK7669">
        <v>19.583870745525601</v>
      </c>
      <c r="AL7669">
        <v>89.8749629196965</v>
      </c>
      <c r="AM7669">
        <v>87.371874533040796</v>
      </c>
      <c r="AN7669">
        <v>0.99999999716852195</v>
      </c>
    </row>
    <row r="7670" spans="1:40" x14ac:dyDescent="0.25">
      <c r="A7670" t="str">
        <f>"20190312154448106"</f>
        <v>20190312154448106</v>
      </c>
      <c r="B7670" t="str">
        <f>"1552376688094858"</f>
        <v>1552376688094858</v>
      </c>
      <c r="C7670" t="s">
        <v>40</v>
      </c>
      <c r="D7670">
        <v>5.0585300000000002</v>
      </c>
      <c r="E7670">
        <v>0.42881010000000003</v>
      </c>
      <c r="F7670" t="s">
        <v>43</v>
      </c>
      <c r="G7670">
        <v>-127.739</v>
      </c>
      <c r="H7670" s="1">
        <v>-1.179619E-6</v>
      </c>
      <c r="I7670">
        <v>140.47069999999999</v>
      </c>
      <c r="J7670">
        <v>-147.96539999999999</v>
      </c>
      <c r="K7670">
        <v>1.1133930000000001</v>
      </c>
      <c r="L7670">
        <v>140.2116</v>
      </c>
      <c r="M7670">
        <v>0.99170630000000004</v>
      </c>
      <c r="N7670">
        <v>0</v>
      </c>
      <c r="O7670">
        <v>-0.1277807</v>
      </c>
      <c r="P7670">
        <v>0.98558780000000001</v>
      </c>
      <c r="Q7670">
        <v>-4.7044180000000001E-3</v>
      </c>
      <c r="R7670">
        <v>-0.16910029999999901</v>
      </c>
      <c r="S7670">
        <v>3.0526279999999999</v>
      </c>
      <c r="T7670">
        <v>-0.16630719999999999</v>
      </c>
      <c r="U7670">
        <v>3.5202030000000002E-2</v>
      </c>
      <c r="V7670">
        <v>4.1710329999999997E-2</v>
      </c>
      <c r="W7670">
        <v>9.3390239999999996E-3</v>
      </c>
      <c r="X7670">
        <v>0.99908609999999998</v>
      </c>
      <c r="Y7670">
        <v>-0.13882610000000001</v>
      </c>
      <c r="Z7670">
        <v>1.072242E-2</v>
      </c>
      <c r="AA7670">
        <v>0.99025870000000005</v>
      </c>
      <c r="AB7670">
        <v>22</v>
      </c>
      <c r="AC7670">
        <v>20.226400000000002</v>
      </c>
      <c r="AD7670">
        <v>-1.1133941796189999</v>
      </c>
      <c r="AE7670">
        <v>0.25909999999998901</v>
      </c>
      <c r="AF7670">
        <v>-2.8331821475724901</v>
      </c>
      <c r="AG7670">
        <v>-1.1133941796189999</v>
      </c>
      <c r="AH7670">
        <v>19.9669576339694</v>
      </c>
      <c r="AI7670">
        <v>93.160024544682798</v>
      </c>
      <c r="AJ7670">
        <v>98.075988467212497</v>
      </c>
      <c r="AK7670">
        <v>20.197672262844101</v>
      </c>
      <c r="AL7670">
        <v>89.464905562708196</v>
      </c>
      <c r="AM7670">
        <v>87.609376325533802</v>
      </c>
      <c r="AN7670">
        <v>1.0000000021055899</v>
      </c>
    </row>
    <row r="7671" spans="1:40" x14ac:dyDescent="0.25">
      <c r="A7671" t="str">
        <f>"20190312154448308"</f>
        <v>20190312154448308</v>
      </c>
      <c r="B7671" t="str">
        <f>"1552376688305205"</f>
        <v>1552376688305205</v>
      </c>
      <c r="C7671" t="s">
        <v>40</v>
      </c>
      <c r="D7671">
        <v>4.8308780000000002</v>
      </c>
      <c r="E7671">
        <v>0.46975470000000003</v>
      </c>
      <c r="F7671" t="s">
        <v>43</v>
      </c>
      <c r="G7671">
        <v>-126.33199999999999</v>
      </c>
      <c r="H7671" s="1">
        <v>-1.8206599999999999E-6</v>
      </c>
      <c r="I7671">
        <v>140.61150000000001</v>
      </c>
      <c r="J7671">
        <v>-146.0179</v>
      </c>
      <c r="K7671">
        <v>1.11287</v>
      </c>
      <c r="L7671">
        <v>140.0274</v>
      </c>
      <c r="M7671">
        <v>0.99526230000000004</v>
      </c>
      <c r="N7671">
        <v>0</v>
      </c>
      <c r="O7671">
        <v>-9.6250139999999998E-2</v>
      </c>
      <c r="P7671">
        <v>0.99082079999999995</v>
      </c>
      <c r="Q7671">
        <v>1.229878E-2</v>
      </c>
      <c r="R7671">
        <v>-0.13462180000000001</v>
      </c>
      <c r="S7671">
        <v>3.0527950000000001</v>
      </c>
      <c r="T7671">
        <v>-0.15711649999999999</v>
      </c>
      <c r="U7671">
        <v>5.6426999999999998E-2</v>
      </c>
      <c r="V7671">
        <v>3.8502990000000001E-2</v>
      </c>
      <c r="W7671">
        <v>2.6203319999999999E-2</v>
      </c>
      <c r="X7671">
        <v>0.99891479999999999</v>
      </c>
      <c r="Y7671">
        <v>-0.114359</v>
      </c>
      <c r="Z7671">
        <v>7.8863869999999999E-3</v>
      </c>
      <c r="AA7671">
        <v>0.99340819999999996</v>
      </c>
      <c r="AB7671">
        <v>22</v>
      </c>
      <c r="AC7671">
        <v>19.685899999999901</v>
      </c>
      <c r="AD7671">
        <v>-1.1128718206599999</v>
      </c>
      <c r="AE7671">
        <v>0.58410000000000595</v>
      </c>
      <c r="AF7671">
        <v>-2.4684554441117799</v>
      </c>
      <c r="AG7671">
        <v>-1.1128718206599999</v>
      </c>
      <c r="AH7671">
        <v>19.476072629125898</v>
      </c>
      <c r="AI7671">
        <v>93.244452081865404</v>
      </c>
      <c r="AJ7671">
        <v>97.223324055740207</v>
      </c>
      <c r="AK7671">
        <v>19.663396477307099</v>
      </c>
      <c r="AL7671">
        <v>88.498488398654203</v>
      </c>
      <c r="AM7671">
        <v>87.792637287605004</v>
      </c>
      <c r="AN7671">
        <v>0.99999993593849901</v>
      </c>
    </row>
    <row r="7672" spans="1:40" x14ac:dyDescent="0.25">
      <c r="A7672" t="str">
        <f>"20190312154448331"</f>
        <v>20190312154448331</v>
      </c>
      <c r="B7672" t="str">
        <f>"1552376688325232"</f>
        <v>1552376688325232</v>
      </c>
      <c r="C7672" t="s">
        <v>40</v>
      </c>
      <c r="D7672">
        <v>5.3755090000000001</v>
      </c>
      <c r="E7672">
        <v>0.46836280000000002</v>
      </c>
      <c r="F7672" t="s">
        <v>41</v>
      </c>
      <c r="G7672">
        <v>-145.3553</v>
      </c>
      <c r="H7672">
        <v>0.88970830000000001</v>
      </c>
      <c r="I7672">
        <v>139.99930000000001</v>
      </c>
      <c r="J7672">
        <v>-145.80350000000001</v>
      </c>
      <c r="K7672">
        <v>1.112835</v>
      </c>
      <c r="L7672">
        <v>140.01050000000001</v>
      </c>
      <c r="M7672">
        <v>0.99556489999999997</v>
      </c>
      <c r="N7672">
        <v>0</v>
      </c>
      <c r="O7672">
        <v>-9.3070920000000001E-2</v>
      </c>
      <c r="P7672">
        <v>0.99141800000000002</v>
      </c>
      <c r="Q7672">
        <v>1.5499580000000001E-2</v>
      </c>
      <c r="R7672">
        <v>-0.1298098</v>
      </c>
      <c r="S7672">
        <v>3.023056</v>
      </c>
      <c r="T7672">
        <v>-1.0183340000000001</v>
      </c>
      <c r="U7672">
        <v>-0.12792970000000001</v>
      </c>
      <c r="V7672">
        <v>3.6835310000000003E-2</v>
      </c>
      <c r="W7672">
        <v>2.9386889999999999E-2</v>
      </c>
      <c r="X7672">
        <v>0.99888909999999997</v>
      </c>
      <c r="Y7672">
        <v>-4.3396909999999997E-2</v>
      </c>
      <c r="Z7672">
        <v>3.7560839999999998E-2</v>
      </c>
      <c r="AA7672">
        <v>0.99835160000000001</v>
      </c>
      <c r="AB7672">
        <v>22</v>
      </c>
      <c r="AC7672">
        <v>0.44820000000001398</v>
      </c>
      <c r="AD7672">
        <v>-0.22312670000000001</v>
      </c>
      <c r="AE7672">
        <v>-1.12000000000023E-2</v>
      </c>
      <c r="AF7672">
        <v>-2.4499050429794299E-2</v>
      </c>
      <c r="AG7672">
        <v>-0.22312670000000001</v>
      </c>
      <c r="AH7672">
        <v>0.35850318195261099</v>
      </c>
      <c r="AI7672">
        <v>121.837633446456</v>
      </c>
      <c r="AJ7672">
        <v>93.909346710735605</v>
      </c>
      <c r="AK7672">
        <v>0.42297784716814502</v>
      </c>
      <c r="AL7672">
        <v>88.316012676767798</v>
      </c>
      <c r="AM7672">
        <v>87.888101977479394</v>
      </c>
      <c r="AN7672">
        <v>0.99999993173273605</v>
      </c>
    </row>
    <row r="7673" spans="1:40" x14ac:dyDescent="0.25">
      <c r="A7673" t="str">
        <f>"20190312154448352"</f>
        <v>20190312154448352</v>
      </c>
      <c r="B7673" t="str">
        <f>"1552376688344752"</f>
        <v>1552376688344752</v>
      </c>
      <c r="C7673" t="s">
        <v>40</v>
      </c>
      <c r="D7673">
        <v>5.3265399999999996</v>
      </c>
      <c r="E7673">
        <v>0.4602772</v>
      </c>
      <c r="F7673" t="s">
        <v>41</v>
      </c>
      <c r="G7673">
        <v>-144.97319999999999</v>
      </c>
      <c r="H7673">
        <v>0.88006620000000002</v>
      </c>
      <c r="I7673">
        <v>139.98150000000001</v>
      </c>
      <c r="J7673">
        <v>-145.58920000000001</v>
      </c>
      <c r="K7673">
        <v>1.1128180000000001</v>
      </c>
      <c r="L7673">
        <v>139.99420000000001</v>
      </c>
      <c r="M7673">
        <v>0.99585259999999998</v>
      </c>
      <c r="N7673">
        <v>0</v>
      </c>
      <c r="O7673">
        <v>-8.9939829999999998E-2</v>
      </c>
      <c r="P7673">
        <v>0.99195929999999999</v>
      </c>
      <c r="Q7673">
        <v>1.9991040000000002E-2</v>
      </c>
      <c r="R7673">
        <v>-0.1249696</v>
      </c>
      <c r="S7673">
        <v>3.025436</v>
      </c>
      <c r="T7673">
        <v>-0.84826579999999996</v>
      </c>
      <c r="U7673">
        <v>-0.105423</v>
      </c>
      <c r="V7673">
        <v>3.5090450000000002E-2</v>
      </c>
      <c r="W7673">
        <v>3.3861670000000003E-2</v>
      </c>
      <c r="X7673">
        <v>0.99881030000000004</v>
      </c>
      <c r="Y7673">
        <v>-4.9837880000000001E-2</v>
      </c>
      <c r="Z7673">
        <v>3.1552869999999997E-2</v>
      </c>
      <c r="AA7673">
        <v>0.9982588</v>
      </c>
      <c r="AB7673">
        <v>22</v>
      </c>
      <c r="AC7673">
        <v>0.61600000000001298</v>
      </c>
      <c r="AD7673">
        <v>-0.23275180000000001</v>
      </c>
      <c r="AE7673">
        <v>-1.26999999999952E-2</v>
      </c>
      <c r="AF7673">
        <v>-3.7419653038526499E-2</v>
      </c>
      <c r="AG7673">
        <v>-0.23275180000000001</v>
      </c>
      <c r="AH7673">
        <v>0.53788614277014601</v>
      </c>
      <c r="AI7673">
        <v>113.348525338974</v>
      </c>
      <c r="AJ7673">
        <v>93.9795400414623</v>
      </c>
      <c r="AK7673">
        <v>0.58727773107866899</v>
      </c>
      <c r="AL7673">
        <v>88.059498235912599</v>
      </c>
      <c r="AM7673">
        <v>87.987898088174205</v>
      </c>
      <c r="AN7673">
        <v>0.99999998388124001</v>
      </c>
    </row>
    <row r="7674" spans="1:40" x14ac:dyDescent="0.25">
      <c r="A7674" t="str">
        <f>"20190312154448375"</f>
        <v>20190312154448375</v>
      </c>
      <c r="B7674" t="str">
        <f>"1552376688365248"</f>
        <v>1552376688365248</v>
      </c>
      <c r="C7674" t="s">
        <v>40</v>
      </c>
      <c r="D7674">
        <v>5.2719719999999999</v>
      </c>
      <c r="E7674">
        <v>0.46034659999999999</v>
      </c>
      <c r="F7674" t="s">
        <v>43</v>
      </c>
      <c r="G7674">
        <v>-133.60849999999999</v>
      </c>
      <c r="H7674" s="1">
        <v>-2.7751509999999998E-6</v>
      </c>
      <c r="I7674">
        <v>139.8075</v>
      </c>
      <c r="J7674">
        <v>-145.37309999999999</v>
      </c>
      <c r="K7674">
        <v>1.1128039999999999</v>
      </c>
      <c r="L7674">
        <v>139.97839999999999</v>
      </c>
      <c r="M7674">
        <v>0.99612959999999995</v>
      </c>
      <c r="N7674">
        <v>0</v>
      </c>
      <c r="O7674">
        <v>-8.6817850000000002E-2</v>
      </c>
      <c r="P7674">
        <v>0.99244739999999998</v>
      </c>
      <c r="Q7674">
        <v>2.425366E-2</v>
      </c>
      <c r="R7674">
        <v>-0.12024990000000001</v>
      </c>
      <c r="S7674">
        <v>3.0240480000000001</v>
      </c>
      <c r="T7674">
        <v>-0.28088550000000001</v>
      </c>
      <c r="U7674">
        <v>-4.7103880000000001E-2</v>
      </c>
      <c r="V7674">
        <v>3.3461570000000003E-2</v>
      </c>
      <c r="W7674">
        <v>3.8108009999999998E-2</v>
      </c>
      <c r="X7674">
        <v>0.99871319999999997</v>
      </c>
      <c r="Y7674">
        <v>-7.0623140000000001E-2</v>
      </c>
      <c r="Z7674">
        <v>1.1310590000000001E-2</v>
      </c>
      <c r="AA7674">
        <v>0.99743899999999996</v>
      </c>
      <c r="AB7674">
        <v>22</v>
      </c>
      <c r="AC7674">
        <v>11.7646</v>
      </c>
      <c r="AD7674">
        <v>-1.112806775151</v>
      </c>
      <c r="AE7674">
        <v>-0.17089999999998801</v>
      </c>
      <c r="AF7674">
        <v>-0.84367207625109897</v>
      </c>
      <c r="AG7674">
        <v>-1.112806775151</v>
      </c>
      <c r="AH7674">
        <v>11.630967260873399</v>
      </c>
      <c r="AI7674">
        <v>95.450972112274897</v>
      </c>
      <c r="AJ7674">
        <v>94.148781038117505</v>
      </c>
      <c r="AK7674">
        <v>11.7145004551871</v>
      </c>
      <c r="AL7674">
        <v>87.816042994475097</v>
      </c>
      <c r="AM7674">
        <v>88.081040859341002</v>
      </c>
      <c r="AN7674">
        <v>0.99999997647363204</v>
      </c>
    </row>
    <row r="7675" spans="1:40" x14ac:dyDescent="0.25">
      <c r="A7675" t="str">
        <f>"20190312154448401"</f>
        <v>20190312154448401</v>
      </c>
      <c r="B7675" t="str">
        <f>"1552376688395504"</f>
        <v>1552376688395504</v>
      </c>
      <c r="C7675" t="s">
        <v>40</v>
      </c>
      <c r="D7675">
        <v>5.2770299999999999</v>
      </c>
      <c r="E7675">
        <v>0.46318809999999999</v>
      </c>
      <c r="F7675" t="s">
        <v>43</v>
      </c>
      <c r="G7675">
        <v>-127.49639999999999</v>
      </c>
      <c r="H7675" s="1">
        <v>-1.0959810000000001E-6</v>
      </c>
      <c r="I7675">
        <v>139.76519999999999</v>
      </c>
      <c r="J7675">
        <v>-145.12459999999999</v>
      </c>
      <c r="K7675">
        <v>1.1127830000000001</v>
      </c>
      <c r="L7675">
        <v>139.96100000000001</v>
      </c>
      <c r="M7675">
        <v>0.99643269999999995</v>
      </c>
      <c r="N7675">
        <v>0</v>
      </c>
      <c r="O7675">
        <v>-8.3270780000000003E-2</v>
      </c>
      <c r="P7675">
        <v>0.99282530000000002</v>
      </c>
      <c r="Q7675">
        <v>2.7689680000000001E-2</v>
      </c>
      <c r="R7675">
        <v>-0.1163259</v>
      </c>
      <c r="S7675">
        <v>3.0230410000000001</v>
      </c>
      <c r="T7675">
        <v>-0.18818029999999999</v>
      </c>
      <c r="U7675">
        <v>-3.6056520000000002E-2</v>
      </c>
      <c r="V7675">
        <v>3.3064320000000001E-2</v>
      </c>
      <c r="W7675">
        <v>4.1533269999999997E-2</v>
      </c>
      <c r="X7675">
        <v>0.99858990000000003</v>
      </c>
      <c r="Y7675">
        <v>-7.1089349999999996E-2</v>
      </c>
      <c r="Z7675">
        <v>7.3840290000000003E-3</v>
      </c>
      <c r="AA7675">
        <v>0.99744259999999996</v>
      </c>
      <c r="AB7675">
        <v>22</v>
      </c>
      <c r="AC7675">
        <v>17.6281999999999</v>
      </c>
      <c r="AD7675">
        <v>-1.112784095981</v>
      </c>
      <c r="AE7675">
        <v>-0.19580000000001899</v>
      </c>
      <c r="AF7675">
        <v>-1.2678803890580901</v>
      </c>
      <c r="AG7675">
        <v>-1.112784095981</v>
      </c>
      <c r="AH7675">
        <v>17.513491891050499</v>
      </c>
      <c r="AI7675">
        <v>93.6261463261431</v>
      </c>
      <c r="AJ7675">
        <v>94.140675357542406</v>
      </c>
      <c r="AK7675">
        <v>17.5945505013092</v>
      </c>
      <c r="AL7675">
        <v>87.619634284445297</v>
      </c>
      <c r="AM7675">
        <v>88.103571721283799</v>
      </c>
      <c r="AN7675">
        <v>1.0000000250779799</v>
      </c>
    </row>
    <row r="7676" spans="1:40" x14ac:dyDescent="0.25">
      <c r="A7676" t="str">
        <f>"20190312154448425"</f>
        <v>20190312154448425</v>
      </c>
      <c r="B7676" t="str">
        <f>"1552376688415533"</f>
        <v>1552376688415533</v>
      </c>
      <c r="C7676" t="s">
        <v>40</v>
      </c>
      <c r="D7676">
        <v>5.270448</v>
      </c>
      <c r="E7676">
        <v>0.46478219999999998</v>
      </c>
      <c r="F7676" t="s">
        <v>43</v>
      </c>
      <c r="G7676">
        <v>-125.6927</v>
      </c>
      <c r="H7676" s="1">
        <v>-1.8421900000000001E-6</v>
      </c>
      <c r="I7676">
        <v>139.66159999999999</v>
      </c>
      <c r="J7676">
        <v>-144.8991</v>
      </c>
      <c r="K7676">
        <v>1.1127670000000001</v>
      </c>
      <c r="L7676">
        <v>139.946</v>
      </c>
      <c r="M7676">
        <v>0.99669370000000002</v>
      </c>
      <c r="N7676">
        <v>0</v>
      </c>
      <c r="O7676">
        <v>-8.0088210000000007E-2</v>
      </c>
      <c r="P7676">
        <v>0.99302939999999995</v>
      </c>
      <c r="Q7676">
        <v>3.033402E-2</v>
      </c>
      <c r="R7676">
        <v>-0.1138977</v>
      </c>
      <c r="S7676">
        <v>3.0210569999999999</v>
      </c>
      <c r="T7676">
        <v>-0.17300260000000001</v>
      </c>
      <c r="U7676">
        <v>-4.6554570000000003E-2</v>
      </c>
      <c r="V7676">
        <v>3.3808890000000001E-2</v>
      </c>
      <c r="W7676">
        <v>4.4171559999999999E-2</v>
      </c>
      <c r="X7676">
        <v>0.99845170000000005</v>
      </c>
      <c r="Y7676">
        <v>-6.4490980000000003E-2</v>
      </c>
      <c r="Z7676">
        <v>6.4232419999999896E-3</v>
      </c>
      <c r="AA7676">
        <v>0.99789760000000005</v>
      </c>
      <c r="AB7676">
        <v>22</v>
      </c>
      <c r="AC7676">
        <v>19.206399999999999</v>
      </c>
      <c r="AD7676">
        <v>-1.1127688421899999</v>
      </c>
      <c r="AE7676">
        <v>-0.28440000000000498</v>
      </c>
      <c r="AF7676">
        <v>-1.2506669407268201</v>
      </c>
      <c r="AG7676">
        <v>-1.1127688421899999</v>
      </c>
      <c r="AH7676">
        <v>19.103361451557902</v>
      </c>
      <c r="AI7676">
        <v>93.326600770414601</v>
      </c>
      <c r="AJ7676">
        <v>93.745718883176394</v>
      </c>
      <c r="AK7676">
        <v>19.176570106294999</v>
      </c>
      <c r="AL7676">
        <v>87.468332270160502</v>
      </c>
      <c r="AM7676">
        <v>88.060630413099005</v>
      </c>
      <c r="AN7676">
        <v>0.99999998249437705</v>
      </c>
    </row>
    <row r="7677" spans="1:40" x14ac:dyDescent="0.25">
      <c r="A7677" t="str">
        <f>"20190312154448449"</f>
        <v>20190312154448449</v>
      </c>
      <c r="B7677" t="str">
        <f>"1552376688444812"</f>
        <v>1552376688444812</v>
      </c>
      <c r="C7677" t="s">
        <v>40</v>
      </c>
      <c r="D7677">
        <v>5.3232080000000002</v>
      </c>
      <c r="E7677">
        <v>0.46564169999999999</v>
      </c>
      <c r="F7677" t="s">
        <v>43</v>
      </c>
      <c r="G7677">
        <v>-124.6943</v>
      </c>
      <c r="H7677" s="1">
        <v>-2.2612230000000001E-6</v>
      </c>
      <c r="I7677">
        <v>139.60050000000001</v>
      </c>
      <c r="J7677">
        <v>-144.6661</v>
      </c>
      <c r="K7677">
        <v>1.1127400000000001</v>
      </c>
      <c r="L7677">
        <v>139.93109999999999</v>
      </c>
      <c r="M7677">
        <v>0.99694919999999998</v>
      </c>
      <c r="N7677">
        <v>0</v>
      </c>
      <c r="O7677">
        <v>-7.6841090000000001E-2</v>
      </c>
      <c r="P7677">
        <v>0.99321440000000005</v>
      </c>
      <c r="Q7677">
        <v>3.2874309999999997E-2</v>
      </c>
      <c r="R7677">
        <v>-0.1115564</v>
      </c>
      <c r="S7677">
        <v>3.0202330000000002</v>
      </c>
      <c r="T7677">
        <v>-0.1663376</v>
      </c>
      <c r="U7677">
        <v>-5.1635739999999999E-2</v>
      </c>
      <c r="V7677">
        <v>3.4706090000000002E-2</v>
      </c>
      <c r="W7677">
        <v>4.6706669999999999E-2</v>
      </c>
      <c r="X7677">
        <v>0.99830560000000002</v>
      </c>
      <c r="Y7677">
        <v>-5.9587069999999999E-2</v>
      </c>
      <c r="Z7677">
        <v>5.8645370000000004E-3</v>
      </c>
      <c r="AA7677">
        <v>0.99820589999999998</v>
      </c>
      <c r="AB7677">
        <v>22</v>
      </c>
      <c r="AC7677">
        <v>19.971800000000002</v>
      </c>
      <c r="AD7677">
        <v>-1.112742261223</v>
      </c>
      <c r="AE7677">
        <v>-0.33059999999997502</v>
      </c>
      <c r="AF7677">
        <v>-1.2014480539067001</v>
      </c>
      <c r="AG7677">
        <v>-1.112742261223</v>
      </c>
      <c r="AH7677">
        <v>19.876461047464701</v>
      </c>
      <c r="AI7677">
        <v>93.198414653938997</v>
      </c>
      <c r="AJ7677">
        <v>93.459078980609803</v>
      </c>
      <c r="AK7677">
        <v>19.943805467802001</v>
      </c>
      <c r="AL7677">
        <v>87.322931117636202</v>
      </c>
      <c r="AM7677">
        <v>88.008914352308807</v>
      </c>
      <c r="AN7677">
        <v>1.0000000483484599</v>
      </c>
    </row>
    <row r="7678" spans="1:40" x14ac:dyDescent="0.25">
      <c r="A7678" t="str">
        <f>"20190312154448472"</f>
        <v>20190312154448472</v>
      </c>
      <c r="B7678" t="str">
        <f>"1552376688465308"</f>
        <v>1552376688465308</v>
      </c>
      <c r="C7678" t="s">
        <v>40</v>
      </c>
      <c r="D7678">
        <v>5.3454100000000002</v>
      </c>
      <c r="E7678">
        <v>0.46558260000000001</v>
      </c>
      <c r="F7678" t="s">
        <v>43</v>
      </c>
      <c r="G7678">
        <v>-124.8475</v>
      </c>
      <c r="H7678" s="1">
        <v>-2.196245E-6</v>
      </c>
      <c r="I7678">
        <v>139.59649999999999</v>
      </c>
      <c r="J7678">
        <v>-144.44479999999999</v>
      </c>
      <c r="K7678">
        <v>1.1127009999999999</v>
      </c>
      <c r="L7678">
        <v>139.9177</v>
      </c>
      <c r="M7678">
        <v>0.99717860000000003</v>
      </c>
      <c r="N7678">
        <v>0</v>
      </c>
      <c r="O7678">
        <v>-7.3804800000000004E-2</v>
      </c>
      <c r="P7678">
        <v>0.99340980000000001</v>
      </c>
      <c r="Q7678">
        <v>3.4885689999999997E-2</v>
      </c>
      <c r="R7678">
        <v>-0.109179</v>
      </c>
      <c r="S7678">
        <v>3.0204010000000001</v>
      </c>
      <c r="T7678">
        <v>-0.16958399999999901</v>
      </c>
      <c r="U7678">
        <v>-5.0994869999999998E-2</v>
      </c>
      <c r="V7678">
        <v>3.5357609999999998E-2</v>
      </c>
      <c r="W7678">
        <v>4.871139E-2</v>
      </c>
      <c r="X7678">
        <v>0.99818689999999999</v>
      </c>
      <c r="Y7678">
        <v>-5.6760810000000002E-2</v>
      </c>
      <c r="Z7678">
        <v>5.7293029999999998E-3</v>
      </c>
      <c r="AA7678">
        <v>0.99837140000000002</v>
      </c>
      <c r="AB7678">
        <v>22</v>
      </c>
      <c r="AC7678">
        <v>19.597299999999901</v>
      </c>
      <c r="AD7678">
        <v>-1.112703196245</v>
      </c>
      <c r="AE7678">
        <v>-0.32120000000000398</v>
      </c>
      <c r="AF7678">
        <v>-1.12256878384925</v>
      </c>
      <c r="AG7678">
        <v>-1.112703196245</v>
      </c>
      <c r="AH7678">
        <v>19.5046886411318</v>
      </c>
      <c r="AI7678">
        <v>93.259687212262094</v>
      </c>
      <c r="AJ7678">
        <v>93.293955547686807</v>
      </c>
      <c r="AK7678">
        <v>19.568626626948099</v>
      </c>
      <c r="AL7678">
        <v>87.207938094607002</v>
      </c>
      <c r="AM7678">
        <v>87.971326627175799</v>
      </c>
      <c r="AN7678">
        <v>1.00000002371612</v>
      </c>
    </row>
    <row r="7679" spans="1:40" x14ac:dyDescent="0.25">
      <c r="A7679" t="str">
        <f>"20190312154448492"</f>
        <v>20190312154448492</v>
      </c>
      <c r="B7679" t="str">
        <f>"1552376688484828"</f>
        <v>1552376688484828</v>
      </c>
      <c r="C7679" t="s">
        <v>40</v>
      </c>
      <c r="D7679">
        <v>5.3472660000000003</v>
      </c>
      <c r="E7679">
        <v>0.46609200000000001</v>
      </c>
      <c r="F7679" t="s">
        <v>43</v>
      </c>
      <c r="G7679">
        <v>-125.04</v>
      </c>
      <c r="H7679" s="1">
        <v>-2.1168459999999998E-6</v>
      </c>
      <c r="I7679">
        <v>139.6414</v>
      </c>
      <c r="J7679">
        <v>-144.24690000000001</v>
      </c>
      <c r="K7679">
        <v>1.112679</v>
      </c>
      <c r="L7679">
        <v>139.90629999999999</v>
      </c>
      <c r="M7679">
        <v>0.99737379999999998</v>
      </c>
      <c r="N7679">
        <v>0</v>
      </c>
      <c r="O7679">
        <v>-7.1120840000000005E-2</v>
      </c>
      <c r="P7679">
        <v>0.99360190000000004</v>
      </c>
      <c r="Q7679">
        <v>3.6610520000000001E-2</v>
      </c>
      <c r="R7679">
        <v>-0.1068412</v>
      </c>
      <c r="S7679">
        <v>3.021255</v>
      </c>
      <c r="T7679">
        <v>-0.17324339999999999</v>
      </c>
      <c r="U7679">
        <v>-4.3014530000000002E-2</v>
      </c>
      <c r="V7679">
        <v>3.5696350000000002E-2</v>
      </c>
      <c r="W7679">
        <v>5.0429710000000003E-2</v>
      </c>
      <c r="X7679">
        <v>0.99808949999999996</v>
      </c>
      <c r="Y7679">
        <v>-5.6710749999999997E-2</v>
      </c>
      <c r="Z7679">
        <v>5.6964310000000001E-3</v>
      </c>
      <c r="AA7679">
        <v>0.9983744</v>
      </c>
      <c r="AB7679">
        <v>22</v>
      </c>
      <c r="AC7679">
        <v>19.206900000000001</v>
      </c>
      <c r="AD7679">
        <v>-1.112681116846</v>
      </c>
      <c r="AE7679">
        <v>-0.26489999999998298</v>
      </c>
      <c r="AF7679">
        <v>-1.0982247736847599</v>
      </c>
      <c r="AG7679">
        <v>-1.112681116846</v>
      </c>
      <c r="AH7679">
        <v>19.1129634138643</v>
      </c>
      <c r="AI7679">
        <v>93.326298893248705</v>
      </c>
      <c r="AJ7679">
        <v>93.288581163804693</v>
      </c>
      <c r="AK7679">
        <v>19.176796588091399</v>
      </c>
      <c r="AL7679">
        <v>87.109364398918004</v>
      </c>
      <c r="AM7679">
        <v>87.9517079051259</v>
      </c>
      <c r="AN7679">
        <v>1.00000001753212</v>
      </c>
    </row>
    <row r="7680" spans="1:40" x14ac:dyDescent="0.25">
      <c r="A7680" t="str">
        <f>"20190312154448510"</f>
        <v>20190312154448510</v>
      </c>
      <c r="B7680" t="str">
        <f>"1552376688505324"</f>
        <v>1552376688505324</v>
      </c>
      <c r="C7680" t="s">
        <v>40</v>
      </c>
      <c r="D7680">
        <v>5.3356919999999999</v>
      </c>
      <c r="E7680">
        <v>0.46663860000000001</v>
      </c>
      <c r="F7680" t="s">
        <v>43</v>
      </c>
      <c r="G7680">
        <v>-125.3241</v>
      </c>
      <c r="H7680" s="1">
        <v>-1.999549E-6</v>
      </c>
      <c r="I7680">
        <v>139.65880000000001</v>
      </c>
      <c r="J7680">
        <v>-144.0805</v>
      </c>
      <c r="K7680">
        <v>1.1126659999999999</v>
      </c>
      <c r="L7680">
        <v>139.89699999999999</v>
      </c>
      <c r="M7680">
        <v>0.99753049999999999</v>
      </c>
      <c r="N7680">
        <v>0</v>
      </c>
      <c r="O7680">
        <v>-6.888648E-2</v>
      </c>
      <c r="P7680">
        <v>0.99375530000000001</v>
      </c>
      <c r="Q7680">
        <v>3.9266719999999998E-2</v>
      </c>
      <c r="R7680">
        <v>-0.10444489999999899</v>
      </c>
      <c r="S7680">
        <v>3.0216059999999998</v>
      </c>
      <c r="T7680">
        <v>-0.1776732</v>
      </c>
      <c r="U7680">
        <v>-3.9520260000000001E-2</v>
      </c>
      <c r="V7680">
        <v>3.5524489999999999E-2</v>
      </c>
      <c r="W7680">
        <v>5.3077359999999997E-2</v>
      </c>
      <c r="X7680">
        <v>0.99795829999999996</v>
      </c>
      <c r="Y7680">
        <v>-5.5625170000000002E-2</v>
      </c>
      <c r="Z7680">
        <v>5.6783609999999998E-3</v>
      </c>
      <c r="AA7680">
        <v>0.99843559999999998</v>
      </c>
      <c r="AB7680">
        <v>22</v>
      </c>
      <c r="AC7680">
        <v>18.756399999999999</v>
      </c>
      <c r="AD7680">
        <v>-1.1126679995490001</v>
      </c>
      <c r="AE7680">
        <v>-0.23820000000000599</v>
      </c>
      <c r="AF7680">
        <v>-1.0508520433950199</v>
      </c>
      <c r="AG7680">
        <v>-1.1126679995490001</v>
      </c>
      <c r="AH7680">
        <v>18.6625812029042</v>
      </c>
      <c r="AI7680">
        <v>93.406567191603799</v>
      </c>
      <c r="AJ7680">
        <v>93.222805787884496</v>
      </c>
      <c r="AK7680">
        <v>18.725230499230801</v>
      </c>
      <c r="AL7680">
        <v>86.957461511313397</v>
      </c>
      <c r="AM7680">
        <v>87.961293299284193</v>
      </c>
      <c r="AN7680">
        <v>0.999999982036609</v>
      </c>
    </row>
    <row r="7681" spans="1:40" x14ac:dyDescent="0.25">
      <c r="A7681" t="str">
        <f>"20190312154448532"</f>
        <v>20190312154448532</v>
      </c>
      <c r="B7681" t="str">
        <f>"1552376688525352"</f>
        <v>1552376688525352</v>
      </c>
      <c r="C7681" t="s">
        <v>40</v>
      </c>
      <c r="D7681">
        <v>5.3246779999999996</v>
      </c>
      <c r="E7681">
        <v>0.46702719999999998</v>
      </c>
      <c r="F7681" t="s">
        <v>43</v>
      </c>
      <c r="G7681">
        <v>-125.24039999999999</v>
      </c>
      <c r="H7681" s="1">
        <v>-2.038903E-6</v>
      </c>
      <c r="I7681">
        <v>139.67160000000001</v>
      </c>
      <c r="J7681">
        <v>-143.87690000000001</v>
      </c>
      <c r="K7681">
        <v>1.112641</v>
      </c>
      <c r="L7681">
        <v>139.8861</v>
      </c>
      <c r="M7681">
        <v>0.99771279999999996</v>
      </c>
      <c r="N7681">
        <v>0</v>
      </c>
      <c r="O7681">
        <v>-6.6195039999999997E-2</v>
      </c>
      <c r="P7681">
        <v>0.99395999999999995</v>
      </c>
      <c r="Q7681">
        <v>4.1593890000000001E-2</v>
      </c>
      <c r="R7681">
        <v>-0.1015551</v>
      </c>
      <c r="S7681">
        <v>3.022125</v>
      </c>
      <c r="T7681">
        <v>-0.1784819</v>
      </c>
      <c r="U7681">
        <v>-3.6148069999999997E-2</v>
      </c>
      <c r="V7681">
        <v>3.5316180000000003E-2</v>
      </c>
      <c r="W7681">
        <v>5.5395199999999999E-2</v>
      </c>
      <c r="X7681">
        <v>0.9978397</v>
      </c>
      <c r="Y7681">
        <v>-5.4053120000000003E-2</v>
      </c>
      <c r="Z7681">
        <v>5.4983649999999998E-3</v>
      </c>
      <c r="AA7681">
        <v>0.99852289999999999</v>
      </c>
      <c r="AB7681">
        <v>21</v>
      </c>
      <c r="AC7681">
        <v>18.636500000000002</v>
      </c>
      <c r="AD7681">
        <v>-1.112643038903</v>
      </c>
      <c r="AE7681">
        <v>-0.21449999999998601</v>
      </c>
      <c r="AF7681">
        <v>-1.0161087035740299</v>
      </c>
      <c r="AG7681">
        <v>-1.112643038903</v>
      </c>
      <c r="AH7681">
        <v>18.5437291280038</v>
      </c>
      <c r="AI7681">
        <v>93.428558747138794</v>
      </c>
      <c r="AJ7681">
        <v>93.1364013625914</v>
      </c>
      <c r="AK7681">
        <v>18.604847255548101</v>
      </c>
      <c r="AL7681">
        <v>86.824463215213996</v>
      </c>
      <c r="AM7681">
        <v>87.972997260604998</v>
      </c>
      <c r="AN7681">
        <v>0.99999996382445999</v>
      </c>
    </row>
    <row r="7682" spans="1:40" x14ac:dyDescent="0.25">
      <c r="A7682" t="str">
        <f>"20190312154448553"</f>
        <v>20190312154448553</v>
      </c>
      <c r="B7682" t="str">
        <f>"1552376688544872"</f>
        <v>1552376688544872</v>
      </c>
      <c r="C7682" t="s">
        <v>40</v>
      </c>
      <c r="D7682">
        <v>5.2978389999999997</v>
      </c>
      <c r="E7682">
        <v>0.46772069999999999</v>
      </c>
      <c r="F7682" t="s">
        <v>43</v>
      </c>
      <c r="G7682">
        <v>-125.0915</v>
      </c>
      <c r="H7682" s="1">
        <v>-2.1099290000000001E-6</v>
      </c>
      <c r="I7682">
        <v>139.6986</v>
      </c>
      <c r="J7682">
        <v>-143.66569999999999</v>
      </c>
      <c r="K7682">
        <v>1.112614</v>
      </c>
      <c r="L7682">
        <v>139.87540000000001</v>
      </c>
      <c r="M7682">
        <v>0.99789119999999998</v>
      </c>
      <c r="N7682">
        <v>0</v>
      </c>
      <c r="O7682">
        <v>-6.3450809999999996E-2</v>
      </c>
      <c r="P7682">
        <v>0.99421360000000003</v>
      </c>
      <c r="Q7682">
        <v>4.2201210000000003E-2</v>
      </c>
      <c r="R7682">
        <v>-9.8785429999999994E-2</v>
      </c>
      <c r="S7682">
        <v>3.0226440000000001</v>
      </c>
      <c r="T7682">
        <v>-0.17902889999999999</v>
      </c>
      <c r="U7682">
        <v>-3.016663E-2</v>
      </c>
      <c r="V7682">
        <v>3.528365E-2</v>
      </c>
      <c r="W7682">
        <v>5.5995080000000003E-2</v>
      </c>
      <c r="X7682">
        <v>0.99780740000000001</v>
      </c>
      <c r="Y7682">
        <v>-5.328956E-2</v>
      </c>
      <c r="Z7682">
        <v>5.3296469999999999E-3</v>
      </c>
      <c r="AA7682">
        <v>0.99856489999999998</v>
      </c>
      <c r="AB7682">
        <v>21</v>
      </c>
      <c r="AC7682">
        <v>18.574199999999902</v>
      </c>
      <c r="AD7682">
        <v>-1.112616109929</v>
      </c>
      <c r="AE7682">
        <v>-0.176800000000014</v>
      </c>
      <c r="AF7682">
        <v>-0.998631741673906</v>
      </c>
      <c r="AG7682">
        <v>-1.112616109929</v>
      </c>
      <c r="AH7682">
        <v>18.481675522293699</v>
      </c>
      <c r="AI7682">
        <v>93.440101542377704</v>
      </c>
      <c r="AJ7682">
        <v>93.092890403832001</v>
      </c>
      <c r="AK7682">
        <v>18.5420470842597</v>
      </c>
      <c r="AL7682">
        <v>86.790039293073505</v>
      </c>
      <c r="AM7682">
        <v>87.974797291697598</v>
      </c>
      <c r="AN7682">
        <v>0.99999999621814395</v>
      </c>
    </row>
    <row r="7683" spans="1:40" x14ac:dyDescent="0.25">
      <c r="A7683" t="str">
        <f>"20190312154448579"</f>
        <v>20190312154448579</v>
      </c>
      <c r="B7683" t="str">
        <f>"1552376688565368"</f>
        <v>1552376688565368</v>
      </c>
      <c r="C7683" t="s">
        <v>40</v>
      </c>
      <c r="D7683">
        <v>5.3121689999999999</v>
      </c>
      <c r="E7683">
        <v>0.46844259999999899</v>
      </c>
      <c r="F7683" t="s">
        <v>43</v>
      </c>
      <c r="G7683">
        <v>-125.2881</v>
      </c>
      <c r="H7683" s="1">
        <v>-2.0291979999999999E-6</v>
      </c>
      <c r="I7683">
        <v>139.71209999999999</v>
      </c>
      <c r="J7683">
        <v>-143.42580000000001</v>
      </c>
      <c r="K7683">
        <v>1.112592</v>
      </c>
      <c r="L7683">
        <v>139.8638</v>
      </c>
      <c r="M7683">
        <v>0.9980812</v>
      </c>
      <c r="N7683">
        <v>0</v>
      </c>
      <c r="O7683">
        <v>-6.0387870000000003E-2</v>
      </c>
      <c r="P7683">
        <v>0.99443139999999997</v>
      </c>
      <c r="Q7683">
        <v>4.2509730000000003E-2</v>
      </c>
      <c r="R7683">
        <v>-9.6432420000000005E-2</v>
      </c>
      <c r="S7683">
        <v>3.0225680000000001</v>
      </c>
      <c r="T7683">
        <v>-0.18299199999999999</v>
      </c>
      <c r="U7683">
        <v>-2.684021E-2</v>
      </c>
      <c r="V7683">
        <v>3.5989739999999999E-2</v>
      </c>
      <c r="W7683">
        <v>5.6297390000000003E-2</v>
      </c>
      <c r="X7683">
        <v>0.99776520000000002</v>
      </c>
      <c r="Y7683">
        <v>-5.1323359999999998E-2</v>
      </c>
      <c r="Z7683">
        <v>5.2031639999999997E-3</v>
      </c>
      <c r="AA7683">
        <v>0.99866860000000002</v>
      </c>
      <c r="AB7683">
        <v>21</v>
      </c>
      <c r="AC7683">
        <v>18.137699999999999</v>
      </c>
      <c r="AD7683">
        <v>-1.1125940291979901</v>
      </c>
      <c r="AE7683">
        <v>-0.151700000000005</v>
      </c>
      <c r="AF7683">
        <v>-0.94043810726442101</v>
      </c>
      <c r="AG7683">
        <v>-1.1125940291979901</v>
      </c>
      <c r="AH7683">
        <v>18.045856092370801</v>
      </c>
      <c r="AI7683">
        <v>93.523262818800205</v>
      </c>
      <c r="AJ7683">
        <v>92.983202017639201</v>
      </c>
      <c r="AK7683">
        <v>18.104563275979899</v>
      </c>
      <c r="AL7683">
        <v>86.772690935576193</v>
      </c>
      <c r="AM7683">
        <v>87.934216777399698</v>
      </c>
      <c r="AN7683">
        <v>1.00000002591855</v>
      </c>
    </row>
    <row r="7684" spans="1:40" x14ac:dyDescent="0.25">
      <c r="A7684" t="str">
        <f>"20190312154448599"</f>
        <v>20190312154448599</v>
      </c>
      <c r="B7684" t="str">
        <f>"1552376688584888"</f>
        <v>1552376688584888</v>
      </c>
      <c r="C7684" t="s">
        <v>40</v>
      </c>
      <c r="D7684">
        <v>5.3601809999999999</v>
      </c>
      <c r="E7684">
        <v>0.46889690000000001</v>
      </c>
      <c r="F7684" t="s">
        <v>43</v>
      </c>
      <c r="G7684">
        <v>-125.4846</v>
      </c>
      <c r="H7684" s="1">
        <v>-1.9462729999999998E-6</v>
      </c>
      <c r="I7684">
        <v>139.71729999999999</v>
      </c>
      <c r="J7684">
        <v>-143.2475</v>
      </c>
      <c r="K7684">
        <v>1.1125929999999999</v>
      </c>
      <c r="L7684">
        <v>139.85560000000001</v>
      </c>
      <c r="M7684">
        <v>0.9982143</v>
      </c>
      <c r="N7684">
        <v>0</v>
      </c>
      <c r="O7684">
        <v>-5.8148539999999999E-2</v>
      </c>
      <c r="P7684">
        <v>0.9944248</v>
      </c>
      <c r="Q7684">
        <v>4.481247E-2</v>
      </c>
      <c r="R7684">
        <v>-9.5453040000000003E-2</v>
      </c>
      <c r="S7684">
        <v>3.0224150000000001</v>
      </c>
      <c r="T7684">
        <v>-0.18743070000000001</v>
      </c>
      <c r="U7684">
        <v>-2.4673460000000001E-2</v>
      </c>
      <c r="V7684">
        <v>3.7247130000000003E-2</v>
      </c>
      <c r="W7684">
        <v>5.8595759999999997E-2</v>
      </c>
      <c r="X7684">
        <v>0.99758670000000005</v>
      </c>
      <c r="Y7684">
        <v>-4.9795399999999997E-2</v>
      </c>
      <c r="Z7684">
        <v>5.1435630000000003E-3</v>
      </c>
      <c r="AA7684">
        <v>0.99874620000000003</v>
      </c>
      <c r="AB7684">
        <v>21</v>
      </c>
      <c r="AC7684">
        <v>17.762899999999998</v>
      </c>
      <c r="AD7684">
        <v>-1.112594946273</v>
      </c>
      <c r="AE7684">
        <v>-0.13830000000001499</v>
      </c>
      <c r="AF7684">
        <v>-0.89142026749709802</v>
      </c>
      <c r="AG7684">
        <v>-1.112594946273</v>
      </c>
      <c r="AH7684">
        <v>17.671555417367799</v>
      </c>
      <c r="AI7684">
        <v>93.598004410682293</v>
      </c>
      <c r="AJ7684">
        <v>92.887768667159406</v>
      </c>
      <c r="AK7684">
        <v>17.728969752269201</v>
      </c>
      <c r="AL7684">
        <v>86.640786152004793</v>
      </c>
      <c r="AM7684">
        <v>87.861727225575294</v>
      </c>
      <c r="AN7684">
        <v>1.0000000179000501</v>
      </c>
    </row>
    <row r="7685" spans="1:40" x14ac:dyDescent="0.25">
      <c r="A7685" t="str">
        <f>"20190312154448630"</f>
        <v>20190312154448630</v>
      </c>
      <c r="B7685" t="str">
        <f>"1552376688615650"</f>
        <v>1552376688615650</v>
      </c>
      <c r="C7685" t="s">
        <v>40</v>
      </c>
      <c r="D7685">
        <v>5.3185710000000004</v>
      </c>
      <c r="E7685">
        <v>0.4694721</v>
      </c>
      <c r="F7685" t="s">
        <v>43</v>
      </c>
      <c r="G7685">
        <v>-124.8847</v>
      </c>
      <c r="H7685" s="1">
        <v>-2.1994690000000001E-6</v>
      </c>
      <c r="I7685">
        <v>139.70160000000001</v>
      </c>
      <c r="J7685">
        <v>-142.95939999999999</v>
      </c>
      <c r="K7685">
        <v>1.1125719999999999</v>
      </c>
      <c r="L7685">
        <v>139.8432</v>
      </c>
      <c r="M7685">
        <v>0.99841530000000001</v>
      </c>
      <c r="N7685">
        <v>0</v>
      </c>
      <c r="O7685">
        <v>-5.4591830000000001E-2</v>
      </c>
      <c r="P7685">
        <v>0.99448479999999995</v>
      </c>
      <c r="Q7685">
        <v>4.8982610000000003E-2</v>
      </c>
      <c r="R7685">
        <v>-9.2740409999999995E-2</v>
      </c>
      <c r="S7685">
        <v>3.0226440000000001</v>
      </c>
      <c r="T7685">
        <v>-0.18314050000000001</v>
      </c>
      <c r="U7685">
        <v>-2.5344849999999999E-2</v>
      </c>
      <c r="V7685">
        <v>3.808272E-2</v>
      </c>
      <c r="W7685">
        <v>6.2755630000000007E-2</v>
      </c>
      <c r="X7685">
        <v>0.99730209999999997</v>
      </c>
      <c r="Y7685">
        <v>-4.6038370000000002E-2</v>
      </c>
      <c r="Z7685">
        <v>4.6969079999999996E-3</v>
      </c>
      <c r="AA7685">
        <v>0.99892860000000006</v>
      </c>
      <c r="AB7685">
        <v>21</v>
      </c>
      <c r="AC7685">
        <v>18.0747</v>
      </c>
      <c r="AD7685">
        <v>-1.1125741994689999</v>
      </c>
      <c r="AE7685">
        <v>-0.14159999999998199</v>
      </c>
      <c r="AF7685">
        <v>-0.84224323583841298</v>
      </c>
      <c r="AG7685">
        <v>-1.1125741994689999</v>
      </c>
      <c r="AH7685">
        <v>17.987323667298199</v>
      </c>
      <c r="AI7685">
        <v>93.535556400911005</v>
      </c>
      <c r="AJ7685">
        <v>92.680874706447895</v>
      </c>
      <c r="AK7685">
        <v>18.041369341870499</v>
      </c>
      <c r="AL7685">
        <v>86.402003047429702</v>
      </c>
      <c r="AM7685">
        <v>87.813180676433205</v>
      </c>
      <c r="AN7685">
        <v>1.00000002066185</v>
      </c>
    </row>
    <row r="7686" spans="1:40" x14ac:dyDescent="0.25">
      <c r="A7686" t="str">
        <f>"20190312154448651"</f>
        <v>20190312154448651</v>
      </c>
      <c r="B7686" t="str">
        <f>"1552376688644931"</f>
        <v>1552376688644931</v>
      </c>
      <c r="C7686" t="s">
        <v>40</v>
      </c>
      <c r="D7686">
        <v>5.3542489999999896</v>
      </c>
      <c r="E7686">
        <v>0.469972</v>
      </c>
      <c r="F7686" t="s">
        <v>43</v>
      </c>
      <c r="G7686">
        <v>-123.7774</v>
      </c>
      <c r="H7686" s="1">
        <v>-2.6758170000000001E-6</v>
      </c>
      <c r="I7686">
        <v>139.70660000000001</v>
      </c>
      <c r="J7686">
        <v>-142.7422</v>
      </c>
      <c r="K7686">
        <v>1.112555</v>
      </c>
      <c r="L7686">
        <v>139.83449999999999</v>
      </c>
      <c r="M7686">
        <v>0.99855550000000004</v>
      </c>
      <c r="N7686">
        <v>0</v>
      </c>
      <c r="O7686">
        <v>-5.1966100000000001E-2</v>
      </c>
      <c r="P7686">
        <v>0.99442850000000005</v>
      </c>
      <c r="Q7686">
        <v>5.3500869999999999E-2</v>
      </c>
      <c r="R7686">
        <v>-9.0829270000000004E-2</v>
      </c>
      <c r="S7686">
        <v>3.023285</v>
      </c>
      <c r="T7686">
        <v>-0.1753527</v>
      </c>
      <c r="U7686">
        <v>-2.1530150000000001E-2</v>
      </c>
      <c r="V7686">
        <v>3.8790529999999997E-2</v>
      </c>
      <c r="W7686">
        <v>6.7265060000000002E-2</v>
      </c>
      <c r="X7686">
        <v>0.9969808</v>
      </c>
      <c r="Y7686">
        <v>-4.4695609999999997E-2</v>
      </c>
      <c r="Z7686">
        <v>4.3057089999999996E-3</v>
      </c>
      <c r="AA7686">
        <v>0.99899139999999997</v>
      </c>
      <c r="AB7686">
        <v>21</v>
      </c>
      <c r="AC7686">
        <v>18.9648</v>
      </c>
      <c r="AD7686">
        <v>-1.1125576758169999</v>
      </c>
      <c r="AE7686">
        <v>-0.127899999999982</v>
      </c>
      <c r="AF7686">
        <v>-0.854949241132819</v>
      </c>
      <c r="AG7686">
        <v>-1.1125576758169999</v>
      </c>
      <c r="AH7686">
        <v>18.8808424241228</v>
      </c>
      <c r="AI7686">
        <v>93.368822642239195</v>
      </c>
      <c r="AJ7686">
        <v>92.592656815357103</v>
      </c>
      <c r="AK7686">
        <v>18.9329061010583</v>
      </c>
      <c r="AL7686">
        <v>86.1430837405197</v>
      </c>
      <c r="AM7686">
        <v>87.771859641575602</v>
      </c>
      <c r="AN7686">
        <v>1.00000000454156</v>
      </c>
    </row>
    <row r="7687" spans="1:40" x14ac:dyDescent="0.25">
      <c r="A7687" t="str">
        <f>"20190312154448670"</f>
        <v>20190312154448670</v>
      </c>
      <c r="B7687" t="str">
        <f>"1552376688665427"</f>
        <v>1552376688665427</v>
      </c>
      <c r="C7687" t="s">
        <v>40</v>
      </c>
      <c r="D7687">
        <v>5.3963989999999997</v>
      </c>
      <c r="E7687">
        <v>0.47007369999999998</v>
      </c>
      <c r="F7687" t="s">
        <v>43</v>
      </c>
      <c r="G7687">
        <v>-122.4747</v>
      </c>
      <c r="H7687" s="1">
        <v>-3.233468E-6</v>
      </c>
      <c r="I7687">
        <v>139.702</v>
      </c>
      <c r="J7687">
        <v>-142.5635</v>
      </c>
      <c r="K7687">
        <v>1.1125320000000001</v>
      </c>
      <c r="L7687">
        <v>139.82769999999999</v>
      </c>
      <c r="M7687">
        <v>0.99866440000000001</v>
      </c>
      <c r="N7687">
        <v>0</v>
      </c>
      <c r="O7687">
        <v>-4.9832120000000001E-2</v>
      </c>
      <c r="P7687">
        <v>0.99448360000000002</v>
      </c>
      <c r="Q7687">
        <v>5.5780700000000003E-2</v>
      </c>
      <c r="R7687">
        <v>-8.8830759999999995E-2</v>
      </c>
      <c r="S7687">
        <v>3.0239410000000002</v>
      </c>
      <c r="T7687">
        <v>-0.1659948</v>
      </c>
      <c r="U7687">
        <v>-1.9760130000000001E-2</v>
      </c>
      <c r="V7687">
        <v>3.8919780000000001E-2</v>
      </c>
      <c r="W7687">
        <v>6.9537570000000007E-2</v>
      </c>
      <c r="X7687">
        <v>0.99681989999999998</v>
      </c>
      <c r="Y7687">
        <v>-4.3169440000000003E-2</v>
      </c>
      <c r="Z7687">
        <v>3.9166239999999996E-3</v>
      </c>
      <c r="AA7687">
        <v>0.99906010000000001</v>
      </c>
      <c r="AB7687">
        <v>21</v>
      </c>
      <c r="AC7687">
        <v>20.088799999999999</v>
      </c>
      <c r="AD7687">
        <v>-1.1125352334680001</v>
      </c>
      <c r="AE7687">
        <v>-0.12569999999999401</v>
      </c>
      <c r="AF7687">
        <v>-0.87293965365238002</v>
      </c>
      <c r="AG7687">
        <v>-1.1125352334680001</v>
      </c>
      <c r="AH7687">
        <v>20.0087364596369</v>
      </c>
      <c r="AI7687">
        <v>93.179491763522506</v>
      </c>
      <c r="AJ7687">
        <v>92.498111810020802</v>
      </c>
      <c r="AK7687">
        <v>20.0586463400656</v>
      </c>
      <c r="AL7687">
        <v>86.012573062708796</v>
      </c>
      <c r="AM7687">
        <v>87.764082518300398</v>
      </c>
      <c r="AN7687">
        <v>1.0000000679763701</v>
      </c>
    </row>
    <row r="7688" spans="1:40" x14ac:dyDescent="0.25">
      <c r="A7688" t="str">
        <f>"20190312154448689"</f>
        <v>20190312154448689</v>
      </c>
      <c r="B7688" t="str">
        <f>"1552376688684947"</f>
        <v>1552376688684947</v>
      </c>
      <c r="C7688" t="s">
        <v>40</v>
      </c>
      <c r="D7688">
        <v>5.3808360000000004</v>
      </c>
      <c r="E7688">
        <v>0.4702171</v>
      </c>
      <c r="F7688" t="s">
        <v>43</v>
      </c>
      <c r="G7688">
        <v>-121.70610000000001</v>
      </c>
      <c r="H7688" s="1">
        <v>-3.569925E-6</v>
      </c>
      <c r="I7688">
        <v>139.72739999999999</v>
      </c>
      <c r="J7688">
        <v>-142.37790000000001</v>
      </c>
      <c r="K7688">
        <v>1.1125</v>
      </c>
      <c r="L7688">
        <v>139.821</v>
      </c>
      <c r="M7688">
        <v>0.99877110000000002</v>
      </c>
      <c r="N7688">
        <v>0</v>
      </c>
      <c r="O7688">
        <v>-4.7643049999999999E-2</v>
      </c>
      <c r="P7688">
        <v>0.99474200000000002</v>
      </c>
      <c r="Q7688">
        <v>5.5023080000000002E-2</v>
      </c>
      <c r="R7688">
        <v>-8.637649E-2</v>
      </c>
      <c r="S7688">
        <v>3.024384</v>
      </c>
      <c r="T7688">
        <v>-0.1613204</v>
      </c>
      <c r="U7688">
        <v>-1.454163E-2</v>
      </c>
      <c r="V7688">
        <v>3.8648710000000003E-2</v>
      </c>
      <c r="W7688">
        <v>6.8774070000000007E-2</v>
      </c>
      <c r="X7688">
        <v>0.99688330000000003</v>
      </c>
      <c r="Y7688">
        <v>-4.2715919999999998E-2</v>
      </c>
      <c r="Z7688">
        <v>3.6773169999999998E-3</v>
      </c>
      <c r="AA7688">
        <v>0.99908050000000004</v>
      </c>
      <c r="AB7688">
        <v>21</v>
      </c>
      <c r="AC7688">
        <v>20.671800000000001</v>
      </c>
      <c r="AD7688">
        <v>-1.1125035699250001</v>
      </c>
      <c r="AE7688">
        <v>-9.3600000000009204E-2</v>
      </c>
      <c r="AF7688">
        <v>-0.88889126873343105</v>
      </c>
      <c r="AG7688">
        <v>-1.1125035699250001</v>
      </c>
      <c r="AH7688">
        <v>20.593137996307401</v>
      </c>
      <c r="AI7688">
        <v>93.089414163227204</v>
      </c>
      <c r="AJ7688">
        <v>92.471605990506603</v>
      </c>
      <c r="AK7688">
        <v>20.6423139307512</v>
      </c>
      <c r="AL7688">
        <v>86.056422924184403</v>
      </c>
      <c r="AM7688">
        <v>87.779780752113894</v>
      </c>
      <c r="AN7688">
        <v>0.99999995465395797</v>
      </c>
    </row>
    <row r="7689" spans="1:40" x14ac:dyDescent="0.25">
      <c r="A7689" t="str">
        <f>"20190312154448712"</f>
        <v>20190312154448712</v>
      </c>
      <c r="B7689" t="str">
        <f>"1552376688705444"</f>
        <v>1552376688705444</v>
      </c>
      <c r="C7689" t="s">
        <v>40</v>
      </c>
      <c r="D7689">
        <v>5.3833419999999998</v>
      </c>
      <c r="E7689">
        <v>0.4755298</v>
      </c>
      <c r="F7689" t="s">
        <v>43</v>
      </c>
      <c r="G7689">
        <v>-122.0324</v>
      </c>
      <c r="H7689" s="1">
        <v>-3.4407789999999998E-6</v>
      </c>
      <c r="I7689">
        <v>139.7681</v>
      </c>
      <c r="J7689">
        <v>-142.16970000000001</v>
      </c>
      <c r="K7689">
        <v>1.112449</v>
      </c>
      <c r="L7689">
        <v>139.81389999999999</v>
      </c>
      <c r="M7689">
        <v>0.99888379999999999</v>
      </c>
      <c r="N7689">
        <v>0</v>
      </c>
      <c r="O7689">
        <v>-4.522251E-2</v>
      </c>
      <c r="P7689">
        <v>0.99511309999999997</v>
      </c>
      <c r="Q7689">
        <v>5.2504540000000002E-2</v>
      </c>
      <c r="R7689">
        <v>-8.3628560000000005E-2</v>
      </c>
      <c r="S7689">
        <v>3.0243229999999999</v>
      </c>
      <c r="T7689">
        <v>-0.16537109999999999</v>
      </c>
      <c r="U7689">
        <v>-7.8582759999999904E-3</v>
      </c>
      <c r="V7689">
        <v>3.8316530000000001E-2</v>
      </c>
      <c r="W7689">
        <v>6.6250229999999993E-2</v>
      </c>
      <c r="X7689">
        <v>0.99706709999999998</v>
      </c>
      <c r="Y7689">
        <v>-4.2499879999999997E-2</v>
      </c>
      <c r="Z7689">
        <v>3.6315800000000001E-3</v>
      </c>
      <c r="AA7689">
        <v>0.99908989999999998</v>
      </c>
      <c r="AB7689">
        <v>21</v>
      </c>
      <c r="AC7689">
        <v>20.1373</v>
      </c>
      <c r="AD7689">
        <v>-1.112452440779</v>
      </c>
      <c r="AE7689">
        <v>-4.5799999999985602E-2</v>
      </c>
      <c r="AF7689">
        <v>-0.86235909423219304</v>
      </c>
      <c r="AG7689">
        <v>-1.112452440779</v>
      </c>
      <c r="AH7689">
        <v>20.0575539199594</v>
      </c>
      <c r="AI7689">
        <v>93.171620267739101</v>
      </c>
      <c r="AJ7689">
        <v>92.461871765127995</v>
      </c>
      <c r="AK7689">
        <v>20.106881481037199</v>
      </c>
      <c r="AL7689">
        <v>86.201359298868795</v>
      </c>
      <c r="AM7689">
        <v>87.799249723186193</v>
      </c>
      <c r="AN7689">
        <v>1.00000002567435</v>
      </c>
    </row>
    <row r="7690" spans="1:40" x14ac:dyDescent="0.25">
      <c r="A7690" t="str">
        <f>"20190312154448735"</f>
        <v>20190312154448735</v>
      </c>
      <c r="B7690" t="str">
        <f>"1552376688724963"</f>
        <v>1552376688724963</v>
      </c>
      <c r="C7690" t="s">
        <v>40</v>
      </c>
      <c r="D7690">
        <v>5.3612960000000003</v>
      </c>
      <c r="E7690">
        <v>0.4746303</v>
      </c>
      <c r="F7690" t="s">
        <v>41</v>
      </c>
      <c r="G7690">
        <v>-141.27869999999999</v>
      </c>
      <c r="H7690">
        <v>1.029625</v>
      </c>
      <c r="I7690">
        <v>139.80289999999999</v>
      </c>
      <c r="J7690">
        <v>-141.94909999999999</v>
      </c>
      <c r="K7690">
        <v>1.1124069999999999</v>
      </c>
      <c r="L7690">
        <v>139.80699999999999</v>
      </c>
      <c r="M7690">
        <v>0.99899490000000002</v>
      </c>
      <c r="N7690">
        <v>0</v>
      </c>
      <c r="O7690">
        <v>-4.2695799999999999E-2</v>
      </c>
      <c r="P7690">
        <v>0.99539069999999996</v>
      </c>
      <c r="Q7690">
        <v>5.0939669999999999E-2</v>
      </c>
      <c r="R7690">
        <v>-8.125723E-2</v>
      </c>
      <c r="S7690">
        <v>3.0265049999999998</v>
      </c>
      <c r="T7690">
        <v>-0.28153660000000003</v>
      </c>
      <c r="U7690">
        <v>-3.6773680000000003E-2</v>
      </c>
      <c r="V7690">
        <v>3.846873E-2</v>
      </c>
      <c r="W7690">
        <v>6.4680520000000005E-2</v>
      </c>
      <c r="X7690">
        <v>0.99716419999999995</v>
      </c>
      <c r="Y7690">
        <v>-3.0243309999999999E-2</v>
      </c>
      <c r="Z7690">
        <v>5.3658169999999897E-3</v>
      </c>
      <c r="AA7690">
        <v>0.99952819999999998</v>
      </c>
      <c r="AB7690">
        <v>21</v>
      </c>
      <c r="AC7690">
        <v>0.6704</v>
      </c>
      <c r="AD7690">
        <v>-8.2781999999999897E-2</v>
      </c>
      <c r="AE7690">
        <v>-4.1000000000224104E-3</v>
      </c>
      <c r="AF7690">
        <v>-2.4161280035906601E-2</v>
      </c>
      <c r="AG7690">
        <v>-8.2781999999999897E-2</v>
      </c>
      <c r="AH7690">
        <v>0.65990203003821402</v>
      </c>
      <c r="AI7690">
        <v>97.1454315182214</v>
      </c>
      <c r="AJ7690">
        <v>92.096858652758897</v>
      </c>
      <c r="AK7690">
        <v>0.66551282198431705</v>
      </c>
      <c r="AL7690">
        <v>86.291490044220495</v>
      </c>
      <c r="AM7690">
        <v>87.790731540383206</v>
      </c>
      <c r="AN7690">
        <v>0.99999992730845899</v>
      </c>
    </row>
    <row r="7691" spans="1:40" x14ac:dyDescent="0.25">
      <c r="A7691" t="str">
        <f>"20190312154448755"</f>
        <v>20190312154448755</v>
      </c>
      <c r="B7691" t="str">
        <f>"1552376688745460"</f>
        <v>1552376688745460</v>
      </c>
      <c r="C7691" t="s">
        <v>40</v>
      </c>
      <c r="D7691">
        <v>5.3236610000000004</v>
      </c>
      <c r="E7691">
        <v>0.47478169999999997</v>
      </c>
      <c r="F7691" t="s">
        <v>43</v>
      </c>
      <c r="G7691">
        <v>-129.83349999999999</v>
      </c>
      <c r="H7691" s="1">
        <v>-8.0285550000000004E-8</v>
      </c>
      <c r="I7691">
        <v>139.7159</v>
      </c>
      <c r="J7691">
        <v>-141.75980000000001</v>
      </c>
      <c r="K7691">
        <v>1.1123749999999999</v>
      </c>
      <c r="L7691">
        <v>139.8014</v>
      </c>
      <c r="M7691">
        <v>0.99908390000000002</v>
      </c>
      <c r="N7691">
        <v>0</v>
      </c>
      <c r="O7691">
        <v>-4.0561609999999998E-2</v>
      </c>
      <c r="P7691">
        <v>0.99559900000000001</v>
      </c>
      <c r="Q7691">
        <v>4.866268E-2</v>
      </c>
      <c r="R7691">
        <v>-8.0090309999999998E-2</v>
      </c>
      <c r="S7691">
        <v>3.0262449999999999</v>
      </c>
      <c r="T7691">
        <v>-0.27785650000000001</v>
      </c>
      <c r="U7691">
        <v>-2.2735600000000002E-2</v>
      </c>
      <c r="V7691">
        <v>3.9437369999999999E-2</v>
      </c>
      <c r="W7691">
        <v>6.2401570000000003E-2</v>
      </c>
      <c r="X7691">
        <v>0.99727169999999998</v>
      </c>
      <c r="Y7691">
        <v>-3.2749559999999997E-2</v>
      </c>
      <c r="Z7691">
        <v>5.2160419999999997E-3</v>
      </c>
      <c r="AA7691">
        <v>0.99944999999999995</v>
      </c>
      <c r="AB7691">
        <v>21</v>
      </c>
      <c r="AC7691">
        <v>11.926299999999999</v>
      </c>
      <c r="AD7691">
        <v>-1.1123750802855501</v>
      </c>
      <c r="AE7691">
        <v>-8.5499999999996107E-2</v>
      </c>
      <c r="AF7691">
        <v>-0.39492983894828498</v>
      </c>
      <c r="AG7691">
        <v>-1.1123750802855501</v>
      </c>
      <c r="AH7691">
        <v>11.817154354146201</v>
      </c>
      <c r="AI7691">
        <v>95.374550583715404</v>
      </c>
      <c r="AJ7691">
        <v>91.914115159026096</v>
      </c>
      <c r="AK7691">
        <v>11.875962484222001</v>
      </c>
      <c r="AL7691">
        <v>86.422329144278095</v>
      </c>
      <c r="AM7691">
        <v>87.735403413414204</v>
      </c>
      <c r="AN7691">
        <v>1.0000000528559301</v>
      </c>
    </row>
    <row r="7692" spans="1:40" x14ac:dyDescent="0.25">
      <c r="A7692" t="str">
        <f>"20190312154448778"</f>
        <v>20190312154448778</v>
      </c>
      <c r="B7692" t="str">
        <f>"1552376688764980"</f>
        <v>1552376688764980</v>
      </c>
      <c r="C7692" t="s">
        <v>40</v>
      </c>
      <c r="D7692">
        <v>5.3449030000000004</v>
      </c>
      <c r="E7692">
        <v>0.47544809999999998</v>
      </c>
      <c r="F7692" t="s">
        <v>43</v>
      </c>
      <c r="G7692">
        <v>-130.10140000000001</v>
      </c>
      <c r="H7692" s="1">
        <v>-4.2572240000000003E-6</v>
      </c>
      <c r="I7692">
        <v>139.72319999999999</v>
      </c>
      <c r="J7692">
        <v>-141.5532</v>
      </c>
      <c r="K7692">
        <v>1.1123430000000001</v>
      </c>
      <c r="L7692">
        <v>139.79570000000001</v>
      </c>
      <c r="M7692">
        <v>0.99917420000000001</v>
      </c>
      <c r="N7692">
        <v>0</v>
      </c>
      <c r="O7692">
        <v>-3.8273250000000002E-2</v>
      </c>
      <c r="P7692">
        <v>0.99578319999999998</v>
      </c>
      <c r="Q7692">
        <v>4.5715369999999998E-2</v>
      </c>
      <c r="R7692">
        <v>-7.953781E-2</v>
      </c>
      <c r="S7692">
        <v>3.0257420000000002</v>
      </c>
      <c r="T7692">
        <v>-0.2886997</v>
      </c>
      <c r="U7692">
        <v>-2.029419E-2</v>
      </c>
      <c r="V7692">
        <v>4.117755E-2</v>
      </c>
      <c r="W7692">
        <v>5.9453989999999998E-2</v>
      </c>
      <c r="X7692">
        <v>0.99738139999999997</v>
      </c>
      <c r="Y7692">
        <v>-3.1258130000000002E-2</v>
      </c>
      <c r="Z7692">
        <v>5.130908E-3</v>
      </c>
      <c r="AA7692">
        <v>0.9994982</v>
      </c>
      <c r="AB7692">
        <v>21</v>
      </c>
      <c r="AC7692">
        <v>11.451799999999899</v>
      </c>
      <c r="AD7692">
        <v>-1.1123472572239901</v>
      </c>
      <c r="AE7692">
        <v>-7.2500000000019299E-2</v>
      </c>
      <c r="AF7692">
        <v>-0.362471801946114</v>
      </c>
      <c r="AG7692">
        <v>-1.1123472572239901</v>
      </c>
      <c r="AH7692">
        <v>11.3392039223511</v>
      </c>
      <c r="AI7692">
        <v>95.599803341747403</v>
      </c>
      <c r="AJ7692">
        <v>91.830907621018696</v>
      </c>
      <c r="AK7692">
        <v>11.399396818276101</v>
      </c>
      <c r="AL7692">
        <v>86.5915272932384</v>
      </c>
      <c r="AM7692">
        <v>87.635848518052001</v>
      </c>
      <c r="AN7692">
        <v>1.00000001230844</v>
      </c>
    </row>
    <row r="7693" spans="1:40" x14ac:dyDescent="0.25">
      <c r="A7693" t="str">
        <f>"20190312154448799"</f>
        <v>20190312154448799</v>
      </c>
      <c r="B7693" t="str">
        <f>"1552376688795235"</f>
        <v>1552376688795235</v>
      </c>
      <c r="C7693" t="s">
        <v>40</v>
      </c>
      <c r="D7693">
        <v>5.3757849999999996</v>
      </c>
      <c r="E7693">
        <v>0.51169089999999995</v>
      </c>
      <c r="F7693" t="s">
        <v>41</v>
      </c>
      <c r="G7693">
        <v>-140.71520000000001</v>
      </c>
      <c r="H7693">
        <v>1.0310060000000001</v>
      </c>
      <c r="I7693">
        <v>139.78909999999999</v>
      </c>
      <c r="J7693">
        <v>-141.34870000000001</v>
      </c>
      <c r="K7693">
        <v>1.1123190000000001</v>
      </c>
      <c r="L7693">
        <v>139.79050000000001</v>
      </c>
      <c r="M7693">
        <v>0.99925679999999995</v>
      </c>
      <c r="N7693">
        <v>0</v>
      </c>
      <c r="O7693">
        <v>-3.6054179999999998E-2</v>
      </c>
      <c r="P7693">
        <v>0.99588160000000003</v>
      </c>
      <c r="Q7693">
        <v>4.2716759999999999E-2</v>
      </c>
      <c r="R7693">
        <v>-7.9972000000000001E-2</v>
      </c>
      <c r="S7693">
        <v>3.0242460000000002</v>
      </c>
      <c r="T7693">
        <v>-0.29356650000000001</v>
      </c>
      <c r="U7693">
        <v>-2.3864750000000001E-2</v>
      </c>
      <c r="V7693">
        <v>4.38384E-2</v>
      </c>
      <c r="W7693">
        <v>5.6456880000000001E-2</v>
      </c>
      <c r="X7693">
        <v>0.9974421</v>
      </c>
      <c r="Y7693">
        <v>-2.7870260000000001E-2</v>
      </c>
      <c r="Z7693">
        <v>4.8406899999999999E-3</v>
      </c>
      <c r="AA7693">
        <v>0.99959980000000004</v>
      </c>
      <c r="AB7693">
        <v>21</v>
      </c>
      <c r="AC7693">
        <v>0.63349999999999795</v>
      </c>
      <c r="AD7693">
        <v>-8.1313000000000094E-2</v>
      </c>
      <c r="AE7693">
        <v>-1.40000000001805E-3</v>
      </c>
      <c r="AF7693">
        <v>-2.10958045040056E-2</v>
      </c>
      <c r="AG7693">
        <v>-8.1313000000000094E-2</v>
      </c>
      <c r="AH7693">
        <v>0.62287665185880903</v>
      </c>
      <c r="AI7693">
        <v>97.433363765042898</v>
      </c>
      <c r="AJ7693">
        <v>91.939772063953299</v>
      </c>
      <c r="AK7693">
        <v>0.62851583939270095</v>
      </c>
      <c r="AL7693">
        <v>86.763538073555594</v>
      </c>
      <c r="AM7693">
        <v>87.483422973230006</v>
      </c>
      <c r="AN7693">
        <v>0.99999996373315103</v>
      </c>
    </row>
    <row r="7694" spans="1:40" x14ac:dyDescent="0.25">
      <c r="A7694" t="str">
        <f>"20190312154448825"</f>
        <v>20190312154448825</v>
      </c>
      <c r="B7694" t="str">
        <f>"1552376688814756"</f>
        <v>1552376688814756</v>
      </c>
      <c r="C7694" t="s">
        <v>40</v>
      </c>
      <c r="D7694">
        <v>5.3121850000000004</v>
      </c>
      <c r="E7694">
        <v>0.51979839999999999</v>
      </c>
      <c r="F7694" t="s">
        <v>41</v>
      </c>
      <c r="G7694">
        <v>-140.57429999999999</v>
      </c>
      <c r="H7694">
        <v>0.97003289999999998</v>
      </c>
      <c r="I7694">
        <v>139.71270000000001</v>
      </c>
      <c r="J7694">
        <v>-141.10299999999901</v>
      </c>
      <c r="K7694">
        <v>1.11229</v>
      </c>
      <c r="L7694">
        <v>139.78479999999999</v>
      </c>
      <c r="M7694">
        <v>0.9993474</v>
      </c>
      <c r="N7694">
        <v>0</v>
      </c>
      <c r="O7694">
        <v>-3.345248E-2</v>
      </c>
      <c r="P7694">
        <v>0.99595979999999995</v>
      </c>
      <c r="Q7694">
        <v>4.1501240000000002E-2</v>
      </c>
      <c r="R7694">
        <v>-7.9637990000000006E-2</v>
      </c>
      <c r="S7694">
        <v>3.0118710000000002</v>
      </c>
      <c r="T7694">
        <v>-0.55348219999999904</v>
      </c>
      <c r="U7694">
        <v>-0.30235289999999998</v>
      </c>
      <c r="V7694">
        <v>4.6110020000000002E-2</v>
      </c>
      <c r="W7694">
        <v>5.5237130000000002E-2</v>
      </c>
      <c r="X7694">
        <v>0.99740799999999996</v>
      </c>
      <c r="Y7694">
        <v>6.6001560000000001E-2</v>
      </c>
      <c r="Z7694" s="1">
        <v>7.9300249999999993E-5</v>
      </c>
      <c r="AA7694">
        <v>0.99781949999999997</v>
      </c>
      <c r="AB7694">
        <v>21</v>
      </c>
      <c r="AC7694">
        <v>0.52869999999998596</v>
      </c>
      <c r="AD7694">
        <v>-0.1422571</v>
      </c>
      <c r="AE7694">
        <v>-7.2099999999977599E-2</v>
      </c>
      <c r="AF7694">
        <v>5.0763567708721702E-2</v>
      </c>
      <c r="AG7694">
        <v>-0.1422571</v>
      </c>
      <c r="AH7694">
        <v>0.49559123768746599</v>
      </c>
      <c r="AI7694">
        <v>105.936753451539</v>
      </c>
      <c r="AJ7694">
        <v>84.151572055416395</v>
      </c>
      <c r="AK7694">
        <v>0.51809718893227197</v>
      </c>
      <c r="AL7694">
        <v>86.833533951041503</v>
      </c>
      <c r="AM7694">
        <v>87.353109405867698</v>
      </c>
      <c r="AN7694">
        <v>0.99999999646951798</v>
      </c>
    </row>
    <row r="7695" spans="1:40" x14ac:dyDescent="0.25">
      <c r="A7695" t="str">
        <f>"20190312154448847"</f>
        <v>20190312154448847</v>
      </c>
      <c r="B7695" t="str">
        <f>"1552376688835251"</f>
        <v>1552376688835251</v>
      </c>
      <c r="C7695" t="s">
        <v>40</v>
      </c>
      <c r="D7695">
        <v>5.2895450000000004</v>
      </c>
      <c r="E7695">
        <v>0.52338450000000003</v>
      </c>
      <c r="F7695" t="s">
        <v>41</v>
      </c>
      <c r="G7695">
        <v>-140.3914</v>
      </c>
      <c r="H7695">
        <v>0.96201939999999997</v>
      </c>
      <c r="I7695">
        <v>139.69899999999899</v>
      </c>
      <c r="J7695">
        <v>-140.90100000000001</v>
      </c>
      <c r="K7695">
        <v>1.1122780000000001</v>
      </c>
      <c r="L7695">
        <v>139.78049999999999</v>
      </c>
      <c r="M7695">
        <v>0.99941480000000005</v>
      </c>
      <c r="N7695">
        <v>0</v>
      </c>
      <c r="O7695">
        <v>-3.1373779999999997E-2</v>
      </c>
      <c r="P7695">
        <v>0.99596050000000003</v>
      </c>
      <c r="Q7695">
        <v>4.1318140000000003E-2</v>
      </c>
      <c r="R7695">
        <v>-7.9719890000000002E-2</v>
      </c>
      <c r="S7695">
        <v>3.0096280000000002</v>
      </c>
      <c r="T7695">
        <v>-0.63551519999999995</v>
      </c>
      <c r="U7695">
        <v>-0.36293029999999998</v>
      </c>
      <c r="V7695">
        <v>4.8273410000000003E-2</v>
      </c>
      <c r="W7695">
        <v>5.5050490000000001E-2</v>
      </c>
      <c r="X7695">
        <v>0.99731590000000003</v>
      </c>
      <c r="Y7695">
        <v>8.7297769999999997E-2</v>
      </c>
      <c r="Z7695">
        <v>-2.558042E-3</v>
      </c>
      <c r="AA7695">
        <v>0.99617900000000004</v>
      </c>
      <c r="AB7695">
        <v>21</v>
      </c>
      <c r="AC7695">
        <v>0.50960000000000605</v>
      </c>
      <c r="AD7695">
        <v>-0.15025859999999999</v>
      </c>
      <c r="AE7695">
        <v>-8.1500000000005401E-2</v>
      </c>
      <c r="AF7695">
        <v>6.0353992093617199E-2</v>
      </c>
      <c r="AG7695">
        <v>-0.15025859999999999</v>
      </c>
      <c r="AH7695">
        <v>0.471902283784011</v>
      </c>
      <c r="AI7695">
        <v>107.528085316538</v>
      </c>
      <c r="AJ7695">
        <v>82.711716933997593</v>
      </c>
      <c r="AK7695">
        <v>0.49891083038571299</v>
      </c>
      <c r="AL7695">
        <v>86.844243757731505</v>
      </c>
      <c r="AM7695">
        <v>87.228856316403693</v>
      </c>
      <c r="AN7695">
        <v>0.99999994147753701</v>
      </c>
    </row>
    <row r="7696" spans="1:40" x14ac:dyDescent="0.25">
      <c r="A7696" t="str">
        <f>"20190312154448868"</f>
        <v>20190312154448868</v>
      </c>
      <c r="B7696" t="str">
        <f>"1552376688855748"</f>
        <v>1552376688855748</v>
      </c>
      <c r="C7696" t="s">
        <v>40</v>
      </c>
      <c r="D7696">
        <v>5.2843460000000002</v>
      </c>
      <c r="E7696">
        <v>0.525003</v>
      </c>
      <c r="F7696" t="s">
        <v>41</v>
      </c>
      <c r="G7696">
        <v>-140.20670000000001</v>
      </c>
      <c r="H7696">
        <v>0.95744609999999997</v>
      </c>
      <c r="I7696">
        <v>139.6902</v>
      </c>
      <c r="J7696">
        <v>-140.70509999999999</v>
      </c>
      <c r="K7696">
        <v>1.112287</v>
      </c>
      <c r="L7696">
        <v>139.77670000000001</v>
      </c>
      <c r="M7696">
        <v>0.99947439999999999</v>
      </c>
      <c r="N7696">
        <v>0</v>
      </c>
      <c r="O7696">
        <v>-2.9417039999999998E-2</v>
      </c>
      <c r="P7696">
        <v>0.99591039999999997</v>
      </c>
      <c r="Q7696">
        <v>4.2797170000000002E-2</v>
      </c>
      <c r="R7696">
        <v>-7.9568040000000007E-2</v>
      </c>
      <c r="S7696">
        <v>3.0087280000000001</v>
      </c>
      <c r="T7696">
        <v>-0.67114940000000001</v>
      </c>
      <c r="U7696">
        <v>-0.390625</v>
      </c>
      <c r="V7696">
        <v>5.0077610000000002E-2</v>
      </c>
      <c r="W7696">
        <v>5.6523530000000002E-2</v>
      </c>
      <c r="X7696">
        <v>0.99714460000000005</v>
      </c>
      <c r="Y7696">
        <v>9.7866159999999994E-2</v>
      </c>
      <c r="Z7696">
        <v>-4.2863479999999997E-3</v>
      </c>
      <c r="AA7696">
        <v>0.99519040000000003</v>
      </c>
      <c r="AB7696">
        <v>21</v>
      </c>
      <c r="AC7696">
        <v>0.49839999999997497</v>
      </c>
      <c r="AD7696">
        <v>-0.1548409</v>
      </c>
      <c r="AE7696">
        <v>-8.6500000000000896E-2</v>
      </c>
      <c r="AF7696">
        <v>6.5648646802435595E-2</v>
      </c>
      <c r="AG7696">
        <v>-0.1548409</v>
      </c>
      <c r="AH7696">
        <v>0.457831518521995</v>
      </c>
      <c r="AI7696">
        <v>108.50955727199</v>
      </c>
      <c r="AJ7696">
        <v>81.839957294442996</v>
      </c>
      <c r="AK7696">
        <v>0.48774496254903199</v>
      </c>
      <c r="AL7696">
        <v>86.7597133679118</v>
      </c>
      <c r="AM7696">
        <v>87.124963490061106</v>
      </c>
      <c r="AN7696">
        <v>1.0000000148880599</v>
      </c>
    </row>
    <row r="7697" spans="1:40" x14ac:dyDescent="0.25">
      <c r="A7697" t="str">
        <f>"20190312154448890"</f>
        <v>20190312154448890</v>
      </c>
      <c r="B7697" t="str">
        <f>"1552376688885028"</f>
        <v>1552376688885028</v>
      </c>
      <c r="C7697" t="s">
        <v>40</v>
      </c>
      <c r="D7697">
        <v>5.2433360000000002</v>
      </c>
      <c r="E7697">
        <v>0.52565189999999995</v>
      </c>
      <c r="F7697" t="s">
        <v>41</v>
      </c>
      <c r="G7697">
        <v>-139.85249999999999</v>
      </c>
      <c r="H7697">
        <v>0.91785139999999998</v>
      </c>
      <c r="I7697">
        <v>139.6628</v>
      </c>
      <c r="J7697">
        <v>-140.49379999999999</v>
      </c>
      <c r="K7697">
        <v>1.112279</v>
      </c>
      <c r="L7697">
        <v>139.77289999999999</v>
      </c>
      <c r="M7697">
        <v>0.99953259999999999</v>
      </c>
      <c r="N7697">
        <v>0</v>
      </c>
      <c r="O7697">
        <v>-2.7376210000000002E-2</v>
      </c>
      <c r="P7697">
        <v>0.99581660000000005</v>
      </c>
      <c r="Q7697">
        <v>4.5628849999999999E-2</v>
      </c>
      <c r="R7697">
        <v>-7.9169249999999997E-2</v>
      </c>
      <c r="S7697">
        <v>3.0097049999999999</v>
      </c>
      <c r="T7697">
        <v>-0.68651410000000002</v>
      </c>
      <c r="U7697">
        <v>-0.40171810000000002</v>
      </c>
      <c r="V7697">
        <v>5.1717310000000002E-2</v>
      </c>
      <c r="W7697">
        <v>5.9346900000000001E-2</v>
      </c>
      <c r="X7697">
        <v>0.99689680000000003</v>
      </c>
      <c r="Y7697">
        <v>0.1032011</v>
      </c>
      <c r="Z7697">
        <v>-5.4350930000000002E-3</v>
      </c>
      <c r="AA7697">
        <v>0.99464569999999997</v>
      </c>
      <c r="AB7697">
        <v>21</v>
      </c>
      <c r="AC7697">
        <v>0.64130000000000098</v>
      </c>
      <c r="AD7697">
        <v>-0.19442759999999901</v>
      </c>
      <c r="AE7697">
        <v>-0.110099999999988</v>
      </c>
      <c r="AF7697">
        <v>8.4918780799284693E-2</v>
      </c>
      <c r="AG7697">
        <v>-0.19442759999999901</v>
      </c>
      <c r="AH7697">
        <v>0.59128153549525697</v>
      </c>
      <c r="AI7697">
        <v>108.02926325161501</v>
      </c>
      <c r="AJ7697">
        <v>81.8271698079663</v>
      </c>
      <c r="AK7697">
        <v>0.62819355710785896</v>
      </c>
      <c r="AL7697">
        <v>86.597673849435594</v>
      </c>
      <c r="AM7697">
        <v>87.030254740435495</v>
      </c>
      <c r="AN7697">
        <v>0.99999998227174203</v>
      </c>
    </row>
    <row r="7698" spans="1:40" x14ac:dyDescent="0.25">
      <c r="A7698" t="str">
        <f>"20190312154448911"</f>
        <v>20190312154448911</v>
      </c>
      <c r="B7698" t="str">
        <f>"1552376688905523"</f>
        <v>1552376688905523</v>
      </c>
      <c r="C7698" t="s">
        <v>40</v>
      </c>
      <c r="D7698">
        <v>5.242286</v>
      </c>
      <c r="E7698">
        <v>0.52583219999999997</v>
      </c>
      <c r="F7698" t="s">
        <v>41</v>
      </c>
      <c r="G7698">
        <v>-139.66460000000001</v>
      </c>
      <c r="H7698">
        <v>0.92064239999999997</v>
      </c>
      <c r="I7698">
        <v>139.66139999999999</v>
      </c>
      <c r="J7698">
        <v>-140.3047</v>
      </c>
      <c r="K7698">
        <v>1.1122780000000001</v>
      </c>
      <c r="L7698">
        <v>139.76990000000001</v>
      </c>
      <c r="M7698">
        <v>0.99957980000000002</v>
      </c>
      <c r="N7698">
        <v>0</v>
      </c>
      <c r="O7698">
        <v>-2.5594550000000001E-2</v>
      </c>
      <c r="P7698">
        <v>0.99568590000000001</v>
      </c>
      <c r="Q7698">
        <v>4.9452370000000002E-2</v>
      </c>
      <c r="R7698">
        <v>-7.8513050000000001E-2</v>
      </c>
      <c r="S7698">
        <v>3.0123139999999999</v>
      </c>
      <c r="T7698">
        <v>-0.69628679999999998</v>
      </c>
      <c r="U7698">
        <v>-0.40502929999999998</v>
      </c>
      <c r="V7698">
        <v>5.2837830000000002E-2</v>
      </c>
      <c r="W7698">
        <v>6.3161079999999994E-2</v>
      </c>
      <c r="X7698">
        <v>0.99660369999999998</v>
      </c>
      <c r="Y7698">
        <v>0.1057712</v>
      </c>
      <c r="Z7698">
        <v>-6.2017309999999898E-3</v>
      </c>
      <c r="AA7698">
        <v>0.99437120000000001</v>
      </c>
      <c r="AB7698">
        <v>21</v>
      </c>
      <c r="AC7698">
        <v>0.64009999999998901</v>
      </c>
      <c r="AD7698">
        <v>-0.19163559999999999</v>
      </c>
      <c r="AE7698">
        <v>-0.10850000000002</v>
      </c>
      <c r="AF7698">
        <v>8.4700160179534495E-2</v>
      </c>
      <c r="AG7698">
        <v>-0.19163559999999999</v>
      </c>
      <c r="AH7698">
        <v>0.591161219895739</v>
      </c>
      <c r="AI7698">
        <v>107.790974133994</v>
      </c>
      <c r="AJ7698">
        <v>81.846290484339605</v>
      </c>
      <c r="AK7698">
        <v>0.62719208240412105</v>
      </c>
      <c r="AL7698">
        <v>86.378726390460201</v>
      </c>
      <c r="AM7698">
        <v>86.965139828033898</v>
      </c>
      <c r="AN7698">
        <v>1.00000004657978</v>
      </c>
    </row>
    <row r="7699" spans="1:40" x14ac:dyDescent="0.25">
      <c r="A7699" t="str">
        <f>"20190312154448935"</f>
        <v>20190312154448935</v>
      </c>
      <c r="B7699" t="str">
        <f>"1552376688925044"</f>
        <v>1552376688925044</v>
      </c>
      <c r="C7699" t="s">
        <v>40</v>
      </c>
      <c r="D7699">
        <v>5.2156560000000001</v>
      </c>
      <c r="E7699">
        <v>0.52590349999999997</v>
      </c>
      <c r="F7699" t="s">
        <v>41</v>
      </c>
      <c r="G7699">
        <v>-139.477</v>
      </c>
      <c r="H7699">
        <v>0.92338869999999895</v>
      </c>
      <c r="I7699">
        <v>139.65860000000001</v>
      </c>
      <c r="J7699">
        <v>-140.07859999999999</v>
      </c>
      <c r="K7699">
        <v>1.112252</v>
      </c>
      <c r="L7699">
        <v>139.76660000000001</v>
      </c>
      <c r="M7699">
        <v>0.99963069999999998</v>
      </c>
      <c r="N7699">
        <v>0</v>
      </c>
      <c r="O7699">
        <v>-2.3523970000000002E-2</v>
      </c>
      <c r="P7699">
        <v>0.99568520000000005</v>
      </c>
      <c r="Q7699">
        <v>5.1956280000000001E-2</v>
      </c>
      <c r="R7699">
        <v>-7.6888629999999999E-2</v>
      </c>
      <c r="S7699">
        <v>3.015244</v>
      </c>
      <c r="T7699">
        <v>-0.68819090000000005</v>
      </c>
      <c r="U7699">
        <v>-0.40490720000000002</v>
      </c>
      <c r="V7699">
        <v>5.3279229999999997E-2</v>
      </c>
      <c r="W7699">
        <v>6.5654050000000005E-2</v>
      </c>
      <c r="X7699">
        <v>0.99641900000000005</v>
      </c>
      <c r="Y7699">
        <v>0.1076154</v>
      </c>
      <c r="Z7699">
        <v>-6.7967059999999996E-3</v>
      </c>
      <c r="AA7699">
        <v>0.99416939999999998</v>
      </c>
      <c r="AB7699">
        <v>21</v>
      </c>
      <c r="AC7699">
        <v>0.60159999999999003</v>
      </c>
      <c r="AD7699">
        <v>-0.18886330000000001</v>
      </c>
      <c r="AE7699">
        <v>-0.108000000000004</v>
      </c>
      <c r="AF7699">
        <v>8.5640028039359606E-2</v>
      </c>
      <c r="AG7699">
        <v>-0.18886330000000001</v>
      </c>
      <c r="AH7699">
        <v>0.55133397713699295</v>
      </c>
      <c r="AI7699">
        <v>108.70083938954301</v>
      </c>
      <c r="AJ7699">
        <v>81.170669843028904</v>
      </c>
      <c r="AK7699">
        <v>0.58904389890327102</v>
      </c>
      <c r="AL7699">
        <v>86.235592245999598</v>
      </c>
      <c r="AM7699">
        <v>86.939268844363497</v>
      </c>
      <c r="AN7699">
        <v>0.99999997709589705</v>
      </c>
    </row>
    <row r="7700" spans="1:40" x14ac:dyDescent="0.25">
      <c r="A7700" t="str">
        <f>"20190312154448956"</f>
        <v>20190312154448956</v>
      </c>
      <c r="B7700" t="str">
        <f>"1552376688945539"</f>
        <v>1552376688945539</v>
      </c>
      <c r="C7700" t="s">
        <v>40</v>
      </c>
      <c r="D7700">
        <v>5.1925119999999998</v>
      </c>
      <c r="E7700">
        <v>0.52565280000000003</v>
      </c>
      <c r="F7700" t="s">
        <v>41</v>
      </c>
      <c r="G7700">
        <v>-139.28659999999999</v>
      </c>
      <c r="H7700">
        <v>0.93260430000000005</v>
      </c>
      <c r="I7700">
        <v>139.66139999999999</v>
      </c>
      <c r="J7700">
        <v>-139.88669999999999</v>
      </c>
      <c r="K7700">
        <v>1.112222</v>
      </c>
      <c r="L7700">
        <v>139.76419999999999</v>
      </c>
      <c r="M7700">
        <v>0.99966940000000004</v>
      </c>
      <c r="N7700">
        <v>0</v>
      </c>
      <c r="O7700">
        <v>-2.1819990000000001E-2</v>
      </c>
      <c r="P7700">
        <v>0.99575139999999995</v>
      </c>
      <c r="Q7700">
        <v>5.241705E-2</v>
      </c>
      <c r="R7700">
        <v>-7.5708159999999997E-2</v>
      </c>
      <c r="S7700">
        <v>3.017776</v>
      </c>
      <c r="T7700">
        <v>-0.68454609999999905</v>
      </c>
      <c r="U7700">
        <v>-0.40090940000000003</v>
      </c>
      <c r="V7700">
        <v>5.3801330000000001E-2</v>
      </c>
      <c r="W7700">
        <v>6.61075E-2</v>
      </c>
      <c r="X7700">
        <v>0.99636100000000005</v>
      </c>
      <c r="Y7700">
        <v>0.10788159999999999</v>
      </c>
      <c r="Z7700">
        <v>-7.1660830000000002E-3</v>
      </c>
      <c r="AA7700">
        <v>0.99413790000000002</v>
      </c>
      <c r="AB7700">
        <v>21</v>
      </c>
      <c r="AC7700">
        <v>0.60009999999999697</v>
      </c>
      <c r="AD7700">
        <v>-0.17961769999999999</v>
      </c>
      <c r="AE7700">
        <v>-0.102800000000001</v>
      </c>
      <c r="AF7700">
        <v>8.2499827218159794E-2</v>
      </c>
      <c r="AG7700">
        <v>-0.17961769999999999</v>
      </c>
      <c r="AH7700">
        <v>0.55398478271673102</v>
      </c>
      <c r="AI7700">
        <v>107.780631506997</v>
      </c>
      <c r="AJ7700">
        <v>81.529719923010504</v>
      </c>
      <c r="AK7700">
        <v>0.58819034259839698</v>
      </c>
      <c r="AL7700">
        <v>86.209555046051605</v>
      </c>
      <c r="AM7700">
        <v>86.909154075566605</v>
      </c>
      <c r="AN7700">
        <v>1.0000000134935001</v>
      </c>
    </row>
    <row r="7701" spans="1:40" x14ac:dyDescent="0.25">
      <c r="A7701" t="str">
        <f>"20190312154448977"</f>
        <v>20190312154448977</v>
      </c>
      <c r="B7701" t="str">
        <f>"1552376688965059"</f>
        <v>1552376688965059</v>
      </c>
      <c r="C7701" t="s">
        <v>40</v>
      </c>
      <c r="D7701">
        <v>5.2224349999999999</v>
      </c>
      <c r="E7701">
        <v>0.52566950000000001</v>
      </c>
      <c r="F7701" t="s">
        <v>41</v>
      </c>
      <c r="G7701">
        <v>-139.10069999999999</v>
      </c>
      <c r="H7701">
        <v>0.93271009999999999</v>
      </c>
      <c r="I7701">
        <v>139.6609</v>
      </c>
      <c r="J7701">
        <v>-139.6857</v>
      </c>
      <c r="K7701">
        <v>1.112169</v>
      </c>
      <c r="L7701">
        <v>139.76179999999999</v>
      </c>
      <c r="M7701">
        <v>0.99970570000000003</v>
      </c>
      <c r="N7701">
        <v>0</v>
      </c>
      <c r="O7701">
        <v>-2.0091629999999999E-2</v>
      </c>
      <c r="P7701">
        <v>0.9959211</v>
      </c>
      <c r="Q7701">
        <v>5.1260890000000003E-2</v>
      </c>
      <c r="R7701">
        <v>-7.4253020000000003E-2</v>
      </c>
      <c r="S7701">
        <v>3.0189970000000002</v>
      </c>
      <c r="T7701">
        <v>-0.689577</v>
      </c>
      <c r="U7701">
        <v>-0.39601140000000001</v>
      </c>
      <c r="V7701">
        <v>5.4075270000000002E-2</v>
      </c>
      <c r="W7701">
        <v>6.4944139999999997E-2</v>
      </c>
      <c r="X7701">
        <v>0.99642260000000005</v>
      </c>
      <c r="Y7701">
        <v>0.107888</v>
      </c>
      <c r="Z7701">
        <v>-7.6039300000000001E-3</v>
      </c>
      <c r="AA7701">
        <v>0.99413390000000001</v>
      </c>
      <c r="AB7701">
        <v>21</v>
      </c>
      <c r="AC7701">
        <v>0.58500000000000696</v>
      </c>
      <c r="AD7701">
        <v>-0.17945889999999901</v>
      </c>
      <c r="AE7701">
        <v>-0.10089999999999499</v>
      </c>
      <c r="AF7701">
        <v>8.1662046128539403E-2</v>
      </c>
      <c r="AG7701">
        <v>-0.17945889999999901</v>
      </c>
      <c r="AH7701">
        <v>0.53776436696341001</v>
      </c>
      <c r="AI7701">
        <v>108.259298629852</v>
      </c>
      <c r="AJ7701">
        <v>81.365334724075097</v>
      </c>
      <c r="AK7701">
        <v>0.57276932611887199</v>
      </c>
      <c r="AL7701">
        <v>86.276353941522601</v>
      </c>
      <c r="AM7701">
        <v>86.893638850592097</v>
      </c>
      <c r="AN7701">
        <v>0.999999936968334</v>
      </c>
    </row>
    <row r="7702" spans="1:40" x14ac:dyDescent="0.25">
      <c r="A7702" t="str">
        <f>"20190312154449001"</f>
        <v>20190312154449001</v>
      </c>
      <c r="B7702" t="str">
        <f>"1552376688995316"</f>
        <v>1552376688995316</v>
      </c>
      <c r="C7702" t="s">
        <v>40</v>
      </c>
      <c r="D7702">
        <v>5.1179079999999999</v>
      </c>
      <c r="E7702">
        <v>0.49955739999999998</v>
      </c>
      <c r="F7702" t="s">
        <v>41</v>
      </c>
      <c r="G7702">
        <v>-138.91409999999999</v>
      </c>
      <c r="H7702">
        <v>0.93478620000000001</v>
      </c>
      <c r="I7702">
        <v>139.66159999999999</v>
      </c>
      <c r="J7702">
        <v>-139.46940000000001</v>
      </c>
      <c r="K7702">
        <v>1.112106</v>
      </c>
      <c r="L7702">
        <v>139.75970000000001</v>
      </c>
      <c r="M7702">
        <v>0.99974010000000002</v>
      </c>
      <c r="N7702">
        <v>0</v>
      </c>
      <c r="O7702">
        <v>-1.830296E-2</v>
      </c>
      <c r="P7702">
        <v>0.99613739999999995</v>
      </c>
      <c r="Q7702">
        <v>4.9349329999999997E-2</v>
      </c>
      <c r="R7702">
        <v>-7.2628180000000001E-2</v>
      </c>
      <c r="S7702">
        <v>3.0187680000000001</v>
      </c>
      <c r="T7702">
        <v>-0.69406429999999997</v>
      </c>
      <c r="U7702">
        <v>-0.39201350000000001</v>
      </c>
      <c r="V7702">
        <v>5.4242230000000002E-2</v>
      </c>
      <c r="W7702">
        <v>6.3023560000000006E-2</v>
      </c>
      <c r="X7702">
        <v>0.99653689999999995</v>
      </c>
      <c r="Y7702">
        <v>0.10829560000000001</v>
      </c>
      <c r="Z7702">
        <v>-8.1034569999999997E-3</v>
      </c>
      <c r="AA7702">
        <v>0.99408569999999996</v>
      </c>
      <c r="AB7702">
        <v>21</v>
      </c>
      <c r="AC7702">
        <v>0.555300000000016</v>
      </c>
      <c r="AD7702">
        <v>-0.1773198</v>
      </c>
      <c r="AE7702">
        <v>-9.8100000000016493E-2</v>
      </c>
      <c r="AF7702">
        <v>8.0007753911772103E-2</v>
      </c>
      <c r="AG7702">
        <v>-0.1773198</v>
      </c>
      <c r="AH7702">
        <v>0.50688173511516299</v>
      </c>
      <c r="AI7702">
        <v>109.06242305123</v>
      </c>
      <c r="AJ7702">
        <v>81.030263378814695</v>
      </c>
      <c r="AK7702">
        <v>0.542929687483936</v>
      </c>
      <c r="AL7702">
        <v>86.386621233379401</v>
      </c>
      <c r="AM7702">
        <v>86.884423366119904</v>
      </c>
      <c r="AN7702">
        <v>0.99999999084602798</v>
      </c>
    </row>
    <row r="7703" spans="1:40" x14ac:dyDescent="0.25">
      <c r="A7703" t="str">
        <f>"20190312154449023"</f>
        <v>20190312154449023</v>
      </c>
      <c r="B7703" t="str">
        <f>"1552376689014835"</f>
        <v>1552376689014835</v>
      </c>
      <c r="C7703" t="s">
        <v>40</v>
      </c>
      <c r="D7703">
        <v>5.1781480000000002</v>
      </c>
      <c r="E7703">
        <v>0.49057840000000003</v>
      </c>
      <c r="F7703" t="s">
        <v>41</v>
      </c>
      <c r="G7703">
        <v>-138.69829999999999</v>
      </c>
      <c r="H7703">
        <v>0.9946275</v>
      </c>
      <c r="I7703">
        <v>139.71119999999999</v>
      </c>
      <c r="J7703">
        <v>-139.26150000000001</v>
      </c>
      <c r="K7703">
        <v>1.112033</v>
      </c>
      <c r="L7703">
        <v>139.75790000000001</v>
      </c>
      <c r="M7703">
        <v>0.99976889999999996</v>
      </c>
      <c r="N7703">
        <v>0</v>
      </c>
      <c r="O7703">
        <v>-1.665838E-2</v>
      </c>
      <c r="P7703">
        <v>0.99644569999999999</v>
      </c>
      <c r="Q7703">
        <v>4.5963299999999999E-2</v>
      </c>
      <c r="R7703">
        <v>-7.059435E-2</v>
      </c>
      <c r="S7703">
        <v>3.0205989999999998</v>
      </c>
      <c r="T7703">
        <v>-0.46026070000000002</v>
      </c>
      <c r="U7703">
        <v>-0.18952939999999999</v>
      </c>
      <c r="V7703">
        <v>5.3858789999999997E-2</v>
      </c>
      <c r="W7703">
        <v>5.9628210000000001E-2</v>
      </c>
      <c r="X7703">
        <v>0.99676659999999995</v>
      </c>
      <c r="Y7703">
        <v>4.5653310000000002E-2</v>
      </c>
      <c r="Z7703">
        <v>-9.3377170000000004E-4</v>
      </c>
      <c r="AA7703">
        <v>0.99895690000000004</v>
      </c>
      <c r="AB7703">
        <v>21</v>
      </c>
      <c r="AC7703">
        <v>0.56320000000002302</v>
      </c>
      <c r="AD7703">
        <v>-0.1174055</v>
      </c>
      <c r="AE7703">
        <v>-4.67000000000155E-2</v>
      </c>
      <c r="AF7703">
        <v>3.5766970408860101E-2</v>
      </c>
      <c r="AG7703">
        <v>-0.1174055</v>
      </c>
      <c r="AH7703">
        <v>0.54056919086519195</v>
      </c>
      <c r="AI7703">
        <v>102.22775726337601</v>
      </c>
      <c r="AJ7703">
        <v>86.214520165633004</v>
      </c>
      <c r="AK7703">
        <v>0.554326959217325</v>
      </c>
      <c r="AL7703">
        <v>86.581527349666501</v>
      </c>
      <c r="AM7703">
        <v>86.907116062040203</v>
      </c>
      <c r="AN7703">
        <v>0.99999997378181305</v>
      </c>
    </row>
    <row r="7704" spans="1:40" x14ac:dyDescent="0.25">
      <c r="A7704" t="str">
        <f>"20190312154449052"</f>
        <v>20190312154449052</v>
      </c>
      <c r="B7704" t="str">
        <f>"1552376689045091"</f>
        <v>1552376689045091</v>
      </c>
      <c r="C7704" t="s">
        <v>40</v>
      </c>
      <c r="D7704">
        <v>5.1527099999999999</v>
      </c>
      <c r="E7704">
        <v>0.4878671</v>
      </c>
      <c r="F7704" t="s">
        <v>41</v>
      </c>
      <c r="G7704">
        <v>-138.4982</v>
      </c>
      <c r="H7704">
        <v>1.023895</v>
      </c>
      <c r="I7704">
        <v>139.72839999999999</v>
      </c>
      <c r="J7704">
        <v>-138.99359999999999</v>
      </c>
      <c r="K7704">
        <v>1.111931</v>
      </c>
      <c r="L7704">
        <v>139.7559</v>
      </c>
      <c r="M7704">
        <v>0.99980029999999998</v>
      </c>
      <c r="N7704">
        <v>0</v>
      </c>
      <c r="O7704">
        <v>-1.466629E-2</v>
      </c>
      <c r="P7704">
        <v>0.99675170000000002</v>
      </c>
      <c r="Q7704">
        <v>4.2573340000000001E-2</v>
      </c>
      <c r="R7704">
        <v>-6.8366079999999996E-2</v>
      </c>
      <c r="S7704">
        <v>3.018494</v>
      </c>
      <c r="T7704">
        <v>-0.34851880000000002</v>
      </c>
      <c r="U7704">
        <v>-0.1167908</v>
      </c>
      <c r="V7704">
        <v>5.3630789999999998E-2</v>
      </c>
      <c r="W7704">
        <v>5.6225030000000002E-2</v>
      </c>
      <c r="X7704">
        <v>0.99697670000000005</v>
      </c>
      <c r="Y7704">
        <v>2.394046E-2</v>
      </c>
      <c r="Z7704">
        <v>3.1013569999999998E-4</v>
      </c>
      <c r="AA7704">
        <v>0.99971339999999997</v>
      </c>
      <c r="AB7704">
        <v>21</v>
      </c>
      <c r="AC7704">
        <v>0.49539999999998902</v>
      </c>
      <c r="AD7704">
        <v>-8.8036000000000003E-2</v>
      </c>
      <c r="AE7704">
        <v>-2.75000000000034E-2</v>
      </c>
      <c r="AF7704">
        <v>1.96132145567262E-2</v>
      </c>
      <c r="AG7704">
        <v>-8.8036000000000003E-2</v>
      </c>
      <c r="AH7704">
        <v>0.48061887226627298</v>
      </c>
      <c r="AI7704">
        <v>100.371478925581</v>
      </c>
      <c r="AJ7704">
        <v>87.663156186459204</v>
      </c>
      <c r="AK7704">
        <v>0.48900870734553598</v>
      </c>
      <c r="AL7704">
        <v>86.776843441966193</v>
      </c>
      <c r="AM7704">
        <v>86.920831666828803</v>
      </c>
      <c r="AN7704">
        <v>1.0000000279887</v>
      </c>
    </row>
    <row r="7705" spans="1:40" x14ac:dyDescent="0.25">
      <c r="A7705" t="str">
        <f>"20190312154449072"</f>
        <v>20190312154449072</v>
      </c>
      <c r="B7705" t="str">
        <f>"1552376689065587"</f>
        <v>1552376689065587</v>
      </c>
      <c r="C7705" t="s">
        <v>40</v>
      </c>
      <c r="D7705">
        <v>5.127402</v>
      </c>
      <c r="E7705">
        <v>0.48752679999999998</v>
      </c>
      <c r="F7705" t="s">
        <v>41</v>
      </c>
      <c r="G7705">
        <v>-138.12710000000001</v>
      </c>
      <c r="H7705">
        <v>1.027066</v>
      </c>
      <c r="I7705">
        <v>139.7296</v>
      </c>
      <c r="J7705">
        <v>-138.81010000000001</v>
      </c>
      <c r="K7705">
        <v>1.111861</v>
      </c>
      <c r="L7705">
        <v>139.75479999999999</v>
      </c>
      <c r="M7705">
        <v>0.99981810000000004</v>
      </c>
      <c r="N7705">
        <v>0</v>
      </c>
      <c r="O7705">
        <v>-1.3388550000000001E-2</v>
      </c>
      <c r="P7705">
        <v>0.99699789999999999</v>
      </c>
      <c r="Q7705">
        <v>3.9684650000000002E-2</v>
      </c>
      <c r="R7705">
        <v>-6.6486749999999997E-2</v>
      </c>
      <c r="S7705">
        <v>3.0161739999999999</v>
      </c>
      <c r="T7705">
        <v>-0.29549690000000001</v>
      </c>
      <c r="U7705">
        <v>-9.1247560000000005E-2</v>
      </c>
      <c r="V7705">
        <v>5.3035770000000003E-2</v>
      </c>
      <c r="W7705">
        <v>5.3326400000000003E-2</v>
      </c>
      <c r="X7705">
        <v>0.99716780000000005</v>
      </c>
      <c r="Y7705">
        <v>1.6836050000000002E-2</v>
      </c>
      <c r="Z7705">
        <v>4.8571859999999999E-4</v>
      </c>
      <c r="AA7705">
        <v>0.99985809999999997</v>
      </c>
      <c r="AB7705">
        <v>21</v>
      </c>
      <c r="AC7705">
        <v>0.68299999999999195</v>
      </c>
      <c r="AD7705">
        <v>-8.4794999999999898E-2</v>
      </c>
      <c r="AE7705">
        <v>-2.5199999999983898E-2</v>
      </c>
      <c r="AF7705">
        <v>1.58091752618689E-2</v>
      </c>
      <c r="AG7705">
        <v>-8.4794999999999898E-2</v>
      </c>
      <c r="AH7705">
        <v>0.67291831958666704</v>
      </c>
      <c r="AI7705">
        <v>97.180074312202294</v>
      </c>
      <c r="AJ7705">
        <v>88.654171837385604</v>
      </c>
      <c r="AK7705">
        <v>0.678424046509854</v>
      </c>
      <c r="AL7705">
        <v>86.943172570741496</v>
      </c>
      <c r="AM7705">
        <v>86.955512073028103</v>
      </c>
      <c r="AN7705">
        <v>1.0000000595966401</v>
      </c>
    </row>
    <row r="7706" spans="1:40" x14ac:dyDescent="0.25">
      <c r="A7706" t="str">
        <f>"20190312154449089"</f>
        <v>20190312154449089</v>
      </c>
      <c r="B7706" t="str">
        <f>"1552376689085107"</f>
        <v>1552376689085107</v>
      </c>
      <c r="C7706" t="s">
        <v>40</v>
      </c>
      <c r="D7706">
        <v>5.0956539999999997</v>
      </c>
      <c r="E7706">
        <v>0.48744320000000002</v>
      </c>
      <c r="F7706" t="s">
        <v>41</v>
      </c>
      <c r="G7706">
        <v>-137.9419</v>
      </c>
      <c r="H7706">
        <v>1.028667</v>
      </c>
      <c r="I7706">
        <v>139.73050000000001</v>
      </c>
      <c r="J7706">
        <v>-138.6456</v>
      </c>
      <c r="K7706">
        <v>1.1118049999999999</v>
      </c>
      <c r="L7706">
        <v>139.75389999999999</v>
      </c>
      <c r="M7706">
        <v>0.99983239999999995</v>
      </c>
      <c r="N7706">
        <v>0</v>
      </c>
      <c r="O7706">
        <v>-1.22945E-2</v>
      </c>
      <c r="P7706">
        <v>0.9971603</v>
      </c>
      <c r="Q7706">
        <v>3.8005940000000002E-2</v>
      </c>
      <c r="R7706">
        <v>-6.5016050000000006E-2</v>
      </c>
      <c r="S7706">
        <v>3.0149539999999999</v>
      </c>
      <c r="T7706">
        <v>-0.28899649999999999</v>
      </c>
      <c r="U7706">
        <v>-8.3786009999999994E-2</v>
      </c>
      <c r="V7706">
        <v>5.266332E-2</v>
      </c>
      <c r="W7706">
        <v>5.1639289999999997E-2</v>
      </c>
      <c r="X7706">
        <v>0.99727619999999895</v>
      </c>
      <c r="Y7706">
        <v>1.54719E-2</v>
      </c>
      <c r="Z7706">
        <v>4.3591000000000002E-4</v>
      </c>
      <c r="AA7706">
        <v>0.9998802</v>
      </c>
      <c r="AB7706">
        <v>21</v>
      </c>
      <c r="AC7706">
        <v>0.70369999999999699</v>
      </c>
      <c r="AD7706">
        <v>-8.3137999999999906E-2</v>
      </c>
      <c r="AE7706">
        <v>-2.3399999999980901E-2</v>
      </c>
      <c r="AF7706">
        <v>1.4543027546989801E-2</v>
      </c>
      <c r="AG7706">
        <v>-8.3137999999999906E-2</v>
      </c>
      <c r="AH7706">
        <v>0.69425479810398905</v>
      </c>
      <c r="AI7706">
        <v>96.827249156056794</v>
      </c>
      <c r="AJ7706">
        <v>88.799961836253004</v>
      </c>
      <c r="AK7706">
        <v>0.69936624981810702</v>
      </c>
      <c r="AL7706">
        <v>87.039969880195699</v>
      </c>
      <c r="AM7706">
        <v>86.977180546306698</v>
      </c>
      <c r="AN7706">
        <v>0.99999993031578005</v>
      </c>
    </row>
    <row r="7707" spans="1:40" x14ac:dyDescent="0.25">
      <c r="A7707" t="str">
        <f>"20190312154449113"</f>
        <v>20190312154449113</v>
      </c>
      <c r="B7707" t="str">
        <f>"1552376689105604"</f>
        <v>1552376689105604</v>
      </c>
      <c r="C7707" t="s">
        <v>40</v>
      </c>
      <c r="D7707">
        <v>5.0987099999999996</v>
      </c>
      <c r="E7707">
        <v>0.48748659999999999</v>
      </c>
      <c r="F7707" t="s">
        <v>41</v>
      </c>
      <c r="G7707">
        <v>-137.75790000000001</v>
      </c>
      <c r="H7707">
        <v>1.0281359999999999</v>
      </c>
      <c r="I7707">
        <v>139.73050000000001</v>
      </c>
      <c r="J7707">
        <v>-138.4342</v>
      </c>
      <c r="K7707">
        <v>1.111734</v>
      </c>
      <c r="L7707">
        <v>139.75290000000001</v>
      </c>
      <c r="M7707">
        <v>0.99984759999999995</v>
      </c>
      <c r="N7707">
        <v>0</v>
      </c>
      <c r="O7707">
        <v>-1.097681E-2</v>
      </c>
      <c r="P7707">
        <v>0.9972799</v>
      </c>
      <c r="Q7707">
        <v>3.6934290000000002E-2</v>
      </c>
      <c r="R7707">
        <v>-6.3787449999999996E-2</v>
      </c>
      <c r="S7707">
        <v>3.0142060000000002</v>
      </c>
      <c r="T7707">
        <v>-0.28419220000000001</v>
      </c>
      <c r="U7707">
        <v>-7.9284670000000002E-2</v>
      </c>
      <c r="V7707">
        <v>5.2756329999999997E-2</v>
      </c>
      <c r="W7707">
        <v>5.0557820000000003E-2</v>
      </c>
      <c r="X7707">
        <v>0.99732679999999996</v>
      </c>
      <c r="Y7707">
        <v>1.529981E-2</v>
      </c>
      <c r="Z7707">
        <v>3.1296939999999999E-4</v>
      </c>
      <c r="AA7707">
        <v>0.99988290000000002</v>
      </c>
      <c r="AB7707">
        <v>21</v>
      </c>
      <c r="AC7707">
        <v>0.67629999999999701</v>
      </c>
      <c r="AD7707">
        <v>-8.3597999999999797E-2</v>
      </c>
      <c r="AE7707">
        <v>-2.24000000000046E-2</v>
      </c>
      <c r="AF7707">
        <v>1.47492335281107E-2</v>
      </c>
      <c r="AG7707">
        <v>-8.3597999999999797E-2</v>
      </c>
      <c r="AH7707">
        <v>0.666334952299377</v>
      </c>
      <c r="AI7707">
        <v>97.149199984234002</v>
      </c>
      <c r="AJ7707">
        <v>88.731972778239097</v>
      </c>
      <c r="AK7707">
        <v>0.67172050299918595</v>
      </c>
      <c r="AL7707">
        <v>87.102014911447498</v>
      </c>
      <c r="AM7707">
        <v>86.972005145931703</v>
      </c>
      <c r="AN7707">
        <v>1.0000000347582301</v>
      </c>
    </row>
    <row r="7708" spans="1:40" x14ac:dyDescent="0.25">
      <c r="A7708" t="str">
        <f>"20190312154449134"</f>
        <v>20190312154449134</v>
      </c>
      <c r="B7708" t="str">
        <f>"1552376689125124"</f>
        <v>1552376689125124</v>
      </c>
      <c r="C7708" t="s">
        <v>40</v>
      </c>
      <c r="D7708">
        <v>5.0642740000000002</v>
      </c>
      <c r="E7708">
        <v>0.48756509999999997</v>
      </c>
      <c r="F7708" t="s">
        <v>41</v>
      </c>
      <c r="G7708">
        <v>-137.57230000000001</v>
      </c>
      <c r="H7708">
        <v>1.0313969999999999</v>
      </c>
      <c r="I7708">
        <v>139.73099999999999</v>
      </c>
      <c r="J7708">
        <v>-138.23750000000001</v>
      </c>
      <c r="K7708">
        <v>1.1116729999999999</v>
      </c>
      <c r="L7708">
        <v>139.75219999999999</v>
      </c>
      <c r="M7708">
        <v>0.99985959999999996</v>
      </c>
      <c r="N7708">
        <v>0</v>
      </c>
      <c r="O7708">
        <v>-9.8346509999999998E-3</v>
      </c>
      <c r="P7708">
        <v>0.99744149999999998</v>
      </c>
      <c r="Q7708">
        <v>3.5182310000000001E-2</v>
      </c>
      <c r="R7708">
        <v>-6.2231910000000001E-2</v>
      </c>
      <c r="S7708">
        <v>3.0137019999999999</v>
      </c>
      <c r="T7708">
        <v>-0.28098579999999901</v>
      </c>
      <c r="U7708">
        <v>-7.6385499999999995E-2</v>
      </c>
      <c r="V7708">
        <v>5.2347619999999997E-2</v>
      </c>
      <c r="W7708">
        <v>4.8797119999999999E-2</v>
      </c>
      <c r="X7708">
        <v>0.99743599999999999</v>
      </c>
      <c r="Y7708">
        <v>1.547984E-2</v>
      </c>
      <c r="Z7708">
        <v>1.9489560000000001E-4</v>
      </c>
      <c r="AA7708">
        <v>0.99988010000000005</v>
      </c>
      <c r="AB7708">
        <v>21</v>
      </c>
      <c r="AC7708">
        <v>0.66519999999999802</v>
      </c>
      <c r="AD7708">
        <v>-8.0276E-2</v>
      </c>
      <c r="AE7708">
        <v>-2.11999999999932E-2</v>
      </c>
      <c r="AF7708">
        <v>1.44461883867217E-2</v>
      </c>
      <c r="AG7708">
        <v>-8.0276E-2</v>
      </c>
      <c r="AH7708">
        <v>0.65583475334393004</v>
      </c>
      <c r="AI7708">
        <v>96.976774046217798</v>
      </c>
      <c r="AJ7708">
        <v>88.738139763541</v>
      </c>
      <c r="AK7708">
        <v>0.66088739754106296</v>
      </c>
      <c r="AL7708">
        <v>87.203020221780903</v>
      </c>
      <c r="AM7708">
        <v>86.995748598752996</v>
      </c>
      <c r="AN7708">
        <v>1.0000000031679701</v>
      </c>
    </row>
    <row r="7709" spans="1:40" x14ac:dyDescent="0.25">
      <c r="A7709" t="str">
        <f>"20190312154449156"</f>
        <v>20190312154449156</v>
      </c>
      <c r="B7709" t="str">
        <f>"1552376689145619"</f>
        <v>1552376689145619</v>
      </c>
      <c r="C7709" t="s">
        <v>40</v>
      </c>
      <c r="D7709">
        <v>5.0720020000000003</v>
      </c>
      <c r="E7709">
        <v>0.48767490000000002</v>
      </c>
      <c r="F7709" t="s">
        <v>41</v>
      </c>
      <c r="G7709">
        <v>-137.38800000000001</v>
      </c>
      <c r="H7709">
        <v>1.032422</v>
      </c>
      <c r="I7709">
        <v>139.73159999999999</v>
      </c>
      <c r="J7709">
        <v>-138.03479999999999</v>
      </c>
      <c r="K7709">
        <v>1.1116079999999999</v>
      </c>
      <c r="L7709">
        <v>139.75149999999999</v>
      </c>
      <c r="M7709">
        <v>0.99986980000000003</v>
      </c>
      <c r="N7709">
        <v>0</v>
      </c>
      <c r="O7709">
        <v>-8.7410470000000001E-3</v>
      </c>
      <c r="P7709">
        <v>0.99760409999999999</v>
      </c>
      <c r="Q7709">
        <v>3.3137760000000002E-2</v>
      </c>
      <c r="R7709">
        <v>-6.0732590000000003E-2</v>
      </c>
      <c r="S7709">
        <v>3.013077</v>
      </c>
      <c r="T7709">
        <v>-0.28120879999999998</v>
      </c>
      <c r="U7709">
        <v>-7.2525019999999996E-2</v>
      </c>
      <c r="V7709">
        <v>5.1946819999999998E-2</v>
      </c>
      <c r="W7709">
        <v>4.6742880000000001E-2</v>
      </c>
      <c r="X7709">
        <v>0.99755530000000003</v>
      </c>
      <c r="Y7709">
        <v>1.529442E-2</v>
      </c>
      <c r="Z7709">
        <v>1.018969E-4</v>
      </c>
      <c r="AA7709">
        <v>0.99988310000000002</v>
      </c>
      <c r="AB7709">
        <v>21</v>
      </c>
      <c r="AC7709">
        <v>0.64679999999998405</v>
      </c>
      <c r="AD7709">
        <v>-7.9185999999999895E-2</v>
      </c>
      <c r="AE7709">
        <v>-1.9900000000006898E-2</v>
      </c>
      <c r="AF7709">
        <v>1.40348485405709E-2</v>
      </c>
      <c r="AG7709">
        <v>-7.9185999999999895E-2</v>
      </c>
      <c r="AH7709">
        <v>0.63740457509279902</v>
      </c>
      <c r="AI7709">
        <v>97.079983428473696</v>
      </c>
      <c r="AJ7709">
        <v>88.738622687501703</v>
      </c>
      <c r="AK7709">
        <v>0.64245777442473895</v>
      </c>
      <c r="AL7709">
        <v>87.3208539664287</v>
      </c>
      <c r="AM7709">
        <v>87.019064916439405</v>
      </c>
      <c r="AN7709">
        <v>0.99999997274844799</v>
      </c>
    </row>
    <row r="7710" spans="1:40" x14ac:dyDescent="0.25">
      <c r="A7710" t="str">
        <f>"20190312154449404"</f>
        <v>20190312154449404</v>
      </c>
      <c r="B7710" t="str">
        <f>"1552376689395476"</f>
        <v>1552376689395476</v>
      </c>
      <c r="C7710" t="s">
        <v>40</v>
      </c>
      <c r="D7710">
        <v>4.5862339999999904</v>
      </c>
      <c r="E7710">
        <v>0.38163989999999998</v>
      </c>
      <c r="F7710" t="s">
        <v>43</v>
      </c>
      <c r="G7710">
        <v>-102.16160000000001</v>
      </c>
      <c r="H7710" s="1">
        <v>-5.4388910000000001E-6</v>
      </c>
      <c r="I7710">
        <v>148.39789999999999</v>
      </c>
      <c r="J7710">
        <v>-135.78550000000001</v>
      </c>
      <c r="K7710">
        <v>1.111235</v>
      </c>
      <c r="L7710">
        <v>139.75040000000001</v>
      </c>
      <c r="M7710">
        <v>0.99990789999999996</v>
      </c>
      <c r="N7710">
        <v>0</v>
      </c>
      <c r="O7710">
        <v>-1.176198E-3</v>
      </c>
      <c r="P7710">
        <v>0.99798509999999996</v>
      </c>
      <c r="Q7710">
        <v>4.0222059999999997E-2</v>
      </c>
      <c r="R7710">
        <v>-4.9072440000000002E-2</v>
      </c>
      <c r="S7710">
        <v>3.0498660000000002</v>
      </c>
      <c r="T7710">
        <v>-0.10017379999999999</v>
      </c>
      <c r="U7710">
        <v>0.77954100000000004</v>
      </c>
      <c r="V7710">
        <v>4.7873869999999999E-2</v>
      </c>
      <c r="W7710">
        <v>5.3741610000000002E-2</v>
      </c>
      <c r="X7710">
        <v>0.99740660000000003</v>
      </c>
      <c r="Y7710">
        <v>-0.24865029999999999</v>
      </c>
      <c r="Z7710">
        <v>4.0558829999999997E-3</v>
      </c>
      <c r="AA7710">
        <v>0.96858480000000002</v>
      </c>
      <c r="AB7710">
        <v>20</v>
      </c>
      <c r="AC7710">
        <v>33.623899999999999</v>
      </c>
      <c r="AD7710">
        <v>-1.111240438891</v>
      </c>
      <c r="AE7710">
        <v>8.6474999999999795</v>
      </c>
      <c r="AF7710">
        <v>-8.6781553816595505</v>
      </c>
      <c r="AG7710">
        <v>-1.111240438891</v>
      </c>
      <c r="AH7710">
        <v>33.579303240085601</v>
      </c>
      <c r="AI7710">
        <v>91.835147486157695</v>
      </c>
      <c r="AJ7710">
        <v>104.490335064475</v>
      </c>
      <c r="AK7710">
        <v>34.700357955370997</v>
      </c>
      <c r="AL7710">
        <v>86.919348435152997</v>
      </c>
      <c r="AM7710">
        <v>87.252006202521699</v>
      </c>
      <c r="AN7710">
        <v>0.99999999689886399</v>
      </c>
    </row>
    <row r="7711" spans="1:40" x14ac:dyDescent="0.25">
      <c r="A7711" t="str">
        <f>"20190312154449426"</f>
        <v>20190312154449426</v>
      </c>
      <c r="B7711" t="str">
        <f>"1552376689414995"</f>
        <v>1552376689414995</v>
      </c>
      <c r="C7711" t="s">
        <v>40</v>
      </c>
      <c r="D7711">
        <v>4.7011349999999998</v>
      </c>
      <c r="E7711">
        <v>0.38241510000000001</v>
      </c>
      <c r="F7711" t="s">
        <v>43</v>
      </c>
      <c r="G7711">
        <v>-97.307180000000002</v>
      </c>
      <c r="H7711">
        <v>7.9986070000000006E-2</v>
      </c>
      <c r="I7711">
        <v>149.9263</v>
      </c>
      <c r="J7711">
        <v>-135.58019999999999</v>
      </c>
      <c r="K7711">
        <v>1.111219</v>
      </c>
      <c r="L7711">
        <v>139.75069999999999</v>
      </c>
      <c r="M7711">
        <v>0.99990840000000003</v>
      </c>
      <c r="N7711">
        <v>0</v>
      </c>
      <c r="O7711">
        <v>-7.2786360000000002E-4</v>
      </c>
      <c r="P7711">
        <v>0.99804950000000003</v>
      </c>
      <c r="Q7711">
        <v>4.0208599999999997E-2</v>
      </c>
      <c r="R7711">
        <v>-4.7754379999999999E-2</v>
      </c>
      <c r="S7711">
        <v>3.0489959999999998</v>
      </c>
      <c r="T7711">
        <v>-8.1715460000000004E-2</v>
      </c>
      <c r="U7711">
        <v>0.80633540000000004</v>
      </c>
      <c r="V7711">
        <v>4.700439E-2</v>
      </c>
      <c r="W7711">
        <v>5.3724939999999999E-2</v>
      </c>
      <c r="X7711">
        <v>0.99744889999999997</v>
      </c>
      <c r="Y7711">
        <v>-0.25628719999999999</v>
      </c>
      <c r="Z7711">
        <v>3.3949140000000002E-3</v>
      </c>
      <c r="AA7711">
        <v>0.96659470000000003</v>
      </c>
      <c r="AB7711">
        <v>20</v>
      </c>
      <c r="AC7711">
        <v>38.273019999999903</v>
      </c>
      <c r="AD7711">
        <v>-1.03123293</v>
      </c>
      <c r="AE7711">
        <v>10.175599999999999</v>
      </c>
      <c r="AF7711">
        <v>-10.196543554230299</v>
      </c>
      <c r="AG7711">
        <v>-1.03123293</v>
      </c>
      <c r="AH7711">
        <v>38.239674075247301</v>
      </c>
      <c r="AI7711">
        <v>91.492628347022006</v>
      </c>
      <c r="AJ7711">
        <v>104.93043396347301</v>
      </c>
      <c r="AK7711">
        <v>39.589210843238199</v>
      </c>
      <c r="AL7711">
        <v>86.920305085867696</v>
      </c>
      <c r="AM7711">
        <v>87.301954786770693</v>
      </c>
      <c r="AN7711">
        <v>1.0000000449842401</v>
      </c>
    </row>
    <row r="7712" spans="1:40" x14ac:dyDescent="0.25">
      <c r="A7712" t="str">
        <f>"20190312154449455"</f>
        <v>20190312154449455</v>
      </c>
      <c r="B7712" t="str">
        <f>"1552376689445252"</f>
        <v>1552376689445252</v>
      </c>
      <c r="C7712" t="s">
        <v>40</v>
      </c>
      <c r="D7712">
        <v>4.8402890000000003</v>
      </c>
      <c r="E7712">
        <v>0.3841599</v>
      </c>
      <c r="F7712" t="s">
        <v>43</v>
      </c>
      <c r="G7712">
        <v>-92.698229999999995</v>
      </c>
      <c r="H7712">
        <v>7.998624E-2</v>
      </c>
      <c r="I7712">
        <v>151.0624</v>
      </c>
      <c r="J7712">
        <v>-135.32769999999999</v>
      </c>
      <c r="K7712">
        <v>1.1112040000000001</v>
      </c>
      <c r="L7712">
        <v>139.75120000000001</v>
      </c>
      <c r="M7712">
        <v>0.99990860000000004</v>
      </c>
      <c r="N7712">
        <v>0</v>
      </c>
      <c r="O7712">
        <v>-1.9556989999999999E-4</v>
      </c>
      <c r="P7712">
        <v>0.9980793</v>
      </c>
      <c r="Q7712">
        <v>4.0240619999999998E-2</v>
      </c>
      <c r="R7712">
        <v>-4.7103199999999998E-2</v>
      </c>
      <c r="S7712">
        <v>3.047272</v>
      </c>
      <c r="T7712">
        <v>-7.3281170000000007E-2</v>
      </c>
      <c r="U7712">
        <v>0.80383300000000002</v>
      </c>
      <c r="V7712">
        <v>4.6884919999999997E-2</v>
      </c>
      <c r="W7712">
        <v>5.375303E-2</v>
      </c>
      <c r="X7712">
        <v>0.99745300000000003</v>
      </c>
      <c r="Y7712">
        <v>-0.25518289999999999</v>
      </c>
      <c r="Z7712">
        <v>3.0209479999999999E-3</v>
      </c>
      <c r="AA7712">
        <v>0.96688810000000003</v>
      </c>
      <c r="AB7712">
        <v>20</v>
      </c>
      <c r="AC7712">
        <v>42.629469999999898</v>
      </c>
      <c r="AD7712">
        <v>-1.0312177600000001</v>
      </c>
      <c r="AE7712">
        <v>11.3111999999999</v>
      </c>
      <c r="AF7712">
        <v>-11.313352803297301</v>
      </c>
      <c r="AG7712">
        <v>-1.0312177600000001</v>
      </c>
      <c r="AH7712">
        <v>42.603966116977197</v>
      </c>
      <c r="AI7712">
        <v>91.340131339896303</v>
      </c>
      <c r="AJ7712">
        <v>104.871504140707</v>
      </c>
      <c r="AK7712">
        <v>44.092553686727598</v>
      </c>
      <c r="AL7712">
        <v>86.918693289521798</v>
      </c>
      <c r="AM7712">
        <v>87.308813298889106</v>
      </c>
      <c r="AN7712">
        <v>1.0000000355832901</v>
      </c>
    </row>
    <row r="7713" spans="1:40" x14ac:dyDescent="0.25">
      <c r="A7713" t="str">
        <f>"20190312154449472"</f>
        <v>20190312154449472</v>
      </c>
      <c r="B7713" t="str">
        <f>"1552376689465748"</f>
        <v>1552376689465748</v>
      </c>
      <c r="C7713" t="s">
        <v>40</v>
      </c>
      <c r="D7713">
        <v>4.8963359999999998</v>
      </c>
      <c r="E7713">
        <v>0.38518140000000001</v>
      </c>
      <c r="F7713" t="s">
        <v>43</v>
      </c>
      <c r="G7713">
        <v>-88.610240000000005</v>
      </c>
      <c r="H7713">
        <v>7.9986539999999995E-2</v>
      </c>
      <c r="I7713">
        <v>151.89449999999999</v>
      </c>
      <c r="J7713">
        <v>-135.16679999999999</v>
      </c>
      <c r="K7713">
        <v>1.1111949999999999</v>
      </c>
      <c r="L7713">
        <v>139.75149999999999</v>
      </c>
      <c r="M7713">
        <v>0.99990869999999998</v>
      </c>
      <c r="N7713">
        <v>0</v>
      </c>
      <c r="O7713">
        <v>1.3552059999999999E-4</v>
      </c>
      <c r="P7713">
        <v>0.99812230000000002</v>
      </c>
      <c r="Q7713">
        <v>3.9885190000000001E-2</v>
      </c>
      <c r="R7713">
        <v>-4.6490040000000003E-2</v>
      </c>
      <c r="S7713">
        <v>3.0458530000000001</v>
      </c>
      <c r="T7713">
        <v>-6.7232609999999998E-2</v>
      </c>
      <c r="U7713">
        <v>0.79171749999999996</v>
      </c>
      <c r="V7713">
        <v>4.6602539999999998E-2</v>
      </c>
      <c r="W7713">
        <v>5.3395919999999999E-2</v>
      </c>
      <c r="X7713">
        <v>0.99748539999999997</v>
      </c>
      <c r="Y7713">
        <v>-0.25138460000000001</v>
      </c>
      <c r="Z7713">
        <v>2.7258650000000001E-3</v>
      </c>
      <c r="AA7713">
        <v>0.96788339999999995</v>
      </c>
      <c r="AB7713">
        <v>20</v>
      </c>
      <c r="AC7713">
        <v>46.556559999999898</v>
      </c>
      <c r="AD7713">
        <v>-1.03120846</v>
      </c>
      <c r="AE7713">
        <v>12.142999999999899</v>
      </c>
      <c r="AF7713">
        <v>-12.131117451045901</v>
      </c>
      <c r="AG7713">
        <v>-1.03120846</v>
      </c>
      <c r="AH7713">
        <v>46.5368284283647</v>
      </c>
      <c r="AI7713">
        <v>91.228371467067205</v>
      </c>
      <c r="AJ7713">
        <v>104.610585552665</v>
      </c>
      <c r="AK7713">
        <v>48.103053974463002</v>
      </c>
      <c r="AL7713">
        <v>86.939183570487202</v>
      </c>
      <c r="AM7713">
        <v>87.325085012381095</v>
      </c>
      <c r="AN7713">
        <v>1.00000002211012</v>
      </c>
    </row>
    <row r="7714" spans="1:40" x14ac:dyDescent="0.25">
      <c r="A7714" t="str">
        <f>"20190312154449493"</f>
        <v>20190312154449493</v>
      </c>
      <c r="B7714" t="str">
        <f>"1552376689485267"</f>
        <v>1552376689485267</v>
      </c>
      <c r="C7714" t="s">
        <v>40</v>
      </c>
      <c r="D7714">
        <v>4.8581070000000004</v>
      </c>
      <c r="E7714">
        <v>0.38601029999999997</v>
      </c>
      <c r="F7714" t="s">
        <v>43</v>
      </c>
      <c r="G7714">
        <v>-86.874519999999904</v>
      </c>
      <c r="H7714">
        <v>7.9986039999999994E-2</v>
      </c>
      <c r="I7714">
        <v>152.20650000000001</v>
      </c>
      <c r="J7714">
        <v>-134.98169999999999</v>
      </c>
      <c r="K7714">
        <v>1.1111979999999999</v>
      </c>
      <c r="L7714">
        <v>139.75200000000001</v>
      </c>
      <c r="M7714">
        <v>0.99990860000000004</v>
      </c>
      <c r="N7714">
        <v>0</v>
      </c>
      <c r="O7714">
        <v>5.1207809999999896E-4</v>
      </c>
      <c r="P7714">
        <v>0.99813980000000002</v>
      </c>
      <c r="Q7714">
        <v>3.9386499999999998E-2</v>
      </c>
      <c r="R7714">
        <v>-4.6536840000000003E-2</v>
      </c>
      <c r="S7714">
        <v>3.0448</v>
      </c>
      <c r="T7714">
        <v>-6.5016980000000002E-2</v>
      </c>
      <c r="U7714">
        <v>0.78527829999999998</v>
      </c>
      <c r="V7714">
        <v>4.7025289999999997E-2</v>
      </c>
      <c r="W7714">
        <v>5.289547E-2</v>
      </c>
      <c r="X7714">
        <v>0.99749219999999905</v>
      </c>
      <c r="Y7714">
        <v>-0.24918689999999999</v>
      </c>
      <c r="Z7714">
        <v>2.6066290000000001E-3</v>
      </c>
      <c r="AA7714">
        <v>0.96845190000000003</v>
      </c>
      <c r="AB7714">
        <v>20</v>
      </c>
      <c r="AC7714">
        <v>48.10718</v>
      </c>
      <c r="AD7714">
        <v>-1.03121195999999</v>
      </c>
      <c r="AE7714">
        <v>12.4544999999999</v>
      </c>
      <c r="AF7714">
        <v>-12.4245111489175</v>
      </c>
      <c r="AG7714">
        <v>-1.03121195999999</v>
      </c>
      <c r="AH7714">
        <v>48.092841850912798</v>
      </c>
      <c r="AI7714">
        <v>91.189318296735195</v>
      </c>
      <c r="AJ7714">
        <v>104.485322130204</v>
      </c>
      <c r="AK7714">
        <v>49.682525224599097</v>
      </c>
      <c r="AL7714">
        <v>86.967897752302207</v>
      </c>
      <c r="AM7714">
        <v>87.300873901414803</v>
      </c>
      <c r="AN7714">
        <v>0.99999999885347202</v>
      </c>
    </row>
    <row r="7715" spans="1:40" x14ac:dyDescent="0.25">
      <c r="A7715" t="str">
        <f>"20190312154449516"</f>
        <v>20190312154449516</v>
      </c>
      <c r="B7715" t="str">
        <f>"1552376689505763"</f>
        <v>1552376689505763</v>
      </c>
      <c r="C7715" t="s">
        <v>40</v>
      </c>
      <c r="D7715">
        <v>4.9382659999999996</v>
      </c>
      <c r="E7715">
        <v>0.38613449999999999</v>
      </c>
      <c r="F7715" t="s">
        <v>43</v>
      </c>
      <c r="G7715">
        <v>-86.086590000000001</v>
      </c>
      <c r="H7715">
        <v>7.9985819999999999E-2</v>
      </c>
      <c r="I7715">
        <v>152.25819999999999</v>
      </c>
      <c r="J7715">
        <v>-134.77459999999999</v>
      </c>
      <c r="K7715">
        <v>1.111202</v>
      </c>
      <c r="L7715">
        <v>139.7526</v>
      </c>
      <c r="M7715">
        <v>0.99990840000000003</v>
      </c>
      <c r="N7715">
        <v>0</v>
      </c>
      <c r="O7715">
        <v>9.3183730000000002E-4</v>
      </c>
      <c r="P7715">
        <v>0.99812970000000001</v>
      </c>
      <c r="Q7715">
        <v>3.9052240000000002E-2</v>
      </c>
      <c r="R7715">
        <v>-4.7034260000000001E-2</v>
      </c>
      <c r="S7715">
        <v>3.0444490000000002</v>
      </c>
      <c r="T7715">
        <v>-6.4208269999999998E-2</v>
      </c>
      <c r="U7715">
        <v>0.7787018</v>
      </c>
      <c r="V7715">
        <v>4.7941049999999999E-2</v>
      </c>
      <c r="W7715">
        <v>5.2559290000000002E-2</v>
      </c>
      <c r="X7715">
        <v>0.99746639999999998</v>
      </c>
      <c r="Y7715">
        <v>-0.24684590000000001</v>
      </c>
      <c r="Z7715">
        <v>2.5421760000000002E-3</v>
      </c>
      <c r="AA7715">
        <v>0.96905140000000001</v>
      </c>
      <c r="AB7715">
        <v>20</v>
      </c>
      <c r="AC7715">
        <v>48.688009999999899</v>
      </c>
      <c r="AD7715">
        <v>-1.0312161799999999</v>
      </c>
      <c r="AE7715">
        <v>12.5055999999999</v>
      </c>
      <c r="AF7715">
        <v>-12.4549796692084</v>
      </c>
      <c r="AG7715">
        <v>-1.0312161799999999</v>
      </c>
      <c r="AH7715">
        <v>48.679157333867103</v>
      </c>
      <c r="AI7715">
        <v>91.175706791567094</v>
      </c>
      <c r="AJ7715">
        <v>104.35173143526799</v>
      </c>
      <c r="AK7715">
        <v>50.257838036526003</v>
      </c>
      <c r="AL7715">
        <v>86.987186346331995</v>
      </c>
      <c r="AM7715">
        <v>87.248320671289207</v>
      </c>
      <c r="AN7715">
        <v>1.00000002118468</v>
      </c>
    </row>
    <row r="7716" spans="1:40" x14ac:dyDescent="0.25">
      <c r="A7716" t="str">
        <f>"20190312154449536"</f>
        <v>20190312154449536</v>
      </c>
      <c r="B7716" t="str">
        <f>"1552376689525284"</f>
        <v>1552376689525284</v>
      </c>
      <c r="C7716" t="s">
        <v>40</v>
      </c>
      <c r="D7716">
        <v>4.9476930000000001</v>
      </c>
      <c r="E7716">
        <v>0.38622440000000002</v>
      </c>
      <c r="F7716" t="s">
        <v>43</v>
      </c>
      <c r="G7716">
        <v>-83.962980000000002</v>
      </c>
      <c r="H7716">
        <v>7.9986680000000004E-2</v>
      </c>
      <c r="I7716">
        <v>152.7003</v>
      </c>
      <c r="J7716">
        <v>-134.5909</v>
      </c>
      <c r="K7716">
        <v>1.1112089999999999</v>
      </c>
      <c r="L7716">
        <v>139.75319999999999</v>
      </c>
      <c r="M7716">
        <v>0.99990789999999996</v>
      </c>
      <c r="N7716">
        <v>0</v>
      </c>
      <c r="O7716">
        <v>1.305767E-3</v>
      </c>
      <c r="P7716">
        <v>0.99809579999999998</v>
      </c>
      <c r="Q7716">
        <v>3.8556899999999998E-2</v>
      </c>
      <c r="R7716">
        <v>-4.8147839999999997E-2</v>
      </c>
      <c r="S7716">
        <v>3.0446010000000001</v>
      </c>
      <c r="T7716">
        <v>-6.1789749999999997E-2</v>
      </c>
      <c r="U7716">
        <v>0.77581789999999995</v>
      </c>
      <c r="V7716">
        <v>4.9427260000000001E-2</v>
      </c>
      <c r="W7716">
        <v>5.2062629999999999E-2</v>
      </c>
      <c r="X7716">
        <v>0.99741990000000003</v>
      </c>
      <c r="Y7716">
        <v>-0.245614</v>
      </c>
      <c r="Z7716">
        <v>2.4268319999999999E-3</v>
      </c>
      <c r="AA7716">
        <v>0.96936460000000002</v>
      </c>
      <c r="AB7716">
        <v>20</v>
      </c>
      <c r="AC7716">
        <v>50.627920000000003</v>
      </c>
      <c r="AD7716">
        <v>-1.0312223199999999</v>
      </c>
      <c r="AE7716">
        <v>12.947100000000001</v>
      </c>
      <c r="AF7716">
        <v>-12.8759605698292</v>
      </c>
      <c r="AG7716">
        <v>-1.0312223199999999</v>
      </c>
      <c r="AH7716">
        <v>50.625070114355601</v>
      </c>
      <c r="AI7716">
        <v>91.130945251937405</v>
      </c>
      <c r="AJ7716">
        <v>104.270018821062</v>
      </c>
      <c r="AK7716">
        <v>52.247023878422901</v>
      </c>
      <c r="AL7716">
        <v>87.015681861819303</v>
      </c>
      <c r="AM7716">
        <v>87.163021679786894</v>
      </c>
      <c r="AN7716">
        <v>1.00000001419481</v>
      </c>
    </row>
    <row r="7717" spans="1:40" x14ac:dyDescent="0.25">
      <c r="A7717" t="str">
        <f>"20190312154449558"</f>
        <v>20190312154449558</v>
      </c>
      <c r="B7717" t="str">
        <f>"1552376689555540"</f>
        <v>1552376689555540</v>
      </c>
      <c r="C7717" t="s">
        <v>40</v>
      </c>
      <c r="D7717">
        <v>4.9652469999999997</v>
      </c>
      <c r="E7717">
        <v>0.38651869999999999</v>
      </c>
      <c r="F7717" t="s">
        <v>43</v>
      </c>
      <c r="G7717">
        <v>-82.120350000000002</v>
      </c>
      <c r="H7717">
        <v>7.9986160000000001E-2</v>
      </c>
      <c r="I7717">
        <v>153.04689999999999</v>
      </c>
      <c r="J7717">
        <v>-134.39169999999999</v>
      </c>
      <c r="K7717">
        <v>1.1112150000000001</v>
      </c>
      <c r="L7717">
        <v>139.75399999999999</v>
      </c>
      <c r="M7717">
        <v>0.99990730000000005</v>
      </c>
      <c r="N7717">
        <v>0</v>
      </c>
      <c r="O7717">
        <v>1.7152230000000001E-3</v>
      </c>
      <c r="P7717">
        <v>0.99802849999999999</v>
      </c>
      <c r="Q7717">
        <v>3.8285100000000002E-2</v>
      </c>
      <c r="R7717">
        <v>-4.9730919999999998E-2</v>
      </c>
      <c r="S7717">
        <v>3.045258</v>
      </c>
      <c r="T7717">
        <v>-5.98495E-2</v>
      </c>
      <c r="U7717">
        <v>0.77153019999999894</v>
      </c>
      <c r="V7717">
        <v>5.1418449999999997E-2</v>
      </c>
      <c r="W7717">
        <v>5.1789290000000002E-2</v>
      </c>
      <c r="X7717">
        <v>0.99733349999999998</v>
      </c>
      <c r="Y7717">
        <v>-0.24388789999999999</v>
      </c>
      <c r="Z7717">
        <v>2.3259330000000001E-3</v>
      </c>
      <c r="AA7717">
        <v>0.96980069999999996</v>
      </c>
      <c r="AB7717">
        <v>20</v>
      </c>
      <c r="AC7717">
        <v>52.271349999999899</v>
      </c>
      <c r="AD7717">
        <v>-1.03122884</v>
      </c>
      <c r="AE7717">
        <v>13.292899999999999</v>
      </c>
      <c r="AF7717">
        <v>-13.1983903436498</v>
      </c>
      <c r="AG7717">
        <v>-1.03122884</v>
      </c>
      <c r="AH7717">
        <v>52.274965456021903</v>
      </c>
      <c r="AI7717">
        <v>91.095751217741096</v>
      </c>
      <c r="AJ7717">
        <v>104.16990760254799</v>
      </c>
      <c r="AK7717">
        <v>53.925253397754901</v>
      </c>
      <c r="AL7717">
        <v>87.031364349628902</v>
      </c>
      <c r="AM7717">
        <v>87.048676188397096</v>
      </c>
      <c r="AN7717">
        <v>1.00000004889067</v>
      </c>
    </row>
    <row r="7718" spans="1:40" x14ac:dyDescent="0.25">
      <c r="A7718" t="str">
        <f>"20190312154449581"</f>
        <v>20190312154449581</v>
      </c>
      <c r="B7718" t="str">
        <f>"1552376689575060"</f>
        <v>1552376689575060</v>
      </c>
      <c r="C7718" t="s">
        <v>40</v>
      </c>
      <c r="D7718">
        <v>4.957986</v>
      </c>
      <c r="E7718">
        <v>0.38678509999999999</v>
      </c>
      <c r="F7718" t="s">
        <v>43</v>
      </c>
      <c r="G7718">
        <v>-79.885369999999995</v>
      </c>
      <c r="H7718">
        <v>7.9986989999999994E-2</v>
      </c>
      <c r="I7718">
        <v>153.4307</v>
      </c>
      <c r="J7718">
        <v>-134.18389999999999</v>
      </c>
      <c r="K7718">
        <v>1.111219</v>
      </c>
      <c r="L7718">
        <v>139.75489999999999</v>
      </c>
      <c r="M7718">
        <v>0.99990650000000003</v>
      </c>
      <c r="N7718">
        <v>0</v>
      </c>
      <c r="O7718">
        <v>2.1465970000000001E-3</v>
      </c>
      <c r="P7718">
        <v>0.99793350000000003</v>
      </c>
      <c r="Q7718">
        <v>3.7934389999999998E-2</v>
      </c>
      <c r="R7718">
        <v>-5.1866179999999998E-2</v>
      </c>
      <c r="S7718">
        <v>3.0462189999999998</v>
      </c>
      <c r="T7718">
        <v>-5.7632679999999999E-2</v>
      </c>
      <c r="U7718">
        <v>0.76435850000000005</v>
      </c>
      <c r="V7718">
        <v>5.3983459999999997E-2</v>
      </c>
      <c r="W7718">
        <v>5.1435950000000001E-2</v>
      </c>
      <c r="X7718">
        <v>0.9972162</v>
      </c>
      <c r="Y7718">
        <v>-0.24125269999999999</v>
      </c>
      <c r="Z7718">
        <v>2.2071640000000002E-3</v>
      </c>
      <c r="AA7718">
        <v>0.97045979999999998</v>
      </c>
      <c r="AB7718">
        <v>20</v>
      </c>
      <c r="AC7718">
        <v>54.29853</v>
      </c>
      <c r="AD7718">
        <v>-1.0312320100000001</v>
      </c>
      <c r="AE7718">
        <v>13.675800000000001</v>
      </c>
      <c r="AF7718">
        <v>-13.5546033920483</v>
      </c>
      <c r="AG7718">
        <v>-1.0312320100000001</v>
      </c>
      <c r="AH7718">
        <v>54.309343536447699</v>
      </c>
      <c r="AI7718">
        <v>91.055440145637903</v>
      </c>
      <c r="AJ7718">
        <v>104.013669446081</v>
      </c>
      <c r="AK7718">
        <v>55.984779252347401</v>
      </c>
      <c r="AL7718">
        <v>87.051636144167105</v>
      </c>
      <c r="AM7718">
        <v>86.901365675561607</v>
      </c>
      <c r="AN7718">
        <v>1.0000000102241999</v>
      </c>
    </row>
    <row r="7719" spans="1:40" x14ac:dyDescent="0.25">
      <c r="A7719" t="str">
        <f>"20190312154449603"</f>
        <v>20190312154449603</v>
      </c>
      <c r="B7719" t="str">
        <f>"1552376689595556"</f>
        <v>1552376689595556</v>
      </c>
      <c r="C7719" t="s">
        <v>40</v>
      </c>
      <c r="D7719">
        <v>4.952566</v>
      </c>
      <c r="E7719">
        <v>0.38694899999999999</v>
      </c>
      <c r="F7719" t="s">
        <v>43</v>
      </c>
      <c r="G7719">
        <v>-80.611369999999994</v>
      </c>
      <c r="H7719">
        <v>7.9985719999999996E-2</v>
      </c>
      <c r="I7719">
        <v>153.03790000000001</v>
      </c>
      <c r="J7719">
        <v>-133.99359999999999</v>
      </c>
      <c r="K7719">
        <v>1.1112249999999999</v>
      </c>
      <c r="L7719">
        <v>139.75569999999999</v>
      </c>
      <c r="M7719">
        <v>0.99990559999999995</v>
      </c>
      <c r="N7719">
        <v>0</v>
      </c>
      <c r="O7719">
        <v>2.5445580000000001E-3</v>
      </c>
      <c r="P7719">
        <v>0.9978861</v>
      </c>
      <c r="Q7719">
        <v>3.7836059999999998E-2</v>
      </c>
      <c r="R7719">
        <v>-5.2840070000000003E-2</v>
      </c>
      <c r="S7719">
        <v>3.0476990000000002</v>
      </c>
      <c r="T7719">
        <v>-5.8665990000000001E-2</v>
      </c>
      <c r="U7719">
        <v>0.75566099999999903</v>
      </c>
      <c r="V7719">
        <v>5.5354050000000002E-2</v>
      </c>
      <c r="W7719">
        <v>5.1335949999999998E-2</v>
      </c>
      <c r="X7719">
        <v>0.99714619999999998</v>
      </c>
      <c r="Y7719">
        <v>-0.23814579999999999</v>
      </c>
      <c r="Z7719">
        <v>2.209436E-3</v>
      </c>
      <c r="AA7719">
        <v>0.9712269</v>
      </c>
      <c r="AB7719">
        <v>20</v>
      </c>
      <c r="AC7719">
        <v>53.3822299999999</v>
      </c>
      <c r="AD7719">
        <v>-1.0312392800000001</v>
      </c>
      <c r="AE7719">
        <v>13.2822</v>
      </c>
      <c r="AF7719">
        <v>-13.1416920457442</v>
      </c>
      <c r="AG7719">
        <v>-1.0312392800000001</v>
      </c>
      <c r="AH7719">
        <v>53.397092229316399</v>
      </c>
      <c r="AI7719">
        <v>91.074344637303497</v>
      </c>
      <c r="AJ7719">
        <v>103.826417516292</v>
      </c>
      <c r="AK7719">
        <v>55.000154389091598</v>
      </c>
      <c r="AL7719">
        <v>87.057373263809097</v>
      </c>
      <c r="AM7719">
        <v>86.822630825569206</v>
      </c>
      <c r="AN7719">
        <v>0.99999999739412204</v>
      </c>
    </row>
    <row r="7720" spans="1:40" x14ac:dyDescent="0.25">
      <c r="A7720" t="str">
        <f>"20190312154449625"</f>
        <v>20190312154449625</v>
      </c>
      <c r="B7720" t="str">
        <f>"1552376689615076"</f>
        <v>1552376689615076</v>
      </c>
      <c r="C7720" t="s">
        <v>40</v>
      </c>
      <c r="D7720">
        <v>4.9929889999999997</v>
      </c>
      <c r="E7720">
        <v>0.38714739999999997</v>
      </c>
      <c r="F7720" t="s">
        <v>43</v>
      </c>
      <c r="G7720">
        <v>-80.632400000000004</v>
      </c>
      <c r="H7720">
        <v>7.9985719999999996E-2</v>
      </c>
      <c r="I7720">
        <v>152.9068</v>
      </c>
      <c r="J7720">
        <v>-133.79159999999999</v>
      </c>
      <c r="K7720">
        <v>1.111243</v>
      </c>
      <c r="L7720">
        <v>139.7568</v>
      </c>
      <c r="M7720">
        <v>0.99990449999999997</v>
      </c>
      <c r="N7720">
        <v>0</v>
      </c>
      <c r="O7720">
        <v>2.966799E-3</v>
      </c>
      <c r="P7720">
        <v>0.99790670000000004</v>
      </c>
      <c r="Q7720">
        <v>3.7667350000000002E-2</v>
      </c>
      <c r="R7720">
        <v>-5.2568219999999999E-2</v>
      </c>
      <c r="S7720">
        <v>3.0483549999999999</v>
      </c>
      <c r="T7720">
        <v>-5.8911320000000003E-2</v>
      </c>
      <c r="U7720">
        <v>0.75128169999999905</v>
      </c>
      <c r="V7720">
        <v>5.5503520000000001E-2</v>
      </c>
      <c r="W7720">
        <v>5.1165469999999998E-2</v>
      </c>
      <c r="X7720">
        <v>0.99714669999999905</v>
      </c>
      <c r="Y7720">
        <v>-0.23637159999999999</v>
      </c>
      <c r="Z7720">
        <v>2.1936590000000001E-3</v>
      </c>
      <c r="AA7720">
        <v>0.97166030000000003</v>
      </c>
      <c r="AB7720">
        <v>20</v>
      </c>
      <c r="AC7720">
        <v>53.159199999999899</v>
      </c>
      <c r="AD7720">
        <v>-1.0312572799999999</v>
      </c>
      <c r="AE7720">
        <v>13.15</v>
      </c>
      <c r="AF7720">
        <v>-12.9876092087668</v>
      </c>
      <c r="AG7720">
        <v>-1.0312572799999999</v>
      </c>
      <c r="AH7720">
        <v>53.179123718322899</v>
      </c>
      <c r="AI7720">
        <v>91.079237089212896</v>
      </c>
      <c r="AJ7720">
        <v>103.724340068411</v>
      </c>
      <c r="AK7720">
        <v>54.7518098695002</v>
      </c>
      <c r="AL7720">
        <v>87.067154037756396</v>
      </c>
      <c r="AM7720">
        <v>86.814070366178598</v>
      </c>
      <c r="AN7720">
        <v>1.00000004368679</v>
      </c>
    </row>
    <row r="7721" spans="1:40" x14ac:dyDescent="0.25">
      <c r="A7721" t="str">
        <f>"20190312154449648"</f>
        <v>20190312154449648</v>
      </c>
      <c r="B7721" t="str">
        <f>"1552376689645332"</f>
        <v>1552376689645332</v>
      </c>
      <c r="C7721" t="s">
        <v>40</v>
      </c>
      <c r="D7721">
        <v>5.5890420000000001</v>
      </c>
      <c r="E7721">
        <v>0.40918850000000001</v>
      </c>
      <c r="F7721" t="s">
        <v>43</v>
      </c>
      <c r="G7721">
        <v>-81.232680000000002</v>
      </c>
      <c r="H7721">
        <v>7.9985870000000001E-2</v>
      </c>
      <c r="I7721">
        <v>152.6996</v>
      </c>
      <c r="J7721">
        <v>-133.59110000000001</v>
      </c>
      <c r="K7721">
        <v>1.1112569999999999</v>
      </c>
      <c r="L7721">
        <v>139.75790000000001</v>
      </c>
      <c r="M7721">
        <v>0.99990310000000004</v>
      </c>
      <c r="N7721">
        <v>0</v>
      </c>
      <c r="O7721">
        <v>3.3806550000000002E-3</v>
      </c>
      <c r="P7721">
        <v>0.9979422</v>
      </c>
      <c r="Q7721">
        <v>3.745706E-2</v>
      </c>
      <c r="R7721">
        <v>-5.2041959999999998E-2</v>
      </c>
      <c r="S7721">
        <v>3.0480960000000001</v>
      </c>
      <c r="T7721">
        <v>-5.980659E-2</v>
      </c>
      <c r="U7721">
        <v>0.75061040000000001</v>
      </c>
      <c r="V7721">
        <v>5.539065E-2</v>
      </c>
      <c r="W7721">
        <v>5.0952600000000001E-2</v>
      </c>
      <c r="X7721">
        <v>0.99716380000000004</v>
      </c>
      <c r="Y7721">
        <v>-0.23578569999999999</v>
      </c>
      <c r="Z7721">
        <v>2.2135689999999999E-3</v>
      </c>
      <c r="AA7721">
        <v>0.97180250000000001</v>
      </c>
      <c r="AB7721">
        <v>20</v>
      </c>
      <c r="AC7721">
        <v>52.358420000000002</v>
      </c>
      <c r="AD7721">
        <v>-1.0312711299999999</v>
      </c>
      <c r="AE7721">
        <v>12.9416999999999</v>
      </c>
      <c r="AF7721">
        <v>-12.7599389736405</v>
      </c>
      <c r="AG7721">
        <v>-1.0312711299999999</v>
      </c>
      <c r="AH7721">
        <v>52.382724507425998</v>
      </c>
      <c r="AI7721">
        <v>91.095815675230199</v>
      </c>
      <c r="AJ7721">
        <v>103.69009560856701</v>
      </c>
      <c r="AK7721">
        <v>53.924293130049399</v>
      </c>
      <c r="AL7721">
        <v>87.079366297489898</v>
      </c>
      <c r="AM7721">
        <v>86.820590266157794</v>
      </c>
      <c r="AN7721">
        <v>0.99999996779231004</v>
      </c>
    </row>
    <row r="7722" spans="1:40" x14ac:dyDescent="0.25">
      <c r="A7722" t="str">
        <f>"20190312154449672"</f>
        <v>20190312154449672</v>
      </c>
      <c r="B7722" t="str">
        <f>"1552376689664852"</f>
        <v>1552376689664852</v>
      </c>
      <c r="C7722" t="s">
        <v>40</v>
      </c>
      <c r="D7722">
        <v>5.0821730000000001</v>
      </c>
      <c r="E7722">
        <v>0.46813339999999998</v>
      </c>
      <c r="F7722" t="s">
        <v>55</v>
      </c>
      <c r="G7722">
        <v>212.53059999999999</v>
      </c>
      <c r="H7722">
        <v>-0.1</v>
      </c>
      <c r="I7722">
        <v>205.178</v>
      </c>
      <c r="J7722">
        <v>-133.381</v>
      </c>
      <c r="K7722">
        <v>1.111283</v>
      </c>
      <c r="L7722">
        <v>139.75909999999999</v>
      </c>
      <c r="M7722">
        <v>0.9999017</v>
      </c>
      <c r="N7722">
        <v>0</v>
      </c>
      <c r="O7722">
        <v>3.8041139999999999E-3</v>
      </c>
      <c r="P7722">
        <v>0.99796119999999999</v>
      </c>
      <c r="Q7722">
        <v>3.7437419999999999E-2</v>
      </c>
      <c r="R7722">
        <v>-5.1689760000000001E-2</v>
      </c>
      <c r="S7722">
        <v>3.0365139999999999</v>
      </c>
      <c r="T7722">
        <v>-1.062632E-2</v>
      </c>
      <c r="U7722">
        <v>0.57392880000000002</v>
      </c>
      <c r="V7722">
        <v>5.5461879999999998E-2</v>
      </c>
      <c r="W7722">
        <v>5.0929740000000001E-2</v>
      </c>
      <c r="X7722">
        <v>0.99716099999999996</v>
      </c>
      <c r="Y7722">
        <v>-0.18198020000000001</v>
      </c>
      <c r="Z7722">
        <v>3.0243000000000002E-4</v>
      </c>
      <c r="AA7722">
        <v>0.98330220000000002</v>
      </c>
      <c r="AB7722">
        <v>20</v>
      </c>
      <c r="AC7722">
        <v>345.91160000000002</v>
      </c>
      <c r="AD7722">
        <v>-1.2112829999999899</v>
      </c>
      <c r="AE7722">
        <v>65.418899999999994</v>
      </c>
      <c r="AF7722">
        <v>-64.101660691783707</v>
      </c>
      <c r="AG7722">
        <v>-1.2112829999999899</v>
      </c>
      <c r="AH7722">
        <v>346.15388229430698</v>
      </c>
      <c r="AI7722">
        <v>90.197140398222203</v>
      </c>
      <c r="AJ7722">
        <v>100.491331365655</v>
      </c>
      <c r="AK7722">
        <v>352.041191250927</v>
      </c>
      <c r="AL7722">
        <v>87.080677756807702</v>
      </c>
      <c r="AM7722">
        <v>86.816501165068701</v>
      </c>
      <c r="AN7722">
        <v>0.99999995923530005</v>
      </c>
    </row>
    <row r="7723" spans="1:40" x14ac:dyDescent="0.25">
      <c r="A7723" t="str">
        <f>"20190312154449693"</f>
        <v>20190312154449693</v>
      </c>
      <c r="B7723" t="str">
        <f>"1552376689685348"</f>
        <v>1552376689685348</v>
      </c>
      <c r="C7723" t="s">
        <v>40</v>
      </c>
      <c r="D7723">
        <v>5.0558880000000004</v>
      </c>
      <c r="E7723">
        <v>0.4759352</v>
      </c>
      <c r="F7723" t="s">
        <v>43</v>
      </c>
      <c r="G7723">
        <v>-93.442729999999997</v>
      </c>
      <c r="H7723" s="1">
        <v>-3.2149159999999999E-6</v>
      </c>
      <c r="I7723">
        <v>141.19319999999999</v>
      </c>
      <c r="J7723">
        <v>-133.1926</v>
      </c>
      <c r="K7723">
        <v>1.1113150000000001</v>
      </c>
      <c r="L7723">
        <v>139.7603</v>
      </c>
      <c r="M7723">
        <v>0.99990020000000002</v>
      </c>
      <c r="N7723">
        <v>0</v>
      </c>
      <c r="O7723">
        <v>4.1748180000000003E-3</v>
      </c>
      <c r="P7723">
        <v>0.99789459999999996</v>
      </c>
      <c r="Q7723">
        <v>3.8426420000000003E-2</v>
      </c>
      <c r="R7723">
        <v>-5.2248700000000002E-2</v>
      </c>
      <c r="S7723">
        <v>3.0148619999999999</v>
      </c>
      <c r="T7723">
        <v>-8.3888770000000001E-2</v>
      </c>
      <c r="U7723">
        <v>0.1082611</v>
      </c>
      <c r="V7723">
        <v>5.6390570000000001E-2</v>
      </c>
      <c r="W7723">
        <v>5.1915490000000002E-2</v>
      </c>
      <c r="X7723">
        <v>0.99705809999999995</v>
      </c>
      <c r="Y7723">
        <v>-3.1702540000000001E-2</v>
      </c>
      <c r="Z7723">
        <v>3.2472259999999999E-4</v>
      </c>
      <c r="AA7723">
        <v>0.99949730000000003</v>
      </c>
      <c r="AB7723">
        <v>20</v>
      </c>
      <c r="AC7723">
        <v>39.749869999999902</v>
      </c>
      <c r="AD7723">
        <v>-1.1113182149159999</v>
      </c>
      <c r="AE7723">
        <v>1.4328999999999801</v>
      </c>
      <c r="AF7723">
        <v>-1.2659357022895299</v>
      </c>
      <c r="AG7723">
        <v>-1.1113182149159999</v>
      </c>
      <c r="AH7723">
        <v>39.724496310746403</v>
      </c>
      <c r="AI7723">
        <v>91.601655488306605</v>
      </c>
      <c r="AJ7723">
        <v>91.825277617465005</v>
      </c>
      <c r="AK7723">
        <v>39.760196535223997</v>
      </c>
      <c r="AL7723">
        <v>87.024123691037502</v>
      </c>
      <c r="AM7723">
        <v>86.762973656397094</v>
      </c>
      <c r="AN7723">
        <v>0.99999998463123696</v>
      </c>
    </row>
    <row r="7724" spans="1:40" x14ac:dyDescent="0.25">
      <c r="A7724" t="str">
        <f>"20190312154449715"</f>
        <v>20190312154449715</v>
      </c>
      <c r="B7724" t="str">
        <f>"1552376689704868"</f>
        <v>1552376689704868</v>
      </c>
      <c r="C7724" t="s">
        <v>40</v>
      </c>
      <c r="D7724">
        <v>5.0317020000000001</v>
      </c>
      <c r="E7724">
        <v>0.47842079999999998</v>
      </c>
      <c r="F7724" t="s">
        <v>43</v>
      </c>
      <c r="G7724">
        <v>-100.7319</v>
      </c>
      <c r="H7724" s="1">
        <v>-4.5291629999999901E-6</v>
      </c>
      <c r="I7724">
        <v>140.24629999999999</v>
      </c>
      <c r="J7724">
        <v>-132.9967</v>
      </c>
      <c r="K7724">
        <v>1.111327</v>
      </c>
      <c r="L7724">
        <v>139.76159999999999</v>
      </c>
      <c r="M7724">
        <v>0.99989870000000003</v>
      </c>
      <c r="N7724">
        <v>0</v>
      </c>
      <c r="O7724">
        <v>4.548842E-3</v>
      </c>
      <c r="P7724">
        <v>0.99778990000000001</v>
      </c>
      <c r="Q7724">
        <v>4.0106950000000002E-2</v>
      </c>
      <c r="R7724">
        <v>-5.2983139999999998E-2</v>
      </c>
      <c r="S7724">
        <v>3.0126499999999998</v>
      </c>
      <c r="T7724">
        <v>-0.1031406</v>
      </c>
      <c r="U7724">
        <v>4.5104980000000003E-2</v>
      </c>
      <c r="V7724">
        <v>5.7497970000000002E-2</v>
      </c>
      <c r="W7724">
        <v>5.3591140000000002E-2</v>
      </c>
      <c r="X7724">
        <v>0.99690619999999996</v>
      </c>
      <c r="Y7724">
        <v>-1.0417849999999999E-2</v>
      </c>
      <c r="Z7724" s="1">
        <v>2.2578170000000001E-5</v>
      </c>
      <c r="AA7724">
        <v>0.9999458</v>
      </c>
      <c r="AB7724">
        <v>20</v>
      </c>
      <c r="AC7724">
        <v>32.264800000000001</v>
      </c>
      <c r="AD7724">
        <v>-1.1113315291629999</v>
      </c>
      <c r="AE7724">
        <v>0.48470000000000302</v>
      </c>
      <c r="AF7724">
        <v>-0.33751382246944001</v>
      </c>
      <c r="AG7724">
        <v>-1.1113315291629999</v>
      </c>
      <c r="AH7724">
        <v>32.228444112018003</v>
      </c>
      <c r="AI7724">
        <v>91.974836228848105</v>
      </c>
      <c r="AJ7724">
        <v>90.600010679075496</v>
      </c>
      <c r="AK7724">
        <v>32.249365625226403</v>
      </c>
      <c r="AL7724">
        <v>86.927982180159205</v>
      </c>
      <c r="AM7724">
        <v>86.699042216782104</v>
      </c>
      <c r="AN7724">
        <v>0.99999999921952998</v>
      </c>
    </row>
    <row r="7725" spans="1:40" x14ac:dyDescent="0.25">
      <c r="A7725" t="str">
        <f>"20190312154449738"</f>
        <v>20190312154449738</v>
      </c>
      <c r="B7725" t="str">
        <f>"1552376689725364"</f>
        <v>1552376689725364</v>
      </c>
      <c r="C7725" t="s">
        <v>40</v>
      </c>
      <c r="D7725">
        <v>5.071885</v>
      </c>
      <c r="E7725">
        <v>0.4796453</v>
      </c>
      <c r="F7725" t="s">
        <v>43</v>
      </c>
      <c r="G7725">
        <v>-101.7705</v>
      </c>
      <c r="H7725" s="1">
        <v>-3.9736460000000004E-6</v>
      </c>
      <c r="I7725">
        <v>140.00360000000001</v>
      </c>
      <c r="J7725">
        <v>-132.79939999999999</v>
      </c>
      <c r="K7725">
        <v>1.1113280000000001</v>
      </c>
      <c r="L7725">
        <v>139.7629</v>
      </c>
      <c r="M7725">
        <v>0.99989689999999998</v>
      </c>
      <c r="N7725">
        <v>0</v>
      </c>
      <c r="O7725">
        <v>4.9119410000000004E-3</v>
      </c>
      <c r="P7725">
        <v>0.99773109999999998</v>
      </c>
      <c r="Q7725">
        <v>4.1766480000000002E-2</v>
      </c>
      <c r="R7725">
        <v>-5.2806359999999997E-2</v>
      </c>
      <c r="S7725">
        <v>3.0121769999999999</v>
      </c>
      <c r="T7725">
        <v>-0.10720250000000001</v>
      </c>
      <c r="U7725">
        <v>2.3345950000000001E-2</v>
      </c>
      <c r="V7725">
        <v>5.7683520000000002E-2</v>
      </c>
      <c r="W7725">
        <v>5.5246169999999997E-2</v>
      </c>
      <c r="X7725">
        <v>0.9968051</v>
      </c>
      <c r="Y7725">
        <v>-2.8392700000000001E-3</v>
      </c>
      <c r="Z7725">
        <v>-1.2426359999999999E-4</v>
      </c>
      <c r="AA7725">
        <v>0.99999590000000005</v>
      </c>
      <c r="AB7725">
        <v>20</v>
      </c>
      <c r="AC7725">
        <v>31.0289</v>
      </c>
      <c r="AD7725">
        <v>-1.1113319736459999</v>
      </c>
      <c r="AE7725">
        <v>0.24070000000000299</v>
      </c>
      <c r="AF7725">
        <v>-8.8158012287953794E-2</v>
      </c>
      <c r="AG7725">
        <v>-1.1113319736459999</v>
      </c>
      <c r="AH7725">
        <v>30.989956871662802</v>
      </c>
      <c r="AI7725">
        <v>92.0537976298328</v>
      </c>
      <c r="AJ7725">
        <v>90.162990494955693</v>
      </c>
      <c r="AK7725">
        <v>31.010002539475899</v>
      </c>
      <c r="AL7725">
        <v>86.833015113497495</v>
      </c>
      <c r="AM7725">
        <v>86.688078336558902</v>
      </c>
      <c r="AN7725">
        <v>0.99999996758263399</v>
      </c>
    </row>
    <row r="7726" spans="1:40" x14ac:dyDescent="0.25">
      <c r="A7726" t="str">
        <f>"20190312154449759"</f>
        <v>20190312154449759</v>
      </c>
      <c r="B7726" t="str">
        <f>"1552376689744884"</f>
        <v>1552376689744884</v>
      </c>
      <c r="C7726" t="s">
        <v>40</v>
      </c>
      <c r="D7726">
        <v>5.0636720000000004</v>
      </c>
      <c r="E7726">
        <v>0.48031309999999999</v>
      </c>
      <c r="F7726" t="s">
        <v>43</v>
      </c>
      <c r="G7726">
        <v>-98.461860000000001</v>
      </c>
      <c r="H7726" s="1">
        <v>-7.2319499999999999E-7</v>
      </c>
      <c r="I7726">
        <v>139.92089999999999</v>
      </c>
      <c r="J7726">
        <v>-132.60399999999899</v>
      </c>
      <c r="K7726">
        <v>1.1113170000000001</v>
      </c>
      <c r="L7726">
        <v>139.76429999999999</v>
      </c>
      <c r="M7726">
        <v>0.99989519999999998</v>
      </c>
      <c r="N7726">
        <v>0</v>
      </c>
      <c r="O7726">
        <v>5.2575729999999998E-3</v>
      </c>
      <c r="P7726">
        <v>0.9976817</v>
      </c>
      <c r="Q7726">
        <v>4.3306320000000002E-2</v>
      </c>
      <c r="R7726">
        <v>-5.2496679999999997E-2</v>
      </c>
      <c r="S7726">
        <v>3.0116420000000002</v>
      </c>
      <c r="T7726">
        <v>-9.7471119999999994E-2</v>
      </c>
      <c r="U7726">
        <v>1.3854979999999999E-2</v>
      </c>
      <c r="V7726">
        <v>5.7718869999999999E-2</v>
      </c>
      <c r="W7726">
        <v>5.6782029999999997E-2</v>
      </c>
      <c r="X7726">
        <v>0.99671679999999996</v>
      </c>
      <c r="Y7726">
        <v>6.5453959999999998E-4</v>
      </c>
      <c r="Z7726">
        <v>-1.8071830000000001E-4</v>
      </c>
      <c r="AA7726">
        <v>0.99999979999999999</v>
      </c>
      <c r="AB7726">
        <v>20</v>
      </c>
      <c r="AC7726">
        <v>34.142139999999898</v>
      </c>
      <c r="AD7726">
        <v>-1.111317723195</v>
      </c>
      <c r="AE7726">
        <v>0.15659999999999699</v>
      </c>
      <c r="AF7726">
        <v>2.2899029933417001E-2</v>
      </c>
      <c r="AG7726">
        <v>-1.111317723195</v>
      </c>
      <c r="AH7726">
        <v>34.106357012581199</v>
      </c>
      <c r="AI7726">
        <v>91.866258564379805</v>
      </c>
      <c r="AJ7726">
        <v>89.961531582733897</v>
      </c>
      <c r="AK7726">
        <v>34.124465418774001</v>
      </c>
      <c r="AL7726">
        <v>86.744878610458102</v>
      </c>
      <c r="AM7726">
        <v>86.685760293817097</v>
      </c>
      <c r="AN7726">
        <v>1.0000000231436099</v>
      </c>
    </row>
    <row r="7727" spans="1:40" x14ac:dyDescent="0.25">
      <c r="A7727" t="str">
        <f>"20190312154449781"</f>
        <v>20190312154449781</v>
      </c>
      <c r="B7727" t="str">
        <f>"1552376689775140"</f>
        <v>1552376689775140</v>
      </c>
      <c r="C7727" t="s">
        <v>40</v>
      </c>
      <c r="D7727">
        <v>5.06487</v>
      </c>
      <c r="E7727">
        <v>0.4807169</v>
      </c>
      <c r="F7727" t="s">
        <v>43</v>
      </c>
      <c r="G7727">
        <v>-95.748419999999996</v>
      </c>
      <c r="H7727" s="1">
        <v>-1.875797E-6</v>
      </c>
      <c r="I7727">
        <v>139.87780000000001</v>
      </c>
      <c r="J7727">
        <v>-132.40520000000001</v>
      </c>
      <c r="K7727">
        <v>1.1112949999999999</v>
      </c>
      <c r="L7727">
        <v>139.76580000000001</v>
      </c>
      <c r="M7727">
        <v>0.99989340000000004</v>
      </c>
      <c r="N7727">
        <v>0</v>
      </c>
      <c r="O7727">
        <v>5.5946729999999997E-3</v>
      </c>
      <c r="P7727">
        <v>0.99778089999999997</v>
      </c>
      <c r="Q7727">
        <v>4.1227449999999999E-2</v>
      </c>
      <c r="R7727">
        <v>-5.228617E-2</v>
      </c>
      <c r="S7727">
        <v>3.0113979999999998</v>
      </c>
      <c r="T7727">
        <v>-9.0803620000000002E-2</v>
      </c>
      <c r="U7727">
        <v>9.2773439999999999E-3</v>
      </c>
      <c r="V7727">
        <v>5.784715E-2</v>
      </c>
      <c r="W7727">
        <v>5.4701029999999998E-2</v>
      </c>
      <c r="X7727">
        <v>0.99682570000000004</v>
      </c>
      <c r="Y7727">
        <v>2.510792E-3</v>
      </c>
      <c r="Z7727">
        <v>-2.0651919999999999E-4</v>
      </c>
      <c r="AA7727">
        <v>0.99999680000000002</v>
      </c>
      <c r="AB7727">
        <v>20</v>
      </c>
      <c r="AC7727">
        <v>36.656779999999998</v>
      </c>
      <c r="AD7727">
        <v>-1.1112968757969901</v>
      </c>
      <c r="AE7727">
        <v>0.11199999999999399</v>
      </c>
      <c r="AF7727">
        <v>9.3017614613565003E-2</v>
      </c>
      <c r="AG7727">
        <v>-1.1112968757969901</v>
      </c>
      <c r="AH7727">
        <v>36.623173689951201</v>
      </c>
      <c r="AI7727">
        <v>91.738049368252405</v>
      </c>
      <c r="AJ7727">
        <v>89.854477241025407</v>
      </c>
      <c r="AK7727">
        <v>36.6401485279074</v>
      </c>
      <c r="AL7727">
        <v>86.864296697036394</v>
      </c>
      <c r="AM7727">
        <v>86.678772941815495</v>
      </c>
      <c r="AN7727">
        <v>0.99999998581333605</v>
      </c>
    </row>
    <row r="7728" spans="1:40" x14ac:dyDescent="0.25">
      <c r="A7728" t="str">
        <f>"20190312154449804"</f>
        <v>20190312154449804</v>
      </c>
      <c r="B7728" t="str">
        <f>"1552376689795636"</f>
        <v>1552376689795636</v>
      </c>
      <c r="C7728" t="s">
        <v>40</v>
      </c>
      <c r="D7728">
        <v>5.0889949999999997</v>
      </c>
      <c r="E7728">
        <v>0.4809716</v>
      </c>
      <c r="F7728" t="s">
        <v>43</v>
      </c>
      <c r="G7728">
        <v>-98.504009999999994</v>
      </c>
      <c r="H7728" s="1">
        <v>-6.8413289999999996E-7</v>
      </c>
      <c r="I7728">
        <v>139.84200000000001</v>
      </c>
      <c r="J7728">
        <v>-132.20769999999999</v>
      </c>
      <c r="K7728">
        <v>1.1112770000000001</v>
      </c>
      <c r="L7728">
        <v>139.76730000000001</v>
      </c>
      <c r="M7728">
        <v>0.99989150000000004</v>
      </c>
      <c r="N7728">
        <v>0</v>
      </c>
      <c r="O7728">
        <v>5.9148969999999997E-3</v>
      </c>
      <c r="P7728">
        <v>0.99789119999999998</v>
      </c>
      <c r="Q7728">
        <v>3.8812949999999999E-2</v>
      </c>
      <c r="R7728">
        <v>-5.2027110000000001E-2</v>
      </c>
      <c r="S7728">
        <v>3.0111080000000001</v>
      </c>
      <c r="T7728">
        <v>-9.8705409999999993E-2</v>
      </c>
      <c r="U7728">
        <v>6.7749019999999898E-3</v>
      </c>
      <c r="V7728">
        <v>5.7910360000000001E-2</v>
      </c>
      <c r="W7728">
        <v>5.2284539999999997E-2</v>
      </c>
      <c r="X7728">
        <v>0.9969517</v>
      </c>
      <c r="Y7728">
        <v>3.660352E-3</v>
      </c>
      <c r="Z7728">
        <v>-2.5383479999999998E-4</v>
      </c>
      <c r="AA7728">
        <v>0.99999329999999997</v>
      </c>
      <c r="AB7728">
        <v>20</v>
      </c>
      <c r="AC7728">
        <v>33.703689999999902</v>
      </c>
      <c r="AD7728">
        <v>-1.1112776841329</v>
      </c>
      <c r="AE7728">
        <v>7.4700000000007094E-2</v>
      </c>
      <c r="AF7728">
        <v>0.124537914763028</v>
      </c>
      <c r="AG7728">
        <v>-1.1112776841329</v>
      </c>
      <c r="AH7728">
        <v>33.666941287822098</v>
      </c>
      <c r="AI7728">
        <v>91.890518554796898</v>
      </c>
      <c r="AJ7728">
        <v>89.788057242906106</v>
      </c>
      <c r="AK7728">
        <v>33.685507023958102</v>
      </c>
      <c r="AL7728">
        <v>87.002949935160302</v>
      </c>
      <c r="AM7728">
        <v>86.675571219492994</v>
      </c>
      <c r="AN7728">
        <v>0.99999998752561503</v>
      </c>
    </row>
    <row r="7729" spans="1:40" x14ac:dyDescent="0.25">
      <c r="A7729" t="str">
        <f>"20190312154449826"</f>
        <v>20190312154449826</v>
      </c>
      <c r="B7729" t="str">
        <f>"1552376689815155"</f>
        <v>1552376689815155</v>
      </c>
      <c r="C7729" t="s">
        <v>40</v>
      </c>
      <c r="D7729">
        <v>5.0837349999999999</v>
      </c>
      <c r="E7729">
        <v>0.48125279999999998</v>
      </c>
      <c r="F7729" t="s">
        <v>43</v>
      </c>
      <c r="G7729">
        <v>-100.56399999999999</v>
      </c>
      <c r="H7729" s="1">
        <v>-4.4965970000000004E-6</v>
      </c>
      <c r="I7729">
        <v>139.82550000000001</v>
      </c>
      <c r="J7729">
        <v>-132.01400000000001</v>
      </c>
      <c r="K7729">
        <v>1.1112629999999999</v>
      </c>
      <c r="L7729">
        <v>139.7688</v>
      </c>
      <c r="M7729">
        <v>0.9998899</v>
      </c>
      <c r="N7729">
        <v>0</v>
      </c>
      <c r="O7729">
        <v>6.2147979999999997E-3</v>
      </c>
      <c r="P7729">
        <v>0.99800259999999996</v>
      </c>
      <c r="Q7729">
        <v>3.6650200000000001E-2</v>
      </c>
      <c r="R7729">
        <v>-5.1456700000000001E-2</v>
      </c>
      <c r="S7729">
        <v>3.0107270000000002</v>
      </c>
      <c r="T7729">
        <v>-0.105732199999999</v>
      </c>
      <c r="U7729">
        <v>5.53894E-3</v>
      </c>
      <c r="V7729">
        <v>5.7641789999999998E-2</v>
      </c>
      <c r="W7729">
        <v>5.0120159999999997E-2</v>
      </c>
      <c r="X7729">
        <v>0.99707840000000003</v>
      </c>
      <c r="Y7729">
        <v>4.3691310000000001E-3</v>
      </c>
      <c r="Z7729">
        <v>-2.9490039999999999E-4</v>
      </c>
      <c r="AA7729">
        <v>0.99999039999999995</v>
      </c>
      <c r="AB7729">
        <v>20</v>
      </c>
      <c r="AC7729">
        <v>31.45</v>
      </c>
      <c r="AD7729">
        <v>-1.111267496597</v>
      </c>
      <c r="AE7729">
        <v>5.6700000000006398E-2</v>
      </c>
      <c r="AF7729">
        <v>0.138601192590112</v>
      </c>
      <c r="AG7729">
        <v>-1.111267496597</v>
      </c>
      <c r="AH7729">
        <v>31.410528353608701</v>
      </c>
      <c r="AI7729">
        <v>92.026192389769903</v>
      </c>
      <c r="AJ7729">
        <v>89.747179934663293</v>
      </c>
      <c r="AK7729">
        <v>31.430485474972201</v>
      </c>
      <c r="AL7729">
        <v>87.127122630580104</v>
      </c>
      <c r="AM7729">
        <v>86.691374082531297</v>
      </c>
      <c r="AN7729">
        <v>0.99999997106969396</v>
      </c>
    </row>
    <row r="7730" spans="1:40" x14ac:dyDescent="0.25">
      <c r="A7730" t="str">
        <f>"20190312154449850"</f>
        <v>20190312154449850</v>
      </c>
      <c r="B7730" t="str">
        <f>"1552376689845411"</f>
        <v>1552376689845411</v>
      </c>
      <c r="C7730" t="s">
        <v>40</v>
      </c>
      <c r="D7730">
        <v>5.0885119999999997</v>
      </c>
      <c r="E7730">
        <v>0.48152289999999998</v>
      </c>
      <c r="F7730" t="s">
        <v>43</v>
      </c>
      <c r="G7730">
        <v>-102.03270000000001</v>
      </c>
      <c r="H7730" s="1">
        <v>-3.7999159999999998E-6</v>
      </c>
      <c r="I7730">
        <v>139.81649999999999</v>
      </c>
      <c r="J7730">
        <v>-131.8125</v>
      </c>
      <c r="K7730">
        <v>1.111251</v>
      </c>
      <c r="L7730">
        <v>139.7704</v>
      </c>
      <c r="M7730">
        <v>0.999888</v>
      </c>
      <c r="N7730">
        <v>0</v>
      </c>
      <c r="O7730">
        <v>6.5129119999999896E-3</v>
      </c>
      <c r="P7730">
        <v>0.99809899999999996</v>
      </c>
      <c r="Q7730">
        <v>3.5004689999999998E-2</v>
      </c>
      <c r="R7730">
        <v>-5.0725550000000001E-2</v>
      </c>
      <c r="S7730">
        <v>3.010345</v>
      </c>
      <c r="T7730">
        <v>-0.1115797</v>
      </c>
      <c r="U7730">
        <v>4.7912600000000003E-3</v>
      </c>
      <c r="V7730">
        <v>5.7210560000000001E-2</v>
      </c>
      <c r="W7730">
        <v>4.8472300000000003E-2</v>
      </c>
      <c r="X7730">
        <v>0.99718479999999998</v>
      </c>
      <c r="Y7730">
        <v>4.9140870000000001E-3</v>
      </c>
      <c r="Z7730">
        <v>-3.3238099999999997E-4</v>
      </c>
      <c r="AA7730">
        <v>0.99998790000000004</v>
      </c>
      <c r="AB7730">
        <v>20</v>
      </c>
      <c r="AC7730">
        <v>29.779799999999899</v>
      </c>
      <c r="AD7730">
        <v>-1.1112547999160001</v>
      </c>
      <c r="AE7730">
        <v>4.6099999999995499E-2</v>
      </c>
      <c r="AF7730">
        <v>0.147666185840652</v>
      </c>
      <c r="AG7730">
        <v>-1.1112547999160001</v>
      </c>
      <c r="AH7730">
        <v>29.738059494845299</v>
      </c>
      <c r="AI7730">
        <v>92.140012368428401</v>
      </c>
      <c r="AJ7730">
        <v>89.7154965780325</v>
      </c>
      <c r="AK7730">
        <v>29.759181357217098</v>
      </c>
      <c r="AL7730">
        <v>87.221653268640793</v>
      </c>
      <c r="AM7730">
        <v>86.716421841507596</v>
      </c>
      <c r="AN7730">
        <v>1.0000000686969099</v>
      </c>
    </row>
    <row r="7731" spans="1:40" x14ac:dyDescent="0.25">
      <c r="A7731" t="str">
        <f>"20190312154449873"</f>
        <v>20190312154449873</v>
      </c>
      <c r="B7731" t="str">
        <f>"1552376689864932"</f>
        <v>1552376689864932</v>
      </c>
      <c r="C7731" t="s">
        <v>40</v>
      </c>
      <c r="D7731">
        <v>5.0884039999999997</v>
      </c>
      <c r="E7731">
        <v>0.48160389999999997</v>
      </c>
      <c r="F7731" t="s">
        <v>43</v>
      </c>
      <c r="G7731">
        <v>-103.66289999999999</v>
      </c>
      <c r="H7731" s="1">
        <v>-3.0287380000000001E-6</v>
      </c>
      <c r="I7731">
        <v>139.8142</v>
      </c>
      <c r="J7731">
        <v>-131.60329999999999</v>
      </c>
      <c r="K7731">
        <v>1.1112299999999999</v>
      </c>
      <c r="L7731">
        <v>139.7722</v>
      </c>
      <c r="M7731">
        <v>0.99988600000000005</v>
      </c>
      <c r="N7731">
        <v>0</v>
      </c>
      <c r="O7731">
        <v>6.8092049999999996E-3</v>
      </c>
      <c r="P7731">
        <v>0.99825350000000002</v>
      </c>
      <c r="Q7731">
        <v>3.2582319999999998E-2</v>
      </c>
      <c r="R7731">
        <v>-4.9277830000000002E-2</v>
      </c>
      <c r="S7731">
        <v>3.0101170000000002</v>
      </c>
      <c r="T7731">
        <v>-0.1188293</v>
      </c>
      <c r="U7731">
        <v>4.6844479999999999E-3</v>
      </c>
      <c r="V7731">
        <v>5.6061010000000001E-2</v>
      </c>
      <c r="W7731">
        <v>4.6048390000000002E-2</v>
      </c>
      <c r="X7731">
        <v>0.9973649</v>
      </c>
      <c r="Y7731">
        <v>5.2442290000000004E-3</v>
      </c>
      <c r="Z7731">
        <v>-3.7219400000000001E-4</v>
      </c>
      <c r="AA7731">
        <v>0.99998620000000005</v>
      </c>
      <c r="AB7731">
        <v>20</v>
      </c>
      <c r="AC7731">
        <v>27.9404</v>
      </c>
      <c r="AD7731">
        <v>-1.1112330287379999</v>
      </c>
      <c r="AE7731">
        <v>4.2000000000001501E-2</v>
      </c>
      <c r="AF7731">
        <v>0.14803600523073801</v>
      </c>
      <c r="AG7731">
        <v>-1.1112330287379999</v>
      </c>
      <c r="AH7731">
        <v>27.895913162717498</v>
      </c>
      <c r="AI7731">
        <v>92.281137814777196</v>
      </c>
      <c r="AJ7731">
        <v>89.695949774164006</v>
      </c>
      <c r="AK7731">
        <v>27.918429839173999</v>
      </c>
      <c r="AL7731">
        <v>87.360688327985102</v>
      </c>
      <c r="AM7731">
        <v>86.782839591368102</v>
      </c>
      <c r="AN7731">
        <v>1.00000001740791</v>
      </c>
    </row>
    <row r="7732" spans="1:40" x14ac:dyDescent="0.25">
      <c r="A7732" t="str">
        <f>"20190312154449898"</f>
        <v>20190312154449898</v>
      </c>
      <c r="B7732" t="str">
        <f>"1552376689885428"</f>
        <v>1552376689885428</v>
      </c>
      <c r="C7732" t="s">
        <v>40</v>
      </c>
      <c r="D7732">
        <v>5.1064790000000002</v>
      </c>
      <c r="E7732">
        <v>0.48165269999999999</v>
      </c>
      <c r="F7732" t="s">
        <v>43</v>
      </c>
      <c r="G7732">
        <v>-106.044</v>
      </c>
      <c r="H7732" s="1">
        <v>-1.910738E-6</v>
      </c>
      <c r="I7732">
        <v>139.84280000000001</v>
      </c>
      <c r="J7732">
        <v>-131.3879</v>
      </c>
      <c r="K7732">
        <v>1.1112089999999999</v>
      </c>
      <c r="L7732">
        <v>139.774</v>
      </c>
      <c r="M7732">
        <v>0.99988390000000005</v>
      </c>
      <c r="N7732">
        <v>0</v>
      </c>
      <c r="O7732">
        <v>7.1056030000000003E-3</v>
      </c>
      <c r="P7732">
        <v>0.99837450000000005</v>
      </c>
      <c r="Q7732">
        <v>3.062687E-2</v>
      </c>
      <c r="R7732">
        <v>-4.806734E-2</v>
      </c>
      <c r="S7732">
        <v>3.0099330000000002</v>
      </c>
      <c r="T7732">
        <v>-0.1308619</v>
      </c>
      <c r="U7732">
        <v>8.3160400000000002E-3</v>
      </c>
      <c r="V7732">
        <v>5.5148469999999998E-2</v>
      </c>
      <c r="W7732">
        <v>4.4091529999999997E-2</v>
      </c>
      <c r="X7732">
        <v>0.99750419999999995</v>
      </c>
      <c r="Y7732">
        <v>4.3326299999999996E-3</v>
      </c>
      <c r="Z7732">
        <v>-4.0294629999999999E-4</v>
      </c>
      <c r="AA7732">
        <v>0.9999905</v>
      </c>
      <c r="AB7732">
        <v>20</v>
      </c>
      <c r="AC7732">
        <v>25.343900000000001</v>
      </c>
      <c r="AD7732">
        <v>-1.1112109107379999</v>
      </c>
      <c r="AE7732">
        <v>6.8800000000010103E-2</v>
      </c>
      <c r="AF7732">
        <v>0.111088236004246</v>
      </c>
      <c r="AG7732">
        <v>-1.1112109107379999</v>
      </c>
      <c r="AH7732">
        <v>25.295121737859699</v>
      </c>
      <c r="AI7732">
        <v>92.515353536791295</v>
      </c>
      <c r="AJ7732">
        <v>89.748376535864494</v>
      </c>
      <c r="AK7732">
        <v>25.319761334133201</v>
      </c>
      <c r="AL7732">
        <v>87.472922225386</v>
      </c>
      <c r="AM7732">
        <v>86.835541054974399</v>
      </c>
      <c r="AN7732">
        <v>1.00000002288936</v>
      </c>
    </row>
    <row r="7733" spans="1:40" x14ac:dyDescent="0.25">
      <c r="A7733" t="str">
        <f>"20190312154449915"</f>
        <v>20190312154449915</v>
      </c>
      <c r="B7733" t="str">
        <f>"1552376689904948"</f>
        <v>1552376689904948</v>
      </c>
      <c r="C7733" t="s">
        <v>40</v>
      </c>
      <c r="D7733">
        <v>5.0729199999999999</v>
      </c>
      <c r="E7733">
        <v>0.48184500000000002</v>
      </c>
      <c r="F7733" t="s">
        <v>43</v>
      </c>
      <c r="G7733">
        <v>-107.17740000000001</v>
      </c>
      <c r="H7733" s="1">
        <v>-1.38132999999999E-6</v>
      </c>
      <c r="I7733">
        <v>139.86670000000001</v>
      </c>
      <c r="J7733">
        <v>-131.23060000000001</v>
      </c>
      <c r="K7733">
        <v>1.111186</v>
      </c>
      <c r="L7733">
        <v>139.77539999999999</v>
      </c>
      <c r="M7733">
        <v>0.9998823</v>
      </c>
      <c r="N7733">
        <v>0</v>
      </c>
      <c r="O7733">
        <v>7.3189040000000002E-3</v>
      </c>
      <c r="P7733">
        <v>0.99844829999999996</v>
      </c>
      <c r="Q7733">
        <v>2.951987E-2</v>
      </c>
      <c r="R7733">
        <v>-4.721649E-2</v>
      </c>
      <c r="S7733">
        <v>3.0096889999999998</v>
      </c>
      <c r="T7733">
        <v>-0.13813839999999999</v>
      </c>
      <c r="U7733">
        <v>1.152039E-2</v>
      </c>
      <c r="V7733">
        <v>5.4511450000000003E-2</v>
      </c>
      <c r="W7733">
        <v>4.2983460000000001E-2</v>
      </c>
      <c r="X7733">
        <v>0.99758760000000002</v>
      </c>
      <c r="Y7733">
        <v>3.4805119999999998E-3</v>
      </c>
      <c r="Z7733">
        <v>-4.1560330000000001E-4</v>
      </c>
      <c r="AA7733">
        <v>0.99999389999999999</v>
      </c>
      <c r="AB7733">
        <v>20</v>
      </c>
      <c r="AC7733">
        <v>24.0532</v>
      </c>
      <c r="AD7733">
        <v>-1.1111873813299999</v>
      </c>
      <c r="AE7733">
        <v>9.1300000000018103E-2</v>
      </c>
      <c r="AF7733">
        <v>8.4581006123889899E-2</v>
      </c>
      <c r="AG7733">
        <v>-1.1111873813299999</v>
      </c>
      <c r="AH7733">
        <v>24.0020003345121</v>
      </c>
      <c r="AI7733">
        <v>92.650634332081694</v>
      </c>
      <c r="AJ7733">
        <v>89.798095385769898</v>
      </c>
      <c r="AK7733">
        <v>24.027856987275001</v>
      </c>
      <c r="AL7733">
        <v>87.536470279728803</v>
      </c>
      <c r="AM7733">
        <v>86.872281698158901</v>
      </c>
      <c r="AN7733">
        <v>1.0000000478442099</v>
      </c>
    </row>
    <row r="7734" spans="1:40" x14ac:dyDescent="0.25">
      <c r="A7734" t="str">
        <f>"20190312154449938"</f>
        <v>20190312154449938</v>
      </c>
      <c r="B7734" t="str">
        <f>"1552376689925449"</f>
        <v>1552376689925449</v>
      </c>
      <c r="C7734" t="s">
        <v>40</v>
      </c>
      <c r="D7734">
        <v>5.0230649999999999</v>
      </c>
      <c r="E7734">
        <v>0.48199890000000001</v>
      </c>
      <c r="F7734" t="s">
        <v>43</v>
      </c>
      <c r="G7734">
        <v>-107.65</v>
      </c>
      <c r="H7734" s="1">
        <v>-1.159949E-6</v>
      </c>
      <c r="I7734">
        <v>139.8741</v>
      </c>
      <c r="J7734">
        <v>-131.0369</v>
      </c>
      <c r="K7734">
        <v>1.111175</v>
      </c>
      <c r="L7734">
        <v>139.77709999999999</v>
      </c>
      <c r="M7734">
        <v>0.99988049999999995</v>
      </c>
      <c r="N7734">
        <v>0</v>
      </c>
      <c r="O7734">
        <v>7.5799190000000001E-3</v>
      </c>
      <c r="P7734">
        <v>0.99846559999999995</v>
      </c>
      <c r="Q7734">
        <v>2.907699E-2</v>
      </c>
      <c r="R7734">
        <v>-4.713005E-2</v>
      </c>
      <c r="S7734">
        <v>3.0094449999999999</v>
      </c>
      <c r="T7734">
        <v>-0.14181389999999999</v>
      </c>
      <c r="U7734">
        <v>1.260376E-2</v>
      </c>
      <c r="V7734">
        <v>5.4685749999999998E-2</v>
      </c>
      <c r="W7734">
        <v>4.2538510000000002E-2</v>
      </c>
      <c r="X7734">
        <v>0.99759710000000001</v>
      </c>
      <c r="Y7734">
        <v>3.3804680000000002E-3</v>
      </c>
      <c r="Z7734">
        <v>-4.3662110000000003E-4</v>
      </c>
      <c r="AA7734">
        <v>0.99999420000000006</v>
      </c>
      <c r="AB7734">
        <v>20</v>
      </c>
      <c r="AC7734">
        <v>23.386900000000001</v>
      </c>
      <c r="AD7734">
        <v>-1.111176159949</v>
      </c>
      <c r="AE7734">
        <v>9.7000000000008399E-2</v>
      </c>
      <c r="AF7734">
        <v>8.0108847412499198E-2</v>
      </c>
      <c r="AG7734">
        <v>-1.111176159949</v>
      </c>
      <c r="AH7734">
        <v>23.334287968032999</v>
      </c>
      <c r="AI7734">
        <v>92.726342944861202</v>
      </c>
      <c r="AJ7734">
        <v>89.803298869354705</v>
      </c>
      <c r="AK7734">
        <v>23.360867382461699</v>
      </c>
      <c r="AL7734">
        <v>87.561987295410006</v>
      </c>
      <c r="AM7734">
        <v>86.862330611217303</v>
      </c>
      <c r="AN7734">
        <v>1.0000000150072399</v>
      </c>
    </row>
    <row r="7735" spans="1:40" x14ac:dyDescent="0.25">
      <c r="A7735" t="str">
        <f>"20190312154449961"</f>
        <v>20190312154449961</v>
      </c>
      <c r="B7735" t="str">
        <f>"1552376689955704"</f>
        <v>1552376689955704</v>
      </c>
      <c r="C7735" t="s">
        <v>40</v>
      </c>
      <c r="D7735">
        <v>5.0433110000000001</v>
      </c>
      <c r="E7735">
        <v>0.48216290000000001</v>
      </c>
      <c r="F7735" t="s">
        <v>43</v>
      </c>
      <c r="G7735">
        <v>-107.6069</v>
      </c>
      <c r="H7735" s="1">
        <v>-1.178667E-6</v>
      </c>
      <c r="I7735">
        <v>139.86799999999999</v>
      </c>
      <c r="J7735">
        <v>-130.8364</v>
      </c>
      <c r="K7735">
        <v>1.111162</v>
      </c>
      <c r="L7735">
        <v>139.779</v>
      </c>
      <c r="M7735">
        <v>0.9998785</v>
      </c>
      <c r="N7735">
        <v>0</v>
      </c>
      <c r="O7735">
        <v>7.8513339999999997E-3</v>
      </c>
      <c r="P7735">
        <v>0.99845819999999996</v>
      </c>
      <c r="Q7735">
        <v>2.8487539999999999E-2</v>
      </c>
      <c r="R7735">
        <v>-4.764007E-2</v>
      </c>
      <c r="S7735">
        <v>3.0093230000000002</v>
      </c>
      <c r="T7735">
        <v>-0.1427186</v>
      </c>
      <c r="U7735">
        <v>1.167297E-2</v>
      </c>
      <c r="V7735">
        <v>5.5466759999999997E-2</v>
      </c>
      <c r="W7735">
        <v>4.1947280000000003E-2</v>
      </c>
      <c r="X7735">
        <v>0.99757899999999999</v>
      </c>
      <c r="Y7735">
        <v>3.9599240000000001E-3</v>
      </c>
      <c r="Z7735">
        <v>-4.6601969999999999E-4</v>
      </c>
      <c r="AA7735">
        <v>0.99999210000000005</v>
      </c>
      <c r="AB7735">
        <v>20</v>
      </c>
      <c r="AC7735">
        <v>23.229500000000002</v>
      </c>
      <c r="AD7735">
        <v>-1.111163178667</v>
      </c>
      <c r="AE7735">
        <v>8.8999999999998594E-2</v>
      </c>
      <c r="AF7735">
        <v>9.3188623635936205E-2</v>
      </c>
      <c r="AG7735">
        <v>-1.111163178667</v>
      </c>
      <c r="AH7735">
        <v>23.1764533365719</v>
      </c>
      <c r="AI7735">
        <v>92.744843370642698</v>
      </c>
      <c r="AJ7735">
        <v>89.769624541685104</v>
      </c>
      <c r="AK7735">
        <v>23.203261774834399</v>
      </c>
      <c r="AL7735">
        <v>87.595892504241505</v>
      </c>
      <c r="AM7735">
        <v>86.817552936822096</v>
      </c>
      <c r="AN7735">
        <v>0.99999999850264798</v>
      </c>
    </row>
    <row r="7736" spans="1:40" x14ac:dyDescent="0.25">
      <c r="A7736" t="str">
        <f>"20190312154449983"</f>
        <v>20190312154449983</v>
      </c>
      <c r="B7736" t="str">
        <f>"1552376689975224"</f>
        <v>1552376689975224</v>
      </c>
      <c r="C7736" t="s">
        <v>40</v>
      </c>
      <c r="D7736">
        <v>5.232958</v>
      </c>
      <c r="E7736">
        <v>0.4825065</v>
      </c>
      <c r="F7736" t="s">
        <v>43</v>
      </c>
      <c r="G7736">
        <v>-107.59739999999999</v>
      </c>
      <c r="H7736" s="1">
        <v>-1.177808E-6</v>
      </c>
      <c r="I7736">
        <v>139.84790000000001</v>
      </c>
      <c r="J7736">
        <v>-130.6456</v>
      </c>
      <c r="K7736">
        <v>1.111156</v>
      </c>
      <c r="L7736">
        <v>139.7808</v>
      </c>
      <c r="M7736">
        <v>0.9998764</v>
      </c>
      <c r="N7736">
        <v>0</v>
      </c>
      <c r="O7736">
        <v>8.1117940000000003E-3</v>
      </c>
      <c r="P7736">
        <v>0.99843780000000004</v>
      </c>
      <c r="Q7736">
        <v>2.7330879999999998E-2</v>
      </c>
      <c r="R7736">
        <v>-4.8735059999999997E-2</v>
      </c>
      <c r="S7736">
        <v>3.0091860000000001</v>
      </c>
      <c r="T7736">
        <v>-0.14388310000000001</v>
      </c>
      <c r="U7736">
        <v>8.926392E-3</v>
      </c>
      <c r="V7736">
        <v>5.6821410000000003E-2</v>
      </c>
      <c r="W7736">
        <v>4.0789079999999998E-2</v>
      </c>
      <c r="X7736">
        <v>0.99755079999999996</v>
      </c>
      <c r="Y7736">
        <v>5.1310940000000001E-3</v>
      </c>
      <c r="Z7736">
        <v>-5.1027139999999999E-4</v>
      </c>
      <c r="AA7736">
        <v>0.99998670000000001</v>
      </c>
      <c r="AB7736">
        <v>20</v>
      </c>
      <c r="AC7736">
        <v>23.048200000000001</v>
      </c>
      <c r="AD7736">
        <v>-1.1111571778080001</v>
      </c>
      <c r="AE7736">
        <v>6.7100000000010596E-2</v>
      </c>
      <c r="AF7736">
        <v>0.11960343461444101</v>
      </c>
      <c r="AG7736">
        <v>-1.1111571778080001</v>
      </c>
      <c r="AH7736">
        <v>22.9945420127818</v>
      </c>
      <c r="AI7736">
        <v>92.766494449148794</v>
      </c>
      <c r="AJ7736">
        <v>89.701985357365302</v>
      </c>
      <c r="AK7736">
        <v>23.021684074649102</v>
      </c>
      <c r="AL7736">
        <v>87.662309361876098</v>
      </c>
      <c r="AM7736">
        <v>86.739902562546106</v>
      </c>
      <c r="AN7736">
        <v>1.0000000101311299</v>
      </c>
    </row>
    <row r="7737" spans="1:40" x14ac:dyDescent="0.25">
      <c r="A7737" t="str">
        <f>"20190312154450005"</f>
        <v>20190312154450005</v>
      </c>
      <c r="B7737" t="str">
        <f>"1552376689995721"</f>
        <v>1552376689995721</v>
      </c>
      <c r="C7737" t="s">
        <v>40</v>
      </c>
      <c r="D7737">
        <v>5.1038430000000004</v>
      </c>
      <c r="E7737">
        <v>0.48257480000000003</v>
      </c>
      <c r="F7737" t="s">
        <v>43</v>
      </c>
      <c r="G7737">
        <v>-108.00020000000001</v>
      </c>
      <c r="H7737" s="1">
        <v>-9.7540270000000007E-7</v>
      </c>
      <c r="I7737">
        <v>139.80279999999999</v>
      </c>
      <c r="J7737">
        <v>-130.44999999999999</v>
      </c>
      <c r="K7737">
        <v>1.111146</v>
      </c>
      <c r="L7737">
        <v>139.78270000000001</v>
      </c>
      <c r="M7737">
        <v>0.99987420000000005</v>
      </c>
      <c r="N7737">
        <v>0</v>
      </c>
      <c r="O7737">
        <v>8.3823249999999995E-3</v>
      </c>
      <c r="P7737">
        <v>0.99841829999999998</v>
      </c>
      <c r="Q7737">
        <v>2.5969160000000002E-2</v>
      </c>
      <c r="R7737">
        <v>-4.98655E-2</v>
      </c>
      <c r="S7737">
        <v>3.008896</v>
      </c>
      <c r="T7737">
        <v>-0.1476394</v>
      </c>
      <c r="U7737">
        <v>2.9296880000000002E-3</v>
      </c>
      <c r="V7737">
        <v>5.8221809999999999E-2</v>
      </c>
      <c r="W7737">
        <v>3.9425469999999997E-2</v>
      </c>
      <c r="X7737">
        <v>0.99752490000000005</v>
      </c>
      <c r="Y7737">
        <v>7.3904649999999997E-3</v>
      </c>
      <c r="Z7737">
        <v>-5.9229400000000005E-4</v>
      </c>
      <c r="AA7737">
        <v>0.99997250000000004</v>
      </c>
      <c r="AB7737">
        <v>20</v>
      </c>
      <c r="AC7737">
        <v>22.4497999999999</v>
      </c>
      <c r="AD7737">
        <v>-1.1111469754026999</v>
      </c>
      <c r="AE7737">
        <v>2.0099999999985099E-2</v>
      </c>
      <c r="AF7737">
        <v>0.16768849793812299</v>
      </c>
      <c r="AG7737">
        <v>-1.1111469754026999</v>
      </c>
      <c r="AH7737">
        <v>22.394319670805402</v>
      </c>
      <c r="AI7737">
        <v>92.840456207965801</v>
      </c>
      <c r="AJ7737">
        <v>89.570977650523702</v>
      </c>
      <c r="AK7737">
        <v>22.4224958591034</v>
      </c>
      <c r="AL7737">
        <v>87.740501439546094</v>
      </c>
      <c r="AM7737">
        <v>86.659648592760206</v>
      </c>
      <c r="AN7737">
        <v>1.0000000364821999</v>
      </c>
    </row>
    <row r="7738" spans="1:40" x14ac:dyDescent="0.25">
      <c r="A7738" t="str">
        <f>"20190312154450027"</f>
        <v>20190312154450027</v>
      </c>
      <c r="B7738" t="str">
        <f>"1552376690015240"</f>
        <v>1552376690015240</v>
      </c>
      <c r="C7738" t="s">
        <v>40</v>
      </c>
      <c r="D7738">
        <v>5.0956250000000001</v>
      </c>
      <c r="E7738">
        <v>0.48260589999999998</v>
      </c>
      <c r="F7738" t="s">
        <v>43</v>
      </c>
      <c r="G7738">
        <v>-108.325</v>
      </c>
      <c r="H7738" s="1">
        <v>-8.1442520000000003E-7</v>
      </c>
      <c r="I7738">
        <v>139.7748</v>
      </c>
      <c r="J7738">
        <v>-130.25829999999999</v>
      </c>
      <c r="K7738">
        <v>1.11114</v>
      </c>
      <c r="L7738">
        <v>139.78460000000001</v>
      </c>
      <c r="M7738">
        <v>0.99987190000000004</v>
      </c>
      <c r="N7738">
        <v>0</v>
      </c>
      <c r="O7738">
        <v>8.6509399999999993E-3</v>
      </c>
      <c r="P7738">
        <v>0.99838170000000004</v>
      </c>
      <c r="Q7738">
        <v>2.394841E-2</v>
      </c>
      <c r="R7738">
        <v>-5.1577570000000003E-2</v>
      </c>
      <c r="S7738">
        <v>3.0086210000000002</v>
      </c>
      <c r="T7738">
        <v>-0.15109690000000001</v>
      </c>
      <c r="U7738">
        <v>-1.0681149999999999E-3</v>
      </c>
      <c r="V7738">
        <v>6.0202100000000001E-2</v>
      </c>
      <c r="W7738">
        <v>3.7402310000000001E-2</v>
      </c>
      <c r="X7738">
        <v>0.99748519999999896</v>
      </c>
      <c r="Y7738">
        <v>8.9845029999999996E-3</v>
      </c>
      <c r="Z7738">
        <v>-6.5968829999999996E-4</v>
      </c>
      <c r="AA7738">
        <v>0.99995940000000005</v>
      </c>
      <c r="AB7738">
        <v>19</v>
      </c>
      <c r="AC7738">
        <v>21.9332999999999</v>
      </c>
      <c r="AD7738">
        <v>-1.1111408144252</v>
      </c>
      <c r="AE7738">
        <v>-9.8000000000126805E-3</v>
      </c>
      <c r="AF7738">
        <v>0.19904965450776399</v>
      </c>
      <c r="AG7738">
        <v>-1.1111408144252</v>
      </c>
      <c r="AH7738">
        <v>21.876250358381299</v>
      </c>
      <c r="AI7738">
        <v>92.907554399057901</v>
      </c>
      <c r="AJ7738">
        <v>89.478686236701094</v>
      </c>
      <c r="AK7738">
        <v>21.905355153866399</v>
      </c>
      <c r="AL7738">
        <v>87.856505473509799</v>
      </c>
      <c r="AM7738">
        <v>86.546167084555506</v>
      </c>
      <c r="AN7738">
        <v>0.99999997492839199</v>
      </c>
    </row>
    <row r="7739" spans="1:40" x14ac:dyDescent="0.25">
      <c r="A7739" t="str">
        <f>"20190312154450054"</f>
        <v>20190312154450054</v>
      </c>
      <c r="B7739" t="str">
        <f>"1552376690045424"</f>
        <v>1552376690045424</v>
      </c>
      <c r="C7739" t="s">
        <v>40</v>
      </c>
      <c r="D7739">
        <v>5.0948719999999996</v>
      </c>
      <c r="E7739">
        <v>0.50054370000000004</v>
      </c>
      <c r="F7739" t="s">
        <v>43</v>
      </c>
      <c r="G7739">
        <v>-109.04049999999999</v>
      </c>
      <c r="H7739" s="1">
        <v>-4.6679600000000002E-7</v>
      </c>
      <c r="I7739">
        <v>139.73939999999999</v>
      </c>
      <c r="J7739">
        <v>-130.03530000000001</v>
      </c>
      <c r="K7739">
        <v>1.111135</v>
      </c>
      <c r="L7739">
        <v>139.7869</v>
      </c>
      <c r="M7739">
        <v>0.99986920000000001</v>
      </c>
      <c r="N7739">
        <v>0</v>
      </c>
      <c r="O7739">
        <v>8.96634199999999E-3</v>
      </c>
      <c r="P7739">
        <v>0.99831040000000004</v>
      </c>
      <c r="Q7739">
        <v>2.3140939999999999E-2</v>
      </c>
      <c r="R7739">
        <v>-5.3298770000000002E-2</v>
      </c>
      <c r="S7739">
        <v>3.0083160000000002</v>
      </c>
      <c r="T7739">
        <v>-0.15754019999999999</v>
      </c>
      <c r="U7739">
        <v>-6.4086909999999898E-3</v>
      </c>
      <c r="V7739">
        <v>6.2237510000000003E-2</v>
      </c>
      <c r="W7739">
        <v>3.659225E-2</v>
      </c>
      <c r="X7739">
        <v>0.99739029999999995</v>
      </c>
      <c r="Y7739">
        <v>1.1069910000000001E-2</v>
      </c>
      <c r="Z7739">
        <v>-7.5892560000000002E-4</v>
      </c>
      <c r="AA7739">
        <v>0.99993840000000001</v>
      </c>
      <c r="AB7739">
        <v>19</v>
      </c>
      <c r="AC7739">
        <v>20.994800000000001</v>
      </c>
      <c r="AD7739">
        <v>-1.1111354667960001</v>
      </c>
      <c r="AE7739">
        <v>-4.7500000000013601E-2</v>
      </c>
      <c r="AF7739">
        <v>0.23510318678262801</v>
      </c>
      <c r="AG7739">
        <v>-1.1111354667960001</v>
      </c>
      <c r="AH7739">
        <v>20.934891963786299</v>
      </c>
      <c r="AI7739">
        <v>93.0379755524812</v>
      </c>
      <c r="AJ7739">
        <v>89.356583538461905</v>
      </c>
      <c r="AK7739">
        <v>20.965676642298199</v>
      </c>
      <c r="AL7739">
        <v>87.902950251975</v>
      </c>
      <c r="AM7739">
        <v>86.429352614243797</v>
      </c>
      <c r="AN7739">
        <v>0.99999995547257503</v>
      </c>
    </row>
    <row r="7740" spans="1:40" x14ac:dyDescent="0.25">
      <c r="A7740" t="str">
        <f>"20190312154450076"</f>
        <v>20190312154450076</v>
      </c>
      <c r="B7740" t="str">
        <f>"1552376690064943"</f>
        <v>1552376690064943</v>
      </c>
      <c r="C7740" t="s">
        <v>40</v>
      </c>
      <c r="D7740">
        <v>5.0835239999999997</v>
      </c>
      <c r="E7740">
        <v>0.50301679999999904</v>
      </c>
      <c r="F7740" t="s">
        <v>41</v>
      </c>
      <c r="G7740">
        <v>-129.2056</v>
      </c>
      <c r="H7740">
        <v>0.98569050000000002</v>
      </c>
      <c r="I7740">
        <v>139.74770000000001</v>
      </c>
      <c r="J7740">
        <v>-129.83430000000001</v>
      </c>
      <c r="K7740">
        <v>1.111132</v>
      </c>
      <c r="L7740">
        <v>139.78909999999999</v>
      </c>
      <c r="M7740">
        <v>0.9998667</v>
      </c>
      <c r="N7740">
        <v>0</v>
      </c>
      <c r="O7740">
        <v>9.2519879999999992E-3</v>
      </c>
      <c r="P7740">
        <v>0.99822069999999996</v>
      </c>
      <c r="Q7740">
        <v>2.3142579999999999E-2</v>
      </c>
      <c r="R7740">
        <v>-5.4953559999999999E-2</v>
      </c>
      <c r="S7740">
        <v>3.008041</v>
      </c>
      <c r="T7740">
        <v>-0.45484970000000002</v>
      </c>
      <c r="U7740">
        <v>-0.14227290000000001</v>
      </c>
      <c r="V7740">
        <v>6.4176209999999997E-2</v>
      </c>
      <c r="W7740">
        <v>3.6590810000000001E-2</v>
      </c>
      <c r="X7740">
        <v>0.99726749999999997</v>
      </c>
      <c r="Y7740">
        <v>5.5747829999999998E-2</v>
      </c>
      <c r="Z7740">
        <v>-5.5792469999999999E-3</v>
      </c>
      <c r="AA7740">
        <v>0.99842929999999996</v>
      </c>
      <c r="AB7740">
        <v>19</v>
      </c>
      <c r="AC7740">
        <v>0.62870000000000903</v>
      </c>
      <c r="AD7740">
        <v>-0.12544149999999901</v>
      </c>
      <c r="AE7740">
        <v>-4.1399999999981597E-2</v>
      </c>
      <c r="AF7740">
        <v>4.5415288396595498E-2</v>
      </c>
      <c r="AG7740">
        <v>-0.12544149999999901</v>
      </c>
      <c r="AH7740">
        <v>0.60433512521509603</v>
      </c>
      <c r="AI7740">
        <v>101.694272257119</v>
      </c>
      <c r="AJ7740">
        <v>85.702347258321197</v>
      </c>
      <c r="AK7740">
        <v>0.61888533825834202</v>
      </c>
      <c r="AL7740">
        <v>87.903032843525096</v>
      </c>
      <c r="AM7740">
        <v>86.317976067095699</v>
      </c>
      <c r="AN7740">
        <v>0.999999969931334</v>
      </c>
    </row>
    <row r="7741" spans="1:40" x14ac:dyDescent="0.25">
      <c r="A7741" t="str">
        <f>"20190312154450101"</f>
        <v>20190312154450101</v>
      </c>
      <c r="B7741" t="str">
        <f>"1552376690095200"</f>
        <v>1552376690095200</v>
      </c>
      <c r="C7741" t="s">
        <v>40</v>
      </c>
      <c r="D7741">
        <v>5.1123729999999998</v>
      </c>
      <c r="E7741">
        <v>0.50370859999999995</v>
      </c>
      <c r="F7741" t="s">
        <v>41</v>
      </c>
      <c r="G7741">
        <v>-129.0368</v>
      </c>
      <c r="H7741">
        <v>0.97749470000000005</v>
      </c>
      <c r="I7741">
        <v>139.74529999999999</v>
      </c>
      <c r="J7741">
        <v>-129.62450000000001</v>
      </c>
      <c r="K7741">
        <v>1.1111169999999999</v>
      </c>
      <c r="L7741">
        <v>139.79140000000001</v>
      </c>
      <c r="M7741">
        <v>0.99986390000000003</v>
      </c>
      <c r="N7741">
        <v>0</v>
      </c>
      <c r="O7741">
        <v>9.5505020000000006E-3</v>
      </c>
      <c r="P7741">
        <v>0.99815739999999997</v>
      </c>
      <c r="Q7741">
        <v>2.4093659999999999E-2</v>
      </c>
      <c r="R7741">
        <v>-5.5692169999999999E-2</v>
      </c>
      <c r="S7741">
        <v>3.007965</v>
      </c>
      <c r="T7741">
        <v>-0.50406660000000003</v>
      </c>
      <c r="U7741">
        <v>-0.16506960000000001</v>
      </c>
      <c r="V7741">
        <v>6.5211749999999999E-2</v>
      </c>
      <c r="W7741">
        <v>3.7538599999999998E-2</v>
      </c>
      <c r="X7741">
        <v>0.99716510000000003</v>
      </c>
      <c r="Y7741">
        <v>6.3316399999999995E-2</v>
      </c>
      <c r="Z7741">
        <v>-6.8530090000000002E-3</v>
      </c>
      <c r="AA7741">
        <v>0.99797000000000002</v>
      </c>
      <c r="AB7741">
        <v>19</v>
      </c>
      <c r="AC7741">
        <v>0.58770000000001199</v>
      </c>
      <c r="AD7741">
        <v>-0.133622299999999</v>
      </c>
      <c r="AE7741">
        <v>-4.6100000000023997E-2</v>
      </c>
      <c r="AF7741">
        <v>4.9184217747079803E-2</v>
      </c>
      <c r="AG7741">
        <v>-0.133622299999999</v>
      </c>
      <c r="AH7741">
        <v>0.55853606048856197</v>
      </c>
      <c r="AI7741">
        <v>103.404383094114</v>
      </c>
      <c r="AJ7741">
        <v>84.967562719131493</v>
      </c>
      <c r="AK7741">
        <v>0.57639963323961696</v>
      </c>
      <c r="AL7741">
        <v>87.848691149852698</v>
      </c>
      <c r="AM7741">
        <v>86.258347648641504</v>
      </c>
      <c r="AN7741">
        <v>0.99999997774301597</v>
      </c>
    </row>
    <row r="7742" spans="1:40" x14ac:dyDescent="0.25">
      <c r="A7742" t="str">
        <f>"20190312154450117"</f>
        <v>20190312154450117</v>
      </c>
      <c r="B7742" t="str">
        <f>"1552376690104960"</f>
        <v>1552376690104960</v>
      </c>
      <c r="C7742" t="s">
        <v>40</v>
      </c>
      <c r="D7742">
        <v>5.1120700000000001</v>
      </c>
      <c r="E7742">
        <v>0.50387159999999998</v>
      </c>
      <c r="F7742" t="s">
        <v>41</v>
      </c>
      <c r="G7742">
        <v>-128.86429999999999</v>
      </c>
      <c r="H7742">
        <v>0.97710989999999998</v>
      </c>
      <c r="I7742">
        <v>139.74799999999999</v>
      </c>
      <c r="J7742">
        <v>-129.4821</v>
      </c>
      <c r="K7742">
        <v>1.1110910000000001</v>
      </c>
      <c r="L7742">
        <v>139.79300000000001</v>
      </c>
      <c r="M7742">
        <v>0.99986200000000003</v>
      </c>
      <c r="N7742">
        <v>0</v>
      </c>
      <c r="O7742">
        <v>9.7529839999999993E-3</v>
      </c>
      <c r="P7742">
        <v>0.99818309999999999</v>
      </c>
      <c r="Q7742">
        <v>2.4401550000000001E-2</v>
      </c>
      <c r="R7742">
        <v>-5.5094499999999998E-2</v>
      </c>
      <c r="S7742">
        <v>3.008759</v>
      </c>
      <c r="T7742">
        <v>-0.53043680000000004</v>
      </c>
      <c r="U7742">
        <v>-0.17176820000000001</v>
      </c>
      <c r="V7742">
        <v>6.4816120000000005E-2</v>
      </c>
      <c r="W7742">
        <v>3.7844509999999998E-2</v>
      </c>
      <c r="X7742">
        <v>0.99717929999999999</v>
      </c>
      <c r="Y7742">
        <v>6.5573809999999996E-2</v>
      </c>
      <c r="Z7742">
        <v>-7.4366279999999998E-3</v>
      </c>
      <c r="AA7742">
        <v>0.99782000000000004</v>
      </c>
      <c r="AB7742">
        <v>19</v>
      </c>
      <c r="AC7742">
        <v>0.617800000000016</v>
      </c>
      <c r="AD7742">
        <v>-0.13398109999999999</v>
      </c>
      <c r="AE7742">
        <v>-4.5000000000015902E-2</v>
      </c>
      <c r="AF7742">
        <v>4.8743408026458102E-2</v>
      </c>
      <c r="AG7742">
        <v>-0.13398109999999999</v>
      </c>
      <c r="AH7742">
        <v>0.58974148550896699</v>
      </c>
      <c r="AI7742">
        <v>102.757478512765</v>
      </c>
      <c r="AJ7742">
        <v>85.275119645162903</v>
      </c>
      <c r="AK7742">
        <v>0.60673047946643199</v>
      </c>
      <c r="AL7742">
        <v>87.831151265933599</v>
      </c>
      <c r="AM7742">
        <v>86.281036608855302</v>
      </c>
      <c r="AN7742">
        <v>0.99999994634874001</v>
      </c>
    </row>
    <row r="7743" spans="1:40" x14ac:dyDescent="0.25">
      <c r="A7743" t="str">
        <f>"20190312154450139"</f>
        <v>20190312154450139</v>
      </c>
      <c r="B7743" t="str">
        <f>"1552376690135721"</f>
        <v>1552376690135721</v>
      </c>
      <c r="C7743" t="s">
        <v>40</v>
      </c>
      <c r="D7743">
        <v>5.1200190000000001</v>
      </c>
      <c r="E7743">
        <v>0.50388849999999996</v>
      </c>
      <c r="F7743" t="s">
        <v>41</v>
      </c>
      <c r="G7743">
        <v>-128.69499999999999</v>
      </c>
      <c r="H7743">
        <v>0.97080029999999995</v>
      </c>
      <c r="I7743">
        <v>139.7482</v>
      </c>
      <c r="J7743">
        <v>-129.2937</v>
      </c>
      <c r="K7743">
        <v>1.1110599999999999</v>
      </c>
      <c r="L7743">
        <v>139.79509999999999</v>
      </c>
      <c r="M7743">
        <v>0.99985930000000001</v>
      </c>
      <c r="N7743">
        <v>0</v>
      </c>
      <c r="O7743">
        <v>1.002055E-2</v>
      </c>
      <c r="P7743">
        <v>0.99822319999999998</v>
      </c>
      <c r="Q7743">
        <v>2.3208349999999999E-2</v>
      </c>
      <c r="R7743">
        <v>-5.4880089999999999E-2</v>
      </c>
      <c r="S7743">
        <v>3.0091549999999998</v>
      </c>
      <c r="T7743">
        <v>-0.53641340000000004</v>
      </c>
      <c r="U7743">
        <v>-0.17063900000000001</v>
      </c>
      <c r="V7743">
        <v>6.4869399999999994E-2</v>
      </c>
      <c r="W7743">
        <v>3.6650380000000003E-2</v>
      </c>
      <c r="X7743">
        <v>0.99722049999999995</v>
      </c>
      <c r="Y7743">
        <v>6.5432359999999995E-2</v>
      </c>
      <c r="Z7743">
        <v>-7.5530279999999998E-3</v>
      </c>
      <c r="AA7743">
        <v>0.99782839999999995</v>
      </c>
      <c r="AB7743">
        <v>19</v>
      </c>
      <c r="AC7743">
        <v>0.598700000000007</v>
      </c>
      <c r="AD7743">
        <v>-0.14025969999999899</v>
      </c>
      <c r="AE7743">
        <v>-4.6899999999993697E-2</v>
      </c>
      <c r="AF7743">
        <v>5.0161224041540199E-2</v>
      </c>
      <c r="AG7743">
        <v>-0.14025969999999899</v>
      </c>
      <c r="AH7743">
        <v>0.56725640611634898</v>
      </c>
      <c r="AI7743">
        <v>103.83647620548599</v>
      </c>
      <c r="AJ7743">
        <v>84.946605750771596</v>
      </c>
      <c r="AK7743">
        <v>0.58648850126960905</v>
      </c>
      <c r="AL7743">
        <v>87.899617521901902</v>
      </c>
      <c r="AM7743">
        <v>86.278141486779106</v>
      </c>
      <c r="AN7743">
        <v>1.0000000075153701</v>
      </c>
    </row>
    <row r="7744" spans="1:40" x14ac:dyDescent="0.25">
      <c r="A7744" t="str">
        <f>"20190312154450162"</f>
        <v>20190312154450162</v>
      </c>
      <c r="B7744" t="str">
        <f>"1552376690155242"</f>
        <v>1552376690155242</v>
      </c>
      <c r="C7744" t="s">
        <v>40</v>
      </c>
      <c r="D7744">
        <v>5.1209300000000004</v>
      </c>
      <c r="E7744">
        <v>0.50384620000000002</v>
      </c>
      <c r="F7744" t="s">
        <v>41</v>
      </c>
      <c r="G7744">
        <v>-128.52350000000001</v>
      </c>
      <c r="H7744">
        <v>0.96946730000000003</v>
      </c>
      <c r="I7744">
        <v>139.7518</v>
      </c>
      <c r="J7744">
        <v>-129.0986</v>
      </c>
      <c r="K7744">
        <v>1.1110329999999999</v>
      </c>
      <c r="L7744">
        <v>139.79740000000001</v>
      </c>
      <c r="M7744">
        <v>0.99985670000000004</v>
      </c>
      <c r="N7744">
        <v>0</v>
      </c>
      <c r="O7744">
        <v>1.029646E-2</v>
      </c>
      <c r="P7744">
        <v>0.99831619999999999</v>
      </c>
      <c r="Q7744">
        <v>2.1399680000000001E-2</v>
      </c>
      <c r="R7744">
        <v>-5.392102E-2</v>
      </c>
      <c r="S7744">
        <v>3.008896</v>
      </c>
      <c r="T7744">
        <v>-0.55315300000000001</v>
      </c>
      <c r="U7744">
        <v>-0.1691589</v>
      </c>
      <c r="V7744">
        <v>6.4187149999999998E-2</v>
      </c>
      <c r="W7744">
        <v>3.4840509999999998E-2</v>
      </c>
      <c r="X7744">
        <v>0.99732949999999998</v>
      </c>
      <c r="Y7744">
        <v>6.5148600000000001E-2</v>
      </c>
      <c r="Z7744">
        <v>-7.8101009999999998E-3</v>
      </c>
      <c r="AA7744">
        <v>0.99784499999999998</v>
      </c>
      <c r="AB7744">
        <v>19</v>
      </c>
      <c r="AC7744">
        <v>0.57509999999999195</v>
      </c>
      <c r="AD7744">
        <v>-0.14156569999999899</v>
      </c>
      <c r="AE7744">
        <v>-4.5600000000007399E-2</v>
      </c>
      <c r="AF7744">
        <v>4.8593532713060501E-2</v>
      </c>
      <c r="AG7744">
        <v>-0.14156569999999899</v>
      </c>
      <c r="AH7744">
        <v>0.541965296994385</v>
      </c>
      <c r="AI7744">
        <v>104.58303812699501</v>
      </c>
      <c r="AJ7744">
        <v>84.876463144013996</v>
      </c>
      <c r="AK7744">
        <v>0.56225311202716999</v>
      </c>
      <c r="AL7744">
        <v>88.003381728642196</v>
      </c>
      <c r="AM7744">
        <v>86.317578432105506</v>
      </c>
      <c r="AN7744">
        <v>0.99999999146621599</v>
      </c>
    </row>
    <row r="7745" spans="1:40" x14ac:dyDescent="0.25">
      <c r="A7745" t="str">
        <f>"20190312154450184"</f>
        <v>20190312154450184</v>
      </c>
      <c r="B7745" t="str">
        <f>"1552376690175737"</f>
        <v>1552376690175737</v>
      </c>
      <c r="C7745" t="s">
        <v>40</v>
      </c>
      <c r="D7745">
        <v>5.3420740000000002</v>
      </c>
      <c r="E7745">
        <v>0.50419990000000003</v>
      </c>
      <c r="F7745" t="s">
        <v>41</v>
      </c>
      <c r="G7745">
        <v>-128.35059999999999</v>
      </c>
      <c r="H7745">
        <v>0.97117500000000001</v>
      </c>
      <c r="I7745">
        <v>139.75620000000001</v>
      </c>
      <c r="J7745">
        <v>-128.90520000000001</v>
      </c>
      <c r="K7745">
        <v>1.111013</v>
      </c>
      <c r="L7745">
        <v>139.7997</v>
      </c>
      <c r="M7745">
        <v>0.99985380000000001</v>
      </c>
      <c r="N7745">
        <v>0</v>
      </c>
      <c r="O7745">
        <v>1.0569800000000001E-2</v>
      </c>
      <c r="P7745">
        <v>0.99838119999999997</v>
      </c>
      <c r="Q7745">
        <v>2.0284150000000001E-2</v>
      </c>
      <c r="R7745">
        <v>-5.3142540000000002E-2</v>
      </c>
      <c r="S7745">
        <v>3.008194</v>
      </c>
      <c r="T7745">
        <v>-0.5625405</v>
      </c>
      <c r="U7745">
        <v>-0.1653442</v>
      </c>
      <c r="V7745">
        <v>6.368269E-2</v>
      </c>
      <c r="W7745">
        <v>3.3722990000000001E-2</v>
      </c>
      <c r="X7745">
        <v>0.99740030000000002</v>
      </c>
      <c r="Y7745">
        <v>6.4142099999999994E-2</v>
      </c>
      <c r="Z7745">
        <v>-7.899919E-3</v>
      </c>
      <c r="AA7745">
        <v>0.9979095</v>
      </c>
      <c r="AB7745">
        <v>19</v>
      </c>
      <c r="AC7745">
        <v>0.55460000000002196</v>
      </c>
      <c r="AD7745">
        <v>-0.13983799999999999</v>
      </c>
      <c r="AE7745">
        <v>-4.3499999999994501E-2</v>
      </c>
      <c r="AF7745">
        <v>4.6426559718305303E-2</v>
      </c>
      <c r="AG7745">
        <v>-0.13983799999999999</v>
      </c>
      <c r="AH7745">
        <v>0.52117758801635305</v>
      </c>
      <c r="AI7745">
        <v>104.962795205077</v>
      </c>
      <c r="AJ7745">
        <v>84.909521738734995</v>
      </c>
      <c r="AK7745">
        <v>0.54160517902049299</v>
      </c>
      <c r="AL7745">
        <v>88.067448667244307</v>
      </c>
      <c r="AM7745">
        <v>86.346699285592706</v>
      </c>
      <c r="AN7745">
        <v>1.00000004175013</v>
      </c>
    </row>
    <row r="7746" spans="1:40" x14ac:dyDescent="0.25">
      <c r="A7746" t="str">
        <f>"20190312154450206"</f>
        <v>20190312154450206</v>
      </c>
      <c r="B7746" t="str">
        <f>"1552376690195258"</f>
        <v>1552376690195258</v>
      </c>
      <c r="C7746" t="s">
        <v>40</v>
      </c>
      <c r="D7746">
        <v>5.1732899999999997</v>
      </c>
      <c r="E7746">
        <v>0.53146759999999904</v>
      </c>
      <c r="F7746" t="s">
        <v>41</v>
      </c>
      <c r="G7746">
        <v>-128.17779999999999</v>
      </c>
      <c r="H7746">
        <v>0.97336579999999995</v>
      </c>
      <c r="I7746">
        <v>139.75970000000001</v>
      </c>
      <c r="J7746">
        <v>-128.71129999999999</v>
      </c>
      <c r="K7746">
        <v>1.1110059999999999</v>
      </c>
      <c r="L7746">
        <v>139.8021</v>
      </c>
      <c r="M7746">
        <v>0.99985069999999998</v>
      </c>
      <c r="N7746">
        <v>0</v>
      </c>
      <c r="O7746">
        <v>1.0843490000000001E-2</v>
      </c>
      <c r="P7746">
        <v>0.99836429999999998</v>
      </c>
      <c r="Q7746">
        <v>2.004848E-2</v>
      </c>
      <c r="R7746">
        <v>-5.3543590000000002E-2</v>
      </c>
      <c r="S7746">
        <v>3.0076290000000001</v>
      </c>
      <c r="T7746">
        <v>-0.56921049999999995</v>
      </c>
      <c r="U7746">
        <v>-0.16543579999999999</v>
      </c>
      <c r="V7746">
        <v>6.4356759999999999E-2</v>
      </c>
      <c r="W7746">
        <v>3.3485170000000002E-2</v>
      </c>
      <c r="X7746">
        <v>0.99736499999999995</v>
      </c>
      <c r="Y7746">
        <v>6.4415089999999994E-2</v>
      </c>
      <c r="Z7746">
        <v>-8.0703340000000002E-3</v>
      </c>
      <c r="AA7746">
        <v>0.99789050000000001</v>
      </c>
      <c r="AB7746">
        <v>19</v>
      </c>
      <c r="AC7746">
        <v>0.53350000000000297</v>
      </c>
      <c r="AD7746">
        <v>-0.13764019999999899</v>
      </c>
      <c r="AE7746">
        <v>-4.23999999999864E-2</v>
      </c>
      <c r="AF7746">
        <v>4.5193758477085198E-2</v>
      </c>
      <c r="AG7746">
        <v>-0.13764019999999899</v>
      </c>
      <c r="AH7746">
        <v>0.49994097253255898</v>
      </c>
      <c r="AI7746">
        <v>105.333353854941</v>
      </c>
      <c r="AJ7746">
        <v>84.834605016962499</v>
      </c>
      <c r="AK7746">
        <v>0.52050771029651999</v>
      </c>
      <c r="AL7746">
        <v>88.081082361584805</v>
      </c>
      <c r="AM7746">
        <v>86.308005826614306</v>
      </c>
      <c r="AN7746">
        <v>0.99999999619631297</v>
      </c>
    </row>
    <row r="7747" spans="1:40" x14ac:dyDescent="0.25">
      <c r="A7747" t="str">
        <f>"20190312154450230"</f>
        <v>20190312154450230</v>
      </c>
      <c r="B7747" t="str">
        <f>"1552376690225845"</f>
        <v>1552376690225845</v>
      </c>
      <c r="C7747" t="s">
        <v>40</v>
      </c>
      <c r="D7747">
        <v>5.138738</v>
      </c>
      <c r="E7747">
        <v>0.53264880000000003</v>
      </c>
      <c r="F7747" t="s">
        <v>41</v>
      </c>
      <c r="G7747">
        <v>-128.0309</v>
      </c>
      <c r="H7747">
        <v>0.92163620000000002</v>
      </c>
      <c r="I7747">
        <v>139.7176</v>
      </c>
      <c r="J7747">
        <v>-128.51830000000001</v>
      </c>
      <c r="K7747">
        <v>1.1109869999999999</v>
      </c>
      <c r="L7747">
        <v>139.80459999999999</v>
      </c>
      <c r="M7747">
        <v>0.99984790000000001</v>
      </c>
      <c r="N7747">
        <v>0</v>
      </c>
      <c r="O7747">
        <v>1.111522E-2</v>
      </c>
      <c r="P7747">
        <v>0.99834610000000001</v>
      </c>
      <c r="Q7747">
        <v>1.962152E-2</v>
      </c>
      <c r="R7747">
        <v>-5.4041539999999999E-2</v>
      </c>
      <c r="S7747">
        <v>3.0017399999999999</v>
      </c>
      <c r="T7747">
        <v>-0.83548750000000005</v>
      </c>
      <c r="U7747">
        <v>-0.37200929999999999</v>
      </c>
      <c r="V7747">
        <v>6.5125790000000003E-2</v>
      </c>
      <c r="W7747">
        <v>3.3055790000000002E-2</v>
      </c>
      <c r="X7747">
        <v>0.99732940000000003</v>
      </c>
      <c r="Y7747">
        <v>0.1287741</v>
      </c>
      <c r="Z7747">
        <v>-2.0549330000000001E-2</v>
      </c>
      <c r="AA7747">
        <v>0.99146100000000004</v>
      </c>
      <c r="AB7747">
        <v>19</v>
      </c>
      <c r="AC7747">
        <v>0.48740000000000799</v>
      </c>
      <c r="AD7747">
        <v>-0.18935080000000001</v>
      </c>
      <c r="AE7747">
        <v>-8.6999999999989003E-2</v>
      </c>
      <c r="AF7747">
        <v>8.0620654666162098E-2</v>
      </c>
      <c r="AG7747">
        <v>-0.18935080000000001</v>
      </c>
      <c r="AH7747">
        <v>0.42433693494834201</v>
      </c>
      <c r="AI7747">
        <v>113.67194460007499</v>
      </c>
      <c r="AJ7747">
        <v>79.242471174065201</v>
      </c>
      <c r="AK7747">
        <v>0.47160921299397202</v>
      </c>
      <c r="AL7747">
        <v>88.105697644914898</v>
      </c>
      <c r="AM7747">
        <v>86.263879635472094</v>
      </c>
      <c r="AN7747">
        <v>0.99999999294000397</v>
      </c>
    </row>
    <row r="7748" spans="1:40" x14ac:dyDescent="0.25">
      <c r="A7748" t="str">
        <f>"20190312154450254"</f>
        <v>20190312154450254</v>
      </c>
      <c r="B7748" t="str">
        <f>"1552376690245366"</f>
        <v>1552376690245366</v>
      </c>
      <c r="C7748" t="s">
        <v>40</v>
      </c>
      <c r="D7748">
        <v>5.1655379999999997</v>
      </c>
      <c r="E7748">
        <v>0.53291849999999996</v>
      </c>
      <c r="F7748" t="s">
        <v>41</v>
      </c>
      <c r="G7748">
        <v>-127.7051</v>
      </c>
      <c r="H7748">
        <v>0.88167859999999998</v>
      </c>
      <c r="I7748">
        <v>139.70079999999999</v>
      </c>
      <c r="J7748">
        <v>-128.31180000000001</v>
      </c>
      <c r="K7748">
        <v>1.110986</v>
      </c>
      <c r="L7748">
        <v>139.80719999999999</v>
      </c>
      <c r="M7748">
        <v>0.99984459999999997</v>
      </c>
      <c r="N7748">
        <v>0</v>
      </c>
      <c r="O7748">
        <v>1.1406080000000001E-2</v>
      </c>
      <c r="P7748">
        <v>0.99833899999999998</v>
      </c>
      <c r="Q7748">
        <v>1.8986059999999999E-2</v>
      </c>
      <c r="R7748">
        <v>-5.4397790000000001E-2</v>
      </c>
      <c r="S7748">
        <v>3.000931</v>
      </c>
      <c r="T7748">
        <v>-0.84623539999999997</v>
      </c>
      <c r="U7748">
        <v>-0.38224789999999997</v>
      </c>
      <c r="V7748">
        <v>6.5772360000000002E-2</v>
      </c>
      <c r="W7748">
        <v>3.2417639999999998E-2</v>
      </c>
      <c r="X7748">
        <v>0.99730790000000002</v>
      </c>
      <c r="Y7748">
        <v>0.13215009999999999</v>
      </c>
      <c r="Z7748">
        <v>-2.135043E-2</v>
      </c>
      <c r="AA7748">
        <v>0.99099979999999999</v>
      </c>
      <c r="AB7748">
        <v>19</v>
      </c>
      <c r="AC7748">
        <v>0.60670000000000301</v>
      </c>
      <c r="AD7748">
        <v>-0.22930739999999999</v>
      </c>
      <c r="AE7748">
        <v>-0.106400000000007</v>
      </c>
      <c r="AF7748">
        <v>9.9521130677313996E-2</v>
      </c>
      <c r="AG7748">
        <v>-0.22930739999999999</v>
      </c>
      <c r="AH7748">
        <v>0.53175135196241197</v>
      </c>
      <c r="AI7748">
        <v>112.970667314124</v>
      </c>
      <c r="AJ7748">
        <v>79.399316037246606</v>
      </c>
      <c r="AK7748">
        <v>0.58757624140183196</v>
      </c>
      <c r="AL7748">
        <v>88.142280526057306</v>
      </c>
      <c r="AM7748">
        <v>86.226812880196704</v>
      </c>
      <c r="AN7748">
        <v>0.99999997706277399</v>
      </c>
    </row>
    <row r="7749" spans="1:40" x14ac:dyDescent="0.25">
      <c r="A7749" t="str">
        <f>"20190312154450279"</f>
        <v>20190312154450279</v>
      </c>
      <c r="B7749" t="str">
        <f>"1552376690264885"</f>
        <v>1552376690264885</v>
      </c>
      <c r="C7749" t="s">
        <v>40</v>
      </c>
      <c r="D7749">
        <v>5.1344529999999997</v>
      </c>
      <c r="E7749">
        <v>0.53281489999999998</v>
      </c>
      <c r="F7749" t="s">
        <v>41</v>
      </c>
      <c r="G7749">
        <v>-127.53100000000001</v>
      </c>
      <c r="H7749">
        <v>0.88975539999999997</v>
      </c>
      <c r="I7749">
        <v>139.70679999999999</v>
      </c>
      <c r="J7749">
        <v>-128.09989999999999</v>
      </c>
      <c r="K7749">
        <v>1.1109899999999999</v>
      </c>
      <c r="L7749">
        <v>139.81</v>
      </c>
      <c r="M7749">
        <v>0.99984119999999999</v>
      </c>
      <c r="N7749">
        <v>0</v>
      </c>
      <c r="O7749">
        <v>1.17044E-2</v>
      </c>
      <c r="P7749">
        <v>0.99835430000000003</v>
      </c>
      <c r="Q7749">
        <v>1.842241E-2</v>
      </c>
      <c r="R7749">
        <v>-5.4309129999999997E-2</v>
      </c>
      <c r="S7749">
        <v>3.0001370000000001</v>
      </c>
      <c r="T7749">
        <v>-0.85002339999999998</v>
      </c>
      <c r="U7749">
        <v>-0.38554379999999999</v>
      </c>
      <c r="V7749">
        <v>6.5981830000000005E-2</v>
      </c>
      <c r="W7749">
        <v>3.1851919999999999E-2</v>
      </c>
      <c r="X7749">
        <v>0.99731230000000004</v>
      </c>
      <c r="Y7749">
        <v>0.13343749999999999</v>
      </c>
      <c r="Z7749">
        <v>-2.1707210000000001E-2</v>
      </c>
      <c r="AA7749">
        <v>0.99081949999999996</v>
      </c>
      <c r="AB7749">
        <v>19</v>
      </c>
      <c r="AC7749">
        <v>0.56889999999998497</v>
      </c>
      <c r="AD7749">
        <v>-0.221234599999999</v>
      </c>
      <c r="AE7749">
        <v>-0.103200000000015</v>
      </c>
      <c r="AF7749">
        <v>9.5822689944172298E-2</v>
      </c>
      <c r="AG7749">
        <v>-0.221234599999999</v>
      </c>
      <c r="AH7749">
        <v>0.49515673956793099</v>
      </c>
      <c r="AI7749">
        <v>113.685078330724</v>
      </c>
      <c r="AJ7749">
        <v>79.047509814579996</v>
      </c>
      <c r="AK7749">
        <v>0.55073308678963595</v>
      </c>
      <c r="AL7749">
        <v>88.174710659216004</v>
      </c>
      <c r="AM7749">
        <v>86.214847667167007</v>
      </c>
      <c r="AN7749">
        <v>0.99999998521456201</v>
      </c>
    </row>
    <row r="7750" spans="1:40" x14ac:dyDescent="0.25">
      <c r="A7750" t="str">
        <f>"20190312154450300"</f>
        <v>20190312154450300</v>
      </c>
      <c r="B7750" t="str">
        <f>"1552376690285380"</f>
        <v>1552376690285380</v>
      </c>
      <c r="C7750" t="s">
        <v>40</v>
      </c>
      <c r="D7750">
        <v>5.1488940000000003</v>
      </c>
      <c r="E7750">
        <v>0.53262980000000004</v>
      </c>
      <c r="F7750" t="s">
        <v>41</v>
      </c>
      <c r="G7750">
        <v>-127.3561</v>
      </c>
      <c r="H7750">
        <v>0.9004008</v>
      </c>
      <c r="I7750">
        <v>139.71420000000001</v>
      </c>
      <c r="J7750">
        <v>-127.917</v>
      </c>
      <c r="K7750">
        <v>1.110997</v>
      </c>
      <c r="L7750">
        <v>139.8125</v>
      </c>
      <c r="M7750">
        <v>0.99983809999999995</v>
      </c>
      <c r="N7750">
        <v>0</v>
      </c>
      <c r="O7750">
        <v>1.1961930000000001E-2</v>
      </c>
      <c r="P7750">
        <v>0.99834239999999996</v>
      </c>
      <c r="Q7750">
        <v>1.8570489999999999E-2</v>
      </c>
      <c r="R7750">
        <v>-5.4476780000000002E-2</v>
      </c>
      <c r="S7750">
        <v>2.9996339999999999</v>
      </c>
      <c r="T7750">
        <v>-0.84931100000000004</v>
      </c>
      <c r="U7750">
        <v>-0.38563540000000002</v>
      </c>
      <c r="V7750">
        <v>6.6406209999999993E-2</v>
      </c>
      <c r="W7750">
        <v>3.1999199999999998E-2</v>
      </c>
      <c r="X7750">
        <v>0.99727940000000004</v>
      </c>
      <c r="Y7750">
        <v>0.1337295</v>
      </c>
      <c r="Z7750">
        <v>-2.1804790000000001E-2</v>
      </c>
      <c r="AA7750">
        <v>0.99077800000000005</v>
      </c>
      <c r="AB7750">
        <v>19</v>
      </c>
      <c r="AC7750">
        <v>0.56090000000000295</v>
      </c>
      <c r="AD7750">
        <v>-0.21059620000000001</v>
      </c>
      <c r="AE7750">
        <v>-9.8299999999994697E-2</v>
      </c>
      <c r="AF7750">
        <v>9.2369595057800305E-2</v>
      </c>
      <c r="AG7750">
        <v>-0.21059620000000001</v>
      </c>
      <c r="AH7750">
        <v>0.492345608729021</v>
      </c>
      <c r="AI7750">
        <v>112.80216950673</v>
      </c>
      <c r="AJ7750">
        <v>79.374184928036897</v>
      </c>
      <c r="AK7750">
        <v>0.54340325724118799</v>
      </c>
      <c r="AL7750">
        <v>88.166267800621796</v>
      </c>
      <c r="AM7750">
        <v>86.190448587797704</v>
      </c>
      <c r="AN7750">
        <v>0.99999996759578103</v>
      </c>
    </row>
    <row r="7751" spans="1:40" x14ac:dyDescent="0.25">
      <c r="A7751" t="str">
        <f>"20190312154450322"</f>
        <v>20190312154450322</v>
      </c>
      <c r="B7751" t="str">
        <f>"1552376690315637"</f>
        <v>1552376690315637</v>
      </c>
      <c r="C7751" t="s">
        <v>40</v>
      </c>
      <c r="D7751">
        <v>5.13218</v>
      </c>
      <c r="E7751">
        <v>0.53283359999999902</v>
      </c>
      <c r="F7751" t="s">
        <v>41</v>
      </c>
      <c r="G7751">
        <v>-127.18429999999999</v>
      </c>
      <c r="H7751">
        <v>0.90390499999999996</v>
      </c>
      <c r="I7751">
        <v>139.7183</v>
      </c>
      <c r="J7751">
        <v>-127.7334</v>
      </c>
      <c r="K7751">
        <v>1.11103</v>
      </c>
      <c r="L7751">
        <v>139.815</v>
      </c>
      <c r="M7751">
        <v>0.999834</v>
      </c>
      <c r="N7751">
        <v>0</v>
      </c>
      <c r="O7751">
        <v>1.221972E-2</v>
      </c>
      <c r="P7751">
        <v>0.99834239999999996</v>
      </c>
      <c r="Q7751">
        <v>1.9084159999999999E-2</v>
      </c>
      <c r="R7751">
        <v>-5.4299090000000001E-2</v>
      </c>
      <c r="S7751">
        <v>2.999695</v>
      </c>
      <c r="T7751">
        <v>-0.84792330000000005</v>
      </c>
      <c r="U7751">
        <v>-0.38562010000000002</v>
      </c>
      <c r="V7751">
        <v>6.6485870000000002E-2</v>
      </c>
      <c r="W7751">
        <v>3.2597309999999997E-2</v>
      </c>
      <c r="X7751">
        <v>0.99725469999999905</v>
      </c>
      <c r="Y7751">
        <v>0.13397609999999999</v>
      </c>
      <c r="Z7751">
        <v>-2.1875349999999998E-2</v>
      </c>
      <c r="AA7751">
        <v>0.99074309999999999</v>
      </c>
      <c r="AB7751">
        <v>19</v>
      </c>
      <c r="AC7751">
        <v>0.54910000000000903</v>
      </c>
      <c r="AD7751">
        <v>-0.207125</v>
      </c>
      <c r="AE7751">
        <v>-9.6699999999998398E-2</v>
      </c>
      <c r="AF7751">
        <v>9.0863531444097104E-2</v>
      </c>
      <c r="AG7751">
        <v>-0.207125</v>
      </c>
      <c r="AH7751">
        <v>0.48143618030115298</v>
      </c>
      <c r="AI7751">
        <v>112.91667619778001</v>
      </c>
      <c r="AJ7751">
        <v>79.312040404096507</v>
      </c>
      <c r="AK7751">
        <v>0.53191892490722403</v>
      </c>
      <c r="AL7751">
        <v>88.131980691732906</v>
      </c>
      <c r="AM7751">
        <v>86.185797992645703</v>
      </c>
      <c r="AN7751">
        <v>0.99999994610048903</v>
      </c>
    </row>
    <row r="7752" spans="1:40" x14ac:dyDescent="0.25">
      <c r="A7752" t="str">
        <f>"20190312154450340"</f>
        <v>20190312154450340</v>
      </c>
      <c r="B7752" t="str">
        <f>"1552376690335664"</f>
        <v>1552376690335664</v>
      </c>
      <c r="C7752" t="s">
        <v>40</v>
      </c>
      <c r="D7752">
        <v>5.1463349999999997</v>
      </c>
      <c r="E7752">
        <v>0.53307519999999997</v>
      </c>
      <c r="F7752" t="s">
        <v>41</v>
      </c>
      <c r="G7752">
        <v>-127.0129</v>
      </c>
      <c r="H7752">
        <v>0.90798380000000001</v>
      </c>
      <c r="I7752">
        <v>139.7218</v>
      </c>
      <c r="J7752">
        <v>-127.5745</v>
      </c>
      <c r="K7752">
        <v>1.111097</v>
      </c>
      <c r="L7752">
        <v>139.81720000000001</v>
      </c>
      <c r="M7752">
        <v>0.99982769999999999</v>
      </c>
      <c r="N7752">
        <v>0</v>
      </c>
      <c r="O7752">
        <v>1.2442730000000001E-2</v>
      </c>
      <c r="P7752">
        <v>0.99838170000000004</v>
      </c>
      <c r="Q7752">
        <v>2.0160379999999999E-2</v>
      </c>
      <c r="R7752">
        <v>-5.3176149999999998E-2</v>
      </c>
      <c r="S7752">
        <v>3.0000460000000002</v>
      </c>
      <c r="T7752">
        <v>-0.845533599999999</v>
      </c>
      <c r="U7752">
        <v>-0.38757320000000001</v>
      </c>
      <c r="V7752">
        <v>6.5585699999999997E-2</v>
      </c>
      <c r="W7752">
        <v>3.3916950000000001E-2</v>
      </c>
      <c r="X7752">
        <v>0.99727030000000005</v>
      </c>
      <c r="Y7752">
        <v>0.13480929999999999</v>
      </c>
      <c r="Z7752">
        <v>-2.1988859999999999E-2</v>
      </c>
      <c r="AA7752">
        <v>0.99062760000000005</v>
      </c>
      <c r="AB7752">
        <v>19</v>
      </c>
      <c r="AC7752">
        <v>0.56159999999999799</v>
      </c>
      <c r="AD7752">
        <v>-0.20311319999999999</v>
      </c>
      <c r="AE7752">
        <v>-9.54000000000121E-2</v>
      </c>
      <c r="AF7752">
        <v>9.0833001502650806E-2</v>
      </c>
      <c r="AG7752">
        <v>-0.20311319999999999</v>
      </c>
      <c r="AH7752">
        <v>0.49716231633792901</v>
      </c>
      <c r="AI7752">
        <v>111.89482196927101</v>
      </c>
      <c r="AJ7752">
        <v>79.646092158429994</v>
      </c>
      <c r="AK7752">
        <v>0.54467969942225303</v>
      </c>
      <c r="AL7752">
        <v>88.056329033865495</v>
      </c>
      <c r="AM7752">
        <v>86.237348821107503</v>
      </c>
      <c r="AN7752">
        <v>0.99999994740193998</v>
      </c>
    </row>
    <row r="7753" spans="1:40" x14ac:dyDescent="0.25">
      <c r="A7753" t="str">
        <f>"20190312154450363"</f>
        <v>20190312154450363</v>
      </c>
      <c r="B7753" t="str">
        <f>"1552376690355184"</f>
        <v>1552376690355184</v>
      </c>
      <c r="C7753" t="s">
        <v>40</v>
      </c>
      <c r="D7753">
        <v>5.103707</v>
      </c>
      <c r="E7753">
        <v>0.53329249999999995</v>
      </c>
      <c r="F7753" t="s">
        <v>41</v>
      </c>
      <c r="G7753">
        <v>-126.845</v>
      </c>
      <c r="H7753">
        <v>0.90646450000000001</v>
      </c>
      <c r="I7753">
        <v>139.72309999999999</v>
      </c>
      <c r="J7753">
        <v>-127.3839</v>
      </c>
      <c r="K7753">
        <v>1.1112169999999999</v>
      </c>
      <c r="L7753">
        <v>139.81989999999999</v>
      </c>
      <c r="M7753">
        <v>0.99981750000000003</v>
      </c>
      <c r="N7753">
        <v>0</v>
      </c>
      <c r="O7753">
        <v>1.2711439999999999E-2</v>
      </c>
      <c r="P7753">
        <v>0.99843879999999996</v>
      </c>
      <c r="Q7753">
        <v>2.0259570000000001E-2</v>
      </c>
      <c r="R7753">
        <v>-5.2052359999999999E-2</v>
      </c>
      <c r="S7753">
        <v>3.001236</v>
      </c>
      <c r="T7753">
        <v>-0.84188700000000005</v>
      </c>
      <c r="U7753">
        <v>-0.38697809999999999</v>
      </c>
      <c r="V7753">
        <v>6.4731109999999994E-2</v>
      </c>
      <c r="W7753">
        <v>3.4509310000000001E-2</v>
      </c>
      <c r="X7753">
        <v>0.99730589999999997</v>
      </c>
      <c r="Y7753">
        <v>0.13487150000000001</v>
      </c>
      <c r="Z7753">
        <v>-2.1971729999999998E-2</v>
      </c>
      <c r="AA7753">
        <v>0.99061949999999999</v>
      </c>
      <c r="AB7753">
        <v>19</v>
      </c>
      <c r="AC7753">
        <v>0.53889999999999805</v>
      </c>
      <c r="AD7753">
        <v>-0.204752499999999</v>
      </c>
      <c r="AE7753">
        <v>-9.6800000000001704E-2</v>
      </c>
      <c r="AF7753">
        <v>9.0927237646397305E-2</v>
      </c>
      <c r="AG7753">
        <v>-0.204752499999999</v>
      </c>
      <c r="AH7753">
        <v>0.47166525033370799</v>
      </c>
      <c r="AI7753">
        <v>113.086472881715</v>
      </c>
      <c r="AJ7753">
        <v>79.088424686750898</v>
      </c>
      <c r="AK7753">
        <v>0.52216803538191903</v>
      </c>
      <c r="AL7753">
        <v>88.022369592883607</v>
      </c>
      <c r="AM7753">
        <v>86.286370733540494</v>
      </c>
      <c r="AN7753">
        <v>1.0000000336266499</v>
      </c>
    </row>
    <row r="7754" spans="1:40" x14ac:dyDescent="0.25">
      <c r="A7754" t="str">
        <f>"20190312154450385"</f>
        <v>20190312154450385</v>
      </c>
      <c r="B7754" t="str">
        <f>"1552376690375681"</f>
        <v>1552376690375681</v>
      </c>
      <c r="C7754" t="s">
        <v>40</v>
      </c>
      <c r="D7754">
        <v>5.1412490000000002</v>
      </c>
      <c r="E7754">
        <v>0.5396109</v>
      </c>
      <c r="F7754" t="s">
        <v>41</v>
      </c>
      <c r="G7754">
        <v>-126.6755</v>
      </c>
      <c r="H7754">
        <v>0.91235180000000005</v>
      </c>
      <c r="I7754">
        <v>139.7286</v>
      </c>
      <c r="J7754">
        <v>-127.19929999999999</v>
      </c>
      <c r="K7754">
        <v>1.1113420000000001</v>
      </c>
      <c r="L7754">
        <v>139.82259999999999</v>
      </c>
      <c r="M7754">
        <v>0.99980550000000001</v>
      </c>
      <c r="N7754">
        <v>0</v>
      </c>
      <c r="O7754">
        <v>1.2971740000000001E-2</v>
      </c>
      <c r="P7754">
        <v>0.99850099999999997</v>
      </c>
      <c r="Q7754">
        <v>1.9951190000000001E-2</v>
      </c>
      <c r="R7754">
        <v>-5.0969449999999999E-2</v>
      </c>
      <c r="S7754">
        <v>3.0016479999999999</v>
      </c>
      <c r="T7754">
        <v>-0.84271030000000002</v>
      </c>
      <c r="U7754">
        <v>-0.38644410000000001</v>
      </c>
      <c r="V7754">
        <v>6.3908930000000003E-2</v>
      </c>
      <c r="W7754">
        <v>3.4792860000000002E-2</v>
      </c>
      <c r="X7754">
        <v>0.99734900000000004</v>
      </c>
      <c r="Y7754">
        <v>0.1349176</v>
      </c>
      <c r="Z7754">
        <v>-2.206758E-2</v>
      </c>
      <c r="AA7754">
        <v>0.99061109999999997</v>
      </c>
      <c r="AB7754">
        <v>19</v>
      </c>
      <c r="AC7754">
        <v>0.52379999999999405</v>
      </c>
      <c r="AD7754">
        <v>-0.19899020000000001</v>
      </c>
      <c r="AE7754">
        <v>-9.3999999999994005E-2</v>
      </c>
      <c r="AF7754">
        <v>8.8424066615966607E-2</v>
      </c>
      <c r="AG7754">
        <v>-0.19899020000000001</v>
      </c>
      <c r="AH7754">
        <v>0.45843806138877702</v>
      </c>
      <c r="AI7754">
        <v>113.08397239616799</v>
      </c>
      <c r="AJ7754">
        <v>79.082790653284107</v>
      </c>
      <c r="AK7754">
        <v>0.50752474952739501</v>
      </c>
      <c r="AL7754">
        <v>88.006113468278201</v>
      </c>
      <c r="AM7754">
        <v>86.333567791420606</v>
      </c>
      <c r="AN7754">
        <v>0.99999996112086098</v>
      </c>
    </row>
    <row r="7755" spans="1:40" x14ac:dyDescent="0.25">
      <c r="A7755" t="str">
        <f>"20190312154450407"</f>
        <v>20190312154450407</v>
      </c>
      <c r="B7755" t="str">
        <f>"1552376690395200"</f>
        <v>1552376690395200</v>
      </c>
      <c r="C7755" t="s">
        <v>40</v>
      </c>
      <c r="D7755">
        <v>5.1413409999999997</v>
      </c>
      <c r="E7755">
        <v>0.53921960000000002</v>
      </c>
      <c r="F7755" t="s">
        <v>41</v>
      </c>
      <c r="G7755">
        <v>-126.51220000000001</v>
      </c>
      <c r="H7755">
        <v>0.90564040000000001</v>
      </c>
      <c r="I7755">
        <v>139.7235</v>
      </c>
      <c r="J7755">
        <v>-127.01439999999999</v>
      </c>
      <c r="K7755">
        <v>1.1114599999999999</v>
      </c>
      <c r="L7755">
        <v>139.8253</v>
      </c>
      <c r="M7755">
        <v>0.99979220000000002</v>
      </c>
      <c r="N7755">
        <v>0</v>
      </c>
      <c r="O7755">
        <v>1.32306E-2</v>
      </c>
      <c r="P7755">
        <v>0.99859260000000005</v>
      </c>
      <c r="Q7755">
        <v>1.8480159999999999E-2</v>
      </c>
      <c r="R7755">
        <v>-4.9710999999999998E-2</v>
      </c>
      <c r="S7755">
        <v>3.000381</v>
      </c>
      <c r="T7755">
        <v>-0.89827179999999995</v>
      </c>
      <c r="U7755">
        <v>-0.43263239999999997</v>
      </c>
      <c r="V7755">
        <v>6.2910560000000004E-2</v>
      </c>
      <c r="W7755">
        <v>3.3967940000000002E-2</v>
      </c>
      <c r="X7755">
        <v>0.99744089999999996</v>
      </c>
      <c r="Y7755">
        <v>0.14883189999999999</v>
      </c>
      <c r="Z7755">
        <v>-2.5554460000000001E-2</v>
      </c>
      <c r="AA7755">
        <v>0.98853219999999997</v>
      </c>
      <c r="AB7755">
        <v>19</v>
      </c>
      <c r="AC7755">
        <v>0.50219999999998699</v>
      </c>
      <c r="AD7755">
        <v>-0.20581959999999999</v>
      </c>
      <c r="AE7755">
        <v>-0.101799999999997</v>
      </c>
      <c r="AF7755">
        <v>9.3372017601892301E-2</v>
      </c>
      <c r="AG7755">
        <v>-0.20581959999999999</v>
      </c>
      <c r="AH7755">
        <v>0.43123519487712503</v>
      </c>
      <c r="AI7755">
        <v>115.007638222766</v>
      </c>
      <c r="AJ7755">
        <v>77.782780631601298</v>
      </c>
      <c r="AK7755">
        <v>0.48687147658896601</v>
      </c>
      <c r="AL7755">
        <v>88.053405850872295</v>
      </c>
      <c r="AM7755">
        <v>86.391022983612402</v>
      </c>
      <c r="AN7755">
        <v>0.99999995425008203</v>
      </c>
    </row>
    <row r="7756" spans="1:40" x14ac:dyDescent="0.25">
      <c r="A7756" t="str">
        <f>"20190312154450430"</f>
        <v>20190312154450430</v>
      </c>
      <c r="B7756" t="str">
        <f>"1552376690424986"</f>
        <v>1552376690424986</v>
      </c>
      <c r="C7756" t="s">
        <v>40</v>
      </c>
      <c r="D7756">
        <v>5.1387999999999998</v>
      </c>
      <c r="E7756">
        <v>0.53891750000000005</v>
      </c>
      <c r="F7756" t="s">
        <v>41</v>
      </c>
      <c r="G7756">
        <v>-126.3466</v>
      </c>
      <c r="H7756">
        <v>0.90924870000000002</v>
      </c>
      <c r="I7756">
        <v>139.7303</v>
      </c>
      <c r="J7756">
        <v>-126.83629999999999</v>
      </c>
      <c r="K7756">
        <v>1.1115740000000001</v>
      </c>
      <c r="L7756">
        <v>139.828</v>
      </c>
      <c r="M7756">
        <v>0.9997779</v>
      </c>
      <c r="N7756">
        <v>0</v>
      </c>
      <c r="O7756">
        <v>1.3476770000000001E-2</v>
      </c>
      <c r="P7756">
        <v>0.99867059999999996</v>
      </c>
      <c r="Q7756">
        <v>1.678435E-2</v>
      </c>
      <c r="R7756">
        <v>-4.8736700000000001E-2</v>
      </c>
      <c r="S7756">
        <v>2.9998019999999999</v>
      </c>
      <c r="T7756">
        <v>-0.90843050000000003</v>
      </c>
      <c r="U7756">
        <v>-0.42626950000000002</v>
      </c>
      <c r="V7756">
        <v>6.2183500000000003E-2</v>
      </c>
      <c r="W7756">
        <v>3.297191E-2</v>
      </c>
      <c r="X7756">
        <v>0.99751999999999996</v>
      </c>
      <c r="Y7756">
        <v>0.14695849999999999</v>
      </c>
      <c r="Z7756">
        <v>-2.563615E-2</v>
      </c>
      <c r="AA7756">
        <v>0.98881039999999998</v>
      </c>
      <c r="AB7756">
        <v>19</v>
      </c>
      <c r="AC7756">
        <v>0.48969999999999902</v>
      </c>
      <c r="AD7756">
        <v>-0.20232530000000001</v>
      </c>
      <c r="AE7756">
        <v>-9.7700000000003201E-2</v>
      </c>
      <c r="AF7756">
        <v>8.9584632302079303E-2</v>
      </c>
      <c r="AG7756">
        <v>-0.20232530000000001</v>
      </c>
      <c r="AH7756">
        <v>0.41947437678206201</v>
      </c>
      <c r="AI7756">
        <v>115.252951523172</v>
      </c>
      <c r="AJ7756">
        <v>77.944783679308699</v>
      </c>
      <c r="AK7756">
        <v>0.47425698322901699</v>
      </c>
      <c r="AL7756">
        <v>88.110506329729205</v>
      </c>
      <c r="AM7756">
        <v>86.432905897159699</v>
      </c>
      <c r="AN7756">
        <v>1.0000000424606399</v>
      </c>
    </row>
    <row r="7757" spans="1:40" x14ac:dyDescent="0.25">
      <c r="A7757" t="str">
        <f>"20190312154450452"</f>
        <v>20190312154450452</v>
      </c>
      <c r="B7757" t="str">
        <f>"1552376690445482"</f>
        <v>1552376690445482</v>
      </c>
      <c r="C7757" t="s">
        <v>40</v>
      </c>
      <c r="D7757">
        <v>5.1463539999999997</v>
      </c>
      <c r="E7757">
        <v>0.53872129999999996</v>
      </c>
      <c r="F7757" t="s">
        <v>41</v>
      </c>
      <c r="G7757">
        <v>-126.03959999999999</v>
      </c>
      <c r="H7757">
        <v>0.86879319999999904</v>
      </c>
      <c r="I7757">
        <v>139.7159</v>
      </c>
      <c r="J7757">
        <v>-126.6537</v>
      </c>
      <c r="K7757">
        <v>1.1117079999999999</v>
      </c>
      <c r="L7757">
        <v>139.83080000000001</v>
      </c>
      <c r="M7757">
        <v>0.9997606</v>
      </c>
      <c r="N7757">
        <v>0</v>
      </c>
      <c r="O7757">
        <v>1.3728779999999999E-2</v>
      </c>
      <c r="P7757">
        <v>0.9987106</v>
      </c>
      <c r="Q7757">
        <v>1.5713060000000001E-2</v>
      </c>
      <c r="R7757">
        <v>-4.8273490000000002E-2</v>
      </c>
      <c r="S7757">
        <v>2.998764</v>
      </c>
      <c r="T7757">
        <v>-0.91381310000000004</v>
      </c>
      <c r="U7757">
        <v>-0.42153930000000001</v>
      </c>
      <c r="V7757">
        <v>6.1972960000000001E-2</v>
      </c>
      <c r="W7757">
        <v>3.2735050000000002E-2</v>
      </c>
      <c r="X7757">
        <v>0.99754080000000001</v>
      </c>
      <c r="Y7757">
        <v>0.1456828</v>
      </c>
      <c r="Z7757">
        <v>-2.5678329999999999E-2</v>
      </c>
      <c r="AA7757">
        <v>0.98899809999999999</v>
      </c>
      <c r="AB7757">
        <v>18</v>
      </c>
      <c r="AC7757">
        <v>0.61410000000000697</v>
      </c>
      <c r="AD7757">
        <v>-0.24291479999999899</v>
      </c>
      <c r="AE7757">
        <v>-0.114900000000005</v>
      </c>
      <c r="AF7757">
        <v>0.107126199349473</v>
      </c>
      <c r="AG7757">
        <v>-0.24291479999999899</v>
      </c>
      <c r="AH7757">
        <v>0.53203316900013697</v>
      </c>
      <c r="AI7757">
        <v>114.11305372105799</v>
      </c>
      <c r="AJ7757">
        <v>78.615575847515899</v>
      </c>
      <c r="AK7757">
        <v>0.59459474902023102</v>
      </c>
      <c r="AL7757">
        <v>88.124084544156901</v>
      </c>
      <c r="AM7757">
        <v>86.4450262240982</v>
      </c>
      <c r="AN7757">
        <v>0.99999993946715005</v>
      </c>
    </row>
    <row r="7758" spans="1:40" x14ac:dyDescent="0.25">
      <c r="A7758" t="str">
        <f>"20190312154450479"</f>
        <v>20190312154450479</v>
      </c>
      <c r="B7758" t="str">
        <f>"1552376690465003"</f>
        <v>1552376690465003</v>
      </c>
      <c r="C7758" t="s">
        <v>40</v>
      </c>
      <c r="D7758">
        <v>5.1457490000000004</v>
      </c>
      <c r="E7758">
        <v>0.538844199999999</v>
      </c>
      <c r="F7758" t="s">
        <v>41</v>
      </c>
      <c r="G7758">
        <v>-125.87869999999999</v>
      </c>
      <c r="H7758">
        <v>0.87473849999999997</v>
      </c>
      <c r="I7758">
        <v>139.72210000000001</v>
      </c>
      <c r="J7758">
        <v>-126.4425</v>
      </c>
      <c r="K7758">
        <v>1.111872</v>
      </c>
      <c r="L7758">
        <v>139.83410000000001</v>
      </c>
      <c r="M7758">
        <v>0.99973679999999998</v>
      </c>
      <c r="N7758">
        <v>0</v>
      </c>
      <c r="O7758">
        <v>1.4022730000000001E-2</v>
      </c>
      <c r="P7758">
        <v>0.99878659999999997</v>
      </c>
      <c r="Q7758">
        <v>1.421887E-2</v>
      </c>
      <c r="R7758">
        <v>-4.7151079999999998E-2</v>
      </c>
      <c r="S7758">
        <v>2.997986</v>
      </c>
      <c r="T7758">
        <v>-0.91666420000000004</v>
      </c>
      <c r="U7758">
        <v>-0.42024230000000001</v>
      </c>
      <c r="V7758">
        <v>6.1145629999999999E-2</v>
      </c>
      <c r="W7758">
        <v>3.2353779999999999E-2</v>
      </c>
      <c r="X7758">
        <v>0.99760439999999995</v>
      </c>
      <c r="Y7758">
        <v>0.14553529999999901</v>
      </c>
      <c r="Z7758">
        <v>-2.5827699999999999E-2</v>
      </c>
      <c r="AA7758">
        <v>0.98901589999999995</v>
      </c>
      <c r="AB7758">
        <v>18</v>
      </c>
      <c r="AC7758">
        <v>0.56379999999999997</v>
      </c>
      <c r="AD7758">
        <v>-0.2371335</v>
      </c>
      <c r="AE7758">
        <v>-0.11199999999999399</v>
      </c>
      <c r="AF7758">
        <v>0.10245908220521199</v>
      </c>
      <c r="AG7758">
        <v>-0.2371335</v>
      </c>
      <c r="AH7758">
        <v>0.48041352624512401</v>
      </c>
      <c r="AI7758">
        <v>115.768743677343</v>
      </c>
      <c r="AJ7758">
        <v>77.960748580656997</v>
      </c>
      <c r="AK7758">
        <v>0.54546064619535894</v>
      </c>
      <c r="AL7758">
        <v>88.145941484683902</v>
      </c>
      <c r="AM7758">
        <v>86.492588382041305</v>
      </c>
      <c r="AN7758">
        <v>1.0000000470238699</v>
      </c>
    </row>
    <row r="7759" spans="1:40" x14ac:dyDescent="0.25">
      <c r="A7759" t="str">
        <f>"20190312154450503"</f>
        <v>20190312154450503</v>
      </c>
      <c r="B7759" t="str">
        <f>"1552376690495260"</f>
        <v>1552376690495260</v>
      </c>
      <c r="C7759" t="s">
        <v>40</v>
      </c>
      <c r="D7759">
        <v>5.120406</v>
      </c>
      <c r="E7759">
        <v>0.53884460000000001</v>
      </c>
      <c r="F7759" t="s">
        <v>41</v>
      </c>
      <c r="G7759">
        <v>-125.7165</v>
      </c>
      <c r="H7759">
        <v>0.8893875</v>
      </c>
      <c r="I7759">
        <v>139.73240000000001</v>
      </c>
      <c r="J7759">
        <v>-126.2664</v>
      </c>
      <c r="K7759">
        <v>1.112001</v>
      </c>
      <c r="L7759">
        <v>139.83690000000001</v>
      </c>
      <c r="M7759">
        <v>0.99971500000000002</v>
      </c>
      <c r="N7759">
        <v>0</v>
      </c>
      <c r="O7759">
        <v>1.426876E-2</v>
      </c>
      <c r="P7759">
        <v>0.99889110000000003</v>
      </c>
      <c r="Q7759">
        <v>1.231291E-2</v>
      </c>
      <c r="R7759">
        <v>-4.5446210000000001E-2</v>
      </c>
      <c r="S7759">
        <v>2.9969329999999998</v>
      </c>
      <c r="T7759">
        <v>-0.91843940000000002</v>
      </c>
      <c r="U7759">
        <v>-0.41903689999999999</v>
      </c>
      <c r="V7759">
        <v>5.9688970000000001E-2</v>
      </c>
      <c r="W7759">
        <v>3.1439670000000003E-2</v>
      </c>
      <c r="X7759">
        <v>0.99772179999999999</v>
      </c>
      <c r="Y7759">
        <v>0.14539879999999999</v>
      </c>
      <c r="Z7759">
        <v>-2.5937979999999999E-2</v>
      </c>
      <c r="AA7759">
        <v>0.98903300000000005</v>
      </c>
      <c r="AB7759">
        <v>18</v>
      </c>
      <c r="AC7759">
        <v>0.54990000000000705</v>
      </c>
      <c r="AD7759">
        <v>-0.22261349999999999</v>
      </c>
      <c r="AE7759">
        <v>-0.10450000000000099</v>
      </c>
      <c r="AF7759">
        <v>9.6995290526375205E-2</v>
      </c>
      <c r="AG7759">
        <v>-0.22261349999999999</v>
      </c>
      <c r="AH7759">
        <v>0.47346408871317902</v>
      </c>
      <c r="AI7759">
        <v>114.731456565193</v>
      </c>
      <c r="AJ7759">
        <v>78.422404962602002</v>
      </c>
      <c r="AK7759">
        <v>0.53210252777782097</v>
      </c>
      <c r="AL7759">
        <v>88.198342722252406</v>
      </c>
      <c r="AM7759">
        <v>86.576345469169993</v>
      </c>
      <c r="AN7759">
        <v>1.0000000080922999</v>
      </c>
    </row>
    <row r="7760" spans="1:40" x14ac:dyDescent="0.25">
      <c r="A7760" t="str">
        <f>"20190312154450524"</f>
        <v>20190312154450524</v>
      </c>
      <c r="B7760" t="str">
        <f>"1552376690515755"</f>
        <v>1552376690515755</v>
      </c>
      <c r="C7760" t="s">
        <v>40</v>
      </c>
      <c r="D7760">
        <v>5.1563759999999998</v>
      </c>
      <c r="E7760">
        <v>0.53898480000000004</v>
      </c>
      <c r="F7760" t="s">
        <v>41</v>
      </c>
      <c r="G7760">
        <v>-125.5604</v>
      </c>
      <c r="H7760">
        <v>0.89500679999999999</v>
      </c>
      <c r="I7760">
        <v>139.739</v>
      </c>
      <c r="J7760">
        <v>-126.105</v>
      </c>
      <c r="K7760">
        <v>1.1121219999999901</v>
      </c>
      <c r="L7760">
        <v>139.83949999999999</v>
      </c>
      <c r="M7760">
        <v>0.99969229999999998</v>
      </c>
      <c r="N7760">
        <v>0</v>
      </c>
      <c r="O7760">
        <v>1.4493539999999999E-2</v>
      </c>
      <c r="P7760">
        <v>0.99900310000000003</v>
      </c>
      <c r="Q7760">
        <v>1.010953E-2</v>
      </c>
      <c r="R7760">
        <v>-4.3486459999999998E-2</v>
      </c>
      <c r="S7760">
        <v>2.9957889999999998</v>
      </c>
      <c r="T7760">
        <v>-0.92090850000000002</v>
      </c>
      <c r="U7760">
        <v>-0.41540529999999998</v>
      </c>
      <c r="V7760">
        <v>5.7956510000000003E-2</v>
      </c>
      <c r="W7760">
        <v>3.0227649999999998E-2</v>
      </c>
      <c r="X7760">
        <v>0.99786140000000001</v>
      </c>
      <c r="Y7760">
        <v>0.14448349999999999</v>
      </c>
      <c r="Z7760">
        <v>-2.5946569999999999E-2</v>
      </c>
      <c r="AA7760">
        <v>0.98916700000000002</v>
      </c>
      <c r="AB7760">
        <v>17</v>
      </c>
      <c r="AC7760">
        <v>0.54460000000000197</v>
      </c>
      <c r="AD7760">
        <v>-0.21711519999999901</v>
      </c>
      <c r="AE7760">
        <v>-0.10049999999998201</v>
      </c>
      <c r="AF7760">
        <v>9.3944666316480296E-2</v>
      </c>
      <c r="AG7760">
        <v>-0.21711519999999901</v>
      </c>
      <c r="AH7760">
        <v>0.47073292582773002</v>
      </c>
      <c r="AI7760">
        <v>114.337644978618</v>
      </c>
      <c r="AJ7760">
        <v>78.7137009899091</v>
      </c>
      <c r="AK7760">
        <v>0.52683403255549999</v>
      </c>
      <c r="AL7760">
        <v>88.267819412656493</v>
      </c>
      <c r="AM7760">
        <v>86.675954180224807</v>
      </c>
      <c r="AN7760">
        <v>1.00000002074293</v>
      </c>
    </row>
    <row r="7761" spans="1:40" x14ac:dyDescent="0.25">
      <c r="A7761" t="str">
        <f>"20190312154450541"</f>
        <v>20190312154450541</v>
      </c>
      <c r="B7761" t="str">
        <f>"1552376690535782"</f>
        <v>1552376690535782</v>
      </c>
      <c r="C7761" t="s">
        <v>40</v>
      </c>
      <c r="D7761">
        <v>5.1840159999999997</v>
      </c>
      <c r="E7761">
        <v>0.53885450000000001</v>
      </c>
      <c r="F7761" t="s">
        <v>41</v>
      </c>
      <c r="G7761">
        <v>-125.4088</v>
      </c>
      <c r="H7761">
        <v>0.89666199999999996</v>
      </c>
      <c r="I7761">
        <v>139.744</v>
      </c>
      <c r="J7761">
        <v>-125.96720000000001</v>
      </c>
      <c r="K7761">
        <v>1.1122320000000001</v>
      </c>
      <c r="L7761">
        <v>139.84180000000001</v>
      </c>
      <c r="M7761">
        <v>0.99966980000000005</v>
      </c>
      <c r="N7761">
        <v>0</v>
      </c>
      <c r="O7761">
        <v>1.4684030000000001E-2</v>
      </c>
      <c r="P7761">
        <v>0.99908940000000002</v>
      </c>
      <c r="Q7761">
        <v>8.3272709999999903E-3</v>
      </c>
      <c r="R7761">
        <v>-4.1851449999999998E-2</v>
      </c>
      <c r="S7761">
        <v>2.994507</v>
      </c>
      <c r="T7761">
        <v>-0.92678590000000005</v>
      </c>
      <c r="U7761">
        <v>-0.41021730000000001</v>
      </c>
      <c r="V7761">
        <v>5.6513750000000001E-2</v>
      </c>
      <c r="W7761">
        <v>2.9395939999999999E-2</v>
      </c>
      <c r="X7761">
        <v>0.99796899999999999</v>
      </c>
      <c r="Y7761">
        <v>0.14300839999999901</v>
      </c>
      <c r="Z7761">
        <v>-2.5953739999999999E-2</v>
      </c>
      <c r="AA7761">
        <v>0.98938110000000001</v>
      </c>
      <c r="AB7761">
        <v>17</v>
      </c>
      <c r="AC7761">
        <v>0.558400000000006</v>
      </c>
      <c r="AD7761">
        <v>-0.21556999999999901</v>
      </c>
      <c r="AE7761">
        <v>-9.7800000000006507E-2</v>
      </c>
      <c r="AF7761">
        <v>9.2600881397671905E-2</v>
      </c>
      <c r="AG7761">
        <v>-0.21556999999999901</v>
      </c>
      <c r="AH7761">
        <v>0.48654905156982198</v>
      </c>
      <c r="AI7761">
        <v>113.520911440801</v>
      </c>
      <c r="AJ7761">
        <v>79.224239716635395</v>
      </c>
      <c r="AK7761">
        <v>0.54016231608574705</v>
      </c>
      <c r="AL7761">
        <v>88.315494083129906</v>
      </c>
      <c r="AM7761">
        <v>86.758872489662096</v>
      </c>
      <c r="AN7761">
        <v>1.00000002509427</v>
      </c>
    </row>
    <row r="7762" spans="1:40" x14ac:dyDescent="0.25">
      <c r="A7762" t="str">
        <f>"20190312154450564"</f>
        <v>20190312154450564</v>
      </c>
      <c r="B7762" t="str">
        <f>"1552376690555302"</f>
        <v>1552376690555302</v>
      </c>
      <c r="C7762" t="s">
        <v>40</v>
      </c>
      <c r="D7762">
        <v>5.1592070000000003</v>
      </c>
      <c r="E7762">
        <v>0.53872419999999899</v>
      </c>
      <c r="F7762" t="s">
        <v>41</v>
      </c>
      <c r="G7762">
        <v>-125.2624</v>
      </c>
      <c r="H7762">
        <v>0.89308349999999903</v>
      </c>
      <c r="I7762">
        <v>139.7466</v>
      </c>
      <c r="J7762">
        <v>-125.80889999999999</v>
      </c>
      <c r="K7762">
        <v>1.1124000000000001</v>
      </c>
      <c r="L7762">
        <v>139.84440000000001</v>
      </c>
      <c r="M7762">
        <v>0.99963999999999997</v>
      </c>
      <c r="N7762">
        <v>0</v>
      </c>
      <c r="O7762">
        <v>1.490232E-2</v>
      </c>
      <c r="P7762">
        <v>0.99913689999999999</v>
      </c>
      <c r="Q7762">
        <v>7.1563529999999998E-3</v>
      </c>
      <c r="R7762">
        <v>-4.0916149999999998E-2</v>
      </c>
      <c r="S7762">
        <v>2.9935909999999999</v>
      </c>
      <c r="T7762">
        <v>-0.93086120000000006</v>
      </c>
      <c r="U7762">
        <v>-0.40393069999999998</v>
      </c>
      <c r="V7762">
        <v>5.5798250000000001E-2</v>
      </c>
      <c r="W7762">
        <v>2.944074E-2</v>
      </c>
      <c r="X7762">
        <v>0.99800789999999995</v>
      </c>
      <c r="Y7762">
        <v>0.1412283</v>
      </c>
      <c r="Z7762">
        <v>-2.5870710000000002E-2</v>
      </c>
      <c r="AA7762">
        <v>0.98963900000000005</v>
      </c>
      <c r="AB7762">
        <v>17</v>
      </c>
      <c r="AC7762">
        <v>0.54649999999999399</v>
      </c>
      <c r="AD7762">
        <v>-0.2193165</v>
      </c>
      <c r="AE7762">
        <v>-9.7800000000006507E-2</v>
      </c>
      <c r="AF7762">
        <v>9.16353232654957E-2</v>
      </c>
      <c r="AG7762">
        <v>-0.2193165</v>
      </c>
      <c r="AH7762">
        <v>0.47141569363902602</v>
      </c>
      <c r="AI7762">
        <v>114.54531226643201</v>
      </c>
      <c r="AJ7762">
        <v>78.999836624538503</v>
      </c>
      <c r="AK7762">
        <v>0.52794840264119203</v>
      </c>
      <c r="AL7762">
        <v>88.312926053447399</v>
      </c>
      <c r="AM7762">
        <v>86.799945866574404</v>
      </c>
      <c r="AN7762">
        <v>0.999999985168609</v>
      </c>
    </row>
    <row r="7763" spans="1:40" x14ac:dyDescent="0.25">
      <c r="A7763" t="str">
        <f>"20190312154450586"</f>
        <v>20190312154450586</v>
      </c>
      <c r="B7763" t="str">
        <f>"1552376690575798"</f>
        <v>1552376690575798</v>
      </c>
      <c r="C7763" t="s">
        <v>40</v>
      </c>
      <c r="D7763">
        <v>5.1720949999999997</v>
      </c>
      <c r="E7763">
        <v>0.53879509999999997</v>
      </c>
      <c r="F7763" t="s">
        <v>41</v>
      </c>
      <c r="G7763">
        <v>-125.1164</v>
      </c>
      <c r="H7763">
        <v>0.89674120000000002</v>
      </c>
      <c r="I7763">
        <v>139.75149999999999</v>
      </c>
      <c r="J7763">
        <v>-125.64870000000001</v>
      </c>
      <c r="K7763">
        <v>1.112574</v>
      </c>
      <c r="L7763">
        <v>139.84710000000001</v>
      </c>
      <c r="M7763">
        <v>0.99960610000000005</v>
      </c>
      <c r="N7763">
        <v>0</v>
      </c>
      <c r="O7763">
        <v>1.5125120000000001E-2</v>
      </c>
      <c r="P7763">
        <v>0.99914709999999995</v>
      </c>
      <c r="Q7763">
        <v>6.6171559999999999E-3</v>
      </c>
      <c r="R7763">
        <v>-4.0760289999999998E-2</v>
      </c>
      <c r="S7763">
        <v>2.9928439999999998</v>
      </c>
      <c r="T7763">
        <v>-0.93210950000000004</v>
      </c>
      <c r="U7763">
        <v>-0.401001</v>
      </c>
      <c r="V7763">
        <v>5.5865779999999997E-2</v>
      </c>
      <c r="W7763">
        <v>3.0229559999999999E-2</v>
      </c>
      <c r="X7763">
        <v>0.99798050000000005</v>
      </c>
      <c r="Y7763">
        <v>0.14052890000000001</v>
      </c>
      <c r="Z7763">
        <v>-2.587327E-2</v>
      </c>
      <c r="AA7763">
        <v>0.98973849999999997</v>
      </c>
      <c r="AB7763">
        <v>16</v>
      </c>
      <c r="AC7763">
        <v>0.53230000000000599</v>
      </c>
      <c r="AD7763">
        <v>-0.21583279999999999</v>
      </c>
      <c r="AE7763">
        <v>-9.5600000000018698E-2</v>
      </c>
      <c r="AF7763">
        <v>8.9403145027472902E-2</v>
      </c>
      <c r="AG7763">
        <v>-0.21583279999999999</v>
      </c>
      <c r="AH7763">
        <v>0.45786794739269399</v>
      </c>
      <c r="AI7763">
        <v>114.827597282905</v>
      </c>
      <c r="AJ7763">
        <v>78.951458626508398</v>
      </c>
      <c r="AK7763">
        <v>0.51402312899931102</v>
      </c>
      <c r="AL7763">
        <v>88.2677097964837</v>
      </c>
      <c r="AM7763">
        <v>86.795993273228106</v>
      </c>
      <c r="AN7763">
        <v>0.99999994502652401</v>
      </c>
    </row>
    <row r="7764" spans="1:40" x14ac:dyDescent="0.25">
      <c r="A7764" t="str">
        <f>"20190312154450608"</f>
        <v>20190312154450608</v>
      </c>
      <c r="B7764" t="str">
        <f>"1552376690605078"</f>
        <v>1552376690605078</v>
      </c>
      <c r="C7764" t="s">
        <v>40</v>
      </c>
      <c r="D7764">
        <v>5.138846</v>
      </c>
      <c r="E7764">
        <v>0.53911409999999904</v>
      </c>
      <c r="F7764" t="s">
        <v>41</v>
      </c>
      <c r="G7764">
        <v>-124.97329999999999</v>
      </c>
      <c r="H7764">
        <v>0.90184629999999999</v>
      </c>
      <c r="I7764">
        <v>139.75640000000001</v>
      </c>
      <c r="J7764">
        <v>-125.4979</v>
      </c>
      <c r="K7764">
        <v>1.112725</v>
      </c>
      <c r="L7764">
        <v>139.84960000000001</v>
      </c>
      <c r="M7764">
        <v>0.99957169999999895</v>
      </c>
      <c r="N7764">
        <v>0</v>
      </c>
      <c r="O7764">
        <v>1.5338060000000001E-2</v>
      </c>
      <c r="P7764">
        <v>0.99915299999999996</v>
      </c>
      <c r="Q7764">
        <v>5.8279930000000001E-3</v>
      </c>
      <c r="R7764">
        <v>-4.0736059999999998E-2</v>
      </c>
      <c r="S7764">
        <v>2.9923549999999999</v>
      </c>
      <c r="T7764">
        <v>-0.93355940000000004</v>
      </c>
      <c r="U7764">
        <v>-0.4016266</v>
      </c>
      <c r="V7764">
        <v>5.6055399999999998E-2</v>
      </c>
      <c r="W7764">
        <v>3.072095E-2</v>
      </c>
      <c r="X7764">
        <v>0.99795489999999998</v>
      </c>
      <c r="Y7764">
        <v>0.14091239999999999</v>
      </c>
      <c r="Z7764">
        <v>-2.6038390000000002E-2</v>
      </c>
      <c r="AA7764">
        <v>0.98967959999999999</v>
      </c>
      <c r="AB7764">
        <v>16</v>
      </c>
      <c r="AC7764">
        <v>0.52460000000000595</v>
      </c>
      <c r="AD7764">
        <v>-0.2108787</v>
      </c>
      <c r="AE7764">
        <v>-9.3199999999995897E-2</v>
      </c>
      <c r="AF7764">
        <v>8.7527272067452505E-2</v>
      </c>
      <c r="AG7764">
        <v>-0.2108787</v>
      </c>
      <c r="AH7764">
        <v>0.45226395668705699</v>
      </c>
      <c r="AI7764">
        <v>114.597330199571</v>
      </c>
      <c r="AJ7764">
        <v>79.046876071263597</v>
      </c>
      <c r="AK7764">
        <v>0.50662958459558205</v>
      </c>
      <c r="AL7764">
        <v>88.239542206100595</v>
      </c>
      <c r="AM7764">
        <v>86.785058688957804</v>
      </c>
      <c r="AN7764">
        <v>0.99999998353603603</v>
      </c>
    </row>
    <row r="7765" spans="1:40" x14ac:dyDescent="0.25">
      <c r="A7765" t="str">
        <f>"20190312154450630"</f>
        <v>20190312154450630</v>
      </c>
      <c r="B7765" t="str">
        <f>"1552376690624925"</f>
        <v>1552376690624925</v>
      </c>
      <c r="C7765" t="s">
        <v>40</v>
      </c>
      <c r="D7765">
        <v>5.1665599999999996</v>
      </c>
      <c r="E7765">
        <v>0.53931499999999999</v>
      </c>
      <c r="F7765" t="s">
        <v>41</v>
      </c>
      <c r="G7765">
        <v>-124.7161</v>
      </c>
      <c r="H7765">
        <v>0.86781739999999996</v>
      </c>
      <c r="I7765">
        <v>139.74379999999999</v>
      </c>
      <c r="J7765">
        <v>-125.34650000000001</v>
      </c>
      <c r="K7765">
        <v>1.112878</v>
      </c>
      <c r="L7765">
        <v>139.85230000000001</v>
      </c>
      <c r="M7765">
        <v>0.99953420000000004</v>
      </c>
      <c r="N7765">
        <v>0</v>
      </c>
      <c r="O7765">
        <v>1.5551300000000001E-2</v>
      </c>
      <c r="P7765">
        <v>0.99916150000000004</v>
      </c>
      <c r="Q7765">
        <v>5.6745529999999997E-3</v>
      </c>
      <c r="R7765">
        <v>-4.0553359999999997E-2</v>
      </c>
      <c r="S7765">
        <v>2.991501</v>
      </c>
      <c r="T7765">
        <v>-0.93704580000000004</v>
      </c>
      <c r="U7765">
        <v>-0.40493770000000001</v>
      </c>
      <c r="V7765">
        <v>5.6086549999999999E-2</v>
      </c>
      <c r="W7765">
        <v>3.1905309999999999E-2</v>
      </c>
      <c r="X7765">
        <v>0.99791600000000003</v>
      </c>
      <c r="Y7765">
        <v>0.14211399999999999</v>
      </c>
      <c r="Z7765">
        <v>-2.6384709999999999E-2</v>
      </c>
      <c r="AA7765">
        <v>0.98949860000000001</v>
      </c>
      <c r="AB7765">
        <v>15</v>
      </c>
      <c r="AC7765">
        <v>0.63040000000000795</v>
      </c>
      <c r="AD7765">
        <v>-0.24506059999999999</v>
      </c>
      <c r="AE7765">
        <v>-0.10850000000002</v>
      </c>
      <c r="AF7765">
        <v>0.10315392160221699</v>
      </c>
      <c r="AG7765">
        <v>-0.24506059999999999</v>
      </c>
      <c r="AH7765">
        <v>0.54817965412580905</v>
      </c>
      <c r="AI7765">
        <v>113.71749718100099</v>
      </c>
      <c r="AJ7765">
        <v>79.342966401868793</v>
      </c>
      <c r="AK7765">
        <v>0.60925886321970502</v>
      </c>
      <c r="AL7765">
        <v>88.171650102554906</v>
      </c>
      <c r="AM7765">
        <v>86.783150767394901</v>
      </c>
      <c r="AN7765">
        <v>0.99999999647654902</v>
      </c>
    </row>
    <row r="7766" spans="1:40" x14ac:dyDescent="0.25">
      <c r="A7766" t="str">
        <f>"20190312154450653"</f>
        <v>20190312154450653</v>
      </c>
      <c r="B7766" t="str">
        <f>"1552376690645421"</f>
        <v>1552376690645421</v>
      </c>
      <c r="C7766" t="s">
        <v>40</v>
      </c>
      <c r="D7766">
        <v>5.1893960000000003</v>
      </c>
      <c r="E7766">
        <v>0.53938809999999904</v>
      </c>
      <c r="F7766" t="s">
        <v>41</v>
      </c>
      <c r="G7766">
        <v>-124.5851</v>
      </c>
      <c r="H7766">
        <v>0.87389810000000001</v>
      </c>
      <c r="I7766">
        <v>139.74870000000001</v>
      </c>
      <c r="J7766">
        <v>-125.20740000000001</v>
      </c>
      <c r="K7766">
        <v>1.113137</v>
      </c>
      <c r="L7766">
        <v>139.85470000000001</v>
      </c>
      <c r="M7766">
        <v>0.99948389999999998</v>
      </c>
      <c r="N7766">
        <v>0</v>
      </c>
      <c r="O7766">
        <v>1.5735829999999999E-2</v>
      </c>
      <c r="P7766">
        <v>0.99917109999999998</v>
      </c>
      <c r="Q7766">
        <v>5.2557460000000004E-3</v>
      </c>
      <c r="R7766">
        <v>-4.0366060000000002E-2</v>
      </c>
      <c r="S7766">
        <v>2.9913479999999999</v>
      </c>
      <c r="T7766">
        <v>-0.9389246</v>
      </c>
      <c r="U7766">
        <v>-0.4064178</v>
      </c>
      <c r="V7766">
        <v>5.6085330000000003E-2</v>
      </c>
      <c r="W7766">
        <v>3.322116E-2</v>
      </c>
      <c r="X7766">
        <v>0.99787309999999996</v>
      </c>
      <c r="Y7766">
        <v>0.14271809999999999</v>
      </c>
      <c r="Z7766">
        <v>-2.6584449999999999E-2</v>
      </c>
      <c r="AA7766">
        <v>0.98940629999999996</v>
      </c>
      <c r="AB7766">
        <v>15</v>
      </c>
      <c r="AC7766">
        <v>0.62230000000000896</v>
      </c>
      <c r="AD7766">
        <v>-0.2392389</v>
      </c>
      <c r="AE7766">
        <v>-0.105999999999994</v>
      </c>
      <c r="AF7766">
        <v>0.101241836116904</v>
      </c>
      <c r="AG7766">
        <v>-0.2392389</v>
      </c>
      <c r="AH7766">
        <v>0.54261841623936902</v>
      </c>
      <c r="AI7766">
        <v>113.43275573349101</v>
      </c>
      <c r="AJ7766">
        <v>79.431265702728197</v>
      </c>
      <c r="AK7766">
        <v>0.60159779445710504</v>
      </c>
      <c r="AL7766">
        <v>88.096217385004493</v>
      </c>
      <c r="AM7766">
        <v>86.783082590128103</v>
      </c>
      <c r="AN7766">
        <v>0.99999996670828095</v>
      </c>
    </row>
    <row r="7767" spans="1:40" x14ac:dyDescent="0.25">
      <c r="A7767" t="str">
        <f>"20190312154450677"</f>
        <v>20190312154450677</v>
      </c>
      <c r="B7767" t="str">
        <f>"1552376690664940"</f>
        <v>1552376690664940</v>
      </c>
      <c r="C7767" t="s">
        <v>40</v>
      </c>
      <c r="D7767">
        <v>5.1873209999999998</v>
      </c>
      <c r="E7767">
        <v>0.53960680000000005</v>
      </c>
      <c r="F7767" t="s">
        <v>41</v>
      </c>
      <c r="G7767">
        <v>-124.4605</v>
      </c>
      <c r="H7767">
        <v>0.87812769999999996</v>
      </c>
      <c r="I7767">
        <v>139.75299999999999</v>
      </c>
      <c r="J7767">
        <v>-125.059</v>
      </c>
      <c r="K7767">
        <v>1.1134280000000001</v>
      </c>
      <c r="L7767">
        <v>139.85730000000001</v>
      </c>
      <c r="M7767">
        <v>0.99941930000000001</v>
      </c>
      <c r="N7767">
        <v>0</v>
      </c>
      <c r="O7767">
        <v>1.592609E-2</v>
      </c>
      <c r="P7767">
        <v>0.99918470000000004</v>
      </c>
      <c r="Q7767">
        <v>4.6360999999999998E-3</v>
      </c>
      <c r="R7767">
        <v>-4.0108970000000001E-2</v>
      </c>
      <c r="S7767">
        <v>2.9910130000000001</v>
      </c>
      <c r="T7767">
        <v>-0.94112669999999998</v>
      </c>
      <c r="U7767">
        <v>-0.40692139999999999</v>
      </c>
      <c r="V7767">
        <v>5.602012E-2</v>
      </c>
      <c r="W7767">
        <v>3.4717089999999999E-2</v>
      </c>
      <c r="X7767">
        <v>0.99782590000000004</v>
      </c>
      <c r="Y7767">
        <v>0.14302609999999999</v>
      </c>
      <c r="Z7767">
        <v>-2.6752169999999999E-2</v>
      </c>
      <c r="AA7767">
        <v>0.9893573</v>
      </c>
      <c r="AB7767">
        <v>14</v>
      </c>
      <c r="AC7767">
        <v>0.59850000000000103</v>
      </c>
      <c r="AD7767">
        <v>-0.23530029999999999</v>
      </c>
      <c r="AE7767">
        <v>-0.104300000000023</v>
      </c>
      <c r="AF7767">
        <v>9.8975432507070998E-2</v>
      </c>
      <c r="AG7767">
        <v>-0.23530029999999999</v>
      </c>
      <c r="AH7767">
        <v>0.51891859664167805</v>
      </c>
      <c r="AI7767">
        <v>114.008859726246</v>
      </c>
      <c r="AJ7767">
        <v>79.201447197235694</v>
      </c>
      <c r="AK7767">
        <v>0.57830690585589595</v>
      </c>
      <c r="AL7767">
        <v>88.010457527988393</v>
      </c>
      <c r="AM7767">
        <v>86.786663360179205</v>
      </c>
      <c r="AN7767">
        <v>1.00000002844684</v>
      </c>
    </row>
    <row r="7768" spans="1:40" x14ac:dyDescent="0.25">
      <c r="A7768" t="str">
        <f>"20190312154450704"</f>
        <v>20190312154450704</v>
      </c>
      <c r="B7768" t="str">
        <f>"1552376690695197"</f>
        <v>1552376690695197</v>
      </c>
      <c r="C7768" t="s">
        <v>40</v>
      </c>
      <c r="D7768">
        <v>5.1648809999999896</v>
      </c>
      <c r="E7768">
        <v>0.53977010000000003</v>
      </c>
      <c r="F7768" t="s">
        <v>41</v>
      </c>
      <c r="G7768">
        <v>-124.33920000000001</v>
      </c>
      <c r="H7768">
        <v>0.88633499999999998</v>
      </c>
      <c r="I7768">
        <v>139.75890000000001</v>
      </c>
      <c r="J7768">
        <v>-124.9057</v>
      </c>
      <c r="K7768">
        <v>1.113612</v>
      </c>
      <c r="L7768">
        <v>139.86000000000001</v>
      </c>
      <c r="M7768">
        <v>0.99935819999999997</v>
      </c>
      <c r="N7768">
        <v>0</v>
      </c>
      <c r="O7768">
        <v>1.612972E-2</v>
      </c>
      <c r="P7768">
        <v>0.9991892</v>
      </c>
      <c r="Q7768">
        <v>3.2153170000000001E-3</v>
      </c>
      <c r="R7768">
        <v>-4.0136119999999997E-2</v>
      </c>
      <c r="S7768">
        <v>2.9904480000000002</v>
      </c>
      <c r="T7768">
        <v>-0.94351180000000001</v>
      </c>
      <c r="U7768">
        <v>-0.40789789999999998</v>
      </c>
      <c r="V7768">
        <v>5.6252190000000001E-2</v>
      </c>
      <c r="W7768">
        <v>3.5155039999999999E-2</v>
      </c>
      <c r="X7768">
        <v>0.9977975</v>
      </c>
      <c r="Y7768">
        <v>0.1434983</v>
      </c>
      <c r="Z7768">
        <v>-2.6956330000000001E-2</v>
      </c>
      <c r="AA7768">
        <v>0.98928340000000003</v>
      </c>
      <c r="AB7768">
        <v>14</v>
      </c>
      <c r="AC7768">
        <v>0.56649999999999001</v>
      </c>
      <c r="AD7768">
        <v>-0.22727700000000001</v>
      </c>
      <c r="AE7768">
        <v>-0.10110000000000199</v>
      </c>
      <c r="AF7768">
        <v>9.5354687618715905E-2</v>
      </c>
      <c r="AG7768">
        <v>-0.22727700000000001</v>
      </c>
      <c r="AH7768">
        <v>0.48858123545962601</v>
      </c>
      <c r="AI7768">
        <v>114.539709515323</v>
      </c>
      <c r="AJ7768">
        <v>78.956601231658993</v>
      </c>
      <c r="AK7768">
        <v>0.54722844847752306</v>
      </c>
      <c r="AL7768">
        <v>87.9853494943345</v>
      </c>
      <c r="AM7768">
        <v>86.773288155929293</v>
      </c>
      <c r="AN7768">
        <v>1.0000000183617199</v>
      </c>
    </row>
    <row r="7769" spans="1:40" x14ac:dyDescent="0.25">
      <c r="A7769" t="str">
        <f>"20190312154450729"</f>
        <v>20190312154450729</v>
      </c>
      <c r="B7769" t="str">
        <f>"1552376690724984"</f>
        <v>1552376690724984</v>
      </c>
      <c r="C7769" t="s">
        <v>40</v>
      </c>
      <c r="D7769">
        <v>5.2219329999999999</v>
      </c>
      <c r="E7769">
        <v>0.53993349999999996</v>
      </c>
      <c r="F7769" t="s">
        <v>41</v>
      </c>
      <c r="G7769">
        <v>-124.221</v>
      </c>
      <c r="H7769">
        <v>0.89619740000000003</v>
      </c>
      <c r="I7769">
        <v>139.7662</v>
      </c>
      <c r="J7769">
        <v>-124.7706</v>
      </c>
      <c r="K7769">
        <v>1.113513</v>
      </c>
      <c r="L7769">
        <v>139.86240000000001</v>
      </c>
      <c r="M7769">
        <v>0.99933369999999999</v>
      </c>
      <c r="N7769">
        <v>0</v>
      </c>
      <c r="O7769">
        <v>1.632258E-2</v>
      </c>
      <c r="P7769">
        <v>0.99918819999999997</v>
      </c>
      <c r="Q7769">
        <v>3.0942119999999998E-3</v>
      </c>
      <c r="R7769">
        <v>-4.016832E-2</v>
      </c>
      <c r="S7769">
        <v>2.9890590000000001</v>
      </c>
      <c r="T7769">
        <v>-0.94907359999999996</v>
      </c>
      <c r="U7769">
        <v>-0.40925600000000001</v>
      </c>
      <c r="V7769">
        <v>5.6477430000000002E-2</v>
      </c>
      <c r="W7769">
        <v>3.5690649999999997E-2</v>
      </c>
      <c r="X7769">
        <v>0.99776569999999998</v>
      </c>
      <c r="Y7769">
        <v>0.1440611</v>
      </c>
      <c r="Z7769">
        <v>-2.726553E-2</v>
      </c>
      <c r="AA7769">
        <v>0.98919310000000005</v>
      </c>
      <c r="AB7769">
        <v>13</v>
      </c>
      <c r="AC7769">
        <v>0.54959999999999798</v>
      </c>
      <c r="AD7769">
        <v>-0.217315599999999</v>
      </c>
      <c r="AE7769">
        <v>-9.6200000000010194E-2</v>
      </c>
      <c r="AF7769">
        <v>9.1311060593627605E-2</v>
      </c>
      <c r="AG7769">
        <v>-0.217315599999999</v>
      </c>
      <c r="AH7769">
        <v>0.47578030359096901</v>
      </c>
      <c r="AI7769">
        <v>114.159566993938</v>
      </c>
      <c r="AJ7769">
        <v>79.135976176656499</v>
      </c>
      <c r="AK7769">
        <v>0.53097144657241901</v>
      </c>
      <c r="AL7769">
        <v>87.954641905642802</v>
      </c>
      <c r="AM7769">
        <v>86.760292478611603</v>
      </c>
      <c r="AN7769">
        <v>0.99999995734665703</v>
      </c>
    </row>
    <row r="7770" spans="1:40" x14ac:dyDescent="0.25">
      <c r="A7770" t="str">
        <f>"20190312154450747"</f>
        <v>20190312154450747</v>
      </c>
      <c r="B7770" t="str">
        <f>"1552376690735719"</f>
        <v>1552376690735719</v>
      </c>
      <c r="C7770" t="s">
        <v>40</v>
      </c>
      <c r="D7770">
        <v>5.2270300000000001</v>
      </c>
      <c r="E7770">
        <v>0.53990969999999905</v>
      </c>
      <c r="F7770" t="s">
        <v>41</v>
      </c>
      <c r="G7770">
        <v>-124.01009999999999</v>
      </c>
      <c r="H7770">
        <v>0.87151669999999903</v>
      </c>
      <c r="I7770">
        <v>139.7578</v>
      </c>
      <c r="J7770">
        <v>-124.66249999999999</v>
      </c>
      <c r="K7770">
        <v>1.1133519999999999</v>
      </c>
      <c r="L7770">
        <v>139.86439999999999</v>
      </c>
      <c r="M7770">
        <v>0.99932909999999997</v>
      </c>
      <c r="N7770">
        <v>0</v>
      </c>
      <c r="O7770">
        <v>1.647966E-2</v>
      </c>
      <c r="P7770">
        <v>0.99918589999999996</v>
      </c>
      <c r="Q7770">
        <v>3.3611679999999999E-3</v>
      </c>
      <c r="R7770">
        <v>-4.0205339999999999E-2</v>
      </c>
      <c r="S7770">
        <v>2.9888460000000001</v>
      </c>
      <c r="T7770">
        <v>-0.95111179999999995</v>
      </c>
      <c r="U7770">
        <v>-0.41105649999999999</v>
      </c>
      <c r="V7770">
        <v>5.6670959999999999E-2</v>
      </c>
      <c r="W7770">
        <v>3.6018990000000001E-2</v>
      </c>
      <c r="X7770">
        <v>0.99774300000000005</v>
      </c>
      <c r="Y7770">
        <v>0.14473749999999999</v>
      </c>
      <c r="Z7770">
        <v>-2.7475369999999999E-2</v>
      </c>
      <c r="AA7770">
        <v>0.98908850000000004</v>
      </c>
      <c r="AB7770">
        <v>12</v>
      </c>
      <c r="AC7770">
        <v>0.65239999999999998</v>
      </c>
      <c r="AD7770">
        <v>-0.2418353</v>
      </c>
      <c r="AE7770">
        <v>-0.106599999999986</v>
      </c>
      <c r="AF7770">
        <v>0.103491804524512</v>
      </c>
      <c r="AG7770">
        <v>-0.2418353</v>
      </c>
      <c r="AH7770">
        <v>0.57376411833238405</v>
      </c>
      <c r="AI7770">
        <v>112.52845244164</v>
      </c>
      <c r="AJ7770">
        <v>79.775302898115001</v>
      </c>
      <c r="AK7770">
        <v>0.63118945603960197</v>
      </c>
      <c r="AL7770">
        <v>87.935817453876197</v>
      </c>
      <c r="AM7770">
        <v>86.749141009494807</v>
      </c>
      <c r="AN7770">
        <v>1.0000000296984699</v>
      </c>
    </row>
    <row r="7771" spans="1:40" x14ac:dyDescent="0.25">
      <c r="A7771" t="str">
        <f>"20190312154450769"</f>
        <v>20190312154450769</v>
      </c>
      <c r="B7771" t="str">
        <f>"1552376690765000"</f>
        <v>1552376690765000</v>
      </c>
      <c r="C7771" t="s">
        <v>40</v>
      </c>
      <c r="D7771">
        <v>5.3122610000000003</v>
      </c>
      <c r="E7771">
        <v>0.53984390000000004</v>
      </c>
      <c r="F7771" t="s">
        <v>41</v>
      </c>
      <c r="G7771">
        <v>-123.9973</v>
      </c>
      <c r="H7771">
        <v>0.90189019999999998</v>
      </c>
      <c r="I7771">
        <v>139.77260000000001</v>
      </c>
      <c r="J7771">
        <v>-124.5487</v>
      </c>
      <c r="K7771">
        <v>1.113267</v>
      </c>
      <c r="L7771">
        <v>139.8665</v>
      </c>
      <c r="M7771">
        <v>0.99932030000000005</v>
      </c>
      <c r="N7771">
        <v>0</v>
      </c>
      <c r="O7771">
        <v>1.6645790000000001E-2</v>
      </c>
      <c r="P7771">
        <v>0.99918200000000001</v>
      </c>
      <c r="Q7771">
        <v>4.3525380000000004E-3</v>
      </c>
      <c r="R7771">
        <v>-4.0206909999999998E-2</v>
      </c>
      <c r="S7771">
        <v>2.9890590000000001</v>
      </c>
      <c r="T7771">
        <v>-0.95005580000000001</v>
      </c>
      <c r="U7771">
        <v>-0.41210940000000001</v>
      </c>
      <c r="V7771">
        <v>5.6838439999999997E-2</v>
      </c>
      <c r="W7771">
        <v>3.7196939999999998E-2</v>
      </c>
      <c r="X7771">
        <v>0.99769019999999997</v>
      </c>
      <c r="Y7771">
        <v>0.14522119999999999</v>
      </c>
      <c r="Z7771">
        <v>-2.7569900000000001E-2</v>
      </c>
      <c r="AA7771">
        <v>0.98901499999999998</v>
      </c>
      <c r="AB7771">
        <v>12</v>
      </c>
      <c r="AC7771">
        <v>0.551400000000001</v>
      </c>
      <c r="AD7771">
        <v>-0.2113768</v>
      </c>
      <c r="AE7771">
        <v>-9.3899999999990699E-2</v>
      </c>
      <c r="AF7771">
        <v>9.0190164661044001E-2</v>
      </c>
      <c r="AG7771">
        <v>-0.2113768</v>
      </c>
      <c r="AH7771">
        <v>0.48105853697914902</v>
      </c>
      <c r="AI7771">
        <v>113.35829577940601</v>
      </c>
      <c r="AJ7771">
        <v>79.381300980822502</v>
      </c>
      <c r="AK7771">
        <v>0.53313387941524204</v>
      </c>
      <c r="AL7771">
        <v>87.868280508310093</v>
      </c>
      <c r="AM7771">
        <v>86.739382246815396</v>
      </c>
      <c r="AN7771">
        <v>0.99999997789151795</v>
      </c>
    </row>
    <row r="7772" spans="1:40" x14ac:dyDescent="0.25">
      <c r="A7772" t="str">
        <f>"20190312154450792"</f>
        <v>20190312154450792</v>
      </c>
      <c r="B7772" t="str">
        <f>"1552376690785496"</f>
        <v>1552376690785496</v>
      </c>
      <c r="C7772" t="s">
        <v>40</v>
      </c>
      <c r="D7772">
        <v>5.2171810000000001</v>
      </c>
      <c r="E7772">
        <v>0.53979869999999996</v>
      </c>
      <c r="F7772" t="s">
        <v>41</v>
      </c>
      <c r="G7772">
        <v>-123.80070000000001</v>
      </c>
      <c r="H7772">
        <v>0.87634439999999902</v>
      </c>
      <c r="I7772">
        <v>139.76339999999999</v>
      </c>
      <c r="J7772">
        <v>-124.43380000000001</v>
      </c>
      <c r="K7772">
        <v>1.1132580000000001</v>
      </c>
      <c r="L7772">
        <v>139.86859999999999</v>
      </c>
      <c r="M7772">
        <v>0.99930529999999995</v>
      </c>
      <c r="N7772">
        <v>0</v>
      </c>
      <c r="O7772">
        <v>1.6817550000000001E-2</v>
      </c>
      <c r="P7772">
        <v>0.99919639999999998</v>
      </c>
      <c r="Q7772">
        <v>4.9180500000000002E-3</v>
      </c>
      <c r="R7772">
        <v>-3.9778870000000001E-2</v>
      </c>
      <c r="S7772">
        <v>2.9899900000000001</v>
      </c>
      <c r="T7772">
        <v>-0.94706579999999996</v>
      </c>
      <c r="U7772">
        <v>-0.4121552</v>
      </c>
      <c r="V7772">
        <v>5.6583149999999999E-2</v>
      </c>
      <c r="W7772">
        <v>3.8124680000000001E-2</v>
      </c>
      <c r="X7772">
        <v>0.99766969999999999</v>
      </c>
      <c r="Y7772">
        <v>0.14540029999999901</v>
      </c>
      <c r="Z7772">
        <v>-2.7559589999999998E-2</v>
      </c>
      <c r="AA7772">
        <v>0.98898900000000001</v>
      </c>
      <c r="AB7772">
        <v>12</v>
      </c>
      <c r="AC7772">
        <v>0.633099999999998</v>
      </c>
      <c r="AD7772">
        <v>-0.2369136</v>
      </c>
      <c r="AE7772">
        <v>-0.10519999999999601</v>
      </c>
      <c r="AF7772">
        <v>0.10194583196516301</v>
      </c>
      <c r="AG7772">
        <v>-0.2369136</v>
      </c>
      <c r="AH7772">
        <v>0.55553617819693801</v>
      </c>
      <c r="AI7772">
        <v>112.755863994956</v>
      </c>
      <c r="AJ7772">
        <v>79.601410466446296</v>
      </c>
      <c r="AK7772">
        <v>0.61248791972225003</v>
      </c>
      <c r="AL7772">
        <v>87.815087202658304</v>
      </c>
      <c r="AM7772">
        <v>86.753929377005804</v>
      </c>
      <c r="AN7772">
        <v>0.99999998719355698</v>
      </c>
    </row>
    <row r="7773" spans="1:40" x14ac:dyDescent="0.25">
      <c r="A7773" t="str">
        <f>"20190312154450811"</f>
        <v>20190312154450811</v>
      </c>
      <c r="B7773" t="str">
        <f>"1552376690805017"</f>
        <v>1552376690805017</v>
      </c>
      <c r="C7773" t="s">
        <v>40</v>
      </c>
      <c r="D7773">
        <v>5.2618519999999904</v>
      </c>
      <c r="E7773">
        <v>0.53965929999999995</v>
      </c>
      <c r="F7773" t="s">
        <v>41</v>
      </c>
      <c r="G7773">
        <v>-123.70050000000001</v>
      </c>
      <c r="H7773">
        <v>0.8814516</v>
      </c>
      <c r="I7773">
        <v>139.76779999999999</v>
      </c>
      <c r="J7773">
        <v>-124.34</v>
      </c>
      <c r="K7773">
        <v>1.1132409999999999</v>
      </c>
      <c r="L7773">
        <v>139.87029999999999</v>
      </c>
      <c r="M7773">
        <v>0.99929509999999999</v>
      </c>
      <c r="N7773">
        <v>0</v>
      </c>
      <c r="O7773">
        <v>1.6961899999999999E-2</v>
      </c>
      <c r="P7773">
        <v>0.99922500000000003</v>
      </c>
      <c r="Q7773">
        <v>5.8018669999999996E-3</v>
      </c>
      <c r="R7773">
        <v>-3.8931939999999998E-2</v>
      </c>
      <c r="S7773">
        <v>2.990723</v>
      </c>
      <c r="T7773">
        <v>-0.94545520000000005</v>
      </c>
      <c r="U7773">
        <v>-0.41050720000000002</v>
      </c>
      <c r="V7773">
        <v>5.588166E-2</v>
      </c>
      <c r="W7773">
        <v>3.9241079999999998E-2</v>
      </c>
      <c r="X7773">
        <v>0.99766589999999999</v>
      </c>
      <c r="Y7773">
        <v>0.14501600000000001</v>
      </c>
      <c r="Z7773">
        <v>-2.749484E-2</v>
      </c>
      <c r="AA7773">
        <v>0.98904720000000002</v>
      </c>
      <c r="AB7773">
        <v>11</v>
      </c>
      <c r="AC7773">
        <v>0.63949999999999796</v>
      </c>
      <c r="AD7773">
        <v>-0.23178939999999901</v>
      </c>
      <c r="AE7773">
        <v>-0.102499999999992</v>
      </c>
      <c r="AF7773">
        <v>0.100470008857099</v>
      </c>
      <c r="AG7773">
        <v>-0.23178939999999901</v>
      </c>
      <c r="AH7773">
        <v>0.56526744697657505</v>
      </c>
      <c r="AI7773">
        <v>111.985168588428</v>
      </c>
      <c r="AJ7773">
        <v>79.921561843392496</v>
      </c>
      <c r="AK7773">
        <v>0.61915089860511396</v>
      </c>
      <c r="AL7773">
        <v>87.751074161867393</v>
      </c>
      <c r="AM7773">
        <v>86.794075906294907</v>
      </c>
      <c r="AN7773">
        <v>0.99999993515336305</v>
      </c>
    </row>
    <row r="7774" spans="1:40" x14ac:dyDescent="0.25">
      <c r="A7774" t="str">
        <f>"20190312154450833"</f>
        <v>20190312154450833</v>
      </c>
      <c r="B7774" t="str">
        <f>"1552376690825043"</f>
        <v>1552376690825043</v>
      </c>
      <c r="C7774" t="s">
        <v>40</v>
      </c>
      <c r="D7774">
        <v>5.1505830000000001</v>
      </c>
      <c r="E7774">
        <v>0.53848369999999901</v>
      </c>
      <c r="F7774" t="s">
        <v>41</v>
      </c>
      <c r="G7774">
        <v>-123.6054</v>
      </c>
      <c r="H7774">
        <v>0.881654099999999</v>
      </c>
      <c r="I7774">
        <v>139.77029999999999</v>
      </c>
      <c r="J7774">
        <v>-124.23690000000001</v>
      </c>
      <c r="K7774">
        <v>1.113181</v>
      </c>
      <c r="L7774">
        <v>139.8723</v>
      </c>
      <c r="M7774">
        <v>0.99929290000000004</v>
      </c>
      <c r="N7774">
        <v>0</v>
      </c>
      <c r="O7774">
        <v>1.7119780000000001E-2</v>
      </c>
      <c r="P7774">
        <v>0.99923340000000005</v>
      </c>
      <c r="Q7774">
        <v>6.989309E-3</v>
      </c>
      <c r="R7774">
        <v>-3.8521550000000002E-2</v>
      </c>
      <c r="S7774">
        <v>2.991943</v>
      </c>
      <c r="T7774">
        <v>-0.94319030000000004</v>
      </c>
      <c r="U7774">
        <v>-0.40713500000000002</v>
      </c>
      <c r="V7774">
        <v>5.5629659999999997E-2</v>
      </c>
      <c r="W7774">
        <v>4.0415069999999997E-2</v>
      </c>
      <c r="X7774">
        <v>0.9976332</v>
      </c>
      <c r="Y7774">
        <v>0.14410049999999999</v>
      </c>
      <c r="Z7774">
        <v>-2.733149E-2</v>
      </c>
      <c r="AA7774">
        <v>0.9891856</v>
      </c>
      <c r="AB7774">
        <v>11</v>
      </c>
      <c r="AC7774">
        <v>0.63150000000000195</v>
      </c>
      <c r="AD7774">
        <v>-0.23152690000000001</v>
      </c>
      <c r="AE7774">
        <v>-0.102000000000003</v>
      </c>
      <c r="AF7774">
        <v>9.9736727880542095E-2</v>
      </c>
      <c r="AG7774">
        <v>-0.23152690000000001</v>
      </c>
      <c r="AH7774">
        <v>0.55672869578234496</v>
      </c>
      <c r="AI7774">
        <v>112.261898304377</v>
      </c>
      <c r="AJ7774">
        <v>79.843327716282701</v>
      </c>
      <c r="AK7774">
        <v>0.61114561359747799</v>
      </c>
      <c r="AL7774">
        <v>87.683756262829107</v>
      </c>
      <c r="AM7774">
        <v>86.808398769190006</v>
      </c>
      <c r="AN7774">
        <v>1.0000000193485299</v>
      </c>
    </row>
    <row r="7775" spans="1:40" x14ac:dyDescent="0.25">
      <c r="A7775" t="str">
        <f>"20190312154450854"</f>
        <v>20190312154450854</v>
      </c>
      <c r="B7775" t="str">
        <f>"1552376690845539"</f>
        <v>1552376690845539</v>
      </c>
      <c r="C7775" t="s">
        <v>40</v>
      </c>
      <c r="D7775">
        <v>5.2008850000000004</v>
      </c>
      <c r="E7775">
        <v>0.53848369999999901</v>
      </c>
      <c r="F7775" t="s">
        <v>41</v>
      </c>
      <c r="G7775">
        <v>-123.5102</v>
      </c>
      <c r="H7775">
        <v>0.88749230000000001</v>
      </c>
      <c r="I7775">
        <v>139.77600000000001</v>
      </c>
      <c r="J7775">
        <v>-124.1401</v>
      </c>
      <c r="K7775">
        <v>1.1130690000000001</v>
      </c>
      <c r="L7775">
        <v>139.8741</v>
      </c>
      <c r="M7775">
        <v>0.99930019999999997</v>
      </c>
      <c r="N7775">
        <v>0</v>
      </c>
      <c r="O7775">
        <v>1.7262369999999999E-2</v>
      </c>
      <c r="P7775">
        <v>0.99924990000000002</v>
      </c>
      <c r="Q7775">
        <v>8.0602729999999997E-3</v>
      </c>
      <c r="R7775">
        <v>-3.7874100000000001E-2</v>
      </c>
      <c r="S7775">
        <v>2.9935149999999999</v>
      </c>
      <c r="T7775">
        <v>-0.92971959999999998</v>
      </c>
      <c r="U7775">
        <v>-0.39654539999999999</v>
      </c>
      <c r="V7775">
        <v>5.5124970000000002E-2</v>
      </c>
      <c r="W7775">
        <v>4.1190240000000003E-2</v>
      </c>
      <c r="X7775">
        <v>0.99762949999999995</v>
      </c>
      <c r="Y7775">
        <v>0.14108370000000001</v>
      </c>
      <c r="Z7775">
        <v>-2.6538320000000001E-2</v>
      </c>
      <c r="AA7775">
        <v>0.98964189999999996</v>
      </c>
      <c r="AB7775">
        <v>11</v>
      </c>
      <c r="AC7775">
        <v>0.62990000000000601</v>
      </c>
      <c r="AD7775">
        <v>-0.22557669999999999</v>
      </c>
      <c r="AE7775">
        <v>-9.8099999999988002E-2</v>
      </c>
      <c r="AF7775">
        <v>9.6839676205373995E-2</v>
      </c>
      <c r="AG7775">
        <v>-0.22557669999999999</v>
      </c>
      <c r="AH7775">
        <v>0.55821752268614999</v>
      </c>
      <c r="AI7775">
        <v>111.710216266974</v>
      </c>
      <c r="AJ7775">
        <v>80.158267965868603</v>
      </c>
      <c r="AK7775">
        <v>0.609811096245644</v>
      </c>
      <c r="AL7775">
        <v>87.6393052504081</v>
      </c>
      <c r="AM7775">
        <v>86.8372832364131</v>
      </c>
      <c r="AN7775">
        <v>1.0000000087295</v>
      </c>
    </row>
    <row r="7776" spans="1:40" x14ac:dyDescent="0.25">
      <c r="A7776" t="str">
        <f>"20190312154450879"</f>
        <v>20190312154450879</v>
      </c>
      <c r="B7776" t="str">
        <f>"1552376690875795"</f>
        <v>1552376690875795</v>
      </c>
      <c r="C7776" t="s">
        <v>40</v>
      </c>
      <c r="D7776">
        <v>5.2332939999999999</v>
      </c>
      <c r="E7776">
        <v>0.49011640000000001</v>
      </c>
      <c r="F7776" t="s">
        <v>41</v>
      </c>
      <c r="G7776">
        <v>-123.4187</v>
      </c>
      <c r="H7776">
        <v>0.88986860000000001</v>
      </c>
      <c r="I7776">
        <v>139.7791</v>
      </c>
      <c r="J7776">
        <v>-124.0304</v>
      </c>
      <c r="K7776">
        <v>1.1129169999999999</v>
      </c>
      <c r="L7776">
        <v>139.87629999999999</v>
      </c>
      <c r="M7776">
        <v>0.99931530000000002</v>
      </c>
      <c r="N7776">
        <v>0</v>
      </c>
      <c r="O7776">
        <v>1.7419259999999999E-2</v>
      </c>
      <c r="P7776">
        <v>0.99927339999999998</v>
      </c>
      <c r="Q7776">
        <v>8.7502239999999992E-3</v>
      </c>
      <c r="R7776">
        <v>-3.7099269999999997E-2</v>
      </c>
      <c r="S7776">
        <v>2.9947810000000001</v>
      </c>
      <c r="T7776">
        <v>-0.92657330000000004</v>
      </c>
      <c r="U7776">
        <v>-0.3943024</v>
      </c>
      <c r="V7776">
        <v>5.4507279999999998E-2</v>
      </c>
      <c r="W7776">
        <v>4.134413E-2</v>
      </c>
      <c r="X7776">
        <v>0.99765709999999996</v>
      </c>
      <c r="Y7776">
        <v>0.1405276</v>
      </c>
      <c r="Z7776">
        <v>-2.6406550000000001E-2</v>
      </c>
      <c r="AA7776">
        <v>0.98972459999999995</v>
      </c>
      <c r="AB7776">
        <v>10</v>
      </c>
      <c r="AC7776">
        <v>0.61169999999999902</v>
      </c>
      <c r="AD7776">
        <v>-0.22304839999999901</v>
      </c>
      <c r="AE7776">
        <v>-9.7199999999986603E-2</v>
      </c>
      <c r="AF7776">
        <v>9.5465749558403507E-2</v>
      </c>
      <c r="AG7776">
        <v>-0.22304839999999901</v>
      </c>
      <c r="AH7776">
        <v>0.539896282068414</v>
      </c>
      <c r="AI7776">
        <v>112.137525484907</v>
      </c>
      <c r="AJ7776">
        <v>79.972473523881902</v>
      </c>
      <c r="AK7776">
        <v>0.59190564575158799</v>
      </c>
      <c r="AL7776">
        <v>87.630480547656802</v>
      </c>
      <c r="AM7776">
        <v>86.872737924206007</v>
      </c>
      <c r="AN7776">
        <v>1.00000003491943</v>
      </c>
    </row>
    <row r="7777" spans="1:40" x14ac:dyDescent="0.25">
      <c r="A7777" t="str">
        <f>"20190312154450927"</f>
        <v>20190312154450927</v>
      </c>
      <c r="B7777" t="str">
        <f>"1552376690915811"</f>
        <v>1552376690915811</v>
      </c>
      <c r="C7777" t="s">
        <v>40</v>
      </c>
      <c r="D7777">
        <v>5.1958789999999997</v>
      </c>
      <c r="E7777">
        <v>0.49050080000000001</v>
      </c>
      <c r="F7777" t="s">
        <v>41</v>
      </c>
      <c r="G7777">
        <v>-123.2677</v>
      </c>
      <c r="H7777">
        <v>1.0176540000000001</v>
      </c>
      <c r="I7777">
        <v>139.8708</v>
      </c>
      <c r="J7777">
        <v>-123.82210000000001</v>
      </c>
      <c r="K7777">
        <v>1.1127049999999901</v>
      </c>
      <c r="L7777">
        <v>139.88030000000001</v>
      </c>
      <c r="M7777">
        <v>0.99934800000000001</v>
      </c>
      <c r="N7777">
        <v>0</v>
      </c>
      <c r="O7777">
        <v>1.7722089999999999E-2</v>
      </c>
      <c r="P7777">
        <v>0.99927679999999997</v>
      </c>
      <c r="Q7777">
        <v>9.0961610000000002E-3</v>
      </c>
      <c r="R7777">
        <v>-3.6919680000000003E-2</v>
      </c>
      <c r="S7777">
        <v>3.0046840000000001</v>
      </c>
      <c r="T7777">
        <v>-0.3752819</v>
      </c>
      <c r="U7777">
        <v>-2.1255489999999998E-2</v>
      </c>
      <c r="V7777">
        <v>5.4631010000000001E-2</v>
      </c>
      <c r="W7777">
        <v>4.0504640000000001E-2</v>
      </c>
      <c r="X7777">
        <v>0.99768469999999998</v>
      </c>
      <c r="Y7777">
        <v>2.4475340000000002E-2</v>
      </c>
      <c r="Z7777">
        <v>-3.7284559999999998E-3</v>
      </c>
      <c r="AA7777">
        <v>0.99969350000000001</v>
      </c>
      <c r="AB7777">
        <v>10</v>
      </c>
      <c r="AC7777">
        <v>0.554400000000001</v>
      </c>
      <c r="AD7777">
        <v>-9.5050999999999705E-2</v>
      </c>
      <c r="AE7777">
        <v>-9.5000000000027198E-3</v>
      </c>
      <c r="AF7777">
        <v>1.8776726302879399E-2</v>
      </c>
      <c r="AG7777">
        <v>-9.5050999999999705E-2</v>
      </c>
      <c r="AH7777">
        <v>0.53832521590728799</v>
      </c>
      <c r="AI7777">
        <v>100.00742916206001</v>
      </c>
      <c r="AJ7777">
        <v>88.002339161600005</v>
      </c>
      <c r="AK7777">
        <v>0.54697467595244398</v>
      </c>
      <c r="AL7777">
        <v>87.678619952362197</v>
      </c>
      <c r="AM7777">
        <v>86.865739800797201</v>
      </c>
      <c r="AN7777">
        <v>0.99999996686461901</v>
      </c>
    </row>
    <row r="7778" spans="1:40" x14ac:dyDescent="0.25">
      <c r="A7778" t="str">
        <f>"20190312154450947"</f>
        <v>20190312154450947</v>
      </c>
      <c r="B7778" t="str">
        <f>"1552376690935837"</f>
        <v>1552376690935837</v>
      </c>
      <c r="C7778" t="s">
        <v>40</v>
      </c>
      <c r="D7778">
        <v>5.2223829999999998</v>
      </c>
      <c r="E7778">
        <v>0.4905294</v>
      </c>
      <c r="F7778" t="s">
        <v>41</v>
      </c>
      <c r="G7778">
        <v>-123.09529999999999</v>
      </c>
      <c r="H7778">
        <v>1.0238879999999999</v>
      </c>
      <c r="I7778">
        <v>139.87430000000001</v>
      </c>
      <c r="J7778">
        <v>-123.74169999999999</v>
      </c>
      <c r="K7778">
        <v>1.1126339999999999</v>
      </c>
      <c r="L7778">
        <v>139.8819</v>
      </c>
      <c r="M7778">
        <v>0.99936250000000004</v>
      </c>
      <c r="N7778">
        <v>0</v>
      </c>
      <c r="O7778">
        <v>1.7837249999999999E-2</v>
      </c>
      <c r="P7778">
        <v>0.99927790000000005</v>
      </c>
      <c r="Q7778">
        <v>9.0474849999999992E-3</v>
      </c>
      <c r="R7778">
        <v>-3.6904529999999998E-2</v>
      </c>
      <c r="S7778">
        <v>3.0046080000000002</v>
      </c>
      <c r="T7778">
        <v>-0.36726619999999999</v>
      </c>
      <c r="U7778">
        <v>-2.44751E-2</v>
      </c>
      <c r="V7778">
        <v>5.4730819999999999E-2</v>
      </c>
      <c r="W7778">
        <v>3.9927190000000001E-2</v>
      </c>
      <c r="X7778">
        <v>0.99770250000000005</v>
      </c>
      <c r="Y7778">
        <v>2.5665650000000002E-2</v>
      </c>
      <c r="Z7778">
        <v>-3.7359670000000002E-3</v>
      </c>
      <c r="AA7778">
        <v>0.99966359999999999</v>
      </c>
      <c r="AB7778">
        <v>10</v>
      </c>
      <c r="AC7778">
        <v>0.64639999999999898</v>
      </c>
      <c r="AD7778">
        <v>-8.87460000000002E-2</v>
      </c>
      <c r="AE7778">
        <v>-7.5999999999964898E-3</v>
      </c>
      <c r="AF7778">
        <v>1.87803584646286E-2</v>
      </c>
      <c r="AG7778">
        <v>-8.87460000000002E-2</v>
      </c>
      <c r="AH7778">
        <v>0.63420870536962604</v>
      </c>
      <c r="AI7778">
        <v>97.962335465624605</v>
      </c>
      <c r="AJ7778">
        <v>88.303837658196898</v>
      </c>
      <c r="AK7778">
        <v>0.64066312235579503</v>
      </c>
      <c r="AL7778">
        <v>87.711732175366507</v>
      </c>
      <c r="AM7778">
        <v>86.860080912655704</v>
      </c>
      <c r="AN7778">
        <v>0.99999996083270803</v>
      </c>
    </row>
    <row r="7779" spans="1:40" x14ac:dyDescent="0.25">
      <c r="A7779" t="str">
        <f>"20190312154450966"</f>
        <v>20190312154450966</v>
      </c>
      <c r="B7779" t="str">
        <f>"1552376690955358"</f>
        <v>1552376690955358</v>
      </c>
      <c r="C7779" t="s">
        <v>40</v>
      </c>
      <c r="D7779">
        <v>5.255827</v>
      </c>
      <c r="E7779">
        <v>0.49067810000000001</v>
      </c>
      <c r="F7779" t="s">
        <v>41</v>
      </c>
      <c r="G7779">
        <v>-123.0129</v>
      </c>
      <c r="H7779">
        <v>1.0257849999999999</v>
      </c>
      <c r="I7779">
        <v>139.8758</v>
      </c>
      <c r="J7779">
        <v>-123.66679999999999</v>
      </c>
      <c r="K7779">
        <v>1.1125769999999999</v>
      </c>
      <c r="L7779">
        <v>139.88329999999999</v>
      </c>
      <c r="M7779">
        <v>0.99937750000000003</v>
      </c>
      <c r="N7779">
        <v>0</v>
      </c>
      <c r="O7779">
        <v>1.7942159999999999E-2</v>
      </c>
      <c r="P7779">
        <v>0.99927160000000004</v>
      </c>
      <c r="Q7779">
        <v>9.4678739999999994E-3</v>
      </c>
      <c r="R7779">
        <v>-3.6968699999999903E-2</v>
      </c>
      <c r="S7779">
        <v>3.0045009999999999</v>
      </c>
      <c r="T7779">
        <v>-0.35807539999999999</v>
      </c>
      <c r="U7779">
        <v>-2.4871830000000001E-2</v>
      </c>
      <c r="V7779">
        <v>5.4899429999999999E-2</v>
      </c>
      <c r="W7779">
        <v>3.9791390000000003E-2</v>
      </c>
      <c r="X7779">
        <v>0.99769870000000005</v>
      </c>
      <c r="Y7779">
        <v>2.5915980000000002E-2</v>
      </c>
      <c r="Z7779">
        <v>-3.6705589999999999E-3</v>
      </c>
      <c r="AA7779">
        <v>0.99965740000000003</v>
      </c>
      <c r="AB7779">
        <v>9</v>
      </c>
      <c r="AC7779">
        <v>0.65389999999999204</v>
      </c>
      <c r="AD7779">
        <v>-8.6792000000000202E-2</v>
      </c>
      <c r="AE7779">
        <v>-7.4999999999931797E-3</v>
      </c>
      <c r="AF7779">
        <v>1.8903601837265801E-2</v>
      </c>
      <c r="AG7779">
        <v>-8.6792000000000202E-2</v>
      </c>
      <c r="AH7779">
        <v>0.64234518316630895</v>
      </c>
      <c r="AI7779">
        <v>97.691762643057203</v>
      </c>
      <c r="AJ7779">
        <v>88.314326759105896</v>
      </c>
      <c r="AK7779">
        <v>0.64845781031874405</v>
      </c>
      <c r="AL7779">
        <v>87.719519218023905</v>
      </c>
      <c r="AM7779">
        <v>86.850415193369301</v>
      </c>
      <c r="AN7779">
        <v>0.99999999905707304</v>
      </c>
    </row>
    <row r="7780" spans="1:40" x14ac:dyDescent="0.25">
      <c r="A7780" t="str">
        <f>"20190312154450991"</f>
        <v>20190312154450991</v>
      </c>
      <c r="B7780" t="str">
        <f>"1552376690985614"</f>
        <v>1552376690985614</v>
      </c>
      <c r="C7780" t="s">
        <v>40</v>
      </c>
      <c r="D7780">
        <v>5.2782559999999998</v>
      </c>
      <c r="E7780">
        <v>0.49078509999999997</v>
      </c>
      <c r="F7780" t="s">
        <v>41</v>
      </c>
      <c r="G7780">
        <v>-122.9328</v>
      </c>
      <c r="H7780">
        <v>1.026694</v>
      </c>
      <c r="I7780">
        <v>139.8768</v>
      </c>
      <c r="J7780">
        <v>-123.5701</v>
      </c>
      <c r="K7780">
        <v>1.1124830000000001</v>
      </c>
      <c r="L7780">
        <v>139.8852</v>
      </c>
      <c r="M7780">
        <v>0.99940130000000005</v>
      </c>
      <c r="N7780">
        <v>0</v>
      </c>
      <c r="O7780">
        <v>1.8078830000000001E-2</v>
      </c>
      <c r="P7780">
        <v>0.99927259999999996</v>
      </c>
      <c r="Q7780">
        <v>1.0691930000000001E-2</v>
      </c>
      <c r="R7780">
        <v>-3.6612369999999998E-2</v>
      </c>
      <c r="S7780">
        <v>3.0045320000000002</v>
      </c>
      <c r="T7780">
        <v>-0.35162680000000002</v>
      </c>
      <c r="U7780">
        <v>-2.6474000000000001E-2</v>
      </c>
      <c r="V7780">
        <v>5.467901E-2</v>
      </c>
      <c r="W7780">
        <v>4.0145880000000002E-2</v>
      </c>
      <c r="X7780">
        <v>0.99769660000000004</v>
      </c>
      <c r="Y7780">
        <v>2.659067E-2</v>
      </c>
      <c r="Z7780">
        <v>-3.6601009999999998E-3</v>
      </c>
      <c r="AA7780">
        <v>0.99963970000000002</v>
      </c>
      <c r="AB7780">
        <v>9</v>
      </c>
      <c r="AC7780">
        <v>0.63729999999999598</v>
      </c>
      <c r="AD7780">
        <v>-8.5788999999999893E-2</v>
      </c>
      <c r="AE7780">
        <v>-8.3999999999946305E-3</v>
      </c>
      <c r="AF7780">
        <v>1.9570706989932199E-2</v>
      </c>
      <c r="AG7780">
        <v>-8.5788999999999893E-2</v>
      </c>
      <c r="AH7780">
        <v>0.62570752416939601</v>
      </c>
      <c r="AI7780">
        <v>97.803217614909698</v>
      </c>
      <c r="AJ7780">
        <v>88.208502498058706</v>
      </c>
      <c r="AK7780">
        <v>0.63186444028389599</v>
      </c>
      <c r="AL7780">
        <v>87.699192186751105</v>
      </c>
      <c r="AM7780">
        <v>86.863028810812906</v>
      </c>
      <c r="AN7780">
        <v>0.99999999573355702</v>
      </c>
    </row>
    <row r="7781" spans="1:40" x14ac:dyDescent="0.25">
      <c r="A7781" t="str">
        <f>"20190312154451013"</f>
        <v>20190312154451013</v>
      </c>
      <c r="B7781" t="str">
        <f>"1552376691005134"</f>
        <v>1552376691005134</v>
      </c>
      <c r="C7781" t="s">
        <v>40</v>
      </c>
      <c r="D7781">
        <v>5.2673509999999997</v>
      </c>
      <c r="E7781">
        <v>0.49127929999999997</v>
      </c>
      <c r="F7781" t="s">
        <v>41</v>
      </c>
      <c r="G7781">
        <v>-122.7801</v>
      </c>
      <c r="H7781">
        <v>1.022292</v>
      </c>
      <c r="I7781">
        <v>139.87819999999999</v>
      </c>
      <c r="J7781">
        <v>-123.4829</v>
      </c>
      <c r="K7781">
        <v>1.1123730000000001</v>
      </c>
      <c r="L7781">
        <v>139.8869</v>
      </c>
      <c r="M7781">
        <v>0.99942620000000004</v>
      </c>
      <c r="N7781">
        <v>0</v>
      </c>
      <c r="O7781">
        <v>1.8205220000000001E-2</v>
      </c>
      <c r="P7781">
        <v>0.99928399999999995</v>
      </c>
      <c r="Q7781">
        <v>1.203102E-2</v>
      </c>
      <c r="R7781">
        <v>-3.5872050000000003E-2</v>
      </c>
      <c r="S7781">
        <v>3.0049130000000002</v>
      </c>
      <c r="T7781">
        <v>-0.3432113</v>
      </c>
      <c r="U7781">
        <v>-2.6367189999999999E-2</v>
      </c>
      <c r="V7781">
        <v>5.4065040000000002E-2</v>
      </c>
      <c r="W7781">
        <v>4.0551329999999997E-2</v>
      </c>
      <c r="X7781">
        <v>0.99771370000000004</v>
      </c>
      <c r="Y7781">
        <v>2.669291E-2</v>
      </c>
      <c r="Z7781">
        <v>-3.592783E-3</v>
      </c>
      <c r="AA7781">
        <v>0.9996372</v>
      </c>
      <c r="AB7781">
        <v>9</v>
      </c>
      <c r="AC7781">
        <v>0.70279999999999598</v>
      </c>
      <c r="AD7781">
        <v>-9.0080999999999994E-2</v>
      </c>
      <c r="AE7781">
        <v>-8.7000000000045895E-3</v>
      </c>
      <c r="AF7781">
        <v>2.1150978391429001E-2</v>
      </c>
      <c r="AG7781">
        <v>-9.0080999999999994E-2</v>
      </c>
      <c r="AH7781">
        <v>0.69117167637199595</v>
      </c>
      <c r="AI7781">
        <v>97.422117578574401</v>
      </c>
      <c r="AJ7781">
        <v>88.247202885075595</v>
      </c>
      <c r="AK7781">
        <v>0.69733796445252405</v>
      </c>
      <c r="AL7781">
        <v>87.675942766518105</v>
      </c>
      <c r="AM7781">
        <v>86.898236565221694</v>
      </c>
      <c r="AN7781">
        <v>1.0000000330413199</v>
      </c>
    </row>
    <row r="7782" spans="1:40" x14ac:dyDescent="0.25">
      <c r="A7782" t="str">
        <f>"20190312154451032"</f>
        <v>20190312154451032</v>
      </c>
      <c r="B7782" t="str">
        <f>"1552376691025160"</f>
        <v>1552376691025160</v>
      </c>
      <c r="C7782" t="s">
        <v>40</v>
      </c>
      <c r="D7782">
        <v>5.2508350000000004</v>
      </c>
      <c r="E7782">
        <v>0.49131140000000001</v>
      </c>
      <c r="F7782" t="s">
        <v>41</v>
      </c>
      <c r="G7782">
        <v>-122.70269999999999</v>
      </c>
      <c r="H7782">
        <v>1.025377</v>
      </c>
      <c r="I7782">
        <v>139.87960000000001</v>
      </c>
      <c r="J7782">
        <v>-123.4097</v>
      </c>
      <c r="K7782">
        <v>1.1122890000000001</v>
      </c>
      <c r="L7782">
        <v>139.88839999999999</v>
      </c>
      <c r="M7782">
        <v>0.99944789999999994</v>
      </c>
      <c r="N7782">
        <v>0</v>
      </c>
      <c r="O7782">
        <v>1.8313260000000001E-2</v>
      </c>
      <c r="P7782">
        <v>0.9992974</v>
      </c>
      <c r="Q7782">
        <v>1.32537E-2</v>
      </c>
      <c r="R7782">
        <v>-3.5060220000000003E-2</v>
      </c>
      <c r="S7782">
        <v>3.0051730000000001</v>
      </c>
      <c r="T7782">
        <v>-0.33515519999999999</v>
      </c>
      <c r="U7782">
        <v>-2.7893069999999999E-2</v>
      </c>
      <c r="V7782">
        <v>5.3361110000000003E-2</v>
      </c>
      <c r="W7782">
        <v>4.0935819999999998E-2</v>
      </c>
      <c r="X7782">
        <v>0.99773590000000001</v>
      </c>
      <c r="Y7782">
        <v>2.7316320000000002E-2</v>
      </c>
      <c r="Z7782">
        <v>-3.5552930000000002E-3</v>
      </c>
      <c r="AA7782">
        <v>0.99962050000000002</v>
      </c>
      <c r="AB7782">
        <v>9</v>
      </c>
      <c r="AC7782">
        <v>0.70700000000000696</v>
      </c>
      <c r="AD7782">
        <v>-8.6911999999999795E-2</v>
      </c>
      <c r="AE7782">
        <v>-8.7999999999794892E-3</v>
      </c>
      <c r="AF7782">
        <v>2.1427218956710601E-2</v>
      </c>
      <c r="AG7782">
        <v>-8.6911999999999795E-2</v>
      </c>
      <c r="AH7782">
        <v>0.69620079934158097</v>
      </c>
      <c r="AI7782">
        <v>97.1125181551743</v>
      </c>
      <c r="AJ7782">
        <v>88.237143948706503</v>
      </c>
      <c r="AK7782">
        <v>0.70193188733670897</v>
      </c>
      <c r="AL7782">
        <v>87.653894816141005</v>
      </c>
      <c r="AM7782">
        <v>86.938612368030505</v>
      </c>
      <c r="AN7782">
        <v>1.00000003778415</v>
      </c>
    </row>
    <row r="7783" spans="1:40" x14ac:dyDescent="0.25">
      <c r="A7783" t="str">
        <f>"20190312154451055"</f>
        <v>20190312154451055</v>
      </c>
      <c r="B7783" t="str">
        <f>"1552376691045657"</f>
        <v>1552376691045657</v>
      </c>
      <c r="C7783" t="s">
        <v>40</v>
      </c>
      <c r="D7783">
        <v>5.2660109999999998</v>
      </c>
      <c r="E7783">
        <v>0.49136289999999999</v>
      </c>
      <c r="F7783" t="s">
        <v>41</v>
      </c>
      <c r="G7783">
        <v>-122.62739999999999</v>
      </c>
      <c r="H7783">
        <v>1.0263770000000001</v>
      </c>
      <c r="I7783">
        <v>139.88159999999999</v>
      </c>
      <c r="J7783">
        <v>-123.327</v>
      </c>
      <c r="K7783">
        <v>1.1122080000000001</v>
      </c>
      <c r="L7783">
        <v>139.89009999999999</v>
      </c>
      <c r="M7783">
        <v>0.99947129999999995</v>
      </c>
      <c r="N7783">
        <v>0</v>
      </c>
      <c r="O7783">
        <v>1.8436029999999999E-2</v>
      </c>
      <c r="P7783">
        <v>0.99929029999999996</v>
      </c>
      <c r="Q7783">
        <v>1.491103E-2</v>
      </c>
      <c r="R7783">
        <v>-3.4597870000000003E-2</v>
      </c>
      <c r="S7783">
        <v>3.0055689999999999</v>
      </c>
      <c r="T7783">
        <v>-0.3301789</v>
      </c>
      <c r="U7783">
        <v>-2.5787350000000001E-2</v>
      </c>
      <c r="V7783">
        <v>5.3020749999999998E-2</v>
      </c>
      <c r="W7783">
        <v>4.1652849999999998E-2</v>
      </c>
      <c r="X7783">
        <v>0.99772439999999996</v>
      </c>
      <c r="Y7783">
        <v>2.67482E-2</v>
      </c>
      <c r="Z7783">
        <v>-3.4846579999999999E-3</v>
      </c>
      <c r="AA7783">
        <v>0.99963610000000003</v>
      </c>
      <c r="AB7783">
        <v>9</v>
      </c>
      <c r="AC7783">
        <v>0.69960000000001699</v>
      </c>
      <c r="AD7783">
        <v>-8.5830999999999893E-2</v>
      </c>
      <c r="AE7783">
        <v>-8.4999999999979502E-3</v>
      </c>
      <c r="AF7783">
        <v>2.1083727349274502E-2</v>
      </c>
      <c r="AG7783">
        <v>-8.5830999999999893E-2</v>
      </c>
      <c r="AH7783">
        <v>0.688955748691364</v>
      </c>
      <c r="AI7783">
        <v>97.098105208056893</v>
      </c>
      <c r="AJ7783">
        <v>88.247156361234204</v>
      </c>
      <c r="AK7783">
        <v>0.69460169001724703</v>
      </c>
      <c r="AL7783">
        <v>87.612777026321893</v>
      </c>
      <c r="AM7783">
        <v>86.958067423177297</v>
      </c>
      <c r="AN7783">
        <v>1.0000000690995201</v>
      </c>
    </row>
    <row r="7784" spans="1:40" x14ac:dyDescent="0.25">
      <c r="A7784" t="str">
        <f>"20190312154451077"</f>
        <v>20190312154451077</v>
      </c>
      <c r="B7784" t="str">
        <f>"1552376691065177"</f>
        <v>1552376691065177</v>
      </c>
      <c r="C7784" t="s">
        <v>40</v>
      </c>
      <c r="D7784">
        <v>5.2633650000000003</v>
      </c>
      <c r="E7784">
        <v>0.49148459999999999</v>
      </c>
      <c r="F7784" t="s">
        <v>41</v>
      </c>
      <c r="G7784">
        <v>-122.5527</v>
      </c>
      <c r="H7784">
        <v>1.0286139999999999</v>
      </c>
      <c r="I7784">
        <v>139.8837</v>
      </c>
      <c r="J7784">
        <v>-123.24420000000001</v>
      </c>
      <c r="K7784">
        <v>1.1121369999999999</v>
      </c>
      <c r="L7784">
        <v>139.89169999999999</v>
      </c>
      <c r="M7784">
        <v>0.99949330000000003</v>
      </c>
      <c r="N7784">
        <v>0</v>
      </c>
      <c r="O7784">
        <v>1.8558370000000001E-2</v>
      </c>
      <c r="P7784">
        <v>0.99926619999999999</v>
      </c>
      <c r="Q7784">
        <v>1.6482130000000001E-2</v>
      </c>
      <c r="R7784">
        <v>-3.4580519999999997E-2</v>
      </c>
      <c r="S7784">
        <v>3.006119</v>
      </c>
      <c r="T7784">
        <v>-0.32452819999999999</v>
      </c>
      <c r="U7784">
        <v>-2.4826049999999999E-2</v>
      </c>
      <c r="V7784">
        <v>5.3124709999999999E-2</v>
      </c>
      <c r="W7784">
        <v>4.2303640000000003E-2</v>
      </c>
      <c r="X7784">
        <v>0.99769140000000001</v>
      </c>
      <c r="Y7784">
        <v>2.6558579999999998E-2</v>
      </c>
      <c r="Z7784">
        <v>-3.4276689999999999E-3</v>
      </c>
      <c r="AA7784">
        <v>0.99964140000000001</v>
      </c>
      <c r="AB7784">
        <v>8</v>
      </c>
      <c r="AC7784">
        <v>0.691500000000004</v>
      </c>
      <c r="AD7784">
        <v>-8.3523000000000194E-2</v>
      </c>
      <c r="AE7784">
        <v>-7.9999999999813502E-3</v>
      </c>
      <c r="AF7784">
        <v>2.0536459378429999E-2</v>
      </c>
      <c r="AG7784">
        <v>-8.3523000000000194E-2</v>
      </c>
      <c r="AH7784">
        <v>0.68129418969435096</v>
      </c>
      <c r="AI7784">
        <v>96.986136615637307</v>
      </c>
      <c r="AJ7784">
        <v>88.273438575790095</v>
      </c>
      <c r="AK7784">
        <v>0.68670198092337298</v>
      </c>
      <c r="AL7784">
        <v>87.575456397637893</v>
      </c>
      <c r="AM7784">
        <v>86.952013590678405</v>
      </c>
      <c r="AN7784">
        <v>0.99999998120189604</v>
      </c>
    </row>
    <row r="7785" spans="1:40" x14ac:dyDescent="0.25">
      <c r="A7785" t="str">
        <f>"20190312154451102"</f>
        <v>20190312154451102</v>
      </c>
      <c r="B7785" t="str">
        <f>"1552376691095433"</f>
        <v>1552376691095433</v>
      </c>
      <c r="C7785" t="s">
        <v>40</v>
      </c>
      <c r="D7785">
        <v>5.2384370000000002</v>
      </c>
      <c r="E7785">
        <v>0.49164609999999898</v>
      </c>
      <c r="F7785" t="s">
        <v>41</v>
      </c>
      <c r="G7785">
        <v>-122.4786</v>
      </c>
      <c r="H7785">
        <v>1.0309189999999999</v>
      </c>
      <c r="I7785">
        <v>139.88509999999999</v>
      </c>
      <c r="J7785">
        <v>-123.1558</v>
      </c>
      <c r="K7785">
        <v>1.1120669999999999</v>
      </c>
      <c r="L7785">
        <v>139.89349999999999</v>
      </c>
      <c r="M7785">
        <v>0.99951579999999995</v>
      </c>
      <c r="N7785">
        <v>0</v>
      </c>
      <c r="O7785">
        <v>1.8688730000000001E-2</v>
      </c>
      <c r="P7785">
        <v>0.99923580000000001</v>
      </c>
      <c r="Q7785">
        <v>1.751604E-2</v>
      </c>
      <c r="R7785">
        <v>-3.4942050000000002E-2</v>
      </c>
      <c r="S7785">
        <v>3.0065919999999999</v>
      </c>
      <c r="T7785">
        <v>-0.31906649999999998</v>
      </c>
      <c r="U7785">
        <v>-2.5466920000000001E-2</v>
      </c>
      <c r="V7785">
        <v>5.3615620000000003E-2</v>
      </c>
      <c r="W7785">
        <v>4.2349369999999997E-2</v>
      </c>
      <c r="X7785">
        <v>0.99766319999999997</v>
      </c>
      <c r="Y7785">
        <v>2.6906380000000001E-2</v>
      </c>
      <c r="Z7785">
        <v>-3.4019300000000001E-3</v>
      </c>
      <c r="AA7785">
        <v>0.99963219999999997</v>
      </c>
      <c r="AB7785">
        <v>8</v>
      </c>
      <c r="AC7785">
        <v>0.67719999999999902</v>
      </c>
      <c r="AD7785">
        <v>-8.1147999999999706E-2</v>
      </c>
      <c r="AE7785">
        <v>-8.3999999999946305E-3</v>
      </c>
      <c r="AF7785">
        <v>2.0760407049203702E-2</v>
      </c>
      <c r="AG7785">
        <v>-8.1147999999999706E-2</v>
      </c>
      <c r="AH7785">
        <v>0.66734375932825796</v>
      </c>
      <c r="AI7785">
        <v>96.929723665556907</v>
      </c>
      <c r="AJ7785">
        <v>88.218159389288203</v>
      </c>
      <c r="AK7785">
        <v>0.67257987296619304</v>
      </c>
      <c r="AL7785">
        <v>87.572833913925905</v>
      </c>
      <c r="AM7785">
        <v>86.923815097228598</v>
      </c>
      <c r="AN7785">
        <v>0.99999998224080999</v>
      </c>
    </row>
    <row r="7786" spans="1:40" x14ac:dyDescent="0.25">
      <c r="A7786" t="str">
        <f>"20190312154451127"</f>
        <v>20190312154451127</v>
      </c>
      <c r="B7786" t="str">
        <f>"1552376691114953"</f>
        <v>1552376691114953</v>
      </c>
      <c r="C7786" t="s">
        <v>40</v>
      </c>
      <c r="D7786">
        <v>5.2029439999999996</v>
      </c>
      <c r="E7786">
        <v>0.4917607</v>
      </c>
      <c r="F7786" t="s">
        <v>41</v>
      </c>
      <c r="G7786">
        <v>-122.40479999999999</v>
      </c>
      <c r="H7786">
        <v>1.033274</v>
      </c>
      <c r="I7786">
        <v>139.88650000000001</v>
      </c>
      <c r="J7786">
        <v>-123.068</v>
      </c>
      <c r="K7786">
        <v>1.111988</v>
      </c>
      <c r="L7786">
        <v>139.89529999999999</v>
      </c>
      <c r="M7786">
        <v>0.99953789999999998</v>
      </c>
      <c r="N7786">
        <v>0</v>
      </c>
      <c r="O7786">
        <v>1.8817279999999999E-2</v>
      </c>
      <c r="P7786">
        <v>0.99922759999999999</v>
      </c>
      <c r="Q7786">
        <v>1.8174909999999999E-2</v>
      </c>
      <c r="R7786">
        <v>-3.4844069999999998E-2</v>
      </c>
      <c r="S7786">
        <v>3.006866</v>
      </c>
      <c r="T7786">
        <v>-0.31551659999999998</v>
      </c>
      <c r="U7786">
        <v>-2.7694699999999999E-2</v>
      </c>
      <c r="V7786">
        <v>5.3645279999999997E-2</v>
      </c>
      <c r="W7786">
        <v>4.2010649999999997E-2</v>
      </c>
      <c r="X7786">
        <v>0.99767600000000001</v>
      </c>
      <c r="Y7786">
        <v>2.7774489999999999E-2</v>
      </c>
      <c r="Z7786">
        <v>-3.4228010000000001E-3</v>
      </c>
      <c r="AA7786">
        <v>0.99960830000000001</v>
      </c>
      <c r="AB7786">
        <v>8</v>
      </c>
      <c r="AC7786">
        <v>0.66320000000000301</v>
      </c>
      <c r="AD7786">
        <v>-7.8713999999999895E-2</v>
      </c>
      <c r="AE7786">
        <v>-8.7999999999794892E-3</v>
      </c>
      <c r="AF7786">
        <v>2.0986042736669399E-2</v>
      </c>
      <c r="AG7786">
        <v>-7.8713999999999895E-2</v>
      </c>
      <c r="AH7786">
        <v>0.65370975487425598</v>
      </c>
      <c r="AI7786">
        <v>96.8624983250523</v>
      </c>
      <c r="AJ7786">
        <v>88.1612652185607</v>
      </c>
      <c r="AK7786">
        <v>0.65876608246289103</v>
      </c>
      <c r="AL7786">
        <v>87.592258605490997</v>
      </c>
      <c r="AM7786">
        <v>86.922156044800104</v>
      </c>
      <c r="AN7786">
        <v>1.0000000558778399</v>
      </c>
    </row>
    <row r="7787" spans="1:40" x14ac:dyDescent="0.25">
      <c r="A7787" t="str">
        <f>"20190312154451146"</f>
        <v>20190312154451146</v>
      </c>
      <c r="B7787" t="str">
        <f>"1552376691134980"</f>
        <v>1552376691134980</v>
      </c>
      <c r="C7787" t="s">
        <v>40</v>
      </c>
      <c r="D7787">
        <v>5.1350100000000003</v>
      </c>
      <c r="E7787">
        <v>0.49190070000000002</v>
      </c>
      <c r="F7787" t="s">
        <v>41</v>
      </c>
      <c r="G7787">
        <v>-122.3318</v>
      </c>
      <c r="H7787">
        <v>1.035323</v>
      </c>
      <c r="I7787">
        <v>139.88820000000001</v>
      </c>
      <c r="J7787">
        <v>-122.99720000000001</v>
      </c>
      <c r="K7787">
        <v>1.1119139999999901</v>
      </c>
      <c r="L7787">
        <v>139.89680000000001</v>
      </c>
      <c r="M7787">
        <v>0.99955490000000002</v>
      </c>
      <c r="N7787">
        <v>0</v>
      </c>
      <c r="O7787">
        <v>1.8921279999999999E-2</v>
      </c>
      <c r="P7787">
        <v>0.99921760000000004</v>
      </c>
      <c r="Q7787">
        <v>1.8477799999999999E-2</v>
      </c>
      <c r="R7787">
        <v>-3.4973850000000001E-2</v>
      </c>
      <c r="S7787">
        <v>3.0070190000000001</v>
      </c>
      <c r="T7787">
        <v>-0.31327300000000002</v>
      </c>
      <c r="U7787">
        <v>-2.8533940000000001E-2</v>
      </c>
      <c r="V7787">
        <v>5.387844E-2</v>
      </c>
      <c r="W7787">
        <v>4.1505170000000001E-2</v>
      </c>
      <c r="X7787">
        <v>0.99768449999999997</v>
      </c>
      <c r="Y7787">
        <v>2.8157649999999999E-2</v>
      </c>
      <c r="Z7787">
        <v>-3.4290940000000002E-3</v>
      </c>
      <c r="AA7787">
        <v>0.99959759999999998</v>
      </c>
      <c r="AB7787">
        <v>8</v>
      </c>
      <c r="AC7787">
        <v>0.66540000000000499</v>
      </c>
      <c r="AD7787">
        <v>-7.6590999999999798E-2</v>
      </c>
      <c r="AE7787">
        <v>-8.6000000000012698E-3</v>
      </c>
      <c r="AF7787">
        <v>2.0914969070426899E-2</v>
      </c>
      <c r="AG7787">
        <v>-7.6590999999999798E-2</v>
      </c>
      <c r="AH7787">
        <v>0.65642242403349105</v>
      </c>
      <c r="AI7787">
        <v>96.651801708197198</v>
      </c>
      <c r="AJ7787">
        <v>88.175055962463205</v>
      </c>
      <c r="AK7787">
        <v>0.66120648513624103</v>
      </c>
      <c r="AL7787">
        <v>87.621245538717105</v>
      </c>
      <c r="AM7787">
        <v>86.908830897286194</v>
      </c>
      <c r="AN7787">
        <v>0.99999996348690501</v>
      </c>
    </row>
    <row r="7788" spans="1:40" x14ac:dyDescent="0.25">
      <c r="A7788" t="str">
        <f>"20190312154451167"</f>
        <v>20190312154451167</v>
      </c>
      <c r="B7788" t="str">
        <f>"1552376691155475"</f>
        <v>1552376691155475</v>
      </c>
      <c r="C7788" t="s">
        <v>40</v>
      </c>
      <c r="D7788">
        <v>5.1271409999999999</v>
      </c>
      <c r="E7788">
        <v>0.49203459999999899</v>
      </c>
      <c r="F7788" t="s">
        <v>41</v>
      </c>
      <c r="G7788">
        <v>-122.2611</v>
      </c>
      <c r="H7788">
        <v>1.035568</v>
      </c>
      <c r="I7788">
        <v>139.88929999999999</v>
      </c>
      <c r="J7788">
        <v>-122.9259</v>
      </c>
      <c r="K7788">
        <v>1.111883</v>
      </c>
      <c r="L7788">
        <v>139.8982</v>
      </c>
      <c r="M7788">
        <v>0.99956800000000001</v>
      </c>
      <c r="N7788">
        <v>0</v>
      </c>
      <c r="O7788">
        <v>1.9024880000000001E-2</v>
      </c>
      <c r="P7788">
        <v>0.99921950000000004</v>
      </c>
      <c r="Q7788">
        <v>1.8290629999999999E-2</v>
      </c>
      <c r="R7788">
        <v>-3.5016419999999999E-2</v>
      </c>
      <c r="S7788">
        <v>3.0070649999999999</v>
      </c>
      <c r="T7788">
        <v>-0.31194850000000002</v>
      </c>
      <c r="U7788">
        <v>-3.0075069999999999E-2</v>
      </c>
      <c r="V7788">
        <v>5.4024500000000003E-2</v>
      </c>
      <c r="W7788">
        <v>4.0661389999999999E-2</v>
      </c>
      <c r="X7788">
        <v>0.99771140000000003</v>
      </c>
      <c r="Y7788">
        <v>2.8771370000000001E-2</v>
      </c>
      <c r="Z7788">
        <v>-3.4570550000000001E-3</v>
      </c>
      <c r="AA7788">
        <v>0.99958000000000002</v>
      </c>
      <c r="AB7788">
        <v>8</v>
      </c>
      <c r="AC7788">
        <v>0.66479999999999895</v>
      </c>
      <c r="AD7788">
        <v>-7.6314999999999897E-2</v>
      </c>
      <c r="AE7788">
        <v>-8.9000000000112305E-3</v>
      </c>
      <c r="AF7788">
        <v>2.1269077425115201E-2</v>
      </c>
      <c r="AG7788">
        <v>-7.6314999999999897E-2</v>
      </c>
      <c r="AH7788">
        <v>0.65586899400315002</v>
      </c>
      <c r="AI7788">
        <v>96.633468558400594</v>
      </c>
      <c r="AJ7788">
        <v>88.142614654925097</v>
      </c>
      <c r="AK7788">
        <v>0.660636428131403</v>
      </c>
      <c r="AL7788">
        <v>87.669631549252998</v>
      </c>
      <c r="AM7788">
        <v>86.900550716507993</v>
      </c>
      <c r="AN7788">
        <v>1.0000000164634699</v>
      </c>
    </row>
    <row r="7789" spans="1:40" x14ac:dyDescent="0.25">
      <c r="A7789" t="str">
        <f>"20190312154451189"</f>
        <v>20190312154451189</v>
      </c>
      <c r="B7789" t="str">
        <f>"1552376691174995"</f>
        <v>1552376691174995</v>
      </c>
      <c r="C7789" t="s">
        <v>40</v>
      </c>
      <c r="D7789">
        <v>5.1013320000000002</v>
      </c>
      <c r="E7789">
        <v>0.49215969999999998</v>
      </c>
      <c r="F7789" t="s">
        <v>41</v>
      </c>
      <c r="G7789">
        <v>-122.1914</v>
      </c>
      <c r="H7789">
        <v>1.0358689999999999</v>
      </c>
      <c r="I7789">
        <v>139.8905</v>
      </c>
      <c r="J7789">
        <v>-122.8485</v>
      </c>
      <c r="K7789">
        <v>1.111855</v>
      </c>
      <c r="L7789">
        <v>139.8998</v>
      </c>
      <c r="M7789">
        <v>0.99958040000000004</v>
      </c>
      <c r="N7789">
        <v>0</v>
      </c>
      <c r="O7789">
        <v>1.9136009999999998E-2</v>
      </c>
      <c r="P7789">
        <v>0.99923220000000001</v>
      </c>
      <c r="Q7789">
        <v>1.7853419999999998E-2</v>
      </c>
      <c r="R7789">
        <v>-3.488024E-2</v>
      </c>
      <c r="S7789">
        <v>3.0069430000000001</v>
      </c>
      <c r="T7789">
        <v>-0.3113242</v>
      </c>
      <c r="U7789">
        <v>-3.1112669999999999E-2</v>
      </c>
      <c r="V7789">
        <v>5.3999079999999998E-2</v>
      </c>
      <c r="W7789">
        <v>3.9562689999999998E-2</v>
      </c>
      <c r="X7789">
        <v>0.99775700000000001</v>
      </c>
      <c r="Y7789">
        <v>2.922549E-2</v>
      </c>
      <c r="Z7789">
        <v>-3.4852009999999998E-3</v>
      </c>
      <c r="AA7789">
        <v>0.99956679999999998</v>
      </c>
      <c r="AB7789">
        <v>8</v>
      </c>
      <c r="AC7789">
        <v>0.65709999999999902</v>
      </c>
      <c r="AD7789">
        <v>-7.5985999999999804E-2</v>
      </c>
      <c r="AE7789">
        <v>-9.2999999999960892E-3</v>
      </c>
      <c r="AF7789">
        <v>2.1586934383362E-2</v>
      </c>
      <c r="AG7789">
        <v>-7.5985999999999804E-2</v>
      </c>
      <c r="AH7789">
        <v>0.64813631438671204</v>
      </c>
      <c r="AI7789">
        <v>96.6830282662483</v>
      </c>
      <c r="AJ7789">
        <v>88.0924025286279</v>
      </c>
      <c r="AK7789">
        <v>0.65293227057548797</v>
      </c>
      <c r="AL7789">
        <v>87.732633248092498</v>
      </c>
      <c r="AM7789">
        <v>86.9021475607409</v>
      </c>
      <c r="AN7789">
        <v>1.00000006906493</v>
      </c>
    </row>
    <row r="7790" spans="1:40" x14ac:dyDescent="0.25">
      <c r="A7790" t="str">
        <f>"20190312154451212"</f>
        <v>20190312154451212</v>
      </c>
      <c r="B7790" t="str">
        <f>"1552376691205250"</f>
        <v>1552376691205250</v>
      </c>
      <c r="C7790" t="s">
        <v>40</v>
      </c>
      <c r="D7790">
        <v>5.0339369999999999</v>
      </c>
      <c r="E7790">
        <v>0.49221100000000001</v>
      </c>
      <c r="F7790" t="s">
        <v>41</v>
      </c>
      <c r="G7790">
        <v>-122.05800000000001</v>
      </c>
      <c r="H7790">
        <v>1.0298020000000001</v>
      </c>
      <c r="I7790">
        <v>139.89150000000001</v>
      </c>
      <c r="J7790">
        <v>-122.7717</v>
      </c>
      <c r="K7790">
        <v>1.1117939999999999</v>
      </c>
      <c r="L7790">
        <v>139.9014</v>
      </c>
      <c r="M7790">
        <v>0.99959419999999999</v>
      </c>
      <c r="N7790">
        <v>0</v>
      </c>
      <c r="O7790">
        <v>1.92465E-2</v>
      </c>
      <c r="P7790">
        <v>0.99923949999999995</v>
      </c>
      <c r="Q7790">
        <v>1.7537859999999999E-2</v>
      </c>
      <c r="R7790">
        <v>-3.4829359999999997E-2</v>
      </c>
      <c r="S7790">
        <v>3.0067900000000001</v>
      </c>
      <c r="T7790">
        <v>-0.31218410000000002</v>
      </c>
      <c r="U7790">
        <v>-3.1677249999999997E-2</v>
      </c>
      <c r="V7790">
        <v>5.4058460000000003E-2</v>
      </c>
      <c r="W7790">
        <v>3.8499680000000001E-2</v>
      </c>
      <c r="X7790">
        <v>0.99779530000000005</v>
      </c>
      <c r="Y7790">
        <v>2.952024E-2</v>
      </c>
      <c r="Z7790">
        <v>-3.521621E-3</v>
      </c>
      <c r="AA7790">
        <v>0.99955799999999995</v>
      </c>
      <c r="AB7790">
        <v>8</v>
      </c>
      <c r="AC7790">
        <v>0.713700000000002</v>
      </c>
      <c r="AD7790">
        <v>-8.1991999999999801E-2</v>
      </c>
      <c r="AE7790">
        <v>-9.8999999999875802E-3</v>
      </c>
      <c r="AF7790">
        <v>2.3329575403194601E-2</v>
      </c>
      <c r="AG7790">
        <v>-8.1991999999999801E-2</v>
      </c>
      <c r="AH7790">
        <v>0.70408634238133905</v>
      </c>
      <c r="AI7790">
        <v>96.638658581812194</v>
      </c>
      <c r="AJ7790">
        <v>88.102225155530206</v>
      </c>
      <c r="AK7790">
        <v>0.70922812597952301</v>
      </c>
      <c r="AL7790">
        <v>87.793585530552505</v>
      </c>
      <c r="AM7790">
        <v>86.898866466424394</v>
      </c>
      <c r="AN7790">
        <v>1.00000000157988</v>
      </c>
    </row>
    <row r="7791" spans="1:40" x14ac:dyDescent="0.25">
      <c r="A7791" t="str">
        <f>"20190312154451235"</f>
        <v>20190312154451235</v>
      </c>
      <c r="B7791" t="str">
        <f>"1552376691225280"</f>
        <v>1552376691225280</v>
      </c>
      <c r="C7791" t="s">
        <v>40</v>
      </c>
      <c r="D7791">
        <v>5.0339210000000003</v>
      </c>
      <c r="E7791">
        <v>0.49227510000000002</v>
      </c>
      <c r="F7791" t="s">
        <v>41</v>
      </c>
      <c r="G7791">
        <v>-121.9893</v>
      </c>
      <c r="H7791">
        <v>1.0305500000000001</v>
      </c>
      <c r="I7791">
        <v>139.893</v>
      </c>
      <c r="J7791">
        <v>-122.6935</v>
      </c>
      <c r="K7791">
        <v>1.1117269999999999</v>
      </c>
      <c r="L7791">
        <v>139.90309999999999</v>
      </c>
      <c r="M7791">
        <v>0.99960819999999995</v>
      </c>
      <c r="N7791">
        <v>0</v>
      </c>
      <c r="O7791">
        <v>1.9360180000000001E-2</v>
      </c>
      <c r="P7791">
        <v>0.99923499999999998</v>
      </c>
      <c r="Q7791">
        <v>1.7903720000000001E-2</v>
      </c>
      <c r="R7791">
        <v>-3.4778570000000002E-2</v>
      </c>
      <c r="S7791">
        <v>3.006653</v>
      </c>
      <c r="T7791">
        <v>-0.31223820000000002</v>
      </c>
      <c r="U7791">
        <v>-3.207397E-2</v>
      </c>
      <c r="V7791">
        <v>5.4120639999999998E-2</v>
      </c>
      <c r="W7791">
        <v>3.808752E-2</v>
      </c>
      <c r="X7791">
        <v>0.99780769999999996</v>
      </c>
      <c r="Y7791">
        <v>2.9763919999999999E-2</v>
      </c>
      <c r="Z7791">
        <v>-3.5467469999999998E-3</v>
      </c>
      <c r="AA7791">
        <v>0.99955059999999996</v>
      </c>
      <c r="AB7791">
        <v>8</v>
      </c>
      <c r="AC7791">
        <v>0.70420000000000005</v>
      </c>
      <c r="AD7791">
        <v>-8.1176999999999999E-2</v>
      </c>
      <c r="AE7791">
        <v>-1.00999999999942E-2</v>
      </c>
      <c r="AF7791">
        <v>2.34231384290212E-2</v>
      </c>
      <c r="AG7791">
        <v>-8.1176999999999999E-2</v>
      </c>
      <c r="AH7791">
        <v>0.69464355322822802</v>
      </c>
      <c r="AI7791">
        <v>96.661678816561306</v>
      </c>
      <c r="AJ7791">
        <v>88.068738026928202</v>
      </c>
      <c r="AK7791">
        <v>0.69976282752401398</v>
      </c>
      <c r="AL7791">
        <v>87.817217789991005</v>
      </c>
      <c r="AM7791">
        <v>86.895344911906406</v>
      </c>
      <c r="AN7791">
        <v>0.99999995451652401</v>
      </c>
    </row>
    <row r="7792" spans="1:40" x14ac:dyDescent="0.25">
      <c r="A7792" t="str">
        <f>"20190312154451256"</f>
        <v>20190312154451256</v>
      </c>
      <c r="B7792" t="str">
        <f>"1552376691245776"</f>
        <v>1552376691245776</v>
      </c>
      <c r="C7792" t="s">
        <v>40</v>
      </c>
      <c r="D7792">
        <v>5.0111129999999999</v>
      </c>
      <c r="E7792">
        <v>0.49236049999999998</v>
      </c>
      <c r="F7792" t="s">
        <v>41</v>
      </c>
      <c r="G7792">
        <v>-121.9207</v>
      </c>
      <c r="H7792">
        <v>1.0320009999999999</v>
      </c>
      <c r="I7792">
        <v>139.8946</v>
      </c>
      <c r="J7792">
        <v>-122.6199</v>
      </c>
      <c r="K7792">
        <v>1.1116900000000001</v>
      </c>
      <c r="L7792">
        <v>139.90459999999999</v>
      </c>
      <c r="M7792">
        <v>0.99961880000000003</v>
      </c>
      <c r="N7792">
        <v>0</v>
      </c>
      <c r="O7792">
        <v>1.9467950000000001E-2</v>
      </c>
      <c r="P7792">
        <v>0.99923010000000001</v>
      </c>
      <c r="Q7792">
        <v>1.8267780000000001E-2</v>
      </c>
      <c r="R7792">
        <v>-3.4723520000000001E-2</v>
      </c>
      <c r="S7792">
        <v>3.0067439999999999</v>
      </c>
      <c r="T7792">
        <v>-0.31026530000000002</v>
      </c>
      <c r="U7792">
        <v>-3.2547E-2</v>
      </c>
      <c r="V7792">
        <v>5.4173260000000001E-2</v>
      </c>
      <c r="W7792">
        <v>3.7815439999999999E-2</v>
      </c>
      <c r="X7792">
        <v>0.99781529999999996</v>
      </c>
      <c r="Y7792">
        <v>3.0029699999999999E-2</v>
      </c>
      <c r="Z7792">
        <v>-3.5490890000000001E-3</v>
      </c>
      <c r="AA7792">
        <v>0.99954270000000001</v>
      </c>
      <c r="AB7792">
        <v>8</v>
      </c>
      <c r="AC7792">
        <v>0.69920000000000404</v>
      </c>
      <c r="AD7792">
        <v>-7.9689000000000093E-2</v>
      </c>
      <c r="AE7792">
        <v>-9.9999999999908998E-3</v>
      </c>
      <c r="AF7792">
        <v>2.3309979807612499E-2</v>
      </c>
      <c r="AG7792">
        <v>-7.9689000000000093E-2</v>
      </c>
      <c r="AH7792">
        <v>0.68991289960327995</v>
      </c>
      <c r="AI7792">
        <v>96.585077005324806</v>
      </c>
      <c r="AJ7792">
        <v>88.064892528402098</v>
      </c>
      <c r="AK7792">
        <v>0.69489099930754294</v>
      </c>
      <c r="AL7792">
        <v>87.832818296579504</v>
      </c>
      <c r="AM7792">
        <v>86.892355879124693</v>
      </c>
      <c r="AN7792">
        <v>1.00000006125775</v>
      </c>
    </row>
    <row r="7793" spans="1:40" x14ac:dyDescent="0.25">
      <c r="A7793" t="str">
        <f>"20190312154451278"</f>
        <v>20190312154451278</v>
      </c>
      <c r="B7793" t="str">
        <f>"1552376691265296"</f>
        <v>1552376691265296</v>
      </c>
      <c r="C7793" t="s">
        <v>40</v>
      </c>
      <c r="D7793">
        <v>4.9968769999999996</v>
      </c>
      <c r="E7793">
        <v>0.49238939999999998</v>
      </c>
      <c r="F7793" t="s">
        <v>41</v>
      </c>
      <c r="G7793">
        <v>-121.85290000000001</v>
      </c>
      <c r="H7793">
        <v>1.0330600000000001</v>
      </c>
      <c r="I7793">
        <v>139.89619999999999</v>
      </c>
      <c r="J7793">
        <v>-122.5459</v>
      </c>
      <c r="K7793">
        <v>1.1116779999999999</v>
      </c>
      <c r="L7793">
        <v>139.90620000000001</v>
      </c>
      <c r="M7793">
        <v>0.99962689999999998</v>
      </c>
      <c r="N7793">
        <v>0</v>
      </c>
      <c r="O7793">
        <v>1.957598E-2</v>
      </c>
      <c r="P7793">
        <v>0.99924919999999995</v>
      </c>
      <c r="Q7793">
        <v>1.8388169999999999E-2</v>
      </c>
      <c r="R7793">
        <v>-3.4104910000000002E-2</v>
      </c>
      <c r="S7793">
        <v>3.0068049999999999</v>
      </c>
      <c r="T7793">
        <v>-0.3083031</v>
      </c>
      <c r="U7793">
        <v>-3.3065799999999999E-2</v>
      </c>
      <c r="V7793">
        <v>5.3662700000000001E-2</v>
      </c>
      <c r="W7793">
        <v>3.7405649999999999E-2</v>
      </c>
      <c r="X7793">
        <v>0.99785829999999998</v>
      </c>
      <c r="Y7793">
        <v>3.0311009999999999E-2</v>
      </c>
      <c r="Z7793">
        <v>-3.5520999999999999E-3</v>
      </c>
      <c r="AA7793">
        <v>0.99953420000000004</v>
      </c>
      <c r="AB7793">
        <v>8</v>
      </c>
      <c r="AC7793">
        <v>0.69299999999999695</v>
      </c>
      <c r="AD7793">
        <v>-7.8617999999999993E-2</v>
      </c>
      <c r="AE7793">
        <v>-1.0000000000019301E-2</v>
      </c>
      <c r="AF7793">
        <v>2.32673117697192E-2</v>
      </c>
      <c r="AG7793">
        <v>-7.8617999999999993E-2</v>
      </c>
      <c r="AH7793">
        <v>0.68387178176815</v>
      </c>
      <c r="AI7793">
        <v>96.554183435081995</v>
      </c>
      <c r="AJ7793">
        <v>88.051382189265794</v>
      </c>
      <c r="AK7793">
        <v>0.68876902632140302</v>
      </c>
      <c r="AL7793">
        <v>87.856314084238093</v>
      </c>
      <c r="AM7793">
        <v>86.921719907986599</v>
      </c>
      <c r="AN7793">
        <v>1.0000000274510501</v>
      </c>
    </row>
    <row r="7794" spans="1:40" x14ac:dyDescent="0.25">
      <c r="A7794" t="str">
        <f>"20190312154451303"</f>
        <v>20190312154451303</v>
      </c>
      <c r="B7794" t="str">
        <f>"1552376691295552"</f>
        <v>1552376691295552</v>
      </c>
      <c r="C7794" t="s">
        <v>40</v>
      </c>
      <c r="D7794">
        <v>4.9472839999999998</v>
      </c>
      <c r="E7794">
        <v>0.49242360000000002</v>
      </c>
      <c r="F7794" t="s">
        <v>41</v>
      </c>
      <c r="G7794">
        <v>-121.78570000000001</v>
      </c>
      <c r="H7794">
        <v>1.0341149999999999</v>
      </c>
      <c r="I7794">
        <v>139.8982</v>
      </c>
      <c r="J7794">
        <v>-122.46339999999999</v>
      </c>
      <c r="K7794">
        <v>1.1116649999999999</v>
      </c>
      <c r="L7794">
        <v>139.90799999999999</v>
      </c>
      <c r="M7794">
        <v>0.99963469999999999</v>
      </c>
      <c r="N7794">
        <v>0</v>
      </c>
      <c r="O7794">
        <v>1.9696600000000002E-2</v>
      </c>
      <c r="P7794">
        <v>0.99924400000000002</v>
      </c>
      <c r="Q7794">
        <v>1.9454160000000002E-2</v>
      </c>
      <c r="R7794">
        <v>-3.3663020000000002E-2</v>
      </c>
      <c r="S7794">
        <v>3.006821</v>
      </c>
      <c r="T7794">
        <v>-0.30690719999999999</v>
      </c>
      <c r="U7794">
        <v>-3.1356809999999999E-2</v>
      </c>
      <c r="V7794">
        <v>5.3341270000000003E-2</v>
      </c>
      <c r="W7794">
        <v>3.7935509999999999E-2</v>
      </c>
      <c r="X7794">
        <v>0.99785550000000001</v>
      </c>
      <c r="Y7794">
        <v>2.9867370000000001E-2</v>
      </c>
      <c r="Z7794">
        <v>-3.5257679999999999E-3</v>
      </c>
      <c r="AA7794">
        <v>0.99954770000000004</v>
      </c>
      <c r="AB7794">
        <v>8</v>
      </c>
      <c r="AC7794">
        <v>0.67769999999998698</v>
      </c>
      <c r="AD7794">
        <v>-7.7549999999999994E-2</v>
      </c>
      <c r="AE7794">
        <v>-9.7999999999842605E-3</v>
      </c>
      <c r="AF7794">
        <v>2.2849628854577801E-2</v>
      </c>
      <c r="AG7794">
        <v>-7.7549999999999994E-2</v>
      </c>
      <c r="AH7794">
        <v>0.66862198913307302</v>
      </c>
      <c r="AI7794">
        <v>96.612053908211493</v>
      </c>
      <c r="AJ7794">
        <v>88.042723663793197</v>
      </c>
      <c r="AK7794">
        <v>0.67349199875801002</v>
      </c>
      <c r="AL7794">
        <v>87.825933711953198</v>
      </c>
      <c r="AM7794">
        <v>86.940114543084903</v>
      </c>
      <c r="AN7794">
        <v>0.99999999644221105</v>
      </c>
    </row>
    <row r="7795" spans="1:40" x14ac:dyDescent="0.25">
      <c r="A7795" t="str">
        <f>"20190312154451326"</f>
        <v>20190312154451326</v>
      </c>
      <c r="B7795" t="str">
        <f>"1552376691315072"</f>
        <v>1552376691315072</v>
      </c>
      <c r="C7795" t="s">
        <v>40</v>
      </c>
      <c r="D7795">
        <v>4.9488580000000004</v>
      </c>
      <c r="E7795">
        <v>0.4924753</v>
      </c>
      <c r="F7795" t="s">
        <v>41</v>
      </c>
      <c r="G7795">
        <v>-121.718</v>
      </c>
      <c r="H7795">
        <v>1.0364249999999999</v>
      </c>
      <c r="I7795">
        <v>139.90039999999999</v>
      </c>
      <c r="J7795">
        <v>-122.3877</v>
      </c>
      <c r="K7795">
        <v>1.111637</v>
      </c>
      <c r="L7795">
        <v>139.90960000000001</v>
      </c>
      <c r="M7795">
        <v>0.99964120000000001</v>
      </c>
      <c r="N7795">
        <v>0</v>
      </c>
      <c r="O7795">
        <v>1.980753E-2</v>
      </c>
      <c r="P7795">
        <v>0.99922929999999999</v>
      </c>
      <c r="Q7795">
        <v>2.037692E-2</v>
      </c>
      <c r="R7795">
        <v>-3.3551560000000001E-2</v>
      </c>
      <c r="S7795">
        <v>3.0071560000000002</v>
      </c>
      <c r="T7795">
        <v>-0.30360399999999998</v>
      </c>
      <c r="U7795">
        <v>-3.0288700000000002E-2</v>
      </c>
      <c r="V7795">
        <v>5.3340169999999999E-2</v>
      </c>
      <c r="W7795">
        <v>3.837579E-2</v>
      </c>
      <c r="X7795">
        <v>0.99783869999999997</v>
      </c>
      <c r="Y7795">
        <v>2.9628160000000001E-2</v>
      </c>
      <c r="Z7795">
        <v>-3.4867420000000001E-3</v>
      </c>
      <c r="AA7795">
        <v>0.99955490000000002</v>
      </c>
      <c r="AB7795">
        <v>7</v>
      </c>
      <c r="AC7795">
        <v>0.66970000000000596</v>
      </c>
      <c r="AD7795">
        <v>-7.5212000000000001E-2</v>
      </c>
      <c r="AE7795">
        <v>-9.2000000000211895E-3</v>
      </c>
      <c r="AF7795">
        <v>2.2185682138323101E-2</v>
      </c>
      <c r="AG7795">
        <v>-7.5212000000000001E-2</v>
      </c>
      <c r="AH7795">
        <v>0.66105014925854499</v>
      </c>
      <c r="AI7795">
        <v>96.487381430761801</v>
      </c>
      <c r="AJ7795">
        <v>88.077802387050994</v>
      </c>
      <c r="AK7795">
        <v>0.66568487234628304</v>
      </c>
      <c r="AL7795">
        <v>87.800689091613194</v>
      </c>
      <c r="AM7795">
        <v>86.940126105460493</v>
      </c>
      <c r="AN7795">
        <v>0.99999997310572097</v>
      </c>
    </row>
    <row r="7796" spans="1:40" x14ac:dyDescent="0.25">
      <c r="A7796" t="str">
        <f>"20190312154451346"</f>
        <v>20190312154451346</v>
      </c>
      <c r="B7796" t="str">
        <f>"1552376691335099"</f>
        <v>1552376691335099</v>
      </c>
      <c r="C7796" t="s">
        <v>40</v>
      </c>
      <c r="D7796">
        <v>4.9539580000000001</v>
      </c>
      <c r="E7796">
        <v>0.4923555</v>
      </c>
      <c r="F7796" t="s">
        <v>41</v>
      </c>
      <c r="G7796">
        <v>-121.6508</v>
      </c>
      <c r="H7796">
        <v>1.038122</v>
      </c>
      <c r="I7796">
        <v>139.90199999999999</v>
      </c>
      <c r="J7796">
        <v>-122.3192</v>
      </c>
      <c r="K7796">
        <v>1.1116079999999999</v>
      </c>
      <c r="L7796">
        <v>139.9111</v>
      </c>
      <c r="M7796">
        <v>0.9996467</v>
      </c>
      <c r="N7796">
        <v>0</v>
      </c>
      <c r="O7796">
        <v>1.9907399999999999E-2</v>
      </c>
      <c r="P7796">
        <v>0.99923689999999998</v>
      </c>
      <c r="Q7796">
        <v>2.0777569999999999E-2</v>
      </c>
      <c r="R7796">
        <v>-3.3081289999999999E-2</v>
      </c>
      <c r="S7796">
        <v>3.0074160000000001</v>
      </c>
      <c r="T7796">
        <v>-0.3001606</v>
      </c>
      <c r="U7796">
        <v>-3.0334469999999999E-2</v>
      </c>
      <c r="V7796">
        <v>5.2969790000000003E-2</v>
      </c>
      <c r="W7796">
        <v>3.8365789999999997E-2</v>
      </c>
      <c r="X7796">
        <v>0.99785880000000005</v>
      </c>
      <c r="Y7796">
        <v>2.9746829999999998E-2</v>
      </c>
      <c r="Z7796">
        <v>-3.4629330000000001E-3</v>
      </c>
      <c r="AA7796">
        <v>0.99955150000000004</v>
      </c>
      <c r="AB7796">
        <v>7</v>
      </c>
      <c r="AC7796">
        <v>0.668399999999991</v>
      </c>
      <c r="AD7796">
        <v>-7.3485999999999899E-2</v>
      </c>
      <c r="AE7796">
        <v>-9.0999999999894499E-3</v>
      </c>
      <c r="AF7796">
        <v>2.2138813081468998E-2</v>
      </c>
      <c r="AG7796">
        <v>-7.3485999999999899E-2</v>
      </c>
      <c r="AH7796">
        <v>0.66010873254719604</v>
      </c>
      <c r="AI7796">
        <v>96.348704744531304</v>
      </c>
      <c r="AJ7796">
        <v>88.079126634122701</v>
      </c>
      <c r="AK7796">
        <v>0.66455538371585099</v>
      </c>
      <c r="AL7796">
        <v>87.801262439803693</v>
      </c>
      <c r="AM7796">
        <v>86.961394195144194</v>
      </c>
      <c r="AN7796">
        <v>0.99999995861620306</v>
      </c>
    </row>
    <row r="7797" spans="1:40" x14ac:dyDescent="0.25">
      <c r="A7797" t="str">
        <f>"20190312154451368"</f>
        <v>20190312154451368</v>
      </c>
      <c r="B7797" t="str">
        <f>"1552376691355596"</f>
        <v>1552376691355596</v>
      </c>
      <c r="C7797" t="s">
        <v>40</v>
      </c>
      <c r="D7797">
        <v>4.8884119999999998</v>
      </c>
      <c r="E7797">
        <v>0.45761269999999998</v>
      </c>
      <c r="F7797" t="s">
        <v>41</v>
      </c>
      <c r="G7797">
        <v>-121.5849</v>
      </c>
      <c r="H7797">
        <v>1.0385690000000001</v>
      </c>
      <c r="I7797">
        <v>139.9042</v>
      </c>
      <c r="J7797">
        <v>-122.2509</v>
      </c>
      <c r="K7797">
        <v>1.1115839999999999</v>
      </c>
      <c r="L7797">
        <v>139.91249999999999</v>
      </c>
      <c r="M7797">
        <v>0.99965099999999996</v>
      </c>
      <c r="N7797">
        <v>0</v>
      </c>
      <c r="O7797">
        <v>2.000675E-2</v>
      </c>
      <c r="P7797">
        <v>0.99922040000000001</v>
      </c>
      <c r="Q7797">
        <v>2.1252259999999999E-2</v>
      </c>
      <c r="R7797">
        <v>-3.327484E-2</v>
      </c>
      <c r="S7797">
        <v>3.0075989999999999</v>
      </c>
      <c r="T7797">
        <v>-0.299149</v>
      </c>
      <c r="U7797">
        <v>-2.8091430000000001E-2</v>
      </c>
      <c r="V7797">
        <v>5.3262049999999998E-2</v>
      </c>
      <c r="W7797">
        <v>3.8479670000000001E-2</v>
      </c>
      <c r="X7797">
        <v>0.99783889999999997</v>
      </c>
      <c r="Y7797">
        <v>2.9104399999999999E-2</v>
      </c>
      <c r="Z7797">
        <v>-3.4290929999999998E-3</v>
      </c>
      <c r="AA7797">
        <v>0.99957050000000003</v>
      </c>
      <c r="AB7797">
        <v>7</v>
      </c>
      <c r="AC7797">
        <v>0.66599999999999604</v>
      </c>
      <c r="AD7797">
        <v>-7.3014999999999802E-2</v>
      </c>
      <c r="AE7797">
        <v>-8.2999999999913109E-3</v>
      </c>
      <c r="AF7797">
        <v>2.1368030061832501E-2</v>
      </c>
      <c r="AG7797">
        <v>-7.3014999999999802E-2</v>
      </c>
      <c r="AH7797">
        <v>0.65779562399208802</v>
      </c>
      <c r="AI7797">
        <v>96.330563980583307</v>
      </c>
      <c r="AJ7797">
        <v>88.139440993007995</v>
      </c>
      <c r="AK7797">
        <v>0.66218038771687004</v>
      </c>
      <c r="AL7797">
        <v>87.794732867256897</v>
      </c>
      <c r="AM7797">
        <v>86.944599595220097</v>
      </c>
      <c r="AN7797">
        <v>1.00000000066336</v>
      </c>
    </row>
    <row r="7798" spans="1:40" x14ac:dyDescent="0.25">
      <c r="A7798" t="str">
        <f>"20190312154451391"</f>
        <v>20190312154451391</v>
      </c>
      <c r="B7798" t="str">
        <f>"1552376691385851"</f>
        <v>1552376691385851</v>
      </c>
      <c r="C7798" t="s">
        <v>40</v>
      </c>
      <c r="D7798">
        <v>4.8943459999999996</v>
      </c>
      <c r="E7798">
        <v>0.45041910000000002</v>
      </c>
      <c r="F7798" t="s">
        <v>43</v>
      </c>
      <c r="G7798">
        <v>-111.18049999999999</v>
      </c>
      <c r="H7798" s="1">
        <v>-4.0873109999999999E-6</v>
      </c>
      <c r="I7798">
        <v>140.8244</v>
      </c>
      <c r="J7798">
        <v>-122.1782</v>
      </c>
      <c r="K7798">
        <v>1.1115649999999999</v>
      </c>
      <c r="L7798">
        <v>139.91409999999999</v>
      </c>
      <c r="M7798">
        <v>0.99965440000000005</v>
      </c>
      <c r="N7798">
        <v>0</v>
      </c>
      <c r="O7798">
        <v>2.0112430000000001E-2</v>
      </c>
      <c r="P7798">
        <v>0.99922120000000003</v>
      </c>
      <c r="Q7798">
        <v>2.134546E-2</v>
      </c>
      <c r="R7798">
        <v>-3.3191770000000002E-2</v>
      </c>
      <c r="S7798">
        <v>3.0170590000000002</v>
      </c>
      <c r="T7798">
        <v>-0.30294179999999998</v>
      </c>
      <c r="U7798">
        <v>0.24851989999999999</v>
      </c>
      <c r="V7798">
        <v>5.3284419999999999E-2</v>
      </c>
      <c r="W7798">
        <v>3.8243329999999999E-2</v>
      </c>
      <c r="X7798">
        <v>0.99784680000000003</v>
      </c>
      <c r="Y7798">
        <v>-6.1821279999999999E-2</v>
      </c>
      <c r="Z7798">
        <v>1.079939E-3</v>
      </c>
      <c r="AA7798">
        <v>0.99808660000000005</v>
      </c>
      <c r="AB7798">
        <v>7</v>
      </c>
      <c r="AC7798">
        <v>10.9977</v>
      </c>
      <c r="AD7798">
        <v>-1.111569087311</v>
      </c>
      <c r="AE7798">
        <v>0.91030000000000599</v>
      </c>
      <c r="AF7798">
        <v>-0.68197419014999905</v>
      </c>
      <c r="AG7798">
        <v>-1.111569087311</v>
      </c>
      <c r="AH7798">
        <v>10.903160002482</v>
      </c>
      <c r="AI7798">
        <v>95.8098742449084</v>
      </c>
      <c r="AJ7798">
        <v>93.579091337447693</v>
      </c>
      <c r="AK7798">
        <v>10.980873037769801</v>
      </c>
      <c r="AL7798">
        <v>87.808284144781595</v>
      </c>
      <c r="AM7798">
        <v>86.943342917546502</v>
      </c>
      <c r="AN7798">
        <v>1.0000000089872301</v>
      </c>
    </row>
    <row r="7799" spans="1:40" x14ac:dyDescent="0.25">
      <c r="A7799" t="str">
        <f>"20190312154451414"</f>
        <v>20190312154451414</v>
      </c>
      <c r="B7799" t="str">
        <f>"1552376691405371"</f>
        <v>1552376691405371</v>
      </c>
      <c r="C7799" t="s">
        <v>40</v>
      </c>
      <c r="D7799">
        <v>4.8295820000000003</v>
      </c>
      <c r="E7799">
        <v>0.44928580000000001</v>
      </c>
      <c r="F7799" t="s">
        <v>43</v>
      </c>
      <c r="G7799">
        <v>-112.12860000000001</v>
      </c>
      <c r="H7799" s="1">
        <v>-3.710375E-6</v>
      </c>
      <c r="I7799">
        <v>140.9365</v>
      </c>
      <c r="J7799">
        <v>-122.1036</v>
      </c>
      <c r="K7799">
        <v>1.1115440000000001</v>
      </c>
      <c r="L7799">
        <v>139.91569999999999</v>
      </c>
      <c r="M7799">
        <v>0.99965760000000004</v>
      </c>
      <c r="N7799">
        <v>0</v>
      </c>
      <c r="O7799">
        <v>2.0220599999999998E-2</v>
      </c>
      <c r="P7799">
        <v>0.99920569999999997</v>
      </c>
      <c r="Q7799">
        <v>2.1582190000000001E-2</v>
      </c>
      <c r="R7799">
        <v>-3.3501940000000001E-2</v>
      </c>
      <c r="S7799">
        <v>3.0196839999999998</v>
      </c>
      <c r="T7799">
        <v>-0.3340013</v>
      </c>
      <c r="U7799">
        <v>0.30722050000000001</v>
      </c>
      <c r="V7799">
        <v>5.3702159999999999E-2</v>
      </c>
      <c r="W7799">
        <v>3.8159940000000003E-2</v>
      </c>
      <c r="X7799">
        <v>0.99782760000000004</v>
      </c>
      <c r="Y7799">
        <v>-8.0711619999999998E-2</v>
      </c>
      <c r="Z7799">
        <v>2.2150569999999999E-3</v>
      </c>
      <c r="AA7799">
        <v>0.99673500000000004</v>
      </c>
      <c r="AB7799">
        <v>7</v>
      </c>
      <c r="AC7799">
        <v>9.9749999999999908</v>
      </c>
      <c r="AD7799">
        <v>-1.111547710375</v>
      </c>
      <c r="AE7799">
        <v>1.0207999999999999</v>
      </c>
      <c r="AF7799">
        <v>-0.80892232439878797</v>
      </c>
      <c r="AG7799">
        <v>-1.111547710375</v>
      </c>
      <c r="AH7799">
        <v>9.87228646924458</v>
      </c>
      <c r="AI7799">
        <v>96.402754609214398</v>
      </c>
      <c r="AJ7799">
        <v>94.684277086730503</v>
      </c>
      <c r="AK7799">
        <v>9.9675440189738005</v>
      </c>
      <c r="AL7799">
        <v>87.813065534726604</v>
      </c>
      <c r="AM7799">
        <v>86.919366106648894</v>
      </c>
      <c r="AN7799">
        <v>1.00000001116561</v>
      </c>
    </row>
    <row r="7800" spans="1:40" x14ac:dyDescent="0.25">
      <c r="A7800" t="str">
        <f>"20190312154451440"</f>
        <v>20190312154451440</v>
      </c>
      <c r="B7800" t="str">
        <f>"1552376691425400"</f>
        <v>1552376691425400</v>
      </c>
      <c r="C7800" t="s">
        <v>40</v>
      </c>
      <c r="D7800">
        <v>4.8280430000000001</v>
      </c>
      <c r="E7800">
        <v>0.44820529999999997</v>
      </c>
      <c r="F7800" t="s">
        <v>43</v>
      </c>
      <c r="G7800">
        <v>-112.22110000000001</v>
      </c>
      <c r="H7800" s="1">
        <v>-3.6735480000000001E-6</v>
      </c>
      <c r="I7800">
        <v>140.94720000000001</v>
      </c>
      <c r="J7800">
        <v>-122.0209</v>
      </c>
      <c r="K7800">
        <v>1.1115159999999999</v>
      </c>
      <c r="L7800">
        <v>139.91759999999999</v>
      </c>
      <c r="M7800">
        <v>0.99966069999999996</v>
      </c>
      <c r="N7800">
        <v>0</v>
      </c>
      <c r="O7800">
        <v>2.034074E-2</v>
      </c>
      <c r="P7800">
        <v>0.99921159999999998</v>
      </c>
      <c r="Q7800">
        <v>2.1643969999999998E-2</v>
      </c>
      <c r="R7800">
        <v>-3.3278429999999998E-2</v>
      </c>
      <c r="S7800">
        <v>3.0202939999999998</v>
      </c>
      <c r="T7800">
        <v>-0.33971099999999999</v>
      </c>
      <c r="U7800">
        <v>0.31523129999999999</v>
      </c>
      <c r="V7800">
        <v>5.3598840000000002E-2</v>
      </c>
      <c r="W7800">
        <v>3.788263E-2</v>
      </c>
      <c r="X7800">
        <v>0.9978437</v>
      </c>
      <c r="Y7800">
        <v>-8.316055E-2</v>
      </c>
      <c r="Z7800">
        <v>2.3754589999999999E-3</v>
      </c>
      <c r="AA7800">
        <v>0.99653329999999996</v>
      </c>
      <c r="AB7800">
        <v>7</v>
      </c>
      <c r="AC7800">
        <v>9.7997999999999905</v>
      </c>
      <c r="AD7800">
        <v>-1.111519673548</v>
      </c>
      <c r="AE7800">
        <v>1.0296000000000101</v>
      </c>
      <c r="AF7800">
        <v>-0.81959659641079596</v>
      </c>
      <c r="AG7800">
        <v>-1.111519673548</v>
      </c>
      <c r="AH7800">
        <v>9.6953514419022202</v>
      </c>
      <c r="AI7800">
        <v>96.517054871847193</v>
      </c>
      <c r="AJ7800">
        <v>94.832010822336699</v>
      </c>
      <c r="AK7800">
        <v>9.7932146993481108</v>
      </c>
      <c r="AL7800">
        <v>87.828965677044195</v>
      </c>
      <c r="AM7800">
        <v>86.925331208000003</v>
      </c>
      <c r="AN7800">
        <v>0.999999989467376</v>
      </c>
    </row>
    <row r="7801" spans="1:40" x14ac:dyDescent="0.25">
      <c r="A7801" t="str">
        <f>"20190312154451459"</f>
        <v>20190312154451459</v>
      </c>
      <c r="B7801" t="str">
        <f>"1552376691444919"</f>
        <v>1552376691444919</v>
      </c>
      <c r="C7801" t="s">
        <v>40</v>
      </c>
      <c r="D7801">
        <v>4.8214449999999998</v>
      </c>
      <c r="E7801">
        <v>0.447662</v>
      </c>
      <c r="F7801" t="s">
        <v>43</v>
      </c>
      <c r="G7801">
        <v>-112.1172</v>
      </c>
      <c r="H7801" s="1">
        <v>-3.727382E-6</v>
      </c>
      <c r="I7801">
        <v>140.982</v>
      </c>
      <c r="J7801">
        <v>-121.9601</v>
      </c>
      <c r="K7801">
        <v>1.111491</v>
      </c>
      <c r="L7801">
        <v>139.91890000000001</v>
      </c>
      <c r="M7801">
        <v>0.99966270000000002</v>
      </c>
      <c r="N7801">
        <v>0</v>
      </c>
      <c r="O7801">
        <v>2.0429039999999999E-2</v>
      </c>
      <c r="P7801">
        <v>0.99922420000000001</v>
      </c>
      <c r="Q7801">
        <v>2.129286E-2</v>
      </c>
      <c r="R7801">
        <v>-3.3135400000000002E-2</v>
      </c>
      <c r="S7801">
        <v>3.0205229999999998</v>
      </c>
      <c r="T7801">
        <v>-0.33899950000000001</v>
      </c>
      <c r="U7801">
        <v>0.32464599999999999</v>
      </c>
      <c r="V7801">
        <v>5.3544029999999999E-2</v>
      </c>
      <c r="W7801">
        <v>3.7303210000000003E-2</v>
      </c>
      <c r="X7801">
        <v>0.99786850000000005</v>
      </c>
      <c r="Y7801">
        <v>-8.612011E-2</v>
      </c>
      <c r="Z7801">
        <v>2.5252230000000001E-3</v>
      </c>
      <c r="AA7801">
        <v>0.99628159999999999</v>
      </c>
      <c r="AB7801">
        <v>7</v>
      </c>
      <c r="AC7801">
        <v>9.8429000000000002</v>
      </c>
      <c r="AD7801">
        <v>-1.1114947273819999</v>
      </c>
      <c r="AE7801">
        <v>1.0630999999999899</v>
      </c>
      <c r="AF7801">
        <v>-0.85104408747385996</v>
      </c>
      <c r="AG7801">
        <v>-1.1114947273819999</v>
      </c>
      <c r="AH7801">
        <v>9.7397991877406795</v>
      </c>
      <c r="AI7801">
        <v>96.485863819118904</v>
      </c>
      <c r="AJ7801">
        <v>94.993707048410599</v>
      </c>
      <c r="AK7801">
        <v>9.8398874376354701</v>
      </c>
      <c r="AL7801">
        <v>87.862187542650005</v>
      </c>
      <c r="AM7801">
        <v>86.928545521360405</v>
      </c>
      <c r="AN7801">
        <v>1.0000000179585899</v>
      </c>
    </row>
    <row r="7802" spans="1:40" x14ac:dyDescent="0.25">
      <c r="A7802" t="str">
        <f>"20190312154451481"</f>
        <v>20190312154451481</v>
      </c>
      <c r="B7802" t="str">
        <f>"1552376691475175"</f>
        <v>1552376691475175</v>
      </c>
      <c r="C7802" t="s">
        <v>40</v>
      </c>
      <c r="D7802">
        <v>4.8447570000000004</v>
      </c>
      <c r="E7802">
        <v>0.44714179999999998</v>
      </c>
      <c r="F7802" t="s">
        <v>43</v>
      </c>
      <c r="G7802">
        <v>-112.1983</v>
      </c>
      <c r="H7802" s="1">
        <v>-3.6929479999999999E-6</v>
      </c>
      <c r="I7802">
        <v>140.98339999999999</v>
      </c>
      <c r="J7802">
        <v>-121.8908</v>
      </c>
      <c r="K7802">
        <v>1.1114679999999999</v>
      </c>
      <c r="L7802">
        <v>139.9204</v>
      </c>
      <c r="M7802">
        <v>0.99966449999999996</v>
      </c>
      <c r="N7802">
        <v>0</v>
      </c>
      <c r="O7802">
        <v>2.0529760000000001E-2</v>
      </c>
      <c r="P7802">
        <v>0.99922390000000005</v>
      </c>
      <c r="Q7802">
        <v>2.1173350000000001E-2</v>
      </c>
      <c r="R7802">
        <v>-3.3211739999999997E-2</v>
      </c>
      <c r="S7802">
        <v>3.0205839999999999</v>
      </c>
      <c r="T7802">
        <v>-0.34392709999999999</v>
      </c>
      <c r="U7802">
        <v>0.3293915</v>
      </c>
      <c r="V7802">
        <v>5.3721089999999999E-2</v>
      </c>
      <c r="W7802">
        <v>3.6941540000000002E-2</v>
      </c>
      <c r="X7802">
        <v>0.99787239999999999</v>
      </c>
      <c r="Y7802">
        <v>-8.7544430000000006E-2</v>
      </c>
      <c r="Z7802">
        <v>2.6306480000000002E-3</v>
      </c>
      <c r="AA7802">
        <v>0.99615719999999996</v>
      </c>
      <c r="AB7802">
        <v>7</v>
      </c>
      <c r="AC7802">
        <v>9.6924999999999901</v>
      </c>
      <c r="AD7802">
        <v>-1.111471692948</v>
      </c>
      <c r="AE7802">
        <v>1.06299999999998</v>
      </c>
      <c r="AF7802">
        <v>-0.852686837993749</v>
      </c>
      <c r="AG7802">
        <v>-1.111471692948</v>
      </c>
      <c r="AH7802">
        <v>9.5877028966863893</v>
      </c>
      <c r="AI7802">
        <v>96.586831139506899</v>
      </c>
      <c r="AJ7802">
        <v>95.082255677641996</v>
      </c>
      <c r="AK7802">
        <v>9.6895041670377093</v>
      </c>
      <c r="AL7802">
        <v>87.882923919192706</v>
      </c>
      <c r="AM7802">
        <v>86.918420365275594</v>
      </c>
      <c r="AN7802">
        <v>0.99999997978505895</v>
      </c>
    </row>
    <row r="7803" spans="1:40" x14ac:dyDescent="0.25">
      <c r="A7803" t="str">
        <f>"20190312154451502"</f>
        <v>20190312154451502</v>
      </c>
      <c r="B7803" t="str">
        <f>"1552376691495671"</f>
        <v>1552376691495671</v>
      </c>
      <c r="C7803" t="s">
        <v>40</v>
      </c>
      <c r="D7803">
        <v>4.8531709999999997</v>
      </c>
      <c r="E7803">
        <v>0.4470018</v>
      </c>
      <c r="F7803" t="s">
        <v>43</v>
      </c>
      <c r="G7803">
        <v>-112.25369999999999</v>
      </c>
      <c r="H7803" s="1">
        <v>-3.6693039999999999E-6</v>
      </c>
      <c r="I7803">
        <v>140.9838</v>
      </c>
      <c r="J7803">
        <v>-121.8232</v>
      </c>
      <c r="K7803">
        <v>1.11144</v>
      </c>
      <c r="L7803">
        <v>139.92189999999999</v>
      </c>
      <c r="M7803">
        <v>0.9996661</v>
      </c>
      <c r="N7803">
        <v>0</v>
      </c>
      <c r="O7803">
        <v>2.0628250000000001E-2</v>
      </c>
      <c r="P7803">
        <v>0.99923329999999999</v>
      </c>
      <c r="Q7803">
        <v>2.109397E-2</v>
      </c>
      <c r="R7803">
        <v>-3.2988549999999998E-2</v>
      </c>
      <c r="S7803">
        <v>3.0207820000000001</v>
      </c>
      <c r="T7803">
        <v>-0.34839209999999998</v>
      </c>
      <c r="U7803">
        <v>0.33331300000000003</v>
      </c>
      <c r="V7803">
        <v>5.3596159999999997E-2</v>
      </c>
      <c r="W7803">
        <v>3.6627510000000002E-2</v>
      </c>
      <c r="X7803">
        <v>0.99789070000000002</v>
      </c>
      <c r="Y7803">
        <v>-8.8699150000000004E-2</v>
      </c>
      <c r="Z7803">
        <v>2.7191229999999999E-3</v>
      </c>
      <c r="AA7803">
        <v>0.99605480000000002</v>
      </c>
      <c r="AB7803">
        <v>7</v>
      </c>
      <c r="AC7803">
        <v>9.5694999999999997</v>
      </c>
      <c r="AD7803">
        <v>-1.111443669304</v>
      </c>
      <c r="AE7803">
        <v>1.0619000000000001</v>
      </c>
      <c r="AF7803">
        <v>-0.85288300965941599</v>
      </c>
      <c r="AG7803">
        <v>-1.111443669304</v>
      </c>
      <c r="AH7803">
        <v>9.4632689043827298</v>
      </c>
      <c r="AI7803">
        <v>96.6718007257208</v>
      </c>
      <c r="AJ7803">
        <v>95.149904337054807</v>
      </c>
      <c r="AK7803">
        <v>9.5664086686101193</v>
      </c>
      <c r="AL7803">
        <v>87.900928711593593</v>
      </c>
      <c r="AM7803">
        <v>86.925629179679305</v>
      </c>
      <c r="AN7803">
        <v>0.99999998600101703</v>
      </c>
    </row>
    <row r="7804" spans="1:40" x14ac:dyDescent="0.25">
      <c r="A7804" t="str">
        <f>"20190312154451526"</f>
        <v>20190312154451526</v>
      </c>
      <c r="B7804" t="str">
        <f>"1552376691515191"</f>
        <v>1552376691515191</v>
      </c>
      <c r="C7804" t="s">
        <v>40</v>
      </c>
      <c r="D7804">
        <v>5.2109420000000002</v>
      </c>
      <c r="E7804">
        <v>0.44693620000000001</v>
      </c>
      <c r="F7804" t="s">
        <v>43</v>
      </c>
      <c r="G7804">
        <v>-112.23390000000001</v>
      </c>
      <c r="H7804" s="1">
        <v>-3.6787980000000002E-6</v>
      </c>
      <c r="I7804">
        <v>140.98759999999999</v>
      </c>
      <c r="J7804">
        <v>-121.7512</v>
      </c>
      <c r="K7804">
        <v>1.1113959999999901</v>
      </c>
      <c r="L7804">
        <v>139.92349999999999</v>
      </c>
      <c r="M7804">
        <v>0.99966820000000001</v>
      </c>
      <c r="N7804">
        <v>0</v>
      </c>
      <c r="O7804">
        <v>2.073353E-2</v>
      </c>
      <c r="P7804">
        <v>0.99922759999999999</v>
      </c>
      <c r="Q7804">
        <v>2.14624E-2</v>
      </c>
      <c r="R7804">
        <v>-3.2920730000000002E-2</v>
      </c>
      <c r="S7804">
        <v>3.0207820000000001</v>
      </c>
      <c r="T7804">
        <v>-0.35011959999999998</v>
      </c>
      <c r="U7804">
        <v>0.33569339999999998</v>
      </c>
      <c r="V7804">
        <v>5.3633489999999999E-2</v>
      </c>
      <c r="W7804">
        <v>3.6722339999999999E-2</v>
      </c>
      <c r="X7804">
        <v>0.99788520000000003</v>
      </c>
      <c r="Y7804">
        <v>-8.9361670000000004E-2</v>
      </c>
      <c r="Z7804">
        <v>2.7584490000000001E-3</v>
      </c>
      <c r="AA7804">
        <v>0.99599539999999998</v>
      </c>
      <c r="AB7804">
        <v>7</v>
      </c>
      <c r="AC7804">
        <v>9.5172999999999899</v>
      </c>
      <c r="AD7804">
        <v>-1.1113996787979901</v>
      </c>
      <c r="AE7804">
        <v>1.0640999999999901</v>
      </c>
      <c r="AF7804">
        <v>-0.85500532945715602</v>
      </c>
      <c r="AG7804">
        <v>-1.1113996787979901</v>
      </c>
      <c r="AH7804">
        <v>9.4105729445608297</v>
      </c>
      <c r="AI7804">
        <v>96.708122134229299</v>
      </c>
      <c r="AJ7804">
        <v>95.191401760715294</v>
      </c>
      <c r="AK7804">
        <v>9.5144693233166002</v>
      </c>
      <c r="AL7804">
        <v>87.895491675910193</v>
      </c>
      <c r="AM7804">
        <v>86.923475052629598</v>
      </c>
      <c r="AN7804">
        <v>0.99999997694184695</v>
      </c>
    </row>
    <row r="7805" spans="1:40" x14ac:dyDescent="0.25">
      <c r="A7805" t="str">
        <f>"20190312154451550"</f>
        <v>20190312154451550</v>
      </c>
      <c r="B7805" t="str">
        <f>"1552376691535008"</f>
        <v>1552376691535008</v>
      </c>
      <c r="C7805" t="s">
        <v>40</v>
      </c>
      <c r="D7805">
        <v>4.9280059999999999</v>
      </c>
      <c r="E7805">
        <v>0.45033620000000002</v>
      </c>
      <c r="F7805" t="s">
        <v>43</v>
      </c>
      <c r="G7805">
        <v>-112.10429999999999</v>
      </c>
      <c r="H7805" s="1">
        <v>-3.7369819999999999E-6</v>
      </c>
      <c r="I7805">
        <v>140.9973</v>
      </c>
      <c r="J7805">
        <v>-121.6758</v>
      </c>
      <c r="K7805">
        <v>1.11134</v>
      </c>
      <c r="L7805">
        <v>139.92519999999999</v>
      </c>
      <c r="M7805">
        <v>0.99967110000000003</v>
      </c>
      <c r="N7805">
        <v>0</v>
      </c>
      <c r="O7805">
        <v>2.0842759999999998E-2</v>
      </c>
      <c r="P7805">
        <v>0.99921199999999999</v>
      </c>
      <c r="Q7805">
        <v>2.1164860000000001E-2</v>
      </c>
      <c r="R7805">
        <v>-3.3579959999999999E-2</v>
      </c>
      <c r="S7805">
        <v>3.0208740000000001</v>
      </c>
      <c r="T7805">
        <v>-0.34802840000000002</v>
      </c>
      <c r="U7805">
        <v>0.33624270000000001</v>
      </c>
      <c r="V7805">
        <v>5.440089E-2</v>
      </c>
      <c r="W7805">
        <v>3.6084749999999999E-2</v>
      </c>
      <c r="X7805">
        <v>0.9978669</v>
      </c>
      <c r="Y7805">
        <v>-8.9434189999999997E-2</v>
      </c>
      <c r="Z7805">
        <v>2.7336389999999999E-3</v>
      </c>
      <c r="AA7805">
        <v>0.99598900000000001</v>
      </c>
      <c r="AB7805">
        <v>7</v>
      </c>
      <c r="AC7805">
        <v>9.5715000000000003</v>
      </c>
      <c r="AD7805">
        <v>-1.1113437369820001</v>
      </c>
      <c r="AE7805">
        <v>1.0721000000000001</v>
      </c>
      <c r="AF7805">
        <v>-0.86088610757872397</v>
      </c>
      <c r="AG7805">
        <v>-1.1113437369820001</v>
      </c>
      <c r="AH7805">
        <v>9.4657375733397604</v>
      </c>
      <c r="AI7805">
        <v>96.668994231561001</v>
      </c>
      <c r="AJ7805">
        <v>95.196617181501907</v>
      </c>
      <c r="AK7805">
        <v>9.56955576812671</v>
      </c>
      <c r="AL7805">
        <v>87.932047084383399</v>
      </c>
      <c r="AM7805">
        <v>86.879484712758895</v>
      </c>
      <c r="AN7805">
        <v>0.99999995806548103</v>
      </c>
    </row>
    <row r="7806" spans="1:40" x14ac:dyDescent="0.25">
      <c r="A7806" t="str">
        <f>"20190312154451571"</f>
        <v>20190312154451571</v>
      </c>
      <c r="B7806" t="str">
        <f>"1552376691565264"</f>
        <v>1552376691565264</v>
      </c>
      <c r="C7806" t="s">
        <v>40</v>
      </c>
      <c r="D7806">
        <v>4.975886</v>
      </c>
      <c r="E7806">
        <v>0.52924110000000002</v>
      </c>
      <c r="F7806" t="s">
        <v>43</v>
      </c>
      <c r="G7806">
        <v>-112.5141</v>
      </c>
      <c r="H7806" s="1">
        <v>-3.5241970000000002E-6</v>
      </c>
      <c r="I7806">
        <v>140.85830000000001</v>
      </c>
      <c r="J7806">
        <v>-121.60980000000001</v>
      </c>
      <c r="K7806">
        <v>1.1112959999999901</v>
      </c>
      <c r="L7806">
        <v>139.92670000000001</v>
      </c>
      <c r="M7806">
        <v>0.99967399999999995</v>
      </c>
      <c r="N7806">
        <v>0</v>
      </c>
      <c r="O7806">
        <v>2.0931310000000002E-2</v>
      </c>
      <c r="P7806">
        <v>0.99919040000000003</v>
      </c>
      <c r="Q7806">
        <v>2.0831289999999999E-2</v>
      </c>
      <c r="R7806">
        <v>-3.4421350000000003E-2</v>
      </c>
      <c r="S7806">
        <v>3.0204770000000001</v>
      </c>
      <c r="T7806">
        <v>-0.36639539999999998</v>
      </c>
      <c r="U7806">
        <v>0.30764770000000002</v>
      </c>
      <c r="V7806">
        <v>5.5329620000000003E-2</v>
      </c>
      <c r="W7806">
        <v>3.5433329999999999E-2</v>
      </c>
      <c r="X7806">
        <v>0.99783920000000004</v>
      </c>
      <c r="Y7806">
        <v>-8.0053029999999997E-2</v>
      </c>
      <c r="Z7806">
        <v>2.3025089999999999E-3</v>
      </c>
      <c r="AA7806">
        <v>0.99678800000000001</v>
      </c>
      <c r="AB7806">
        <v>7</v>
      </c>
      <c r="AC7806">
        <v>9.0957000000000008</v>
      </c>
      <c r="AD7806">
        <v>-1.1112995241969901</v>
      </c>
      <c r="AE7806">
        <v>0.93160000000000298</v>
      </c>
      <c r="AF7806">
        <v>-0.73020356039724599</v>
      </c>
      <c r="AG7806">
        <v>-1.1112995241969901</v>
      </c>
      <c r="AH7806">
        <v>8.9805423035099707</v>
      </c>
      <c r="AI7806">
        <v>97.031249117011797</v>
      </c>
      <c r="AJ7806">
        <v>94.648466139272003</v>
      </c>
      <c r="AK7806">
        <v>9.0784538296578603</v>
      </c>
      <c r="AL7806">
        <v>87.969394630525997</v>
      </c>
      <c r="AM7806">
        <v>86.826231459235203</v>
      </c>
      <c r="AN7806">
        <v>0.99999997839043597</v>
      </c>
    </row>
    <row r="7807" spans="1:40" x14ac:dyDescent="0.25">
      <c r="A7807" t="str">
        <f>"20190312154451591"</f>
        <v>20190312154451591</v>
      </c>
      <c r="B7807" t="str">
        <f>"1552376691585759"</f>
        <v>1552376691585759</v>
      </c>
      <c r="C7807" t="s">
        <v>40</v>
      </c>
      <c r="D7807">
        <v>5.0424519999999999</v>
      </c>
      <c r="E7807">
        <v>0.5304856</v>
      </c>
      <c r="F7807" t="s">
        <v>41</v>
      </c>
      <c r="G7807">
        <v>-120.8882</v>
      </c>
      <c r="H7807">
        <v>0.91200590000000004</v>
      </c>
      <c r="I7807">
        <v>139.85230000000001</v>
      </c>
      <c r="J7807">
        <v>-121.54510000000001</v>
      </c>
      <c r="K7807">
        <v>1.111248</v>
      </c>
      <c r="L7807">
        <v>139.9282</v>
      </c>
      <c r="M7807">
        <v>0.99967629999999996</v>
      </c>
      <c r="N7807">
        <v>0</v>
      </c>
      <c r="O7807">
        <v>2.10259E-2</v>
      </c>
      <c r="P7807">
        <v>0.99915310000000002</v>
      </c>
      <c r="Q7807">
        <v>2.1177729999999999E-2</v>
      </c>
      <c r="R7807">
        <v>-3.5284799999999998E-2</v>
      </c>
      <c r="S7807">
        <v>3.0090789999999998</v>
      </c>
      <c r="T7807">
        <v>-0.83103899999999997</v>
      </c>
      <c r="U7807">
        <v>-0.31013489999999999</v>
      </c>
      <c r="V7807">
        <v>5.6286460000000003E-2</v>
      </c>
      <c r="W7807">
        <v>3.5485280000000001E-2</v>
      </c>
      <c r="X7807">
        <v>0.9977838</v>
      </c>
      <c r="Y7807">
        <v>0.1182547</v>
      </c>
      <c r="Z7807">
        <v>-2.1677209999999999E-2</v>
      </c>
      <c r="AA7807">
        <v>0.99274669999999998</v>
      </c>
      <c r="AB7807">
        <v>7</v>
      </c>
      <c r="AC7807">
        <v>0.65690000000000703</v>
      </c>
      <c r="AD7807">
        <v>-0.19924209999999901</v>
      </c>
      <c r="AE7807">
        <v>-7.5899999999990003E-2</v>
      </c>
      <c r="AF7807">
        <v>8.2231346300572494E-2</v>
      </c>
      <c r="AG7807">
        <v>-0.19924209999999901</v>
      </c>
      <c r="AH7807">
        <v>0.60063162434187001</v>
      </c>
      <c r="AI7807">
        <v>108.193374178317</v>
      </c>
      <c r="AJ7807">
        <v>82.204209133447193</v>
      </c>
      <c r="AK7807">
        <v>0.63813615857931805</v>
      </c>
      <c r="AL7807">
        <v>87.966416165823304</v>
      </c>
      <c r="AM7807">
        <v>86.771282296479399</v>
      </c>
      <c r="AN7807">
        <v>0.99999994110922297</v>
      </c>
    </row>
    <row r="7808" spans="1:40" x14ac:dyDescent="0.25">
      <c r="A7808" t="str">
        <f>"20190312154451614"</f>
        <v>20190312154451614</v>
      </c>
      <c r="B7808" t="str">
        <f>"1552376691605279"</f>
        <v>1552376691605279</v>
      </c>
      <c r="C7808" t="s">
        <v>40</v>
      </c>
      <c r="D7808">
        <v>5.1128159999999996</v>
      </c>
      <c r="E7808">
        <v>0.53130409999999995</v>
      </c>
      <c r="F7808" t="s">
        <v>41</v>
      </c>
      <c r="G7808">
        <v>-120.82470000000001</v>
      </c>
      <c r="H7808">
        <v>0.91416790000000003</v>
      </c>
      <c r="I7808">
        <v>139.85079999999999</v>
      </c>
      <c r="J7808">
        <v>-121.4761</v>
      </c>
      <c r="K7808">
        <v>1.1112249999999999</v>
      </c>
      <c r="L7808">
        <v>139.9297</v>
      </c>
      <c r="M7808">
        <v>0.99967799999999996</v>
      </c>
      <c r="N7808">
        <v>0</v>
      </c>
      <c r="O7808">
        <v>2.1130900000000001E-2</v>
      </c>
      <c r="P7808">
        <v>0.99910200000000005</v>
      </c>
      <c r="Q7808">
        <v>2.248853E-2</v>
      </c>
      <c r="R7808">
        <v>-3.5911999999999999E-2</v>
      </c>
      <c r="S7808">
        <v>3.0086059999999999</v>
      </c>
      <c r="T7808">
        <v>-0.82317399999999996</v>
      </c>
      <c r="U7808">
        <v>-0.32232670000000002</v>
      </c>
      <c r="V7808">
        <v>5.7017569999999997E-2</v>
      </c>
      <c r="W7808">
        <v>3.6515520000000003E-2</v>
      </c>
      <c r="X7808">
        <v>0.99770519999999996</v>
      </c>
      <c r="Y7808">
        <v>0.1222983</v>
      </c>
      <c r="Z7808">
        <v>-2.2048149999999999E-2</v>
      </c>
      <c r="AA7808">
        <v>0.99224849999999998</v>
      </c>
      <c r="AB7808">
        <v>7</v>
      </c>
      <c r="AC7808">
        <v>0.65139999999999498</v>
      </c>
      <c r="AD7808">
        <v>-0.19705709999999901</v>
      </c>
      <c r="AE7808">
        <v>-7.8900000000004397E-2</v>
      </c>
      <c r="AF7808">
        <v>8.4983642619309102E-2</v>
      </c>
      <c r="AG7808">
        <v>-0.19705709999999901</v>
      </c>
      <c r="AH7808">
        <v>0.59584706138669696</v>
      </c>
      <c r="AI7808">
        <v>108.128667291751</v>
      </c>
      <c r="AJ7808">
        <v>81.882842812419199</v>
      </c>
      <c r="AK7808">
        <v>0.63331464591971798</v>
      </c>
      <c r="AL7808">
        <v>87.907349645702197</v>
      </c>
      <c r="AM7808">
        <v>86.729177546179699</v>
      </c>
      <c r="AN7808">
        <v>1.0000000262983</v>
      </c>
    </row>
    <row r="7809" spans="1:40" x14ac:dyDescent="0.25">
      <c r="A7809" t="str">
        <f>"20190312154451635"</f>
        <v>20190312154451635</v>
      </c>
      <c r="B7809" t="str">
        <f>"1552376691625194"</f>
        <v>1552376691625194</v>
      </c>
      <c r="C7809" t="s">
        <v>40</v>
      </c>
      <c r="D7809">
        <v>4.9688460000000001</v>
      </c>
      <c r="E7809">
        <v>0.53090969999999904</v>
      </c>
      <c r="F7809" t="s">
        <v>41</v>
      </c>
      <c r="G7809">
        <v>-120.7612</v>
      </c>
      <c r="H7809">
        <v>0.91670510000000005</v>
      </c>
      <c r="I7809">
        <v>139.8511</v>
      </c>
      <c r="J7809">
        <v>-121.4067</v>
      </c>
      <c r="K7809">
        <v>1.1111899999999999</v>
      </c>
      <c r="L7809">
        <v>139.9314</v>
      </c>
      <c r="M7809">
        <v>0.99967930000000005</v>
      </c>
      <c r="N7809">
        <v>0</v>
      </c>
      <c r="O7809">
        <v>2.1236229999999998E-2</v>
      </c>
      <c r="P7809">
        <v>0.99905770000000005</v>
      </c>
      <c r="Q7809">
        <v>2.419197E-2</v>
      </c>
      <c r="R7809">
        <v>-3.6039469999999997E-2</v>
      </c>
      <c r="S7809">
        <v>3.0092159999999999</v>
      </c>
      <c r="T7809">
        <v>-0.8187757</v>
      </c>
      <c r="U7809">
        <v>-0.33093260000000002</v>
      </c>
      <c r="V7809">
        <v>5.7249420000000002E-2</v>
      </c>
      <c r="W7809">
        <v>3.7965539999999999E-2</v>
      </c>
      <c r="X7809">
        <v>0.99763769999999996</v>
      </c>
      <c r="Y7809">
        <v>0.1251382</v>
      </c>
      <c r="Z7809">
        <v>-2.2333470000000001E-2</v>
      </c>
      <c r="AA7809">
        <v>0.99188790000000004</v>
      </c>
      <c r="AB7809">
        <v>7</v>
      </c>
      <c r="AC7809">
        <v>0.64549999999999796</v>
      </c>
      <c r="AD7809">
        <v>-0.19448489999999999</v>
      </c>
      <c r="AE7809">
        <v>-8.0299999999994001E-2</v>
      </c>
      <c r="AF7809">
        <v>8.6278381603325696E-2</v>
      </c>
      <c r="AG7809">
        <v>-0.19448489999999999</v>
      </c>
      <c r="AH7809">
        <v>0.59083195079370099</v>
      </c>
      <c r="AI7809">
        <v>108.04129634201399</v>
      </c>
      <c r="AJ7809">
        <v>81.691898559779403</v>
      </c>
      <c r="AK7809">
        <v>0.62797351022060599</v>
      </c>
      <c r="AL7809">
        <v>87.824211733350793</v>
      </c>
      <c r="AM7809">
        <v>86.715684770034002</v>
      </c>
      <c r="AN7809">
        <v>0.99999992938955595</v>
      </c>
    </row>
    <row r="7810" spans="1:40" x14ac:dyDescent="0.25">
      <c r="A7810" t="str">
        <f>"20190312154451658"</f>
        <v>20190312154451658</v>
      </c>
      <c r="B7810" t="str">
        <f>"1552376691645691"</f>
        <v>1552376691645691</v>
      </c>
      <c r="C7810" t="s">
        <v>40</v>
      </c>
      <c r="D7810">
        <v>5.0662690000000001</v>
      </c>
      <c r="E7810">
        <v>0.53091239999999995</v>
      </c>
      <c r="F7810" t="s">
        <v>41</v>
      </c>
      <c r="G7810">
        <v>-120.6972</v>
      </c>
      <c r="H7810">
        <v>0.92047440000000003</v>
      </c>
      <c r="I7810">
        <v>139.8537</v>
      </c>
      <c r="J7810">
        <v>-121.33759999999999</v>
      </c>
      <c r="K7810">
        <v>1.1111610000000001</v>
      </c>
      <c r="L7810">
        <v>139.93289999999999</v>
      </c>
      <c r="M7810">
        <v>0.99968020000000002</v>
      </c>
      <c r="N7810">
        <v>0</v>
      </c>
      <c r="O7810">
        <v>2.1338880000000001E-2</v>
      </c>
      <c r="P7810">
        <v>0.99905100000000002</v>
      </c>
      <c r="Q7810">
        <v>2.464452E-2</v>
      </c>
      <c r="R7810">
        <v>-3.5914300000000003E-2</v>
      </c>
      <c r="S7810">
        <v>3.0105740000000001</v>
      </c>
      <c r="T7810">
        <v>-0.80935369999999995</v>
      </c>
      <c r="U7810">
        <v>-0.32867429999999997</v>
      </c>
      <c r="V7810">
        <v>5.7226770000000003E-2</v>
      </c>
      <c r="W7810">
        <v>3.818568E-2</v>
      </c>
      <c r="X7810">
        <v>0.99763069999999998</v>
      </c>
      <c r="Y7810">
        <v>0.124594</v>
      </c>
      <c r="Z7810">
        <v>-2.2031889999999998E-2</v>
      </c>
      <c r="AA7810">
        <v>0.99196309999999999</v>
      </c>
      <c r="AB7810">
        <v>7</v>
      </c>
      <c r="AC7810">
        <v>0.64039999999999897</v>
      </c>
      <c r="AD7810">
        <v>-0.19068660000000001</v>
      </c>
      <c r="AE7810">
        <v>-7.9199999999985907E-2</v>
      </c>
      <c r="AF7810">
        <v>8.5391692216812101E-2</v>
      </c>
      <c r="AG7810">
        <v>-0.19068660000000001</v>
      </c>
      <c r="AH7810">
        <v>0.58727900652457998</v>
      </c>
      <c r="AI7810">
        <v>107.81305499048401</v>
      </c>
      <c r="AJ7810">
        <v>81.727041109683896</v>
      </c>
      <c r="AK7810">
        <v>0.62333759073531603</v>
      </c>
      <c r="AL7810">
        <v>87.811589710155701</v>
      </c>
      <c r="AM7810">
        <v>86.716958339140405</v>
      </c>
      <c r="AN7810">
        <v>1.00000003147209</v>
      </c>
    </row>
    <row r="7811" spans="1:40" x14ac:dyDescent="0.25">
      <c r="A7811" t="str">
        <f>"20190312154451681"</f>
        <v>20190312154451681</v>
      </c>
      <c r="B7811" t="str">
        <f>"1552376691674970"</f>
        <v>1552376691674970</v>
      </c>
      <c r="C7811" t="s">
        <v>40</v>
      </c>
      <c r="D7811">
        <v>5.080762</v>
      </c>
      <c r="E7811">
        <v>0.5305609</v>
      </c>
      <c r="F7811" t="s">
        <v>41</v>
      </c>
      <c r="G7811">
        <v>-120.6336</v>
      </c>
      <c r="H7811">
        <v>0.92362520000000004</v>
      </c>
      <c r="I7811">
        <v>139.85599999999999</v>
      </c>
      <c r="J7811">
        <v>-121.26649999999999</v>
      </c>
      <c r="K7811">
        <v>1.111135</v>
      </c>
      <c r="L7811">
        <v>139.93459999999999</v>
      </c>
      <c r="M7811">
        <v>0.99968089999999998</v>
      </c>
      <c r="N7811">
        <v>0</v>
      </c>
      <c r="O7811">
        <v>2.1442610000000001E-2</v>
      </c>
      <c r="P7811">
        <v>0.99906819999999996</v>
      </c>
      <c r="Q7811">
        <v>2.480802E-2</v>
      </c>
      <c r="R7811">
        <v>-3.532213E-2</v>
      </c>
      <c r="S7811">
        <v>3.0108030000000001</v>
      </c>
      <c r="T7811">
        <v>-0.80202410000000002</v>
      </c>
      <c r="U7811">
        <v>-0.32911679999999999</v>
      </c>
      <c r="V7811">
        <v>5.6738249999999997E-2</v>
      </c>
      <c r="W7811">
        <v>3.8134689999999999E-2</v>
      </c>
      <c r="X7811">
        <v>0.99766049999999995</v>
      </c>
      <c r="Y7811">
        <v>0.1249099</v>
      </c>
      <c r="Z7811">
        <v>-2.1905629999999999E-2</v>
      </c>
      <c r="AA7811">
        <v>0.99192630000000004</v>
      </c>
      <c r="AB7811">
        <v>7</v>
      </c>
      <c r="AC7811">
        <v>0.63289999999999202</v>
      </c>
      <c r="AD7811">
        <v>-0.18750979999999901</v>
      </c>
      <c r="AE7811">
        <v>-7.8599999999994397E-2</v>
      </c>
      <c r="AF7811">
        <v>8.4821890397132699E-2</v>
      </c>
      <c r="AG7811">
        <v>-0.18750979999999901</v>
      </c>
      <c r="AH7811">
        <v>0.580857737276534</v>
      </c>
      <c r="AI7811">
        <v>107.714913307628</v>
      </c>
      <c r="AJ7811">
        <v>81.691895705782798</v>
      </c>
      <c r="AK7811">
        <v>0.61623890589656705</v>
      </c>
      <c r="AL7811">
        <v>87.814513235354696</v>
      </c>
      <c r="AM7811">
        <v>86.745020731433101</v>
      </c>
      <c r="AN7811">
        <v>0.999999978427354</v>
      </c>
    </row>
    <row r="7812" spans="1:40" x14ac:dyDescent="0.25">
      <c r="A7812" t="str">
        <f>"20190312154451704"</f>
        <v>20190312154451704</v>
      </c>
      <c r="B7812" t="str">
        <f>"1552376691695467"</f>
        <v>1552376691695467</v>
      </c>
      <c r="C7812" t="s">
        <v>40</v>
      </c>
      <c r="D7812">
        <v>5.1290950000000004</v>
      </c>
      <c r="E7812">
        <v>0.53057149999999997</v>
      </c>
      <c r="F7812" t="s">
        <v>41</v>
      </c>
      <c r="G7812">
        <v>-120.57040000000001</v>
      </c>
      <c r="H7812">
        <v>0.92600190000000004</v>
      </c>
      <c r="I7812">
        <v>139.8595</v>
      </c>
      <c r="J7812">
        <v>-121.196</v>
      </c>
      <c r="K7812">
        <v>1.111111</v>
      </c>
      <c r="L7812">
        <v>139.93620000000001</v>
      </c>
      <c r="M7812">
        <v>0.99968120000000005</v>
      </c>
      <c r="N7812">
        <v>0</v>
      </c>
      <c r="O7812">
        <v>2.154528E-2</v>
      </c>
      <c r="P7812">
        <v>0.99911059999999996</v>
      </c>
      <c r="Q7812">
        <v>2.3889190000000001E-2</v>
      </c>
      <c r="R7812">
        <v>-3.4749380000000003E-2</v>
      </c>
      <c r="S7812">
        <v>3.011215</v>
      </c>
      <c r="T7812">
        <v>-0.80089509999999997</v>
      </c>
      <c r="U7812">
        <v>-0.32417299999999999</v>
      </c>
      <c r="V7812">
        <v>5.6269029999999998E-2</v>
      </c>
      <c r="W7812">
        <v>3.702921E-2</v>
      </c>
      <c r="X7812">
        <v>0.99772879999999997</v>
      </c>
      <c r="Y7812">
        <v>0.1234483</v>
      </c>
      <c r="Z7812">
        <v>-2.1710989999999999E-2</v>
      </c>
      <c r="AA7812">
        <v>0.99211349999999998</v>
      </c>
      <c r="AB7812">
        <v>7</v>
      </c>
      <c r="AC7812">
        <v>0.62559999999999105</v>
      </c>
      <c r="AD7812">
        <v>-0.185109099999999</v>
      </c>
      <c r="AE7812">
        <v>-7.6700000000016602E-2</v>
      </c>
      <c r="AF7812">
        <v>8.3002716235179796E-2</v>
      </c>
      <c r="AG7812">
        <v>-0.185109099999999</v>
      </c>
      <c r="AH7812">
        <v>0.57426873094650099</v>
      </c>
      <c r="AI7812">
        <v>107.69391593991701</v>
      </c>
      <c r="AJ7812">
        <v>81.775631667083303</v>
      </c>
      <c r="AK7812">
        <v>0.60904794979388299</v>
      </c>
      <c r="AL7812">
        <v>87.877897534019596</v>
      </c>
      <c r="AM7812">
        <v>86.772102453616796</v>
      </c>
      <c r="AN7812">
        <v>1.0000000622398999</v>
      </c>
    </row>
    <row r="7813" spans="1:40" x14ac:dyDescent="0.25">
      <c r="A7813" t="str">
        <f>"20190312154451730"</f>
        <v>20190312154451730</v>
      </c>
      <c r="B7813" t="str">
        <f>"1552376691725722"</f>
        <v>1552376691725722</v>
      </c>
      <c r="C7813" t="s">
        <v>40</v>
      </c>
      <c r="D7813">
        <v>5.0536379999999896</v>
      </c>
      <c r="E7813">
        <v>0.53107090000000001</v>
      </c>
      <c r="F7813" t="s">
        <v>41</v>
      </c>
      <c r="G7813">
        <v>-120.5077</v>
      </c>
      <c r="H7813">
        <v>0.92721379999999998</v>
      </c>
      <c r="I7813">
        <v>139.86240000000001</v>
      </c>
      <c r="J7813">
        <v>-121.1177</v>
      </c>
      <c r="K7813">
        <v>1.111086</v>
      </c>
      <c r="L7813">
        <v>139.93799999999999</v>
      </c>
      <c r="M7813">
        <v>0.99968109999999999</v>
      </c>
      <c r="N7813">
        <v>0</v>
      </c>
      <c r="O7813">
        <v>2.165926E-2</v>
      </c>
      <c r="P7813">
        <v>0.99914910000000001</v>
      </c>
      <c r="Q7813">
        <v>2.3422800000000001E-2</v>
      </c>
      <c r="R7813">
        <v>-3.3951099999999998E-2</v>
      </c>
      <c r="S7813">
        <v>3.0106809999999999</v>
      </c>
      <c r="T7813">
        <v>-0.80446450000000003</v>
      </c>
      <c r="U7813">
        <v>-0.32267760000000001</v>
      </c>
      <c r="V7813">
        <v>5.5585509999999998E-2</v>
      </c>
      <c r="W7813">
        <v>3.6384960000000001E-2</v>
      </c>
      <c r="X7813">
        <v>0.99779079999999998</v>
      </c>
      <c r="Y7813">
        <v>0.1230566</v>
      </c>
      <c r="Z7813">
        <v>-2.1787319999999999E-2</v>
      </c>
      <c r="AA7813">
        <v>0.99216040000000005</v>
      </c>
      <c r="AB7813">
        <v>7</v>
      </c>
      <c r="AC7813">
        <v>0.60999999999999899</v>
      </c>
      <c r="AD7813">
        <v>-0.18387220000000001</v>
      </c>
      <c r="AE7813">
        <v>-7.55999999999801E-2</v>
      </c>
      <c r="AF7813">
        <v>8.1502256500777401E-2</v>
      </c>
      <c r="AG7813">
        <v>-0.18387220000000001</v>
      </c>
      <c r="AH7813">
        <v>0.55826288076147201</v>
      </c>
      <c r="AI7813">
        <v>108.05130802640601</v>
      </c>
      <c r="AJ7813">
        <v>81.693919246458904</v>
      </c>
      <c r="AK7813">
        <v>0.59338777185214697</v>
      </c>
      <c r="AL7813">
        <v>87.914835200857297</v>
      </c>
      <c r="AM7813">
        <v>86.811429196999299</v>
      </c>
      <c r="AN7813">
        <v>1.0000000474003901</v>
      </c>
    </row>
    <row r="7814" spans="1:40" x14ac:dyDescent="0.25">
      <c r="A7814" t="str">
        <f>"20190312154451752"</f>
        <v>20190312154451752</v>
      </c>
      <c r="B7814" t="str">
        <f>"1552376691745242"</f>
        <v>1552376691745242</v>
      </c>
      <c r="C7814" t="s">
        <v>40</v>
      </c>
      <c r="D7814">
        <v>5.0259489999999998</v>
      </c>
      <c r="E7814">
        <v>0.54345569999999999</v>
      </c>
      <c r="F7814" t="s">
        <v>41</v>
      </c>
      <c r="G7814">
        <v>-120.389</v>
      </c>
      <c r="H7814">
        <v>0.91496180000000005</v>
      </c>
      <c r="I7814">
        <v>139.8595</v>
      </c>
      <c r="J7814">
        <v>-121.0474</v>
      </c>
      <c r="K7814">
        <v>1.1110739999999999</v>
      </c>
      <c r="L7814">
        <v>139.93969999999999</v>
      </c>
      <c r="M7814">
        <v>0.99968080000000004</v>
      </c>
      <c r="N7814">
        <v>0</v>
      </c>
      <c r="O7814">
        <v>2.1762030000000002E-2</v>
      </c>
      <c r="P7814">
        <v>0.99917540000000005</v>
      </c>
      <c r="Q7814">
        <v>2.3032170000000001E-2</v>
      </c>
      <c r="R7814">
        <v>-3.3441440000000003E-2</v>
      </c>
      <c r="S7814">
        <v>3.010529</v>
      </c>
      <c r="T7814">
        <v>-0.81022109999999903</v>
      </c>
      <c r="U7814">
        <v>-0.32438660000000002</v>
      </c>
      <c r="V7814">
        <v>5.517913E-2</v>
      </c>
      <c r="W7814">
        <v>3.5856489999999998E-2</v>
      </c>
      <c r="X7814">
        <v>0.99783239999999995</v>
      </c>
      <c r="Y7814">
        <v>0.1236259</v>
      </c>
      <c r="Z7814">
        <v>-2.2040549999999999E-2</v>
      </c>
      <c r="AA7814">
        <v>0.99208410000000002</v>
      </c>
      <c r="AB7814">
        <v>7</v>
      </c>
      <c r="AC7814">
        <v>0.65839999999999999</v>
      </c>
      <c r="AD7814">
        <v>-0.19611219999999899</v>
      </c>
      <c r="AE7814">
        <v>-8.0199999999990695E-2</v>
      </c>
      <c r="AF7814">
        <v>8.6912064384268101E-2</v>
      </c>
      <c r="AG7814">
        <v>-0.19611219999999899</v>
      </c>
      <c r="AH7814">
        <v>0.60371880344853901</v>
      </c>
      <c r="AI7814">
        <v>107.823928072901</v>
      </c>
      <c r="AJ7814">
        <v>81.807916360982901</v>
      </c>
      <c r="AK7814">
        <v>0.64069500978368099</v>
      </c>
      <c r="AL7814">
        <v>87.945133895552402</v>
      </c>
      <c r="AM7814">
        <v>86.834824631749797</v>
      </c>
      <c r="AN7814">
        <v>0.99999996137621705</v>
      </c>
    </row>
    <row r="7815" spans="1:40" x14ac:dyDescent="0.25">
      <c r="A7815" t="str">
        <f>"20190312154451771"</f>
        <v>20190312154451771</v>
      </c>
      <c r="B7815" t="str">
        <f>"1552376691765738"</f>
        <v>1552376691765738</v>
      </c>
      <c r="C7815" t="s">
        <v>40</v>
      </c>
      <c r="D7815">
        <v>5.03146</v>
      </c>
      <c r="E7815">
        <v>0.54313480000000003</v>
      </c>
      <c r="F7815" t="s">
        <v>41</v>
      </c>
      <c r="G7815">
        <v>-120.3336</v>
      </c>
      <c r="H7815">
        <v>0.89655300000000004</v>
      </c>
      <c r="I7815">
        <v>139.84020000000001</v>
      </c>
      <c r="J7815">
        <v>-120.98650000000001</v>
      </c>
      <c r="K7815">
        <v>1.1110610000000001</v>
      </c>
      <c r="L7815">
        <v>139.94110000000001</v>
      </c>
      <c r="M7815">
        <v>0.99968020000000002</v>
      </c>
      <c r="N7815">
        <v>0</v>
      </c>
      <c r="O7815">
        <v>2.185076E-2</v>
      </c>
      <c r="P7815">
        <v>0.99916139999999998</v>
      </c>
      <c r="Q7815">
        <v>2.3314140000000001E-2</v>
      </c>
      <c r="R7815">
        <v>-3.3661129999999997E-2</v>
      </c>
      <c r="S7815">
        <v>3.0093079999999999</v>
      </c>
      <c r="T7815">
        <v>-0.9044529</v>
      </c>
      <c r="U7815">
        <v>-0.41894530000000002</v>
      </c>
      <c r="V7815">
        <v>5.5486979999999998E-2</v>
      </c>
      <c r="W7815">
        <v>3.6031859999999999E-2</v>
      </c>
      <c r="X7815">
        <v>0.9978091</v>
      </c>
      <c r="Y7815">
        <v>0.15195439999999999</v>
      </c>
      <c r="Z7815">
        <v>-2.863984E-2</v>
      </c>
      <c r="AA7815">
        <v>0.98797250000000003</v>
      </c>
      <c r="AB7815">
        <v>7</v>
      </c>
      <c r="AC7815">
        <v>0.65290000000000203</v>
      </c>
      <c r="AD7815">
        <v>-0.214508</v>
      </c>
      <c r="AE7815">
        <v>-0.10089999999999499</v>
      </c>
      <c r="AF7815">
        <v>0.104162136956492</v>
      </c>
      <c r="AG7815">
        <v>-0.214508</v>
      </c>
      <c r="AH7815">
        <v>0.58849692421004096</v>
      </c>
      <c r="AI7815">
        <v>109.744213993367</v>
      </c>
      <c r="AJ7815">
        <v>79.962777587853907</v>
      </c>
      <c r="AK7815">
        <v>0.63497406454438898</v>
      </c>
      <c r="AL7815">
        <v>87.935079620105498</v>
      </c>
      <c r="AM7815">
        <v>86.817127831378599</v>
      </c>
      <c r="AN7815">
        <v>1.0000000499636901</v>
      </c>
    </row>
    <row r="7816" spans="1:40" x14ac:dyDescent="0.25">
      <c r="A7816" t="str">
        <f>"20190312154451793"</f>
        <v>20190312154451793</v>
      </c>
      <c r="B7816" t="str">
        <f>"1552376691785258"</f>
        <v>1552376691785258</v>
      </c>
      <c r="C7816" t="s">
        <v>40</v>
      </c>
      <c r="D7816">
        <v>5.0320830000000001</v>
      </c>
      <c r="E7816">
        <v>0.5429195</v>
      </c>
      <c r="F7816" t="s">
        <v>41</v>
      </c>
      <c r="G7816">
        <v>-120.2713</v>
      </c>
      <c r="H7816">
        <v>0.89723600000000003</v>
      </c>
      <c r="I7816">
        <v>139.84180000000001</v>
      </c>
      <c r="J7816">
        <v>-120.9208</v>
      </c>
      <c r="K7816">
        <v>1.111049</v>
      </c>
      <c r="L7816">
        <v>139.9427</v>
      </c>
      <c r="M7816">
        <v>0.99967930000000005</v>
      </c>
      <c r="N7816">
        <v>0</v>
      </c>
      <c r="O7816">
        <v>2.19466E-2</v>
      </c>
      <c r="P7816">
        <v>0.99914700000000001</v>
      </c>
      <c r="Q7816">
        <v>2.3530059999999998E-2</v>
      </c>
      <c r="R7816">
        <v>-3.3942119999999999E-2</v>
      </c>
      <c r="S7816">
        <v>3.0094449999999999</v>
      </c>
      <c r="T7816">
        <v>-0.89966579999999996</v>
      </c>
      <c r="U7816">
        <v>-0.4178925</v>
      </c>
      <c r="V7816">
        <v>5.5863179999999998E-2</v>
      </c>
      <c r="W7816">
        <v>3.6145749999999997E-2</v>
      </c>
      <c r="X7816">
        <v>0.997784</v>
      </c>
      <c r="Y7816">
        <v>0.15178520000000001</v>
      </c>
      <c r="Z7816">
        <v>-2.8497209999999999E-2</v>
      </c>
      <c r="AA7816">
        <v>0.98800259999999995</v>
      </c>
      <c r="AB7816">
        <v>7</v>
      </c>
      <c r="AC7816">
        <v>0.64950000000000296</v>
      </c>
      <c r="AD7816">
        <v>-0.213812999999999</v>
      </c>
      <c r="AE7816">
        <v>-0.10089999999999499</v>
      </c>
      <c r="AF7816">
        <v>0.104114156563076</v>
      </c>
      <c r="AG7816">
        <v>-0.213812999999999</v>
      </c>
      <c r="AH7816">
        <v>0.58520466263732795</v>
      </c>
      <c r="AI7816">
        <v>109.784466499389</v>
      </c>
      <c r="AJ7816">
        <v>79.912021011065605</v>
      </c>
      <c r="AK7816">
        <v>0.63168049972934104</v>
      </c>
      <c r="AL7816">
        <v>87.928549972193096</v>
      </c>
      <c r="AM7816">
        <v>86.795512435968007</v>
      </c>
      <c r="AN7816">
        <v>1.0000000603893799</v>
      </c>
    </row>
    <row r="7817" spans="1:40" x14ac:dyDescent="0.25">
      <c r="A7817" t="str">
        <f>"20190312154451815"</f>
        <v>20190312154451815</v>
      </c>
      <c r="B7817" t="str">
        <f>"1552376691805754"</f>
        <v>1552376691805754</v>
      </c>
      <c r="C7817" t="s">
        <v>40</v>
      </c>
      <c r="D7817">
        <v>4.995044</v>
      </c>
      <c r="E7817">
        <v>0.54277159999999902</v>
      </c>
      <c r="F7817" t="s">
        <v>41</v>
      </c>
      <c r="G7817">
        <v>-120.2085</v>
      </c>
      <c r="H7817">
        <v>0.89901189999999997</v>
      </c>
      <c r="I7817">
        <v>139.84370000000001</v>
      </c>
      <c r="J7817">
        <v>-120.8509</v>
      </c>
      <c r="K7817">
        <v>1.111043</v>
      </c>
      <c r="L7817">
        <v>139.9444</v>
      </c>
      <c r="M7817">
        <v>0.99967830000000002</v>
      </c>
      <c r="N7817">
        <v>0</v>
      </c>
      <c r="O7817">
        <v>2.204859E-2</v>
      </c>
      <c r="P7817">
        <v>0.99911620000000001</v>
      </c>
      <c r="Q7817">
        <v>2.3467700000000001E-2</v>
      </c>
      <c r="R7817">
        <v>-3.4875829999999997E-2</v>
      </c>
      <c r="S7817">
        <v>3.0094759999999998</v>
      </c>
      <c r="T7817">
        <v>-0.89598269999999902</v>
      </c>
      <c r="U7817">
        <v>-0.41752620000000001</v>
      </c>
      <c r="V7817">
        <v>5.6897929999999999E-2</v>
      </c>
      <c r="W7817">
        <v>3.5988970000000002E-2</v>
      </c>
      <c r="X7817">
        <v>0.99773109999999998</v>
      </c>
      <c r="Y7817">
        <v>0.15182039999999999</v>
      </c>
      <c r="Z7817">
        <v>-2.8420000000000001E-2</v>
      </c>
      <c r="AA7817">
        <v>0.98799939999999997</v>
      </c>
      <c r="AB7817">
        <v>7</v>
      </c>
      <c r="AC7817">
        <v>0.64239999999999498</v>
      </c>
      <c r="AD7817">
        <v>-0.212031099999999</v>
      </c>
      <c r="AE7817">
        <v>-0.10069999999998901</v>
      </c>
      <c r="AF7817">
        <v>0.10380348339567801</v>
      </c>
      <c r="AG7817">
        <v>-0.212031099999999</v>
      </c>
      <c r="AH7817">
        <v>0.57851166875263804</v>
      </c>
      <c r="AI7817">
        <v>109.83691115379401</v>
      </c>
      <c r="AJ7817">
        <v>79.827554210125598</v>
      </c>
      <c r="AK7817">
        <v>0.62482645703847195</v>
      </c>
      <c r="AL7817">
        <v>87.937538453787795</v>
      </c>
      <c r="AM7817">
        <v>86.736110406429304</v>
      </c>
      <c r="AN7817">
        <v>0.99999996415357695</v>
      </c>
    </row>
    <row r="7818" spans="1:40" x14ac:dyDescent="0.25">
      <c r="A7818" t="str">
        <f>"20190312154451836"</f>
        <v>20190312154451836</v>
      </c>
      <c r="B7818" t="str">
        <f>"1552376691825273"</f>
        <v>1552376691825273</v>
      </c>
      <c r="C7818" t="s">
        <v>40</v>
      </c>
      <c r="D7818">
        <v>5.0503419999999997</v>
      </c>
      <c r="E7818">
        <v>0.5427573</v>
      </c>
      <c r="F7818" t="s">
        <v>41</v>
      </c>
      <c r="G7818">
        <v>-120.1455</v>
      </c>
      <c r="H7818">
        <v>0.90163819999999995</v>
      </c>
      <c r="I7818">
        <v>139.8459</v>
      </c>
      <c r="J7818">
        <v>-120.7834</v>
      </c>
      <c r="K7818">
        <v>1.111035</v>
      </c>
      <c r="L7818">
        <v>139.946</v>
      </c>
      <c r="M7818">
        <v>0.99967689999999998</v>
      </c>
      <c r="N7818">
        <v>0</v>
      </c>
      <c r="O7818">
        <v>2.214725E-2</v>
      </c>
      <c r="P7818">
        <v>0.99910160000000003</v>
      </c>
      <c r="Q7818">
        <v>2.3044490000000001E-2</v>
      </c>
      <c r="R7818">
        <v>-3.5567359999999999E-2</v>
      </c>
      <c r="S7818">
        <v>3.008972</v>
      </c>
      <c r="T7818">
        <v>-0.89325359999999998</v>
      </c>
      <c r="U7818">
        <v>-0.41989140000000003</v>
      </c>
      <c r="V7818">
        <v>5.7687450000000001E-2</v>
      </c>
      <c r="W7818">
        <v>3.5487659999999997E-2</v>
      </c>
      <c r="X7818">
        <v>0.99770369999999997</v>
      </c>
      <c r="Y7818">
        <v>0.15270320000000001</v>
      </c>
      <c r="Z7818">
        <v>-2.8496290000000001E-2</v>
      </c>
      <c r="AA7818">
        <v>0.98786119999999999</v>
      </c>
      <c r="AB7818">
        <v>7</v>
      </c>
      <c r="AC7818">
        <v>0.63790000000000102</v>
      </c>
      <c r="AD7818">
        <v>-0.20939679999999999</v>
      </c>
      <c r="AE7818">
        <v>-0.100099999999997</v>
      </c>
      <c r="AF7818">
        <v>0.10333687557106699</v>
      </c>
      <c r="AG7818">
        <v>-0.20939679999999999</v>
      </c>
      <c r="AH7818">
        <v>0.57505126859852695</v>
      </c>
      <c r="AI7818">
        <v>109.71743449590301</v>
      </c>
      <c r="AJ7818">
        <v>79.812660750944602</v>
      </c>
      <c r="AK7818">
        <v>0.62065247217730901</v>
      </c>
      <c r="AL7818">
        <v>87.966279722708407</v>
      </c>
      <c r="AM7818">
        <v>86.690829709177294</v>
      </c>
      <c r="AN7818">
        <v>0.99999994444673201</v>
      </c>
    </row>
    <row r="7819" spans="1:40" x14ac:dyDescent="0.25">
      <c r="A7819" t="str">
        <f>"20190312154451859"</f>
        <v>20190312154451859</v>
      </c>
      <c r="B7819" t="str">
        <f>"1552376691845770"</f>
        <v>1552376691845770</v>
      </c>
      <c r="C7819" t="s">
        <v>40</v>
      </c>
      <c r="D7819">
        <v>5.0392729999999997</v>
      </c>
      <c r="E7819">
        <v>0.5423074</v>
      </c>
      <c r="F7819" t="s">
        <v>41</v>
      </c>
      <c r="G7819">
        <v>-120.0831</v>
      </c>
      <c r="H7819">
        <v>0.90290090000000001</v>
      </c>
      <c r="I7819">
        <v>139.8476</v>
      </c>
      <c r="J7819">
        <v>-120.714</v>
      </c>
      <c r="K7819">
        <v>1.1110230000000001</v>
      </c>
      <c r="L7819">
        <v>139.9477</v>
      </c>
      <c r="M7819">
        <v>0.9996756</v>
      </c>
      <c r="N7819">
        <v>0</v>
      </c>
      <c r="O7819">
        <v>2.224872E-2</v>
      </c>
      <c r="P7819">
        <v>0.9990869</v>
      </c>
      <c r="Q7819">
        <v>2.237167E-2</v>
      </c>
      <c r="R7819">
        <v>-3.6401820000000001E-2</v>
      </c>
      <c r="S7819">
        <v>3.008286</v>
      </c>
      <c r="T7819">
        <v>-0.89402130000000002</v>
      </c>
      <c r="U7819">
        <v>-0.42233280000000001</v>
      </c>
      <c r="V7819">
        <v>5.8622489999999999E-2</v>
      </c>
      <c r="W7819">
        <v>3.4744730000000001E-2</v>
      </c>
      <c r="X7819">
        <v>0.99767539999999999</v>
      </c>
      <c r="Y7819">
        <v>0.1535648</v>
      </c>
      <c r="Z7819">
        <v>-2.8678619999999998E-2</v>
      </c>
      <c r="AA7819">
        <v>0.98772230000000005</v>
      </c>
      <c r="AB7819">
        <v>7</v>
      </c>
      <c r="AC7819">
        <v>0.63089999999999602</v>
      </c>
      <c r="AD7819">
        <v>-0.20812209999999901</v>
      </c>
      <c r="AE7819">
        <v>-0.100099999999997</v>
      </c>
      <c r="AF7819">
        <v>0.103162380840559</v>
      </c>
      <c r="AG7819">
        <v>-0.20812209999999901</v>
      </c>
      <c r="AH7819">
        <v>0.56820217188852296</v>
      </c>
      <c r="AI7819">
        <v>109.818656915153</v>
      </c>
      <c r="AJ7819">
        <v>79.709513126161497</v>
      </c>
      <c r="AK7819">
        <v>0.61384932472711595</v>
      </c>
      <c r="AL7819">
        <v>88.008872856403897</v>
      </c>
      <c r="AM7819">
        <v>86.637219218693204</v>
      </c>
      <c r="AN7819">
        <v>0.99999999818086605</v>
      </c>
    </row>
    <row r="7820" spans="1:40" x14ac:dyDescent="0.25">
      <c r="A7820" t="str">
        <f>"20190312154451881"</f>
        <v>20190312154451881</v>
      </c>
      <c r="B7820" t="str">
        <f>"1552376691875050"</f>
        <v>1552376691875050</v>
      </c>
      <c r="C7820" t="s">
        <v>40</v>
      </c>
      <c r="D7820">
        <v>4.9921769999999999</v>
      </c>
      <c r="E7820">
        <v>0.54204730000000001</v>
      </c>
      <c r="F7820" t="s">
        <v>41</v>
      </c>
      <c r="G7820">
        <v>-120.02030000000001</v>
      </c>
      <c r="H7820">
        <v>0.90510460000000004</v>
      </c>
      <c r="I7820">
        <v>139.8502</v>
      </c>
      <c r="J7820">
        <v>-120.6437</v>
      </c>
      <c r="K7820">
        <v>1.111013</v>
      </c>
      <c r="L7820">
        <v>139.9494</v>
      </c>
      <c r="M7820">
        <v>0.99967410000000001</v>
      </c>
      <c r="N7820">
        <v>0</v>
      </c>
      <c r="O7820">
        <v>2.2351269999999999E-2</v>
      </c>
      <c r="P7820">
        <v>0.99911119999999998</v>
      </c>
      <c r="Q7820">
        <v>2.172928E-2</v>
      </c>
      <c r="R7820">
        <v>-3.6126449999999997E-2</v>
      </c>
      <c r="S7820">
        <v>3.0073240000000001</v>
      </c>
      <c r="T7820">
        <v>-0.89270349999999998</v>
      </c>
      <c r="U7820">
        <v>-0.42230220000000002</v>
      </c>
      <c r="V7820">
        <v>5.845028E-2</v>
      </c>
      <c r="W7820">
        <v>3.4041330000000002E-2</v>
      </c>
      <c r="X7820">
        <v>0.99770979999999998</v>
      </c>
      <c r="Y7820">
        <v>0.15370619999999999</v>
      </c>
      <c r="Z7820">
        <v>-2.8696929999999999E-2</v>
      </c>
      <c r="AA7820">
        <v>0.98769980000000002</v>
      </c>
      <c r="AB7820">
        <v>7</v>
      </c>
      <c r="AC7820">
        <v>0.62339999999998896</v>
      </c>
      <c r="AD7820">
        <v>-0.20590839999999999</v>
      </c>
      <c r="AE7820">
        <v>-9.9199999999996097E-2</v>
      </c>
      <c r="AF7820">
        <v>0.102232225421848</v>
      </c>
      <c r="AG7820">
        <v>-0.20590839999999999</v>
      </c>
      <c r="AH7820">
        <v>0.56130247534253397</v>
      </c>
      <c r="AI7820">
        <v>109.844671154056</v>
      </c>
      <c r="AJ7820">
        <v>79.677642412622902</v>
      </c>
      <c r="AK7820">
        <v>0.60655598746605399</v>
      </c>
      <c r="AL7820">
        <v>88.049198659635195</v>
      </c>
      <c r="AM7820">
        <v>86.6471905274352</v>
      </c>
      <c r="AN7820">
        <v>1.00000004619814</v>
      </c>
    </row>
    <row r="7821" spans="1:40" x14ac:dyDescent="0.25">
      <c r="A7821" t="str">
        <f>"20190312154451904"</f>
        <v>20190312154451904</v>
      </c>
      <c r="B7821" t="str">
        <f>"1552376691895547"</f>
        <v>1552376691895547</v>
      </c>
      <c r="C7821" t="s">
        <v>40</v>
      </c>
      <c r="D7821">
        <v>4.9718519999999904</v>
      </c>
      <c r="E7821">
        <v>0.54185890000000003</v>
      </c>
      <c r="F7821" t="s">
        <v>41</v>
      </c>
      <c r="G7821">
        <v>-119.9575</v>
      </c>
      <c r="H7821">
        <v>0.90767169999999997</v>
      </c>
      <c r="I7821">
        <v>139.85339999999999</v>
      </c>
      <c r="J7821">
        <v>-120.5752</v>
      </c>
      <c r="K7821">
        <v>1.1110059999999999</v>
      </c>
      <c r="L7821">
        <v>139.95099999999999</v>
      </c>
      <c r="M7821">
        <v>0.99967249999999996</v>
      </c>
      <c r="N7821">
        <v>0</v>
      </c>
      <c r="O7821">
        <v>2.2451490000000001E-2</v>
      </c>
      <c r="P7821">
        <v>0.99913739999999995</v>
      </c>
      <c r="Q7821">
        <v>2.2026130000000001E-2</v>
      </c>
      <c r="R7821">
        <v>-3.5210640000000001E-2</v>
      </c>
      <c r="S7821">
        <v>3.0068510000000002</v>
      </c>
      <c r="T7821">
        <v>-0.8909783</v>
      </c>
      <c r="U7821">
        <v>-0.4201202</v>
      </c>
      <c r="V7821">
        <v>5.7635199999999998E-2</v>
      </c>
      <c r="W7821">
        <v>3.4286759999999999E-2</v>
      </c>
      <c r="X7821">
        <v>0.99774879999999999</v>
      </c>
      <c r="Y7821">
        <v>0.1531671</v>
      </c>
      <c r="Z7821">
        <v>-2.8600460000000001E-2</v>
      </c>
      <c r="AA7821">
        <v>0.98778639999999995</v>
      </c>
      <c r="AB7821">
        <v>7</v>
      </c>
      <c r="AC7821">
        <v>0.61769999999999903</v>
      </c>
      <c r="AD7821">
        <v>-0.2033343</v>
      </c>
      <c r="AE7821">
        <v>-9.7599999999999895E-2</v>
      </c>
      <c r="AF7821">
        <v>0.100789292163513</v>
      </c>
      <c r="AG7821">
        <v>-0.2033343</v>
      </c>
      <c r="AH7821">
        <v>0.55651783519086295</v>
      </c>
      <c r="AI7821">
        <v>109.774544438978</v>
      </c>
      <c r="AJ7821">
        <v>79.734600599107694</v>
      </c>
      <c r="AK7821">
        <v>0.60101199643337899</v>
      </c>
      <c r="AL7821">
        <v>88.035128317524396</v>
      </c>
      <c r="AM7821">
        <v>86.693969428485801</v>
      </c>
      <c r="AN7821">
        <v>1.00000003304588</v>
      </c>
    </row>
    <row r="7822" spans="1:40" x14ac:dyDescent="0.25">
      <c r="A7822" t="str">
        <f>"20190312154451927"</f>
        <v>20190312154451927</v>
      </c>
      <c r="B7822" t="str">
        <f>"1552376691915066"</f>
        <v>1552376691915066</v>
      </c>
      <c r="C7822" t="s">
        <v>40</v>
      </c>
      <c r="D7822">
        <v>5.0040079999999998</v>
      </c>
      <c r="E7822">
        <v>0.54167900000000002</v>
      </c>
      <c r="F7822" t="s">
        <v>41</v>
      </c>
      <c r="G7822">
        <v>-119.8948</v>
      </c>
      <c r="H7822">
        <v>0.91007179999999999</v>
      </c>
      <c r="I7822">
        <v>139.8569</v>
      </c>
      <c r="J7822">
        <v>-120.5043</v>
      </c>
      <c r="K7822">
        <v>1.1109979999999999</v>
      </c>
      <c r="L7822">
        <v>139.95269999999999</v>
      </c>
      <c r="M7822">
        <v>0.99967070000000002</v>
      </c>
      <c r="N7822">
        <v>0</v>
      </c>
      <c r="O7822">
        <v>2.2554769999999998E-2</v>
      </c>
      <c r="P7822">
        <v>0.99918660000000004</v>
      </c>
      <c r="Q7822">
        <v>2.2874809999999999E-2</v>
      </c>
      <c r="R7822">
        <v>-3.3209780000000001E-2</v>
      </c>
      <c r="S7822">
        <v>3.0075229999999999</v>
      </c>
      <c r="T7822">
        <v>-0.88817469999999998</v>
      </c>
      <c r="U7822">
        <v>-0.41589359999999997</v>
      </c>
      <c r="V7822">
        <v>5.5739099999999903E-2</v>
      </c>
      <c r="W7822">
        <v>3.5091169999999998E-2</v>
      </c>
      <c r="X7822">
        <v>0.99782850000000001</v>
      </c>
      <c r="Y7822">
        <v>0.15196989999999999</v>
      </c>
      <c r="Z7822">
        <v>-2.8368029999999999E-2</v>
      </c>
      <c r="AA7822">
        <v>0.98797789999999996</v>
      </c>
      <c r="AB7822">
        <v>7</v>
      </c>
      <c r="AC7822">
        <v>0.60949999999999704</v>
      </c>
      <c r="AD7822">
        <v>-0.200926199999999</v>
      </c>
      <c r="AE7822">
        <v>-9.5799999999996999E-2</v>
      </c>
      <c r="AF7822">
        <v>9.9022101427715503E-2</v>
      </c>
      <c r="AG7822">
        <v>-0.200926199999999</v>
      </c>
      <c r="AH7822">
        <v>0.548964189402946</v>
      </c>
      <c r="AI7822">
        <v>109.808854228521</v>
      </c>
      <c r="AJ7822">
        <v>79.774944536839399</v>
      </c>
      <c r="AK7822">
        <v>0.59290673437264496</v>
      </c>
      <c r="AL7822">
        <v>87.989011150697905</v>
      </c>
      <c r="AM7822">
        <v>86.802757567894304</v>
      </c>
      <c r="AN7822">
        <v>0.99999997644651395</v>
      </c>
    </row>
    <row r="7823" spans="1:40" x14ac:dyDescent="0.25">
      <c r="A7823" t="str">
        <f>"20190312154451950"</f>
        <v>20190312154451950</v>
      </c>
      <c r="B7823" t="str">
        <f>"1552376691935562"</f>
        <v>1552376691935562</v>
      </c>
      <c r="C7823" t="s">
        <v>40</v>
      </c>
      <c r="D7823">
        <v>4.9875769999999999</v>
      </c>
      <c r="E7823">
        <v>0.54131949999999995</v>
      </c>
      <c r="F7823" t="s">
        <v>41</v>
      </c>
      <c r="G7823">
        <v>-119.8318</v>
      </c>
      <c r="H7823">
        <v>0.91342069999999997</v>
      </c>
      <c r="I7823">
        <v>139.8613</v>
      </c>
      <c r="J7823">
        <v>-120.4371</v>
      </c>
      <c r="K7823">
        <v>1.1109880000000001</v>
      </c>
      <c r="L7823">
        <v>139.95439999999999</v>
      </c>
      <c r="M7823">
        <v>0.99966909999999998</v>
      </c>
      <c r="N7823">
        <v>0</v>
      </c>
      <c r="O7823">
        <v>2.265263E-2</v>
      </c>
      <c r="P7823">
        <v>0.99922500000000003</v>
      </c>
      <c r="Q7823">
        <v>2.356977E-2</v>
      </c>
      <c r="R7823">
        <v>-3.1529389999999997E-2</v>
      </c>
      <c r="S7823">
        <v>3.0090789999999998</v>
      </c>
      <c r="T7823">
        <v>-0.88402019999999903</v>
      </c>
      <c r="U7823">
        <v>-0.40892030000000001</v>
      </c>
      <c r="V7823">
        <v>5.4157900000000002E-2</v>
      </c>
      <c r="W7823">
        <v>3.5749749999999997E-2</v>
      </c>
      <c r="X7823">
        <v>0.99789220000000001</v>
      </c>
      <c r="Y7823">
        <v>0.149902799999999</v>
      </c>
      <c r="Z7823">
        <v>-2.7962870000000001E-2</v>
      </c>
      <c r="AA7823">
        <v>0.98830519999999999</v>
      </c>
      <c r="AB7823">
        <v>7</v>
      </c>
      <c r="AC7823">
        <v>0.60529999999999895</v>
      </c>
      <c r="AD7823">
        <v>-0.197567299999999</v>
      </c>
      <c r="AE7823">
        <v>-9.3099999999992605E-2</v>
      </c>
      <c r="AF7823">
        <v>9.6722633567453906E-2</v>
      </c>
      <c r="AG7823">
        <v>-0.197567299999999</v>
      </c>
      <c r="AH7823">
        <v>0.54619216693679395</v>
      </c>
      <c r="AI7823">
        <v>109.604677403395</v>
      </c>
      <c r="AJ7823">
        <v>79.957864075089802</v>
      </c>
      <c r="AK7823">
        <v>0.588824242959327</v>
      </c>
      <c r="AL7823">
        <v>87.951253614737098</v>
      </c>
      <c r="AM7823">
        <v>86.8934742236912</v>
      </c>
      <c r="AN7823">
        <v>0.99999998278915603</v>
      </c>
    </row>
    <row r="7824" spans="1:40" x14ac:dyDescent="0.25">
      <c r="A7824" t="str">
        <f>"20190312154451971"</f>
        <v>20190312154451971</v>
      </c>
      <c r="B7824" t="str">
        <f>"1552376691965819"</f>
        <v>1552376691965819</v>
      </c>
      <c r="C7824" t="s">
        <v>40</v>
      </c>
      <c r="D7824">
        <v>4.9905200000000001</v>
      </c>
      <c r="E7824">
        <v>0.54111119999999902</v>
      </c>
      <c r="F7824" t="s">
        <v>41</v>
      </c>
      <c r="G7824">
        <v>-119.7139</v>
      </c>
      <c r="H7824">
        <v>0.89955370000000001</v>
      </c>
      <c r="I7824">
        <v>139.85810000000001</v>
      </c>
      <c r="J7824">
        <v>-120.3672</v>
      </c>
      <c r="K7824">
        <v>1.110981</v>
      </c>
      <c r="L7824">
        <v>139.95609999999999</v>
      </c>
      <c r="M7824">
        <v>0.99966710000000003</v>
      </c>
      <c r="N7824">
        <v>0</v>
      </c>
      <c r="O7824">
        <v>2.2754819999999999E-2</v>
      </c>
      <c r="P7824">
        <v>0.99927770000000005</v>
      </c>
      <c r="Q7824">
        <v>2.3533160000000001E-2</v>
      </c>
      <c r="R7824">
        <v>-2.9842810000000001E-2</v>
      </c>
      <c r="S7824">
        <v>3.0104519999999999</v>
      </c>
      <c r="T7824">
        <v>-0.88019040000000004</v>
      </c>
      <c r="U7824">
        <v>-0.4004974</v>
      </c>
      <c r="V7824">
        <v>5.2574650000000001E-2</v>
      </c>
      <c r="W7824">
        <v>3.5681129999999998E-2</v>
      </c>
      <c r="X7824">
        <v>0.99797930000000001</v>
      </c>
      <c r="Y7824">
        <v>0.1473902</v>
      </c>
      <c r="Z7824">
        <v>-2.7510130000000001E-2</v>
      </c>
      <c r="AA7824">
        <v>0.98869580000000001</v>
      </c>
      <c r="AB7824">
        <v>7</v>
      </c>
      <c r="AC7824">
        <v>0.65330000000000099</v>
      </c>
      <c r="AD7824">
        <v>-0.21142730000000001</v>
      </c>
      <c r="AE7824">
        <v>-9.7999999999984697E-2</v>
      </c>
      <c r="AF7824">
        <v>0.10235689883502699</v>
      </c>
      <c r="AG7824">
        <v>-0.21142730000000001</v>
      </c>
      <c r="AH7824">
        <v>0.59042291830577098</v>
      </c>
      <c r="AI7824">
        <v>109.43446444179401</v>
      </c>
      <c r="AJ7824">
        <v>80.164841390349295</v>
      </c>
      <c r="AK7824">
        <v>0.63543501665010305</v>
      </c>
      <c r="AL7824">
        <v>87.955187714652595</v>
      </c>
      <c r="AM7824">
        <v>86.984382839323999</v>
      </c>
      <c r="AN7824">
        <v>0.99999996004459402</v>
      </c>
    </row>
    <row r="7825" spans="1:40" x14ac:dyDescent="0.25">
      <c r="A7825" t="str">
        <f>"20190312154451996"</f>
        <v>20190312154451996</v>
      </c>
      <c r="B7825" t="str">
        <f>"1552376691985338"</f>
        <v>1552376691985338</v>
      </c>
      <c r="C7825" t="s">
        <v>40</v>
      </c>
      <c r="D7825">
        <v>4.9763570000000001</v>
      </c>
      <c r="E7825">
        <v>0.54096299999999997</v>
      </c>
      <c r="F7825" t="s">
        <v>41</v>
      </c>
      <c r="G7825">
        <v>-119.65130000000001</v>
      </c>
      <c r="H7825">
        <v>0.90219179999999999</v>
      </c>
      <c r="I7825">
        <v>139.8621</v>
      </c>
      <c r="J7825">
        <v>-120.29179999999999</v>
      </c>
      <c r="K7825">
        <v>1.11097</v>
      </c>
      <c r="L7825">
        <v>139.958</v>
      </c>
      <c r="M7825">
        <v>0.99966489999999997</v>
      </c>
      <c r="N7825">
        <v>0</v>
      </c>
      <c r="O7825">
        <v>2.2864849999999999E-2</v>
      </c>
      <c r="P7825">
        <v>0.99931979999999998</v>
      </c>
      <c r="Q7825">
        <v>2.3280450000000001E-2</v>
      </c>
      <c r="R7825">
        <v>-2.8608999999999999E-2</v>
      </c>
      <c r="S7825">
        <v>3.011047</v>
      </c>
      <c r="T7825">
        <v>-0.87816229999999995</v>
      </c>
      <c r="U7825">
        <v>-0.39514159999999998</v>
      </c>
      <c r="V7825">
        <v>5.1451999999999998E-2</v>
      </c>
      <c r="W7825">
        <v>3.5398550000000001E-2</v>
      </c>
      <c r="X7825">
        <v>0.99804789999999999</v>
      </c>
      <c r="Y7825">
        <v>0.145836299999999</v>
      </c>
      <c r="Z7825">
        <v>-2.725729E-2</v>
      </c>
      <c r="AA7825">
        <v>0.98893310000000001</v>
      </c>
      <c r="AB7825">
        <v>7</v>
      </c>
      <c r="AC7825">
        <v>0.64049999999998797</v>
      </c>
      <c r="AD7825">
        <v>-0.2087782</v>
      </c>
      <c r="AE7825">
        <v>-9.5900000000000304E-2</v>
      </c>
      <c r="AF7825">
        <v>0.10011670711122</v>
      </c>
      <c r="AG7825">
        <v>-0.2087782</v>
      </c>
      <c r="AH7825">
        <v>0.57806636595315297</v>
      </c>
      <c r="AI7825">
        <v>109.589051171417</v>
      </c>
      <c r="AJ7825">
        <v>80.1742750164981</v>
      </c>
      <c r="AK7825">
        <v>0.62271375067868695</v>
      </c>
      <c r="AL7825">
        <v>87.971388648545599</v>
      </c>
      <c r="AM7825">
        <v>87.048864075852194</v>
      </c>
      <c r="AN7825">
        <v>0.99999998817025604</v>
      </c>
    </row>
    <row r="7826" spans="1:40" x14ac:dyDescent="0.25">
      <c r="A7826" t="str">
        <f>"20190312154452015"</f>
        <v>20190312154452015</v>
      </c>
      <c r="B7826" t="str">
        <f>"1552376692005836"</f>
        <v>1552376692005836</v>
      </c>
      <c r="C7826" t="s">
        <v>40</v>
      </c>
      <c r="D7826">
        <v>5.0705689999999999</v>
      </c>
      <c r="E7826">
        <v>0.54104730000000001</v>
      </c>
      <c r="F7826" t="s">
        <v>41</v>
      </c>
      <c r="G7826">
        <v>-119.5883</v>
      </c>
      <c r="H7826">
        <v>0.90587620000000002</v>
      </c>
      <c r="I7826">
        <v>139.8664</v>
      </c>
      <c r="J7826">
        <v>-120.2307</v>
      </c>
      <c r="K7826">
        <v>1.110957</v>
      </c>
      <c r="L7826">
        <v>139.95949999999999</v>
      </c>
      <c r="M7826">
        <v>0.99966319999999997</v>
      </c>
      <c r="N7826">
        <v>0</v>
      </c>
      <c r="O7826">
        <v>2.2953790000000002E-2</v>
      </c>
      <c r="P7826">
        <v>0.99935070000000004</v>
      </c>
      <c r="Q7826">
        <v>2.2933439999999999E-2</v>
      </c>
      <c r="R7826">
        <v>-2.7797840000000001E-2</v>
      </c>
      <c r="S7826">
        <v>3.0112760000000001</v>
      </c>
      <c r="T7826">
        <v>-0.87792019999999904</v>
      </c>
      <c r="U7826">
        <v>-0.39131159999999998</v>
      </c>
      <c r="V7826">
        <v>5.0730690000000002E-2</v>
      </c>
      <c r="W7826">
        <v>3.5031130000000001E-2</v>
      </c>
      <c r="X7826">
        <v>0.99809780000000003</v>
      </c>
      <c r="Y7826">
        <v>0.14472309999999999</v>
      </c>
      <c r="Z7826">
        <v>-2.711715E-2</v>
      </c>
      <c r="AA7826">
        <v>0.9891006</v>
      </c>
      <c r="AB7826">
        <v>7</v>
      </c>
      <c r="AC7826">
        <v>0.64239999999999498</v>
      </c>
      <c r="AD7826">
        <v>-0.20508080000000001</v>
      </c>
      <c r="AE7826">
        <v>-9.3099999999992605E-2</v>
      </c>
      <c r="AF7826">
        <v>9.8036217904192105E-2</v>
      </c>
      <c r="AG7826">
        <v>-0.20508080000000001</v>
      </c>
      <c r="AH7826">
        <v>0.58199918130309602</v>
      </c>
      <c r="AI7826">
        <v>109.161200936017</v>
      </c>
      <c r="AJ7826">
        <v>80.438438538424293</v>
      </c>
      <c r="AK7826">
        <v>0.62481379753257105</v>
      </c>
      <c r="AL7826">
        <v>87.992453354377005</v>
      </c>
      <c r="AM7826">
        <v>87.090309924319499</v>
      </c>
      <c r="AN7826">
        <v>1.00000000067089</v>
      </c>
    </row>
    <row r="7827" spans="1:40" x14ac:dyDescent="0.25">
      <c r="A7827" t="str">
        <f>"20190312154452039"</f>
        <v>20190312154452039</v>
      </c>
      <c r="B7827" t="str">
        <f>"1552376692025354"</f>
        <v>1552376692025354</v>
      </c>
      <c r="C7827" t="s">
        <v>40</v>
      </c>
      <c r="D7827">
        <v>4.97912</v>
      </c>
      <c r="E7827">
        <v>0.54096279999999997</v>
      </c>
      <c r="F7827" t="s">
        <v>41</v>
      </c>
      <c r="G7827">
        <v>-119.5269</v>
      </c>
      <c r="H7827">
        <v>0.90571840000000003</v>
      </c>
      <c r="I7827">
        <v>139.8683</v>
      </c>
      <c r="J7827">
        <v>-120.16289999999999</v>
      </c>
      <c r="K7827">
        <v>1.110949</v>
      </c>
      <c r="L7827">
        <v>139.96119999999999</v>
      </c>
      <c r="M7827">
        <v>0.99966109999999997</v>
      </c>
      <c r="N7827">
        <v>0</v>
      </c>
      <c r="O7827">
        <v>2.305256E-2</v>
      </c>
      <c r="P7827">
        <v>0.99938170000000004</v>
      </c>
      <c r="Q7827">
        <v>2.1770589999999999E-2</v>
      </c>
      <c r="R7827">
        <v>-2.7619520000000002E-2</v>
      </c>
      <c r="S7827">
        <v>3.0112610000000002</v>
      </c>
      <c r="T7827">
        <v>-0.87807169999999901</v>
      </c>
      <c r="U7827">
        <v>-0.39001459999999999</v>
      </c>
      <c r="V7827">
        <v>5.0651759999999997E-2</v>
      </c>
      <c r="W7827">
        <v>3.3848320000000001E-2</v>
      </c>
      <c r="X7827">
        <v>0.99814259999999999</v>
      </c>
      <c r="Y7827">
        <v>0.14440839999999999</v>
      </c>
      <c r="Z7827">
        <v>-2.7105830000000001E-2</v>
      </c>
      <c r="AA7827">
        <v>0.98914679999999999</v>
      </c>
      <c r="AB7827">
        <v>7</v>
      </c>
      <c r="AC7827">
        <v>0.63599999999999501</v>
      </c>
      <c r="AD7827">
        <v>-0.20523059999999901</v>
      </c>
      <c r="AE7827">
        <v>-9.2899999999985994E-2</v>
      </c>
      <c r="AF7827">
        <v>9.7588354709469902E-2</v>
      </c>
      <c r="AG7827">
        <v>-0.20523059999999901</v>
      </c>
      <c r="AH7827">
        <v>0.575059962987444</v>
      </c>
      <c r="AI7827">
        <v>109.38468017560299</v>
      </c>
      <c r="AJ7827">
        <v>80.368595686800603</v>
      </c>
      <c r="AK7827">
        <v>0.61833409026381603</v>
      </c>
      <c r="AL7827">
        <v>88.060263565283293</v>
      </c>
      <c r="AM7827">
        <v>87.094959412348601</v>
      </c>
      <c r="AN7827">
        <v>0.99999997974633903</v>
      </c>
    </row>
    <row r="7828" spans="1:40" x14ac:dyDescent="0.25">
      <c r="A7828" t="str">
        <f>"20190312154452060"</f>
        <v>20190312154452060</v>
      </c>
      <c r="B7828" t="str">
        <f>"1552376692055611"</f>
        <v>1552376692055611</v>
      </c>
      <c r="C7828" t="s">
        <v>40</v>
      </c>
      <c r="D7828">
        <v>5.0589899999999997</v>
      </c>
      <c r="E7828">
        <v>0.54095729999999997</v>
      </c>
      <c r="F7828" t="s">
        <v>41</v>
      </c>
      <c r="G7828">
        <v>-119.465</v>
      </c>
      <c r="H7828">
        <v>0.90672079999999999</v>
      </c>
      <c r="I7828">
        <v>139.8708</v>
      </c>
      <c r="J7828">
        <v>-120.0941</v>
      </c>
      <c r="K7828">
        <v>1.11094</v>
      </c>
      <c r="L7828">
        <v>139.96289999999999</v>
      </c>
      <c r="M7828">
        <v>0.99965899999999996</v>
      </c>
      <c r="N7828">
        <v>0</v>
      </c>
      <c r="O7828">
        <v>2.315298E-2</v>
      </c>
      <c r="P7828">
        <v>0.99941400000000002</v>
      </c>
      <c r="Q7828">
        <v>2.095669E-2</v>
      </c>
      <c r="R7828">
        <v>-2.7068180000000001E-2</v>
      </c>
      <c r="S7828">
        <v>3.0103</v>
      </c>
      <c r="T7828">
        <v>-0.88087549999999903</v>
      </c>
      <c r="U7828">
        <v>-0.38926699999999997</v>
      </c>
      <c r="V7828">
        <v>5.0201719999999998E-2</v>
      </c>
      <c r="W7828">
        <v>3.3016700000000003E-2</v>
      </c>
      <c r="X7828">
        <v>0.9981932</v>
      </c>
      <c r="Y7828">
        <v>0.14426059999999999</v>
      </c>
      <c r="Z7828">
        <v>-2.7205210000000001E-2</v>
      </c>
      <c r="AA7828">
        <v>0.98916570000000004</v>
      </c>
      <c r="AB7828">
        <v>7</v>
      </c>
      <c r="AC7828">
        <v>0.629099999999994</v>
      </c>
      <c r="AD7828">
        <v>-0.20421919999999999</v>
      </c>
      <c r="AE7828">
        <v>-9.2099999999987803E-2</v>
      </c>
      <c r="AF7828">
        <v>9.6668806291014001E-2</v>
      </c>
      <c r="AG7828">
        <v>-0.20421919999999999</v>
      </c>
      <c r="AH7828">
        <v>0.56818085116419803</v>
      </c>
      <c r="AI7828">
        <v>109.51099625790999</v>
      </c>
      <c r="AJ7828">
        <v>80.344304173298497</v>
      </c>
      <c r="AK7828">
        <v>0.61145712800493401</v>
      </c>
      <c r="AL7828">
        <v>88.107938554293597</v>
      </c>
      <c r="AM7828">
        <v>87.120872729378505</v>
      </c>
      <c r="AN7828">
        <v>0.99999998984804395</v>
      </c>
    </row>
    <row r="7829" spans="1:40" x14ac:dyDescent="0.25">
      <c r="A7829" t="str">
        <f>"20190312154452082"</f>
        <v>20190312154452082</v>
      </c>
      <c r="B7829" t="str">
        <f>"1552376692075130"</f>
        <v>1552376692075130</v>
      </c>
      <c r="C7829" t="s">
        <v>40</v>
      </c>
      <c r="D7829">
        <v>5.0336220000000003</v>
      </c>
      <c r="E7829">
        <v>0.5409735</v>
      </c>
      <c r="F7829" t="s">
        <v>41</v>
      </c>
      <c r="G7829">
        <v>-119.4029</v>
      </c>
      <c r="H7829">
        <v>0.90839639999999999</v>
      </c>
      <c r="I7829">
        <v>139.87379999999999</v>
      </c>
      <c r="J7829">
        <v>-120.0257</v>
      </c>
      <c r="K7829">
        <v>1.1109329999999999</v>
      </c>
      <c r="L7829">
        <v>139.96459999999999</v>
      </c>
      <c r="M7829">
        <v>0.99965700000000002</v>
      </c>
      <c r="N7829">
        <v>0</v>
      </c>
      <c r="O7829">
        <v>2.3252849999999999E-2</v>
      </c>
      <c r="P7829">
        <v>0.99941060000000004</v>
      </c>
      <c r="Q7829">
        <v>2.0820729999999999E-2</v>
      </c>
      <c r="R7829">
        <v>-2.7300560000000001E-2</v>
      </c>
      <c r="S7829">
        <v>3.0097499999999999</v>
      </c>
      <c r="T7829">
        <v>-0.88195749999999995</v>
      </c>
      <c r="U7829">
        <v>-0.38804630000000001</v>
      </c>
      <c r="V7829">
        <v>5.053378E-2</v>
      </c>
      <c r="W7829">
        <v>3.2865640000000002E-2</v>
      </c>
      <c r="X7829">
        <v>0.99818150000000005</v>
      </c>
      <c r="Y7829">
        <v>0.14397579999999999</v>
      </c>
      <c r="Z7829">
        <v>-2.7230540000000001E-2</v>
      </c>
      <c r="AA7829">
        <v>0.98920649999999999</v>
      </c>
      <c r="AB7829">
        <v>7</v>
      </c>
      <c r="AC7829">
        <v>0.62279999999999702</v>
      </c>
      <c r="AD7829">
        <v>-0.20253660000000001</v>
      </c>
      <c r="AE7829">
        <v>-9.0800000000001505E-2</v>
      </c>
      <c r="AF7829">
        <v>9.5381086321309302E-2</v>
      </c>
      <c r="AG7829">
        <v>-0.20253660000000001</v>
      </c>
      <c r="AH7829">
        <v>0.56229140828684498</v>
      </c>
      <c r="AI7829">
        <v>109.55125623533399</v>
      </c>
      <c r="AJ7829">
        <v>80.372600066381693</v>
      </c>
      <c r="AK7829">
        <v>0.60521917831525895</v>
      </c>
      <c r="AL7829">
        <v>88.116598486901395</v>
      </c>
      <c r="AM7829">
        <v>87.101827148835696</v>
      </c>
      <c r="AN7829">
        <v>1.0000000600779699</v>
      </c>
    </row>
    <row r="7830" spans="1:40" x14ac:dyDescent="0.25">
      <c r="A7830" t="str">
        <f>"20190312154452110"</f>
        <v>20190312154452110</v>
      </c>
      <c r="B7830" t="str">
        <f>"1552376692095626"</f>
        <v>1552376692095626</v>
      </c>
      <c r="C7830" t="s">
        <v>40</v>
      </c>
      <c r="D7830">
        <v>5.0591330000000001</v>
      </c>
      <c r="E7830">
        <v>0.54083680000000001</v>
      </c>
      <c r="F7830" t="s">
        <v>41</v>
      </c>
      <c r="G7830">
        <v>-119.3407</v>
      </c>
      <c r="H7830">
        <v>0.9101688</v>
      </c>
      <c r="I7830">
        <v>139.8759</v>
      </c>
      <c r="J7830">
        <v>-119.94450000000001</v>
      </c>
      <c r="K7830">
        <v>1.11093</v>
      </c>
      <c r="L7830">
        <v>139.9666</v>
      </c>
      <c r="M7830">
        <v>0.9996543</v>
      </c>
      <c r="N7830">
        <v>0</v>
      </c>
      <c r="O7830">
        <v>2.3371429999999999E-2</v>
      </c>
      <c r="P7830">
        <v>0.99941020000000003</v>
      </c>
      <c r="Q7830">
        <v>2.0967969999999999E-2</v>
      </c>
      <c r="R7830">
        <v>-2.7197510000000001E-2</v>
      </c>
      <c r="S7830">
        <v>3.009506</v>
      </c>
      <c r="T7830">
        <v>-0.88214519999999996</v>
      </c>
      <c r="U7830">
        <v>-0.38928220000000002</v>
      </c>
      <c r="V7830">
        <v>5.0549110000000001E-2</v>
      </c>
      <c r="W7830">
        <v>3.2997650000000003E-2</v>
      </c>
      <c r="X7830">
        <v>0.99817630000000002</v>
      </c>
      <c r="Y7830">
        <v>0.14447370000000001</v>
      </c>
      <c r="Z7830">
        <v>-2.7342660000000001E-2</v>
      </c>
      <c r="AA7830">
        <v>0.98913079999999998</v>
      </c>
      <c r="AB7830">
        <v>7</v>
      </c>
      <c r="AC7830">
        <v>0.603800000000006</v>
      </c>
      <c r="AD7830">
        <v>-0.2007612</v>
      </c>
      <c r="AE7830">
        <v>-9.0699999999998199E-2</v>
      </c>
      <c r="AF7830">
        <v>9.4564187149224099E-2</v>
      </c>
      <c r="AG7830">
        <v>-0.2007612</v>
      </c>
      <c r="AH7830">
        <v>0.54282774086133001</v>
      </c>
      <c r="AI7830">
        <v>110.01950920895899</v>
      </c>
      <c r="AJ7830">
        <v>80.117866869356902</v>
      </c>
      <c r="AK7830">
        <v>0.58643789199304697</v>
      </c>
      <c r="AL7830">
        <v>88.109030637379803</v>
      </c>
      <c r="AM7830">
        <v>87.100934377706807</v>
      </c>
      <c r="AN7830">
        <v>0.99999999165450204</v>
      </c>
    </row>
    <row r="7831" spans="1:40" x14ac:dyDescent="0.25">
      <c r="A7831" t="str">
        <f>"20190312154452127"</f>
        <v>20190312154452127</v>
      </c>
      <c r="B7831" t="str">
        <f>"1552376692115146"</f>
        <v>1552376692115146</v>
      </c>
      <c r="C7831" t="s">
        <v>40</v>
      </c>
      <c r="D7831">
        <v>5.0745610000000001</v>
      </c>
      <c r="E7831">
        <v>0.54086849999999997</v>
      </c>
      <c r="F7831" t="s">
        <v>41</v>
      </c>
      <c r="G7831">
        <v>-119.2221</v>
      </c>
      <c r="H7831">
        <v>0.89961729999999995</v>
      </c>
      <c r="I7831">
        <v>139.87350000000001</v>
      </c>
      <c r="J7831">
        <v>-119.8869</v>
      </c>
      <c r="K7831">
        <v>1.1109309999999999</v>
      </c>
      <c r="L7831">
        <v>139.96809999999999</v>
      </c>
      <c r="M7831">
        <v>0.9996524</v>
      </c>
      <c r="N7831">
        <v>0</v>
      </c>
      <c r="O7831">
        <v>2.3455469999999999E-2</v>
      </c>
      <c r="P7831">
        <v>0.99939800000000001</v>
      </c>
      <c r="Q7831">
        <v>2.167523E-2</v>
      </c>
      <c r="R7831">
        <v>-2.7094630000000001E-2</v>
      </c>
      <c r="S7831">
        <v>3.0097049999999999</v>
      </c>
      <c r="T7831">
        <v>-0.88045280000000004</v>
      </c>
      <c r="U7831">
        <v>-0.38777159999999999</v>
      </c>
      <c r="V7831">
        <v>5.0529980000000002E-2</v>
      </c>
      <c r="W7831">
        <v>3.3695820000000001E-2</v>
      </c>
      <c r="X7831">
        <v>0.99815390000000004</v>
      </c>
      <c r="Y7831">
        <v>0.1440987</v>
      </c>
      <c r="Z7831">
        <v>-2.7261859999999999E-2</v>
      </c>
      <c r="AA7831">
        <v>0.9891877</v>
      </c>
      <c r="AB7831">
        <v>7</v>
      </c>
      <c r="AC7831">
        <v>0.66479999999999895</v>
      </c>
      <c r="AD7831">
        <v>-0.21131369999999899</v>
      </c>
      <c r="AE7831">
        <v>-9.4599999999985501E-2</v>
      </c>
      <c r="AF7831">
        <v>0.100241383332434</v>
      </c>
      <c r="AG7831">
        <v>-0.21131369999999899</v>
      </c>
      <c r="AH7831">
        <v>0.60271145710955398</v>
      </c>
      <c r="AI7831">
        <v>109.078163930652</v>
      </c>
      <c r="AJ7831">
        <v>80.557151321255304</v>
      </c>
      <c r="AK7831">
        <v>0.64650051451736001</v>
      </c>
      <c r="AL7831">
        <v>88.069006096911494</v>
      </c>
      <c r="AM7831">
        <v>87.101964716984995</v>
      </c>
      <c r="AN7831">
        <v>0.99999994762473998</v>
      </c>
    </row>
    <row r="7832" spans="1:40" x14ac:dyDescent="0.25">
      <c r="A7832" t="str">
        <f>"20190312154452153"</f>
        <v>20190312154452153</v>
      </c>
      <c r="B7832" t="str">
        <f>"1552376692145403"</f>
        <v>1552376692145403</v>
      </c>
      <c r="C7832" t="s">
        <v>40</v>
      </c>
      <c r="D7832">
        <v>5.0687490000000004</v>
      </c>
      <c r="E7832">
        <v>0.54085030000000001</v>
      </c>
      <c r="F7832" t="s">
        <v>41</v>
      </c>
      <c r="G7832">
        <v>-119.2159</v>
      </c>
      <c r="H7832">
        <v>0.91524989999999995</v>
      </c>
      <c r="I7832">
        <v>139.88159999999999</v>
      </c>
      <c r="J7832">
        <v>-119.81019999999999</v>
      </c>
      <c r="K7832">
        <v>1.110932</v>
      </c>
      <c r="L7832">
        <v>139.97</v>
      </c>
      <c r="M7832">
        <v>0.99965000000000004</v>
      </c>
      <c r="N7832">
        <v>0</v>
      </c>
      <c r="O7832">
        <v>2.3567100000000001E-2</v>
      </c>
      <c r="P7832">
        <v>0.99938249999999995</v>
      </c>
      <c r="Q7832">
        <v>2.2644379999999999E-2</v>
      </c>
      <c r="R7832">
        <v>-2.6875219999999998E-2</v>
      </c>
      <c r="S7832">
        <v>3.0103300000000002</v>
      </c>
      <c r="T7832">
        <v>-0.8778319</v>
      </c>
      <c r="U7832">
        <v>-0.38766479999999998</v>
      </c>
      <c r="V7832">
        <v>5.0421639999999997E-2</v>
      </c>
      <c r="W7832">
        <v>3.465418E-2</v>
      </c>
      <c r="X7832">
        <v>0.99812659999999997</v>
      </c>
      <c r="Y7832">
        <v>0.14418349999999999</v>
      </c>
      <c r="Z7832">
        <v>-2.7222449999999999E-2</v>
      </c>
      <c r="AA7832">
        <v>0.98917650000000001</v>
      </c>
      <c r="AB7832">
        <v>7</v>
      </c>
      <c r="AC7832">
        <v>0.59429999999998895</v>
      </c>
      <c r="AD7832">
        <v>-0.1956821</v>
      </c>
      <c r="AE7832">
        <v>-8.8400000000007098E-2</v>
      </c>
      <c r="AF7832">
        <v>9.2564232059014401E-2</v>
      </c>
      <c r="AG7832">
        <v>-0.1956821</v>
      </c>
      <c r="AH7832">
        <v>0.53527554550508705</v>
      </c>
      <c r="AI7832">
        <v>109.81034866917599</v>
      </c>
      <c r="AJ7832">
        <v>80.188973409349899</v>
      </c>
      <c r="AK7832">
        <v>0.57739027609828497</v>
      </c>
      <c r="AL7832">
        <v>88.014064082919703</v>
      </c>
      <c r="AM7832">
        <v>87.108088798846296</v>
      </c>
      <c r="AN7832">
        <v>0.99999998179965999</v>
      </c>
    </row>
    <row r="7833" spans="1:40" x14ac:dyDescent="0.25">
      <c r="A7833" t="str">
        <f>"20190312154452174"</f>
        <v>20190312154452174</v>
      </c>
      <c r="B7833" t="str">
        <f>"1552376692164922"</f>
        <v>1552376692164922</v>
      </c>
      <c r="C7833" t="s">
        <v>40</v>
      </c>
      <c r="D7833">
        <v>5.0913969999999997</v>
      </c>
      <c r="E7833">
        <v>0.54082010000000003</v>
      </c>
      <c r="F7833" t="s">
        <v>41</v>
      </c>
      <c r="G7833">
        <v>-119.09780000000001</v>
      </c>
      <c r="H7833">
        <v>0.90396889999999996</v>
      </c>
      <c r="I7833">
        <v>139.8783</v>
      </c>
      <c r="J7833">
        <v>-119.74550000000001</v>
      </c>
      <c r="K7833">
        <v>1.1109340000000001</v>
      </c>
      <c r="L7833">
        <v>139.9716</v>
      </c>
      <c r="M7833">
        <v>0.99964770000000003</v>
      </c>
      <c r="N7833">
        <v>0</v>
      </c>
      <c r="O7833">
        <v>2.3661919999999999E-2</v>
      </c>
      <c r="P7833">
        <v>0.99935589999999996</v>
      </c>
      <c r="Q7833">
        <v>2.3996030000000002E-2</v>
      </c>
      <c r="R7833">
        <v>-2.6690040000000002E-2</v>
      </c>
      <c r="S7833">
        <v>3.0112760000000001</v>
      </c>
      <c r="T7833">
        <v>-0.87485469999999899</v>
      </c>
      <c r="U7833">
        <v>-0.38687129999999997</v>
      </c>
      <c r="V7833">
        <v>5.0330590000000001E-2</v>
      </c>
      <c r="W7833">
        <v>3.5998019999999999E-2</v>
      </c>
      <c r="X7833">
        <v>0.99808370000000002</v>
      </c>
      <c r="Y7833">
        <v>0.144033299999999</v>
      </c>
      <c r="Z7833">
        <v>-2.7131659999999998E-2</v>
      </c>
      <c r="AA7833">
        <v>0.98920079999999999</v>
      </c>
      <c r="AB7833">
        <v>7</v>
      </c>
      <c r="AC7833">
        <v>0.64770000000000005</v>
      </c>
      <c r="AD7833">
        <v>-0.20696509999999901</v>
      </c>
      <c r="AE7833">
        <v>-9.3299999999999203E-2</v>
      </c>
      <c r="AF7833">
        <v>9.8725379735272095E-2</v>
      </c>
      <c r="AG7833">
        <v>-0.20696509999999901</v>
      </c>
      <c r="AH7833">
        <v>0.58663058262116496</v>
      </c>
      <c r="AI7833">
        <v>109.18333302464499</v>
      </c>
      <c r="AJ7833">
        <v>80.447080046186699</v>
      </c>
      <c r="AK7833">
        <v>0.629854501998939</v>
      </c>
      <c r="AL7833">
        <v>87.937019765803498</v>
      </c>
      <c r="AM7833">
        <v>87.113178224037398</v>
      </c>
      <c r="AN7833">
        <v>1.0000000489696701</v>
      </c>
    </row>
    <row r="7834" spans="1:40" x14ac:dyDescent="0.25">
      <c r="A7834" t="str">
        <f>"20190312154452195"</f>
        <v>20190312154452195</v>
      </c>
      <c r="B7834" t="str">
        <f>"1552376692185419"</f>
        <v>1552376692185419</v>
      </c>
      <c r="C7834" t="s">
        <v>40</v>
      </c>
      <c r="D7834">
        <v>5.078697</v>
      </c>
      <c r="E7834">
        <v>0.54089030000000005</v>
      </c>
      <c r="F7834" t="s">
        <v>41</v>
      </c>
      <c r="G7834">
        <v>-119.03579999999999</v>
      </c>
      <c r="H7834">
        <v>0.90591010000000005</v>
      </c>
      <c r="I7834">
        <v>139.88040000000001</v>
      </c>
      <c r="J7834">
        <v>-119.68259999999999</v>
      </c>
      <c r="K7834">
        <v>1.1109389999999999</v>
      </c>
      <c r="L7834">
        <v>139.97319999999999</v>
      </c>
      <c r="M7834">
        <v>0.99964569999999997</v>
      </c>
      <c r="N7834">
        <v>0</v>
      </c>
      <c r="O7834">
        <v>2.3753739999999999E-2</v>
      </c>
      <c r="P7834">
        <v>0.99937220000000004</v>
      </c>
      <c r="Q7834">
        <v>2.424989E-2</v>
      </c>
      <c r="R7834">
        <v>-2.5828790000000001E-2</v>
      </c>
      <c r="S7834">
        <v>3.0124970000000002</v>
      </c>
      <c r="T7834">
        <v>-0.87030719999999995</v>
      </c>
      <c r="U7834">
        <v>-0.3871155</v>
      </c>
      <c r="V7834">
        <v>4.956174E-2</v>
      </c>
      <c r="W7834">
        <v>3.624629E-2</v>
      </c>
      <c r="X7834">
        <v>0.99811320000000003</v>
      </c>
      <c r="Y7834">
        <v>0.14421600000000001</v>
      </c>
      <c r="Z7834">
        <v>-2.7037240000000001E-2</v>
      </c>
      <c r="AA7834">
        <v>0.98917679999999997</v>
      </c>
      <c r="AB7834">
        <v>7</v>
      </c>
      <c r="AC7834">
        <v>0.64679999999999804</v>
      </c>
      <c r="AD7834">
        <v>-0.20502889999999899</v>
      </c>
      <c r="AE7834">
        <v>-9.2799999999982605E-2</v>
      </c>
      <c r="AF7834">
        <v>9.8446245108031002E-2</v>
      </c>
      <c r="AG7834">
        <v>-0.20502889999999899</v>
      </c>
      <c r="AH7834">
        <v>0.58665357870249102</v>
      </c>
      <c r="AI7834">
        <v>109.017515446196</v>
      </c>
      <c r="AJ7834">
        <v>80.4739606828593</v>
      </c>
      <c r="AK7834">
        <v>0.62919864463897301</v>
      </c>
      <c r="AL7834">
        <v>87.922785676379505</v>
      </c>
      <c r="AM7834">
        <v>87.157288293080498</v>
      </c>
      <c r="AN7834">
        <v>1.0000000598124099</v>
      </c>
    </row>
    <row r="7835" spans="1:40" x14ac:dyDescent="0.25">
      <c r="A7835" t="str">
        <f>"20190312154452217"</f>
        <v>20190312154452217</v>
      </c>
      <c r="B7835" t="str">
        <f>"1552376692204939"</f>
        <v>1552376692204939</v>
      </c>
      <c r="C7835" t="s">
        <v>40</v>
      </c>
      <c r="D7835">
        <v>5.0773849999999996</v>
      </c>
      <c r="E7835">
        <v>0.54096669999999902</v>
      </c>
      <c r="F7835" t="s">
        <v>41</v>
      </c>
      <c r="G7835">
        <v>-118.9744</v>
      </c>
      <c r="H7835">
        <v>0.90644550000000002</v>
      </c>
      <c r="I7835">
        <v>139.8827</v>
      </c>
      <c r="J7835">
        <v>-119.614</v>
      </c>
      <c r="K7835">
        <v>1.1109439999999999</v>
      </c>
      <c r="L7835">
        <v>139.97499999999999</v>
      </c>
      <c r="M7835">
        <v>0.99964339999999996</v>
      </c>
      <c r="N7835">
        <v>0</v>
      </c>
      <c r="O7835">
        <v>2.3853909999999999E-2</v>
      </c>
      <c r="P7835">
        <v>0.99938669999999996</v>
      </c>
      <c r="Q7835">
        <v>2.411452E-2</v>
      </c>
      <c r="R7835">
        <v>-2.5403599999999998E-2</v>
      </c>
      <c r="S7835">
        <v>3.0130620000000001</v>
      </c>
      <c r="T7835">
        <v>-0.87003519999999901</v>
      </c>
      <c r="U7835">
        <v>-0.38481140000000003</v>
      </c>
      <c r="V7835">
        <v>4.9236990000000001E-2</v>
      </c>
      <c r="W7835">
        <v>3.6105709999999999E-2</v>
      </c>
      <c r="X7835">
        <v>0.99813430000000003</v>
      </c>
      <c r="Y7835">
        <v>0.14357500000000001</v>
      </c>
      <c r="Z7835">
        <v>-2.696341E-2</v>
      </c>
      <c r="AA7835">
        <v>0.98927209999999999</v>
      </c>
      <c r="AB7835">
        <v>7</v>
      </c>
      <c r="AC7835">
        <v>0.63959999999998696</v>
      </c>
      <c r="AD7835">
        <v>-0.2044985</v>
      </c>
      <c r="AE7835">
        <v>-9.2299999999994498E-2</v>
      </c>
      <c r="AF7835">
        <v>9.7743644299467303E-2</v>
      </c>
      <c r="AG7835">
        <v>-0.2044985</v>
      </c>
      <c r="AH7835">
        <v>0.57921311178673995</v>
      </c>
      <c r="AI7835">
        <v>109.195069301393</v>
      </c>
      <c r="AJ7835">
        <v>80.421439379478599</v>
      </c>
      <c r="AK7835">
        <v>0.621981740382199</v>
      </c>
      <c r="AL7835">
        <v>87.930845452283407</v>
      </c>
      <c r="AM7835">
        <v>87.1759443220284</v>
      </c>
      <c r="AN7835">
        <v>0.99999999215767699</v>
      </c>
    </row>
    <row r="7836" spans="1:40" x14ac:dyDescent="0.25">
      <c r="A7836" t="str">
        <f>"20190312154452240"</f>
        <v>20190312154452240</v>
      </c>
      <c r="B7836" t="str">
        <f>"1552376692235195"</f>
        <v>1552376692235195</v>
      </c>
      <c r="C7836" t="s">
        <v>40</v>
      </c>
      <c r="D7836">
        <v>5.0802129999999996</v>
      </c>
      <c r="E7836">
        <v>0.54094960000000003</v>
      </c>
      <c r="F7836" t="s">
        <v>41</v>
      </c>
      <c r="G7836">
        <v>-118.9126</v>
      </c>
      <c r="H7836">
        <v>0.9083002</v>
      </c>
      <c r="I7836">
        <v>139.8853</v>
      </c>
      <c r="J7836">
        <v>-119.5448</v>
      </c>
      <c r="K7836">
        <v>1.110959</v>
      </c>
      <c r="L7836">
        <v>139.97669999999999</v>
      </c>
      <c r="M7836">
        <v>0.999641</v>
      </c>
      <c r="N7836">
        <v>0</v>
      </c>
      <c r="O7836">
        <v>2.395502E-2</v>
      </c>
      <c r="P7836">
        <v>0.99940629999999997</v>
      </c>
      <c r="Q7836">
        <v>2.4167709999999998E-2</v>
      </c>
      <c r="R7836">
        <v>-2.4558480000000001E-2</v>
      </c>
      <c r="S7836">
        <v>3.0130620000000001</v>
      </c>
      <c r="T7836">
        <v>-0.87043379999999904</v>
      </c>
      <c r="U7836">
        <v>-0.38479609999999997</v>
      </c>
      <c r="V7836">
        <v>4.8493599999999998E-2</v>
      </c>
      <c r="W7836">
        <v>3.6154800000000001E-2</v>
      </c>
      <c r="X7836">
        <v>0.99816890000000003</v>
      </c>
      <c r="Y7836">
        <v>0.1436566</v>
      </c>
      <c r="Z7836">
        <v>-2.7015339999999999E-2</v>
      </c>
      <c r="AA7836">
        <v>0.98925879999999999</v>
      </c>
      <c r="AB7836">
        <v>7</v>
      </c>
      <c r="AC7836">
        <v>0.63219999999999699</v>
      </c>
      <c r="AD7836">
        <v>-0.2026588</v>
      </c>
      <c r="AE7836">
        <v>-9.1399999999993001E-2</v>
      </c>
      <c r="AF7836">
        <v>9.6777975963262305E-2</v>
      </c>
      <c r="AG7836">
        <v>-0.2026588</v>
      </c>
      <c r="AH7836">
        <v>0.57223068107949104</v>
      </c>
      <c r="AI7836">
        <v>109.24904600157799</v>
      </c>
      <c r="AJ7836">
        <v>80.400739721617896</v>
      </c>
      <c r="AK7836">
        <v>0.61472312321701705</v>
      </c>
      <c r="AL7836">
        <v>87.928030931064001</v>
      </c>
      <c r="AM7836">
        <v>87.218611277250204</v>
      </c>
      <c r="AN7836">
        <v>0.99999997586560396</v>
      </c>
    </row>
    <row r="7837" spans="1:40" x14ac:dyDescent="0.25">
      <c r="A7837" t="str">
        <f>"20190312154452262"</f>
        <v>20190312154452262</v>
      </c>
      <c r="B7837" t="str">
        <f>"1552376692255690"</f>
        <v>1552376692255690</v>
      </c>
      <c r="C7837" t="s">
        <v>40</v>
      </c>
      <c r="D7837">
        <v>5.2697079999999996</v>
      </c>
      <c r="E7837">
        <v>0.50316830000000001</v>
      </c>
      <c r="F7837" t="s">
        <v>41</v>
      </c>
      <c r="G7837">
        <v>-118.8507</v>
      </c>
      <c r="H7837">
        <v>0.9103888</v>
      </c>
      <c r="I7837">
        <v>139.8888</v>
      </c>
      <c r="J7837">
        <v>-119.4766</v>
      </c>
      <c r="K7837">
        <v>1.110984</v>
      </c>
      <c r="L7837">
        <v>139.9785</v>
      </c>
      <c r="M7837">
        <v>0.99963869999999999</v>
      </c>
      <c r="N7837">
        <v>0</v>
      </c>
      <c r="O7837">
        <v>2.4054289999999999E-2</v>
      </c>
      <c r="P7837">
        <v>0.99941519999999995</v>
      </c>
      <c r="Q7837">
        <v>2.3824000000000001E-2</v>
      </c>
      <c r="R7837">
        <v>-2.4538859999999999E-2</v>
      </c>
      <c r="S7837">
        <v>3.013474</v>
      </c>
      <c r="T7837">
        <v>-0.87083840000000001</v>
      </c>
      <c r="U7837">
        <v>-0.38134770000000001</v>
      </c>
      <c r="V7837">
        <v>4.857334E-2</v>
      </c>
      <c r="W7837">
        <v>3.5806940000000002E-2</v>
      </c>
      <c r="X7837">
        <v>0.9981776</v>
      </c>
      <c r="Y7837">
        <v>0.14265449999999999</v>
      </c>
      <c r="Z7837">
        <v>-2.6912350000000002E-2</v>
      </c>
      <c r="AA7837">
        <v>0.98940660000000002</v>
      </c>
      <c r="AB7837">
        <v>7</v>
      </c>
      <c r="AC7837">
        <v>0.62590000000000101</v>
      </c>
      <c r="AD7837">
        <v>-0.200595199999999</v>
      </c>
      <c r="AE7837">
        <v>-8.9699999999993396E-2</v>
      </c>
      <c r="AF7837">
        <v>9.5153747816660403E-2</v>
      </c>
      <c r="AG7837">
        <v>-0.200595199999999</v>
      </c>
      <c r="AH7837">
        <v>0.56654035293234195</v>
      </c>
      <c r="AI7837">
        <v>109.24816357243</v>
      </c>
      <c r="AJ7837">
        <v>80.465826273240197</v>
      </c>
      <c r="AK7837">
        <v>0.60849046129524398</v>
      </c>
      <c r="AL7837">
        <v>87.947974833280597</v>
      </c>
      <c r="AM7837">
        <v>87.214069169915703</v>
      </c>
      <c r="AN7837">
        <v>1.0000000137263301</v>
      </c>
    </row>
    <row r="7838" spans="1:40" x14ac:dyDescent="0.25">
      <c r="A7838" t="str">
        <f>"20190312154452283"</f>
        <v>20190312154452283</v>
      </c>
      <c r="B7838" t="str">
        <f>"1552376692275212"</f>
        <v>1552376692275212</v>
      </c>
      <c r="C7838" t="s">
        <v>40</v>
      </c>
      <c r="D7838">
        <v>5.0864440000000002</v>
      </c>
      <c r="E7838">
        <v>0.50153700000000001</v>
      </c>
      <c r="F7838" t="s">
        <v>41</v>
      </c>
      <c r="G7838">
        <v>-118.7713</v>
      </c>
      <c r="H7838">
        <v>0.95295059999999998</v>
      </c>
      <c r="I7838">
        <v>139.959</v>
      </c>
      <c r="J7838">
        <v>-119.4097</v>
      </c>
      <c r="K7838">
        <v>1.111008</v>
      </c>
      <c r="L7838">
        <v>139.9802</v>
      </c>
      <c r="M7838">
        <v>0.99963639999999998</v>
      </c>
      <c r="N7838">
        <v>0</v>
      </c>
      <c r="O7838">
        <v>2.4151929999999999E-2</v>
      </c>
      <c r="P7838">
        <v>0.99942850000000005</v>
      </c>
      <c r="Q7838">
        <v>2.3806899999999999E-2</v>
      </c>
      <c r="R7838">
        <v>-2.4002099999999998E-2</v>
      </c>
      <c r="S7838">
        <v>3.0158390000000002</v>
      </c>
      <c r="T7838">
        <v>-0.67578760000000004</v>
      </c>
      <c r="U7838">
        <v>-8.2901000000000002E-2</v>
      </c>
      <c r="V7838">
        <v>4.8134589999999998E-2</v>
      </c>
      <c r="W7838">
        <v>3.5787399999999997E-2</v>
      </c>
      <c r="X7838">
        <v>0.99819950000000002</v>
      </c>
      <c r="Y7838">
        <v>4.9782350000000003E-2</v>
      </c>
      <c r="Z7838">
        <v>-1.0853410000000001E-2</v>
      </c>
      <c r="AA7838">
        <v>0.99870110000000001</v>
      </c>
      <c r="AB7838">
        <v>7</v>
      </c>
      <c r="AC7838">
        <v>0.63840000000000396</v>
      </c>
      <c r="AD7838">
        <v>-0.15805739999999999</v>
      </c>
      <c r="AE7838">
        <v>-2.11999999999932E-2</v>
      </c>
      <c r="AF7838">
        <v>3.4501013654005597E-2</v>
      </c>
      <c r="AG7838">
        <v>-0.15805739999999999</v>
      </c>
      <c r="AH7838">
        <v>0.60090801272442695</v>
      </c>
      <c r="AI7838">
        <v>104.71358222387801</v>
      </c>
      <c r="AJ7838">
        <v>86.713981824399696</v>
      </c>
      <c r="AK7838">
        <v>0.62230450857625497</v>
      </c>
      <c r="AL7838">
        <v>87.949094999091102</v>
      </c>
      <c r="AM7838">
        <v>87.239255105161206</v>
      </c>
      <c r="AN7838">
        <v>0.99999995927673802</v>
      </c>
    </row>
    <row r="7839" spans="1:40" x14ac:dyDescent="0.25">
      <c r="A7839" t="str">
        <f>"20190312154452306"</f>
        <v>20190312154452306</v>
      </c>
      <c r="B7839" t="str">
        <f>"1552376692295707"</f>
        <v>1552376692295707</v>
      </c>
      <c r="C7839" t="s">
        <v>40</v>
      </c>
      <c r="D7839">
        <v>5.0531959999999998</v>
      </c>
      <c r="E7839">
        <v>0.5013919</v>
      </c>
      <c r="F7839" t="s">
        <v>41</v>
      </c>
      <c r="G7839">
        <v>-118.7069</v>
      </c>
      <c r="H7839">
        <v>0.95992390000000005</v>
      </c>
      <c r="I7839">
        <v>139.964</v>
      </c>
      <c r="J7839">
        <v>-119.3416</v>
      </c>
      <c r="K7839">
        <v>1.11103</v>
      </c>
      <c r="L7839">
        <v>139.9819</v>
      </c>
      <c r="M7839">
        <v>0.99963400000000002</v>
      </c>
      <c r="N7839">
        <v>0</v>
      </c>
      <c r="O7839">
        <v>2.4251189999999999E-2</v>
      </c>
      <c r="P7839">
        <v>0.99940910000000005</v>
      </c>
      <c r="Q7839">
        <v>2.5105519999999999E-2</v>
      </c>
      <c r="R7839">
        <v>-2.3479739999999999E-2</v>
      </c>
      <c r="S7839">
        <v>3.0155029999999998</v>
      </c>
      <c r="T7839">
        <v>-0.64839480000000005</v>
      </c>
      <c r="U7839">
        <v>-6.8939210000000001E-2</v>
      </c>
      <c r="V7839">
        <v>4.7711150000000001E-2</v>
      </c>
      <c r="W7839">
        <v>3.7083060000000001E-2</v>
      </c>
      <c r="X7839">
        <v>0.99817259999999997</v>
      </c>
      <c r="Y7839">
        <v>4.5501880000000001E-2</v>
      </c>
      <c r="Z7839">
        <v>-9.9913090000000003E-3</v>
      </c>
      <c r="AA7839">
        <v>0.99891430000000003</v>
      </c>
      <c r="AB7839">
        <v>7</v>
      </c>
      <c r="AC7839">
        <v>0.63469999999999505</v>
      </c>
      <c r="AD7839">
        <v>-0.15110609999999999</v>
      </c>
      <c r="AE7839">
        <v>-1.78999999999973E-2</v>
      </c>
      <c r="AF7839">
        <v>3.1503863318423503E-2</v>
      </c>
      <c r="AG7839">
        <v>-0.15110609999999999</v>
      </c>
      <c r="AH7839">
        <v>0.600093152617722</v>
      </c>
      <c r="AI7839">
        <v>104.114846566552</v>
      </c>
      <c r="AJ7839">
        <v>86.994828445319499</v>
      </c>
      <c r="AK7839">
        <v>0.61962677369515995</v>
      </c>
      <c r="AL7839">
        <v>87.874809953115602</v>
      </c>
      <c r="AM7839">
        <v>87.263430664769203</v>
      </c>
      <c r="AN7839">
        <v>1.0000000232820201</v>
      </c>
    </row>
    <row r="7840" spans="1:40" x14ac:dyDescent="0.25">
      <c r="A7840" t="str">
        <f>"20190312154452329"</f>
        <v>20190312154452329</v>
      </c>
      <c r="B7840" t="str">
        <f>"1552376692324986"</f>
        <v>1552376692324986</v>
      </c>
      <c r="C7840" t="s">
        <v>40</v>
      </c>
      <c r="D7840">
        <v>5.0857330000000003</v>
      </c>
      <c r="E7840">
        <v>0.50125600000000003</v>
      </c>
      <c r="F7840" t="s">
        <v>41</v>
      </c>
      <c r="G7840">
        <v>-118.6443</v>
      </c>
      <c r="H7840">
        <v>0.96338179999999995</v>
      </c>
      <c r="I7840">
        <v>139.9665</v>
      </c>
      <c r="J7840">
        <v>-119.2715</v>
      </c>
      <c r="K7840">
        <v>1.1110409999999999</v>
      </c>
      <c r="L7840">
        <v>139.9838</v>
      </c>
      <c r="M7840">
        <v>0.99963150000000001</v>
      </c>
      <c r="N7840">
        <v>0</v>
      </c>
      <c r="O7840">
        <v>2.4353420000000001E-2</v>
      </c>
      <c r="P7840">
        <v>0.99934670000000003</v>
      </c>
      <c r="Q7840">
        <v>2.7416759999999998E-2</v>
      </c>
      <c r="R7840">
        <v>-2.3544019999999999E-2</v>
      </c>
      <c r="S7840">
        <v>3.016251</v>
      </c>
      <c r="T7840">
        <v>-0.63866109999999998</v>
      </c>
      <c r="U7840">
        <v>-6.6635130000000001E-2</v>
      </c>
      <c r="V7840">
        <v>4.7876000000000002E-2</v>
      </c>
      <c r="W7840">
        <v>3.9390689999999999E-2</v>
      </c>
      <c r="X7840">
        <v>0.99807630000000003</v>
      </c>
      <c r="Y7840">
        <v>4.48946E-2</v>
      </c>
      <c r="Z7840">
        <v>-9.8001080000000001E-3</v>
      </c>
      <c r="AA7840">
        <v>0.99894369999999999</v>
      </c>
      <c r="AB7840">
        <v>7</v>
      </c>
      <c r="AC7840">
        <v>0.62720000000000198</v>
      </c>
      <c r="AD7840">
        <v>-0.14765919999999899</v>
      </c>
      <c r="AE7840">
        <v>-1.73000000000058E-2</v>
      </c>
      <c r="AF7840">
        <v>3.08612352048214E-2</v>
      </c>
      <c r="AG7840">
        <v>-0.14765919999999899</v>
      </c>
      <c r="AH7840">
        <v>0.59371095182089295</v>
      </c>
      <c r="AI7840">
        <v>103.948323228194</v>
      </c>
      <c r="AJ7840">
        <v>87.024429891056897</v>
      </c>
      <c r="AK7840">
        <v>0.61257517864754996</v>
      </c>
      <c r="AL7840">
        <v>87.742495696883196</v>
      </c>
      <c r="AM7840">
        <v>87.253725262976104</v>
      </c>
      <c r="AN7840">
        <v>1.0000000192281799</v>
      </c>
    </row>
    <row r="7841" spans="1:40" x14ac:dyDescent="0.25">
      <c r="A7841" t="str">
        <f>"20190312154452355"</f>
        <v>20190312154452355</v>
      </c>
      <c r="B7841" t="str">
        <f>"1552376692345483"</f>
        <v>1552376692345483</v>
      </c>
      <c r="C7841" t="s">
        <v>40</v>
      </c>
      <c r="D7841">
        <v>5.1166010000000002</v>
      </c>
      <c r="E7841">
        <v>0.5010445</v>
      </c>
      <c r="F7841" t="s">
        <v>41</v>
      </c>
      <c r="G7841">
        <v>-118.526</v>
      </c>
      <c r="H7841">
        <v>0.95615490000000003</v>
      </c>
      <c r="I7841">
        <v>139.96729999999999</v>
      </c>
      <c r="J7841">
        <v>-119.1943</v>
      </c>
      <c r="K7841">
        <v>1.11104</v>
      </c>
      <c r="L7841">
        <v>139.98580000000001</v>
      </c>
      <c r="M7841">
        <v>0.99962879999999998</v>
      </c>
      <c r="N7841">
        <v>0</v>
      </c>
      <c r="O7841">
        <v>2.4466020000000002E-2</v>
      </c>
      <c r="P7841">
        <v>0.99926669999999995</v>
      </c>
      <c r="Q7841">
        <v>2.9972909999999998E-2</v>
      </c>
      <c r="R7841">
        <v>-2.384008E-2</v>
      </c>
      <c r="S7841">
        <v>3.0175930000000002</v>
      </c>
      <c r="T7841">
        <v>-0.62694919999999899</v>
      </c>
      <c r="U7841">
        <v>-6.6726679999999997E-2</v>
      </c>
      <c r="V7841">
        <v>4.8282230000000002E-2</v>
      </c>
      <c r="W7841">
        <v>4.1943939999999999E-2</v>
      </c>
      <c r="X7841">
        <v>0.99795270000000003</v>
      </c>
      <c r="Y7841">
        <v>4.5077770000000003E-2</v>
      </c>
      <c r="Z7841">
        <v>-9.6619559999999993E-3</v>
      </c>
      <c r="AA7841">
        <v>0.99893679999999996</v>
      </c>
      <c r="AB7841">
        <v>7</v>
      </c>
      <c r="AC7841">
        <v>0.66829999999998702</v>
      </c>
      <c r="AD7841">
        <v>-0.154885099999999</v>
      </c>
      <c r="AE7841">
        <v>-1.8500000000017201E-2</v>
      </c>
      <c r="AF7841">
        <v>3.3071291707513398E-2</v>
      </c>
      <c r="AG7841">
        <v>-0.154885099999999</v>
      </c>
      <c r="AH7841">
        <v>0.63363892220970497</v>
      </c>
      <c r="AI7841">
        <v>103.71792683443999</v>
      </c>
      <c r="AJ7841">
        <v>87.012292627643703</v>
      </c>
      <c r="AK7841">
        <v>0.65313198381053905</v>
      </c>
      <c r="AL7841">
        <v>87.596084115605507</v>
      </c>
      <c r="AM7841">
        <v>87.230116644056494</v>
      </c>
      <c r="AN7841">
        <v>1.0000000296368901</v>
      </c>
    </row>
    <row r="7842" spans="1:40" x14ac:dyDescent="0.25">
      <c r="A7842" t="str">
        <f>"20190312154452376"</f>
        <v>20190312154452376</v>
      </c>
      <c r="B7842" t="str">
        <f>"1552376692365003"</f>
        <v>1552376692365003</v>
      </c>
      <c r="C7842" t="s">
        <v>40</v>
      </c>
      <c r="D7842">
        <v>5.1062310000000002</v>
      </c>
      <c r="E7842">
        <v>0.50103659999999905</v>
      </c>
      <c r="F7842" t="s">
        <v>41</v>
      </c>
      <c r="G7842">
        <v>-118.46259999999999</v>
      </c>
      <c r="H7842">
        <v>0.96147419999999995</v>
      </c>
      <c r="I7842">
        <v>139.96960000000001</v>
      </c>
      <c r="J7842">
        <v>-119.128</v>
      </c>
      <c r="K7842">
        <v>1.111027</v>
      </c>
      <c r="L7842">
        <v>139.98750000000001</v>
      </c>
      <c r="M7842">
        <v>0.99962629999999997</v>
      </c>
      <c r="N7842">
        <v>0</v>
      </c>
      <c r="O7842">
        <v>2.4563060000000001E-2</v>
      </c>
      <c r="P7842">
        <v>0.99921700000000002</v>
      </c>
      <c r="Q7842">
        <v>3.0577279999999998E-2</v>
      </c>
      <c r="R7842">
        <v>-2.5111580000000001E-2</v>
      </c>
      <c r="S7842">
        <v>3.0191499999999998</v>
      </c>
      <c r="T7842">
        <v>-0.61722330000000003</v>
      </c>
      <c r="U7842">
        <v>-6.6131590000000004E-2</v>
      </c>
      <c r="V7842">
        <v>4.9649190000000003E-2</v>
      </c>
      <c r="W7842">
        <v>4.2545659999999999E-2</v>
      </c>
      <c r="X7842">
        <v>0.99786010000000003</v>
      </c>
      <c r="Y7842">
        <v>4.50126E-2</v>
      </c>
      <c r="Z7842">
        <v>-9.5233839999999993E-3</v>
      </c>
      <c r="AA7842">
        <v>0.99894099999999997</v>
      </c>
      <c r="AB7842">
        <v>7</v>
      </c>
      <c r="AC7842">
        <v>0.665399999999991</v>
      </c>
      <c r="AD7842">
        <v>-0.14955279999999899</v>
      </c>
      <c r="AE7842">
        <v>-1.78999999999973E-2</v>
      </c>
      <c r="AF7842">
        <v>3.2594692688053303E-2</v>
      </c>
      <c r="AG7842">
        <v>-0.14955279999999899</v>
      </c>
      <c r="AH7842">
        <v>0.63281569803999105</v>
      </c>
      <c r="AI7842">
        <v>103.27972022053299</v>
      </c>
      <c r="AJ7842">
        <v>87.051448911397102</v>
      </c>
      <c r="AK7842">
        <v>0.65106386911355296</v>
      </c>
      <c r="AL7842">
        <v>87.561577167161204</v>
      </c>
      <c r="AM7842">
        <v>87.151559560323307</v>
      </c>
      <c r="AN7842">
        <v>0.99999997721224998</v>
      </c>
    </row>
    <row r="7843" spans="1:40" x14ac:dyDescent="0.25">
      <c r="A7843" t="str">
        <f>"20190312154452398"</f>
        <v>20190312154452398</v>
      </c>
      <c r="B7843" t="str">
        <f>"1552376692385499"</f>
        <v>1552376692385499</v>
      </c>
      <c r="C7843" t="s">
        <v>40</v>
      </c>
      <c r="D7843">
        <v>5.1021729999999996</v>
      </c>
      <c r="E7843">
        <v>0.50098209999999999</v>
      </c>
      <c r="F7843" t="s">
        <v>41</v>
      </c>
      <c r="G7843">
        <v>-118.4019</v>
      </c>
      <c r="H7843">
        <v>0.96119089999999996</v>
      </c>
      <c r="I7843">
        <v>139.97059999999999</v>
      </c>
      <c r="J7843">
        <v>-119.0624</v>
      </c>
      <c r="K7843">
        <v>1.111013</v>
      </c>
      <c r="L7843">
        <v>139.98920000000001</v>
      </c>
      <c r="M7843">
        <v>0.99962399999999996</v>
      </c>
      <c r="N7843">
        <v>0</v>
      </c>
      <c r="O7843">
        <v>2.465879E-2</v>
      </c>
      <c r="P7843">
        <v>0.99918969999999896</v>
      </c>
      <c r="Q7843">
        <v>3.0159169999999999E-2</v>
      </c>
      <c r="R7843">
        <v>-2.6656510000000001E-2</v>
      </c>
      <c r="S7843">
        <v>3.0196689999999999</v>
      </c>
      <c r="T7843">
        <v>-0.62323689999999998</v>
      </c>
      <c r="U7843">
        <v>-7.0068359999999996E-2</v>
      </c>
      <c r="V7843">
        <v>5.1288599999999997E-2</v>
      </c>
      <c r="W7843">
        <v>4.2125940000000001E-2</v>
      </c>
      <c r="X7843">
        <v>0.99779499999999999</v>
      </c>
      <c r="Y7843">
        <v>4.6348630000000002E-2</v>
      </c>
      <c r="Z7843">
        <v>-9.7684950000000003E-3</v>
      </c>
      <c r="AA7843">
        <v>0.99887760000000003</v>
      </c>
      <c r="AB7843">
        <v>7</v>
      </c>
      <c r="AC7843">
        <v>0.66049999999999898</v>
      </c>
      <c r="AD7843">
        <v>-0.14982210000000001</v>
      </c>
      <c r="AE7843">
        <v>-1.86000000000206E-2</v>
      </c>
      <c r="AF7843">
        <v>3.3176961829628197E-2</v>
      </c>
      <c r="AG7843">
        <v>-0.14982210000000001</v>
      </c>
      <c r="AH7843">
        <v>0.627575717506479</v>
      </c>
      <c r="AI7843">
        <v>103.408946258014</v>
      </c>
      <c r="AJ7843">
        <v>86.973859947201106</v>
      </c>
      <c r="AK7843">
        <v>0.64606397024476303</v>
      </c>
      <c r="AL7843">
        <v>87.585646960174003</v>
      </c>
      <c r="AM7843">
        <v>87.057475422254797</v>
      </c>
      <c r="AN7843">
        <v>0.99999998866792095</v>
      </c>
    </row>
    <row r="7844" spans="1:40" x14ac:dyDescent="0.25">
      <c r="A7844" t="str">
        <f>"20190312154452420"</f>
        <v>20190312154452420</v>
      </c>
      <c r="B7844" t="str">
        <f>"1552376692415755"</f>
        <v>1552376692415755</v>
      </c>
      <c r="C7844" t="s">
        <v>40</v>
      </c>
      <c r="D7844">
        <v>5.315601</v>
      </c>
      <c r="E7844">
        <v>0.50093949999999998</v>
      </c>
      <c r="F7844" t="s">
        <v>41</v>
      </c>
      <c r="G7844">
        <v>-118.3416</v>
      </c>
      <c r="H7844">
        <v>0.9604239</v>
      </c>
      <c r="I7844">
        <v>139.97130000000001</v>
      </c>
      <c r="J7844">
        <v>-118.994</v>
      </c>
      <c r="K7844">
        <v>1.1109869999999999</v>
      </c>
      <c r="L7844">
        <v>139.99100000000001</v>
      </c>
      <c r="M7844">
        <v>0.99962150000000005</v>
      </c>
      <c r="N7844">
        <v>0</v>
      </c>
      <c r="O7844">
        <v>2.475869E-2</v>
      </c>
      <c r="P7844">
        <v>0.99920059999999999</v>
      </c>
      <c r="Q7844">
        <v>2.800391E-2</v>
      </c>
      <c r="R7844">
        <v>-2.852946E-2</v>
      </c>
      <c r="S7844">
        <v>3.0194700000000001</v>
      </c>
      <c r="T7844">
        <v>-0.63080819999999904</v>
      </c>
      <c r="U7844">
        <v>-7.4508669999999999E-2</v>
      </c>
      <c r="V7844">
        <v>5.3261059999999999E-2</v>
      </c>
      <c r="W7844">
        <v>3.9969110000000002E-2</v>
      </c>
      <c r="X7844">
        <v>0.99778040000000001</v>
      </c>
      <c r="Y7844">
        <v>4.7847180000000003E-2</v>
      </c>
      <c r="Z7844">
        <v>-1.0060650000000001E-2</v>
      </c>
      <c r="AA7844">
        <v>0.99880400000000003</v>
      </c>
      <c r="AB7844">
        <v>7</v>
      </c>
      <c r="AC7844">
        <v>0.65239999999999998</v>
      </c>
      <c r="AD7844">
        <v>-0.15056310000000001</v>
      </c>
      <c r="AE7844">
        <v>-1.97000000000002E-2</v>
      </c>
      <c r="AF7844">
        <v>3.4036524240256202E-2</v>
      </c>
      <c r="AG7844">
        <v>-0.15056310000000001</v>
      </c>
      <c r="AH7844">
        <v>0.61878511954287396</v>
      </c>
      <c r="AI7844">
        <v>103.655617844924</v>
      </c>
      <c r="AJ7844">
        <v>86.8515953232681</v>
      </c>
      <c r="AK7844">
        <v>0.63774819186859</v>
      </c>
      <c r="AL7844">
        <v>87.709328503609001</v>
      </c>
      <c r="AM7844">
        <v>86.944477483610598</v>
      </c>
      <c r="AN7844">
        <v>0.99999999844533705</v>
      </c>
    </row>
    <row r="7845" spans="1:40" x14ac:dyDescent="0.25">
      <c r="A7845" t="str">
        <f>"20190312154452445"</f>
        <v>20190312154452445</v>
      </c>
      <c r="B7845" t="str">
        <f>"1552376692435274"</f>
        <v>1552376692435274</v>
      </c>
      <c r="C7845" t="s">
        <v>40</v>
      </c>
      <c r="D7845">
        <v>5.1559339999999896</v>
      </c>
      <c r="E7845">
        <v>0.53212569999999904</v>
      </c>
      <c r="F7845" t="s">
        <v>41</v>
      </c>
      <c r="G7845">
        <v>-118.2814</v>
      </c>
      <c r="H7845">
        <v>0.95940800000000004</v>
      </c>
      <c r="I7845">
        <v>139.97219999999999</v>
      </c>
      <c r="J7845">
        <v>-118.92</v>
      </c>
      <c r="K7845">
        <v>1.110975</v>
      </c>
      <c r="L7845">
        <v>139.99299999999999</v>
      </c>
      <c r="M7845">
        <v>0.99961889999999998</v>
      </c>
      <c r="N7845">
        <v>0</v>
      </c>
      <c r="O7845">
        <v>2.486675E-2</v>
      </c>
      <c r="P7845">
        <v>0.99920100000000001</v>
      </c>
      <c r="Q7845">
        <v>2.5738529999999999E-2</v>
      </c>
      <c r="R7845">
        <v>-3.0576329999999999E-2</v>
      </c>
      <c r="S7845">
        <v>3.0181119999999999</v>
      </c>
      <c r="T7845">
        <v>-0.64192609999999894</v>
      </c>
      <c r="U7845">
        <v>-7.9849240000000002E-2</v>
      </c>
      <c r="V7845">
        <v>5.5415359999999997E-2</v>
      </c>
      <c r="W7845">
        <v>3.7702510000000002E-2</v>
      </c>
      <c r="X7845">
        <v>0.99775130000000001</v>
      </c>
      <c r="Y7845">
        <v>4.9633549999999999E-2</v>
      </c>
      <c r="Z7845">
        <v>-1.0449E-2</v>
      </c>
      <c r="AA7845">
        <v>0.99871279999999996</v>
      </c>
      <c r="AB7845">
        <v>7</v>
      </c>
      <c r="AC7845">
        <v>0.63859999999999595</v>
      </c>
      <c r="AD7845">
        <v>-0.15156700000000001</v>
      </c>
      <c r="AE7845">
        <v>-2.0800000000008301E-2</v>
      </c>
      <c r="AF7845">
        <v>3.4720811456359003E-2</v>
      </c>
      <c r="AG7845">
        <v>-0.15156700000000001</v>
      </c>
      <c r="AH7845">
        <v>0.60390253773321201</v>
      </c>
      <c r="AI7845">
        <v>104.066731615606</v>
      </c>
      <c r="AJ7845">
        <v>86.709455272445894</v>
      </c>
      <c r="AK7845">
        <v>0.62359952318599599</v>
      </c>
      <c r="AL7845">
        <v>87.839293191522103</v>
      </c>
      <c r="AM7845">
        <v>86.821043933960397</v>
      </c>
      <c r="AN7845">
        <v>0.999999999017959</v>
      </c>
    </row>
    <row r="7846" spans="1:40" x14ac:dyDescent="0.25">
      <c r="A7846" t="str">
        <f>"20190312154452464"</f>
        <v>20190312154452464</v>
      </c>
      <c r="B7846" t="str">
        <f>"1552376692455771"</f>
        <v>1552376692455771</v>
      </c>
      <c r="C7846" t="s">
        <v>40</v>
      </c>
      <c r="D7846">
        <v>5.1463289999999997</v>
      </c>
      <c r="E7846">
        <v>0.53615840000000003</v>
      </c>
      <c r="F7846" t="s">
        <v>41</v>
      </c>
      <c r="G7846">
        <v>-118.2333</v>
      </c>
      <c r="H7846">
        <v>0.93076000000000003</v>
      </c>
      <c r="I7846">
        <v>139.9171</v>
      </c>
      <c r="J7846">
        <v>-118.8616</v>
      </c>
      <c r="K7846">
        <v>1.1109639999999901</v>
      </c>
      <c r="L7846">
        <v>139.99449999999999</v>
      </c>
      <c r="M7846">
        <v>0.99961679999999997</v>
      </c>
      <c r="N7846">
        <v>0</v>
      </c>
      <c r="O7846">
        <v>2.49518E-2</v>
      </c>
      <c r="P7846">
        <v>0.99923799999999996</v>
      </c>
      <c r="Q7846">
        <v>2.306861E-2</v>
      </c>
      <c r="R7846">
        <v>-3.1490490000000003E-2</v>
      </c>
      <c r="S7846">
        <v>3.0126040000000001</v>
      </c>
      <c r="T7846">
        <v>-0.79069019999999901</v>
      </c>
      <c r="U7846">
        <v>-0.33232119999999998</v>
      </c>
      <c r="V7846">
        <v>5.6414840000000001E-2</v>
      </c>
      <c r="W7846">
        <v>3.5032559999999997E-2</v>
      </c>
      <c r="X7846">
        <v>0.99779260000000003</v>
      </c>
      <c r="Y7846">
        <v>0.1292498</v>
      </c>
      <c r="Z7846">
        <v>-2.3054459999999999E-2</v>
      </c>
      <c r="AA7846">
        <v>0.991344</v>
      </c>
      <c r="AB7846">
        <v>7</v>
      </c>
      <c r="AC7846">
        <v>0.62829999999999497</v>
      </c>
      <c r="AD7846">
        <v>-0.180203999999999</v>
      </c>
      <c r="AE7846">
        <v>-7.7399999999982996E-2</v>
      </c>
      <c r="AF7846">
        <v>8.6079125490387307E-2</v>
      </c>
      <c r="AG7846">
        <v>-0.180203999999999</v>
      </c>
      <c r="AH7846">
        <v>0.579236574661805</v>
      </c>
      <c r="AI7846">
        <v>107.104525755716</v>
      </c>
      <c r="AJ7846">
        <v>81.547257117856802</v>
      </c>
      <c r="AK7846">
        <v>0.61269740238320802</v>
      </c>
      <c r="AL7846">
        <v>87.992371356735703</v>
      </c>
      <c r="AM7846">
        <v>86.763962244551394</v>
      </c>
      <c r="AN7846">
        <v>0.99999999352356905</v>
      </c>
    </row>
    <row r="7847" spans="1:40" x14ac:dyDescent="0.25">
      <c r="A7847" t="str">
        <f>"20190312154452485"</f>
        <v>20190312154452485</v>
      </c>
      <c r="B7847" t="str">
        <f>"1552376692475291"</f>
        <v>1552376692475291</v>
      </c>
      <c r="C7847" t="s">
        <v>40</v>
      </c>
      <c r="D7847">
        <v>5.1321349999999999</v>
      </c>
      <c r="E7847">
        <v>0.53780109999999903</v>
      </c>
      <c r="F7847" t="s">
        <v>41</v>
      </c>
      <c r="G7847">
        <v>-118.17619999999999</v>
      </c>
      <c r="H7847">
        <v>0.92239459999999995</v>
      </c>
      <c r="I7847">
        <v>139.911</v>
      </c>
      <c r="J7847">
        <v>-118.79900000000001</v>
      </c>
      <c r="K7847">
        <v>1.110967</v>
      </c>
      <c r="L7847">
        <v>139.99619999999999</v>
      </c>
      <c r="M7847">
        <v>0.99961460000000002</v>
      </c>
      <c r="N7847">
        <v>0</v>
      </c>
      <c r="O7847">
        <v>2.5043240000000001E-2</v>
      </c>
      <c r="P7847">
        <v>0.99924780000000002</v>
      </c>
      <c r="Q7847">
        <v>2.1035729999999999E-2</v>
      </c>
      <c r="R7847">
        <v>-3.2583309999999997E-2</v>
      </c>
      <c r="S7847">
        <v>3.0098569999999998</v>
      </c>
      <c r="T7847">
        <v>-0.82807779999999998</v>
      </c>
      <c r="U7847">
        <v>-0.36650090000000002</v>
      </c>
      <c r="V7847">
        <v>5.7599030000000002E-2</v>
      </c>
      <c r="W7847">
        <v>3.2999069999999998E-2</v>
      </c>
      <c r="X7847">
        <v>0.99779430000000002</v>
      </c>
      <c r="Y7847">
        <v>0.13966110000000001</v>
      </c>
      <c r="Z7847">
        <v>-2.5538950000000001E-2</v>
      </c>
      <c r="AA7847">
        <v>0.98987000000000003</v>
      </c>
      <c r="AB7847">
        <v>7</v>
      </c>
      <c r="AC7847">
        <v>0.62279999999999702</v>
      </c>
      <c r="AD7847">
        <v>-0.1885724</v>
      </c>
      <c r="AE7847">
        <v>-8.5199999999986106E-2</v>
      </c>
      <c r="AF7847">
        <v>9.2451388797263001E-2</v>
      </c>
      <c r="AG7847">
        <v>-0.1885724</v>
      </c>
      <c r="AH7847">
        <v>0.56924316877458803</v>
      </c>
      <c r="AI7847">
        <v>108.106927010546</v>
      </c>
      <c r="AJ7847">
        <v>80.775078380118501</v>
      </c>
      <c r="AK7847">
        <v>0.60674920233061502</v>
      </c>
      <c r="AL7847">
        <v>88.108949298003395</v>
      </c>
      <c r="AM7847">
        <v>86.696189918057698</v>
      </c>
      <c r="AN7847">
        <v>1.00000002599514</v>
      </c>
    </row>
    <row r="7848" spans="1:40" x14ac:dyDescent="0.25">
      <c r="A7848" t="str">
        <f>"20190312154452507"</f>
        <v>20190312154452507</v>
      </c>
      <c r="B7848" t="str">
        <f>"1552376692495787"</f>
        <v>1552376692495787</v>
      </c>
      <c r="C7848" t="s">
        <v>40</v>
      </c>
      <c r="D7848">
        <v>5.1981919999999997</v>
      </c>
      <c r="E7848">
        <v>0.5375645</v>
      </c>
      <c r="F7848" t="s">
        <v>41</v>
      </c>
      <c r="G7848">
        <v>-118.117</v>
      </c>
      <c r="H7848">
        <v>0.91907380000000005</v>
      </c>
      <c r="I7848">
        <v>139.90940000000001</v>
      </c>
      <c r="J7848">
        <v>-118.7317</v>
      </c>
      <c r="K7848">
        <v>1.1109770000000001</v>
      </c>
      <c r="L7848">
        <v>139.99799999999999</v>
      </c>
      <c r="M7848">
        <v>0.99961199999999995</v>
      </c>
      <c r="N7848">
        <v>0</v>
      </c>
      <c r="O7848">
        <v>2.514158E-2</v>
      </c>
      <c r="P7848">
        <v>0.99925730000000001</v>
      </c>
      <c r="Q7848">
        <v>2.0364299999999998E-2</v>
      </c>
      <c r="R7848">
        <v>-3.2713760000000001E-2</v>
      </c>
      <c r="S7848">
        <v>3.0076139999999998</v>
      </c>
      <c r="T7848">
        <v>-0.84622759999999997</v>
      </c>
      <c r="U7848">
        <v>-0.38206479999999998</v>
      </c>
      <c r="V7848">
        <v>5.782789E-2</v>
      </c>
      <c r="W7848">
        <v>3.2328040000000002E-2</v>
      </c>
      <c r="X7848">
        <v>0.997803</v>
      </c>
      <c r="Y7848">
        <v>0.14443590000000001</v>
      </c>
      <c r="Z7848">
        <v>-2.6772600000000001E-2</v>
      </c>
      <c r="AA7848">
        <v>0.98915189999999997</v>
      </c>
      <c r="AB7848">
        <v>7</v>
      </c>
      <c r="AC7848">
        <v>0.61469999999999902</v>
      </c>
      <c r="AD7848">
        <v>-0.191903199999999</v>
      </c>
      <c r="AE7848">
        <v>-8.8599999999985302E-2</v>
      </c>
      <c r="AF7848">
        <v>9.4960859300132205E-2</v>
      </c>
      <c r="AG7848">
        <v>-0.191903199999999</v>
      </c>
      <c r="AH7848">
        <v>0.55891344953688205</v>
      </c>
      <c r="AI7848">
        <v>108.70093533822801</v>
      </c>
      <c r="AJ7848">
        <v>80.357377529691405</v>
      </c>
      <c r="AK7848">
        <v>0.59852205226079702</v>
      </c>
      <c r="AL7848">
        <v>88.147416957000303</v>
      </c>
      <c r="AM7848">
        <v>86.683120895514406</v>
      </c>
      <c r="AN7848">
        <v>0.99999999692054597</v>
      </c>
    </row>
    <row r="7849" spans="1:40" x14ac:dyDescent="0.25">
      <c r="A7849" t="str">
        <f>"20190312154452530"</f>
        <v>20190312154452530</v>
      </c>
      <c r="B7849" t="str">
        <f>"1552376692525070"</f>
        <v>1552376692525070</v>
      </c>
      <c r="C7849" t="s">
        <v>40</v>
      </c>
      <c r="D7849">
        <v>5.178668</v>
      </c>
      <c r="E7849">
        <v>0.53814530000000005</v>
      </c>
      <c r="F7849" t="s">
        <v>41</v>
      </c>
      <c r="G7849">
        <v>-118.05719999999999</v>
      </c>
      <c r="H7849">
        <v>0.91759120000000005</v>
      </c>
      <c r="I7849">
        <v>139.91290000000001</v>
      </c>
      <c r="J7849">
        <v>-118.6631</v>
      </c>
      <c r="K7849">
        <v>1.1109819999999999</v>
      </c>
      <c r="L7849">
        <v>139.99979999999999</v>
      </c>
      <c r="M7849">
        <v>0.99960959999999999</v>
      </c>
      <c r="N7849">
        <v>0</v>
      </c>
      <c r="O7849">
        <v>2.5241590000000001E-2</v>
      </c>
      <c r="P7849">
        <v>0.99920330000000002</v>
      </c>
      <c r="Q7849">
        <v>2.3025380000000002E-2</v>
      </c>
      <c r="R7849">
        <v>-3.2600949999999997E-2</v>
      </c>
      <c r="S7849">
        <v>3.0074010000000002</v>
      </c>
      <c r="T7849">
        <v>-0.86235620000000002</v>
      </c>
      <c r="U7849">
        <v>-0.37902829999999998</v>
      </c>
      <c r="V7849">
        <v>5.781356E-2</v>
      </c>
      <c r="W7849">
        <v>3.4987770000000001E-2</v>
      </c>
      <c r="X7849">
        <v>0.99771410000000005</v>
      </c>
      <c r="Y7849">
        <v>0.1433527</v>
      </c>
      <c r="Z7849">
        <v>-2.7143299999999999E-2</v>
      </c>
      <c r="AA7849">
        <v>0.98929940000000005</v>
      </c>
      <c r="AB7849">
        <v>7</v>
      </c>
      <c r="AC7849">
        <v>0.60590000000000499</v>
      </c>
      <c r="AD7849">
        <v>-0.193390799999999</v>
      </c>
      <c r="AE7849">
        <v>-8.6899999999985697E-2</v>
      </c>
      <c r="AF7849">
        <v>9.2894370588935002E-2</v>
      </c>
      <c r="AG7849">
        <v>-0.193390799999999</v>
      </c>
      <c r="AH7849">
        <v>0.54873715527383204</v>
      </c>
      <c r="AI7849">
        <v>109.161565080307</v>
      </c>
      <c r="AJ7849">
        <v>80.391632952594506</v>
      </c>
      <c r="AK7849">
        <v>0.58918743298696796</v>
      </c>
      <c r="AL7849">
        <v>87.994939198954597</v>
      </c>
      <c r="AM7849">
        <v>86.683646184366197</v>
      </c>
      <c r="AN7849">
        <v>0.99999998855412797</v>
      </c>
    </row>
    <row r="7850" spans="1:40" x14ac:dyDescent="0.25">
      <c r="A7850" t="str">
        <f>"20190312154452553"</f>
        <v>20190312154452553</v>
      </c>
      <c r="B7850" t="str">
        <f>"1552376692545563"</f>
        <v>1552376692545563</v>
      </c>
      <c r="C7850" t="s">
        <v>40</v>
      </c>
      <c r="D7850">
        <v>5.0559000000000003</v>
      </c>
      <c r="E7850">
        <v>0.53841669999999997</v>
      </c>
      <c r="F7850" t="s">
        <v>41</v>
      </c>
      <c r="G7850">
        <v>-117.9409</v>
      </c>
      <c r="H7850">
        <v>0.90573040000000005</v>
      </c>
      <c r="I7850">
        <v>139.90799999999999</v>
      </c>
      <c r="J7850">
        <v>-118.592</v>
      </c>
      <c r="K7850">
        <v>1.1109819999999999</v>
      </c>
      <c r="L7850">
        <v>140.0018</v>
      </c>
      <c r="M7850">
        <v>0.99960680000000002</v>
      </c>
      <c r="N7850">
        <v>0</v>
      </c>
      <c r="O7850">
        <v>2.534548E-2</v>
      </c>
      <c r="P7850">
        <v>0.99919309999999995</v>
      </c>
      <c r="Q7850">
        <v>2.5322649999999999E-2</v>
      </c>
      <c r="R7850">
        <v>-3.1175689999999999E-2</v>
      </c>
      <c r="S7850">
        <v>3.0096280000000002</v>
      </c>
      <c r="T7850">
        <v>-0.85533230000000005</v>
      </c>
      <c r="U7850">
        <v>-0.38253779999999998</v>
      </c>
      <c r="V7850">
        <v>5.6492170000000001E-2</v>
      </c>
      <c r="W7850">
        <v>3.7285569999999997E-2</v>
      </c>
      <c r="X7850">
        <v>0.9977066</v>
      </c>
      <c r="Y7850">
        <v>0.14456579999999999</v>
      </c>
      <c r="Z7850">
        <v>-2.7106970000000001E-2</v>
      </c>
      <c r="AA7850">
        <v>0.9891238</v>
      </c>
      <c r="AB7850">
        <v>7</v>
      </c>
      <c r="AC7850">
        <v>0.651100000000013</v>
      </c>
      <c r="AD7850">
        <v>-0.20525159999999901</v>
      </c>
      <c r="AE7850">
        <v>-9.3800000000015801E-2</v>
      </c>
      <c r="AF7850">
        <v>0.100490299406563</v>
      </c>
      <c r="AG7850">
        <v>-0.20525159999999901</v>
      </c>
      <c r="AH7850">
        <v>0.59097873355620001</v>
      </c>
      <c r="AI7850">
        <v>108.900858343458</v>
      </c>
      <c r="AJ7850">
        <v>80.349701276679397</v>
      </c>
      <c r="AK7850">
        <v>0.63362637499797303</v>
      </c>
      <c r="AL7850">
        <v>87.863198946750302</v>
      </c>
      <c r="AM7850">
        <v>86.759257203970193</v>
      </c>
      <c r="AN7850">
        <v>1.00000001934254</v>
      </c>
    </row>
    <row r="7851" spans="1:40" x14ac:dyDescent="0.25">
      <c r="A7851" t="str">
        <f>"20190312154452576"</f>
        <v>20190312154452576</v>
      </c>
      <c r="B7851" t="str">
        <f>"1552376692565082"</f>
        <v>1552376692565082</v>
      </c>
      <c r="C7851" t="s">
        <v>40</v>
      </c>
      <c r="D7851">
        <v>5.1853790000000002</v>
      </c>
      <c r="E7851">
        <v>0.53863079999999997</v>
      </c>
      <c r="F7851" t="s">
        <v>41</v>
      </c>
      <c r="G7851">
        <v>-117.8797</v>
      </c>
      <c r="H7851">
        <v>0.90810040000000003</v>
      </c>
      <c r="I7851">
        <v>139.91200000000001</v>
      </c>
      <c r="J7851">
        <v>-118.52119999999999</v>
      </c>
      <c r="K7851">
        <v>1.1109800000000001</v>
      </c>
      <c r="L7851">
        <v>140.00370000000001</v>
      </c>
      <c r="M7851">
        <v>0.99960420000000005</v>
      </c>
      <c r="N7851">
        <v>0</v>
      </c>
      <c r="O7851">
        <v>2.5448829999999999E-2</v>
      </c>
      <c r="P7851">
        <v>0.99922</v>
      </c>
      <c r="Q7851">
        <v>2.642075E-2</v>
      </c>
      <c r="R7851">
        <v>-2.9349610000000002E-2</v>
      </c>
      <c r="S7851">
        <v>3.0123440000000001</v>
      </c>
      <c r="T7851">
        <v>-0.85798109999999905</v>
      </c>
      <c r="U7851">
        <v>-0.37893680000000002</v>
      </c>
      <c r="V7851">
        <v>5.4770800000000001E-2</v>
      </c>
      <c r="W7851">
        <v>3.8384840000000003E-2</v>
      </c>
      <c r="X7851">
        <v>0.99776089999999995</v>
      </c>
      <c r="Y7851">
        <v>0.14340410000000001</v>
      </c>
      <c r="Z7851">
        <v>-2.7033390000000001E-2</v>
      </c>
      <c r="AA7851">
        <v>0.98929489999999998</v>
      </c>
      <c r="AB7851">
        <v>7</v>
      </c>
      <c r="AC7851">
        <v>0.64149999999999296</v>
      </c>
      <c r="AD7851">
        <v>-0.20287959999999899</v>
      </c>
      <c r="AE7851">
        <v>-9.1700000000003001E-2</v>
      </c>
      <c r="AF7851">
        <v>9.8356360053767994E-2</v>
      </c>
      <c r="AG7851">
        <v>-0.20287959999999899</v>
      </c>
      <c r="AH7851">
        <v>0.58192062383938703</v>
      </c>
      <c r="AI7851">
        <v>108.971034571103</v>
      </c>
      <c r="AJ7851">
        <v>80.406523178840501</v>
      </c>
      <c r="AK7851">
        <v>0.62407188536963298</v>
      </c>
      <c r="AL7851">
        <v>87.800170296726904</v>
      </c>
      <c r="AM7851">
        <v>86.8579753941343</v>
      </c>
      <c r="AN7851">
        <v>1.0000000250216301</v>
      </c>
    </row>
    <row r="7852" spans="1:40" x14ac:dyDescent="0.25">
      <c r="A7852" t="str">
        <f>"20190312154452598"</f>
        <v>20190312154452598</v>
      </c>
      <c r="B7852" t="str">
        <f>"1552376692585578"</f>
        <v>1552376692585578</v>
      </c>
      <c r="C7852" t="s">
        <v>40</v>
      </c>
      <c r="D7852">
        <v>5.176545</v>
      </c>
      <c r="E7852">
        <v>0.53870260000000003</v>
      </c>
      <c r="F7852" t="s">
        <v>41</v>
      </c>
      <c r="G7852">
        <v>-117.8181</v>
      </c>
      <c r="H7852">
        <v>0.91138949999999996</v>
      </c>
      <c r="I7852">
        <v>139.91630000000001</v>
      </c>
      <c r="J7852">
        <v>-118.46</v>
      </c>
      <c r="K7852">
        <v>1.110984</v>
      </c>
      <c r="L7852">
        <v>140.00530000000001</v>
      </c>
      <c r="M7852">
        <v>0.99960199999999999</v>
      </c>
      <c r="N7852">
        <v>0</v>
      </c>
      <c r="O7852">
        <v>2.5538169999999999E-2</v>
      </c>
      <c r="P7852">
        <v>0.99923700000000004</v>
      </c>
      <c r="Q7852">
        <v>2.8160689999999999E-2</v>
      </c>
      <c r="R7852">
        <v>-2.7067529999999999E-2</v>
      </c>
      <c r="S7852">
        <v>3.0139619999999998</v>
      </c>
      <c r="T7852">
        <v>-0.85558880000000004</v>
      </c>
      <c r="U7852">
        <v>-0.37409969999999998</v>
      </c>
      <c r="V7852">
        <v>5.2578800000000002E-2</v>
      </c>
      <c r="W7852">
        <v>4.0125870000000001E-2</v>
      </c>
      <c r="X7852">
        <v>0.99781030000000004</v>
      </c>
      <c r="Y7852">
        <v>0.14195769999999999</v>
      </c>
      <c r="Z7852">
        <v>-2.6773720000000001E-2</v>
      </c>
      <c r="AA7852">
        <v>0.98951060000000002</v>
      </c>
      <c r="AB7852">
        <v>7</v>
      </c>
      <c r="AC7852">
        <v>0.64189999999999203</v>
      </c>
      <c r="AD7852">
        <v>-0.19959449999999901</v>
      </c>
      <c r="AE7852">
        <v>-8.8999999999998594E-2</v>
      </c>
      <c r="AF7852">
        <v>9.6235952859525603E-2</v>
      </c>
      <c r="AG7852">
        <v>-0.19959449999999901</v>
      </c>
      <c r="AH7852">
        <v>0.58401652088191203</v>
      </c>
      <c r="AI7852">
        <v>108.634833874199</v>
      </c>
      <c r="AJ7852">
        <v>80.642722951068706</v>
      </c>
      <c r="AK7852">
        <v>0.62463959185761098</v>
      </c>
      <c r="AL7852">
        <v>87.700339621679802</v>
      </c>
      <c r="AM7852">
        <v>86.983635385100101</v>
      </c>
      <c r="AN7852">
        <v>1.00000000521939</v>
      </c>
    </row>
    <row r="7853" spans="1:40" x14ac:dyDescent="0.25">
      <c r="A7853" t="str">
        <f>"20190312154452618"</f>
        <v>20190312154452618</v>
      </c>
      <c r="B7853" t="str">
        <f>"1552376692615835"</f>
        <v>1552376692615835</v>
      </c>
      <c r="C7853" t="s">
        <v>40</v>
      </c>
      <c r="D7853">
        <v>5.1822119999999998</v>
      </c>
      <c r="E7853">
        <v>0.53957379999999999</v>
      </c>
      <c r="F7853" t="s">
        <v>41</v>
      </c>
      <c r="G7853">
        <v>-117.7572</v>
      </c>
      <c r="H7853">
        <v>0.91291560000000005</v>
      </c>
      <c r="I7853">
        <v>139.9196</v>
      </c>
      <c r="J7853">
        <v>-118.3942</v>
      </c>
      <c r="K7853">
        <v>1.1109910000000001</v>
      </c>
      <c r="L7853">
        <v>140.00710000000001</v>
      </c>
      <c r="M7853">
        <v>0.99959960000000003</v>
      </c>
      <c r="N7853">
        <v>0</v>
      </c>
      <c r="O7853">
        <v>2.5634179999999999E-2</v>
      </c>
      <c r="P7853">
        <v>0.99922869999999997</v>
      </c>
      <c r="Q7853">
        <v>3.0826849999999999E-2</v>
      </c>
      <c r="R7853">
        <v>-2.4328320000000001E-2</v>
      </c>
      <c r="S7853">
        <v>3.0163120000000001</v>
      </c>
      <c r="T7853">
        <v>-0.85019210000000001</v>
      </c>
      <c r="U7853">
        <v>-0.3673401</v>
      </c>
      <c r="V7853">
        <v>4.9936389999999997E-2</v>
      </c>
      <c r="W7853">
        <v>4.2792419999999998E-2</v>
      </c>
      <c r="X7853">
        <v>0.99783520000000003</v>
      </c>
      <c r="Y7853">
        <v>0.1399358</v>
      </c>
      <c r="Z7853">
        <v>-2.6342620000000001E-2</v>
      </c>
      <c r="AA7853">
        <v>0.98981010000000003</v>
      </c>
      <c r="AB7853">
        <v>7</v>
      </c>
      <c r="AC7853">
        <v>0.63700000000000001</v>
      </c>
      <c r="AD7853">
        <v>-0.19807540000000001</v>
      </c>
      <c r="AE7853">
        <v>-8.7500000000005601E-2</v>
      </c>
      <c r="AF7853">
        <v>9.4804485538657501E-2</v>
      </c>
      <c r="AG7853">
        <v>-0.19807540000000001</v>
      </c>
      <c r="AH7853">
        <v>0.57954860101702899</v>
      </c>
      <c r="AI7853">
        <v>108.638850156649</v>
      </c>
      <c r="AJ7853">
        <v>80.709651221247398</v>
      </c>
      <c r="AK7853">
        <v>0.61975667443296201</v>
      </c>
      <c r="AL7853">
        <v>87.547425930729901</v>
      </c>
      <c r="AM7853">
        <v>87.135038511979005</v>
      </c>
      <c r="AN7853">
        <v>0.99999996030736304</v>
      </c>
    </row>
    <row r="7854" spans="1:40" x14ac:dyDescent="0.25">
      <c r="A7854" t="str">
        <f>"20190312154452641"</f>
        <v>20190312154452641</v>
      </c>
      <c r="B7854" t="str">
        <f>"1552376692635355"</f>
        <v>1552376692635355</v>
      </c>
      <c r="C7854" t="s">
        <v>40</v>
      </c>
      <c r="D7854">
        <v>5.2182029999999999</v>
      </c>
      <c r="E7854">
        <v>0.54022669999999995</v>
      </c>
      <c r="F7854" t="s">
        <v>41</v>
      </c>
      <c r="G7854">
        <v>-117.6961</v>
      </c>
      <c r="H7854">
        <v>0.91490830000000001</v>
      </c>
      <c r="I7854">
        <v>139.92259999999999</v>
      </c>
      <c r="J7854">
        <v>-118.3266</v>
      </c>
      <c r="K7854">
        <v>1.1110059999999999</v>
      </c>
      <c r="L7854">
        <v>140.00899999999999</v>
      </c>
      <c r="M7854">
        <v>0.99959710000000002</v>
      </c>
      <c r="N7854">
        <v>0</v>
      </c>
      <c r="O7854">
        <v>2.5732999999999999E-2</v>
      </c>
      <c r="P7854">
        <v>0.99916640000000001</v>
      </c>
      <c r="Q7854">
        <v>3.3827099999999999E-2</v>
      </c>
      <c r="R7854">
        <v>-2.2858529999999998E-2</v>
      </c>
      <c r="S7854">
        <v>3.0195919999999998</v>
      </c>
      <c r="T7854">
        <v>-0.84812929999999997</v>
      </c>
      <c r="U7854">
        <v>-0.36541750000000001</v>
      </c>
      <c r="V7854">
        <v>4.8564120000000002E-2</v>
      </c>
      <c r="W7854">
        <v>4.5792600000000003E-2</v>
      </c>
      <c r="X7854">
        <v>0.99776980000000004</v>
      </c>
      <c r="Y7854">
        <v>0.13934530000000001</v>
      </c>
      <c r="Z7854">
        <v>-2.620078E-2</v>
      </c>
      <c r="AA7854">
        <v>0.98989720000000003</v>
      </c>
      <c r="AB7854">
        <v>7</v>
      </c>
      <c r="AC7854">
        <v>0.63049999999999695</v>
      </c>
      <c r="AD7854">
        <v>-0.19609770000000001</v>
      </c>
      <c r="AE7854">
        <v>-8.6399999999997507E-2</v>
      </c>
      <c r="AF7854">
        <v>9.37003534927415E-2</v>
      </c>
      <c r="AG7854">
        <v>-0.19609770000000001</v>
      </c>
      <c r="AH7854">
        <v>0.57360397477014702</v>
      </c>
      <c r="AI7854">
        <v>108.64426618556899</v>
      </c>
      <c r="AJ7854">
        <v>80.722463061955494</v>
      </c>
      <c r="AK7854">
        <v>0.61339675908996005</v>
      </c>
      <c r="AL7854">
        <v>87.375359458949802</v>
      </c>
      <c r="AM7854">
        <v>87.213460519182902</v>
      </c>
      <c r="AN7854">
        <v>1.00000000487908</v>
      </c>
    </row>
    <row r="7855" spans="1:40" x14ac:dyDescent="0.25">
      <c r="A7855" t="str">
        <f>"20190312154452663"</f>
        <v>20190312154452663</v>
      </c>
      <c r="B7855" t="str">
        <f>"1552376692655850"</f>
        <v>1552376692655850</v>
      </c>
      <c r="C7855" t="s">
        <v>40</v>
      </c>
      <c r="D7855">
        <v>5.2108930000000004</v>
      </c>
      <c r="E7855">
        <v>0.54077019999999998</v>
      </c>
      <c r="F7855" t="s">
        <v>41</v>
      </c>
      <c r="G7855">
        <v>-117.6345</v>
      </c>
      <c r="H7855">
        <v>0.91795349999999998</v>
      </c>
      <c r="I7855">
        <v>139.92500000000001</v>
      </c>
      <c r="J7855">
        <v>-118.25920000000001</v>
      </c>
      <c r="K7855">
        <v>1.111024</v>
      </c>
      <c r="L7855">
        <v>140.01079999999999</v>
      </c>
      <c r="M7855">
        <v>0.99959439999999999</v>
      </c>
      <c r="N7855">
        <v>0</v>
      </c>
      <c r="O7855">
        <v>2.583152E-2</v>
      </c>
      <c r="P7855">
        <v>0.99909490000000001</v>
      </c>
      <c r="Q7855">
        <v>3.6823689999999999E-2</v>
      </c>
      <c r="R7855">
        <v>-2.129764E-2</v>
      </c>
      <c r="S7855">
        <v>3.022659</v>
      </c>
      <c r="T7855">
        <v>-0.84305640000000004</v>
      </c>
      <c r="U7855">
        <v>-0.36680600000000002</v>
      </c>
      <c r="V7855">
        <v>4.7100219999999998E-2</v>
      </c>
      <c r="W7855">
        <v>4.8789029999999997E-2</v>
      </c>
      <c r="X7855">
        <v>0.99769790000000003</v>
      </c>
      <c r="Y7855">
        <v>0.1398354</v>
      </c>
      <c r="Z7855">
        <v>-2.611757E-2</v>
      </c>
      <c r="AA7855">
        <v>0.98983030000000005</v>
      </c>
      <c r="AB7855">
        <v>7</v>
      </c>
      <c r="AC7855">
        <v>0.62470000000000403</v>
      </c>
      <c r="AD7855">
        <v>-0.19307050000000001</v>
      </c>
      <c r="AE7855">
        <v>-8.5799999999977603E-2</v>
      </c>
      <c r="AF7855">
        <v>9.3174352707194597E-2</v>
      </c>
      <c r="AG7855">
        <v>-0.19307050000000001</v>
      </c>
      <c r="AH7855">
        <v>0.56893699772274198</v>
      </c>
      <c r="AI7855">
        <v>108.515275327203</v>
      </c>
      <c r="AJ7855">
        <v>80.699279495328597</v>
      </c>
      <c r="AK7855">
        <v>0.60798600752848098</v>
      </c>
      <c r="AL7855">
        <v>87.203484148360502</v>
      </c>
      <c r="AM7855">
        <v>87.297136044855193</v>
      </c>
      <c r="AN7855">
        <v>0.99999994991839802</v>
      </c>
    </row>
    <row r="7856" spans="1:40" x14ac:dyDescent="0.25">
      <c r="A7856" t="str">
        <f>"20190312154452686"</f>
        <v>20190312154452686</v>
      </c>
      <c r="B7856" t="str">
        <f>"1552376692675371"</f>
        <v>1552376692675371</v>
      </c>
      <c r="C7856" t="s">
        <v>40</v>
      </c>
      <c r="D7856">
        <v>5.2238110000000004</v>
      </c>
      <c r="E7856">
        <v>0.54125290000000004</v>
      </c>
      <c r="F7856" t="s">
        <v>41</v>
      </c>
      <c r="G7856">
        <v>-117.5729</v>
      </c>
      <c r="H7856">
        <v>0.92093349999999996</v>
      </c>
      <c r="I7856">
        <v>139.92750000000001</v>
      </c>
      <c r="J7856">
        <v>-118.19199999999999</v>
      </c>
      <c r="K7856">
        <v>1.111032</v>
      </c>
      <c r="L7856">
        <v>140.0127</v>
      </c>
      <c r="M7856">
        <v>0.99959200000000004</v>
      </c>
      <c r="N7856">
        <v>0</v>
      </c>
      <c r="O7856">
        <v>2.5929509999999999E-2</v>
      </c>
      <c r="P7856">
        <v>0.99904470000000001</v>
      </c>
      <c r="Q7856">
        <v>3.8819340000000001E-2</v>
      </c>
      <c r="R7856">
        <v>-2.0069159999999999E-2</v>
      </c>
      <c r="S7856">
        <v>3.0257869999999998</v>
      </c>
      <c r="T7856">
        <v>-0.83806619999999998</v>
      </c>
      <c r="U7856">
        <v>-0.3670349</v>
      </c>
      <c r="V7856">
        <v>4.59689E-2</v>
      </c>
      <c r="W7856">
        <v>5.0784969999999999E-2</v>
      </c>
      <c r="X7856">
        <v>0.99765110000000001</v>
      </c>
      <c r="Y7856">
        <v>0.13996029999999901</v>
      </c>
      <c r="Z7856">
        <v>-2.5986220000000001E-2</v>
      </c>
      <c r="AA7856">
        <v>0.98981609999999998</v>
      </c>
      <c r="AB7856">
        <v>7</v>
      </c>
      <c r="AC7856">
        <v>0.61910000000000298</v>
      </c>
      <c r="AD7856">
        <v>-0.1900985</v>
      </c>
      <c r="AE7856">
        <v>-8.5199999999986106E-2</v>
      </c>
      <c r="AF7856">
        <v>9.2652249307840107E-2</v>
      </c>
      <c r="AG7856">
        <v>-0.1900985</v>
      </c>
      <c r="AH7856">
        <v>0.56445301877103704</v>
      </c>
      <c r="AI7856">
        <v>108.38351248775299</v>
      </c>
      <c r="AJ7856">
        <v>80.678300257903302</v>
      </c>
      <c r="AK7856">
        <v>0.60276785697628998</v>
      </c>
      <c r="AL7856">
        <v>87.0889832904885</v>
      </c>
      <c r="AM7856">
        <v>87.361840857238505</v>
      </c>
      <c r="AN7856">
        <v>0.99999998513816002</v>
      </c>
    </row>
    <row r="7857" spans="1:40" x14ac:dyDescent="0.25">
      <c r="A7857" t="str">
        <f>"20190312154452709"</f>
        <v>20190312154452709</v>
      </c>
      <c r="B7857" t="str">
        <f>"1552376692705627"</f>
        <v>1552376692705627</v>
      </c>
      <c r="C7857" t="s">
        <v>40</v>
      </c>
      <c r="D7857">
        <v>5.2115369999999999</v>
      </c>
      <c r="E7857">
        <v>0.54195649999999995</v>
      </c>
      <c r="F7857" t="s">
        <v>41</v>
      </c>
      <c r="G7857">
        <v>-117.5116</v>
      </c>
      <c r="H7857">
        <v>0.92338710000000002</v>
      </c>
      <c r="I7857">
        <v>139.9297</v>
      </c>
      <c r="J7857">
        <v>-118.12479999999999</v>
      </c>
      <c r="K7857">
        <v>1.111035</v>
      </c>
      <c r="L7857">
        <v>140.0146</v>
      </c>
      <c r="M7857">
        <v>0.99958939999999996</v>
      </c>
      <c r="N7857">
        <v>0</v>
      </c>
      <c r="O7857">
        <v>2.6027669999999999E-2</v>
      </c>
      <c r="P7857">
        <v>0.99901169999999995</v>
      </c>
      <c r="Q7857">
        <v>3.9984140000000001E-2</v>
      </c>
      <c r="R7857">
        <v>-1.94164E-2</v>
      </c>
      <c r="S7857">
        <v>3.027908</v>
      </c>
      <c r="T7857">
        <v>-0.83512330000000001</v>
      </c>
      <c r="U7857">
        <v>-0.36897279999999999</v>
      </c>
      <c r="V7857">
        <v>4.541336E-2</v>
      </c>
      <c r="W7857">
        <v>5.1949780000000001E-2</v>
      </c>
      <c r="X7857">
        <v>0.99761659999999996</v>
      </c>
      <c r="Y7857">
        <v>0.1406221</v>
      </c>
      <c r="Z7857">
        <v>-2.5995710000000002E-2</v>
      </c>
      <c r="AA7857">
        <v>0.98972199999999999</v>
      </c>
      <c r="AB7857">
        <v>7</v>
      </c>
      <c r="AC7857">
        <v>0.61319999999999197</v>
      </c>
      <c r="AD7857">
        <v>-0.18764790000000001</v>
      </c>
      <c r="AE7857">
        <v>-8.4900000000004597E-2</v>
      </c>
      <c r="AF7857">
        <v>9.2347364099841997E-2</v>
      </c>
      <c r="AG7857">
        <v>-0.18764790000000001</v>
      </c>
      <c r="AH7857">
        <v>0.55938424042338897</v>
      </c>
      <c r="AI7857">
        <v>108.313228721342</v>
      </c>
      <c r="AJ7857">
        <v>80.625732637696601</v>
      </c>
      <c r="AK7857">
        <v>0.59720222577000703</v>
      </c>
      <c r="AL7857">
        <v>87.022156459734305</v>
      </c>
      <c r="AM7857">
        <v>87.393589105489994</v>
      </c>
      <c r="AN7857">
        <v>1.00000001675204</v>
      </c>
    </row>
    <row r="7858" spans="1:40" x14ac:dyDescent="0.25">
      <c r="A7858" t="str">
        <f>"20190312154452731"</f>
        <v>20190312154452731</v>
      </c>
      <c r="B7858" t="str">
        <f>"1552376692725147"</f>
        <v>1552376692725147</v>
      </c>
      <c r="C7858" t="s">
        <v>40</v>
      </c>
      <c r="D7858">
        <v>5.1842759999999997</v>
      </c>
      <c r="E7858">
        <v>0.54239740000000003</v>
      </c>
      <c r="F7858" t="s">
        <v>41</v>
      </c>
      <c r="G7858">
        <v>-117.39709999999999</v>
      </c>
      <c r="H7858">
        <v>0.90965969999999996</v>
      </c>
      <c r="I7858">
        <v>139.9247</v>
      </c>
      <c r="J7858">
        <v>-118.05710000000001</v>
      </c>
      <c r="K7858">
        <v>1.11103</v>
      </c>
      <c r="L7858">
        <v>140.0164</v>
      </c>
      <c r="M7858">
        <v>0.9995868</v>
      </c>
      <c r="N7858">
        <v>0</v>
      </c>
      <c r="O7858">
        <v>2.6126489999999999E-2</v>
      </c>
      <c r="P7858">
        <v>0.99898489999999995</v>
      </c>
      <c r="Q7858">
        <v>4.0896269999999998E-2</v>
      </c>
      <c r="R7858">
        <v>-1.888687E-2</v>
      </c>
      <c r="S7858">
        <v>3.0292659999999998</v>
      </c>
      <c r="T7858">
        <v>-0.83831919999999904</v>
      </c>
      <c r="U7858">
        <v>-0.3735504</v>
      </c>
      <c r="V7858">
        <v>4.4982130000000002E-2</v>
      </c>
      <c r="W7858">
        <v>5.2862140000000002E-2</v>
      </c>
      <c r="X7858">
        <v>0.99758820000000004</v>
      </c>
      <c r="Y7858">
        <v>0.14204410000000001</v>
      </c>
      <c r="Z7858">
        <v>-2.629741E-2</v>
      </c>
      <c r="AA7858">
        <v>0.98951100000000003</v>
      </c>
      <c r="AB7858">
        <v>7</v>
      </c>
      <c r="AC7858">
        <v>0.66000000000001002</v>
      </c>
      <c r="AD7858">
        <v>-0.2013703</v>
      </c>
      <c r="AE7858">
        <v>-9.1700000000003001E-2</v>
      </c>
      <c r="AF7858">
        <v>9.9799066330950897E-2</v>
      </c>
      <c r="AG7858">
        <v>-0.2013703</v>
      </c>
      <c r="AH7858">
        <v>0.60236638978637402</v>
      </c>
      <c r="AI7858">
        <v>108.252705857355</v>
      </c>
      <c r="AJ7858">
        <v>80.592782836273102</v>
      </c>
      <c r="AK7858">
        <v>0.64292699345018101</v>
      </c>
      <c r="AL7858">
        <v>86.969810121809701</v>
      </c>
      <c r="AM7858">
        <v>87.418231662891301</v>
      </c>
      <c r="AN7858">
        <v>1.0000000073219699</v>
      </c>
    </row>
    <row r="7859" spans="1:40" x14ac:dyDescent="0.25">
      <c r="A7859" t="str">
        <f>"20190312154452758"</f>
        <v>20190312154452758</v>
      </c>
      <c r="B7859" t="str">
        <f>"1552376692745643"</f>
        <v>1552376692745643</v>
      </c>
      <c r="C7859" t="s">
        <v>40</v>
      </c>
      <c r="D7859">
        <v>5.2146129999999999</v>
      </c>
      <c r="E7859">
        <v>0.54282399999999997</v>
      </c>
      <c r="F7859" t="s">
        <v>41</v>
      </c>
      <c r="G7859">
        <v>-117.3364</v>
      </c>
      <c r="H7859">
        <v>0.91135540000000004</v>
      </c>
      <c r="I7859">
        <v>139.92679999999999</v>
      </c>
      <c r="J7859">
        <v>-117.9778</v>
      </c>
      <c r="K7859">
        <v>1.1110180000000001</v>
      </c>
      <c r="L7859">
        <v>140.01859999999999</v>
      </c>
      <c r="M7859">
        <v>0.99958369999999996</v>
      </c>
      <c r="N7859">
        <v>0</v>
      </c>
      <c r="O7859">
        <v>2.624247E-2</v>
      </c>
      <c r="P7859">
        <v>0.99898189999999998</v>
      </c>
      <c r="Q7859">
        <v>4.0858690000000003E-2</v>
      </c>
      <c r="R7859">
        <v>-1.912575E-2</v>
      </c>
      <c r="S7859">
        <v>3.0303040000000001</v>
      </c>
      <c r="T7859">
        <v>-0.83961869999999905</v>
      </c>
      <c r="U7859">
        <v>-0.37637330000000002</v>
      </c>
      <c r="V7859">
        <v>4.5336590000000003E-2</v>
      </c>
      <c r="W7859">
        <v>5.2824999999999997E-2</v>
      </c>
      <c r="X7859">
        <v>0.99757410000000002</v>
      </c>
      <c r="Y7859">
        <v>0.14297260000000001</v>
      </c>
      <c r="Z7859">
        <v>-2.6483920000000001E-2</v>
      </c>
      <c r="AA7859">
        <v>0.98937229999999998</v>
      </c>
      <c r="AB7859">
        <v>7</v>
      </c>
      <c r="AC7859">
        <v>0.64140000000000397</v>
      </c>
      <c r="AD7859">
        <v>-0.1996626</v>
      </c>
      <c r="AE7859">
        <v>-9.1800000000006293E-2</v>
      </c>
      <c r="AF7859">
        <v>9.9183315007068798E-2</v>
      </c>
      <c r="AG7859">
        <v>-0.1996626</v>
      </c>
      <c r="AH7859">
        <v>0.58337411942306105</v>
      </c>
      <c r="AI7859">
        <v>108.64506259377301</v>
      </c>
      <c r="AJ7859">
        <v>80.351027361533497</v>
      </c>
      <c r="AK7859">
        <v>0.62452209490712496</v>
      </c>
      <c r="AL7859">
        <v>86.971940999781793</v>
      </c>
      <c r="AM7859">
        <v>87.397878406670003</v>
      </c>
      <c r="AN7859">
        <v>0.99999998600431805</v>
      </c>
    </row>
    <row r="7860" spans="1:40" x14ac:dyDescent="0.25">
      <c r="A7860" t="str">
        <f>"20190312154452780"</f>
        <v>20190312154452780</v>
      </c>
      <c r="B7860" t="str">
        <f>"1552376692775898"</f>
        <v>1552376692775898</v>
      </c>
      <c r="C7860" t="s">
        <v>40</v>
      </c>
      <c r="D7860">
        <v>5.239052</v>
      </c>
      <c r="E7860">
        <v>0.54325500000000004</v>
      </c>
      <c r="F7860" t="s">
        <v>41</v>
      </c>
      <c r="G7860">
        <v>-117.2749</v>
      </c>
      <c r="H7860">
        <v>0.91513489999999997</v>
      </c>
      <c r="I7860">
        <v>139.93020000000001</v>
      </c>
      <c r="J7860">
        <v>-117.91079999999999</v>
      </c>
      <c r="K7860">
        <v>1.1109979999999999</v>
      </c>
      <c r="L7860">
        <v>140.0205</v>
      </c>
      <c r="M7860">
        <v>0.99958119999999995</v>
      </c>
      <c r="N7860">
        <v>0</v>
      </c>
      <c r="O7860">
        <v>2.6340269999999999E-2</v>
      </c>
      <c r="P7860">
        <v>0.99900659999999997</v>
      </c>
      <c r="Q7860">
        <v>3.9946879999999997E-2</v>
      </c>
      <c r="R7860">
        <v>-1.9754440000000002E-2</v>
      </c>
      <c r="S7860">
        <v>3.030319</v>
      </c>
      <c r="T7860">
        <v>-0.84451989999999999</v>
      </c>
      <c r="U7860">
        <v>-0.380722</v>
      </c>
      <c r="V7860">
        <v>4.6063239999999998E-2</v>
      </c>
      <c r="W7860">
        <v>5.1913580000000001E-2</v>
      </c>
      <c r="X7860">
        <v>0.99758869999999999</v>
      </c>
      <c r="Y7860">
        <v>0.14434069999999999</v>
      </c>
      <c r="Z7860">
        <v>-2.6843639999999998E-2</v>
      </c>
      <c r="AA7860">
        <v>0.98916389999999998</v>
      </c>
      <c r="AB7860">
        <v>7</v>
      </c>
      <c r="AC7860">
        <v>0.63589999999999203</v>
      </c>
      <c r="AD7860">
        <v>-0.19586310000000001</v>
      </c>
      <c r="AE7860">
        <v>-9.0299999999984906E-2</v>
      </c>
      <c r="AF7860">
        <v>9.7914167696219204E-2</v>
      </c>
      <c r="AG7860">
        <v>-0.19586310000000001</v>
      </c>
      <c r="AH7860">
        <v>0.57941796199834805</v>
      </c>
      <c r="AI7860">
        <v>108.433675127013</v>
      </c>
      <c r="AJ7860">
        <v>80.408368267903398</v>
      </c>
      <c r="AK7860">
        <v>0.61941481485638705</v>
      </c>
      <c r="AL7860">
        <v>87.024233403268994</v>
      </c>
      <c r="AM7860">
        <v>87.356269226550594</v>
      </c>
      <c r="AN7860">
        <v>1.0000000281176999</v>
      </c>
    </row>
    <row r="7861" spans="1:40" x14ac:dyDescent="0.25">
      <c r="A7861" t="str">
        <f>"20190312154452802"</f>
        <v>20190312154452802</v>
      </c>
      <c r="B7861" t="str">
        <f>"1552376692795421"</f>
        <v>1552376692795421</v>
      </c>
      <c r="C7861" t="s">
        <v>40</v>
      </c>
      <c r="D7861">
        <v>5.2475440000000004</v>
      </c>
      <c r="E7861">
        <v>0.55002240000000002</v>
      </c>
      <c r="F7861" t="s">
        <v>41</v>
      </c>
      <c r="G7861">
        <v>-117.2148</v>
      </c>
      <c r="H7861">
        <v>0.91541539999999999</v>
      </c>
      <c r="I7861">
        <v>139.9316</v>
      </c>
      <c r="J7861">
        <v>-117.8456</v>
      </c>
      <c r="K7861">
        <v>1.1109789999999999</v>
      </c>
      <c r="L7861">
        <v>140.0223</v>
      </c>
      <c r="M7861">
        <v>0.99957859999999998</v>
      </c>
      <c r="N7861">
        <v>0</v>
      </c>
      <c r="O7861">
        <v>2.6435750000000001E-2</v>
      </c>
      <c r="P7861">
        <v>0.99904660000000001</v>
      </c>
      <c r="Q7861">
        <v>3.8310190000000001E-2</v>
      </c>
      <c r="R7861">
        <v>-2.0944279999999999E-2</v>
      </c>
      <c r="S7861">
        <v>3.029388</v>
      </c>
      <c r="T7861">
        <v>-0.85130119999999898</v>
      </c>
      <c r="U7861">
        <v>-0.38619999999999999</v>
      </c>
      <c r="V7861">
        <v>4.7349160000000001E-2</v>
      </c>
      <c r="W7861">
        <v>5.0277309999999999E-2</v>
      </c>
      <c r="X7861">
        <v>0.99761230000000001</v>
      </c>
      <c r="Y7861">
        <v>0.14606</v>
      </c>
      <c r="Z7861">
        <v>-2.7318680000000001E-2</v>
      </c>
      <c r="AA7861">
        <v>0.98889850000000001</v>
      </c>
      <c r="AB7861">
        <v>7</v>
      </c>
      <c r="AC7861">
        <v>0.63080000000000702</v>
      </c>
      <c r="AD7861">
        <v>-0.1955636</v>
      </c>
      <c r="AE7861">
        <v>-9.0699999999998199E-2</v>
      </c>
      <c r="AF7861">
        <v>9.8106617545652003E-2</v>
      </c>
      <c r="AG7861">
        <v>-0.1955636</v>
      </c>
      <c r="AH7861">
        <v>0.57411782390416199</v>
      </c>
      <c r="AI7861">
        <v>108.560309344329</v>
      </c>
      <c r="AJ7861">
        <v>80.302825508912207</v>
      </c>
      <c r="AK7861">
        <v>0.61439507303986396</v>
      </c>
      <c r="AL7861">
        <v>87.118107390770803</v>
      </c>
      <c r="AM7861">
        <v>87.282639087569294</v>
      </c>
      <c r="AN7861">
        <v>1.00000002598241</v>
      </c>
    </row>
    <row r="7862" spans="1:40" x14ac:dyDescent="0.25">
      <c r="A7862" t="str">
        <f>"20190312154452821"</f>
        <v>20190312154452821</v>
      </c>
      <c r="B7862" t="str">
        <f>"1552376692815916"</f>
        <v>1552376692815916</v>
      </c>
      <c r="C7862" t="s">
        <v>40</v>
      </c>
      <c r="D7862">
        <v>5.2874150000000002</v>
      </c>
      <c r="E7862">
        <v>0.54986230000000003</v>
      </c>
      <c r="F7862" t="s">
        <v>41</v>
      </c>
      <c r="G7862">
        <v>-117.1606</v>
      </c>
      <c r="H7862">
        <v>0.900232699999999</v>
      </c>
      <c r="I7862">
        <v>139.9222</v>
      </c>
      <c r="J7862">
        <v>-117.78619999999999</v>
      </c>
      <c r="K7862">
        <v>1.110968</v>
      </c>
      <c r="L7862">
        <v>140.024</v>
      </c>
      <c r="M7862">
        <v>0.99957640000000003</v>
      </c>
      <c r="N7862">
        <v>0</v>
      </c>
      <c r="O7862">
        <v>2.6522230000000001E-2</v>
      </c>
      <c r="P7862">
        <v>0.99908370000000002</v>
      </c>
      <c r="Q7862">
        <v>3.6455799999999997E-2</v>
      </c>
      <c r="R7862">
        <v>-2.2433959999999999E-2</v>
      </c>
      <c r="S7862">
        <v>3.0293269999999999</v>
      </c>
      <c r="T7862">
        <v>-0.93206860000000002</v>
      </c>
      <c r="U7862">
        <v>-0.44226070000000001</v>
      </c>
      <c r="V7862">
        <v>4.8925459999999997E-2</v>
      </c>
      <c r="W7862">
        <v>4.8424200000000001E-2</v>
      </c>
      <c r="X7862">
        <v>0.99762790000000001</v>
      </c>
      <c r="Y7862">
        <v>0.1621002</v>
      </c>
      <c r="Z7862">
        <v>-3.2193850000000003E-2</v>
      </c>
      <c r="AA7862">
        <v>0.98624900000000004</v>
      </c>
      <c r="AB7862">
        <v>7</v>
      </c>
      <c r="AC7862">
        <v>0.62559999999999105</v>
      </c>
      <c r="AD7862">
        <v>-0.21073529999999999</v>
      </c>
      <c r="AE7862">
        <v>-0.101799999999997</v>
      </c>
      <c r="AF7862">
        <v>0.10657641236776901</v>
      </c>
      <c r="AG7862">
        <v>-0.21073529999999999</v>
      </c>
      <c r="AH7862">
        <v>0.56069848079543705</v>
      </c>
      <c r="AI7862">
        <v>110.265825221006</v>
      </c>
      <c r="AJ7862">
        <v>79.237722915168504</v>
      </c>
      <c r="AK7862">
        <v>0.608400102486502</v>
      </c>
      <c r="AL7862">
        <v>87.224412287284096</v>
      </c>
      <c r="AM7862">
        <v>87.192361735966202</v>
      </c>
      <c r="AN7862">
        <v>1.0000000153201301</v>
      </c>
    </row>
    <row r="7863" spans="1:40" x14ac:dyDescent="0.25">
      <c r="A7863" t="str">
        <f>"20190312154452843"</f>
        <v>20190312154452843</v>
      </c>
      <c r="B7863" t="str">
        <f>"1552376692835435"</f>
        <v>1552376692835435</v>
      </c>
      <c r="C7863" t="s">
        <v>40</v>
      </c>
      <c r="D7863">
        <v>5.273962</v>
      </c>
      <c r="E7863">
        <v>0.54946059999999997</v>
      </c>
      <c r="F7863" t="s">
        <v>41</v>
      </c>
      <c r="G7863">
        <v>-117.10120000000001</v>
      </c>
      <c r="H7863">
        <v>0.89895829999999999</v>
      </c>
      <c r="I7863">
        <v>139.92339999999999</v>
      </c>
      <c r="J7863">
        <v>-117.7225</v>
      </c>
      <c r="K7863">
        <v>1.11097</v>
      </c>
      <c r="L7863">
        <v>140.0257</v>
      </c>
      <c r="M7863">
        <v>0.99957379999999996</v>
      </c>
      <c r="N7863">
        <v>0</v>
      </c>
      <c r="O7863">
        <v>2.6615030000000001E-2</v>
      </c>
      <c r="P7863">
        <v>0.99905920000000004</v>
      </c>
      <c r="Q7863">
        <v>3.6754710000000003E-2</v>
      </c>
      <c r="R7863">
        <v>-2.3016749999999999E-2</v>
      </c>
      <c r="S7863">
        <v>3.0269469999999998</v>
      </c>
      <c r="T7863">
        <v>-0.93694619999999995</v>
      </c>
      <c r="U7863">
        <v>-0.4445038</v>
      </c>
      <c r="V7863">
        <v>4.9600329999999998E-2</v>
      </c>
      <c r="W7863">
        <v>4.8722349999999998E-2</v>
      </c>
      <c r="X7863">
        <v>0.99758009999999997</v>
      </c>
      <c r="Y7863">
        <v>0.1628781</v>
      </c>
      <c r="Z7863">
        <v>-3.2522429999999998E-2</v>
      </c>
      <c r="AA7863">
        <v>0.98611000000000004</v>
      </c>
      <c r="AB7863">
        <v>7</v>
      </c>
      <c r="AC7863">
        <v>0.62129999999998997</v>
      </c>
      <c r="AD7863">
        <v>-0.212011699999999</v>
      </c>
      <c r="AE7863">
        <v>-0.10230000000001301</v>
      </c>
      <c r="AF7863">
        <v>0.106703814583921</v>
      </c>
      <c r="AG7863">
        <v>-0.212011699999999</v>
      </c>
      <c r="AH7863">
        <v>0.555391980434633</v>
      </c>
      <c r="AI7863">
        <v>110.549892489008</v>
      </c>
      <c r="AJ7863">
        <v>79.124654002040003</v>
      </c>
      <c r="AK7863">
        <v>0.60398254686270003</v>
      </c>
      <c r="AL7863">
        <v>87.207309482246501</v>
      </c>
      <c r="AM7863">
        <v>87.153560715014194</v>
      </c>
      <c r="AN7863">
        <v>1.0000000580208099</v>
      </c>
    </row>
    <row r="7864" spans="1:40" x14ac:dyDescent="0.25">
      <c r="A7864" t="str">
        <f>"20190312154452865"</f>
        <v>20190312154452865</v>
      </c>
      <c r="B7864" t="str">
        <f>"1552376692854955"</f>
        <v>1552376692854955</v>
      </c>
      <c r="C7864" t="s">
        <v>40</v>
      </c>
      <c r="D7864">
        <v>5.2815209999999997</v>
      </c>
      <c r="E7864">
        <v>0.549454</v>
      </c>
      <c r="F7864" t="s">
        <v>41</v>
      </c>
      <c r="G7864">
        <v>-117.0411</v>
      </c>
      <c r="H7864">
        <v>0.89991749999999904</v>
      </c>
      <c r="I7864">
        <v>139.92609999999999</v>
      </c>
      <c r="J7864">
        <v>-117.6533</v>
      </c>
      <c r="K7864">
        <v>1.110981</v>
      </c>
      <c r="L7864">
        <v>140.02770000000001</v>
      </c>
      <c r="M7864">
        <v>0.99957119999999999</v>
      </c>
      <c r="N7864">
        <v>0</v>
      </c>
      <c r="O7864">
        <v>2.6716E-2</v>
      </c>
      <c r="P7864">
        <v>0.99900310000000003</v>
      </c>
      <c r="Q7864">
        <v>3.8102129999999998E-2</v>
      </c>
      <c r="R7864">
        <v>-2.3264409999999999E-2</v>
      </c>
      <c r="S7864">
        <v>3.027145</v>
      </c>
      <c r="T7864">
        <v>-0.93756150000000005</v>
      </c>
      <c r="U7864">
        <v>-0.44198609999999999</v>
      </c>
      <c r="V7864">
        <v>4.9947110000000003E-2</v>
      </c>
      <c r="W7864">
        <v>5.0070150000000001E-2</v>
      </c>
      <c r="X7864">
        <v>0.99749600000000005</v>
      </c>
      <c r="Y7864">
        <v>0.1621813</v>
      </c>
      <c r="Z7864">
        <v>-3.2468129999999998E-2</v>
      </c>
      <c r="AA7864">
        <v>0.98622670000000001</v>
      </c>
      <c r="AB7864">
        <v>7</v>
      </c>
      <c r="AC7864">
        <v>0.61220000000000097</v>
      </c>
      <c r="AD7864">
        <v>-0.21106349999999999</v>
      </c>
      <c r="AE7864">
        <v>-0.10160000000001899</v>
      </c>
      <c r="AF7864">
        <v>0.105694247332504</v>
      </c>
      <c r="AG7864">
        <v>-0.21106349999999999</v>
      </c>
      <c r="AH7864">
        <v>0.54609707599415602</v>
      </c>
      <c r="AI7864">
        <v>110.779386660629</v>
      </c>
      <c r="AJ7864">
        <v>79.046135665480094</v>
      </c>
      <c r="AK7864">
        <v>0.59492948435995396</v>
      </c>
      <c r="AL7864">
        <v>87.129991683189303</v>
      </c>
      <c r="AM7864">
        <v>87.133451688550096</v>
      </c>
      <c r="AN7864">
        <v>1.00000000186718</v>
      </c>
    </row>
    <row r="7865" spans="1:40" x14ac:dyDescent="0.25">
      <c r="A7865" t="str">
        <f>"20190312154452888"</f>
        <v>20190312154452888</v>
      </c>
      <c r="B7865" t="str">
        <f>"1552376692875451"</f>
        <v>1552376692875451</v>
      </c>
      <c r="C7865" t="s">
        <v>40</v>
      </c>
      <c r="D7865">
        <v>5.3028360000000001</v>
      </c>
      <c r="E7865">
        <v>0.54898080000000005</v>
      </c>
      <c r="F7865" t="s">
        <v>41</v>
      </c>
      <c r="G7865">
        <v>-116.9799</v>
      </c>
      <c r="H7865">
        <v>0.90340779999999998</v>
      </c>
      <c r="I7865">
        <v>139.92939999999999</v>
      </c>
      <c r="J7865">
        <v>-117.5891</v>
      </c>
      <c r="K7865">
        <v>1.110992</v>
      </c>
      <c r="L7865">
        <v>140.02950000000001</v>
      </c>
      <c r="M7865">
        <v>0.99956860000000003</v>
      </c>
      <c r="N7865">
        <v>0</v>
      </c>
      <c r="O7865">
        <v>2.680975E-2</v>
      </c>
      <c r="P7865">
        <v>0.99888279999999996</v>
      </c>
      <c r="Q7865">
        <v>4.1288499999999999E-2</v>
      </c>
      <c r="R7865">
        <v>-2.2990610000000002E-2</v>
      </c>
      <c r="S7865">
        <v>3.028305</v>
      </c>
      <c r="T7865">
        <v>-0.93354320000000002</v>
      </c>
      <c r="U7865">
        <v>-0.44207760000000001</v>
      </c>
      <c r="V7865">
        <v>4.976382E-2</v>
      </c>
      <c r="W7865">
        <v>5.3254969999999999E-2</v>
      </c>
      <c r="X7865">
        <v>0.99734020000000001</v>
      </c>
      <c r="Y7865">
        <v>0.1623175</v>
      </c>
      <c r="Z7865">
        <v>-3.2371839999999999E-2</v>
      </c>
      <c r="AA7865">
        <v>0.98620739999999996</v>
      </c>
      <c r="AB7865">
        <v>7</v>
      </c>
      <c r="AC7865">
        <v>0.60920000000000096</v>
      </c>
      <c r="AD7865">
        <v>-0.207584199999999</v>
      </c>
      <c r="AE7865">
        <v>-0.100100000000026</v>
      </c>
      <c r="AF7865">
        <v>0.104574746246286</v>
      </c>
      <c r="AG7865">
        <v>-0.207584199999999</v>
      </c>
      <c r="AH7865">
        <v>0.54471330765143899</v>
      </c>
      <c r="AI7865">
        <v>110.518583273723</v>
      </c>
      <c r="AJ7865">
        <v>79.132510302710102</v>
      </c>
      <c r="AK7865">
        <v>0.59223277955098597</v>
      </c>
      <c r="AL7865">
        <v>86.9472708560006</v>
      </c>
      <c r="AM7865">
        <v>87.143508140142004</v>
      </c>
      <c r="AN7865">
        <v>1.0000000020733599</v>
      </c>
    </row>
    <row r="7866" spans="1:40" x14ac:dyDescent="0.25">
      <c r="A7866" t="str">
        <f>"20190312154452912"</f>
        <v>20190312154452912</v>
      </c>
      <c r="B7866" t="str">
        <f>"1552376692905708"</f>
        <v>1552376692905708</v>
      </c>
      <c r="C7866" t="s">
        <v>40</v>
      </c>
      <c r="D7866">
        <v>5.3082699999999896</v>
      </c>
      <c r="E7866">
        <v>0.54858949999999995</v>
      </c>
      <c r="F7866" t="s">
        <v>41</v>
      </c>
      <c r="G7866">
        <v>-116.9192</v>
      </c>
      <c r="H7866">
        <v>0.9061688</v>
      </c>
      <c r="I7866">
        <v>139.9333</v>
      </c>
      <c r="J7866">
        <v>-117.52249999999999</v>
      </c>
      <c r="K7866">
        <v>1.1109990000000001</v>
      </c>
      <c r="L7866">
        <v>140.03139999999999</v>
      </c>
      <c r="M7866">
        <v>0.99956599999999995</v>
      </c>
      <c r="N7866">
        <v>0</v>
      </c>
      <c r="O7866">
        <v>2.6906719999999999E-2</v>
      </c>
      <c r="P7866">
        <v>0.99874770000000002</v>
      </c>
      <c r="Q7866">
        <v>4.4780899999999998E-2</v>
      </c>
      <c r="R7866">
        <v>-2.2310880000000002E-2</v>
      </c>
      <c r="S7866">
        <v>3.0316770000000002</v>
      </c>
      <c r="T7866">
        <v>-0.92702260000000003</v>
      </c>
      <c r="U7866">
        <v>-0.43461610000000001</v>
      </c>
      <c r="V7866">
        <v>4.9177449999999998E-2</v>
      </c>
      <c r="W7866">
        <v>5.674585E-2</v>
      </c>
      <c r="X7866">
        <v>0.99717679999999997</v>
      </c>
      <c r="Y7866">
        <v>0.1601052</v>
      </c>
      <c r="Z7866">
        <v>-3.182662E-2</v>
      </c>
      <c r="AA7866">
        <v>0.98658670000000004</v>
      </c>
      <c r="AB7866">
        <v>7</v>
      </c>
      <c r="AC7866">
        <v>0.60329999999998996</v>
      </c>
      <c r="AD7866">
        <v>-0.20483019999999999</v>
      </c>
      <c r="AE7866">
        <v>-9.8099999999988002E-2</v>
      </c>
      <c r="AF7866">
        <v>0.102758485614041</v>
      </c>
      <c r="AG7866">
        <v>-0.20483019999999999</v>
      </c>
      <c r="AH7866">
        <v>0.53981904379029899</v>
      </c>
      <c r="AI7866">
        <v>110.442888912925</v>
      </c>
      <c r="AJ7866">
        <v>79.222276736195795</v>
      </c>
      <c r="AK7866">
        <v>0.58644634642599902</v>
      </c>
      <c r="AL7866">
        <v>86.746954980152097</v>
      </c>
      <c r="AM7866">
        <v>87.176649767852396</v>
      </c>
      <c r="AN7866">
        <v>1.0000000417694801</v>
      </c>
    </row>
    <row r="7867" spans="1:40" x14ac:dyDescent="0.25">
      <c r="A7867" t="str">
        <f>"20190312154452933"</f>
        <v>20190312154452933</v>
      </c>
      <c r="B7867" t="str">
        <f>"1552376692925228"</f>
        <v>1552376692925228</v>
      </c>
      <c r="C7867" t="s">
        <v>40</v>
      </c>
      <c r="D7867">
        <v>5.326308</v>
      </c>
      <c r="E7867">
        <v>0.54837539999999996</v>
      </c>
      <c r="F7867" t="s">
        <v>41</v>
      </c>
      <c r="G7867">
        <v>-116.8047</v>
      </c>
      <c r="H7867">
        <v>0.89375669999999996</v>
      </c>
      <c r="I7867">
        <v>139.93020000000001</v>
      </c>
      <c r="J7867">
        <v>-117.45529999999999</v>
      </c>
      <c r="K7867">
        <v>1.1109910000000001</v>
      </c>
      <c r="L7867">
        <v>140.0333</v>
      </c>
      <c r="M7867">
        <v>0.99956330000000004</v>
      </c>
      <c r="N7867">
        <v>0</v>
      </c>
      <c r="O7867">
        <v>2.7004819999999999E-2</v>
      </c>
      <c r="P7867">
        <v>0.99853899999999995</v>
      </c>
      <c r="Q7867">
        <v>4.998996E-2</v>
      </c>
      <c r="R7867">
        <v>-2.050824E-2</v>
      </c>
      <c r="S7867">
        <v>3.0354000000000001</v>
      </c>
      <c r="T7867">
        <v>-0.91870459999999998</v>
      </c>
      <c r="U7867">
        <v>-0.42732239999999999</v>
      </c>
      <c r="V7867">
        <v>4.7467809999999999E-2</v>
      </c>
      <c r="W7867">
        <v>6.1953250000000001E-2</v>
      </c>
      <c r="X7867">
        <v>0.99694970000000005</v>
      </c>
      <c r="Y7867">
        <v>0.15796070000000001</v>
      </c>
      <c r="Z7867">
        <v>-3.1234359999999999E-2</v>
      </c>
      <c r="AA7867">
        <v>0.98695129999999998</v>
      </c>
      <c r="AB7867">
        <v>7</v>
      </c>
      <c r="AC7867">
        <v>0.65059999999999696</v>
      </c>
      <c r="AD7867">
        <v>-0.21723429999999999</v>
      </c>
      <c r="AE7867">
        <v>-0.103099999999983</v>
      </c>
      <c r="AF7867">
        <v>0.108800211692144</v>
      </c>
      <c r="AG7867">
        <v>-0.21723429999999999</v>
      </c>
      <c r="AH7867">
        <v>0.58405791733808898</v>
      </c>
      <c r="AI7867">
        <v>110.08491267995799</v>
      </c>
      <c r="AJ7867">
        <v>79.447706069539606</v>
      </c>
      <c r="AK7867">
        <v>0.63257559071311897</v>
      </c>
      <c r="AL7867">
        <v>86.448065778788603</v>
      </c>
      <c r="AM7867">
        <v>87.274032206079298</v>
      </c>
      <c r="AN7867">
        <v>1.00000005125092</v>
      </c>
    </row>
    <row r="7868" spans="1:40" x14ac:dyDescent="0.25">
      <c r="A7868" t="str">
        <f>"20190312154452958"</f>
        <v>20190312154452958</v>
      </c>
      <c r="B7868" t="str">
        <f>"1552376692945723"</f>
        <v>1552376692945723</v>
      </c>
      <c r="C7868" t="s">
        <v>40</v>
      </c>
      <c r="D7868">
        <v>5.3110269999999904</v>
      </c>
      <c r="E7868">
        <v>0.54821989999999998</v>
      </c>
      <c r="F7868" t="s">
        <v>41</v>
      </c>
      <c r="G7868">
        <v>-116.7431</v>
      </c>
      <c r="H7868">
        <v>0.89898480000000003</v>
      </c>
      <c r="I7868">
        <v>139.93539999999999</v>
      </c>
      <c r="J7868">
        <v>-117.37869999999999</v>
      </c>
      <c r="K7868">
        <v>1.1109500000000001</v>
      </c>
      <c r="L7868">
        <v>140.03550000000001</v>
      </c>
      <c r="M7868">
        <v>0.99956029999999996</v>
      </c>
      <c r="N7868">
        <v>0</v>
      </c>
      <c r="O7868">
        <v>2.7116749999999998E-2</v>
      </c>
      <c r="P7868">
        <v>0.99829069999999998</v>
      </c>
      <c r="Q7868">
        <v>5.5375170000000001E-2</v>
      </c>
      <c r="R7868">
        <v>-1.869525E-2</v>
      </c>
      <c r="S7868">
        <v>3.041153</v>
      </c>
      <c r="T7868">
        <v>-0.90529939999999998</v>
      </c>
      <c r="U7868">
        <v>-0.41722110000000001</v>
      </c>
      <c r="V7868">
        <v>4.5760179999999998E-2</v>
      </c>
      <c r="W7868">
        <v>6.7335930000000002E-2</v>
      </c>
      <c r="X7868">
        <v>0.99668040000000002</v>
      </c>
      <c r="Y7868">
        <v>0.15497449999999999</v>
      </c>
      <c r="Z7868">
        <v>-3.034798E-2</v>
      </c>
      <c r="AA7868">
        <v>0.9874522</v>
      </c>
      <c r="AB7868">
        <v>7</v>
      </c>
      <c r="AC7868">
        <v>0.63559999999999595</v>
      </c>
      <c r="AD7868">
        <v>-0.21196519999999999</v>
      </c>
      <c r="AE7868">
        <v>-0.100100000000026</v>
      </c>
      <c r="AF7868">
        <v>0.105816343962764</v>
      </c>
      <c r="AG7868">
        <v>-0.21196519999999999</v>
      </c>
      <c r="AH7868">
        <v>0.57071595429078203</v>
      </c>
      <c r="AI7868">
        <v>110.061105102952</v>
      </c>
      <c r="AJ7868">
        <v>79.496079450505405</v>
      </c>
      <c r="AK7868">
        <v>0.61793449907148301</v>
      </c>
      <c r="AL7868">
        <v>86.139013830363695</v>
      </c>
      <c r="AM7868">
        <v>87.371248353315394</v>
      </c>
      <c r="AN7868">
        <v>0.99999997064337798</v>
      </c>
    </row>
    <row r="7869" spans="1:40" x14ac:dyDescent="0.25">
      <c r="A7869" t="str">
        <f>"20190312154452982"</f>
        <v>20190312154452982</v>
      </c>
      <c r="B7869" t="str">
        <f>"1552376692975003"</f>
        <v>1552376692975003</v>
      </c>
      <c r="C7869" t="s">
        <v>40</v>
      </c>
      <c r="D7869">
        <v>5.3284840000000004</v>
      </c>
      <c r="E7869">
        <v>0.54813519999999905</v>
      </c>
      <c r="F7869" t="s">
        <v>41</v>
      </c>
      <c r="G7869">
        <v>-116.6807</v>
      </c>
      <c r="H7869">
        <v>0.90650180000000002</v>
      </c>
      <c r="I7869">
        <v>139.94210000000001</v>
      </c>
      <c r="J7869">
        <v>-117.3058</v>
      </c>
      <c r="K7869">
        <v>1.110881</v>
      </c>
      <c r="L7869">
        <v>140.0376</v>
      </c>
      <c r="M7869">
        <v>0.99955740000000004</v>
      </c>
      <c r="N7869">
        <v>0</v>
      </c>
      <c r="O7869">
        <v>2.7222960000000001E-2</v>
      </c>
      <c r="P7869">
        <v>0.99812659999999997</v>
      </c>
      <c r="Q7869">
        <v>5.8690779999999998E-2</v>
      </c>
      <c r="R7869">
        <v>-1.7278970000000001E-2</v>
      </c>
      <c r="S7869">
        <v>3.0470120000000001</v>
      </c>
      <c r="T7869">
        <v>-0.89253229999999995</v>
      </c>
      <c r="U7869">
        <v>-0.40725709999999998</v>
      </c>
      <c r="V7869">
        <v>4.444613E-2</v>
      </c>
      <c r="W7869">
        <v>7.0650160000000004E-2</v>
      </c>
      <c r="X7869">
        <v>0.99651040000000002</v>
      </c>
      <c r="Y7869">
        <v>0.15200749999999999</v>
      </c>
      <c r="Z7869">
        <v>-2.9495009999999999E-2</v>
      </c>
      <c r="AA7869">
        <v>0.98793920000000002</v>
      </c>
      <c r="AB7869">
        <v>7</v>
      </c>
      <c r="AC7869">
        <v>0.62510000000000299</v>
      </c>
      <c r="AD7869">
        <v>-0.20437920000000001</v>
      </c>
      <c r="AE7869">
        <v>-9.5499999999986998E-2</v>
      </c>
      <c r="AF7869">
        <v>0.101844153539057</v>
      </c>
      <c r="AG7869">
        <v>-0.20437920000000001</v>
      </c>
      <c r="AH7869">
        <v>0.56341355836511797</v>
      </c>
      <c r="AI7869">
        <v>109.64486526603</v>
      </c>
      <c r="AJ7869">
        <v>79.753704097039503</v>
      </c>
      <c r="AK7869">
        <v>0.60792921195840899</v>
      </c>
      <c r="AL7869">
        <v>85.948668656854494</v>
      </c>
      <c r="AM7869">
        <v>87.446199229127302</v>
      </c>
      <c r="AN7869">
        <v>0.99999994044407903</v>
      </c>
    </row>
    <row r="7870" spans="1:40" x14ac:dyDescent="0.25">
      <c r="A7870" t="str">
        <f>"20190312154453003"</f>
        <v>20190312154453003</v>
      </c>
      <c r="B7870" t="str">
        <f>"1552376692995500"</f>
        <v>1552376692995500</v>
      </c>
      <c r="C7870" t="s">
        <v>40</v>
      </c>
      <c r="D7870">
        <v>5.3491179999999998</v>
      </c>
      <c r="E7870">
        <v>0.54764729999999995</v>
      </c>
      <c r="F7870" t="s">
        <v>41</v>
      </c>
      <c r="G7870">
        <v>-116.6193</v>
      </c>
      <c r="H7870">
        <v>0.91143669999999999</v>
      </c>
      <c r="I7870">
        <v>139.9477</v>
      </c>
      <c r="J7870">
        <v>-117.2437</v>
      </c>
      <c r="K7870">
        <v>1.1107860000000001</v>
      </c>
      <c r="L7870">
        <v>140.0393</v>
      </c>
      <c r="M7870">
        <v>0.99955510000000003</v>
      </c>
      <c r="N7870">
        <v>0</v>
      </c>
      <c r="O7870">
        <v>2.731343E-2</v>
      </c>
      <c r="P7870">
        <v>0.99810030000000005</v>
      </c>
      <c r="Q7870">
        <v>5.9400670000000003E-2</v>
      </c>
      <c r="R7870">
        <v>-1.6365230000000001E-2</v>
      </c>
      <c r="S7870">
        <v>3.0508419999999998</v>
      </c>
      <c r="T7870">
        <v>-0.88640249999999998</v>
      </c>
      <c r="U7870">
        <v>-0.3989258</v>
      </c>
      <c r="V7870">
        <v>4.3622109999999999E-2</v>
      </c>
      <c r="W7870">
        <v>7.1360750000000001E-2</v>
      </c>
      <c r="X7870">
        <v>0.9964963</v>
      </c>
      <c r="Y7870">
        <v>0.14949460000000001</v>
      </c>
      <c r="Z7870">
        <v>-2.8939659999999999E-2</v>
      </c>
      <c r="AA7870">
        <v>0.98833890000000002</v>
      </c>
      <c r="AB7870">
        <v>7</v>
      </c>
      <c r="AC7870">
        <v>0.62440000000000795</v>
      </c>
      <c r="AD7870">
        <v>-0.19934930000000001</v>
      </c>
      <c r="AE7870">
        <v>-9.1599999999999598E-2</v>
      </c>
      <c r="AF7870">
        <v>9.8766354061266298E-2</v>
      </c>
      <c r="AG7870">
        <v>-0.19934930000000001</v>
      </c>
      <c r="AH7870">
        <v>0.56526147436799401</v>
      </c>
      <c r="AI7870">
        <v>109.157443949425</v>
      </c>
      <c r="AJ7870">
        <v>80.088940763496197</v>
      </c>
      <c r="AK7870">
        <v>0.60746643570630598</v>
      </c>
      <c r="AL7870">
        <v>85.9078523131098</v>
      </c>
      <c r="AM7870">
        <v>87.493449674022699</v>
      </c>
      <c r="AN7870">
        <v>1.0000000605175501</v>
      </c>
    </row>
    <row r="7871" spans="1:40" x14ac:dyDescent="0.25">
      <c r="A7871" t="str">
        <f>"20190312154453022"</f>
        <v>20190312154453022</v>
      </c>
      <c r="B7871" t="str">
        <f>"1552376693015996"</f>
        <v>1552376693015996</v>
      </c>
      <c r="C7871" t="s">
        <v>40</v>
      </c>
      <c r="D7871">
        <v>5.3447959999999997</v>
      </c>
      <c r="E7871">
        <v>0.54812559999999999</v>
      </c>
      <c r="F7871" t="s">
        <v>41</v>
      </c>
      <c r="G7871">
        <v>-116.56570000000001</v>
      </c>
      <c r="H7871">
        <v>0.89885309999999896</v>
      </c>
      <c r="I7871">
        <v>139.9538</v>
      </c>
      <c r="J7871">
        <v>-117.1858</v>
      </c>
      <c r="K7871">
        <v>1.11069</v>
      </c>
      <c r="L7871">
        <v>140.041</v>
      </c>
      <c r="M7871">
        <v>0.99955280000000002</v>
      </c>
      <c r="N7871">
        <v>0</v>
      </c>
      <c r="O7871">
        <v>2.7398059999999998E-2</v>
      </c>
      <c r="P7871">
        <v>0.99817979999999995</v>
      </c>
      <c r="Q7871">
        <v>5.8189150000000002E-2</v>
      </c>
      <c r="R7871">
        <v>-1.5860099999999999E-2</v>
      </c>
      <c r="S7871">
        <v>3.0562589999999998</v>
      </c>
      <c r="T7871">
        <v>-0.95535990000000004</v>
      </c>
      <c r="U7871">
        <v>-0.38507079999999999</v>
      </c>
      <c r="V7871">
        <v>4.320388E-2</v>
      </c>
      <c r="W7871">
        <v>7.015072E-2</v>
      </c>
      <c r="X7871">
        <v>0.99660040000000005</v>
      </c>
      <c r="Y7871">
        <v>0.1440795</v>
      </c>
      <c r="Z7871">
        <v>-3.0250849999999999E-2</v>
      </c>
      <c r="AA7871">
        <v>0.98910359999999997</v>
      </c>
      <c r="AB7871">
        <v>7</v>
      </c>
      <c r="AC7871">
        <v>0.62009999999999299</v>
      </c>
      <c r="AD7871">
        <v>-0.21183689999999999</v>
      </c>
      <c r="AE7871">
        <v>-8.7199999999995698E-2</v>
      </c>
      <c r="AF7871">
        <v>9.3462253811586293E-2</v>
      </c>
      <c r="AG7871">
        <v>-0.21183689999999999</v>
      </c>
      <c r="AH7871">
        <v>0.554070419237223</v>
      </c>
      <c r="AI7871">
        <v>110.65656801262099</v>
      </c>
      <c r="AJ7871">
        <v>80.425310324577097</v>
      </c>
      <c r="AK7871">
        <v>0.600503201126242</v>
      </c>
      <c r="AL7871">
        <v>85.9773559936975</v>
      </c>
      <c r="AM7871">
        <v>87.517710177743595</v>
      </c>
      <c r="AN7871">
        <v>1.0000000280218599</v>
      </c>
    </row>
    <row r="7872" spans="1:40" x14ac:dyDescent="0.25">
      <c r="A7872" t="str">
        <f>"20190312154453044"</f>
        <v>20190312154453044</v>
      </c>
      <c r="B7872" t="str">
        <f>"1552376693035515"</f>
        <v>1552376693035515</v>
      </c>
      <c r="C7872" t="s">
        <v>40</v>
      </c>
      <c r="D7872">
        <v>5.3681299999999998</v>
      </c>
      <c r="E7872">
        <v>0.5478345</v>
      </c>
      <c r="F7872" t="s">
        <v>41</v>
      </c>
      <c r="G7872">
        <v>-116.50539999999999</v>
      </c>
      <c r="H7872">
        <v>0.90075669999999997</v>
      </c>
      <c r="I7872">
        <v>139.9556</v>
      </c>
      <c r="J7872">
        <v>-117.1233</v>
      </c>
      <c r="K7872">
        <v>1.1106049999999901</v>
      </c>
      <c r="L7872">
        <v>140.0428</v>
      </c>
      <c r="M7872">
        <v>0.99955000000000005</v>
      </c>
      <c r="N7872">
        <v>0</v>
      </c>
      <c r="O7872">
        <v>2.7489130000000001E-2</v>
      </c>
      <c r="P7872">
        <v>0.99837750000000003</v>
      </c>
      <c r="Q7872">
        <v>5.4701310000000003E-2</v>
      </c>
      <c r="R7872">
        <v>-1.5817109999999999E-2</v>
      </c>
      <c r="S7872">
        <v>3.0543209999999998</v>
      </c>
      <c r="T7872">
        <v>-0.94252899999999995</v>
      </c>
      <c r="U7872">
        <v>-0.38291930000000002</v>
      </c>
      <c r="V7872">
        <v>4.3257320000000002E-2</v>
      </c>
      <c r="W7872">
        <v>6.6666069999999994E-2</v>
      </c>
      <c r="X7872">
        <v>0.99683719999999998</v>
      </c>
      <c r="Y7872">
        <v>0.14377139999999999</v>
      </c>
      <c r="Z7872">
        <v>-2.986281E-2</v>
      </c>
      <c r="AA7872">
        <v>0.98916020000000004</v>
      </c>
      <c r="AB7872">
        <v>7</v>
      </c>
      <c r="AC7872">
        <v>0.617900000000005</v>
      </c>
      <c r="AD7872">
        <v>-0.20984829999999899</v>
      </c>
      <c r="AE7872">
        <v>-8.7199999999995698E-2</v>
      </c>
      <c r="AF7872">
        <v>9.3572075018136497E-2</v>
      </c>
      <c r="AG7872">
        <v>-0.20984829999999899</v>
      </c>
      <c r="AH7872">
        <v>0.55275966079819705</v>
      </c>
      <c r="AI7872">
        <v>110.52148746569701</v>
      </c>
      <c r="AJ7872">
        <v>80.391961016676206</v>
      </c>
      <c r="AK7872">
        <v>0.59861112990139698</v>
      </c>
      <c r="AL7872">
        <v>86.177480464382896</v>
      </c>
      <c r="AM7872">
        <v>87.515233276449607</v>
      </c>
      <c r="AN7872">
        <v>0.99999998196333295</v>
      </c>
    </row>
    <row r="7873" spans="1:40" x14ac:dyDescent="0.25">
      <c r="A7873" t="str">
        <f>"20190312154453066"</f>
        <v>20190312154453066</v>
      </c>
      <c r="B7873" t="str">
        <f>"1552376693055035"</f>
        <v>1552376693055035</v>
      </c>
      <c r="C7873" t="s">
        <v>40</v>
      </c>
      <c r="D7873">
        <v>5.3480439999999998</v>
      </c>
      <c r="E7873">
        <v>0.54851909999999904</v>
      </c>
      <c r="F7873" t="s">
        <v>41</v>
      </c>
      <c r="G7873">
        <v>-116.4465</v>
      </c>
      <c r="H7873">
        <v>0.90017569999999902</v>
      </c>
      <c r="I7873">
        <v>139.95939999999999</v>
      </c>
      <c r="J7873">
        <v>-117.05719999999999</v>
      </c>
      <c r="K7873">
        <v>1.1105590000000001</v>
      </c>
      <c r="L7873">
        <v>140.04470000000001</v>
      </c>
      <c r="M7873">
        <v>0.99954750000000003</v>
      </c>
      <c r="N7873">
        <v>0</v>
      </c>
      <c r="O7873">
        <v>2.7585390000000001E-2</v>
      </c>
      <c r="P7873">
        <v>0.99851480000000004</v>
      </c>
      <c r="Q7873">
        <v>5.1700169999999997E-2</v>
      </c>
      <c r="R7873">
        <v>-1.7181700000000001E-2</v>
      </c>
      <c r="S7873">
        <v>3.050888</v>
      </c>
      <c r="T7873">
        <v>-0.94851479999999999</v>
      </c>
      <c r="U7873">
        <v>-0.37507629999999997</v>
      </c>
      <c r="V7873">
        <v>4.472139E-2</v>
      </c>
      <c r="W7873">
        <v>6.3666459999999994E-2</v>
      </c>
      <c r="X7873">
        <v>0.99696870000000004</v>
      </c>
      <c r="Y7873">
        <v>0.1414832</v>
      </c>
      <c r="Z7873">
        <v>-2.9763339999999999E-2</v>
      </c>
      <c r="AA7873">
        <v>0.98949310000000001</v>
      </c>
      <c r="AB7873">
        <v>7</v>
      </c>
      <c r="AC7873">
        <v>0.61069999999999403</v>
      </c>
      <c r="AD7873">
        <v>-0.2103833</v>
      </c>
      <c r="AE7873">
        <v>-8.5300000000017903E-2</v>
      </c>
      <c r="AF7873">
        <v>9.1467746494244495E-2</v>
      </c>
      <c r="AG7873">
        <v>-0.2103833</v>
      </c>
      <c r="AH7873">
        <v>0.544707162871923</v>
      </c>
      <c r="AI7873">
        <v>110.851790775366</v>
      </c>
      <c r="AJ7873">
        <v>80.467768977255204</v>
      </c>
      <c r="AK7873">
        <v>0.59104430870418301</v>
      </c>
      <c r="AL7873">
        <v>86.349711700858705</v>
      </c>
      <c r="AM7873">
        <v>87.431584024957303</v>
      </c>
      <c r="AN7873">
        <v>1.00000000481607</v>
      </c>
    </row>
    <row r="7874" spans="1:40" x14ac:dyDescent="0.25">
      <c r="A7874" t="str">
        <f>"20190312154453089"</f>
        <v>20190312154453089</v>
      </c>
      <c r="B7874" t="str">
        <f>"1552376693085292"</f>
        <v>1552376693085292</v>
      </c>
      <c r="C7874" t="s">
        <v>40</v>
      </c>
      <c r="D7874">
        <v>5.2872859999999999</v>
      </c>
      <c r="E7874">
        <v>0.54925330000000006</v>
      </c>
      <c r="F7874" t="s">
        <v>41</v>
      </c>
      <c r="G7874">
        <v>-116.3874</v>
      </c>
      <c r="H7874">
        <v>0.89947259999999996</v>
      </c>
      <c r="I7874">
        <v>139.96109999999999</v>
      </c>
      <c r="J7874">
        <v>-116.99</v>
      </c>
      <c r="K7874">
        <v>1.110571</v>
      </c>
      <c r="L7874">
        <v>140.04669999999999</v>
      </c>
      <c r="M7874">
        <v>0.99954480000000001</v>
      </c>
      <c r="N7874">
        <v>0</v>
      </c>
      <c r="O7874">
        <v>2.7683490000000002E-2</v>
      </c>
      <c r="P7874">
        <v>0.99850620000000001</v>
      </c>
      <c r="Q7874">
        <v>5.1263450000000002E-2</v>
      </c>
      <c r="R7874">
        <v>-1.8918299999999999E-2</v>
      </c>
      <c r="S7874">
        <v>3.0476380000000001</v>
      </c>
      <c r="T7874">
        <v>-0.9604625</v>
      </c>
      <c r="U7874">
        <v>-0.37982179999999999</v>
      </c>
      <c r="V7874">
        <v>4.6554819999999997E-2</v>
      </c>
      <c r="W7874">
        <v>6.3229640000000004E-2</v>
      </c>
      <c r="X7874">
        <v>0.99691249999999998</v>
      </c>
      <c r="Y7874">
        <v>0.14294109999999999</v>
      </c>
      <c r="Z7874">
        <v>-3.040259E-2</v>
      </c>
      <c r="AA7874">
        <v>0.98926409999999998</v>
      </c>
      <c r="AB7874">
        <v>7</v>
      </c>
      <c r="AC7874">
        <v>0.60259999999999503</v>
      </c>
      <c r="AD7874">
        <v>-0.21109839999999899</v>
      </c>
      <c r="AE7874">
        <v>-8.5599999999999399E-2</v>
      </c>
      <c r="AF7874">
        <v>9.1271286016846198E-2</v>
      </c>
      <c r="AG7874">
        <v>-0.21109839999999899</v>
      </c>
      <c r="AH7874">
        <v>0.53557405387655999</v>
      </c>
      <c r="AI7874">
        <v>111.23372247509199</v>
      </c>
      <c r="AJ7874">
        <v>80.328697355464996</v>
      </c>
      <c r="AK7874">
        <v>0.58286580730001702</v>
      </c>
      <c r="AL7874">
        <v>86.374789921806496</v>
      </c>
      <c r="AM7874">
        <v>87.326286690314603</v>
      </c>
      <c r="AN7874">
        <v>0.99999993564800305</v>
      </c>
    </row>
    <row r="7875" spans="1:40" x14ac:dyDescent="0.25">
      <c r="A7875" t="str">
        <f>"20190312154453110"</f>
        <v>20190312154453110</v>
      </c>
      <c r="B7875" t="str">
        <f>"1552376693105788"</f>
        <v>1552376693105788</v>
      </c>
      <c r="C7875" t="s">
        <v>40</v>
      </c>
      <c r="D7875">
        <v>5.3265880000000001</v>
      </c>
      <c r="E7875">
        <v>0.5495968</v>
      </c>
      <c r="F7875" t="s">
        <v>41</v>
      </c>
      <c r="G7875">
        <v>-116.2752</v>
      </c>
      <c r="H7875">
        <v>0.88323499999999999</v>
      </c>
      <c r="I7875">
        <v>139.9556</v>
      </c>
      <c r="J7875">
        <v>-116.9255</v>
      </c>
      <c r="K7875">
        <v>1.1106130000000001</v>
      </c>
      <c r="L7875">
        <v>140.04849999999999</v>
      </c>
      <c r="M7875">
        <v>0.99954219999999905</v>
      </c>
      <c r="N7875">
        <v>0</v>
      </c>
      <c r="O7875">
        <v>2.7777719999999999E-2</v>
      </c>
      <c r="P7875">
        <v>0.998336</v>
      </c>
      <c r="Q7875">
        <v>5.3535159999999998E-2</v>
      </c>
      <c r="R7875">
        <v>-2.143538E-2</v>
      </c>
      <c r="S7875">
        <v>3.0469059999999999</v>
      </c>
      <c r="T7875">
        <v>-0.96906029999999999</v>
      </c>
      <c r="U7875">
        <v>-0.38780209999999998</v>
      </c>
      <c r="V7875">
        <v>4.9160219999999998E-2</v>
      </c>
      <c r="W7875">
        <v>6.5498459999999994E-2</v>
      </c>
      <c r="X7875">
        <v>0.996641</v>
      </c>
      <c r="Y7875">
        <v>0.145347799999999</v>
      </c>
      <c r="Z7875">
        <v>-3.1065800000000001E-2</v>
      </c>
      <c r="AA7875">
        <v>0.98889280000000002</v>
      </c>
      <c r="AB7875">
        <v>7</v>
      </c>
      <c r="AC7875">
        <v>0.65030000000000099</v>
      </c>
      <c r="AD7875">
        <v>-0.227377999999999</v>
      </c>
      <c r="AE7875">
        <v>-9.2899999999985994E-2</v>
      </c>
      <c r="AF7875">
        <v>9.9060762117668302E-2</v>
      </c>
      <c r="AG7875">
        <v>-0.227377999999999</v>
      </c>
      <c r="AH7875">
        <v>0.57819443764476997</v>
      </c>
      <c r="AI7875">
        <v>111.186711186529</v>
      </c>
      <c r="AJ7875">
        <v>80.278032301274493</v>
      </c>
      <c r="AK7875">
        <v>0.62914433733340103</v>
      </c>
      <c r="AL7875">
        <v>86.244526322088404</v>
      </c>
      <c r="AM7875">
        <v>87.176122504698299</v>
      </c>
      <c r="AN7875">
        <v>1.0000000291869</v>
      </c>
    </row>
    <row r="7876" spans="1:40" x14ac:dyDescent="0.25">
      <c r="A7876" t="str">
        <f>"20190312154453133"</f>
        <v>20190312154453133</v>
      </c>
      <c r="B7876" t="str">
        <f>"1552376693125308"</f>
        <v>1552376693125308</v>
      </c>
      <c r="C7876" t="s">
        <v>40</v>
      </c>
      <c r="D7876">
        <v>5.0985170000000002</v>
      </c>
      <c r="E7876">
        <v>0.54927490000000001</v>
      </c>
      <c r="F7876" t="s">
        <v>41</v>
      </c>
      <c r="G7876">
        <v>-116.2144</v>
      </c>
      <c r="H7876">
        <v>0.88641700000000001</v>
      </c>
      <c r="I7876">
        <v>139.9556</v>
      </c>
      <c r="J7876">
        <v>-116.85809999999999</v>
      </c>
      <c r="K7876">
        <v>1.110687</v>
      </c>
      <c r="L7876">
        <v>140.0505</v>
      </c>
      <c r="M7876">
        <v>0.99953939999999997</v>
      </c>
      <c r="N7876">
        <v>0</v>
      </c>
      <c r="O7876">
        <v>2.7876120000000001E-2</v>
      </c>
      <c r="P7876">
        <v>0.99806410000000001</v>
      </c>
      <c r="Q7876">
        <v>5.7781480000000003E-2</v>
      </c>
      <c r="R7876">
        <v>-2.300601E-2</v>
      </c>
      <c r="S7876">
        <v>3.0480040000000002</v>
      </c>
      <c r="T7876">
        <v>-0.96105549999999995</v>
      </c>
      <c r="U7876">
        <v>-0.39788820000000003</v>
      </c>
      <c r="V7876">
        <v>5.0821070000000003E-2</v>
      </c>
      <c r="W7876">
        <v>6.9741170000000005E-2</v>
      </c>
      <c r="X7876">
        <v>0.99626979999999998</v>
      </c>
      <c r="Y7876">
        <v>0.14860329999999999</v>
      </c>
      <c r="Z7876">
        <v>-3.1333819999999998E-2</v>
      </c>
      <c r="AA7876">
        <v>0.98840030000000001</v>
      </c>
      <c r="AB7876">
        <v>7</v>
      </c>
      <c r="AC7876">
        <v>0.64369999999999505</v>
      </c>
      <c r="AD7876">
        <v>-0.22427</v>
      </c>
      <c r="AE7876">
        <v>-9.4899999999995502E-2</v>
      </c>
      <c r="AF7876">
        <v>0.10082919116953901</v>
      </c>
      <c r="AG7876">
        <v>-0.22427</v>
      </c>
      <c r="AH7876">
        <v>0.57275738694137401</v>
      </c>
      <c r="AI7876">
        <v>111.08823750194399</v>
      </c>
      <c r="AJ7876">
        <v>80.015852592624498</v>
      </c>
      <c r="AK7876">
        <v>0.62330937983301204</v>
      </c>
      <c r="AL7876">
        <v>86.000879233668797</v>
      </c>
      <c r="AM7876">
        <v>87.079795980716497</v>
      </c>
      <c r="AN7876">
        <v>1.00000006317047</v>
      </c>
    </row>
    <row r="7877" spans="1:40" x14ac:dyDescent="0.25">
      <c r="A7877" t="str">
        <f>"20190312154453289"</f>
        <v>20190312154453289</v>
      </c>
      <c r="B7877" t="str">
        <f>"1552376693285878"</f>
        <v>1552376693285878</v>
      </c>
      <c r="C7877" t="s">
        <v>40</v>
      </c>
      <c r="D7877">
        <v>4.6298380000000003</v>
      </c>
      <c r="E7877">
        <v>0.52184359999999996</v>
      </c>
      <c r="F7877" t="s">
        <v>41</v>
      </c>
      <c r="G7877">
        <v>-116.15309999999999</v>
      </c>
      <c r="H7877">
        <v>0.89149400000000001</v>
      </c>
      <c r="I7877">
        <v>139.958</v>
      </c>
      <c r="J7877">
        <v>-116.398</v>
      </c>
      <c r="K7877">
        <v>1.1108100000000001</v>
      </c>
      <c r="L7877">
        <v>140.0642</v>
      </c>
      <c r="M7877">
        <v>0.99952149999999995</v>
      </c>
      <c r="N7877">
        <v>0</v>
      </c>
      <c r="O7877">
        <v>2.8508260000000001E-2</v>
      </c>
      <c r="P7877">
        <v>0.99635119999999999</v>
      </c>
      <c r="Q7877">
        <v>8.4742250000000005E-2</v>
      </c>
      <c r="R7877">
        <v>-1.0157680000000001E-2</v>
      </c>
      <c r="S7877">
        <v>3.0515140000000001</v>
      </c>
      <c r="T7877">
        <v>-0.94871850000000002</v>
      </c>
      <c r="U7877">
        <v>-0.40028380000000002</v>
      </c>
      <c r="V7877">
        <v>3.8562079999999999E-2</v>
      </c>
      <c r="W7877">
        <v>9.6685119999999999E-2</v>
      </c>
      <c r="X7877">
        <v>0.9945678</v>
      </c>
      <c r="Y7877">
        <v>0.1499808</v>
      </c>
      <c r="Z7877">
        <v>-3.1314210000000002E-2</v>
      </c>
      <c r="AA7877">
        <v>0.98819290000000004</v>
      </c>
      <c r="AB7877">
        <v>7</v>
      </c>
      <c r="AC7877">
        <v>0.24490000000000101</v>
      </c>
      <c r="AD7877">
        <v>-0.21931600000000001</v>
      </c>
      <c r="AE7877">
        <v>-0.106200000000001</v>
      </c>
      <c r="AF7877">
        <v>6.7544116189569195E-2</v>
      </c>
      <c r="AG7877">
        <v>-0.21931600000000001</v>
      </c>
      <c r="AH7877">
        <v>0.144338551359631</v>
      </c>
      <c r="AI7877">
        <v>143.99687532415001</v>
      </c>
      <c r="AJ7877">
        <v>64.922465915735103</v>
      </c>
      <c r="AK7877">
        <v>0.27110022666244099</v>
      </c>
      <c r="AL7877">
        <v>84.451683819561296</v>
      </c>
      <c r="AM7877">
        <v>87.779600081794797</v>
      </c>
      <c r="AN7877">
        <v>1.0000000776200799</v>
      </c>
    </row>
    <row r="7878" spans="1:40" x14ac:dyDescent="0.25">
      <c r="A7878" t="str">
        <f>"20190312154453312"</f>
        <v>20190312154453312</v>
      </c>
      <c r="B7878" t="str">
        <f>"1552376693305403"</f>
        <v>1552376693305403</v>
      </c>
      <c r="C7878" t="s">
        <v>40</v>
      </c>
      <c r="D7878">
        <v>5.3272259999999996</v>
      </c>
      <c r="E7878">
        <v>0.52654299999999998</v>
      </c>
      <c r="F7878" t="s">
        <v>41</v>
      </c>
      <c r="G7878">
        <v>-115.71850000000001</v>
      </c>
      <c r="H7878">
        <v>0.80561749999999999</v>
      </c>
      <c r="I7878">
        <v>140.03809999999999</v>
      </c>
      <c r="J7878">
        <v>-116.3317</v>
      </c>
      <c r="K7878">
        <v>1.1107940000000001</v>
      </c>
      <c r="L7878">
        <v>140.06610000000001</v>
      </c>
      <c r="M7878">
        <v>0.9995193</v>
      </c>
      <c r="N7878">
        <v>0</v>
      </c>
      <c r="O7878">
        <v>2.8584169999999999E-2</v>
      </c>
      <c r="P7878">
        <v>0.99638839999999995</v>
      </c>
      <c r="Q7878">
        <v>8.4330539999999996E-2</v>
      </c>
      <c r="R7878">
        <v>-9.9252980000000008E-3</v>
      </c>
      <c r="S7878">
        <v>3.1293030000000002</v>
      </c>
      <c r="T7878">
        <v>-1.4055150000000001</v>
      </c>
      <c r="U7878">
        <v>-0.1198883</v>
      </c>
      <c r="V7878">
        <v>3.8406830000000003E-2</v>
      </c>
      <c r="W7878">
        <v>9.6274109999999996E-2</v>
      </c>
      <c r="X7878">
        <v>0.99461359999999999</v>
      </c>
      <c r="Y7878">
        <v>5.8465499999999997E-2</v>
      </c>
      <c r="Z7878">
        <v>-2.4769349999999999E-2</v>
      </c>
      <c r="AA7878">
        <v>0.99798209999999998</v>
      </c>
      <c r="AB7878">
        <v>7</v>
      </c>
      <c r="AC7878">
        <v>0.61319999999999197</v>
      </c>
      <c r="AD7878">
        <v>-0.30517650000000002</v>
      </c>
      <c r="AE7878">
        <v>-2.8000000000019998E-2</v>
      </c>
      <c r="AF7878">
        <v>3.64967761129757E-2</v>
      </c>
      <c r="AG7878">
        <v>-0.30517650000000002</v>
      </c>
      <c r="AH7878">
        <v>0.49083097967112299</v>
      </c>
      <c r="AI7878">
        <v>121.80069341107399</v>
      </c>
      <c r="AJ7878">
        <v>85.747476924606701</v>
      </c>
      <c r="AK7878">
        <v>0.57911981612081398</v>
      </c>
      <c r="AL7878">
        <v>84.475342904571903</v>
      </c>
      <c r="AM7878">
        <v>87.788632197278901</v>
      </c>
      <c r="AN7878">
        <v>1.00000000107595</v>
      </c>
    </row>
    <row r="7879" spans="1:40" x14ac:dyDescent="0.25">
      <c r="A7879" t="str">
        <f>"20190312154453333"</f>
        <v>20190312154453333</v>
      </c>
      <c r="B7879" t="str">
        <f>"1552376693325895"</f>
        <v>1552376693325895</v>
      </c>
      <c r="C7879" t="s">
        <v>40</v>
      </c>
      <c r="D7879">
        <v>6.5032959999999997</v>
      </c>
      <c r="E7879">
        <v>0.52886840000000002</v>
      </c>
      <c r="F7879" t="s">
        <v>41</v>
      </c>
      <c r="G7879">
        <v>-115.6478</v>
      </c>
      <c r="H7879">
        <v>0.83519509999999897</v>
      </c>
      <c r="I7879">
        <v>140.03</v>
      </c>
      <c r="J7879">
        <v>-116.2664</v>
      </c>
      <c r="K7879">
        <v>1.1107959999999999</v>
      </c>
      <c r="L7879">
        <v>140.06809999999999</v>
      </c>
      <c r="M7879">
        <v>0.99951730000000005</v>
      </c>
      <c r="N7879">
        <v>0</v>
      </c>
      <c r="O7879">
        <v>2.8657120000000001E-2</v>
      </c>
      <c r="P7879">
        <v>0.99651259999999997</v>
      </c>
      <c r="Q7879">
        <v>8.2661579999999998E-2</v>
      </c>
      <c r="R7879">
        <v>-1.139771E-2</v>
      </c>
      <c r="S7879">
        <v>3.115494</v>
      </c>
      <c r="T7879">
        <v>-1.25539</v>
      </c>
      <c r="U7879">
        <v>-0.16400149999999999</v>
      </c>
      <c r="V7879">
        <v>3.9954740000000002E-2</v>
      </c>
      <c r="W7879">
        <v>9.460615E-2</v>
      </c>
      <c r="X7879">
        <v>0.99471270000000001</v>
      </c>
      <c r="Y7879">
        <v>7.3223990000000003E-2</v>
      </c>
      <c r="Z7879">
        <v>-2.5297400000000001E-2</v>
      </c>
      <c r="AA7879">
        <v>0.99699459999999995</v>
      </c>
      <c r="AB7879">
        <v>7</v>
      </c>
      <c r="AC7879">
        <v>0.61860000000000004</v>
      </c>
      <c r="AD7879">
        <v>-0.27560089999999998</v>
      </c>
      <c r="AE7879">
        <v>-3.8099999999985798E-2</v>
      </c>
      <c r="AF7879">
        <v>4.6598482259391401E-2</v>
      </c>
      <c r="AG7879">
        <v>-0.27560089999999998</v>
      </c>
      <c r="AH7879">
        <v>0.51534839699380597</v>
      </c>
      <c r="AI7879">
        <v>118.040331901434</v>
      </c>
      <c r="AJ7879">
        <v>84.833290454363194</v>
      </c>
      <c r="AK7879">
        <v>0.58626891859774899</v>
      </c>
      <c r="AL7879">
        <v>84.571348390763703</v>
      </c>
      <c r="AM7879">
        <v>87.699830298793898</v>
      </c>
      <c r="AN7879">
        <v>1.0000000302037799</v>
      </c>
    </row>
    <row r="7880" spans="1:40" x14ac:dyDescent="0.25">
      <c r="A7880" t="str">
        <f>"20190312154453357"</f>
        <v>20190312154453357</v>
      </c>
      <c r="B7880" t="str">
        <f>"1552376693345415"</f>
        <v>1552376693345415</v>
      </c>
      <c r="C7880" t="s">
        <v>40</v>
      </c>
      <c r="D7880">
        <v>5.8028879999999896</v>
      </c>
      <c r="E7880">
        <v>0.544489</v>
      </c>
      <c r="F7880" t="s">
        <v>41</v>
      </c>
      <c r="G7880">
        <v>-115.5774</v>
      </c>
      <c r="H7880">
        <v>0.86398410000000003</v>
      </c>
      <c r="I7880">
        <v>140.0248</v>
      </c>
      <c r="J7880">
        <v>-116.20099999999999</v>
      </c>
      <c r="K7880">
        <v>1.110811</v>
      </c>
      <c r="L7880">
        <v>140.0701</v>
      </c>
      <c r="M7880">
        <v>0.99951509999999999</v>
      </c>
      <c r="N7880">
        <v>0</v>
      </c>
      <c r="O7880">
        <v>2.8730209999999999E-2</v>
      </c>
      <c r="P7880">
        <v>0.99653060000000004</v>
      </c>
      <c r="Q7880">
        <v>8.2277130000000004E-2</v>
      </c>
      <c r="R7880">
        <v>-1.2540229999999999E-2</v>
      </c>
      <c r="S7880">
        <v>3.1003880000000001</v>
      </c>
      <c r="T7880">
        <v>-1.110538</v>
      </c>
      <c r="U7880">
        <v>-0.19497680000000001</v>
      </c>
      <c r="V7880">
        <v>4.1169940000000002E-2</v>
      </c>
      <c r="W7880">
        <v>9.4222109999999998E-2</v>
      </c>
      <c r="X7880">
        <v>0.99469960000000002</v>
      </c>
      <c r="Y7880">
        <v>8.4399089999999996E-2</v>
      </c>
      <c r="Z7880">
        <v>-2.461969E-2</v>
      </c>
      <c r="AA7880">
        <v>0.99612780000000001</v>
      </c>
      <c r="AB7880">
        <v>7</v>
      </c>
      <c r="AC7880">
        <v>0.62360000000001004</v>
      </c>
      <c r="AD7880">
        <v>-0.24682689999999999</v>
      </c>
      <c r="AE7880">
        <v>-4.5299999999997398E-2</v>
      </c>
      <c r="AF7880">
        <v>5.4677627591697302E-2</v>
      </c>
      <c r="AG7880">
        <v>-0.24682689999999999</v>
      </c>
      <c r="AH7880">
        <v>0.53817086003785897</v>
      </c>
      <c r="AI7880">
        <v>114.526808420574</v>
      </c>
      <c r="AJ7880">
        <v>84.198711761316602</v>
      </c>
      <c r="AK7880">
        <v>0.594593168575418</v>
      </c>
      <c r="AL7880">
        <v>84.593451003841196</v>
      </c>
      <c r="AM7880">
        <v>87.629919408075594</v>
      </c>
      <c r="AN7880">
        <v>1.0000000321063001</v>
      </c>
    </row>
    <row r="7881" spans="1:40" x14ac:dyDescent="0.25">
      <c r="A7881" t="str">
        <f>"20190312154453380"</f>
        <v>20190312154453380</v>
      </c>
      <c r="B7881" t="str">
        <f>"1552376693375671"</f>
        <v>1552376693375671</v>
      </c>
      <c r="C7881" t="s">
        <v>40</v>
      </c>
      <c r="D7881">
        <v>5.2667659999999996</v>
      </c>
      <c r="E7881">
        <v>0.53362010000000004</v>
      </c>
      <c r="F7881" t="s">
        <v>41</v>
      </c>
      <c r="G7881">
        <v>-115.4569</v>
      </c>
      <c r="H7881">
        <v>0.99473579999999995</v>
      </c>
      <c r="I7881">
        <v>139.983</v>
      </c>
      <c r="J7881">
        <v>-116.1296</v>
      </c>
      <c r="K7881">
        <v>1.1108169999999999</v>
      </c>
      <c r="L7881">
        <v>140.07220000000001</v>
      </c>
      <c r="M7881">
        <v>0.99951299999999998</v>
      </c>
      <c r="N7881">
        <v>0</v>
      </c>
      <c r="O7881">
        <v>2.8811E-2</v>
      </c>
      <c r="P7881">
        <v>0.99650760000000005</v>
      </c>
      <c r="Q7881">
        <v>8.2203280000000004E-2</v>
      </c>
      <c r="R7881">
        <v>-1.468117E-2</v>
      </c>
      <c r="S7881">
        <v>3.0451969999999999</v>
      </c>
      <c r="T7881">
        <v>-0.4750991</v>
      </c>
      <c r="U7881">
        <v>-0.35574339999999999</v>
      </c>
      <c r="V7881">
        <v>4.3389299999999999E-2</v>
      </c>
      <c r="W7881">
        <v>9.4147579999999995E-2</v>
      </c>
      <c r="X7881">
        <v>0.9946123</v>
      </c>
      <c r="Y7881">
        <v>0.1425554</v>
      </c>
      <c r="Z7881">
        <v>-1.547159E-2</v>
      </c>
      <c r="AA7881">
        <v>0.98966589999999999</v>
      </c>
      <c r="AB7881">
        <v>7</v>
      </c>
      <c r="AC7881">
        <v>0.67269999999999097</v>
      </c>
      <c r="AD7881">
        <v>-0.116081199999999</v>
      </c>
      <c r="AE7881">
        <v>-8.9200000000005206E-2</v>
      </c>
      <c r="AF7881">
        <v>0.10545951076464501</v>
      </c>
      <c r="AG7881">
        <v>-0.116081199999999</v>
      </c>
      <c r="AH7881">
        <v>0.650806369922029</v>
      </c>
      <c r="AI7881">
        <v>99.985637697259307</v>
      </c>
      <c r="AJ7881">
        <v>80.795549427853601</v>
      </c>
      <c r="AK7881">
        <v>0.66943669195469602</v>
      </c>
      <c r="AL7881">
        <v>84.597740220437302</v>
      </c>
      <c r="AM7881">
        <v>87.502093501016404</v>
      </c>
      <c r="AN7881">
        <v>1.0000000127428099</v>
      </c>
    </row>
    <row r="7882" spans="1:40" x14ac:dyDescent="0.25">
      <c r="A7882" t="str">
        <f>"20190312154453402"</f>
        <v>20190312154453402</v>
      </c>
      <c r="B7882" t="str">
        <f>"1552376693395192"</f>
        <v>1552376693395192</v>
      </c>
      <c r="C7882" t="s">
        <v>40</v>
      </c>
      <c r="D7882">
        <v>5.2897220000000003</v>
      </c>
      <c r="E7882">
        <v>0.53135600000000005</v>
      </c>
      <c r="F7882" t="s">
        <v>41</v>
      </c>
      <c r="G7882">
        <v>-115.3792</v>
      </c>
      <c r="H7882">
        <v>1.0349729999999999</v>
      </c>
      <c r="I7882">
        <v>140.0018</v>
      </c>
      <c r="J7882">
        <v>-116.0635</v>
      </c>
      <c r="K7882">
        <v>1.1108279999999999</v>
      </c>
      <c r="L7882">
        <v>140.07419999999999</v>
      </c>
      <c r="M7882">
        <v>0.99951060000000003</v>
      </c>
      <c r="N7882">
        <v>0</v>
      </c>
      <c r="O7882">
        <v>2.8888279999999999E-2</v>
      </c>
      <c r="P7882">
        <v>0.99659540000000002</v>
      </c>
      <c r="Q7882">
        <v>8.0767519999999995E-2</v>
      </c>
      <c r="R7882">
        <v>-1.6562739999999999E-2</v>
      </c>
      <c r="S7882">
        <v>3.0316010000000002</v>
      </c>
      <c r="T7882">
        <v>-0.30647639999999998</v>
      </c>
      <c r="U7882">
        <v>-0.28417969999999998</v>
      </c>
      <c r="V7882">
        <v>4.5348949999999999E-2</v>
      </c>
      <c r="W7882">
        <v>9.2712890000000006E-2</v>
      </c>
      <c r="X7882">
        <v>0.99465970000000004</v>
      </c>
      <c r="Y7882">
        <v>0.121296</v>
      </c>
      <c r="Z7882">
        <v>-9.0098499999999998E-3</v>
      </c>
      <c r="AA7882">
        <v>0.99257550000000005</v>
      </c>
      <c r="AB7882">
        <v>7</v>
      </c>
      <c r="AC7882">
        <v>0.68430000000000701</v>
      </c>
      <c r="AD7882">
        <v>-7.58550000000002E-2</v>
      </c>
      <c r="AE7882">
        <v>-7.2399999999987502E-2</v>
      </c>
      <c r="AF7882">
        <v>9.1033234673986094E-2</v>
      </c>
      <c r="AG7882">
        <v>-7.58550000000002E-2</v>
      </c>
      <c r="AH7882">
        <v>0.67373559661408999</v>
      </c>
      <c r="AI7882">
        <v>96.366433475868206</v>
      </c>
      <c r="AJ7882">
        <v>82.304960188228804</v>
      </c>
      <c r="AK7882">
        <v>0.68407651983177498</v>
      </c>
      <c r="AL7882">
        <v>84.680303320780496</v>
      </c>
      <c r="AM7882">
        <v>87.389554091277603</v>
      </c>
      <c r="AN7882">
        <v>1.0000000630211701</v>
      </c>
    </row>
    <row r="7883" spans="1:40" x14ac:dyDescent="0.25">
      <c r="A7883" t="str">
        <f>"20190312154453427"</f>
        <v>20190312154453427</v>
      </c>
      <c r="B7883" t="str">
        <f>"1552376693415687"</f>
        <v>1552376693415687</v>
      </c>
      <c r="C7883" t="s">
        <v>40</v>
      </c>
      <c r="D7883">
        <v>5.2987419999999998</v>
      </c>
      <c r="E7883">
        <v>0.53155330000000001</v>
      </c>
      <c r="F7883" t="s">
        <v>41</v>
      </c>
      <c r="G7883">
        <v>-115.3139</v>
      </c>
      <c r="H7883">
        <v>1.046718</v>
      </c>
      <c r="I7883">
        <v>140.0059</v>
      </c>
      <c r="J7883">
        <v>-115.99460000000001</v>
      </c>
      <c r="K7883">
        <v>1.110835</v>
      </c>
      <c r="L7883">
        <v>140.0763</v>
      </c>
      <c r="M7883">
        <v>0.99950839999999996</v>
      </c>
      <c r="N7883">
        <v>0</v>
      </c>
      <c r="O7883">
        <v>2.8970550000000001E-2</v>
      </c>
      <c r="P7883">
        <v>0.9967239</v>
      </c>
      <c r="Q7883">
        <v>7.8793489999999994E-2</v>
      </c>
      <c r="R7883">
        <v>-1.826556E-2</v>
      </c>
      <c r="S7883">
        <v>3.0266570000000002</v>
      </c>
      <c r="T7883">
        <v>-0.25897619999999999</v>
      </c>
      <c r="U7883">
        <v>-0.2750244</v>
      </c>
      <c r="V7883">
        <v>4.713635E-2</v>
      </c>
      <c r="W7883">
        <v>9.0740440000000006E-2</v>
      </c>
      <c r="X7883">
        <v>0.99475840000000004</v>
      </c>
      <c r="Y7883">
        <v>0.11877450000000001</v>
      </c>
      <c r="Z7883">
        <v>-7.5318569999999899E-3</v>
      </c>
      <c r="AA7883">
        <v>0.99289269999999996</v>
      </c>
      <c r="AB7883">
        <v>7</v>
      </c>
      <c r="AC7883">
        <v>0.68070000000000097</v>
      </c>
      <c r="AD7883">
        <v>-6.4116999999999896E-2</v>
      </c>
      <c r="AE7883">
        <v>-7.0400000000006402E-2</v>
      </c>
      <c r="AF7883">
        <v>8.9308136093761398E-2</v>
      </c>
      <c r="AG7883">
        <v>-6.4116999999999896E-2</v>
      </c>
      <c r="AH7883">
        <v>0.67247136555117504</v>
      </c>
      <c r="AI7883">
        <v>95.399297658810795</v>
      </c>
      <c r="AJ7883">
        <v>82.435052943368902</v>
      </c>
      <c r="AK7883">
        <v>0.68139905367398601</v>
      </c>
      <c r="AL7883">
        <v>84.793794355167293</v>
      </c>
      <c r="AM7883">
        <v>87.287084662578295</v>
      </c>
      <c r="AN7883">
        <v>0.99999996865663698</v>
      </c>
    </row>
    <row r="7884" spans="1:40" x14ac:dyDescent="0.25">
      <c r="A7884" t="str">
        <f>"20190312154453446"</f>
        <v>20190312154453446</v>
      </c>
      <c r="B7884" t="str">
        <f>"1552376693435207"</f>
        <v>1552376693435207</v>
      </c>
      <c r="C7884" t="s">
        <v>40</v>
      </c>
      <c r="D7884">
        <v>5.2684290000000003</v>
      </c>
      <c r="E7884">
        <v>0.53096769999999904</v>
      </c>
      <c r="F7884" t="s">
        <v>41</v>
      </c>
      <c r="G7884">
        <v>-115.2567</v>
      </c>
      <c r="H7884">
        <v>1.045093</v>
      </c>
      <c r="I7884">
        <v>140.00749999999999</v>
      </c>
      <c r="J7884">
        <v>-115.93640000000001</v>
      </c>
      <c r="K7884">
        <v>1.1108279999999999</v>
      </c>
      <c r="L7884">
        <v>140.078</v>
      </c>
      <c r="M7884">
        <v>0.99950620000000001</v>
      </c>
      <c r="N7884">
        <v>0</v>
      </c>
      <c r="O7884">
        <v>2.904114E-2</v>
      </c>
      <c r="P7884">
        <v>0.99674450000000003</v>
      </c>
      <c r="Q7884">
        <v>7.8189389999999998E-2</v>
      </c>
      <c r="R7884">
        <v>-1.968077E-2</v>
      </c>
      <c r="S7884">
        <v>3.0260310000000001</v>
      </c>
      <c r="T7884">
        <v>-0.26969490000000002</v>
      </c>
      <c r="U7884">
        <v>-0.28164670000000003</v>
      </c>
      <c r="V7884">
        <v>4.8621699999999997E-2</v>
      </c>
      <c r="W7884">
        <v>9.0136389999999997E-2</v>
      </c>
      <c r="X7884">
        <v>0.99474189999999996</v>
      </c>
      <c r="Y7884">
        <v>0.1209633</v>
      </c>
      <c r="Z7884">
        <v>-7.9466459999999999E-3</v>
      </c>
      <c r="AA7884">
        <v>0.99262519999999999</v>
      </c>
      <c r="AB7884">
        <v>7</v>
      </c>
      <c r="AC7884">
        <v>0.67970000000001096</v>
      </c>
      <c r="AD7884">
        <v>-6.5735000000000099E-2</v>
      </c>
      <c r="AE7884">
        <v>-7.0500000000009694E-2</v>
      </c>
      <c r="AF7884">
        <v>8.9383820393097696E-2</v>
      </c>
      <c r="AG7884">
        <v>-6.5735000000000099E-2</v>
      </c>
      <c r="AH7884">
        <v>0.67115511337853795</v>
      </c>
      <c r="AI7884">
        <v>95.545232011764199</v>
      </c>
      <c r="AJ7884">
        <v>82.414040507194201</v>
      </c>
      <c r="AK7884">
        <v>0.68026446606244495</v>
      </c>
      <c r="AL7884">
        <v>84.828546669932905</v>
      </c>
      <c r="AM7884">
        <v>87.201683352598593</v>
      </c>
      <c r="AN7884">
        <v>1.0000000430643601</v>
      </c>
    </row>
    <row r="7885" spans="1:40" x14ac:dyDescent="0.25">
      <c r="A7885" t="str">
        <f>"20190312154453469"</f>
        <v>20190312154453469</v>
      </c>
      <c r="B7885" t="str">
        <f>"1552376693465464"</f>
        <v>1552376693465464</v>
      </c>
      <c r="C7885" t="s">
        <v>40</v>
      </c>
      <c r="D7885">
        <v>5.3199379999999996</v>
      </c>
      <c r="E7885">
        <v>0.52980890000000003</v>
      </c>
      <c r="F7885" t="s">
        <v>41</v>
      </c>
      <c r="G7885">
        <v>-115.19929999999999</v>
      </c>
      <c r="H7885">
        <v>1.0434099999999999</v>
      </c>
      <c r="I7885">
        <v>140.0094</v>
      </c>
      <c r="J7885">
        <v>-115.87139999999999</v>
      </c>
      <c r="K7885">
        <v>1.1108340000000001</v>
      </c>
      <c r="L7885">
        <v>140.08000000000001</v>
      </c>
      <c r="M7885">
        <v>0.9995039</v>
      </c>
      <c r="N7885">
        <v>0</v>
      </c>
      <c r="O7885">
        <v>2.912035E-2</v>
      </c>
      <c r="P7885">
        <v>0.99668369999999995</v>
      </c>
      <c r="Q7885">
        <v>7.8651170000000006E-2</v>
      </c>
      <c r="R7885">
        <v>-2.0878770000000001E-2</v>
      </c>
      <c r="S7885">
        <v>3.0259550000000002</v>
      </c>
      <c r="T7885">
        <v>-0.27689540000000001</v>
      </c>
      <c r="U7885">
        <v>-0.28118900000000002</v>
      </c>
      <c r="V7885">
        <v>4.9896179999999998E-2</v>
      </c>
      <c r="W7885">
        <v>9.0597529999999996E-2</v>
      </c>
      <c r="X7885">
        <v>0.99463679999999999</v>
      </c>
      <c r="Y7885">
        <v>0.1208637</v>
      </c>
      <c r="Z7885">
        <v>-8.1608840000000002E-3</v>
      </c>
      <c r="AA7885">
        <v>0.9926355</v>
      </c>
      <c r="AB7885">
        <v>7</v>
      </c>
      <c r="AC7885">
        <v>0.67210000000000003</v>
      </c>
      <c r="AD7885">
        <v>-6.7424000000000095E-2</v>
      </c>
      <c r="AE7885">
        <v>-7.0600000000013097E-2</v>
      </c>
      <c r="AF7885">
        <v>8.92548134774383E-2</v>
      </c>
      <c r="AG7885">
        <v>-6.7424000000000095E-2</v>
      </c>
      <c r="AH7885">
        <v>0.66315784622080498</v>
      </c>
      <c r="AI7885">
        <v>95.753849661185299</v>
      </c>
      <c r="AJ7885">
        <v>82.334590431467703</v>
      </c>
      <c r="AK7885">
        <v>0.67252564747309795</v>
      </c>
      <c r="AL7885">
        <v>84.802016277166501</v>
      </c>
      <c r="AM7885">
        <v>87.128151699137703</v>
      </c>
      <c r="AN7885">
        <v>0.99999995256746499</v>
      </c>
    </row>
    <row r="7886" spans="1:40" x14ac:dyDescent="0.25">
      <c r="A7886" t="str">
        <f>"20190312154453490"</f>
        <v>20190312154453490</v>
      </c>
      <c r="B7886" t="str">
        <f>"1552376693484983"</f>
        <v>1552376693484983</v>
      </c>
      <c r="C7886" t="s">
        <v>40</v>
      </c>
      <c r="D7886">
        <v>5.2973369999999997</v>
      </c>
      <c r="E7886">
        <v>0.52967339999999996</v>
      </c>
      <c r="F7886" t="s">
        <v>41</v>
      </c>
      <c r="G7886">
        <v>-115.0847</v>
      </c>
      <c r="H7886">
        <v>1.0384150000000001</v>
      </c>
      <c r="I7886">
        <v>140.00829999999999</v>
      </c>
      <c r="J7886">
        <v>-115.80759999999999</v>
      </c>
      <c r="K7886">
        <v>1.1108450000000001</v>
      </c>
      <c r="L7886">
        <v>140.08189999999999</v>
      </c>
      <c r="M7886">
        <v>0.99950159999999999</v>
      </c>
      <c r="N7886">
        <v>0</v>
      </c>
      <c r="O7886">
        <v>2.9197480000000001E-2</v>
      </c>
      <c r="P7886">
        <v>0.99668029999999996</v>
      </c>
      <c r="Q7886">
        <v>7.8551650000000001E-2</v>
      </c>
      <c r="R7886">
        <v>-2.140214E-2</v>
      </c>
      <c r="S7886">
        <v>3.0261990000000001</v>
      </c>
      <c r="T7886">
        <v>-0.27866669999999999</v>
      </c>
      <c r="U7886">
        <v>-0.27540589999999998</v>
      </c>
      <c r="V7886">
        <v>5.0496050000000001E-2</v>
      </c>
      <c r="W7886">
        <v>9.0498270000000006E-2</v>
      </c>
      <c r="X7886">
        <v>0.99461560000000004</v>
      </c>
      <c r="Y7886">
        <v>0.1190509</v>
      </c>
      <c r="Z7886">
        <v>-8.1368680000000002E-3</v>
      </c>
      <c r="AA7886">
        <v>0.99285480000000004</v>
      </c>
      <c r="AB7886">
        <v>7</v>
      </c>
      <c r="AC7886">
        <v>0.72289999999999499</v>
      </c>
      <c r="AD7886">
        <v>-7.2430000000000203E-2</v>
      </c>
      <c r="AE7886">
        <v>-7.3599999999999E-2</v>
      </c>
      <c r="AF7886">
        <v>9.3745560654258306E-2</v>
      </c>
      <c r="AG7886">
        <v>-7.2430000000000203E-2</v>
      </c>
      <c r="AH7886">
        <v>0.713354930117584</v>
      </c>
      <c r="AI7886">
        <v>95.748528362114101</v>
      </c>
      <c r="AJ7886">
        <v>82.5133744087385</v>
      </c>
      <c r="AK7886">
        <v>0.72312487950937299</v>
      </c>
      <c r="AL7886">
        <v>84.8077271093549</v>
      </c>
      <c r="AM7886">
        <v>87.093622297725901</v>
      </c>
      <c r="AN7886">
        <v>0.99999998985097704</v>
      </c>
    </row>
    <row r="7887" spans="1:40" x14ac:dyDescent="0.25">
      <c r="A7887" t="str">
        <f>"20190312154453512"</f>
        <v>20190312154453512</v>
      </c>
      <c r="B7887" t="str">
        <f>"1552376693505479"</f>
        <v>1552376693505479</v>
      </c>
      <c r="C7887" t="s">
        <v>40</v>
      </c>
      <c r="D7887">
        <v>5.2419079999999996</v>
      </c>
      <c r="E7887">
        <v>0.52979919999999903</v>
      </c>
      <c r="F7887" t="s">
        <v>41</v>
      </c>
      <c r="G7887">
        <v>-115.02630000000001</v>
      </c>
      <c r="H7887">
        <v>1.0384040000000001</v>
      </c>
      <c r="I7887">
        <v>140.01060000000001</v>
      </c>
      <c r="J7887">
        <v>-115.7433</v>
      </c>
      <c r="K7887">
        <v>1.1108420000000001</v>
      </c>
      <c r="L7887">
        <v>140.0839</v>
      </c>
      <c r="M7887">
        <v>0.99949940000000004</v>
      </c>
      <c r="N7887">
        <v>0</v>
      </c>
      <c r="O7887">
        <v>2.927484E-2</v>
      </c>
      <c r="P7887">
        <v>0.99663880000000005</v>
      </c>
      <c r="Q7887">
        <v>7.8891589999999998E-2</v>
      </c>
      <c r="R7887">
        <v>-2.2075669999999999E-2</v>
      </c>
      <c r="S7887">
        <v>3.0261840000000002</v>
      </c>
      <c r="T7887">
        <v>-0.28060810000000003</v>
      </c>
      <c r="U7887">
        <v>-0.27609250000000002</v>
      </c>
      <c r="V7887">
        <v>5.124513E-2</v>
      </c>
      <c r="W7887">
        <v>9.0836849999999997E-2</v>
      </c>
      <c r="X7887">
        <v>0.99454640000000005</v>
      </c>
      <c r="Y7887">
        <v>0.1193414</v>
      </c>
      <c r="Z7887">
        <v>-8.2138290000000006E-3</v>
      </c>
      <c r="AA7887">
        <v>0.99281929999999996</v>
      </c>
      <c r="AB7887">
        <v>7</v>
      </c>
      <c r="AC7887">
        <v>0.71699999999999797</v>
      </c>
      <c r="AD7887">
        <v>-7.2438000000000002E-2</v>
      </c>
      <c r="AE7887">
        <v>-7.3299999999988999E-2</v>
      </c>
      <c r="AF7887">
        <v>9.3317517669248395E-2</v>
      </c>
      <c r="AG7887">
        <v>-7.2438000000000002E-2</v>
      </c>
      <c r="AH7887">
        <v>0.70740094821243704</v>
      </c>
      <c r="AI7887">
        <v>95.796846460249597</v>
      </c>
      <c r="AJ7887">
        <v>82.485159019700504</v>
      </c>
      <c r="AK7887">
        <v>0.71719699140459703</v>
      </c>
      <c r="AL7887">
        <v>84.788247564537897</v>
      </c>
      <c r="AM7887">
        <v>87.050378561926806</v>
      </c>
      <c r="AN7887">
        <v>0.99999996920979894</v>
      </c>
    </row>
    <row r="7888" spans="1:40" x14ac:dyDescent="0.25">
      <c r="A7888" t="str">
        <f>"20190312154453534"</f>
        <v>20190312154453534</v>
      </c>
      <c r="B7888" t="str">
        <f>"1552376693525974"</f>
        <v>1552376693525974</v>
      </c>
      <c r="C7888" t="s">
        <v>40</v>
      </c>
      <c r="D7888">
        <v>5.4084409999999998</v>
      </c>
      <c r="E7888">
        <v>0.49620350000000002</v>
      </c>
      <c r="F7888" t="s">
        <v>41</v>
      </c>
      <c r="G7888">
        <v>-114.9675</v>
      </c>
      <c r="H7888">
        <v>1.0394000000000001</v>
      </c>
      <c r="I7888">
        <v>140.0121</v>
      </c>
      <c r="J7888">
        <v>-115.6777</v>
      </c>
      <c r="K7888">
        <v>1.11086</v>
      </c>
      <c r="L7888">
        <v>140.08590000000001</v>
      </c>
      <c r="M7888">
        <v>0.99949710000000003</v>
      </c>
      <c r="N7888">
        <v>0</v>
      </c>
      <c r="O7888">
        <v>2.9353210000000001E-2</v>
      </c>
      <c r="P7888">
        <v>0.99653429999999998</v>
      </c>
      <c r="Q7888">
        <v>8.0093910000000004E-2</v>
      </c>
      <c r="R7888">
        <v>-2.246594E-2</v>
      </c>
      <c r="S7888">
        <v>3.0259860000000001</v>
      </c>
      <c r="T7888">
        <v>-0.27873989999999998</v>
      </c>
      <c r="U7888">
        <v>-0.27960210000000002</v>
      </c>
      <c r="V7888">
        <v>5.1710430000000002E-2</v>
      </c>
      <c r="W7888">
        <v>9.2038179999999997E-2</v>
      </c>
      <c r="X7888">
        <v>0.99441190000000002</v>
      </c>
      <c r="Y7888">
        <v>0.1205698</v>
      </c>
      <c r="Z7888">
        <v>-8.2230199999999993E-3</v>
      </c>
      <c r="AA7888">
        <v>0.99267079999999996</v>
      </c>
      <c r="AB7888">
        <v>7</v>
      </c>
      <c r="AC7888">
        <v>0.71020000000000005</v>
      </c>
      <c r="AD7888">
        <v>-7.1459999999999801E-2</v>
      </c>
      <c r="AE7888">
        <v>-7.3800000000005597E-2</v>
      </c>
      <c r="AF7888">
        <v>9.3678053170495795E-2</v>
      </c>
      <c r="AG7888">
        <v>-7.1459999999999801E-2</v>
      </c>
      <c r="AH7888">
        <v>0.70070911114817602</v>
      </c>
      <c r="AI7888">
        <v>95.772027492194496</v>
      </c>
      <c r="AJ7888">
        <v>82.385258775623996</v>
      </c>
      <c r="AK7888">
        <v>0.71054582378048003</v>
      </c>
      <c r="AL7888">
        <v>84.719127081297302</v>
      </c>
      <c r="AM7888">
        <v>87.023242425937696</v>
      </c>
      <c r="AN7888">
        <v>1.00000001100505</v>
      </c>
    </row>
    <row r="7889" spans="1:40" x14ac:dyDescent="0.25">
      <c r="A7889" t="str">
        <f>"20190312154453581"</f>
        <v>20190312154453581</v>
      </c>
      <c r="B7889" t="str">
        <f>"1552376693575753"</f>
        <v>1552376693575753</v>
      </c>
      <c r="C7889" t="s">
        <v>40</v>
      </c>
      <c r="D7889">
        <v>5.270823</v>
      </c>
      <c r="E7889">
        <v>0.40252090000000001</v>
      </c>
      <c r="F7889" t="s">
        <v>41</v>
      </c>
      <c r="G7889">
        <v>-114.8969</v>
      </c>
      <c r="H7889">
        <v>1.0510200000000001</v>
      </c>
      <c r="I7889">
        <v>140.08199999999999</v>
      </c>
      <c r="J7889">
        <v>-115.5421</v>
      </c>
      <c r="K7889">
        <v>1.110889</v>
      </c>
      <c r="L7889">
        <v>140.09010000000001</v>
      </c>
      <c r="M7889">
        <v>0.9994923</v>
      </c>
      <c r="N7889">
        <v>0</v>
      </c>
      <c r="O7889">
        <v>2.951401E-2</v>
      </c>
      <c r="P7889">
        <v>0.99639089999999997</v>
      </c>
      <c r="Q7889">
        <v>8.1910369999999996E-2</v>
      </c>
      <c r="R7889">
        <v>-2.226906E-2</v>
      </c>
      <c r="S7889">
        <v>3.0287630000000001</v>
      </c>
      <c r="T7889">
        <v>-0.23214699999999999</v>
      </c>
      <c r="U7889">
        <v>-1.51062E-2</v>
      </c>
      <c r="V7889">
        <v>5.1669560000000003E-2</v>
      </c>
      <c r="W7889">
        <v>9.3853270000000003E-2</v>
      </c>
      <c r="X7889">
        <v>0.99424429999999997</v>
      </c>
      <c r="Y7889">
        <v>3.4313919999999998E-2</v>
      </c>
      <c r="Z7889">
        <v>-3.5719089999999998E-3</v>
      </c>
      <c r="AA7889">
        <v>0.99940469999999904</v>
      </c>
      <c r="AB7889">
        <v>7</v>
      </c>
      <c r="AC7889">
        <v>0.64520000000000199</v>
      </c>
      <c r="AD7889">
        <v>-5.9868999999999901E-2</v>
      </c>
      <c r="AE7889">
        <v>-8.1000000000130898E-3</v>
      </c>
      <c r="AF7889">
        <v>2.69086286825784E-2</v>
      </c>
      <c r="AG7889">
        <v>-5.9868999999999901E-2</v>
      </c>
      <c r="AH7889">
        <v>0.63917720588360805</v>
      </c>
      <c r="AI7889">
        <v>95.346330680005195</v>
      </c>
      <c r="AJ7889">
        <v>87.589336748659207</v>
      </c>
      <c r="AK7889">
        <v>0.642538615166243</v>
      </c>
      <c r="AL7889">
        <v>84.614677620890205</v>
      </c>
      <c r="AM7889">
        <v>87.025090421688603</v>
      </c>
      <c r="AN7889">
        <v>0.99999995390138696</v>
      </c>
    </row>
    <row r="7890" spans="1:40" x14ac:dyDescent="0.25">
      <c r="A7890" t="str">
        <f>"20190312154453606"</f>
        <v>20190312154453606</v>
      </c>
      <c r="B7890" t="str">
        <f>"1552376693595272"</f>
        <v>1552376693595272</v>
      </c>
      <c r="C7890" t="s">
        <v>40</v>
      </c>
      <c r="D7890">
        <v>5.3735980000000003</v>
      </c>
      <c r="E7890">
        <v>0.39418059999999999</v>
      </c>
      <c r="F7890" t="s">
        <v>43</v>
      </c>
      <c r="G7890">
        <v>-85.940839999999994</v>
      </c>
      <c r="H7890" s="1">
        <v>-3.5971959999999999E-6</v>
      </c>
      <c r="I7890">
        <v>147.18680000000001</v>
      </c>
      <c r="J7890">
        <v>-115.4723</v>
      </c>
      <c r="K7890">
        <v>1.1109070000000001</v>
      </c>
      <c r="L7890">
        <v>140.09229999999999</v>
      </c>
      <c r="M7890">
        <v>0.99948990000000004</v>
      </c>
      <c r="N7890">
        <v>0</v>
      </c>
      <c r="O7890">
        <v>2.9596560000000001E-2</v>
      </c>
      <c r="P7890">
        <v>0.99636690000000006</v>
      </c>
      <c r="Q7890">
        <v>8.2345440000000006E-2</v>
      </c>
      <c r="R7890">
        <v>-2.1729209999999999E-2</v>
      </c>
      <c r="S7890">
        <v>3.0364990000000001</v>
      </c>
      <c r="T7890">
        <v>-0.1139555</v>
      </c>
      <c r="U7890">
        <v>0.72798160000000001</v>
      </c>
      <c r="V7890">
        <v>5.121154E-2</v>
      </c>
      <c r="W7890">
        <v>9.4288570000000002E-2</v>
      </c>
      <c r="X7890">
        <v>0.99422690000000002</v>
      </c>
      <c r="Y7890">
        <v>-0.20413609999999999</v>
      </c>
      <c r="Z7890">
        <v>2.6818480000000001E-3</v>
      </c>
      <c r="AA7890">
        <v>0.9789388</v>
      </c>
      <c r="AB7890">
        <v>7</v>
      </c>
      <c r="AC7890">
        <v>29.531459999999999</v>
      </c>
      <c r="AD7890">
        <v>-1.1109105971959901</v>
      </c>
      <c r="AE7890">
        <v>7.0945000000000098</v>
      </c>
      <c r="AF7890">
        <v>-6.20899212701456</v>
      </c>
      <c r="AG7890">
        <v>-1.1109105971959901</v>
      </c>
      <c r="AH7890">
        <v>29.6887887354528</v>
      </c>
      <c r="AI7890">
        <v>92.097584497091404</v>
      </c>
      <c r="AJ7890">
        <v>101.812353809287</v>
      </c>
      <c r="AK7890">
        <v>30.351439540269499</v>
      </c>
      <c r="AL7890">
        <v>84.589626154443295</v>
      </c>
      <c r="AM7890">
        <v>87.0513629752041</v>
      </c>
      <c r="AN7890">
        <v>1.00000004247271</v>
      </c>
    </row>
    <row r="7891" spans="1:40" x14ac:dyDescent="0.25">
      <c r="A7891" t="str">
        <f>"20190312154453625"</f>
        <v>20190312154453625</v>
      </c>
      <c r="B7891" t="str">
        <f>"1552376693615768"</f>
        <v>1552376693615768</v>
      </c>
      <c r="C7891" t="s">
        <v>40</v>
      </c>
      <c r="D7891">
        <v>5.2856560000000004</v>
      </c>
      <c r="E7891">
        <v>0.39122089999999998</v>
      </c>
      <c r="F7891" t="s">
        <v>43</v>
      </c>
      <c r="G7891">
        <v>-90.161270000000002</v>
      </c>
      <c r="H7891" s="1">
        <v>-5.4835899999999996E-6</v>
      </c>
      <c r="I7891">
        <v>146.73339999999999</v>
      </c>
      <c r="J7891">
        <v>-115.4143</v>
      </c>
      <c r="K7891">
        <v>1.1109279999999999</v>
      </c>
      <c r="L7891">
        <v>140.0941</v>
      </c>
      <c r="M7891">
        <v>0.99948789999999998</v>
      </c>
      <c r="N7891">
        <v>0</v>
      </c>
      <c r="O7891">
        <v>2.9664920000000001E-2</v>
      </c>
      <c r="P7891">
        <v>0.99639060000000002</v>
      </c>
      <c r="Q7891">
        <v>8.2315490000000005E-2</v>
      </c>
      <c r="R7891">
        <v>-2.073842E-2</v>
      </c>
      <c r="S7891">
        <v>3.0393370000000002</v>
      </c>
      <c r="T7891">
        <v>-0.13339779999999901</v>
      </c>
      <c r="U7891">
        <v>0.79747009999999996</v>
      </c>
      <c r="V7891">
        <v>5.0289849999999997E-2</v>
      </c>
      <c r="W7891">
        <v>9.4259620000000002E-2</v>
      </c>
      <c r="X7891">
        <v>0.99427659999999995</v>
      </c>
      <c r="Y7891">
        <v>-0.22480929999999999</v>
      </c>
      <c r="Z7891">
        <v>3.5706790000000002E-3</v>
      </c>
      <c r="AA7891">
        <v>0.97439620000000005</v>
      </c>
      <c r="AB7891">
        <v>7</v>
      </c>
      <c r="AC7891">
        <v>25.2530299999999</v>
      </c>
      <c r="AD7891">
        <v>-1.11093348359</v>
      </c>
      <c r="AE7891">
        <v>6.6392999999999898</v>
      </c>
      <c r="AF7891">
        <v>-5.8765569616212403</v>
      </c>
      <c r="AG7891">
        <v>-1.11093348359</v>
      </c>
      <c r="AH7891">
        <v>25.392917253146202</v>
      </c>
      <c r="AI7891">
        <v>92.440653722299402</v>
      </c>
      <c r="AJ7891">
        <v>103.03028704953999</v>
      </c>
      <c r="AK7891">
        <v>26.087704796575601</v>
      </c>
      <c r="AL7891">
        <v>84.591291792224496</v>
      </c>
      <c r="AM7891">
        <v>87.104485016498003</v>
      </c>
      <c r="AN7891">
        <v>0.99999995114156204</v>
      </c>
    </row>
    <row r="7892" spans="1:40" x14ac:dyDescent="0.25">
      <c r="A7892" t="str">
        <f>"20190312154453647"</f>
        <v>20190312154453647</v>
      </c>
      <c r="B7892" t="str">
        <f>"1552376693635288"</f>
        <v>1552376693635288</v>
      </c>
      <c r="C7892" t="s">
        <v>40</v>
      </c>
      <c r="D7892">
        <v>5.2871300000000003</v>
      </c>
      <c r="E7892">
        <v>0.38990999999999998</v>
      </c>
      <c r="F7892" t="s">
        <v>43</v>
      </c>
      <c r="G7892">
        <v>-92.330799999999996</v>
      </c>
      <c r="H7892" s="1">
        <v>-4.6787550000000002E-6</v>
      </c>
      <c r="I7892">
        <v>146.35830000000001</v>
      </c>
      <c r="J7892">
        <v>-115.3509</v>
      </c>
      <c r="K7892">
        <v>1.110924</v>
      </c>
      <c r="L7892">
        <v>140.096</v>
      </c>
      <c r="M7892">
        <v>0.99948559999999997</v>
      </c>
      <c r="N7892">
        <v>0</v>
      </c>
      <c r="O7892">
        <v>2.9740320000000001E-2</v>
      </c>
      <c r="P7892">
        <v>0.99639619999999995</v>
      </c>
      <c r="Q7892">
        <v>8.2460539999999999E-2</v>
      </c>
      <c r="R7892">
        <v>-1.986398E-2</v>
      </c>
      <c r="S7892">
        <v>3.0401310000000001</v>
      </c>
      <c r="T7892">
        <v>-0.14631140000000001</v>
      </c>
      <c r="U7892">
        <v>0.82501219999999997</v>
      </c>
      <c r="V7892">
        <v>4.9491170000000001E-2</v>
      </c>
      <c r="W7892">
        <v>9.4405349999999999E-2</v>
      </c>
      <c r="X7892">
        <v>0.99430289999999999</v>
      </c>
      <c r="Y7892">
        <v>-0.23286290000000001</v>
      </c>
      <c r="Z7892">
        <v>4.0972430000000004E-3</v>
      </c>
      <c r="AA7892">
        <v>0.97250099999999995</v>
      </c>
      <c r="AB7892">
        <v>7</v>
      </c>
      <c r="AC7892">
        <v>23.020099999999999</v>
      </c>
      <c r="AD7892">
        <v>-1.1109286787549999</v>
      </c>
      <c r="AE7892">
        <v>6.2622999999999998</v>
      </c>
      <c r="AF7892">
        <v>-5.5627923585803396</v>
      </c>
      <c r="AG7892">
        <v>-1.1109286787549999</v>
      </c>
      <c r="AH7892">
        <v>23.145980795302201</v>
      </c>
      <c r="AI7892">
        <v>92.671926264116394</v>
      </c>
      <c r="AJ7892">
        <v>103.51388779129</v>
      </c>
      <c r="AK7892">
        <v>23.8309724587658</v>
      </c>
      <c r="AL7892">
        <v>84.582904951122003</v>
      </c>
      <c r="AM7892">
        <v>87.150469083886904</v>
      </c>
      <c r="AN7892">
        <v>1.0000000014824999</v>
      </c>
    </row>
    <row r="7893" spans="1:40" x14ac:dyDescent="0.25">
      <c r="A7893" t="str">
        <f>"20190312154453669"</f>
        <v>20190312154453669</v>
      </c>
      <c r="B7893" t="str">
        <f>"1552376693665544"</f>
        <v>1552376693665544</v>
      </c>
      <c r="C7893" t="s">
        <v>40</v>
      </c>
      <c r="D7893">
        <v>5.2463329999999999</v>
      </c>
      <c r="E7893">
        <v>0.38887189999999999</v>
      </c>
      <c r="F7893" t="s">
        <v>43</v>
      </c>
      <c r="G7893">
        <v>-92.671199999999999</v>
      </c>
      <c r="H7893" s="1">
        <v>-4.5618659999999998E-6</v>
      </c>
      <c r="I7893">
        <v>146.35239999999999</v>
      </c>
      <c r="J7893">
        <v>-115.28870000000001</v>
      </c>
      <c r="K7893">
        <v>1.110938</v>
      </c>
      <c r="L7893">
        <v>140.09799999999899</v>
      </c>
      <c r="M7893">
        <v>0.99948329999999996</v>
      </c>
      <c r="N7893">
        <v>0</v>
      </c>
      <c r="O7893">
        <v>2.981458E-2</v>
      </c>
      <c r="P7893">
        <v>0.99631800000000004</v>
      </c>
      <c r="Q7893">
        <v>8.3539290000000002E-2</v>
      </c>
      <c r="R7893">
        <v>-1.927852E-2</v>
      </c>
      <c r="S7893">
        <v>3.0398860000000001</v>
      </c>
      <c r="T7893">
        <v>-0.1489037</v>
      </c>
      <c r="U7893">
        <v>0.83857729999999997</v>
      </c>
      <c r="V7893">
        <v>4.897754E-2</v>
      </c>
      <c r="W7893">
        <v>9.5483360000000003E-2</v>
      </c>
      <c r="X7893">
        <v>0.99422540000000004</v>
      </c>
      <c r="Y7893">
        <v>-0.23683390000000001</v>
      </c>
      <c r="Z7893">
        <v>4.2595530000000001E-3</v>
      </c>
      <c r="AA7893">
        <v>0.97154079999999998</v>
      </c>
      <c r="AB7893">
        <v>7</v>
      </c>
      <c r="AC7893">
        <v>22.6175</v>
      </c>
      <c r="AD7893">
        <v>-1.110942561866</v>
      </c>
      <c r="AE7893">
        <v>6.2544000000000004</v>
      </c>
      <c r="AF7893">
        <v>-5.5647671844267101</v>
      </c>
      <c r="AG7893">
        <v>-1.110942561866</v>
      </c>
      <c r="AH7893">
        <v>22.742956684787199</v>
      </c>
      <c r="AI7893">
        <v>92.716537326243994</v>
      </c>
      <c r="AJ7893">
        <v>103.74905180508399</v>
      </c>
      <c r="AK7893">
        <v>23.4401985051054</v>
      </c>
      <c r="AL7893">
        <v>84.520859278220698</v>
      </c>
      <c r="AM7893">
        <v>87.179774677270601</v>
      </c>
      <c r="AN7893">
        <v>1.0000000087332499</v>
      </c>
    </row>
    <row r="7894" spans="1:40" x14ac:dyDescent="0.25">
      <c r="A7894" t="str">
        <f>"20190312154453691"</f>
        <v>20190312154453691</v>
      </c>
      <c r="B7894" t="str">
        <f>"1552376693685063"</f>
        <v>1552376693685063</v>
      </c>
      <c r="C7894" t="s">
        <v>40</v>
      </c>
      <c r="D7894">
        <v>5.2589169999999896</v>
      </c>
      <c r="E7894">
        <v>0.3883432</v>
      </c>
      <c r="F7894" t="s">
        <v>43</v>
      </c>
      <c r="G7894">
        <v>-93.364919999999998</v>
      </c>
      <c r="H7894" s="1">
        <v>-4.302497E-6</v>
      </c>
      <c r="I7894">
        <v>146.22110000000001</v>
      </c>
      <c r="J7894">
        <v>-115.2231</v>
      </c>
      <c r="K7894">
        <v>1.1109579999999999</v>
      </c>
      <c r="L7894">
        <v>140.1</v>
      </c>
      <c r="M7894">
        <v>0.99948110000000001</v>
      </c>
      <c r="N7894">
        <v>0</v>
      </c>
      <c r="O7894">
        <v>2.9892599999999998E-2</v>
      </c>
      <c r="P7894">
        <v>0.9962683</v>
      </c>
      <c r="Q7894">
        <v>8.4221119999999997E-2</v>
      </c>
      <c r="R7894">
        <v>-1.8875099999999999E-2</v>
      </c>
      <c r="S7894">
        <v>3.0404360000000001</v>
      </c>
      <c r="T7894">
        <v>-0.1540675</v>
      </c>
      <c r="U7894">
        <v>0.84916689999999995</v>
      </c>
      <c r="V7894">
        <v>4.865046E-2</v>
      </c>
      <c r="W7894">
        <v>9.6164940000000004E-2</v>
      </c>
      <c r="X7894">
        <v>0.9941757</v>
      </c>
      <c r="Y7894">
        <v>-0.2398343</v>
      </c>
      <c r="Z7894">
        <v>4.4750149999999997E-3</v>
      </c>
      <c r="AA7894">
        <v>0.97080350000000004</v>
      </c>
      <c r="AB7894">
        <v>7</v>
      </c>
      <c r="AC7894">
        <v>21.858180000000001</v>
      </c>
      <c r="AD7894">
        <v>-1.1109623024969999</v>
      </c>
      <c r="AE7894">
        <v>6.12110000000001</v>
      </c>
      <c r="AF7894">
        <v>-5.4518598011494603</v>
      </c>
      <c r="AG7894">
        <v>-1.1109623024969999</v>
      </c>
      <c r="AH7894">
        <v>21.978750867073099</v>
      </c>
      <c r="AI7894">
        <v>92.808696689905403</v>
      </c>
      <c r="AJ7894">
        <v>103.93111597533699</v>
      </c>
      <c r="AK7894">
        <v>22.672064356953101</v>
      </c>
      <c r="AL7894">
        <v>84.481626719252404</v>
      </c>
      <c r="AM7894">
        <v>87.198438675895403</v>
      </c>
      <c r="AN7894">
        <v>0.99999994270695003</v>
      </c>
    </row>
    <row r="7895" spans="1:40" x14ac:dyDescent="0.25">
      <c r="A7895" t="str">
        <f>"20190312154453713"</f>
        <v>20190312154453713</v>
      </c>
      <c r="B7895" t="str">
        <f>"1552376693705559"</f>
        <v>1552376693705559</v>
      </c>
      <c r="C7895" t="s">
        <v>40</v>
      </c>
      <c r="D7895">
        <v>5.2161989999999996</v>
      </c>
      <c r="E7895">
        <v>0.38790629999999998</v>
      </c>
      <c r="F7895" t="s">
        <v>43</v>
      </c>
      <c r="G7895">
        <v>-93.635990000000007</v>
      </c>
      <c r="H7895" s="1">
        <v>-4.2007199999999898E-6</v>
      </c>
      <c r="I7895">
        <v>146.16739999999999</v>
      </c>
      <c r="J7895">
        <v>-115.15900000000001</v>
      </c>
      <c r="K7895">
        <v>1.110959</v>
      </c>
      <c r="L7895">
        <v>140.10210000000001</v>
      </c>
      <c r="M7895">
        <v>0.9994788</v>
      </c>
      <c r="N7895">
        <v>0</v>
      </c>
      <c r="O7895">
        <v>2.9968829999999998E-2</v>
      </c>
      <c r="P7895">
        <v>0.99623159999999999</v>
      </c>
      <c r="Q7895">
        <v>8.4727049999999998E-2</v>
      </c>
      <c r="R7895">
        <v>-1.854867E-2</v>
      </c>
      <c r="S7895">
        <v>3.0406490000000002</v>
      </c>
      <c r="T7895">
        <v>-0.15648419999999999</v>
      </c>
      <c r="U7895">
        <v>0.85461430000000005</v>
      </c>
      <c r="V7895">
        <v>4.8398990000000003E-2</v>
      </c>
      <c r="W7895">
        <v>9.6670880000000001E-2</v>
      </c>
      <c r="X7895">
        <v>0.99413899999999999</v>
      </c>
      <c r="Y7895">
        <v>-0.24134549999999999</v>
      </c>
      <c r="Z7895">
        <v>4.5780350000000003E-3</v>
      </c>
      <c r="AA7895">
        <v>0.97042850000000003</v>
      </c>
      <c r="AB7895">
        <v>6</v>
      </c>
      <c r="AC7895">
        <v>21.5230099999999</v>
      </c>
      <c r="AD7895">
        <v>-1.1109632007200001</v>
      </c>
      <c r="AE7895">
        <v>6.0652999999999704</v>
      </c>
      <c r="AF7895">
        <v>-5.4041700708686697</v>
      </c>
      <c r="AG7895">
        <v>-1.1109632007200001</v>
      </c>
      <c r="AH7895">
        <v>21.6417051202518</v>
      </c>
      <c r="AI7895">
        <v>92.851262334203895</v>
      </c>
      <c r="AJ7895">
        <v>104.02065357935</v>
      </c>
      <c r="AK7895">
        <v>22.333891150002501</v>
      </c>
      <c r="AL7895">
        <v>84.452503321299204</v>
      </c>
      <c r="AM7895">
        <v>87.2127940832505</v>
      </c>
      <c r="AN7895">
        <v>1.0000000362969901</v>
      </c>
    </row>
    <row r="7896" spans="1:40" x14ac:dyDescent="0.25">
      <c r="A7896" t="str">
        <f>"20190312154453735"</f>
        <v>20190312154453735</v>
      </c>
      <c r="B7896" t="str">
        <f>"1552376693725079"</f>
        <v>1552376693725079</v>
      </c>
      <c r="C7896" t="s">
        <v>40</v>
      </c>
      <c r="D7896">
        <v>5.1679190000000004</v>
      </c>
      <c r="E7896">
        <v>0.38764779999999999</v>
      </c>
      <c r="F7896" t="s">
        <v>43</v>
      </c>
      <c r="G7896">
        <v>-93.935419999999993</v>
      </c>
      <c r="H7896" s="1">
        <v>-4.086625E-6</v>
      </c>
      <c r="I7896">
        <v>146.0986</v>
      </c>
      <c r="J7896">
        <v>-115.0938</v>
      </c>
      <c r="K7896">
        <v>1.110973</v>
      </c>
      <c r="L7896">
        <v>140.10409999999999</v>
      </c>
      <c r="M7896">
        <v>0.99947640000000004</v>
      </c>
      <c r="N7896">
        <v>0</v>
      </c>
      <c r="O7896">
        <v>3.0046670000000001E-2</v>
      </c>
      <c r="P7896">
        <v>0.9962242</v>
      </c>
      <c r="Q7896">
        <v>8.479486E-2</v>
      </c>
      <c r="R7896">
        <v>-1.8632079999999999E-2</v>
      </c>
      <c r="S7896">
        <v>3.0408780000000002</v>
      </c>
      <c r="T7896">
        <v>-0.15917690000000001</v>
      </c>
      <c r="U7896">
        <v>0.85917659999999996</v>
      </c>
      <c r="V7896">
        <v>4.8559419999999999E-2</v>
      </c>
      <c r="W7896">
        <v>9.6738749999999998E-2</v>
      </c>
      <c r="X7896">
        <v>0.99412449999999997</v>
      </c>
      <c r="Y7896">
        <v>-0.24258930000000001</v>
      </c>
      <c r="Z7896">
        <v>4.6833780000000002E-3</v>
      </c>
      <c r="AA7896">
        <v>0.97011769999999997</v>
      </c>
      <c r="AB7896">
        <v>6</v>
      </c>
      <c r="AC7896">
        <v>21.158380000000001</v>
      </c>
      <c r="AD7896">
        <v>-1.1109770866249999</v>
      </c>
      <c r="AE7896">
        <v>5.9945000000000102</v>
      </c>
      <c r="AF7896">
        <v>-5.34237361259125</v>
      </c>
      <c r="AG7896">
        <v>-1.1109770866249999</v>
      </c>
      <c r="AH7896">
        <v>21.274656206946599</v>
      </c>
      <c r="AI7896">
        <v>92.899450265998894</v>
      </c>
      <c r="AJ7896">
        <v>104.096324948519</v>
      </c>
      <c r="AK7896">
        <v>21.9632926180773</v>
      </c>
      <c r="AL7896">
        <v>84.4485959330094</v>
      </c>
      <c r="AM7896">
        <v>87.203529141953993</v>
      </c>
      <c r="AN7896">
        <v>0.99999996226127297</v>
      </c>
    </row>
    <row r="7897" spans="1:40" x14ac:dyDescent="0.25">
      <c r="A7897" t="str">
        <f>"20190312154453758"</f>
        <v>20190312154453758</v>
      </c>
      <c r="B7897" t="str">
        <f>"1552376693755336"</f>
        <v>1552376693755336</v>
      </c>
      <c r="C7897" t="s">
        <v>40</v>
      </c>
      <c r="D7897">
        <v>5.095745</v>
      </c>
      <c r="E7897">
        <v>0.38737050000000001</v>
      </c>
      <c r="F7897" t="s">
        <v>43</v>
      </c>
      <c r="G7897">
        <v>-94.553939999999997</v>
      </c>
      <c r="H7897" s="1">
        <v>-3.8437930000000004E-6</v>
      </c>
      <c r="I7897">
        <v>145.9162</v>
      </c>
      <c r="J7897">
        <v>-115.0303</v>
      </c>
      <c r="K7897">
        <v>1.110989</v>
      </c>
      <c r="L7897">
        <v>140.1061</v>
      </c>
      <c r="M7897">
        <v>0.99947419999999998</v>
      </c>
      <c r="N7897">
        <v>0</v>
      </c>
      <c r="O7897">
        <v>3.0122369999999999E-2</v>
      </c>
      <c r="P7897">
        <v>0.99621329999999997</v>
      </c>
      <c r="Q7897">
        <v>8.4849170000000002E-2</v>
      </c>
      <c r="R7897">
        <v>-1.8976590000000002E-2</v>
      </c>
      <c r="S7897">
        <v>3.041458</v>
      </c>
      <c r="T7897">
        <v>-0.16450909999999999</v>
      </c>
      <c r="U7897">
        <v>0.86064149999999995</v>
      </c>
      <c r="V7897">
        <v>4.897895E-2</v>
      </c>
      <c r="W7897">
        <v>9.679285E-2</v>
      </c>
      <c r="X7897">
        <v>0.9940987</v>
      </c>
      <c r="Y7897">
        <v>-0.24288170000000001</v>
      </c>
      <c r="Z7897">
        <v>4.8426010000000002E-3</v>
      </c>
      <c r="AA7897">
        <v>0.97004380000000001</v>
      </c>
      <c r="AB7897">
        <v>6</v>
      </c>
      <c r="AC7897">
        <v>20.47636</v>
      </c>
      <c r="AD7897">
        <v>-1.1109928437929999</v>
      </c>
      <c r="AE7897">
        <v>5.8101000000000003</v>
      </c>
      <c r="AF7897">
        <v>-5.1765187658380398</v>
      </c>
      <c r="AG7897">
        <v>-1.1109928437929999</v>
      </c>
      <c r="AH7897">
        <v>20.586006805820698</v>
      </c>
      <c r="AI7897">
        <v>92.996069153521702</v>
      </c>
      <c r="AJ7897">
        <v>104.114846726355</v>
      </c>
      <c r="AK7897">
        <v>21.255924535087299</v>
      </c>
      <c r="AL7897">
        <v>84.445481878653695</v>
      </c>
      <c r="AM7897">
        <v>87.179334744110093</v>
      </c>
      <c r="AN7897">
        <v>1.00000000934795</v>
      </c>
    </row>
    <row r="7898" spans="1:40" x14ac:dyDescent="0.25">
      <c r="A7898" t="str">
        <f>"20190312154453781"</f>
        <v>20190312154453781</v>
      </c>
      <c r="B7898" t="str">
        <f>"1552376693775831"</f>
        <v>1552376693775831</v>
      </c>
      <c r="C7898" t="s">
        <v>40</v>
      </c>
      <c r="D7898">
        <v>5.0908049999999996</v>
      </c>
      <c r="E7898">
        <v>0.38734489999999999</v>
      </c>
      <c r="F7898" t="s">
        <v>43</v>
      </c>
      <c r="G7898">
        <v>-95.210539999999995</v>
      </c>
      <c r="H7898" s="1">
        <v>-3.5852049999999999E-6</v>
      </c>
      <c r="I7898">
        <v>145.71809999999999</v>
      </c>
      <c r="J7898">
        <v>-114.96299999999999</v>
      </c>
      <c r="K7898">
        <v>1.1109910000000001</v>
      </c>
      <c r="L7898">
        <v>140.10820000000001</v>
      </c>
      <c r="M7898">
        <v>0.99947180000000002</v>
      </c>
      <c r="N7898">
        <v>0</v>
      </c>
      <c r="O7898">
        <v>3.0202409999999999E-2</v>
      </c>
      <c r="P7898">
        <v>0.99623700000000004</v>
      </c>
      <c r="Q7898">
        <v>8.4407910000000003E-2</v>
      </c>
      <c r="R7898">
        <v>-1.9685640000000001E-2</v>
      </c>
      <c r="S7898">
        <v>3.0423429999999998</v>
      </c>
      <c r="T7898">
        <v>-0.17053789999999999</v>
      </c>
      <c r="U7898">
        <v>0.86145020000000005</v>
      </c>
      <c r="V7898">
        <v>4.976804E-2</v>
      </c>
      <c r="W7898">
        <v>9.6351469999999995E-2</v>
      </c>
      <c r="X7898">
        <v>0.99410240000000005</v>
      </c>
      <c r="Y7898">
        <v>-0.24294750000000001</v>
      </c>
      <c r="Z7898">
        <v>5.0156559999999899E-3</v>
      </c>
      <c r="AA7898">
        <v>0.97002639999999996</v>
      </c>
      <c r="AB7898">
        <v>6</v>
      </c>
      <c r="AC7898">
        <v>19.7524599999999</v>
      </c>
      <c r="AD7898">
        <v>-1.1109945852050001</v>
      </c>
      <c r="AE7898">
        <v>5.6098999999999801</v>
      </c>
      <c r="AF7898">
        <v>-4.9960996720945996</v>
      </c>
      <c r="AG7898">
        <v>-1.1109945852050001</v>
      </c>
      <c r="AH7898">
        <v>19.854768249015098</v>
      </c>
      <c r="AI7898">
        <v>93.106077404120796</v>
      </c>
      <c r="AJ7898">
        <v>104.12422849477601</v>
      </c>
      <c r="AK7898">
        <v>20.503832400894201</v>
      </c>
      <c r="AL7898">
        <v>84.470889920668895</v>
      </c>
      <c r="AM7898">
        <v>87.133977391071795</v>
      </c>
      <c r="AN7898">
        <v>1.00000002263118</v>
      </c>
    </row>
    <row r="7899" spans="1:40" x14ac:dyDescent="0.25">
      <c r="A7899" t="str">
        <f>"20190312154453809"</f>
        <v>20190312154453809</v>
      </c>
      <c r="B7899" t="str">
        <f>"1552376693805111"</f>
        <v>1552376693805111</v>
      </c>
      <c r="C7899" t="s">
        <v>40</v>
      </c>
      <c r="D7899">
        <v>5.0475250000000003</v>
      </c>
      <c r="E7899">
        <v>0.38726699999999997</v>
      </c>
      <c r="F7899" t="s">
        <v>43</v>
      </c>
      <c r="G7899">
        <v>-95.627420000000001</v>
      </c>
      <c r="H7899" s="1">
        <v>-3.4169810000000002E-6</v>
      </c>
      <c r="I7899">
        <v>145.56950000000001</v>
      </c>
      <c r="J7899">
        <v>-114.8828</v>
      </c>
      <c r="K7899">
        <v>1.111003</v>
      </c>
      <c r="L7899">
        <v>140.11070000000001</v>
      </c>
      <c r="M7899">
        <v>0.99946889999999999</v>
      </c>
      <c r="N7899">
        <v>0</v>
      </c>
      <c r="O7899">
        <v>3.0297709999999999E-2</v>
      </c>
      <c r="P7899">
        <v>0.99625960000000002</v>
      </c>
      <c r="Q7899">
        <v>8.3953029999999998E-2</v>
      </c>
      <c r="R7899">
        <v>-2.0469009999999999E-2</v>
      </c>
      <c r="S7899">
        <v>3.0431370000000002</v>
      </c>
      <c r="T7899">
        <v>-0.17485390000000001</v>
      </c>
      <c r="U7899">
        <v>0.85952759999999995</v>
      </c>
      <c r="V7899">
        <v>5.0646530000000002E-2</v>
      </c>
      <c r="W7899">
        <v>9.5896789999999996E-2</v>
      </c>
      <c r="X7899">
        <v>0.99410200000000004</v>
      </c>
      <c r="Y7899">
        <v>-0.2422068</v>
      </c>
      <c r="Z7899">
        <v>5.1153270000000002E-3</v>
      </c>
      <c r="AA7899">
        <v>0.97021109999999999</v>
      </c>
      <c r="AB7899">
        <v>6</v>
      </c>
      <c r="AC7899">
        <v>19.255379999999999</v>
      </c>
      <c r="AD7899">
        <v>-1.1110064169809999</v>
      </c>
      <c r="AE7899">
        <v>5.4587999999999903</v>
      </c>
      <c r="AF7899">
        <v>-4.8578882947717199</v>
      </c>
      <c r="AG7899">
        <v>-1.1110064169809999</v>
      </c>
      <c r="AH7899">
        <v>19.35230661057</v>
      </c>
      <c r="AI7899">
        <v>93.187050566617799</v>
      </c>
      <c r="AJ7899">
        <v>104.09143553983699</v>
      </c>
      <c r="AK7899">
        <v>19.983622922097101</v>
      </c>
      <c r="AL7899">
        <v>84.4970623785009</v>
      </c>
      <c r="AM7899">
        <v>87.083472666883196</v>
      </c>
      <c r="AN7899">
        <v>1.0000000258686701</v>
      </c>
    </row>
  </sheetData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TxtToExcel_Tem_Txt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吕泽众</dc:creator>
  <cp:lastModifiedBy>吕泽众</cp:lastModifiedBy>
  <dcterms:created xsi:type="dcterms:W3CDTF">2020-05-20T14:50:47Z</dcterms:created>
  <dcterms:modified xsi:type="dcterms:W3CDTF">2020-05-20T14:50:48Z</dcterms:modified>
</cp:coreProperties>
</file>